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6986d514f8b4069" /></Relationships>
</file>

<file path=xl/workbook.xml><?xml version="1.0" encoding="utf-8"?>
<x:workbook xmlns:x="http://schemas.openxmlformats.org/spreadsheetml/2006/main">
  <x:sheets>
    <x:sheet xmlns:r="http://schemas.openxmlformats.org/officeDocument/2006/relationships" name="Items" sheetId="1" r:id="Rfc870c3097944f7b"/>
    <x:sheet xmlns:r="http://schemas.openxmlformats.org/officeDocument/2006/relationships" name="Variants" sheetId="2" r:id="R012b2d9f324b47f4"/>
    <x:sheet xmlns:r="http://schemas.openxmlformats.org/officeDocument/2006/relationships" name="Recipes" sheetId="3" r:id="Rc120766c1f5d4a5c"/>
    <x:sheet xmlns:r="http://schemas.openxmlformats.org/officeDocument/2006/relationships" name="Categories" sheetId="4" r:id="R45b509190b824949"/>
    <x:sheet xmlns:r="http://schemas.openxmlformats.org/officeDocument/2006/relationships" name="Guide" sheetId="5" r:id="R4d6518dddc574c5e"/>
    <x:sheet xmlns:r="http://schemas.openxmlformats.org/officeDocument/2006/relationships" name="Resource chains" sheetId="6" r:id="R07ba2460cce6443f"/>
    <x:sheet xmlns:r="http://schemas.openxmlformats.org/officeDocument/2006/relationships" name="Creature concepts" sheetId="7" r:id="R61d9dddc143a42ab"/>
    <x:sheet xmlns:r="http://schemas.openxmlformats.org/officeDocument/2006/relationships" name="Chemical concepts" sheetId="8" r:id="Ra4e42ab87a874c81"/>
    <x:sheet xmlns:r="http://schemas.openxmlformats.org/officeDocument/2006/relationships" name="Container concepts" sheetId="9" r:id="R10d3e954ec5e407f"/>
    <x:sheet xmlns:r="http://schemas.openxmlformats.org/officeDocument/2006/relationships" name="Equipment concepts" sheetId="10" r:id="R361fc60ff22f4304"/>
    <x:sheet xmlns:r="http://schemas.openxmlformats.org/officeDocument/2006/relationships" name="Canister concepts" sheetId="11" r:id="R8905e231863141a9"/>
    <x:sheet xmlns:r="http://schemas.openxmlformats.org/officeDocument/2006/relationships" name="Taxonomy" sheetId="12" r:id="Rb235650b5abe4d25"/>
    <x:sheet xmlns:r="http://schemas.openxmlformats.org/officeDocument/2006/relationships" name="Item uses" sheetId="13" r:id="R90127e0760df48b8"/>
    <x:sheet xmlns:r="http://schemas.openxmlformats.org/officeDocument/2006/relationships" name="Material routes" sheetId="14" r:id="R2caa8cdc4bc74600"/>
    <x:sheet xmlns:r="http://schemas.openxmlformats.org/officeDocument/2006/relationships" name="Regional demand" sheetId="15" r:id="R441b0717b68a4df1"/>
    <x:sheet xmlns:r="http://schemas.openxmlformats.org/officeDocument/2006/relationships" name="Crafting recipes" sheetId="16" r:id="Rd35203db2cc8400a"/>
    <x:sheet xmlns:r="http://schemas.openxmlformats.org/officeDocument/2006/relationships" name="Crafting browser" sheetId="17" r:id="R8246a1b59f144d1a"/>
    <x:sheet xmlns:r="http://schemas.openxmlformats.org/officeDocument/2006/relationships" name="Material branches" sheetId="18" r:id="R184375d4a72f4e57"/>
    <x:sheet xmlns:r="http://schemas.openxmlformats.org/officeDocument/2006/relationships" name="Tier review" sheetId="19" r:id="Re9a7b55e9d0f4e35"/>
    <x:sheet xmlns:r="http://schemas.openxmlformats.org/officeDocument/2006/relationships" name="Collection targets" sheetId="20" r:id="Rbfd86e24c33f484b"/>
    <x:sheet xmlns:r="http://schemas.openxmlformats.org/officeDocument/2006/relationships" name="Item relationships" sheetId="21" r:id="Rcb38de22f37a4979"/>
    <x:sheet xmlns:r="http://schemas.openxmlformats.org/officeDocument/2006/relationships" name="Craft audit" sheetId="22" r:id="R62f921f02b43476f"/>
  </x:sheets>
  <x:definedNames>
    <x:definedName name="InventoryCategoryChoices">'Categories'!$G$6:$G$25</x:definedName>
  </x:definedNames>
  <x:calcPr fullCalcOnLoad="1" forceFullCalc="1" calcMode="auto"/>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8">
    <x:font>
      <x:sz val="11"/>
      <x:name val="Carlito"/>
    </x:font>
    <x:font>
      <x:sz val="10"/>
      <x:color rgb="FF252C32"/>
      <x:name val="Arial"/>
    </x:font>
    <x:font>
      <x:b/>
      <x:sz val="14"/>
      <x:color rgb="FF7A3F27"/>
      <x:name val="Arial"/>
    </x:font>
    <x:font>
      <x:b/>
      <x:sz val="10"/>
      <x:color rgb="FFFFFFFF"/>
      <x:name val="Arial"/>
    </x:font>
    <x:font>
      <x:b/>
      <x:sz val="10"/>
      <x:color rgb="FF423B35"/>
      <x:name val="Arial"/>
    </x:font>
    <x:font>
      <x:b/>
      <x:sz val="10"/>
      <x:color rgb="FF252C32"/>
      <x:name val="Arial"/>
    </x:font>
    <x:font>
      <x:b/>
      <x:sz val="14"/>
      <x:color rgb="FF9C431E"/>
      <x:name val="Arial"/>
    </x:font>
    <x:font>
      <x:sz val="10"/>
      <x:color rgb="FF525A60"/>
      <x:name val="Arial"/>
    </x:font>
  </x:fonts>
  <x:fills count="39">
    <x:fill>
      <x:patternFill patternType="none"/>
    </x:fill>
    <x:fill>
      <x:patternFill patternType="gray125"/>
    </x:fill>
    <x:fill>
      <x:patternFill patternType="solid">
        <x:fgColor rgb="FF423B35"/>
      </x:patternFill>
    </x:fill>
    <x:fill>
      <x:patternFill patternType="solid">
        <x:fgColor rgb="FFF4F0E9"/>
      </x:patternFill>
    </x:fill>
    <x:fill>
      <x:patternFill patternType="solid">
        <x:fgColor rgb="FFFFFFFF"/>
      </x:patternFill>
    </x:fill>
    <x:fill>
      <x:patternFill patternType="solid">
        <x:fgColor rgb="FFFFF5D9"/>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3E9D2"/>
      </x:patternFill>
    </x:fill>
    <x:fill>
      <x:patternFill patternType="solid">
        <x:fgColor rgb="FFF3E9D2"/>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03A34"/>
      </x:patternFill>
    </x:fill>
    <x:fill>
      <x:patternFill patternType="solid">
        <x:fgColor rgb="FF403A34"/>
      </x:patternFill>
    </x:fill>
  </x:fills>
  <x:borders count="1">
    <x:border>
      <x:left/>
      <x:right/>
      <x:top/>
      <x:bottom/>
      <x:diagonal/>
    </x:border>
  </x:borders>
  <x:cellStyleXfs count="1">
    <x:xf numFmtId="0" fontId="0" fillId="0" borderId="0"/>
  </x:cellStyleXfs>
  <x:cellXfs count="78">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4" borderId="0" xfId="0" applyNumberFormat="1" applyFont="1" applyFill="1" applyBorder="1" applyAlignment="1">
      <x:alignment horizontal="center" vertical="center"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20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1" fillId="11" borderId="0" xfId="0" applyNumberFormat="1" applyFont="1" applyFill="1" applyBorder="1" applyAlignment="1">
      <x:alignment vertical="top" wrapText="1"/>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3"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1" fillId="19"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1" fillId="21" borderId="0" xfId="0" applyNumberFormat="1" applyFont="1" applyFill="1" applyBorder="1" applyAlignment="1">
      <x:alignment vertical="top" wrapText="1"/>
    </x:xf>
    <x:xf numFmtId="0" fontId="1" fillId="22" borderId="0" xfId="0" applyNumberFormat="1" applyFont="1" applyFill="1" applyBorder="1" applyAlignment="1">
      <x:alignment vertical="top" wrapText="1"/>
    </x:xf>
    <x:xf numFmtId="0" fontId="1" fillId="23" borderId="0" xfId="0" applyNumberFormat="1" applyFont="1" applyFill="1" applyBorder="1" applyAlignment="1">
      <x:alignment vertical="top" wrapText="1"/>
    </x:xf>
    <x:xf numFmtId="0" fontId="3" fillId="23" borderId="0" xfId="0" applyNumberFormat="1" applyFont="1" applyFill="1" applyBorder="1" applyAlignment="1">
      <x:alignment vertical="top" wrapText="1"/>
    </x:xf>
    <x:xf numFmtId="0" fontId="1" fillId="24" borderId="0" xfId="0" applyNumberFormat="1" applyFont="1" applyFill="1" applyBorder="1" applyAlignment="1">
      <x:alignment vertical="top" wrapText="1"/>
    </x:xf>
    <x:xf numFmtId="0" fontId="1" fillId="25" borderId="0" xfId="0" applyNumberFormat="1" applyFont="1" applyFill="1" applyBorder="1" applyAlignment="1">
      <x:alignment vertical="top" wrapText="1"/>
    </x:xf>
    <x:xf numFmtId="0" fontId="1" fillId="26" borderId="0" xfId="0" applyNumberFormat="1" applyFont="1" applyFill="1" applyBorder="1" applyAlignment="1">
      <x:alignment vertical="top" wrapText="1"/>
    </x:xf>
    <x:xf numFmtId="0" fontId="1" fillId="27" borderId="0" xfId="0" applyNumberFormat="1" applyFont="1" applyFill="1" applyBorder="1" applyAlignment="1">
      <x:alignment vertical="top" wrapText="1"/>
    </x:xf>
    <x:xf numFmtId="0" fontId="1" fillId="28" borderId="0" xfId="0" applyNumberFormat="1" applyFont="1" applyFill="1" applyBorder="1" applyAlignment="1">
      <x:alignment vertical="top" wrapText="1"/>
    </x:xf>
    <x:xf numFmtId="0" fontId="3" fillId="28" borderId="0" xfId="0" applyNumberFormat="1" applyFont="1" applyFill="1" applyBorder="1" applyAlignment="1">
      <x:alignment vertical="top" wrapText="1"/>
    </x:xf>
    <x:xf numFmtId="0" fontId="1" fillId="29" borderId="0" xfId="0" applyNumberFormat="1" applyFont="1" applyFill="1" applyBorder="1" applyAlignment="1">
      <x:alignment vertical="top" wrapText="1"/>
    </x:xf>
    <x:xf numFmtId="0" fontId="3" fillId="29"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5" fillId="30" borderId="0" xfId="0" applyNumberFormat="1" applyFont="1" applyFill="1" applyBorder="1" applyAlignment="1">
      <x:alignment vertical="top" wrapText="1"/>
    </x:xf>
    <x:xf numFmtId="0" fontId="3" fillId="30" borderId="0" xfId="0" applyNumberFormat="1" applyFont="1" applyFill="1" applyBorder="1" applyAlignment="1">
      <x:alignment vertical="top" wrapText="1"/>
    </x:xf>
    <x:xf numFmtId="0" fontId="3" fillId="31" borderId="0" xfId="0" applyNumberFormat="1" applyFont="1" applyFill="1" applyBorder="1" applyAlignment="1">
      <x:alignment horizontal="center" vertical="center" wrapText="1"/>
    </x:xf>
    <x:xf numFmtId="0" fontId="3" fillId="31" borderId="0" xfId="0" applyNumberFormat="1" applyFont="1" applyFill="1" applyBorder="1" applyAlignment="1">
      <x:alignment horizontal="center" vertical="top" wrapText="1"/>
    </x:xf>
    <x:xf numFmtId="0" fontId="0" fillId="31" borderId="0" xfId="0" applyNumberFormat="1" applyFont="1" applyFill="1" applyBorder="1" applyAlignment="1">
      <x:alignment vertical="top" wrapText="1"/>
    </x:xf>
    <x:xf numFmtId="0" fontId="3" fillId="31" borderId="0" xfId="0" applyNumberFormat="1" applyFont="1" applyFill="1" applyBorder="1" applyAlignment="1">
      <x:alignment vertical="top" wrapText="1"/>
    </x:xf>
    <x:xf numFmtId="0" fontId="1" fillId="32" borderId="0" xfId="0" applyNumberFormat="1" applyFont="1" applyFill="1" applyBorder="1" applyAlignment="1">
      <x:alignment vertical="top" wrapText="1"/>
    </x:xf>
    <x:xf numFmtId="0" fontId="3" fillId="32" borderId="0" xfId="0" applyNumberFormat="1" applyFont="1" applyFill="1" applyBorder="1" applyAlignment="1">
      <x:alignment vertical="top" wrapText="1"/>
    </x:xf>
    <x:xf numFmtId="0" fontId="1" fillId="33" borderId="0" xfId="0" applyNumberFormat="1" applyFont="1" applyFill="1" applyBorder="1" applyAlignment="1">
      <x:alignment vertical="top" wrapText="1"/>
    </x:xf>
    <x:xf numFmtId="0" fontId="3" fillId="33" borderId="0" xfId="0" applyNumberFormat="1" applyFont="1" applyFill="1" applyBorder="1" applyAlignment="1">
      <x:alignment vertical="top" wrapText="1"/>
    </x:xf>
    <x:xf numFmtId="0" fontId="5" fillId="33" borderId="0" xfId="0" applyNumberFormat="1" applyFont="1" applyFill="1" applyBorder="1" applyAlignment="1">
      <x:alignment vertical="top" wrapText="1"/>
    </x:xf>
    <x:xf numFmtId="0" fontId="1" fillId="34" borderId="0" xfId="0" applyNumberFormat="1" applyFont="1" applyFill="1" applyBorder="1" applyAlignment="1">
      <x:alignment vertical="top" wrapText="1"/>
    </x:xf>
    <x:xf numFmtId="0" fontId="3" fillId="34" borderId="0" xfId="0" applyNumberFormat="1" applyFont="1" applyFill="1" applyBorder="1" applyAlignment="1">
      <x:alignment vertical="top" wrapText="1"/>
    </x:xf>
    <x:xf numFmtId="0" fontId="1" fillId="35" borderId="0" xfId="0" applyNumberFormat="1" applyFont="1" applyFill="1" applyBorder="1" applyAlignment="1">
      <x:alignment vertical="top" wrapText="1"/>
    </x:xf>
    <x:xf numFmtId="0" fontId="3" fillId="35" borderId="0" xfId="0" applyNumberFormat="1" applyFont="1" applyFill="1" applyBorder="1" applyAlignment="1">
      <x:alignment vertical="top" wrapText="1"/>
    </x:xf>
    <x:xf numFmtId="0" fontId="1" fillId="36" borderId="0" xfId="0" applyNumberFormat="1" applyFont="1" applyFill="1" applyBorder="1" applyAlignment="1">
      <x:alignment vertical="top" wrapText="1"/>
    </x:xf>
    <x:xf numFmtId="0" fontId="3" fillId="36" borderId="0" xfId="0" applyNumberFormat="1" applyFont="1" applyFill="1" applyBorder="1" applyAlignment="1">
      <x:alignment vertical="top" wrapText="1"/>
    </x:xf>
    <x:xf numFmtId="0" fontId="6" fillId="0" borderId="0" xfId="0" applyNumberFormat="1" applyFont="1" applyFill="1" applyBorder="1"/>
    <x:xf numFmtId="0" fontId="7" fillId="0" borderId="0" xfId="0" applyNumberFormat="1" applyFont="1" applyFill="1" applyBorder="1"/>
    <x:xf numFmtId="0" fontId="1" fillId="37" borderId="0" xfId="0" applyNumberFormat="1" applyFont="1" applyFill="1" applyBorder="1" applyAlignment="1">
      <x:alignment vertical="top" wrapText="1"/>
    </x:xf>
    <x:xf numFmtId="0" fontId="3" fillId="37" borderId="0" xfId="0" applyNumberFormat="1" applyFont="1" applyFill="1" applyBorder="1" applyAlignment="1">
      <x:alignment vertical="top" wrapText="1"/>
    </x:xf>
    <x:xf numFmtId="0" fontId="1" fillId="38" borderId="0" xfId="0" applyNumberFormat="1" applyFont="1" applyFill="1" applyBorder="1" applyAlignment="1">
      <x:alignment vertical="top" wrapText="1"/>
    </x:xf>
    <x:xf numFmtId="0" fontId="3" fillId="38" borderId="0" xfId="0" applyNumberFormat="1" applyFont="1" applyFill="1" applyBorder="1" applyAlignment="1">
      <x:alignment vertical="top" wrapText="1"/>
    </x:xf>
  </x:cellXfs>
  <x:cellStyles count="1">
    <x:cellStyle name="Normal" xfId="0"/>
  </x:cellStyles>
  <x:dxfs count="9">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9C431E"/>
      </x:font>
      <x:fill>
        <x:patternFill>
          <x:bgColor rgb="FFFFF0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7d7488030c4459c" /><Relationship Type="http://schemas.openxmlformats.org/officeDocument/2006/relationships/theme" Target="/xl/theme/theme1.xml" Id="R2e3ed435723d41ff" /><Relationship Type="http://schemas.microsoft.com/office/2022/11/relationships/FeaturePropertyBag" Target="/xl/featurePropertyBag/featurePropertyBag.xml" Id="R0a2cad43008a4a44" /><Relationship Type="http://schemas.openxmlformats.org/officeDocument/2006/relationships/sharedStrings" Target="/xl/sharedStrings.xml" Id="Rf9bbc5ec75c64055" /><Relationship Type="http://schemas.openxmlformats.org/officeDocument/2006/relationships/worksheet" Target="/xl/worksheets/sheet1.xml" Id="Rfc870c3097944f7b" /><Relationship Type="http://schemas.openxmlformats.org/officeDocument/2006/relationships/worksheet" Target="/xl/worksheets/sheet2.xml" Id="R012b2d9f324b47f4" /><Relationship Type="http://schemas.openxmlformats.org/officeDocument/2006/relationships/worksheet" Target="/xl/worksheets/sheet3.xml" Id="Rc120766c1f5d4a5c" /><Relationship Type="http://schemas.openxmlformats.org/officeDocument/2006/relationships/worksheet" Target="/xl/worksheets/sheet4.xml" Id="R45b509190b824949" /><Relationship Type="http://schemas.openxmlformats.org/officeDocument/2006/relationships/worksheet" Target="/xl/worksheets/sheet5.xml" Id="R4d6518dddc574c5e" /><Relationship Type="http://schemas.openxmlformats.org/officeDocument/2006/relationships/worksheet" Target="/xl/worksheets/sheet6.xml" Id="R07ba2460cce6443f" /><Relationship Type="http://schemas.openxmlformats.org/officeDocument/2006/relationships/worksheet" Target="/xl/worksheets/sheet7.xml" Id="R61d9dddc143a42ab" /><Relationship Type="http://schemas.openxmlformats.org/officeDocument/2006/relationships/worksheet" Target="/xl/worksheets/sheet8.xml" Id="Ra4e42ab87a874c81" /><Relationship Type="http://schemas.openxmlformats.org/officeDocument/2006/relationships/worksheet" Target="/xl/worksheets/sheet9.xml" Id="R10d3e954ec5e407f" /><Relationship Type="http://schemas.openxmlformats.org/officeDocument/2006/relationships/worksheet" Target="/xl/worksheets/sheet10.xml" Id="R361fc60ff22f4304" /><Relationship Type="http://schemas.openxmlformats.org/officeDocument/2006/relationships/worksheet" Target="/xl/worksheets/sheet11.xml" Id="R8905e231863141a9" /><Relationship Type="http://schemas.openxmlformats.org/officeDocument/2006/relationships/worksheet" Target="/xl/worksheets/sheet12.xml" Id="Rb235650b5abe4d25" /><Relationship Type="http://schemas.openxmlformats.org/officeDocument/2006/relationships/worksheet" Target="/xl/worksheets/sheet13.xml" Id="R90127e0760df48b8" /><Relationship Type="http://schemas.openxmlformats.org/officeDocument/2006/relationships/worksheet" Target="/xl/worksheets/sheet14.xml" Id="R2caa8cdc4bc74600" /><Relationship Type="http://schemas.openxmlformats.org/officeDocument/2006/relationships/worksheet" Target="/xl/worksheets/sheet15.xml" Id="R441b0717b68a4df1" /><Relationship Type="http://schemas.openxmlformats.org/officeDocument/2006/relationships/worksheet" Target="/xl/worksheets/sheet16.xml" Id="Rd35203db2cc8400a" /><Relationship Type="http://schemas.openxmlformats.org/officeDocument/2006/relationships/worksheet" Target="/xl/worksheets/sheet17.xml" Id="R8246a1b59f144d1a" /><Relationship Type="http://schemas.openxmlformats.org/officeDocument/2006/relationships/worksheet" Target="/xl/worksheets/sheet18.xml" Id="R184375d4a72f4e57" /><Relationship Type="http://schemas.openxmlformats.org/officeDocument/2006/relationships/worksheet" Target="/xl/worksheets/sheet19.xml" Id="Re9a7b55e9d0f4e35" /><Relationship Type="http://schemas.openxmlformats.org/officeDocument/2006/relationships/worksheet" Target="/xl/worksheets/sheet20.xml" Id="Rbfd86e24c33f484b" /><Relationship Type="http://schemas.openxmlformats.org/officeDocument/2006/relationships/worksheet" Target="/xl/worksheets/sheet21.xml" Id="Rcb38de22f37a4979" /><Relationship Type="http://schemas.openxmlformats.org/officeDocument/2006/relationships/worksheet" Target="/xl/worksheets/sheet22.xml" Id="R62f921f02b43476f"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30" name="ItemsTable" displayName="ItemsTable" ref="A5:AN978" headerRowCount="1" totalsRowCount="0" totalsRowShown="0">
  <x:autoFilter ref="A5:AN978"/>
  <x:tableColumns count="40">
    <x:tableColumn id="1" name="Item ID"/>
    <x:tableColumn id="2" name="Item name"/>
    <x:tableColumn id="3" name="Tier"/>
    <x:tableColumn id="4" name="Category"/>
    <x:tableColumn id="5" name="Subtype"/>
    <x:tableColumn id="6" name="Implementation scope"/>
    <x:tableColumn id="7" name="Purpose"/>
    <x:tableColumn id="8" name="Equipment slot"/>
    <x:tableColumn id="9" name="Carrier metadata"/>
    <x:tableColumn id="10" name="Stack limit"/>
    <x:tableColumn id="11" name="Mass (game units)"/>
    <x:tableColumn id="12" name="Acquisition"/>
    <x:tableColumn id="13" name="Crafting / processing"/>
    <x:tableColumn id="14" name="Supported behavior"/>
    <x:tableColumn id="15" name="Limitations"/>
    <x:tableColumn id="16" name="Rarity"/>
    <x:tableColumn id="17" name="Trade value"/>
    <x:tableColumn id="18" name="Damage"/>
    <x:tableColumn id="19" name="Protection"/>
    <x:tableColumn id="20" name="Durability"/>
    <x:tableColumn id="21" name="Open design decisions"/>
    <x:tableColumn id="22" name="Search aliases"/>
    <x:tableColumn id="23" name="Sources"/>
    <x:tableColumn id="24" name="Item type"/>
    <x:tableColumn id="25" name="Processing stage"/>
    <x:tableColumn id="26" name="Origin family"/>
    <x:tableColumn id="27" name="Primary use"/>
    <x:tableColumn id="28" name="Material family"/>
    <x:tableColumn id="29" name="Physical form"/>
    <x:tableColumn id="30" name="Design status"/>
    <x:tableColumn id="31" name="Search terms"/>
    <x:tableColumn id="32" name="Classification basis"/>
    <x:tableColumn id="33" name="Tier basis"/>
    <x:tableColumn id="34" name="Finished-item input tier"/>
    <x:tableColumn id="35" name="Crafting role"/>
    <x:tableColumn id="36" name="Listed output routes"/>
    <x:tableColumn id="37" name="Listed ingredient routes"/>
    <x:tableColumn id="38" name="Listed tool routes"/>
    <x:tableColumn id="39" name="Crafting coverage"/>
    <x:tableColumn id="40" name="Tier sort order"/>
  </x:tableColumns>
  <x:tableStyleInfo name="TableStyleMedium2" showFirstColumn="0" showLastColumn="0" showRowStripes="1" showColumnStripes="0"/>
</x:table>
</file>

<file path=xl/tables/table2.xml><?xml version="1.0" encoding="utf-8"?>
<x:table xmlns:x="http://schemas.openxmlformats.org/spreadsheetml/2006/main" id="2" name="VariantsTable" displayName="VariantsTable" ref="A5:M25" headerRowCount="1" totalsRowCount="0" totalsRowShown="0">
  <x:autoFilter ref="A5:M25"/>
  <x:tableColumns count="13">
    <x:tableColumn id="1" name="Item ID"/>
    <x:tableColumn id="2" name="Authored name"/>
    <x:tableColumn id="3" name="Definition scope"/>
    <x:tableColumn id="4" name="Unity category"/>
    <x:tableColumn id="5" name="Equipment slot"/>
    <x:tableColumn id="6" name="Field supply"/>
    <x:tableColumn id="7" name="Carrier metadata"/>
    <x:tableColumn id="8" name="Stack limit"/>
    <x:tableColumn id="9" name="Mass (game units)"/>
    <x:tableColumn id="10" name="Packing preference"/>
    <x:tableColumn id="11" name="Authored description"/>
    <x:tableColumn id="12" name="Column12"/>
    <x:tableColumn id="13" name="Source asset"/>
  </x:tableColumns>
  <x:tableStyleInfo name="TableStyleMedium2" showFirstColumn="0" showLastColumn="0" showRowStripes="1" showColumnStripes="0"/>
</x:table>
</file>

<file path=xl/tables/table3.xml><?xml version="1.0" encoding="utf-8"?>
<x:table xmlns:x="http://schemas.openxmlformats.org/spreadsheetml/2006/main" id="3" name="RecipesTable" displayName="RecipesTable" ref="A5:I15" headerRowCount="1" totalsRowCount="0" totalsRowShown="0">
  <x:autoFilter ref="A5:I15"/>
  <x:tableColumns count="9">
    <x:tableColumn id="1" name="Recipe / reference key"/>
    <x:tableColumn id="2" name="Station"/>
    <x:tableColumn id="3" name="Direction"/>
    <x:tableColumn id="4" name="Item ID"/>
    <x:tableColumn id="5" name="Quantity"/>
    <x:tableColumn id="6" name="Scope"/>
    <x:tableColumn id="7" name="Rules"/>
    <x:tableColumn id="8" name="Column8"/>
    <x:tableColumn id="9" name="Source"/>
  </x:tableColumns>
  <x:tableStyleInfo name="TableStyleMedium2" showFirstColumn="0" showLastColumn="0" showRowStripes="1" showColumnStripes="0"/>
</x:table>
</file>

<file path=xl/tables/table4.xml><?xml version="1.0" encoding="utf-8"?>
<x:table xmlns:x="http://schemas.openxmlformats.org/spreadsheetml/2006/main" id="16" name="CategoriesTable" displayName="CategoriesTable" ref="A5:E66" headerRowCount="1" totalsRowCount="0" totalsRowShown="0">
  <x:autoFilter ref="A5:E66"/>
  <x:tableColumns count="5">
    <x:tableColumn id="1" name="Category"/>
    <x:tableColumn id="2" name="Current coverage"/>
    <x:tableColumn id="3" name="Existing basis"/>
    <x:tableColumn id="4" name="Later brainstorming"/>
    <x:tableColumn id="5" name="Grouping"/>
  </x:tableColumns>
  <x:tableStyleInfo name="TableStyleMedium2" showFirstColumn="0" showLastColumn="0" showRowStripes="1" showColumnStripes="0"/>
</x:table>
</file>

<file path=xl/tables/table5.xml><?xml version="1.0" encoding="utf-8"?>
<x:table xmlns:x="http://schemas.openxmlformats.org/spreadsheetml/2006/main" id="5" name="GuideTable" displayName="GuideTable" ref="A5:B236" headerRowCount="1" totalsRowCount="0" totalsRowShown="0">
  <x:autoFilter ref="A5:B236"/>
  <x:tableColumns count="2">
    <x:tableColumn id="1" name="Topic"/>
    <x:tableColumn id="2" name="Guidance"/>
  </x:tableColumns>
  <x:tableStyleInfo name="TableStyleMedium2" showFirstColumn="0" showLastColumn="0" showRowStripes="1" showColumnStripes="0"/>
</x:table>
</file>

<file path=xl/tables/table6.xml><?xml version="1.0" encoding="utf-8"?>
<x:table xmlns:x="http://schemas.openxmlformats.org/spreadsheetml/2006/main" id="6" name="ResourcechainsTable" displayName="ResourcechainsTable" ref="A5:H34" headerRowCount="1" totalsRowCount="0" totalsRowShown="0">
  <x:autoFilter ref="A5:H34"/>
  <x:tableColumns count="8">
    <x:tableColumn id="1" name="Input concept ID"/>
    <x:tableColumn id="2" name="Output concept ID"/>
    <x:tableColumn id="3" name="Processing concept"/>
    <x:tableColumn id="4" name="Potential use"/>
    <x:tableColumn id="5" name="Work location"/>
    <x:tableColumn id="6" name="Open constraint"/>
    <x:tableColumn id="7" name="Status"/>
    <x:tableColumn id="8" name="Basis"/>
  </x:tableColumns>
  <x:tableStyleInfo name="TableStyleMedium2" showFirstColumn="0" showLastColumn="0" showRowStripes="1" showColumnStripes="0"/>
</x:table>
</file>

<file path=xl/tables/table7.xml><?xml version="1.0" encoding="utf-8"?>
<x:table xmlns:x="http://schemas.openxmlformats.org/spreadsheetml/2006/main" id="7" name="CreatureconceptsTable" displayName="CreatureconceptsTable" ref="A5:I10" headerRowCount="1" totalsRowCount="0" totalsRowShown="0">
  <x:autoFilter ref="A5:I10"/>
  <x:tableColumns count="9">
    <x:tableColumn id="1" name="Concept ID"/>
    <x:tableColumn id="2" name="Working description"/>
    <x:tableColumn id="3" name="Hybrid anatomy"/>
    <x:tableColumn id="4" name="Ecological role"/>
    <x:tableColumn id="5" name="Expedition decision"/>
    <x:tableColumn id="6" name="Resource concept IDs"/>
    <x:tableColumn id="7" name="Collection alternative"/>
    <x:tableColumn id="8" name="Open design issue"/>
    <x:tableColumn id="9" name="Status"/>
  </x:tableColumns>
  <x:tableStyleInfo name="TableStyleMedium2" showFirstColumn="0" showLastColumn="0" showRowStripes="1" showColumnStripes="0"/>
</x:table>
</file>

<file path=xl/tables/table8.xml><?xml version="1.0" encoding="utf-8"?>
<x:table xmlns:x="http://schemas.openxmlformats.org/spreadsheetml/2006/main" id="8" name="ChemicalConceptsTable" displayName="ChemicalConceptsTable" ref="A5:H17" headerRowCount="1" totalsRowCount="0" totalsRowShown="0">
  <x:autoFilter ref="A5:H17"/>
  <x:tableColumns count="8">
    <x:tableColumn id="1" name="Concept ID"/>
    <x:tableColumn id="2" name="Working label"/>
    <x:tableColumn id="3" name="Biological source / role"/>
    <x:tableColumn id="4" name="Human hazard"/>
    <x:tableColumn id="5" name="Potential material use"/>
    <x:tableColumn id="6" name="Design constraint"/>
    <x:tableColumn id="7" name="Source relationship"/>
    <x:tableColumn id="8" name="Reference"/>
  </x:tableColumns>
  <x:tableStyleInfo name="TableStyleMedium2" showFirstColumn="0" showLastColumn="0" showRowStripes="1" showColumnStripes="0"/>
</x:table>
</file>

<file path=xl/tables/table9.xml><?xml version="1.0" encoding="utf-8"?>
<x:table xmlns:x="http://schemas.openxmlformats.org/spreadsheetml/2006/main" id="9" name="ContainerConceptsTable" displayName="ContainerConceptsTable" ref="A5:K21" headerRowCount="1" totalsRowCount="0" totalsRowShown="0">
  <x:autoFilter ref="A5:K21"/>
  <x:tableColumns count="11">
    <x:tableColumn id="1" name="Concept ID"/>
    <x:tableColumn id="2" name="Working label"/>
    <x:tableColumn id="3" name="Form"/>
    <x:tableColumn id="4" name="Proposed materials"/>
    <x:tableColumn id="5" name="Purpose"/>
    <x:tableColumn id="6" name="Qualitative size"/>
    <x:tableColumn id="7" name="Closure concept"/>
    <x:tableColumn id="8" name="Contents / contact"/>
    <x:tableColumn id="9" name="Design constraint"/>
    <x:tableColumn id="10" name="Source relationship"/>
    <x:tableColumn id="11" name="References"/>
  </x:tableColumns>
  <x:tableStyleInfo name="TableStyleMedium2" showFirstColumn="0" showLastColumn="0" showRowStripes="1" showColumnStripes="0"/>
</x:table>
</file>

<file path=xl/tables/table10.xml><?xml version="1.0" encoding="utf-8"?>
<x:table xmlns:x="http://schemas.openxmlformats.org/spreadsheetml/2006/main" id="10" name="EquipmentConceptsTable" displayName="EquipmentConceptsTable" ref="A5:J22" headerRowCount="1" totalsRowCount="0" totalsRowShown="0">
  <x:autoFilter ref="A5:J22"/>
  <x:tableColumns count="10">
    <x:tableColumn id="1" name="Concept ID"/>
    <x:tableColumn id="2" name="Item family"/>
    <x:tableColumn id="3" name="Region / form"/>
    <x:tableColumn id="4" name="Crude concept"/>
    <x:tableColumn id="5" name="Serviceable concept"/>
    <x:tableColumn id="6" name="Elaborate concept"/>
    <x:tableColumn id="7" name="Material candidates"/>
    <x:tableColumn id="8" name="Design purpose"/>
    <x:tableColumn id="9" name="Open compatibility / ownership"/>
    <x:tableColumn id="10" name="Status / basis"/>
  </x:tableColumns>
  <x:tableStyleInfo name="TableStyleMedium2" showFirstColumn="0" showLastColumn="0" showRowStripes="1" showColumnStripes="0"/>
</x:table>
</file>

<file path=xl/tables/table11.xml><?xml version="1.0" encoding="utf-8"?>
<x:table xmlns:x="http://schemas.openxmlformats.org/spreadsheetml/2006/main" id="11" name="CanisterConceptsTable" displayName="CanisterConceptsTable" ref="A5:H20" headerRowCount="1" totalsRowCount="0" totalsRowShown="0">
  <x:autoFilter ref="A5:H20"/>
  <x:tableColumns count="8">
    <x:tableColumn id="1" name="Concept ID"/>
    <x:tableColumn id="2" name="Part / item"/>
    <x:tableColumn id="3" name="Category"/>
    <x:tableColumn id="4" name="Proposed role"/>
    <x:tableColumn id="5" name="Source relationship"/>
    <x:tableColumn id="6" name="Material candidates"/>
    <x:tableColumn id="7" name="Compatibility / boundary"/>
    <x:tableColumn id="8" name="Source proposal"/>
  </x:tableColumns>
  <x:tableStyleInfo name="TableStyleMedium2" showFirstColumn="0" showLastColumn="0" showRowStripes="1" showColumnStripes="0"/>
</x:table>
</file>

<file path=xl/tables/table12.xml><?xml version="1.0" encoding="utf-8"?>
<x:table xmlns:x="http://schemas.openxmlformats.org/spreadsheetml/2006/main" id="27" name="ItemTaxonomy" displayName="ItemTaxonomy" ref="A5:C242" headerRowCount="1" totalsRowCount="0" totalsRowShown="0">
  <x:autoFilter ref="A5:C242"/>
  <x:tableColumns count="3">
    <x:tableColumn id="1" name="Field"/>
    <x:tableColumn id="2" name="Allowed value"/>
    <x:tableColumn id="3" name="Definition / rule"/>
  </x:tableColumns>
  <x:tableStyleInfo name="TableStyleMedium2" showFirstColumn="0" showLastColumn="0" showRowStripes="1" showColumnStripes="0"/>
</x:table>
</file>

<file path=xl/tables/table13.xml><?xml version="1.0" encoding="utf-8"?>
<x:table xmlns:x="http://schemas.openxmlformats.org/spreadsheetml/2006/main" id="14" name="ItemUseRelationships" displayName="ItemUseRelationships" ref="A5:F1133" headerRowCount="1" totalsRowCount="0" totalsRowShown="0">
  <x:autoFilter ref="A5:F1133"/>
  <x:tableColumns count="6">
    <x:tableColumn id="1" name="Item ID"/>
    <x:tableColumn id="2" name="Item name"/>
    <x:tableColumn id="3" name="Category"/>
    <x:tableColumn id="4" name="Use role"/>
    <x:tableColumn id="5" name="Use"/>
    <x:tableColumn id="6" name="Basis"/>
  </x:tableColumns>
  <x:tableStyleInfo name="TableStyleMedium2" showFirstColumn="0" showLastColumn="0" showRowStripes="1" showColumnStripes="0"/>
</x:table>
</file>

<file path=xl/tables/table14.xml><?xml version="1.0" encoding="utf-8"?>
<x:table xmlns:x="http://schemas.openxmlformats.org/spreadsheetml/2006/main" id="25" name="MaterialRoutesTable" displayName="MaterialRoutesTable" ref="A5:Q2096" headerRowCount="1" totalsRowCount="0" totalsRowShown="0">
  <x:autoFilter ref="A5:Q2096"/>
  <x:tableColumns count="17">
    <x:tableColumn id="1" name="Link ID"/>
    <x:tableColumn id="2" name="Recipe ID"/>
    <x:tableColumn id="3" name="Relationship"/>
    <x:tableColumn id="4" name="Item ID"/>
    <x:tableColumn id="5" name="Item name"/>
    <x:tableColumn id="6" name="Material tier"/>
    <x:tableColumn id="7" name="Category"/>
    <x:tableColumn id="8" name="Item type"/>
    <x:tableColumn id="9" name="Quantity"/>
    <x:tableColumn id="10" name="Unit"/>
    <x:tableColumn id="11" name="Route status"/>
    <x:tableColumn id="12" name="Item design status"/>
    <x:tableColumn id="13" name="Completeness"/>
    <x:tableColumn id="14" name="Notes"/>
    <x:tableColumn id="15" name="Source / basis"/>
    <x:tableColumn id="16" name="Ingredient tier number"/>
    <x:tableColumn id="17" name="Unresolved ingredient tier"/>
  </x:tableColumns>
  <x:tableStyleInfo name="TableStyleMedium2" showFirstColumn="0" showLastColumn="0" showRowStripes="1" showColumnStripes="0"/>
</x:table>
</file>

<file path=xl/tables/table15.xml><?xml version="1.0" encoding="utf-8"?>
<x:table xmlns:x="http://schemas.openxmlformats.org/spreadsheetml/2006/main" id="21" name="RegionalDemandTable" displayName="RegionalDemandTable" ref="A5:H18" headerRowCount="1" totalsRowCount="0" totalsRowShown="0">
  <x:autoFilter ref="A5:H18"/>
  <x:tableColumns count="8">
    <x:tableColumn id="1" name="Region / people"/>
    <x:tableColumn id="2" name="Scope"/>
    <x:tableColumn id="3" name="Source-supported context"/>
    <x:tableColumn id="4" name="Proposed material / fashion direction"/>
    <x:tableColumn id="5" name="Candidate item IDs"/>
    <x:tableColumn id="6" name="Possible demand driver"/>
    <x:tableColumn id="7" name="Evidence boundary"/>
    <x:tableColumn id="8" name="Source record"/>
  </x:tableColumns>
  <x:tableStyleInfo name="TableStyleMedium2" showFirstColumn="0" showLastColumn="0" showRowStripes="1" showColumnStripes="0"/>
</x:table>
</file>

<file path=xl/tables/table16.xml><?xml version="1.0" encoding="utf-8"?>
<x:table xmlns:x="http://schemas.openxmlformats.org/spreadsheetml/2006/main" id="24" name="CraftingRecipesTable" displayName="CraftingRecipesTable" ref="A5:M660" headerRowCount="1" totalsRowCount="0" totalsRowShown="0">
  <x:autoFilter ref="A5:M660"/>
  <x:tableColumns count="13">
    <x:tableColumn id="1" name="Recipe ID"/>
    <x:tableColumn id="2" name="Recipe name"/>
    <x:tableColumn id="3" name="Route kind"/>
    <x:tableColumn id="4" name="Route status"/>
    <x:tableColumn id="5" name="Completeness"/>
    <x:tableColumn id="6" name="Process / intent"/>
    <x:tableColumn id="7" name="Station / prerequisites"/>
    <x:tableColumn id="8" name="Listed ingredient tier"/>
    <x:tableColumn id="9" name="Ingredient links"/>
    <x:tableColumn id="10" name="Output links"/>
    <x:tableColumn id="11" name="Tool links"/>
    <x:tableColumn id="12" name="Source / basis"/>
    <x:tableColumn id="13" name="Next design decision"/>
  </x:tableColumns>
  <x:tableStyleInfo name="TableStyleMedium2" showFirstColumn="0" showLastColumn="0" showRowStripes="1" showColumnStripes="0"/>
</x:table>
</file>

<file path=xl/tables/table17.xml><?xml version="1.0" encoding="utf-8"?>
<x:table xmlns:x="http://schemas.openxmlformats.org/spreadsheetml/2006/main" id="26" name="CraftingBrowserTable" displayName="CraftingBrowserTable" ref="A5:V1441" headerRowCount="1" totalsRowCount="0" totalsRowShown="0">
  <x:autoFilter ref="A5:V1441"/>
  <x:tableColumns count="22">
    <x:tableColumn id="1" name="Input name"/>
    <x:tableColumn id="2" name="Input tier"/>
    <x:tableColumn id="3" name="Input type"/>
    <x:tableColumn id="4" name="Input category"/>
    <x:tableColumn id="5" name="Relationship"/>
    <x:tableColumn id="6" name="Output name"/>
    <x:tableColumn id="7" name="Output tier"/>
    <x:tableColumn id="8" name="Output type"/>
    <x:tableColumn id="9" name="Output category"/>
    <x:tableColumn id="10" name="Recipe ID"/>
    <x:tableColumn id="11" name="Route kind"/>
    <x:tableColumn id="12" name="Route status"/>
    <x:tableColumn id="13" name="Completeness"/>
    <x:tableColumn id="14" name="Input quantity"/>
    <x:tableColumn id="15" name="Input unit"/>
    <x:tableColumn id="16" name="Output quantity"/>
    <x:tableColumn id="17" name="Output unit"/>
    <x:tableColumn id="18" name="Tier interpretation"/>
    <x:tableColumn id="19" name="Input item ID"/>
    <x:tableColumn id="20" name="Output item ID"/>
    <x:tableColumn id="21" name="Input link ID"/>
    <x:tableColumn id="22" name="Output link ID"/>
  </x:tableColumns>
  <x:tableStyleInfo name="TableStyleMedium2" showFirstColumn="0" showLastColumn="0" showRowStripes="1" showColumnStripes="0"/>
</x:table>
</file>

<file path=xl/tables/table18.xml><?xml version="1.0" encoding="utf-8"?>
<x:table xmlns:x="http://schemas.openxmlformats.org/spreadsheetml/2006/main" id="29" name="MaterialBranchesTable" displayName="MaterialBranchesTable" ref="A5:H20" headerRowCount="1" totalsRowCount="0" totalsRowShown="0">
  <x:autoFilter ref="A5:H20"/>
  <x:tableColumns count="8">
    <x:tableColumn id="1" name="Branch"/>
    <x:tableColumn id="2" name="T1 entry stocks / examples"/>
    <x:tableColumn id="3" name="T2 stock options"/>
    <x:tableColumn id="4" name="T3 stock options"/>
    <x:tableColumn id="5" name="T4 stock / component options"/>
    <x:tableColumn id="6" name="Possible finished uses"/>
    <x:tableColumn id="7" name="Design limits"/>
    <x:tableColumn id="8" name="Status"/>
  </x:tableColumns>
  <x:tableStyleInfo name="TableStyleMedium2" showFirstColumn="0" showLastColumn="0" showRowStripes="1" showColumnStripes="0"/>
</x:table>
</file>

<file path=xl/tables/table19.xml><?xml version="1.0" encoding="utf-8"?>
<x:table xmlns:x="http://schemas.openxmlformats.org/spreadsheetml/2006/main" id="31" name="TierReviewTable" displayName="TierReviewTable" ref="A5:L100" headerRowCount="1" totalsRowCount="0" totalsRowShown="0">
  <x:autoFilter ref="A5:L100"/>
  <x:tableColumns count="12">
    <x:tableColumn id="1" name="Item ID"/>
    <x:tableColumn id="2" name="Item name"/>
    <x:tableColumn id="3" name="Previous tier"/>
    <x:tableColumn id="4" name="Current tier"/>
    <x:tableColumn id="5" name="Crafting role"/>
    <x:tableColumn id="6" name="Review decision"/>
    <x:tableColumn id="7" name="Candidate input materials"/>
    <x:tableColumn id="8" name="Candidate / existing recipe ID"/>
    <x:tableColumn id="9" name="Decision basis"/>
    <x:tableColumn id="10" name="Still unresolved / acquisition"/>
    <x:tableColumn id="11" name="Original design status"/>
    <x:tableColumn id="12" name="Tier sort order"/>
  </x:tableColumns>
  <x:tableStyleInfo name="TableStyleMedium2" showFirstColumn="0" showLastColumn="0" showRowStripes="1" showColumnStripes="0"/>
</x:table>
</file>

<file path=xl/tables/table20.xml><?xml version="1.0" encoding="utf-8"?>
<x:table xmlns:x="http://schemas.openxmlformats.org/spreadsheetml/2006/main" id="32" name="CollectionTargets" displayName="CollectionTargets" ref="A5:F32" headerRowCount="1" totalsRowCount="0" totalsRowShown="0">
  <x:autoFilter ref="A5:F32"/>
  <x:tableColumns count="6">
    <x:tableColumn id="1" name="Requested group"/>
    <x:tableColumn id="2" name="Primary type filter"/>
    <x:tableColumn id="3" name="Minimum"/>
    <x:tableColumn id="4" name="Current count"/>
    <x:tableColumn id="5" name="Remaining"/>
    <x:tableColumn id="6" name="Counting rule"/>
  </x:tableColumns>
  <x:tableStyleInfo name="TableStyleMedium2" showFirstColumn="0" showLastColumn="0" showRowStripes="1" showColumnStripes="0"/>
</x:table>
</file>

<file path=xl/tables/table21.xml><?xml version="1.0" encoding="utf-8"?>
<x:table xmlns:x="http://schemas.openxmlformats.org/spreadsheetml/2006/main" id="33" name="ItemRelationships" displayName="ItemRelationships" ref="A5:H38" headerRowCount="1" totalsRowCount="0" totalsRowShown="0">
  <x:autoFilter ref="A5:H38"/>
  <x:tableColumns count="8">
    <x:tableColumn id="1" name="Relationship ID"/>
    <x:tableColumn id="2" name="Parent item ID"/>
    <x:tableColumn id="3" name="Parent item"/>
    <x:tableColumn id="4" name="Relationship"/>
    <x:tableColumn id="5" name="Related item ID"/>
    <x:tableColumn id="6" name="Related item"/>
    <x:tableColumn id="7" name="Design notes"/>
    <x:tableColumn id="8" name="Status"/>
  </x:tableColumns>
  <x:tableStyleInfo name="TableStyleMedium2" showFirstColumn="0" showLastColumn="0" showRowStripes="1" showColumnStripes="0"/>
</x:table>
</file>

<file path=xl/tables/table22.xml><?xml version="1.0" encoding="utf-8"?>
<x:table xmlns:x="http://schemas.openxmlformats.org/spreadsheetml/2006/main" id="34" name="CraftAudit" displayName="CraftAudit" ref="A5:J978" headerRowCount="1" totalsRowCount="0" totalsRowShown="0">
  <x:autoFilter ref="A5:J978"/>
  <x:tableColumns count="10">
    <x:tableColumn id="1" name="Item ID"/>
    <x:tableColumn id="2" name="Item name"/>
    <x:tableColumn id="3" name="Item type"/>
    <x:tableColumn id="4" name="Tier"/>
    <x:tableColumn id="5" name="Production / access"/>
    <x:tableColumn id="6" name="Listed output routes"/>
    <x:tableColumn id="7" name="Material coverage"/>
    <x:tableColumn id="8" name="Facilities / reusable tools"/>
    <x:tableColumn id="9" name="Reviewed readiness"/>
    <x:tableColumn id="10" name="Open design decision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307dcf459d8472d" /></Relationships>
</file>

<file path=xl/worksheets/_rels/sheet2.xml.rels>&#65279;<?xml version="1.0" encoding="utf-8"?><Relationships xmlns="http://schemas.openxmlformats.org/package/2006/relationships"><Relationship Type="http://schemas.openxmlformats.org/officeDocument/2006/relationships/table" Target="/xl/tables/table2.xml" Id="R9831c062631f4d42" /></Relationships>
</file>

<file path=xl/worksheets/_rels/sheet3.xml.rels>&#65279;<?xml version="1.0" encoding="utf-8"?><Relationships xmlns="http://schemas.openxmlformats.org/package/2006/relationships"><Relationship Type="http://schemas.openxmlformats.org/officeDocument/2006/relationships/table" Target="/xl/tables/table3.xml" Id="R47ebaa4e27564edc" /></Relationships>
</file>

<file path=xl/worksheets/_rels/sheet4.xml.rels>&#65279;<?xml version="1.0" encoding="utf-8"?><Relationships xmlns="http://schemas.openxmlformats.org/package/2006/relationships"><Relationship Type="http://schemas.openxmlformats.org/officeDocument/2006/relationships/table" Target="/xl/tables/table4.xml" Id="Rd1a88440084547b3" /></Relationships>
</file>

<file path=xl/worksheets/_rels/sheet5.xml.rels>&#65279;<?xml version="1.0" encoding="utf-8"?><Relationships xmlns="http://schemas.openxmlformats.org/package/2006/relationships"><Relationship Type="http://schemas.openxmlformats.org/officeDocument/2006/relationships/table" Target="/xl/tables/table5.xml" Id="R2895e289f43f4a01" /></Relationships>
</file>

<file path=xl/worksheets/_rels/sheet6.xml.rels>&#65279;<?xml version="1.0" encoding="utf-8"?><Relationships xmlns="http://schemas.openxmlformats.org/package/2006/relationships"><Relationship Type="http://schemas.openxmlformats.org/officeDocument/2006/relationships/table" Target="/xl/tables/table6.xml" Id="Rf3c690860f904ca6" /></Relationships>
</file>

<file path=xl/worksheets/_rels/sheet7.xml.rels>&#65279;<?xml version="1.0" encoding="utf-8"?><Relationships xmlns="http://schemas.openxmlformats.org/package/2006/relationships"><Relationship Type="http://schemas.openxmlformats.org/officeDocument/2006/relationships/table" Target="/xl/tables/table7.xml" Id="Rc511c4f559814283" /></Relationships>
</file>

<file path=xl/worksheets/_rels/sheet8.xml.rels>&#65279;<?xml version="1.0" encoding="utf-8"?><Relationships xmlns="http://schemas.openxmlformats.org/package/2006/relationships"><Relationship Type="http://schemas.openxmlformats.org/officeDocument/2006/relationships/table" Target="/xl/tables/table8.xml" Id="R8ff44ef49f8a47f9" /></Relationships>
</file>

<file path=xl/worksheets/_rels/sheet9.xml.rels>&#65279;<?xml version="1.0" encoding="utf-8"?><Relationships xmlns="http://schemas.openxmlformats.org/package/2006/relationships"><Relationship Type="http://schemas.openxmlformats.org/officeDocument/2006/relationships/table" Target="/xl/tables/table9.xml" Id="R21dbabbc03c649c3" /></Relationships>
</file>

<file path=xl/worksheets/_rels/sheet10.xml.rels>&#65279;<?xml version="1.0" encoding="utf-8"?><Relationships xmlns="http://schemas.openxmlformats.org/package/2006/relationships"><Relationship Type="http://schemas.openxmlformats.org/officeDocument/2006/relationships/table" Target="/xl/tables/table10.xml" Id="R7eea49e8e1d8488d" /></Relationships>
</file>

<file path=xl/worksheets/_rels/sheet11.xml.rels>&#65279;<?xml version="1.0" encoding="utf-8"?><Relationships xmlns="http://schemas.openxmlformats.org/package/2006/relationships"><Relationship Type="http://schemas.openxmlformats.org/officeDocument/2006/relationships/table" Target="/xl/tables/table11.xml" Id="Rcb54ee4057b84e80" /></Relationships>
</file>

<file path=xl/worksheets/_rels/sheet12.xml.rels>&#65279;<?xml version="1.0" encoding="utf-8"?><Relationships xmlns="http://schemas.openxmlformats.org/package/2006/relationships"><Relationship Type="http://schemas.openxmlformats.org/officeDocument/2006/relationships/table" Target="/xl/tables/table12.xml" Id="R4f3ef804900d4766" /></Relationships>
</file>

<file path=xl/worksheets/_rels/sheet13.xml.rels>&#65279;<?xml version="1.0" encoding="utf-8"?><Relationships xmlns="http://schemas.openxmlformats.org/package/2006/relationships"><Relationship Type="http://schemas.openxmlformats.org/officeDocument/2006/relationships/table" Target="/xl/tables/table13.xml" Id="R339a636cbcd34adb" /></Relationships>
</file>

<file path=xl/worksheets/_rels/sheet14.xml.rels>&#65279;<?xml version="1.0" encoding="utf-8"?><Relationships xmlns="http://schemas.openxmlformats.org/package/2006/relationships"><Relationship Type="http://schemas.openxmlformats.org/officeDocument/2006/relationships/table" Target="/xl/tables/table14.xml" Id="Rb3168c22cdc941f3" /></Relationships>
</file>

<file path=xl/worksheets/_rels/sheet15.xml.rels>&#65279;<?xml version="1.0" encoding="utf-8"?><Relationships xmlns="http://schemas.openxmlformats.org/package/2006/relationships"><Relationship Type="http://schemas.openxmlformats.org/officeDocument/2006/relationships/table" Target="/xl/tables/table15.xml" Id="R258a5373f2fd46d0" /></Relationships>
</file>

<file path=xl/worksheets/_rels/sheet16.xml.rels>&#65279;<?xml version="1.0" encoding="utf-8"?><Relationships xmlns="http://schemas.openxmlformats.org/package/2006/relationships"><Relationship Type="http://schemas.openxmlformats.org/officeDocument/2006/relationships/table" Target="/xl/tables/table16.xml" Id="R9673ab35e6fc4e0f" /></Relationships>
</file>

<file path=xl/worksheets/_rels/sheet17.xml.rels>&#65279;<?xml version="1.0" encoding="utf-8"?><Relationships xmlns="http://schemas.openxmlformats.org/package/2006/relationships"><Relationship Type="http://schemas.openxmlformats.org/officeDocument/2006/relationships/table" Target="/xl/tables/table17.xml" Id="R87c4ca9bc7ac4611" /></Relationships>
</file>

<file path=xl/worksheets/_rels/sheet18.xml.rels>&#65279;<?xml version="1.0" encoding="utf-8"?><Relationships xmlns="http://schemas.openxmlformats.org/package/2006/relationships"><Relationship Type="http://schemas.openxmlformats.org/officeDocument/2006/relationships/table" Target="/xl/tables/table18.xml" Id="R76ed0da36b5d40ac" /></Relationships>
</file>

<file path=xl/worksheets/_rels/sheet19.xml.rels>&#65279;<?xml version="1.0" encoding="utf-8"?><Relationships xmlns="http://schemas.openxmlformats.org/package/2006/relationships"><Relationship Type="http://schemas.openxmlformats.org/officeDocument/2006/relationships/table" Target="/xl/tables/table19.xml" Id="Rea1a786aad24450c" /></Relationships>
</file>

<file path=xl/worksheets/_rels/sheet20.xml.rels>&#65279;<?xml version="1.0" encoding="utf-8"?><Relationships xmlns="http://schemas.openxmlformats.org/package/2006/relationships"><Relationship Type="http://schemas.openxmlformats.org/officeDocument/2006/relationships/table" Target="/xl/tables/table20.xml" Id="Re75cd9793ed14a7b" /></Relationships>
</file>

<file path=xl/worksheets/_rels/sheet21.xml.rels>&#65279;<?xml version="1.0" encoding="utf-8"?><Relationships xmlns="http://schemas.openxmlformats.org/package/2006/relationships"><Relationship Type="http://schemas.openxmlformats.org/officeDocument/2006/relationships/table" Target="/xl/tables/table21.xml" Id="R65a3cd4277e242b4" /></Relationships>
</file>

<file path=xl/worksheets/_rels/sheet22.xml.rels>&#65279;<?xml version="1.0" encoding="utf-8"?><Relationships xmlns="http://schemas.openxmlformats.org/package/2006/relationships"><Relationship Type="http://schemas.openxmlformats.org/officeDocument/2006/relationships/table" Target="/xl/tables/table22.xml" Id="Ra4aae25d32d1426c" /></Relationships>
</file>

<file path=xl/worksheets/sheet1.xml><?xml version="1.0" encoding="utf-8"?>
<x:worksheet xmlns:x="http://schemas.openxmlformats.org/spreadsheetml/2006/main">
  <x:sheetPr>
    <x:tabColor rgb="FF7A3F27"/>
  </x:sheetPr>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18" hidden="0" customWidth="1"/>
    <x:col min="4" max="4" width="24" hidden="0" customWidth="1"/>
    <x:col min="5" max="5" width="23" hidden="0" customWidth="1"/>
    <x:col min="6" max="6" width="33" hidden="0" customWidth="1"/>
    <x:col min="7" max="7" width="44" hidden="0" customWidth="1"/>
    <x:col min="8" max="8" width="23" hidden="0" customWidth="1"/>
    <x:col min="9" max="9" width="23" hidden="0" customWidth="1"/>
    <x:col min="10" max="10" width="13" hidden="0" customWidth="1"/>
    <x:col min="11" max="11" width="18" hidden="0" customWidth="1"/>
    <x:col min="12" max="12" width="35" hidden="0" customWidth="1"/>
    <x:col min="13" max="13" width="36" hidden="0" customWidth="1"/>
    <x:col min="14" max="14" width="42" hidden="0" customWidth="1"/>
    <x:col min="15" max="15" width="47" hidden="0" customWidth="1"/>
    <x:col min="16" max="16" width="16" hidden="0" customWidth="1"/>
    <x:col min="17" max="17" width="16" hidden="0" customWidth="1"/>
    <x:col min="18" max="18" width="16" hidden="0" customWidth="1"/>
    <x:col min="19" max="19" width="16" hidden="0" customWidth="1"/>
    <x:col min="20" max="20" width="16" hidden="0" customWidth="1"/>
    <x:col min="21" max="21" width="42" hidden="0" customWidth="1"/>
    <x:col min="22" max="22" width="42" hidden="0" customWidth="1"/>
    <x:col min="23" max="23" width="100" hidden="0" customWidth="1"/>
    <x:col min="24" max="24" width="24" hidden="0" customWidth="1"/>
    <x:col min="25" max="25" width="25" hidden="0" customWidth="1"/>
    <x:col min="26" max="26" width="29" hidden="0" customWidth="1"/>
    <x:col min="27" max="27" width="29" hidden="0" customWidth="1"/>
    <x:col min="28" max="28" width="28" hidden="0" customWidth="1"/>
    <x:col min="29" max="29" width="22" hidden="0" customWidth="1"/>
    <x:col min="30" max="30" width="25" hidden="0" customWidth="1"/>
    <x:col min="31" max="31" width="70" hidden="0" customWidth="1"/>
    <x:col min="32" max="32" width="55" hidden="0" customWidth="1"/>
    <x:col min="33" max="33" width="64" hidden="0" customWidth="1"/>
    <x:col min="34" max="34" width="26" hidden="0" customWidth="1"/>
    <x:col min="35" max="35" width="23" hidden="0" customWidth="1"/>
    <x:col min="36" max="36" width="22" hidden="0" customWidth="1"/>
    <x:col min="37" max="37" width="22" hidden="0" customWidth="1"/>
    <x:col min="38" max="38" width="20" hidden="0" customWidth="1"/>
    <x:col min="39" max="39" width="44" hidden="0" customWidth="1"/>
    <x:col min="40" max="40" width="22" hidden="0" customWidth="1"/>
  </x:cols>
  <x:sheetData>
    <x:row r="1">
      <x:c r="A1" s="1"/>
      <x:c r="B1" s="1"/>
      <x:c r="C1" s="1"/>
      <x:c r="D1" s="1"/>
      <x:c r="E1" s="1"/>
      <x:c r="F1" s="1"/>
      <x:c r="G1" s="1"/>
      <x:c r="H1" s="1"/>
      <x:c r="I1" s="1"/>
      <x:c r="J1" s="1"/>
      <x:c r="K1" s="1"/>
      <x:c r="L1" s="1"/>
      <x:c r="M1" s="1"/>
      <x:c r="N1" s="1"/>
      <x:c r="O1" s="1"/>
      <x:c r="P1" s="1"/>
      <x:c r="Q1" s="1"/>
      <x:c r="R1" s="1"/>
      <x:c r="S1" s="1"/>
      <x:c r="T1" s="1"/>
      <x:c r="U1" s="1"/>
      <x:c r="V1" s="1"/>
    </x:row>
    <x:row r="2">
      <x:c r="A2" s="2" t="str">
        <x:v>Master item database</x:v>
      </x:c>
      <x:c r="B2" s="1"/>
      <x:c r="C2" s="1"/>
      <x:c r="D2" s="1"/>
      <x:c r="E2" s="1"/>
      <x:c r="F2" s="1"/>
      <x:c r="G2" s="1"/>
      <x:c r="H2" s="1"/>
      <x:c r="I2" s="1"/>
      <x:c r="J2" s="1"/>
      <x:c r="K2" s="1"/>
      <x:c r="L2" s="1"/>
      <x:c r="M2" s="1"/>
      <x:c r="N2" s="1"/>
      <x:c r="O2" s="1"/>
      <x:c r="P2" s="1"/>
      <x:c r="Q2" s="1"/>
      <x:c r="R2" s="1"/>
      <x:c r="S2" s="1"/>
      <x:c r="T2" s="1"/>
      <x:c r="U2" s="1"/>
      <x:c r="V2" s="1"/>
    </x:row>
    <x:row r="3">
      <x:c r="A3" s="1" t="str">
        <x:v>Material branches sketches T1-to-T4 options. Crafting browser traces exact candidate inputs/outputs; all October 15 additions remain incomplete proposals.</x:v>
      </x:c>
      <x:c r="B3" s="1"/>
      <x:c r="C3" s="1"/>
      <x:c r="D3" s="1"/>
      <x:c r="E3" s="1"/>
      <x:c r="F3" s="1"/>
      <x:c r="G3" s="1"/>
      <x:c r="H3" s="1"/>
      <x:c r="I3" s="1"/>
      <x:c r="J3" s="1"/>
      <x:c r="K3" s="1"/>
      <x:c r="L3" s="1"/>
      <x:c r="M3" s="1"/>
      <x:c r="N3" s="1"/>
      <x:c r="O3" s="1"/>
      <x:c r="P3" s="1"/>
      <x:c r="Q3" s="1"/>
      <x:c r="R3" s="1"/>
      <x:c r="S3" s="1"/>
      <x:c r="T3" s="1"/>
      <x:c r="U3" s="1"/>
      <x:c r="V3" s="1"/>
    </x:row>
    <x:row r="4">
      <x:c r="A4" s="1"/>
      <x:c r="B4" s="1"/>
      <x:c r="C4" s="1"/>
      <x:c r="D4" s="1"/>
      <x:c r="E4" s="1"/>
      <x:c r="F4" s="1"/>
      <x:c r="G4" s="1"/>
      <x:c r="H4" s="1"/>
      <x:c r="I4" s="1"/>
      <x:c r="J4" s="1"/>
      <x:c r="K4" s="1"/>
      <x:c r="L4" s="1"/>
      <x:c r="M4" s="1"/>
      <x:c r="N4" s="1"/>
      <x:c r="O4" s="1"/>
      <x:c r="P4" s="1"/>
      <x:c r="Q4" s="1"/>
      <x:c r="R4" s="1"/>
      <x:c r="S4" s="1"/>
      <x:c r="T4" s="1"/>
      <x:c r="U4" s="1"/>
      <x:c r="V4" s="1"/>
    </x:row>
    <x:row r="5" ht="42" customHeight="1">
      <x:c r="A5" s="8" t="str">
        <x:v>Item ID</x:v>
      </x:c>
      <x:c r="B5" s="8" t="str">
        <x:v>Item name</x:v>
      </x:c>
      <x:c r="C5" s="8" t="str">
        <x:v>Tier</x:v>
      </x:c>
      <x:c r="D5" s="8" t="str">
        <x:v>Category</x:v>
      </x:c>
      <x:c r="E5" s="8" t="str">
        <x:v>Subtype</x:v>
      </x:c>
      <x:c r="F5" s="8" t="str">
        <x:v>Implementation scope</x:v>
      </x:c>
      <x:c r="G5" s="8" t="str">
        <x:v>Purpose</x:v>
      </x:c>
      <x:c r="H5" s="8" t="str">
        <x:v>Equipment slot</x:v>
      </x:c>
      <x:c r="I5" s="8" t="str">
        <x:v>Carrier metadata</x:v>
      </x:c>
      <x:c r="J5" s="8" t="str">
        <x:v>Stack limit</x:v>
      </x:c>
      <x:c r="K5" s="8" t="str">
        <x:v>Mass (game units)</x:v>
      </x:c>
      <x:c r="L5" s="8" t="str">
        <x:v>Acquisition</x:v>
      </x:c>
      <x:c r="M5" s="8" t="str">
        <x:v>Crafting / processing</x:v>
      </x:c>
      <x:c r="N5" s="8" t="str">
        <x:v>Supported behavior</x:v>
      </x:c>
      <x:c r="O5" s="8" t="str">
        <x:v>Limitations</x:v>
      </x:c>
      <x:c r="P5" s="8" t="str">
        <x:v>Rarity</x:v>
      </x:c>
      <x:c r="Q5" s="8" t="str">
        <x:v>Trade value</x:v>
      </x:c>
      <x:c r="R5" s="8" t="str">
        <x:v>Damage</x:v>
      </x:c>
      <x:c r="S5" s="8" t="str">
        <x:v>Protection</x:v>
      </x:c>
      <x:c r="T5" s="8" t="str">
        <x:v>Durability</x:v>
      </x:c>
      <x:c r="U5" s="8" t="str">
        <x:v>Open design decisions</x:v>
      </x:c>
      <x:c r="V5" s="8" t="str">
        <x:v>Search aliases</x:v>
      </x:c>
      <x:c r="W5" s="12" t="str">
        <x:v>Sources</x:v>
      </x:c>
      <x:c r="X5" s="6" t="str">
        <x:v>Item type</x:v>
      </x:c>
      <x:c r="Y5" s="6" t="str">
        <x:v>Processing stage</x:v>
      </x:c>
      <x:c r="Z5" s="6" t="str">
        <x:v>Origin family</x:v>
      </x:c>
      <x:c r="AA5" s="6" t="str">
        <x:v>Primary use</x:v>
      </x:c>
      <x:c r="AB5" s="6" t="str">
        <x:v>Material family</x:v>
      </x:c>
      <x:c r="AC5" s="6" t="str">
        <x:v>Physical form</x:v>
      </x:c>
      <x:c r="AD5" s="6" t="str">
        <x:v>Design status</x:v>
      </x:c>
      <x:c r="AE5" s="6" t="str">
        <x:v>Search terms</x:v>
      </x:c>
      <x:c r="AF5" s="6" t="str">
        <x:v>Classification basis</x:v>
      </x:c>
      <x:c r="AG5" s="62" t="str">
        <x:v>Tier basis</x:v>
      </x:c>
      <x:c r="AH5" s="62" t="str">
        <x:v>Finished-item input tier</x:v>
      </x:c>
      <x:c r="AI5" s="64" t="str">
        <x:v>Crafting role</x:v>
      </x:c>
      <x:c r="AJ5" s="64" t="str">
        <x:v>Listed output routes</x:v>
      </x:c>
      <x:c r="AK5" s="64" t="str">
        <x:v>Listed ingredient routes</x:v>
      </x:c>
      <x:c r="AL5" s="64" t="str">
        <x:v>Listed tool routes</x:v>
      </x:c>
      <x:c r="AM5" s="64" t="str">
        <x:v>Crafting coverage</x:v>
      </x:c>
      <x:c r="AN5" s="69" t="str">
        <x:v>Tier sort order</x:v>
      </x:c>
      <x:c r="AZ5"/>
      <x:c r="BA5"/>
      <x:c r="BB5"/>
      <x:c r="BC5"/>
      <x:c r="BD5"/>
      <x:c r="BE5"/>
      <x:c r="BF5"/>
      <x:c r="BG5"/>
      <x:c r="BH5"/>
      <x:c r="BI5"/>
      <x:c r="BJ5"/>
      <x:c r="BK5"/>
      <x:c r="BL5"/>
      <x:c r="BM5"/>
      <x:c r="BN5"/>
      <x:c r="BO5"/>
      <x:c r="BP5"/>
      <x:c r="BQ5"/>
      <x:c r="BR5"/>
      <x:c r="BS5"/>
      <x:c r="BT5"/>
      <x:c r="BU5"/>
      <x:c r="BV5"/>
      <x:c r="BW5"/>
      <x:c r="BX5"/>
      <x:c r="BY5"/>
      <x:c r="BZ5"/>
      <x:c r="CA5"/>
      <x:c r="CB5"/>
      <x:c r="CC5"/>
    </x:row>
    <x:row r="6" ht="170" customHeight="1">
      <x:c r="A6" s="9" t="str">
        <x:v>lab.salvage.drive_assembly</x:v>
      </x:c>
      <x:c r="B6" s="9" t="str">
        <x:v>Drive Assembly</x:v>
      </x:c>
      <x:c r="C6" s="4" t="str">
        <x:v>Not applicable</x:v>
      </x:c>
      <x:c r="D6" s="9" t="inlineStr">
        <x:is>
          <x:t xml:space="preserve">Salvage</x:t>
        </x:is>
      </x:c>
      <x:c r="E6" s="9" t="str">
        <x:v>Salvage</x:v>
      </x:c>
      <x:c r="F6" s="9" t="str">
        <x:v>Camp Loop trial</x:v>
      </x:c>
      <x:c r="G6" s="9" t="inlineStr">
        <x:is>
          <x:t xml:space="preserve">A drive assembly removed from a dead machine, containing the fitted parts that once transmitted motion through its mechanism. It is a source of possible repair parts or recoverable material; removal does not establish that the assembly still works.</x:t>
        </x:is>
      </x:c>
      <x:c r="H6" s="9" t="str">
        <x:v>None</x:v>
      </x:c>
      <x:c r="I6" s="9" t="str">
        <x:v>Legger only</x:v>
      </x:c>
      <x:c r="J6" s="13" t="n">
        <x:v>1</x:v>
      </x:c>
      <x:c r="K6" s="15" t="n">
        <x:v>6</x:v>
      </x:c>
      <x:c r="L6" s="9" t="str">
        <x:v>Camp Loop wreck extraction</x:v>
      </x:c>
      <x:c r="M6" s="9" t="str">
        <x:v>No recipe authored</x:v>
      </x:c>
      <x:c r="N6" s="9" t="str">
        <x:v>Finite trial salvage reward</x:v>
      </x:c>
      <x:c r="O6" s="9" t="str">
        <x:v>Provisional salvage part</x:v>
      </x:c>
      <x:c r="P6" s="17"/>
      <x:c r="Q6" s="17"/>
      <x:c r="R6" s="17"/>
      <x:c r="S6" s="17"/>
      <x:c r="T6" s="17"/>
      <x:c r="U6" s="9" t="str">
        <x:v>Recipes, final name and production adoption</x:v>
      </x:c>
      <x:c r="V6" s="11"/>
      <x:c r="W6" s="9" t="str">
        <x:v>Assets/_Project/Settings/Studies/CampLoopSalvage/Part2.asset; Docs/Evidence/Gameplay/CampLoopSalvage20261014/README.md</x:v>
      </x:c>
      <x:c r="X6" s="4" t="str">
        <x:v>Crafting component</x:v>
      </x:c>
      <x:c r="Y6" s="4" t="str">
        <x:v>Recovered part</x:v>
      </x:c>
      <x:c r="Z6" s="4" t="str">
        <x:v>Recovered machinery</x:v>
      </x:c>
      <x:c r="AA6" s="4" t="str">
        <x:v>Machinery repair</x:v>
      </x:c>
      <x:c r="AB6" s="4" t="str">
        <x:v>Mixed / unresolved</x:v>
      </x:c>
      <x:c r="AC6" s="4" t="str">
        <x:v>Assembly</x:v>
      </x:c>
      <x:c r="AD6" s="4" t="str">
        <x:v>Existing definition</x:v>
      </x:c>
      <x:c r="AE6" s="4" t="str">
        <x:f>LOWER(A6&amp;"; "&amp;B6&amp;"; "&amp;D6&amp;"; "&amp;E6&amp;"; "&amp;X6&amp;"; "&amp;Y6&amp;"; "&amp;Z6&amp;"; "&amp;AA6&amp;"; "&amp;AB6&amp;"; "&amp;AC6&amp;"; "&amp;AD6&amp;"; "&amp;V6&amp;"; "&amp;C6&amp;"; "&amp;AH6&amp;"; "&amp;AI6)</x:f>
        <x:v>lab.salvage.drive_assembly; drive assembly; salvage; salvage; crafting component; recovered part; recovered machinery; machinery repair; mixed / unresolved; assembly; existing definition; ; not applicable; not applicable; component</x:v>
      </x:c>
      <x:c r="AF6"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6"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6" s="4" t="str">
        <x:v>Not applicable</x:v>
      </x:c>
      <x:c r="AI6" s="4" t="str">
        <x:v>Component</x:v>
      </x:c>
      <x:c r="AJ6" s="4" t="n">
        <x:f>COUNTIFS('Material routes'!$D$6:$D$2205,A6,'Material routes'!$C$6:$C$2205,"Output")</x:f>
        <x:v>0</x:v>
      </x:c>
      <x:c r="AK6" s="4" t="n">
        <x:f>SUM(COUNTIFS('Material routes'!$D$6:$D$2205,A6,'Material routes'!$C$6:$C$2205,"Ingredient candidate"),COUNTIFS('Material routes'!$D$6:$D$2205,A6,'Material routes'!$C$6:$C$2205,"Consumed input"),COUNTIFS('Material routes'!$D$6:$D$2205,A6,'Material routes'!$C$6:$C$2205,"Contained input"),COUNTIFS('Material routes'!$D$6:$D$2205,A6,'Material routes'!$C$6:$C$2205,"Transform input"))</x:f>
        <x:v>0</x:v>
      </x:c>
      <x:c r="AL6" s="4" t="n">
        <x:f>COUNTIFS('Material routes'!$D$6:$D$2205,A6,'Material routes'!$C$6:$C$2205,"Tool candidate")</x:f>
        <x:v>0</x:v>
      </x:c>
      <x:c r="AM6" s="4" t="str">
        <x:f>IF(AJ6&gt;0,"Route listed; review status/completeness",IF(C6="T0","Raw entry feed; no production route","No production route listed"))</x:f>
        <x:v>No production route listed</x:v>
      </x:c>
      <x:c r="AN6" s="14" t="n">
        <x:f>IF(C6="T0",0,IF(C6="T1",1,IF(C6="T2",2,IF(C6="T3",3,IF(C6="T4",4,IF(C6="Unassigned",98,99))))))</x:f>
        <x:v>99</x:v>
      </x:c>
      <x:c r="AZ6"/>
      <x:c r="BA6"/>
      <x:c r="BB6"/>
      <x:c r="BC6"/>
      <x:c r="BD6"/>
      <x:c r="BE6"/>
      <x:c r="BF6"/>
      <x:c r="BG6"/>
      <x:c r="BH6"/>
      <x:c r="BI6"/>
      <x:c r="BJ6"/>
      <x:c r="BK6"/>
      <x:c r="BL6"/>
      <x:c r="BM6"/>
      <x:c r="BN6"/>
      <x:c r="BO6"/>
      <x:c r="BP6"/>
      <x:c r="BQ6"/>
      <x:c r="BR6"/>
      <x:c r="BS6"/>
      <x:c r="BT6"/>
      <x:c r="BU6"/>
      <x:c r="BV6"/>
      <x:c r="BW6"/>
      <x:c r="BX6"/>
      <x:c r="BY6"/>
      <x:c r="BZ6"/>
      <x:c r="CA6"/>
      <x:c r="CB6"/>
      <x:c r="CC6"/>
    </x:row>
    <x:row r="7" ht="170" customHeight="1">
      <x:c r="A7" s="4" t="str">
        <x:v>lab.salvage.metal_plate</x:v>
      </x:c>
      <x:c r="B7" s="4" t="str">
        <x:v>Metal Plate</x:v>
      </x:c>
      <x:c r="C7" s="4" t="str">
        <x:v>Not applicable</x:v>
      </x:c>
      <x:c r="D7" s="4" t="inlineStr">
        <x:is>
          <x:t xml:space="preserve">Salvage</x:t>
        </x:is>
      </x:c>
      <x:c r="E7" s="4" t="str">
        <x:v>Salvage</x:v>
      </x:c>
      <x:c r="F7" s="4" t="str">
        <x:v>Camp Loop trial</x:v>
      </x:c>
      <x:c r="G7" s="4" t="inlineStr">
        <x:is>
          <x:t xml:space="preserve">A metal plate recovered from the dead machine’s casing or structure. Its flat section is useful as a candidate fabrication blank, patch or source of metal after inspection; alloy, usable condition and fitting requirements remain open.</x:t>
        </x:is>
      </x:c>
      <x:c r="H7" s="4" t="str">
        <x:v>None</x:v>
      </x:c>
      <x:c r="I7" s="4" t="str">
        <x:v>Legger only</x:v>
      </x:c>
      <x:c r="J7" s="14" t="n">
        <x:v>20</x:v>
      </x:c>
      <x:c r="K7" s="16" t="n">
        <x:v>2</x:v>
      </x:c>
      <x:c r="L7" s="4" t="str">
        <x:v>Camp Loop wreck extraction</x:v>
      </x:c>
      <x:c r="M7" s="4" t="str">
        <x:v>No recipe authored</x:v>
      </x:c>
      <x:c r="N7" s="4" t="str">
        <x:v>Finite trial salvage reward</x:v>
      </x:c>
      <x:c r="O7" s="4" t="str">
        <x:v>Provisional salvage part</x:v>
      </x:c>
      <x:c r="P7" s="17"/>
      <x:c r="Q7" s="17"/>
      <x:c r="R7" s="17"/>
      <x:c r="S7" s="17"/>
      <x:c r="T7" s="17"/>
      <x:c r="U7" s="4" t="str">
        <x:v>Recipes, final name and production adoption</x:v>
      </x:c>
      <x:c r="V7" s="11"/>
      <x:c r="W7" s="4" t="str">
        <x:v>Assets/_Project/Settings/Studies/CampLoopSalvage/Part0.asset; Docs/Evidence/Gameplay/CampLoopSalvage20261014/README.md</x:v>
      </x:c>
      <x:c r="X7" s="4" t="str">
        <x:v>Crafting component</x:v>
      </x:c>
      <x:c r="Y7" s="4" t="str">
        <x:v>Recovered part</x:v>
      </x:c>
      <x:c r="Z7" s="4" t="str">
        <x:v>Recovered machinery</x:v>
      </x:c>
      <x:c r="AA7" s="4" t="str">
        <x:v>Fabrication</x:v>
      </x:c>
      <x:c r="AB7" s="4" t="str">
        <x:v>Metal</x:v>
      </x:c>
      <x:c r="AC7" s="4" t="str">
        <x:v>Solid part</x:v>
      </x:c>
      <x:c r="AD7" s="4" t="str">
        <x:v>Existing definition</x:v>
      </x:c>
      <x:c r="AE7" s="4" t="str">
        <x:f>LOWER(A7&amp;"; "&amp;B7&amp;"; "&amp;D7&amp;"; "&amp;E7&amp;"; "&amp;X7&amp;"; "&amp;Y7&amp;"; "&amp;Z7&amp;"; "&amp;AA7&amp;"; "&amp;AB7&amp;"; "&amp;AC7&amp;"; "&amp;AD7&amp;"; "&amp;V7&amp;"; "&amp;C7&amp;"; "&amp;AH7&amp;"; "&amp;AI7)</x:f>
        <x:v>lab.salvage.metal_plate; metal plate; salvage; salvage; crafting component; recovered part; recovered machinery; fabrication; metal; solid part; existing definition; ; not applicable; not applicable; component</x:v>
      </x:c>
      <x:c r="AF7"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7"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7" s="4" t="str">
        <x:v>Not applicable</x:v>
      </x:c>
      <x:c r="AI7" s="4" t="str">
        <x:v>Component</x:v>
      </x:c>
      <x:c r="AJ7" s="4" t="n">
        <x:f>COUNTIFS('Material routes'!$D$6:$D$2205,A7,'Material routes'!$C$6:$C$2205,"Output")</x:f>
        <x:v>0</x:v>
      </x:c>
      <x:c r="AK7" s="4" t="n">
        <x:f>SUM(COUNTIFS('Material routes'!$D$6:$D$2205,A7,'Material routes'!$C$6:$C$2205,"Ingredient candidate"),COUNTIFS('Material routes'!$D$6:$D$2205,A7,'Material routes'!$C$6:$C$2205,"Consumed input"),COUNTIFS('Material routes'!$D$6:$D$2205,A7,'Material routes'!$C$6:$C$2205,"Contained input"),COUNTIFS('Material routes'!$D$6:$D$2205,A7,'Material routes'!$C$6:$C$2205,"Transform input"))</x:f>
        <x:v>0</x:v>
      </x:c>
      <x:c r="AL7" s="4" t="n">
        <x:f>COUNTIFS('Material routes'!$D$6:$D$2205,A7,'Material routes'!$C$6:$C$2205,"Tool candidate")</x:f>
        <x:v>0</x:v>
      </x:c>
      <x:c r="AM7" s="4" t="str">
        <x:f>IF(AJ7&gt;0,"Route listed; review status/completeness",IF(C7="T0","Raw entry feed; no production route","No production route listed"))</x:f>
        <x:v>No production route listed</x:v>
      </x:c>
      <x:c r="AN7" s="14" t="n">
        <x:f>IF(C7="T0",0,IF(C7="T1",1,IF(C7="T2",2,IF(C7="T3",3,IF(C7="T4",4,IF(C7="Unassigned",98,99))))))</x:f>
        <x:v>99</x:v>
      </x:c>
      <x:c r="AZ7"/>
      <x:c r="BA7"/>
      <x:c r="BB7"/>
      <x:c r="BC7"/>
      <x:c r="BD7"/>
      <x:c r="BE7"/>
      <x:c r="BF7"/>
      <x:c r="BG7"/>
      <x:c r="BH7"/>
      <x:c r="BI7"/>
      <x:c r="BJ7"/>
      <x:c r="BK7"/>
      <x:c r="BL7"/>
      <x:c r="BM7"/>
      <x:c r="BN7"/>
      <x:c r="BO7"/>
      <x:c r="BP7"/>
      <x:c r="BQ7"/>
      <x:c r="BR7"/>
      <x:c r="BS7"/>
      <x:c r="BT7"/>
      <x:c r="BU7"/>
      <x:c r="BV7"/>
      <x:c r="BW7"/>
      <x:c r="BX7"/>
      <x:c r="BY7"/>
      <x:c r="BZ7"/>
      <x:c r="CA7"/>
      <x:c r="CB7"/>
      <x:c r="CC7"/>
    </x:row>
    <x:row r="8" ht="170" customHeight="1">
      <x:c r="A8" s="9" t="str">
        <x:v>lab.salvage.wire_bundle</x:v>
      </x:c>
      <x:c r="B8" s="9" t="str">
        <x:v>Wire Bundle</x:v>
      </x:c>
      <x:c r="C8" s="4" t="str">
        <x:v>Not applicable</x:v>
      </x:c>
      <x:c r="D8" s="9" t="inlineStr">
        <x:is>
          <x:t xml:space="preserve">Salvage</x:t>
        </x:is>
      </x:c>
      <x:c r="E8" s="9" t="str">
        <x:v>Salvage</x:v>
      </x:c>
      <x:c r="F8" s="9" t="str">
        <x:v>Camp Loop trial</x:v>
      </x:c>
      <x:c r="G8" s="9" t="inlineStr">
        <x:is>
          <x:t xml:space="preserve">A bundle of conductors recovered from a dead machine. Individual lengths are candidates for electrical repairs and rewiring after their continuity, insulation and material have been checked.</x:t>
        </x:is>
      </x:c>
      <x:c r="H8" s="9" t="str">
        <x:v>None</x:v>
      </x:c>
      <x:c r="I8" s="9" t="str">
        <x:v>Legger only</x:v>
      </x:c>
      <x:c r="J8" s="13" t="n">
        <x:v>10</x:v>
      </x:c>
      <x:c r="K8" s="15" t="n">
        <x:v>0.5</x:v>
      </x:c>
      <x:c r="L8" s="9" t="str">
        <x:v>Camp Loop wreck extraction</x:v>
      </x:c>
      <x:c r="M8" s="9" t="str">
        <x:v>No recipe authored</x:v>
      </x:c>
      <x:c r="N8" s="9" t="str">
        <x:v>Finite trial salvage reward</x:v>
      </x:c>
      <x:c r="O8" s="9" t="str">
        <x:v>Provisional salvage part</x:v>
      </x:c>
      <x:c r="P8" s="17"/>
      <x:c r="Q8" s="17"/>
      <x:c r="R8" s="17"/>
      <x:c r="S8" s="17"/>
      <x:c r="T8" s="17"/>
      <x:c r="U8" s="9" t="str">
        <x:v>Recipes, final name and production adoption</x:v>
      </x:c>
      <x:c r="V8" s="11"/>
      <x:c r="W8" s="9" t="str">
        <x:v>Assets/_Project/Settings/Studies/CampLoopSalvage/Part1.asset; Docs/Evidence/Gameplay/CampLoopSalvage20261014/README.md</x:v>
      </x:c>
      <x:c r="X8" s="4" t="str">
        <x:v>Crafting component</x:v>
      </x:c>
      <x:c r="Y8" s="4" t="str">
        <x:v>Recovered part</x:v>
      </x:c>
      <x:c r="Z8" s="4" t="str">
        <x:v>Recovered machinery</x:v>
      </x:c>
      <x:c r="AA8" s="4" t="str">
        <x:v>Electrical work</x:v>
      </x:c>
      <x:c r="AB8" s="4" t="str">
        <x:v>Metal</x:v>
      </x:c>
      <x:c r="AC8" s="4" t="str">
        <x:v>Bundle</x:v>
      </x:c>
      <x:c r="AD8" s="4" t="str">
        <x:v>Existing definition</x:v>
      </x:c>
      <x:c r="AE8" s="4" t="str">
        <x:f>LOWER(A8&amp;"; "&amp;B8&amp;"; "&amp;D8&amp;"; "&amp;E8&amp;"; "&amp;X8&amp;"; "&amp;Y8&amp;"; "&amp;Z8&amp;"; "&amp;AA8&amp;"; "&amp;AB8&amp;"; "&amp;AC8&amp;"; "&amp;AD8&amp;"; "&amp;V8&amp;"; "&amp;C8&amp;"; "&amp;AH8&amp;"; "&amp;AI8)</x:f>
        <x:v>lab.salvage.wire_bundle; wire bundle; salvage; salvage; crafting component; recovered part; recovered machinery; electrical work; metal; bundle; existing definition; ; not applicable; not applicable; component</x:v>
      </x:c>
      <x:c r="AF8"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8"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8" s="4" t="str">
        <x:v>Not applicable</x:v>
      </x:c>
      <x:c r="AI8" s="4" t="str">
        <x:v>Component</x:v>
      </x:c>
      <x:c r="AJ8" s="4" t="n">
        <x:f>COUNTIFS('Material routes'!$D$6:$D$2205,A8,'Material routes'!$C$6:$C$2205,"Output")</x:f>
        <x:v>0</x:v>
      </x:c>
      <x:c r="AK8" s="4" t="n">
        <x:f>SUM(COUNTIFS('Material routes'!$D$6:$D$2205,A8,'Material routes'!$C$6:$C$2205,"Ingredient candidate"),COUNTIFS('Material routes'!$D$6:$D$2205,A8,'Material routes'!$C$6:$C$2205,"Consumed input"),COUNTIFS('Material routes'!$D$6:$D$2205,A8,'Material routes'!$C$6:$C$2205,"Contained input"),COUNTIFS('Material routes'!$D$6:$D$2205,A8,'Material routes'!$C$6:$C$2205,"Transform input"))</x:f>
        <x:v>0</x:v>
      </x:c>
      <x:c r="AL8" s="4" t="n">
        <x:f>COUNTIFS('Material routes'!$D$6:$D$2205,A8,'Material routes'!$C$6:$C$2205,"Tool candidate")</x:f>
        <x:v>0</x:v>
      </x:c>
      <x:c r="AM8" s="4" t="str">
        <x:f>IF(AJ8&gt;0,"Route listed; review status/completeness",IF(C8="T0","Raw entry feed; no production route","No production route listed"))</x:f>
        <x:v>No production route listed</x:v>
      </x:c>
      <x:c r="AN8" s="14" t="n">
        <x:f>IF(C8="T0",0,IF(C8="T1",1,IF(C8="T2",2,IF(C8="T3",3,IF(C8="T4",4,IF(C8="Unassigned",98,99))))))</x:f>
        <x:v>99</x:v>
      </x:c>
      <x:c r="AZ8"/>
      <x:c r="BA8"/>
      <x:c r="BB8"/>
      <x:c r="BC8"/>
      <x:c r="BD8"/>
      <x:c r="BE8"/>
      <x:c r="BF8"/>
      <x:c r="BG8"/>
      <x:c r="BH8"/>
      <x:c r="BI8"/>
      <x:c r="BJ8"/>
      <x:c r="BK8"/>
      <x:c r="BL8"/>
      <x:c r="BM8"/>
      <x:c r="BN8"/>
      <x:c r="BO8"/>
      <x:c r="BP8"/>
      <x:c r="BQ8"/>
      <x:c r="BR8"/>
      <x:c r="BS8"/>
      <x:c r="BT8"/>
      <x:c r="BU8"/>
      <x:c r="BV8"/>
      <x:c r="BW8"/>
      <x:c r="BX8"/>
      <x:c r="BY8"/>
      <x:c r="BZ8"/>
      <x:c r="CA8"/>
      <x:c r="CB8"/>
      <x:c r="CC8"/>
    </x:row>
    <x:row r="9" ht="48" customHeight="1">
      <x:c r="A9" s="4" t="str">
        <x:v>equipment.algae_canister</x:v>
      </x:c>
      <x:c r="B9" s="4" t="str">
        <x:v>Algae canister</x:v>
      </x:c>
      <x:c r="C9" s="4" t="str">
        <x:v>Not applicable</x:v>
      </x:c>
      <x:c r="D9" s="4" t="inlineStr">
        <x:is>
          <x:t xml:space="preserve">Tools</x:t>
        </x:is>
      </x:c>
      <x:c r="E9" s="4" t="str">
        <x:v>Survival</x:v>
      </x:c>
      <x:c r="F9" s="4" t="str">
        <x:v>Camp Loop trial</x:v>
      </x:c>
      <x:c r="G9" s="4" t="inlineStr">
        <x:is>
          <x:t xml:space="preserve">Booter’s attached living-algae reserve, carried for eating, drinking and treating injuries. The canister holds the survival supply rather than creating a separate meal or drink each time it is used; its existing attachment and reserve rules still apply.</x:t>
        </x:is>
      </x:c>
      <x:c r="H9" s="4" t="str">
        <x:v>Algae canister</x:v>
      </x:c>
      <x:c r="I9" s="4" t="str">
        <x:v>Booter only</x:v>
      </x:c>
      <x:c r="J9" s="14" t="n">
        <x:v>1</x:v>
      </x:c>
      <x:c r="K9" s="16" t="n">
        <x:v>0.8</x:v>
      </x:c>
      <x:c r="L9" s="4" t="str">
        <x:v>Starter fitted gear</x:v>
      </x:c>
      <x:c r="M9" s="4" t="str">
        <x:v>No recipe authored</x:v>
      </x:c>
      <x:c r="N9" s="4" t="str">
        <x:v>Existing living-algae reserve</x:v>
      </x:c>
      <x:c r="O9" s="4" t="str">
        <x:v>Cannot remove attachment; no sleep/Reserve restoration</x:v>
      </x:c>
      <x:c r="P9" s="17"/>
      <x:c r="Q9" s="17"/>
      <x:c r="R9" s="17"/>
      <x:c r="S9" s="17"/>
      <x:c r="T9" s="17"/>
      <x:c r="U9" s="4" t="str">
        <x:v>Swap/refill design and final balance</x:v>
      </x:c>
      <x:c r="V9" s="11" t="str">
        <x:v>injury treatment</x:v>
      </x:c>
      <x:c r="W9" s="4" t="str">
        <x:v>Assets/_Project/Settings/Items/CampLoopLoadout/AlgaeCanister.asset; Docs/Evidence/Gameplay/CampLoopLoadout20261014/README.md</x:v>
      </x:c>
      <x:c r="X9" s="4" t="str">
        <x:v>Container</x:v>
      </x:c>
      <x:c r="Y9" s="4" t="str">
        <x:v>Finished item</x:v>
      </x:c>
      <x:c r="Z9" s="4" t="str">
        <x:v>Living culture</x:v>
      </x:c>
      <x:c r="AA9" s="4" t="str">
        <x:v>Survival provision</x:v>
      </x:c>
      <x:c r="AB9" s="4" t="str">
        <x:v>Mixed / unresolved</x:v>
      </x:c>
      <x:c r="AC9" s="4" t="str">
        <x:v>Assembly</x:v>
      </x:c>
      <x:c r="AD9" s="4" t="str">
        <x:v>Existing definition</x:v>
      </x:c>
      <x:c r="AE9" s="4" t="str">
        <x:f>LOWER(A9&amp;"; "&amp;B9&amp;"; "&amp;D9&amp;"; "&amp;E9&amp;"; "&amp;X9&amp;"; "&amp;Y9&amp;"; "&amp;Z9&amp;"; "&amp;AA9&amp;"; "&amp;AB9&amp;"; "&amp;AC9&amp;"; "&amp;AD9&amp;"; "&amp;V9&amp;"; "&amp;C9&amp;"; "&amp;AH9&amp;"; "&amp;AI9)</x:f>
        <x:v>equipment.algae_canister; algae canister; tools; survival; container; finished item; living culture; survival provision; mixed / unresolved; assembly; existing definition; injury treatment; not applicable; unassigned; finished item</x:v>
      </x:c>
      <x:c r="AF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9" s="4" t="str">
        <x:v>Finished endpoint; material tier is not applicable. Input tiers belong to the chosen recipe.</x:v>
      </x:c>
      <x:c r="AH9" s="4" t="str">
        <x:v>Unassigned</x:v>
      </x:c>
      <x:c r="AI9" s="4" t="str">
        <x:v>Finished item</x:v>
      </x:c>
      <x:c r="AJ9" s="4" t="n">
        <x:f>COUNTIFS('Material routes'!$D$6:$D$2205,A9,'Material routes'!$C$6:$C$2205,"Output")</x:f>
        <x:v>1</x:v>
      </x:c>
      <x:c r="AK9" s="4" t="n">
        <x:f>SUM(COUNTIFS('Material routes'!$D$6:$D$2205,A9,'Material routes'!$C$6:$C$2205,"Ingredient candidate"),COUNTIFS('Material routes'!$D$6:$D$2205,A9,'Material routes'!$C$6:$C$2205,"Consumed input"),COUNTIFS('Material routes'!$D$6:$D$2205,A9,'Material routes'!$C$6:$C$2205,"Contained input"),COUNTIFS('Material routes'!$D$6:$D$2205,A9,'Material routes'!$C$6:$C$2205,"Transform input"))</x:f>
        <x:v>0</x:v>
      </x:c>
      <x:c r="AL9" s="4" t="n">
        <x:f>COUNTIFS('Material routes'!$D$6:$D$2205,A9,'Material routes'!$C$6:$C$2205,"Tool candidate")</x:f>
        <x:v>0</x:v>
      </x:c>
      <x:c r="AM9" s="4" t="str">
        <x:f>IF(AJ9&gt;0,"Route listed; review status/completeness",IF(C9="T0","Raw entry feed; no production route","No production route listed"))</x:f>
        <x:v>Route listed; review status/completeness</x:v>
      </x:c>
      <x:c r="AN9" s="14" t="n">
        <x:f>IF(C9="T0",0,IF(C9="T1",1,IF(C9="T2",2,IF(C9="T3",3,IF(C9="T4",4,IF(C9="Unassigned",98,99))))))</x:f>
        <x:v>99</x:v>
      </x:c>
      <x:c r="AZ9"/>
      <x:c r="BA9"/>
      <x:c r="BB9"/>
      <x:c r="BC9"/>
      <x:c r="BD9"/>
      <x:c r="BE9"/>
      <x:c r="BF9"/>
      <x:c r="BG9"/>
      <x:c r="BH9"/>
      <x:c r="BI9"/>
      <x:c r="BJ9"/>
      <x:c r="BK9"/>
      <x:c r="BL9"/>
      <x:c r="BM9"/>
      <x:c r="BN9"/>
      <x:c r="BO9"/>
      <x:c r="BP9"/>
      <x:c r="BQ9"/>
      <x:c r="BR9"/>
      <x:c r="BS9"/>
      <x:c r="BT9"/>
      <x:c r="BU9"/>
      <x:c r="BV9"/>
      <x:c r="BW9"/>
      <x:c r="BX9"/>
      <x:c r="BY9"/>
      <x:c r="BZ9"/>
      <x:c r="CA9"/>
      <x:c r="CB9"/>
      <x:c r="CC9"/>
    </x:row>
    <x:row r="10" ht="48" customHeight="1">
      <x:c r="A10" s="9" t="str">
        <x:v>equipment.cloak</x:v>
      </x:c>
      <x:c r="B10" s="9" t="str">
        <x:v>Cloak</x:v>
      </x:c>
      <x:c r="C10" s="4" t="str">
        <x:v>Not applicable</x:v>
      </x:c>
      <x:c r="D10" s="9" t="inlineStr">
        <x:is>
          <x:t xml:space="preserve">Tools</x:t>
        </x:is>
      </x:c>
      <x:c r="E10" s="9" t="str">
        <x:v>Clothing</x:v>
      </x:c>
      <x:c r="F10" s="9" t="str">
        <x:v>Camp Loop trial</x:v>
      </x:c>
      <x:c r="G10" s="9" t="inlineStr">
        <x:is>
          <x:t xml:space="preserve">Booter’s worn cloak, which also serves as the blanket when he settles down to rest. It is the same owned item in both uses, so laying it out does not create a second piece of equipment.</x:t>
        </x:is>
      </x:c>
      <x:c r="H10" s="9" t="str">
        <x:v>Cloak</x:v>
      </x:c>
      <x:c r="I10" s="9" t="str">
        <x:v>Either carrier</x:v>
      </x:c>
      <x:c r="J10" s="13" t="n">
        <x:v>1</x:v>
      </x:c>
      <x:c r="K10" s="15" t="n">
        <x:v>1</x:v>
      </x:c>
      <x:c r="L10" s="9" t="str">
        <x:v>Starter fitted gear</x:v>
      </x:c>
      <x:c r="M10" s="9" t="str">
        <x:v>No recipe authored</x:v>
      </x:c>
      <x:c r="N10" s="9" t="str">
        <x:v>Worn and blanket presentation share ownership</x:v>
      </x:c>
      <x:c r="O10" s="9" t="str">
        <x:v>Blanket is not a second item; no extra healing bonus</x:v>
      </x:c>
      <x:c r="P10" s="17"/>
      <x:c r="Q10" s="17"/>
      <x:c r="R10" s="17"/>
      <x:c r="S10" s="17"/>
      <x:c r="T10" s="17"/>
      <x:c r="U10" s="9" t="str">
        <x:v>Protection and material progression; material composition unresolved under no-cloth rule</x:v>
      </x:c>
      <x:c r="V10" s="11" t="str">
        <x:v>camp rest</x:v>
      </x:c>
      <x:c r="W10" s="9" t="str">
        <x:v>Assets/_Project/Settings/Items/CampLoopLoadout/Cloak.asset; Docs/Evidence/Gameplay/CampLoopLoadout20261014/README.md</x:v>
      </x:c>
      <x:c r="X10" s="4" t="str">
        <x:v>Wearable</x:v>
      </x:c>
      <x:c r="Y10" s="4" t="str">
        <x:v>Finished item</x:v>
      </x:c>
      <x:c r="Z10" s="4" t="str">
        <x:v>Unresolved</x:v>
      </x:c>
      <x:c r="AA10" s="4" t="str">
        <x:v>Clothing</x:v>
      </x:c>
      <x:c r="AB10" s="4" t="str">
        <x:v>Unresolved</x:v>
      </x:c>
      <x:c r="AC10" s="4" t="str">
        <x:v>Garment</x:v>
      </x:c>
      <x:c r="AD10" s="4" t="str">
        <x:v>Existing definition</x:v>
      </x:c>
      <x:c r="AE10" s="4" t="str">
        <x:f>LOWER(A10&amp;"; "&amp;B10&amp;"; "&amp;D10&amp;"; "&amp;E10&amp;"; "&amp;X10&amp;"; "&amp;Y10&amp;"; "&amp;Z10&amp;"; "&amp;AA10&amp;"; "&amp;AB10&amp;"; "&amp;AC10&amp;"; "&amp;AD10&amp;"; "&amp;V10&amp;"; "&amp;C10&amp;"; "&amp;AH10&amp;"; "&amp;AI10)</x:f>
        <x:v>equipment.cloak; cloak; tools; clothing; wearable; finished item; unresolved; clothing; unresolved; garment; existing definition; camp rest; not applicable; unassigned; finished item</x:v>
      </x:c>
      <x:c r="AF1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0" s="4" t="str">
        <x:v>Finished endpoint; material tier is not applicable. Input tiers belong to the chosen recipe.</x:v>
      </x:c>
      <x:c r="AH10" s="4" t="str">
        <x:v>Unassigned</x:v>
      </x:c>
      <x:c r="AI10" s="4" t="str">
        <x:v>Finished item</x:v>
      </x:c>
      <x:c r="AJ10" s="4" t="n">
        <x:f>COUNTIFS('Material routes'!$D$6:$D$2205,A10,'Material routes'!$C$6:$C$2205,"Output")</x:f>
        <x:v>1</x:v>
      </x:c>
      <x:c r="AK10" s="4" t="n">
        <x:f>SUM(COUNTIFS('Material routes'!$D$6:$D$2205,A10,'Material routes'!$C$6:$C$2205,"Ingredient candidate"),COUNTIFS('Material routes'!$D$6:$D$2205,A10,'Material routes'!$C$6:$C$2205,"Consumed input"),COUNTIFS('Material routes'!$D$6:$D$2205,A10,'Material routes'!$C$6:$C$2205,"Contained input"),COUNTIFS('Material routes'!$D$6:$D$2205,A10,'Material routes'!$C$6:$C$2205,"Transform input"))</x:f>
        <x:v>0</x:v>
      </x:c>
      <x:c r="AL10" s="4" t="n">
        <x:f>COUNTIFS('Material routes'!$D$6:$D$2205,A10,'Material routes'!$C$6:$C$2205,"Tool candidate")</x:f>
        <x:v>0</x:v>
      </x:c>
      <x:c r="AM10" s="4" t="str">
        <x:f>IF(AJ10&gt;0,"Route listed; review status/completeness",IF(C10="T0","Raw entry feed; no production route","No production route listed"))</x:f>
        <x:v>Route listed; review status/completeness</x:v>
      </x:c>
      <x:c r="AN10" s="14" t="n">
        <x:f>IF(C10="T0",0,IF(C10="T1",1,IF(C10="T2",2,IF(C10="T3",3,IF(C10="T4",4,IF(C10="Unassigned",98,99))))))</x:f>
        <x:v>99</x:v>
      </x:c>
      <x:c r="AZ10"/>
      <x:c r="BA10"/>
      <x:c r="BB10"/>
      <x:c r="BC10"/>
      <x:c r="BD10"/>
      <x:c r="BE10"/>
      <x:c r="BF10"/>
      <x:c r="BG10"/>
      <x:c r="BH10"/>
      <x:c r="BI10"/>
      <x:c r="BJ10"/>
      <x:c r="BK10"/>
      <x:c r="BL10"/>
      <x:c r="BM10"/>
      <x:c r="BN10"/>
      <x:c r="BO10"/>
      <x:c r="BP10"/>
      <x:c r="BQ10"/>
      <x:c r="BR10"/>
      <x:c r="BS10"/>
      <x:c r="BT10"/>
      <x:c r="BU10"/>
      <x:c r="BV10"/>
      <x:c r="BW10"/>
      <x:c r="BX10"/>
      <x:c r="BY10"/>
      <x:c r="BZ10"/>
      <x:c r="CA10"/>
      <x:c r="CB10"/>
      <x:c r="CC10"/>
    </x:row>
    <x:row r="11" ht="48" customHeight="1">
      <x:c r="A11" s="4" t="str">
        <x:v>equipment.digging_tool</x:v>
      </x:c>
      <x:c r="B11" s="4" t="str">
        <x:v>Digging shovel axe</x:v>
      </x:c>
      <x:c r="C11" s="4" t="str">
        <x:v>Not applicable</x:v>
      </x:c>
      <x:c r="D11" s="4" t="inlineStr">
        <x:is>
          <x:t xml:space="preserve">Tools</x:t>
        </x:is>
      </x:c>
      <x:c r="E11" s="4" t="str">
        <x:v>Excavation</x:v>
      </x:c>
      <x:c r="F11" s="4" t="str">
        <x:v>Camp Loop trial</x:v>
      </x:c>
      <x:c r="G11" s="4" t="inlineStr">
        <x:is>
          <x:t xml:space="preserve">A combined shovel and axe carried as Booter’s starter excavation tool. The broad working end and cutting edge suggest digging and rough cutting uses; the current inventory definition does not itself add mining requirements or a combat action.</x:t>
        </x:is>
      </x:c>
      <x:c r="H11" s="4" t="str">
        <x:v>Digging tool</x:v>
      </x:c>
      <x:c r="I11" s="4" t="str">
        <x:v>Either carrier</x:v>
      </x:c>
      <x:c r="J11" s="14" t="n">
        <x:v>1</x:v>
      </x:c>
      <x:c r="K11" s="16" t="n">
        <x:v>1.5</x:v>
      </x:c>
      <x:c r="L11" s="4" t="str">
        <x:v>Starter fitted gear</x:v>
      </x:c>
      <x:c r="M11" s="4" t="str">
        <x:v>No recipe authored</x:v>
      </x:c>
      <x:c r="N11" s="4" t="str">
        <x:v>Inventory ownership only</x:v>
      </x:c>
      <x:c r="O11" s="4" t="str">
        <x:v>No new mining prerequisite or combat action</x:v>
      </x:c>
      <x:c r="P11" s="17"/>
      <x:c r="Q11" s="17"/>
      <x:c r="R11" s="17"/>
      <x:c r="S11" s="17"/>
      <x:c r="T11" s="17"/>
      <x:c r="U11" s="4" t="str">
        <x:v>Final name, excavation behavior and progression</x:v>
      </x:c>
      <x:c r="V11" s="11"/>
      <x:c r="W11" s="4" t="str">
        <x:v>Assets/_Project/Settings/Items/CampLoopLoadout/DiggingTool.asset; Docs/Evidence/Gameplay/CampLoopLoadout20261014/README.md</x:v>
      </x:c>
      <x:c r="X11" s="4" t="str">
        <x:v>Tool</x:v>
      </x:c>
      <x:c r="Y11" s="4" t="str">
        <x:v>Finished item</x:v>
      </x:c>
      <x:c r="Z11" s="4" t="str">
        <x:v>Unresolved</x:v>
      </x:c>
      <x:c r="AA11" s="4" t="str">
        <x:v>Excavation</x:v>
      </x:c>
      <x:c r="AB11" s="4" t="str">
        <x:v>Mixed / unresolved</x:v>
      </x:c>
      <x:c r="AC11" s="4" t="str">
        <x:v>Assembly</x:v>
      </x:c>
      <x:c r="AD11" s="4" t="str">
        <x:v>Existing definition</x:v>
      </x:c>
      <x:c r="AE11" s="4" t="str">
        <x:f>LOWER(A11&amp;"; "&amp;B11&amp;"; "&amp;D11&amp;"; "&amp;E11&amp;"; "&amp;X11&amp;"; "&amp;Y11&amp;"; "&amp;Z11&amp;"; "&amp;AA11&amp;"; "&amp;AB11&amp;"; "&amp;AC11&amp;"; "&amp;AD11&amp;"; "&amp;V11&amp;"; "&amp;C11&amp;"; "&amp;AH11&amp;"; "&amp;AI11)</x:f>
        <x:v>equipment.digging_tool; digging shovel axe; tools; excavation; tool; finished item; unresolved; excavation; mixed / unresolved; assembly; existing definition; ; not applicable; unassigned; finished item</x:v>
      </x:c>
      <x:c r="AF11"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1" s="4" t="str">
        <x:v>Finished endpoint; material tier is not applicable. Input tiers belong to the chosen recipe.</x:v>
      </x:c>
      <x:c r="AH11" s="4" t="str">
        <x:v>Unassigned</x:v>
      </x:c>
      <x:c r="AI11" s="4" t="str">
        <x:v>Finished item</x:v>
      </x:c>
      <x:c r="AJ11" s="4" t="n">
        <x:f>COUNTIFS('Material routes'!$D$6:$D$2205,A11,'Material routes'!$C$6:$C$2205,"Output")</x:f>
        <x:v>1</x:v>
      </x:c>
      <x:c r="AK11" s="4" t="n">
        <x:f>SUM(COUNTIFS('Material routes'!$D$6:$D$2205,A11,'Material routes'!$C$6:$C$2205,"Ingredient candidate"),COUNTIFS('Material routes'!$D$6:$D$2205,A11,'Material routes'!$C$6:$C$2205,"Consumed input"),COUNTIFS('Material routes'!$D$6:$D$2205,A11,'Material routes'!$C$6:$C$2205,"Contained input"),COUNTIFS('Material routes'!$D$6:$D$2205,A11,'Material routes'!$C$6:$C$2205,"Transform input"))</x:f>
        <x:v>0</x:v>
      </x:c>
      <x:c r="AL11" s="4" t="n">
        <x:f>COUNTIFS('Material routes'!$D$6:$D$2205,A11,'Material routes'!$C$6:$C$2205,"Tool candidate")</x:f>
        <x:v>0</x:v>
      </x:c>
      <x:c r="AM11" s="4" t="str">
        <x:f>IF(AJ11&gt;0,"Route listed; review status/completeness",IF(C11="T0","Raw entry feed; no production route","No production route listed"))</x:f>
        <x:v>Route listed; review status/completeness</x:v>
      </x:c>
      <x:c r="AN11" s="14" t="n">
        <x:f>IF(C11="T0",0,IF(C11="T1",1,IF(C11="T2",2,IF(C11="T3",3,IF(C11="T4",4,IF(C11="Unassigned",98,99))))))</x:f>
        <x:v>99</x:v>
      </x:c>
      <x:c r="AZ11"/>
      <x:c r="BA11"/>
      <x:c r="BB11"/>
      <x:c r="BC11"/>
      <x:c r="BD11"/>
      <x:c r="BE11"/>
      <x:c r="BF11"/>
      <x:c r="BG11"/>
      <x:c r="BH11"/>
      <x:c r="BI11"/>
      <x:c r="BJ11"/>
      <x:c r="BK11"/>
      <x:c r="BL11"/>
      <x:c r="BM11"/>
      <x:c r="BN11"/>
      <x:c r="BO11"/>
      <x:c r="BP11"/>
      <x:c r="BQ11"/>
      <x:c r="BR11"/>
      <x:c r="BS11"/>
      <x:c r="BT11"/>
      <x:c r="BU11"/>
      <x:c r="BV11"/>
      <x:c r="BW11"/>
      <x:c r="BX11"/>
      <x:c r="BY11"/>
      <x:c r="BZ11"/>
      <x:c r="CA11"/>
      <x:c r="CB11"/>
      <x:c r="CC11"/>
    </x:row>
    <x:row r="12" ht="48" customHeight="1">
      <x:c r="A12" s="9" t="str">
        <x:v>tool.micro_dust_harvester</x:v>
      </x:c>
      <x:c r="B12" s="9" t="str">
        <x:v>Dust canister</x:v>
      </x:c>
      <x:c r="C12" s="4" t="str">
        <x:v>Not applicable</x:v>
      </x:c>
      <x:c r="D12" s="9" t="inlineStr">
        <x:is>
          <x:t xml:space="preserve">Tools</x:t>
        </x:is>
      </x:c>
      <x:c r="E12" s="9" t="str">
        <x:v>Harvesting</x:v>
      </x:c>
      <x:c r="F12" s="9" t="str">
        <x:v>Shared definition; trial variant/rules</x:v>
      </x:c>
      <x:c r="G12" s="9" t="inlineStr">
        <x:is>
          <x:t xml:space="preserve">A portable dust canister that can be deployed to collect airborne dust for later processing. Its stored dust remains inside the same physical canister during deployment and recovery, making the filled vessel part of the expedition’s haul.</x:t>
        </x:is>
      </x:c>
      <x:c r="H12" s="9" t="str">
        <x:v>Dust canister</x:v>
      </x:c>
      <x:c r="I12" s="9" t="str">
        <x:v>Either carrier</x:v>
      </x:c>
      <x:c r="J12" s="13" t="n">
        <x:v>1</x:v>
      </x:c>
      <x:c r="K12" s="15" t="n">
        <x:v>0.8</x:v>
      </x:c>
      <x:c r="L12" s="9" t="str">
        <x:v>Starter dust equipment</x:v>
      </x:c>
      <x:c r="M12" s="9" t="str">
        <x:v>Reusable tool in charging loop</x:v>
      </x:c>
      <x:c r="N12" s="9" t="str">
        <x:v>Camp trial preserves instance and carried dust payload</x:v>
      </x:c>
      <x:c r="O12" s="9" t="str">
        <x:v>Filled recovery goes to cargo; empty may return to equipment slot</x:v>
      </x:c>
      <x:c r="P12" s="17"/>
      <x:c r="Q12" s="17"/>
      <x:c r="R12" s="17"/>
      <x:c r="S12" s="17"/>
      <x:c r="T12" s="17"/>
      <x:c r="U12" s="9" t="str">
        <x:v>Capacity and collection-rate tuning; final naming</x:v>
      </x:c>
      <x:c r="V12" s="11"/>
      <x:c r="W12" s="9" t="str">
        <x:v>Assets/_Project/Settings/Items/CampLoopLoadout/DustCanister.asset; Docs/Evidence/Gameplay/CampWorkstations20261014/README.md</x:v>
      </x:c>
      <x:c r="X12" s="4" t="str">
        <x:v>Tool</x:v>
      </x:c>
      <x:c r="Y12" s="4" t="str">
        <x:v>Finished item</x:v>
      </x:c>
      <x:c r="Z12" s="4" t="str">
        <x:v>Unresolved</x:v>
      </x:c>
      <x:c r="AA12" s="4" t="str">
        <x:v>Resource collection</x:v>
      </x:c>
      <x:c r="AB12" s="4" t="str">
        <x:v>Mixed / unresolved</x:v>
      </x:c>
      <x:c r="AC12" s="4" t="str">
        <x:v>Assembly</x:v>
      </x:c>
      <x:c r="AD12" s="4" t="str">
        <x:v>Existing definition</x:v>
      </x:c>
      <x:c r="AE12" s="4" t="str">
        <x:f>LOWER(A12&amp;"; "&amp;B12&amp;"; "&amp;D12&amp;"; "&amp;E12&amp;"; "&amp;X12&amp;"; "&amp;Y12&amp;"; "&amp;Z12&amp;"; "&amp;AA12&amp;"; "&amp;AB12&amp;"; "&amp;AC12&amp;"; "&amp;AD12&amp;"; "&amp;V12&amp;"; "&amp;C12&amp;"; "&amp;AH12&amp;"; "&amp;AI12)</x:f>
        <x:v>tool.micro_dust_harvester; dust canister; tools; harvesting; tool; finished item; unresolved; resource collection; mixed / unresolved; assembly; existing definition; ; not applicable; unassigned; finished item</x:v>
      </x:c>
      <x:c r="AF12"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2" s="4" t="str">
        <x:v>Finished endpoint; material tier is not applicable. Input tiers belong to the chosen recipe.</x:v>
      </x:c>
      <x:c r="AH12" s="4" t="str">
        <x:v>Unassigned</x:v>
      </x:c>
      <x:c r="AI12" s="4" t="str">
        <x:v>Finished item</x:v>
      </x:c>
      <x:c r="AJ12" s="4" t="n">
        <x:f>COUNTIFS('Material routes'!$D$6:$D$2205,A12,'Material routes'!$C$6:$C$2205,"Output")</x:f>
        <x:v>1</x:v>
      </x:c>
      <x:c r="AK12" s="4" t="n">
        <x:f>SUM(COUNTIFS('Material routes'!$D$6:$D$2205,A12,'Material routes'!$C$6:$C$2205,"Ingredient candidate"),COUNTIFS('Material routes'!$D$6:$D$2205,A12,'Material routes'!$C$6:$C$2205,"Consumed input"),COUNTIFS('Material routes'!$D$6:$D$2205,A12,'Material routes'!$C$6:$C$2205,"Contained input"),COUNTIFS('Material routes'!$D$6:$D$2205,A12,'Material routes'!$C$6:$C$2205,"Transform input"))</x:f>
        <x:v>0</x:v>
      </x:c>
      <x:c r="AL12" s="4" t="n">
        <x:f>COUNTIFS('Material routes'!$D$6:$D$2205,A12,'Material routes'!$C$6:$C$2205,"Tool candidate")</x:f>
        <x:v>0</x:v>
      </x:c>
      <x:c r="AM12" s="4" t="str">
        <x:f>IF(AJ12&gt;0,"Route listed; review status/completeness",IF(C12="T0","Raw entry feed; no production route","No production route listed"))</x:f>
        <x:v>Route listed; review status/completeness</x:v>
      </x:c>
      <x:c r="AN12" s="14" t="n">
        <x:f>IF(C12="T0",0,IF(C12="T1",1,IF(C12="T2",2,IF(C12="T3",3,IF(C12="T4",4,IF(C12="Unassigned",98,99))))))</x:f>
        <x:v>99</x:v>
      </x:c>
      <x:c r="AZ12"/>
      <x:c r="BA12"/>
      <x:c r="BB12"/>
      <x:c r="BC12"/>
      <x:c r="BD12"/>
      <x:c r="BE12"/>
      <x:c r="BF12"/>
      <x:c r="BG12"/>
      <x:c r="BH12"/>
      <x:c r="BI12"/>
      <x:c r="BJ12"/>
      <x:c r="BK12"/>
      <x:c r="BL12"/>
      <x:c r="BM12"/>
      <x:c r="BN12"/>
      <x:c r="BO12"/>
      <x:c r="BP12"/>
      <x:c r="BQ12"/>
      <x:c r="BR12"/>
      <x:c r="BS12"/>
      <x:c r="BT12"/>
      <x:c r="BU12"/>
      <x:c r="BV12"/>
      <x:c r="BW12"/>
      <x:c r="BX12"/>
      <x:c r="BY12"/>
      <x:c r="BZ12"/>
      <x:c r="CA12"/>
      <x:c r="CB12"/>
      <x:c r="CC12"/>
    </x:row>
    <x:row r="13" ht="48" customHeight="1">
      <x:c r="A13" s="4" t="str">
        <x:v>equipment.grappling_hook</x:v>
      </x:c>
      <x:c r="B13" s="4" t="str">
        <x:v>Grappling hook</x:v>
      </x:c>
      <x:c r="C13" s="4" t="str">
        <x:v>Not applicable</x:v>
      </x:c>
      <x:c r="D13" s="4" t="inlineStr">
        <x:is>
          <x:t xml:space="preserve">Tools</x:t>
        </x:is>
      </x:c>
      <x:c r="E13" s="4" t="str">
        <x:v>Traversal</x:v>
      </x:c>
      <x:c r="F13" s="4" t="str">
        <x:v>Camp Loop trial</x:v>
      </x:c>
      <x:c r="G13" s="4" t="inlineStr">
        <x:is>
          <x:t xml:space="preserve">A hooked terrain-navigation tool intended to establish a hold on suitable features during traversal. Its line, anchoring, range and movement behavior require design; owning the item does not currently enable a grapple traversal action.</x:t>
        </x:is>
      </x:c>
      <x:c r="H13" s="4" t="str">
        <x:v>Grappling hook</x:v>
      </x:c>
      <x:c r="I13" s="4" t="str">
        <x:v>Either carrier</x:v>
      </x:c>
      <x:c r="J13" s="14" t="n">
        <x:v>1</x:v>
      </x:c>
      <x:c r="K13" s="16" t="n">
        <x:v>1</x:v>
      </x:c>
      <x:c r="L13" s="4" t="str">
        <x:v>Starter fitted gear</x:v>
      </x:c>
      <x:c r="M13" s="4" t="str">
        <x:v>No recipe authored</x:v>
      </x:c>
      <x:c r="N13" s="4" t="str">
        <x:v>Inventory ownership only</x:v>
      </x:c>
      <x:c r="O13" s="4" t="str">
        <x:v>Grapple traversal is not implemented</x:v>
      </x:c>
      <x:c r="P13" s="17"/>
      <x:c r="Q13" s="17"/>
      <x:c r="R13" s="17"/>
      <x:c r="S13" s="17"/>
      <x:c r="T13" s="17"/>
      <x:c r="U13" s="4" t="str">
        <x:v>Traversal rules and upgrades</x:v>
      </x:c>
      <x:c r="V13" s="11"/>
      <x:c r="W13" s="4" t="str">
        <x:v>Assets/_Project/Settings/Items/CampLoopLoadout/GrapplingHook.asset; Docs/Evidence/Gameplay/CampLoopLoadout20261014/README.md</x:v>
      </x:c>
      <x:c r="X13" s="4" t="str">
        <x:v>Tool</x:v>
      </x:c>
      <x:c r="Y13" s="4" t="str">
        <x:v>Finished item</x:v>
      </x:c>
      <x:c r="Z13" s="4" t="str">
        <x:v>Unresolved</x:v>
      </x:c>
      <x:c r="AA13" s="4" t="str">
        <x:v>Traversal</x:v>
      </x:c>
      <x:c r="AB13" s="4" t="str">
        <x:v>Mixed / unresolved</x:v>
      </x:c>
      <x:c r="AC13" s="4" t="str">
        <x:v>Assembly</x:v>
      </x:c>
      <x:c r="AD13" s="4" t="str">
        <x:v>Existing definition</x:v>
      </x:c>
      <x:c r="AE13" s="4" t="str">
        <x:f>LOWER(A13&amp;"; "&amp;B13&amp;"; "&amp;D13&amp;"; "&amp;E13&amp;"; "&amp;X13&amp;"; "&amp;Y13&amp;"; "&amp;Z13&amp;"; "&amp;AA13&amp;"; "&amp;AB13&amp;"; "&amp;AC13&amp;"; "&amp;AD13&amp;"; "&amp;V13&amp;"; "&amp;C13&amp;"; "&amp;AH13&amp;"; "&amp;AI13)</x:f>
        <x:v>equipment.grappling_hook; grappling hook; tools; traversal; tool; finished item; unresolved; traversal; mixed / unresolved; assembly; existing definition; ; not applicable; unassigned; finished item</x:v>
      </x:c>
      <x:c r="AF1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3" s="4" t="str">
        <x:v>Finished endpoint; material tier is not applicable. Input tiers belong to the chosen recipe.</x:v>
      </x:c>
      <x:c r="AH13" s="4" t="str">
        <x:v>Unassigned</x:v>
      </x:c>
      <x:c r="AI13" s="4" t="str">
        <x:v>Finished item</x:v>
      </x:c>
      <x:c r="AJ13" s="4" t="n">
        <x:f>COUNTIFS('Material routes'!$D$6:$D$2205,A13,'Material routes'!$C$6:$C$2205,"Output")</x:f>
        <x:v>1</x:v>
      </x:c>
      <x:c r="AK13" s="4" t="n">
        <x:f>SUM(COUNTIFS('Material routes'!$D$6:$D$2205,A13,'Material routes'!$C$6:$C$2205,"Ingredient candidate"),COUNTIFS('Material routes'!$D$6:$D$2205,A13,'Material routes'!$C$6:$C$2205,"Consumed input"),COUNTIFS('Material routes'!$D$6:$D$2205,A13,'Material routes'!$C$6:$C$2205,"Contained input"),COUNTIFS('Material routes'!$D$6:$D$2205,A13,'Material routes'!$C$6:$C$2205,"Transform input"))</x:f>
        <x:v>0</x:v>
      </x:c>
      <x:c r="AL13" s="4" t="n">
        <x:f>COUNTIFS('Material routes'!$D$6:$D$2205,A13,'Material routes'!$C$6:$C$2205,"Tool candidate")</x:f>
        <x:v>0</x:v>
      </x:c>
      <x:c r="AM13" s="4" t="str">
        <x:f>IF(AJ13&gt;0,"Route listed; review status/completeness",IF(C13="T0","Raw entry feed; no production route","No production route listed"))</x:f>
        <x:v>Route listed; review status/completeness</x:v>
      </x:c>
      <x:c r="AN13" s="14" t="n">
        <x:f>IF(C13="T0",0,IF(C13="T1",1,IF(C13="T2",2,IF(C13="T3",3,IF(C13="T4",4,IF(C13="Unassigned",98,99))))))</x:f>
        <x:v>99</x:v>
      </x:c>
      <x:c r="AZ13"/>
      <x:c r="BA13"/>
      <x:c r="BB13"/>
      <x:c r="BC13"/>
      <x:c r="BD13"/>
      <x:c r="BE13"/>
      <x:c r="BF13"/>
      <x:c r="BG13"/>
      <x:c r="BH13"/>
      <x:c r="BI13"/>
      <x:c r="BJ13"/>
      <x:c r="BK13"/>
      <x:c r="BL13"/>
      <x:c r="BM13"/>
      <x:c r="BN13"/>
      <x:c r="BO13"/>
      <x:c r="BP13"/>
      <x:c r="BQ13"/>
      <x:c r="BR13"/>
      <x:c r="BS13"/>
      <x:c r="BT13"/>
      <x:c r="BU13"/>
      <x:c r="BV13"/>
      <x:c r="BW13"/>
      <x:c r="BX13"/>
      <x:c r="BY13"/>
      <x:c r="BZ13"/>
      <x:c r="CA13"/>
      <x:c r="CB13"/>
      <x:c r="CC13"/>
    </x:row>
    <x:row r="14" ht="48" customHeight="1">
      <x:c r="A14" s="9"/>
      <x:c r="B14" s="9"/>
      <x:c r="C14" s="4"/>
      <x:c r="D14" s="9"/>
      <x:c r="E14" s="9"/>
      <x:c r="F14" s="9"/>
      <x:c r="G14" s="9"/>
      <x:c r="H14" s="9"/>
      <x:c r="I14" s="9"/>
      <x:c r="J14" s="13"/>
      <x:c r="K14" s="15"/>
      <x:c r="L14" s="9"/>
      <x:c r="M14" s="9"/>
      <x:c r="N14" s="9"/>
      <x:c r="O14" s="9"/>
      <x:c r="P14" s="17"/>
      <x:c r="Q14" s="17"/>
      <x:c r="R14" s="17"/>
      <x:c r="S14" s="17"/>
      <x:c r="T14" s="17"/>
      <x:c r="U14" s="9"/>
      <x:c r="V14" s="11"/>
      <x:c r="W14" s="9"/>
      <x:c r="X14" s="4"/>
      <x:c r="Y14" s="4"/>
      <x:c r="Z14" s="4"/>
      <x:c r="AA14" s="4"/>
      <x:c r="AB14" s="4"/>
      <x:c r="AC14" s="4"/>
      <x:c r="AD14" s="4"/>
      <x:c r="AE14" s="4"/>
      <x:c r="AF14" s="4"/>
      <x:c r="AG14" s="4"/>
      <x:c r="AH14" s="4"/>
      <x:c r="AI14" s="4"/>
      <x:c r="AJ14" s="4"/>
      <x:c r="AK14" s="4"/>
      <x:c r="AL14" s="4"/>
      <x:c r="AM14" s="4"/>
      <x:c r="AN14" s="14"/>
      <x:c r="AZ14"/>
      <x:c r="BA14"/>
      <x:c r="BB14"/>
      <x:c r="BC14"/>
      <x:c r="BD14"/>
      <x:c r="BE14"/>
      <x:c r="BF14"/>
      <x:c r="BG14"/>
      <x:c r="BH14"/>
      <x:c r="BI14"/>
      <x:c r="BJ14"/>
      <x:c r="BK14"/>
      <x:c r="BL14"/>
      <x:c r="BM14"/>
      <x:c r="BN14"/>
      <x:c r="BO14"/>
      <x:c r="BP14"/>
      <x:c r="BQ14"/>
      <x:c r="BR14"/>
      <x:c r="BS14"/>
      <x:c r="BT14"/>
      <x:c r="BU14"/>
      <x:c r="BV14"/>
      <x:c r="BW14"/>
      <x:c r="BX14"/>
      <x:c r="BY14"/>
      <x:c r="BZ14"/>
      <x:c r="CA14"/>
      <x:c r="CB14"/>
      <x:c r="CC14"/>
    </x:row>
    <x:row r="15" ht="48" customHeight="1">
      <x:c r="A15" s="4" t="str">
        <x:v>equipment.arc_battery_charged</x:v>
      </x:c>
      <x:c r="B15" s="4" t="str">
        <x:v>Charged Arc Battery</x:v>
      </x:c>
      <x:c r="C15" s="4" t="str">
        <x:v>Not applicable</x:v>
      </x:c>
      <x:c r="D15" s="4" t="inlineStr">
        <x:is>
          <x:t xml:space="preserve">Tools</x:t>
        </x:is>
      </x:c>
      <x:c r="E15" s="4" t="str">
        <x:v>Energy container</x:v>
      </x:c>
      <x:c r="F15" s="4" t="str">
        <x:v>Camp Loop trial</x:v>
      </x:c>
      <x:c r="G15" s="4" t="inlineStr">
        <x:is>
          <x:t xml:space="preserve">An Arc Battery containing refined Arc Energy. It represents the charged state of a reusable battery rather than a supply of loose energy; compatible consumers and their operating requirements remain to be defined.</x:t>
        </x:is>
      </x:c>
      <x:c r="H15" s="4" t="str">
        <x:v>None</x:v>
      </x:c>
      <x:c r="I15" s="4" t="str">
        <x:v>Either carrier</x:v>
      </x:c>
      <x:c r="J15" s="14" t="n">
        <x:v>1</x:v>
      </x:c>
      <x:c r="K15" s="16" t="n">
        <x:v>0.8</x:v>
      </x:c>
      <x:c r="L15" s="4" t="str">
        <x:v>Refinery: empty battery plus 10 canister dust</x:v>
      </x:c>
      <x:c r="M15" s="4" t="str">
        <x:v>Charging output</x:v>
      </x:c>
      <x:c r="N15" s="4" t="str">
        <x:v>Charged battery state</x:v>
      </x:c>
      <x:c r="O15" s="4" t="str">
        <x:v>No downstream energy consumer catalogued</x:v>
      </x:c>
      <x:c r="P15" s="17"/>
      <x:c r="Q15" s="17"/>
      <x:c r="R15" s="17"/>
      <x:c r="S15" s="17"/>
      <x:c r="T15" s="17"/>
      <x:c r="U15" s="4" t="str">
        <x:v>Discharge, reuse and powered equipment</x:v>
      </x:c>
      <x:c r="V15" s="11"/>
      <x:c r="W15" s="4" t="str">
        <x:v>Assets/_Project/Settings/Items/CampLoop/ChargedArcBattery.asset; Docs/Evidence/Gameplay/CampWorkstations20261014/README.md</x:v>
      </x:c>
      <x:c r="X15" s="4" t="str">
        <x:v>Energy storage</x:v>
      </x:c>
      <x:c r="Y15" s="4" t="str">
        <x:v>Finished item</x:v>
      </x:c>
      <x:c r="Z15" s="4" t="str">
        <x:v>Manufactured / unresolved</x:v>
      </x:c>
      <x:c r="AA15" s="4" t="str">
        <x:v>Energy storage</x:v>
      </x:c>
      <x:c r="AB15" s="4" t="str">
        <x:v>Mixed / unresolved</x:v>
      </x:c>
      <x:c r="AC15" s="4" t="str">
        <x:v>Assembly</x:v>
      </x:c>
      <x:c r="AD15" s="4" t="str">
        <x:v>Existing definition</x:v>
      </x:c>
      <x:c r="AE15" s="4" t="str">
        <x:f>LOWER(A15&amp;"; "&amp;B15&amp;"; "&amp;D15&amp;"; "&amp;E15&amp;"; "&amp;X15&amp;"; "&amp;Y15&amp;"; "&amp;Z15&amp;"; "&amp;AA15&amp;"; "&amp;AB15&amp;"; "&amp;AC15&amp;"; "&amp;AD15&amp;"; "&amp;V15&amp;"; "&amp;C15&amp;"; "&amp;AH15&amp;"; "&amp;AI15)</x:f>
        <x:v>equipment.arc_battery_charged; charged arc battery; tools; energy container; energy storage; finished item; manufactured / unresolved; energy storage; mixed / unresolved; assembly; existing definition; ; not applicable; unassigned; finished item</x:v>
      </x:c>
      <x:c r="AF15" s="4" t="str">
        <x:v>From current item description. Proposed uses retain their existing approval status.</x:v>
      </x:c>
      <x:c r="AG15" s="4" t="str">
        <x:v>Finished endpoint; material tier is not applicable. Input tiers belong to the chosen recipe.</x:v>
      </x:c>
      <x:c r="AH15" s="4" t="str">
        <x:v>Unassigned</x:v>
      </x:c>
      <x:c r="AI15" s="4" t="str">
        <x:v>Finished item</x:v>
      </x:c>
      <x:c r="AJ15" s="4" t="n">
        <x:f>COUNTIFS('Material routes'!$D$6:$D$2205,A15,'Material routes'!$C$6:$C$2205,"Output")</x:f>
        <x:v>1</x:v>
      </x:c>
      <x:c r="AK15" s="4" t="n">
        <x:f>SUM(COUNTIFS('Material routes'!$D$6:$D$2205,A15,'Material routes'!$C$6:$C$2205,"Ingredient candidate"),COUNTIFS('Material routes'!$D$6:$D$2205,A15,'Material routes'!$C$6:$C$2205,"Consumed input"),COUNTIFS('Material routes'!$D$6:$D$2205,A15,'Material routes'!$C$6:$C$2205,"Contained input"),COUNTIFS('Material routes'!$D$6:$D$2205,A15,'Material routes'!$C$6:$C$2205,"Transform input"))</x:f>
        <x:v>0</x:v>
      </x:c>
      <x:c r="AL15" s="4" t="n">
        <x:f>COUNTIFS('Material routes'!$D$6:$D$2205,A15,'Material routes'!$C$6:$C$2205,"Tool candidate")</x:f>
        <x:v>0</x:v>
      </x:c>
      <x:c r="AM15" s="4" t="str">
        <x:f>IF(AJ15&gt;0,"Route listed; review status/completeness",IF(C15="T0","Raw entry feed; no production route","No production route listed"))</x:f>
        <x:v>Route listed; review status/completeness</x:v>
      </x:c>
      <x:c r="AN15" s="14" t="n">
        <x:f>IF(C15="T0",0,IF(C15="T1",1,IF(C15="T2",2,IF(C15="T3",3,IF(C15="T4",4,IF(C15="Unassigned",98,99))))))</x:f>
        <x:v>99</x:v>
      </x:c>
      <x:c r="AZ15"/>
      <x:c r="BA15"/>
      <x:c r="BB15"/>
      <x:c r="BC15"/>
      <x:c r="BD15"/>
      <x:c r="BE15"/>
      <x:c r="BF15"/>
      <x:c r="BG15"/>
      <x:c r="BH15"/>
      <x:c r="BI15"/>
      <x:c r="BJ15"/>
      <x:c r="BK15"/>
      <x:c r="BL15"/>
      <x:c r="BM15"/>
      <x:c r="BN15"/>
      <x:c r="BO15"/>
      <x:c r="BP15"/>
      <x:c r="BQ15"/>
      <x:c r="BR15"/>
      <x:c r="BS15"/>
      <x:c r="BT15"/>
      <x:c r="BU15"/>
      <x:c r="BV15"/>
      <x:c r="BW15"/>
      <x:c r="BX15"/>
      <x:c r="BY15"/>
      <x:c r="BZ15"/>
      <x:c r="CA15"/>
      <x:c r="CB15"/>
      <x:c r="CC15"/>
    </x:row>
    <x:row r="16" ht="48" customHeight="1">
      <x:c r="A16" s="9" t="str">
        <x:v>equipment.arc_battery_empty</x:v>
      </x:c>
      <x:c r="B16" s="9" t="str">
        <x:v>Empty Arc Battery</x:v>
      </x:c>
      <x:c r="C16" s="4" t="str">
        <x:v>Not applicable</x:v>
      </x:c>
      <x:c r="D16" s="9" t="inlineStr">
        <x:is>
          <x:t xml:space="preserve">Salvage</x:t>
        </x:is>
      </x:c>
      <x:c r="E16" s="9" t="str">
        <x:v>Energy container</x:v>
      </x:c>
      <x:c r="F16" s="9" t="str">
        <x:v>Camp Loop trial</x:v>
      </x:c>
      <x:c r="G16" s="9" t="inlineStr">
        <x:is>
          <x:t xml:space="preserve">An Arc Battery with no usable charge, retained for charging in the dust refinery. The existing holder must be supplied to the process; charging changes its state rather than manufacturing an extra battery.</x:t>
        </x:is>
      </x:c>
      <x:c r="H16" s="9" t="str">
        <x:v>None</x:v>
      </x:c>
      <x:c r="I16" s="9" t="str">
        <x:v>Either carrier</x:v>
      </x:c>
      <x:c r="J16" s="13" t="n">
        <x:v>1</x:v>
      </x:c>
      <x:c r="K16" s="15" t="n">
        <x:v>0.8</x:v>
      </x:c>
      <x:c r="L16" s="9" t="str">
        <x:v>Workbench: 4 Ironstone Ore</x:v>
      </x:c>
      <x:c r="M16" s="9" t="str">
        <x:v>Charging input</x:v>
      </x:c>
      <x:c r="N16" s="9" t="str">
        <x:v>Refinery accepts empty battery</x:v>
      </x:c>
      <x:c r="O16" s="9" t="str">
        <x:v>ID prefix equipment does not mean fitted equipment</x:v>
      </x:c>
      <x:c r="P16" s="17"/>
      <x:c r="Q16" s="17"/>
      <x:c r="R16" s="17"/>
      <x:c r="S16" s="17"/>
      <x:c r="T16" s="17"/>
      <x:c r="U16" s="9" t="str">
        <x:v>Final capacity, reuse and downstream uses</x:v>
      </x:c>
      <x:c r="V16" s="11" t="str">
        <x:v>energy processing</x:v>
      </x:c>
      <x:c r="W16" s="9" t="str">
        <x:v>Assets/_Project/Settings/Items/CampLoop/EmptyArcBattery.asset; Docs/Evidence/Gameplay/CampWorkstations20261014/README.md</x:v>
      </x:c>
      <x:c r="X16" s="4" t="str">
        <x:v>Energy storage</x:v>
      </x:c>
      <x:c r="Y16" s="4" t="str">
        <x:v>Finished item</x:v>
      </x:c>
      <x:c r="Z16" s="4" t="str">
        <x:v>Manufactured / unresolved</x:v>
      </x:c>
      <x:c r="AA16" s="4" t="str">
        <x:v>Energy storage</x:v>
      </x:c>
      <x:c r="AB16" s="4" t="str">
        <x:v>Mixed / unresolved</x:v>
      </x:c>
      <x:c r="AC16" s="4" t="str">
        <x:v>Assembly</x:v>
      </x:c>
      <x:c r="AD16" s="4" t="str">
        <x:v>Existing definition</x:v>
      </x:c>
      <x:c r="AE16" s="4" t="str">
        <x:f>LOWER(A16&amp;"; "&amp;B16&amp;"; "&amp;D16&amp;"; "&amp;E16&amp;"; "&amp;X16&amp;"; "&amp;Y16&amp;"; "&amp;Z16&amp;"; "&amp;AA16&amp;"; "&amp;AB16&amp;"; "&amp;AC16&amp;"; "&amp;AD16&amp;"; "&amp;V16&amp;"; "&amp;C16&amp;"; "&amp;AH16&amp;"; "&amp;AI16)</x:f>
        <x:v>equipment.arc_battery_empty; empty arc battery; salvage; energy container; energy storage; finished item; manufactured / unresolved; energy storage; mixed / unresolved; assembly; existing definition; energy processing; not applicable; t0; finished item</x:v>
      </x:c>
      <x:c r="AF16" s="4" t="str">
        <x:v>From current item description. Proposed uses retain their existing approval status.</x:v>
      </x:c>
      <x:c r="AG16" s="4" t="str">
        <x:v>Finished endpoint; material tier is not applicable. Input tiers belong to the chosen recipe.</x:v>
      </x:c>
      <x:c r="AH16" s="4" t="str">
        <x:v>T0</x:v>
      </x:c>
      <x:c r="AI16" s="4" t="str">
        <x:v>Finished item</x:v>
      </x:c>
      <x:c r="AJ16" s="4" t="n">
        <x:f>COUNTIFS('Material routes'!$D$6:$D$2205,A16,'Material routes'!$C$6:$C$2205,"Output")</x:f>
        <x:v>1</x:v>
      </x:c>
      <x:c r="AK16" s="4" t="n">
        <x:f>SUM(COUNTIFS('Material routes'!$D$6:$D$2205,A16,'Material routes'!$C$6:$C$2205,"Ingredient candidate"),COUNTIFS('Material routes'!$D$6:$D$2205,A16,'Material routes'!$C$6:$C$2205,"Consumed input"),COUNTIFS('Material routes'!$D$6:$D$2205,A16,'Material routes'!$C$6:$C$2205,"Contained input"),COUNTIFS('Material routes'!$D$6:$D$2205,A16,'Material routes'!$C$6:$C$2205,"Transform input"))</x:f>
        <x:v>1</x:v>
      </x:c>
      <x:c r="AL16" s="4" t="n">
        <x:f>COUNTIFS('Material routes'!$D$6:$D$2205,A16,'Material routes'!$C$6:$C$2205,"Tool candidate")</x:f>
        <x:v>0</x:v>
      </x:c>
      <x:c r="AM16" s="4" t="str">
        <x:f>IF(AJ16&gt;0,"Route listed; review status/completeness",IF(C16="T0","Raw entry feed; no production route","No production route listed"))</x:f>
        <x:v>Route listed; review status/completeness</x:v>
      </x:c>
      <x:c r="AN16" s="14" t="n">
        <x:f>IF(C16="T0",0,IF(C16="T1",1,IF(C16="T2",2,IF(C16="T3",3,IF(C16="T4",4,IF(C16="Unassigned",98,99))))))</x:f>
        <x:v>99</x:v>
      </x:c>
      <x:c r="AZ16"/>
      <x:c r="BA16"/>
      <x:c r="BB16"/>
      <x:c r="BC16"/>
      <x:c r="BD16"/>
      <x:c r="BE16"/>
      <x:c r="BF16"/>
      <x:c r="BG16"/>
      <x:c r="BH16"/>
      <x:c r="BI16"/>
      <x:c r="BJ16"/>
      <x:c r="BK16"/>
      <x:c r="BL16"/>
      <x:c r="BM16"/>
      <x:c r="BN16"/>
      <x:c r="BO16"/>
      <x:c r="BP16"/>
      <x:c r="BQ16"/>
      <x:c r="BR16"/>
      <x:c r="BS16"/>
      <x:c r="BT16"/>
      <x:c r="BU16"/>
      <x:c r="BV16"/>
      <x:c r="BW16"/>
      <x:c r="BX16"/>
      <x:c r="BY16"/>
      <x:c r="BZ16"/>
      <x:c r="CA16"/>
      <x:c r="CB16"/>
      <x:c r="CC16"/>
    </x:row>
    <x:row r="17" ht="48" customHeight="1">
      <x:c r="A17" s="4" t="str">
        <x:v>tool.popup_camp</x:v>
      </x:c>
      <x:c r="B17" s="4" t="str">
        <x:v>Pop-up camp</x:v>
      </x:c>
      <x:c r="C17" s="4" t="str">
        <x:v>Not applicable</x:v>
      </x:c>
      <x:c r="D17" s="4" t="inlineStr">
        <x:is>
          <x:t xml:space="preserve">Salvage</x:t>
        </x:is>
      </x:c>
      <x:c r="E17" s="4" t="inlineStr">
        <x:is>
          <x:t xml:space="preserve">Shelter &amp; rest</x:t>
        </x:is>
      </x:c>
      <x:c r="F17" s="4" t="str">
        <x:v>Shared definition; trial variant/rules</x:v>
      </x:c>
      <x:c r="G17" s="4" t="inlineStr">
        <x:is>
          <x:t xml:space="preserve">A reusable packed shade arrangement that can be deployed as a resting place for Rest and Sleep. It remains one physical camp item through packing and deployment, with no additional healing or remote-storage function implied by its shelter role.</x:t>
        </x:is>
      </x:c>
      <x:c r="H17" s="4" t="str">
        <x:v>None</x:v>
      </x:c>
      <x:c r="I17" s="4" t="str">
        <x:v>Either carrier</x:v>
      </x:c>
      <x:c r="J17" s="14" t="n">
        <x:v>1</x:v>
      </x:c>
      <x:c r="K17" s="16" t="n">
        <x:v>2.5</x:v>
      </x:c>
      <x:c r="L17" s="4" t="str">
        <x:v>Starter supply bundle</x:v>
      </x:c>
      <x:c r="M17" s="4" t="str">
        <x:v>No recipe authored</x:v>
      </x:c>
      <x:c r="N17" s="4" t="str">
        <x:v>Existing camp rest/sleep actions</x:v>
      </x:c>
      <x:c r="O17" s="4" t="str">
        <x:v>One trial supply pocket; shared production definition is not a field supply</x:v>
      </x:c>
      <x:c r="P17" s="17"/>
      <x:c r="Q17" s="17"/>
      <x:c r="R17" s="17"/>
      <x:c r="S17" s="17"/>
      <x:c r="T17" s="17"/>
      <x:c r="U17" s="4" t="str">
        <x:v>Final camp kit and upgrade design; author shade-material direction: delicate inner wings. Existing prototype art/recipe unchanged; no duplicate shade item.</x:v>
      </x:c>
      <x:c r="V17" s="11" t="inlineStr">
        <x:is>
          <x:t xml:space="preserve">sun shading; vertical sun shade shelter; Camp bundle; camp goods; Shelter &amp; rest</x:t>
        </x:is>
      </x:c>
      <x:c r="W17" s="4" t="str">
        <x:v>Assets/_Project/Settings/Items/CampLoopLoadout/PopupCamp.asset; Docs/Evidence/Gameplay/CampLoopLoadout20261014/README.md</x:v>
      </x:c>
      <x:c r="X17" s="4" t="str">
        <x:v>Shelter item</x:v>
      </x:c>
      <x:c r="Y17" s="4" t="str">
        <x:v>Finished item</x:v>
      </x:c>
      <x:c r="Z17" s="4" t="str">
        <x:v>Unresolved</x:v>
      </x:c>
      <x:c r="AA17" s="4" t="str">
        <x:v>Camp rest</x:v>
      </x:c>
      <x:c r="AB17" s="4" t="str">
        <x:v>Mixed / unresolved</x:v>
      </x:c>
      <x:c r="AC17" s="4" t="str">
        <x:v>Assembly</x:v>
      </x:c>
      <x:c r="AD17" s="4" t="str">
        <x:v>Existing definition</x:v>
      </x:c>
      <x:c r="AE17" s="4" t="str">
        <x:f>LOWER(A17&amp;"; "&amp;B17&amp;"; "&amp;D17&amp;"; "&amp;E17&amp;"; "&amp;X17&amp;"; "&amp;Y17&amp;"; "&amp;Z17&amp;"; "&amp;AA17&amp;"; "&amp;AB17&amp;"; "&amp;AC17&amp;"; "&amp;AD17&amp;"; "&amp;V17&amp;"; "&amp;C17&amp;"; "&amp;AH17&amp;"; "&amp;AI17)</x:f>
        <x:v>tool.popup_camp; pop-up camp; salvage; shelter &amp; rest; shelter item; finished item; unresolved; camp rest; mixed / unresolved; assembly; existing definition; sun shading; vertical sun shade shelter; camp bundle; camp goods; shelter &amp; rest; not applicable; unassigned; finished item</x:v>
      </x:c>
      <x:c r="AF17" s="4" t="inlineStr">
        <x:is>
          <x:t xml:space="preserve">From current item description. Proposed uses retain their existing approval status. Collection expansion: Shelter item is the umbrella type; ten proposed contents are listed separately. Existing packed-camp definition is unchanged. Author camp organization: Camp items / Shelter &amp; rest; previous category/subtype: Field supplies / Camp bundle. Author direction October 16: all Camp items are Salvage; retire the Camp items section. Item identity, condition, tiers, purposes and recipe semantics remain unchanged.</x:t>
        </x:is>
      </x:c>
      <x:c r="AG17" s="4" t="str">
        <x:v>Finished endpoint; material tier is not applicable. Input tiers belong to the chosen recipe.</x:v>
      </x:c>
      <x:c r="AH17" s="4" t="str">
        <x:v>Unassigned</x:v>
      </x:c>
      <x:c r="AI17" s="4" t="str">
        <x:v>Finished item</x:v>
      </x:c>
      <x:c r="AJ17" s="4" t="n">
        <x:f>COUNTIFS('Material routes'!$D$6:$D$2205,A17,'Material routes'!$C$6:$C$2205,"Output")</x:f>
        <x:v>1</x:v>
      </x:c>
      <x:c r="AK17" s="4" t="n">
        <x:f>SUM(COUNTIFS('Material routes'!$D$6:$D$2205,A17,'Material routes'!$C$6:$C$2205,"Ingredient candidate"),COUNTIFS('Material routes'!$D$6:$D$2205,A17,'Material routes'!$C$6:$C$2205,"Consumed input"),COUNTIFS('Material routes'!$D$6:$D$2205,A17,'Material routes'!$C$6:$C$2205,"Contained input"),COUNTIFS('Material routes'!$D$6:$D$2205,A17,'Material routes'!$C$6:$C$2205,"Transform input"))</x:f>
        <x:v>0</x:v>
      </x:c>
      <x:c r="AL17" s="4" t="n">
        <x:f>COUNTIFS('Material routes'!$D$6:$D$2205,A17,'Material routes'!$C$6:$C$2205,"Tool candidate")</x:f>
        <x:v>0</x:v>
      </x:c>
      <x:c r="AM17" s="4" t="str">
        <x:f>IF(AJ17&gt;0,"Route listed; review status/completeness",IF(C17="T0","Raw entry feed; no production route","No production route listed"))</x:f>
        <x:v>Route listed; review status/completeness</x:v>
      </x:c>
      <x:c r="AN17" s="14" t="n">
        <x:f>IF(C17="T0",0,IF(C17="T1",1,IF(C17="T2",2,IF(C17="T3",3,IF(C17="T4",4,IF(C17="Unassigned",98,99))))))</x:f>
        <x:v>99</x:v>
      </x:c>
      <x:c r="AZ17"/>
      <x:c r="BA17"/>
      <x:c r="BB17"/>
      <x:c r="BC17"/>
      <x:c r="BD17"/>
      <x:c r="BE17"/>
      <x:c r="BF17"/>
      <x:c r="BG17"/>
      <x:c r="BH17"/>
      <x:c r="BI17"/>
      <x:c r="BJ17"/>
      <x:c r="BK17"/>
      <x:c r="BL17"/>
      <x:c r="BM17"/>
      <x:c r="BN17"/>
      <x:c r="BO17"/>
      <x:c r="BP17"/>
      <x:c r="BQ17"/>
      <x:c r="BR17"/>
      <x:c r="BS17"/>
      <x:c r="BT17"/>
      <x:c r="BU17"/>
      <x:c r="BV17"/>
      <x:c r="BW17"/>
      <x:c r="BX17"/>
      <x:c r="BY17"/>
      <x:c r="BZ17"/>
      <x:c r="CA17"/>
      <x:c r="CB17"/>
      <x:c r="CC17"/>
    </x:row>
    <x:row r="18" ht="48" customHeight="1">
      <x:c r="A18" s="9" t="str">
        <x:v>resource.airborne_dust</x:v>
      </x:c>
      <x:c r="B18" s="9" t="str">
        <x:v>Airborne Dust</x:v>
      </x:c>
      <x:c r="C18" s="4" t="str">
        <x:v>T0</x:v>
      </x:c>
      <x:c r="D18" s="9" t="str">
        <x:v>Atmospheric resources</x:v>
      </x:c>
      <x:c r="E18" s="9" t="str">
        <x:v>Airborne resource</x:v>
      </x:c>
      <x:c r="F18" s="9" t="str">
        <x:v>Shared definition; trial variant/rules</x:v>
      </x:c>
      <x:c r="G18" s="9" t="inlineStr">
        <x:is>
          <x:t xml:space="preserve">Dust suspended in the atmosphere and gathered with the dust canister for the camp refinery. It is the recorded energy-processing feed, distinct from the ordinary Mineral Dust produced by sorting Ironstone.</x:t>
        </x:is>
      </x:c>
      <x:c r="H18" s="9" t="str">
        <x:v>None</x:v>
      </x:c>
      <x:c r="I18" s="9" t="str">
        <x:v>Legger only</x:v>
      </x:c>
      <x:c r="J18" s="13" t="n">
        <x:v>100</x:v>
      </x:c>
      <x:c r="K18" s="15" t="n">
        <x:v>0.05</x:v>
      </x:c>
      <x:c r="L18" s="9" t="str">
        <x:v>Deployed canister collection</x:v>
      </x:c>
      <x:c r="M18" s="9" t="str">
        <x:v>10 canister dust per charged battery</x:v>
      </x:c>
      <x:c r="N18" s="9" t="str">
        <x:v>Camp refinery input</x:v>
      </x:c>
      <x:c r="O18" s="9" t="str">
        <x:v>Mineral Dust is a different item and cannot substitute</x:v>
      </x:c>
      <x:c r="P18" s="17"/>
      <x:c r="Q18" s="17"/>
      <x:c r="R18" s="17"/>
      <x:c r="S18" s="17"/>
      <x:c r="T18" s="17"/>
      <x:c r="U18" s="9" t="str">
        <x:v>Final Arc Dust/Airborne Dust terminology</x:v>
      </x:c>
      <x:c r="V18" s="11"/>
      <x:c r="W18" s="9" t="str">
        <x:v>Assets/_Project/Settings/Items/Item_AirborneDust.asset; Docs/Evidence/Gameplay/CampWorkstations20261014/README.md</x:v>
      </x:c>
      <x:c r="X18" s="4" t="str">
        <x:v>Raw material</x:v>
      </x:c>
      <x:c r="Y18" s="4" t="str">
        <x:v>Raw</x:v>
      </x:c>
      <x:c r="Z18" s="4" t="str">
        <x:v>Atmospheric</x:v>
      </x:c>
      <x:c r="AA18" s="4" t="str">
        <x:v>Energy processing</x:v>
      </x:c>
      <x:c r="AB18" s="4" t="str">
        <x:v>Unresolved</x:v>
      </x:c>
      <x:c r="AC18" s="4" t="str">
        <x:v>Particles</x:v>
      </x:c>
      <x:c r="AD18" s="4" t="str">
        <x:v>Existing definition</x:v>
      </x:c>
      <x:c r="AE18" s="4" t="str">
        <x:f>LOWER(A18&amp;"; "&amp;B18&amp;"; "&amp;D18&amp;"; "&amp;E18&amp;"; "&amp;X18&amp;"; "&amp;Y18&amp;"; "&amp;Z18&amp;"; "&amp;AA18&amp;"; "&amp;AB18&amp;"; "&amp;AC18&amp;"; "&amp;AD18&amp;"; "&amp;V18&amp;"; "&amp;C18&amp;"; "&amp;AH18&amp;"; "&amp;AI18)</x:f>
        <x:v>resource.airborne_dust; airborne dust; atmospheric resources; airborne resource; raw material; raw; atmospheric; energy processing; unresolved; particles; existing definition; ; t0; not applicable; material</x:v>
      </x:c>
      <x:c r="AF18" s="4" t="str">
        <x:v>From current item description. Proposed uses retain their existing approval status. Lore category review: Resources -&gt; Mineral resources. Classification only; original item status and tier retained. October 15 audit: classification/handling clarified; item identity, design status and material tier preserved.</x:v>
      </x:c>
      <x:c r="AG18" s="4" t="str">
        <x:v>Raw gathered/recovered craft input under the author T0 framework. This does not imply a naturally occurring pure metal.</x:v>
      </x:c>
      <x:c r="AH18" s="4" t="str">
        <x:v>Not applicable</x:v>
      </x:c>
      <x:c r="AI18" s="4" t="str">
        <x:v>Material</x:v>
      </x:c>
      <x:c r="AJ18" s="4" t="n">
        <x:f>COUNTIFS('Material routes'!$D$6:$D$2205,A18,'Material routes'!$C$6:$C$2205,"Output")</x:f>
        <x:v>0</x:v>
      </x:c>
      <x:c r="AK18" s="4" t="n">
        <x:f>SUM(COUNTIFS('Material routes'!$D$6:$D$2205,A18,'Material routes'!$C$6:$C$2205,"Ingredient candidate"),COUNTIFS('Material routes'!$D$6:$D$2205,A18,'Material routes'!$C$6:$C$2205,"Consumed input"),COUNTIFS('Material routes'!$D$6:$D$2205,A18,'Material routes'!$C$6:$C$2205,"Contained input"),COUNTIFS('Material routes'!$D$6:$D$2205,A18,'Material routes'!$C$6:$C$2205,"Transform input"))</x:f>
        <x:v>1</x:v>
      </x:c>
      <x:c r="AL18" s="4" t="n">
        <x:f>COUNTIFS('Material routes'!$D$6:$D$2205,A18,'Material routes'!$C$6:$C$2205,"Tool candidate")</x:f>
        <x:v>0</x:v>
      </x:c>
      <x:c r="AM18" s="4" t="str">
        <x:f>IF(AJ18&gt;0,"Route listed; review status/completeness",IF(C18="T0","Raw entry feed; no production route","No production route listed"))</x:f>
        <x:v>Raw entry feed; no production route</x:v>
      </x:c>
      <x:c r="AN18" s="14" t="n">
        <x:f>IF(C18="T0",0,IF(C18="T1",1,IF(C18="T2",2,IF(C18="T3",3,IF(C18="T4",4,IF(C18="Unassigned",98,99))))))</x:f>
        <x:v>0</x:v>
      </x:c>
      <x:c r="AZ18"/>
      <x:c r="BA18"/>
      <x:c r="BB18"/>
      <x:c r="BC18"/>
      <x:c r="BD18"/>
      <x:c r="BE18"/>
      <x:c r="BF18"/>
      <x:c r="BG18"/>
      <x:c r="BH18"/>
      <x:c r="BI18"/>
      <x:c r="BJ18"/>
      <x:c r="BK18"/>
      <x:c r="BL18"/>
      <x:c r="BM18"/>
      <x:c r="BN18"/>
      <x:c r="BO18"/>
      <x:c r="BP18"/>
      <x:c r="BQ18"/>
      <x:c r="BR18"/>
      <x:c r="BS18"/>
      <x:c r="BT18"/>
      <x:c r="BU18"/>
      <x:c r="BV18"/>
      <x:c r="BW18"/>
      <x:c r="BX18"/>
      <x:c r="BY18"/>
      <x:c r="BZ18"/>
      <x:c r="CA18"/>
      <x:c r="CB18"/>
      <x:c r="CC18"/>
    </x:row>
    <x:row r="19" ht="170" customHeight="1">
      <x:c r="A19" s="4" t="str">
        <x:v>lab.ironstone.aggregate</x:v>
      </x:c>
      <x:c r="B19" s="4" t="str">
        <x:v>Coarse Aggregate</x:v>
      </x:c>
      <x:c r="C19" s="4" t="str">
        <x:v>T1</x:v>
      </x:c>
      <x:c r="D19" s="4" t="str">
        <x:v>Manufactured stock</x:v>
      </x:c>
      <x:c r="E19" s="4" t="str">
        <x:v>Processed mineral</x:v>
      </x:c>
      <x:c r="F19" s="4" t="str">
        <x:v>Camp Loop trial</x:v>
      </x:c>
      <x:c r="G19" s="4" t="inlineStr">
        <x:is>
          <x:t xml:space="preserve">The coarse granular fraction left by dry sorting Ironstone. Its larger pieces form a separate stock from the sand, mineral fines and iron-rich concentrate; downstream uses and recovery yields remain to be designed.</x:t>
        </x:is>
      </x:c>
      <x:c r="H19" s="4" t="str">
        <x:v>None</x:v>
      </x:c>
      <x:c r="I19" s="4" t="str">
        <x:v>Legger only</x:v>
      </x:c>
      <x:c r="J19" s="14" t="n">
        <x:v>99</x:v>
      </x:c>
      <x:c r="K19" s="16" t="n">
        <x:v>0.75</x:v>
      </x:c>
      <x:c r="L19" s="4" t="str">
        <x:v>Dry sorting: 2 per batch</x:v>
      </x:c>
      <x:c r="M19" s="4" t="str">
        <x:v>Dry sorting output</x:v>
      </x:c>
      <x:c r="N19" s="4" t="str">
        <x:v>Provisional processing material</x:v>
      </x:c>
      <x:c r="O19" s="4" t="str">
        <x:v>No downstream recipe authored</x:v>
      </x:c>
      <x:c r="P19" s="17"/>
      <x:c r="Q19" s="17"/>
      <x:c r="R19" s="17"/>
      <x:c r="S19" s="17"/>
      <x:c r="T19" s="17"/>
      <x:c r="U19" s="4" t="str">
        <x:v>Uses and final name/yield</x:v>
      </x:c>
      <x:c r="V19" s="11"/>
      <x:c r="W19" s="4" t="str">
        <x:v>Assets/_Project/Settings/Items/CampLoopIronstone/0-CoarseAggregate.asset; Docs/Evidence/Gameplay/CampIronstone20261014/README.md</x:v>
      </x:c>
      <x:c r="X19" s="4" t="str">
        <x:v>Processed material</x:v>
      </x:c>
      <x:c r="Y19" s="4" t="str">
        <x:v>Processed intermediate</x:v>
      </x:c>
      <x:c r="Z19" s="4" t="str">
        <x:v>Geological</x:v>
      </x:c>
      <x:c r="AA19" s="4" t="str">
        <x:v>Use unresolved</x:v>
      </x:c>
      <x:c r="AB19" s="4" t="str">
        <x:v>Mineral</x:v>
      </x:c>
      <x:c r="AC19" s="4" t="str">
        <x:v>Particles</x:v>
      </x:c>
      <x:c r="AD19" s="4" t="str">
        <x:v>Existing definition</x:v>
      </x:c>
      <x:c r="AE19" s="4" t="str">
        <x:f>LOWER(A19&amp;"; "&amp;B19&amp;"; "&amp;D19&amp;"; "&amp;E19&amp;"; "&amp;X19&amp;"; "&amp;Y19&amp;"; "&amp;Z19&amp;"; "&amp;AA19&amp;"; "&amp;AB19&amp;"; "&amp;AC19&amp;"; "&amp;AD19&amp;"; "&amp;V19&amp;"; "&amp;C19&amp;"; "&amp;AH19&amp;"; "&amp;AI19)</x:f>
        <x:v>lab.ironstone.aggregate; coarse aggregate; manufactured stock; processed mineral; processed material; processed intermediate; geological; use unresolved; mineral; particles; existing definition; ; t1; not applicable; material</x:v>
      </x:c>
      <x:c r="AF19" s="4" t="str">
        <x:v>From current item description. Proposed uses retain their existing approval status. Lore category review: Resources -&gt; Manufactured stock. Classification only; original item status and tier retained.</x:v>
      </x:c>
      <x:c r="AG19" s="4" t="str">
        <x:v>October 15 proposed tier review: First dry-sorted fractions from T0 Ironstone Ore; use the existing multi-output sorter recipe. Original source quantities and all four co-products remain unchanged. This is a classification only, not a replacement recipe.</x:v>
      </x:c>
      <x:c r="AH19" s="4" t="str">
        <x:v>Not applicable</x:v>
      </x:c>
      <x:c r="AI19" s="4" t="str">
        <x:v>Material</x:v>
      </x:c>
      <x:c r="AJ19" s="4" t="n">
        <x:f>COUNTIFS('Material routes'!$D$6:$D$2205,A19,'Material routes'!$C$6:$C$2205,"Output")</x:f>
        <x:v>1</x:v>
      </x:c>
      <x:c r="AK19" s="4" t="n">
        <x:f>SUM(COUNTIFS('Material routes'!$D$6:$D$2205,A19,'Material routes'!$C$6:$C$2205,"Ingredient candidate"),COUNTIFS('Material routes'!$D$6:$D$2205,A19,'Material routes'!$C$6:$C$2205,"Consumed input"),COUNTIFS('Material routes'!$D$6:$D$2205,A19,'Material routes'!$C$6:$C$2205,"Contained input"),COUNTIFS('Material routes'!$D$6:$D$2205,A19,'Material routes'!$C$6:$C$2205,"Transform input"))</x:f>
        <x:v>1</x:v>
      </x:c>
      <x:c r="AL19" s="4" t="n">
        <x:f>COUNTIFS('Material routes'!$D$6:$D$2205,A19,'Material routes'!$C$6:$C$2205,"Tool candidate")</x:f>
        <x:v>0</x:v>
      </x:c>
      <x:c r="AM19" s="4" t="str">
        <x:f>IF(AJ19&gt;0,"Route listed; review status/completeness",IF(C19="T0","Raw entry feed; no production route","No production route listed"))</x:f>
        <x:v>Route listed; review status/completeness</x:v>
      </x:c>
      <x:c r="AN19" s="14" t="n">
        <x:f>IF(C19="T0",0,IF(C19="T1",1,IF(C19="T2",2,IF(C19="T3",3,IF(C19="T4",4,IF(C19="Unassigned",98,99))))))</x:f>
        <x:v>1</x:v>
      </x:c>
      <x:c r="AZ19"/>
      <x:c r="BA19"/>
      <x:c r="BB19"/>
      <x:c r="BC19"/>
      <x:c r="BD19"/>
      <x:c r="BE19"/>
      <x:c r="BF19"/>
      <x:c r="BG19"/>
      <x:c r="BH19"/>
      <x:c r="BI19"/>
      <x:c r="BJ19"/>
      <x:c r="BK19"/>
      <x:c r="BL19"/>
      <x:c r="BM19"/>
      <x:c r="BN19"/>
      <x:c r="BO19"/>
      <x:c r="BP19"/>
      <x:c r="BQ19"/>
      <x:c r="BR19"/>
      <x:c r="BS19"/>
      <x:c r="BT19"/>
      <x:c r="BU19"/>
      <x:c r="BV19"/>
      <x:c r="BW19"/>
      <x:c r="BX19"/>
      <x:c r="BY19"/>
      <x:c r="BZ19"/>
      <x:c r="CA19"/>
      <x:c r="CB19"/>
      <x:c r="CC19"/>
    </x:row>
    <x:row r="20" ht="48" customHeight="1">
      <x:c r="A20" s="9" t="str">
        <x:v>lab.ironstone.concentrate</x:v>
      </x:c>
      <x:c r="B20" s="9" t="str">
        <x:v>Iron-rich Concentrate</x:v>
      </x:c>
      <x:c r="C20" s="4" t="str">
        <x:v>T1</x:v>
      </x:c>
      <x:c r="D20" s="9" t="str">
        <x:v>Manufactured stock</x:v>
      </x:c>
      <x:c r="E20" s="9" t="str">
        <x:v>Processed mineral</x:v>
      </x:c>
      <x:c r="F20" s="9" t="str">
        <x:v>Camp Loop trial</x:v>
      </x:c>
      <x:c r="G20" s="9" t="inlineStr">
        <x:is>
          <x:t xml:space="preserve">The iron-rich fraction separated during dry sorting of Ironstone. It concentrates candidate metal-bearing feed for later refining, without implying that sorting has already produced usable iron metal.</x:t>
        </x:is>
      </x:c>
      <x:c r="H20" s="9" t="str">
        <x:v>None</x:v>
      </x:c>
      <x:c r="I20" s="9" t="str">
        <x:v>Legger only</x:v>
      </x:c>
      <x:c r="J20" s="13" t="n">
        <x:v>99</x:v>
      </x:c>
      <x:c r="K20" s="15" t="n">
        <x:v>2</x:v>
      </x:c>
      <x:c r="L20" s="9" t="str">
        <x:v>Dry sorting: 1 per batch</x:v>
      </x:c>
      <x:c r="M20" s="9" t="str">
        <x:v>Dry sorting output</x:v>
      </x:c>
      <x:c r="N20" s="9" t="str">
        <x:v>Provisional processing material</x:v>
      </x:c>
      <x:c r="O20" s="9" t="str">
        <x:v>Powered metal production is deferred</x:v>
      </x:c>
      <x:c r="P20" s="17"/>
      <x:c r="Q20" s="17"/>
      <x:c r="R20" s="17"/>
      <x:c r="S20" s="17"/>
      <x:c r="T20" s="17"/>
      <x:c r="U20" s="9" t="str">
        <x:v>Uses and final name/yield</x:v>
      </x:c>
      <x:c r="V20" s="11"/>
      <x:c r="W20" s="9" t="str">
        <x:v>Assets/_Project/Settings/Items/CampLoopIronstone/1-Iron-richConcentrate.asset; Docs/Evidence/Gameplay/CampIronstone20261014/README.md</x:v>
      </x:c>
      <x:c r="X20" s="4" t="str">
        <x:v>Processed material</x:v>
      </x:c>
      <x:c r="Y20" s="4" t="str">
        <x:v>Processed intermediate</x:v>
      </x:c>
      <x:c r="Z20" s="4" t="str">
        <x:v>Geological</x:v>
      </x:c>
      <x:c r="AA20" s="4" t="str">
        <x:v>Metal refining</x:v>
      </x:c>
      <x:c r="AB20" s="4" t="str">
        <x:v>Mineral</x:v>
      </x:c>
      <x:c r="AC20" s="4" t="str">
        <x:v>Particles</x:v>
      </x:c>
      <x:c r="AD20" s="4" t="str">
        <x:v>Existing definition</x:v>
      </x:c>
      <x:c r="AE20" s="4" t="str">
        <x:f>LOWER(A20&amp;"; "&amp;B20&amp;"; "&amp;D20&amp;"; "&amp;E20&amp;"; "&amp;X20&amp;"; "&amp;Y20&amp;"; "&amp;Z20&amp;"; "&amp;AA20&amp;"; "&amp;AB20&amp;"; "&amp;AC20&amp;"; "&amp;AD20&amp;"; "&amp;V20&amp;"; "&amp;C20&amp;"; "&amp;AH20&amp;"; "&amp;AI20)</x:f>
        <x:v>lab.ironstone.concentrate; iron-rich concentrate; manufactured stock; processed mineral; processed material; processed intermediate; geological; metal refining; mineral; particles; existing definition; ; t1; not applicable; material</x:v>
      </x:c>
      <x:c r="AF20" s="4" t="str">
        <x:v>From current item description. Proposed uses retain their existing approval status. Lore category review: Resources -&gt; Manufactured stock. Classification only; original item status and tier retained.</x:v>
      </x:c>
      <x:c r="AG20" s="4" t="str">
        <x:v>Proposed game manufacturing tier from the candidate routes. Integrated operations may contain many work steps.</x:v>
      </x:c>
      <x:c r="AH20" s="4" t="str">
        <x:v>Not applicable</x:v>
      </x:c>
      <x:c r="AI20" s="4" t="str">
        <x:v>Material</x:v>
      </x:c>
      <x:c r="AJ20" s="4" t="n">
        <x:f>COUNTIFS('Material routes'!$D$6:$D$2205,A20,'Material routes'!$C$6:$C$2205,"Output")</x:f>
        <x:v>1</x:v>
      </x:c>
      <x:c r="AK20" s="4" t="n">
        <x:f>SUM(COUNTIFS('Material routes'!$D$6:$D$2205,A20,'Material routes'!$C$6:$C$2205,"Ingredient candidate"),COUNTIFS('Material routes'!$D$6:$D$2205,A20,'Material routes'!$C$6:$C$2205,"Consumed input"),COUNTIFS('Material routes'!$D$6:$D$2205,A20,'Material routes'!$C$6:$C$2205,"Contained input"),COUNTIFS('Material routes'!$D$6:$D$2205,A20,'Material routes'!$C$6:$C$2205,"Transform input"))</x:f>
        <x:v>0</x:v>
      </x:c>
      <x:c r="AL20" s="4" t="n">
        <x:f>COUNTIFS('Material routes'!$D$6:$D$2205,A20,'Material routes'!$C$6:$C$2205,"Tool candidate")</x:f>
        <x:v>0</x:v>
      </x:c>
      <x:c r="AM20" s="4" t="str">
        <x:f>IF(AJ20&gt;0,"Route listed; review status/completeness",IF(C20="T0","Raw entry feed; no production route","No production route listed"))</x:f>
        <x:v>Route listed; review status/completeness</x:v>
      </x:c>
      <x:c r="AN20" s="14" t="n">
        <x:f>IF(C20="T0",0,IF(C20="T1",1,IF(C20="T2",2,IF(C20="T3",3,IF(C20="T4",4,IF(C20="Unassigned",98,99))))))</x:f>
        <x:v>1</x:v>
      </x:c>
      <x:c r="AZ20"/>
      <x:c r="BA20"/>
      <x:c r="BB20"/>
      <x:c r="BC20"/>
      <x:c r="BD20"/>
      <x:c r="BE20"/>
      <x:c r="BF20"/>
      <x:c r="BG20"/>
      <x:c r="BH20"/>
      <x:c r="BI20"/>
      <x:c r="BJ20"/>
      <x:c r="BK20"/>
      <x:c r="BL20"/>
      <x:c r="BM20"/>
      <x:c r="BN20"/>
      <x:c r="BO20"/>
      <x:c r="BP20"/>
      <x:c r="BQ20"/>
      <x:c r="BR20"/>
      <x:c r="BS20"/>
      <x:c r="BT20"/>
      <x:c r="BU20"/>
      <x:c r="BV20"/>
      <x:c r="BW20"/>
      <x:c r="BX20"/>
      <x:c r="BY20"/>
      <x:c r="BZ20"/>
      <x:c r="CA20"/>
      <x:c r="CB20"/>
      <x:c r="CC20"/>
    </x:row>
    <x:row r="21" ht="48" customHeight="1">
      <x:c r="A21" s="4" t="str">
        <x:v>resource.ironstone_ore</x:v>
      </x:c>
      <x:c r="B21" s="4" t="str">
        <x:v>Ironstone Ore</x:v>
      </x:c>
      <x:c r="C21" s="4" t="str">
        <x:v>T0</x:v>
      </x:c>
      <x:c r="D21" s="4" t="str">
        <x:v>Mineral resources</x:v>
      </x:c>
      <x:c r="E21" s="4" t="str">
        <x:v>Raw mineral</x:v>
      </x:c>
      <x:c r="F21" s="4" t="str">
        <x:v>Shared definition; trial variant/rules</x:v>
      </x:c>
      <x:c r="G21" s="4" t="inlineStr">
        <x:is>
          <x:t xml:space="preserve">Bulk iron-bearing rock gathered from exposed Ironstone deposits. It feeds the dry-sorting process, which separates several material fractions; it is raw mineral cargo rather than ready-to-use metal.</x:t>
        </x:is>
      </x:c>
      <x:c r="H21" s="4" t="str">
        <x:v>None</x:v>
      </x:c>
      <x:c r="I21" s="4" t="str">
        <x:v>Legger only</x:v>
      </x:c>
      <x:c r="J21" s="14" t="n">
        <x:v>99</x:v>
      </x:c>
      <x:c r="K21" s="16" t="n">
        <x:v>1.25</x:v>
      </x:c>
      <x:c r="L21" s="4" t="str">
        <x:v>Ironstone gathering</x:v>
      </x:c>
      <x:c r="M21" s="4" t="str">
        <x:v>Input to empty battery and dry sorting</x:v>
      </x:c>
      <x:c r="N21" s="4" t="str">
        <x:v>Bulk resource</x:v>
      </x:c>
      <x:c r="O21" s="4" t="str">
        <x:v>Legger-only carrying; local storage also depends on owner policy</x:v>
      </x:c>
      <x:c r="P21" s="17"/>
      <x:c r="Q21" s="17"/>
      <x:c r="R21" s="17"/>
      <x:c r="S21" s="17"/>
      <x:c r="T21" s="17"/>
      <x:c r="U21" s="4" t="str">
        <x:v>Author wording: unprocessed iron-rich stones. Existing Ironstone Ore is the generic candidate; decide whether hematite/magnetite deserve separate resources.</x:v>
      </x:c>
      <x:c r="V21" s="11" t="str">
        <x:v>fabrication; unprocessed iron rich stone</x:v>
      </x:c>
      <x:c r="W21" s="4" t="str">
        <x:v>Assets/_Project/Settings/Items/Item_IronstoneOre.asset; Docs/Evidence/Gameplay/CampIronstone20261014/README.md</x:v>
      </x:c>
      <x:c r="X21" s="4" t="str">
        <x:v>Raw material</x:v>
      </x:c>
      <x:c r="Y21" s="4" t="str">
        <x:v>Raw</x:v>
      </x:c>
      <x:c r="Z21" s="4" t="str">
        <x:v>Geological</x:v>
      </x:c>
      <x:c r="AA21" s="4" t="str">
        <x:v>Metal refining</x:v>
      </x:c>
      <x:c r="AB21" s="4" t="str">
        <x:v>Mineral</x:v>
      </x:c>
      <x:c r="AC21" s="4" t="str">
        <x:v>Rock</x:v>
      </x:c>
      <x:c r="AD21" s="4" t="str">
        <x:v>Existing definition</x:v>
      </x:c>
      <x:c r="AE21" s="4" t="str">
        <x:f>LOWER(A21&amp;"; "&amp;B21&amp;"; "&amp;D21&amp;"; "&amp;E21&amp;"; "&amp;X21&amp;"; "&amp;Y21&amp;"; "&amp;Z21&amp;"; "&amp;AA21&amp;"; "&amp;AB21&amp;"; "&amp;AC21&amp;"; "&amp;AD21&amp;"; "&amp;V21&amp;"; "&amp;C21&amp;"; "&amp;AH21&amp;"; "&amp;AI21)</x:f>
        <x:v>resource.ironstone_ore; ironstone ore; mineral resources; raw mineral; raw material; raw; geological; metal refining; mineral; rock; existing definition; fabrication; unprocessed iron rich stone; t0; not applicable; material</x:v>
      </x:c>
      <x:c r="AF21" s="4" t="str">
        <x:v>From current item description. Proposed uses retain their existing approval status. Lore category review: Resources -&gt; Mineral resources. Classification only; original item status and tier retained.</x:v>
      </x:c>
      <x:c r="AG21" s="4" t="str">
        <x:v>Raw gathered/recovered craft input under the author T0 framework. This does not imply a naturally occurring pure metal.</x:v>
      </x:c>
      <x:c r="AH21" s="4" t="str">
        <x:v>Not applicable</x:v>
      </x:c>
      <x:c r="AI21" s="4" t="str">
        <x:v>Material</x:v>
      </x:c>
      <x:c r="AJ21" s="4" t="n">
        <x:f>COUNTIFS('Material routes'!$D$6:$D$2205,A21,'Material routes'!$C$6:$C$2205,"Output")</x:f>
        <x:v>0</x:v>
      </x:c>
      <x:c r="AK21" s="4" t="n">
        <x:f>SUM(COUNTIFS('Material routes'!$D$6:$D$2205,A21,'Material routes'!$C$6:$C$2205,"Ingredient candidate"),COUNTIFS('Material routes'!$D$6:$D$2205,A21,'Material routes'!$C$6:$C$2205,"Consumed input"),COUNTIFS('Material routes'!$D$6:$D$2205,A21,'Material routes'!$C$6:$C$2205,"Contained input"),COUNTIFS('Material routes'!$D$6:$D$2205,A21,'Material routes'!$C$6:$C$2205,"Transform input"))</x:f>
        <x:v>3</x:v>
      </x:c>
      <x:c r="AL21" s="4" t="n">
        <x:f>COUNTIFS('Material routes'!$D$6:$D$2205,A21,'Material routes'!$C$6:$C$2205,"Tool candidate")</x:f>
        <x:v>0</x:v>
      </x:c>
      <x:c r="AM21" s="4" t="str">
        <x:f>IF(AJ21&gt;0,"Route listed; review status/completeness",IF(C21="T0","Raw entry feed; no production route","No production route listed"))</x:f>
        <x:v>Raw entry feed; no production route</x:v>
      </x:c>
      <x:c r="AN21" s="14" t="n">
        <x:f>IF(C21="T0",0,IF(C21="T1",1,IF(C21="T2",2,IF(C21="T3",3,IF(C21="T4",4,IF(C21="Unassigned",98,99))))))</x:f>
        <x:v>0</x:v>
      </x:c>
      <x:c r="AZ21"/>
      <x:c r="BA21"/>
      <x:c r="BB21"/>
      <x:c r="BC21"/>
      <x:c r="BD21"/>
      <x:c r="BE21"/>
      <x:c r="BF21"/>
      <x:c r="BG21"/>
      <x:c r="BH21"/>
      <x:c r="BI21"/>
      <x:c r="BJ21"/>
      <x:c r="BK21"/>
      <x:c r="BL21"/>
      <x:c r="BM21"/>
      <x:c r="BN21"/>
      <x:c r="BO21"/>
      <x:c r="BP21"/>
      <x:c r="BQ21"/>
      <x:c r="BR21"/>
      <x:c r="BS21"/>
      <x:c r="BT21"/>
      <x:c r="BU21"/>
      <x:c r="BV21"/>
      <x:c r="BW21"/>
      <x:c r="BX21"/>
      <x:c r="BY21"/>
      <x:c r="BZ21"/>
      <x:c r="CA21"/>
      <x:c r="CB21"/>
      <x:c r="CC21"/>
    </x:row>
    <x:row r="22" ht="170" customHeight="1">
      <x:c r="A22" s="9" t="str">
        <x:v>lab.ironstone.mineral_dust</x:v>
      </x:c>
      <x:c r="B22" s="9" t="str">
        <x:v>Mineral Dust</x:v>
      </x:c>
      <x:c r="C22" s="4" t="str">
        <x:v>T1</x:v>
      </x:c>
      <x:c r="D22" s="9" t="str">
        <x:v>Manufactured stock</x:v>
      </x:c>
      <x:c r="E22" s="9" t="str">
        <x:v>Processed mineral</x:v>
      </x:c>
      <x:c r="F22" s="9" t="str">
        <x:v>Camp Loop trial</x:v>
      </x:c>
      <x:c r="G22" s="9" t="inlineStr">
        <x:is>
          <x:t xml:space="preserve">Fine mineral particles separated during dry sorting of Ironstone. This is ordinary mineral stock with an unresolved downstream use, not the airborne energy-bearing dust accepted by the Arc refinery.</x:t>
        </x:is>
      </x:c>
      <x:c r="H22" s="9" t="str">
        <x:v>None</x:v>
      </x:c>
      <x:c r="I22" s="9" t="str">
        <x:v>Legger only</x:v>
      </x:c>
      <x:c r="J22" s="13" t="n">
        <x:v>99</x:v>
      </x:c>
      <x:c r="K22" s="15" t="n">
        <x:v>0.25</x:v>
      </x:c>
      <x:c r="L22" s="9" t="str">
        <x:v>Dry sorting: 2 per batch</x:v>
      </x:c>
      <x:c r="M22" s="9" t="str">
        <x:v>Dry sorting output</x:v>
      </x:c>
      <x:c r="N22" s="9" t="str">
        <x:v>Provisional processing material</x:v>
      </x:c>
      <x:c r="O22" s="9" t="str">
        <x:v>Cannot substitute for Arc/Airborne Dust</x:v>
      </x:c>
      <x:c r="P22" s="17"/>
      <x:c r="Q22" s="17"/>
      <x:c r="R22" s="17"/>
      <x:c r="S22" s="17"/>
      <x:c r="T22" s="17"/>
      <x:c r="U22" s="9" t="str">
        <x:v>Uses and final name/yield</x:v>
      </x:c>
      <x:c r="V22" s="11"/>
      <x:c r="W22" s="9" t="str">
        <x:v>Assets/_Project/Settings/Items/CampLoopIronstone/3-MineralDust.asset; Docs/Evidence/Gameplay/CampIronstone20261014/README.md</x:v>
      </x:c>
      <x:c r="X22" s="4" t="str">
        <x:v>Processed material</x:v>
      </x:c>
      <x:c r="Y22" s="4" t="str">
        <x:v>Processed intermediate</x:v>
      </x:c>
      <x:c r="Z22" s="4" t="str">
        <x:v>Geological</x:v>
      </x:c>
      <x:c r="AA22" s="4" t="str">
        <x:v>Use unresolved</x:v>
      </x:c>
      <x:c r="AB22" s="4" t="str">
        <x:v>Mineral</x:v>
      </x:c>
      <x:c r="AC22" s="4" t="str">
        <x:v>Particles</x:v>
      </x:c>
      <x:c r="AD22" s="4" t="str">
        <x:v>Existing definition</x:v>
      </x:c>
      <x:c r="AE22" s="4" t="str">
        <x:f>LOWER(A22&amp;"; "&amp;B22&amp;"; "&amp;D22&amp;"; "&amp;E22&amp;"; "&amp;X22&amp;"; "&amp;Y22&amp;"; "&amp;Z22&amp;"; "&amp;AA22&amp;"; "&amp;AB22&amp;"; "&amp;AC22&amp;"; "&amp;AD22&amp;"; "&amp;V22&amp;"; "&amp;C22&amp;"; "&amp;AH22&amp;"; "&amp;AI22)</x:f>
        <x:v>lab.ironstone.mineral_dust; mineral dust; manufactured stock; processed mineral; processed material; processed intermediate; geological; use unresolved; mineral; particles; existing definition; ; t1; not applicable; material</x:v>
      </x:c>
      <x:c r="AF22" s="4" t="str">
        <x:v>From current item description. Proposed uses retain their existing approval status. Lore category review: Resources -&gt; Manufactured stock. Classification only; original item status and tier retained.</x:v>
      </x:c>
      <x:c r="AG22" s="4" t="str">
        <x:v>October 15 proposed tier review: First dry-sorted fractions from T0 Ironstone Ore; use the existing multi-output sorter recipe. Original source quantities and all four co-products remain unchanged. This is a classification only, not a replacement recipe.</x:v>
      </x:c>
      <x:c r="AH22" s="4" t="str">
        <x:v>Not applicable</x:v>
      </x:c>
      <x:c r="AI22" s="4" t="str">
        <x:v>Material</x:v>
      </x:c>
      <x:c r="AJ22" s="4" t="n">
        <x:f>COUNTIFS('Material routes'!$D$6:$D$2205,A22,'Material routes'!$C$6:$C$2205,"Output")</x:f>
        <x:v>1</x:v>
      </x:c>
      <x:c r="AK22" s="4" t="n">
        <x:f>SUM(COUNTIFS('Material routes'!$D$6:$D$2205,A22,'Material routes'!$C$6:$C$2205,"Ingredient candidate"),COUNTIFS('Material routes'!$D$6:$D$2205,A22,'Material routes'!$C$6:$C$2205,"Consumed input"),COUNTIFS('Material routes'!$D$6:$D$2205,A22,'Material routes'!$C$6:$C$2205,"Contained input"),COUNTIFS('Material routes'!$D$6:$D$2205,A22,'Material routes'!$C$6:$C$2205,"Transform input"))</x:f>
        <x:v>0</x:v>
      </x:c>
      <x:c r="AL22" s="4" t="n">
        <x:f>COUNTIFS('Material routes'!$D$6:$D$2205,A22,'Material routes'!$C$6:$C$2205,"Tool candidate")</x:f>
        <x:v>0</x:v>
      </x:c>
      <x:c r="AM22" s="4" t="str">
        <x:f>IF(AJ22&gt;0,"Route listed; review status/completeness",IF(C22="T0","Raw entry feed; no production route","No production route listed"))</x:f>
        <x:v>Route listed; review status/completeness</x:v>
      </x:c>
      <x:c r="AN22" s="14" t="n">
        <x:f>IF(C22="T0",0,IF(C22="T1",1,IF(C22="T2",2,IF(C22="T3",3,IF(C22="T4",4,IF(C22="Unassigned",98,99))))))</x:f>
        <x:v>1</x:v>
      </x:c>
      <x:c r="AZ22"/>
      <x:c r="BA22"/>
      <x:c r="BB22"/>
      <x:c r="BC22"/>
      <x:c r="BD22"/>
      <x:c r="BE22"/>
      <x:c r="BF22"/>
      <x:c r="BG22"/>
      <x:c r="BH22"/>
      <x:c r="BI22"/>
      <x:c r="BJ22"/>
      <x:c r="BK22"/>
      <x:c r="BL22"/>
      <x:c r="BM22"/>
      <x:c r="BN22"/>
      <x:c r="BO22"/>
      <x:c r="BP22"/>
      <x:c r="BQ22"/>
      <x:c r="BR22"/>
      <x:c r="BS22"/>
      <x:c r="BT22"/>
      <x:c r="BU22"/>
      <x:c r="BV22"/>
      <x:c r="BW22"/>
      <x:c r="BX22"/>
      <x:c r="BY22"/>
      <x:c r="BZ22"/>
      <x:c r="CA22"/>
      <x:c r="CB22"/>
      <x:c r="CC22"/>
    </x:row>
    <x:row r="23" ht="170" customHeight="1">
      <x:c r="A23" s="4" t="str">
        <x:v>lab.ironstone.sand</x:v>
      </x:c>
      <x:c r="B23" s="4" t="str">
        <x:v>Mineral Sand</x:v>
      </x:c>
      <x:c r="C23" s="4" t="str">
        <x:v>T1</x:v>
      </x:c>
      <x:c r="D23" s="4" t="str">
        <x:v>Manufactured stock</x:v>
      </x:c>
      <x:c r="E23" s="4" t="str">
        <x:v>Processed mineral</x:v>
      </x:c>
      <x:c r="F23" s="4" t="str">
        <x:v>Camp Loop trial</x:v>
      </x:c>
      <x:c r="G23" s="4" t="inlineStr">
        <x:is>
          <x:t xml:space="preserve">The sand-sized fraction separated during dry sorting of Ironstone. It is stored independently from coarse aggregate and mineral dust so later processing can use the appropriate grain size; a specific downstream recipe is not yet assigned.</x:t>
        </x:is>
      </x:c>
      <x:c r="H23" s="4" t="str">
        <x:v>None</x:v>
      </x:c>
      <x:c r="I23" s="4" t="str">
        <x:v>Legger only</x:v>
      </x:c>
      <x:c r="J23" s="14" t="n">
        <x:v>99</x:v>
      </x:c>
      <x:c r="K23" s="16" t="n">
        <x:v>1</x:v>
      </x:c>
      <x:c r="L23" s="4" t="str">
        <x:v>Dry sorting: 1 per batch</x:v>
      </x:c>
      <x:c r="M23" s="4" t="str">
        <x:v>Dry sorting output</x:v>
      </x:c>
      <x:c r="N23" s="4" t="str">
        <x:v>Provisional processing material</x:v>
      </x:c>
      <x:c r="O23" s="4" t="str">
        <x:v>No downstream recipe authored</x:v>
      </x:c>
      <x:c r="P23" s="17"/>
      <x:c r="Q23" s="17"/>
      <x:c r="R23" s="17"/>
      <x:c r="S23" s="17"/>
      <x:c r="T23" s="17"/>
      <x:c r="U23" s="4" t="str">
        <x:v>Uses and final name/yield</x:v>
      </x:c>
      <x:c r="V23" s="11"/>
      <x:c r="W23" s="4" t="str">
        <x:v>Assets/_Project/Settings/Items/CampLoopIronstone/2-MineralSand.asset; Docs/Evidence/Gameplay/CampIronstone20261014/README.md</x:v>
      </x:c>
      <x:c r="X23" s="4" t="str">
        <x:v>Processed material</x:v>
      </x:c>
      <x:c r="Y23" s="4" t="str">
        <x:v>Processed intermediate</x:v>
      </x:c>
      <x:c r="Z23" s="4" t="str">
        <x:v>Geological</x:v>
      </x:c>
      <x:c r="AA23" s="4" t="str">
        <x:v>Use unresolved</x:v>
      </x:c>
      <x:c r="AB23" s="4" t="str">
        <x:v>Mineral</x:v>
      </x:c>
      <x:c r="AC23" s="4" t="str">
        <x:v>Particles</x:v>
      </x:c>
      <x:c r="AD23" s="4" t="str">
        <x:v>Existing definition</x:v>
      </x:c>
      <x:c r="AE23" s="4" t="str">
        <x:f>LOWER(A23&amp;"; "&amp;B23&amp;"; "&amp;D23&amp;"; "&amp;E23&amp;"; "&amp;X23&amp;"; "&amp;Y23&amp;"; "&amp;Z23&amp;"; "&amp;AA23&amp;"; "&amp;AB23&amp;"; "&amp;AC23&amp;"; "&amp;AD23&amp;"; "&amp;V23&amp;"; "&amp;C23&amp;"; "&amp;AH23&amp;"; "&amp;AI23)</x:f>
        <x:v>lab.ironstone.sand; mineral sand; manufactured stock; processed mineral; processed material; processed intermediate; geological; use unresolved; mineral; particles; existing definition; ; t1; not applicable; material</x:v>
      </x:c>
      <x:c r="AF23" s="4" t="str">
        <x:v>From current item description. Proposed uses retain their existing approval status. Lore category review: Resources -&gt; Manufactured stock. Classification only; original item status and tier retained.</x:v>
      </x:c>
      <x:c r="AG23" s="4" t="str">
        <x:v>October 15 proposed tier review: First dry-sorted fractions from T0 Ironstone Ore; use the existing multi-output sorter recipe. Original source quantities and all four co-products remain unchanged. This is a classification only, not a replacement recipe.</x:v>
      </x:c>
      <x:c r="AH23" s="4" t="str">
        <x:v>Not applicable</x:v>
      </x:c>
      <x:c r="AI23" s="4" t="str">
        <x:v>Material</x:v>
      </x:c>
      <x:c r="AJ23" s="4" t="n">
        <x:f>COUNTIFS('Material routes'!$D$6:$D$2205,A23,'Material routes'!$C$6:$C$2205,"Output")</x:f>
        <x:v>1</x:v>
      </x:c>
      <x:c r="AK23" s="4" t="n">
        <x:f>SUM(COUNTIFS('Material routes'!$D$6:$D$2205,A23,'Material routes'!$C$6:$C$2205,"Ingredient candidate"),COUNTIFS('Material routes'!$D$6:$D$2205,A23,'Material routes'!$C$6:$C$2205,"Consumed input"),COUNTIFS('Material routes'!$D$6:$D$2205,A23,'Material routes'!$C$6:$C$2205,"Contained input"),COUNTIFS('Material routes'!$D$6:$D$2205,A23,'Material routes'!$C$6:$C$2205,"Transform input"))</x:f>
        <x:v>0</x:v>
      </x:c>
      <x:c r="AL23" s="4" t="n">
        <x:f>COUNTIFS('Material routes'!$D$6:$D$2205,A23,'Material routes'!$C$6:$C$2205,"Tool candidate")</x:f>
        <x:v>0</x:v>
      </x:c>
      <x:c r="AM23" s="4" t="str">
        <x:f>IF(AJ23&gt;0,"Route listed; review status/completeness",IF(C23="T0","Raw entry feed; no production route","No production route listed"))</x:f>
        <x:v>Route listed; review status/completeness</x:v>
      </x:c>
      <x:c r="AN23" s="14" t="n">
        <x:f>IF(C23="T0",0,IF(C23="T1",1,IF(C23="T2",2,IF(C23="T3",3,IF(C23="T4",4,IF(C23="Unassigned",98,99))))))</x:f>
        <x:v>1</x:v>
      </x:c>
      <x:c r="AZ23"/>
      <x:c r="BA23"/>
      <x:c r="BB23"/>
      <x:c r="BC23"/>
      <x:c r="BD23"/>
      <x:c r="BE23"/>
      <x:c r="BF23"/>
      <x:c r="BG23"/>
      <x:c r="BH23"/>
      <x:c r="BI23"/>
      <x:c r="BJ23"/>
      <x:c r="BK23"/>
      <x:c r="BL23"/>
      <x:c r="BM23"/>
      <x:c r="BN23"/>
      <x:c r="BO23"/>
      <x:c r="BP23"/>
      <x:c r="BQ23"/>
      <x:c r="BR23"/>
      <x:c r="BS23"/>
      <x:c r="BT23"/>
      <x:c r="BU23"/>
      <x:c r="BV23"/>
      <x:c r="BW23"/>
      <x:c r="BX23"/>
      <x:c r="BY23"/>
      <x:c r="BZ23"/>
      <x:c r="CA23"/>
      <x:c r="CB23"/>
      <x:c r="CC23"/>
    </x:row>
    <x:row r="24" ht="66" customHeight="1">
      <x:c r="A24" s="9" t="str">
        <x:v>proposal.gear.magnets</x:v>
      </x:c>
      <x:c r="B24" s="9" t="str">
        <x:v>Field magnets</x:v>
      </x:c>
      <x:c r="C24" s="4" t="str">
        <x:v>Not applicable</x:v>
      </x:c>
      <x:c r="D24" s="9" t="inlineStr">
        <x:is>
          <x:t xml:space="preserve">Tools</x:t>
        </x:is>
      </x:c>
      <x:c r="E24" s="9" t="str">
        <x:v>Magnetic recovery</x:v>
      </x:c>
      <x:c r="F24" s="9" t="str">
        <x:v>User direction; not implemented</x:v>
      </x:c>
      <x:c r="G24" s="9" t="inlineStr">
        <x:is>
          <x:t xml:space="preserve">Carry magnets for field work. Proposed uses: recover ferrous fragments and hold small workpieces. It is intended to gather or retain a selected resource so it can be recovered and carried onward.</x:t>
        </x:is>
      </x:c>
      <x:c r="H24" s="9" t="str">
        <x:v>Unassigned; no new slot approved</x:v>
      </x:c>
      <x:c r="I24" s="9" t="str">
        <x:v>Booter intended; storage TBD</x:v>
      </x:c>
      <x:c r="J24" s="13"/>
      <x:c r="K24" s="15"/>
      <x:c r="L24" s="9" t="str">
        <x:v>Booter-carried equipment requested by author</x:v>
      </x:c>
      <x:c r="M24" s="9" t="str">
        <x:v>Links to magnetite/iron and salvage chains</x:v>
      </x:c>
      <x:c r="N24" s="9" t="str">
        <x:v>Not implemented</x:v>
      </x:c>
      <x:c r="O24" s="9" t="str">
        <x:v>Magnet use, strength and mounting are proposals; not all materials are magnetic.</x:v>
      </x:c>
      <x:c r="P24" s="17"/>
      <x:c r="Q24" s="17"/>
      <x:c r="R24" s="17"/>
      <x:c r="S24" s="17"/>
      <x:c r="T24" s="17"/>
      <x:c r="U24" s="9" t="str">
        <x:v>Permanent versus powered; handling controls; carry location</x:v>
      </x:c>
      <x:c r="V24" s="11" t="str">
        <x:v>work holding</x:v>
      </x:c>
      <x:c r="W24" s="9" t="str">
        <x:v>User design direction, October 14, 2026; local brainstorming. New proposal unless explicitly marked User direction.</x:v>
      </x:c>
      <x:c r="X24" s="4" t="str">
        <x:v>Tool</x:v>
      </x:c>
      <x:c r="Y24" s="4" t="str">
        <x:v>Finished item</x:v>
      </x:c>
      <x:c r="Z24" s="4" t="str">
        <x:v>Manufactured / unresolved</x:v>
      </x:c>
      <x:c r="AA24" s="4" t="str">
        <x:v>Resource collection</x:v>
      </x:c>
      <x:c r="AB24" s="4" t="str">
        <x:v>Mixed / unresolved</x:v>
      </x:c>
      <x:c r="AC24" s="4" t="str">
        <x:v>Assembly</x:v>
      </x:c>
      <x:c r="AD24" s="4" t="str">
        <x:v>Author direction</x:v>
      </x:c>
      <x:c r="AE24" s="4" t="str">
        <x:f>LOWER(A24&amp;"; "&amp;B24&amp;"; "&amp;D24&amp;"; "&amp;E24&amp;"; "&amp;X24&amp;"; "&amp;Y24&amp;"; "&amp;Z24&amp;"; "&amp;AA24&amp;"; "&amp;AB24&amp;"; "&amp;AC24&amp;"; "&amp;AD24&amp;"; "&amp;V24&amp;"; "&amp;C24&amp;"; "&amp;AH24&amp;"; "&amp;AI24)</x:f>
        <x:v>proposal.gear.magnets; field magnets; tools; magnetic recovery; tool; finished item; manufactured / unresolved; resource collection; mixed / unresolved; assembly; author direction; work holding; not applicable; t3; finished item</x:v>
      </x:c>
      <x:c r="AF24"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24" s="4" t="str">
        <x:v>Finished endpoint; material tier is not applicable. Input tiers belong to the chosen recipe.</x:v>
      </x:c>
      <x:c r="AH24" s="4" t="str">
        <x:v>T3</x:v>
      </x:c>
      <x:c r="AI24" s="4" t="str">
        <x:v>Finished item</x:v>
      </x:c>
      <x:c r="AJ24" s="4" t="n">
        <x:f>COUNTIFS('Material routes'!$D$6:$D$2205,A24,'Material routes'!$C$6:$C$2205,"Output")</x:f>
        <x:v>1</x:v>
      </x:c>
      <x:c r="AK24" s="4" t="n">
        <x:f>SUM(COUNTIFS('Material routes'!$D$6:$D$2205,A24,'Material routes'!$C$6:$C$2205,"Ingredient candidate"),COUNTIFS('Material routes'!$D$6:$D$2205,A24,'Material routes'!$C$6:$C$2205,"Consumed input"),COUNTIFS('Material routes'!$D$6:$D$2205,A24,'Material routes'!$C$6:$C$2205,"Contained input"),COUNTIFS('Material routes'!$D$6:$D$2205,A24,'Material routes'!$C$6:$C$2205,"Transform input"))</x:f>
        <x:v>6</x:v>
      </x:c>
      <x:c r="AL24" s="4" t="n">
        <x:f>COUNTIFS('Material routes'!$D$6:$D$2205,A24,'Material routes'!$C$6:$C$2205,"Tool candidate")</x:f>
        <x:v>0</x:v>
      </x:c>
      <x:c r="AM24" s="4" t="str">
        <x:f>IF(AJ24&gt;0,"Route listed; review status/completeness",IF(C24="T0","Raw entry feed; no production route","No production route listed"))</x:f>
        <x:v>Route listed; review status/completeness</x:v>
      </x:c>
      <x:c r="AN24" s="14" t="n">
        <x:f>IF(C24="T0",0,IF(C24="T1",1,IF(C24="T2",2,IF(C24="T3",3,IF(C24="T4",4,IF(C24="Unassigned",98,99))))))</x:f>
        <x:v>99</x:v>
      </x:c>
      <x:c r="AZ24"/>
      <x:c r="BA24"/>
      <x:c r="BB24"/>
      <x:c r="BC24"/>
      <x:c r="BD24"/>
      <x:c r="BE24"/>
      <x:c r="BF24"/>
      <x:c r="BG24"/>
      <x:c r="BH24"/>
      <x:c r="BI24"/>
      <x:c r="BJ24"/>
      <x:c r="BK24"/>
      <x:c r="BL24"/>
      <x:c r="BM24"/>
      <x:c r="BN24"/>
      <x:c r="BO24"/>
      <x:c r="BP24"/>
      <x:c r="BQ24"/>
      <x:c r="BR24"/>
      <x:c r="BS24"/>
      <x:c r="BT24"/>
      <x:c r="BU24"/>
      <x:c r="BV24"/>
      <x:c r="BW24"/>
      <x:c r="BX24"/>
      <x:c r="BY24"/>
      <x:c r="BZ24"/>
      <x:c r="CA24"/>
      <x:c r="CB24"/>
      <x:c r="CC24"/>
    </x:row>
    <x:row r="25" ht="66" customHeight="1">
      <x:c r="A25" s="9"/>
      <x:c r="B25" s="9"/>
      <x:c r="C25" s="4"/>
      <x:c r="D25" s="9"/>
      <x:c r="E25" s="9"/>
      <x:c r="F25" s="9"/>
      <x:c r="G25" s="9"/>
      <x:c r="H25" s="9"/>
      <x:c r="I25" s="9"/>
      <x:c r="J25" s="13"/>
      <x:c r="K25" s="15"/>
      <x:c r="L25" s="9"/>
      <x:c r="M25" s="9"/>
      <x:c r="N25" s="9"/>
      <x:c r="O25" s="9"/>
      <x:c r="P25" s="17"/>
      <x:c r="Q25" s="17"/>
      <x:c r="R25" s="17"/>
      <x:c r="S25" s="17"/>
      <x:c r="T25" s="17"/>
      <x:c r="U25" s="9"/>
      <x:c r="V25" s="11"/>
      <x:c r="W25" s="9"/>
      <x:c r="X25" s="4"/>
      <x:c r="Y25" s="4"/>
      <x:c r="Z25" s="4"/>
      <x:c r="AA25" s="4"/>
      <x:c r="AB25" s="4"/>
      <x:c r="AC25" s="4"/>
      <x:c r="AD25" s="4"/>
      <x:c r="AE25" s="4"/>
      <x:c r="AF25" s="4"/>
      <x:c r="AG25" s="4"/>
      <x:c r="AH25" s="4"/>
      <x:c r="AI25" s="4"/>
      <x:c r="AJ25" s="4"/>
      <x:c r="AK25" s="4"/>
      <x:c r="AL25" s="4"/>
      <x:c r="AM25" s="4"/>
      <x:c r="AN25" s="14"/>
      <x:c r="AZ25"/>
      <x:c r="BA25"/>
      <x:c r="BB25"/>
      <x:c r="BC25"/>
      <x:c r="BD25"/>
      <x:c r="BE25"/>
      <x:c r="BF25"/>
      <x:c r="BG25"/>
      <x:c r="BH25"/>
      <x:c r="BI25"/>
      <x:c r="BJ25"/>
      <x:c r="BK25"/>
      <x:c r="BL25"/>
      <x:c r="BM25"/>
      <x:c r="BN25"/>
      <x:c r="BO25"/>
      <x:c r="BP25"/>
      <x:c r="BQ25"/>
      <x:c r="BR25"/>
      <x:c r="BS25"/>
      <x:c r="BT25"/>
      <x:c r="BU25"/>
      <x:c r="BV25"/>
      <x:c r="BW25"/>
      <x:c r="BX25"/>
      <x:c r="BY25"/>
      <x:c r="BZ25"/>
      <x:c r="CA25"/>
      <x:c r="CB25"/>
      <x:c r="CC25"/>
    </x:row>
    <x:row r="26" ht="66" customHeight="1">
      <x:c r="A26" s="9" t="str">
        <x:v>proposal.natural.magnetite</x:v>
      </x:c>
      <x:c r="B26" s="9" t="str">
        <x:v>Magnetite-rich stone</x:v>
      </x:c>
      <x:c r="C26" s="4" t="str">
        <x:v>T0</x:v>
      </x:c>
      <x:c r="D26" s="9" t="str">
        <x:v>Mineral resources</x:v>
      </x:c>
      <x:c r="E26" s="9" t="str">
        <x:v>Raw mineral</x:v>
      </x:c>
      <x:c r="F26" s="9" t="str">
        <x:v>New proposal</x:v>
      </x:c>
      <x:c r="G26" s="9" t="inlineStr">
        <x:is>
          <x:t xml:space="preserve">Iron feed and magnetic tool research. It is intended to enter a controlled metal-preparation or refining process; the feed material is distinct from the usable metal eventually produced.</x:t>
        </x:is>
      </x:c>
      <x:c r="H26" s="9" t="str">
        <x:v>None</x:v>
      </x:c>
      <x:c r="I26" s="9" t="str">
        <x:v>Legger / local storage proposed</x:v>
      </x:c>
      <x:c r="J26" s="13"/>
      <x:c r="K26" s="15"/>
      <x:c r="L26" s="9" t="str">
        <x:v>Magnetic mineral seams and dense dark nodules</x:v>
      </x:c>
      <x:c r="M26" s="9" t="str">
        <x:v>Dry crush and magnetic separation</x:v>
      </x:c>
      <x:c r="N26" s="9" t="str">
        <x:v>Not implemented</x:v>
      </x:c>
      <x:c r="O26" s="9" t="str">
        <x:v>New deposit and processing design; no free natural liquid water.</x:v>
      </x:c>
      <x:c r="P26" s="17"/>
      <x:c r="Q26" s="17"/>
      <x:c r="R26" s="17"/>
      <x:c r="S26" s="17"/>
      <x:c r="T26" s="17"/>
      <x:c r="U26" s="9" t="str">
        <x:v>Distribution, collection tool, processing constraints and balance</x:v>
      </x:c>
      <x:c r="V26" s="11" t="str">
        <x:v>magnetic tools</x:v>
      </x:c>
      <x:c r="W26" s="9" t="str">
        <x:v>User design direction, October 14, 2026; local brainstorming. New proposal unless explicitly marked User direction.</x:v>
      </x:c>
      <x:c r="X26" s="4" t="str">
        <x:v>Raw material</x:v>
      </x:c>
      <x:c r="Y26" s="4" t="str">
        <x:v>Raw</x:v>
      </x:c>
      <x:c r="Z26" s="4" t="str">
        <x:v>Geological</x:v>
      </x:c>
      <x:c r="AA26" s="4" t="str">
        <x:v>Metal refining</x:v>
      </x:c>
      <x:c r="AB26" s="4" t="str">
        <x:v>Mineral</x:v>
      </x:c>
      <x:c r="AC26" s="4" t="str">
        <x:v>Rock</x:v>
      </x:c>
      <x:c r="AD26" s="4" t="str">
        <x:v>Proposal</x:v>
      </x:c>
      <x:c r="AE26" s="4" t="str">
        <x:f>LOWER(A26&amp;"; "&amp;B26&amp;"; "&amp;D26&amp;"; "&amp;E26&amp;"; "&amp;X26&amp;"; "&amp;Y26&amp;"; "&amp;Z26&amp;"; "&amp;AA26&amp;"; "&amp;AB26&amp;"; "&amp;AC26&amp;"; "&amp;AD26&amp;"; "&amp;V26&amp;"; "&amp;C26&amp;"; "&amp;AH26&amp;"; "&amp;AI26)</x:f>
        <x:v>proposal.natural.magnetite; magnetite-rich stone; mineral resources; raw mineral; raw material; raw; geological; metal refining; mineral; rock; proposal; magnetic tools; t0; not applicable; material</x:v>
      </x:c>
      <x:c r="AF26" s="4" t="str">
        <x:v>From current item description. Proposed uses retain their existing approval status. Lore category review: Resources -&gt; Mineral resources. Classification only; original item status and tier retained.</x:v>
      </x:c>
      <x:c r="AG26" s="4" t="str">
        <x:v>Raw gathered/recovered craft input under the author T0 framework. This does not imply a naturally occurring pure metal.</x:v>
      </x:c>
      <x:c r="AH26" s="4" t="str">
        <x:v>Not applicable</x:v>
      </x:c>
      <x:c r="AI26" s="4" t="str">
        <x:v>Material</x:v>
      </x:c>
      <x:c r="AJ26" s="4" t="n">
        <x:f>COUNTIFS('Material routes'!$D$6:$D$2205,A26,'Material routes'!$C$6:$C$2205,"Output")</x:f>
        <x:v>0</x:v>
      </x:c>
      <x:c r="AK26" s="4" t="n">
        <x:f>SUM(COUNTIFS('Material routes'!$D$6:$D$2205,A26,'Material routes'!$C$6:$C$2205,"Ingredient candidate"),COUNTIFS('Material routes'!$D$6:$D$2205,A26,'Material routes'!$C$6:$C$2205,"Consumed input"),COUNTIFS('Material routes'!$D$6:$D$2205,A26,'Material routes'!$C$6:$C$2205,"Contained input"),COUNTIFS('Material routes'!$D$6:$D$2205,A26,'Material routes'!$C$6:$C$2205,"Transform input"))</x:f>
        <x:v>1</x:v>
      </x:c>
      <x:c r="AL26" s="4" t="n">
        <x:f>COUNTIFS('Material routes'!$D$6:$D$2205,A26,'Material routes'!$C$6:$C$2205,"Tool candidate")</x:f>
        <x:v>0</x:v>
      </x:c>
      <x:c r="AM26" s="4" t="str">
        <x:f>IF(AJ26&gt;0,"Route listed; review status/completeness",IF(C26="T0","Raw entry feed; no production route","No production route listed"))</x:f>
        <x:v>Raw entry feed; no production route</x:v>
      </x:c>
      <x:c r="AN26" s="14" t="n">
        <x:f>IF(C26="T0",0,IF(C26="T1",1,IF(C26="T2",2,IF(C26="T3",3,IF(C26="T4",4,IF(C26="Unassigned",98,99))))))</x:f>
        <x:v>0</x:v>
      </x:c>
      <x:c r="AZ26"/>
      <x:c r="BA26"/>
      <x:c r="BB26"/>
      <x:c r="BC26"/>
      <x:c r="BD26"/>
      <x:c r="BE26"/>
      <x:c r="BF26"/>
      <x:c r="BG26"/>
      <x:c r="BH26"/>
      <x:c r="BI26"/>
      <x:c r="BJ26"/>
      <x:c r="BK26"/>
      <x:c r="BL26"/>
      <x:c r="BM26"/>
      <x:c r="BN26"/>
      <x:c r="BO26"/>
      <x:c r="BP26"/>
      <x:c r="BQ26"/>
      <x:c r="BR26"/>
      <x:c r="BS26"/>
      <x:c r="BT26"/>
      <x:c r="BU26"/>
      <x:c r="BV26"/>
      <x:c r="BW26"/>
      <x:c r="BX26"/>
      <x:c r="BY26"/>
      <x:c r="BZ26"/>
      <x:c r="CA26"/>
      <x:c r="CB26"/>
      <x:c r="CC26"/>
    </x:row>
    <x:row r="27" ht="66" customHeight="1">
      <x:c r="A27" s="9" t="str">
        <x:v>proposal.natural.silica</x:v>
      </x:c>
      <x:c r="B27" s="9" t="str">
        <x:v>Silica-rich grit</x:v>
      </x:c>
      <x:c r="C27" s="4" t="str">
        <x:v>T0</x:v>
      </x:c>
      <x:c r="D27" s="9" t="str">
        <x:v>Mineral resources</x:v>
      </x:c>
      <x:c r="E27" s="9" t="str">
        <x:v>Raw mineral</x:v>
      </x:c>
      <x:c r="F27" s="9" t="str">
        <x:v>New proposal</x:v>
      </x:c>
      <x:c r="G27" s="9" t="inlineStr">
        <x:is>
          <x:t xml:space="preserve">Sharpening, finishing and repair. It is intended to prepare or change a workpiece’s surface before a later fitting, coating or use; the treatment must suit that material.</x:t>
        </x:is>
      </x:c>
      <x:c r="H27" s="9" t="str">
        <x:v>None</x:v>
      </x:c>
      <x:c r="I27" s="9" t="str">
        <x:v>Legger / local storage proposed</x:v>
      </x:c>
      <x:c r="J27" s="13"/>
      <x:c r="K27" s="15"/>
      <x:c r="L27" s="9" t="str">
        <x:v>Dry canyon scree and exposed mineral beds</x:v>
      </x:c>
      <x:c r="M27" s="9" t="str">
        <x:v>Grade into abrasive; high-heat glass route left open</x:v>
      </x:c>
      <x:c r="N27" s="9" t="str">
        <x:v>Not implemented</x:v>
      </x:c>
      <x:c r="O27" s="9" t="str">
        <x:v>New deposit and processing design; no free natural liquid water.</x:v>
      </x:c>
      <x:c r="P27" s="17"/>
      <x:c r="Q27" s="17"/>
      <x:c r="R27" s="17"/>
      <x:c r="S27" s="17"/>
      <x:c r="T27" s="17"/>
      <x:c r="U27" s="9" t="str">
        <x:v>Distribution, collection tool, processing constraints and balance</x:v>
      </x:c>
      <x:c r="V27" s="11" t="str">
        <x:v>glass and ceramics</x:v>
      </x:c>
      <x:c r="W27" s="9" t="str">
        <x:v>User design direction, October 14, 2026; local brainstorming. New proposal unless explicitly marked User direction.</x:v>
      </x:c>
      <x:c r="X27" s="4" t="str">
        <x:v>Raw material</x:v>
      </x:c>
      <x:c r="Y27" s="4" t="str">
        <x:v>Raw</x:v>
      </x:c>
      <x:c r="Z27" s="4" t="str">
        <x:v>Geological</x:v>
      </x:c>
      <x:c r="AA27" s="4" t="str">
        <x:v>Surface finishing</x:v>
      </x:c>
      <x:c r="AB27" s="4" t="str">
        <x:v>Mineral</x:v>
      </x:c>
      <x:c r="AC27" s="4" t="str">
        <x:v>Particles</x:v>
      </x:c>
      <x:c r="AD27" s="4" t="str">
        <x:v>Proposal</x:v>
      </x:c>
      <x:c r="AE27" s="4" t="str">
        <x:f>LOWER(A27&amp;"; "&amp;B27&amp;"; "&amp;D27&amp;"; "&amp;E27&amp;"; "&amp;X27&amp;"; "&amp;Y27&amp;"; "&amp;Z27&amp;"; "&amp;AA27&amp;"; "&amp;AB27&amp;"; "&amp;AC27&amp;"; "&amp;AD27&amp;"; "&amp;V27&amp;"; "&amp;C27&amp;"; "&amp;AH27&amp;"; "&amp;AI27)</x:f>
        <x:v>proposal.natural.silica; silica-rich grit; mineral resources; raw mineral; raw material; raw; geological; surface finishing; mineral; particles; proposal; glass and ceramics; t0; not applicable; material</x:v>
      </x:c>
      <x:c r="AF27" s="4" t="str">
        <x:v>From current item description. Proposed uses retain their existing approval status. Lore category review: Resources -&gt; Mineral resources. Classification only; original item status and tier retained.</x:v>
      </x:c>
      <x:c r="AG27" s="4" t="str">
        <x:v>Raw gathered/recovered craft input under the author T0 framework. This does not imply a naturally occurring pure metal.</x:v>
      </x:c>
      <x:c r="AH27" s="4" t="str">
        <x:v>Not applicable</x:v>
      </x:c>
      <x:c r="AI27" s="4" t="str">
        <x:v>Material</x:v>
      </x:c>
      <x:c r="AJ27" s="4" t="n">
        <x:f>COUNTIFS('Material routes'!$D$6:$D$2205,A27,'Material routes'!$C$6:$C$2205,"Output")</x:f>
        <x:v>0</x:v>
      </x:c>
      <x:c r="AK27" s="4" t="n">
        <x:f>SUM(COUNTIFS('Material routes'!$D$6:$D$2205,A27,'Material routes'!$C$6:$C$2205,"Ingredient candidate"),COUNTIFS('Material routes'!$D$6:$D$2205,A27,'Material routes'!$C$6:$C$2205,"Consumed input"),COUNTIFS('Material routes'!$D$6:$D$2205,A27,'Material routes'!$C$6:$C$2205,"Contained input"),COUNTIFS('Material routes'!$D$6:$D$2205,A27,'Material routes'!$C$6:$C$2205,"Transform input"))</x:f>
        <x:v>4</x:v>
      </x:c>
      <x:c r="AL27" s="4" t="n">
        <x:f>COUNTIFS('Material routes'!$D$6:$D$2205,A27,'Material routes'!$C$6:$C$2205,"Tool candidate")</x:f>
        <x:v>0</x:v>
      </x:c>
      <x:c r="AM27" s="4" t="str">
        <x:f>IF(AJ27&gt;0,"Route listed; review status/completeness",IF(C27="T0","Raw entry feed; no production route","No production route listed"))</x:f>
        <x:v>Raw entry feed; no production route</x:v>
      </x:c>
      <x:c r="AN27" s="14" t="n">
        <x:f>IF(C27="T0",0,IF(C27="T1",1,IF(C27="T2",2,IF(C27="T3",3,IF(C27="T4",4,IF(C27="Unassigned",98,99))))))</x:f>
        <x:v>0</x:v>
      </x:c>
      <x:c r="AZ27"/>
      <x:c r="BA27"/>
      <x:c r="BB27"/>
      <x:c r="BC27"/>
      <x:c r="BD27"/>
      <x:c r="BE27"/>
      <x:c r="BF27"/>
      <x:c r="BG27"/>
      <x:c r="BH27"/>
      <x:c r="BI27"/>
      <x:c r="BJ27"/>
      <x:c r="BK27"/>
      <x:c r="BL27"/>
      <x:c r="BM27"/>
      <x:c r="BN27"/>
      <x:c r="BO27"/>
      <x:c r="BP27"/>
      <x:c r="BQ27"/>
      <x:c r="BR27"/>
      <x:c r="BS27"/>
      <x:c r="BT27"/>
      <x:c r="BU27"/>
      <x:c r="BV27"/>
      <x:c r="BW27"/>
      <x:c r="BX27"/>
      <x:c r="BY27"/>
      <x:c r="BZ27"/>
      <x:c r="CA27"/>
      <x:c r="CB27"/>
      <x:c r="CC27"/>
    </x:row>
    <x:row r="28" ht="66" customHeight="1">
      <x:c r="A28" s="9" t="str">
        <x:v>proposal.natural.alumina</x:v>
      </x:c>
      <x:c r="B28" s="9" t="str">
        <x:v>Alumina-rich rock</x:v>
      </x:c>
      <x:c r="C28" s="4" t="str">
        <x:v>T0</x:v>
      </x:c>
      <x:c r="D28" s="9" t="str">
        <x:v>Mineral resources</x:v>
      </x:c>
      <x:c r="E28" s="9" t="str">
        <x:v>Raw mineral</x:v>
      </x:c>
      <x:c r="F28" s="9" t="str">
        <x:v>New proposal</x:v>
      </x:c>
      <x:c r="G28" s="9" t="inlineStr">
        <x:is>
          <x:t xml:space="preserve">Hard ceramic and electrical separation parts. It is intended for a matched glassworking or ceramic process, with composition, forming and controlled heat determining the useful result.</x:t>
        </x:is>
      </x:c>
      <x:c r="H28" s="9" t="str">
        <x:v>None</x:v>
      </x:c>
      <x:c r="I28" s="9" t="str">
        <x:v>Legger / local storage proposed</x:v>
      </x:c>
      <x:c r="J28" s="13"/>
      <x:c r="K28" s="15"/>
      <x:c r="L28" s="9" t="str">
        <x:v>Authored mineral outcrops</x:v>
      </x:c>
      <x:c r="M28" s="9" t="str">
        <x:v>Crush, grade and fire with suitable binder</x:v>
      </x:c>
      <x:c r="N28" s="9" t="str">
        <x:v>Not implemented</x:v>
      </x:c>
      <x:c r="O28" s="9" t="str">
        <x:v>New deposit and processing design; no free natural liquid water.</x:v>
      </x:c>
      <x:c r="P28" s="17"/>
      <x:c r="Q28" s="17"/>
      <x:c r="R28" s="17"/>
      <x:c r="S28" s="17"/>
      <x:c r="T28" s="17"/>
      <x:c r="U28" s="9" t="str">
        <x:v>Distribution, collection tool, processing constraints and balance</x:v>
      </x:c>
      <x:c r="V28" s="11" t="str">
        <x:v>electrical insulation</x:v>
      </x:c>
      <x:c r="W28" s="9" t="str">
        <x:v>User design direction, October 14, 2026; local brainstorming. New proposal unless explicitly marked User direction.</x:v>
      </x:c>
      <x:c r="X28" s="4" t="str">
        <x:v>Raw material</x:v>
      </x:c>
      <x:c r="Y28" s="4" t="str">
        <x:v>Raw</x:v>
      </x:c>
      <x:c r="Z28" s="4" t="str">
        <x:v>Geological</x:v>
      </x:c>
      <x:c r="AA28" s="4" t="str">
        <x:v>Glass and ceramics</x:v>
      </x:c>
      <x:c r="AB28" s="4" t="str">
        <x:v>Mineral</x:v>
      </x:c>
      <x:c r="AC28" s="4" t="str">
        <x:v>Rock</x:v>
      </x:c>
      <x:c r="AD28" s="4" t="str">
        <x:v>Proposal</x:v>
      </x:c>
      <x:c r="AE28" s="4" t="str">
        <x:f>LOWER(A28&amp;"; "&amp;B28&amp;"; "&amp;D28&amp;"; "&amp;E28&amp;"; "&amp;X28&amp;"; "&amp;Y28&amp;"; "&amp;Z28&amp;"; "&amp;AA28&amp;"; "&amp;AB28&amp;"; "&amp;AC28&amp;"; "&amp;AD28&amp;"; "&amp;V28&amp;"; "&amp;C28&amp;"; "&amp;AH28&amp;"; "&amp;AI28)</x:f>
        <x:v>proposal.natural.alumina; alumina-rich rock; mineral resources; raw mineral; raw material; raw; geological; glass and ceramics; mineral; rock; proposal; electrical insulation; t0; not applicable; material</x:v>
      </x:c>
      <x:c r="AF28" s="4" t="str">
        <x:v>From current item description. Proposed uses retain their existing approval status. Lore category review: Resources -&gt; Mineral resources. Classification only; original item status and tier retained.</x:v>
      </x:c>
      <x:c r="AG28" s="4" t="str">
        <x:v>Raw gathered/recovered craft input under the author T0 framework. This does not imply a naturally occurring pure metal.</x:v>
      </x:c>
      <x:c r="AH28" s="4" t="str">
        <x:v>Not applicable</x:v>
      </x:c>
      <x:c r="AI28" s="4" t="str">
        <x:v>Material</x:v>
      </x:c>
      <x:c r="AJ28" s="4" t="n">
        <x:f>COUNTIFS('Material routes'!$D$6:$D$2205,A28,'Material routes'!$C$6:$C$2205,"Output")</x:f>
        <x:v>0</x:v>
      </x:c>
      <x:c r="AK28" s="4" t="n">
        <x:f>SUM(COUNTIFS('Material routes'!$D$6:$D$2205,A28,'Material routes'!$C$6:$C$2205,"Ingredient candidate"),COUNTIFS('Material routes'!$D$6:$D$2205,A28,'Material routes'!$C$6:$C$2205,"Consumed input"),COUNTIFS('Material routes'!$D$6:$D$2205,A28,'Material routes'!$C$6:$C$2205,"Contained input"),COUNTIFS('Material routes'!$D$6:$D$2205,A28,'Material routes'!$C$6:$C$2205,"Transform input"))</x:f>
        <x:v>2</x:v>
      </x:c>
      <x:c r="AL28" s="4" t="n">
        <x:f>COUNTIFS('Material routes'!$D$6:$D$2205,A28,'Material routes'!$C$6:$C$2205,"Tool candidate")</x:f>
        <x:v>0</x:v>
      </x:c>
      <x:c r="AM28" s="4" t="str">
        <x:f>IF(AJ28&gt;0,"Route listed; review status/completeness",IF(C28="T0","Raw entry feed; no production route","No production route listed"))</x:f>
        <x:v>Raw entry feed; no production route</x:v>
      </x:c>
      <x:c r="AN28" s="14" t="n">
        <x:f>IF(C28="T0",0,IF(C28="T1",1,IF(C28="T2",2,IF(C28="T3",3,IF(C28="T4",4,IF(C28="Unassigned",98,99))))))</x:f>
        <x:v>0</x:v>
      </x:c>
      <x:c r="AZ28"/>
      <x:c r="BA28"/>
      <x:c r="BB28"/>
      <x:c r="BC28"/>
      <x:c r="BD28"/>
      <x:c r="BE28"/>
      <x:c r="BF28"/>
      <x:c r="BG28"/>
      <x:c r="BH28"/>
      <x:c r="BI28"/>
      <x:c r="BJ28"/>
      <x:c r="BK28"/>
      <x:c r="BL28"/>
      <x:c r="BM28"/>
      <x:c r="BN28"/>
      <x:c r="BO28"/>
      <x:c r="BP28"/>
      <x:c r="BQ28"/>
      <x:c r="BR28"/>
      <x:c r="BS28"/>
      <x:c r="BT28"/>
      <x:c r="BU28"/>
      <x:c r="BV28"/>
      <x:c r="BW28"/>
      <x:c r="BX28"/>
      <x:c r="BY28"/>
      <x:c r="BZ28"/>
      <x:c r="CA28"/>
      <x:c r="CB28"/>
      <x:c r="CC28"/>
    </x:row>
    <x:row r="29" ht="66" customHeight="1">
      <x:c r="A29" s="9"/>
      <x:c r="B29" s="9"/>
      <x:c r="C29" s="4"/>
      <x:c r="D29" s="9"/>
      <x:c r="E29" s="9"/>
      <x:c r="F29" s="9"/>
      <x:c r="G29" s="9"/>
      <x:c r="H29" s="9"/>
      <x:c r="I29" s="9"/>
      <x:c r="J29" s="13"/>
      <x:c r="K29" s="15"/>
      <x:c r="L29" s="9"/>
      <x:c r="M29" s="9"/>
      <x:c r="N29" s="9"/>
      <x:c r="O29" s="9"/>
      <x:c r="P29" s="17"/>
      <x:c r="Q29" s="17"/>
      <x:c r="R29" s="17"/>
      <x:c r="S29" s="17"/>
      <x:c r="T29" s="17"/>
      <x:c r="U29" s="9"/>
      <x:c r="V29" s="11"/>
      <x:c r="W29" s="9"/>
      <x:c r="X29" s="4"/>
      <x:c r="Y29" s="4"/>
      <x:c r="Z29" s="4"/>
      <x:c r="AA29" s="4"/>
      <x:c r="AB29" s="4"/>
      <x:c r="AC29" s="4"/>
      <x:c r="AD29" s="4"/>
      <x:c r="AE29" s="4"/>
      <x:c r="AF29" s="4"/>
      <x:c r="AG29" s="4"/>
      <x:c r="AH29" s="4"/>
      <x:c r="AI29" s="4"/>
      <x:c r="AJ29" s="4"/>
      <x:c r="AK29" s="4"/>
      <x:c r="AL29" s="4"/>
      <x:c r="AM29" s="4"/>
      <x:c r="AN29" s="14"/>
      <x:c r="AZ29"/>
      <x:c r="BA29"/>
      <x:c r="BB29"/>
      <x:c r="BC29"/>
      <x:c r="BD29"/>
      <x:c r="BE29"/>
      <x:c r="BF29"/>
      <x:c r="BG29"/>
      <x:c r="BH29"/>
      <x:c r="BI29"/>
      <x:c r="BJ29"/>
      <x:c r="BK29"/>
      <x:c r="BL29"/>
      <x:c r="BM29"/>
      <x:c r="BN29"/>
      <x:c r="BO29"/>
      <x:c r="BP29"/>
      <x:c r="BQ29"/>
      <x:c r="BR29"/>
      <x:c r="BS29"/>
      <x:c r="BT29"/>
      <x:c r="BU29"/>
      <x:c r="BV29"/>
      <x:c r="BW29"/>
      <x:c r="BX29"/>
      <x:c r="BY29"/>
      <x:c r="BZ29"/>
      <x:c r="CA29"/>
      <x:c r="CB29"/>
      <x:c r="CC29"/>
    </x:row>
    <x:row r="30" ht="66" customHeight="1">
      <x:c r="A30" s="9" t="str">
        <x:v>proposal.natural.carbonate</x:v>
      </x:c>
      <x:c r="B30" s="9" t="str">
        <x:v>Carbonate stone</x:v>
      </x:c>
      <x:c r="C30" s="4" t="str">
        <x:v>T0</x:v>
      </x:c>
      <x:c r="D30" s="9" t="str">
        <x:v>Mineral resources</x:v>
      </x:c>
      <x:c r="E30" s="9" t="str">
        <x:v>Raw mineral</x:v>
      </x:c>
      <x:c r="F30" s="9" t="str">
        <x:v>New proposal</x:v>
      </x:c>
      <x:c r="G30" s="9" t="inlineStr">
        <x:is>
          <x:t xml:space="preserve">Mineral binder and construction research. It is intended to join, reinforce or support other parts, with the bond or fastening chosen for the materials and loads involved.</x:t>
        </x:is>
      </x:c>
      <x:c r="H30" s="9" t="str">
        <x:v>None</x:v>
      </x:c>
      <x:c r="I30" s="9" t="str">
        <x:v>Legger / local storage proposed</x:v>
      </x:c>
      <x:c r="J30" s="13"/>
      <x:c r="K30" s="15"/>
      <x:c r="L30" s="9" t="str">
        <x:v>Ancient exposed deposits</x:v>
      </x:c>
      <x:c r="M30" s="9" t="str">
        <x:v>Heat to lime; use dry aggregate formulation</x:v>
      </x:c>
      <x:c r="N30" s="9" t="str">
        <x:v>Not implemented</x:v>
      </x:c>
      <x:c r="O30" s="9" t="str">
        <x:v>New deposit and processing design; no free natural liquid water.</x:v>
      </x:c>
      <x:c r="P30" s="17"/>
      <x:c r="Q30" s="17"/>
      <x:c r="R30" s="17"/>
      <x:c r="S30" s="17"/>
      <x:c r="T30" s="17"/>
      <x:c r="U30" s="9" t="str">
        <x:v>Distribution, collection tool, processing constraints and balance</x:v>
      </x:c>
      <x:c r="V30" s="11"/>
      <x:c r="W30" s="9" t="str">
        <x:v>User design direction, October 14, 2026; local brainstorming. New proposal unless explicitly marked User direction.</x:v>
      </x:c>
      <x:c r="X30" s="4" t="str">
        <x:v>Raw material</x:v>
      </x:c>
      <x:c r="Y30" s="4" t="str">
        <x:v>Raw</x:v>
      </x:c>
      <x:c r="Z30" s="4" t="str">
        <x:v>Geological</x:v>
      </x:c>
      <x:c r="AA30" s="4" t="str">
        <x:v>Binding and construction</x:v>
      </x:c>
      <x:c r="AB30" s="4" t="str">
        <x:v>Mineral</x:v>
      </x:c>
      <x:c r="AC30" s="4" t="str">
        <x:v>Rock</x:v>
      </x:c>
      <x:c r="AD30" s="4" t="str">
        <x:v>Proposal</x:v>
      </x:c>
      <x:c r="AE30" s="4" t="str">
        <x:f>LOWER(A30&amp;"; "&amp;B30&amp;"; "&amp;D30&amp;"; "&amp;E30&amp;"; "&amp;X30&amp;"; "&amp;Y30&amp;"; "&amp;Z30&amp;"; "&amp;AA30&amp;"; "&amp;AB30&amp;"; "&amp;AC30&amp;"; "&amp;AD30&amp;"; "&amp;V30&amp;"; "&amp;C30&amp;"; "&amp;AH30&amp;"; "&amp;AI30)</x:f>
        <x:v>proposal.natural.carbonate; carbonate stone; mineral resources; raw mineral; raw material; raw; geological; binding and construction; mineral; rock; proposal; ; t0; not applicable; material</x:v>
      </x:c>
      <x:c r="AF30" s="4" t="str">
        <x:v>From current item description. Proposed uses retain their existing approval status. Lore category review: Resources -&gt; Mineral resources. Classification only; original item status and tier retained.</x:v>
      </x:c>
      <x:c r="AG30" s="4" t="str">
        <x:v>Raw gathered/recovered craft input under the author T0 framework. This does not imply a naturally occurring pure metal.</x:v>
      </x:c>
      <x:c r="AH30" s="4" t="str">
        <x:v>Not applicable</x:v>
      </x:c>
      <x:c r="AI30" s="4" t="str">
        <x:v>Material</x:v>
      </x:c>
      <x:c r="AJ30" s="4" t="n">
        <x:f>COUNTIFS('Material routes'!$D$6:$D$2205,A30,'Material routes'!$C$6:$C$2205,"Output")</x:f>
        <x:v>0</x:v>
      </x:c>
      <x:c r="AK30" s="4" t="n">
        <x:f>SUM(COUNTIFS('Material routes'!$D$6:$D$2205,A30,'Material routes'!$C$6:$C$2205,"Ingredient candidate"),COUNTIFS('Material routes'!$D$6:$D$2205,A30,'Material routes'!$C$6:$C$2205,"Consumed input"),COUNTIFS('Material routes'!$D$6:$D$2205,A30,'Material routes'!$C$6:$C$2205,"Contained input"),COUNTIFS('Material routes'!$D$6:$D$2205,A30,'Material routes'!$C$6:$C$2205,"Transform input"))</x:f>
        <x:v>2</x:v>
      </x:c>
      <x:c r="AL30" s="4" t="n">
        <x:f>COUNTIFS('Material routes'!$D$6:$D$2205,A30,'Material routes'!$C$6:$C$2205,"Tool candidate")</x:f>
        <x:v>0</x:v>
      </x:c>
      <x:c r="AM30" s="4" t="str">
        <x:f>IF(AJ30&gt;0,"Route listed; review status/completeness",IF(C30="T0","Raw entry feed; no production route","No production route listed"))</x:f>
        <x:v>Raw entry feed; no production route</x:v>
      </x:c>
      <x:c r="AN30" s="14" t="n">
        <x:f>IF(C30="T0",0,IF(C30="T1",1,IF(C30="T2",2,IF(C30="T3",3,IF(C30="T4",4,IF(C30="Unassigned",98,99))))))</x:f>
        <x:v>0</x:v>
      </x:c>
      <x:c r="AZ30"/>
      <x:c r="BA30"/>
      <x:c r="BB30"/>
      <x:c r="BC30"/>
      <x:c r="BD30"/>
      <x:c r="BE30"/>
      <x:c r="BF30"/>
      <x:c r="BG30"/>
      <x:c r="BH30"/>
      <x:c r="BI30"/>
      <x:c r="BJ30"/>
      <x:c r="BK30"/>
      <x:c r="BL30"/>
      <x:c r="BM30"/>
      <x:c r="BN30"/>
      <x:c r="BO30"/>
      <x:c r="BP30"/>
      <x:c r="BQ30"/>
      <x:c r="BR30"/>
      <x:c r="BS30"/>
      <x:c r="BT30"/>
      <x:c r="BU30"/>
      <x:c r="BV30"/>
      <x:c r="BW30"/>
      <x:c r="BX30"/>
      <x:c r="BY30"/>
      <x:c r="BZ30"/>
      <x:c r="CA30"/>
      <x:c r="CB30"/>
      <x:c r="CC30"/>
    </x:row>
    <x:row r="31" ht="66" customHeight="1">
      <x:c r="A31" s="9" t="str">
        <x:v>proposal.natural.salts</x:v>
      </x:c>
      <x:c r="B31" s="9" t="str">
        <x:v>Dry mineral salts</x:v>
      </x:c>
      <x:c r="C31" s="4" t="str">
        <x:v>T0</x:v>
      </x:c>
      <x:c r="D31" s="9" t="str">
        <x:v>Mineral resources</x:v>
      </x:c>
      <x:c r="E31" s="9" t="str">
        <x:v>Raw mineral</x:v>
      </x:c>
      <x:c r="F31" s="9" t="str">
        <x:v>New proposal</x:v>
      </x:c>
      <x:c r="G31" s="9" t="inlineStr">
        <x:is>
          <x:t xml:space="preserve">Algae culture mineral inputs, subject to biology design. It is a proposed input for maintaining a suitable algae culture; the biological requirements and acceptable composition still need verification.</x:t>
        </x:is>
      </x:c>
      <x:c r="H31" s="9" t="str">
        <x:v>None</x:v>
      </x:c>
      <x:c r="I31" s="9" t="str">
        <x:v>Legger / local storage proposed</x:v>
      </x:c>
      <x:c r="J31" s="13"/>
      <x:c r="K31" s="15"/>
      <x:c r="L31" s="9" t="str">
        <x:v>Ancient evaporite seams; no current water required</x:v>
      </x:c>
      <x:c r="M31" s="9" t="str">
        <x:v>Sort and grade dry crystals</x:v>
      </x:c>
      <x:c r="N31" s="9" t="str">
        <x:v>Not implemented</x:v>
      </x:c>
      <x:c r="O31" s="9" t="str">
        <x:v>New deposit and processing design; no free natural liquid water.</x:v>
      </x:c>
      <x:c r="P31" s="17"/>
      <x:c r="Q31" s="17"/>
      <x:c r="R31" s="17"/>
      <x:c r="S31" s="17"/>
      <x:c r="T31" s="17"/>
      <x:c r="U31" s="9" t="str">
        <x:v>Distribution, collection tool, processing constraints and balance</x:v>
      </x:c>
      <x:c r="V31" s="11"/>
      <x:c r="W31" s="9" t="str">
        <x:v>User design direction, October 14, 2026; local brainstorming. New proposal unless explicitly marked User direction.</x:v>
      </x:c>
      <x:c r="X31" s="4" t="str">
        <x:v>Raw material</x:v>
      </x:c>
      <x:c r="Y31" s="4" t="str">
        <x:v>Raw</x:v>
      </x:c>
      <x:c r="Z31" s="4" t="str">
        <x:v>Geological</x:v>
      </x:c>
      <x:c r="AA31" s="4" t="str">
        <x:v>Culture support</x:v>
      </x:c>
      <x:c r="AB31" s="4" t="str">
        <x:v>Mineral</x:v>
      </x:c>
      <x:c r="AC31" s="4" t="str">
        <x:v>Particles</x:v>
      </x:c>
      <x:c r="AD31" s="4" t="str">
        <x:v>Proposal</x:v>
      </x:c>
      <x:c r="AE31" s="4" t="str">
        <x:f>LOWER(A31&amp;"; "&amp;B31&amp;"; "&amp;D31&amp;"; "&amp;E31&amp;"; "&amp;X31&amp;"; "&amp;Y31&amp;"; "&amp;Z31&amp;"; "&amp;AA31&amp;"; "&amp;AB31&amp;"; "&amp;AC31&amp;"; "&amp;AD31&amp;"; "&amp;V31&amp;"; "&amp;C31&amp;"; "&amp;AH31&amp;"; "&amp;AI31)</x:f>
        <x:v>proposal.natural.salts; dry mineral salts; mineral resources; raw mineral; raw material; raw; geological; culture support; mineral; particles; proposal; ; t0; not applicable; material</x:v>
      </x:c>
      <x:c r="AF31" s="4" t="str">
        <x:v>From current item description. Proposed uses retain their existing approval status. Lore category review: Resources -&gt; Mineral resources. Classification only; original item status and tier retained.</x:v>
      </x:c>
      <x:c r="AG31" s="4" t="str">
        <x:v>Raw gathered/recovered craft input under the author T0 framework. This does not imply a naturally occurring pure metal.</x:v>
      </x:c>
      <x:c r="AH31" s="4" t="str">
        <x:v>Not applicable</x:v>
      </x:c>
      <x:c r="AI31" s="4" t="str">
        <x:v>Material</x:v>
      </x:c>
      <x:c r="AJ31" s="4" t="n">
        <x:f>COUNTIFS('Material routes'!$D$6:$D$2205,A31,'Material routes'!$C$6:$C$2205,"Output")</x:f>
        <x:v>0</x:v>
      </x:c>
      <x:c r="AK31" s="4" t="n">
        <x:f>SUM(COUNTIFS('Material routes'!$D$6:$D$2205,A31,'Material routes'!$C$6:$C$2205,"Ingredient candidate"),COUNTIFS('Material routes'!$D$6:$D$2205,A31,'Material routes'!$C$6:$C$2205,"Consumed input"),COUNTIFS('Material routes'!$D$6:$D$2205,A31,'Material routes'!$C$6:$C$2205,"Contained input"),COUNTIFS('Material routes'!$D$6:$D$2205,A31,'Material routes'!$C$6:$C$2205,"Transform input"))</x:f>
        <x:v>3</x:v>
      </x:c>
      <x:c r="AL31" s="4" t="n">
        <x:f>COUNTIFS('Material routes'!$D$6:$D$2205,A31,'Material routes'!$C$6:$C$2205,"Tool candidate")</x:f>
        <x:v>0</x:v>
      </x:c>
      <x:c r="AM31" s="4" t="str">
        <x:f>IF(AJ31&gt;0,"Route listed; review status/completeness",IF(C31="T0","Raw entry feed; no production route","No production route listed"))</x:f>
        <x:v>Raw entry feed; no production route</x:v>
      </x:c>
      <x:c r="AN31" s="14" t="n">
        <x:f>IF(C31="T0",0,IF(C31="T1",1,IF(C31="T2",2,IF(C31="T3",3,IF(C31="T4",4,IF(C31="Unassigned",98,99))))))</x:f>
        <x:v>0</x:v>
      </x:c>
      <x:c r="AZ31"/>
      <x:c r="BA31"/>
      <x:c r="BB31"/>
      <x:c r="BC31"/>
      <x:c r="BD31"/>
      <x:c r="BE31"/>
      <x:c r="BF31"/>
      <x:c r="BG31"/>
      <x:c r="BH31"/>
      <x:c r="BI31"/>
      <x:c r="BJ31"/>
      <x:c r="BK31"/>
      <x:c r="BL31"/>
      <x:c r="BM31"/>
      <x:c r="BN31"/>
      <x:c r="BO31"/>
      <x:c r="BP31"/>
      <x:c r="BQ31"/>
      <x:c r="BR31"/>
      <x:c r="BS31"/>
      <x:c r="BT31"/>
      <x:c r="BU31"/>
      <x:c r="BV31"/>
      <x:c r="BW31"/>
      <x:c r="BX31"/>
      <x:c r="BY31"/>
      <x:c r="BZ31"/>
      <x:c r="CA31"/>
      <x:c r="CB31"/>
      <x:c r="CC31"/>
    </x:row>
    <x:row r="32" ht="66" customHeight="1">
      <x:c r="A32" s="9" t="str">
        <x:v>proposal.natural.graphite</x:v>
      </x:c>
      <x:c r="B32" s="9" t="str">
        <x:v>Graphite-bearing stone</x:v>
      </x:c>
      <x:c r="C32" s="4" t="str">
        <x:v>T0</x:v>
      </x:c>
      <x:c r="D32" s="9" t="str">
        <x:v>Mineral resources</x:v>
      </x:c>
      <x:c r="E32" s="9" t="str">
        <x:v>Raw mineral</x:v>
      </x:c>
      <x:c r="F32" s="9" t="str">
        <x:v>New proposal</x:v>
      </x:c>
      <x:c r="G32" s="9" t="inlineStr">
        <x:is>
          <x:t xml:space="preserve">Dry lubrication and conductive composites. It is intended to reduce friction at a matched contact surface; dust behavior and material compatibility require qualification.</x:t>
        </x:is>
      </x:c>
      <x:c r="H32" s="9" t="str">
        <x:v>None</x:v>
      </x:c>
      <x:c r="I32" s="9" t="str">
        <x:v>Legger / local storage proposed</x:v>
      </x:c>
      <x:c r="J32" s="13"/>
      <x:c r="K32" s="15"/>
      <x:c r="L32" s="9" t="str">
        <x:v>Sparse mineral seams</x:v>
      </x:c>
      <x:c r="M32" s="9" t="str">
        <x:v>Separate and grade carbon flakes</x:v>
      </x:c>
      <x:c r="N32" s="9" t="str">
        <x:v>Not implemented</x:v>
      </x:c>
      <x:c r="O32" s="9" t="str">
        <x:v>New deposit and processing design; no free natural liquid water.</x:v>
      </x:c>
      <x:c r="P32" s="17"/>
      <x:c r="Q32" s="17"/>
      <x:c r="R32" s="17"/>
      <x:c r="S32" s="17"/>
      <x:c r="T32" s="17"/>
      <x:c r="U32" s="9" t="str">
        <x:v>Distribution, collection tool, processing constraints and balance</x:v>
      </x:c>
      <x:c r="V32" s="11" t="str">
        <x:v>electrical conduction</x:v>
      </x:c>
      <x:c r="W32" s="9" t="str">
        <x:v>User design direction, October 14, 2026; local brainstorming. New proposal unless explicitly marked User direction.</x:v>
      </x:c>
      <x:c r="X32" s="4" t="str">
        <x:v>Raw material</x:v>
      </x:c>
      <x:c r="Y32" s="4" t="str">
        <x:v>Raw</x:v>
      </x:c>
      <x:c r="Z32" s="4" t="str">
        <x:v>Geological</x:v>
      </x:c>
      <x:c r="AA32" s="4" t="str">
        <x:v>Lubrication</x:v>
      </x:c>
      <x:c r="AB32" s="4" t="str">
        <x:v>Mineral</x:v>
      </x:c>
      <x:c r="AC32" s="4" t="str">
        <x:v>Particles</x:v>
      </x:c>
      <x:c r="AD32" s="4" t="str">
        <x:v>Proposal</x:v>
      </x:c>
      <x:c r="AE32" s="4" t="str">
        <x:f>LOWER(A32&amp;"; "&amp;B32&amp;"; "&amp;D32&amp;"; "&amp;E32&amp;"; "&amp;X32&amp;"; "&amp;Y32&amp;"; "&amp;Z32&amp;"; "&amp;AA32&amp;"; "&amp;AB32&amp;"; "&amp;AC32&amp;"; "&amp;AD32&amp;"; "&amp;V32&amp;"; "&amp;C32&amp;"; "&amp;AH32&amp;"; "&amp;AI32)</x:f>
        <x:v>proposal.natural.graphite; graphite-bearing stone; mineral resources; raw mineral; raw material; raw; geological; lubrication; mineral; particles; proposal; electrical conduction; t0; not applicable; material</x:v>
      </x:c>
      <x:c r="AF32" s="4" t="str">
        <x:v>From current item description. Proposed uses retain their existing approval status. Lore category review: Resources -&gt; Mineral resources. Classification only; original item status and tier retained.</x:v>
      </x:c>
      <x:c r="AG32" s="4" t="str">
        <x:v>Raw gathered/recovered craft input under the author T0 framework. This does not imply a naturally occurring pure metal.</x:v>
      </x:c>
      <x:c r="AH32" s="4" t="str">
        <x:v>Not applicable</x:v>
      </x:c>
      <x:c r="AI32" s="4" t="str">
        <x:v>Material</x:v>
      </x:c>
      <x:c r="AJ32" s="4" t="n">
        <x:f>COUNTIFS('Material routes'!$D$6:$D$2205,A32,'Material routes'!$C$6:$C$2205,"Output")</x:f>
        <x:v>0</x:v>
      </x:c>
      <x:c r="AK32" s="4" t="n">
        <x:f>SUM(COUNTIFS('Material routes'!$D$6:$D$2205,A32,'Material routes'!$C$6:$C$2205,"Ingredient candidate"),COUNTIFS('Material routes'!$D$6:$D$2205,A32,'Material routes'!$C$6:$C$2205,"Consumed input"),COUNTIFS('Material routes'!$D$6:$D$2205,A32,'Material routes'!$C$6:$C$2205,"Contained input"),COUNTIFS('Material routes'!$D$6:$D$2205,A32,'Material routes'!$C$6:$C$2205,"Transform input"))</x:f>
        <x:v>1</x:v>
      </x:c>
      <x:c r="AL32" s="4" t="n">
        <x:f>COUNTIFS('Material routes'!$D$6:$D$2205,A32,'Material routes'!$C$6:$C$2205,"Tool candidate")</x:f>
        <x:v>0</x:v>
      </x:c>
      <x:c r="AM32" s="4" t="str">
        <x:f>IF(AJ32&gt;0,"Route listed; review status/completeness",IF(C32="T0","Raw entry feed; no production route","No production route listed"))</x:f>
        <x:v>Raw entry feed; no production route</x:v>
      </x:c>
      <x:c r="AN32" s="14" t="n">
        <x:f>IF(C32="T0",0,IF(C32="T1",1,IF(C32="T2",2,IF(C32="T3",3,IF(C32="T4",4,IF(C32="Unassigned",98,99))))))</x:f>
        <x:v>0</x:v>
      </x:c>
      <x:c r="AZ32"/>
      <x:c r="BA32"/>
      <x:c r="BB32"/>
      <x:c r="BC32"/>
      <x:c r="BD32"/>
      <x:c r="BE32"/>
      <x:c r="BF32"/>
      <x:c r="BG32"/>
      <x:c r="BH32"/>
      <x:c r="BI32"/>
      <x:c r="BJ32"/>
      <x:c r="BK32"/>
      <x:c r="BL32"/>
      <x:c r="BM32"/>
      <x:c r="BN32"/>
      <x:c r="BO32"/>
      <x:c r="BP32"/>
      <x:c r="BQ32"/>
      <x:c r="BR32"/>
      <x:c r="BS32"/>
      <x:c r="BT32"/>
      <x:c r="BU32"/>
      <x:c r="BV32"/>
      <x:c r="BW32"/>
      <x:c r="BX32"/>
      <x:c r="BY32"/>
      <x:c r="BZ32"/>
      <x:c r="CA32"/>
      <x:c r="CB32"/>
      <x:c r="CC32"/>
    </x:row>
    <x:row r="33" ht="66" customHeight="1">
      <x:c r="A33" s="9" t="str">
        <x:v>proposal.natural.mica</x:v>
      </x:c>
      <x:c r="B33" s="9" t="str">
        <x:v>Mica sheets</x:v>
      </x:c>
      <x:c r="C33" s="4" t="str">
        <x:v>T0</x:v>
      </x:c>
      <x:c r="D33" s="9" t="inlineStr">
        <x:is>
          <x:t xml:space="preserve">Salvage</x:t>
        </x:is>
      </x:c>
      <x:c r="E33" s="9" t="str">
        <x:v>Raw mineral</x:v>
      </x:c>
      <x:c r="F33" s="9" t="str">
        <x:v>New proposal</x:v>
      </x:c>
      <x:c r="G33" s="9" t="inlineStr">
        <x:is>
          <x:t xml:space="preserve">Insulating separators and heat shields. It is intended to separate conductive parts or support them without a direct conducting path. No voltage or thermal rating follows from that proposed role.</x:t>
        </x:is>
      </x:c>
      <x:c r="H33" s="9" t="str">
        <x:v>None</x:v>
      </x:c>
      <x:c r="I33" s="9" t="str">
        <x:v>Legger / local storage proposed</x:v>
      </x:c>
      <x:c r="J33" s="13"/>
      <x:c r="K33" s="15"/>
      <x:c r="L33" s="9" t="str">
        <x:v>Layered mineral outcrops</x:v>
      </x:c>
      <x:c r="M33" s="9" t="str">
        <x:v>Split and trim plates</x:v>
      </x:c>
      <x:c r="N33" s="9" t="str">
        <x:v>Not implemented</x:v>
      </x:c>
      <x:c r="O33" s="9" t="str">
        <x:v>New deposit and processing design; no free natural liquid water.</x:v>
      </x:c>
      <x:c r="P33" s="17"/>
      <x:c r="Q33" s="17"/>
      <x:c r="R33" s="17"/>
      <x:c r="S33" s="17"/>
      <x:c r="T33" s="17"/>
      <x:c r="U33" s="9" t="str">
        <x:v>Distribution, collection tool, processing constraints and balance</x:v>
      </x:c>
      <x:c r="V33" s="11" t="str">
        <x:v>protective fabrication</x:v>
      </x:c>
      <x:c r="W33" s="9" t="str">
        <x:v>User design direction, October 14, 2026; local brainstorming. New proposal unless explicitly marked User direction.</x:v>
      </x:c>
      <x:c r="X33" s="4" t="str">
        <x:v>Raw material</x:v>
      </x:c>
      <x:c r="Y33" s="4" t="str">
        <x:v>Raw</x:v>
      </x:c>
      <x:c r="Z33" s="4" t="str">
        <x:v>Geological</x:v>
      </x:c>
      <x:c r="AA33" s="4" t="str">
        <x:v>Electrical insulation</x:v>
      </x:c>
      <x:c r="AB33" s="4" t="str">
        <x:v>Mineral</x:v>
      </x:c>
      <x:c r="AC33" s="4" t="str">
        <x:v>Sheet</x:v>
      </x:c>
      <x:c r="AD33" s="4" t="str">
        <x:v>Proposal</x:v>
      </x:c>
      <x:c r="AE33" s="4" t="str">
        <x:f>LOWER(A33&amp;"; "&amp;B33&amp;"; "&amp;D33&amp;"; "&amp;E33&amp;"; "&amp;X33&amp;"; "&amp;Y33&amp;"; "&amp;Z33&amp;"; "&amp;AA33&amp;"; "&amp;AB33&amp;"; "&amp;AC33&amp;"; "&amp;AD33&amp;"; "&amp;V33&amp;"; "&amp;C33&amp;"; "&amp;AH33&amp;"; "&amp;AI33)</x:f>
        <x:v>proposal.natural.mica; mica sheets; salvage; raw mineral; raw material; raw; geological; electrical insulation; mineral; sheet; proposal; protective fabrication; t0; not applicable; material</x:v>
      </x:c>
      <x:c r="AF33" s="4" t="str">
        <x:v>From current item description. Proposed uses retain their existing approval status. Lore category review: Resources -&gt; Mineral resources. Classification only; original item status and tier retained.</x:v>
      </x:c>
      <x:c r="AG33" s="4" t="str">
        <x:v>Raw gathered/recovered craft input under the author T0 framework. This does not imply a naturally occurring pure metal.</x:v>
      </x:c>
      <x:c r="AH33" s="4" t="str">
        <x:v>Not applicable</x:v>
      </x:c>
      <x:c r="AI33" s="4" t="str">
        <x:v>Material</x:v>
      </x:c>
      <x:c r="AJ33" s="4" t="n">
        <x:f>COUNTIFS('Material routes'!$D$6:$D$2205,A33,'Material routes'!$C$6:$C$2205,"Output")</x:f>
        <x:v>0</x:v>
      </x:c>
      <x:c r="AK33" s="4" t="n">
        <x:f>SUM(COUNTIFS('Material routes'!$D$6:$D$2205,A33,'Material routes'!$C$6:$C$2205,"Ingredient candidate"),COUNTIFS('Material routes'!$D$6:$D$2205,A33,'Material routes'!$C$6:$C$2205,"Consumed input"),COUNTIFS('Material routes'!$D$6:$D$2205,A33,'Material routes'!$C$6:$C$2205,"Contained input"),COUNTIFS('Material routes'!$D$6:$D$2205,A33,'Material routes'!$C$6:$C$2205,"Transform input"))</x:f>
        <x:v>3</x:v>
      </x:c>
      <x:c r="AL33" s="4" t="n">
        <x:f>COUNTIFS('Material routes'!$D$6:$D$2205,A33,'Material routes'!$C$6:$C$2205,"Tool candidate")</x:f>
        <x:v>0</x:v>
      </x:c>
      <x:c r="AM33" s="4" t="str">
        <x:f>IF(AJ33&gt;0,"Route listed; review status/completeness",IF(C33="T0","Raw entry feed; no production route","No production route listed"))</x:f>
        <x:v>Raw entry feed; no production route</x:v>
      </x:c>
      <x:c r="AN33" s="14" t="n">
        <x:f>IF(C33="T0",0,IF(C33="T1",1,IF(C33="T2",2,IF(C33="T3",3,IF(C33="T4",4,IF(C33="Unassigned",98,99))))))</x:f>
        <x:v>0</x:v>
      </x:c>
      <x:c r="AZ33"/>
      <x:c r="BA33"/>
      <x:c r="BB33"/>
      <x:c r="BC33"/>
      <x:c r="BD33"/>
      <x:c r="BE33"/>
      <x:c r="BF33"/>
      <x:c r="BG33"/>
      <x:c r="BH33"/>
      <x:c r="BI33"/>
      <x:c r="BJ33"/>
      <x:c r="BK33"/>
      <x:c r="BL33"/>
      <x:c r="BM33"/>
      <x:c r="BN33"/>
      <x:c r="BO33"/>
      <x:c r="BP33"/>
      <x:c r="BQ33"/>
      <x:c r="BR33"/>
      <x:c r="BS33"/>
      <x:c r="BT33"/>
      <x:c r="BU33"/>
      <x:c r="BV33"/>
      <x:c r="BW33"/>
      <x:c r="BX33"/>
      <x:c r="BY33"/>
      <x:c r="BZ33"/>
      <x:c r="CA33"/>
      <x:c r="CB33"/>
      <x:c r="CC33"/>
    </x:row>
    <x:row r="34" ht="66" customHeight="1">
      <x:c r="A34" s="9" t="str">
        <x:v>proposal.natural.iron_feed</x:v>
      </x:c>
      <x:c r="B34" s="9" t="str">
        <x:v>Iron-rich mineral feed</x:v>
      </x:c>
      <x:c r="C34" s="4" t="str">
        <x:v>T1</x:v>
      </x:c>
      <x:c r="D34" s="9" t="str">
        <x:v>Manufactured stock</x:v>
      </x:c>
      <x:c r="E34" s="9" t="str">
        <x:v>Processed mineral</x:v>
      </x:c>
      <x:c r="F34" s="9" t="str">
        <x:v>New proposal</x:v>
      </x:c>
      <x:c r="G34" s="9" t="inlineStr">
        <x:is>
          <x:t xml:space="preserve">Intermediate feed for an eventual furnace. It is intended to enter a controlled metal-preparation or refining process; the feed material is distinct from the usable metal eventually produced.</x:t>
        </x:is>
      </x:c>
      <x:c r="H34" s="9" t="str">
        <x:v>None</x:v>
      </x:c>
      <x:c r="I34" s="9" t="str">
        <x:v>Legger / local storage proposed</x:v>
      </x:c>
      <x:c r="J34" s="13"/>
      <x:c r="K34" s="15"/>
      <x:c r="L34" s="9" t="str">
        <x:v>Process magnetite</x:v>
      </x:c>
      <x:c r="M34" s="9" t="str">
        <x:v>Dry crush and magnetic separation</x:v>
      </x:c>
      <x:c r="N34" s="9" t="str">
        <x:v>Not implemented</x:v>
      </x:c>
      <x:c r="O34" s="9" t="str">
        <x:v>Distinct proposal from existing Iron-rich Concentrate; decide whether to merge them.</x:v>
      </x:c>
      <x:c r="P34" s="17"/>
      <x:c r="Q34" s="17"/>
      <x:c r="R34" s="17"/>
      <x:c r="S34" s="17"/>
      <x:c r="T34" s="17"/>
      <x:c r="U34" s="9" t="str">
        <x:v>Choose production chain and possible reuse of existing item definitions</x:v>
      </x:c>
      <x:c r="V34" s="11"/>
      <x:c r="W34" s="9" t="str">
        <x:v>User design direction, October 14, 2026; local brainstorming. New proposal unless explicitly marked User direction.</x:v>
      </x:c>
      <x:c r="X34" s="4" t="str">
        <x:v>Processed material</x:v>
      </x:c>
      <x:c r="Y34" s="4" t="str">
        <x:v>Processed intermediate</x:v>
      </x:c>
      <x:c r="Z34" s="4" t="str">
        <x:v>Geological</x:v>
      </x:c>
      <x:c r="AA34" s="4" t="str">
        <x:v>Metal refining</x:v>
      </x:c>
      <x:c r="AB34" s="4" t="str">
        <x:v>Mineral</x:v>
      </x:c>
      <x:c r="AC34" s="4" t="str">
        <x:v>Particles</x:v>
      </x:c>
      <x:c r="AD34" s="4" t="str">
        <x:v>Proposal</x:v>
      </x:c>
      <x:c r="AE34" s="4" t="str">
        <x:f>LOWER(A34&amp;"; "&amp;B34&amp;"; "&amp;D34&amp;"; "&amp;E34&amp;"; "&amp;X34&amp;"; "&amp;Y34&amp;"; "&amp;Z34&amp;"; "&amp;AA34&amp;"; "&amp;AB34&amp;"; "&amp;AC34&amp;"; "&amp;AD34&amp;"; "&amp;V34&amp;"; "&amp;C34&amp;"; "&amp;AH34&amp;"; "&amp;AI34)</x:f>
        <x:v>proposal.natural.iron_feed; iron-rich mineral feed; manufactured stock; processed mineral; processed material; processed intermediate; geological; metal refining; mineral; particles; proposal; ; t1; not applicable; material</x:v>
      </x:c>
      <x:c r="AF34" s="4" t="str">
        <x:v>From current item description. Proposed uses retain their existing approval status. Lore category review: Resources -&gt; Manufactured stock. Classification only; original item status and tier retained.</x:v>
      </x:c>
      <x:c r="AG34" s="4" t="str">
        <x:v>Proposed game manufacturing tier from the candidate routes. Integrated operations may contain many work steps.</x:v>
      </x:c>
      <x:c r="AH34" s="4" t="str">
        <x:v>Not applicable</x:v>
      </x:c>
      <x:c r="AI34" s="4" t="str">
        <x:v>Material</x:v>
      </x:c>
      <x:c r="AJ34" s="4" t="n">
        <x:f>COUNTIFS('Material routes'!$D$6:$D$2205,A34,'Material routes'!$C$6:$C$2205,"Output")</x:f>
        <x:v>2</x:v>
      </x:c>
      <x:c r="AK34" s="4" t="n">
        <x:f>SUM(COUNTIFS('Material routes'!$D$6:$D$2205,A34,'Material routes'!$C$6:$C$2205,"Ingredient candidate"),COUNTIFS('Material routes'!$D$6:$D$2205,A34,'Material routes'!$C$6:$C$2205,"Consumed input"),COUNTIFS('Material routes'!$D$6:$D$2205,A34,'Material routes'!$C$6:$C$2205,"Contained input"),COUNTIFS('Material routes'!$D$6:$D$2205,A34,'Material routes'!$C$6:$C$2205,"Transform input"))</x:f>
        <x:v>2</x:v>
      </x:c>
      <x:c r="AL34" s="4" t="n">
        <x:f>COUNTIFS('Material routes'!$D$6:$D$2205,A34,'Material routes'!$C$6:$C$2205,"Tool candidate")</x:f>
        <x:v>0</x:v>
      </x:c>
      <x:c r="AM34" s="4" t="str">
        <x:f>IF(AJ34&gt;0,"Route listed; review status/completeness",IF(C34="T0","Raw entry feed; no production route","No production route listed"))</x:f>
        <x:v>Route listed; review status/completeness</x:v>
      </x:c>
      <x:c r="AN34" s="14" t="n">
        <x:f>IF(C34="T0",0,IF(C34="T1",1,IF(C34="T2",2,IF(C34="T3",3,IF(C34="T4",4,IF(C34="Unassigned",98,99))))))</x:f>
        <x:v>1</x:v>
      </x:c>
      <x:c r="AZ34"/>
      <x:c r="BA34"/>
      <x:c r="BB34"/>
      <x:c r="BC34"/>
      <x:c r="BD34"/>
      <x:c r="BE34"/>
      <x:c r="BF34"/>
      <x:c r="BG34"/>
      <x:c r="BH34"/>
      <x:c r="BI34"/>
      <x:c r="BJ34"/>
      <x:c r="BK34"/>
      <x:c r="BL34"/>
      <x:c r="BM34"/>
      <x:c r="BN34"/>
      <x:c r="BO34"/>
      <x:c r="BP34"/>
      <x:c r="BQ34"/>
      <x:c r="BR34"/>
      <x:c r="BS34"/>
      <x:c r="BT34"/>
      <x:c r="BU34"/>
      <x:c r="BV34"/>
      <x:c r="BW34"/>
      <x:c r="BX34"/>
      <x:c r="BY34"/>
      <x:c r="BZ34"/>
      <x:c r="CA34"/>
      <x:c r="CB34"/>
      <x:c r="CC34"/>
    </x:row>
    <x:row r="35" ht="66" customHeight="1">
      <x:c r="A35" s="9" t="str">
        <x:v>proposal.natural.iron_stock</x:v>
      </x:c>
      <x:c r="B35" s="9" t="str">
        <x:v>Worked iron stock</x:v>
      </x:c>
      <x:c r="C35" s="4" t="str">
        <x:v>T2</x:v>
      </x:c>
      <x:c r="D35" s="9" t="str">
        <x:v>Manufactured stock</x:v>
      </x:c>
      <x:c r="E35" s="9" t="str">
        <x:v>Processed mineral</x:v>
      </x:c>
      <x:c r="F35" s="9" t="str">
        <x:v>New proposal</x:v>
      </x:c>
      <x:c r="G35" s="9" t="inlineStr">
        <x:is>
          <x:t xml:space="preserve">Repair stock, fasteners and structural tool parts. It provides candidate material or a shaped starting piece for making other objects, with the final form set by the receiving design.</x:t>
        </x:is>
      </x:c>
      <x:c r="H35" s="9" t="str">
        <x:v>None</x:v>
      </x:c>
      <x:c r="I35" s="9" t="str">
        <x:v>Legger / local storage proposed</x:v>
      </x:c>
      <x:c r="J35" s="13"/>
      <x:c r="K35" s="15"/>
      <x:c r="L35" s="9" t="str">
        <x:v>Process iron_feed</x:v>
      </x:c>
      <x:c r="M35" s="9" t="str">
        <x:v>Smelt, forge and finish at a stationary facility</x:v>
      </x:c>
      <x:c r="N35" s="9" t="str">
        <x:v>Not implemented</x:v>
      </x:c>
      <x:c r="O35" s="9" t="str">
        <x:v>Fuel, furnace, alloy and process choices unresolved; no Legger crafting platform.</x:v>
      </x:c>
      <x:c r="P35" s="17"/>
      <x:c r="Q35" s="17"/>
      <x:c r="R35" s="17"/>
      <x:c r="S35" s="17"/>
      <x:c r="T35" s="17"/>
      <x:c r="U35" s="9" t="str">
        <x:v>Choose production chain and possible reuse of existing item definitions</x:v>
      </x:c>
      <x:c r="V35" s="11" t="str">
        <x:v>equipment repair</x:v>
      </x:c>
      <x:c r="W35" s="9" t="str">
        <x:v>User design direction, October 14, 2026; local brainstorming. New proposal unless explicitly marked User direction.</x:v>
      </x:c>
      <x:c r="X35" s="4" t="str">
        <x:v>Processed material</x:v>
      </x:c>
      <x:c r="Y35" s="4" t="str">
        <x:v>Processed intermediate</x:v>
      </x:c>
      <x:c r="Z35" s="4" t="str">
        <x:v>Geological</x:v>
      </x:c>
      <x:c r="AA35" s="4" t="str">
        <x:v>Fabrication</x:v>
      </x:c>
      <x:c r="AB35" s="4" t="str">
        <x:v>Mineral</x:v>
      </x:c>
      <x:c r="AC35" s="4" t="str">
        <x:v>Solid part</x:v>
      </x:c>
      <x:c r="AD35" s="4" t="str">
        <x:v>Proposal</x:v>
      </x:c>
      <x:c r="AE35" s="4" t="str">
        <x:f>LOWER(A35&amp;"; "&amp;B35&amp;"; "&amp;D35&amp;"; "&amp;E35&amp;"; "&amp;X35&amp;"; "&amp;Y35&amp;"; "&amp;Z35&amp;"; "&amp;AA35&amp;"; "&amp;AB35&amp;"; "&amp;AC35&amp;"; "&amp;AD35&amp;"; "&amp;V35&amp;"; "&amp;C35&amp;"; "&amp;AH35&amp;"; "&amp;AI35)</x:f>
        <x:v>proposal.natural.iron_stock; worked iron stock; manufactured stock; processed mineral; processed material; processed intermediate; geological; fabrication; mineral; solid part; proposal; equipment repair; t2; not applicable; material</x:v>
      </x:c>
      <x:c r="AF35" s="4" t="str">
        <x:v>From current item description. Proposed uses retain their existing approval status. Lore category review: Resources -&gt; Manufactured stock. Classification only; original item status and tier retained.</x:v>
      </x:c>
      <x:c r="AG35" s="4" t="str">
        <x:v>Proposed game manufacturing tier from the candidate routes. Integrated operations may contain many work steps.</x:v>
      </x:c>
      <x:c r="AH35" s="4" t="str">
        <x:v>Not applicable</x:v>
      </x:c>
      <x:c r="AI35" s="4" t="str">
        <x:v>Material</x:v>
      </x:c>
      <x:c r="AJ35" s="4" t="n">
        <x:f>COUNTIFS('Material routes'!$D$6:$D$2205,A35,'Material routes'!$C$6:$C$2205,"Output")</x:f>
        <x:v>2</x:v>
      </x:c>
      <x:c r="AK35" s="4" t="n">
        <x:f>SUM(COUNTIFS('Material routes'!$D$6:$D$2205,A35,'Material routes'!$C$6:$C$2205,"Ingredient candidate"),COUNTIFS('Material routes'!$D$6:$D$2205,A35,'Material routes'!$C$6:$C$2205,"Consumed input"),COUNTIFS('Material routes'!$D$6:$D$2205,A35,'Material routes'!$C$6:$C$2205,"Contained input"),COUNTIFS('Material routes'!$D$6:$D$2205,A35,'Material routes'!$C$6:$C$2205,"Transform input"))</x:f>
        <x:v>43</x:v>
      </x:c>
      <x:c r="AL35" s="4" t="n">
        <x:f>COUNTIFS('Material routes'!$D$6:$D$2205,A35,'Material routes'!$C$6:$C$2205,"Tool candidate")</x:f>
        <x:v>0</x:v>
      </x:c>
      <x:c r="AM35" s="4" t="str">
        <x:f>IF(AJ35&gt;0,"Route listed; review status/completeness",IF(C35="T0","Raw entry feed; no production route","No production route listed"))</x:f>
        <x:v>Route listed; review status/completeness</x:v>
      </x:c>
      <x:c r="AN35" s="14" t="n">
        <x:f>IF(C35="T0",0,IF(C35="T1",1,IF(C35="T2",2,IF(C35="T3",3,IF(C35="T4",4,IF(C35="Unassigned",98,99))))))</x:f>
        <x:v>2</x:v>
      </x:c>
      <x:c r="AZ35"/>
      <x:c r="BA35"/>
      <x:c r="BB35"/>
      <x:c r="BC35"/>
      <x:c r="BD35"/>
      <x:c r="BE35"/>
      <x:c r="BF35"/>
      <x:c r="BG35"/>
      <x:c r="BH35"/>
      <x:c r="BI35"/>
      <x:c r="BJ35"/>
      <x:c r="BK35"/>
      <x:c r="BL35"/>
      <x:c r="BM35"/>
      <x:c r="BN35"/>
      <x:c r="BO35"/>
      <x:c r="BP35"/>
      <x:c r="BQ35"/>
      <x:c r="BR35"/>
      <x:c r="BS35"/>
      <x:c r="BT35"/>
      <x:c r="BU35"/>
      <x:c r="BV35"/>
      <x:c r="BW35"/>
      <x:c r="BX35"/>
      <x:c r="BY35"/>
      <x:c r="BZ35"/>
      <x:c r="CA35"/>
      <x:c r="CB35"/>
      <x:c r="CC35"/>
    </x:row>
    <x:row r="36" ht="66" customHeight="1">
      <x:c r="A36" s="9" t="str">
        <x:v>proposal.natural.abrasive</x:v>
      </x:c>
      <x:c r="B36" s="9" t="str">
        <x:v>Graded abrasive grit</x:v>
      </x:c>
      <x:c r="C36" s="4" t="str">
        <x:v>T1</x:v>
      </x:c>
      <x:c r="D36" s="9" t="str">
        <x:v>Manufactured stock</x:v>
      </x:c>
      <x:c r="E36" s="9" t="str">
        <x:v>Processed mineral</x:v>
      </x:c>
      <x:c r="F36" s="9" t="str">
        <x:v>New proposal</x:v>
      </x:c>
      <x:c r="G36" s="9" t="inlineStr">
        <x:is>
          <x:t xml:space="preserve">Tool sharpening and surface preparation. It is intended to prepare or change a workpiece’s surface before a later fitting, coating or use; the treatment must suit that material.</x:t>
        </x:is>
      </x:c>
      <x:c r="H36" s="9" t="str">
        <x:v>None</x:v>
      </x:c>
      <x:c r="I36" s="9" t="str">
        <x:v>Legger / local storage proposed</x:v>
      </x:c>
      <x:c r="J36" s="13"/>
      <x:c r="K36" s="15"/>
      <x:c r="L36" s="9" t="str">
        <x:v>Process silica</x:v>
      </x:c>
      <x:c r="M36" s="9" t="str">
        <x:v>Dry sieve and grade</x:v>
      </x:c>
      <x:c r="N36" s="9" t="str">
        <x:v>Not implemented</x:v>
      </x:c>
      <x:c r="O36" s="9" t="str">
        <x:v>Could reuse existing Mineral Sand instead; resolve before implementation.</x:v>
      </x:c>
      <x:c r="P36" s="17"/>
      <x:c r="Q36" s="17"/>
      <x:c r="R36" s="17"/>
      <x:c r="S36" s="17"/>
      <x:c r="T36" s="17"/>
      <x:c r="U36" s="9" t="str">
        <x:v>Choose production chain and possible reuse of existing item definitions</x:v>
      </x:c>
      <x:c r="V36" s="11"/>
      <x:c r="W36" s="9" t="str">
        <x:v>User design direction, October 14, 2026; local brainstorming. New proposal unless explicitly marked User direction.</x:v>
      </x:c>
      <x:c r="X36" s="4" t="str">
        <x:v>Processed material</x:v>
      </x:c>
      <x:c r="Y36" s="4" t="str">
        <x:v>Processed intermediate</x:v>
      </x:c>
      <x:c r="Z36" s="4" t="str">
        <x:v>Geological</x:v>
      </x:c>
      <x:c r="AA36" s="4" t="str">
        <x:v>Surface finishing</x:v>
      </x:c>
      <x:c r="AB36" s="4" t="str">
        <x:v>Mineral</x:v>
      </x:c>
      <x:c r="AC36" s="4" t="str">
        <x:v>Particles</x:v>
      </x:c>
      <x:c r="AD36" s="4" t="str">
        <x:v>Proposal</x:v>
      </x:c>
      <x:c r="AE36" s="4" t="str">
        <x:f>LOWER(A36&amp;"; "&amp;B36&amp;"; "&amp;D36&amp;"; "&amp;E36&amp;"; "&amp;X36&amp;"; "&amp;Y36&amp;"; "&amp;Z36&amp;"; "&amp;AA36&amp;"; "&amp;AB36&amp;"; "&amp;AC36&amp;"; "&amp;AD36&amp;"; "&amp;V36&amp;"; "&amp;C36&amp;"; "&amp;AH36&amp;"; "&amp;AI36)</x:f>
        <x:v>proposal.natural.abrasive; graded abrasive grit; manufactured stock; processed mineral; processed material; processed intermediate; geological; surface finishing; mineral; particles; proposal; ; t1; not applicable; material</x:v>
      </x:c>
      <x:c r="AF36" s="4" t="str">
        <x:v>From current item description. Proposed uses retain their existing approval status. Lore category review: Resources -&gt; Manufactured stock. Classification only; original item status and tier retained.</x:v>
      </x:c>
      <x:c r="AG36" s="4" t="str">
        <x:v>Proposed game manufacturing tier from the candidate routes. Integrated operations may contain many work steps.</x:v>
      </x:c>
      <x:c r="AH36" s="4" t="str">
        <x:v>Not applicable</x:v>
      </x:c>
      <x:c r="AI36" s="4" t="str">
        <x:v>Material</x:v>
      </x:c>
      <x:c r="AJ36" s="4" t="n">
        <x:f>COUNTIFS('Material routes'!$D$6:$D$2205,A36,'Material routes'!$C$6:$C$2205,"Output")</x:f>
        <x:v>2</x:v>
      </x:c>
      <x:c r="AK36" s="4" t="n">
        <x:f>SUM(COUNTIFS('Material routes'!$D$6:$D$2205,A36,'Material routes'!$C$6:$C$2205,"Ingredient candidate"),COUNTIFS('Material routes'!$D$6:$D$2205,A36,'Material routes'!$C$6:$C$2205,"Consumed input"),COUNTIFS('Material routes'!$D$6:$D$2205,A36,'Material routes'!$C$6:$C$2205,"Contained input"),COUNTIFS('Material routes'!$D$6:$D$2205,A36,'Material routes'!$C$6:$C$2205,"Transform input"))</x:f>
        <x:v>27</x:v>
      </x:c>
      <x:c r="AL36" s="4" t="n">
        <x:f>COUNTIFS('Material routes'!$D$6:$D$2205,A36,'Material routes'!$C$6:$C$2205,"Tool candidate")</x:f>
        <x:v>0</x:v>
      </x:c>
      <x:c r="AM36" s="4" t="str">
        <x:f>IF(AJ36&gt;0,"Route listed; review status/completeness",IF(C36="T0","Raw entry feed; no production route","No production route listed"))</x:f>
        <x:v>Route listed; review status/completeness</x:v>
      </x:c>
      <x:c r="AN36" s="14" t="n">
        <x:f>IF(C36="T0",0,IF(C36="T1",1,IF(C36="T2",2,IF(C36="T3",3,IF(C36="T4",4,IF(C36="Unassigned",98,99))))))</x:f>
        <x:v>1</x:v>
      </x:c>
      <x:c r="AZ36"/>
      <x:c r="BA36"/>
      <x:c r="BB36"/>
      <x:c r="BC36"/>
      <x:c r="BD36"/>
      <x:c r="BE36"/>
      <x:c r="BF36"/>
      <x:c r="BG36"/>
      <x:c r="BH36"/>
      <x:c r="BI36"/>
      <x:c r="BJ36"/>
      <x:c r="BK36"/>
      <x:c r="BL36"/>
      <x:c r="BM36"/>
      <x:c r="BN36"/>
      <x:c r="BO36"/>
      <x:c r="BP36"/>
      <x:c r="BQ36"/>
      <x:c r="BR36"/>
      <x:c r="BS36"/>
      <x:c r="BT36"/>
      <x:c r="BU36"/>
      <x:c r="BV36"/>
      <x:c r="BW36"/>
      <x:c r="BX36"/>
      <x:c r="BY36"/>
      <x:c r="BZ36"/>
      <x:c r="CA36"/>
      <x:c r="CB36"/>
      <x:c r="CC36"/>
    </x:row>
    <x:row r="37" ht="66" customHeight="1">
      <x:c r="A37" s="9" t="str">
        <x:v>proposal.natural.ceramic</x:v>
      </x:c>
      <x:c r="B37" s="9" t="str">
        <x:v>Insulating ceramic blanks</x:v>
      </x:c>
      <x:c r="C37" s="4" t="str">
        <x:v>T2</x:v>
      </x:c>
      <x:c r="D37" s="9" t="str">
        <x:v>Manufactured stock</x:v>
      </x:c>
      <x:c r="E37" s="9" t="str">
        <x:v>Processed mineral</x:v>
      </x:c>
      <x:c r="F37" s="9" t="str">
        <x:v>New proposal</x:v>
      </x:c>
      <x:c r="G37" s="9" t="inlineStr">
        <x:is>
          <x:t xml:space="preserve">Grounding-kit spacers and heat-resistant fixtures. It is intended to separate conductive parts or support them without a direct conducting path. No voltage or thermal rating follows from that proposed role.</x:t>
        </x:is>
      </x:c>
      <x:c r="H37" s="9" t="str">
        <x:v>None</x:v>
      </x:c>
      <x:c r="I37" s="9" t="str">
        <x:v>Legger / local storage proposed</x:v>
      </x:c>
      <x:c r="J37" s="13"/>
      <x:c r="K37" s="15"/>
      <x:c r="L37" s="9" t="str">
        <x:v>Process alumina</x:v>
      </x:c>
      <x:c r="M37" s="9" t="str">
        <x:v>Dry feed preparation, forming and firing</x:v>
      </x:c>
      <x:c r="N37" s="9" t="str">
        <x:v>Not implemented</x:v>
      </x:c>
      <x:c r="O37" s="9" t="str">
        <x:v>Claystone may be a co-input; forming binder/energy not settled.</x:v>
      </x:c>
      <x:c r="P37" s="17"/>
      <x:c r="Q37" s="17"/>
      <x:c r="R37" s="17"/>
      <x:c r="S37" s="17"/>
      <x:c r="T37" s="17"/>
      <x:c r="U37" s="9" t="str">
        <x:v>Choose production chain and possible reuse of existing item definitions</x:v>
      </x:c>
      <x:c r="V37" s="11" t="str">
        <x:v>protective fabrication; mineral</x:v>
      </x:c>
      <x:c r="W37" s="9" t="str">
        <x:v>User design direction, October 14, 2026; local brainstorming. New proposal unless explicitly marked User direction.</x:v>
      </x:c>
      <x:c r="X37" s="4" t="str">
        <x:v>Processed material</x:v>
      </x:c>
      <x:c r="Y37" s="4" t="str">
        <x:v>Processed intermediate</x:v>
      </x:c>
      <x:c r="Z37" s="4" t="str">
        <x:v>Geological</x:v>
      </x:c>
      <x:c r="AA37" s="4" t="str">
        <x:v>Electrical insulation</x:v>
      </x:c>
      <x:c r="AB37" s="4" t="str">
        <x:v>Ceramic</x:v>
      </x:c>
      <x:c r="AC37" s="4" t="str">
        <x:v>Solid part</x:v>
      </x:c>
      <x:c r="AD37" s="4" t="str">
        <x:v>Proposal</x:v>
      </x:c>
      <x:c r="AE37" s="4" t="str">
        <x:f>LOWER(A37&amp;"; "&amp;B37&amp;"; "&amp;D37&amp;"; "&amp;E37&amp;"; "&amp;X37&amp;"; "&amp;Y37&amp;"; "&amp;Z37&amp;"; "&amp;AA37&amp;"; "&amp;AB37&amp;"; "&amp;AC37&amp;"; "&amp;AD37&amp;"; "&amp;V37&amp;"; "&amp;C37&amp;"; "&amp;AH37&amp;"; "&amp;AI37)</x:f>
        <x:v>proposal.natural.ceramic; insulating ceramic blanks; manufactured stock; processed mineral; processed material; processed intermediate; geological; electrical insulation; ceramic; solid part; proposal; protective fabrication; mineral; t2; not applicable; material</x:v>
      </x:c>
      <x:c r="AF37" s="4" t="str">
        <x:v>From current item description. Proposed uses retain their existing approval status. Lore category review: Resources -&gt; Manufactured stock. Classification only; original item status and tier retained.</x:v>
      </x:c>
      <x:c r="AG37" s="4" t="str">
        <x:v>Proposed October 15 tier/recipe for the existing item family; not a change to its original item-design status. Existing proposal reused. No ordinary water process, voltage rating or guarantee that every glaze insulates.</x:v>
      </x:c>
      <x:c r="AH37" s="4" t="str">
        <x:v>Not applicable</x:v>
      </x:c>
      <x:c r="AI37" s="4" t="str">
        <x:v>Material</x:v>
      </x:c>
      <x:c r="AJ37" s="4" t="n">
        <x:f>COUNTIFS('Material routes'!$D$6:$D$2205,A37,'Material routes'!$C$6:$C$2205,"Output")</x:f>
        <x:v>2</x:v>
      </x:c>
      <x:c r="AK37" s="4" t="n">
        <x:f>SUM(COUNTIFS('Material routes'!$D$6:$D$2205,A37,'Material routes'!$C$6:$C$2205,"Ingredient candidate"),COUNTIFS('Material routes'!$D$6:$D$2205,A37,'Material routes'!$C$6:$C$2205,"Consumed input"),COUNTIFS('Material routes'!$D$6:$D$2205,A37,'Material routes'!$C$6:$C$2205,"Contained input"),COUNTIFS('Material routes'!$D$6:$D$2205,A37,'Material routes'!$C$6:$C$2205,"Transform input"))</x:f>
        <x:v>18</x:v>
      </x:c>
      <x:c r="AL37" s="4" t="n">
        <x:f>COUNTIFS('Material routes'!$D$6:$D$2205,A37,'Material routes'!$C$6:$C$2205,"Tool candidate")</x:f>
        <x:v>0</x:v>
      </x:c>
      <x:c r="AM37" s="4" t="str">
        <x:f>IF(AJ37&gt;0,"Route listed; review status/completeness",IF(C37="T0","Raw entry feed; no production route","No production route listed"))</x:f>
        <x:v>Route listed; review status/completeness</x:v>
      </x:c>
      <x:c r="AN37" s="14" t="n">
        <x:f>IF(C37="T0",0,IF(C37="T1",1,IF(C37="T2",2,IF(C37="T3",3,IF(C37="T4",4,IF(C37="Unassigned",98,99))))))</x:f>
        <x:v>2</x:v>
      </x:c>
      <x:c r="AZ37"/>
      <x:c r="BA37"/>
      <x:c r="BB37"/>
      <x:c r="BC37"/>
      <x:c r="BD37"/>
      <x:c r="BE37"/>
      <x:c r="BF37"/>
      <x:c r="BG37"/>
      <x:c r="BH37"/>
      <x:c r="BI37"/>
      <x:c r="BJ37"/>
      <x:c r="BK37"/>
      <x:c r="BL37"/>
      <x:c r="BM37"/>
      <x:c r="BN37"/>
      <x:c r="BO37"/>
      <x:c r="BP37"/>
      <x:c r="BQ37"/>
      <x:c r="BR37"/>
      <x:c r="BS37"/>
      <x:c r="BT37"/>
      <x:c r="BU37"/>
      <x:c r="BV37"/>
      <x:c r="BW37"/>
      <x:c r="BX37"/>
      <x:c r="BY37"/>
      <x:c r="BZ37"/>
      <x:c r="CA37"/>
      <x:c r="CB37"/>
      <x:c r="CC37"/>
    </x:row>
    <x:row r="38" ht="66" customHeight="1">
      <x:c r="A38" s="9" t="str">
        <x:v>proposal.natural.lime</x:v>
      </x:c>
      <x:c r="B38" s="9" t="str">
        <x:v>Calcined mineral binder</x:v>
      </x:c>
      <x:c r="C38" s="4" t="str">
        <x:v>T1</x:v>
      </x:c>
      <x:c r="D38" s="9" t="str">
        <x:v>Manufactured stock</x:v>
      </x:c>
      <x:c r="E38" s="9" t="str">
        <x:v>Processed mineral</x:v>
      </x:c>
      <x:c r="F38" s="9" t="str">
        <x:v>New proposal</x:v>
      </x:c>
      <x:c r="G38" s="9" t="inlineStr">
        <x:is>
          <x:t xml:space="preserve">Dry composite repair and construction. It is intended to join, reinforce or support other parts, with the bond or fastening chosen for the materials and loads involved.</x:t>
        </x:is>
      </x:c>
      <x:c r="H38" s="9" t="str">
        <x:v>None</x:v>
      </x:c>
      <x:c r="I38" s="9" t="str">
        <x:v>Legger / local storage proposed</x:v>
      </x:c>
      <x:c r="J38" s="13"/>
      <x:c r="K38" s="15"/>
      <x:c r="L38" s="9" t="str">
        <x:v>Process carbonate</x:v>
      </x:c>
      <x:c r="M38" s="9" t="str">
        <x:v>Heat mineral feed; retain dry product</x:v>
      </x:c>
      <x:c r="N38" s="9" t="str">
        <x:v>Not implemented</x:v>
      </x:c>
      <x:c r="O38" s="9" t="str">
        <x:v>No conventional water-based cement recipe assumed.</x:v>
      </x:c>
      <x:c r="P38" s="17"/>
      <x:c r="Q38" s="17"/>
      <x:c r="R38" s="17"/>
      <x:c r="S38" s="17"/>
      <x:c r="T38" s="17"/>
      <x:c r="U38" s="9" t="str">
        <x:v>Choose production chain and possible reuse of existing item definitions</x:v>
      </x:c>
      <x:c r="V38" s="11"/>
      <x:c r="W38" s="9" t="str">
        <x:v>User design direction, October 14, 2026; local brainstorming. New proposal unless explicitly marked User direction.</x:v>
      </x:c>
      <x:c r="X38" s="4" t="str">
        <x:v>Processed material</x:v>
      </x:c>
      <x:c r="Y38" s="4" t="str">
        <x:v>Processed intermediate</x:v>
      </x:c>
      <x:c r="Z38" s="4" t="str">
        <x:v>Geological</x:v>
      </x:c>
      <x:c r="AA38" s="4" t="str">
        <x:v>Binding and construction</x:v>
      </x:c>
      <x:c r="AB38" s="4" t="str">
        <x:v>Mineral</x:v>
      </x:c>
      <x:c r="AC38" s="4" t="str">
        <x:v>Particles</x:v>
      </x:c>
      <x:c r="AD38" s="4" t="str">
        <x:v>Proposal</x:v>
      </x:c>
      <x:c r="AE38" s="4" t="str">
        <x:f>LOWER(A38&amp;"; "&amp;B38&amp;"; "&amp;D38&amp;"; "&amp;E38&amp;"; "&amp;X38&amp;"; "&amp;Y38&amp;"; "&amp;Z38&amp;"; "&amp;AA38&amp;"; "&amp;AB38&amp;"; "&amp;AC38&amp;"; "&amp;AD38&amp;"; "&amp;V38&amp;"; "&amp;C38&amp;"; "&amp;AH38&amp;"; "&amp;AI38)</x:f>
        <x:v>proposal.natural.lime; calcined mineral binder; manufactured stock; processed mineral; processed material; processed intermediate; geological; binding and construction; mineral; particles; proposal; ; t1; not applicable; material</x:v>
      </x:c>
      <x:c r="AF38" s="4" t="str">
        <x:v>From current item description. Proposed uses retain their existing approval status. Lore category review: Resources -&gt; Manufactured stock. Classification only; original item status and tier retained.</x:v>
      </x:c>
      <x:c r="AG38" s="4" t="str">
        <x:v>Proposed game manufacturing tier from the candidate routes. Integrated operations may contain many work steps.</x:v>
      </x:c>
      <x:c r="AH38" s="4" t="str">
        <x:v>Not applicable</x:v>
      </x:c>
      <x:c r="AI38" s="4" t="str">
        <x:v>Material</x:v>
      </x:c>
      <x:c r="AJ38" s="4" t="n">
        <x:f>COUNTIFS('Material routes'!$D$6:$D$2205,A38,'Material routes'!$C$6:$C$2205,"Output")</x:f>
        <x:v>1</x:v>
      </x:c>
      <x:c r="AK38" s="4" t="n">
        <x:f>SUM(COUNTIFS('Material routes'!$D$6:$D$2205,A38,'Material routes'!$C$6:$C$2205,"Ingredient candidate"),COUNTIFS('Material routes'!$D$6:$D$2205,A38,'Material routes'!$C$6:$C$2205,"Consumed input"),COUNTIFS('Material routes'!$D$6:$D$2205,A38,'Material routes'!$C$6:$C$2205,"Contained input"),COUNTIFS('Material routes'!$D$6:$D$2205,A38,'Material routes'!$C$6:$C$2205,"Transform input"))</x:f>
        <x:v>1</x:v>
      </x:c>
      <x:c r="AL38" s="4" t="n">
        <x:f>COUNTIFS('Material routes'!$D$6:$D$2205,A38,'Material routes'!$C$6:$C$2205,"Tool candidate")</x:f>
        <x:v>0</x:v>
      </x:c>
      <x:c r="AM38" s="4" t="str">
        <x:f>IF(AJ38&gt;0,"Route listed; review status/completeness",IF(C38="T0","Raw entry feed; no production route","No production route listed"))</x:f>
        <x:v>Route listed; review status/completeness</x:v>
      </x:c>
      <x:c r="AN38" s="14" t="n">
        <x:f>IF(C38="T0",0,IF(C38="T1",1,IF(C38="T2",2,IF(C38="T3",3,IF(C38="T4",4,IF(C38="Unassigned",98,99))))))</x:f>
        <x:v>1</x:v>
      </x:c>
      <x:c r="AZ38"/>
      <x:c r="BA38"/>
      <x:c r="BB38"/>
      <x:c r="BC38"/>
      <x:c r="BD38"/>
      <x:c r="BE38"/>
      <x:c r="BF38"/>
      <x:c r="BG38"/>
      <x:c r="BH38"/>
      <x:c r="BI38"/>
      <x:c r="BJ38"/>
      <x:c r="BK38"/>
      <x:c r="BL38"/>
      <x:c r="BM38"/>
      <x:c r="BN38"/>
      <x:c r="BO38"/>
      <x:c r="BP38"/>
      <x:c r="BQ38"/>
      <x:c r="BR38"/>
      <x:c r="BS38"/>
      <x:c r="BT38"/>
      <x:c r="BU38"/>
      <x:c r="BV38"/>
      <x:c r="BW38"/>
      <x:c r="BX38"/>
      <x:c r="BY38"/>
      <x:c r="BZ38"/>
      <x:c r="CA38"/>
      <x:c r="CB38"/>
      <x:c r="CC38"/>
    </x:row>
    <x:row r="39" ht="66" customHeight="1">
      <x:c r="A39" s="9" t="str">
        <x:v>proposal.natural.carbon</x:v>
      </x:c>
      <x:c r="B39" s="9" t="str">
        <x:v>Graded graphite flakes</x:v>
      </x:c>
      <x:c r="C39" s="4" t="str">
        <x:v>T1</x:v>
      </x:c>
      <x:c r="D39" s="9" t="str">
        <x:v>Manufactured stock</x:v>
      </x:c>
      <x:c r="E39" s="9" t="str">
        <x:v>Processed mineral</x:v>
      </x:c>
      <x:c r="F39" s="9" t="str">
        <x:v>New proposal</x:v>
      </x:c>
      <x:c r="G39" s="9" t="inlineStr">
        <x:is>
          <x:t xml:space="preserve">Dry lubricant; conductive composite ingredient. It is intended to reduce friction at a matched contact surface; dust behavior and material compatibility require qualification.</x:t>
        </x:is>
      </x:c>
      <x:c r="H39" s="9" t="str">
        <x:v>None</x:v>
      </x:c>
      <x:c r="I39" s="9" t="str">
        <x:v>Legger / local storage proposed</x:v>
      </x:c>
      <x:c r="J39" s="13"/>
      <x:c r="K39" s="15"/>
      <x:c r="L39" s="9" t="str">
        <x:v>Process graphite</x:v>
      </x:c>
      <x:c r="M39" s="9" t="str">
        <x:v>Crush and dry grade</x:v>
      </x:c>
      <x:c r="N39" s="9" t="str">
        <x:v>Not implemented</x:v>
      </x:c>
      <x:c r="O39" s="9" t="str">
        <x:v>Not a power source; graphite behavior and recipe details remain provisional.</x:v>
      </x:c>
      <x:c r="P39" s="17"/>
      <x:c r="Q39" s="17"/>
      <x:c r="R39" s="17"/>
      <x:c r="S39" s="17"/>
      <x:c r="T39" s="17"/>
      <x:c r="U39" s="9" t="str">
        <x:v>Choose production chain and possible reuse of existing item definitions</x:v>
      </x:c>
      <x:c r="V39" s="11" t="str">
        <x:v>electrical conduction</x:v>
      </x:c>
      <x:c r="W39" s="9" t="str">
        <x:v>User design direction, October 14, 2026; local brainstorming. New proposal unless explicitly marked User direction.</x:v>
      </x:c>
      <x:c r="X39" s="4" t="str">
        <x:v>Processed material</x:v>
      </x:c>
      <x:c r="Y39" s="4" t="str">
        <x:v>Processed intermediate</x:v>
      </x:c>
      <x:c r="Z39" s="4" t="str">
        <x:v>Geological</x:v>
      </x:c>
      <x:c r="AA39" s="4" t="str">
        <x:v>Lubrication</x:v>
      </x:c>
      <x:c r="AB39" s="4" t="str">
        <x:v>Mineral</x:v>
      </x:c>
      <x:c r="AC39" s="4" t="str">
        <x:v>Particles</x:v>
      </x:c>
      <x:c r="AD39" s="4" t="str">
        <x:v>Proposal</x:v>
      </x:c>
      <x:c r="AE39" s="4" t="str">
        <x:f>LOWER(A39&amp;"; "&amp;B39&amp;"; "&amp;D39&amp;"; "&amp;E39&amp;"; "&amp;X39&amp;"; "&amp;Y39&amp;"; "&amp;Z39&amp;"; "&amp;AA39&amp;"; "&amp;AB39&amp;"; "&amp;AC39&amp;"; "&amp;AD39&amp;"; "&amp;V39&amp;"; "&amp;C39&amp;"; "&amp;AH39&amp;"; "&amp;AI39)</x:f>
        <x:v>proposal.natural.carbon; graded graphite flakes; manufactured stock; processed mineral; processed material; processed intermediate; geological; lubrication; mineral; particles; proposal; electrical conduction; t1; not applicable; material</x:v>
      </x:c>
      <x:c r="AF39" s="4" t="str">
        <x:v>From current item description. Proposed uses retain their existing approval status. Lore category review: Resources -&gt; Manufactured stock. Classification only; original item status and tier retained.</x:v>
      </x:c>
      <x:c r="AG39" s="4" t="str">
        <x:v>Proposed game manufacturing tier from the candidate routes. Integrated operations may contain many work steps.</x:v>
      </x:c>
      <x:c r="AH39" s="4" t="str">
        <x:v>Not applicable</x:v>
      </x:c>
      <x:c r="AI39" s="4" t="str">
        <x:v>Material</x:v>
      </x:c>
      <x:c r="AJ39" s="4" t="n">
        <x:f>COUNTIFS('Material routes'!$D$6:$D$2205,A39,'Material routes'!$C$6:$C$2205,"Output")</x:f>
        <x:v>1</x:v>
      </x:c>
      <x:c r="AK39" s="4" t="n">
        <x:f>SUM(COUNTIFS('Material routes'!$D$6:$D$2205,A39,'Material routes'!$C$6:$C$2205,"Ingredient candidate"),COUNTIFS('Material routes'!$D$6:$D$2205,A39,'Material routes'!$C$6:$C$2205,"Consumed input"),COUNTIFS('Material routes'!$D$6:$D$2205,A39,'Material routes'!$C$6:$C$2205,"Contained input"),COUNTIFS('Material routes'!$D$6:$D$2205,A39,'Material routes'!$C$6:$C$2205,"Transform input"))</x:f>
        <x:v>6</x:v>
      </x:c>
      <x:c r="AL39" s="4" t="n">
        <x:f>COUNTIFS('Material routes'!$D$6:$D$2205,A39,'Material routes'!$C$6:$C$2205,"Tool candidate")</x:f>
        <x:v>0</x:v>
      </x:c>
      <x:c r="AM39" s="4" t="str">
        <x:f>IF(AJ39&gt;0,"Route listed; review status/completeness",IF(C39="T0","Raw entry feed; no production route","No production route listed"))</x:f>
        <x:v>Route listed; review status/completeness</x:v>
      </x:c>
      <x:c r="AN39" s="14" t="n">
        <x:f>IF(C39="T0",0,IF(C39="T1",1,IF(C39="T2",2,IF(C39="T3",3,IF(C39="T4",4,IF(C39="Unassigned",98,99))))))</x:f>
        <x:v>1</x:v>
      </x:c>
      <x:c r="AZ39"/>
      <x:c r="BA39"/>
      <x:c r="BB39"/>
      <x:c r="BC39"/>
      <x:c r="BD39"/>
      <x:c r="BE39"/>
      <x:c r="BF39"/>
      <x:c r="BG39"/>
      <x:c r="BH39"/>
      <x:c r="BI39"/>
      <x:c r="BJ39"/>
      <x:c r="BK39"/>
      <x:c r="BL39"/>
      <x:c r="BM39"/>
      <x:c r="BN39"/>
      <x:c r="BO39"/>
      <x:c r="BP39"/>
      <x:c r="BQ39"/>
      <x:c r="BR39"/>
      <x:c r="BS39"/>
      <x:c r="BT39"/>
      <x:c r="BU39"/>
      <x:c r="BV39"/>
      <x:c r="BW39"/>
      <x:c r="BX39"/>
      <x:c r="BY39"/>
      <x:c r="BZ39"/>
      <x:c r="CA39"/>
      <x:c r="CB39"/>
      <x:c r="CC39"/>
    </x:row>
    <x:row r="40" ht="66" customHeight="1">
      <x:c r="A40" s="9" t="str">
        <x:v>proposal.bio.shell</x:v>
      </x:c>
      <x:c r="B40" s="9" t="str">
        <x:v>Shell husks / shed plates</x:v>
      </x:c>
      <x:c r="C40" s="4" t="str">
        <x:v>T0</x:v>
      </x:c>
      <x:c r="D40" s="9" t="str">
        <x:v>Biological resources</x:v>
      </x:c>
      <x:c r="E40" s="9" t="str">
        <x:v>Molted exoskeleton</x:v>
      </x:c>
      <x:c r="F40" s="9" t="str">
        <x:v>User direction; not implemented</x:v>
      </x:c>
      <x:c r="G40" s="9" t="inlineStr">
        <x:is>
          <x:t xml:space="preserve">Cheap raw shell/husk material; source of scraped fibers and candidate basic casing/guards. It provides candidate material or a shaped starting piece for making other objects, with the final form set by the receiving design.</x:t>
        </x:is>
      </x:c>
      <x:c r="H40" s="9" t="str">
        <x:v>None</x:v>
      </x:c>
      <x:c r="I40" s="9" t="str">
        <x:v>Legger / local storage proposed</x:v>
      </x:c>
      <x:c r="J40" s="13"/>
      <x:c r="K40" s="15"/>
      <x:c r="L40" s="9" t="str">
        <x:v>Discarded shell husks; creature-specific collection remains proposed</x:v>
      </x:c>
      <x:c r="M40" s="9" t="str">
        <x:v>Scrape fibers for paper and difficult pressed textile processing</x:v>
      </x:c>
      <x:c r="N40" s="9" t="str">
        <x:v>Not implemented</x:v>
      </x:c>
      <x:c r="O40" s="9" t="str">
        <x:v>Raw fiber abundance does not imply easy finished textile production; no cloth.</x:v>
      </x:c>
      <x:c r="P40" s="17"/>
      <x:c r="Q40" s="17"/>
      <x:c r="R40" s="17"/>
      <x:c r="S40" s="17"/>
      <x:c r="T40" s="17"/>
      <x:c r="U40" s="9" t="str">
        <x:v>Ordinary raw shells are cheap bulk material. Processed fibers, exceptional selected material and precision finished parts have separate value; no numeric price set.</x:v>
      </x:c>
      <x:c r="V40" s="11" t="str">
        <x:v>fiber processing</x:v>
      </x:c>
      <x:c r="W40" s="9" t="str">
        <x:v>Direct author direction October 14, 2026; Docs/WORLD_BASIS.md#material-culture</x:v>
      </x:c>
      <x:c r="X40" s="4" t="str">
        <x:v>Raw material</x:v>
      </x:c>
      <x:c r="Y40" s="4" t="str">
        <x:v>Raw</x:v>
      </x:c>
      <x:c r="Z40" s="4" t="str">
        <x:v>Fauna</x:v>
      </x:c>
      <x:c r="AA40" s="4" t="str">
        <x:v>Fabrication</x:v>
      </x:c>
      <x:c r="AB40" s="4" t="str">
        <x:v>Shell / chitin</x:v>
      </x:c>
      <x:c r="AC40" s="4" t="str">
        <x:v>Shell plate</x:v>
      </x:c>
      <x:c r="AD40" s="4" t="str">
        <x:v>Author direction</x:v>
      </x:c>
      <x:c r="AE40" s="4" t="str">
        <x:f>LOWER(A40&amp;"; "&amp;B40&amp;"; "&amp;D40&amp;"; "&amp;E40&amp;"; "&amp;X40&amp;"; "&amp;Y40&amp;"; "&amp;Z40&amp;"; "&amp;AA40&amp;"; "&amp;AB40&amp;"; "&amp;AC40&amp;"; "&amp;AD40&amp;"; "&amp;V40&amp;"; "&amp;C40&amp;"; "&amp;AH40&amp;"; "&amp;AI40)</x:f>
        <x:v>proposal.bio.shell; shell husks / shed plates; biological resources; molted exoskeleton; raw material; raw; fauna; fabrication; shell / chitin; shell plate; author direction; fiber processing; t0; not applicable; material</x:v>
      </x:c>
      <x:c r="AF40" s="4" t="str">
        <x:v>From current item description. Proposed uses retain their existing approval status. Lore category review: Resources -&gt; Biological resources. Classification only; original item status and tier retained.</x:v>
      </x:c>
      <x:c r="AG40" s="4" t="str">
        <x:v>Raw gathered/recovered craft input under the author T0 framework. This does not imply a naturally occurring pure metal.</x:v>
      </x:c>
      <x:c r="AH40" s="4" t="str">
        <x:v>Not applicable</x:v>
      </x:c>
      <x:c r="AI40" s="4" t="str">
        <x:v>Material</x:v>
      </x:c>
      <x:c r="AJ40" s="4" t="n">
        <x:f>COUNTIFS('Material routes'!$D$6:$D$2205,A40,'Material routes'!$C$6:$C$2205,"Output")</x:f>
        <x:v>0</x:v>
      </x:c>
      <x:c r="AK40" s="4" t="n">
        <x:f>SUM(COUNTIFS('Material routes'!$D$6:$D$2205,A40,'Material routes'!$C$6:$C$2205,"Ingredient candidate"),COUNTIFS('Material routes'!$D$6:$D$2205,A40,'Material routes'!$C$6:$C$2205,"Consumed input"),COUNTIFS('Material routes'!$D$6:$D$2205,A40,'Material routes'!$C$6:$C$2205,"Contained input"),COUNTIFS('Material routes'!$D$6:$D$2205,A40,'Material routes'!$C$6:$C$2205,"Transform input"))</x:f>
        <x:v>8</x:v>
      </x:c>
      <x:c r="AL40" s="4" t="n">
        <x:f>COUNTIFS('Material routes'!$D$6:$D$2205,A40,'Material routes'!$C$6:$C$2205,"Tool candidate")</x:f>
        <x:v>0</x:v>
      </x:c>
      <x:c r="AM40" s="4" t="str">
        <x:f>IF(AJ40&gt;0,"Route listed; review status/completeness",IF(C40="T0","Raw entry feed; no production route","No production route listed"))</x:f>
        <x:v>Raw entry feed; no production route</x:v>
      </x:c>
      <x:c r="AN40" s="14" t="n">
        <x:f>IF(C40="T0",0,IF(C40="T1",1,IF(C40="T2",2,IF(C40="T3",3,IF(C40="T4",4,IF(C40="Unassigned",98,99))))))</x:f>
        <x:v>0</x:v>
      </x:c>
      <x:c r="AZ40"/>
      <x:c r="BA40"/>
      <x:c r="BB40"/>
      <x:c r="BC40"/>
      <x:c r="BD40"/>
      <x:c r="BE40"/>
      <x:c r="BF40"/>
      <x:c r="BG40"/>
      <x:c r="BH40"/>
      <x:c r="BI40"/>
      <x:c r="BJ40"/>
      <x:c r="BK40"/>
      <x:c r="BL40"/>
      <x:c r="BM40"/>
      <x:c r="BN40"/>
      <x:c r="BO40"/>
      <x:c r="BP40"/>
      <x:c r="BQ40"/>
      <x:c r="BR40"/>
      <x:c r="BS40"/>
      <x:c r="BT40"/>
      <x:c r="BU40"/>
      <x:c r="BV40"/>
      <x:c r="BW40"/>
      <x:c r="BX40"/>
      <x:c r="BY40"/>
      <x:c r="BZ40"/>
      <x:c r="CA40"/>
      <x:c r="CB40"/>
      <x:c r="CC40"/>
    </x:row>
    <x:row r="41" ht="66" customHeight="1">
      <x:c r="A41" s="9" t="str">
        <x:v>proposal.bio.tendon</x:v>
      </x:c>
      <x:c r="B41" s="9" t="str">
        <x:v>Dried tendon bundles</x:v>
      </x:c>
      <x:c r="C41" s="4" t="str">
        <x:v>T0</x:v>
      </x:c>
      <x:c r="D41" s="9" t="str">
        <x:v>Biological resources</x:v>
      </x:c>
      <x:c r="E41" s="9" t="str">
        <x:v>Connective tissue</x:v>
      </x:c>
      <x:c r="F41" s="9" t="str">
        <x:v>New proposal</x:v>
      </x:c>
      <x:c r="G41" s="9" t="inlineStr">
        <x:is>
          <x:t xml:space="preserve">Cordage and flexible bindings. It is intended to join, reinforce or support other parts, with the bond or fastening chosen for the materials and loads involved.</x:t>
        </x:is>
      </x:c>
      <x:c r="H41" s="9" t="str">
        <x:v>None</x:v>
      </x:c>
      <x:c r="I41" s="9" t="str">
        <x:v>Legger / local storage proposed</x:v>
      </x:c>
      <x:c r="J41" s="13"/>
      <x:c r="K41" s="15"/>
      <x:c r="L41" s="9" t="str">
        <x:v>Carcass joints and limb anchors</x:v>
      </x:c>
      <x:c r="M41" s="9" t="str">
        <x:v>See Resource chains</x:v>
      </x:c>
      <x:c r="N41" s="9" t="str">
        <x:v>Not implemented</x:v>
      </x:c>
      <x:c r="O41" s="9" t="str">
        <x:v>No yield numbers. Internal chemistry is mostly toxic to humans; faunal chemicals/liquids can be materials. Anatomy and containment remain unresolved.</x:v>
      </x:c>
      <x:c r="P41" s="17"/>
      <x:c r="Q41" s="17"/>
      <x:c r="R41" s="17"/>
      <x:c r="S41" s="17"/>
      <x:c r="T41" s="17"/>
      <x:c r="U41" s="9" t="str">
        <x:v>Ecology, tissue preservation, safe fiction, processing and final naming</x:v>
      </x:c>
      <x:c r="V41" s="11"/>
      <x:c r="W41" s="9" t="str">
        <x:v>User design direction, October 14, 2026; local brainstorming. New proposal unless explicitly marked User direction.</x:v>
      </x:c>
      <x:c r="X41" s="4" t="str">
        <x:v>Raw material</x:v>
      </x:c>
      <x:c r="Y41" s="4" t="str">
        <x:v>Raw</x:v>
      </x:c>
      <x:c r="Z41" s="4" t="str">
        <x:v>Fauna</x:v>
      </x:c>
      <x:c r="AA41" s="4" t="str">
        <x:v>Binding and construction</x:v>
      </x:c>
      <x:c r="AB41" s="4" t="str">
        <x:v>Faunal tissue</x:v>
      </x:c>
      <x:c r="AC41" s="4" t="str">
        <x:v>Bundle</x:v>
      </x:c>
      <x:c r="AD41" s="4" t="str">
        <x:v>Proposal</x:v>
      </x:c>
      <x:c r="AE41" s="4" t="str">
        <x:f>LOWER(A41&amp;"; "&amp;B41&amp;"; "&amp;D41&amp;"; "&amp;E41&amp;"; "&amp;X41&amp;"; "&amp;Y41&amp;"; "&amp;Z41&amp;"; "&amp;AA41&amp;"; "&amp;AB41&amp;"; "&amp;AC41&amp;"; "&amp;AD41&amp;"; "&amp;V41&amp;"; "&amp;C41&amp;"; "&amp;AH41&amp;"; "&amp;AI41)</x:f>
        <x:v>proposal.bio.tendon; dried tendon bundles; biological resources; connective tissue; raw material; raw; fauna; binding and construction; faunal tissue; bundle; proposal; ; t0; not applicable; material</x:v>
      </x:c>
      <x:c r="AF41" s="4" t="str">
        <x:v>From current item description. Proposed uses retain their existing approval status. Lore category review: Resources -&gt; Biological resources. Classification only; original item status and tier retained.</x:v>
      </x:c>
      <x:c r="AG41" s="4" t="str">
        <x:v>Raw gathered/recovered craft input under the author T0 framework. This does not imply a naturally occurring pure metal.</x:v>
      </x:c>
      <x:c r="AH41" s="4" t="str">
        <x:v>Not applicable</x:v>
      </x:c>
      <x:c r="AI41" s="4" t="str">
        <x:v>Material</x:v>
      </x:c>
      <x:c r="AJ41" s="4" t="n">
        <x:f>COUNTIFS('Material routes'!$D$6:$D$2205,A41,'Material routes'!$C$6:$C$2205,"Output")</x:f>
        <x:v>0</x:v>
      </x:c>
      <x:c r="AK41" s="4" t="n">
        <x:f>SUM(COUNTIFS('Material routes'!$D$6:$D$2205,A41,'Material routes'!$C$6:$C$2205,"Ingredient candidate"),COUNTIFS('Material routes'!$D$6:$D$2205,A41,'Material routes'!$C$6:$C$2205,"Consumed input"),COUNTIFS('Material routes'!$D$6:$D$2205,A41,'Material routes'!$C$6:$C$2205,"Contained input"),COUNTIFS('Material routes'!$D$6:$D$2205,A41,'Material routes'!$C$6:$C$2205,"Transform input"))</x:f>
        <x:v>2</x:v>
      </x:c>
      <x:c r="AL41" s="4" t="n">
        <x:f>COUNTIFS('Material routes'!$D$6:$D$2205,A41,'Material routes'!$C$6:$C$2205,"Tool candidate")</x:f>
        <x:v>0</x:v>
      </x:c>
      <x:c r="AM41" s="4" t="str">
        <x:f>IF(AJ41&gt;0,"Route listed; review status/completeness",IF(C41="T0","Raw entry feed; no production route","No production route listed"))</x:f>
        <x:v>Raw entry feed; no production route</x:v>
      </x:c>
      <x:c r="AN41" s="14" t="n">
        <x:f>IF(C41="T0",0,IF(C41="T1",1,IF(C41="T2",2,IF(C41="T3",3,IF(C41="T4",4,IF(C41="Unassigned",98,99))))))</x:f>
        <x:v>0</x:v>
      </x:c>
      <x:c r="AZ41"/>
      <x:c r="BA41"/>
      <x:c r="BB41"/>
      <x:c r="BC41"/>
      <x:c r="BD41"/>
      <x:c r="BE41"/>
      <x:c r="BF41"/>
      <x:c r="BG41"/>
      <x:c r="BH41"/>
      <x:c r="BI41"/>
      <x:c r="BJ41"/>
      <x:c r="BK41"/>
      <x:c r="BL41"/>
      <x:c r="BM41"/>
      <x:c r="BN41"/>
      <x:c r="BO41"/>
      <x:c r="BP41"/>
      <x:c r="BQ41"/>
      <x:c r="BR41"/>
      <x:c r="BS41"/>
      <x:c r="BT41"/>
      <x:c r="BU41"/>
      <x:c r="BV41"/>
      <x:c r="BW41"/>
      <x:c r="BX41"/>
      <x:c r="BY41"/>
      <x:c r="BZ41"/>
      <x:c r="CA41"/>
      <x:c r="CB41"/>
      <x:c r="CC41"/>
    </x:row>
    <x:row r="42" ht="66" customHeight="1">
      <x:c r="A42" s="9" t="str">
        <x:v>proposal.bio.bristles</x:v>
      </x:c>
      <x:c r="B42" s="9" t="str">
        <x:v>Coarse sensory bristles</x:v>
      </x:c>
      <x:c r="C42" s="4" t="str">
        <x:v>T0</x:v>
      </x:c>
      <x:c r="D42" s="9" t="str">
        <x:v>Biological resources</x:v>
      </x:c>
      <x:c r="E42" s="9" t="str">
        <x:v>Dry fibers</x:v>
      </x:c>
      <x:c r="F42" s="9" t="str">
        <x:v>New proposal</x:v>
      </x:c>
      <x:c r="G42" s="9" t="inlineStr">
        <x:is>
          <x:t xml:space="preserve">Dust seals, brushes and filter research. It is intended to obstruct grit at an opening or moving interface. Its fit and wear must be qualified before any exclusion or filtration performance is assigned.</x:t>
        </x:is>
      </x:c>
      <x:c r="H42" s="9" t="str">
        <x:v>None</x:v>
      </x:c>
      <x:c r="I42" s="9" t="str">
        <x:v>Legger / local storage proposed</x:v>
      </x:c>
      <x:c r="J42" s="13"/>
      <x:c r="K42" s="15"/>
      <x:c r="L42" s="9" t="str">
        <x:v>Shed bristles and carcass brushes</x:v>
      </x:c>
      <x:c r="M42" s="9" t="str">
        <x:v>See Resource chains</x:v>
      </x:c>
      <x:c r="N42" s="9" t="str">
        <x:v>Not implemented</x:v>
      </x:c>
      <x:c r="O42" s="9" t="str">
        <x:v>No yield numbers. Internal chemistry is mostly toxic to humans; faunal chemicals/liquids can be materials. Anatomy and containment remain unresolved.</x:v>
      </x:c>
      <x:c r="P42" s="17"/>
      <x:c r="Q42" s="17"/>
      <x:c r="R42" s="17"/>
      <x:c r="S42" s="17"/>
      <x:c r="T42" s="17"/>
      <x:c r="U42" s="9" t="str">
        <x:v>Ecology, tissue preservation, safe fiction, processing and final naming</x:v>
      </x:c>
      <x:c r="V42" s="11"/>
      <x:c r="W42" s="9" t="str">
        <x:v>User design direction, October 14, 2026; local brainstorming. New proposal unless explicitly marked User direction.</x:v>
      </x:c>
      <x:c r="X42" s="4" t="str">
        <x:v>Raw material</x:v>
      </x:c>
      <x:c r="Y42" s="4" t="str">
        <x:v>Raw</x:v>
      </x:c>
      <x:c r="Z42" s="4" t="str">
        <x:v>Fauna</x:v>
      </x:c>
      <x:c r="AA42" s="4" t="str">
        <x:v>Dust exclusion</x:v>
      </x:c>
      <x:c r="AB42" s="4" t="str">
        <x:v>Faunal fiber</x:v>
      </x:c>
      <x:c r="AC42" s="4" t="str">
        <x:v>Fiber</x:v>
      </x:c>
      <x:c r="AD42" s="4" t="str">
        <x:v>Proposal</x:v>
      </x:c>
      <x:c r="AE42" s="4" t="str">
        <x:f>LOWER(A42&amp;"; "&amp;B42&amp;"; "&amp;D42&amp;"; "&amp;E42&amp;"; "&amp;X42&amp;"; "&amp;Y42&amp;"; "&amp;Z42&amp;"; "&amp;AA42&amp;"; "&amp;AB42&amp;"; "&amp;AC42&amp;"; "&amp;AD42&amp;"; "&amp;V42&amp;"; "&amp;C42&amp;"; "&amp;AH42&amp;"; "&amp;AI42)</x:f>
        <x:v>proposal.bio.bristles; coarse sensory bristles; biological resources; dry fibers; raw material; raw; fauna; dust exclusion; faunal fiber; fiber; proposal; ; t0; not applicable; material</x:v>
      </x:c>
      <x:c r="AF42" s="4" t="str">
        <x:v>From current item description. Proposed uses retain their existing approval status. Lore category review: Resources -&gt; Biological resources. Classification only; original item status and tier retained.</x:v>
      </x:c>
      <x:c r="AG42" s="4" t="str">
        <x:v>Raw gathered/recovered craft input under the author T0 framework. This does not imply a naturally occurring pure metal.</x:v>
      </x:c>
      <x:c r="AH42" s="4" t="str">
        <x:v>Not applicable</x:v>
      </x:c>
      <x:c r="AI42" s="4" t="str">
        <x:v>Material</x:v>
      </x:c>
      <x:c r="AJ42" s="4" t="n">
        <x:f>COUNTIFS('Material routes'!$D$6:$D$2205,A42,'Material routes'!$C$6:$C$2205,"Output")</x:f>
        <x:v>0</x:v>
      </x:c>
      <x:c r="AK42" s="4" t="n">
        <x:f>SUM(COUNTIFS('Material routes'!$D$6:$D$2205,A42,'Material routes'!$C$6:$C$2205,"Ingredient candidate"),COUNTIFS('Material routes'!$D$6:$D$2205,A42,'Material routes'!$C$6:$C$2205,"Consumed input"),COUNTIFS('Material routes'!$D$6:$D$2205,A42,'Material routes'!$C$6:$C$2205,"Contained input"),COUNTIFS('Material routes'!$D$6:$D$2205,A42,'Material routes'!$C$6:$C$2205,"Transform input"))</x:f>
        <x:v>2</x:v>
      </x:c>
      <x:c r="AL42" s="4" t="n">
        <x:f>COUNTIFS('Material routes'!$D$6:$D$2205,A42,'Material routes'!$C$6:$C$2205,"Tool candidate")</x:f>
        <x:v>0</x:v>
      </x:c>
      <x:c r="AM42" s="4" t="str">
        <x:f>IF(AJ42&gt;0,"Route listed; review status/completeness",IF(C42="T0","Raw entry feed; no production route","No production route listed"))</x:f>
        <x:v>Raw entry feed; no production route</x:v>
      </x:c>
      <x:c r="AN42" s="14" t="n">
        <x:f>IF(C42="T0",0,IF(C42="T1",1,IF(C42="T2",2,IF(C42="T3",3,IF(C42="T4",4,IF(C42="Unassigned",98,99))))))</x:f>
        <x:v>0</x:v>
      </x:c>
      <x:c r="AZ42"/>
      <x:c r="BA42"/>
      <x:c r="BB42"/>
      <x:c r="BC42"/>
      <x:c r="BD42"/>
      <x:c r="BE42"/>
      <x:c r="BF42"/>
      <x:c r="BG42"/>
      <x:c r="BH42"/>
      <x:c r="BI42"/>
      <x:c r="BJ42"/>
      <x:c r="BK42"/>
      <x:c r="BL42"/>
      <x:c r="BM42"/>
      <x:c r="BN42"/>
      <x:c r="BO42"/>
      <x:c r="BP42"/>
      <x:c r="BQ42"/>
      <x:c r="BR42"/>
      <x:c r="BS42"/>
      <x:c r="BT42"/>
      <x:c r="BU42"/>
      <x:c r="BV42"/>
      <x:c r="BW42"/>
      <x:c r="BX42"/>
      <x:c r="BY42"/>
      <x:c r="BZ42"/>
      <x:c r="CA42"/>
      <x:c r="CB42"/>
      <x:c r="CC42"/>
    </x:row>
    <x:row r="43" ht="66" customHeight="1">
      <x:c r="A43" s="9" t="str">
        <x:v>proposal.bio.underfur</x:v>
      </x:c>
      <x:c r="B43" s="9" t="str">
        <x:v>Shed underfur</x:v>
      </x:c>
      <x:c r="C43" s="4" t="str">
        <x:v>T0</x:v>
      </x:c>
      <x:c r="D43" s="9" t="str">
        <x:v>Biological resources</x:v>
      </x:c>
      <x:c r="E43" s="9" t="str">
        <x:v>Dry fibers</x:v>
      </x:c>
      <x:c r="F43" s="9" t="str">
        <x:v>New proposal</x:v>
      </x:c>
      <x:c r="G43" s="9" t="inlineStr">
        <x:is>
          <x:t xml:space="preserve">Raw fur for extremely low-yield material processing. It is an input to the setting’s difficult biological-material preparation; a useful finished textile is not obtained merely by collecting it.</x:t>
        </x:is>
      </x:c>
      <x:c r="H43" s="9" t="str">
        <x:v>None</x:v>
      </x:c>
      <x:c r="I43" s="9" t="str">
        <x:v>Legger / local storage proposed</x:v>
      </x:c>
      <x:c r="J43" s="13"/>
      <x:c r="K43" s="15"/>
      <x:c r="L43" s="9" t="str">
        <x:v>Abandoned resting hollows and natural shedding</x:v>
      </x:c>
      <x:c r="M43" s="9" t="str">
        <x:v>Extremely low usable yield for textile/material processing</x:v>
      </x:c>
      <x:c r="N43" s="9" t="str">
        <x:v>Not implemented</x:v>
      </x:c>
      <x:c r="O43" s="9" t="str">
        <x:v>No cloth. Raw collection amount does not establish processed yield.</x:v>
      </x:c>
      <x:c r="P43" s="17"/>
      <x:c r="Q43" s="17"/>
      <x:c r="R43" s="17"/>
      <x:c r="S43" s="17"/>
      <x:c r="T43" s="17"/>
      <x:c r="U43" s="9" t="str">
        <x:v>Specific fur types and outputs remain proposals; no numeric yield; fashion-crafting input: high sale-value intent; large material/time demand; exact prices and quantities TBD</x:v>
      </x:c>
      <x:c r="V43" s="11"/>
      <x:c r="W43" s="9" t="str">
        <x:v>Docs/WORLD_BASIS.md#material-culture; author direction October 14, 2026. Process details and specific product forms remain unimplemented.</x:v>
      </x:c>
      <x:c r="X43" s="4" t="str">
        <x:v>Raw material</x:v>
      </x:c>
      <x:c r="Y43" s="4" t="str">
        <x:v>Raw</x:v>
      </x:c>
      <x:c r="Z43" s="4" t="str">
        <x:v>Fauna</x:v>
      </x:c>
      <x:c r="AA43" s="4" t="str">
        <x:v>Textile processing</x:v>
      </x:c>
      <x:c r="AB43" s="4" t="str">
        <x:v>Fur</x:v>
      </x:c>
      <x:c r="AC43" s="4" t="str">
        <x:v>Fiber</x:v>
      </x:c>
      <x:c r="AD43" s="4" t="str">
        <x:v>Proposal</x:v>
      </x:c>
      <x:c r="AE43" s="4" t="str">
        <x:f>LOWER(A43&amp;"; "&amp;B43&amp;"; "&amp;D43&amp;"; "&amp;E43&amp;"; "&amp;X43&amp;"; "&amp;Y43&amp;"; "&amp;Z43&amp;"; "&amp;AA43&amp;"; "&amp;AB43&amp;"; "&amp;AC43&amp;"; "&amp;AD43&amp;"; "&amp;V43&amp;"; "&amp;C43&amp;"; "&amp;AH43&amp;"; "&amp;AI43)</x:f>
        <x:v>proposal.bio.underfur; shed underfur; biological resources; dry fibers; raw material; raw; fauna; textile processing; fur; fiber; proposal; ; t0; not applicable; material</x:v>
      </x:c>
      <x:c r="AF43" s="4" t="str">
        <x:v>From current item description. Proposed uses retain their existing approval status. Lore category review: Resources -&gt; Biological resources. Classification only; original item status and tier retained.</x:v>
      </x:c>
      <x:c r="AG43" s="4" t="str">
        <x:v>Raw gathered/recovered craft input under the author T0 framework. This does not imply a naturally occurring pure metal.</x:v>
      </x:c>
      <x:c r="AH43" s="4" t="str">
        <x:v>Not applicable</x:v>
      </x:c>
      <x:c r="AI43" s="4" t="str">
        <x:v>Material</x:v>
      </x:c>
      <x:c r="AJ43" s="4" t="n">
        <x:f>COUNTIFS('Material routes'!$D$6:$D$2205,A43,'Material routes'!$C$6:$C$2205,"Output")</x:f>
        <x:v>0</x:v>
      </x:c>
      <x:c r="AK43" s="4" t="n">
        <x:f>SUM(COUNTIFS('Material routes'!$D$6:$D$2205,A43,'Material routes'!$C$6:$C$2205,"Ingredient candidate"),COUNTIFS('Material routes'!$D$6:$D$2205,A43,'Material routes'!$C$6:$C$2205,"Consumed input"),COUNTIFS('Material routes'!$D$6:$D$2205,A43,'Material routes'!$C$6:$C$2205,"Contained input"),COUNTIFS('Material routes'!$D$6:$D$2205,A43,'Material routes'!$C$6:$C$2205,"Transform input"))</x:f>
        <x:v>1</x:v>
      </x:c>
      <x:c r="AL43" s="4" t="n">
        <x:f>COUNTIFS('Material routes'!$D$6:$D$2205,A43,'Material routes'!$C$6:$C$2205,"Tool candidate")</x:f>
        <x:v>0</x:v>
      </x:c>
      <x:c r="AM43" s="4" t="str">
        <x:f>IF(AJ43&gt;0,"Route listed; review status/completeness",IF(C43="T0","Raw entry feed; no production route","No production route listed"))</x:f>
        <x:v>Raw entry feed; no production route</x:v>
      </x:c>
      <x:c r="AN43" s="14" t="n">
        <x:f>IF(C43="T0",0,IF(C43="T1",1,IF(C43="T2",2,IF(C43="T3",3,IF(C43="T4",4,IF(C43="Unassigned",98,99))))))</x:f>
        <x:v>0</x:v>
      </x:c>
      <x:c r="AZ43"/>
      <x:c r="BA43"/>
      <x:c r="BB43"/>
      <x:c r="BC43"/>
      <x:c r="BD43"/>
      <x:c r="BE43"/>
      <x:c r="BF43"/>
      <x:c r="BG43"/>
      <x:c r="BH43"/>
      <x:c r="BI43"/>
      <x:c r="BJ43"/>
      <x:c r="BK43"/>
      <x:c r="BL43"/>
      <x:c r="BM43"/>
      <x:c r="BN43"/>
      <x:c r="BO43"/>
      <x:c r="BP43"/>
      <x:c r="BQ43"/>
      <x:c r="BR43"/>
      <x:c r="BS43"/>
      <x:c r="BT43"/>
      <x:c r="BU43"/>
      <x:c r="BV43"/>
      <x:c r="BW43"/>
      <x:c r="BX43"/>
      <x:c r="BY43"/>
      <x:c r="BZ43"/>
      <x:c r="CA43"/>
      <x:c r="CB43"/>
      <x:c r="CC43"/>
    </x:row>
    <x:row r="44" ht="66" customHeight="1">
      <x:c r="A44" s="9" t="str">
        <x:v>proposal.bio.jaw</x:v>
      </x:c>
      <x:c r="B44" s="9" t="str">
        <x:v>Dense jaw plates</x:v>
      </x:c>
      <x:c r="C44" s="4" t="str">
        <x:v>T0</x:v>
      </x:c>
      <x:c r="D44" s="9" t="str">
        <x:v>Biological resources</x:v>
      </x:c>
      <x:c r="E44" s="9" t="str">
        <x:v>Hard tissue</x:v>
      </x:c>
      <x:c r="F44" s="9" t="str">
        <x:v>New proposal</x:v>
      </x:c>
      <x:c r="G44" s="9" t="inlineStr">
        <x:is>
          <x:t xml:space="preserve">Tool edges and wear inserts. It supplies a candidate working blank, edge or fitted part for a tool; shaping and mounting depend on the intended job.</x:t>
        </x:is>
      </x:c>
      <x:c r="H44" s="9" t="str">
        <x:v>None</x:v>
      </x:c>
      <x:c r="I44" s="9" t="str">
        <x:v>Legger / local storage proposed</x:v>
      </x:c>
      <x:c r="J44" s="13"/>
      <x:c r="K44" s="15"/>
      <x:c r="L44" s="9" t="str">
        <x:v>Carcass chewing and digging mouthparts</x:v>
      </x:c>
      <x:c r="M44" s="9" t="str">
        <x:v>See Resource chains</x:v>
      </x:c>
      <x:c r="N44" s="9" t="str">
        <x:v>Not implemented</x:v>
      </x:c>
      <x:c r="O44" s="9" t="str">
        <x:v>No yield numbers. Internal chemistry is mostly toxic to humans; faunal chemicals/liquids can be materials. Anatomy and containment remain unresolved.</x:v>
      </x:c>
      <x:c r="P44" s="17"/>
      <x:c r="Q44" s="17"/>
      <x:c r="R44" s="17"/>
      <x:c r="S44" s="17"/>
      <x:c r="T44" s="17"/>
      <x:c r="U44" s="9" t="str">
        <x:v>Ecology, tissue preservation, safe fiction, processing and final naming</x:v>
      </x:c>
      <x:c r="V44" s="11"/>
      <x:c r="W44" s="9" t="str">
        <x:v>User design direction, October 14, 2026; local brainstorming. New proposal unless explicitly marked User direction.</x:v>
      </x:c>
      <x:c r="X44" s="4" t="str">
        <x:v>Raw material</x:v>
      </x:c>
      <x:c r="Y44" s="4" t="str">
        <x:v>Raw</x:v>
      </x:c>
      <x:c r="Z44" s="4" t="str">
        <x:v>Fauna</x:v>
      </x:c>
      <x:c r="AA44" s="4" t="str">
        <x:v>Tool fabrication</x:v>
      </x:c>
      <x:c r="AB44" s="4" t="str">
        <x:v>Faunal tissue</x:v>
      </x:c>
      <x:c r="AC44" s="4" t="str">
        <x:v>Solid piece</x:v>
      </x:c>
      <x:c r="AD44" s="4" t="str">
        <x:v>Proposal</x:v>
      </x:c>
      <x:c r="AE44" s="4" t="str">
        <x:f>LOWER(A44&amp;"; "&amp;B44&amp;"; "&amp;D44&amp;"; "&amp;E44&amp;"; "&amp;X44&amp;"; "&amp;Y44&amp;"; "&amp;Z44&amp;"; "&amp;AA44&amp;"; "&amp;AB44&amp;"; "&amp;AC44&amp;"; "&amp;AD44&amp;"; "&amp;V44&amp;"; "&amp;C44&amp;"; "&amp;AH44&amp;"; "&amp;AI44)</x:f>
        <x:v>proposal.bio.jaw; dense jaw plates; biological resources; hard tissue; raw material; raw; fauna; tool fabrication; faunal tissue; solid piece; proposal; ; t0; not applicable; material</x:v>
      </x:c>
      <x:c r="AF44" s="4" t="str">
        <x:v>From current item description. Proposed uses retain their existing approval status. Lore category review: Resources -&gt; Biological resources. Classification only; original item status and tier retained.</x:v>
      </x:c>
      <x:c r="AG44" s="4" t="str">
        <x:v>Raw gathered/recovered craft input under the author T0 framework. This does not imply a naturally occurring pure metal.</x:v>
      </x:c>
      <x:c r="AH44" s="4" t="str">
        <x:v>Not applicable</x:v>
      </x:c>
      <x:c r="AI44" s="4" t="str">
        <x:v>Material</x:v>
      </x:c>
      <x:c r="AJ44" s="4" t="n">
        <x:f>COUNTIFS('Material routes'!$D$6:$D$2205,A44,'Material routes'!$C$6:$C$2205,"Output")</x:f>
        <x:v>0</x:v>
      </x:c>
      <x:c r="AK44" s="4" t="n">
        <x:f>SUM(COUNTIFS('Material routes'!$D$6:$D$2205,A44,'Material routes'!$C$6:$C$2205,"Ingredient candidate"),COUNTIFS('Material routes'!$D$6:$D$2205,A44,'Material routes'!$C$6:$C$2205,"Consumed input"),COUNTIFS('Material routes'!$D$6:$D$2205,A44,'Material routes'!$C$6:$C$2205,"Contained input"),COUNTIFS('Material routes'!$D$6:$D$2205,A44,'Material routes'!$C$6:$C$2205,"Transform input"))</x:f>
        <x:v>1</x:v>
      </x:c>
      <x:c r="AL44" s="4" t="n">
        <x:f>COUNTIFS('Material routes'!$D$6:$D$2205,A44,'Material routes'!$C$6:$C$2205,"Tool candidate")</x:f>
        <x:v>0</x:v>
      </x:c>
      <x:c r="AM44" s="4" t="str">
        <x:f>IF(AJ44&gt;0,"Route listed; review status/completeness",IF(C44="T0","Raw entry feed; no production route","No production route listed"))</x:f>
        <x:v>Raw entry feed; no production route</x:v>
      </x:c>
      <x:c r="AN44" s="14" t="n">
        <x:f>IF(C44="T0",0,IF(C44="T1",1,IF(C44="T2",2,IF(C44="T3",3,IF(C44="T4",4,IF(C44="Unassigned",98,99))))))</x:f>
        <x:v>0</x:v>
      </x:c>
      <x:c r="AZ44"/>
      <x:c r="BA44"/>
      <x:c r="BB44"/>
      <x:c r="BC44"/>
      <x:c r="BD44"/>
      <x:c r="BE44"/>
      <x:c r="BF44"/>
      <x:c r="BG44"/>
      <x:c r="BH44"/>
      <x:c r="BI44"/>
      <x:c r="BJ44"/>
      <x:c r="BK44"/>
      <x:c r="BL44"/>
      <x:c r="BM44"/>
      <x:c r="BN44"/>
      <x:c r="BO44"/>
      <x:c r="BP44"/>
      <x:c r="BQ44"/>
      <x:c r="BR44"/>
      <x:c r="BS44"/>
      <x:c r="BT44"/>
      <x:c r="BU44"/>
      <x:c r="BV44"/>
      <x:c r="BW44"/>
      <x:c r="BX44"/>
      <x:c r="BY44"/>
      <x:c r="BZ44"/>
      <x:c r="CA44"/>
      <x:c r="CB44"/>
      <x:c r="CC44"/>
    </x:row>
    <x:row r="45" ht="66" customHeight="1">
      <x:c r="A45" s="9" t="str">
        <x:v>proposal.bio.membrane</x:v>
      </x:c>
      <x:c r="B45" s="9" t="str">
        <x:v>Dried joint membrane</x:v>
      </x:c>
      <x:c r="C45" s="4" t="str">
        <x:v>T0</x:v>
      </x:c>
      <x:c r="D45" s="9" t="str">
        <x:v>Biological resources</x:v>
      </x:c>
      <x:c r="E45" s="9" t="str">
        <x:v>Flexible tissue</x:v>
      </x:c>
      <x:c r="F45" s="9" t="str">
        <x:v>New proposal</x:v>
      </x:c>
      <x:c r="G45" s="9" t="inlineStr">
        <x:is>
          <x:t xml:space="preserve">Flexible seals and patch material. It is intended to close a selected joint or patch an interface. Contents compatibility, movement and service conditions must be checked before a seal is relied on.</x:t>
        </x:is>
      </x:c>
      <x:c r="H45" s="9" t="str">
        <x:v>None</x:v>
      </x:c>
      <x:c r="I45" s="9" t="str">
        <x:v>Legger / local storage proposed</x:v>
      </x:c>
      <x:c r="J45" s="13"/>
      <x:c r="K45" s="15"/>
      <x:c r="L45" s="9" t="str">
        <x:v>Carcass limb joints and body folds</x:v>
      </x:c>
      <x:c r="M45" s="9" t="str">
        <x:v>See Resource chains</x:v>
      </x:c>
      <x:c r="N45" s="9" t="str">
        <x:v>Not implemented</x:v>
      </x:c>
      <x:c r="O45" s="9" t="str">
        <x:v>Flexible tissue proposal; does not establish cloth. Processing and preservation remain open.</x:v>
      </x:c>
      <x:c r="P45" s="17"/>
      <x:c r="Q45" s="17"/>
      <x:c r="R45" s="17"/>
      <x:c r="S45" s="17"/>
      <x:c r="T45" s="17"/>
      <x:c r="U45" s="9" t="str">
        <x:v>Ecology, tissue preservation, safe fiction, processing and final naming</x:v>
      </x:c>
      <x:c r="V45" s="11" t="str">
        <x:v>equipment repair</x:v>
      </x:c>
      <x:c r="W45" s="9" t="str">
        <x:v>User design direction, October 14, 2026; local brainstorming. New proposal unless explicitly marked User direction.</x:v>
      </x:c>
      <x:c r="X45" s="4" t="str">
        <x:v>Raw material</x:v>
      </x:c>
      <x:c r="Y45" s="4" t="str">
        <x:v>Processed intermediate</x:v>
      </x:c>
      <x:c r="Z45" s="4" t="str">
        <x:v>Fauna</x:v>
      </x:c>
      <x:c r="AA45" s="4" t="str">
        <x:v>Sealing</x:v>
      </x:c>
      <x:c r="AB45" s="4" t="str">
        <x:v>Faunal membrane</x:v>
      </x:c>
      <x:c r="AC45" s="4" t="str">
        <x:v>Sheet</x:v>
      </x:c>
      <x:c r="AD45" s="4" t="str">
        <x:v>Proposal</x:v>
      </x:c>
      <x:c r="AE45" s="4" t="str">
        <x:f>LOWER(A45&amp;"; "&amp;B45&amp;"; "&amp;D45&amp;"; "&amp;E45&amp;"; "&amp;X45&amp;"; "&amp;Y45&amp;"; "&amp;Z45&amp;"; "&amp;AA45&amp;"; "&amp;AB45&amp;"; "&amp;AC45&amp;"; "&amp;AD45&amp;"; "&amp;V45&amp;"; "&amp;C45&amp;"; "&amp;AH45&amp;"; "&amp;AI45)</x:f>
        <x:v>proposal.bio.membrane; dried joint membrane; biological resources; flexible tissue; raw material; processed intermediate; fauna; sealing; faunal membrane; sheet; proposal; equipment repair; t0; not applicable; material</x:v>
      </x:c>
      <x:c r="AF45" s="4" t="str">
        <x:v>From current item description. Proposed uses retain their existing approval status. Lore category review: Resources -&gt; Biological resources. Classification only; original item status and tier retained.</x:v>
      </x:c>
      <x:c r="AG45" s="4" t="str">
        <x:v>Proposed raw-feed reading of gathered dried membrane; preprocessing detail is unresolved.</x:v>
      </x:c>
      <x:c r="AH45" s="4" t="str">
        <x:v>Not applicable</x:v>
      </x:c>
      <x:c r="AI45" s="4" t="str">
        <x:v>Material</x:v>
      </x:c>
      <x:c r="AJ45" s="4" t="n">
        <x:f>COUNTIFS('Material routes'!$D$6:$D$2205,A45,'Material routes'!$C$6:$C$2205,"Output")</x:f>
        <x:v>0</x:v>
      </x:c>
      <x:c r="AK45" s="4" t="n">
        <x:f>SUM(COUNTIFS('Material routes'!$D$6:$D$2205,A45,'Material routes'!$C$6:$C$2205,"Ingredient candidate"),COUNTIFS('Material routes'!$D$6:$D$2205,A45,'Material routes'!$C$6:$C$2205,"Consumed input"),COUNTIFS('Material routes'!$D$6:$D$2205,A45,'Material routes'!$C$6:$C$2205,"Contained input"),COUNTIFS('Material routes'!$D$6:$D$2205,A45,'Material routes'!$C$6:$C$2205,"Transform input"))</x:f>
        <x:v>2</x:v>
      </x:c>
      <x:c r="AL45" s="4" t="n">
        <x:f>COUNTIFS('Material routes'!$D$6:$D$2205,A45,'Material routes'!$C$6:$C$2205,"Tool candidate")</x:f>
        <x:v>0</x:v>
      </x:c>
      <x:c r="AM45" s="4" t="str">
        <x:f>IF(AJ45&gt;0,"Route listed; review status/completeness",IF(C45="T0","Raw entry feed; no production route","No production route listed"))</x:f>
        <x:v>Raw entry feed; no production route</x:v>
      </x:c>
      <x:c r="AN45" s="14" t="n">
        <x:f>IF(C45="T0",0,IF(C45="T1",1,IF(C45="T2",2,IF(C45="T3",3,IF(C45="T4",4,IF(C45="Unassigned",98,99))))))</x:f>
        <x:v>0</x:v>
      </x:c>
      <x:c r="AZ45"/>
      <x:c r="BA45"/>
      <x:c r="BB45"/>
      <x:c r="BC45"/>
      <x:c r="BD45"/>
      <x:c r="BE45"/>
      <x:c r="BF45"/>
      <x:c r="BG45"/>
      <x:c r="BH45"/>
      <x:c r="BI45"/>
      <x:c r="BJ45"/>
      <x:c r="BK45"/>
      <x:c r="BL45"/>
      <x:c r="BM45"/>
      <x:c r="BN45"/>
      <x:c r="BO45"/>
      <x:c r="BP45"/>
      <x:c r="BQ45"/>
      <x:c r="BR45"/>
      <x:c r="BS45"/>
      <x:c r="BT45"/>
      <x:c r="BU45"/>
      <x:c r="BV45"/>
      <x:c r="BW45"/>
      <x:c r="BX45"/>
      <x:c r="BY45"/>
      <x:c r="BZ45"/>
      <x:c r="CA45"/>
      <x:c r="CB45"/>
      <x:c r="CC45"/>
    </x:row>
    <x:row r="46" ht="170" customHeight="1">
      <x:c r="A46" s="9" t="str">
        <x:v>proposal.bio.fat</x:v>
      </x:c>
      <x:c r="B46" s="9" t="str">
        <x:v>Unverified fat-like tissue concept</x:v>
      </x:c>
      <x:c r="C46" s="4" t="str">
        <x:v>Unassigned</x:v>
      </x:c>
      <x:c r="D46" s="9" t="str">
        <x:v>Biological resources</x:v>
      </x:c>
      <x:c r="E46" s="9" t="str">
        <x:v>Perishable tissue</x:v>
      </x:c>
      <x:c r="F46" s="9" t="str">
        <x:v>Needs lore anatomy review</x:v>
      </x:c>
      <x:c r="G46" s="9" t="inlineStr">
        <x:is>
          <x:t xml:space="preserve">A withheld hypothesis for a fat-like faunal tissue. The source anatomy has not been established, so this record is a question for biological design rather than an available cooking ingredient, lubricant or fuel.</x:t>
        </x:is>
      </x:c>
      <x:c r="H46" s="9" t="str">
        <x:v>None</x:v>
      </x:c>
      <x:c r="I46" s="9" t="str">
        <x:v>Legger / local storage proposed</x:v>
      </x:c>
      <x:c r="J46" s="13"/>
      <x:c r="K46" s="15"/>
      <x:c r="L46" s="9" t="str">
        <x:v>No validated species or anatomy source</x:v>
      </x:c>
      <x:c r="M46" s="9" t="str">
        <x:v>Prior wax/lubricant route is a conditional proposal only</x:v>
      </x:c>
      <x:c r="N46" s="9" t="str">
        <x:v>Not implemented</x:v>
      </x:c>
      <x:c r="O46" s="9" t="str">
        <x:v>Most fauna lacks traditional flesh; conventional mammalian fat cannot be assumed. Not an established food.</x:v>
      </x:c>
      <x:c r="P46" s="17"/>
      <x:c r="Q46" s="17"/>
      <x:c r="R46" s="17"/>
      <x:c r="S46" s="17"/>
      <x:c r="T46" s="17"/>
      <x:c r="U46" s="9" t="str">
        <x:v>Review actual Burden Beasts anatomy before assigning tissue properties</x:v>
      </x:c>
      <x:c r="V46" s="11"/>
      <x:c r="W46" s="9" t="str">
        <x:v>Docs/WORLD_BASIS.md#faunal-biology-and-material-use; direct author direction October 14, 2026. Related source anatomy proposals now accessible at f6f98515; this item awaits reconciliation; identities and processing remain undefined.</x:v>
      </x:c>
      <x:c r="X46" s="4" t="str">
        <x:v>Raw material</x:v>
      </x:c>
      <x:c r="Y46" s="4" t="str">
        <x:v>Unresolved</x:v>
      </x:c>
      <x:c r="Z46" s="4" t="str">
        <x:v>Fauna</x:v>
      </x:c>
      <x:c r="AA46" s="4" t="str">
        <x:v>Use unresolved</x:v>
      </x:c>
      <x:c r="AB46" s="4" t="str">
        <x:v>Unresolved</x:v>
      </x:c>
      <x:c r="AC46" s="4" t="str">
        <x:v>Unresolved</x:v>
      </x:c>
      <x:c r="AD46" s="4" t="str">
        <x:v>Withheld assumption</x:v>
      </x:c>
      <x:c r="AE46" s="4" t="str">
        <x:f>LOWER(A46&amp;"; "&amp;B46&amp;"; "&amp;D46&amp;"; "&amp;E46&amp;"; "&amp;X46&amp;"; "&amp;Y46&amp;"; "&amp;Z46&amp;"; "&amp;AA46&amp;"; "&amp;AB46&amp;"; "&amp;AC46&amp;"; "&amp;AD46&amp;"; "&amp;V46&amp;"; "&amp;C46&amp;"; "&amp;AH46&amp;"; "&amp;AI46)</x:f>
        <x:v>proposal.bio.fat; unverified fat-like tissue concept; biological resources; perishable tissue; raw material; unresolved; fauna; use unresolved; unresolved; unresolved; withheld assumption; ; unassigned; unassigned; material</x:v>
      </x:c>
      <x:c r="AF46" s="4" t="str">
        <x:v>From current item description. Proposed uses retain their existing approval status. Lore category review: Resources -&gt; Biological resources. Classification only; original item status and tier retained.</x:v>
      </x:c>
      <x:c r="AG46"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46" s="4" t="str">
        <x:v>Unassigned</x:v>
      </x:c>
      <x:c r="AI46" s="4" t="str">
        <x:v>Material</x:v>
      </x:c>
      <x:c r="AJ46" s="4" t="n">
        <x:f>COUNTIFS('Material routes'!$D$6:$D$2205,A46,'Material routes'!$C$6:$C$2205,"Output")</x:f>
        <x:v>0</x:v>
      </x:c>
      <x:c r="AK46" s="4" t="n">
        <x:f>SUM(COUNTIFS('Material routes'!$D$6:$D$2205,A46,'Material routes'!$C$6:$C$2205,"Ingredient candidate"),COUNTIFS('Material routes'!$D$6:$D$2205,A46,'Material routes'!$C$6:$C$2205,"Consumed input"),COUNTIFS('Material routes'!$D$6:$D$2205,A46,'Material routes'!$C$6:$C$2205,"Contained input"),COUNTIFS('Material routes'!$D$6:$D$2205,A46,'Material routes'!$C$6:$C$2205,"Transform input"))</x:f>
        <x:v>1</x:v>
      </x:c>
      <x:c r="AL46" s="4" t="n">
        <x:f>COUNTIFS('Material routes'!$D$6:$D$2205,A46,'Material routes'!$C$6:$C$2205,"Tool candidate")</x:f>
        <x:v>0</x:v>
      </x:c>
      <x:c r="AM46" s="4" t="str">
        <x:f>IF(AJ46&gt;0,"Route listed; review status/completeness",IF(C46="T0","Raw entry feed; no production route","No production route listed"))</x:f>
        <x:v>No production route listed</x:v>
      </x:c>
      <x:c r="AN46" s="14" t="n">
        <x:f>IF(C46="T0",0,IF(C46="T1",1,IF(C46="T2",2,IF(C46="T3",3,IF(C46="T4",4,IF(C46="Unassigned",98,99))))))</x:f>
        <x:v>98</x:v>
      </x:c>
      <x:c r="AZ46"/>
      <x:c r="BA46"/>
      <x:c r="BB46"/>
      <x:c r="BC46"/>
      <x:c r="BD46"/>
      <x:c r="BE46"/>
      <x:c r="BF46"/>
      <x:c r="BG46"/>
      <x:c r="BH46"/>
      <x:c r="BI46"/>
      <x:c r="BJ46"/>
      <x:c r="BK46"/>
      <x:c r="BL46"/>
      <x:c r="BM46"/>
      <x:c r="BN46"/>
      <x:c r="BO46"/>
      <x:c r="BP46"/>
      <x:c r="BQ46"/>
      <x:c r="BR46"/>
      <x:c r="BS46"/>
      <x:c r="BT46"/>
      <x:c r="BU46"/>
      <x:c r="BV46"/>
      <x:c r="BW46"/>
      <x:c r="BX46"/>
      <x:c r="BY46"/>
      <x:c r="BZ46"/>
      <x:c r="CA46"/>
      <x:c r="CB46"/>
      <x:c r="CC46"/>
    </x:row>
    <x:row r="47" ht="66" customHeight="1">
      <x:c r="A47" s="9" t="str">
        <x:v>proposal.bio.organ</x:v>
      </x:c>
      <x:c r="B47" s="9" t="str">
        <x:v>Charge-organ tissue</x:v>
      </x:c>
      <x:c r="C47" s="4" t="str">
        <x:v>T0</x:v>
      </x:c>
      <x:c r="D47" s="9" t="str">
        <x:v>Biological resources</x:v>
      </x:c>
      <x:c r="E47" s="9" t="str">
        <x:v>Specialized tissue</x:v>
      </x:c>
      <x:c r="F47" s="9" t="str">
        <x:v>New proposal</x:v>
      </x:c>
      <x:c r="G47" s="9" t="inlineStr">
        <x:is>
          <x:t xml:space="preserve">Dry electrode scaffold research, not bottled electricity. It belongs in a designed electrical assembly; connections, insulation and a compatible energy supply must be established together.</x:t>
        </x:is>
      </x:c>
      <x:c r="H47" s="9" t="str">
        <x:v>None</x:v>
      </x:c>
      <x:c r="I47" s="9" t="str">
        <x:v>Legger / local storage proposed</x:v>
      </x:c>
      <x:c r="J47" s="13"/>
      <x:c r="K47" s="15"/>
      <x:c r="L47" s="9" t="str">
        <x:v>Rare storm-adapted fauna; anatomy provisional</x:v>
      </x:c>
      <x:c r="M47" s="9" t="str">
        <x:v>See Resource chains</x:v>
      </x:c>
      <x:c r="N47" s="9" t="str">
        <x:v>Not implemented</x:v>
      </x:c>
      <x:c r="O47" s="9" t="str">
        <x:v>No yield numbers. Internal chemistry is mostly toxic to humans; faunal chemicals/liquids can be materials. Anatomy and containment remain unresolved.</x:v>
      </x:c>
      <x:c r="P47" s="17"/>
      <x:c r="Q47" s="17"/>
      <x:c r="R47" s="17"/>
      <x:c r="S47" s="17"/>
      <x:c r="T47" s="17"/>
      <x:c r="U47" s="9" t="str">
        <x:v>Ecology, tissue preservation, safe fiction, processing and final naming</x:v>
      </x:c>
      <x:c r="V47" s="11"/>
      <x:c r="W47" s="9" t="str">
        <x:v>User design direction, October 14, 2026; local brainstorming. New proposal unless explicitly marked User direction.</x:v>
      </x:c>
      <x:c r="X47" s="4" t="str">
        <x:v>Raw material</x:v>
      </x:c>
      <x:c r="Y47" s="4" t="str">
        <x:v>Raw</x:v>
      </x:c>
      <x:c r="Z47" s="4" t="str">
        <x:v>Fauna</x:v>
      </x:c>
      <x:c r="AA47" s="4" t="str">
        <x:v>Electrical work</x:v>
      </x:c>
      <x:c r="AB47" s="4" t="str">
        <x:v>Faunal tissue</x:v>
      </x:c>
      <x:c r="AC47" s="4" t="str">
        <x:v>Solid piece</x:v>
      </x:c>
      <x:c r="AD47" s="4" t="str">
        <x:v>Proposal</x:v>
      </x:c>
      <x:c r="AE47" s="4" t="str">
        <x:f>LOWER(A47&amp;"; "&amp;B47&amp;"; "&amp;D47&amp;"; "&amp;E47&amp;"; "&amp;X47&amp;"; "&amp;Y47&amp;"; "&amp;Z47&amp;"; "&amp;AA47&amp;"; "&amp;AB47&amp;"; "&amp;AC47&amp;"; "&amp;AD47&amp;"; "&amp;V47&amp;"; "&amp;C47&amp;"; "&amp;AH47&amp;"; "&amp;AI47)</x:f>
        <x:v>proposal.bio.organ; charge-organ tissue; biological resources; specialized tissue; raw material; raw; fauna; electrical work; faunal tissue; solid piece; proposal; ; t0; not applicable; material</x:v>
      </x:c>
      <x:c r="AF47" s="4" t="str">
        <x:v>From current item description. Proposed uses retain their existing approval status. Lore category review: Resources -&gt; Biological resources. Classification only; original item status and tier retained.</x:v>
      </x:c>
      <x:c r="AG47" s="4" t="str">
        <x:v>Raw gathered/recovered craft input under the author T0 framework. This does not imply a naturally occurring pure metal.</x:v>
      </x:c>
      <x:c r="AH47" s="4" t="str">
        <x:v>Not applicable</x:v>
      </x:c>
      <x:c r="AI47" s="4" t="str">
        <x:v>Material</x:v>
      </x:c>
      <x:c r="AJ47" s="4" t="n">
        <x:f>COUNTIFS('Material routes'!$D$6:$D$2205,A47,'Material routes'!$C$6:$C$2205,"Output")</x:f>
        <x:v>0</x:v>
      </x:c>
      <x:c r="AK47" s="4" t="n">
        <x:f>SUM(COUNTIFS('Material routes'!$D$6:$D$2205,A47,'Material routes'!$C$6:$C$2205,"Ingredient candidate"),COUNTIFS('Material routes'!$D$6:$D$2205,A47,'Material routes'!$C$6:$C$2205,"Consumed input"),COUNTIFS('Material routes'!$D$6:$D$2205,A47,'Material routes'!$C$6:$C$2205,"Contained input"),COUNTIFS('Material routes'!$D$6:$D$2205,A47,'Material routes'!$C$6:$C$2205,"Transform input"))</x:f>
        <x:v>2</x:v>
      </x:c>
      <x:c r="AL47" s="4" t="n">
        <x:f>COUNTIFS('Material routes'!$D$6:$D$2205,A47,'Material routes'!$C$6:$C$2205,"Tool candidate")</x:f>
        <x:v>0</x:v>
      </x:c>
      <x:c r="AM47" s="4" t="str">
        <x:f>IF(AJ47&gt;0,"Route listed; review status/completeness",IF(C47="T0","Raw entry feed; no production route","No production route listed"))</x:f>
        <x:v>Raw entry feed; no production route</x:v>
      </x:c>
      <x:c r="AN47" s="14" t="n">
        <x:f>IF(C47="T0",0,IF(C47="T1",1,IF(C47="T2",2,IF(C47="T3",3,IF(C47="T4",4,IF(C47="Unassigned",98,99))))))</x:f>
        <x:v>0</x:v>
      </x:c>
      <x:c r="AZ47"/>
      <x:c r="BA47"/>
      <x:c r="BB47"/>
      <x:c r="BC47"/>
      <x:c r="BD47"/>
      <x:c r="BE47"/>
      <x:c r="BF47"/>
      <x:c r="BG47"/>
      <x:c r="BH47"/>
      <x:c r="BI47"/>
      <x:c r="BJ47"/>
      <x:c r="BK47"/>
      <x:c r="BL47"/>
      <x:c r="BM47"/>
      <x:c r="BN47"/>
      <x:c r="BO47"/>
      <x:c r="BP47"/>
      <x:c r="BQ47"/>
      <x:c r="BR47"/>
      <x:c r="BS47"/>
      <x:c r="BT47"/>
      <x:c r="BU47"/>
      <x:c r="BV47"/>
      <x:c r="BW47"/>
      <x:c r="BX47"/>
      <x:c r="BY47"/>
      <x:c r="BZ47"/>
      <x:c r="CA47"/>
      <x:c r="CB47"/>
      <x:c r="CC47"/>
    </x:row>
    <x:row r="48" ht="66" customHeight="1">
      <x:c r="A48" s="9" t="str">
        <x:v>proposal.bio.laminate</x:v>
      </x:c>
      <x:c r="B48" s="9" t="str">
        <x:v>Shell laminate</x:v>
      </x:c>
      <x:c r="C48" s="4" t="str">
        <x:v>T2</x:v>
      </x:c>
      <x:c r="D48" s="9" t="str">
        <x:v>Crafting components</x:v>
      </x:c>
      <x:c r="E48" s="9" t="str">
        <x:v>Processed biological</x:v>
      </x:c>
      <x:c r="F48" s="9" t="str">
        <x:v>New proposal</x:v>
      </x:c>
      <x:c r="G48" s="9" t="inlineStr">
        <x:is>
          <x:t xml:space="preserve">Light armor panels and impact guards. It provides candidate stock for a protective assembly, with coverage, joining and backing still determining the finished protection.</x:t>
        </x:is>
      </x:c>
      <x:c r="H48" s="9" t="str">
        <x:v>None</x:v>
      </x:c>
      <x:c r="I48" s="9" t="str">
        <x:v>Legger / local storage proposed</x:v>
      </x:c>
      <x:c r="J48" s="13"/>
      <x:c r="K48" s="15"/>
      <x:c r="L48" s="9" t="str">
        <x:v>Process shell</x:v>
      </x:c>
      <x:c r="M48" s="9" t="str">
        <x:v>Trim, layer and bind dry plates</x:v>
      </x:c>
      <x:c r="N48" s="9" t="str">
        <x:v>Not implemented</x:v>
      </x:c>
      <x:c r="O48" s="9" t="str">
        <x:v>Speculative material capability; no effects or real processing instructions established.</x:v>
      </x:c>
      <x:c r="P48" s="17"/>
      <x:c r="Q48" s="17"/>
      <x:c r="R48" s="17"/>
      <x:c r="S48" s="17"/>
      <x:c r="T48" s="17"/>
      <x:c r="U48" s="9" t="str">
        <x:v>Material properties, additives, station, balance and world-rule compatibility</x:v>
      </x:c>
      <x:c r="V48" s="11"/>
      <x:c r="W48" s="9" t="str">
        <x:v>User design direction, October 14, 2026; local brainstorming. New proposal unless explicitly marked User direction.</x:v>
      </x:c>
      <x:c r="X48" s="4" t="str">
        <x:v>Crafting component</x:v>
      </x:c>
      <x:c r="Y48" s="4" t="str">
        <x:v>Processed intermediate</x:v>
      </x:c>
      <x:c r="Z48" s="4" t="str">
        <x:v>Fauna</x:v>
      </x:c>
      <x:c r="AA48" s="4" t="str">
        <x:v>Protective fabrication</x:v>
      </x:c>
      <x:c r="AB48" s="4" t="str">
        <x:v>Shell / chitin</x:v>
      </x:c>
      <x:c r="AC48" s="4" t="str">
        <x:v>Panel</x:v>
      </x:c>
      <x:c r="AD48" s="4" t="str">
        <x:v>Proposal</x:v>
      </x:c>
      <x:c r="AE48" s="4" t="str">
        <x:f>LOWER(A48&amp;"; "&amp;B48&amp;"; "&amp;D48&amp;"; "&amp;E48&amp;"; "&amp;X48&amp;"; "&amp;Y48&amp;"; "&amp;Z48&amp;"; "&amp;AA48&amp;"; "&amp;AB48&amp;"; "&amp;AC48&amp;"; "&amp;AD48&amp;"; "&amp;V48&amp;"; "&amp;C48&amp;"; "&amp;AH48&amp;"; "&amp;AI48)</x:f>
        <x:v>proposal.bio.laminate; shell laminate; crafting components; processed biological; crafting component; processed intermediate; fauna; protective fabrication; shell / chitin; panel; proposal; ; t2; not applicable; component</x:v>
      </x:c>
      <x:c r="AF48" s="4" t="str">
        <x:v>From current item description. Proposed uses retain their existing approval status.</x:v>
      </x:c>
      <x:c r="AG48" s="4" t="str">
        <x:v>Proposed game manufacturing tier from the candidate routes. Integrated operations may contain many work steps.</x:v>
      </x:c>
      <x:c r="AH48" s="4" t="str">
        <x:v>Not applicable</x:v>
      </x:c>
      <x:c r="AI48" s="4" t="str">
        <x:v>Component</x:v>
      </x:c>
      <x:c r="AJ48" s="4" t="n">
        <x:f>COUNTIFS('Material routes'!$D$6:$D$2205,A48,'Material routes'!$C$6:$C$2205,"Output")</x:f>
        <x:v>2</x:v>
      </x:c>
      <x:c r="AK48" s="4" t="n">
        <x:f>SUM(COUNTIFS('Material routes'!$D$6:$D$2205,A48,'Material routes'!$C$6:$C$2205,"Ingredient candidate"),COUNTIFS('Material routes'!$D$6:$D$2205,A48,'Material routes'!$C$6:$C$2205,"Consumed input"),COUNTIFS('Material routes'!$D$6:$D$2205,A48,'Material routes'!$C$6:$C$2205,"Contained input"),COUNTIFS('Material routes'!$D$6:$D$2205,A48,'Material routes'!$C$6:$C$2205,"Transform input"))</x:f>
        <x:v>7</x:v>
      </x:c>
      <x:c r="AL48" s="4" t="n">
        <x:f>COUNTIFS('Material routes'!$D$6:$D$2205,A48,'Material routes'!$C$6:$C$2205,"Tool candidate")</x:f>
        <x:v>0</x:v>
      </x:c>
      <x:c r="AM48" s="4" t="str">
        <x:f>IF(AJ48&gt;0,"Route listed; review status/completeness",IF(C48="T0","Raw entry feed; no production route","No production route listed"))</x:f>
        <x:v>Route listed; review status/completeness</x:v>
      </x:c>
      <x:c r="AN48" s="14" t="n">
        <x:f>IF(C48="T0",0,IF(C48="T1",1,IF(C48="T2",2,IF(C48="T3",3,IF(C48="T4",4,IF(C48="Unassigned",98,99))))))</x:f>
        <x:v>2</x:v>
      </x:c>
      <x:c r="AZ48"/>
      <x:c r="BA48"/>
      <x:c r="BB48"/>
      <x:c r="BC48"/>
      <x:c r="BD48"/>
      <x:c r="BE48"/>
      <x:c r="BF48"/>
      <x:c r="BG48"/>
      <x:c r="BH48"/>
      <x:c r="BI48"/>
      <x:c r="BJ48"/>
      <x:c r="BK48"/>
      <x:c r="BL48"/>
      <x:c r="BM48"/>
      <x:c r="BN48"/>
      <x:c r="BO48"/>
      <x:c r="BP48"/>
      <x:c r="BQ48"/>
      <x:c r="BR48"/>
      <x:c r="BS48"/>
      <x:c r="BT48"/>
      <x:c r="BU48"/>
      <x:c r="BV48"/>
      <x:c r="BW48"/>
      <x:c r="BX48"/>
      <x:c r="BY48"/>
      <x:c r="BZ48"/>
      <x:c r="CA48"/>
      <x:c r="CB48"/>
      <x:c r="CC48"/>
    </x:row>
    <x:row r="49" ht="66" customHeight="1">
      <x:c r="A49" s="9" t="str">
        <x:v>proposal.bio.cord</x:v>
      </x:c>
      <x:c r="B49" s="9" t="str">
        <x:v>Tendon cord</x:v>
      </x:c>
      <x:c r="C49" s="4" t="str">
        <x:v>T1</x:v>
      </x:c>
      <x:c r="D49" s="9" t="str">
        <x:v>Crafting components</x:v>
      </x:c>
      <x:c r="E49" s="9" t="str">
        <x:v>Processed biological</x:v>
      </x:c>
      <x:c r="F49" s="9" t="str">
        <x:v>New proposal</x:v>
      </x:c>
      <x:c r="G49" s="9" t="inlineStr">
        <x:is>
          <x:t xml:space="preserve">Tool lashings and field repairs. It is intended to join, reinforce or support other parts, with the bond or fastening chosen for the materials and loads involved.</x:t>
        </x:is>
      </x:c>
      <x:c r="H49" s="9" t="str">
        <x:v>None</x:v>
      </x:c>
      <x:c r="I49" s="9" t="str">
        <x:v>Legger / local storage proposed</x:v>
      </x:c>
      <x:c r="J49" s="13"/>
      <x:c r="K49" s="15"/>
      <x:c r="L49" s="9" t="str">
        <x:v>Process tendon</x:v>
      </x:c>
      <x:c r="M49" s="9" t="str">
        <x:v>Dry, split, twist and bind</x:v>
      </x:c>
      <x:c r="N49" s="9" t="str">
        <x:v>Not implemented</x:v>
      </x:c>
      <x:c r="O49" s="9" t="str">
        <x:v>Speculative material capability; no effects or real processing instructions established.</x:v>
      </x:c>
      <x:c r="P49" s="17"/>
      <x:c r="Q49" s="17"/>
      <x:c r="R49" s="17"/>
      <x:c r="S49" s="17"/>
      <x:c r="T49" s="17"/>
      <x:c r="U49" s="9" t="str">
        <x:v>Material properties, additives, station, balance and world-rule compatibility</x:v>
      </x:c>
      <x:c r="V49" s="11" t="str">
        <x:v>equipment repair</x:v>
      </x:c>
      <x:c r="W49" s="9" t="str">
        <x:v>User design direction, October 14, 2026; local brainstorming. New proposal unless explicitly marked User direction.</x:v>
      </x:c>
      <x:c r="X49" s="4" t="str">
        <x:v>Crafting component</x:v>
      </x:c>
      <x:c r="Y49" s="4" t="str">
        <x:v>Processed intermediate</x:v>
      </x:c>
      <x:c r="Z49" s="4" t="str">
        <x:v>Fauna</x:v>
      </x:c>
      <x:c r="AA49" s="4" t="str">
        <x:v>Binding and construction</x:v>
      </x:c>
      <x:c r="AB49" s="4" t="str">
        <x:v>Faunal tissue</x:v>
      </x:c>
      <x:c r="AC49" s="4" t="str">
        <x:v>Cord</x:v>
      </x:c>
      <x:c r="AD49" s="4" t="str">
        <x:v>Proposal</x:v>
      </x:c>
      <x:c r="AE49" s="4" t="str">
        <x:f>LOWER(A49&amp;"; "&amp;B49&amp;"; "&amp;D49&amp;"; "&amp;E49&amp;"; "&amp;X49&amp;"; "&amp;Y49&amp;"; "&amp;Z49&amp;"; "&amp;AA49&amp;"; "&amp;AB49&amp;"; "&amp;AC49&amp;"; "&amp;AD49&amp;"; "&amp;V49&amp;"; "&amp;C49&amp;"; "&amp;AH49&amp;"; "&amp;AI49)</x:f>
        <x:v>proposal.bio.cord; tendon cord; crafting components; processed biological; crafting component; processed intermediate; fauna; binding and construction; faunal tissue; cord; proposal; equipment repair; t1; not applicable; component</x:v>
      </x:c>
      <x:c r="AF49" s="4" t="str">
        <x:v>From current item description. Proposed uses retain their existing approval status.</x:v>
      </x:c>
      <x:c r="AG49" s="4" t="str">
        <x:v>Proposed game manufacturing tier from the candidate routes. Integrated operations may contain many work steps.</x:v>
      </x:c>
      <x:c r="AH49" s="4" t="str">
        <x:v>Not applicable</x:v>
      </x:c>
      <x:c r="AI49" s="4" t="str">
        <x:v>Component</x:v>
      </x:c>
      <x:c r="AJ49" s="4" t="n">
        <x:f>COUNTIFS('Material routes'!$D$6:$D$2205,A49,'Material routes'!$C$6:$C$2205,"Output")</x:f>
        <x:v>1</x:v>
      </x:c>
      <x:c r="AK49" s="4" t="n">
        <x:f>SUM(COUNTIFS('Material routes'!$D$6:$D$2205,A49,'Material routes'!$C$6:$C$2205,"Ingredient candidate"),COUNTIFS('Material routes'!$D$6:$D$2205,A49,'Material routes'!$C$6:$C$2205,"Consumed input"),COUNTIFS('Material routes'!$D$6:$D$2205,A49,'Material routes'!$C$6:$C$2205,"Contained input"),COUNTIFS('Material routes'!$D$6:$D$2205,A49,'Material routes'!$C$6:$C$2205,"Transform input"))</x:f>
        <x:v>24</x:v>
      </x:c>
      <x:c r="AL49" s="4" t="n">
        <x:f>COUNTIFS('Material routes'!$D$6:$D$2205,A49,'Material routes'!$C$6:$C$2205,"Tool candidate")</x:f>
        <x:v>0</x:v>
      </x:c>
      <x:c r="AM49" s="4" t="str">
        <x:f>IF(AJ49&gt;0,"Route listed; review status/completeness",IF(C49="T0","Raw entry feed; no production route","No production route listed"))</x:f>
        <x:v>Route listed; review status/completeness</x:v>
      </x:c>
      <x:c r="AN49" s="14" t="n">
        <x:f>IF(C49="T0",0,IF(C49="T1",1,IF(C49="T2",2,IF(C49="T3",3,IF(C49="T4",4,IF(C49="Unassigned",98,99))))))</x:f>
        <x:v>1</x:v>
      </x:c>
      <x:c r="AZ49"/>
      <x:c r="BA49"/>
      <x:c r="BB49"/>
      <x:c r="BC49"/>
      <x:c r="BD49"/>
      <x:c r="BE49"/>
      <x:c r="BF49"/>
      <x:c r="BG49"/>
      <x:c r="BH49"/>
      <x:c r="BI49"/>
      <x:c r="BJ49"/>
      <x:c r="BK49"/>
      <x:c r="BL49"/>
      <x:c r="BM49"/>
      <x:c r="BN49"/>
      <x:c r="BO49"/>
      <x:c r="BP49"/>
      <x:c r="BQ49"/>
      <x:c r="BR49"/>
      <x:c r="BS49"/>
      <x:c r="BT49"/>
      <x:c r="BU49"/>
      <x:c r="BV49"/>
      <x:c r="BW49"/>
      <x:c r="BX49"/>
      <x:c r="BY49"/>
      <x:c r="BZ49"/>
      <x:c r="CA49"/>
      <x:c r="CB49"/>
      <x:c r="CC49"/>
    </x:row>
    <x:row r="50" ht="170" customHeight="1">
      <x:c r="A50" s="9" t="str">
        <x:v>proposal.bio.brush</x:v>
      </x:c>
      <x:c r="B50" s="9" t="str">
        <x:v>Bristle brush strips</x:v>
      </x:c>
      <x:c r="C50" s="4" t="str">
        <x:v>T2</x:v>
      </x:c>
      <x:c r="D50" s="9" t="str">
        <x:v>Crafting components</x:v>
      </x:c>
      <x:c r="E50" s="9" t="str">
        <x:v>Processed biological</x:v>
      </x:c>
      <x:c r="F50" s="9" t="str">
        <x:v>New proposal</x:v>
      </x:c>
      <x:c r="G50" s="9" t="inlineStr">
        <x:is>
          <x:t xml:space="preserve">Dust exclusion at joints and equipment closures. It is intended to obstruct grit at an opening or moving interface. Its fit and wear must be qualified before any exclusion or filtration performance is assigned.</x:t>
        </x:is>
      </x:c>
      <x:c r="H50" s="9" t="str">
        <x:v>None</x:v>
      </x:c>
      <x:c r="I50" s="9" t="str">
        <x:v>Legger / local storage proposed</x:v>
      </x:c>
      <x:c r="J50" s="13"/>
      <x:c r="K50" s="15"/>
      <x:c r="L50" s="9" t="str">
        <x:v>Process bristles</x:v>
      </x:c>
      <x:c r="M50" s="9" t="str">
        <x:v>Sort fibers and bind into a backing</x:v>
      </x:c>
      <x:c r="N50" s="9" t="str">
        <x:v>Not implemented</x:v>
      </x:c>
      <x:c r="O50" s="9" t="str">
        <x:v>Speculative material capability; no effects or real processing instructions established.</x:v>
      </x:c>
      <x:c r="P50" s="17"/>
      <x:c r="Q50" s="17"/>
      <x:c r="R50" s="17"/>
      <x:c r="S50" s="17"/>
      <x:c r="T50" s="17"/>
      <x:c r="U50" s="9" t="str">
        <x:v>Material properties, additives, station, balance and world-rule compatibility</x:v>
      </x:c>
      <x:c r="V50" s="11"/>
      <x:c r="W50" s="9" t="str">
        <x:v>User design direction, October 14, 2026; local brainstorming. New proposal unless explicitly marked User direction.</x:v>
      </x:c>
      <x:c r="X50" s="4" t="str">
        <x:v>Crafting component</x:v>
      </x:c>
      <x:c r="Y50" s="4" t="str">
        <x:v>Processed intermediate</x:v>
      </x:c>
      <x:c r="Z50" s="4" t="str">
        <x:v>Fauna</x:v>
      </x:c>
      <x:c r="AA50" s="4" t="str">
        <x:v>Dust exclusion</x:v>
      </x:c>
      <x:c r="AB50" s="4" t="str">
        <x:v>Faunal fiber</x:v>
      </x:c>
      <x:c r="AC50" s="4" t="str">
        <x:v>Strip</x:v>
      </x:c>
      <x:c r="AD50" s="4" t="str">
        <x:v>Proposal</x:v>
      </x:c>
      <x:c r="AE50" s="4" t="str">
        <x:f>LOWER(A50&amp;"; "&amp;B50&amp;"; "&amp;D50&amp;"; "&amp;E50&amp;"; "&amp;X50&amp;"; "&amp;Y50&amp;"; "&amp;Z50&amp;"; "&amp;AA50&amp;"; "&amp;AB50&amp;"; "&amp;AC50&amp;"; "&amp;AD50&amp;"; "&amp;V50&amp;"; "&amp;C50&amp;"; "&amp;AH50&amp;"; "&amp;AI50)</x:f>
        <x:v>proposal.bio.brush; bristle brush strips; crafting components; processed biological; crafting component; processed intermediate; fauna; dust exclusion; faunal fiber; strip; proposal; ; t2; not applicable; component</x:v>
      </x:c>
      <x:c r="AF50" s="4" t="str">
        <x:v>From current item description. Proposed uses retain their existing approval status.</x:v>
      </x:c>
      <x:c r="AG50" s="4" t="str">
        <x:v>October 15 proposed tier review: Retain prepared bristles in a bonded strip after T1 grading. Candidate route only: quantities, yield, tools, fit, process conditions and service compatibility remain open. </x:v>
      </x:c>
      <x:c r="AH50" s="4" t="str">
        <x:v>Not applicable</x:v>
      </x:c>
      <x:c r="AI50" s="4" t="str">
        <x:v>Component</x:v>
      </x:c>
      <x:c r="AJ50" s="4" t="n">
        <x:f>COUNTIFS('Material routes'!$D$6:$D$2205,A50,'Material routes'!$C$6:$C$2205,"Output")</x:f>
        <x:v>2</x:v>
      </x:c>
      <x:c r="AK50" s="4" t="n">
        <x:f>SUM(COUNTIFS('Material routes'!$D$6:$D$2205,A50,'Material routes'!$C$6:$C$2205,"Ingredient candidate"),COUNTIFS('Material routes'!$D$6:$D$2205,A50,'Material routes'!$C$6:$C$2205,"Consumed input"),COUNTIFS('Material routes'!$D$6:$D$2205,A50,'Material routes'!$C$6:$C$2205,"Contained input"),COUNTIFS('Material routes'!$D$6:$D$2205,A50,'Material routes'!$C$6:$C$2205,"Transform input"))</x:f>
        <x:v>1</x:v>
      </x:c>
      <x:c r="AL50" s="4" t="n">
        <x:f>COUNTIFS('Material routes'!$D$6:$D$2205,A50,'Material routes'!$C$6:$C$2205,"Tool candidate")</x:f>
        <x:v>0</x:v>
      </x:c>
      <x:c r="AM50" s="4" t="str">
        <x:f>IF(AJ50&gt;0,"Route listed; review status/completeness",IF(C50="T0","Raw entry feed; no production route","No production route listed"))</x:f>
        <x:v>Route listed; review status/completeness</x:v>
      </x:c>
      <x:c r="AN50" s="14" t="n">
        <x:f>IF(C50="T0",0,IF(C50="T1",1,IF(C50="T2",2,IF(C50="T3",3,IF(C50="T4",4,IF(C50="Unassigned",98,99))))))</x:f>
        <x:v>2</x:v>
      </x:c>
      <x:c r="AZ50"/>
      <x:c r="BA50"/>
      <x:c r="BB50"/>
      <x:c r="BC50"/>
      <x:c r="BD50"/>
      <x:c r="BE50"/>
      <x:c r="BF50"/>
      <x:c r="BG50"/>
      <x:c r="BH50"/>
      <x:c r="BI50"/>
      <x:c r="BJ50"/>
      <x:c r="BK50"/>
      <x:c r="BL50"/>
      <x:c r="BM50"/>
      <x:c r="BN50"/>
      <x:c r="BO50"/>
      <x:c r="BP50"/>
      <x:c r="BQ50"/>
      <x:c r="BR50"/>
      <x:c r="BS50"/>
      <x:c r="BT50"/>
      <x:c r="BU50"/>
      <x:c r="BV50"/>
      <x:c r="BW50"/>
      <x:c r="BX50"/>
      <x:c r="BY50"/>
      <x:c r="BZ50"/>
      <x:c r="CA50"/>
      <x:c r="CB50"/>
      <x:c r="CC50"/>
    </x:row>
    <x:row r="51" ht="66" customHeight="1">
      <x:c r="A51" s="9" t="str">
        <x:v>proposal.bio.liner</x:v>
      </x:c>
      <x:c r="B51" s="9" t="str">
        <x:v>Pressed fur-fiber material</x:v>
      </x:c>
      <x:c r="C51" s="4" t="str">
        <x:v>T1</x:v>
      </x:c>
      <x:c r="D51" s="9" t="str">
        <x:v>Crafting components</x:v>
      </x:c>
      <x:c r="E51" s="9" t="str">
        <x:v>Processed biological</x:v>
      </x:c>
      <x:c r="F51" s="9" t="str">
        <x:v>New proposal</x:v>
      </x:c>
      <x:c r="G51" s="9" t="inlineStr">
        <x:is>
          <x:t xml:space="preserve">Candidate scarce pressed material; former liner proposal requires reassessment. It is an input to the setting’s difficult biological-material preparation; a useful finished textile is not obtained merely by collecting it.</x:t>
        </x:is>
      </x:c>
      <x:c r="H51" s="9" t="str">
        <x:v>None</x:v>
      </x:c>
      <x:c r="I51" s="9" t="str">
        <x:v>Legger / local storage proposed</x:v>
      </x:c>
      <x:c r="J51" s="13"/>
      <x:c r="K51" s="15"/>
      <x:c r="L51" s="9" t="str">
        <x:v>Process underfur</x:v>
      </x:c>
      <x:c r="M51" s="9" t="str">
        <x:v>Very low-yield fur processing; pressing/finish details unapproved</x:v>
      </x:c>
      <x:c r="N51" s="9" t="str">
        <x:v>Not implemented</x:v>
      </x:c>
      <x:c r="O51" s="9" t="str">
        <x:v>Extremely low usable yield. No cloth or routine clothing-liner supply implied.</x:v>
      </x:c>
      <x:c r="P51" s="17"/>
      <x:c r="Q51" s="17"/>
      <x:c r="R51" s="17"/>
      <x:c r="S51" s="17"/>
      <x:c r="T51" s="17"/>
      <x:c r="U51" s="9" t="str">
        <x:v>Product form and garment use remain proposals; old felted-liner assumption superseded; fashion-crafting input: high sale-value intent; large material/time demand; exact prices and quantities TBD</x:v>
      </x:c>
      <x:c r="V51" s="11"/>
      <x:c r="W51" s="9" t="str">
        <x:v>Docs/WORLD_BASIS.md#material-culture; author direction October 14, 2026. Process details and specific product forms remain unimplemented.</x:v>
      </x:c>
      <x:c r="X51" s="4" t="str">
        <x:v>Processed material</x:v>
      </x:c>
      <x:c r="Y51" s="4" t="str">
        <x:v>Processed intermediate</x:v>
      </x:c>
      <x:c r="Z51" s="4" t="str">
        <x:v>Fauna</x:v>
      </x:c>
      <x:c r="AA51" s="4" t="str">
        <x:v>Textile processing</x:v>
      </x:c>
      <x:c r="AB51" s="4" t="str">
        <x:v>Fur</x:v>
      </x:c>
      <x:c r="AC51" s="4" t="str">
        <x:v>Unresolved</x:v>
      </x:c>
      <x:c r="AD51" s="4" t="str">
        <x:v>Proposal</x:v>
      </x:c>
      <x:c r="AE51" s="4" t="str">
        <x:f>LOWER(A51&amp;"; "&amp;B51&amp;"; "&amp;D51&amp;"; "&amp;E51&amp;"; "&amp;X51&amp;"; "&amp;Y51&amp;"; "&amp;Z51&amp;"; "&amp;AA51&amp;"; "&amp;AB51&amp;"; "&amp;AC51&amp;"; "&amp;AD51&amp;"; "&amp;V51&amp;"; "&amp;C51&amp;"; "&amp;AH51&amp;"; "&amp;AI51)</x:f>
        <x:v>proposal.bio.liner; pressed fur-fiber material; crafting components; processed biological; processed material; processed intermediate; fauna; textile processing; fur; unresolved; proposal; ; t1; not applicable; material</x:v>
      </x:c>
      <x:c r="AF51" s="4" t="str">
        <x:v>From current item description. Proposed uses retain their existing approval status.</x:v>
      </x:c>
      <x:c r="AG51" s="4" t="str">
        <x:v>Proposed game manufacturing tier from the candidate routes. Integrated operations may contain many work steps.</x:v>
      </x:c>
      <x:c r="AH51" s="4" t="str">
        <x:v>Not applicable</x:v>
      </x:c>
      <x:c r="AI51" s="4" t="str">
        <x:v>Material</x:v>
      </x:c>
      <x:c r="AJ51" s="4" t="n">
        <x:f>COUNTIFS('Material routes'!$D$6:$D$2205,A51,'Material routes'!$C$6:$C$2205,"Output")</x:f>
        <x:v>1</x:v>
      </x:c>
      <x:c r="AK51" s="4" t="n">
        <x:f>SUM(COUNTIFS('Material routes'!$D$6:$D$2205,A51,'Material routes'!$C$6:$C$2205,"Ingredient candidate"),COUNTIFS('Material routes'!$D$6:$D$2205,A51,'Material routes'!$C$6:$C$2205,"Consumed input"),COUNTIFS('Material routes'!$D$6:$D$2205,A51,'Material routes'!$C$6:$C$2205,"Contained input"),COUNTIFS('Material routes'!$D$6:$D$2205,A51,'Material routes'!$C$6:$C$2205,"Transform input"))</x:f>
        <x:v>1</x:v>
      </x:c>
      <x:c r="AL51" s="4" t="n">
        <x:f>COUNTIFS('Material routes'!$D$6:$D$2205,A51,'Material routes'!$C$6:$C$2205,"Tool candidate")</x:f>
        <x:v>0</x:v>
      </x:c>
      <x:c r="AM51" s="4" t="str">
        <x:f>IF(AJ51&gt;0,"Route listed; review status/completeness",IF(C51="T0","Raw entry feed; no production route","No production route listed"))</x:f>
        <x:v>Route listed; review status/completeness</x:v>
      </x:c>
      <x:c r="AN51" s="14" t="n">
        <x:f>IF(C51="T0",0,IF(C51="T1",1,IF(C51="T2",2,IF(C51="T3",3,IF(C51="T4",4,IF(C51="Unassigned",98,99))))))</x:f>
        <x:v>1</x:v>
      </x:c>
      <x:c r="AZ51"/>
      <x:c r="BA51"/>
      <x:c r="BB51"/>
      <x:c r="BC51"/>
      <x:c r="BD51"/>
      <x:c r="BE51"/>
      <x:c r="BF51"/>
      <x:c r="BG51"/>
      <x:c r="BH51"/>
      <x:c r="BI51"/>
      <x:c r="BJ51"/>
      <x:c r="BK51"/>
      <x:c r="BL51"/>
      <x:c r="BM51"/>
      <x:c r="BN51"/>
      <x:c r="BO51"/>
      <x:c r="BP51"/>
      <x:c r="BQ51"/>
      <x:c r="BR51"/>
      <x:c r="BS51"/>
      <x:c r="BT51"/>
      <x:c r="BU51"/>
      <x:c r="BV51"/>
      <x:c r="BW51"/>
      <x:c r="BX51"/>
      <x:c r="BY51"/>
      <x:c r="BZ51"/>
      <x:c r="CA51"/>
      <x:c r="CB51"/>
      <x:c r="CC51"/>
    </x:row>
    <x:row r="52" ht="170" customHeight="1">
      <x:c r="A52" s="9" t="str">
        <x:v>proposal.bio.insert</x:v>
      </x:c>
      <x:c r="B52" s="9" t="str">
        <x:v>Jaw cutting insert</x:v>
      </x:c>
      <x:c r="C52" s="4" t="str">
        <x:v>T2</x:v>
      </x:c>
      <x:c r="D52" s="9" t="str">
        <x:v>Crafting components</x:v>
      </x:c>
      <x:c r="E52" s="9" t="str">
        <x:v>Processed biological</x:v>
      </x:c>
      <x:c r="F52" s="9" t="str">
        <x:v>New proposal</x:v>
      </x:c>
      <x:c r="G52" s="9" t="inlineStr">
        <x:is>
          <x:t xml:space="preserve">Replaceable excavation-tool wear part. It supplies a candidate working blank, edge or fitted part for a tool; shaping and mounting depend on the intended job.</x:t>
        </x:is>
      </x:c>
      <x:c r="H52" s="9" t="str">
        <x:v>None</x:v>
      </x:c>
      <x:c r="I52" s="9" t="str">
        <x:v>Legger / local storage proposed</x:v>
      </x:c>
      <x:c r="J52" s="13"/>
      <x:c r="K52" s="15"/>
      <x:c r="L52" s="9" t="str">
        <x:v>Process jaw</x:v>
      </x:c>
      <x:c r="M52" s="9" t="str">
        <x:v>Cut and grind dense tissue</x:v>
      </x:c>
      <x:c r="N52" s="9" t="str">
        <x:v>Not implemented</x:v>
      </x:c>
      <x:c r="O52" s="9" t="str">
        <x:v>Speculative material capability; no effects or real processing instructions established.</x:v>
      </x:c>
      <x:c r="P52" s="17"/>
      <x:c r="Q52" s="17"/>
      <x:c r="R52" s="17"/>
      <x:c r="S52" s="17"/>
      <x:c r="T52" s="17"/>
      <x:c r="U52" s="9" t="str">
        <x:v>Material properties, additives, station, balance and world-rule compatibility</x:v>
      </x:c>
      <x:c r="V52" s="11"/>
      <x:c r="W52" s="9" t="str">
        <x:v>User design direction, October 14, 2026; local brainstorming. New proposal unless explicitly marked User direction.</x:v>
      </x:c>
      <x:c r="X52" s="4" t="str">
        <x:v>Crafting component</x:v>
      </x:c>
      <x:c r="Y52" s="4" t="str">
        <x:v>Processed intermediate</x:v>
      </x:c>
      <x:c r="Z52" s="4" t="str">
        <x:v>Fauna</x:v>
      </x:c>
      <x:c r="AA52" s="4" t="str">
        <x:v>Tool fabrication</x:v>
      </x:c>
      <x:c r="AB52" s="4" t="str">
        <x:v>Faunal tissue</x:v>
      </x:c>
      <x:c r="AC52" s="4" t="str">
        <x:v>Solid part</x:v>
      </x:c>
      <x:c r="AD52" s="4" t="str">
        <x:v>Proposal</x:v>
      </x:c>
      <x:c r="AE52" s="4" t="str">
        <x:f>LOWER(A52&amp;"; "&amp;B52&amp;"; "&amp;D52&amp;"; "&amp;E52&amp;"; "&amp;X52&amp;"; "&amp;Y52&amp;"; "&amp;Z52&amp;"; "&amp;AA52&amp;"; "&amp;AB52&amp;"; "&amp;AC52&amp;"; "&amp;AD52&amp;"; "&amp;V52&amp;"; "&amp;C52&amp;"; "&amp;AH52&amp;"; "&amp;AI52)</x:f>
        <x:v>proposal.bio.insert; jaw cutting insert; crafting components; processed biological; crafting component; processed intermediate; fauna; tool fabrication; faunal tissue; solid part; proposal; ; t2; not applicable; component</x:v>
      </x:c>
      <x:c r="AF52" s="4" t="str">
        <x:v>From current item description. Proposed uses retain their existing approval status.</x:v>
      </x:c>
      <x:c r="AG52" s="4" t="str">
        <x:v>October 15 proposed tier review: Fit a shaped hard-part blank as a retained cutting insert. Candidate route only: quantities, yield, tools, fit, process conditions and service compatibility remain open. Jaw species, sharpness, seating and wear require design.</x:v>
      </x:c>
      <x:c r="AH52" s="4" t="str">
        <x:v>Not applicable</x:v>
      </x:c>
      <x:c r="AI52" s="4" t="str">
        <x:v>Component</x:v>
      </x:c>
      <x:c r="AJ52" s="4" t="n">
        <x:f>COUNTIFS('Material routes'!$D$6:$D$2205,A52,'Material routes'!$C$6:$C$2205,"Output")</x:f>
        <x:v>2</x:v>
      </x:c>
      <x:c r="AK52" s="4" t="n">
        <x:f>SUM(COUNTIFS('Material routes'!$D$6:$D$2205,A52,'Material routes'!$C$6:$C$2205,"Ingredient candidate"),COUNTIFS('Material routes'!$D$6:$D$2205,A52,'Material routes'!$C$6:$C$2205,"Consumed input"),COUNTIFS('Material routes'!$D$6:$D$2205,A52,'Material routes'!$C$6:$C$2205,"Contained input"),COUNTIFS('Material routes'!$D$6:$D$2205,A52,'Material routes'!$C$6:$C$2205,"Transform input"))</x:f>
        <x:v>2</x:v>
      </x:c>
      <x:c r="AL52" s="4" t="n">
        <x:f>COUNTIFS('Material routes'!$D$6:$D$2205,A52,'Material routes'!$C$6:$C$2205,"Tool candidate")</x:f>
        <x:v>0</x:v>
      </x:c>
      <x:c r="AM52" s="4" t="str">
        <x:f>IF(AJ52&gt;0,"Route listed; review status/completeness",IF(C52="T0","Raw entry feed; no production route","No production route listed"))</x:f>
        <x:v>Route listed; review status/completeness</x:v>
      </x:c>
      <x:c r="AN52" s="14" t="n">
        <x:f>IF(C52="T0",0,IF(C52="T1",1,IF(C52="T2",2,IF(C52="T3",3,IF(C52="T4",4,IF(C52="Unassigned",98,99))))))</x:f>
        <x:v>2</x:v>
      </x:c>
      <x:c r="AZ52"/>
      <x:c r="BA52"/>
      <x:c r="BB52"/>
      <x:c r="BC52"/>
      <x:c r="BD52"/>
      <x:c r="BE52"/>
      <x:c r="BF52"/>
      <x:c r="BG52"/>
      <x:c r="BH52"/>
      <x:c r="BI52"/>
      <x:c r="BJ52"/>
      <x:c r="BK52"/>
      <x:c r="BL52"/>
      <x:c r="BM52"/>
      <x:c r="BN52"/>
      <x:c r="BO52"/>
      <x:c r="BP52"/>
      <x:c r="BQ52"/>
      <x:c r="BR52"/>
      <x:c r="BS52"/>
      <x:c r="BT52"/>
      <x:c r="BU52"/>
      <x:c r="BV52"/>
      <x:c r="BW52"/>
      <x:c r="BX52"/>
      <x:c r="BY52"/>
      <x:c r="BZ52"/>
      <x:c r="CA52"/>
      <x:c r="CB52"/>
      <x:c r="CC52"/>
    </x:row>
    <x:row r="53" ht="66" customHeight="1">
      <x:c r="A53" s="9" t="str">
        <x:v>proposal.bio.seal</x:v>
      </x:c>
      <x:c r="B53" s="9" t="str">
        <x:v>Membrane seal patches</x:v>
      </x:c>
      <x:c r="C53" s="4" t="str">
        <x:v>T1</x:v>
      </x:c>
      <x:c r="D53" s="9" t="str">
        <x:v>Crafting components</x:v>
      </x:c>
      <x:c r="E53" s="9" t="str">
        <x:v>Processed biological</x:v>
      </x:c>
      <x:c r="F53" s="9" t="str">
        <x:v>New proposal</x:v>
      </x:c>
      <x:c r="G53" s="9" t="inlineStr">
        <x:is>
          <x:t xml:space="preserve">Flexible equipment repairs. It is intended to close a selected joint or patch an interface. Contents compatibility, movement and service conditions must be checked before a seal is relied on.</x:t>
        </x:is>
      </x:c>
      <x:c r="H53" s="9" t="str">
        <x:v>None</x:v>
      </x:c>
      <x:c r="I53" s="9" t="str">
        <x:v>Legger / local storage proposed</x:v>
      </x:c>
      <x:c r="J53" s="13"/>
      <x:c r="K53" s="15"/>
      <x:c r="L53" s="9" t="str">
        <x:v>Process membrane</x:v>
      </x:c>
      <x:c r="M53" s="9" t="str">
        <x:v>Dry preserve, cut and laminate</x:v>
      </x:c>
      <x:c r="N53" s="9" t="str">
        <x:v>Not implemented</x:v>
      </x:c>
      <x:c r="O53" s="9" t="str">
        <x:v>Speculative material capability; no effects or real processing instructions established.</x:v>
      </x:c>
      <x:c r="P53" s="17"/>
      <x:c r="Q53" s="17"/>
      <x:c r="R53" s="17"/>
      <x:c r="S53" s="17"/>
      <x:c r="T53" s="17"/>
      <x:c r="U53" s="9" t="str">
        <x:v>Material properties, additives, station, balance and world-rule compatibility</x:v>
      </x:c>
      <x:c r="V53" s="11" t="str">
        <x:v>equipment repair</x:v>
      </x:c>
      <x:c r="W53" s="9" t="str">
        <x:v>User design direction, October 14, 2026; local brainstorming. New proposal unless explicitly marked User direction.</x:v>
      </x:c>
      <x:c r="X53" s="4" t="str">
        <x:v>Crafting component</x:v>
      </x:c>
      <x:c r="Y53" s="4" t="str">
        <x:v>Processed intermediate</x:v>
      </x:c>
      <x:c r="Z53" s="4" t="str">
        <x:v>Fauna</x:v>
      </x:c>
      <x:c r="AA53" s="4" t="str">
        <x:v>Sealing</x:v>
      </x:c>
      <x:c r="AB53" s="4" t="str">
        <x:v>Faunal membrane</x:v>
      </x:c>
      <x:c r="AC53" s="4" t="str">
        <x:v>Patch</x:v>
      </x:c>
      <x:c r="AD53" s="4" t="str">
        <x:v>Proposal</x:v>
      </x:c>
      <x:c r="AE53" s="4" t="str">
        <x:f>LOWER(A53&amp;"; "&amp;B53&amp;"; "&amp;D53&amp;"; "&amp;E53&amp;"; "&amp;X53&amp;"; "&amp;Y53&amp;"; "&amp;Z53&amp;"; "&amp;AA53&amp;"; "&amp;AB53&amp;"; "&amp;AC53&amp;"; "&amp;AD53&amp;"; "&amp;V53&amp;"; "&amp;C53&amp;"; "&amp;AH53&amp;"; "&amp;AI53)</x:f>
        <x:v>proposal.bio.seal; membrane seal patches; crafting components; processed biological; crafting component; processed intermediate; fauna; sealing; faunal membrane; patch; proposal; equipment repair; t1; not applicable; component</x:v>
      </x:c>
      <x:c r="AF53" s="4" t="str">
        <x:v>From current item description. Proposed uses retain their existing approval status.</x:v>
      </x:c>
      <x:c r="AG53" s="4" t="str">
        <x:v>Proposed game manufacturing tier from the candidate routes. Integrated operations may contain many work steps.</x:v>
      </x:c>
      <x:c r="AH53" s="4" t="str">
        <x:v>Not applicable</x:v>
      </x:c>
      <x:c r="AI53" s="4" t="str">
        <x:v>Component</x:v>
      </x:c>
      <x:c r="AJ53" s="4" t="n">
        <x:f>COUNTIFS('Material routes'!$D$6:$D$2205,A53,'Material routes'!$C$6:$C$2205,"Output")</x:f>
        <x:v>1</x:v>
      </x:c>
      <x:c r="AK53" s="4" t="n">
        <x:f>SUM(COUNTIFS('Material routes'!$D$6:$D$2205,A53,'Material routes'!$C$6:$C$2205,"Ingredient candidate"),COUNTIFS('Material routes'!$D$6:$D$2205,A53,'Material routes'!$C$6:$C$2205,"Consumed input"),COUNTIFS('Material routes'!$D$6:$D$2205,A53,'Material routes'!$C$6:$C$2205,"Contained input"),COUNTIFS('Material routes'!$D$6:$D$2205,A53,'Material routes'!$C$6:$C$2205,"Transform input"))</x:f>
        <x:v>1</x:v>
      </x:c>
      <x:c r="AL53" s="4" t="n">
        <x:f>COUNTIFS('Material routes'!$D$6:$D$2205,A53,'Material routes'!$C$6:$C$2205,"Tool candidate")</x:f>
        <x:v>0</x:v>
      </x:c>
      <x:c r="AM53" s="4" t="str">
        <x:f>IF(AJ53&gt;0,"Route listed; review status/completeness",IF(C53="T0","Raw entry feed; no production route","No production route listed"))</x:f>
        <x:v>Route listed; review status/completeness</x:v>
      </x:c>
      <x:c r="AN53" s="14" t="n">
        <x:f>IF(C53="T0",0,IF(C53="T1",1,IF(C53="T2",2,IF(C53="T3",3,IF(C53="T4",4,IF(C53="Unassigned",98,99))))))</x:f>
        <x:v>1</x:v>
      </x:c>
      <x:c r="AZ53"/>
      <x:c r="BA53"/>
      <x:c r="BB53"/>
      <x:c r="BC53"/>
      <x:c r="BD53"/>
      <x:c r="BE53"/>
      <x:c r="BF53"/>
      <x:c r="BG53"/>
      <x:c r="BH53"/>
      <x:c r="BI53"/>
      <x:c r="BJ53"/>
      <x:c r="BK53"/>
      <x:c r="BL53"/>
      <x:c r="BM53"/>
      <x:c r="BN53"/>
      <x:c r="BO53"/>
      <x:c r="BP53"/>
      <x:c r="BQ53"/>
      <x:c r="BR53"/>
      <x:c r="BS53"/>
      <x:c r="BT53"/>
      <x:c r="BU53"/>
      <x:c r="BV53"/>
      <x:c r="BW53"/>
      <x:c r="BX53"/>
      <x:c r="BY53"/>
      <x:c r="BZ53"/>
      <x:c r="CA53"/>
      <x:c r="CB53"/>
      <x:c r="CC53"/>
    </x:row>
    <x:row r="54" ht="170" customHeight="1">
      <x:c r="A54" s="9" t="str">
        <x:v>proposal.bio.wax</x:v>
      </x:c>
      <x:c r="B54" s="9" t="str">
        <x:v>Solid biological wax</x:v>
      </x:c>
      <x:c r="C54" s="4" t="str">
        <x:v>Unassigned</x:v>
      </x:c>
      <x:c r="D54" s="9" t="str">
        <x:v>Crafting components</x:v>
      </x:c>
      <x:c r="E54" s="9" t="str">
        <x:v>Processed biological</x:v>
      </x:c>
      <x:c r="F54" s="9" t="str">
        <x:v>Needs lore anatomy review</x:v>
      </x:c>
      <x:c r="G54" s="9" t="inlineStr">
        <x:is>
          <x:t xml:space="preserve">A conditional solid biological material whose proposed fat-like precursor remains unverified. A source and preparation route must be established before any sealing, coating or other practical use can be assigned.</x:t>
        </x:is>
      </x:c>
      <x:c r="H54" s="9" t="str">
        <x:v>None</x:v>
      </x:c>
      <x:c r="I54" s="9" t="str">
        <x:v>Legger / local storage proposed</x:v>
      </x:c>
      <x:c r="J54" s="13"/>
      <x:c r="K54" s="15"/>
      <x:c r="L54" s="9" t="str">
        <x:v>Precursor and conversion await anatomy review</x:v>
      </x:c>
      <x:c r="M54" s="9" t="str">
        <x:v>Potential sealing/lubricant use remains a proposal</x:v>
      </x:c>
      <x:c r="N54" s="9" t="str">
        <x:v>Not implemented</x:v>
      </x:c>
      <x:c r="O54" s="9" t="str">
        <x:v>No approved fat source, chemical identity or conversion. Not an established material property.</x:v>
      </x:c>
      <x:c r="P54" s="17"/>
      <x:c r="Q54" s="17"/>
      <x:c r="R54" s="17"/>
      <x:c r="S54" s="17"/>
      <x:c r="T54" s="17"/>
      <x:c r="U54" s="9" t="str">
        <x:v>Review precursor and chemistry against Burden Beasts anatomy</x:v>
      </x:c>
      <x:c r="V54" s="11"/>
      <x:c r="W54" s="9" t="str">
        <x:v>Docs/WORLD_BASIS.md#faunal-biology-and-material-use; direct author direction October 14, 2026. Related source anatomy proposals now accessible at f6f98515; this item awaits reconciliation; identities and processing remain undefined.</x:v>
      </x:c>
      <x:c r="X54" s="4" t="str">
        <x:v>Processed material</x:v>
      </x:c>
      <x:c r="Y54" s="4" t="str">
        <x:v>Unresolved</x:v>
      </x:c>
      <x:c r="Z54" s="4" t="str">
        <x:v>Fauna</x:v>
      </x:c>
      <x:c r="AA54" s="4" t="str">
        <x:v>Use unresolved</x:v>
      </x:c>
      <x:c r="AB54" s="4" t="str">
        <x:v>Biological chemical</x:v>
      </x:c>
      <x:c r="AC54" s="4" t="str">
        <x:v>Solid piece</x:v>
      </x:c>
      <x:c r="AD54" s="4" t="str">
        <x:v>Withheld assumption</x:v>
      </x:c>
      <x:c r="AE54" s="4" t="str">
        <x:f>LOWER(A54&amp;"; "&amp;B54&amp;"; "&amp;D54&amp;"; "&amp;E54&amp;"; "&amp;X54&amp;"; "&amp;Y54&amp;"; "&amp;Z54&amp;"; "&amp;AA54&amp;"; "&amp;AB54&amp;"; "&amp;AC54&amp;"; "&amp;AD54&amp;"; "&amp;V54&amp;"; "&amp;C54&amp;"; "&amp;AH54&amp;"; "&amp;AI54)</x:f>
        <x:v>proposal.bio.wax; solid biological wax; crafting components; processed biological; processed material; unresolved; fauna; use unresolved; biological chemical; solid piece; withheld assumption; ; unassigned; unassigned; material</x:v>
      </x:c>
      <x:c r="AF54" s="4" t="str">
        <x:v>From current item description. Proposed uses retain their existing approval status.</x:v>
      </x:c>
      <x:c r="AG54"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54" s="4" t="str">
        <x:v>Unassigned</x:v>
      </x:c>
      <x:c r="AI54" s="4" t="str">
        <x:v>Material</x:v>
      </x:c>
      <x:c r="AJ54" s="4" t="n">
        <x:f>COUNTIFS('Material routes'!$D$6:$D$2205,A54,'Material routes'!$C$6:$C$2205,"Output")</x:f>
        <x:v>1</x:v>
      </x:c>
      <x:c r="AK54" s="4" t="n">
        <x:f>SUM(COUNTIFS('Material routes'!$D$6:$D$2205,A54,'Material routes'!$C$6:$C$2205,"Ingredient candidate"),COUNTIFS('Material routes'!$D$6:$D$2205,A54,'Material routes'!$C$6:$C$2205,"Consumed input"),COUNTIFS('Material routes'!$D$6:$D$2205,A54,'Material routes'!$C$6:$C$2205,"Contained input"),COUNTIFS('Material routes'!$D$6:$D$2205,A54,'Material routes'!$C$6:$C$2205,"Transform input"))</x:f>
        <x:v>0</x:v>
      </x:c>
      <x:c r="AL54" s="4" t="n">
        <x:f>COUNTIFS('Material routes'!$D$6:$D$2205,A54,'Material routes'!$C$6:$C$2205,"Tool candidate")</x:f>
        <x:v>0</x:v>
      </x:c>
      <x:c r="AM54" s="4" t="str">
        <x:f>IF(AJ54&gt;0,"Route listed; review status/completeness",IF(C54="T0","Raw entry feed; no production route","No production route listed"))</x:f>
        <x:v>Route listed; review status/completeness</x:v>
      </x:c>
      <x:c r="AN54" s="14" t="n">
        <x:f>IF(C54="T0",0,IF(C54="T1",1,IF(C54="T2",2,IF(C54="T3",3,IF(C54="T4",4,IF(C54="Unassigned",98,99))))))</x:f>
        <x:v>98</x:v>
      </x:c>
      <x:c r="AZ54"/>
      <x:c r="BA54"/>
      <x:c r="BB54"/>
      <x:c r="BC54"/>
      <x:c r="BD54"/>
      <x:c r="BE54"/>
      <x:c r="BF54"/>
      <x:c r="BG54"/>
      <x:c r="BH54"/>
      <x:c r="BI54"/>
      <x:c r="BJ54"/>
      <x:c r="BK54"/>
      <x:c r="BL54"/>
      <x:c r="BM54"/>
      <x:c r="BN54"/>
      <x:c r="BO54"/>
      <x:c r="BP54"/>
      <x:c r="BQ54"/>
      <x:c r="BR54"/>
      <x:c r="BS54"/>
      <x:c r="BT54"/>
      <x:c r="BU54"/>
      <x:c r="BV54"/>
      <x:c r="BW54"/>
      <x:c r="BX54"/>
      <x:c r="BY54"/>
      <x:c r="BZ54"/>
      <x:c r="CA54"/>
      <x:c r="CB54"/>
      <x:c r="CC54"/>
    </x:row>
    <x:row r="55" ht="170" customHeight="1">
      <x:c r="A55" s="9" t="str">
        <x:v>proposal.bio.electrode</x:v>
      </x:c>
      <x:c r="B55" s="9" t="str">
        <x:v>Dry organ electrode scaffold</x:v>
      </x:c>
      <x:c r="C55" s="4" t="str">
        <x:v>T1</x:v>
      </x:c>
      <x:c r="D55" s="9" t="str">
        <x:v>Crafting components</x:v>
      </x:c>
      <x:c r="E55" s="9" t="str">
        <x:v>Processed biological</x:v>
      </x:c>
      <x:c r="F55" s="9" t="str">
        <x:v>New proposal</x:v>
      </x:c>
      <x:c r="G55" s="9" t="inlineStr">
        <x:is>
          <x:t xml:space="preserve">Possible charged-battery component research. It belongs in a designed electrical assembly; connections, insulation and a compatible energy supply must be established together.</x:t>
        </x:is>
      </x:c>
      <x:c r="H55" s="9" t="str">
        <x:v>None</x:v>
      </x:c>
      <x:c r="I55" s="9" t="str">
        <x:v>Legger / local storage proposed</x:v>
      </x:c>
      <x:c r="J55" s="13"/>
      <x:c r="K55" s="15"/>
      <x:c r="L55" s="9" t="str">
        <x:v>Process organ</x:v>
      </x:c>
      <x:c r="M55" s="9" t="str">
        <x:v>Dry preserve and stabilize structure</x:v>
      </x:c>
      <x:c r="N55" s="9" t="str">
        <x:v>Not implemented</x:v>
      </x:c>
      <x:c r="O55" s="9" t="str">
        <x:v>Speculative material capability; no effects or real processing instructions established.</x:v>
      </x:c>
      <x:c r="P55" s="17"/>
      <x:c r="Q55" s="17"/>
      <x:c r="R55" s="17"/>
      <x:c r="S55" s="17"/>
      <x:c r="T55" s="17"/>
      <x:c r="U55" s="9" t="str">
        <x:v>Material properties, additives, station, balance and world-rule compatibility</x:v>
      </x:c>
      <x:c r="V55" s="11"/>
      <x:c r="W55" s="9" t="str">
        <x:v>User design direction, October 14, 2026; local brainstorming. New proposal unless explicitly marked User direction.</x:v>
      </x:c>
      <x:c r="X55" s="4" t="str">
        <x:v>Crafting component</x:v>
      </x:c>
      <x:c r="Y55" s="4" t="str">
        <x:v>Processed intermediate</x:v>
      </x:c>
      <x:c r="Z55" s="4" t="str">
        <x:v>Fauna</x:v>
      </x:c>
      <x:c r="AA55" s="4" t="str">
        <x:v>Electrical work</x:v>
      </x:c>
      <x:c r="AB55" s="4" t="str">
        <x:v>Faunal tissue</x:v>
      </x:c>
      <x:c r="AC55" s="4" t="str">
        <x:v>Solid part</x:v>
      </x:c>
      <x:c r="AD55" s="4" t="str">
        <x:v>Proposal</x:v>
      </x:c>
      <x:c r="AE55" s="4" t="str">
        <x:f>LOWER(A55&amp;"; "&amp;B55&amp;"; "&amp;D55&amp;"; "&amp;E55&amp;"; "&amp;X55&amp;"; "&amp;Y55&amp;"; "&amp;Z55&amp;"; "&amp;AA55&amp;"; "&amp;AB55&amp;"; "&amp;AC55&amp;"; "&amp;AD55&amp;"; "&amp;V55&amp;"; "&amp;C55&amp;"; "&amp;AH55&amp;"; "&amp;AI55)</x:f>
        <x:v>proposal.bio.electrode; dry organ electrode scaffold; crafting components; processed biological; crafting component; processed intermediate; fauna; electrical work; faunal tissue; solid part; proposal; ; t1; not applicable; component</x:v>
      </x:c>
      <x:c r="AF55" s="4" t="str">
        <x:v>From current item description. Proposed uses retain their existing approval status.</x:v>
      </x:c>
      <x:c r="AG55" s="4" t="str">
        <x:v>October 15 proposed tier review: 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AH55" s="4" t="str">
        <x:v>Not applicable</x:v>
      </x:c>
      <x:c r="AI55" s="4" t="str">
        <x:v>Component</x:v>
      </x:c>
      <x:c r="AJ55" s="4" t="n">
        <x:f>COUNTIFS('Material routes'!$D$6:$D$2205,A55,'Material routes'!$C$6:$C$2205,"Output")</x:f>
        <x:v>2</x:v>
      </x:c>
      <x:c r="AK55" s="4" t="n">
        <x:f>SUM(COUNTIFS('Material routes'!$D$6:$D$2205,A55,'Material routes'!$C$6:$C$2205,"Ingredient candidate"),COUNTIFS('Material routes'!$D$6:$D$2205,A55,'Material routes'!$C$6:$C$2205,"Consumed input"),COUNTIFS('Material routes'!$D$6:$D$2205,A55,'Material routes'!$C$6:$C$2205,"Contained input"),COUNTIFS('Material routes'!$D$6:$D$2205,A55,'Material routes'!$C$6:$C$2205,"Transform input"))</x:f>
        <x:v>0</x:v>
      </x:c>
      <x:c r="AL55" s="4" t="n">
        <x:f>COUNTIFS('Material routes'!$D$6:$D$2205,A55,'Material routes'!$C$6:$C$2205,"Tool candidate")</x:f>
        <x:v>0</x:v>
      </x:c>
      <x:c r="AM55" s="4" t="str">
        <x:f>IF(AJ55&gt;0,"Route listed; review status/completeness",IF(C55="T0","Raw entry feed; no production route","No production route listed"))</x:f>
        <x:v>Route listed; review status/completeness</x:v>
      </x:c>
      <x:c r="AN55" s="14" t="n">
        <x:f>IF(C55="T0",0,IF(C55="T1",1,IF(C55="T2",2,IF(C55="T3",3,IF(C55="T4",4,IF(C55="Unassigned",98,99))))))</x:f>
        <x:v>1</x:v>
      </x:c>
      <x:c r="AZ55"/>
      <x:c r="BA55"/>
      <x:c r="BB55"/>
      <x:c r="BC55"/>
      <x:c r="BD55"/>
      <x:c r="BE55"/>
      <x:c r="BF55"/>
      <x:c r="BG55"/>
      <x:c r="BH55"/>
      <x:c r="BI55"/>
      <x:c r="BJ55"/>
      <x:c r="BK55"/>
      <x:c r="BL55"/>
      <x:c r="BM55"/>
      <x:c r="BN55"/>
      <x:c r="BO55"/>
      <x:c r="BP55"/>
      <x:c r="BQ55"/>
      <x:c r="BR55"/>
      <x:c r="BS55"/>
      <x:c r="BT55"/>
      <x:c r="BU55"/>
      <x:c r="BV55"/>
      <x:c r="BW55"/>
      <x:c r="BX55"/>
      <x:c r="BY55"/>
      <x:c r="BZ55"/>
      <x:c r="CA55"/>
      <x:c r="CB55"/>
      <x:c r="CC55"/>
    </x:row>
    <x:row r="56" ht="170" customHeight="1">
      <x:c r="A56" s="9" t="str">
        <x:v>proposal.natural.charcoal</x:v>
      </x:c>
      <x:c r="B56" s="9" t="str">
        <x:v>Charcoal</x:v>
      </x:c>
      <x:c r="C56" s="4" t="str">
        <x:v>T1</x:v>
      </x:c>
      <x:c r="D56" s="9" t="str">
        <x:v>Manufactured stock</x:v>
      </x:c>
      <x:c r="E56" s="9" t="str">
        <x:v>Processed fuel</x:v>
      </x:c>
      <x:c r="F56" s="9" t="str">
        <x:v>User direction; not implemented</x:v>
      </x:c>
      <x:c r="G56" s="9" t="inlineStr">
        <x:is>
          <x:t xml:space="preserve">Solid carbon fuel and possible metallurgical feedstock. It is proposed as a material energy input for controlled hot work. The receiving process must establish ignition, handling and a suitable working atmosphere.</x:t>
        </x:is>
      </x:c>
      <x:c r="H56" s="9" t="str">
        <x:v>None</x:v>
      </x:c>
      <x:c r="I56" s="9" t="str">
        <x:v>Legger / local storage proposed</x:v>
      </x:c>
      <x:c r="J56" s="13"/>
      <x:c r="K56" s="15"/>
      <x:c r="L56" s="9" t="str">
        <x:v>Carbonize biological feedstock or recover old fuel; source undecided</x:v>
      </x:c>
      <x:c r="M56" s="9" t="str">
        <x:v>Fuel and reduction research</x:v>
      </x:c>
      <x:c r="N56" s="9" t="str">
        <x:v>Not implemented</x:v>
      </x:c>
      <x:c r="O56" s="9" t="str">
        <x:v>Requested item; not a naturally mined metal. No wood/forest source introduced.</x:v>
      </x:c>
      <x:c r="P56" s="17"/>
      <x:c r="Q56" s="17"/>
      <x:c r="R56" s="17"/>
      <x:c r="S56" s="17"/>
      <x:c r="T56" s="17"/>
      <x:c r="U56" s="9" t="str">
        <x:v>Biological feedstock, scarcity and survival-versus-fuel tradeoff</x:v>
      </x:c>
      <x:c r="V56" s="11" t="str">
        <x:v>metal refining</x:v>
      </x:c>
      <x:c r="W56" s="9" t="str">
        <x:v>User brainstorming, October 14, 2026; game uses proposed. Reference: https://www.nps.gov/deva/learn/historyculture/charcoalkilns.htm</x:v>
      </x:c>
      <x:c r="X56" s="4" t="str">
        <x:v>Processed material</x:v>
      </x:c>
      <x:c r="Y56" s="4" t="str">
        <x:v>Processed intermediate</x:v>
      </x:c>
      <x:c r="Z56" s="4" t="str">
        <x:v>Unresolved</x:v>
      </x:c>
      <x:c r="AA56" s="4" t="str">
        <x:v>Fuel</x:v>
      </x:c>
      <x:c r="AB56" s="4" t="str">
        <x:v>Carbonaceous material</x:v>
      </x:c>
      <x:c r="AC56" s="4" t="str">
        <x:v>Particles</x:v>
      </x:c>
      <x:c r="AD56" s="4" t="str">
        <x:v>Author direction</x:v>
      </x:c>
      <x:c r="AE56" s="4" t="str">
        <x:f>LOWER(A56&amp;"; "&amp;B56&amp;"; "&amp;D56&amp;"; "&amp;E56&amp;"; "&amp;X56&amp;"; "&amp;Y56&amp;"; "&amp;Z56&amp;"; "&amp;AA56&amp;"; "&amp;AB56&amp;"; "&amp;AC56&amp;"; "&amp;AD56&amp;"; "&amp;V56&amp;"; "&amp;C56&amp;"; "&amp;AH56&amp;"; "&amp;AI56)</x:f>
        <x:v>proposal.natural.charcoal; charcoal; manufactured stock; processed fuel; processed material; processed intermediate; unresolved; fuel; carbonaceous material; particles; author direction; metal refining; t1; not applicable; material</x:v>
      </x:c>
      <x:c r="AF56" s="4" t="str">
        <x:v>From current item description. Proposed uses retain their existing approval status. Lore category review: Resources -&gt; Manufactured stock. Classification only; original item status and tier retained.</x:v>
      </x:c>
      <x:c r="AG56" s="4" t="str">
        <x:v>October 15 proposed tier review: 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AH56" s="4" t="str">
        <x:v>Not applicable</x:v>
      </x:c>
      <x:c r="AI56" s="4" t="str">
        <x:v>Material</x:v>
      </x:c>
      <x:c r="AJ56" s="4" t="n">
        <x:f>COUNTIFS('Material routes'!$D$6:$D$2205,A56,'Material routes'!$C$6:$C$2205,"Output")</x:f>
        <x:v>2</x:v>
      </x:c>
      <x:c r="AK56" s="4" t="n">
        <x:f>SUM(COUNTIFS('Material routes'!$D$6:$D$2205,A56,'Material routes'!$C$6:$C$2205,"Ingredient candidate"),COUNTIFS('Material routes'!$D$6:$D$2205,A56,'Material routes'!$C$6:$C$2205,"Consumed input"),COUNTIFS('Material routes'!$D$6:$D$2205,A56,'Material routes'!$C$6:$C$2205,"Contained input"),COUNTIFS('Material routes'!$D$6:$D$2205,A56,'Material routes'!$C$6:$C$2205,"Transform input"))</x:f>
        <x:v>0</x:v>
      </x:c>
      <x:c r="AL56" s="4" t="n">
        <x:f>COUNTIFS('Material routes'!$D$6:$D$2205,A56,'Material routes'!$C$6:$C$2205,"Tool candidate")</x:f>
        <x:v>0</x:v>
      </x:c>
      <x:c r="AM56" s="4" t="str">
        <x:f>IF(AJ56&gt;0,"Route listed; review status/completeness",IF(C56="T0","Raw entry feed; no production route","No production route listed"))</x:f>
        <x:v>Route listed; review status/completeness</x:v>
      </x:c>
      <x:c r="AN56" s="14" t="n">
        <x:f>IF(C56="T0",0,IF(C56="T1",1,IF(C56="T2",2,IF(C56="T3",3,IF(C56="T4",4,IF(C56="Unassigned",98,99))))))</x:f>
        <x:v>1</x:v>
      </x:c>
      <x:c r="AZ56"/>
      <x:c r="BA56"/>
      <x:c r="BB56"/>
      <x:c r="BC56"/>
      <x:c r="BD56"/>
      <x:c r="BE56"/>
      <x:c r="BF56"/>
      <x:c r="BG56"/>
      <x:c r="BH56"/>
      <x:c r="BI56"/>
      <x:c r="BJ56"/>
      <x:c r="BK56"/>
      <x:c r="BL56"/>
      <x:c r="BM56"/>
      <x:c r="BN56"/>
      <x:c r="BO56"/>
      <x:c r="BP56"/>
      <x:c r="BQ56"/>
      <x:c r="BR56"/>
      <x:c r="BS56"/>
      <x:c r="BT56"/>
      <x:c r="BU56"/>
      <x:c r="BV56"/>
      <x:c r="BW56"/>
      <x:c r="BX56"/>
      <x:c r="BY56"/>
      <x:c r="BZ56"/>
      <x:c r="CA56"/>
      <x:c r="CB56"/>
      <x:c r="CC56"/>
    </x:row>
    <x:row r="57" ht="75" customHeight="1">
      <x:c r="A57" s="9" t="str">
        <x:v>proposal.natural.copper_stone</x:v>
      </x:c>
      <x:c r="B57" s="9" t="str">
        <x:v>Unprocessed copper-rich stone</x:v>
      </x:c>
      <x:c r="C57" s="4" t="str">
        <x:v>T0</x:v>
      </x:c>
      <x:c r="D57" s="9" t="str">
        <x:v>Mineral resources</x:v>
      </x:c>
      <x:c r="E57" s="9" t="str">
        <x:v>Raw mineral</x:v>
      </x:c>
      <x:c r="F57" s="9" t="str">
        <x:v>User direction; not implemented</x:v>
      </x:c>
      <x:c r="G57" s="9" t="inlineStr">
        <x:is>
          <x:t xml:space="preserve">Bulk copper-bearing rock before sorting. It is intended to enter a controlled metal-preparation or refining process; the feed material is distinct from the usable metal eventually produced.</x:t>
        </x:is>
      </x:c>
      <x:c r="H57" s="9" t="str">
        <x:v>None</x:v>
      </x:c>
      <x:c r="I57" s="9" t="str">
        <x:v>Legger / local storage proposed</x:v>
      </x:c>
      <x:c r="J57" s="13"/>
      <x:c r="K57" s="15"/>
      <x:c r="L57" s="9" t="str">
        <x:v>Authored copper-bearing outcrop proposal</x:v>
      </x:c>
      <x:c r="M57" s="9" t="str">
        <x:v>Sort into richer copper ore</x:v>
      </x:c>
      <x:c r="N57" s="9" t="str">
        <x:v>Not implemented</x:v>
      </x:c>
      <x:c r="O57" s="9" t="str">
        <x:v>Requested copper-rich feed represented separately from sorted ore provisionally.</x:v>
      </x:c>
      <x:c r="P57" s="17"/>
      <x:c r="Q57" s="17"/>
      <x:c r="R57" s="17"/>
      <x:c r="S57" s="17"/>
      <x:c r="T57" s="17"/>
      <x:c r="U57" s="9" t="str">
        <x:v>Merge with copper ore if the extra stage adds no useful choice</x:v>
      </x:c>
      <x:c r="V57" s="11"/>
      <x:c r="W57" s="9" t="str">
        <x:v>User brainstorming, October 14, 2026; game uses proposed. Reference: https://www.nps.gov/deva/learn/nature/mining-in-death-valley.htm</x:v>
      </x:c>
      <x:c r="X57" s="4" t="str">
        <x:v>Raw material</x:v>
      </x:c>
      <x:c r="Y57" s="4" t="str">
        <x:v>Raw</x:v>
      </x:c>
      <x:c r="Z57" s="4" t="str">
        <x:v>Geological</x:v>
      </x:c>
      <x:c r="AA57" s="4" t="str">
        <x:v>Metal refining</x:v>
      </x:c>
      <x:c r="AB57" s="4" t="str">
        <x:v>Mineral</x:v>
      </x:c>
      <x:c r="AC57" s="4" t="str">
        <x:v>Rock</x:v>
      </x:c>
      <x:c r="AD57" s="4" t="str">
        <x:v>Author direction</x:v>
      </x:c>
      <x:c r="AE57" s="4" t="str">
        <x:f>LOWER(A57&amp;"; "&amp;B57&amp;"; "&amp;D57&amp;"; "&amp;E57&amp;"; "&amp;X57&amp;"; "&amp;Y57&amp;"; "&amp;Z57&amp;"; "&amp;AA57&amp;"; "&amp;AB57&amp;"; "&amp;AC57&amp;"; "&amp;AD57&amp;"; "&amp;V57&amp;"; "&amp;C57&amp;"; "&amp;AH57&amp;"; "&amp;AI57)</x:f>
        <x:v>proposal.natural.copper_stone; unprocessed copper-rich stone; mineral resources; raw mineral; raw material; raw; geological; metal refining; mineral; rock; author direction; ; t0; not applicable; material</x:v>
      </x:c>
      <x:c r="AF57" s="4" t="str">
        <x:v>From current item description. Proposed uses retain their existing approval status. Lore category review: Resources -&gt; Mineral resources. Classification only; original item status and tier retained.</x:v>
      </x:c>
      <x:c r="AG57" s="4" t="str">
        <x:v>Raw gathered/recovered craft input under the author T0 framework. This does not imply a naturally occurring pure metal.</x:v>
      </x:c>
      <x:c r="AH57" s="4" t="str">
        <x:v>Not applicable</x:v>
      </x:c>
      <x:c r="AI57" s="4" t="str">
        <x:v>Material</x:v>
      </x:c>
      <x:c r="AJ57" s="4" t="n">
        <x:f>COUNTIFS('Material routes'!$D$6:$D$2205,A57,'Material routes'!$C$6:$C$2205,"Output")</x:f>
        <x:v>0</x:v>
      </x:c>
      <x:c r="AK57" s="4" t="n">
        <x:f>SUM(COUNTIFS('Material routes'!$D$6:$D$2205,A57,'Material routes'!$C$6:$C$2205,"Ingredient candidate"),COUNTIFS('Material routes'!$D$6:$D$2205,A57,'Material routes'!$C$6:$C$2205,"Consumed input"),COUNTIFS('Material routes'!$D$6:$D$2205,A57,'Material routes'!$C$6:$C$2205,"Contained input"),COUNTIFS('Material routes'!$D$6:$D$2205,A57,'Material routes'!$C$6:$C$2205,"Transform input"))</x:f>
        <x:v>2</x:v>
      </x:c>
      <x:c r="AL57" s="4" t="n">
        <x:f>COUNTIFS('Material routes'!$D$6:$D$2205,A57,'Material routes'!$C$6:$C$2205,"Tool candidate")</x:f>
        <x:v>0</x:v>
      </x:c>
      <x:c r="AM57" s="4" t="str">
        <x:f>IF(AJ57&gt;0,"Route listed; review status/completeness",IF(C57="T0","Raw entry feed; no production route","No production route listed"))</x:f>
        <x:v>Raw entry feed; no production route</x:v>
      </x:c>
      <x:c r="AN57" s="14" t="n">
        <x:f>IF(C57="T0",0,IF(C57="T1",1,IF(C57="T2",2,IF(C57="T3",3,IF(C57="T4",4,IF(C57="Unassigned",98,99))))))</x:f>
        <x:v>0</x:v>
      </x:c>
      <x:c r="AZ57"/>
      <x:c r="BA57"/>
      <x:c r="BB57"/>
      <x:c r="BC57"/>
      <x:c r="BD57"/>
      <x:c r="BE57"/>
      <x:c r="BF57"/>
      <x:c r="BG57"/>
      <x:c r="BH57"/>
      <x:c r="BI57"/>
      <x:c r="BJ57"/>
      <x:c r="BK57"/>
      <x:c r="BL57"/>
      <x:c r="BM57"/>
      <x:c r="BN57"/>
      <x:c r="BO57"/>
      <x:c r="BP57"/>
      <x:c r="BQ57"/>
      <x:c r="BR57"/>
      <x:c r="BS57"/>
      <x:c r="BT57"/>
      <x:c r="BU57"/>
      <x:c r="BV57"/>
      <x:c r="BW57"/>
      <x:c r="BX57"/>
      <x:c r="BY57"/>
      <x:c r="BZ57"/>
      <x:c r="CA57"/>
      <x:c r="CB57"/>
      <x:c r="CC57"/>
    </x:row>
    <x:row r="58" ht="170" customHeight="1">
      <x:c r="A58" s="9" t="str">
        <x:v>proposal.natural.copper_ore</x:v>
      </x:c>
      <x:c r="B58" s="9" t="str">
        <x:v>Copper ore</x:v>
      </x:c>
      <x:c r="C58" s="4" t="str">
        <x:v>T1</x:v>
      </x:c>
      <x:c r="D58" s="9" t="str">
        <x:v>Mineral resources</x:v>
      </x:c>
      <x:c r="E58" s="9" t="str">
        <x:v>Sorted ore</x:v>
      </x:c>
      <x:c r="F58" s="9" t="str">
        <x:v>User direction; not implemented</x:v>
      </x:c>
      <x:c r="G58" s="9" t="inlineStr">
        <x:is>
          <x:t xml:space="preserve">Copper-bearing mineral feed for refining. It is intended to enter a controlled metal-preparation or refining process; the feed material is distinct from the usable metal eventually produced.</x:t>
        </x:is>
      </x:c>
      <x:c r="H58" s="9" t="str">
        <x:v>None</x:v>
      </x:c>
      <x:c r="I58" s="9" t="str">
        <x:v>Legger / local storage proposed</x:v>
      </x:c>
      <x:c r="J58" s="13"/>
      <x:c r="K58" s="15"/>
      <x:c r="L58" s="9" t="str">
        <x:v>Sort copper-rich stone; exact mineral species open</x:v>
      </x:c>
      <x:c r="M58" s="9" t="str">
        <x:v>Refine into unworked copper</x:v>
      </x:c>
      <x:c r="N58" s="9" t="str">
        <x:v>Not implemented</x:v>
      </x:c>
      <x:c r="O58" s="9" t="str">
        <x:v>Ore is still mineral-bearing material, not metallic copper.</x:v>
      </x:c>
      <x:c r="P58" s="17"/>
      <x:c r="Q58" s="17"/>
      <x:c r="R58" s="17"/>
      <x:c r="S58" s="17"/>
      <x:c r="T58" s="17"/>
      <x:c r="U58" s="9" t="str">
        <x:v>Ore species, grade, impurities and refining method</x:v>
      </x:c>
      <x:c r="V58" s="11"/>
      <x:c r="W58" s="9" t="str">
        <x:v>User brainstorming, October 14, 2026; game uses proposed. Reference: https://www.nps.gov/deva/learn/nature/mining-in-death-valley.htm</x:v>
      </x:c>
      <x:c r="X58" s="4" t="str">
        <x:v>Raw material</x:v>
      </x:c>
      <x:c r="Y58" s="4" t="str">
        <x:v>Processed intermediate</x:v>
      </x:c>
      <x:c r="Z58" s="4" t="str">
        <x:v>Geological</x:v>
      </x:c>
      <x:c r="AA58" s="4" t="str">
        <x:v>Metal refining</x:v>
      </x:c>
      <x:c r="AB58" s="4" t="str">
        <x:v>Mineral</x:v>
      </x:c>
      <x:c r="AC58" s="4" t="str">
        <x:v>Rock</x:v>
      </x:c>
      <x:c r="AD58" s="4" t="str">
        <x:v>Author direction</x:v>
      </x:c>
      <x:c r="AE58" s="4" t="str">
        <x:f>LOWER(A58&amp;"; "&amp;B58&amp;"; "&amp;D58&amp;"; "&amp;E58&amp;"; "&amp;X58&amp;"; "&amp;Y58&amp;"; "&amp;Z58&amp;"; "&amp;AA58&amp;"; "&amp;AB58&amp;"; "&amp;AC58&amp;"; "&amp;AD58&amp;"; "&amp;V58&amp;"; "&amp;C58&amp;"; "&amp;AH58&amp;"; "&amp;AI58)</x:f>
        <x:v>proposal.natural.copper_ore; copper ore; mineral resources; sorted ore; raw material; processed intermediate; geological; metal refining; mineral; rock; author direction; ; t1; not applicable; material</x:v>
      </x:c>
      <x:c r="AF58" s="4" t="str">
        <x:v>From current item description. Proposed uses retain their existing approval status. Lore category review: Resources -&gt; Mineral resources. Classification only; original item status and tier retained.</x:v>
      </x:c>
      <x:c r="AG58" s="4" t="str">
        <x:v>October 15 proposed tier review: 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AH58" s="4" t="str">
        <x:v>Not applicable</x:v>
      </x:c>
      <x:c r="AI58" s="4" t="str">
        <x:v>Material</x:v>
      </x:c>
      <x:c r="AJ58" s="4" t="n">
        <x:f>COUNTIFS('Material routes'!$D$6:$D$2205,A58,'Material routes'!$C$6:$C$2205,"Output")</x:f>
        <x:v>2</x:v>
      </x:c>
      <x:c r="AK58" s="4" t="n">
        <x:f>SUM(COUNTIFS('Material routes'!$D$6:$D$2205,A58,'Material routes'!$C$6:$C$2205,"Ingredient candidate"),COUNTIFS('Material routes'!$D$6:$D$2205,A58,'Material routes'!$C$6:$C$2205,"Consumed input"),COUNTIFS('Material routes'!$D$6:$D$2205,A58,'Material routes'!$C$6:$C$2205,"Contained input"),COUNTIFS('Material routes'!$D$6:$D$2205,A58,'Material routes'!$C$6:$C$2205,"Transform input"))</x:f>
        <x:v>1</x:v>
      </x:c>
      <x:c r="AL58" s="4" t="n">
        <x:f>COUNTIFS('Material routes'!$D$6:$D$2205,A58,'Material routes'!$C$6:$C$2205,"Tool candidate")</x:f>
        <x:v>0</x:v>
      </x:c>
      <x:c r="AM58" s="4" t="str">
        <x:f>IF(AJ58&gt;0,"Route listed; review status/completeness",IF(C58="T0","Raw entry feed; no production route","No production route listed"))</x:f>
        <x:v>Route listed; review status/completeness</x:v>
      </x:c>
      <x:c r="AN58" s="14" t="n">
        <x:f>IF(C58="T0",0,IF(C58="T1",1,IF(C58="T2",2,IF(C58="T3",3,IF(C58="T4",4,IF(C58="Unassigned",98,99))))))</x:f>
        <x:v>1</x:v>
      </x:c>
      <x:c r="AZ58"/>
      <x:c r="BA58"/>
      <x:c r="BB58"/>
      <x:c r="BC58"/>
      <x:c r="BD58"/>
      <x:c r="BE58"/>
      <x:c r="BF58"/>
      <x:c r="BG58"/>
      <x:c r="BH58"/>
      <x:c r="BI58"/>
      <x:c r="BJ58"/>
      <x:c r="BK58"/>
      <x:c r="BL58"/>
      <x:c r="BM58"/>
      <x:c r="BN58"/>
      <x:c r="BO58"/>
      <x:c r="BP58"/>
      <x:c r="BQ58"/>
      <x:c r="BR58"/>
      <x:c r="BS58"/>
      <x:c r="BT58"/>
      <x:c r="BU58"/>
      <x:c r="BV58"/>
      <x:c r="BW58"/>
      <x:c r="BX58"/>
      <x:c r="BY58"/>
      <x:c r="BZ58"/>
      <x:c r="CA58"/>
      <x:c r="CB58"/>
      <x:c r="CC58"/>
    </x:row>
    <x:row r="59" ht="75" customHeight="1">
      <x:c r="A59" s="9" t="str">
        <x:v>proposal.natural.raw_copper</x:v>
      </x:c>
      <x:c r="B59" s="9" t="str">
        <x:v>Raw copper lump</x:v>
      </x:c>
      <x:c r="C59" s="4" t="str">
        <x:v>T0</x:v>
      </x:c>
      <x:c r="D59" s="9" t="str">
        <x:v>Mineral resources</x:v>
      </x:c>
      <x:c r="E59" s="9" t="str">
        <x:v>Unworked metal</x:v>
      </x:c>
      <x:c r="F59" s="9" t="str">
        <x:v>User direction; not implemented</x:v>
      </x:c>
      <x:c r="G59" s="9" t="inlineStr">
        <x:is>
          <x:t xml:space="preserve">Unworked copper metal for conductors and small fittings. It is intended to form part of a continuous conducting path, with section, joints and protection matched to the receiving circuit.</x:t>
        </x:is>
      </x:c>
      <x:c r="H59" s="9" t="str">
        <x:v>None</x:v>
      </x:c>
      <x:c r="I59" s="9" t="str">
        <x:v>Legger / local storage proposed</x:v>
      </x:c>
      <x:c r="J59" s="13"/>
      <x:c r="K59" s="15"/>
      <x:c r="L59" s="9" t="str">
        <x:v>Refine ore or recover unworked metal from salvage</x:v>
      </x:c>
      <x:c r="M59" s="9" t="str">
        <x:v>Potential wire, contacts and grounding-kit parts</x:v>
      </x:c>
      <x:c r="N59" s="9" t="str">
        <x:v>Not implemented</x:v>
      </x:c>
      <x:c r="O59" s="9" t="str">
        <x:v>Raw means unworked metal here; native copper occurrence is not established by the cited regional mining list.</x:v>
      </x:c>
      <x:c r="P59" s="17"/>
      <x:c r="Q59" s="17"/>
      <x:c r="R59" s="17"/>
      <x:c r="S59" s="17"/>
      <x:c r="T59" s="17"/>
      <x:c r="U59" s="9" t="str">
        <x:v>Decide whether native copper is also available; define manufacturing steps</x:v>
      </x:c>
      <x:c r="V59" s="11" t="str">
        <x:v>fabrication</x:v>
      </x:c>
      <x:c r="W59" s="9" t="str">
        <x:v>User brainstorming, October 14, 2026; game uses proposed. Reference: https://www.nps.gov/deva/learn/nature/mining-in-death-valley.htm</x:v>
      </x:c>
      <x:c r="X59" s="4" t="str">
        <x:v>Processed material</x:v>
      </x:c>
      <x:c r="Y59" s="4" t="str">
        <x:v>Unworked metal</x:v>
      </x:c>
      <x:c r="Z59" s="4" t="str">
        <x:v>Geological</x:v>
      </x:c>
      <x:c r="AA59" s="4" t="str">
        <x:v>Electrical conduction</x:v>
      </x:c>
      <x:c r="AB59" s="4" t="str">
        <x:v>Metal</x:v>
      </x:c>
      <x:c r="AC59" s="4" t="str">
        <x:v>Solid piece</x:v>
      </x:c>
      <x:c r="AD59" s="4" t="str">
        <x:v>Author direction</x:v>
      </x:c>
      <x:c r="AE59" s="4" t="str">
        <x:f>LOWER(A59&amp;"; "&amp;B59&amp;"; "&amp;D59&amp;"; "&amp;E59&amp;"; "&amp;X59&amp;"; "&amp;Y59&amp;"; "&amp;Z59&amp;"; "&amp;AA59&amp;"; "&amp;AB59&amp;"; "&amp;AC59&amp;"; "&amp;AD59&amp;"; "&amp;V59&amp;"; "&amp;C59&amp;"; "&amp;AH59&amp;"; "&amp;AI59)</x:f>
        <x:v>proposal.natural.raw_copper; raw copper lump; mineral resources; unworked metal; processed material; unworked metal; geological; electrical conduction; metal; solid piece; author direction; fabrication; t0; not applicable; material</x:v>
      </x:c>
      <x:c r="AF59" s="4" t="str">
        <x:v>From current item description. Proposed uses retain their existing approval status. Lore category review: Resources -&gt; Mineral resources. Classification only; original item status and tier retained.</x:v>
      </x:c>
      <x:c r="AG59" s="4" t="str">
        <x:v>Raw gathered/recovered craft input under the author T0 framework. This does not imply a naturally occurring pure metal.</x:v>
      </x:c>
      <x:c r="AH59" s="4" t="str">
        <x:v>Not applicable</x:v>
      </x:c>
      <x:c r="AI59" s="4" t="str">
        <x:v>Material</x:v>
      </x:c>
      <x:c r="AJ59" s="4" t="n">
        <x:f>COUNTIFS('Material routes'!$D$6:$D$2205,A59,'Material routes'!$C$6:$C$2205,"Output")</x:f>
        <x:v>1</x:v>
      </x:c>
      <x:c r="AK59" s="4" t="n">
        <x:f>SUM(COUNTIFS('Material routes'!$D$6:$D$2205,A59,'Material routes'!$C$6:$C$2205,"Ingredient candidate"),COUNTIFS('Material routes'!$D$6:$D$2205,A59,'Material routes'!$C$6:$C$2205,"Consumed input"),COUNTIFS('Material routes'!$D$6:$D$2205,A59,'Material routes'!$C$6:$C$2205,"Contained input"),COUNTIFS('Material routes'!$D$6:$D$2205,A59,'Material routes'!$C$6:$C$2205,"Transform input"))</x:f>
        <x:v>2</x:v>
      </x:c>
      <x:c r="AL59" s="4" t="n">
        <x:f>COUNTIFS('Material routes'!$D$6:$D$2205,A59,'Material routes'!$C$6:$C$2205,"Tool candidate")</x:f>
        <x:v>0</x:v>
      </x:c>
      <x:c r="AM59" s="4" t="str">
        <x:f>IF(AJ59&gt;0,"Route listed; review status/completeness",IF(C59="T0","Raw entry feed; no production route","No production route listed"))</x:f>
        <x:v>Route listed; review status/completeness</x:v>
      </x:c>
      <x:c r="AN59" s="14" t="n">
        <x:f>IF(C59="T0",0,IF(C59="T1",1,IF(C59="T2",2,IF(C59="T3",3,IF(C59="T4",4,IF(C59="Unassigned",98,99))))))</x:f>
        <x:v>0</x:v>
      </x:c>
      <x:c r="AZ59"/>
      <x:c r="BA59"/>
      <x:c r="BB59"/>
      <x:c r="BC59"/>
      <x:c r="BD59"/>
      <x:c r="BE59"/>
      <x:c r="BF59"/>
      <x:c r="BG59"/>
      <x:c r="BH59"/>
      <x:c r="BI59"/>
      <x:c r="BJ59"/>
      <x:c r="BK59"/>
      <x:c r="BL59"/>
      <x:c r="BM59"/>
      <x:c r="BN59"/>
      <x:c r="BO59"/>
      <x:c r="BP59"/>
      <x:c r="BQ59"/>
      <x:c r="BR59"/>
      <x:c r="BS59"/>
      <x:c r="BT59"/>
      <x:c r="BU59"/>
      <x:c r="BV59"/>
      <x:c r="BW59"/>
      <x:c r="BX59"/>
      <x:c r="BY59"/>
      <x:c r="BZ59"/>
      <x:c r="CA59"/>
      <x:c r="CB59"/>
      <x:c r="CC59"/>
    </x:row>
    <x:row r="60" ht="75" customHeight="1">
      <x:c r="A60" s="9" t="str">
        <x:v>proposal.natural.tungsten_ore</x:v>
      </x:c>
      <x:c r="B60" s="9" t="str">
        <x:v>Tungsten-bearing ore</x:v>
      </x:c>
      <x:c r="C60" s="4" t="str">
        <x:v>T0</x:v>
      </x:c>
      <x:c r="D60" s="9" t="str">
        <x:v>Mineral resources</x:v>
      </x:c>
      <x:c r="E60" s="9" t="str">
        <x:v>Raw mineral</x:v>
      </x:c>
      <x:c r="F60" s="9" t="str">
        <x:v>User direction; not implemented</x:v>
      </x:c>
      <x:c r="G60" s="9" t="inlineStr">
        <x:is>
          <x:t xml:space="preserve">Dense mineral feed for advanced wear-resistant material research. It is intended to enter a controlled metal-preparation or refining process; the feed material is distinct from the usable metal eventually produced.</x:t>
        </x:is>
      </x:c>
      <x:c r="H60" s="9" t="str">
        <x:v>None</x:v>
      </x:c>
      <x:c r="I60" s="9" t="str">
        <x:v>Legger / local storage proposed</x:v>
      </x:c>
      <x:c r="J60" s="13"/>
      <x:c r="K60" s="15"/>
      <x:c r="L60" s="9" t="str">
        <x:v>Authored mineral vein proposal</x:v>
      </x:c>
      <x:c r="M60" s="9" t="str">
        <x:v>Advanced tool/alloy ingredient research</x:v>
      </x:c>
      <x:c r="N60" s="9" t="str">
        <x:v>Not implemented</x:v>
      </x:c>
      <x:c r="O60" s="9" t="str">
        <x:v>Tungsten ore is separate from copper ore; mineral choice unapproved. Scheelite/wolframite are general reference candidates.</x:v>
      </x:c>
      <x:c r="P60" s="17"/>
      <x:c r="Q60" s="17"/>
      <x:c r="R60" s="17"/>
      <x:c r="S60" s="17"/>
      <x:c r="T60" s="17"/>
      <x:c r="U60" s="9" t="str">
        <x:v>Deposit mineral, processing tier and worthwhile uses</x:v>
      </x:c>
      <x:c r="V60" s="11" t="str">
        <x:v>tool fabrication</x:v>
      </x:c>
      <x:c r="W60" s="9" t="str">
        <x:v>User brainstorming, October 14, 2026; game uses proposed. Reference: https://www.nps.gov/deva/learn/nature/mining-in-death-valley.htm; https://www.usgs.gov/data/tungsten-deposits-united-states</x:v>
      </x:c>
      <x:c r="X60" s="4" t="str">
        <x:v>Raw material</x:v>
      </x:c>
      <x:c r="Y60" s="4" t="str">
        <x:v>Raw</x:v>
      </x:c>
      <x:c r="Z60" s="4" t="str">
        <x:v>Geological</x:v>
      </x:c>
      <x:c r="AA60" s="4" t="str">
        <x:v>Metal refining</x:v>
      </x:c>
      <x:c r="AB60" s="4" t="str">
        <x:v>Mineral</x:v>
      </x:c>
      <x:c r="AC60" s="4" t="str">
        <x:v>Rock</x:v>
      </x:c>
      <x:c r="AD60" s="4" t="str">
        <x:v>Author direction</x:v>
      </x:c>
      <x:c r="AE60" s="4" t="str">
        <x:f>LOWER(A60&amp;"; "&amp;B60&amp;"; "&amp;D60&amp;"; "&amp;E60&amp;"; "&amp;X60&amp;"; "&amp;Y60&amp;"; "&amp;Z60&amp;"; "&amp;AA60&amp;"; "&amp;AB60&amp;"; "&amp;AC60&amp;"; "&amp;AD60&amp;"; "&amp;V60&amp;"; "&amp;C60&amp;"; "&amp;AH60&amp;"; "&amp;AI60)</x:f>
        <x:v>proposal.natural.tungsten_ore; tungsten-bearing ore; mineral resources; raw mineral; raw material; raw; geological; metal refining; mineral; rock; author direction; tool fabrication; t0; not applicable; material</x:v>
      </x:c>
      <x:c r="AF60" s="4" t="str">
        <x:v>From current item description. Proposed uses retain their existing approval status. Lore category review: Resources -&gt; Mineral resources. Classification only; original item status and tier retained.</x:v>
      </x:c>
      <x:c r="AG60" s="4" t="str">
        <x:v>Raw gathered/recovered craft input under the author T0 framework. This does not imply a naturally occurring pure metal.</x:v>
      </x:c>
      <x:c r="AH60" s="4" t="str">
        <x:v>Not applicable</x:v>
      </x:c>
      <x:c r="AI60" s="4" t="str">
        <x:v>Material</x:v>
      </x:c>
      <x:c r="AJ60" s="4" t="n">
        <x:f>COUNTIFS('Material routes'!$D$6:$D$2205,A60,'Material routes'!$C$6:$C$2205,"Output")</x:f>
        <x:v>0</x:v>
      </x:c>
      <x:c r="AK60" s="4" t="n">
        <x:f>SUM(COUNTIFS('Material routes'!$D$6:$D$2205,A60,'Material routes'!$C$6:$C$2205,"Ingredient candidate"),COUNTIFS('Material routes'!$D$6:$D$2205,A60,'Material routes'!$C$6:$C$2205,"Consumed input"),COUNTIFS('Material routes'!$D$6:$D$2205,A60,'Material routes'!$C$6:$C$2205,"Contained input"),COUNTIFS('Material routes'!$D$6:$D$2205,A60,'Material routes'!$C$6:$C$2205,"Transform input"))</x:f>
        <x:v>0</x:v>
      </x:c>
      <x:c r="AL60" s="4" t="n">
        <x:f>COUNTIFS('Material routes'!$D$6:$D$2205,A60,'Material routes'!$C$6:$C$2205,"Tool candidate")</x:f>
        <x:v>0</x:v>
      </x:c>
      <x:c r="AM60" s="4" t="str">
        <x:f>IF(AJ60&gt;0,"Route listed; review status/completeness",IF(C60="T0","Raw entry feed; no production route","No production route listed"))</x:f>
        <x:v>Raw entry feed; no production route</x:v>
      </x:c>
      <x:c r="AN60" s="14" t="n">
        <x:f>IF(C60="T0",0,IF(C60="T1",1,IF(C60="T2",2,IF(C60="T3",3,IF(C60="T4",4,IF(C60="Unassigned",98,99))))))</x:f>
        <x:v>0</x:v>
      </x:c>
      <x:c r="AZ60"/>
      <x:c r="BA60"/>
      <x:c r="BB60"/>
      <x:c r="BC60"/>
      <x:c r="BD60"/>
      <x:c r="BE60"/>
      <x:c r="BF60"/>
      <x:c r="BG60"/>
      <x:c r="BH60"/>
      <x:c r="BI60"/>
      <x:c r="BJ60"/>
      <x:c r="BK60"/>
      <x:c r="BL60"/>
      <x:c r="BM60"/>
      <x:c r="BN60"/>
      <x:c r="BO60"/>
      <x:c r="BP60"/>
      <x:c r="BQ60"/>
      <x:c r="BR60"/>
      <x:c r="BS60"/>
      <x:c r="BT60"/>
      <x:c r="BU60"/>
      <x:c r="BV60"/>
      <x:c r="BW60"/>
      <x:c r="BX60"/>
      <x:c r="BY60"/>
      <x:c r="BZ60"/>
      <x:c r="CA60"/>
      <x:c r="CB60"/>
      <x:c r="CC60"/>
    </x:row>
    <x:row r="61" ht="75" customHeight="1">
      <x:c r="A61" s="9" t="str">
        <x:v>proposal.natural.magnesium_rock</x:v>
      </x:c>
      <x:c r="B61" s="9" t="str">
        <x:v>Magnesium-bearing rock</x:v>
      </x:c>
      <x:c r="C61" s="4" t="str">
        <x:v>T0</x:v>
      </x:c>
      <x:c r="D61" s="9" t="str">
        <x:v>Mineral resources</x:v>
      </x:c>
      <x:c r="E61" s="9" t="str">
        <x:v>Raw mineral</x:v>
      </x:c>
      <x:c r="F61" s="9" t="str">
        <x:v>User direction; not implemented</x:v>
      </x:c>
      <x:c r="G61" s="9" t="inlineStr">
        <x:is>
          <x:t xml:space="preserve">Mineral feed containing magnesium compounds. It is intended to enter a controlled metal-preparation or refining process; the feed material is distinct from the usable metal eventually produced.</x:t>
        </x:is>
      </x:c>
      <x:c r="H61" s="9" t="str">
        <x:v>None</x:v>
      </x:c>
      <x:c r="I61" s="9" t="str">
        <x:v>Legger / local storage proposed</x:v>
      </x:c>
      <x:c r="J61" s="13"/>
      <x:c r="K61" s="15"/>
      <x:c r="L61" s="9" t="str">
        <x:v>Magnesium-bearing mineral/salt deposit proposal</x:v>
      </x:c>
      <x:c r="M61" s="9" t="str">
        <x:v>Refining research; possible refractory route</x:v>
      </x:c>
      <x:c r="N61" s="9" t="str">
        <x:v>Not implemented</x:v>
      </x:c>
      <x:c r="O61" s="9" t="str">
        <x:v>Death Valley Mg-bearing evaporites are documented; they do not establish loose native magnesium metal.</x:v>
      </x:c>
      <x:c r="P61" s="17"/>
      <x:c r="Q61" s="17"/>
      <x:c r="R61" s="17"/>
      <x:c r="S61" s="17"/>
      <x:c r="T61" s="17"/>
      <x:c r="U61" s="9" t="str">
        <x:v>Choose mineral, dry-world adaptation and refining route</x:v>
      </x:c>
      <x:c r="V61" s="11"/>
      <x:c r="W61" s="9" t="str">
        <x:v>User brainstorming, October 14, 2026; game uses proposed. Reference: https://pubs.usgs.gov/publication/70018701</x:v>
      </x:c>
      <x:c r="X61" s="4" t="str">
        <x:v>Raw material</x:v>
      </x:c>
      <x:c r="Y61" s="4" t="str">
        <x:v>Raw</x:v>
      </x:c>
      <x:c r="Z61" s="4" t="str">
        <x:v>Geological</x:v>
      </x:c>
      <x:c r="AA61" s="4" t="str">
        <x:v>Metal refining</x:v>
      </x:c>
      <x:c r="AB61" s="4" t="str">
        <x:v>Mineral</x:v>
      </x:c>
      <x:c r="AC61" s="4" t="str">
        <x:v>Rock</x:v>
      </x:c>
      <x:c r="AD61" s="4" t="str">
        <x:v>Author direction</x:v>
      </x:c>
      <x:c r="AE61" s="4" t="str">
        <x:f>LOWER(A61&amp;"; "&amp;B61&amp;"; "&amp;D61&amp;"; "&amp;E61&amp;"; "&amp;X61&amp;"; "&amp;Y61&amp;"; "&amp;Z61&amp;"; "&amp;AA61&amp;"; "&amp;AB61&amp;"; "&amp;AC61&amp;"; "&amp;AD61&amp;"; "&amp;V61&amp;"; "&amp;C61&amp;"; "&amp;AH61&amp;"; "&amp;AI61)</x:f>
        <x:v>proposal.natural.magnesium_rock; magnesium-bearing rock; mineral resources; raw mineral; raw material; raw; geological; metal refining; mineral; rock; author direction; ; t0; not applicable; material</x:v>
      </x:c>
      <x:c r="AF61" s="4" t="str">
        <x:v>From current item description. Proposed uses retain their existing approval status. Lore category review: Resources -&gt; Mineral resources. Classification only; original item status and tier retained.</x:v>
      </x:c>
      <x:c r="AG61" s="4" t="str">
        <x:v>Raw gathered/recovered craft input under the author T0 framework. This does not imply a naturally occurring pure metal.</x:v>
      </x:c>
      <x:c r="AH61" s="4" t="str">
        <x:v>Not applicable</x:v>
      </x:c>
      <x:c r="AI61" s="4" t="str">
        <x:v>Material</x:v>
      </x:c>
      <x:c r="AJ61" s="4" t="n">
        <x:f>COUNTIFS('Material routes'!$D$6:$D$2205,A61,'Material routes'!$C$6:$C$2205,"Output")</x:f>
        <x:v>0</x:v>
      </x:c>
      <x:c r="AK61" s="4" t="n">
        <x:f>SUM(COUNTIFS('Material routes'!$D$6:$D$2205,A61,'Material routes'!$C$6:$C$2205,"Ingredient candidate"),COUNTIFS('Material routes'!$D$6:$D$2205,A61,'Material routes'!$C$6:$C$2205,"Consumed input"),COUNTIFS('Material routes'!$D$6:$D$2205,A61,'Material routes'!$C$6:$C$2205,"Contained input"),COUNTIFS('Material routes'!$D$6:$D$2205,A61,'Material routes'!$C$6:$C$2205,"Transform input"))</x:f>
        <x:v>1</x:v>
      </x:c>
      <x:c r="AL61" s="4" t="n">
        <x:f>COUNTIFS('Material routes'!$D$6:$D$2205,A61,'Material routes'!$C$6:$C$2205,"Tool candidate")</x:f>
        <x:v>0</x:v>
      </x:c>
      <x:c r="AM61" s="4" t="str">
        <x:f>IF(AJ61&gt;0,"Route listed; review status/completeness",IF(C61="T0","Raw entry feed; no production route","No production route listed"))</x:f>
        <x:v>Raw entry feed; no production route</x:v>
      </x:c>
      <x:c r="AN61" s="14" t="n">
        <x:f>IF(C61="T0",0,IF(C61="T1",1,IF(C61="T2",2,IF(C61="T3",3,IF(C61="T4",4,IF(C61="Unassigned",98,99))))))</x:f>
        <x:v>0</x:v>
      </x:c>
      <x:c r="AZ61"/>
      <x:c r="BA61"/>
      <x:c r="BB61"/>
      <x:c r="BC61"/>
      <x:c r="BD61"/>
      <x:c r="BE61"/>
      <x:c r="BF61"/>
      <x:c r="BG61"/>
      <x:c r="BH61"/>
      <x:c r="BI61"/>
      <x:c r="BJ61"/>
      <x:c r="BK61"/>
      <x:c r="BL61"/>
      <x:c r="BM61"/>
      <x:c r="BN61"/>
      <x:c r="BO61"/>
      <x:c r="BP61"/>
      <x:c r="BQ61"/>
      <x:c r="BR61"/>
      <x:c r="BS61"/>
      <x:c r="BT61"/>
      <x:c r="BU61"/>
      <x:c r="BV61"/>
      <x:c r="BW61"/>
      <x:c r="BX61"/>
      <x:c r="BY61"/>
      <x:c r="BZ61"/>
      <x:c r="CA61"/>
      <x:c r="CB61"/>
      <x:c r="CC61"/>
    </x:row>
    <x:row r="62" ht="75" customHeight="1">
      <x:c r="A62" s="9" t="str">
        <x:v>proposal.natural.raw_magnesium</x:v>
      </x:c>
      <x:c r="B62" s="9" t="str">
        <x:v>Raw magnesium metal</x:v>
      </x:c>
      <x:c r="C62" s="4" t="str">
        <x:v>T0</x:v>
      </x:c>
      <x:c r="D62" s="9" t="str">
        <x:v>Mineral resources</x:v>
      </x:c>
      <x:c r="E62" s="9" t="str">
        <x:v>Unworked metal</x:v>
      </x:c>
      <x:c r="F62" s="9" t="str">
        <x:v>User direction; not implemented</x:v>
      </x:c>
      <x:c r="G62" s="9" t="inlineStr">
        <x:is>
          <x:t xml:space="preserve">Unworked manufactured magnesium metal. It provides candidate material or a shaped starting piece for making other objects, with the final form set by the receiving design.</x:t>
        </x:is>
      </x:c>
      <x:c r="H62" s="9" t="str">
        <x:v>None</x:v>
      </x:c>
      <x:c r="I62" s="9" t="str">
        <x:v>Legger / local storage proposed</x:v>
      </x:c>
      <x:c r="J62" s="13"/>
      <x:c r="K62" s="15"/>
      <x:c r="L62" s="9" t="str">
        <x:v>Specialist refining or industrial salvage proposal</x:v>
      </x:c>
      <x:c r="M62" s="9" t="str">
        <x:v>Lightweight alloy research</x:v>
      </x:c>
      <x:c r="N62" s="9" t="str">
        <x:v>Not implemented</x:v>
      </x:c>
      <x:c r="O62" s="9" t="str">
        <x:v>Not presented as a common native metal picked up from the ground.</x:v>
      </x:c>
      <x:c r="P62" s="17"/>
      <x:c r="Q62" s="17"/>
      <x:c r="R62" s="17"/>
      <x:c r="S62" s="17"/>
      <x:c r="T62" s="17"/>
      <x:c r="U62" s="9" t="str">
        <x:v>Processing burden, alloy uses and whether a separate item is useful</x:v>
      </x:c>
      <x:c r="V62" s="11"/>
      <x:c r="W62" s="9" t="str">
        <x:v>User brainstorming, October 14, 2026; game uses proposed. Reference: https://pubs.usgs.gov/publication/70018701</x:v>
      </x:c>
      <x:c r="X62" s="4" t="str">
        <x:v>Processed material</x:v>
      </x:c>
      <x:c r="Y62" s="4" t="str">
        <x:v>Unworked metal</x:v>
      </x:c>
      <x:c r="Z62" s="4" t="str">
        <x:v>Geological</x:v>
      </x:c>
      <x:c r="AA62" s="4" t="str">
        <x:v>Fabrication</x:v>
      </x:c>
      <x:c r="AB62" s="4" t="str">
        <x:v>Metal</x:v>
      </x:c>
      <x:c r="AC62" s="4" t="str">
        <x:v>Solid piece</x:v>
      </x:c>
      <x:c r="AD62" s="4" t="str">
        <x:v>Author direction</x:v>
      </x:c>
      <x:c r="AE62" s="4" t="str">
        <x:f>LOWER(A62&amp;"; "&amp;B62&amp;"; "&amp;D62&amp;"; "&amp;E62&amp;"; "&amp;X62&amp;"; "&amp;Y62&amp;"; "&amp;Z62&amp;"; "&amp;AA62&amp;"; "&amp;AB62&amp;"; "&amp;AC62&amp;"; "&amp;AD62&amp;"; "&amp;V62&amp;"; "&amp;C62&amp;"; "&amp;AH62&amp;"; "&amp;AI62)</x:f>
        <x:v>proposal.natural.raw_magnesium; raw magnesium metal; mineral resources; unworked metal; processed material; unworked metal; geological; fabrication; metal; solid piece; author direction; ; t0; not applicable; material</x:v>
      </x:c>
      <x:c r="AF62" s="4" t="str">
        <x:v>From current item description. Proposed uses retain their existing approval status. Lore category review: Resources -&gt; Mineral resources. Classification only; original item status and tier retained.</x:v>
      </x:c>
      <x:c r="AG62" s="4" t="str">
        <x:v>Raw gathered/recovered craft input under the author T0 framework. This does not imply a naturally occurring pure metal.</x:v>
      </x:c>
      <x:c r="AH62" s="4" t="str">
        <x:v>Not applicable</x:v>
      </x:c>
      <x:c r="AI62" s="4" t="str">
        <x:v>Material</x:v>
      </x:c>
      <x:c r="AJ62" s="4" t="n">
        <x:f>COUNTIFS('Material routes'!$D$6:$D$2205,A62,'Material routes'!$C$6:$C$2205,"Output")</x:f>
        <x:v>1</x:v>
      </x:c>
      <x:c r="AK62" s="4" t="n">
        <x:f>SUM(COUNTIFS('Material routes'!$D$6:$D$2205,A62,'Material routes'!$C$6:$C$2205,"Ingredient candidate"),COUNTIFS('Material routes'!$D$6:$D$2205,A62,'Material routes'!$C$6:$C$2205,"Consumed input"),COUNTIFS('Material routes'!$D$6:$D$2205,A62,'Material routes'!$C$6:$C$2205,"Contained input"),COUNTIFS('Material routes'!$D$6:$D$2205,A62,'Material routes'!$C$6:$C$2205,"Transform input"))</x:f>
        <x:v>0</x:v>
      </x:c>
      <x:c r="AL62" s="4" t="n">
        <x:f>COUNTIFS('Material routes'!$D$6:$D$2205,A62,'Material routes'!$C$6:$C$2205,"Tool candidate")</x:f>
        <x:v>0</x:v>
      </x:c>
      <x:c r="AM62" s="4" t="str">
        <x:f>IF(AJ62&gt;0,"Route listed; review status/completeness",IF(C62="T0","Raw entry feed; no production route","No production route listed"))</x:f>
        <x:v>Route listed; review status/completeness</x:v>
      </x:c>
      <x:c r="AN62" s="14" t="n">
        <x:f>IF(C62="T0",0,IF(C62="T1",1,IF(C62="T2",2,IF(C62="T3",3,IF(C62="T4",4,IF(C62="Unassigned",98,99))))))</x:f>
        <x:v>0</x:v>
      </x:c>
      <x:c r="AZ62"/>
      <x:c r="BA62"/>
      <x:c r="BB62"/>
      <x:c r="BC62"/>
      <x:c r="BD62"/>
      <x:c r="BE62"/>
      <x:c r="BF62"/>
      <x:c r="BG62"/>
      <x:c r="BH62"/>
      <x:c r="BI62"/>
      <x:c r="BJ62"/>
      <x:c r="BK62"/>
      <x:c r="BL62"/>
      <x:c r="BM62"/>
      <x:c r="BN62"/>
      <x:c r="BO62"/>
      <x:c r="BP62"/>
      <x:c r="BQ62"/>
      <x:c r="BR62"/>
      <x:c r="BS62"/>
      <x:c r="BT62"/>
      <x:c r="BU62"/>
      <x:c r="BV62"/>
      <x:c r="BW62"/>
      <x:c r="BX62"/>
      <x:c r="BY62"/>
      <x:c r="BZ62"/>
      <x:c r="CA62"/>
      <x:c r="CB62"/>
      <x:c r="CC62"/>
    </x:row>
    <x:row r="63" ht="75" customHeight="1">
      <x:c r="A63" s="9" t="str">
        <x:v>proposal.natural.hematite</x:v>
      </x:c>
      <x:c r="B63" s="9" t="str">
        <x:v>Raw hematite</x:v>
      </x:c>
      <x:c r="C63" s="4" t="str">
        <x:v>T0</x:v>
      </x:c>
      <x:c r="D63" s="9" t="str">
        <x:v>Mineral resources</x:v>
      </x:c>
      <x:c r="E63" s="9" t="str">
        <x:v>Iron oxide mineral</x:v>
      </x:c>
      <x:c r="F63" s="9" t="str">
        <x:v>User direction; not implemented</x:v>
      </x:c>
      <x:c r="G63" s="9" t="inlineStr">
        <x:is>
          <x:t xml:space="preserve">Specific iron-rich mineral feed distinct from generic field stone. It is intended to enter a controlled metal-preparation or refining process; the feed material is distinct from the usable metal eventually produced.</x:t>
        </x:is>
      </x:c>
      <x:c r="H63" s="9" t="str">
        <x:v>None</x:v>
      </x:c>
      <x:c r="I63" s="9" t="str">
        <x:v>Legger / local storage proposed</x:v>
      </x:c>
      <x:c r="J63" s="13"/>
      <x:c r="K63" s="15"/>
      <x:c r="L63" s="9" t="str">
        <x:v>User-requested outcrop candidate</x:v>
      </x:c>
      <x:c r="M63" s="9" t="str">
        <x:v>Possible iron-feed input</x:v>
      </x:c>
      <x:c r="N63" s="9" t="str">
        <x:v>Not implemented</x:v>
      </x:c>
      <x:c r="O63" s="9" t="str">
        <x:v>Requested game candidate; specific Death Valley occurrence not verified in this research pass.</x:v>
      </x:c>
      <x:c r="P63" s="17"/>
      <x:c r="Q63" s="17"/>
      <x:c r="R63" s="17"/>
      <x:c r="S63" s="17"/>
      <x:c r="T63" s="17"/>
      <x:c r="U63" s="9" t="str">
        <x:v>Overlap with Ironstone Ore and magnetite; retain only useful distinctions</x:v>
      </x:c>
      <x:c r="V63" s="11"/>
      <x:c r="W63" s="9" t="str">
        <x:v>User brainstorming, October 14, 2026; game uses proposed. Reference: User direction, October 14, 2026; specific local geology unverified</x:v>
      </x:c>
      <x:c r="X63" s="4" t="str">
        <x:v>Raw material</x:v>
      </x:c>
      <x:c r="Y63" s="4" t="str">
        <x:v>Raw</x:v>
      </x:c>
      <x:c r="Z63" s="4" t="str">
        <x:v>Geological</x:v>
      </x:c>
      <x:c r="AA63" s="4" t="str">
        <x:v>Metal refining</x:v>
      </x:c>
      <x:c r="AB63" s="4" t="str">
        <x:v>Mineral</x:v>
      </x:c>
      <x:c r="AC63" s="4" t="str">
        <x:v>Rock</x:v>
      </x:c>
      <x:c r="AD63" s="4" t="str">
        <x:v>Author direction</x:v>
      </x:c>
      <x:c r="AE63" s="4" t="str">
        <x:f>LOWER(A63&amp;"; "&amp;B63&amp;"; "&amp;D63&amp;"; "&amp;E63&amp;"; "&amp;X63&amp;"; "&amp;Y63&amp;"; "&amp;Z63&amp;"; "&amp;AA63&amp;"; "&amp;AB63&amp;"; "&amp;AC63&amp;"; "&amp;AD63&amp;"; "&amp;V63&amp;"; "&amp;C63&amp;"; "&amp;AH63&amp;"; "&amp;AI63)</x:f>
        <x:v>proposal.natural.hematite; raw hematite; mineral resources; iron oxide mineral; raw material; raw; geological; metal refining; mineral; rock; author direction; ; t0; not applicable; material</x:v>
      </x:c>
      <x:c r="AF63" s="4" t="str">
        <x:v>From current item description. Proposed uses retain their existing approval status. Lore category review: Resources -&gt; Mineral resources. Classification only; original item status and tier retained.</x:v>
      </x:c>
      <x:c r="AG63" s="4" t="str">
        <x:v>Raw gathered/recovered craft input under the author T0 framework. This does not imply a naturally occurring pure metal.</x:v>
      </x:c>
      <x:c r="AH63" s="4" t="str">
        <x:v>Not applicable</x:v>
      </x:c>
      <x:c r="AI63" s="4" t="str">
        <x:v>Material</x:v>
      </x:c>
      <x:c r="AJ63" s="4" t="n">
        <x:f>COUNTIFS('Material routes'!$D$6:$D$2205,A63,'Material routes'!$C$6:$C$2205,"Output")</x:f>
        <x:v>0</x:v>
      </x:c>
      <x:c r="AK63" s="4" t="n">
        <x:f>SUM(COUNTIFS('Material routes'!$D$6:$D$2205,A63,'Material routes'!$C$6:$C$2205,"Ingredient candidate"),COUNTIFS('Material routes'!$D$6:$D$2205,A63,'Material routes'!$C$6:$C$2205,"Consumed input"),COUNTIFS('Material routes'!$D$6:$D$2205,A63,'Material routes'!$C$6:$C$2205,"Contained input"),COUNTIFS('Material routes'!$D$6:$D$2205,A63,'Material routes'!$C$6:$C$2205,"Transform input"))</x:f>
        <x:v>1</x:v>
      </x:c>
      <x:c r="AL63" s="4" t="n">
        <x:f>COUNTIFS('Material routes'!$D$6:$D$2205,A63,'Material routes'!$C$6:$C$2205,"Tool candidate")</x:f>
        <x:v>0</x:v>
      </x:c>
      <x:c r="AM63" s="4" t="str">
        <x:f>IF(AJ63&gt;0,"Route listed; review status/completeness",IF(C63="T0","Raw entry feed; no production route","No production route listed"))</x:f>
        <x:v>Raw entry feed; no production route</x:v>
      </x:c>
      <x:c r="AN63" s="14" t="n">
        <x:f>IF(C63="T0",0,IF(C63="T1",1,IF(C63="T2",2,IF(C63="T3",3,IF(C63="T4",4,IF(C63="Unassigned",98,99))))))</x:f>
        <x:v>0</x:v>
      </x:c>
      <x:c r="AZ63"/>
      <x:c r="BA63"/>
      <x:c r="BB63"/>
      <x:c r="BC63"/>
      <x:c r="BD63"/>
      <x:c r="BE63"/>
      <x:c r="BF63"/>
      <x:c r="BG63"/>
      <x:c r="BH63"/>
      <x:c r="BI63"/>
      <x:c r="BJ63"/>
      <x:c r="BK63"/>
      <x:c r="BL63"/>
      <x:c r="BM63"/>
      <x:c r="BN63"/>
      <x:c r="BO63"/>
      <x:c r="BP63"/>
      <x:c r="BQ63"/>
      <x:c r="BR63"/>
      <x:c r="BS63"/>
      <x:c r="BT63"/>
      <x:c r="BU63"/>
      <x:c r="BV63"/>
      <x:c r="BW63"/>
      <x:c r="BX63"/>
      <x:c r="BY63"/>
      <x:c r="BZ63"/>
      <x:c r="CA63"/>
      <x:c r="CB63"/>
      <x:c r="CC63"/>
    </x:row>
    <x:row r="64" ht="75" customHeight="1">
      <x:c r="A64" s="9" t="str">
        <x:v>proposal.natural.sulfur</x:v>
      </x:c>
      <x:c r="B64" s="9" t="str">
        <x:v>Raw sulfur</x:v>
      </x:c>
      <x:c r="C64" s="4" t="str">
        <x:v>T0</x:v>
      </x:c>
      <x:c r="D64" s="9" t="str">
        <x:v>Mineral resources</x:v>
      </x:c>
      <x:c r="E64" s="9" t="str">
        <x:v>Native nonmetal</x:v>
      </x:c>
      <x:c r="F64" s="9" t="str">
        <x:v>User direction; not implemented</x:v>
      </x:c>
      <x:c r="G64" s="9" t="inlineStr">
        <x:is>
          <x:t xml:space="preserve">Nonmetallic mineral feed for specialist crafting research. It is a candidate industrial input or process aid. Its composition, containment and compatible treatment must be established; usefulness does not imply edibility.</x:t>
        </x:is>
      </x:c>
      <x:c r="H64" s="9" t="str">
        <x:v>None</x:v>
      </x:c>
      <x:c r="I64" s="9" t="str">
        <x:v>Legger / local storage proposed</x:v>
      </x:c>
      <x:c r="J64" s="13"/>
      <x:c r="K64" s="15"/>
      <x:c r="L64" s="9" t="str">
        <x:v>Authored sulfur deposit proposal</x:v>
      </x:c>
      <x:c r="M64" s="9" t="str">
        <x:v>Industrial reagent research; recipes open</x:v>
      </x:c>
      <x:c r="N64" s="9" t="str">
        <x:v>Not implemented</x:v>
      </x:c>
      <x:c r="O64" s="9" t="str">
        <x:v>Regional sulfur mining documented; no chemical or explosive recipe approved.</x:v>
      </x:c>
      <x:c r="P64" s="17"/>
      <x:c r="Q64" s="17"/>
      <x:c r="R64" s="17"/>
      <x:c r="S64" s="17"/>
      <x:c r="T64" s="17"/>
      <x:c r="U64" s="9" t="str">
        <x:v>Uses, gathering presentation and storage requirements</x:v>
      </x:c>
      <x:c r="V64" s="11"/>
      <x:c r="W64" s="9" t="str">
        <x:v>User brainstorming, October 14, 2026; game uses proposed. Reference: https://www.nps.gov/deva/learn/nature/mining-in-death-valley.htm</x:v>
      </x:c>
      <x:c r="X64" s="4" t="str">
        <x:v>Raw material</x:v>
      </x:c>
      <x:c r="Y64" s="4" t="str">
        <x:v>Raw</x:v>
      </x:c>
      <x:c r="Z64" s="4" t="str">
        <x:v>Geological</x:v>
      </x:c>
      <x:c r="AA64" s="4" t="str">
        <x:v>Chemical processing</x:v>
      </x:c>
      <x:c r="AB64" s="4" t="str">
        <x:v>Mineral</x:v>
      </x:c>
      <x:c r="AC64" s="4" t="str">
        <x:v>Rock</x:v>
      </x:c>
      <x:c r="AD64" s="4" t="str">
        <x:v>Author direction</x:v>
      </x:c>
      <x:c r="AE64" s="4" t="str">
        <x:f>LOWER(A64&amp;"; "&amp;B64&amp;"; "&amp;D64&amp;"; "&amp;E64&amp;"; "&amp;X64&amp;"; "&amp;Y64&amp;"; "&amp;Z64&amp;"; "&amp;AA64&amp;"; "&amp;AB64&amp;"; "&amp;AC64&amp;"; "&amp;AD64&amp;"; "&amp;V64&amp;"; "&amp;C64&amp;"; "&amp;AH64&amp;"; "&amp;AI64)</x:f>
        <x:v>proposal.natural.sulfur; raw sulfur; mineral resources; native nonmetal; raw material; raw; geological; chemical processing; mineral; rock; author direction; ; t0; not applicable; material</x:v>
      </x:c>
      <x:c r="AF64" s="4" t="str">
        <x:v>From current item description. Proposed uses retain their existing approval status. Lore category review: Resources -&gt; Mineral resources. Classification only; original item status and tier retained.</x:v>
      </x:c>
      <x:c r="AG64" s="4" t="str">
        <x:v>Raw gathered/recovered craft input under the author T0 framework. This does not imply a naturally occurring pure metal.</x:v>
      </x:c>
      <x:c r="AH64" s="4" t="str">
        <x:v>Not applicable</x:v>
      </x:c>
      <x:c r="AI64" s="4" t="str">
        <x:v>Material</x:v>
      </x:c>
      <x:c r="AJ64" s="4" t="n">
        <x:f>COUNTIFS('Material routes'!$D$6:$D$2205,A64,'Material routes'!$C$6:$C$2205,"Output")</x:f>
        <x:v>0</x:v>
      </x:c>
      <x:c r="AK64" s="4" t="n">
        <x:f>SUM(COUNTIFS('Material routes'!$D$6:$D$2205,A64,'Material routes'!$C$6:$C$2205,"Ingredient candidate"),COUNTIFS('Material routes'!$D$6:$D$2205,A64,'Material routes'!$C$6:$C$2205,"Consumed input"),COUNTIFS('Material routes'!$D$6:$D$2205,A64,'Material routes'!$C$6:$C$2205,"Contained input"),COUNTIFS('Material routes'!$D$6:$D$2205,A64,'Material routes'!$C$6:$C$2205,"Transform input"))</x:f>
        <x:v>1</x:v>
      </x:c>
      <x:c r="AL64" s="4" t="n">
        <x:f>COUNTIFS('Material routes'!$D$6:$D$2205,A64,'Material routes'!$C$6:$C$2205,"Tool candidate")</x:f>
        <x:v>0</x:v>
      </x:c>
      <x:c r="AM64" s="4" t="str">
        <x:f>IF(AJ64&gt;0,"Route listed; review status/completeness",IF(C64="T0","Raw entry feed; no production route","No production route listed"))</x:f>
        <x:v>Raw entry feed; no production route</x:v>
      </x:c>
      <x:c r="AN64" s="14" t="n">
        <x:f>IF(C64="T0",0,IF(C64="T1",1,IF(C64="T2",2,IF(C64="T3",3,IF(C64="T4",4,IF(C64="Unassigned",98,99))))))</x:f>
        <x:v>0</x:v>
      </x:c>
      <x:c r="AZ64"/>
      <x:c r="BA64"/>
      <x:c r="BB64"/>
      <x:c r="BC64"/>
      <x:c r="BD64"/>
      <x:c r="BE64"/>
      <x:c r="BF64"/>
      <x:c r="BG64"/>
      <x:c r="BH64"/>
      <x:c r="BI64"/>
      <x:c r="BJ64"/>
      <x:c r="BK64"/>
      <x:c r="BL64"/>
      <x:c r="BM64"/>
      <x:c r="BN64"/>
      <x:c r="BO64"/>
      <x:c r="BP64"/>
      <x:c r="BQ64"/>
      <x:c r="BR64"/>
      <x:c r="BS64"/>
      <x:c r="BT64"/>
      <x:c r="BU64"/>
      <x:c r="BV64"/>
      <x:c r="BW64"/>
      <x:c r="BX64"/>
      <x:c r="BY64"/>
      <x:c r="BZ64"/>
      <x:c r="CA64"/>
      <x:c r="CB64"/>
      <x:c r="CC64"/>
    </x:row>
    <x:row r="65" ht="75" customHeight="1">
      <x:c r="A65" s="9"/>
      <x:c r="B65" s="9"/>
      <x:c r="C65" s="4"/>
      <x:c r="D65" s="9"/>
      <x:c r="E65" s="9"/>
      <x:c r="F65" s="9"/>
      <x:c r="G65" s="9"/>
      <x:c r="H65" s="9"/>
      <x:c r="I65" s="9"/>
      <x:c r="J65" s="13"/>
      <x:c r="K65" s="15"/>
      <x:c r="L65" s="9"/>
      <x:c r="M65" s="9"/>
      <x:c r="N65" s="9"/>
      <x:c r="O65" s="9"/>
      <x:c r="P65" s="17"/>
      <x:c r="Q65" s="17"/>
      <x:c r="R65" s="17"/>
      <x:c r="S65" s="17"/>
      <x:c r="T65" s="17"/>
      <x:c r="U65" s="9"/>
      <x:c r="V65" s="11"/>
      <x:c r="W65" s="9"/>
      <x:c r="X65" s="4"/>
      <x:c r="Y65" s="4"/>
      <x:c r="Z65" s="4"/>
      <x:c r="AA65" s="4"/>
      <x:c r="AB65" s="4"/>
      <x:c r="AC65" s="4"/>
      <x:c r="AD65" s="4"/>
      <x:c r="AE65" s="4"/>
      <x:c r="AF65" s="4"/>
      <x:c r="AG65" s="4"/>
      <x:c r="AH65" s="4"/>
      <x:c r="AI65" s="4"/>
      <x:c r="AJ65" s="4"/>
      <x:c r="AK65" s="4"/>
      <x:c r="AL65" s="4"/>
      <x:c r="AM65" s="4"/>
      <x:c r="AN65" s="14"/>
      <x:c r="AZ65"/>
      <x:c r="BA65"/>
      <x:c r="BB65"/>
      <x:c r="BC65"/>
      <x:c r="BD65"/>
      <x:c r="BE65"/>
      <x:c r="BF65"/>
      <x:c r="BG65"/>
      <x:c r="BH65"/>
      <x:c r="BI65"/>
      <x:c r="BJ65"/>
      <x:c r="BK65"/>
      <x:c r="BL65"/>
      <x:c r="BM65"/>
      <x:c r="BN65"/>
      <x:c r="BO65"/>
      <x:c r="BP65"/>
      <x:c r="BQ65"/>
      <x:c r="BR65"/>
      <x:c r="BS65"/>
      <x:c r="BT65"/>
      <x:c r="BU65"/>
      <x:c r="BV65"/>
      <x:c r="BW65"/>
      <x:c r="BX65"/>
      <x:c r="BY65"/>
      <x:c r="BZ65"/>
      <x:c r="CA65"/>
      <x:c r="CB65"/>
      <x:c r="CC65"/>
    </x:row>
    <x:row r="66" ht="75" customHeight="1">
      <x:c r="A66" s="9" t="str">
        <x:v>proposal.natural.gypsum</x:v>
      </x:c>
      <x:c r="B66" s="9" t="str">
        <x:v>Raw gypsum</x:v>
      </x:c>
      <x:c r="C66" s="4" t="str">
        <x:v>T0</x:v>
      </x:c>
      <x:c r="D66" s="9" t="str">
        <x:v>Mineral resources</x:v>
      </x:c>
      <x:c r="E66" s="9" t="str">
        <x:v>Sulfate mineral</x:v>
      </x:c>
      <x:c r="F66" s="9" t="str">
        <x:v>New proposal</x:v>
      </x:c>
      <x:c r="G66" s="9" t="inlineStr">
        <x:is>
          <x:t xml:space="preserve">Soft mineral feed for molds and mineral products. It is intended for a matched glassworking or ceramic process, with composition, forming and controlled heat determining the useful result.</x:t>
        </x:is>
      </x:c>
      <x:c r="H66" s="9" t="str">
        <x:v>None</x:v>
      </x:c>
      <x:c r="I66" s="9" t="str">
        <x:v>Legger / local storage proposed</x:v>
      </x:c>
      <x:c r="J66" s="13"/>
      <x:c r="K66" s="15"/>
      <x:c r="L66" s="9" t="str">
        <x:v>Ancient evaporite beds</x:v>
      </x:c>
      <x:c r="M66" s="9" t="str">
        <x:v>Mold/binder research</x:v>
      </x:c>
      <x:c r="N66" s="9" t="str">
        <x:v>Not implemented</x:v>
      </x:c>
      <x:c r="O66" s="9" t="str">
        <x:v>Water bound in a mineral is not a free-liquid supply; no hydration mechanic proposed.</x:v>
      </x:c>
      <x:c r="P66" s="17"/>
      <x:c r="Q66" s="17"/>
      <x:c r="R66" s="17"/>
      <x:c r="S66" s="17"/>
      <x:c r="T66" s="17"/>
      <x:c r="U66" s="9" t="str">
        <x:v>Dry-world processing and overlap with existing binders</x:v>
      </x:c>
      <x:c r="V66" s="11"/>
      <x:c r="W66" s="9" t="str">
        <x:v>User brainstorming, October 14, 2026; game uses proposed. Reference: https://pubs.usgs.gov/publication/70018701</x:v>
      </x:c>
      <x:c r="X66" s="4" t="str">
        <x:v>Raw material</x:v>
      </x:c>
      <x:c r="Y66" s="4" t="str">
        <x:v>Raw</x:v>
      </x:c>
      <x:c r="Z66" s="4" t="str">
        <x:v>Geological</x:v>
      </x:c>
      <x:c r="AA66" s="4" t="str">
        <x:v>Glass and ceramics</x:v>
      </x:c>
      <x:c r="AB66" s="4" t="str">
        <x:v>Mineral</x:v>
      </x:c>
      <x:c r="AC66" s="4" t="str">
        <x:v>Rock</x:v>
      </x:c>
      <x:c r="AD66" s="4" t="str">
        <x:v>Proposal</x:v>
      </x:c>
      <x:c r="AE66" s="4" t="str">
        <x:f>LOWER(A66&amp;"; "&amp;B66&amp;"; "&amp;D66&amp;"; "&amp;E66&amp;"; "&amp;X66&amp;"; "&amp;Y66&amp;"; "&amp;Z66&amp;"; "&amp;AA66&amp;"; "&amp;AB66&amp;"; "&amp;AC66&amp;"; "&amp;AD66&amp;"; "&amp;V66&amp;"; "&amp;C66&amp;"; "&amp;AH66&amp;"; "&amp;AI66)</x:f>
        <x:v>proposal.natural.gypsum; raw gypsum; mineral resources; sulfate mineral; raw material; raw; geological; glass and ceramics; mineral; rock; proposal; ; t0; not applicable; material</x:v>
      </x:c>
      <x:c r="AF66" s="4" t="str">
        <x:v>From current item description. Proposed uses retain their existing approval status. Lore category review: Resources -&gt; Mineral resources. Classification only; original item status and tier retained.</x:v>
      </x:c>
      <x:c r="AG66" s="4" t="str">
        <x:v>Raw gathered/recovered craft input under the author T0 framework. This does not imply a naturally occurring pure metal.</x:v>
      </x:c>
      <x:c r="AH66" s="4" t="str">
        <x:v>Not applicable</x:v>
      </x:c>
      <x:c r="AI66" s="4" t="str">
        <x:v>Material</x:v>
      </x:c>
      <x:c r="AJ66" s="4" t="n">
        <x:f>COUNTIFS('Material routes'!$D$6:$D$2205,A66,'Material routes'!$C$6:$C$2205,"Output")</x:f>
        <x:v>0</x:v>
      </x:c>
      <x:c r="AK66" s="4" t="n">
        <x:f>SUM(COUNTIFS('Material routes'!$D$6:$D$2205,A66,'Material routes'!$C$6:$C$2205,"Ingredient candidate"),COUNTIFS('Material routes'!$D$6:$D$2205,A66,'Material routes'!$C$6:$C$2205,"Consumed input"),COUNTIFS('Material routes'!$D$6:$D$2205,A66,'Material routes'!$C$6:$C$2205,"Contained input"),COUNTIFS('Material routes'!$D$6:$D$2205,A66,'Material routes'!$C$6:$C$2205,"Transform input"))</x:f>
        <x:v>0</x:v>
      </x:c>
      <x:c r="AL66" s="4" t="n">
        <x:f>COUNTIFS('Material routes'!$D$6:$D$2205,A66,'Material routes'!$C$6:$C$2205,"Tool candidate")</x:f>
        <x:v>0</x:v>
      </x:c>
      <x:c r="AM66" s="4" t="str">
        <x:f>IF(AJ66&gt;0,"Route listed; review status/completeness",IF(C66="T0","Raw entry feed; no production route","No production route listed"))</x:f>
        <x:v>Raw entry feed; no production route</x:v>
      </x:c>
      <x:c r="AN66" s="14" t="n">
        <x:f>IF(C66="T0",0,IF(C66="T1",1,IF(C66="T2",2,IF(C66="T3",3,IF(C66="T4",4,IF(C66="Unassigned",98,99))))))</x:f>
        <x:v>0</x:v>
      </x:c>
      <x:c r="AZ66"/>
      <x:c r="BA66"/>
      <x:c r="BB66"/>
      <x:c r="BC66"/>
      <x:c r="BD66"/>
      <x:c r="BE66"/>
      <x:c r="BF66"/>
      <x:c r="BG66"/>
      <x:c r="BH66"/>
      <x:c r="BI66"/>
      <x:c r="BJ66"/>
      <x:c r="BK66"/>
      <x:c r="BL66"/>
      <x:c r="BM66"/>
      <x:c r="BN66"/>
      <x:c r="BO66"/>
      <x:c r="BP66"/>
      <x:c r="BQ66"/>
      <x:c r="BR66"/>
      <x:c r="BS66"/>
      <x:c r="BT66"/>
      <x:c r="BU66"/>
      <x:c r="BV66"/>
      <x:c r="BW66"/>
      <x:c r="BX66"/>
      <x:c r="BY66"/>
      <x:c r="BZ66"/>
      <x:c r="CA66"/>
      <x:c r="CB66"/>
      <x:c r="CC66"/>
    </x:row>
    <x:row r="67" ht="75" customHeight="1">
      <x:c r="A67" s="9" t="str">
        <x:v>proposal.natural.talc</x:v>
      </x:c>
      <x:c r="B67" s="9" t="str">
        <x:v>Raw talc</x:v>
      </x:c>
      <x:c r="C67" s="4" t="str">
        <x:v>T0</x:v>
      </x:c>
      <x:c r="D67" s="9" t="str">
        <x:v>Mineral resources</x:v>
      </x:c>
      <x:c r="E67" s="9" t="str">
        <x:v>Industrial mineral</x:v>
      </x:c>
      <x:c r="F67" s="9" t="str">
        <x:v>New proposal</x:v>
      </x:c>
      <x:c r="G67" s="9" t="inlineStr">
        <x:is>
          <x:t xml:space="preserve">Soft mineral feed for proposed dry powders and ceramics. It is intended for a matched glassworking or ceramic process, with composition, forming and controlled heat determining the useful result.</x:t>
        </x:is>
      </x:c>
      <x:c r="H67" s="9" t="str">
        <x:v>None</x:v>
      </x:c>
      <x:c r="I67" s="9" t="str">
        <x:v>Legger / local storage proposed</x:v>
      </x:c>
      <x:c r="J67" s="13"/>
      <x:c r="K67" s="15"/>
      <x:c r="L67" s="9" t="str">
        <x:v>Authored mineral seam proposal</x:v>
      </x:c>
      <x:c r="M67" s="9" t="str">
        <x:v>Dry lubricant/filler research</x:v>
      </x:c>
      <x:c r="N67" s="9" t="str">
        <x:v>Not implemented</x:v>
      </x:c>
      <x:c r="O67" s="9" t="str">
        <x:v>Regional talc mining is reference evidence, not an implemented deposit.</x:v>
      </x:c>
      <x:c r="P67" s="17"/>
      <x:c r="Q67" s="17"/>
      <x:c r="R67" s="17"/>
      <x:c r="S67" s="17"/>
      <x:c r="T67" s="17"/>
      <x:c r="U67" s="9" t="str">
        <x:v>Useful difference from graphite and existing dust materials</x:v>
      </x:c>
      <x:c r="V67" s="11" t="str">
        <x:v>surface finishing</x:v>
      </x:c>
      <x:c r="W67" s="9" t="str">
        <x:v>User brainstorming, October 14, 2026; game uses proposed. Reference: https://www.nps.gov/deva/learn/nature/mining-in-death-valley.htm</x:v>
      </x:c>
      <x:c r="X67" s="4" t="str">
        <x:v>Raw material</x:v>
      </x:c>
      <x:c r="Y67" s="4" t="str">
        <x:v>Raw</x:v>
      </x:c>
      <x:c r="Z67" s="4" t="str">
        <x:v>Geological</x:v>
      </x:c>
      <x:c r="AA67" s="4" t="str">
        <x:v>Glass and ceramics</x:v>
      </x:c>
      <x:c r="AB67" s="4" t="str">
        <x:v>Mineral</x:v>
      </x:c>
      <x:c r="AC67" s="4" t="str">
        <x:v>Rock</x:v>
      </x:c>
      <x:c r="AD67" s="4" t="str">
        <x:v>Proposal</x:v>
      </x:c>
      <x:c r="AE67" s="4" t="str">
        <x:f>LOWER(A67&amp;"; "&amp;B67&amp;"; "&amp;D67&amp;"; "&amp;E67&amp;"; "&amp;X67&amp;"; "&amp;Y67&amp;"; "&amp;Z67&amp;"; "&amp;AA67&amp;"; "&amp;AB67&amp;"; "&amp;AC67&amp;"; "&amp;AD67&amp;"; "&amp;V67&amp;"; "&amp;C67&amp;"; "&amp;AH67&amp;"; "&amp;AI67)</x:f>
        <x:v>proposal.natural.talc; raw talc; mineral resources; industrial mineral; raw material; raw; geological; glass and ceramics; mineral; rock; proposal; surface finishing; t0; not applicable; material</x:v>
      </x:c>
      <x:c r="AF67" s="4" t="str">
        <x:v>From current item description. Proposed uses retain their existing approval status. Lore category review: Resources -&gt; Mineral resources. Classification only; original item status and tier retained.</x:v>
      </x:c>
      <x:c r="AG67" s="4" t="str">
        <x:v>Raw gathered/recovered craft input under the author T0 framework. This does not imply a naturally occurring pure metal.</x:v>
      </x:c>
      <x:c r="AH67" s="4" t="str">
        <x:v>Not applicable</x:v>
      </x:c>
      <x:c r="AI67" s="4" t="str">
        <x:v>Material</x:v>
      </x:c>
      <x:c r="AJ67" s="4" t="n">
        <x:f>COUNTIFS('Material routes'!$D$6:$D$2205,A67,'Material routes'!$C$6:$C$2205,"Output")</x:f>
        <x:v>0</x:v>
      </x:c>
      <x:c r="AK67" s="4" t="n">
        <x:f>SUM(COUNTIFS('Material routes'!$D$6:$D$2205,A67,'Material routes'!$C$6:$C$2205,"Ingredient candidate"),COUNTIFS('Material routes'!$D$6:$D$2205,A67,'Material routes'!$C$6:$C$2205,"Consumed input"),COUNTIFS('Material routes'!$D$6:$D$2205,A67,'Material routes'!$C$6:$C$2205,"Contained input"),COUNTIFS('Material routes'!$D$6:$D$2205,A67,'Material routes'!$C$6:$C$2205,"Transform input"))</x:f>
        <x:v>0</x:v>
      </x:c>
      <x:c r="AL67" s="4" t="n">
        <x:f>COUNTIFS('Material routes'!$D$6:$D$2205,A67,'Material routes'!$C$6:$C$2205,"Tool candidate")</x:f>
        <x:v>0</x:v>
      </x:c>
      <x:c r="AM67" s="4" t="str">
        <x:f>IF(AJ67&gt;0,"Route listed; review status/completeness",IF(C67="T0","Raw entry feed; no production route","No production route listed"))</x:f>
        <x:v>Raw entry feed; no production route</x:v>
      </x:c>
      <x:c r="AN67" s="14" t="n">
        <x:f>IF(C67="T0",0,IF(C67="T1",1,IF(C67="T2",2,IF(C67="T3",3,IF(C67="T4",4,IF(C67="Unassigned",98,99))))))</x:f>
        <x:v>0</x:v>
      </x:c>
      <x:c r="AZ67"/>
      <x:c r="BA67"/>
      <x:c r="BB67"/>
      <x:c r="BC67"/>
      <x:c r="BD67"/>
      <x:c r="BE67"/>
      <x:c r="BF67"/>
      <x:c r="BG67"/>
      <x:c r="BH67"/>
      <x:c r="BI67"/>
      <x:c r="BJ67"/>
      <x:c r="BK67"/>
      <x:c r="BL67"/>
      <x:c r="BM67"/>
      <x:c r="BN67"/>
      <x:c r="BO67"/>
      <x:c r="BP67"/>
      <x:c r="BQ67"/>
      <x:c r="BR67"/>
      <x:c r="BS67"/>
      <x:c r="BT67"/>
      <x:c r="BU67"/>
      <x:c r="BV67"/>
      <x:c r="BW67"/>
      <x:c r="BX67"/>
      <x:c r="BY67"/>
      <x:c r="BZ67"/>
      <x:c r="CA67"/>
      <x:c r="CB67"/>
      <x:c r="CC67"/>
    </x:row>
    <x:row r="68" ht="75" customHeight="1">
      <x:c r="A68" s="9"/>
      <x:c r="B68" s="9"/>
      <x:c r="C68" s="4"/>
      <x:c r="D68" s="9"/>
      <x:c r="E68" s="9"/>
      <x:c r="F68" s="9"/>
      <x:c r="G68" s="9"/>
      <x:c r="H68" s="9"/>
      <x:c r="I68" s="9"/>
      <x:c r="J68" s="13"/>
      <x:c r="K68" s="15"/>
      <x:c r="L68" s="9"/>
      <x:c r="M68" s="9"/>
      <x:c r="N68" s="9"/>
      <x:c r="O68" s="9"/>
      <x:c r="P68" s="17"/>
      <x:c r="Q68" s="17"/>
      <x:c r="R68" s="17"/>
      <x:c r="S68" s="17"/>
      <x:c r="T68" s="17"/>
      <x:c r="U68" s="9"/>
      <x:c r="V68" s="11"/>
      <x:c r="W68" s="9"/>
      <x:c r="X68" s="4"/>
      <x:c r="Y68" s="4"/>
      <x:c r="Z68" s="4"/>
      <x:c r="AA68" s="4"/>
      <x:c r="AB68" s="4"/>
      <x:c r="AC68" s="4"/>
      <x:c r="AD68" s="4"/>
      <x:c r="AE68" s="4"/>
      <x:c r="AF68" s="4"/>
      <x:c r="AG68" s="4"/>
      <x:c r="AH68" s="4"/>
      <x:c r="AI68" s="4"/>
      <x:c r="AJ68" s="4"/>
      <x:c r="AK68" s="4"/>
      <x:c r="AL68" s="4"/>
      <x:c r="AM68" s="4"/>
      <x:c r="AN68" s="14"/>
      <x:c r="AZ68"/>
      <x:c r="BA68"/>
      <x:c r="BB68"/>
      <x:c r="BC68"/>
      <x:c r="BD68"/>
      <x:c r="BE68"/>
      <x:c r="BF68"/>
      <x:c r="BG68"/>
      <x:c r="BH68"/>
      <x:c r="BI68"/>
      <x:c r="BJ68"/>
      <x:c r="BK68"/>
      <x:c r="BL68"/>
      <x:c r="BM68"/>
      <x:c r="BN68"/>
      <x:c r="BO68"/>
      <x:c r="BP68"/>
      <x:c r="BQ68"/>
      <x:c r="BR68"/>
      <x:c r="BS68"/>
      <x:c r="BT68"/>
      <x:c r="BU68"/>
      <x:c r="BV68"/>
      <x:c r="BW68"/>
      <x:c r="BX68"/>
      <x:c r="BY68"/>
      <x:c r="BZ68"/>
      <x:c r="CA68"/>
      <x:c r="CB68"/>
      <x:c r="CC68"/>
    </x:row>
    <x:row r="69" ht="75" customHeight="1">
      <x:c r="A69" s="9" t="str">
        <x:v>proposal.natural.lead_ore</x:v>
      </x:c>
      <x:c r="B69" s="9" t="str">
        <x:v>Lead-bearing ore</x:v>
      </x:c>
      <x:c r="C69" s="4" t="str">
        <x:v>T0</x:v>
      </x:c>
      <x:c r="D69" s="9" t="str">
        <x:v>Mineral resources</x:v>
      </x:c>
      <x:c r="E69" s="9" t="str">
        <x:v>Raw mineral</x:v>
      </x:c>
      <x:c r="F69" s="9" t="str">
        <x:v>New proposal</x:v>
      </x:c>
      <x:c r="G69" s="9" t="inlineStr">
        <x:is>
          <x:t xml:space="preserve">Heavy mineral feed for specialized industrial material. It is intended to enter a controlled metal-preparation or refining process; the feed material is distinct from the usable metal eventually produced.</x:t>
        </x:is>
      </x:c>
      <x:c r="H69" s="9" t="str">
        <x:v>None</x:v>
      </x:c>
      <x:c r="I69" s="9" t="str">
        <x:v>Legger / local storage proposed</x:v>
      </x:c>
      <x:c r="J69" s="13"/>
      <x:c r="K69" s="15"/>
      <x:c r="L69" s="9" t="str">
        <x:v>Authored mineral deposit proposal</x:v>
      </x:c>
      <x:c r="M69" s="9" t="str">
        <x:v>Specialist refining and dense-component research</x:v>
      </x:c>
      <x:c r="N69" s="9" t="str">
        <x:v>Not implemented</x:v>
      </x:c>
      <x:c r="O69" s="9" t="str">
        <x:v>Regional lead mining documented; item does not establish easy field refining.</x:v>
      </x:c>
      <x:c r="P69" s="17"/>
      <x:c r="Q69" s="17"/>
      <x:c r="R69" s="17"/>
      <x:c r="S69" s="17"/>
      <x:c r="T69" s="17"/>
      <x:c r="U69" s="9" t="str">
        <x:v>Whether its mass and uses create a worthwhile haul</x:v>
      </x:c>
      <x:c r="V69" s="11"/>
      <x:c r="W69" s="9" t="str">
        <x:v>User brainstorming, October 14, 2026; game uses proposed. Reference: https://www.nps.gov/deva/learn/nature/mining-in-death-valley.htm</x:v>
      </x:c>
      <x:c r="X69" s="4" t="str">
        <x:v>Raw material</x:v>
      </x:c>
      <x:c r="Y69" s="4" t="str">
        <x:v>Raw</x:v>
      </x:c>
      <x:c r="Z69" s="4" t="str">
        <x:v>Geological</x:v>
      </x:c>
      <x:c r="AA69" s="4" t="str">
        <x:v>Metal refining</x:v>
      </x:c>
      <x:c r="AB69" s="4" t="str">
        <x:v>Mineral</x:v>
      </x:c>
      <x:c r="AC69" s="4" t="str">
        <x:v>Rock</x:v>
      </x:c>
      <x:c r="AD69" s="4" t="str">
        <x:v>Proposal</x:v>
      </x:c>
      <x:c r="AE69" s="4" t="str">
        <x:f>LOWER(A69&amp;"; "&amp;B69&amp;"; "&amp;D69&amp;"; "&amp;E69&amp;"; "&amp;X69&amp;"; "&amp;Y69&amp;"; "&amp;Z69&amp;"; "&amp;AA69&amp;"; "&amp;AB69&amp;"; "&amp;AC69&amp;"; "&amp;AD69&amp;"; "&amp;V69&amp;"; "&amp;C69&amp;"; "&amp;AH69&amp;"; "&amp;AI69)</x:f>
        <x:v>proposal.natural.lead_ore; lead-bearing ore; mineral resources; raw mineral; raw material; raw; geological; metal refining; mineral; rock; proposal; ; t0; not applicable; material</x:v>
      </x:c>
      <x:c r="AF69" s="4" t="str">
        <x:v>From current item description. Proposed uses retain their existing approval status. Lore category review: Resources -&gt; Mineral resources. Classification only; original item status and tier retained.</x:v>
      </x:c>
      <x:c r="AG69" s="4" t="str">
        <x:v>Raw gathered/recovered craft input under the author T0 framework. This does not imply a naturally occurring pure metal.</x:v>
      </x:c>
      <x:c r="AH69" s="4" t="str">
        <x:v>Not applicable</x:v>
      </x:c>
      <x:c r="AI69" s="4" t="str">
        <x:v>Material</x:v>
      </x:c>
      <x:c r="AJ69" s="4" t="n">
        <x:f>COUNTIFS('Material routes'!$D$6:$D$2205,A69,'Material routes'!$C$6:$C$2205,"Output")</x:f>
        <x:v>0</x:v>
      </x:c>
      <x:c r="AK69" s="4" t="n">
        <x:f>SUM(COUNTIFS('Material routes'!$D$6:$D$2205,A69,'Material routes'!$C$6:$C$2205,"Ingredient candidate"),COUNTIFS('Material routes'!$D$6:$D$2205,A69,'Material routes'!$C$6:$C$2205,"Consumed input"),COUNTIFS('Material routes'!$D$6:$D$2205,A69,'Material routes'!$C$6:$C$2205,"Contained input"),COUNTIFS('Material routes'!$D$6:$D$2205,A69,'Material routes'!$C$6:$C$2205,"Transform input"))</x:f>
        <x:v>0</x:v>
      </x:c>
      <x:c r="AL69" s="4" t="n">
        <x:f>COUNTIFS('Material routes'!$D$6:$D$2205,A69,'Material routes'!$C$6:$C$2205,"Tool candidate")</x:f>
        <x:v>0</x:v>
      </x:c>
      <x:c r="AM69" s="4" t="str">
        <x:f>IF(AJ69&gt;0,"Route listed; review status/completeness",IF(C69="T0","Raw entry feed; no production route","No production route listed"))</x:f>
        <x:v>Raw entry feed; no production route</x:v>
      </x:c>
      <x:c r="AN69" s="14" t="n">
        <x:f>IF(C69="T0",0,IF(C69="T1",1,IF(C69="T2",2,IF(C69="T3",3,IF(C69="T4",4,IF(C69="Unassigned",98,99))))))</x:f>
        <x:v>0</x:v>
      </x:c>
      <x:c r="AZ69"/>
      <x:c r="BA69"/>
      <x:c r="BB69"/>
      <x:c r="BC69"/>
      <x:c r="BD69"/>
      <x:c r="BE69"/>
      <x:c r="BF69"/>
      <x:c r="BG69"/>
      <x:c r="BH69"/>
      <x:c r="BI69"/>
      <x:c r="BJ69"/>
      <x:c r="BK69"/>
      <x:c r="BL69"/>
      <x:c r="BM69"/>
      <x:c r="BN69"/>
      <x:c r="BO69"/>
      <x:c r="BP69"/>
      <x:c r="BQ69"/>
      <x:c r="BR69"/>
      <x:c r="BS69"/>
      <x:c r="BT69"/>
      <x:c r="BU69"/>
      <x:c r="BV69"/>
      <x:c r="BW69"/>
      <x:c r="BX69"/>
      <x:c r="BY69"/>
      <x:c r="BZ69"/>
      <x:c r="CA69"/>
      <x:c r="CB69"/>
      <x:c r="CC69"/>
    </x:row>
    <x:row r="70" ht="75" customHeight="1">
      <x:c r="A70" s="9" t="str">
        <x:v>proposal.natural.zinc_ore</x:v>
      </x:c>
      <x:c r="B70" s="9" t="str">
        <x:v>Zinc-bearing ore</x:v>
      </x:c>
      <x:c r="C70" s="4" t="str">
        <x:v>T0</x:v>
      </x:c>
      <x:c r="D70" s="9" t="str">
        <x:v>Mineral resources</x:v>
      </x:c>
      <x:c r="E70" s="9" t="str">
        <x:v>Raw mineral</x:v>
      </x:c>
      <x:c r="F70" s="9" t="str">
        <x:v>New proposal</x:v>
      </x:c>
      <x:c r="G70" s="9" t="inlineStr">
        <x:is>
          <x:t xml:space="preserve">Mineral feed for alloy and protective-coating research. It is intended to enter a controlled metal-preparation or refining process; the feed material is distinct from the usable metal eventually produced.</x:t>
        </x:is>
      </x:c>
      <x:c r="H70" s="9" t="str">
        <x:v>None</x:v>
      </x:c>
      <x:c r="I70" s="9" t="str">
        <x:v>Legger / local storage proposed</x:v>
      </x:c>
      <x:c r="J70" s="13"/>
      <x:c r="K70" s="15"/>
      <x:c r="L70" s="9" t="str">
        <x:v>Authored mineral deposit proposal</x:v>
      </x:c>
      <x:c r="M70" s="9" t="str">
        <x:v>Brass/coating research with copper</x:v>
      </x:c>
      <x:c r="N70" s="9" t="str">
        <x:v>Not implemented</x:v>
      </x:c>
      <x:c r="O70" s="9" t="str">
        <x:v>Regional zinc commodity documented; no alloy recipe approved.</x:v>
      </x:c>
      <x:c r="P70" s="17"/>
      <x:c r="Q70" s="17"/>
      <x:c r="R70" s="17"/>
      <x:c r="S70" s="17"/>
      <x:c r="T70" s="17"/>
      <x:c r="U70" s="9" t="str">
        <x:v>Mineral, processing and final equipment uses</x:v>
      </x:c>
      <x:c r="V70" s="11"/>
      <x:c r="W70" s="9" t="str">
        <x:v>User brainstorming, October 14, 2026; game uses proposed. Reference: https://www.nps.gov/deva/learn/nature/mining-in-death-valley.htm</x:v>
      </x:c>
      <x:c r="X70" s="4" t="str">
        <x:v>Raw material</x:v>
      </x:c>
      <x:c r="Y70" s="4" t="str">
        <x:v>Raw</x:v>
      </x:c>
      <x:c r="Z70" s="4" t="str">
        <x:v>Geological</x:v>
      </x:c>
      <x:c r="AA70" s="4" t="str">
        <x:v>Metal refining</x:v>
      </x:c>
      <x:c r="AB70" s="4" t="str">
        <x:v>Mineral</x:v>
      </x:c>
      <x:c r="AC70" s="4" t="str">
        <x:v>Rock</x:v>
      </x:c>
      <x:c r="AD70" s="4" t="str">
        <x:v>Proposal</x:v>
      </x:c>
      <x:c r="AE70" s="4" t="str">
        <x:f>LOWER(A70&amp;"; "&amp;B70&amp;"; "&amp;D70&amp;"; "&amp;E70&amp;"; "&amp;X70&amp;"; "&amp;Y70&amp;"; "&amp;Z70&amp;"; "&amp;AA70&amp;"; "&amp;AB70&amp;"; "&amp;AC70&amp;"; "&amp;AD70&amp;"; "&amp;V70&amp;"; "&amp;C70&amp;"; "&amp;AH70&amp;"; "&amp;AI70)</x:f>
        <x:v>proposal.natural.zinc_ore; zinc-bearing ore; mineral resources; raw mineral; raw material; raw; geological; metal refining; mineral; rock; proposal; ; t0; not applicable; material</x:v>
      </x:c>
      <x:c r="AF70" s="4" t="str">
        <x:v>From current item description. Proposed uses retain their existing approval status. Lore category review: Resources -&gt; Mineral resources. Classification only; original item status and tier retained.</x:v>
      </x:c>
      <x:c r="AG70" s="4" t="str">
        <x:v>Raw gathered/recovered craft input under the author T0 framework. This does not imply a naturally occurring pure metal.</x:v>
      </x:c>
      <x:c r="AH70" s="4" t="str">
        <x:v>Not applicable</x:v>
      </x:c>
      <x:c r="AI70" s="4" t="str">
        <x:v>Material</x:v>
      </x:c>
      <x:c r="AJ70" s="4" t="n">
        <x:f>COUNTIFS('Material routes'!$D$6:$D$2205,A70,'Material routes'!$C$6:$C$2205,"Output")</x:f>
        <x:v>0</x:v>
      </x:c>
      <x:c r="AK70" s="4" t="n">
        <x:f>SUM(COUNTIFS('Material routes'!$D$6:$D$2205,A70,'Material routes'!$C$6:$C$2205,"Ingredient candidate"),COUNTIFS('Material routes'!$D$6:$D$2205,A70,'Material routes'!$C$6:$C$2205,"Consumed input"),COUNTIFS('Material routes'!$D$6:$D$2205,A70,'Material routes'!$C$6:$C$2205,"Contained input"),COUNTIFS('Material routes'!$D$6:$D$2205,A70,'Material routes'!$C$6:$C$2205,"Transform input"))</x:f>
        <x:v>0</x:v>
      </x:c>
      <x:c r="AL70" s="4" t="n">
        <x:f>COUNTIFS('Material routes'!$D$6:$D$2205,A70,'Material routes'!$C$6:$C$2205,"Tool candidate")</x:f>
        <x:v>0</x:v>
      </x:c>
      <x:c r="AM70" s="4" t="str">
        <x:f>IF(AJ70&gt;0,"Route listed; review status/completeness",IF(C70="T0","Raw entry feed; no production route","No production route listed"))</x:f>
        <x:v>Raw entry feed; no production route</x:v>
      </x:c>
      <x:c r="AN70" s="14" t="n">
        <x:f>IF(C70="T0",0,IF(C70="T1",1,IF(C70="T2",2,IF(C70="T3",3,IF(C70="T4",4,IF(C70="Unassigned",98,99))))))</x:f>
        <x:v>0</x:v>
      </x:c>
      <x:c r="AZ70"/>
      <x:c r="BA70"/>
      <x:c r="BB70"/>
      <x:c r="BC70"/>
      <x:c r="BD70"/>
      <x:c r="BE70"/>
      <x:c r="BF70"/>
      <x:c r="BG70"/>
      <x:c r="BH70"/>
      <x:c r="BI70"/>
      <x:c r="BJ70"/>
      <x:c r="BK70"/>
      <x:c r="BL70"/>
      <x:c r="BM70"/>
      <x:c r="BN70"/>
      <x:c r="BO70"/>
      <x:c r="BP70"/>
      <x:c r="BQ70"/>
      <x:c r="BR70"/>
      <x:c r="BS70"/>
      <x:c r="BT70"/>
      <x:c r="BU70"/>
      <x:c r="BV70"/>
      <x:c r="BW70"/>
      <x:c r="BX70"/>
      <x:c r="BY70"/>
      <x:c r="BZ70"/>
      <x:c r="CA70"/>
      <x:c r="CB70"/>
      <x:c r="CC70"/>
    </x:row>
    <x:row r="71" ht="75" customHeight="1">
      <x:c r="A71" s="9" t="str">
        <x:v>proposal.natural.silver_ore</x:v>
      </x:c>
      <x:c r="B71" s="9" t="str">
        <x:v>Silver-bearing ore</x:v>
      </x:c>
      <x:c r="C71" s="4" t="str">
        <x:v>T0</x:v>
      </x:c>
      <x:c r="D71" s="9" t="str">
        <x:v>Mineral resources</x:v>
      </x:c>
      <x:c r="E71" s="9" t="str">
        <x:v>Raw mineral</x:v>
      </x:c>
      <x:c r="F71" s="9" t="str">
        <x:v>New proposal</x:v>
      </x:c>
      <x:c r="G71" s="9" t="inlineStr">
        <x:is>
          <x:t xml:space="preserve">Mineral feed for trade and specialist contact research. It is intended to enter a controlled metal-preparation or refining process; the feed material is distinct from the usable metal eventually produced.</x:t>
        </x:is>
      </x:c>
      <x:c r="H71" s="9" t="str">
        <x:v>None</x:v>
      </x:c>
      <x:c r="I71" s="9" t="str">
        <x:v>Legger / local storage proposed</x:v>
      </x:c>
      <x:c r="J71" s="13"/>
      <x:c r="K71" s="15"/>
      <x:c r="L71" s="9" t="str">
        <x:v>Authored high-grade seam proposal</x:v>
      </x:c>
      <x:c r="M71" s="9" t="str">
        <x:v>Refining and trade research</x:v>
      </x:c>
      <x:c r="N71" s="9" t="str">
        <x:v>Not implemented</x:v>
      </x:c>
      <x:c r="O71" s="9" t="str">
        <x:v>Regional silver mining documented; value is undecided.</x:v>
      </x:c>
      <x:c r="P71" s="17"/>
      <x:c r="Q71" s="17"/>
      <x:c r="R71" s="17"/>
      <x:c r="S71" s="17"/>
      <x:c r="T71" s="17"/>
      <x:c r="U71" s="9" t="str">
        <x:v>Use beyond trade and relation to copper conductors</x:v>
      </x:c>
      <x:c r="V71" s="11" t="str">
        <x:v>electrical conduction</x:v>
      </x:c>
      <x:c r="W71" s="9" t="str">
        <x:v>User brainstorming, October 14, 2026; game uses proposed. Reference: https://www.nps.gov/deva/learn/nature/mining-in-death-valley.htm</x:v>
      </x:c>
      <x:c r="X71" s="4" t="str">
        <x:v>Raw material</x:v>
      </x:c>
      <x:c r="Y71" s="4" t="str">
        <x:v>Raw</x:v>
      </x:c>
      <x:c r="Z71" s="4" t="str">
        <x:v>Geological</x:v>
      </x:c>
      <x:c r="AA71" s="4" t="str">
        <x:v>Metal refining</x:v>
      </x:c>
      <x:c r="AB71" s="4" t="str">
        <x:v>Mineral</x:v>
      </x:c>
      <x:c r="AC71" s="4" t="str">
        <x:v>Rock</x:v>
      </x:c>
      <x:c r="AD71" s="4" t="str">
        <x:v>Proposal</x:v>
      </x:c>
      <x:c r="AE71" s="4" t="str">
        <x:f>LOWER(A71&amp;"; "&amp;B71&amp;"; "&amp;D71&amp;"; "&amp;E71&amp;"; "&amp;X71&amp;"; "&amp;Y71&amp;"; "&amp;Z71&amp;"; "&amp;AA71&amp;"; "&amp;AB71&amp;"; "&amp;AC71&amp;"; "&amp;AD71&amp;"; "&amp;V71&amp;"; "&amp;C71&amp;"; "&amp;AH71&amp;"; "&amp;AI71)</x:f>
        <x:v>proposal.natural.silver_ore; silver-bearing ore; mineral resources; raw mineral; raw material; raw; geological; metal refining; mineral; rock; proposal; electrical conduction; t0; not applicable; material</x:v>
      </x:c>
      <x:c r="AF71" s="4" t="str">
        <x:v>From current item description. Proposed uses retain their existing approval status. Lore category review: Resources -&gt; Mineral resources. Classification only; original item status and tier retained.</x:v>
      </x:c>
      <x:c r="AG71" s="4" t="str">
        <x:v>Raw gathered/recovered craft input under the author T0 framework. This does not imply a naturally occurring pure metal.</x:v>
      </x:c>
      <x:c r="AH71" s="4" t="str">
        <x:v>Not applicable</x:v>
      </x:c>
      <x:c r="AI71" s="4" t="str">
        <x:v>Material</x:v>
      </x:c>
      <x:c r="AJ71" s="4" t="n">
        <x:f>COUNTIFS('Material routes'!$D$6:$D$2205,A71,'Material routes'!$C$6:$C$2205,"Output")</x:f>
        <x:v>0</x:v>
      </x:c>
      <x:c r="AK71" s="4" t="n">
        <x:f>SUM(COUNTIFS('Material routes'!$D$6:$D$2205,A71,'Material routes'!$C$6:$C$2205,"Ingredient candidate"),COUNTIFS('Material routes'!$D$6:$D$2205,A71,'Material routes'!$C$6:$C$2205,"Consumed input"),COUNTIFS('Material routes'!$D$6:$D$2205,A71,'Material routes'!$C$6:$C$2205,"Contained input"),COUNTIFS('Material routes'!$D$6:$D$2205,A71,'Material routes'!$C$6:$C$2205,"Transform input"))</x:f>
        <x:v>0</x:v>
      </x:c>
      <x:c r="AL71" s="4" t="n">
        <x:f>COUNTIFS('Material routes'!$D$6:$D$2205,A71,'Material routes'!$C$6:$C$2205,"Tool candidate")</x:f>
        <x:v>0</x:v>
      </x:c>
      <x:c r="AM71" s="4" t="str">
        <x:f>IF(AJ71&gt;0,"Route listed; review status/completeness",IF(C71="T0","Raw entry feed; no production route","No production route listed"))</x:f>
        <x:v>Raw entry feed; no production route</x:v>
      </x:c>
      <x:c r="AN71" s="14" t="n">
        <x:f>IF(C71="T0",0,IF(C71="T1",1,IF(C71="T2",2,IF(C71="T3",3,IF(C71="T4",4,IF(C71="Unassigned",98,99))))))</x:f>
        <x:v>0</x:v>
      </x:c>
      <x:c r="AZ71"/>
      <x:c r="BA71"/>
      <x:c r="BB71"/>
      <x:c r="BC71"/>
      <x:c r="BD71"/>
      <x:c r="BE71"/>
      <x:c r="BF71"/>
      <x:c r="BG71"/>
      <x:c r="BH71"/>
      <x:c r="BI71"/>
      <x:c r="BJ71"/>
      <x:c r="BK71"/>
      <x:c r="BL71"/>
      <x:c r="BM71"/>
      <x:c r="BN71"/>
      <x:c r="BO71"/>
      <x:c r="BP71"/>
      <x:c r="BQ71"/>
      <x:c r="BR71"/>
      <x:c r="BS71"/>
      <x:c r="BT71"/>
      <x:c r="BU71"/>
      <x:c r="BV71"/>
      <x:c r="BW71"/>
      <x:c r="BX71"/>
      <x:c r="BY71"/>
      <x:c r="BZ71"/>
      <x:c r="CA71"/>
      <x:c r="CB71"/>
      <x:c r="CC71"/>
    </x:row>
    <x:row r="72" ht="75" customHeight="1">
      <x:c r="A72" s="9" t="str">
        <x:v>proposal.natural.gold_rock</x:v>
      </x:c>
      <x:c r="B72" s="9" t="str">
        <x:v>Gold-bearing rock</x:v>
      </x:c>
      <x:c r="C72" s="4" t="str">
        <x:v>T0</x:v>
      </x:c>
      <x:c r="D72" s="9" t="str">
        <x:v>Mineral resources</x:v>
      </x:c>
      <x:c r="E72" s="9" t="str">
        <x:v>Raw mineral</x:v>
      </x:c>
      <x:c r="F72" s="9" t="str">
        <x:v>New proposal</x:v>
      </x:c>
      <x:c r="G72" s="9" t="inlineStr">
        <x:is>
          <x:t xml:space="preserve">Scarce mineral feed for trade and specialist components. It is intended to enter a controlled metal-preparation or refining process; the feed material is distinct from the usable metal eventually produced.</x:t>
        </x:is>
      </x:c>
      <x:c r="H72" s="9" t="str">
        <x:v>None</x:v>
      </x:c>
      <x:c r="I72" s="9" t="str">
        <x:v>Legger / local storage proposed</x:v>
      </x:c>
      <x:c r="J72" s="13"/>
      <x:c r="K72" s="15"/>
      <x:c r="L72" s="9" t="str">
        <x:v>Authored mineral deposit proposal</x:v>
      </x:c>
      <x:c r="M72" s="9" t="str">
        <x:v>Separation/refining and trade research</x:v>
      </x:c>
      <x:c r="N72" s="9" t="str">
        <x:v>Not implemented</x:v>
      </x:c>
      <x:c r="O72" s="9" t="str">
        <x:v>Regional gold mining documented; no currency or rarity value set.</x:v>
      </x:c>
      <x:c r="P72" s="17"/>
      <x:c r="Q72" s="17"/>
      <x:c r="R72" s="17"/>
      <x:c r="S72" s="17"/>
      <x:c r="T72" s="17"/>
      <x:c r="U72" s="9" t="str">
        <x:v>Whether gold has a meaningful survival-economy role</x:v>
      </x:c>
      <x:c r="V72" s="11" t="str">
        <x:v>decoration</x:v>
      </x:c>
      <x:c r="W72" s="9" t="str">
        <x:v>User brainstorming, October 14, 2026; game uses proposed. Reference: https://www.nps.gov/deva/learn/nature/mining-in-death-valley.htm</x:v>
      </x:c>
      <x:c r="X72" s="4" t="str">
        <x:v>Raw material</x:v>
      </x:c>
      <x:c r="Y72" s="4" t="str">
        <x:v>Raw</x:v>
      </x:c>
      <x:c r="Z72" s="4" t="str">
        <x:v>Geological</x:v>
      </x:c>
      <x:c r="AA72" s="4" t="str">
        <x:v>Metal refining</x:v>
      </x:c>
      <x:c r="AB72" s="4" t="str">
        <x:v>Mineral</x:v>
      </x:c>
      <x:c r="AC72" s="4" t="str">
        <x:v>Rock</x:v>
      </x:c>
      <x:c r="AD72" s="4" t="str">
        <x:v>Proposal</x:v>
      </x:c>
      <x:c r="AE72" s="4" t="str">
        <x:f>LOWER(A72&amp;"; "&amp;B72&amp;"; "&amp;D72&amp;"; "&amp;E72&amp;"; "&amp;X72&amp;"; "&amp;Y72&amp;"; "&amp;Z72&amp;"; "&amp;AA72&amp;"; "&amp;AB72&amp;"; "&amp;AC72&amp;"; "&amp;AD72&amp;"; "&amp;V72&amp;"; "&amp;C72&amp;"; "&amp;AH72&amp;"; "&amp;AI72)</x:f>
        <x:v>proposal.natural.gold_rock; gold-bearing rock; mineral resources; raw mineral; raw material; raw; geological; metal refining; mineral; rock; proposal; decoration; t0; not applicable; material</x:v>
      </x:c>
      <x:c r="AF72" s="4" t="str">
        <x:v>From current item description. Proposed uses retain their existing approval status. Lore category review: Resources -&gt; Mineral resources. Classification only; original item status and tier retained.</x:v>
      </x:c>
      <x:c r="AG72" s="4" t="str">
        <x:v>Raw gathered/recovered craft input under the author T0 framework. This does not imply a naturally occurring pure metal.</x:v>
      </x:c>
      <x:c r="AH72" s="4" t="str">
        <x:v>Not applicable</x:v>
      </x:c>
      <x:c r="AI72" s="4" t="str">
        <x:v>Material</x:v>
      </x:c>
      <x:c r="AJ72" s="4" t="n">
        <x:f>COUNTIFS('Material routes'!$D$6:$D$2205,A72,'Material routes'!$C$6:$C$2205,"Output")</x:f>
        <x:v>0</x:v>
      </x:c>
      <x:c r="AK72" s="4" t="n">
        <x:f>SUM(COUNTIFS('Material routes'!$D$6:$D$2205,A72,'Material routes'!$C$6:$C$2205,"Ingredient candidate"),COUNTIFS('Material routes'!$D$6:$D$2205,A72,'Material routes'!$C$6:$C$2205,"Consumed input"),COUNTIFS('Material routes'!$D$6:$D$2205,A72,'Material routes'!$C$6:$C$2205,"Contained input"),COUNTIFS('Material routes'!$D$6:$D$2205,A72,'Material routes'!$C$6:$C$2205,"Transform input"))</x:f>
        <x:v>0</x:v>
      </x:c>
      <x:c r="AL72" s="4" t="n">
        <x:f>COUNTIFS('Material routes'!$D$6:$D$2205,A72,'Material routes'!$C$6:$C$2205,"Tool candidate")</x:f>
        <x:v>0</x:v>
      </x:c>
      <x:c r="AM72" s="4" t="str">
        <x:f>IF(AJ72&gt;0,"Route listed; review status/completeness",IF(C72="T0","Raw entry feed; no production route","No production route listed"))</x:f>
        <x:v>Raw entry feed; no production route</x:v>
      </x:c>
      <x:c r="AN72" s="14" t="n">
        <x:f>IF(C72="T0",0,IF(C72="T1",1,IF(C72="T2",2,IF(C72="T3",3,IF(C72="T4",4,IF(C72="Unassigned",98,99))))))</x:f>
        <x:v>0</x:v>
      </x:c>
      <x:c r="AZ72"/>
      <x:c r="BA72"/>
      <x:c r="BB72"/>
      <x:c r="BC72"/>
      <x:c r="BD72"/>
      <x:c r="BE72"/>
      <x:c r="BF72"/>
      <x:c r="BG72"/>
      <x:c r="BH72"/>
      <x:c r="BI72"/>
      <x:c r="BJ72"/>
      <x:c r="BK72"/>
      <x:c r="BL72"/>
      <x:c r="BM72"/>
      <x:c r="BN72"/>
      <x:c r="BO72"/>
      <x:c r="BP72"/>
      <x:c r="BQ72"/>
      <x:c r="BR72"/>
      <x:c r="BS72"/>
      <x:c r="BT72"/>
      <x:c r="BU72"/>
      <x:c r="BV72"/>
      <x:c r="BW72"/>
      <x:c r="BX72"/>
      <x:c r="BY72"/>
      <x:c r="BZ72"/>
      <x:c r="CA72"/>
      <x:c r="CB72"/>
      <x:c r="CC72"/>
    </x:row>
    <x:row r="73" ht="75" customHeight="1">
      <x:c r="A73" s="9" t="str">
        <x:v>proposal.natural.fluorite</x:v>
      </x:c>
      <x:c r="B73" s="9" t="str">
        <x:v>Raw fluorite</x:v>
      </x:c>
      <x:c r="C73" s="4" t="str">
        <x:v>T0</x:v>
      </x:c>
      <x:c r="D73" s="9" t="str">
        <x:v>Mineral resources</x:v>
      </x:c>
      <x:c r="E73" s="9" t="str">
        <x:v>Industrial mineral</x:v>
      </x:c>
      <x:c r="F73" s="9" t="str">
        <x:v>New proposal</x:v>
      </x:c>
      <x:c r="G73" s="9" t="inlineStr">
        <x:is>
          <x:t xml:space="preserve">Mineral feed for specialist ceramic/metallurgical research. It is intended for a matched glassworking or ceramic process, with composition, forming and controlled heat determining the useful result.</x:t>
        </x:is>
      </x:c>
      <x:c r="H73" s="9" t="str">
        <x:v>None</x:v>
      </x:c>
      <x:c r="I73" s="9" t="str">
        <x:v>Legger / local storage proposed</x:v>
      </x:c>
      <x:c r="J73" s="13"/>
      <x:c r="K73" s="15"/>
      <x:c r="L73" s="9" t="str">
        <x:v>Authored mineral deposit proposal</x:v>
      </x:c>
      <x:c r="M73" s="9" t="str">
        <x:v>Flux/optical-material research</x:v>
      </x:c>
      <x:c r="N73" s="9" t="str">
        <x:v>Not implemented</x:v>
      </x:c>
      <x:c r="O73" s="9" t="str">
        <x:v>NPS lists fluorspar; proposed manufacturing uses need their own design.</x:v>
      </x:c>
      <x:c r="P73" s="17"/>
      <x:c r="Q73" s="17"/>
      <x:c r="R73" s="17"/>
      <x:c r="S73" s="17"/>
      <x:c r="T73" s="17"/>
      <x:c r="U73" s="9" t="str">
        <x:v>Distinct use, processing and game naming</x:v>
      </x:c>
      <x:c r="V73" s="11" t="str">
        <x:v>metal refining</x:v>
      </x:c>
      <x:c r="W73" s="9" t="str">
        <x:v>User brainstorming, October 14, 2026; game uses proposed. Reference: https://home.nps.gov/deva/faqs.htm</x:v>
      </x:c>
      <x:c r="X73" s="4" t="str">
        <x:v>Raw material</x:v>
      </x:c>
      <x:c r="Y73" s="4" t="str">
        <x:v>Raw</x:v>
      </x:c>
      <x:c r="Z73" s="4" t="str">
        <x:v>Geological</x:v>
      </x:c>
      <x:c r="AA73" s="4" t="str">
        <x:v>Glass and ceramics</x:v>
      </x:c>
      <x:c r="AB73" s="4" t="str">
        <x:v>Mineral</x:v>
      </x:c>
      <x:c r="AC73" s="4" t="str">
        <x:v>Rock</x:v>
      </x:c>
      <x:c r="AD73" s="4" t="str">
        <x:v>Proposal</x:v>
      </x:c>
      <x:c r="AE73" s="4" t="str">
        <x:f>LOWER(A73&amp;"; "&amp;B73&amp;"; "&amp;D73&amp;"; "&amp;E73&amp;"; "&amp;X73&amp;"; "&amp;Y73&amp;"; "&amp;Z73&amp;"; "&amp;AA73&amp;"; "&amp;AB73&amp;"; "&amp;AC73&amp;"; "&amp;AD73&amp;"; "&amp;V73&amp;"; "&amp;C73&amp;"; "&amp;AH73&amp;"; "&amp;AI73)</x:f>
        <x:v>proposal.natural.fluorite; raw fluorite; mineral resources; industrial mineral; raw material; raw; geological; glass and ceramics; mineral; rock; proposal; metal refining; t0; not applicable; material</x:v>
      </x:c>
      <x:c r="AF73" s="4" t="str">
        <x:v>From current item description. Proposed uses retain their existing approval status. Lore category review: Resources -&gt; Mineral resources. Classification only; original item status and tier retained.</x:v>
      </x:c>
      <x:c r="AG73" s="4" t="str">
        <x:v>Raw gathered/recovered craft input under the author T0 framework. This does not imply a naturally occurring pure metal.</x:v>
      </x:c>
      <x:c r="AH73" s="4" t="str">
        <x:v>Not applicable</x:v>
      </x:c>
      <x:c r="AI73" s="4" t="str">
        <x:v>Material</x:v>
      </x:c>
      <x:c r="AJ73" s="4" t="n">
        <x:f>COUNTIFS('Material routes'!$D$6:$D$2205,A73,'Material routes'!$C$6:$C$2205,"Output")</x:f>
        <x:v>0</x:v>
      </x:c>
      <x:c r="AK73" s="4" t="n">
        <x:f>SUM(COUNTIFS('Material routes'!$D$6:$D$2205,A73,'Material routes'!$C$6:$C$2205,"Ingredient candidate"),COUNTIFS('Material routes'!$D$6:$D$2205,A73,'Material routes'!$C$6:$C$2205,"Consumed input"),COUNTIFS('Material routes'!$D$6:$D$2205,A73,'Material routes'!$C$6:$C$2205,"Contained input"),COUNTIFS('Material routes'!$D$6:$D$2205,A73,'Material routes'!$C$6:$C$2205,"Transform input"))</x:f>
        <x:v>0</x:v>
      </x:c>
      <x:c r="AL73" s="4" t="n">
        <x:f>COUNTIFS('Material routes'!$D$6:$D$2205,A73,'Material routes'!$C$6:$C$2205,"Tool candidate")</x:f>
        <x:v>0</x:v>
      </x:c>
      <x:c r="AM73" s="4" t="str">
        <x:f>IF(AJ73&gt;0,"Route listed; review status/completeness",IF(C73="T0","Raw entry feed; no production route","No production route listed"))</x:f>
        <x:v>Raw entry feed; no production route</x:v>
      </x:c>
      <x:c r="AN73" s="14" t="n">
        <x:f>IF(C73="T0",0,IF(C73="T1",1,IF(C73="T2",2,IF(C73="T3",3,IF(C73="T4",4,IF(C73="Unassigned",98,99))))))</x:f>
        <x:v>0</x:v>
      </x:c>
      <x:c r="AZ73"/>
      <x:c r="BA73"/>
      <x:c r="BB73"/>
      <x:c r="BC73"/>
      <x:c r="BD73"/>
      <x:c r="BE73"/>
      <x:c r="BF73"/>
      <x:c r="BG73"/>
      <x:c r="BH73"/>
      <x:c r="BI73"/>
      <x:c r="BJ73"/>
      <x:c r="BK73"/>
      <x:c r="BL73"/>
      <x:c r="BM73"/>
      <x:c r="BN73"/>
      <x:c r="BO73"/>
      <x:c r="BP73"/>
      <x:c r="BQ73"/>
      <x:c r="BR73"/>
      <x:c r="BS73"/>
      <x:c r="BT73"/>
      <x:c r="BU73"/>
      <x:c r="BV73"/>
      <x:c r="BW73"/>
      <x:c r="BX73"/>
      <x:c r="BY73"/>
      <x:c r="BZ73"/>
      <x:c r="CA73"/>
      <x:c r="CB73"/>
      <x:c r="CC73"/>
    </x:row>
    <x:row r="74" ht="75" customHeight="1">
      <x:c r="A74" s="9" t="str">
        <x:v>proposal.natural.antimony_ore</x:v>
      </x:c>
      <x:c r="B74" s="9" t="str">
        <x:v>Antimony-bearing ore</x:v>
      </x:c>
      <x:c r="C74" s="4" t="str">
        <x:v>T0</x:v>
      </x:c>
      <x:c r="D74" s="9" t="str">
        <x:v>Mineral resources</x:v>
      </x:c>
      <x:c r="E74" s="9" t="str">
        <x:v>Raw mineral</x:v>
      </x:c>
      <x:c r="F74" s="9" t="str">
        <x:v>New proposal</x:v>
      </x:c>
      <x:c r="G74" s="9" t="inlineStr">
        <x:is>
          <x:t xml:space="preserve">Mineral feed for specialist alloy research. It is intended to enter a controlled metal-preparation or refining process; the feed material is distinct from the usable metal eventually produced.</x:t>
        </x:is>
      </x:c>
      <x:c r="H74" s="9" t="str">
        <x:v>None</x:v>
      </x:c>
      <x:c r="I74" s="9" t="str">
        <x:v>Legger / local storage proposed</x:v>
      </x:c>
      <x:c r="J74" s="13"/>
      <x:c r="K74" s="15"/>
      <x:c r="L74" s="9" t="str">
        <x:v>Authored mineral deposit proposal</x:v>
      </x:c>
      <x:c r="M74" s="9" t="str">
        <x:v>Advanced alloy research</x:v>
      </x:c>
      <x:c r="N74" s="9" t="str">
        <x:v>Not implemented</x:v>
      </x:c>
      <x:c r="O74" s="9" t="str">
        <x:v>Regional antimony commodity documented; no final ore species or recipe selected.</x:v>
      </x:c>
      <x:c r="P74" s="17"/>
      <x:c r="Q74" s="17"/>
      <x:c r="R74" s="17"/>
      <x:c r="S74" s="17"/>
      <x:c r="T74" s="17"/>
      <x:c r="U74" s="9" t="str">
        <x:v>Keep only if advanced crafting needs this separate material</x:v>
      </x:c>
      <x:c r="V74" s="11"/>
      <x:c r="W74" s="9" t="str">
        <x:v>User brainstorming, October 14, 2026; game uses proposed. Reference: https://www.nps.gov/deva/learn/nature/mining-in-death-valley.htm</x:v>
      </x:c>
      <x:c r="X74" s="4" t="str">
        <x:v>Raw material</x:v>
      </x:c>
      <x:c r="Y74" s="4" t="str">
        <x:v>Raw</x:v>
      </x:c>
      <x:c r="Z74" s="4" t="str">
        <x:v>Geological</x:v>
      </x:c>
      <x:c r="AA74" s="4" t="str">
        <x:v>Metal refining</x:v>
      </x:c>
      <x:c r="AB74" s="4" t="str">
        <x:v>Mineral</x:v>
      </x:c>
      <x:c r="AC74" s="4" t="str">
        <x:v>Rock</x:v>
      </x:c>
      <x:c r="AD74" s="4" t="str">
        <x:v>Proposal</x:v>
      </x:c>
      <x:c r="AE74" s="4" t="str">
        <x:f>LOWER(A74&amp;"; "&amp;B74&amp;"; "&amp;D74&amp;"; "&amp;E74&amp;"; "&amp;X74&amp;"; "&amp;Y74&amp;"; "&amp;Z74&amp;"; "&amp;AA74&amp;"; "&amp;AB74&amp;"; "&amp;AC74&amp;"; "&amp;AD74&amp;"; "&amp;V74&amp;"; "&amp;C74&amp;"; "&amp;AH74&amp;"; "&amp;AI74)</x:f>
        <x:v>proposal.natural.antimony_ore; antimony-bearing ore; mineral resources; raw mineral; raw material; raw; geological; metal refining; mineral; rock; proposal; ; t0; not applicable; material</x:v>
      </x:c>
      <x:c r="AF74" s="4" t="str">
        <x:v>From current item description. Proposed uses retain their existing approval status. Lore category review: Resources -&gt; Mineral resources. Classification only; original item status and tier retained.</x:v>
      </x:c>
      <x:c r="AG74" s="4" t="str">
        <x:v>Raw gathered/recovered craft input under the author T0 framework. This does not imply a naturally occurring pure metal.</x:v>
      </x:c>
      <x:c r="AH74" s="4" t="str">
        <x:v>Not applicable</x:v>
      </x:c>
      <x:c r="AI74" s="4" t="str">
        <x:v>Material</x:v>
      </x:c>
      <x:c r="AJ74" s="4" t="n">
        <x:f>COUNTIFS('Material routes'!$D$6:$D$2205,A74,'Material routes'!$C$6:$C$2205,"Output")</x:f>
        <x:v>0</x:v>
      </x:c>
      <x:c r="AK74" s="4" t="n">
        <x:f>SUM(COUNTIFS('Material routes'!$D$6:$D$2205,A74,'Material routes'!$C$6:$C$2205,"Ingredient candidate"),COUNTIFS('Material routes'!$D$6:$D$2205,A74,'Material routes'!$C$6:$C$2205,"Consumed input"),COUNTIFS('Material routes'!$D$6:$D$2205,A74,'Material routes'!$C$6:$C$2205,"Contained input"),COUNTIFS('Material routes'!$D$6:$D$2205,A74,'Material routes'!$C$6:$C$2205,"Transform input"))</x:f>
        <x:v>0</x:v>
      </x:c>
      <x:c r="AL74" s="4" t="n">
        <x:f>COUNTIFS('Material routes'!$D$6:$D$2205,A74,'Material routes'!$C$6:$C$2205,"Tool candidate")</x:f>
        <x:v>0</x:v>
      </x:c>
      <x:c r="AM74" s="4" t="str">
        <x:f>IF(AJ74&gt;0,"Route listed; review status/completeness",IF(C74="T0","Raw entry feed; no production route","No production route listed"))</x:f>
        <x:v>Raw entry feed; no production route</x:v>
      </x:c>
      <x:c r="AN74" s="14" t="n">
        <x:f>IF(C74="T0",0,IF(C74="T1",1,IF(C74="T2",2,IF(C74="T3",3,IF(C74="T4",4,IF(C74="Unassigned",98,99))))))</x:f>
        <x:v>0</x:v>
      </x:c>
      <x:c r="AZ74"/>
      <x:c r="BA74"/>
      <x:c r="BB74"/>
      <x:c r="BC74"/>
      <x:c r="BD74"/>
      <x:c r="BE74"/>
      <x:c r="BF74"/>
      <x:c r="BG74"/>
      <x:c r="BH74"/>
      <x:c r="BI74"/>
      <x:c r="BJ74"/>
      <x:c r="BK74"/>
      <x:c r="BL74"/>
      <x:c r="BM74"/>
      <x:c r="BN74"/>
      <x:c r="BO74"/>
      <x:c r="BP74"/>
      <x:c r="BQ74"/>
      <x:c r="BR74"/>
      <x:c r="BS74"/>
      <x:c r="BT74"/>
      <x:c r="BU74"/>
      <x:c r="BV74"/>
      <x:c r="BW74"/>
      <x:c r="BX74"/>
      <x:c r="BY74"/>
      <x:c r="BZ74"/>
      <x:c r="CA74"/>
      <x:c r="CB74"/>
      <x:c r="CC74"/>
    </x:row>
    <x:row r="75" ht="75" customHeight="1">
      <x:c r="A75" s="9" t="str">
        <x:v>proposal.bio.chitin_fibers</x:v>
      </x:c>
      <x:c r="B75" s="9" t="str">
        <x:v>Scraped chitin fibers</x:v>
      </x:c>
      <x:c r="C75" s="4" t="str">
        <x:v>T0</x:v>
      </x:c>
      <x:c r="D75" s="9" t="str">
        <x:v>Biological resources</x:v>
      </x:c>
      <x:c r="E75" s="9" t="str">
        <x:v>Raw husk fiber</x:v>
      </x:c>
      <x:c r="F75" s="9" t="str">
        <x:v>User direction; not implemented</x:v>
      </x:c>
      <x:c r="G75" s="9" t="inlineStr">
        <x:is>
          <x:t xml:space="preserve">Abundant husk fiber feed for paper and difficult pressed textiles. It supplies candidate fibers or prepared feed for husk-based paper, which must still be processed and formed into a usable sheet.</x:t>
        </x:is>
      </x:c>
      <x:c r="H75" s="9" t="str">
        <x:v>None</x:v>
      </x:c>
      <x:c r="I75" s="9" t="str">
        <x:v>Legger / local storage proposed</x:v>
      </x:c>
      <x:c r="J75" s="13"/>
      <x:c r="K75" s="15"/>
      <x:c r="L75" s="9" t="str">
        <x:v>Scrape shell husks</x:v>
      </x:c>
      <x:c r="M75" s="9" t="str">
        <x:v>Main paper feedstock; textile conversion very difficult</x:v>
      </x:c>
      <x:c r="N75" s="9" t="str">
        <x:v>Not implemented</x:v>
      </x:c>
      <x:c r="O75" s="9" t="str">
        <x:v>Abundance applies to raw fibers; no numeric output yield approved.</x:v>
      </x:c>
      <x:c r="P75" s="17"/>
      <x:c r="Q75" s="17"/>
      <x:c r="R75" s="17"/>
      <x:c r="S75" s="17"/>
      <x:c r="T75" s="17"/>
      <x:c r="U75" s="9" t="str">
        <x:v>Distinction from icore and exact processing; fashion-crafting input: high sale-value intent; large material/time demand; exact prices and quantities TBD</x:v>
      </x:c>
      <x:c r="V75" s="11" t="str">
        <x:v>textile processing</x:v>
      </x:c>
      <x:c r="W75" s="9" t="str">
        <x:v>Docs/WORLD_BASIS.md#material-culture; author direction October 14, 2026. Process details and specific product forms remain unimplemented.</x:v>
      </x:c>
      <x:c r="X75" s="4" t="str">
        <x:v>Raw material</x:v>
      </x:c>
      <x:c r="Y75" s="4" t="str">
        <x:v>Raw</x:v>
      </x:c>
      <x:c r="Z75" s="4" t="str">
        <x:v>Fauna</x:v>
      </x:c>
      <x:c r="AA75" s="4" t="str">
        <x:v>Paper making</x:v>
      </x:c>
      <x:c r="AB75" s="4" t="str">
        <x:v>Shell / chitin</x:v>
      </x:c>
      <x:c r="AC75" s="4" t="str">
        <x:v>Fiber</x:v>
      </x:c>
      <x:c r="AD75" s="4" t="str">
        <x:v>Author direction</x:v>
      </x:c>
      <x:c r="AE75" s="4" t="str">
        <x:f>LOWER(A75&amp;"; "&amp;B75&amp;"; "&amp;D75&amp;"; "&amp;E75&amp;"; "&amp;X75&amp;"; "&amp;Y75&amp;"; "&amp;Z75&amp;"; "&amp;AA75&amp;"; "&amp;AB75&amp;"; "&amp;AC75&amp;"; "&amp;AD75&amp;"; "&amp;V75&amp;"; "&amp;C75&amp;"; "&amp;AH75&amp;"; "&amp;AI75)</x:f>
        <x:v>proposal.bio.chitin_fibers; scraped chitin fibers; biological resources; raw husk fiber; raw material; raw; fauna; paper making; shell / chitin; fiber; author direction; textile processing; t0; not applicable; material</x:v>
      </x:c>
      <x:c r="AF75" s="4" t="str">
        <x:v>From current item description. Proposed uses retain their existing approval status. Lore category review: Resources -&gt; Biological resources. Classification only; original item status and tier retained.</x:v>
      </x:c>
      <x:c r="AG75" s="4" t="str">
        <x:v>Raw gathered/recovered craft input under the author T0 framework. This does not imply a naturally occurring pure metal.</x:v>
      </x:c>
      <x:c r="AH75" s="4" t="str">
        <x:v>Not applicable</x:v>
      </x:c>
      <x:c r="AI75" s="4" t="str">
        <x:v>Material</x:v>
      </x:c>
      <x:c r="AJ75" s="4" t="n">
        <x:f>COUNTIFS('Material routes'!$D$6:$D$2205,A75,'Material routes'!$C$6:$C$2205,"Output")</x:f>
        <x:v>1</x:v>
      </x:c>
      <x:c r="AK75" s="4" t="n">
        <x:f>SUM(COUNTIFS('Material routes'!$D$6:$D$2205,A75,'Material routes'!$C$6:$C$2205,"Ingredient candidate"),COUNTIFS('Material routes'!$D$6:$D$2205,A75,'Material routes'!$C$6:$C$2205,"Consumed input"),COUNTIFS('Material routes'!$D$6:$D$2205,A75,'Material routes'!$C$6:$C$2205,"Contained input"),COUNTIFS('Material routes'!$D$6:$D$2205,A75,'Material routes'!$C$6:$C$2205,"Transform input"))</x:f>
        <x:v>3</x:v>
      </x:c>
      <x:c r="AL75" s="4" t="n">
        <x:f>COUNTIFS('Material routes'!$D$6:$D$2205,A75,'Material routes'!$C$6:$C$2205,"Tool candidate")</x:f>
        <x:v>0</x:v>
      </x:c>
      <x:c r="AM75" s="4" t="str">
        <x:f>IF(AJ75&gt;0,"Route listed; review status/completeness",IF(C75="T0","Raw entry feed; no production route","No production route listed"))</x:f>
        <x:v>Route listed; review status/completeness</x:v>
      </x:c>
      <x:c r="AN75" s="14" t="n">
        <x:f>IF(C75="T0",0,IF(C75="T1",1,IF(C75="T2",2,IF(C75="T3",3,IF(C75="T4",4,IF(C75="Unassigned",98,99))))))</x:f>
        <x:v>0</x:v>
      </x:c>
      <x:c r="AZ75"/>
      <x:c r="BA75"/>
      <x:c r="BB75"/>
      <x:c r="BC75"/>
      <x:c r="BD75"/>
      <x:c r="BE75"/>
      <x:c r="BF75"/>
      <x:c r="BG75"/>
      <x:c r="BH75"/>
      <x:c r="BI75"/>
      <x:c r="BJ75"/>
      <x:c r="BK75"/>
      <x:c r="BL75"/>
      <x:c r="BM75"/>
      <x:c r="BN75"/>
      <x:c r="BO75"/>
      <x:c r="BP75"/>
      <x:c r="BQ75"/>
      <x:c r="BR75"/>
      <x:c r="BS75"/>
      <x:c r="BT75"/>
      <x:c r="BU75"/>
      <x:c r="BV75"/>
      <x:c r="BW75"/>
      <x:c r="BX75"/>
      <x:c r="BY75"/>
      <x:c r="BZ75"/>
      <x:c r="CA75"/>
      <x:c r="CB75"/>
      <x:c r="CC75"/>
    </x:row>
    <x:row r="76" ht="75" customHeight="1">
      <x:c r="A76" s="9" t="str">
        <x:v>proposal.bio.icore_fibers</x:v>
      </x:c>
      <x:c r="B76" s="9" t="str">
        <x:v>Scraped icore fibers</x:v>
      </x:c>
      <x:c r="C76" s="4" t="str">
        <x:v>T0</x:v>
      </x:c>
      <x:c r="D76" s="9" t="str">
        <x:v>Biological resources</x:v>
      </x:c>
      <x:c r="E76" s="9" t="str">
        <x:v>Raw husk fiber</x:v>
      </x:c>
      <x:c r="F76" s="9" t="str">
        <x:v>User direction; not implemented</x:v>
      </x:c>
      <x:c r="G76" s="9" t="inlineStr">
        <x:is>
          <x:t xml:space="preserve">Abundant fibers scraped from shell husks. It supplies candidate fibers or prepared feed for husk-based paper, which must still be processed and formed into a usable sheet.</x:t>
        </x:is>
      </x:c>
      <x:c r="H76" s="9" t="str">
        <x:v>None</x:v>
      </x:c>
      <x:c r="I76" s="9" t="str">
        <x:v>Legger / local storage proposed</x:v>
      </x:c>
      <x:c r="J76" s="13"/>
      <x:c r="K76" s="15"/>
      <x:c r="L76" s="9" t="str">
        <x:v>Scrape shell husks</x:v>
      </x:c>
      <x:c r="M76" s="9" t="str">
        <x:v>Paper feedstock and difficult pressed-textile material</x:v>
      </x:c>
      <x:c r="N76" s="9" t="str">
        <x:v>Not implemented</x:v>
      </x:c>
      <x:c r="O76" s="9" t="str">
        <x:v>Author spelling retained; no composition, fluid identity or special property invented.</x:v>
      </x:c>
      <x:c r="P76" s="17"/>
      <x:c r="Q76" s="17"/>
      <x:c r="R76" s="17"/>
      <x:c r="S76" s="17"/>
      <x:c r="T76" s="17"/>
      <x:c r="U76" s="9" t="str">
        <x:v>Define icore and whether paper uses one or both fiber types; fashion-crafting input: high sale-value intent; large material/time demand; exact prices and quantities TBD</x:v>
      </x:c>
      <x:c r="V76" s="11" t="str">
        <x:v>textile processing; icore husk fibers not liquid ichor</x:v>
      </x:c>
      <x:c r="W76" s="9" t="str">
        <x:v>Docs/WORLD_BASIS.md#material-culture; author direction October 14, 2026. Process details and specific product forms remain unimplemented.</x:v>
      </x:c>
      <x:c r="X76" s="4" t="str">
        <x:v>Raw material</x:v>
      </x:c>
      <x:c r="Y76" s="4" t="str">
        <x:v>Raw</x:v>
      </x:c>
      <x:c r="Z76" s="4" t="str">
        <x:v>Fauna</x:v>
      </x:c>
      <x:c r="AA76" s="4" t="str">
        <x:v>Paper making</x:v>
      </x:c>
      <x:c r="AB76" s="4" t="str">
        <x:v>Husk fiber</x:v>
      </x:c>
      <x:c r="AC76" s="4" t="str">
        <x:v>Fiber</x:v>
      </x:c>
      <x:c r="AD76" s="4" t="str">
        <x:v>Author direction</x:v>
      </x:c>
      <x:c r="AE76" s="4" t="str">
        <x:f>LOWER(A76&amp;"; "&amp;B76&amp;"; "&amp;D76&amp;"; "&amp;E76&amp;"; "&amp;X76&amp;"; "&amp;Y76&amp;"; "&amp;Z76&amp;"; "&amp;AA76&amp;"; "&amp;AB76&amp;"; "&amp;AC76&amp;"; "&amp;AD76&amp;"; "&amp;V76&amp;"; "&amp;C76&amp;"; "&amp;AH76&amp;"; "&amp;AI76)</x:f>
        <x:v>proposal.bio.icore_fibers; scraped icore fibers; biological resources; raw husk fiber; raw material; raw; fauna; paper making; husk fiber; fiber; author direction; textile processing; icore husk fibers not liquid ichor; t0; not applicable; material</x:v>
      </x:c>
      <x:c r="AF76" s="4" t="str">
        <x:v>From current item description. Proposed uses retain their existing approval status. Lore category review: Resources -&gt; Biological resources. Classification only; original item status and tier retained.</x:v>
      </x:c>
      <x:c r="AG76" s="4" t="str">
        <x:v>Raw gathered/recovered craft input under the author T0 framework. This does not imply a naturally occurring pure metal.</x:v>
      </x:c>
      <x:c r="AH76" s="4" t="str">
        <x:v>Not applicable</x:v>
      </x:c>
      <x:c r="AI76" s="4" t="str">
        <x:v>Material</x:v>
      </x:c>
      <x:c r="AJ76" s="4" t="n">
        <x:f>COUNTIFS('Material routes'!$D$6:$D$2205,A76,'Material routes'!$C$6:$C$2205,"Output")</x:f>
        <x:v>1</x:v>
      </x:c>
      <x:c r="AK76" s="4" t="n">
        <x:f>SUM(COUNTIFS('Material routes'!$D$6:$D$2205,A76,'Material routes'!$C$6:$C$2205,"Ingredient candidate"),COUNTIFS('Material routes'!$D$6:$D$2205,A76,'Material routes'!$C$6:$C$2205,"Consumed input"),COUNTIFS('Material routes'!$D$6:$D$2205,A76,'Material routes'!$C$6:$C$2205,"Contained input"),COUNTIFS('Material routes'!$D$6:$D$2205,A76,'Material routes'!$C$6:$C$2205,"Transform input"))</x:f>
        <x:v>2</x:v>
      </x:c>
      <x:c r="AL76" s="4" t="n">
        <x:f>COUNTIFS('Material routes'!$D$6:$D$2205,A76,'Material routes'!$C$6:$C$2205,"Tool candidate")</x:f>
        <x:v>0</x:v>
      </x:c>
      <x:c r="AM76" s="4" t="str">
        <x:f>IF(AJ76&gt;0,"Route listed; review status/completeness",IF(C76="T0","Raw entry feed; no production route","No production route listed"))</x:f>
        <x:v>Route listed; review status/completeness</x:v>
      </x:c>
      <x:c r="AN76" s="14" t="n">
        <x:f>IF(C76="T0",0,IF(C76="T1",1,IF(C76="T2",2,IF(C76="T3",3,IF(C76="T4",4,IF(C76="Unassigned",98,99))))))</x:f>
        <x:v>0</x:v>
      </x:c>
      <x:c r="AZ76"/>
      <x:c r="BA76"/>
      <x:c r="BB76"/>
      <x:c r="BC76"/>
      <x:c r="BD76"/>
      <x:c r="BE76"/>
      <x:c r="BF76"/>
      <x:c r="BG76"/>
      <x:c r="BH76"/>
      <x:c r="BI76"/>
      <x:c r="BJ76"/>
      <x:c r="BK76"/>
      <x:c r="BL76"/>
      <x:c r="BM76"/>
      <x:c r="BN76"/>
      <x:c r="BO76"/>
      <x:c r="BP76"/>
      <x:c r="BQ76"/>
      <x:c r="BR76"/>
      <x:c r="BS76"/>
      <x:c r="BT76"/>
      <x:c r="BU76"/>
      <x:c r="BV76"/>
      <x:c r="BW76"/>
      <x:c r="BX76"/>
      <x:c r="BY76"/>
      <x:c r="BZ76"/>
      <x:c r="CA76"/>
      <x:c r="CB76"/>
      <x:c r="CC76"/>
    </x:row>
    <x:row r="77" ht="75" customHeight="1">
      <x:c r="A77" s="9"/>
      <x:c r="B77" s="9"/>
      <x:c r="C77" s="4"/>
      <x:c r="D77" s="9"/>
      <x:c r="E77" s="9"/>
      <x:c r="F77" s="9"/>
      <x:c r="G77" s="9"/>
      <x:c r="H77" s="9"/>
      <x:c r="I77" s="9"/>
      <x:c r="J77" s="13"/>
      <x:c r="K77" s="15"/>
      <x:c r="L77" s="9"/>
      <x:c r="M77" s="9"/>
      <x:c r="N77" s="9"/>
      <x:c r="O77" s="9"/>
      <x:c r="P77" s="17"/>
      <x:c r="Q77" s="17"/>
      <x:c r="R77" s="17"/>
      <x:c r="S77" s="17"/>
      <x:c r="T77" s="17"/>
      <x:c r="U77" s="9"/>
      <x:c r="V77" s="11"/>
      <x:c r="W77" s="9"/>
      <x:c r="X77" s="4"/>
      <x:c r="Y77" s="4"/>
      <x:c r="Z77" s="4"/>
      <x:c r="AA77" s="4"/>
      <x:c r="AB77" s="4"/>
      <x:c r="AC77" s="4"/>
      <x:c r="AD77" s="4"/>
      <x:c r="AE77" s="4"/>
      <x:c r="AF77" s="4"/>
      <x:c r="AG77" s="4"/>
      <x:c r="AH77" s="4"/>
      <x:c r="AI77" s="4"/>
      <x:c r="AJ77" s="4"/>
      <x:c r="AK77" s="4"/>
      <x:c r="AL77" s="4"/>
      <x:c r="AM77" s="4"/>
      <x:c r="AN77" s="14"/>
      <x:c r="AZ77"/>
      <x:c r="BA77"/>
      <x:c r="BB77"/>
      <x:c r="BC77"/>
      <x:c r="BD77"/>
      <x:c r="BE77"/>
      <x:c r="BF77"/>
      <x:c r="BG77"/>
      <x:c r="BH77"/>
      <x:c r="BI77"/>
      <x:c r="BJ77"/>
      <x:c r="BK77"/>
      <x:c r="BL77"/>
      <x:c r="BM77"/>
      <x:c r="BN77"/>
      <x:c r="BO77"/>
      <x:c r="BP77"/>
      <x:c r="BQ77"/>
      <x:c r="BR77"/>
      <x:c r="BS77"/>
      <x:c r="BT77"/>
      <x:c r="BU77"/>
      <x:c r="BV77"/>
      <x:c r="BW77"/>
      <x:c r="BX77"/>
      <x:c r="BY77"/>
      <x:c r="BZ77"/>
      <x:c r="CA77"/>
      <x:c r="CB77"/>
      <x:c r="CC77"/>
    </x:row>
    <x:row r="78" ht="75" customHeight="1">
      <x:c r="A78" s="9" t="str">
        <x:v>proposal.bio.pressed_husk</x:v>
      </x:c>
      <x:c r="B78" s="9" t="str">
        <x:v>Pressed husk-fiber textile material</x:v>
      </x:c>
      <x:c r="C78" s="4" t="str">
        <x:v>T1</x:v>
      </x:c>
      <x:c r="D78" s="9" t="str">
        <x:v>Crafting components</x:v>
      </x:c>
      <x:c r="E78" s="9" t="str">
        <x:v>Pressed textile material</x:v>
      </x:c>
      <x:c r="F78" s="9" t="str">
        <x:v>User direction; not implemented</x:v>
      </x:c>
      <x:c r="G78" s="9" t="inlineStr">
        <x:is>
          <x:t xml:space="preserve">Difficult processed/pressed husk-fiber material. It supplies a candidate fastening, panel or material for clothing; cutting, joining and fit remain part of the finished garment’s design.</x:t>
        </x:is>
      </x:c>
      <x:c r="H78" s="9" t="str">
        <x:v>None</x:v>
      </x:c>
      <x:c r="I78" s="9" t="str">
        <x:v>Legger / local storage proposed</x:v>
      </x:c>
      <x:c r="J78" s="13"/>
      <x:c r="K78" s="15"/>
      <x:c r="L78" s="9" t="str">
        <x:v>Very difficult processing and pressing of husk fibers</x:v>
      </x:c>
      <x:c r="M78" s="9" t="str">
        <x:v>Textile-material use under the no-cloth rule</x:v>
      </x:c>
      <x:c r="N78" s="9" t="str">
        <x:v>Not implemented</x:v>
      </x:c>
      <x:c r="O78" s="9" t="str">
        <x:v>No cloth of any kind; exact product form, flexibility and uses are unapproved.</x:v>
      </x:c>
      <x:c r="P78" s="17"/>
      <x:c r="Q78" s="17"/>
      <x:c r="R78" s="17"/>
      <x:c r="S78" s="17"/>
      <x:c r="T78" s="17"/>
      <x:c r="U78" s="9" t="str">
        <x:v>Binder, equipment, work and finished properties; fashion-crafting input: high sale-value intent; large material/time demand; exact prices and quantities TBD</x:v>
      </x:c>
      <x:c r="V78" s="11"/>
      <x:c r="W78" s="9" t="str">
        <x:v>Docs/WORLD_BASIS.md#material-culture; author direction October 14, 2026. Process details and specific product forms remain unimplemented.</x:v>
      </x:c>
      <x:c r="X78" s="4" t="str">
        <x:v>Processed material</x:v>
      </x:c>
      <x:c r="Y78" s="4" t="str">
        <x:v>Processed intermediate</x:v>
      </x:c>
      <x:c r="Z78" s="4" t="str">
        <x:v>Fauna</x:v>
      </x:c>
      <x:c r="AA78" s="4" t="str">
        <x:v>Clothing fabrication</x:v>
      </x:c>
      <x:c r="AB78" s="4" t="str">
        <x:v>Husk fiber</x:v>
      </x:c>
      <x:c r="AC78" s="4" t="str">
        <x:v>Sheet</x:v>
      </x:c>
      <x:c r="AD78" s="4" t="str">
        <x:v>Author direction</x:v>
      </x:c>
      <x:c r="AE78" s="4" t="str">
        <x:f>LOWER(A78&amp;"; "&amp;B78&amp;"; "&amp;D78&amp;"; "&amp;E78&amp;"; "&amp;X78&amp;"; "&amp;Y78&amp;"; "&amp;Z78&amp;"; "&amp;AA78&amp;"; "&amp;AB78&amp;"; "&amp;AC78&amp;"; "&amp;AD78&amp;"; "&amp;V78&amp;"; "&amp;C78&amp;"; "&amp;AH78&amp;"; "&amp;AI78)</x:f>
        <x:v>proposal.bio.pressed_husk; pressed husk-fiber textile material; crafting components; pressed textile material; processed material; processed intermediate; fauna; clothing fabrication; husk fiber; sheet; author direction; ; t1; not applicable; material</x:v>
      </x:c>
      <x:c r="AF78" s="4" t="str">
        <x:v>From current item description. Proposed uses retain their existing approval status.</x:v>
      </x:c>
      <x:c r="AG78" s="4" t="str">
        <x:v>Proposed game manufacturing tier from the candidate routes. Integrated operations may contain many work steps.</x:v>
      </x:c>
      <x:c r="AH78" s="4" t="str">
        <x:v>Not applicable</x:v>
      </x:c>
      <x:c r="AI78" s="4" t="str">
        <x:v>Material</x:v>
      </x:c>
      <x:c r="AJ78" s="4" t="n">
        <x:f>COUNTIFS('Material routes'!$D$6:$D$2205,A78,'Material routes'!$C$6:$C$2205,"Output")</x:f>
        <x:v>2</x:v>
      </x:c>
      <x:c r="AK78" s="4" t="n">
        <x:f>SUM(COUNTIFS('Material routes'!$D$6:$D$2205,A78,'Material routes'!$C$6:$C$2205,"Ingredient candidate"),COUNTIFS('Material routes'!$D$6:$D$2205,A78,'Material routes'!$C$6:$C$2205,"Consumed input"),COUNTIFS('Material routes'!$D$6:$D$2205,A78,'Material routes'!$C$6:$C$2205,"Contained input"),COUNTIFS('Material routes'!$D$6:$D$2205,A78,'Material routes'!$C$6:$C$2205,"Transform input"))</x:f>
        <x:v>6</x:v>
      </x:c>
      <x:c r="AL78" s="4" t="n">
        <x:f>COUNTIFS('Material routes'!$D$6:$D$2205,A78,'Material routes'!$C$6:$C$2205,"Tool candidate")</x:f>
        <x:v>0</x:v>
      </x:c>
      <x:c r="AM78" s="4" t="str">
        <x:f>IF(AJ78&gt;0,"Route listed; review status/completeness",IF(C78="T0","Raw entry feed; no production route","No production route listed"))</x:f>
        <x:v>Route listed; review status/completeness</x:v>
      </x:c>
      <x:c r="AN78" s="14" t="n">
        <x:f>IF(C78="T0",0,IF(C78="T1",1,IF(C78="T2",2,IF(C78="T3",3,IF(C78="T4",4,IF(C78="Unassigned",98,99))))))</x:f>
        <x:v>1</x:v>
      </x:c>
      <x:c r="AZ78"/>
      <x:c r="BA78"/>
      <x:c r="BB78"/>
      <x:c r="BC78"/>
      <x:c r="BD78"/>
      <x:c r="BE78"/>
      <x:c r="BF78"/>
      <x:c r="BG78"/>
      <x:c r="BH78"/>
      <x:c r="BI78"/>
      <x:c r="BJ78"/>
      <x:c r="BK78"/>
      <x:c r="BL78"/>
      <x:c r="BM78"/>
      <x:c r="BN78"/>
      <x:c r="BO78"/>
      <x:c r="BP78"/>
      <x:c r="BQ78"/>
      <x:c r="BR78"/>
      <x:c r="BS78"/>
      <x:c r="BT78"/>
      <x:c r="BU78"/>
      <x:c r="BV78"/>
      <x:c r="BW78"/>
      <x:c r="BX78"/>
      <x:c r="BY78"/>
      <x:c r="BZ78"/>
      <x:c r="CA78"/>
      <x:c r="CB78"/>
      <x:c r="CC78"/>
    </x:row>
    <x:row r="79" ht="75" customHeight="1">
      <x:c r="A79" s="9" t="str">
        <x:v>proposal.bio.hide</x:v>
      </x:c>
      <x:c r="B79" s="9" t="str">
        <x:v>Raw hide</x:v>
      </x:c>
      <x:c r="C79" s="4" t="str">
        <x:v>T0</x:v>
      </x:c>
      <x:c r="D79" s="9" t="str">
        <x:v>Biological resources</x:v>
      </x:c>
      <x:c r="E79" s="9" t="str">
        <x:v>Animal hide</x:v>
      </x:c>
      <x:c r="F79" s="9" t="str">
        <x:v>User direction; not implemented</x:v>
      </x:c>
      <x:c r="G79" s="9" t="inlineStr">
        <x:is>
          <x:t xml:space="preserve">Hide feedstock for extremely low-yield material processing. It is an input to the setting’s difficult biological-material preparation; a useful finished textile is not obtained merely by collecting it.</x:t>
        </x:is>
      </x:c>
      <x:c r="H79" s="9" t="str">
        <x:v>None</x:v>
      </x:c>
      <x:c r="I79" s="9" t="str">
        <x:v>Legger / local storage proposed</x:v>
      </x:c>
      <x:c r="J79" s="13"/>
      <x:c r="K79" s="15"/>
      <x:c r="L79" s="9" t="str">
        <x:v>Creature hide collection; species and method unapproved</x:v>
      </x:c>
      <x:c r="M79" s="9" t="str">
        <x:v>Textile and other material processing with extremely low yield</x:v>
      </x:c>
      <x:c r="N79" s="9" t="str">
        <x:v>Not implemented</x:v>
      </x:c>
      <x:c r="O79" s="9" t="str">
        <x:v>Low yield concerns conversion into usable material; does not define carcass yield.</x:v>
      </x:c>
      <x:c r="P79" s="17"/>
      <x:c r="Q79" s="17"/>
      <x:c r="R79" s="17"/>
      <x:c r="S79" s="17"/>
      <x:c r="T79" s="17"/>
      <x:c r="U79" s="9" t="str">
        <x:v>Species, preservation and workable output forms; fashion-crafting input: high sale-value intent; large material/time demand; exact prices and quantities TBD</x:v>
      </x:c>
      <x:c r="V79" s="11"/>
      <x:c r="W79" s="9" t="str">
        <x:v>Docs/WORLD_BASIS.md#material-culture; author direction October 14, 2026. Process details and specific product forms remain unimplemented.</x:v>
      </x:c>
      <x:c r="X79" s="4" t="str">
        <x:v>Raw material</x:v>
      </x:c>
      <x:c r="Y79" s="4" t="str">
        <x:v>Raw</x:v>
      </x:c>
      <x:c r="Z79" s="4" t="str">
        <x:v>Fauna</x:v>
      </x:c>
      <x:c r="AA79" s="4" t="str">
        <x:v>Textile processing</x:v>
      </x:c>
      <x:c r="AB79" s="4" t="str">
        <x:v>Hide</x:v>
      </x:c>
      <x:c r="AC79" s="4" t="str">
        <x:v>Sheet</x:v>
      </x:c>
      <x:c r="AD79" s="4" t="str">
        <x:v>Author direction</x:v>
      </x:c>
      <x:c r="AE79" s="4" t="str">
        <x:f>LOWER(A79&amp;"; "&amp;B79&amp;"; "&amp;D79&amp;"; "&amp;E79&amp;"; "&amp;X79&amp;"; "&amp;Y79&amp;"; "&amp;Z79&amp;"; "&amp;AA79&amp;"; "&amp;AB79&amp;"; "&amp;AC79&amp;"; "&amp;AD79&amp;"; "&amp;V79&amp;"; "&amp;C79&amp;"; "&amp;AH79&amp;"; "&amp;AI79)</x:f>
        <x:v>proposal.bio.hide; raw hide; biological resources; animal hide; raw material; raw; fauna; textile processing; hide; sheet; author direction; ; t0; not applicable; material</x:v>
      </x:c>
      <x:c r="AF79" s="4" t="str">
        <x:v>From current item description. Proposed uses retain their existing approval status. Lore category review: Resources -&gt; Biological resources. Classification only; original item status and tier retained.</x:v>
      </x:c>
      <x:c r="AG79" s="4" t="str">
        <x:v>Raw gathered/recovered craft input under the author T0 framework. This does not imply a naturally occurring pure metal.</x:v>
      </x:c>
      <x:c r="AH79" s="4" t="str">
        <x:v>Not applicable</x:v>
      </x:c>
      <x:c r="AI79" s="4" t="str">
        <x:v>Material</x:v>
      </x:c>
      <x:c r="AJ79" s="4" t="n">
        <x:f>COUNTIFS('Material routes'!$D$6:$D$2205,A79,'Material routes'!$C$6:$C$2205,"Output")</x:f>
        <x:v>0</x:v>
      </x:c>
      <x:c r="AK79" s="4" t="n">
        <x:f>SUM(COUNTIFS('Material routes'!$D$6:$D$2205,A79,'Material routes'!$C$6:$C$2205,"Ingredient candidate"),COUNTIFS('Material routes'!$D$6:$D$2205,A79,'Material routes'!$C$6:$C$2205,"Consumed input"),COUNTIFS('Material routes'!$D$6:$D$2205,A79,'Material routes'!$C$6:$C$2205,"Contained input"),COUNTIFS('Material routes'!$D$6:$D$2205,A79,'Material routes'!$C$6:$C$2205,"Transform input"))</x:f>
        <x:v>1</x:v>
      </x:c>
      <x:c r="AL79" s="4" t="n">
        <x:f>COUNTIFS('Material routes'!$D$6:$D$2205,A79,'Material routes'!$C$6:$C$2205,"Tool candidate")</x:f>
        <x:v>0</x:v>
      </x:c>
      <x:c r="AM79" s="4" t="str">
        <x:f>IF(AJ79&gt;0,"Route listed; review status/completeness",IF(C79="T0","Raw entry feed; no production route","No production route listed"))</x:f>
        <x:v>Raw entry feed; no production route</x:v>
      </x:c>
      <x:c r="AN79" s="14" t="n">
        <x:f>IF(C79="T0",0,IF(C79="T1",1,IF(C79="T2",2,IF(C79="T3",3,IF(C79="T4",4,IF(C79="Unassigned",98,99))))))</x:f>
        <x:v>0</x:v>
      </x:c>
      <x:c r="AZ79"/>
      <x:c r="BA79"/>
      <x:c r="BB79"/>
      <x:c r="BC79"/>
      <x:c r="BD79"/>
      <x:c r="BE79"/>
      <x:c r="BF79"/>
      <x:c r="BG79"/>
      <x:c r="BH79"/>
      <x:c r="BI79"/>
      <x:c r="BJ79"/>
      <x:c r="BK79"/>
      <x:c r="BL79"/>
      <x:c r="BM79"/>
      <x:c r="BN79"/>
      <x:c r="BO79"/>
      <x:c r="BP79"/>
      <x:c r="BQ79"/>
      <x:c r="BR79"/>
      <x:c r="BS79"/>
      <x:c r="BT79"/>
      <x:c r="BU79"/>
      <x:c r="BV79"/>
      <x:c r="BW79"/>
      <x:c r="BX79"/>
      <x:c r="BY79"/>
      <x:c r="BZ79"/>
      <x:c r="CA79"/>
      <x:c r="CB79"/>
      <x:c r="CC79"/>
    </x:row>
    <x:row r="80" ht="75" customHeight="1">
      <x:c r="A80" s="9" t="str">
        <x:v>proposal.bio.hide_material</x:v>
      </x:c>
      <x:c r="B80" s="9" t="str">
        <x:v>Processed hide material</x:v>
      </x:c>
      <x:c r="C80" s="4" t="str">
        <x:v>T1</x:v>
      </x:c>
      <x:c r="D80" s="9" t="str">
        <x:v>Crafting components</x:v>
      </x:c>
      <x:c r="E80" s="9" t="str">
        <x:v>Processed biological</x:v>
      </x:c>
      <x:c r="F80" s="9" t="str">
        <x:v>User direction; not implemented</x:v>
      </x:c>
      <x:c r="G80" s="9" t="inlineStr">
        <x:is>
          <x:t xml:space="preserve">Scarce usable material obtained from hide processing. It supplies a candidate fastening, panel or material for clothing; cutting, joining and fit remain part of the finished garment’s design.</x:t>
        </x:is>
      </x:c>
      <x:c r="H80" s="9" t="str">
        <x:v>None</x:v>
      </x:c>
      <x:c r="I80" s="9" t="str">
        <x:v>Legger / local storage proposed</x:v>
      </x:c>
      <x:c r="J80" s="13"/>
      <x:c r="K80" s="15"/>
      <x:c r="L80" s="9" t="str">
        <x:v>Process raw hide</x:v>
      </x:c>
      <x:c r="M80" s="9" t="str">
        <x:v>Candidate material for later product design</x:v>
      </x:c>
      <x:c r="N80" s="9" t="str">
        <x:v>Not implemented</x:v>
      </x:c>
      <x:c r="O80" s="9" t="str">
        <x:v>Extremely low usable yield. No cloth; output form and properties remain proposals.</x:v>
      </x:c>
      <x:c r="P80" s="17"/>
      <x:c r="Q80" s="17"/>
      <x:c r="R80" s="17"/>
      <x:c r="S80" s="17"/>
      <x:c r="T80" s="17"/>
      <x:c r="U80" s="9" t="str">
        <x:v>Processing method, intended products and balance; fashion-crafting input: high sale-value intent; large material/time demand; exact prices and quantities TBD</x:v>
      </x:c>
      <x:c r="V80" s="11"/>
      <x:c r="W80" s="9" t="str">
        <x:v>Docs/WORLD_BASIS.md#material-culture; author direction October 14, 2026. Process details and specific product forms remain unimplemented.</x:v>
      </x:c>
      <x:c r="X80" s="4" t="str">
        <x:v>Processed material</x:v>
      </x:c>
      <x:c r="Y80" s="4" t="str">
        <x:v>Processed intermediate</x:v>
      </x:c>
      <x:c r="Z80" s="4" t="str">
        <x:v>Fauna</x:v>
      </x:c>
      <x:c r="AA80" s="4" t="str">
        <x:v>Clothing fabrication</x:v>
      </x:c>
      <x:c r="AB80" s="4" t="str">
        <x:v>Hide</x:v>
      </x:c>
      <x:c r="AC80" s="4" t="str">
        <x:v>Sheet</x:v>
      </x:c>
      <x:c r="AD80" s="4" t="str">
        <x:v>Author direction</x:v>
      </x:c>
      <x:c r="AE80" s="4" t="str">
        <x:f>LOWER(A80&amp;"; "&amp;B80&amp;"; "&amp;D80&amp;"; "&amp;E80&amp;"; "&amp;X80&amp;"; "&amp;Y80&amp;"; "&amp;Z80&amp;"; "&amp;AA80&amp;"; "&amp;AB80&amp;"; "&amp;AC80&amp;"; "&amp;AD80&amp;"; "&amp;V80&amp;"; "&amp;C80&amp;"; "&amp;AH80&amp;"; "&amp;AI80)</x:f>
        <x:v>proposal.bio.hide_material; processed hide material; crafting components; processed biological; processed material; processed intermediate; fauna; clothing fabrication; hide; sheet; author direction; ; t1; not applicable; material</x:v>
      </x:c>
      <x:c r="AF80" s="4" t="str">
        <x:v>From current item description. Proposed uses retain their existing approval status.</x:v>
      </x:c>
      <x:c r="AG80" s="4" t="str">
        <x:v>Proposed game manufacturing tier from the candidate routes. Integrated operations may contain many work steps.</x:v>
      </x:c>
      <x:c r="AH80" s="4" t="str">
        <x:v>Not applicable</x:v>
      </x:c>
      <x:c r="AI80" s="4" t="str">
        <x:v>Material</x:v>
      </x:c>
      <x:c r="AJ80" s="4" t="n">
        <x:f>COUNTIFS('Material routes'!$D$6:$D$2205,A80,'Material routes'!$C$6:$C$2205,"Output")</x:f>
        <x:v>1</x:v>
      </x:c>
      <x:c r="AK80" s="4" t="n">
        <x:f>SUM(COUNTIFS('Material routes'!$D$6:$D$2205,A80,'Material routes'!$C$6:$C$2205,"Ingredient candidate"),COUNTIFS('Material routes'!$D$6:$D$2205,A80,'Material routes'!$C$6:$C$2205,"Consumed input"),COUNTIFS('Material routes'!$D$6:$D$2205,A80,'Material routes'!$C$6:$C$2205,"Contained input"),COUNTIFS('Material routes'!$D$6:$D$2205,A80,'Material routes'!$C$6:$C$2205,"Transform input"))</x:f>
        <x:v>15</x:v>
      </x:c>
      <x:c r="AL80" s="4" t="n">
        <x:f>COUNTIFS('Material routes'!$D$6:$D$2205,A80,'Material routes'!$C$6:$C$2205,"Tool candidate")</x:f>
        <x:v>0</x:v>
      </x:c>
      <x:c r="AM80" s="4" t="str">
        <x:f>IF(AJ80&gt;0,"Route listed; review status/completeness",IF(C80="T0","Raw entry feed; no production route","No production route listed"))</x:f>
        <x:v>Route listed; review status/completeness</x:v>
      </x:c>
      <x:c r="AN80" s="14" t="n">
        <x:f>IF(C80="T0",0,IF(C80="T1",1,IF(C80="T2",2,IF(C80="T3",3,IF(C80="T4",4,IF(C80="Unassigned",98,99))))))</x:f>
        <x:v>1</x:v>
      </x:c>
      <x:c r="AZ80"/>
      <x:c r="BA80"/>
      <x:c r="BB80"/>
      <x:c r="BC80"/>
      <x:c r="BD80"/>
      <x:c r="BE80"/>
      <x:c r="BF80"/>
      <x:c r="BG80"/>
      <x:c r="BH80"/>
      <x:c r="BI80"/>
      <x:c r="BJ80"/>
      <x:c r="BK80"/>
      <x:c r="BL80"/>
      <x:c r="BM80"/>
      <x:c r="BN80"/>
      <x:c r="BO80"/>
      <x:c r="BP80"/>
      <x:c r="BQ80"/>
      <x:c r="BR80"/>
      <x:c r="BS80"/>
      <x:c r="BT80"/>
      <x:c r="BU80"/>
      <x:c r="BV80"/>
      <x:c r="BW80"/>
      <x:c r="BX80"/>
      <x:c r="BY80"/>
      <x:c r="BZ80"/>
      <x:c r="CA80"/>
      <x:c r="CB80"/>
      <x:c r="CC80"/>
    </x:row>
    <x:row r="81" ht="170" customHeight="1">
      <x:c r="A81" s="9" t="str">
        <x:v>proposal.bio.edible_fraction</x:v>
      </x:c>
      <x:c r="B81" s="9" t="str">
        <x:v>Edible fauna fraction (species TBD)</x:v>
      </x:c>
      <x:c r="C81" s="4" t="str">
        <x:v>T0</x:v>
      </x:c>
      <x:c r="D81" s="9" t="inlineStr">
        <x:is>
          <x:t xml:space="preserve">Cooking ingredients</x:t>
        </x:is>
      </x:c>
      <x:c r="E81" s="9" t="str">
        <x:v>Food candidate</x:v>
      </x:c>
      <x:c r="F81" s="9" t="str">
        <x:v>User direction; not implemented</x:v>
      </x:c>
      <x:c r="G81" s="9" t="inlineStr">
        <x:is>
          <x:t xml:space="preserve">Some fauna can be eaten, but provides poor nutrition. It is intended for the recorded food or feeding role. Human edibility and useful nutrition require the selected source and preparation rather than assumptions about all fauna.</x:t>
        </x:is>
      </x:c>
      <x:c r="H81" s="9" t="str">
        <x:v>None</x:v>
      </x:c>
      <x:c r="I81" s="9" t="str">
        <x:v>Legger / local storage proposed</x:v>
      </x:c>
      <x:c r="J81" s="13"/>
      <x:c r="K81" s="15"/>
      <x:c r="L81" s="9" t="str">
        <x:v>Only explicitly edible species/parts; preparation undefined</x:v>
      </x:c>
      <x:c r="M81" s="9" t="str">
        <x:v>Potential supplementary food; does not replace algae</x:v>
      </x:c>
      <x:c r="N81" s="9" t="str">
        <x:v>Not implemented</x:v>
      </x:c>
      <x:c r="O81" s="9" t="str">
        <x:v>Most fauna lacks traditional flesh; no meat model, calorie values or safe preparation assigned.</x:v>
      </x:c>
      <x:c r="P81" s="17"/>
      <x:c r="Q81" s="17"/>
      <x:c r="R81" s="17"/>
      <x:c r="S81" s="17"/>
      <x:c r="T81" s="17"/>
      <x:c r="U81" s="9" t="str">
        <x:v>Identify species/parts from Burden Beasts anatomy; carrier/use rules not implemented</x:v>
      </x:c>
      <x:c r="V81" s="11"/>
      <x:c r="W81" s="9" t="str">
        <x:v>Docs/WORLD_BASIS.md#faunal-biology-and-material-use; direct author direction October 14, 2026. Related source anatomy proposals now accessible at f6f98515; this item awaits reconciliation; identities and processing remain undefined.</x:v>
      </x:c>
      <x:c r="X81" s="4" t="str">
        <x:v>Food material</x:v>
      </x:c>
      <x:c r="Y81" s="4" t="str">
        <x:v>Unresolved</x:v>
      </x:c>
      <x:c r="Z81" s="4" t="str">
        <x:v>Fauna</x:v>
      </x:c>
      <x:c r="AA81" s="4" t="str">
        <x:v>Nutrition</x:v>
      </x:c>
      <x:c r="AB81" s="4" t="str">
        <x:v>Faunal tissue</x:v>
      </x:c>
      <x:c r="AC81" s="4" t="str">
        <x:v>Unresolved</x:v>
      </x:c>
      <x:c r="AD81" s="4" t="str">
        <x:v>Author direction</x:v>
      </x:c>
      <x:c r="AE81" s="4" t="str">
        <x:f>LOWER(A81&amp;"; "&amp;B81&amp;"; "&amp;D81&amp;"; "&amp;E81&amp;"; "&amp;X81&amp;"; "&amp;Y81&amp;"; "&amp;Z81&amp;"; "&amp;AA81&amp;"; "&amp;AB81&amp;"; "&amp;AC81&amp;"; "&amp;AD81&amp;"; "&amp;V81&amp;"; "&amp;C81&amp;"; "&amp;AH81&amp;"; "&amp;AI81)</x:f>
        <x:v>proposal.bio.edible_fraction; edible fauna fraction (species tbd); cooking ingredients; food candidate; food material; unresolved; fauna; nutrition; faunal tissue; unresolved; author direction; ; t0; not applicable; material</x:v>
      </x:c>
      <x:c r="AF81" s="4" t="inlineStr">
        <x:is>
          <x:t xml:space="preserve">From current item description. Proposed uses retain their existing approval status. Lore category review: Resources -&gt; Biological resources. Classification only; original item status and tier retained. Author correction, October 15, 2026: cooking ingredient, separate from ready-to-consume servings.</x:t>
        </x:is>
      </x:c>
      <x:c r="AG81" s="4" t="str">
        <x:v>October 15 proposed tier review: Selected edible fraction as gathered/extracted source material; species and safe fraction remain TBD. Candidate route only: quantities, yield, tools, fit, process conditions and service compatibility remain open. This classification does not identify an edible species, detoxify industrial chemicals or replace Phagia nutrition.</x:v>
      </x:c>
      <x:c r="AH81" s="4" t="str">
        <x:v>Not applicable</x:v>
      </x:c>
      <x:c r="AI81" s="4" t="str">
        <x:v>Material</x:v>
      </x:c>
      <x:c r="AJ81" s="4" t="n">
        <x:f>COUNTIFS('Material routes'!$D$6:$D$2205,A81,'Material routes'!$C$6:$C$2205,"Output")</x:f>
        <x:v>0</x:v>
      </x:c>
      <x:c r="AK81" s="4" t="n">
        <x:f>SUM(COUNTIFS('Material routes'!$D$6:$D$2205,A81,'Material routes'!$C$6:$C$2205,"Ingredient candidate"),COUNTIFS('Material routes'!$D$6:$D$2205,A81,'Material routes'!$C$6:$C$2205,"Consumed input"),COUNTIFS('Material routes'!$D$6:$D$2205,A81,'Material routes'!$C$6:$C$2205,"Contained input"),COUNTIFS('Material routes'!$D$6:$D$2205,A81,'Material routes'!$C$6:$C$2205,"Transform input"))</x:f>
        <x:v>5</x:v>
      </x:c>
      <x:c r="AL81" s="4" t="n">
        <x:f>COUNTIFS('Material routes'!$D$6:$D$2205,A81,'Material routes'!$C$6:$C$2205,"Tool candidate")</x:f>
        <x:v>0</x:v>
      </x:c>
      <x:c r="AM81" s="4" t="str">
        <x:f>IF(AJ81&gt;0,"Route listed; review status/completeness",IF(C81="T0","Raw entry feed; no production route","No production route listed"))</x:f>
        <x:v>Raw entry feed; no production route</x:v>
      </x:c>
      <x:c r="AN81" s="14" t="n">
        <x:f>IF(C81="T0",0,IF(C81="T1",1,IF(C81="T2",2,IF(C81="T3",3,IF(C81="T4",4,IF(C81="Unassigned",98,99))))))</x:f>
        <x:v>0</x:v>
      </x:c>
      <x:c r="AZ81"/>
      <x:c r="BA81"/>
      <x:c r="BB81"/>
      <x:c r="BC81"/>
      <x:c r="BD81"/>
      <x:c r="BE81"/>
      <x:c r="BF81"/>
      <x:c r="BG81"/>
      <x:c r="BH81"/>
      <x:c r="BI81"/>
      <x:c r="BJ81"/>
      <x:c r="BK81"/>
      <x:c r="BL81"/>
      <x:c r="BM81"/>
      <x:c r="BN81"/>
      <x:c r="BO81"/>
      <x:c r="BP81"/>
      <x:c r="BQ81"/>
      <x:c r="BR81"/>
      <x:c r="BS81"/>
      <x:c r="BT81"/>
      <x:c r="BU81"/>
      <x:c r="BV81"/>
      <x:c r="BW81"/>
      <x:c r="BX81"/>
      <x:c r="BY81"/>
      <x:c r="BZ81"/>
      <x:c r="CA81"/>
      <x:c r="CB81"/>
      <x:c r="CC81"/>
    </x:row>
    <x:row r="82" ht="80" customHeight="1">
      <x:c r="A82" s="9" t="str">
        <x:v>proposal.bio.chemical_material</x:v>
      </x:c>
      <x:c r="B82" s="9" t="str">
        <x:v>Faunal chemical material (unspecified)</x:v>
      </x:c>
      <x:c r="C82" s="4" t="str">
        <x:v>T0</x:v>
      </x:c>
      <x:c r="D82" s="9" t="str">
        <x:v>Biological resources</x:v>
      </x:c>
      <x:c r="E82" s="9" t="str">
        <x:v>Chemical material</x:v>
      </x:c>
      <x:c r="F82" s="9" t="str">
        <x:v>User direction; not implemented</x:v>
      </x:c>
      <x:c r="G82" s="9" t="inlineStr">
        <x:is>
          <x:t xml:space="preserve">Internal faunal chemicals can be used as materials despite toxicity to humans. It is a candidate industrial input or process aid. Its composition, containment and compatible treatment must be established; usefulness does not imply edibility.</x:t>
        </x:is>
      </x:c>
      <x:c r="H82" s="9" t="str">
        <x:v>None</x:v>
      </x:c>
      <x:c r="I82" s="9" t="str">
        <x:v>Legger / local storage proposed</x:v>
      </x:c>
      <x:c r="J82" s="13"/>
      <x:c r="K82" s="15"/>
      <x:c r="L82" s="9" t="str">
        <x:v>Species-specific extraction remains undefined</x:v>
      </x:c>
      <x:c r="M82" s="9" t="str">
        <x:v>Material processing uses to be established</x:v>
      </x:c>
      <x:c r="N82" s="9" t="str">
        <x:v>Not implemented</x:v>
      </x:c>
      <x:c r="O82" s="9" t="str">
        <x:v>Most internal chemistry is toxic. No named reagent, solvent, fuel or recipe established.</x:v>
      </x:c>
      <x:c r="P82" s="17"/>
      <x:c r="Q82" s="17"/>
      <x:c r="R82" s="17"/>
      <x:c r="S82" s="17"/>
      <x:c r="T82" s="17"/>
      <x:c r="U82" s="9" t="str">
        <x:v>Chemical identities, useful properties, extraction and containment</x:v>
      </x:c>
      <x:c r="V82" s="11"/>
      <x:c r="W82" s="9" t="str">
        <x:v>Docs/WORLD_BASIS.md#faunal-biology-and-material-use; direct author direction October 14, 2026. Related source anatomy proposals now accessible at f6f98515; this item awaits reconciliation; identities and processing remain undefined.</x:v>
      </x:c>
      <x:c r="X82" s="4" t="str">
        <x:v>Chemical material</x:v>
      </x:c>
      <x:c r="Y82" s="4" t="str">
        <x:v>Unresolved</x:v>
      </x:c>
      <x:c r="Z82" s="4" t="str">
        <x:v>Fauna</x:v>
      </x:c>
      <x:c r="AA82" s="4" t="str">
        <x:v>Chemical processing</x:v>
      </x:c>
      <x:c r="AB82" s="4" t="str">
        <x:v>Biological chemical</x:v>
      </x:c>
      <x:c r="AC82" s="4" t="str">
        <x:v>Unresolved</x:v>
      </x:c>
      <x:c r="AD82" s="4" t="str">
        <x:v>Author direction</x:v>
      </x:c>
      <x:c r="AE82" s="4" t="str">
        <x:f>LOWER(A82&amp;"; "&amp;B82&amp;"; "&amp;D82&amp;"; "&amp;E82&amp;"; "&amp;X82&amp;"; "&amp;Y82&amp;"; "&amp;Z82&amp;"; "&amp;AA82&amp;"; "&amp;AB82&amp;"; "&amp;AC82&amp;"; "&amp;AD82&amp;"; "&amp;V82&amp;"; "&amp;C82&amp;"; "&amp;AH82&amp;"; "&amp;AI82)</x:f>
        <x:v>proposal.bio.chemical_material; faunal chemical material (unspecified); biological resources; chemical material; chemical material; unresolved; fauna; chemical processing; biological chemical; unresolved; author direction; ; t0; not applicable; material</x:v>
      </x:c>
      <x:c r="AF82" s="4" t="str">
        <x:v>From current item description. Proposed uses retain their existing approval status. Lore category review: Resources -&gt; Biological resources. Classification only; original item status and tier retained.</x:v>
      </x:c>
      <x:c r="AG82" s="4" t="str">
        <x:v>Provisional raw secretion-feed interpretation for this candidate route; actual chemistry and extraction remain unresolved.</x:v>
      </x:c>
      <x:c r="AH82" s="4" t="str">
        <x:v>Not applicable</x:v>
      </x:c>
      <x:c r="AI82" s="4" t="str">
        <x:v>Material</x:v>
      </x:c>
      <x:c r="AJ82" s="4" t="n">
        <x:f>COUNTIFS('Material routes'!$D$6:$D$2205,A82,'Material routes'!$C$6:$C$2205,"Output")</x:f>
        <x:v>0</x:v>
      </x:c>
      <x:c r="AK82" s="4" t="n">
        <x:f>SUM(COUNTIFS('Material routes'!$D$6:$D$2205,A82,'Material routes'!$C$6:$C$2205,"Ingredient candidate"),COUNTIFS('Material routes'!$D$6:$D$2205,A82,'Material routes'!$C$6:$C$2205,"Consumed input"),COUNTIFS('Material routes'!$D$6:$D$2205,A82,'Material routes'!$C$6:$C$2205,"Contained input"),COUNTIFS('Material routes'!$D$6:$D$2205,A82,'Material routes'!$C$6:$C$2205,"Transform input"))</x:f>
        <x:v>2</x:v>
      </x:c>
      <x:c r="AL82" s="4" t="n">
        <x:f>COUNTIFS('Material routes'!$D$6:$D$2205,A82,'Material routes'!$C$6:$C$2205,"Tool candidate")</x:f>
        <x:v>0</x:v>
      </x:c>
      <x:c r="AM82" s="4" t="str">
        <x:f>IF(AJ82&gt;0,"Route listed; review status/completeness",IF(C82="T0","Raw entry feed; no production route","No production route listed"))</x:f>
        <x:v>Raw entry feed; no production route</x:v>
      </x:c>
      <x:c r="AN82" s="14" t="n">
        <x:f>IF(C82="T0",0,IF(C82="T1",1,IF(C82="T2",2,IF(C82="T3",3,IF(C82="T4",4,IF(C82="Unassigned",98,99))))))</x:f>
        <x:v>0</x:v>
      </x:c>
      <x:c r="AZ82"/>
      <x:c r="BA82"/>
      <x:c r="BB82"/>
      <x:c r="BC82"/>
      <x:c r="BD82"/>
      <x:c r="BE82"/>
      <x:c r="BF82"/>
      <x:c r="BG82"/>
      <x:c r="BH82"/>
      <x:c r="BI82"/>
      <x:c r="BJ82"/>
      <x:c r="BK82"/>
      <x:c r="BL82"/>
      <x:c r="BM82"/>
      <x:c r="BN82"/>
      <x:c r="BO82"/>
      <x:c r="BP82"/>
      <x:c r="BQ82"/>
      <x:c r="BR82"/>
      <x:c r="BS82"/>
      <x:c r="BT82"/>
      <x:c r="BU82"/>
      <x:c r="BV82"/>
      <x:c r="BW82"/>
      <x:c r="BX82"/>
      <x:c r="BY82"/>
      <x:c r="BZ82"/>
      <x:c r="CA82"/>
      <x:c r="CB82"/>
      <x:c r="CC82"/>
    </x:row>
    <x:row r="83" ht="80" customHeight="1">
      <x:c r="A83" s="9" t="str">
        <x:v>proposal.bio.liquid_material</x:v>
      </x:c>
      <x:c r="B83" s="9" t="str">
        <x:v>Faunal liquid material (unspecified)</x:v>
      </x:c>
      <x:c r="C83" s="4" t="str">
        <x:v>T0</x:v>
      </x:c>
      <x:c r="D83" s="9" t="str">
        <x:v>Biological resources</x:v>
      </x:c>
      <x:c r="E83" s="9" t="str">
        <x:v>Biological liquid material</x:v>
      </x:c>
      <x:c r="F83" s="9" t="str">
        <x:v>User direction; not implemented</x:v>
      </x:c>
      <x:c r="G83" s="9" t="inlineStr">
        <x:is>
          <x:t xml:space="preserve">Biological liquids may be extracted for use as materials. It is a candidate industrial input or process aid. Its composition, containment and compatible treatment must be established; usefulness does not imply edibility.</x:t>
        </x:is>
      </x:c>
      <x:c r="H83" s="9" t="str">
        <x:v>None</x:v>
      </x:c>
      <x:c r="I83" s="9" t="str">
        <x:v>Legger / local storage proposed</x:v>
      </x:c>
      <x:c r="J83" s="13"/>
      <x:c r="K83" s="15"/>
      <x:c r="L83" s="9" t="str">
        <x:v>Faunal interiors; species-specific extraction undefined</x:v>
      </x:c>
      <x:c r="M83" s="9" t="str">
        <x:v>Material use; not presumed drinkable</x:v>
      </x:c>
      <x:c r="N83" s="9" t="str">
        <x:v>Not implemented</x:v>
      </x:c>
      <x:c r="O83" s="9" t="str">
        <x:v>No natural free water or edible-liquid assumption. Storage, stability and specific uses unresolved.</x:v>
      </x:c>
      <x:c r="P83" s="17"/>
      <x:c r="Q83" s="17"/>
      <x:c r="R83" s="17"/>
      <x:c r="S83" s="17"/>
      <x:c r="T83" s="17"/>
      <x:c r="U83" s="9" t="str">
        <x:v>Liquid identities, containers, extraction conditions and processing</x:v>
      </x:c>
      <x:c r="V83" s="11"/>
      <x:c r="W83" s="9" t="str">
        <x:v>Docs/WORLD_BASIS.md#faunal-biology-and-material-use; direct author direction October 14, 2026. Related source anatomy proposals now accessible at f6f98515; this item awaits reconciliation; identities and processing remain undefined.</x:v>
      </x:c>
      <x:c r="X83" s="4" t="str">
        <x:v>Chemical material</x:v>
      </x:c>
      <x:c r="Y83" s="4" t="str">
        <x:v>Extracted material</x:v>
      </x:c>
      <x:c r="Z83" s="4" t="str">
        <x:v>Fauna</x:v>
      </x:c>
      <x:c r="AA83" s="4" t="str">
        <x:v>Chemical processing</x:v>
      </x:c>
      <x:c r="AB83" s="4" t="str">
        <x:v>Biological chemical</x:v>
      </x:c>
      <x:c r="AC83" s="4" t="str">
        <x:v>Liquid</x:v>
      </x:c>
      <x:c r="AD83" s="4" t="str">
        <x:v>Author direction</x:v>
      </x:c>
      <x:c r="AE83" s="4" t="str">
        <x:f>LOWER(A83&amp;"; "&amp;B83&amp;"; "&amp;D83&amp;"; "&amp;E83&amp;"; "&amp;X83&amp;"; "&amp;Y83&amp;"; "&amp;Z83&amp;"; "&amp;AA83&amp;"; "&amp;AB83&amp;"; "&amp;AC83&amp;"; "&amp;AD83&amp;"; "&amp;V83&amp;"; "&amp;C83&amp;"; "&amp;AH83&amp;"; "&amp;AI83)</x:f>
        <x:v>proposal.bio.liquid_material; faunal liquid material (unspecified); biological resources; biological liquid material; chemical material; extracted material; fauna; chemical processing; biological chemical; liquid; author direction; ; t0; not applicable; material</x:v>
      </x:c>
      <x:c r="AF83" s="4" t="str">
        <x:v>From current item description. Proposed uses retain their existing approval status. Lore category review: Resources -&gt; Biological resources. Classification only; original item status and tier retained.</x:v>
      </x:c>
      <x:c r="AG83" s="4" t="str">
        <x:v>Raw gathered/recovered craft input under the author T0 framework. This does not imply a naturally occurring pure metal.</x:v>
      </x:c>
      <x:c r="AH83" s="4" t="str">
        <x:v>Not applicable</x:v>
      </x:c>
      <x:c r="AI83" s="4" t="str">
        <x:v>Material</x:v>
      </x:c>
      <x:c r="AJ83" s="4" t="n">
        <x:f>COUNTIFS('Material routes'!$D$6:$D$2205,A83,'Material routes'!$C$6:$C$2205,"Output")</x:f>
        <x:v>0</x:v>
      </x:c>
      <x:c r="AK83" s="4" t="n">
        <x:f>SUM(COUNTIFS('Material routes'!$D$6:$D$2205,A83,'Material routes'!$C$6:$C$2205,"Ingredient candidate"),COUNTIFS('Material routes'!$D$6:$D$2205,A83,'Material routes'!$C$6:$C$2205,"Consumed input"),COUNTIFS('Material routes'!$D$6:$D$2205,A83,'Material routes'!$C$6:$C$2205,"Contained input"),COUNTIFS('Material routes'!$D$6:$D$2205,A83,'Material routes'!$C$6:$C$2205,"Transform input"))</x:f>
        <x:v>2</x:v>
      </x:c>
      <x:c r="AL83" s="4" t="n">
        <x:f>COUNTIFS('Material routes'!$D$6:$D$2205,A83,'Material routes'!$C$6:$C$2205,"Tool candidate")</x:f>
        <x:v>0</x:v>
      </x:c>
      <x:c r="AM83" s="4" t="str">
        <x:f>IF(AJ83&gt;0,"Route listed; review status/completeness",IF(C83="T0","Raw entry feed; no production route","No production route listed"))</x:f>
        <x:v>Raw entry feed; no production route</x:v>
      </x:c>
      <x:c r="AN83" s="14" t="n">
        <x:f>IF(C83="T0",0,IF(C83="T1",1,IF(C83="T2",2,IF(C83="T3",3,IF(C83="T4",4,IF(C83="Unassigned",98,99))))))</x:f>
        <x:v>0</x:v>
      </x:c>
      <x:c r="AZ83"/>
      <x:c r="BA83"/>
      <x:c r="BB83"/>
      <x:c r="BC83"/>
      <x:c r="BD83"/>
      <x:c r="BE83"/>
      <x:c r="BF83"/>
      <x:c r="BG83"/>
      <x:c r="BH83"/>
      <x:c r="BI83"/>
      <x:c r="BJ83"/>
      <x:c r="BK83"/>
      <x:c r="BL83"/>
      <x:c r="BM83"/>
      <x:c r="BN83"/>
      <x:c r="BO83"/>
      <x:c r="BP83"/>
      <x:c r="BQ83"/>
      <x:c r="BR83"/>
      <x:c r="BS83"/>
      <x:c r="BT83"/>
      <x:c r="BU83"/>
      <x:c r="BV83"/>
      <x:c r="BW83"/>
      <x:c r="BX83"/>
      <x:c r="BY83"/>
      <x:c r="BZ83"/>
      <x:c r="CA83"/>
      <x:c r="CB83"/>
      <x:c r="CC83"/>
    </x:row>
    <x:row r="84" ht="80" customHeight="1">
      <x:c r="A84" s="9" t="str">
        <x:v>proposal.chemical.digestive_etchant</x:v>
      </x:c>
      <x:c r="B84" s="9" t="str">
        <x:v>Digestive etchant</x:v>
      </x:c>
      <x:c r="C84" s="4" t="str">
        <x:v>T0</x:v>
      </x:c>
      <x:c r="D84" s="9" t="str">
        <x:v>Biological resources</x:v>
      </x:c>
      <x:c r="E84" s="9" t="str">
        <x:v>Faunal chemical concept</x:v>
      </x:c>
      <x:c r="F84" s="9" t="str">
        <x:v>New proposal</x:v>
      </x:c>
      <x:c r="G84" s="9" t="inlineStr">
        <x:is>
          <x:t xml:space="preserve">Mineral separation and metal surface preparation. It is a candidate industrial input or process aid. Its composition, containment and compatible treatment must be established; usefulness does not imply edibility.</x:t>
        </x:is>
      </x:c>
      <x:c r="H84" s="9" t="str">
        <x:v>None</x:v>
      </x:c>
      <x:c r="I84" s="9" t="str">
        <x:v>Contained Legger/local storage proposed</x:v>
      </x:c>
      <x:c r="J84" s="13"/>
      <x:c r="K84" s="15"/>
      <x:c r="L84" s="9" t="str">
        <x:v>Contained digestive liquor in geological feeders; exposes useful mineral compounds</x:v>
      </x:c>
      <x:c r="M84" s="9" t="str">
        <x:v>Qualitative material concept; no recipe authored</x:v>
      </x:c>
      <x:c r="N84" s="9" t="str">
        <x:v>Not implemented</x:v>
      </x:c>
      <x:c r="O84" s="9" t="str">
        <x:v>Corrosive tissue injury; inedible; Could damage containers and useful shell; reusable containment and selectivity need design</x:v>
      </x:c>
      <x:c r="P84" s="17"/>
      <x:c r="Q84" s="17"/>
      <x:c r="R84" s="17"/>
      <x:c r="S84" s="17"/>
      <x:c r="T84" s="17"/>
      <x:c r="U84" s="9" t="str">
        <x:v>Source draft describes digestive acids/catalysts; this harvestable agent and uses are new proposals</x:v>
      </x:c>
      <x:c r="V84" s="11" t="str">
        <x:v>surface finishing</x:v>
      </x:c>
      <x:c r="W84"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4" s="4" t="str">
        <x:v>Chemical material</x:v>
      </x:c>
      <x:c r="Y84" s="4" t="str">
        <x:v>Extracted material</x:v>
      </x:c>
      <x:c r="Z84" s="4" t="str">
        <x:v>Fauna</x:v>
      </x:c>
      <x:c r="AA84" s="4" t="str">
        <x:v>Chemical processing</x:v>
      </x:c>
      <x:c r="AB84" s="4" t="str">
        <x:v>Biological chemical</x:v>
      </x:c>
      <x:c r="AC84" s="4" t="str">
        <x:v>Unresolved</x:v>
      </x:c>
      <x:c r="AD84" s="4" t="str">
        <x:v>Proposal</x:v>
      </x:c>
      <x:c r="AE84" s="4" t="str">
        <x:f>LOWER(A84&amp;"; "&amp;B84&amp;"; "&amp;D84&amp;"; "&amp;E84&amp;"; "&amp;X84&amp;"; "&amp;Y84&amp;"; "&amp;Z84&amp;"; "&amp;AA84&amp;"; "&amp;AB84&amp;"; "&amp;AC84&amp;"; "&amp;AD84&amp;"; "&amp;V84&amp;"; "&amp;C84&amp;"; "&amp;AH84&amp;"; "&amp;AI84)</x:f>
        <x:v>proposal.chemical.digestive_etchant; digestive etchant; biological resources; faunal chemical concept; chemical material; extracted material; fauna; chemical processing; biological chemical; unresolved; proposal; surface finishing; t0; not applicable; material</x:v>
      </x:c>
      <x:c r="AF84" s="4" t="str">
        <x:v>From current item description. Proposed uses retain their existing approval status. Lore category review: Resources -&gt; Biological resources. Classification only; original item status and tier retained.</x:v>
      </x:c>
      <x:c r="AG84" s="4" t="str">
        <x:v>Raw gathered/recovered craft input under the author T0 framework. This does not imply a naturally occurring pure metal.</x:v>
      </x:c>
      <x:c r="AH84" s="4" t="str">
        <x:v>Not applicable</x:v>
      </x:c>
      <x:c r="AI84" s="4" t="str">
        <x:v>Material</x:v>
      </x:c>
      <x:c r="AJ84" s="4" t="n">
        <x:f>COUNTIFS('Material routes'!$D$6:$D$2205,A84,'Material routes'!$C$6:$C$2205,"Output")</x:f>
        <x:v>0</x:v>
      </x:c>
      <x:c r="AK84" s="4" t="n">
        <x:f>SUM(COUNTIFS('Material routes'!$D$6:$D$2205,A84,'Material routes'!$C$6:$C$2205,"Ingredient candidate"),COUNTIFS('Material routes'!$D$6:$D$2205,A84,'Material routes'!$C$6:$C$2205,"Consumed input"),COUNTIFS('Material routes'!$D$6:$D$2205,A84,'Material routes'!$C$6:$C$2205,"Contained input"),COUNTIFS('Material routes'!$D$6:$D$2205,A84,'Material routes'!$C$6:$C$2205,"Transform input"))</x:f>
        <x:v>1</x:v>
      </x:c>
      <x:c r="AL84" s="4" t="n">
        <x:f>COUNTIFS('Material routes'!$D$6:$D$2205,A84,'Material routes'!$C$6:$C$2205,"Tool candidate")</x:f>
        <x:v>0</x:v>
      </x:c>
      <x:c r="AM84" s="4" t="str">
        <x:f>IF(AJ84&gt;0,"Route listed; review status/completeness",IF(C84="T0","Raw entry feed; no production route","No production route listed"))</x:f>
        <x:v>Raw entry feed; no production route</x:v>
      </x:c>
      <x:c r="AN84" s="14" t="n">
        <x:f>IF(C84="T0",0,IF(C84="T1",1,IF(C84="T2",2,IF(C84="T3",3,IF(C84="T4",4,IF(C84="Unassigned",98,99))))))</x:f>
        <x:v>0</x:v>
      </x:c>
      <x:c r="AZ84"/>
      <x:c r="BA84"/>
      <x:c r="BB84"/>
      <x:c r="BC84"/>
      <x:c r="BD84"/>
      <x:c r="BE84"/>
      <x:c r="BF84"/>
      <x:c r="BG84"/>
      <x:c r="BH84"/>
      <x:c r="BI84"/>
      <x:c r="BJ84"/>
      <x:c r="BK84"/>
      <x:c r="BL84"/>
      <x:c r="BM84"/>
      <x:c r="BN84"/>
      <x:c r="BO84"/>
      <x:c r="BP84"/>
      <x:c r="BQ84"/>
      <x:c r="BR84"/>
      <x:c r="BS84"/>
      <x:c r="BT84"/>
      <x:c r="BU84"/>
      <x:c r="BV84"/>
      <x:c r="BW84"/>
      <x:c r="BX84"/>
      <x:c r="BY84"/>
      <x:c r="BZ84"/>
      <x:c r="CA84"/>
      <x:c r="CB84"/>
      <x:c r="CC84"/>
    </x:row>
    <x:row r="85" ht="80" customHeight="1">
      <x:c r="A85" s="9" t="str">
        <x:v>proposal.chemical.husk_enzyme</x:v>
      </x:c>
      <x:c r="B85" s="9" t="str">
        <x:v>Husk-separation enzyme</x:v>
      </x:c>
      <x:c r="C85" s="4" t="str">
        <x:v>T0</x:v>
      </x:c>
      <x:c r="D85" s="9" t="str">
        <x:v>Biological resources</x:v>
      </x:c>
      <x:c r="E85" s="9" t="str">
        <x:v>Faunal chemical concept</x:v>
      </x:c>
      <x:c r="F85" s="9" t="str">
        <x:v>New proposal</x:v>
      </x:c>
      <x:c r="G85" s="9" t="inlineStr">
        <x:is>
          <x:t xml:space="preserve">Help release chitin/icore fibers for paper and difficult pressed materials. It is intended to assist separation or preparation of biological fibers before they are made into paper or scarce pressed materials.</x:t>
        </x:is>
      </x:c>
      <x:c r="H85" s="9" t="str">
        <x:v>None</x:v>
      </x:c>
      <x:c r="I85" s="9" t="str">
        <x:v>Contained Legger/local storage proposed</x:v>
      </x:c>
      <x:c r="J85" s="13"/>
      <x:c r="K85" s="15"/>
      <x:c r="L85" s="9" t="str">
        <x:v>Proposed catalytic fraction associated with shell renewal or digestion</x:v>
      </x:c>
      <x:c r="M85" s="9" t="str">
        <x:v>Qualitative material concept; no recipe authored</x:v>
      </x:c>
      <x:c r="N85" s="9" t="str">
        <x:v>Not implemented</x:v>
      </x:c>
      <x:c r="O85" s="9" t="str">
        <x:v>Biologically active irritant; effects species-dependent; Slow specialist processing still required; must not turn abundant husks into easy cloth</x:v>
      </x:c>
      <x:c r="P85" s="17"/>
      <x:c r="Q85" s="17"/>
      <x:c r="R85" s="17"/>
      <x:c r="S85" s="17"/>
      <x:c r="T85" s="17"/>
      <x:c r="U85" s="9" t="str">
        <x:v>Source draft includes industrial enzymes, but fauna origin and this fiber application are new proposals</x:v>
      </x:c>
      <x:c r="V85" s="11" t="str">
        <x:v>paper making; textile processing</x:v>
      </x:c>
      <x:c r="W85" s="9" t="str">
        <x:v>New game brainstorm, October 14, 2026; source records are proposals. https://github.com/sleepyseamonster/Arc-Dust/blob/f6f98515c005dc3c73cccd9cbc031691745740c6/02-Arc-Dust-Worldbuilding/world/materials/chemical-processing-agents.md</x:v>
      </x:c>
      <x:c r="X85" s="4" t="str">
        <x:v>Chemical material</x:v>
      </x:c>
      <x:c r="Y85" s="4" t="str">
        <x:v>Extracted material</x:v>
      </x:c>
      <x:c r="Z85" s="4" t="str">
        <x:v>Fauna</x:v>
      </x:c>
      <x:c r="AA85" s="4" t="str">
        <x:v>Fiber processing</x:v>
      </x:c>
      <x:c r="AB85" s="4" t="str">
        <x:v>Biological chemical</x:v>
      </x:c>
      <x:c r="AC85" s="4" t="str">
        <x:v>Unresolved</x:v>
      </x:c>
      <x:c r="AD85" s="4" t="str">
        <x:v>Proposal</x:v>
      </x:c>
      <x:c r="AE85" s="4" t="str">
        <x:f>LOWER(A85&amp;"; "&amp;B85&amp;"; "&amp;D85&amp;"; "&amp;E85&amp;"; "&amp;X85&amp;"; "&amp;Y85&amp;"; "&amp;Z85&amp;"; "&amp;AA85&amp;"; "&amp;AB85&amp;"; "&amp;AC85&amp;"; "&amp;AD85&amp;"; "&amp;V85&amp;"; "&amp;C85&amp;"; "&amp;AH85&amp;"; "&amp;AI85)</x:f>
        <x:v>proposal.chemical.husk_enzyme; husk-separation enzyme; biological resources; faunal chemical concept; chemical material; extracted material; fauna; fiber processing; biological chemical; unresolved; proposal; paper making; textile processing; t0; not applicable; material</x:v>
      </x:c>
      <x:c r="AF85" s="4" t="str">
        <x:v>From current item description. Proposed uses retain their existing approval status. Lore category review: Resources -&gt; Biological resources. Classification only; original item status and tier retained.</x:v>
      </x:c>
      <x:c r="AG85" s="4" t="str">
        <x:v>Raw gathered/recovered craft input under the author T0 framework. This does not imply a naturally occurring pure metal.</x:v>
      </x:c>
      <x:c r="AH85" s="4" t="str">
        <x:v>Not applicable</x:v>
      </x:c>
      <x:c r="AI85" s="4" t="str">
        <x:v>Material</x:v>
      </x:c>
      <x:c r="AJ85" s="4" t="n">
        <x:f>COUNTIFS('Material routes'!$D$6:$D$2205,A85,'Material routes'!$C$6:$C$2205,"Output")</x:f>
        <x:v>0</x:v>
      </x:c>
      <x:c r="AK85" s="4" t="n">
        <x:f>SUM(COUNTIFS('Material routes'!$D$6:$D$2205,A85,'Material routes'!$C$6:$C$2205,"Ingredient candidate"),COUNTIFS('Material routes'!$D$6:$D$2205,A85,'Material routes'!$C$6:$C$2205,"Consumed input"),COUNTIFS('Material routes'!$D$6:$D$2205,A85,'Material routes'!$C$6:$C$2205,"Contained input"),COUNTIFS('Material routes'!$D$6:$D$2205,A85,'Material routes'!$C$6:$C$2205,"Transform input"))</x:f>
        <x:v>0</x:v>
      </x:c>
      <x:c r="AL85" s="4" t="n">
        <x:f>COUNTIFS('Material routes'!$D$6:$D$2205,A85,'Material routes'!$C$6:$C$2205,"Tool candidate")</x:f>
        <x:v>0</x:v>
      </x:c>
      <x:c r="AM85" s="4" t="str">
        <x:f>IF(AJ85&gt;0,"Route listed; review status/completeness",IF(C85="T0","Raw entry feed; no production route","No production route listed"))</x:f>
        <x:v>Raw entry feed; no production route</x:v>
      </x:c>
      <x:c r="AN85" s="14" t="n">
        <x:f>IF(C85="T0",0,IF(C85="T1",1,IF(C85="T2",2,IF(C85="T3",3,IF(C85="T4",4,IF(C85="Unassigned",98,99))))))</x:f>
        <x:v>0</x:v>
      </x:c>
      <x:c r="AZ85"/>
      <x:c r="BA85"/>
      <x:c r="BB85"/>
      <x:c r="BC85"/>
      <x:c r="BD85"/>
      <x:c r="BE85"/>
      <x:c r="BF85"/>
      <x:c r="BG85"/>
      <x:c r="BH85"/>
      <x:c r="BI85"/>
      <x:c r="BJ85"/>
      <x:c r="BK85"/>
      <x:c r="BL85"/>
      <x:c r="BM85"/>
      <x:c r="BN85"/>
      <x:c r="BO85"/>
      <x:c r="BP85"/>
      <x:c r="BQ85"/>
      <x:c r="BR85"/>
      <x:c r="BS85"/>
      <x:c r="BT85"/>
      <x:c r="BU85"/>
      <x:c r="BV85"/>
      <x:c r="BW85"/>
      <x:c r="BX85"/>
      <x:c r="BY85"/>
      <x:c r="BZ85"/>
      <x:c r="CA85"/>
      <x:c r="CB85"/>
      <x:c r="CC85"/>
    </x:row>
    <x:row r="86" ht="80" customHeight="1">
      <x:c r="A86" s="9" t="str">
        <x:v>proposal.chemical.shell_binder</x:v>
      </x:c>
      <x:c r="B86" s="9" t="str">
        <x:v>Shell-binding secretion</x:v>
      </x:c>
      <x:c r="C86" s="4" t="str">
        <x:v>T0</x:v>
      </x:c>
      <x:c r="D86" s="9" t="str">
        <x:v>Biological resources</x:v>
      </x:c>
      <x:c r="E86" s="9" t="str">
        <x:v>Faunal chemical concept</x:v>
      </x:c>
      <x:c r="F86" s="9" t="str">
        <x:v>New proposal</x:v>
      </x:c>
      <x:c r="G86" s="9" t="inlineStr">
        <x:is>
          <x:t xml:space="preserve">Bind mineral aggregate, shell laminates and pressed fiber materials. It is intended to join, reinforce or support other parts, with the bond or fastening chosen for the materials and loads involved.</x:t>
        </x:is>
      </x:c>
      <x:c r="H86" s="9" t="str">
        <x:v>None</x:v>
      </x:c>
      <x:c r="I86" s="9" t="str">
        <x:v>Contained Legger/local storage proposed</x:v>
      </x:c>
      <x:c r="J86" s="13"/>
      <x:c r="K86" s="15"/>
      <x:c r="L86" s="9" t="str">
        <x:v>Proposed armor-building secretion that binds deposited minerals</x:v>
      </x:c>
      <x:c r="M86" s="9" t="str">
        <x:v>Qualitative material concept; no recipe authored</x:v>
      </x:c>
      <x:c r="N86" s="9" t="str">
        <x:v>Not implemented</x:v>
      </x:c>
      <x:c r="O86" s="9" t="str">
        <x:v>Adheres to exposed surfaces; contaminated residue may be toxic; Durable bonding is a proposal; curing conditions and unwanted adhesion remain unresolved</x:v>
      </x:c>
      <x:c r="P86" s="17"/>
      <x:c r="Q86" s="17"/>
      <x:c r="R86" s="17"/>
      <x:c r="S86" s="17"/>
      <x:c r="T86" s="17"/>
      <x:c r="U86" s="9" t="str">
        <x:v>Armor-building organs and chitin-derived binders are source-draft seeds; secretion/product is new</x:v>
      </x:c>
      <x:c r="V86" s="11" t="str">
        <x:v>protective fabrication; textile processing</x:v>
      </x:c>
      <x:c r="W86"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6" s="4" t="str">
        <x:v>Chemical material</x:v>
      </x:c>
      <x:c r="Y86" s="4" t="str">
        <x:v>Extracted material</x:v>
      </x:c>
      <x:c r="Z86" s="4" t="str">
        <x:v>Fauna</x:v>
      </x:c>
      <x:c r="AA86" s="4" t="str">
        <x:v>Binding and construction</x:v>
      </x:c>
      <x:c r="AB86" s="4" t="str">
        <x:v>Biological chemical</x:v>
      </x:c>
      <x:c r="AC86" s="4" t="str">
        <x:v>Unresolved</x:v>
      </x:c>
      <x:c r="AD86" s="4" t="str">
        <x:v>Proposal</x:v>
      </x:c>
      <x:c r="AE86" s="4" t="str">
        <x:f>LOWER(A86&amp;"; "&amp;B86&amp;"; "&amp;D86&amp;"; "&amp;E86&amp;"; "&amp;X86&amp;"; "&amp;Y86&amp;"; "&amp;Z86&amp;"; "&amp;AA86&amp;"; "&amp;AB86&amp;"; "&amp;AC86&amp;"; "&amp;AD86&amp;"; "&amp;V86&amp;"; "&amp;C86&amp;"; "&amp;AH86&amp;"; "&amp;AI86)</x:f>
        <x:v>proposal.chemical.shell_binder; shell-binding secretion; biological resources; faunal chemical concept; chemical material; extracted material; fauna; binding and construction; biological chemical; unresolved; proposal; protective fabrication; textile processing; t0; not applicable; material</x:v>
      </x:c>
      <x:c r="AF86" s="4" t="str">
        <x:v>From current item description. Proposed uses retain their existing approval status. Lore category review: Resources -&gt; Biological resources. Classification only; original item status and tier retained.</x:v>
      </x:c>
      <x:c r="AG86" s="4" t="str">
        <x:v>Raw gathered/recovered craft input under the author T0 framework. This does not imply a naturally occurring pure metal.</x:v>
      </x:c>
      <x:c r="AH86" s="4" t="str">
        <x:v>Not applicable</x:v>
      </x:c>
      <x:c r="AI86" s="4" t="str">
        <x:v>Material</x:v>
      </x:c>
      <x:c r="AJ86" s="4" t="n">
        <x:f>COUNTIFS('Material routes'!$D$6:$D$2205,A86,'Material routes'!$C$6:$C$2205,"Output")</x:f>
        <x:v>0</x:v>
      </x:c>
      <x:c r="AK86" s="4" t="n">
        <x:f>SUM(COUNTIFS('Material routes'!$D$6:$D$2205,A86,'Material routes'!$C$6:$C$2205,"Ingredient candidate"),COUNTIFS('Material routes'!$D$6:$D$2205,A86,'Material routes'!$C$6:$C$2205,"Consumed input"),COUNTIFS('Material routes'!$D$6:$D$2205,A86,'Material routes'!$C$6:$C$2205,"Contained input"),COUNTIFS('Material routes'!$D$6:$D$2205,A86,'Material routes'!$C$6:$C$2205,"Transform input"))</x:f>
        <x:v>1</x:v>
      </x:c>
      <x:c r="AL86" s="4" t="n">
        <x:f>COUNTIFS('Material routes'!$D$6:$D$2205,A86,'Material routes'!$C$6:$C$2205,"Tool candidate")</x:f>
        <x:v>0</x:v>
      </x:c>
      <x:c r="AM86" s="4" t="str">
        <x:f>IF(AJ86&gt;0,"Route listed; review status/completeness",IF(C86="T0","Raw entry feed; no production route","No production route listed"))</x:f>
        <x:v>Raw entry feed; no production route</x:v>
      </x:c>
      <x:c r="AN86" s="14" t="n">
        <x:f>IF(C86="T0",0,IF(C86="T1",1,IF(C86="T2",2,IF(C86="T3",3,IF(C86="T4",4,IF(C86="Unassigned",98,99))))))</x:f>
        <x:v>0</x:v>
      </x:c>
      <x:c r="AZ86"/>
      <x:c r="BA86"/>
      <x:c r="BB86"/>
      <x:c r="BC86"/>
      <x:c r="BD86"/>
      <x:c r="BE86"/>
      <x:c r="BF86"/>
      <x:c r="BG86"/>
      <x:c r="BH86"/>
      <x:c r="BI86"/>
      <x:c r="BJ86"/>
      <x:c r="BK86"/>
      <x:c r="BL86"/>
      <x:c r="BM86"/>
      <x:c r="BN86"/>
      <x:c r="BO86"/>
      <x:c r="BP86"/>
      <x:c r="BQ86"/>
      <x:c r="BR86"/>
      <x:c r="BS86"/>
      <x:c r="BT86"/>
      <x:c r="BU86"/>
      <x:c r="BV86"/>
      <x:c r="BW86"/>
      <x:c r="BX86"/>
      <x:c r="BY86"/>
      <x:c r="BZ86"/>
      <x:c r="CA86"/>
      <x:c r="CB86"/>
      <x:c r="CC86"/>
    </x:row>
    <x:row r="87" ht="80" customHeight="1">
      <x:c r="A87" s="9" t="str">
        <x:v>proposal.chemical.clotting_compound</x:v>
      </x:c>
      <x:c r="B87" s="9" t="str">
        <x:v>Mineral clotting compound</x:v>
      </x:c>
      <x:c r="C87" s="4" t="str">
        <x:v>T0</x:v>
      </x:c>
      <x:c r="D87" s="9" t="str">
        <x:v>Biological resources</x:v>
      </x:c>
      <x:c r="E87" s="9" t="str">
        <x:v>Faunal chemical concept</x:v>
      </x:c>
      <x:c r="F87" s="9" t="str">
        <x:v>New proposal</x:v>
      </x:c>
      <x:c r="G87" s="9" t="inlineStr">
        <x:is>
          <x:t xml:space="preserve">Quick hard-setting equipment patches and temporary container seals. It supports replacement, refitting or maintenance of a compatible item; ownership alone does not restore the equipment’s condition.</x:t>
        </x:is>
      </x:c>
      <x:c r="H87" s="9" t="str">
        <x:v>None</x:v>
      </x:c>
      <x:c r="I87" s="9" t="str">
        <x:v>Contained Legger/local storage proposed</x:v>
      </x:c>
      <x:c r="J87" s="13"/>
      <x:c r="K87" s="15"/>
      <x:c r="L87" s="9" t="str">
        <x:v>Ichor wound response; suspended minerals harden into a protective clot</x:v>
      </x:c>
      <x:c r="M87" s="9" t="str">
        <x:v>Qualitative material concept; no recipe authored</x:v>
      </x:c>
      <x:c r="N87" s="9" t="str">
        <x:v>Not implemented</x:v>
      </x:c>
      <x:c r="O87" s="9" t="str">
        <x:v>Not human-compatible medicine; contact/ingestion toxicity unresolved; Brittleness and shelf stability can distinguish it from a permanent binder</x:v>
      </x:c>
      <x:c r="P87" s="17"/>
      <x:c r="Q87" s="17"/>
      <x:c r="R87" s="17"/>
      <x:c r="S87" s="17"/>
      <x:c r="T87" s="17"/>
      <x:c r="U87" s="9" t="str">
        <x:v>Source draft describes mineral-hardened clots; repair-material use is new</x:v>
      </x:c>
      <x:c r="V87" s="11" t="str">
        <x:v>sealing</x:v>
      </x:c>
      <x:c r="W87" s="9" t="str">
        <x:v>New game brainstorm, October 14, 2026; source records are proposals. https://github.com/sleepyseamonster/Arc-Dust/blob/f6f98515c005dc3c73cccd9cbc031691745740c6/02-Arc-Dust-Worldbuilding/world/native-fauna-biology.md</x:v>
      </x:c>
      <x:c r="X87" s="4" t="str">
        <x:v>Chemical material</x:v>
      </x:c>
      <x:c r="Y87" s="4" t="str">
        <x:v>Extracted material</x:v>
      </x:c>
      <x:c r="Z87" s="4" t="str">
        <x:v>Fauna</x:v>
      </x:c>
      <x:c r="AA87" s="4" t="str">
        <x:v>Equipment repair</x:v>
      </x:c>
      <x:c r="AB87" s="4" t="str">
        <x:v>Biological chemical</x:v>
      </x:c>
      <x:c r="AC87" s="4" t="str">
        <x:v>Unresolved</x:v>
      </x:c>
      <x:c r="AD87" s="4" t="str">
        <x:v>Proposal</x:v>
      </x:c>
      <x:c r="AE87" s="4" t="str">
        <x:f>LOWER(A87&amp;"; "&amp;B87&amp;"; "&amp;D87&amp;"; "&amp;E87&amp;"; "&amp;X87&amp;"; "&amp;Y87&amp;"; "&amp;Z87&amp;"; "&amp;AA87&amp;"; "&amp;AB87&amp;"; "&amp;AC87&amp;"; "&amp;AD87&amp;"; "&amp;V87&amp;"; "&amp;C87&amp;"; "&amp;AH87&amp;"; "&amp;AI87)</x:f>
        <x:v>proposal.chemical.clotting_compound; mineral clotting compound; biological resources; faunal chemical concept; chemical material; extracted material; fauna; equipment repair; biological chemical; unresolved; proposal; sealing; t0; not applicable; material</x:v>
      </x:c>
      <x:c r="AF87" s="4" t="str">
        <x:v>From current item description. Proposed uses retain their existing approval status. Lore category review: Resources -&gt; Biological resources. Classification only; original item status and tier retained.</x:v>
      </x:c>
      <x:c r="AG87" s="4" t="str">
        <x:v>Raw gathered/recovered craft input under the author T0 framework. This does not imply a naturally occurring pure metal.</x:v>
      </x:c>
      <x:c r="AH87" s="4" t="str">
        <x:v>Not applicable</x:v>
      </x:c>
      <x:c r="AI87" s="4" t="str">
        <x:v>Material</x:v>
      </x:c>
      <x:c r="AJ87" s="4" t="n">
        <x:f>COUNTIFS('Material routes'!$D$6:$D$2205,A87,'Material routes'!$C$6:$C$2205,"Output")</x:f>
        <x:v>0</x:v>
      </x:c>
      <x:c r="AK87" s="4" t="n">
        <x:f>SUM(COUNTIFS('Material routes'!$D$6:$D$2205,A87,'Material routes'!$C$6:$C$2205,"Ingredient candidate"),COUNTIFS('Material routes'!$D$6:$D$2205,A87,'Material routes'!$C$6:$C$2205,"Consumed input"),COUNTIFS('Material routes'!$D$6:$D$2205,A87,'Material routes'!$C$6:$C$2205,"Contained input"),COUNTIFS('Material routes'!$D$6:$D$2205,A87,'Material routes'!$C$6:$C$2205,"Transform input"))</x:f>
        <x:v>1</x:v>
      </x:c>
      <x:c r="AL87" s="4" t="n">
        <x:f>COUNTIFS('Material routes'!$D$6:$D$2205,A87,'Material routes'!$C$6:$C$2205,"Tool candidate")</x:f>
        <x:v>0</x:v>
      </x:c>
      <x:c r="AM87" s="4" t="str">
        <x:f>IF(AJ87&gt;0,"Route listed; review status/completeness",IF(C87="T0","Raw entry feed; no production route","No production route listed"))</x:f>
        <x:v>Raw entry feed; no production route</x:v>
      </x:c>
      <x:c r="AN87" s="14" t="n">
        <x:f>IF(C87="T0",0,IF(C87="T1",1,IF(C87="T2",2,IF(C87="T3",3,IF(C87="T4",4,IF(C87="Unassigned",98,99))))))</x:f>
        <x:v>0</x:v>
      </x:c>
      <x:c r="AZ87"/>
      <x:c r="BA87"/>
      <x:c r="BB87"/>
      <x:c r="BC87"/>
      <x:c r="BD87"/>
      <x:c r="BE87"/>
      <x:c r="BF87"/>
      <x:c r="BG87"/>
      <x:c r="BH87"/>
      <x:c r="BI87"/>
      <x:c r="BJ87"/>
      <x:c r="BK87"/>
      <x:c r="BL87"/>
      <x:c r="BM87"/>
      <x:c r="BN87"/>
      <x:c r="BO87"/>
      <x:c r="BP87"/>
      <x:c r="BQ87"/>
      <x:c r="BR87"/>
      <x:c r="BS87"/>
      <x:c r="BT87"/>
      <x:c r="BU87"/>
      <x:c r="BV87"/>
      <x:c r="BW87"/>
      <x:c r="BX87"/>
      <x:c r="BY87"/>
      <x:c r="BZ87"/>
      <x:c r="CA87"/>
      <x:c r="CB87"/>
      <x:c r="CC87"/>
    </x:row>
    <x:row r="88" ht="80" customHeight="1">
      <x:c r="A88" s="9" t="str">
        <x:v>proposal.chemical.mineral_ichor</x:v>
      </x:c>
      <x:c r="B88" s="9" t="str">
        <x:v>Mineral-rich ichor</x:v>
      </x:c>
      <x:c r="C88" s="4" t="str">
        <x:v>T0</x:v>
      </x:c>
      <x:c r="D88" s="9" t="str">
        <x:v>Biological resources</x:v>
      </x:c>
      <x:c r="E88" s="9" t="str">
        <x:v>Faunal chemical concept</x:v>
      </x:c>
      <x:c r="F88" s="9" t="str">
        <x:v>New proposal</x:v>
      </x:c>
      <x:c r="G88" s="9" t="inlineStr">
        <x:is>
          <x:t xml:space="preserve">Potential feed for pigments, recovered mineral fractions and binder research. It is a candidate industrial input or process aid. Its composition, containment and compatible treatment must be established; usefulness does not imply edibility.</x:t>
        </x:is>
      </x:c>
      <x:c r="H88" s="9" t="str">
        <x:v>None</x:v>
      </x:c>
      <x:c r="I88" s="9" t="str">
        <x:v>Contained Legger/local storage proposed</x:v>
      </x:c>
      <x:c r="J88" s="13"/>
      <x:c r="K88" s="15"/>
      <x:c r="L88" s="9" t="str">
        <x:v>Circulatory fluid carrying minerals, energy compounds and metabolic wastes</x:v>
      </x:c>
      <x:c r="M88" s="9" t="str">
        <x:v>Qualitative material concept; no recipe authored</x:v>
      </x:c>
      <x:c r="N88" s="9" t="str">
        <x:v>Not implemented</x:v>
      </x:c>
      <x:c r="O88" s="9" t="str">
        <x:v>Species-dependent toxicity and mineral contamination; not drinkable by default; Mixed contents vary by diet; do not assume a universal reagent or battery electrolyte</x:v>
      </x:c>
      <x:c r="P88" s="17"/>
      <x:c r="Q88" s="17"/>
      <x:c r="R88" s="17"/>
      <x:c r="S88" s="17"/>
      <x:c r="T88" s="17"/>
      <x:c r="U88" s="9" t="str">
        <x:v>Ichor contents are source-draft biology; separated material uses are new proposals</x:v>
      </x:c>
      <x:c r="V88" s="11" t="str">
        <x:v>decoration; ichor liquid not icore fiber</x:v>
      </x:c>
      <x:c r="W88" s="9" t="str">
        <x:v>New game brainstorm, October 14, 2026; source records are proposals. https://github.com/sleepyseamonster/Arc-Dust/blob/f6f98515c005dc3c73cccd9cbc031691745740c6/02-Arc-Dust-Worldbuilding/world/native-fauna-biology.md</x:v>
      </x:c>
      <x:c r="X88" s="4" t="str">
        <x:v>Chemical material</x:v>
      </x:c>
      <x:c r="Y88" s="4" t="str">
        <x:v>Extracted material</x:v>
      </x:c>
      <x:c r="Z88" s="4" t="str">
        <x:v>Fauna</x:v>
      </x:c>
      <x:c r="AA88" s="4" t="str">
        <x:v>Chemical processing</x:v>
      </x:c>
      <x:c r="AB88" s="4" t="str">
        <x:v>Biological chemical</x:v>
      </x:c>
      <x:c r="AC88" s="4" t="str">
        <x:v>Liquid</x:v>
      </x:c>
      <x:c r="AD88" s="4" t="str">
        <x:v>Proposal</x:v>
      </x:c>
      <x:c r="AE88" s="4" t="str">
        <x:f>LOWER(A88&amp;"; "&amp;B88&amp;"; "&amp;D88&amp;"; "&amp;E88&amp;"; "&amp;X88&amp;"; "&amp;Y88&amp;"; "&amp;Z88&amp;"; "&amp;AA88&amp;"; "&amp;AB88&amp;"; "&amp;AC88&amp;"; "&amp;AD88&amp;"; "&amp;V88&amp;"; "&amp;C88&amp;"; "&amp;AH88&amp;"; "&amp;AI88)</x:f>
        <x:v>proposal.chemical.mineral_ichor; mineral-rich ichor; biological resources; faunal chemical concept; chemical material; extracted material; fauna; chemical processing; biological chemical; liquid; proposal; decoration; ichor liquid not icore fiber; t0; not applicable; material</x:v>
      </x:c>
      <x:c r="AF88" s="4" t="str">
        <x:v>From current item description. Proposed uses retain their existing approval status. Lore category review: Resources -&gt; Biological resources. Classification only; original item status and tier retained.</x:v>
      </x:c>
      <x:c r="AG88" s="4" t="str">
        <x:v>Raw gathered/recovered craft input under the author T0 framework. This does not imply a naturally occurring pure metal.</x:v>
      </x:c>
      <x:c r="AH88" s="4" t="str">
        <x:v>Not applicable</x:v>
      </x:c>
      <x:c r="AI88" s="4" t="str">
        <x:v>Material</x:v>
      </x:c>
      <x:c r="AJ88" s="4" t="n">
        <x:f>COUNTIFS('Material routes'!$D$6:$D$2205,A88,'Material routes'!$C$6:$C$2205,"Output")</x:f>
        <x:v>0</x:v>
      </x:c>
      <x:c r="AK88" s="4" t="n">
        <x:f>SUM(COUNTIFS('Material routes'!$D$6:$D$2205,A88,'Material routes'!$C$6:$C$2205,"Ingredient candidate"),COUNTIFS('Material routes'!$D$6:$D$2205,A88,'Material routes'!$C$6:$C$2205,"Consumed input"),COUNTIFS('Material routes'!$D$6:$D$2205,A88,'Material routes'!$C$6:$C$2205,"Contained input"),COUNTIFS('Material routes'!$D$6:$D$2205,A88,'Material routes'!$C$6:$C$2205,"Transform input"))</x:f>
        <x:v>1</x:v>
      </x:c>
      <x:c r="AL88" s="4" t="n">
        <x:f>COUNTIFS('Material routes'!$D$6:$D$2205,A88,'Material routes'!$C$6:$C$2205,"Tool candidate")</x:f>
        <x:v>0</x:v>
      </x:c>
      <x:c r="AM88" s="4" t="str">
        <x:f>IF(AJ88&gt;0,"Route listed; review status/completeness",IF(C88="T0","Raw entry feed; no production route","No production route listed"))</x:f>
        <x:v>Raw entry feed; no production route</x:v>
      </x:c>
      <x:c r="AN88" s="14" t="n">
        <x:f>IF(C88="T0",0,IF(C88="T1",1,IF(C88="T2",2,IF(C88="T3",3,IF(C88="T4",4,IF(C88="Unassigned",98,99))))))</x:f>
        <x:v>0</x:v>
      </x:c>
      <x:c r="AZ88"/>
      <x:c r="BA88"/>
      <x:c r="BB88"/>
      <x:c r="BC88"/>
      <x:c r="BD88"/>
      <x:c r="BE88"/>
      <x:c r="BF88"/>
      <x:c r="BG88"/>
      <x:c r="BH88"/>
      <x:c r="BI88"/>
      <x:c r="BJ88"/>
      <x:c r="BK88"/>
      <x:c r="BL88"/>
      <x:c r="BM88"/>
      <x:c r="BN88"/>
      <x:c r="BO88"/>
      <x:c r="BP88"/>
      <x:c r="BQ88"/>
      <x:c r="BR88"/>
      <x:c r="BS88"/>
      <x:c r="BT88"/>
      <x:c r="BU88"/>
      <x:c r="BV88"/>
      <x:c r="BW88"/>
      <x:c r="BX88"/>
      <x:c r="BY88"/>
      <x:c r="BZ88"/>
      <x:c r="CA88"/>
      <x:c r="CB88"/>
      <x:c r="CC88"/>
    </x:row>
    <x:row r="89" ht="80" customHeight="1">
      <x:c r="A89" s="9" t="str">
        <x:v>proposal.chemical.joint_lubricant</x:v>
      </x:c>
      <x:c r="B89" s="9" t="str">
        <x:v>Joint-lubricating secretion</x:v>
      </x:c>
      <x:c r="C89" s="4" t="str">
        <x:v>T0</x:v>
      </x:c>
      <x:c r="D89" s="9" t="str">
        <x:v>Biological resources</x:v>
      </x:c>
      <x:c r="E89" s="9" t="str">
        <x:v>Faunal chemical concept</x:v>
      </x:c>
      <x:c r="F89" s="9" t="str">
        <x:v>New proposal</x:v>
      </x:c>
      <x:c r="G89" s="9" t="inlineStr">
        <x:is>
          <x:t xml:space="preserve">Dust-resistant equipment lubrication and flexible-seal conditioning. It is intended to reduce friction at a matched contact surface; dust behavior and material compatibility require qualification.</x:t>
        </x:is>
      </x:c>
      <x:c r="H89" s="9" t="str">
        <x:v>None</x:v>
      </x:c>
      <x:c r="I89" s="9" t="str">
        <x:v>Contained Legger/local storage proposed</x:v>
      </x:c>
      <x:c r="J89" s="13"/>
      <x:c r="K89" s="15"/>
      <x:c r="L89" s="9" t="str">
        <x:v>Proposed secretion that protects sliding plate/joint surfaces</x:v>
      </x:c>
      <x:c r="M89" s="9" t="str">
        <x:v>Qualitative material concept; no recipe authored</x:v>
      </x:c>
      <x:c r="N89" s="9" t="str">
        <x:v>Not implemented</x:v>
      </x:c>
      <x:c r="O89" s="9" t="str">
        <x:v>Toxic if ingested; skin compatibility unapproved; Dust capture versus useful lubrication needs design; does not restore conventional fat anatomy</x:v>
      </x:c>
      <x:c r="P89" s="17"/>
      <x:c r="Q89" s="17"/>
      <x:c r="R89" s="17"/>
      <x:c r="S89" s="17"/>
      <x:c r="T89" s="17"/>
      <x:c r="U89" s="9" t="str">
        <x:v>New proposed secretion; source processing draft discusses biological oils without validating this anatomy</x:v>
      </x:c>
      <x:c r="V89" s="11" t="str">
        <x:v>sealing</x:v>
      </x:c>
      <x:c r="W89" s="9" t="str">
        <x:v>New game brainstorm, October 14, 2026; source records are proposals. https://github.com/sleepyseamonster/Arc-Dust/blob/f6f98515c005dc3c73cccd9cbc031691745740c6/02-Arc-Dust-Worldbuilding/world/materials/chemical-processing-agents.md</x:v>
      </x:c>
      <x:c r="X89" s="4" t="str">
        <x:v>Chemical material</x:v>
      </x:c>
      <x:c r="Y89" s="4" t="str">
        <x:v>Extracted material</x:v>
      </x:c>
      <x:c r="Z89" s="4" t="str">
        <x:v>Fauna</x:v>
      </x:c>
      <x:c r="AA89" s="4" t="str">
        <x:v>Lubrication</x:v>
      </x:c>
      <x:c r="AB89" s="4" t="str">
        <x:v>Biological chemical</x:v>
      </x:c>
      <x:c r="AC89" s="4" t="str">
        <x:v>Unresolved</x:v>
      </x:c>
      <x:c r="AD89" s="4" t="str">
        <x:v>Proposal</x:v>
      </x:c>
      <x:c r="AE89" s="4" t="str">
        <x:f>LOWER(A89&amp;"; "&amp;B89&amp;"; "&amp;D89&amp;"; "&amp;E89&amp;"; "&amp;X89&amp;"; "&amp;Y89&amp;"; "&amp;Z89&amp;"; "&amp;AA89&amp;"; "&amp;AB89&amp;"; "&amp;AC89&amp;"; "&amp;AD89&amp;"; "&amp;V89&amp;"; "&amp;C89&amp;"; "&amp;AH89&amp;"; "&amp;AI89)</x:f>
        <x:v>proposal.chemical.joint_lubricant; joint-lubricating secretion; biological resources; faunal chemical concept; chemical material; extracted material; fauna; lubrication; biological chemical; unresolved; proposal; sealing; t0; not applicable; material</x:v>
      </x:c>
      <x:c r="AF89" s="4" t="str">
        <x:v>From current item description. Proposed uses retain their existing approval status. Lore category review: Resources -&gt; Biological resources. Classification only; original item status and tier retained.</x:v>
      </x:c>
      <x:c r="AG89" s="4" t="str">
        <x:v>Raw gathered/recovered craft input under the author T0 framework. This does not imply a naturally occurring pure metal.</x:v>
      </x:c>
      <x:c r="AH89" s="4" t="str">
        <x:v>Not applicable</x:v>
      </x:c>
      <x:c r="AI89" s="4" t="str">
        <x:v>Material</x:v>
      </x:c>
      <x:c r="AJ89" s="4" t="n">
        <x:f>COUNTIFS('Material routes'!$D$6:$D$2205,A89,'Material routes'!$C$6:$C$2205,"Output")</x:f>
        <x:v>0</x:v>
      </x:c>
      <x:c r="AK89" s="4" t="n">
        <x:f>SUM(COUNTIFS('Material routes'!$D$6:$D$2205,A89,'Material routes'!$C$6:$C$2205,"Ingredient candidate"),COUNTIFS('Material routes'!$D$6:$D$2205,A89,'Material routes'!$C$6:$C$2205,"Consumed input"),COUNTIFS('Material routes'!$D$6:$D$2205,A89,'Material routes'!$C$6:$C$2205,"Contained input"),COUNTIFS('Material routes'!$D$6:$D$2205,A89,'Material routes'!$C$6:$C$2205,"Transform input"))</x:f>
        <x:v>1</x:v>
      </x:c>
      <x:c r="AL89" s="4" t="n">
        <x:f>COUNTIFS('Material routes'!$D$6:$D$2205,A89,'Material routes'!$C$6:$C$2205,"Tool candidate")</x:f>
        <x:v>0</x:v>
      </x:c>
      <x:c r="AM89" s="4" t="str">
        <x:f>IF(AJ89&gt;0,"Route listed; review status/completeness",IF(C89="T0","Raw entry feed; no production route","No production route listed"))</x:f>
        <x:v>Raw entry feed; no production route</x:v>
      </x:c>
      <x:c r="AN89" s="14" t="n">
        <x:f>IF(C89="T0",0,IF(C89="T1",1,IF(C89="T2",2,IF(C89="T3",3,IF(C89="T4",4,IF(C89="Unassigned",98,99))))))</x:f>
        <x:v>0</x:v>
      </x:c>
      <x:c r="AZ89"/>
      <x:c r="BA89"/>
      <x:c r="BB89"/>
      <x:c r="BC89"/>
      <x:c r="BD89"/>
      <x:c r="BE89"/>
      <x:c r="BF89"/>
      <x:c r="BG89"/>
      <x:c r="BH89"/>
      <x:c r="BI89"/>
      <x:c r="BJ89"/>
      <x:c r="BK89"/>
      <x:c r="BL89"/>
      <x:c r="BM89"/>
      <x:c r="BN89"/>
      <x:c r="BO89"/>
      <x:c r="BP89"/>
      <x:c r="BQ89"/>
      <x:c r="BR89"/>
      <x:c r="BS89"/>
      <x:c r="BT89"/>
      <x:c r="BU89"/>
      <x:c r="BV89"/>
      <x:c r="BW89"/>
      <x:c r="BX89"/>
      <x:c r="BY89"/>
      <x:c r="BZ89"/>
      <x:c r="CA89"/>
      <x:c r="CB89"/>
      <x:c r="CC89"/>
    </x:row>
    <x:row r="90" ht="80" customHeight="1">
      <x:c r="A90" s="9" t="str">
        <x:v>proposal.chemical.insulating_secretion</x:v>
      </x:c>
      <x:c r="B90" s="9" t="str">
        <x:v>Insulating secretion</x:v>
      </x:c>
      <x:c r="C90" s="4" t="str">
        <x:v>T0</x:v>
      </x:c>
      <x:c r="D90" s="9" t="str">
        <x:v>Biological resources</x:v>
      </x:c>
      <x:c r="E90" s="9" t="str">
        <x:v>Faunal chemical concept</x:v>
      </x:c>
      <x:c r="F90" s="9" t="str">
        <x:v>New proposal</x:v>
      </x:c>
      <x:c r="G90" s="9" t="inlineStr">
        <x:is>
          <x:t xml:space="preserve">Candidate electrical separators and equipment coating. It is intended to separate conductive parts or support them without a direct conducting path. No voltage or thermal rating follows from that proposed role.</x:t>
        </x:is>
      </x:c>
      <x:c r="H90" s="9" t="str">
        <x:v>None</x:v>
      </x:c>
      <x:c r="I90" s="9" t="str">
        <x:v>Contained Legger/local storage proposed</x:v>
      </x:c>
      <x:c r="J90" s="13"/>
      <x:c r="K90" s="15"/>
      <x:c r="L90" s="9" t="str">
        <x:v>Proposed barrier layer that helps fauna manage electrical exposure</x:v>
      </x:c>
      <x:c r="M90" s="9" t="str">
        <x:v>Qualitative material concept; no recipe authored</x:v>
      </x:c>
      <x:c r="N90" s="9" t="str">
        <x:v>Not implemented</x:v>
      </x:c>
      <x:c r="O90" s="9" t="str">
        <x:v>Irritating/toxic residue; no human-contact assumption; Electrical behavior and wear are unproven; never blanket lightning immunity</x:v>
      </x:c>
      <x:c r="P90" s="17"/>
      <x:c r="Q90" s="17"/>
      <x:c r="R90" s="17"/>
      <x:c r="S90" s="17"/>
      <x:c r="T90" s="17"/>
      <x:c r="U90" s="9" t="str">
        <x:v>Source draft includes insulation/charge shedding; this material capability is a new proposal</x:v>
      </x:c>
      <x:c r="V90" s="11"/>
      <x:c r="W90" s="9" t="str">
        <x:v>New game brainstorm, October 14, 2026; source records are proposals. https://github.com/sleepyseamonster/Arc-Dust/blob/f6f98515c005dc3c73cccd9cbc031691745740c6/02-Arc-Dust-Worldbuilding/world/native-fauna-biology.md</x:v>
      </x:c>
      <x:c r="X90" s="4" t="str">
        <x:v>Chemical material</x:v>
      </x:c>
      <x:c r="Y90" s="4" t="str">
        <x:v>Extracted material</x:v>
      </x:c>
      <x:c r="Z90" s="4" t="str">
        <x:v>Fauna</x:v>
      </x:c>
      <x:c r="AA90" s="4" t="str">
        <x:v>Electrical insulation</x:v>
      </x:c>
      <x:c r="AB90" s="4" t="str">
        <x:v>Biological chemical</x:v>
      </x:c>
      <x:c r="AC90" s="4" t="str">
        <x:v>Unresolved</x:v>
      </x:c>
      <x:c r="AD90" s="4" t="str">
        <x:v>Proposal</x:v>
      </x:c>
      <x:c r="AE90" s="4" t="str">
        <x:f>LOWER(A90&amp;"; "&amp;B90&amp;"; "&amp;D90&amp;"; "&amp;E90&amp;"; "&amp;X90&amp;"; "&amp;Y90&amp;"; "&amp;Z90&amp;"; "&amp;AA90&amp;"; "&amp;AB90&amp;"; "&amp;AC90&amp;"; "&amp;AD90&amp;"; "&amp;V90&amp;"; "&amp;C90&amp;"; "&amp;AH90&amp;"; "&amp;AI90)</x:f>
        <x:v>proposal.chemical.insulating_secretion; insulating secretion; biological resources; faunal chemical concept; chemical material; extracted material; fauna; electrical insulation; biological chemical; unresolved; proposal; ; t0; not applicable; material</x:v>
      </x:c>
      <x:c r="AF90" s="4" t="str">
        <x:v>From current item description. Proposed uses retain their existing approval status. Lore category review: Resources -&gt; Biological resources. Classification only; original item status and tier retained.</x:v>
      </x:c>
      <x:c r="AG90" s="4" t="str">
        <x:v>Raw gathered/recovered craft input under the author T0 framework. This does not imply a naturally occurring pure metal.</x:v>
      </x:c>
      <x:c r="AH90" s="4" t="str">
        <x:v>Not applicable</x:v>
      </x:c>
      <x:c r="AI90" s="4" t="str">
        <x:v>Material</x:v>
      </x:c>
      <x:c r="AJ90" s="4" t="n">
        <x:f>COUNTIFS('Material routes'!$D$6:$D$2205,A90,'Material routes'!$C$6:$C$2205,"Output")</x:f>
        <x:v>0</x:v>
      </x:c>
      <x:c r="AK90" s="4" t="n">
        <x:f>SUM(COUNTIFS('Material routes'!$D$6:$D$2205,A90,'Material routes'!$C$6:$C$2205,"Ingredient candidate"),COUNTIFS('Material routes'!$D$6:$D$2205,A90,'Material routes'!$C$6:$C$2205,"Consumed input"),COUNTIFS('Material routes'!$D$6:$D$2205,A90,'Material routes'!$C$6:$C$2205,"Contained input"),COUNTIFS('Material routes'!$D$6:$D$2205,A90,'Material routes'!$C$6:$C$2205,"Transform input"))</x:f>
        <x:v>0</x:v>
      </x:c>
      <x:c r="AL90" s="4" t="n">
        <x:f>COUNTIFS('Material routes'!$D$6:$D$2205,A90,'Material routes'!$C$6:$C$2205,"Tool candidate")</x:f>
        <x:v>0</x:v>
      </x:c>
      <x:c r="AM90" s="4" t="str">
        <x:f>IF(AJ90&gt;0,"Route listed; review status/completeness",IF(C90="T0","Raw entry feed; no production route","No production route listed"))</x:f>
        <x:v>Raw entry feed; no production route</x:v>
      </x:c>
      <x:c r="AN90" s="14" t="n">
        <x:f>IF(C90="T0",0,IF(C90="T1",1,IF(C90="T2",2,IF(C90="T3",3,IF(C90="T4",4,IF(C90="Unassigned",98,99))))))</x:f>
        <x:v>0</x:v>
      </x:c>
      <x:c r="AZ90"/>
      <x:c r="BA90"/>
      <x:c r="BB90"/>
      <x:c r="BC90"/>
      <x:c r="BD90"/>
      <x:c r="BE90"/>
      <x:c r="BF90"/>
      <x:c r="BG90"/>
      <x:c r="BH90"/>
      <x:c r="BI90"/>
      <x:c r="BJ90"/>
      <x:c r="BK90"/>
      <x:c r="BL90"/>
      <x:c r="BM90"/>
      <x:c r="BN90"/>
      <x:c r="BO90"/>
      <x:c r="BP90"/>
      <x:c r="BQ90"/>
      <x:c r="BR90"/>
      <x:c r="BS90"/>
      <x:c r="BT90"/>
      <x:c r="BU90"/>
      <x:c r="BV90"/>
      <x:c r="BW90"/>
      <x:c r="BX90"/>
      <x:c r="BY90"/>
      <x:c r="BZ90"/>
      <x:c r="CA90"/>
      <x:c r="CB90"/>
      <x:c r="CC90"/>
    </x:row>
    <x:row r="91" ht="80" customHeight="1">
      <x:c r="A91" s="9" t="str">
        <x:v>proposal.chemical.conductive_gel</x:v>
      </x:c>
      <x:c r="B91" s="9" t="str">
        <x:v>Charge-conducting gel</x:v>
      </x:c>
      <x:c r="C91" s="4" t="str">
        <x:v>T0</x:v>
      </x:c>
      <x:c r="D91" s="9" t="str">
        <x:v>Biological resources</x:v>
      </x:c>
      <x:c r="E91" s="9" t="str">
        <x:v>Faunal chemical concept</x:v>
      </x:c>
      <x:c r="F91" s="9" t="str">
        <x:v>New proposal</x:v>
      </x:c>
      <x:c r="G91" s="9" t="inlineStr">
        <x:is>
          <x:t xml:space="preserve">Candidate contained equipment contacts and sensing components. It is intended to form part of a continuous conducting path, with section, joints and protection matched to the receiving circuit.</x:t>
        </x:is>
      </x:c>
      <x:c r="H91" s="9" t="str">
        <x:v>None</x:v>
      </x:c>
      <x:c r="I91" s="9" t="str">
        <x:v>Contained Legger/local storage proposed</x:v>
      </x:c>
      <x:c r="J91" s="13"/>
      <x:c r="K91" s="15"/>
      <x:c r="L91" s="9" t="str">
        <x:v>Proposed contained medium supporting electroactive tissue</x:v>
      </x:c>
      <x:c r="M91" s="9" t="str">
        <x:v>Qualitative material concept; no recipe authored</x:v>
      </x:c>
      <x:c r="N91" s="9" t="str">
        <x:v>Not implemented</x:v>
      </x:c>
      <x:c r="O91" s="9" t="str">
        <x:v>Contact could create an unwanted charge path; chemically toxic; Can worsen charge exposure; no direct body application or power generation assumed</x:v>
      </x:c>
      <x:c r="P91" s="17"/>
      <x:c r="Q91" s="17"/>
      <x:c r="R91" s="17"/>
      <x:c r="S91" s="17"/>
      <x:c r="T91" s="17"/>
      <x:c r="U91" s="9" t="str">
        <x:v>Source draft has electroactive fibers and conductive tissue; gel and applications are new proposals</x:v>
      </x:c>
      <x:c r="V91" s="11"/>
      <x:c r="W91" s="9" t="str">
        <x:v>New game brainstorm, October 14, 2026; source records are proposals. https://github.com/sleepyseamonster/Arc-Dust/blob/f6f98515c005dc3c73cccd9cbc031691745740c6/02-Arc-Dust-Worldbuilding/world/native-fauna-biology.md</x:v>
      </x:c>
      <x:c r="X91" s="4" t="str">
        <x:v>Chemical material</x:v>
      </x:c>
      <x:c r="Y91" s="4" t="str">
        <x:v>Extracted material</x:v>
      </x:c>
      <x:c r="Z91" s="4" t="str">
        <x:v>Fauna</x:v>
      </x:c>
      <x:c r="AA91" s="4" t="str">
        <x:v>Electrical conduction</x:v>
      </x:c>
      <x:c r="AB91" s="4" t="str">
        <x:v>Biological chemical</x:v>
      </x:c>
      <x:c r="AC91" s="4" t="str">
        <x:v>Gel</x:v>
      </x:c>
      <x:c r="AD91" s="4" t="str">
        <x:v>Proposal</x:v>
      </x:c>
      <x:c r="AE91" s="4" t="str">
        <x:f>LOWER(A91&amp;"; "&amp;B91&amp;"; "&amp;D91&amp;"; "&amp;E91&amp;"; "&amp;X91&amp;"; "&amp;Y91&amp;"; "&amp;Z91&amp;"; "&amp;AA91&amp;"; "&amp;AB91&amp;"; "&amp;AC91&amp;"; "&amp;AD91&amp;"; "&amp;V91&amp;"; "&amp;C91&amp;"; "&amp;AH91&amp;"; "&amp;AI91)</x:f>
        <x:v>proposal.chemical.conductive_gel; charge-conducting gel; biological resources; faunal chemical concept; chemical material; extracted material; fauna; electrical conduction; biological chemical; gel; proposal; ; t0; not applicable; material</x:v>
      </x:c>
      <x:c r="AF91" s="4" t="str">
        <x:v>From current item description. Proposed uses retain their existing approval status. Lore category review: Resources -&gt; Biological resources. Classification only; original item status and tier retained.</x:v>
      </x:c>
      <x:c r="AG91" s="4" t="str">
        <x:v>Raw gathered/recovered craft input under the author T0 framework. This does not imply a naturally occurring pure metal.</x:v>
      </x:c>
      <x:c r="AH91" s="4" t="str">
        <x:v>Not applicable</x:v>
      </x:c>
      <x:c r="AI91" s="4" t="str">
        <x:v>Material</x:v>
      </x:c>
      <x:c r="AJ91" s="4" t="n">
        <x:f>COUNTIFS('Material routes'!$D$6:$D$2205,A91,'Material routes'!$C$6:$C$2205,"Output")</x:f>
        <x:v>0</x:v>
      </x:c>
      <x:c r="AK91" s="4" t="n">
        <x:f>SUM(COUNTIFS('Material routes'!$D$6:$D$2205,A91,'Material routes'!$C$6:$C$2205,"Ingredient candidate"),COUNTIFS('Material routes'!$D$6:$D$2205,A91,'Material routes'!$C$6:$C$2205,"Consumed input"),COUNTIFS('Material routes'!$D$6:$D$2205,A91,'Material routes'!$C$6:$C$2205,"Contained input"),COUNTIFS('Material routes'!$D$6:$D$2205,A91,'Material routes'!$C$6:$C$2205,"Transform input"))</x:f>
        <x:v>0</x:v>
      </x:c>
      <x:c r="AL91" s="4" t="n">
        <x:f>COUNTIFS('Material routes'!$D$6:$D$2205,A91,'Material routes'!$C$6:$C$2205,"Tool candidate")</x:f>
        <x:v>0</x:v>
      </x:c>
      <x:c r="AM91" s="4" t="str">
        <x:f>IF(AJ91&gt;0,"Route listed; review status/completeness",IF(C91="T0","Raw entry feed; no production route","No production route listed"))</x:f>
        <x:v>Raw entry feed; no production route</x:v>
      </x:c>
      <x:c r="AN91" s="14" t="n">
        <x:f>IF(C91="T0",0,IF(C91="T1",1,IF(C91="T2",2,IF(C91="T3",3,IF(C91="T4",4,IF(C91="Unassigned",98,99))))))</x:f>
        <x:v>0</x:v>
      </x:c>
      <x:c r="AZ91"/>
      <x:c r="BA91"/>
      <x:c r="BB91"/>
      <x:c r="BC91"/>
      <x:c r="BD91"/>
      <x:c r="BE91"/>
      <x:c r="BF91"/>
      <x:c r="BG91"/>
      <x:c r="BH91"/>
      <x:c r="BI91"/>
      <x:c r="BJ91"/>
      <x:c r="BK91"/>
      <x:c r="BL91"/>
      <x:c r="BM91"/>
      <x:c r="BN91"/>
      <x:c r="BO91"/>
      <x:c r="BP91"/>
      <x:c r="BQ91"/>
      <x:c r="BR91"/>
      <x:c r="BS91"/>
      <x:c r="BT91"/>
      <x:c r="BU91"/>
      <x:c r="BV91"/>
      <x:c r="BW91"/>
      <x:c r="BX91"/>
      <x:c r="BY91"/>
      <x:c r="BZ91"/>
      <x:c r="CA91"/>
      <x:c r="CB91"/>
      <x:c r="CC91"/>
    </x:row>
    <x:row r="92" ht="80" customHeight="1">
      <x:c r="A92" s="9" t="str">
        <x:v>proposal.chemical.molt_release</x:v>
      </x:c>
      <x:c r="B92" s="9" t="str">
        <x:v>Molt-release compound</x:v>
      </x:c>
      <x:c r="C92" s="4" t="str">
        <x:v>T0</x:v>
      </x:c>
      <x:c r="D92" s="9" t="str">
        <x:v>Biological resources</x:v>
      </x:c>
      <x:c r="E92" s="9" t="str">
        <x:v>Faunal chemical concept</x:v>
      </x:c>
      <x:c r="F92" s="9" t="str">
        <x:v>New proposal</x:v>
      </x:c>
      <x:c r="G92" s="9" t="inlineStr">
        <x:is>
          <x:t xml:space="preserve">Controlled plate-layer release and husk surface preparation. It is intended to prepare or change a workpiece’s surface before a later fitting, coating or use; the treatment must suit that material.</x:t>
        </x:is>
      </x:c>
      <x:c r="H92" s="9" t="str">
        <x:v>None</x:v>
      </x:c>
      <x:c r="I92" s="9" t="str">
        <x:v>Contained Legger/local storage proposed</x:v>
      </x:c>
      <x:c r="J92" s="13"/>
      <x:c r="K92" s="15"/>
      <x:c r="L92" s="9" t="str">
        <x:v>Proposed agent that separates old outer husk layers during renewal</x:v>
      </x:c>
      <x:c r="M92" s="9" t="str">
        <x:v>Qualitative material concept; no recipe authored</x:v>
      </x:c>
      <x:c r="N92" s="9" t="str">
        <x:v>Not implemented</x:v>
      </x:c>
      <x:c r="O92" s="9" t="str">
        <x:v>Tissue/surface damage on contact; species-dependent; May spoil recovered fibers or structural plate; usefulness must differ from enzyme fraction</x:v>
      </x:c>
      <x:c r="P92" s="17"/>
      <x:c r="Q92" s="17"/>
      <x:c r="R92" s="17"/>
      <x:c r="S92" s="17"/>
      <x:c r="T92" s="17"/>
      <x:c r="U92" s="9" t="str">
        <x:v>New biological/material proposal; no specific molt chemistry established</x:v>
      </x:c>
      <x:c r="V92" s="11" t="str">
        <x:v>fiber processing</x:v>
      </x:c>
      <x:c r="W92" s="9" t="str">
        <x:v>New game brainstorm, October 14, 2026; source records are proposals. https://github.com/sleepyseamonster/Arc-Dust/blob/f6f98515c005dc3c73cccd9cbc031691745740c6/02-Arc-Dust-Worldbuilding/world/native-fauna-biology.md</x:v>
      </x:c>
      <x:c r="X92" s="4" t="str">
        <x:v>Chemical material</x:v>
      </x:c>
      <x:c r="Y92" s="4" t="str">
        <x:v>Extracted material</x:v>
      </x:c>
      <x:c r="Z92" s="4" t="str">
        <x:v>Fauna</x:v>
      </x:c>
      <x:c r="AA92" s="4" t="str">
        <x:v>Surface finishing</x:v>
      </x:c>
      <x:c r="AB92" s="4" t="str">
        <x:v>Biological chemical</x:v>
      </x:c>
      <x:c r="AC92" s="4" t="str">
        <x:v>Unresolved</x:v>
      </x:c>
      <x:c r="AD92" s="4" t="str">
        <x:v>Proposal</x:v>
      </x:c>
      <x:c r="AE92" s="4" t="str">
        <x:f>LOWER(A92&amp;"; "&amp;B92&amp;"; "&amp;D92&amp;"; "&amp;E92&amp;"; "&amp;X92&amp;"; "&amp;Y92&amp;"; "&amp;Z92&amp;"; "&amp;AA92&amp;"; "&amp;AB92&amp;"; "&amp;AC92&amp;"; "&amp;AD92&amp;"; "&amp;V92&amp;"; "&amp;C92&amp;"; "&amp;AH92&amp;"; "&amp;AI92)</x:f>
        <x:v>proposal.chemical.molt_release; molt-release compound; biological resources; faunal chemical concept; chemical material; extracted material; fauna; surface finishing; biological chemical; unresolved; proposal; fiber processing; t0; not applicable; material</x:v>
      </x:c>
      <x:c r="AF92" s="4" t="str">
        <x:v>From current item description. Proposed uses retain their existing approval status. Lore category review: Resources -&gt; Biological resources. Classification only; original item status and tier retained.</x:v>
      </x:c>
      <x:c r="AG92" s="4" t="str">
        <x:v>Raw gathered/recovered craft input under the author T0 framework. This does not imply a naturally occurring pure metal.</x:v>
      </x:c>
      <x:c r="AH92" s="4" t="str">
        <x:v>Not applicable</x:v>
      </x:c>
      <x:c r="AI92" s="4" t="str">
        <x:v>Material</x:v>
      </x:c>
      <x:c r="AJ92" s="4" t="n">
        <x:f>COUNTIFS('Material routes'!$D$6:$D$2205,A92,'Material routes'!$C$6:$C$2205,"Output")</x:f>
        <x:v>0</x:v>
      </x:c>
      <x:c r="AK92" s="4" t="n">
        <x:f>SUM(COUNTIFS('Material routes'!$D$6:$D$2205,A92,'Material routes'!$C$6:$C$2205,"Ingredient candidate"),COUNTIFS('Material routes'!$D$6:$D$2205,A92,'Material routes'!$C$6:$C$2205,"Consumed input"),COUNTIFS('Material routes'!$D$6:$D$2205,A92,'Material routes'!$C$6:$C$2205,"Contained input"),COUNTIFS('Material routes'!$D$6:$D$2205,A92,'Material routes'!$C$6:$C$2205,"Transform input"))</x:f>
        <x:v>0</x:v>
      </x:c>
      <x:c r="AL92" s="4" t="n">
        <x:f>COUNTIFS('Material routes'!$D$6:$D$2205,A92,'Material routes'!$C$6:$C$2205,"Tool candidate")</x:f>
        <x:v>0</x:v>
      </x:c>
      <x:c r="AM92" s="4" t="str">
        <x:f>IF(AJ92&gt;0,"Route listed; review status/completeness",IF(C92="T0","Raw entry feed; no production route","No production route listed"))</x:f>
        <x:v>Raw entry feed; no production route</x:v>
      </x:c>
      <x:c r="AN92" s="14" t="n">
        <x:f>IF(C92="T0",0,IF(C92="T1",1,IF(C92="T2",2,IF(C92="T3",3,IF(C92="T4",4,IF(C92="Unassigned",98,99))))))</x:f>
        <x:v>0</x:v>
      </x:c>
      <x:c r="AZ92"/>
      <x:c r="BA92"/>
      <x:c r="BB92"/>
      <x:c r="BC92"/>
      <x:c r="BD92"/>
      <x:c r="BE92"/>
      <x:c r="BF92"/>
      <x:c r="BG92"/>
      <x:c r="BH92"/>
      <x:c r="BI92"/>
      <x:c r="BJ92"/>
      <x:c r="BK92"/>
      <x:c r="BL92"/>
      <x:c r="BM92"/>
      <x:c r="BN92"/>
      <x:c r="BO92"/>
      <x:c r="BP92"/>
      <x:c r="BQ92"/>
      <x:c r="BR92"/>
      <x:c r="BS92"/>
      <x:c r="BT92"/>
      <x:c r="BU92"/>
      <x:c r="BV92"/>
      <x:c r="BW92"/>
      <x:c r="BX92"/>
      <x:c r="BY92"/>
      <x:c r="BZ92"/>
      <x:c r="CA92"/>
      <x:c r="CB92"/>
      <x:c r="CC92"/>
    </x:row>
    <x:row r="93" ht="80" customHeight="1">
      <x:c r="A93" s="9" t="str">
        <x:v>proposal.chemical.defensive_irritant</x:v>
      </x:c>
      <x:c r="B93" s="9" t="str">
        <x:v>Defensive irritant secretion</x:v>
      </x:c>
      <x:c r="C93" s="4" t="str">
        <x:v>T0</x:v>
      </x:c>
      <x:c r="D93" s="9" t="str">
        <x:v>Biological resources</x:v>
      </x:c>
      <x:c r="E93" s="9" t="str">
        <x:v>Faunal chemical concept</x:v>
      </x:c>
      <x:c r="F93" s="9" t="str">
        <x:v>New proposal</x:v>
      </x:c>
      <x:c r="G93" s="9" t="inlineStr">
        <x:is>
          <x:t xml:space="preserve">Candidate exclusion coatings around equipment or stored materials. It is proposed for keeping an unwanted material or organism away from a selected surface, with the target and compatible application still unresolved.</x:t>
        </x:is>
      </x:c>
      <x:c r="H93" s="9" t="str">
        <x:v>None</x:v>
      </x:c>
      <x:c r="I93" s="9" t="str">
        <x:v>Contained Legger/local storage proposed</x:v>
      </x:c>
      <x:c r="J93" s="13"/>
      <x:c r="K93" s="15"/>
      <x:c r="L93" s="9" t="str">
        <x:v>Proposed deterrent gland output in defensive species</x:v>
      </x:c>
      <x:c r="M93" s="9" t="str">
        <x:v>Qualitative material concept; no recipe authored</x:v>
      </x:c>
      <x:c r="N93" s="9" t="str">
        <x:v>Not implemented</x:v>
      </x:c>
      <x:c r="O93" s="9" t="str">
        <x:v>Painful surface irritation and temporary sensory disruption; Repellent target response is unproven; deliberate containment only, no ambient liquid pools</x:v>
      </x:c>
      <x:c r="P93" s="17"/>
      <x:c r="Q93" s="17"/>
      <x:c r="R93" s="17"/>
      <x:c r="S93" s="17"/>
      <x:c r="T93" s="17"/>
      <x:c r="U93" s="9" t="str">
        <x:v>New toxin and application proposal; not assigned to any existing species</x:v>
      </x:c>
      <x:c r="V93" s="11"/>
      <x:c r="W93" s="9" t="str">
        <x:v>New game brainstorm, October 14, 2026; source records are proposals. https://github.com/sleepyseamonster/Arc-Dust/blob/f6f98515c005dc3c73cccd9cbc031691745740c6/02-Arc-Dust-Worldbuilding/world/native-fauna-biology.md</x:v>
      </x:c>
      <x:c r="X93" s="4" t="str">
        <x:v>Chemical material</x:v>
      </x:c>
      <x:c r="Y93" s="4" t="str">
        <x:v>Extracted material</x:v>
      </x:c>
      <x:c r="Z93" s="4" t="str">
        <x:v>Fauna</x:v>
      </x:c>
      <x:c r="AA93" s="4" t="str">
        <x:v>Material exclusion</x:v>
      </x:c>
      <x:c r="AB93" s="4" t="str">
        <x:v>Biological chemical</x:v>
      </x:c>
      <x:c r="AC93" s="4" t="str">
        <x:v>Unresolved</x:v>
      </x:c>
      <x:c r="AD93" s="4" t="str">
        <x:v>Proposal</x:v>
      </x:c>
      <x:c r="AE93" s="4" t="str">
        <x:f>LOWER(A93&amp;"; "&amp;B93&amp;"; "&amp;D93&amp;"; "&amp;E93&amp;"; "&amp;X93&amp;"; "&amp;Y93&amp;"; "&amp;Z93&amp;"; "&amp;AA93&amp;"; "&amp;AB93&amp;"; "&amp;AC93&amp;"; "&amp;AD93&amp;"; "&amp;V93&amp;"; "&amp;C93&amp;"; "&amp;AH93&amp;"; "&amp;AI93)</x:f>
        <x:v>proposal.chemical.defensive_irritant; defensive irritant secretion; biological resources; faunal chemical concept; chemical material; extracted material; fauna; material exclusion; biological chemical; unresolved; proposal; ; t0; not applicable; material</x:v>
      </x:c>
      <x:c r="AF93" s="4" t="str">
        <x:v>From current item description. Proposed uses retain their existing approval status. Lore category review: Resources -&gt; Biological resources. Classification only; original item status and tier retained.</x:v>
      </x:c>
      <x:c r="AG93" s="4" t="str">
        <x:v>Raw gathered/recovered craft input under the author T0 framework. This does not imply a naturally occurring pure metal.</x:v>
      </x:c>
      <x:c r="AH93" s="4" t="str">
        <x:v>Not applicable</x:v>
      </x:c>
      <x:c r="AI93" s="4" t="str">
        <x:v>Material</x:v>
      </x:c>
      <x:c r="AJ93" s="4" t="n">
        <x:f>COUNTIFS('Material routes'!$D$6:$D$2205,A93,'Material routes'!$C$6:$C$2205,"Output")</x:f>
        <x:v>0</x:v>
      </x:c>
      <x:c r="AK93" s="4" t="n">
        <x:f>SUM(COUNTIFS('Material routes'!$D$6:$D$2205,A93,'Material routes'!$C$6:$C$2205,"Ingredient candidate"),COUNTIFS('Material routes'!$D$6:$D$2205,A93,'Material routes'!$C$6:$C$2205,"Consumed input"),COUNTIFS('Material routes'!$D$6:$D$2205,A93,'Material routes'!$C$6:$C$2205,"Contained input"),COUNTIFS('Material routes'!$D$6:$D$2205,A93,'Material routes'!$C$6:$C$2205,"Transform input"))</x:f>
        <x:v>0</x:v>
      </x:c>
      <x:c r="AL93" s="4" t="n">
        <x:f>COUNTIFS('Material routes'!$D$6:$D$2205,A93,'Material routes'!$C$6:$C$2205,"Tool candidate")</x:f>
        <x:v>0</x:v>
      </x:c>
      <x:c r="AM93" s="4" t="str">
        <x:f>IF(AJ93&gt;0,"Route listed; review status/completeness",IF(C93="T0","Raw entry feed; no production route","No production route listed"))</x:f>
        <x:v>Raw entry feed; no production route</x:v>
      </x:c>
      <x:c r="AN93" s="14" t="n">
        <x:f>IF(C93="T0",0,IF(C93="T1",1,IF(C93="T2",2,IF(C93="T3",3,IF(C93="T4",4,IF(C93="Unassigned",98,99))))))</x:f>
        <x:v>0</x:v>
      </x:c>
      <x:c r="AZ93"/>
      <x:c r="BA93"/>
      <x:c r="BB93"/>
      <x:c r="BC93"/>
      <x:c r="BD93"/>
      <x:c r="BE93"/>
      <x:c r="BF93"/>
      <x:c r="BG93"/>
      <x:c r="BH93"/>
      <x:c r="BI93"/>
      <x:c r="BJ93"/>
      <x:c r="BK93"/>
      <x:c r="BL93"/>
      <x:c r="BM93"/>
      <x:c r="BN93"/>
      <x:c r="BO93"/>
      <x:c r="BP93"/>
      <x:c r="BQ93"/>
      <x:c r="BR93"/>
      <x:c r="BS93"/>
      <x:c r="BT93"/>
      <x:c r="BU93"/>
      <x:c r="BV93"/>
      <x:c r="BW93"/>
      <x:c r="BX93"/>
      <x:c r="BY93"/>
      <x:c r="BZ93"/>
      <x:c r="CA93"/>
      <x:c r="CB93"/>
      <x:c r="CC93"/>
    </x:row>
    <x:row r="94" ht="80" customHeight="1">
      <x:c r="A94" s="9" t="str">
        <x:v>proposal.chemical.disabling_venom</x:v>
      </x:c>
      <x:c r="B94" s="9" t="str">
        <x:v>Disabling venom fraction</x:v>
      </x:c>
      <x:c r="C94" s="4" t="str">
        <x:v>T0</x:v>
      </x:c>
      <x:c r="D94" s="9" t="str">
        <x:v>Biological resources</x:v>
      </x:c>
      <x:c r="E94" s="9" t="str">
        <x:v>Faunal chemical concept</x:v>
      </x:c>
      <x:c r="F94" s="9" t="str">
        <x:v>New proposal</x:v>
      </x:c>
      <x:c r="G94" s="9" t="inlineStr">
        <x:is>
          <x:t xml:space="preserve">Candidate specialist trade/sample material for later design. It is retained for specialist examination or exchange rather than treated as an ordinary usable supply.</x:t>
        </x:is>
      </x:c>
      <x:c r="H94" s="9" t="str">
        <x:v>None</x:v>
      </x:c>
      <x:c r="I94" s="9" t="str">
        <x:v>Contained Legger/local storage proposed</x:v>
      </x:c>
      <x:c r="J94" s="13"/>
      <x:c r="K94" s="15"/>
      <x:c r="L94" s="9" t="str">
        <x:v>Proposed specialized predator secretion for subduing native prey</x:v>
      </x:c>
      <x:c r="M94" s="9" t="str">
        <x:v>Qualitative material concept; no recipe authored</x:v>
      </x:c>
      <x:c r="N94" s="9" t="str">
        <x:v>Not implemented</x:v>
      </x:c>
      <x:c r="O94" s="9" t="str">
        <x:v>Neurological disruption; human severity undefined; No human/animal potency equivalence, cure, delivery method or combat system established</x:v>
      </x:c>
      <x:c r="P94" s="17"/>
      <x:c r="Q94" s="17"/>
      <x:c r="R94" s="17"/>
      <x:c r="S94" s="17"/>
      <x:c r="T94" s="17"/>
      <x:c r="U94" s="9" t="str">
        <x:v>New proposal; source predation does not establish a specific venom</x:v>
      </x:c>
      <x:c r="V94" s="11"/>
      <x:c r="W94" s="9" t="str">
        <x:v>New game brainstorm, October 14, 2026; source records are proposals. https://github.com/sleepyseamonster/Arc-Dust/blob/f6f98515c005dc3c73cccd9cbc031691745740c6/02-Arc-Dust-Worldbuilding/world/native-fauna-biology.md</x:v>
      </x:c>
      <x:c r="X94" s="4" t="str">
        <x:v>Chemical material</x:v>
      </x:c>
      <x:c r="Y94" s="4" t="str">
        <x:v>Extracted material</x:v>
      </x:c>
      <x:c r="Z94" s="4" t="str">
        <x:v>Fauna</x:v>
      </x:c>
      <x:c r="AA94" s="4" t="str">
        <x:v>Specialist samples</x:v>
      </x:c>
      <x:c r="AB94" s="4" t="str">
        <x:v>Biological chemical</x:v>
      </x:c>
      <x:c r="AC94" s="4" t="str">
        <x:v>Unresolved</x:v>
      </x:c>
      <x:c r="AD94" s="4" t="str">
        <x:v>Proposal</x:v>
      </x:c>
      <x:c r="AE94" s="4" t="str">
        <x:f>LOWER(A94&amp;"; "&amp;B94&amp;"; "&amp;D94&amp;"; "&amp;E94&amp;"; "&amp;X94&amp;"; "&amp;Y94&amp;"; "&amp;Z94&amp;"; "&amp;AA94&amp;"; "&amp;AB94&amp;"; "&amp;AC94&amp;"; "&amp;AD94&amp;"; "&amp;V94&amp;"; "&amp;C94&amp;"; "&amp;AH94&amp;"; "&amp;AI94)</x:f>
        <x:v>proposal.chemical.disabling_venom; disabling venom fraction; biological resources; faunal chemical concept; chemical material; extracted material; fauna; specialist samples; biological chemical; unresolved; proposal; ; t0; not applicable; material</x:v>
      </x:c>
      <x:c r="AF94" s="4" t="str">
        <x:v>From current item description. Proposed uses retain their existing approval status. Lore category review: Resources -&gt; Biological resources. Classification only; original item status and tier retained.</x:v>
      </x:c>
      <x:c r="AG94" s="4" t="str">
        <x:v>Raw gathered/recovered craft input under the author T0 framework. This does not imply a naturally occurring pure metal.</x:v>
      </x:c>
      <x:c r="AH94" s="4" t="str">
        <x:v>Not applicable</x:v>
      </x:c>
      <x:c r="AI94" s="4" t="str">
        <x:v>Material</x:v>
      </x:c>
      <x:c r="AJ94" s="4" t="n">
        <x:f>COUNTIFS('Material routes'!$D$6:$D$2205,A94,'Material routes'!$C$6:$C$2205,"Output")</x:f>
        <x:v>0</x:v>
      </x:c>
      <x:c r="AK94" s="4" t="n">
        <x:f>SUM(COUNTIFS('Material routes'!$D$6:$D$2205,A94,'Material routes'!$C$6:$C$2205,"Ingredient candidate"),COUNTIFS('Material routes'!$D$6:$D$2205,A94,'Material routes'!$C$6:$C$2205,"Consumed input"),COUNTIFS('Material routes'!$D$6:$D$2205,A94,'Material routes'!$C$6:$C$2205,"Contained input"),COUNTIFS('Material routes'!$D$6:$D$2205,A94,'Material routes'!$C$6:$C$2205,"Transform input"))</x:f>
        <x:v>0</x:v>
      </x:c>
      <x:c r="AL94" s="4" t="n">
        <x:f>COUNTIFS('Material routes'!$D$6:$D$2205,A94,'Material routes'!$C$6:$C$2205,"Tool candidate")</x:f>
        <x:v>0</x:v>
      </x:c>
      <x:c r="AM94" s="4" t="str">
        <x:f>IF(AJ94&gt;0,"Route listed; review status/completeness",IF(C94="T0","Raw entry feed; no production route","No production route listed"))</x:f>
        <x:v>Raw entry feed; no production route</x:v>
      </x:c>
      <x:c r="AN94" s="14" t="n">
        <x:f>IF(C94="T0",0,IF(C94="T1",1,IF(C94="T2",2,IF(C94="T3",3,IF(C94="T4",4,IF(C94="Unassigned",98,99))))))</x:f>
        <x:v>0</x:v>
      </x:c>
      <x:c r="AZ94"/>
      <x:c r="BA94"/>
      <x:c r="BB94"/>
      <x:c r="BC94"/>
      <x:c r="BD94"/>
      <x:c r="BE94"/>
      <x:c r="BF94"/>
      <x:c r="BG94"/>
      <x:c r="BH94"/>
      <x:c r="BI94"/>
      <x:c r="BJ94"/>
      <x:c r="BK94"/>
      <x:c r="BL94"/>
      <x:c r="BM94"/>
      <x:c r="BN94"/>
      <x:c r="BO94"/>
      <x:c r="BP94"/>
      <x:c r="BQ94"/>
      <x:c r="BR94"/>
      <x:c r="BS94"/>
      <x:c r="BT94"/>
      <x:c r="BU94"/>
      <x:c r="BV94"/>
      <x:c r="BW94"/>
      <x:c r="BX94"/>
      <x:c r="BY94"/>
      <x:c r="BZ94"/>
      <x:c r="CA94"/>
      <x:c r="CB94"/>
      <x:c r="CC94"/>
    </x:row>
    <x:row r="95" ht="80" customHeight="1">
      <x:c r="A95" s="9" t="str">
        <x:v>proposal.chemical.scent_marker</x:v>
      </x:c>
      <x:c r="B95" s="9" t="str">
        <x:v>Chemical scent marker</x:v>
      </x:c>
      <x:c r="C95" s="4" t="str">
        <x:v>T0</x:v>
      </x:c>
      <x:c r="D95" s="9" t="str">
        <x:v>Biological resources</x:v>
      </x:c>
      <x:c r="E95" s="9" t="str">
        <x:v>Faunal chemical concept</x:v>
      </x:c>
      <x:c r="F95" s="9" t="str">
        <x:v>New proposal</x:v>
      </x:c>
      <x:c r="G95" s="9" t="inlineStr">
        <x:is>
          <x:t xml:space="preserve">Possible lure, trail concealment or animal-avoidance research. It is intended to influence or manage a selected creature through its recorded mechanism; target species and response require design.</x:t>
        </x:is>
      </x:c>
      <x:c r="H95" s="9" t="str">
        <x:v>None</x:v>
      </x:c>
      <x:c r="I95" s="9" t="str">
        <x:v>Contained Legger/local storage proposed</x:v>
      </x:c>
      <x:c r="J95" s="13"/>
      <x:c r="K95" s="15"/>
      <x:c r="L95" s="9" t="str">
        <x:v>Proposed territorial or social signal secretion</x:v>
      </x:c>
      <x:c r="M95" s="9" t="str">
        <x:v>Qualitative material concept; no recipe authored</x:v>
      </x:c>
      <x:c r="N95" s="9" t="str">
        <x:v>Not implemented</x:v>
      </x:c>
      <x:c r="O95" s="9" t="str">
        <x:v>Irritant or toxic to humans despite its signaling role; Species-specific response; a signal may attract unwanted animals rather than repel them</x:v>
      </x:c>
      <x:c r="P95" s="17"/>
      <x:c r="Q95" s="17"/>
      <x:c r="R95" s="17"/>
      <x:c r="S95" s="17"/>
      <x:c r="T95" s="17"/>
      <x:c r="U95" s="9" t="str">
        <x:v>New proposal; no accepted behavioral response or universal bait chemistry</x:v>
      </x:c>
      <x:c r="V95" s="11"/>
      <x:c r="W95" s="9" t="str">
        <x:v>New game brainstorm, October 14, 2026; source records are proposals. https://github.com/sleepyseamonster/Arc-Dust/blob/f6f98515c005dc3c73cccd9cbc031691745740c6/02-Arc-Dust-Worldbuilding/world/native-fauna-biology.md</x:v>
      </x:c>
      <x:c r="X95" s="4" t="str">
        <x:v>Chemical material</x:v>
      </x:c>
      <x:c r="Y95" s="4" t="str">
        <x:v>Extracted material</x:v>
      </x:c>
      <x:c r="Z95" s="4" t="str">
        <x:v>Fauna</x:v>
      </x:c>
      <x:c r="AA95" s="4" t="str">
        <x:v>Fauna interaction</x:v>
      </x:c>
      <x:c r="AB95" s="4" t="str">
        <x:v>Biological chemical</x:v>
      </x:c>
      <x:c r="AC95" s="4" t="str">
        <x:v>Unresolved</x:v>
      </x:c>
      <x:c r="AD95" s="4" t="str">
        <x:v>Proposal</x:v>
      </x:c>
      <x:c r="AE95" s="4" t="str">
        <x:f>LOWER(A95&amp;"; "&amp;B95&amp;"; "&amp;D95&amp;"; "&amp;E95&amp;"; "&amp;X95&amp;"; "&amp;Y95&amp;"; "&amp;Z95&amp;"; "&amp;AA95&amp;"; "&amp;AB95&amp;"; "&amp;AC95&amp;"; "&amp;AD95&amp;"; "&amp;V95&amp;"; "&amp;C95&amp;"; "&amp;AH95&amp;"; "&amp;AI95)</x:f>
        <x:v>proposal.chemical.scent_marker; chemical scent marker; biological resources; faunal chemical concept; chemical material; extracted material; fauna; fauna interaction; biological chemical; unresolved; proposal; ; t0; not applicable; material</x:v>
      </x:c>
      <x:c r="AF95" s="4" t="str">
        <x:v>From current item description. Proposed uses retain their existing approval status. Lore category review: Resources -&gt; Biological resources. Classification only; original item status and tier retained.</x:v>
      </x:c>
      <x:c r="AG95" s="4" t="str">
        <x:v>Raw gathered/recovered craft input under the author T0 framework. This does not imply a naturally occurring pure metal.</x:v>
      </x:c>
      <x:c r="AH95" s="4" t="str">
        <x:v>Not applicable</x:v>
      </x:c>
      <x:c r="AI95" s="4" t="str">
        <x:v>Material</x:v>
      </x:c>
      <x:c r="AJ95" s="4" t="n">
        <x:f>COUNTIFS('Material routes'!$D$6:$D$2205,A95,'Material routes'!$C$6:$C$2205,"Output")</x:f>
        <x:v>0</x:v>
      </x:c>
      <x:c r="AK95" s="4" t="n">
        <x:f>SUM(COUNTIFS('Material routes'!$D$6:$D$2205,A95,'Material routes'!$C$6:$C$2205,"Ingredient candidate"),COUNTIFS('Material routes'!$D$6:$D$2205,A95,'Material routes'!$C$6:$C$2205,"Consumed input"),COUNTIFS('Material routes'!$D$6:$D$2205,A95,'Material routes'!$C$6:$C$2205,"Contained input"),COUNTIFS('Material routes'!$D$6:$D$2205,A95,'Material routes'!$C$6:$C$2205,"Transform input"))</x:f>
        <x:v>1</x:v>
      </x:c>
      <x:c r="AL95" s="4" t="n">
        <x:f>COUNTIFS('Material routes'!$D$6:$D$2205,A95,'Material routes'!$C$6:$C$2205,"Tool candidate")</x:f>
        <x:v>0</x:v>
      </x:c>
      <x:c r="AM95" s="4" t="str">
        <x:f>IF(AJ95&gt;0,"Route listed; review status/completeness",IF(C95="T0","Raw entry feed; no production route","No production route listed"))</x:f>
        <x:v>Raw entry feed; no production route</x:v>
      </x:c>
      <x:c r="AN95" s="14" t="n">
        <x:f>IF(C95="T0",0,IF(C95="T1",1,IF(C95="T2",2,IF(C95="T3",3,IF(C95="T4",4,IF(C95="Unassigned",98,99))))))</x:f>
        <x:v>0</x:v>
      </x:c>
      <x:c r="AZ95"/>
      <x:c r="BA95"/>
      <x:c r="BB95"/>
      <x:c r="BC95"/>
      <x:c r="BD95"/>
      <x:c r="BE95"/>
      <x:c r="BF95"/>
      <x:c r="BG95"/>
      <x:c r="BH95"/>
      <x:c r="BI95"/>
      <x:c r="BJ95"/>
      <x:c r="BK95"/>
      <x:c r="BL95"/>
      <x:c r="BM95"/>
      <x:c r="BN95"/>
      <x:c r="BO95"/>
      <x:c r="BP95"/>
      <x:c r="BQ95"/>
      <x:c r="BR95"/>
      <x:c r="BS95"/>
      <x:c r="BT95"/>
      <x:c r="BU95"/>
      <x:c r="BV95"/>
      <x:c r="BW95"/>
      <x:c r="BX95"/>
      <x:c r="BY95"/>
      <x:c r="BZ95"/>
      <x:c r="CA95"/>
      <x:c r="CB95"/>
      <x:c r="CC95"/>
    </x:row>
    <x:row r="96" ht="100" customHeight="1">
      <x:c r="A96" s="9"/>
      <x:c r="B96" s="9"/>
      <x:c r="C96" s="4"/>
      <x:c r="D96" s="9"/>
      <x:c r="E96" s="9"/>
      <x:c r="F96" s="9"/>
      <x:c r="G96" s="9"/>
      <x:c r="H96" s="9"/>
      <x:c r="I96" s="9"/>
      <x:c r="J96" s="13"/>
      <x:c r="M96" s="9"/>
      <x:c r="N96" s="9"/>
      <x:c r="O96" s="9"/>
      <x:c r="P96" s="17"/>
      <x:c r="V96" s="11"/>
      <x:c r="W96" s="9"/>
      <x:c r="X96" s="4"/>
      <x:c r="Y96" s="4"/>
      <x:c r="Z96" s="4"/>
      <x:c r="AA96" s="4"/>
      <x:c r="AB96" s="4"/>
      <x:c r="AC96" s="4"/>
      <x:c r="AD96" s="4"/>
      <x:c r="AE96" s="4"/>
      <x:c r="AF96" s="4"/>
      <x:c r="AG96" s="4"/>
      <x:c r="AH96" s="4"/>
      <x:c r="AI96" s="4"/>
      <x:c r="AJ96" s="4"/>
      <x:c r="AK96" s="4"/>
      <x:c r="AL96" s="4"/>
      <x:c r="AM96" s="4"/>
      <x:c r="AN96" s="14"/>
      <x:c r="AZ96"/>
      <x:c r="BA96"/>
      <x:c r="BB96"/>
      <x:c r="BC96"/>
      <x:c r="BD96"/>
      <x:c r="BE96"/>
      <x:c r="BF96"/>
      <x:c r="BG96"/>
      <x:c r="BH96"/>
      <x:c r="BI96"/>
      <x:c r="BJ96"/>
      <x:c r="BK96"/>
      <x:c r="BL96"/>
      <x:c r="BM96"/>
      <x:c r="BN96"/>
      <x:c r="BO96"/>
      <x:c r="BP96"/>
      <x:c r="BQ96"/>
      <x:c r="BR96"/>
      <x:c r="BS96"/>
      <x:c r="BT96"/>
      <x:c r="BU96"/>
      <x:c r="BV96"/>
      <x:c r="BW96"/>
      <x:c r="BX96"/>
      <x:c r="BY96"/>
      <x:c r="BZ96"/>
      <x:c r="CA96"/>
      <x:c r="CB96"/>
      <x:c r="CC96"/>
    </x:row>
    <x:row r="97" ht="100" customHeight="1">
      <x:c r="A97" s="9" t="str">
        <x:v>proposal.container.reagent_bottle</x:v>
      </x:c>
      <x:c r="B97" s="9" t="str">
        <x:v>Opaque reagent bottle</x:v>
      </x:c>
      <x:c r="C97" s="4" t="str">
        <x:v>Not applicable</x:v>
      </x:c>
      <x:c r="D97" s="9" t="inlineStr">
        <x:is>
          <x:t xml:space="preserve">Salvage</x:t>
        </x:is>
      </x:c>
      <x:c r="E97" s="9" t="inlineStr">
        <x:is>
          <x:t xml:space="preserve">Reusable salvage</x:t>
        </x:is>
      </x:c>
      <x:c r="F97" s="9" t="str">
        <x:v>New proposal</x:v>
      </x:c>
      <x:c r="G97" s="9" t="inlineStr">
        <x:is>
          <x:t xml:space="preserve">An opaque bottle recovered as ordinary salvage. Its covered body was intended to shield stored material from view or light, but any remaining contents and closure condition are unknown. Reuse or recovery of its material requires inspection; no special payload or sealing behavior is assigned.</x:t>
        </x:is>
      </x:c>
      <x:c r="H97" s="9" t="str">
        <x:v>None</x:v>
      </x:c>
      <x:c r="I97" s="9" t="inlineStr">
        <x:is>
          <x:t xml:space="preserve">Ordinary salvage inventory / cargo; no special carrier rules</x:t>
        </x:is>
      </x:c>
      <x:c r="J97" s="13"/>
      <x:c r="K97" s="15"/>
      <x:c r="L97" s="9" t="inlineStr">
        <x:is>
          <x:t xml:space="preserve">Found salvage; location and availability unresolved</x:t>
        </x:is>
      </x:c>
      <x:c r="M97" s="9" t="inlineStr">
        <x:is>
          <x:t xml:space="preserve">No dedicated container production route; possible salvage reuse remains undecided.</x:t>
        </x:is>
      </x:c>
      <x:c r="N97" s="9" t="inlineStr">
        <x:is>
          <x:t xml:space="preserve">No special container behavior</x:t>
        </x:is>
      </x:c>
      <x:c r="O97" s="9" t="inlineStr">
        <x:is>
          <x:t xml:space="preserve">No special container behavior, capacity, payload, sealing, sample handling or carrier eligibility. Specific reuse and recovery yields remain undecided.</x:t>
        </x:is>
      </x:c>
      <x:c r="P97" s="17"/>
      <x:c r="Q97" s="17"/>
      <x:c r="R97" s="17"/>
      <x:c r="S97" s="17"/>
      <x:c r="T97" s="17"/>
      <x:c r="U97" s="9" t="inlineStr">
        <x:is>
          <x:t xml:space="preserve">Possible reuse, material recovery and yields remain open. Former specialized container proposal withdrawn.</x:t>
        </x:is>
      </x:c>
      <x:c r="V97" s="11"/>
      <x:c r="W97" s="9" t="str">
        <x:v>New game proposal, October 14, 2026. Standard opaque glass vessels have a source-draft basis; exact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7" s="4" t="inlineStr">
        <x:is>
          <x:t xml:space="preserve">Salvage</x:t>
        </x:is>
      </x:c>
      <x:c r="Y97" s="4" t="str">
        <x:v>Finished item</x:v>
      </x:c>
      <x:c r="Z97" s="4" t="inlineStr">
        <x:is>
          <x:t xml:space="preserve">Recovered / found</x:t>
        </x:is>
      </x:c>
      <x:c r="AA97" s="4" t="inlineStr">
        <x:is>
          <x:t xml:space="preserve">Salvage reuse</x:t>
        </x:is>
      </x:c>
      <x:c r="AB97" s="4" t="str">
        <x:v>Glass</x:v>
      </x:c>
      <x:c r="AC97" s="4" t="str">
        <x:v>Solid part</x:v>
      </x:c>
      <x:c r="AD97" s="4" t="str">
        <x:v>Proposal</x:v>
      </x:c>
      <x:c r="AE97" s="4" t="str">
        <x:f>LOWER(A97&amp;"; "&amp;B97&amp;"; "&amp;D97&amp;"; "&amp;E97&amp;"; "&amp;X97&amp;"; "&amp;Y97&amp;"; "&amp;Z97&amp;"; "&amp;AA97&amp;"; "&amp;AB97&amp;"; "&amp;AC97&amp;"; "&amp;AD97&amp;"; "&amp;V97&amp;"; "&amp;C97&amp;"; "&amp;AH97&amp;"; "&amp;AI97)</x:f>
        <x:v>proposal.container.reagent_bottle; opaque reagent bottle; salvage; reusable salvage; salvage; finished item; recovered / found; salvage reuse; glass; solid part; proposal; ; not applicable; t2; salvage / possible reuse</x:v>
      </x:c>
      <x:c r="AF97"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7" s="4" t="str">
        <x:v>Finished endpoint; material tier is not applicable. Input tiers belong to the chosen recipe.</x:v>
      </x:c>
      <x:c r="AH97" s="4" t="str">
        <x:v>T2</x:v>
      </x:c>
      <x:c r="AI97" s="4" t="inlineStr">
        <x:is>
          <x:t xml:space="preserve">Salvage / possible reuse</x:t>
        </x:is>
      </x:c>
      <x:c r="AJ97" s="4" t="n">
        <x:f>COUNTIFS('Material routes'!$D$6:$D$2205,A97,'Material routes'!$C$6:$C$2205,"Output")</x:f>
        <x:v>1</x:v>
      </x:c>
      <x:c r="AK97" s="4" t="n">
        <x:f>SUM(COUNTIFS('Material routes'!$D$6:$D$2205,A97,'Material routes'!$C$6:$C$2205,"Ingredient candidate"),COUNTIFS('Material routes'!$D$6:$D$2205,A97,'Material routes'!$C$6:$C$2205,"Consumed input"),COUNTIFS('Material routes'!$D$6:$D$2205,A97,'Material routes'!$C$6:$C$2205,"Contained input"),COUNTIFS('Material routes'!$D$6:$D$2205,A97,'Material routes'!$C$6:$C$2205,"Transform input"))</x:f>
        <x:v>0</x:v>
      </x:c>
      <x:c r="AL97" s="4" t="n">
        <x:f>COUNTIFS('Material routes'!$D$6:$D$2205,A97,'Material routes'!$C$6:$C$2205,"Tool candidate")</x:f>
        <x:v>0</x:v>
      </x:c>
      <x:c r="AM97" s="4" t="inlineStr">
        <x:is>
          <x:t xml:space="preserve">Found salvage; former container production proposal retired</x:t>
        </x:is>
      </x:c>
      <x:c r="AN97" s="14" t="n">
        <x:f>IF(C97="T0",0,IF(C97="T1",1,IF(C97="T2",2,IF(C97="T3",3,IF(C97="T4",4,IF(C97="Unassigned",98,99))))))</x:f>
        <x:v>99</x:v>
      </x:c>
      <x:c r="AZ97"/>
      <x:c r="BA97"/>
      <x:c r="BB97"/>
      <x:c r="BC97"/>
      <x:c r="BD97"/>
      <x:c r="BE97"/>
      <x:c r="BF97"/>
      <x:c r="BG97"/>
      <x:c r="BH97"/>
      <x:c r="BI97"/>
      <x:c r="BJ97"/>
      <x:c r="BK97"/>
      <x:c r="BL97"/>
      <x:c r="BM97"/>
      <x:c r="BN97"/>
      <x:c r="BO97"/>
      <x:c r="BP97"/>
      <x:c r="BQ97"/>
      <x:c r="BR97"/>
      <x:c r="BS97"/>
      <x:c r="BT97"/>
      <x:c r="BU97"/>
      <x:c r="BV97"/>
      <x:c r="BW97"/>
      <x:c r="BX97"/>
      <x:c r="BY97"/>
      <x:c r="BZ97"/>
      <x:c r="CA97"/>
      <x:c r="CB97"/>
      <x:c r="CC97"/>
    </x:row>
    <x:row r="98" ht="100" customHeight="1">
      <x:c r="A98" s="9" t="str">
        <x:v>proposal.container.wide_jar</x:v>
      </x:c>
      <x:c r="B98" s="9" t="str">
        <x:v>Wide-mouth sample jar</x:v>
      </x:c>
      <x:c r="C98" s="4" t="str">
        <x:v>Not applicable</x:v>
      </x:c>
      <x:c r="D98" s="9" t="inlineStr">
        <x:is>
          <x:t xml:space="preserve">Salvage</x:t>
        </x:is>
      </x:c>
      <x:c r="E98" s="9" t="inlineStr">
        <x:is>
          <x:t xml:space="preserve">Reusable salvage</x:t>
        </x:is>
      </x:c>
      <x:c r="F98" s="9" t="str">
        <x:v>New proposal</x:v>
      </x:c>
      <x:c r="G98" s="9" t="inlineStr">
        <x:is>
          <x:t xml:space="preserve">A wide-mouth jar retained as ordinary salvage. The broad opening gives access to its interior for inspection and possible reuse, while chips, residue and the condition of its closure must be checked. No sample-handling capacity or contents compatibility is assigned.</x:t>
        </x:is>
      </x:c>
      <x:c r="H98" s="9" t="str">
        <x:v>None</x:v>
      </x:c>
      <x:c r="I98" s="9" t="inlineStr">
        <x:is>
          <x:t xml:space="preserve">Ordinary salvage inventory / cargo; no special carrier rules</x:t>
        </x:is>
      </x:c>
      <x:c r="J98" s="13"/>
      <x:c r="K98" s="15"/>
      <x:c r="L98" s="9" t="inlineStr">
        <x:is>
          <x:t xml:space="preserve">Found salvage; location and availability unresolved</x:t>
        </x:is>
      </x:c>
      <x:c r="M98" s="9" t="inlineStr">
        <x:is>
          <x:t xml:space="preserve">No dedicated container production route; possible salvage reuse remains undecided.</x:t>
        </x:is>
      </x:c>
      <x:c r="N98" s="9" t="inlineStr">
        <x:is>
          <x:t xml:space="preserve">No special container behavior</x:t>
        </x:is>
      </x:c>
      <x:c r="O98" s="9" t="inlineStr">
        <x:is>
          <x:t xml:space="preserve">No special container behavior, capacity, payload, sealing, sample handling or carrier eligibility. Specific reuse and recovery yields remain undecided.</x:t>
        </x:is>
      </x:c>
      <x:c r="P98" s="17"/>
      <x:c r="Q98" s="17"/>
      <x:c r="R98" s="17"/>
      <x:c r="S98" s="17"/>
      <x:c r="T98" s="17"/>
      <x:c r="U98" s="9" t="inlineStr">
        <x:is>
          <x:t xml:space="preserve">Possible reuse, material recovery and yields remain open. Former specialized container proposal withdrawn.</x:t>
        </x:is>
      </x:c>
      <x:c r="V98" s="11"/>
      <x:c r="W98" s="9" t="str">
        <x:v>New game proposal, October 14, 2026. Glass vessel basis; wide-mouth item and uses proposed.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8" s="4" t="inlineStr">
        <x:is>
          <x:t xml:space="preserve">Salvage</x:t>
        </x:is>
      </x:c>
      <x:c r="Y98" s="4" t="str">
        <x:v>Finished item</x:v>
      </x:c>
      <x:c r="Z98" s="4" t="inlineStr">
        <x:is>
          <x:t xml:space="preserve">Recovered / found</x:t>
        </x:is>
      </x:c>
      <x:c r="AA98" s="4" t="inlineStr">
        <x:is>
          <x:t xml:space="preserve">Salvage reuse</x:t>
        </x:is>
      </x:c>
      <x:c r="AB98" s="4" t="str">
        <x:v>Glass</x:v>
      </x:c>
      <x:c r="AC98" s="4" t="str">
        <x:v>Solid part</x:v>
      </x:c>
      <x:c r="AD98" s="4" t="str">
        <x:v>Proposal</x:v>
      </x:c>
      <x:c r="AE98" s="4" t="str">
        <x:f>LOWER(A98&amp;"; "&amp;B98&amp;"; "&amp;D98&amp;"; "&amp;E98&amp;"; "&amp;X98&amp;"; "&amp;Y98&amp;"; "&amp;Z98&amp;"; "&amp;AA98&amp;"; "&amp;AB98&amp;"; "&amp;AC98&amp;"; "&amp;AD98&amp;"; "&amp;V98&amp;"; "&amp;C98&amp;"; "&amp;AH98&amp;"; "&amp;AI98)</x:f>
        <x:v>proposal.container.wide_jar; wide-mouth sample jar; salvage; reusable salvage; salvage; finished item; recovered / found; salvage reuse; glass; solid part; proposal; ; not applicable; t3; salvage / possible reuse</x:v>
      </x:c>
      <x:c r="AF98"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8" s="4" t="str">
        <x:v>Finished endpoint; material tier is not applicable. Input tiers belong to the chosen recipe.</x:v>
      </x:c>
      <x:c r="AH98" s="4" t="str">
        <x:v>T3</x:v>
      </x:c>
      <x:c r="AI98" s="4" t="inlineStr">
        <x:is>
          <x:t xml:space="preserve">Salvage / possible reuse</x:t>
        </x:is>
      </x:c>
      <x:c r="AJ98" s="4" t="n">
        <x:f>COUNTIFS('Material routes'!$D$6:$D$2205,A98,'Material routes'!$C$6:$C$2205,"Output")</x:f>
        <x:v>1</x:v>
      </x:c>
      <x:c r="AK98" s="4" t="n">
        <x:f>SUM(COUNTIFS('Material routes'!$D$6:$D$2205,A98,'Material routes'!$C$6:$C$2205,"Ingredient candidate"),COUNTIFS('Material routes'!$D$6:$D$2205,A98,'Material routes'!$C$6:$C$2205,"Consumed input"),COUNTIFS('Material routes'!$D$6:$D$2205,A98,'Material routes'!$C$6:$C$2205,"Contained input"),COUNTIFS('Material routes'!$D$6:$D$2205,A98,'Material routes'!$C$6:$C$2205,"Transform input"))</x:f>
        <x:v>0</x:v>
      </x:c>
      <x:c r="AL98" s="4" t="n">
        <x:f>COUNTIFS('Material routes'!$D$6:$D$2205,A98,'Material routes'!$C$6:$C$2205,"Tool candidate")</x:f>
        <x:v>0</x:v>
      </x:c>
      <x:c r="AM98" s="4" t="inlineStr">
        <x:is>
          <x:t xml:space="preserve">Found salvage; former container production proposal retired</x:t>
        </x:is>
      </x:c>
      <x:c r="AN98" s="14" t="n">
        <x:f>IF(C98="T0",0,IF(C98="T1",1,IF(C98="T2",2,IF(C98="T3",3,IF(C98="T4",4,IF(C98="Unassigned",98,99))))))</x:f>
        <x:v>99</x:v>
      </x:c>
      <x:c r="AZ98"/>
      <x:c r="BA98"/>
      <x:c r="BB98"/>
      <x:c r="BC98"/>
      <x:c r="BD98"/>
      <x:c r="BE98"/>
      <x:c r="BF98"/>
      <x:c r="BG98"/>
      <x:c r="BH98"/>
      <x:c r="BI98"/>
      <x:c r="BJ98"/>
      <x:c r="BK98"/>
      <x:c r="BL98"/>
      <x:c r="BM98"/>
      <x:c r="BN98"/>
      <x:c r="BO98"/>
      <x:c r="BP98"/>
      <x:c r="BQ98"/>
      <x:c r="BR98"/>
      <x:c r="BS98"/>
      <x:c r="BT98"/>
      <x:c r="BU98"/>
      <x:c r="BV98"/>
      <x:c r="BW98"/>
      <x:c r="BX98"/>
      <x:c r="BY98"/>
      <x:c r="BZ98"/>
      <x:c r="CA98"/>
      <x:c r="CB98"/>
      <x:c r="CC98"/>
    </x:row>
    <x:row r="99" ht="100" customHeight="1">
      <x:c r="A99" s="9" t="str">
        <x:v>proposal.container.ampoule</x:v>
      </x:c>
      <x:c r="B99" s="9" t="str">
        <x:v>Sealed sample ampoule</x:v>
      </x:c>
      <x:c r="C99" s="4" t="str">
        <x:v>Not applicable</x:v>
      </x:c>
      <x:c r="D99" s="9" t="inlineStr">
        <x:is>
          <x:t xml:space="preserve">Salvage</x:t>
        </x:is>
      </x:c>
      <x:c r="E99" s="9" t="inlineStr">
        <x:is>
          <x:t xml:space="preserve">Reusable salvage</x:t>
        </x:is>
      </x:c>
      <x:c r="F99" s="9" t="str">
        <x:v>New proposal</x:v>
      </x:c>
      <x:c r="G99" s="9" t="inlineStr">
        <x:is>
          <x:t xml:space="preserve">A small sealed ampoule retained as ordinary salvage. Its enclosed form suggests a former sample holder, but the contents and integrity are unknown. It may offer recoverable material after inspection, without providing a special sample-storage or opening mechanic.</x:t>
        </x:is>
      </x:c>
      <x:c r="H99" s="9" t="str">
        <x:v>None</x:v>
      </x:c>
      <x:c r="I99" s="9" t="inlineStr">
        <x:is>
          <x:t xml:space="preserve">Ordinary salvage inventory / cargo; no special carrier rules</x:t>
        </x:is>
      </x:c>
      <x:c r="J99" s="13"/>
      <x:c r="K99" s="15"/>
      <x:c r="L99" s="9" t="inlineStr">
        <x:is>
          <x:t xml:space="preserve">Found salvage; location and availability unresolved</x:t>
        </x:is>
      </x:c>
      <x:c r="M99" s="9" t="inlineStr">
        <x:is>
          <x:t xml:space="preserve">No dedicated container production route; possible salvage reuse remains undecided.</x:t>
        </x:is>
      </x:c>
      <x:c r="N99" s="9" t="inlineStr">
        <x:is>
          <x:t xml:space="preserve">No special container behavior</x:t>
        </x:is>
      </x:c>
      <x:c r="O99" s="9" t="inlineStr">
        <x:is>
          <x:t xml:space="preserve">No special container behavior, capacity, payload, sealing, sample handling or carrier eligibility. Specific reuse and recovery yields remain undecided.</x:t>
        </x:is>
      </x:c>
      <x:c r="P99" s="17"/>
      <x:c r="Q99" s="17"/>
      <x:c r="R99" s="17"/>
      <x:c r="S99" s="17"/>
      <x:c r="T99" s="17"/>
      <x:c r="U99" s="9" t="inlineStr">
        <x:is>
          <x:t xml:space="preserve">Possible reuse, material recovery and yields remain open. Former specialized container proposal withdrawn.</x:t>
        </x:is>
      </x:c>
      <x:c r="V99" s="11"/>
      <x:c r="W99" s="9" t="str">
        <x:v>New game proposal, October 14, 2026. New sealed-glass form inspired by source glasswork.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9" s="4" t="inlineStr">
        <x:is>
          <x:t xml:space="preserve">Salvage</x:t>
        </x:is>
      </x:c>
      <x:c r="Y99" s="4" t="str">
        <x:v>Finished item</x:v>
      </x:c>
      <x:c r="Z99" s="4" t="inlineStr">
        <x:is>
          <x:t xml:space="preserve">Recovered / found</x:t>
        </x:is>
      </x:c>
      <x:c r="AA99" s="4" t="inlineStr">
        <x:is>
          <x:t xml:space="preserve">Salvage reuse</x:t>
        </x:is>
      </x:c>
      <x:c r="AB99" s="4" t="str">
        <x:v>Glass</x:v>
      </x:c>
      <x:c r="AC99" s="4" t="str">
        <x:v>Solid part</x:v>
      </x:c>
      <x:c r="AD99" s="4" t="str">
        <x:v>Proposal</x:v>
      </x:c>
      <x:c r="AE99" s="4" t="str">
        <x:f>LOWER(A99&amp;"; "&amp;B99&amp;"; "&amp;D99&amp;"; "&amp;E99&amp;"; "&amp;X99&amp;"; "&amp;Y99&amp;"; "&amp;Z99&amp;"; "&amp;AA99&amp;"; "&amp;AB99&amp;"; "&amp;AC99&amp;"; "&amp;AD99&amp;"; "&amp;V99&amp;"; "&amp;C99&amp;"; "&amp;AH99&amp;"; "&amp;AI99)</x:f>
        <x:v>proposal.container.ampoule; sealed sample ampoule; salvage; reusable salvage; salvage; finished item; recovered / found; salvage reuse; glass; solid part; proposal; ; not applicable; t2; salvage / possible reuse</x:v>
      </x:c>
      <x:c r="AF99"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9" s="4" t="str">
        <x:v>Finished endpoint; material tier is not applicable. Input tiers belong to the chosen recipe.</x:v>
      </x:c>
      <x:c r="AH99" s="4" t="str">
        <x:v>T2</x:v>
      </x:c>
      <x:c r="AI99" s="4" t="inlineStr">
        <x:is>
          <x:t xml:space="preserve">Salvage / possible reuse</x:t>
        </x:is>
      </x:c>
      <x:c r="AJ99" s="4" t="n">
        <x:f>COUNTIFS('Material routes'!$D$6:$D$2205,A99,'Material routes'!$C$6:$C$2205,"Output")</x:f>
        <x:v>1</x:v>
      </x:c>
      <x:c r="AK99" s="4" t="n">
        <x:f>SUM(COUNTIFS('Material routes'!$D$6:$D$2205,A99,'Material routes'!$C$6:$C$2205,"Ingredient candidate"),COUNTIFS('Material routes'!$D$6:$D$2205,A99,'Material routes'!$C$6:$C$2205,"Consumed input"),COUNTIFS('Material routes'!$D$6:$D$2205,A99,'Material routes'!$C$6:$C$2205,"Contained input"),COUNTIFS('Material routes'!$D$6:$D$2205,A99,'Material routes'!$C$6:$C$2205,"Transform input"))</x:f>
        <x:v>0</x:v>
      </x:c>
      <x:c r="AL99" s="4" t="n">
        <x:f>COUNTIFS('Material routes'!$D$6:$D$2205,A99,'Material routes'!$C$6:$C$2205,"Tool candidate")</x:f>
        <x:v>0</x:v>
      </x:c>
      <x:c r="AM99" s="4" t="inlineStr">
        <x:is>
          <x:t xml:space="preserve">Found salvage; former container production proposal retired</x:t>
        </x:is>
      </x:c>
      <x:c r="AN99" s="14" t="n">
        <x:f>IF(C99="T0",0,IF(C99="T1",1,IF(C99="T2",2,IF(C99="T3",3,IF(C99="T4",4,IF(C99="Unassigned",98,99))))))</x:f>
        <x:v>99</x:v>
      </x:c>
      <x:c r="AZ99"/>
      <x:c r="BA99"/>
      <x:c r="BB99"/>
      <x:c r="BC99"/>
      <x:c r="BD99"/>
      <x:c r="BE99"/>
      <x:c r="BF99"/>
      <x:c r="BG99"/>
      <x:c r="BH99"/>
      <x:c r="BI99"/>
      <x:c r="BJ99"/>
      <x:c r="BK99"/>
      <x:c r="BL99"/>
      <x:c r="BM99"/>
      <x:c r="BN99"/>
      <x:c r="BO99"/>
      <x:c r="BP99"/>
      <x:c r="BQ99"/>
      <x:c r="BR99"/>
      <x:c r="BS99"/>
      <x:c r="BT99"/>
      <x:c r="BU99"/>
      <x:c r="BV99"/>
      <x:c r="BW99"/>
      <x:c r="BX99"/>
      <x:c r="BY99"/>
      <x:c r="BZ99"/>
      <x:c r="CA99"/>
      <x:c r="CB99"/>
      <x:c r="CC99"/>
    </x:row>
    <x:row r="100" ht="100" customHeight="1">
      <x:c r="A100" s="9" t="str">
        <x:v>proposal.container.marked_flask</x:v>
      </x:c>
      <x:c r="B100" s="9" t="str">
        <x:v>Marked glass flask</x:v>
      </x:c>
      <x:c r="C100" s="4" t="str">
        <x:v>Not applicable</x:v>
      </x:c>
      <x:c r="D100" s="9" t="inlineStr">
        <x:is>
          <x:t xml:space="preserve">Salvage</x:t>
        </x:is>
      </x:c>
      <x:c r="E100" s="9" t="inlineStr">
        <x:is>
          <x:t xml:space="preserve">Reusable salvage</x:t>
        </x:is>
      </x:c>
      <x:c r="F100" s="9" t="str">
        <x:v>New proposal</x:v>
      </x:c>
      <x:c r="G100" s="9" t="inlineStr">
        <x:is>
          <x:t xml:space="preserve">A glass flask bearing visible measurement or identification marks, recovered as ordinary salvage. The markings remain part of the object’s physical history; they do not establish accurate calibration. Possible reuse and material recovery depend on its condition.</x:t>
        </x:is>
      </x:c>
      <x:c r="H100" s="9" t="str">
        <x:v>None</x:v>
      </x:c>
      <x:c r="I100" s="9" t="inlineStr">
        <x:is>
          <x:t xml:space="preserve">Ordinary salvage inventory / cargo; no special carrier rules</x:t>
        </x:is>
      </x:c>
      <x:c r="J100" s="13"/>
      <x:c r="K100" s="15"/>
      <x:c r="L100" s="9" t="inlineStr">
        <x:is>
          <x:t xml:space="preserve">Found salvage; location and availability unresolved</x:t>
        </x:is>
      </x:c>
      <x:c r="M100" s="9" t="inlineStr">
        <x:is>
          <x:t xml:space="preserve">No dedicated container production route; possible salvage reuse remains undecided.</x:t>
        </x:is>
      </x:c>
      <x:c r="N100" s="9" t="inlineStr">
        <x:is>
          <x:t xml:space="preserve">No special container behavior</x:t>
        </x:is>
      </x:c>
      <x:c r="O100" s="9" t="inlineStr">
        <x:is>
          <x:t xml:space="preserve">No special container behavior, capacity, payload, sealing, sample handling or carrier eligibility. Specific reuse and recovery yields remain undecided.</x:t>
        </x:is>
      </x:c>
      <x:c r="P100" s="17"/>
      <x:c r="Q100" s="17"/>
      <x:c r="R100" s="17"/>
      <x:c r="S100" s="17"/>
      <x:c r="T100" s="17"/>
      <x:c r="U100" s="9" t="inlineStr">
        <x:is>
          <x:t xml:space="preserve">Possible reuse, material recovery and yields remain open. Former specialized container proposal withdrawn.</x:t>
        </x:is>
      </x:c>
      <x:c r="V100" s="11" t="str">
        <x:v>inspection</x:v>
      </x:c>
      <x:c r="W100" s="9" t="str">
        <x:v>New game proposal, October 14, 2026. New measuring/inspection use; no authored volume system.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0" s="4" t="inlineStr">
        <x:is>
          <x:t xml:space="preserve">Salvage</x:t>
        </x:is>
      </x:c>
      <x:c r="Y100" s="4" t="str">
        <x:v>Finished item</x:v>
      </x:c>
      <x:c r="Z100" s="4" t="inlineStr">
        <x:is>
          <x:t xml:space="preserve">Recovered / found</x:t>
        </x:is>
      </x:c>
      <x:c r="AA100" s="4" t="inlineStr">
        <x:is>
          <x:t xml:space="preserve">Salvage reuse</x:t>
        </x:is>
      </x:c>
      <x:c r="AB100" s="4" t="str">
        <x:v>Glass</x:v>
      </x:c>
      <x:c r="AC100" s="4" t="str">
        <x:v>Solid part</x:v>
      </x:c>
      <x:c r="AD100" s="4" t="str">
        <x:v>Proposal</x:v>
      </x:c>
      <x:c r="AE100" s="4" t="str">
        <x:f>LOWER(A100&amp;"; "&amp;B100&amp;"; "&amp;D100&amp;"; "&amp;E100&amp;"; "&amp;X100&amp;"; "&amp;Y100&amp;"; "&amp;Z100&amp;"; "&amp;AA100&amp;"; "&amp;AB100&amp;"; "&amp;AC100&amp;"; "&amp;AD100&amp;"; "&amp;V100&amp;"; "&amp;C100&amp;"; "&amp;AH100&amp;"; "&amp;AI100)</x:f>
        <x:v>proposal.container.marked_flask; marked glass flask; salvage; reusable salvage; salvage; finished item; recovered / found; salvage reuse; glass; solid part; proposal; inspection; not applicable; t2; salvage / possible reuse</x:v>
      </x:c>
      <x:c r="AF100"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0" s="4" t="str">
        <x:v>Finished endpoint; material tier is not applicable. Input tiers belong to the chosen recipe.</x:v>
      </x:c>
      <x:c r="AH100" s="4" t="str">
        <x:v>T2</x:v>
      </x:c>
      <x:c r="AI100" s="4" t="inlineStr">
        <x:is>
          <x:t xml:space="preserve">Salvage / possible reuse</x:t>
        </x:is>
      </x:c>
      <x:c r="AJ100" s="4" t="n">
        <x:f>COUNTIFS('Material routes'!$D$6:$D$2205,A100,'Material routes'!$C$6:$C$2205,"Output")</x:f>
        <x:v>1</x:v>
      </x:c>
      <x:c r="AK100" s="4" t="n">
        <x:f>SUM(COUNTIFS('Material routes'!$D$6:$D$2205,A100,'Material routes'!$C$6:$C$2205,"Ingredient candidate"),COUNTIFS('Material routes'!$D$6:$D$2205,A100,'Material routes'!$C$6:$C$2205,"Consumed input"),COUNTIFS('Material routes'!$D$6:$D$2205,A100,'Material routes'!$C$6:$C$2205,"Contained input"),COUNTIFS('Material routes'!$D$6:$D$2205,A100,'Material routes'!$C$6:$C$2205,"Transform input"))</x:f>
        <x:v>0</x:v>
      </x:c>
      <x:c r="AL100" s="4" t="n">
        <x:f>COUNTIFS('Material routes'!$D$6:$D$2205,A100,'Material routes'!$C$6:$C$2205,"Tool candidate")</x:f>
        <x:v>0</x:v>
      </x:c>
      <x:c r="AM100" s="4" t="inlineStr">
        <x:is>
          <x:t xml:space="preserve">Found salvage; former container production proposal retired</x:t>
        </x:is>
      </x:c>
      <x:c r="AN100" s="14" t="n">
        <x:f>IF(C100="T0",0,IF(C100="T1",1,IF(C100="T2",2,IF(C100="T3",3,IF(C100="T4",4,IF(C100="Unassigned",98,99))))))</x:f>
        <x:v>99</x:v>
      </x:c>
      <x:c r="AZ100"/>
      <x:c r="BA100"/>
      <x:c r="BB100"/>
      <x:c r="BC100"/>
      <x:c r="BD100"/>
      <x:c r="BE100"/>
      <x:c r="BF100"/>
      <x:c r="BG100"/>
      <x:c r="BH100"/>
      <x:c r="BI100"/>
      <x:c r="BJ100"/>
      <x:c r="BK100"/>
      <x:c r="BL100"/>
      <x:c r="BM100"/>
      <x:c r="BN100"/>
      <x:c r="BO100"/>
      <x:c r="BP100"/>
      <x:c r="BQ100"/>
      <x:c r="BR100"/>
      <x:c r="BS100"/>
      <x:c r="BT100"/>
      <x:c r="BU100"/>
      <x:c r="BV100"/>
      <x:c r="BW100"/>
      <x:c r="BX100"/>
      <x:c r="BY100"/>
      <x:c r="BZ100"/>
      <x:c r="CA100"/>
      <x:c r="CB100"/>
      <x:c r="CC100"/>
    </x:row>
    <x:row r="101" ht="100" customHeight="1">
      <x:c r="A101" s="9" t="str">
        <x:v>proposal.container.shell_cage</x:v>
      </x:c>
      <x:c r="B101" s="9" t="str">
        <x:v>Shell-caged glass flask</x:v>
      </x:c>
      <x:c r="C101" s="4" t="str">
        <x:v>Not applicable</x:v>
      </x:c>
      <x:c r="D101" s="9" t="inlineStr">
        <x:is>
          <x:t xml:space="preserve">Salvage</x:t>
        </x:is>
      </x:c>
      <x:c r="E101" s="9" t="inlineStr">
        <x:is>
          <x:t xml:space="preserve">Reusable salvage</x:t>
        </x:is>
      </x:c>
      <x:c r="F101" s="9" t="str">
        <x:v>New proposal</x:v>
      </x:c>
      <x:c r="G101" s="9" t="inlineStr">
        <x:is>
          <x:t xml:space="preserve">A glass flask surrounded by a shell cage, retained as ordinary salvage. The outer pieces suggest a guard around the fragile vessel. The cage, glass and fittings may have separate reuse or recovery value, but protection, sealing and payload capacity remain unassigned.</x:t>
        </x:is>
      </x:c>
      <x:c r="H101" s="9" t="str">
        <x:v>None</x:v>
      </x:c>
      <x:c r="I101" s="9" t="inlineStr">
        <x:is>
          <x:t xml:space="preserve">Ordinary salvage inventory / cargo; no special carrier rules</x:t>
        </x:is>
      </x:c>
      <x:c r="J101" s="13"/>
      <x:c r="K101" s="15"/>
      <x:c r="L101" s="9" t="inlineStr">
        <x:is>
          <x:t xml:space="preserve">Found salvage; location and availability unresolved</x:t>
        </x:is>
      </x:c>
      <x:c r="M101" s="9" t="inlineStr">
        <x:is>
          <x:t xml:space="preserve">No dedicated container production route; possible salvage reuse remains undecided.</x:t>
        </x:is>
      </x:c>
      <x:c r="N101" s="9" t="inlineStr">
        <x:is>
          <x:t xml:space="preserve">No special container behavior</x:t>
        </x:is>
      </x:c>
      <x:c r="O101" s="9" t="inlineStr">
        <x:is>
          <x:t xml:space="preserve">No special container behavior, capacity, payload, sealing, sample handling or carrier eligibility. Specific reuse and recovery yields remain undecided.</x:t>
        </x:is>
      </x:c>
      <x:c r="P101" s="17"/>
      <x:c r="Q101" s="17"/>
      <x:c r="R101" s="17"/>
      <x:c r="S101" s="17"/>
      <x:c r="T101" s="17"/>
      <x:c r="U101" s="9" t="inlineStr">
        <x:is>
          <x:t xml:space="preserve">Possible reuse, material recovery and yields remain open. Former specialized container proposal withdrawn.</x:t>
        </x:is>
      </x:c>
      <x:c r="V101" s="11"/>
      <x:c r="W101" s="9" t="str">
        <x:v>New game proposal, October 14, 2026. Chitin plate/curved vessel and glass drafts inspire assembly;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1" s="4" t="inlineStr">
        <x:is>
          <x:t xml:space="preserve">Salvage</x:t>
        </x:is>
      </x:c>
      <x:c r="Y101" s="4" t="str">
        <x:v>Finished item</x:v>
      </x:c>
      <x:c r="Z101" s="4" t="inlineStr">
        <x:is>
          <x:t xml:space="preserve">Recovered / found</x:t>
        </x:is>
      </x:c>
      <x:c r="AA101" s="4" t="inlineStr">
        <x:is>
          <x:t xml:space="preserve">Salvage reuse</x:t>
        </x:is>
      </x:c>
      <x:c r="AB101" s="4" t="str">
        <x:v>Glass and shell</x:v>
      </x:c>
      <x:c r="AC101" s="4" t="str">
        <x:v>Assembly</x:v>
      </x:c>
      <x:c r="AD101" s="4" t="str">
        <x:v>Proposal</x:v>
      </x:c>
      <x:c r="AE101" s="4" t="str">
        <x:f>LOWER(A101&amp;"; "&amp;B101&amp;"; "&amp;D101&amp;"; "&amp;E101&amp;"; "&amp;X101&amp;"; "&amp;Y101&amp;"; "&amp;Z101&amp;"; "&amp;AA101&amp;"; "&amp;AB101&amp;"; "&amp;AC101&amp;"; "&amp;AD101&amp;"; "&amp;V101&amp;"; "&amp;C101&amp;"; "&amp;AH101&amp;"; "&amp;AI101)</x:f>
        <x:v>proposal.container.shell_cage; shell-caged glass flask; salvage; reusable salvage; salvage; finished item; recovered / found; salvage reuse; glass and shell; assembly; proposal; ; not applicable; t4; salvage / possible reuse</x:v>
      </x:c>
      <x:c r="AF101"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1" s="4" t="str">
        <x:v>Finished endpoint; material tier is not applicable. Input tiers belong to the chosen recipe.</x:v>
      </x:c>
      <x:c r="AH101" s="4" t="str">
        <x:v>T4</x:v>
      </x:c>
      <x:c r="AI101" s="4" t="inlineStr">
        <x:is>
          <x:t xml:space="preserve">Salvage / possible reuse</x:t>
        </x:is>
      </x:c>
      <x:c r="AJ101" s="4" t="n">
        <x:f>COUNTIFS('Material routes'!$D$6:$D$2205,A101,'Material routes'!$C$6:$C$2205,"Output")</x:f>
        <x:v>1</x:v>
      </x:c>
      <x:c r="AK101" s="4" t="n">
        <x:f>SUM(COUNTIFS('Material routes'!$D$6:$D$2205,A101,'Material routes'!$C$6:$C$2205,"Ingredient candidate"),COUNTIFS('Material routes'!$D$6:$D$2205,A101,'Material routes'!$C$6:$C$2205,"Consumed input"),COUNTIFS('Material routes'!$D$6:$D$2205,A101,'Material routes'!$C$6:$C$2205,"Contained input"),COUNTIFS('Material routes'!$D$6:$D$2205,A101,'Material routes'!$C$6:$C$2205,"Transform input"))</x:f>
        <x:v>0</x:v>
      </x:c>
      <x:c r="AL101" s="4" t="n">
        <x:f>COUNTIFS('Material routes'!$D$6:$D$2205,A101,'Material routes'!$C$6:$C$2205,"Tool candidate")</x:f>
        <x:v>0</x:v>
      </x:c>
      <x:c r="AM101" s="4" t="inlineStr">
        <x:is>
          <x:t xml:space="preserve">Found salvage; former container production proposal retired</x:t>
        </x:is>
      </x:c>
      <x:c r="AN101" s="14" t="n">
        <x:f>IF(C101="T0",0,IF(C101="T1",1,IF(C101="T2",2,IF(C101="T3",3,IF(C101="T4",4,IF(C101="Unassigned",98,99))))))</x:f>
        <x:v>99</x:v>
      </x:c>
      <x:c r="AZ101"/>
      <x:c r="BA101"/>
      <x:c r="BB101"/>
      <x:c r="BC101"/>
      <x:c r="BD101"/>
      <x:c r="BE101"/>
      <x:c r="BF101"/>
      <x:c r="BG101"/>
      <x:c r="BH101"/>
      <x:c r="BI101"/>
      <x:c r="BJ101"/>
      <x:c r="BK101"/>
      <x:c r="BL101"/>
      <x:c r="BM101"/>
      <x:c r="BN101"/>
      <x:c r="BO101"/>
      <x:c r="BP101"/>
      <x:c r="BQ101"/>
      <x:c r="BR101"/>
      <x:c r="BS101"/>
      <x:c r="BT101"/>
      <x:c r="BU101"/>
      <x:c r="BV101"/>
      <x:c r="BW101"/>
      <x:c r="BX101"/>
      <x:c r="BY101"/>
      <x:c r="BZ101"/>
      <x:c r="CA101"/>
      <x:c r="CB101"/>
      <x:c r="CC101"/>
    </x:row>
    <x:row r="102" ht="100" customHeight="1">
      <x:c r="A102" s="9" t="str">
        <x:v>proposal.container.lined_canister</x:v>
      </x:c>
      <x:c r="B102" s="9" t="str">
        <x:v>Glass-lined haul canister</x:v>
      </x:c>
      <x:c r="C102" s="4" t="str">
        <x:v>Not applicable</x:v>
      </x:c>
      <x:c r="D102" s="9" t="inlineStr">
        <x:is>
          <x:t xml:space="preserve">Salvage</x:t>
        </x:is>
      </x:c>
      <x:c r="E102" s="9" t="inlineStr">
        <x:is>
          <x:t xml:space="preserve">Reusable salvage</x:t>
        </x:is>
      </x:c>
      <x:c r="F102" s="9" t="str">
        <x:v>New proposal</x:v>
      </x:c>
      <x:c r="G102" s="9" t="inlineStr">
        <x:is>
          <x:t xml:space="preserve">A haul canister with a glass-lined interior, recovered as ordinary salvage. Its lining separates the former contents from the outer body, though cracking, residue and closure condition are unknown. Any useful reuse or material recovery requires inspection.</x:t>
        </x:is>
      </x:c>
      <x:c r="H102" s="9" t="str">
        <x:v>None</x:v>
      </x:c>
      <x:c r="I102" s="9" t="inlineStr">
        <x:is>
          <x:t xml:space="preserve">Ordinary salvage inventory / cargo; no special carrier rules</x:t>
        </x:is>
      </x:c>
      <x:c r="J102" s="13"/>
      <x:c r="K102" s="15"/>
      <x:c r="L102" s="9" t="inlineStr">
        <x:is>
          <x:t xml:space="preserve">Found salvage; location and availability unresolved</x:t>
        </x:is>
      </x:c>
      <x:c r="M102" s="9" t="inlineStr">
        <x:is>
          <x:t xml:space="preserve">No dedicated container production route; possible salvage reuse remains undecided.</x:t>
        </x:is>
      </x:c>
      <x:c r="N102" s="9" t="inlineStr">
        <x:is>
          <x:t xml:space="preserve">No special container behavior</x:t>
        </x:is>
      </x:c>
      <x:c r="O102" s="9" t="inlineStr">
        <x:is>
          <x:t xml:space="preserve">No special container behavior, capacity, payload, sealing, sample handling or carrier eligibility. Specific reuse and recovery yields remain undecided.</x:t>
        </x:is>
      </x:c>
      <x:c r="P102" s="17"/>
      <x:c r="Q102" s="17"/>
      <x:c r="R102" s="17"/>
      <x:c r="S102" s="17"/>
      <x:c r="T102" s="17"/>
      <x:c r="U102" s="9" t="inlineStr">
        <x:is>
          <x:t xml:space="preserve">Possible reuse, material recovery and yields remain open. Former specialized container proposal withdrawn.</x:t>
        </x:is>
      </x:c>
      <x:c r="V102" s="11"/>
      <x:c r="W102" s="9" t="str">
        <x:v>New game proposal, October 14, 2026. Glass draft includes internal canister linings; haul role and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2" s="4" t="inlineStr">
        <x:is>
          <x:t xml:space="preserve">Salvage</x:t>
        </x:is>
      </x:c>
      <x:c r="Y102" s="4" t="str">
        <x:v>Finished item</x:v>
      </x:c>
      <x:c r="Z102" s="4" t="inlineStr">
        <x:is>
          <x:t xml:space="preserve">Recovered / found</x:t>
        </x:is>
      </x:c>
      <x:c r="AA102" s="4" t="inlineStr">
        <x:is>
          <x:t xml:space="preserve">Salvage reuse</x:t>
        </x:is>
      </x:c>
      <x:c r="AB102" s="4" t="str">
        <x:v>Glass with unresolved casing</x:v>
      </x:c>
      <x:c r="AC102" s="4" t="str">
        <x:v>Assembly</x:v>
      </x:c>
      <x:c r="AD102" s="4" t="str">
        <x:v>Proposal</x:v>
      </x:c>
      <x:c r="AE102" s="4" t="str">
        <x:f>LOWER(A102&amp;"; "&amp;B102&amp;"; "&amp;D102&amp;"; "&amp;E102&amp;"; "&amp;X102&amp;"; "&amp;Y102&amp;"; "&amp;Z102&amp;"; "&amp;AA102&amp;"; "&amp;AB102&amp;"; "&amp;AC102&amp;"; "&amp;AD102&amp;"; "&amp;V102&amp;"; "&amp;C102&amp;"; "&amp;AH102&amp;"; "&amp;AI102)</x:f>
        <x:v>proposal.container.lined_canister; glass-lined haul canister; salvage; reusable salvage; salvage; finished item; recovered / found; salvage reuse; glass with unresolved casing; assembly; proposal; ; not applicable; t4; salvage / possible reuse</x:v>
      </x:c>
      <x:c r="AF102"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2" s="4" t="str">
        <x:v>Finished endpoint; material tier is not applicable. Input tiers belong to the chosen recipe.</x:v>
      </x:c>
      <x:c r="AH102" s="4" t="str">
        <x:v>T4</x:v>
      </x:c>
      <x:c r="AI102" s="4" t="inlineStr">
        <x:is>
          <x:t xml:space="preserve">Salvage / possible reuse</x:t>
        </x:is>
      </x:c>
      <x:c r="AJ102" s="4" t="n">
        <x:f>COUNTIFS('Material routes'!$D$6:$D$2205,A102,'Material routes'!$C$6:$C$2205,"Output")</x:f>
        <x:v>1</x:v>
      </x:c>
      <x:c r="AK102" s="4" t="n">
        <x:f>SUM(COUNTIFS('Material routes'!$D$6:$D$2205,A102,'Material routes'!$C$6:$C$2205,"Ingredient candidate"),COUNTIFS('Material routes'!$D$6:$D$2205,A102,'Material routes'!$C$6:$C$2205,"Consumed input"),COUNTIFS('Material routes'!$D$6:$D$2205,A102,'Material routes'!$C$6:$C$2205,"Contained input"),COUNTIFS('Material routes'!$D$6:$D$2205,A102,'Material routes'!$C$6:$C$2205,"Transform input"))</x:f>
        <x:v>0</x:v>
      </x:c>
      <x:c r="AL102" s="4" t="n">
        <x:f>COUNTIFS('Material routes'!$D$6:$D$2205,A102,'Material routes'!$C$6:$C$2205,"Tool candidate")</x:f>
        <x:v>0</x:v>
      </x:c>
      <x:c r="AM102" s="4" t="inlineStr">
        <x:is>
          <x:t xml:space="preserve">Found salvage; former container production proposal retired</x:t>
        </x:is>
      </x:c>
      <x:c r="AN102" s="14" t="n">
        <x:f>IF(C102="T0",0,IF(C102="T1",1,IF(C102="T2",2,IF(C102="T3",3,IF(C102="T4",4,IF(C102="Unassigned",98,99))))))</x:f>
        <x:v>99</x:v>
      </x:c>
      <x:c r="AZ102"/>
      <x:c r="BA102"/>
      <x:c r="BB102"/>
      <x:c r="BC102"/>
      <x:c r="BD102"/>
      <x:c r="BE102"/>
      <x:c r="BF102"/>
      <x:c r="BG102"/>
      <x:c r="BH102"/>
      <x:c r="BI102"/>
      <x:c r="BJ102"/>
      <x:c r="BK102"/>
      <x:c r="BL102"/>
      <x:c r="BM102"/>
      <x:c r="BN102"/>
      <x:c r="BO102"/>
      <x:c r="BP102"/>
      <x:c r="BQ102"/>
      <x:c r="BR102"/>
      <x:c r="BS102"/>
      <x:c r="BT102"/>
      <x:c r="BU102"/>
      <x:c r="BV102"/>
      <x:c r="BW102"/>
      <x:c r="BX102"/>
      <x:c r="BY102"/>
      <x:c r="BZ102"/>
      <x:c r="CA102"/>
      <x:c r="CB102"/>
      <x:c r="CC102"/>
    </x:row>
    <x:row r="103" ht="100" customHeight="1">
      <x:c r="A103" s="9" t="str">
        <x:v>proposal.container.ceramic_jar</x:v>
      </x:c>
      <x:c r="B103" s="9" t="str">
        <x:v>Glazed ceramic reagent jar</x:v>
      </x:c>
      <x:c r="C103" s="4" t="str">
        <x:v>Not applicable</x:v>
      </x:c>
      <x:c r="D103" s="9" t="inlineStr">
        <x:is>
          <x:t xml:space="preserve">Salvage</x:t>
        </x:is>
      </x:c>
      <x:c r="E103" s="9" t="inlineStr">
        <x:is>
          <x:t xml:space="preserve">Reusable salvage</x:t>
        </x:is>
      </x:c>
      <x:c r="F103" s="9" t="str">
        <x:v>New proposal</x:v>
      </x:c>
      <x:c r="G103" s="9" t="inlineStr">
        <x:is>
          <x:t xml:space="preserve">A glazed ceramic jar retained as ordinary salvage. Its hard body and glazed inner surface suggest a former material-storage vessel. Cracks, residue and closure fit must be checked before reuse; no chemical compatibility or special container behavior is assigned.</x:t>
        </x:is>
      </x:c>
      <x:c r="H103" s="9" t="str">
        <x:v>None</x:v>
      </x:c>
      <x:c r="I103" s="9" t="inlineStr">
        <x:is>
          <x:t xml:space="preserve">Ordinary salvage inventory / cargo; no special carrier rules</x:t>
        </x:is>
      </x:c>
      <x:c r="J103" s="13"/>
      <x:c r="K103" s="15"/>
      <x:c r="L103" s="9" t="inlineStr">
        <x:is>
          <x:t xml:space="preserve">Found salvage; location and availability unresolved</x:t>
        </x:is>
      </x:c>
      <x:c r="M103" s="9" t="inlineStr">
        <x:is>
          <x:t xml:space="preserve">No dedicated container production route; possible salvage reuse remains undecided.</x:t>
        </x:is>
      </x:c>
      <x:c r="N103" s="9" t="inlineStr">
        <x:is>
          <x:t xml:space="preserve">No special container behavior</x:t>
        </x:is>
      </x:c>
      <x:c r="O103" s="9" t="inlineStr">
        <x:is>
          <x:t xml:space="preserve">No special container behavior, capacity, payload, sealing, sample handling or carrier eligibility. Specific reuse and recovery yields remain undecided.</x:t>
        </x:is>
      </x:c>
      <x:c r="P103" s="17"/>
      <x:c r="Q103" s="17"/>
      <x:c r="R103" s="17"/>
      <x:c r="S103" s="17"/>
      <x:c r="T103" s="17"/>
      <x:c r="U103" s="9" t="inlineStr">
        <x:is>
          <x:t xml:space="preserve">Possible reuse, material recovery and yields remain open. Former specialized container proposal withdrawn.</x:t>
        </x:is>
      </x:c>
      <x:c r="V103" s="11"/>
      <x:c r="W103" s="9" t="str">
        <x:v>New game proposal, October 14, 2026. New ceramic vessel proposal; not a validated recipe/material capability.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3" s="4" t="inlineStr">
        <x:is>
          <x:t xml:space="preserve">Salvage</x:t>
        </x:is>
      </x:c>
      <x:c r="Y103" s="4" t="str">
        <x:v>Finished item</x:v>
      </x:c>
      <x:c r="Z103" s="4" t="inlineStr">
        <x:is>
          <x:t xml:space="preserve">Recovered / found</x:t>
        </x:is>
      </x:c>
      <x:c r="AA103" s="4" t="inlineStr">
        <x:is>
          <x:t xml:space="preserve">Salvage reuse</x:t>
        </x:is>
      </x:c>
      <x:c r="AB103" s="4" t="str">
        <x:v>Ceramic</x:v>
      </x:c>
      <x:c r="AC103" s="4" t="str">
        <x:v>Solid part</x:v>
      </x:c>
      <x:c r="AD103" s="4" t="str">
        <x:v>Proposal</x:v>
      </x:c>
      <x:c r="AE103" s="4" t="str">
        <x:f>LOWER(A103&amp;"; "&amp;B103&amp;"; "&amp;D103&amp;"; "&amp;E103&amp;"; "&amp;X103&amp;"; "&amp;Y103&amp;"; "&amp;Z103&amp;"; "&amp;AA103&amp;"; "&amp;AB103&amp;"; "&amp;AC103&amp;"; "&amp;AD103&amp;"; "&amp;V103&amp;"; "&amp;C103&amp;"; "&amp;AH103&amp;"; "&amp;AI103)</x:f>
        <x:v>proposal.container.ceramic_jar; glazed ceramic reagent jar; salvage; reusable salvage; salvage; finished item; recovered / found; salvage reuse; ceramic; solid part; proposal; ; not applicable; t3; salvage / possible reuse</x:v>
      </x:c>
      <x:c r="AF103"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3" s="4" t="str">
        <x:v>Finished endpoint; material tier is not applicable. Input tiers belong to the chosen recipe.</x:v>
      </x:c>
      <x:c r="AH103" s="4" t="str">
        <x:v>T3</x:v>
      </x:c>
      <x:c r="AI103" s="4" t="inlineStr">
        <x:is>
          <x:t xml:space="preserve">Salvage / possible reuse</x:t>
        </x:is>
      </x:c>
      <x:c r="AJ103" s="4" t="n">
        <x:f>COUNTIFS('Material routes'!$D$6:$D$2205,A103,'Material routes'!$C$6:$C$2205,"Output")</x:f>
        <x:v>1</x:v>
      </x:c>
      <x:c r="AK103" s="4" t="n">
        <x:f>SUM(COUNTIFS('Material routes'!$D$6:$D$2205,A103,'Material routes'!$C$6:$C$2205,"Ingredient candidate"),COUNTIFS('Material routes'!$D$6:$D$2205,A103,'Material routes'!$C$6:$C$2205,"Consumed input"),COUNTIFS('Material routes'!$D$6:$D$2205,A103,'Material routes'!$C$6:$C$2205,"Contained input"),COUNTIFS('Material routes'!$D$6:$D$2205,A103,'Material routes'!$C$6:$C$2205,"Transform input"))</x:f>
        <x:v>2</x:v>
      </x:c>
      <x:c r="AL103" s="4" t="n">
        <x:f>COUNTIFS('Material routes'!$D$6:$D$2205,A103,'Material routes'!$C$6:$C$2205,"Tool candidate")</x:f>
        <x:v>1</x:v>
      </x:c>
      <x:c r="AM103" s="4" t="inlineStr">
        <x:is>
          <x:t xml:space="preserve">Found salvage; former container production proposal retired</x:t>
        </x:is>
      </x:c>
      <x:c r="AN103" s="14" t="n">
        <x:f>IF(C103="T0",0,IF(C103="T1",1,IF(C103="T2",2,IF(C103="T3",3,IF(C103="T4",4,IF(C103="Unassigned",98,99))))))</x:f>
        <x:v>99</x:v>
      </x:c>
      <x:c r="AZ103"/>
      <x:c r="BA103"/>
      <x:c r="BB103"/>
      <x:c r="BC103"/>
      <x:c r="BD103"/>
      <x:c r="BE103"/>
      <x:c r="BF103"/>
      <x:c r="BG103"/>
      <x:c r="BH103"/>
      <x:c r="BI103"/>
      <x:c r="BJ103"/>
      <x:c r="BK103"/>
      <x:c r="BL103"/>
      <x:c r="BM103"/>
      <x:c r="BN103"/>
      <x:c r="BO103"/>
      <x:c r="BP103"/>
      <x:c r="BQ103"/>
      <x:c r="BR103"/>
      <x:c r="BS103"/>
      <x:c r="BT103"/>
      <x:c r="BU103"/>
      <x:c r="BV103"/>
      <x:c r="BW103"/>
      <x:c r="BX103"/>
      <x:c r="BY103"/>
      <x:c r="BZ103"/>
      <x:c r="CA103"/>
      <x:c r="CB103"/>
      <x:c r="CC103"/>
    </x:row>
    <x:row r="104" ht="100" customHeight="1">
      <x:c r="A104" s="9" t="str">
        <x:v>proposal.container.bulk_ichor</x:v>
      </x:c>
      <x:c r="B104" s="9" t="str">
        <x:v>Bulk ichor vessel</x:v>
      </x:c>
      <x:c r="C104" s="4" t="str">
        <x:v>Not applicable</x:v>
      </x:c>
      <x:c r="D104" s="9" t="inlineStr">
        <x:is>
          <x:t xml:space="preserve">Tools</x:t>
        </x:is>
      </x:c>
      <x:c r="E104" s="9" t="str">
        <x:v>Primary vessel</x:v>
      </x:c>
      <x:c r="F104" s="9" t="str">
        <x:v>New proposal</x:v>
      </x:c>
      <x:c r="G104" s="9" t="inlineStr">
        <x:is>
          <x:t xml:space="preserve">Make a large harvest an expedition haul decision. It is intended to hold the recorded material physically, with closure, compatibility and carrying arrangements resolved for that contents.</x:t>
        </x:is>
      </x:c>
      <x:c r="H104" s="9" t="str">
        <x:v>None</x:v>
      </x:c>
      <x:c r="I104" s="9" t="str">
        <x:v>Filled raw-resource vessel: Legger/local owner; other carrier eligibility TBD</x:v>
      </x:c>
      <x:c r="J104" s="13"/>
      <x:c r="K104" s="15"/>
      <x:c r="L104" s="9" t="str">
        <x:v>Glassworker/fabricator or salvage candidate; no recipe authored</x:v>
      </x:c>
      <x:c r="M104" s="9" t="str">
        <x:v>Materials: Reinforced outer body; qualified inner lining TBD</x:v>
      </x:c>
      <x:c r="N104" s="9" t="str">
        <x:v>Not implemented</x:v>
      </x:c>
      <x:c r="O104" s="9" t="str">
        <x:v>Finite Legger cargo and contents mass; no backpack resource exception or free capacity</x:v>
      </x:c>
      <x:c r="P104" s="17"/>
      <x:c r="Q104" s="17"/>
      <x:c r="R104" s="17"/>
      <x:c r="S104" s="17"/>
      <x:c r="T104" s="17"/>
      <x:c r="U104" s="9" t="str">
        <x:v>Qualitative size: Bulk cargo. Closure: Service lid and separate transfer fitting proposed. Contents: One species/batch of gathered ichor</x:v>
      </x:c>
      <x:c r="V104" s="11"/>
      <x:c r="W104" s="9" t="str">
        <x:v>New game proposal, October 14, 2026. New bulk vessel proposal; no liter capacity, hose or extraction mechanic approved.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4" s="4" t="str">
        <x:v>Container</x:v>
      </x:c>
      <x:c r="Y104" s="4" t="str">
        <x:v>Finished item</x:v>
      </x:c>
      <x:c r="Z104" s="4" t="str">
        <x:v>Manufactured / unresolved</x:v>
      </x:c>
      <x:c r="AA104" s="4" t="str">
        <x:v>Liquid and bulk containment</x:v>
      </x:c>
      <x:c r="AB104" s="4" t="str">
        <x:v>Mixed / unresolved</x:v>
      </x:c>
      <x:c r="AC104" s="4" t="str">
        <x:v>Assembly</x:v>
      </x:c>
      <x:c r="AD104" s="4" t="str">
        <x:v>Proposal</x:v>
      </x:c>
      <x:c r="AE104" s="4" t="str">
        <x:f>LOWER(A104&amp;"; "&amp;B104&amp;"; "&amp;D104&amp;"; "&amp;E104&amp;"; "&amp;X104&amp;"; "&amp;Y104&amp;"; "&amp;Z104&amp;"; "&amp;AA104&amp;"; "&amp;AB104&amp;"; "&amp;AC104&amp;"; "&amp;AD104&amp;"; "&amp;V104&amp;"; "&amp;C104&amp;"; "&amp;AH104&amp;"; "&amp;AI104)</x:f>
        <x:v>proposal.container.bulk_ichor; bulk ichor vessel; tools; primary vessel; container; finished item; manufactured / unresolved; liquid and bulk containment; mixed / unresolved; assembly; proposal; ; not applicable; t4; finished item</x:v>
      </x:c>
      <x:c r="AF104" s="4" t="str">
        <x:v>From current item description. Proposed uses retain their existing approval status.</x:v>
      </x:c>
      <x:c r="AG104" s="4" t="str">
        <x:v>Finished endpoint; material tier is not applicable. Input tiers belong to the chosen recipe.</x:v>
      </x:c>
      <x:c r="AH104" s="4" t="str">
        <x:v>T4</x:v>
      </x:c>
      <x:c r="AI104" s="4" t="str">
        <x:v>Finished item</x:v>
      </x:c>
      <x:c r="AJ104" s="4" t="n">
        <x:f>COUNTIFS('Material routes'!$D$6:$D$2205,A104,'Material routes'!$C$6:$C$2205,"Output")</x:f>
        <x:v>1</x:v>
      </x:c>
      <x:c r="AK104" s="4" t="n">
        <x:f>SUM(COUNTIFS('Material routes'!$D$6:$D$2205,A104,'Material routes'!$C$6:$C$2205,"Ingredient candidate"),COUNTIFS('Material routes'!$D$6:$D$2205,A104,'Material routes'!$C$6:$C$2205,"Consumed input"),COUNTIFS('Material routes'!$D$6:$D$2205,A104,'Material routes'!$C$6:$C$2205,"Contained input"),COUNTIFS('Material routes'!$D$6:$D$2205,A104,'Material routes'!$C$6:$C$2205,"Transform input"))</x:f>
        <x:v>0</x:v>
      </x:c>
      <x:c r="AL104" s="4" t="n">
        <x:f>COUNTIFS('Material routes'!$D$6:$D$2205,A104,'Material routes'!$C$6:$C$2205,"Tool candidate")</x:f>
        <x:v>0</x:v>
      </x:c>
      <x:c r="AM104" s="4" t="str">
        <x:f>IF(AJ104&gt;0,"Route listed; review status/completeness",IF(C104="T0","Raw entry feed; no production route","No production route listed"))</x:f>
        <x:v>Route listed; review status/completeness</x:v>
      </x:c>
      <x:c r="AN104" s="14" t="n">
        <x:f>IF(C104="T0",0,IF(C104="T1",1,IF(C104="T2",2,IF(C104="T3",3,IF(C104="T4",4,IF(C104="Unassigned",98,99))))))</x:f>
        <x:v>99</x:v>
      </x:c>
      <x:c r="AZ104"/>
      <x:c r="BA104"/>
      <x:c r="BB104"/>
      <x:c r="BC104"/>
      <x:c r="BD104"/>
      <x:c r="BE104"/>
      <x:c r="BF104"/>
      <x:c r="BG104"/>
      <x:c r="BH104"/>
      <x:c r="BI104"/>
      <x:c r="BJ104"/>
      <x:c r="BK104"/>
      <x:c r="BL104"/>
      <x:c r="BM104"/>
      <x:c r="BN104"/>
      <x:c r="BO104"/>
      <x:c r="BP104"/>
      <x:c r="BQ104"/>
      <x:c r="BR104"/>
      <x:c r="BS104"/>
      <x:c r="BT104"/>
      <x:c r="BU104"/>
      <x:c r="BV104"/>
      <x:c r="BW104"/>
      <x:c r="BX104"/>
      <x:c r="BY104"/>
      <x:c r="BZ104"/>
      <x:c r="CA104"/>
      <x:c r="CB104"/>
      <x:c r="CC104"/>
    </x:row>
    <x:row r="105" ht="100" customHeight="1">
      <x:c r="A105" s="9"/>
      <x:c r="B105" s="9"/>
      <x:c r="C105" s="4"/>
      <x:c r="D105" s="9"/>
      <x:c r="E105" s="9"/>
      <x:c r="F105" s="9"/>
      <x:c r="G105" s="9"/>
      <x:c r="H105" s="9"/>
      <x:c r="I105" s="9"/>
      <x:c r="J105" s="13"/>
      <x:c r="M105" s="9"/>
      <x:c r="N105" s="9"/>
      <x:c r="O105" s="9"/>
      <x:c r="P105" s="17"/>
      <x:c r="V105" s="11"/>
      <x:c r="X105" s="4"/>
      <x:c r="Y105" s="4"/>
      <x:c r="Z105" s="4"/>
      <x:c r="AA105" s="4"/>
      <x:c r="AB105" s="4"/>
      <x:c r="AC105" s="4"/>
      <x:c r="AD105" s="4"/>
      <x:c r="AE105" s="4"/>
      <x:c r="AF105" s="4"/>
      <x:c r="AG105" s="4"/>
      <x:c r="AH105" s="4"/>
      <x:c r="AI105" s="4"/>
      <x:c r="AJ105" s="4"/>
      <x:c r="AK105" s="4"/>
      <x:c r="AL105" s="4"/>
      <x:c r="AM105" s="4"/>
      <x:c r="AN105" s="14"/>
      <x:c r="AZ105"/>
      <x:c r="BA105"/>
      <x:c r="BB105"/>
      <x:c r="BC105"/>
      <x:c r="BD105"/>
      <x:c r="BE105"/>
      <x:c r="BF105"/>
      <x:c r="BG105"/>
      <x:c r="BH105"/>
      <x:c r="BI105"/>
      <x:c r="BJ105"/>
      <x:c r="BK105"/>
      <x:c r="BL105"/>
      <x:c r="BM105"/>
      <x:c r="BN105"/>
      <x:c r="BO105"/>
      <x:c r="BP105"/>
      <x:c r="BQ105"/>
      <x:c r="BR105"/>
      <x:c r="BS105"/>
      <x:c r="BT105"/>
      <x:c r="BU105"/>
      <x:c r="BV105"/>
      <x:c r="BW105"/>
      <x:c r="BX105"/>
      <x:c r="BY105"/>
      <x:c r="BZ105"/>
      <x:c r="CA105"/>
      <x:c r="CB105"/>
      <x:c r="CC105"/>
    </x:row>
    <x:row r="106" ht="100" customHeight="1">
      <x:c r="A106" s="9" t="str">
        <x:v>proposal.container.sealed_box</x:v>
      </x:c>
      <x:c r="B106" s="9" t="str">
        <x:v>Sealed cargo box</x:v>
      </x:c>
      <x:c r="C106" s="4" t="str">
        <x:v>Not applicable</x:v>
      </x:c>
      <x:c r="D106" s="9" t="inlineStr">
        <x:is>
          <x:t xml:space="preserve">Salvage</x:t>
        </x:is>
      </x:c>
      <x:c r="E106" s="9" t="inlineStr">
        <x:is>
          <x:t xml:space="preserve">Reusable salvage</x:t>
        </x:is>
      </x:c>
      <x:c r="F106" s="9" t="str">
        <x:v>New proposal</x:v>
      </x:c>
      <x:c r="G106" s="9" t="inlineStr">
        <x:is>
          <x:t xml:space="preserve">A closed cargo box recovered as ordinary salvage. The enclosure and fastening hardware may be useful parts, but the former contents and the condition of its closure are unknown. It does not add a special storage capacity or guaranteed protective seal.</x:t>
        </x:is>
      </x:c>
      <x:c r="H106" s="9" t="str">
        <x:v>None</x:v>
      </x:c>
      <x:c r="I106" s="9" t="inlineStr">
        <x:is>
          <x:t xml:space="preserve">Ordinary salvage inventory / cargo; no special carrier rules</x:t>
        </x:is>
      </x:c>
      <x:c r="J106" s="13"/>
      <x:c r="K106" s="15"/>
      <x:c r="L106" s="9" t="inlineStr">
        <x:is>
          <x:t xml:space="preserve">Found salvage; location and availability unresolved</x:t>
        </x:is>
      </x:c>
      <x:c r="M106" s="9" t="inlineStr">
        <x:is>
          <x:t xml:space="preserve">No dedicated container production route; possible salvage reuse remains undecided.</x:t>
        </x:is>
      </x:c>
      <x:c r="N106" s="9" t="inlineStr">
        <x:is>
          <x:t xml:space="preserve">No special container behavior</x:t>
        </x:is>
      </x:c>
      <x:c r="O106" s="9" t="inlineStr">
        <x:is>
          <x:t xml:space="preserve">No special container behavior, capacity, payload, sealing, sample handling or carrier eligibility. Specific reuse and recovery yields remain undecided.</x:t>
        </x:is>
      </x:c>
      <x:c r="P106" s="17"/>
      <x:c r="Q106" s="17"/>
      <x:c r="R106" s="17"/>
      <x:c r="S106" s="17"/>
      <x:c r="T106" s="17"/>
      <x:c r="U106" s="9" t="inlineStr">
        <x:is>
          <x:t xml:space="preserve">Possible reuse, material recovery and yields remain open. Former specialized container proposal withdrawn.</x:t>
        </x:is>
      </x:c>
      <x:c r="V106" s="11"/>
      <x:c r="W106" s="9" t="str">
        <x:v>New game proposal, October 14, 2026. New protective box proposal; not automatic liquid containment.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6" s="4" t="inlineStr">
        <x:is>
          <x:t xml:space="preserve">Salvage</x:t>
        </x:is>
      </x:c>
      <x:c r="Y106" s="4" t="str">
        <x:v>Finished item</x:v>
      </x:c>
      <x:c r="Z106" s="4" t="inlineStr">
        <x:is>
          <x:t xml:space="preserve">Recovered / found</x:t>
        </x:is>
      </x:c>
      <x:c r="AA106" s="4" t="inlineStr">
        <x:is>
          <x:t xml:space="preserve">Salvage reuse</x:t>
        </x:is>
      </x:c>
      <x:c r="AB106" s="4" t="str">
        <x:v>Mixed / unresolved</x:v>
      </x:c>
      <x:c r="AC106" s="4" t="str">
        <x:v>Assembly</x:v>
      </x:c>
      <x:c r="AD106" s="4" t="str">
        <x:v>Proposal</x:v>
      </x:c>
      <x:c r="AE106" s="4" t="str">
        <x:f>LOWER(A106&amp;"; "&amp;B106&amp;"; "&amp;D106&amp;"; "&amp;E106&amp;"; "&amp;X106&amp;"; "&amp;Y106&amp;"; "&amp;Z106&amp;"; "&amp;AA106&amp;"; "&amp;AB106&amp;"; "&amp;AC106&amp;"; "&amp;AD106&amp;"; "&amp;V106&amp;"; "&amp;C106&amp;"; "&amp;AH106&amp;"; "&amp;AI106)</x:f>
        <x:v>proposal.container.sealed_box; sealed cargo box; salvage; reusable salvage; salvage; finished item; recovered / found; salvage reuse; mixed / unresolved; assembly; proposal; ; not applicable; t4; salvage / possible reuse</x:v>
      </x:c>
      <x:c r="AF106"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6" s="4" t="str">
        <x:v>Finished endpoint; material tier is not applicable. Input tiers belong to the chosen recipe.</x:v>
      </x:c>
      <x:c r="AH106" s="4" t="str">
        <x:v>T4</x:v>
      </x:c>
      <x:c r="AI106" s="4" t="inlineStr">
        <x:is>
          <x:t xml:space="preserve">Salvage / possible reuse</x:t>
        </x:is>
      </x:c>
      <x:c r="AJ106" s="4" t="n">
        <x:f>COUNTIFS('Material routes'!$D$6:$D$2205,A106,'Material routes'!$C$6:$C$2205,"Output")</x:f>
        <x:v>1</x:v>
      </x:c>
      <x:c r="AK106" s="4" t="n">
        <x:f>SUM(COUNTIFS('Material routes'!$D$6:$D$2205,A106,'Material routes'!$C$6:$C$2205,"Ingredient candidate"),COUNTIFS('Material routes'!$D$6:$D$2205,A106,'Material routes'!$C$6:$C$2205,"Consumed input"),COUNTIFS('Material routes'!$D$6:$D$2205,A106,'Material routes'!$C$6:$C$2205,"Contained input"),COUNTIFS('Material routes'!$D$6:$D$2205,A106,'Material routes'!$C$6:$C$2205,"Transform input"))</x:f>
        <x:v>0</x:v>
      </x:c>
      <x:c r="AL106" s="4" t="n">
        <x:f>COUNTIFS('Material routes'!$D$6:$D$2205,A106,'Material routes'!$C$6:$C$2205,"Tool candidate")</x:f>
        <x:v>0</x:v>
      </x:c>
      <x:c r="AM106" s="4" t="inlineStr">
        <x:is>
          <x:t xml:space="preserve">Found salvage; former container production proposal retired</x:t>
        </x:is>
      </x:c>
      <x:c r="AN106" s="14" t="n">
        <x:f>IF(C106="T0",0,IF(C106="T1",1,IF(C106="T2",2,IF(C106="T3",3,IF(C106="T4",4,IF(C106="Unassigned",98,99))))))</x:f>
        <x:v>99</x:v>
      </x:c>
      <x:c r="AZ106"/>
      <x:c r="BA106"/>
      <x:c r="BB106"/>
      <x:c r="BC106"/>
      <x:c r="BD106"/>
      <x:c r="BE106"/>
      <x:c r="BF106"/>
      <x:c r="BG106"/>
      <x:c r="BH106"/>
      <x:c r="BI106"/>
      <x:c r="BJ106"/>
      <x:c r="BK106"/>
      <x:c r="BL106"/>
      <x:c r="BM106"/>
      <x:c r="BN106"/>
      <x:c r="BO106"/>
      <x:c r="BP106"/>
      <x:c r="BQ106"/>
      <x:c r="BR106"/>
      <x:c r="BS106"/>
      <x:c r="BT106"/>
      <x:c r="BU106"/>
      <x:c r="BV106"/>
      <x:c r="BW106"/>
      <x:c r="BX106"/>
      <x:c r="BY106"/>
      <x:c r="BZ106"/>
      <x:c r="CA106"/>
      <x:c r="CB106"/>
      <x:c r="CC106"/>
    </x:row>
    <x:row r="107" ht="100" customHeight="1">
      <x:c r="A107" s="9" t="str">
        <x:v>proposal.container.field_chest</x:v>
      </x:c>
      <x:c r="B107" s="9" t="str">
        <x:v>Locking field chest</x:v>
      </x:c>
      <x:c r="C107" s="4" t="str">
        <x:v>Not applicable</x:v>
      </x:c>
      <x:c r="D107" s="9" t="inlineStr">
        <x:is>
          <x:t xml:space="preserve">Salvage</x:t>
        </x:is>
      </x:c>
      <x:c r="E107" s="9" t="inlineStr">
        <x:is>
          <x:t xml:space="preserve">Food service &amp; storage</x:t>
        </x:is>
      </x:c>
      <x:c r="F107" s="9" t="str">
        <x:v>New proposal</x:v>
      </x:c>
      <x:c r="G107" s="9" t="inlineStr">
        <x:is>
          <x:t xml:space="preserve">Secure expedition samples at a physical camp/worksite. It is intended to retain or separate physical cargo at its actual location; it does not create remote storage or extra carrying capacity.</x:t>
        </x:is>
      </x:c>
      <x:c r="H107" s="9" t="str">
        <x:v>None</x:v>
      </x:c>
      <x:c r="I107" s="9" t="str">
        <x:v>Filled raw-resource vessel: Legger/local owner; other carrier eligibility TBD</x:v>
      </x:c>
      <x:c r="J107" s="13"/>
      <x:c r="K107" s="15"/>
      <x:c r="L107" s="9" t="str">
        <x:v>Glassworker/fabricator or salvage candidate; no recipe authored</x:v>
      </x:c>
      <x:c r="M107" s="9" t="str">
        <x:v>Materials: Metal/shell chest; rigid compartment tray</x:v>
      </x:c>
      <x:c r="N107" s="9" t="str">
        <x:v>Not implemented</x:v>
      </x:c>
      <x:c r="O107" s="9" t="str">
        <x:v>Physical local owner; no global stockpile. Portable versus fixed identity undecided</x:v>
      </x:c>
      <x:c r="P107" s="17"/>
      <x:c r="Q107" s="17"/>
      <x:c r="R107" s="17"/>
      <x:c r="S107" s="17"/>
      <x:c r="T107" s="17"/>
      <x:c r="U107" s="9" t="str">
        <x:v>Qualitative size: Local storage. Closure: Mechanical lock and rigid lid proposed. Contents: Sealed vessels and dry material</x:v>
      </x:c>
      <x:c r="V107" s="11" t="inlineStr">
        <x:is>
          <x:t xml:space="preserve">Storage object candidate; camp goods; Food service &amp; storage</x:t>
        </x:is>
      </x:c>
      <x:c r="W107" s="9" t="str">
        <x:v>New game proposal, October 14, 2026. New storage-object candidate; not another implemented camp chest.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7" s="4" t="str">
        <x:v>Container</x:v>
      </x:c>
      <x:c r="Y107" s="4" t="str">
        <x:v>Finished item</x:v>
      </x:c>
      <x:c r="Z107" s="4" t="str">
        <x:v>Manufactured / unresolved</x:v>
      </x:c>
      <x:c r="AA107" s="4" t="str">
        <x:v>Cargo organization</x:v>
      </x:c>
      <x:c r="AB107" s="4" t="str">
        <x:v>Mixed / unresolved</x:v>
      </x:c>
      <x:c r="AC107" s="4" t="str">
        <x:v>Assembly</x:v>
      </x:c>
      <x:c r="AD107" s="4" t="str">
        <x:v>Proposal</x:v>
      </x:c>
      <x:c r="AE107" s="4" t="str">
        <x:f>LOWER(A107&amp;"; "&amp;B107&amp;"; "&amp;D107&amp;"; "&amp;E107&amp;"; "&amp;X107&amp;"; "&amp;Y107&amp;"; "&amp;Z107&amp;"; "&amp;AA107&amp;"; "&amp;AB107&amp;"; "&amp;AC107&amp;"; "&amp;AD107&amp;"; "&amp;V107&amp;"; "&amp;C107&amp;"; "&amp;AH107&amp;"; "&amp;AI107)</x:f>
        <x:v>proposal.container.field_chest; locking field chest; salvage; food service &amp; storage; container; finished item; manufactured / unresolved; cargo organization; mixed / unresolved; assembly; proposal; storage object candidate; camp goods; food service &amp; storage; not applicable; t4; finished item</x:v>
      </x:c>
      <x:c r="AF107" s="4" t="inlineStr">
        <x:is>
          <x:t xml:space="preserve">From current item description. Proposed uses retain their existing approval status. Author camp organization: Camp items / Food service &amp; storage; previous category/subtype: Containers / Storage object candidate. Author direction October 16: all Camp items are Salvage; retire the Camp items section. Item identity, condition, tiers, purposes and recipe semantics remain unchanged.</x:t>
        </x:is>
      </x:c>
      <x:c r="AG107" s="4" t="str">
        <x:v>Finished endpoint; material tier is not applicable. Input tiers belong to the chosen recipe.</x:v>
      </x:c>
      <x:c r="AH107" s="4" t="str">
        <x:v>T4</x:v>
      </x:c>
      <x:c r="AI107" s="4" t="str">
        <x:v>Finished item</x:v>
      </x:c>
      <x:c r="AJ107" s="4" t="n">
        <x:f>COUNTIFS('Material routes'!$D$6:$D$2205,A107,'Material routes'!$C$6:$C$2205,"Output")</x:f>
        <x:v>1</x:v>
      </x:c>
      <x:c r="AK107" s="4" t="n">
        <x:f>SUM(COUNTIFS('Material routes'!$D$6:$D$2205,A107,'Material routes'!$C$6:$C$2205,"Ingredient candidate"),COUNTIFS('Material routes'!$D$6:$D$2205,A107,'Material routes'!$C$6:$C$2205,"Consumed input"),COUNTIFS('Material routes'!$D$6:$D$2205,A107,'Material routes'!$C$6:$C$2205,"Contained input"),COUNTIFS('Material routes'!$D$6:$D$2205,A107,'Material routes'!$C$6:$C$2205,"Transform input"))</x:f>
        <x:v>0</x:v>
      </x:c>
      <x:c r="AL107" s="4" t="n">
        <x:f>COUNTIFS('Material routes'!$D$6:$D$2205,A107,'Material routes'!$C$6:$C$2205,"Tool candidate")</x:f>
        <x:v>0</x:v>
      </x:c>
      <x:c r="AM107" s="4" t="str">
        <x:f>IF(AJ107&gt;0,"Route listed; review status/completeness",IF(C107="T0","Raw entry feed; no production route","No production route listed"))</x:f>
        <x:v>Route listed; review status/completeness</x:v>
      </x:c>
      <x:c r="AN107" s="14" t="n">
        <x:f>IF(C107="T0",0,IF(C107="T1",1,IF(C107="T2",2,IF(C107="T3",3,IF(C107="T4",4,IF(C107="Unassigned",98,99))))))</x:f>
        <x:v>99</x:v>
      </x:c>
      <x:c r="AZ107"/>
      <x:c r="BA107"/>
      <x:c r="BB107"/>
      <x:c r="BC107"/>
      <x:c r="BD107"/>
      <x:c r="BE107"/>
      <x:c r="BF107"/>
      <x:c r="BG107"/>
      <x:c r="BH107"/>
      <x:c r="BI107"/>
      <x:c r="BJ107"/>
      <x:c r="BK107"/>
      <x:c r="BL107"/>
      <x:c r="BM107"/>
      <x:c r="BN107"/>
      <x:c r="BO107"/>
      <x:c r="BP107"/>
      <x:c r="BQ107"/>
      <x:c r="BR107"/>
      <x:c r="BS107"/>
      <x:c r="BT107"/>
      <x:c r="BU107"/>
      <x:c r="BV107"/>
      <x:c r="BW107"/>
      <x:c r="BX107"/>
      <x:c r="BY107"/>
      <x:c r="BZ107"/>
      <x:c r="CA107"/>
      <x:c r="CB107"/>
      <x:c r="CC107"/>
    </x:row>
    <x:row r="108" ht="100" customHeight="1">
      <x:c r="A108" s="9"/>
      <x:c r="B108" s="9"/>
      <x:c r="C108" s="4"/>
      <x:c r="D108" s="9"/>
      <x:c r="E108" s="9"/>
      <x:c r="F108" s="9"/>
      <x:c r="G108" s="9"/>
      <x:c r="H108" s="9"/>
      <x:c r="I108" s="9"/>
      <x:c r="J108" s="13"/>
      <x:c r="M108" s="9"/>
      <x:c r="N108" s="9"/>
      <x:c r="O108" s="9"/>
      <x:c r="P108" s="17"/>
      <x:c r="V108" s="11"/>
      <x:c r="X108" s="4"/>
      <x:c r="Y108" s="4"/>
      <x:c r="Z108" s="4"/>
      <x:c r="AA108" s="4"/>
      <x:c r="AB108" s="4"/>
      <x:c r="AC108" s="4"/>
      <x:c r="AD108" s="4"/>
      <x:c r="AE108" s="4"/>
      <x:c r="AF108" s="4"/>
      <x:c r="AG108" s="4"/>
      <x:c r="AH108" s="4"/>
      <x:c r="AI108" s="4"/>
      <x:c r="AJ108" s="4"/>
      <x:c r="AK108" s="4"/>
      <x:c r="AL108" s="4"/>
      <x:c r="AM108" s="4"/>
      <x:c r="AN108" s="14"/>
      <x:c r="AZ108"/>
      <x:c r="BA108"/>
      <x:c r="BB108"/>
      <x:c r="BC108"/>
      <x:c r="BD108"/>
      <x:c r="BE108"/>
      <x:c r="BF108"/>
      <x:c r="BG108"/>
      <x:c r="BH108"/>
      <x:c r="BI108"/>
      <x:c r="BJ108"/>
      <x:c r="BK108"/>
      <x:c r="BL108"/>
      <x:c r="BM108"/>
      <x:c r="BN108"/>
      <x:c r="BO108"/>
      <x:c r="BP108"/>
      <x:c r="BQ108"/>
      <x:c r="BR108"/>
      <x:c r="BS108"/>
      <x:c r="BT108"/>
      <x:c r="BU108"/>
      <x:c r="BV108"/>
      <x:c r="BW108"/>
      <x:c r="BX108"/>
      <x:c r="BY108"/>
      <x:c r="BZ108"/>
      <x:c r="CA108"/>
      <x:c r="CB108"/>
      <x:c r="CC108"/>
    </x:row>
    <x:row r="109" ht="100" customHeight="1">
      <x:c r="A109" s="9" t="str">
        <x:v>proposal.container.draw_tube</x:v>
      </x:c>
      <x:c r="B109" s="9" t="str">
        <x:v>Glass draw tube</x:v>
      </x:c>
      <x:c r="C109" s="4" t="str">
        <x:v>Not applicable</x:v>
      </x:c>
      <x:c r="D109" s="9" t="inlineStr">
        <x:is>
          <x:t xml:space="preserve">Salvage</x:t>
        </x:is>
      </x:c>
      <x:c r="E109" s="9" t="inlineStr">
        <x:is>
          <x:t xml:space="preserve">Reusable salvage</x:t>
        </x:is>
      </x:c>
      <x:c r="F109" s="9" t="str">
        <x:v>New proposal</x:v>
      </x:c>
      <x:c r="G109" s="9" t="inlineStr">
        <x:is>
          <x:t xml:space="preserve">A narrow glass tube retained as ordinary salvage from a former material-transfer arrangement. Its hollow shape may offer a reusable small part or recoverable glass after inspection. No pumping, safe sampling or liquid-transfer behavior is assigned.</x:t>
        </x:is>
      </x:c>
      <x:c r="H109" s="9" t="str">
        <x:v>None</x:v>
      </x:c>
      <x:c r="I109" s="9" t="inlineStr">
        <x:is>
          <x:t xml:space="preserve">Ordinary salvage inventory / cargo; no special carrier rules</x:t>
        </x:is>
      </x:c>
      <x:c r="J109" s="13"/>
      <x:c r="K109" s="15"/>
      <x:c r="L109" s="9" t="inlineStr">
        <x:is>
          <x:t xml:space="preserve">Found salvage; location and availability unresolved</x:t>
        </x:is>
      </x:c>
      <x:c r="M109" s="9" t="inlineStr">
        <x:is>
          <x:t xml:space="preserve">No dedicated container production route; possible salvage reuse remains undecided.</x:t>
        </x:is>
      </x:c>
      <x:c r="N109" s="9" t="inlineStr">
        <x:is>
          <x:t xml:space="preserve">No special container behavior</x:t>
        </x:is>
      </x:c>
      <x:c r="O109" s="9" t="inlineStr">
        <x:is>
          <x:t xml:space="preserve">No special container behavior, capacity, payload, sealing, sample handling or carrier eligibility. Specific reuse and recovery yields remain undecided.</x:t>
        </x:is>
      </x:c>
      <x:c r="P109" s="17"/>
      <x:c r="Q109" s="17"/>
      <x:c r="R109" s="17"/>
      <x:c r="S109" s="17"/>
      <x:c r="T109" s="17"/>
      <x:c r="U109" s="9" t="inlineStr">
        <x:is>
          <x:t xml:space="preserve">Possible reuse, material recovery and yields remain open. Former specialized container proposal withdrawn.</x:t>
        </x:is>
      </x:c>
      <x:c r="V109" s="11"/>
      <x:c r="W109" s="9" t="str">
        <x:v>New game proposal, October 14, 2026. New mechanical sample-transfer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9" s="4" t="inlineStr">
        <x:is>
          <x:t xml:space="preserve">Salvage</x:t>
        </x:is>
      </x:c>
      <x:c r="Y109" s="4" t="str">
        <x:v>Finished item</x:v>
      </x:c>
      <x:c r="Z109" s="4" t="inlineStr">
        <x:is>
          <x:t xml:space="preserve">Recovered / found</x:t>
        </x:is>
      </x:c>
      <x:c r="AA109" s="4" t="inlineStr">
        <x:is>
          <x:t xml:space="preserve">Salvage reuse</x:t>
        </x:is>
      </x:c>
      <x:c r="AB109" s="4" t="str">
        <x:v>Glass</x:v>
      </x:c>
      <x:c r="AC109" s="4" t="str">
        <x:v>Solid part</x:v>
      </x:c>
      <x:c r="AD109" s="4" t="str">
        <x:v>Proposal</x:v>
      </x:c>
      <x:c r="AE109" s="4" t="str">
        <x:f>LOWER(A109&amp;"; "&amp;B109&amp;"; "&amp;D109&amp;"; "&amp;E109&amp;"; "&amp;X109&amp;"; "&amp;Y109&amp;"; "&amp;Z109&amp;"; "&amp;AA109&amp;"; "&amp;AB109&amp;"; "&amp;AC109&amp;"; "&amp;AD109&amp;"; "&amp;V109&amp;"; "&amp;C109&amp;"; "&amp;AH109&amp;"; "&amp;AI109)</x:f>
        <x:v>proposal.container.draw_tube; glass draw tube; salvage; reusable salvage; salvage; finished item; recovered / found; salvage reuse; glass; solid part; proposal; ; not applicable; t1; salvage / possible reuse</x:v>
      </x:c>
      <x:c r="AF109"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9" s="4" t="str">
        <x:v>Finished endpoint; material tier is not applicable. Input tiers belong to the chosen recipe.</x:v>
      </x:c>
      <x:c r="AH109" s="4" t="str">
        <x:v>T1</x:v>
      </x:c>
      <x:c r="AI109" s="4" t="inlineStr">
        <x:is>
          <x:t xml:space="preserve">Salvage / possible reuse</x:t>
        </x:is>
      </x:c>
      <x:c r="AJ109" s="4" t="n">
        <x:f>COUNTIFS('Material routes'!$D$6:$D$2205,A109,'Material routes'!$C$6:$C$2205,"Output")</x:f>
        <x:v>1</x:v>
      </x:c>
      <x:c r="AK109" s="4" t="n">
        <x:f>SUM(COUNTIFS('Material routes'!$D$6:$D$2205,A109,'Material routes'!$C$6:$C$2205,"Ingredient candidate"),COUNTIFS('Material routes'!$D$6:$D$2205,A109,'Material routes'!$C$6:$C$2205,"Consumed input"),COUNTIFS('Material routes'!$D$6:$D$2205,A109,'Material routes'!$C$6:$C$2205,"Contained input"),COUNTIFS('Material routes'!$D$6:$D$2205,A109,'Material routes'!$C$6:$C$2205,"Transform input"))</x:f>
        <x:v>0</x:v>
      </x:c>
      <x:c r="AL109" s="4" t="n">
        <x:f>COUNTIFS('Material routes'!$D$6:$D$2205,A109,'Material routes'!$C$6:$C$2205,"Tool candidate")</x:f>
        <x:v>0</x:v>
      </x:c>
      <x:c r="AM109" s="4" t="inlineStr">
        <x:is>
          <x:t xml:space="preserve">Found salvage; former container production proposal retired</x:t>
        </x:is>
      </x:c>
      <x:c r="AN109" s="14" t="n">
        <x:f>IF(C109="T0",0,IF(C109="T1",1,IF(C109="T2",2,IF(C109="T3",3,IF(C109="T4",4,IF(C109="Unassigned",98,99))))))</x:f>
        <x:v>99</x:v>
      </x:c>
      <x:c r="AZ109"/>
      <x:c r="BA109"/>
      <x:c r="BB109"/>
      <x:c r="BC109"/>
      <x:c r="BD109"/>
      <x:c r="BE109"/>
      <x:c r="BF109"/>
      <x:c r="BG109"/>
      <x:c r="BH109"/>
      <x:c r="BI109"/>
      <x:c r="BJ109"/>
      <x:c r="BK109"/>
      <x:c r="BL109"/>
      <x:c r="BM109"/>
      <x:c r="BN109"/>
      <x:c r="BO109"/>
      <x:c r="BP109"/>
      <x:c r="BQ109"/>
      <x:c r="BR109"/>
      <x:c r="BS109"/>
      <x:c r="BT109"/>
      <x:c r="BU109"/>
      <x:c r="BV109"/>
      <x:c r="BW109"/>
      <x:c r="BX109"/>
      <x:c r="BY109"/>
      <x:c r="BZ109"/>
      <x:c r="CA109"/>
      <x:c r="CB109"/>
      <x:c r="CC109"/>
    </x:row>
    <x:row r="110" ht="170" customHeight="1">
      <x:c r="A110" s="9" t="str">
        <x:v>proposal.container.glass_stopper</x:v>
      </x:c>
      <x:c r="B110" s="9" t="str">
        <x:v>Matched glass stopper</x:v>
      </x:c>
      <x:c r="C110" s="4" t="str">
        <x:v>T2</x:v>
      </x:c>
      <x:c r="D110" s="9" t="inlineStr">
        <x:is>
          <x:t xml:space="preserve">Salvage</x:t>
        </x:is>
      </x:c>
      <x:c r="E110" s="9" t="inlineStr">
        <x:is>
          <x:t xml:space="preserve">Reusable salvage</x:t>
        </x:is>
      </x:c>
      <x:c r="F110" s="9" t="str">
        <x:v>New proposal</x:v>
      </x:c>
      <x:c r="G110" s="9" t="inlineStr">
        <x:is>
          <x:t xml:space="preserve">A shaped glass stopper retained as ordinary salvage. Its ground or formed surface was intended to meet a matching vessel opening. A loose recovered stopper has no guaranteed mate or seal; fit and condition must be checked before reuse.</x:t>
        </x:is>
      </x:c>
      <x:c r="H110" s="9" t="str">
        <x:v>None</x:v>
      </x:c>
      <x:c r="I110" s="9" t="inlineStr">
        <x:is>
          <x:t xml:space="preserve">Ordinary salvage inventory / cargo; no special carrier rules</x:t>
        </x:is>
      </x:c>
      <x:c r="J110" s="13"/>
      <x:c r="K110" s="15"/>
      <x:c r="L110" s="9" t="inlineStr">
        <x:is>
          <x:t xml:space="preserve">Found salvage; location and availability unresolved</x:t>
        </x:is>
      </x:c>
      <x:c r="M110" s="9" t="inlineStr">
        <x:is>
          <x:t xml:space="preserve">No dedicated container production route; possible salvage reuse remains undecided.</x:t>
        </x:is>
      </x:c>
      <x:c r="N110" s="9" t="inlineStr">
        <x:is>
          <x:t xml:space="preserve">No special container behavior</x:t>
        </x:is>
      </x:c>
      <x:c r="O110" s="9" t="inlineStr">
        <x:is>
          <x:t xml:space="preserve">No special container behavior, capacity, payload, sealing, sample handling or carrier eligibility. Specific reuse and recovery yields remain undecided.</x:t>
        </x:is>
      </x:c>
      <x:c r="P110" s="17"/>
      <x:c r="Q110" s="17"/>
      <x:c r="R110" s="17"/>
      <x:c r="S110" s="17"/>
      <x:c r="T110" s="17"/>
      <x:c r="U110" s="9" t="inlineStr">
        <x:is>
          <x:t xml:space="preserve">Possible reuse, material recovery and yields remain open. Former specialized container proposal withdrawn.</x:t>
        </x:is>
      </x:c>
      <x:c r="V110" s="11"/>
      <x:c r="W110" s="9" t="str">
        <x:v>New game proposal, October 14, 2026. New glass closure component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10" s="4" t="inlineStr">
        <x:is>
          <x:t xml:space="preserve">Salvage</x:t>
        </x:is>
      </x:c>
      <x:c r="Y110" s="4" t="str">
        <x:v>Processed intermediate</x:v>
      </x:c>
      <x:c r="Z110" s="4" t="inlineStr">
        <x:is>
          <x:t xml:space="preserve">Recovered / found</x:t>
        </x:is>
      </x:c>
      <x:c r="AA110" s="4" t="inlineStr">
        <x:is>
          <x:t xml:space="preserve">Salvage reuse</x:t>
        </x:is>
      </x:c>
      <x:c r="AB110" s="4" t="str">
        <x:v>Glass</x:v>
      </x:c>
      <x:c r="AC110" s="4" t="str">
        <x:v>Solid part</x:v>
      </x:c>
      <x:c r="AD110" s="4" t="str">
        <x:v>Proposal</x:v>
      </x:c>
      <x:c r="AE110" s="4" t="str">
        <x:f>LOWER(A110&amp;"; "&amp;B110&amp;"; "&amp;D110&amp;"; "&amp;E110&amp;"; "&amp;X110&amp;"; "&amp;Y110&amp;"; "&amp;Z110&amp;"; "&amp;AA110&amp;"; "&amp;AB110&amp;"; "&amp;AC110&amp;"; "&amp;AD110&amp;"; "&amp;V110&amp;"; "&amp;C110&amp;"; "&amp;AH110&amp;"; "&amp;AI110)</x:f>
        <x:v>proposal.container.glass_stopper; matched glass stopper; salvage; reusable salvage; salvage; processed intermediate; recovered / found; salvage reuse; glass; solid part; proposal; ; t2; not applicable; salvage / possible reuse</x:v>
      </x:c>
      <x:c r="AF110"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10" s="4" t="str">
        <x:v>October 15 proposed tier review: Shape and match a stopper directly from first glass stock. Candidate route only: quantities, yield, tools, fit, process conditions and service compatibility remain open. Fit to a selected vessel; no universal liquid compatibility.</x:v>
      </x:c>
      <x:c r="AH110" s="4" t="str">
        <x:v>Not applicable</x:v>
      </x:c>
      <x:c r="AI110" s="4" t="inlineStr">
        <x:is>
          <x:t xml:space="preserve">Salvage / possible reuse</x:t>
        </x:is>
      </x:c>
      <x:c r="AJ110" s="4" t="n">
        <x:f>COUNTIFS('Material routes'!$D$6:$D$2205,A110,'Material routes'!$C$6:$C$2205,"Output")</x:f>
        <x:v>1</x:v>
      </x:c>
      <x:c r="AK110" s="4" t="n">
        <x:f>SUM(COUNTIFS('Material routes'!$D$6:$D$2205,A110,'Material routes'!$C$6:$C$2205,"Ingredient candidate"),COUNTIFS('Material routes'!$D$6:$D$2205,A110,'Material routes'!$C$6:$C$2205,"Consumed input"),COUNTIFS('Material routes'!$D$6:$D$2205,A110,'Material routes'!$C$6:$C$2205,"Contained input"),COUNTIFS('Material routes'!$D$6:$D$2205,A110,'Material routes'!$C$6:$C$2205,"Transform input"))</x:f>
        <x:v>5</x:v>
      </x:c>
      <x:c r="AL110" s="4" t="n">
        <x:f>COUNTIFS('Material routes'!$D$6:$D$2205,A110,'Material routes'!$C$6:$C$2205,"Tool candidate")</x:f>
        <x:v>0</x:v>
      </x:c>
      <x:c r="AM110" s="4" t="inlineStr">
        <x:is>
          <x:t xml:space="preserve">Found salvage; former container production proposal retired</x:t>
        </x:is>
      </x:c>
      <x:c r="AN110" s="14" t="n">
        <x:f>IF(C110="T0",0,IF(C110="T1",1,IF(C110="T2",2,IF(C110="T3",3,IF(C110="T4",4,IF(C110="Unassigned",98,99))))))</x:f>
        <x:v>2</x:v>
      </x:c>
      <x:c r="AZ110"/>
      <x:c r="BA110"/>
      <x:c r="BB110"/>
      <x:c r="BC110"/>
      <x:c r="BD110"/>
      <x:c r="BE110"/>
      <x:c r="BF110"/>
      <x:c r="BG110"/>
      <x:c r="BH110"/>
      <x:c r="BI110"/>
      <x:c r="BJ110"/>
      <x:c r="BK110"/>
      <x:c r="BL110"/>
      <x:c r="BM110"/>
      <x:c r="BN110"/>
      <x:c r="BO110"/>
      <x:c r="BP110"/>
      <x:c r="BQ110"/>
      <x:c r="BR110"/>
      <x:c r="BS110"/>
      <x:c r="BT110"/>
      <x:c r="BU110"/>
      <x:c r="BV110"/>
      <x:c r="BW110"/>
      <x:c r="BX110"/>
      <x:c r="BY110"/>
      <x:c r="BZ110"/>
      <x:c r="CA110"/>
      <x:c r="CB110"/>
      <x:c r="CC110"/>
    </x:row>
    <x:row r="111" ht="170" customHeight="1">
      <x:c r="A111" s="9"/>
      <x:c r="B111" s="9"/>
      <x:c r="C111" s="4"/>
      <x:c r="D111" s="9"/>
      <x:c r="E111" s="9"/>
      <x:c r="F111" s="9"/>
      <x:c r="G111" s="9"/>
      <x:c r="H111" s="9"/>
      <x:c r="I111" s="9"/>
      <x:c r="J111" s="13"/>
      <x:c r="M111" s="9"/>
      <x:c r="N111" s="9"/>
      <x:c r="O111" s="9"/>
      <x:c r="P111" s="17"/>
      <x:c r="V111" s="11"/>
      <x:c r="X111" s="4"/>
      <x:c r="Y111" s="4"/>
      <x:c r="Z111" s="4"/>
      <x:c r="AA111" s="4"/>
      <x:c r="AB111" s="4"/>
      <x:c r="AC111" s="4"/>
      <x:c r="AD111" s="4"/>
      <x:c r="AE111" s="4"/>
      <x:c r="AF111" s="4"/>
      <x:c r="AG111" s="4"/>
      <x:c r="AH111" s="4"/>
      <x:c r="AI111" s="4"/>
      <x:c r="AJ111" s="4"/>
      <x:c r="AK111" s="4"/>
      <x:c r="AL111" s="4"/>
      <x:c r="AM111" s="4"/>
      <x:c r="AN111" s="14"/>
      <x:c r="AZ111"/>
      <x:c r="BA111"/>
      <x:c r="BB111"/>
      <x:c r="BC111"/>
      <x:c r="BD111"/>
      <x:c r="BE111"/>
      <x:c r="BF111"/>
      <x:c r="BG111"/>
      <x:c r="BH111"/>
      <x:c r="BI111"/>
      <x:c r="BJ111"/>
      <x:c r="BK111"/>
      <x:c r="BL111"/>
      <x:c r="BM111"/>
      <x:c r="BN111"/>
      <x:c r="BO111"/>
      <x:c r="BP111"/>
      <x:c r="BQ111"/>
      <x:c r="BR111"/>
      <x:c r="BS111"/>
      <x:c r="BT111"/>
      <x:c r="BU111"/>
      <x:c r="BV111"/>
      <x:c r="BW111"/>
      <x:c r="BX111"/>
      <x:c r="BY111"/>
      <x:c r="BZ111"/>
      <x:c r="CA111"/>
      <x:c r="CB111"/>
      <x:c r="CC111"/>
    </x:row>
    <x:row r="112" ht="105" customHeight="1">
      <x:c r="A112" s="9"/>
      <x:c r="B112" s="9"/>
      <x:c r="C112" s="4"/>
      <x:c r="D112" s="9"/>
      <x:c r="E112" s="9"/>
      <x:c r="F112" s="9"/>
      <x:c r="G112" s="9"/>
      <x:c r="H112" s="9"/>
      <x:c r="I112" s="9"/>
      <x:c r="J112" s="13"/>
      <x:c r="M112" s="9"/>
      <x:c r="N112" s="9"/>
      <x:c r="O112" s="9"/>
      <x:c r="P112" s="17"/>
      <x:c r="V112" s="11"/>
      <x:c r="W112" s="9"/>
      <x:c r="X112" s="4"/>
      <x:c r="Y112" s="4"/>
      <x:c r="Z112" s="4"/>
      <x:c r="AA112" s="4"/>
      <x:c r="AB112" s="4"/>
      <x:c r="AC112" s="4"/>
      <x:c r="AD112" s="4"/>
      <x:c r="AE112" s="4"/>
      <x:c r="AF112" s="4"/>
      <x:c r="AG112" s="4"/>
      <x:c r="AH112" s="4"/>
      <x:c r="AI112" s="4"/>
      <x:c r="AJ112" s="4"/>
      <x:c r="AK112" s="4"/>
      <x:c r="AL112" s="4"/>
      <x:c r="AM112" s="4"/>
      <x:c r="AN112" s="14"/>
      <x:c r="AZ112"/>
      <x:c r="BA112"/>
      <x:c r="BB112"/>
      <x:c r="BC112"/>
      <x:c r="BD112"/>
      <x:c r="BE112"/>
      <x:c r="BF112"/>
      <x:c r="BG112"/>
      <x:c r="BH112"/>
      <x:c r="BI112"/>
      <x:c r="BJ112"/>
      <x:c r="BK112"/>
      <x:c r="BL112"/>
      <x:c r="BM112"/>
      <x:c r="BN112"/>
      <x:c r="BO112"/>
      <x:c r="BP112"/>
      <x:c r="BQ112"/>
      <x:c r="BR112"/>
      <x:c r="BS112"/>
      <x:c r="BT112"/>
      <x:c r="BU112"/>
      <x:c r="BV112"/>
      <x:c r="BW112"/>
      <x:c r="BX112"/>
      <x:c r="BY112"/>
      <x:c r="BZ112"/>
      <x:c r="CA112"/>
      <x:c r="CB112"/>
      <x:c r="CC112"/>
    </x:row>
    <x:row r="113" ht="105" customHeight="1">
      <x:c r="A113" s="9"/>
      <x:c r="B113" s="9"/>
      <x:c r="C113" s="4"/>
      <x:c r="D113" s="9"/>
      <x:c r="E113" s="9"/>
      <x:c r="F113" s="9"/>
      <x:c r="G113" s="9"/>
      <x:c r="H113" s="9"/>
      <x:c r="I113" s="9"/>
      <x:c r="J113" s="13"/>
      <x:c r="K113" s="15"/>
      <x:c r="L113" s="9"/>
      <x:c r="M113" s="9"/>
      <x:c r="N113" s="9"/>
      <x:c r="O113" s="9"/>
      <x:c r="P113" s="17"/>
      <x:c r="Q113" s="17"/>
      <x:c r="R113" s="17"/>
      <x:c r="S113" s="17"/>
      <x:c r="T113" s="17"/>
      <x:c r="U113" s="9"/>
      <x:c r="V113" s="11"/>
      <x:c r="W113" s="9"/>
      <x:c r="X113" s="4"/>
      <x:c r="Y113" s="4"/>
      <x:c r="Z113" s="4"/>
      <x:c r="AA113" s="4"/>
      <x:c r="AB113" s="4"/>
      <x:c r="AC113" s="4"/>
      <x:c r="AD113" s="4"/>
      <x:c r="AE113" s="4"/>
      <x:c r="AF113" s="4"/>
      <x:c r="AG113" s="4"/>
      <x:c r="AH113" s="4"/>
      <x:c r="AI113" s="4"/>
      <x:c r="AJ113" s="4"/>
      <x:c r="AK113" s="4"/>
      <x:c r="AL113" s="4"/>
      <x:c r="AM113" s="4"/>
      <x:c r="AN113" s="14"/>
      <x:c r="AZ113"/>
      <x:c r="BA113"/>
      <x:c r="BB113"/>
      <x:c r="BC113"/>
      <x:c r="BD113"/>
      <x:c r="BE113"/>
      <x:c r="BF113"/>
      <x:c r="BG113"/>
      <x:c r="BH113"/>
      <x:c r="BI113"/>
      <x:c r="BJ113"/>
      <x:c r="BK113"/>
      <x:c r="BL113"/>
      <x:c r="BM113"/>
      <x:c r="BN113"/>
      <x:c r="BO113"/>
      <x:c r="BP113"/>
      <x:c r="BQ113"/>
      <x:c r="BR113"/>
      <x:c r="BS113"/>
      <x:c r="BT113"/>
      <x:c r="BU113"/>
      <x:c r="BV113"/>
      <x:c r="BW113"/>
      <x:c r="BX113"/>
      <x:c r="BY113"/>
      <x:c r="BZ113"/>
      <x:c r="CA113"/>
      <x:c r="CB113"/>
      <x:c r="CC113"/>
    </x:row>
    <x:row r="114" ht="105" customHeight="1">
      <x:c r="A114" s="9" t="inlineStr">
        <x:is>
          <x:t xml:space="preserve">proposal.gear.chest_armor</x:t>
        </x:is>
      </x:c>
      <x:c r="B114" s="9" t="inlineStr">
        <x:is>
          <x:t xml:space="preserve">Iron chestplate</x:t>
        </x:is>
      </x:c>
      <x:c r="C114" s="4" t="inlineStr">
        <x:is>
          <x:t xml:space="preserve">T2</x:t>
        </x:is>
      </x:c>
      <x:c r="D114" s="9" t="inlineStr">
        <x:is>
          <x:t xml:space="preserve">Armor</x:t>
        </x:is>
      </x:c>
      <x:c r="E114" s="9" t="inlineStr">
        <x:is>
          <x:t xml:space="preserve">Iron armor / chest</x:t>
        </x:is>
      </x:c>
      <x:c r="F114" s="9" t="inlineStr">
        <x:is>
          <x:t xml:space="preserve">New proposal</x:t>
        </x:is>
      </x:c>
      <x:c r="G114" s="9" t="inlineStr">
        <x:is>
          <x:t xml:space="preserve">Iron armor family: individually listed chestplate. Torso and upper back; a chest piece does not include arm or leg pieces. Broad worked-iron plates with plain rolled edges and exposed metal fasteners. Construction and protection are proposals; the five family pieces remain separate items.</x:t>
        </x:is>
      </x:c>
      <x:c r="H114" s="9" t="inlineStr">
        <x:is>
          <x:t xml:space="preserve">Unassigned; no new slot approved</x:t>
        </x:is>
      </x:c>
      <x:c r="I114" s="9" t="inlineStr">
        <x:is>
          <x:t xml:space="preserve">Booter-worn armor concept; fitting, packing and spare-cargo rules unresolved.</x:t>
        </x:is>
      </x:c>
      <x:c r="J114" s="13" t="inlineStr">
        <x:is>
          <x:t xml:space="preserve"/>
        </x:is>
      </x:c>
      <x:c r="K114" s="15" t="inlineStr">
        <x:is>
          <x:t xml:space="preserve"/>
        </x:is>
      </x:c>
      <x:c r="L114" s="9" t="inlineStr">
        <x:is>
          <x:t xml:space="preserve">Proposed contemporary fabrication or specialist trade; construction recipe unresolved.</x:t>
        </x:is>
      </x:c>
      <x:c r="M114" s="9" t="inlineStr">
        <x:is>
          <x:t xml:space="preserve">Separate fitted piece using selected qualified stock; no whole-set recipe, quantities, yield or production time authored.</x:t>
        </x:is>
      </x:c>
      <x:c r="N114" s="9" t="inlineStr">
        <x:is>
          <x:t xml:space="preserve">Not implemented</x:t>
        </x:is>
      </x:c>
      <x:c r="O114" s="9" t="inlineStr">
        <x:is>
          <x:t xml:space="preserve">Fit, coverage, articulation, mass, durability and protection remain proposals. No wood, ordinary cloth, free-water quenching, set bonuses or new equipment slots.</x:t>
        </x:is>
      </x:c>
      <x:c r="P114" s="17" t="inlineStr">
        <x:is>
          <x:t xml:space="preserve"/>
        </x:is>
      </x:c>
      <x:c r="Q114" s="17"/>
      <x:c r="R114" s="17"/>
      <x:c r="S114" s="17"/>
      <x:c r="T114" s="17"/>
      <x:c r="U114" s="9" t="inlineStr">
        <x:is>
          <x:t xml:space="preserve">Torso and upper back; a chest piece does not include arm or leg pieces. Visual direction: Broad worked-iron plates with plain rolled edges and exposed metal fasteners. Joining, fit, wearability and performance require design.</x:t>
        </x:is>
      </x:c>
      <x:c r="V114" s="11" t="inlineStr">
        <x:is>
          <x:t xml:space="preserve">iron armor set; iron armor family; iron armor; chest; separate armor piece</x:t>
        </x:is>
      </x:c>
      <x:c r="W114"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4" s="4" t="inlineStr">
        <x:is>
          <x:t xml:space="preserve">Armor</x:t>
        </x:is>
      </x:c>
      <x:c r="Y114" s="4" t="inlineStr">
        <x:is>
          <x:t xml:space="preserve">Finished item</x:t>
        </x:is>
      </x:c>
      <x:c r="Z114" s="4" t="inlineStr">
        <x:is>
          <x:t xml:space="preserve">Manufactured / unresolved</x:t>
        </x:is>
      </x:c>
      <x:c r="AA114" s="4" t="inlineStr">
        <x:is>
          <x:t xml:space="preserve">Protection</x:t>
        </x:is>
      </x:c>
      <x:c r="AB114" s="4" t="inlineStr">
        <x:is>
          <x:t xml:space="preserve">Metal</x:t>
        </x:is>
      </x:c>
      <x:c r="AC114" s="4" t="inlineStr">
        <x:is>
          <x:t xml:space="preserve">Assembly</x:t>
        </x:is>
      </x:c>
      <x:c r="AD114" s="4" t="inlineStr">
        <x:is>
          <x:t xml:space="preserve">Proposal</x:t>
        </x:is>
      </x:c>
      <x:c r="AE114" s="4" t="str">
        <x:f>LOWER(A114&amp;"; "&amp;B114&amp;"; "&amp;D114&amp;"; "&amp;E114&amp;"; "&amp;X114&amp;"; "&amp;Y114&amp;"; "&amp;Z114&amp;"; "&amp;AA114&amp;"; "&amp;AB114&amp;"; "&amp;AC114&amp;"; "&amp;AD114&amp;"; "&amp;V114&amp;"; "&amp;C114&amp;"; "&amp;AH114&amp;"; "&amp;AI114)</x:f>
        <x:v>proposal.gear.chest_armor; iron chestplate; armor; iron armor / chest; armor; finished item; manufactured / unresolved; protection; metal; assembly; proposal; iron armor set; iron armor family; iron armor; chest; separate armor piece; t2; t1; finished item</x:v>
      </x:c>
      <x:c r="AF114" s="4" t="inlineStr">
        <x:is>
          <x:t xml:space="preserve">One independently listed armor piece. Family membership is a design grouping, never another inventory item or a set bonus.</x:t>
        </x:is>
      </x:c>
      <x:c r="AG114" s="4" t="inlineStr">
        <x:is>
          <x:t xml:space="preserve">Proposed T2 finished piece using T1 inputs; material grade, fabrication and protection are unresolved.</x:t>
        </x:is>
      </x:c>
      <x:c r="AH114" s="4" t="inlineStr">
        <x:is>
          <x:t xml:space="preserve">T1</x:t>
        </x:is>
      </x:c>
      <x:c r="AI114" s="4" t="inlineStr">
        <x:is>
          <x:t xml:space="preserve">Finished item</x:t>
        </x:is>
      </x:c>
      <x:c r="AJ114" s="4" t="n">
        <x:f>COUNTIFS('Material routes'!$D$6:$D$2205,A114,'Material routes'!$C$6:$C$2205,"Output")</x:f>
        <x:v>1</x:v>
      </x:c>
      <x:c r="AK114" s="4" t="n">
        <x:f>SUM(COUNTIFS('Material routes'!$D$6:$D$2205,A114,'Material routes'!$C$6:$C$2205,"Ingredient candidate"),COUNTIFS('Material routes'!$D$6:$D$2205,A114,'Material routes'!$C$6:$C$2205,"Consumed input"),COUNTIFS('Material routes'!$D$6:$D$2205,A114,'Material routes'!$C$6:$C$2205,"Contained input"),COUNTIFS('Material routes'!$D$6:$D$2205,A114,'Material routes'!$C$6:$C$2205,"Transform input"))</x:f>
        <x:v>1</x:v>
      </x:c>
      <x:c r="AL114" s="4" t="n">
        <x:f>COUNTIFS('Material routes'!$D$6:$D$2205,A114,'Material routes'!$C$6:$C$2205,"Tool candidate")</x:f>
        <x:v>0</x:v>
      </x:c>
      <x:c r="AM114" s="4" t="str">
        <x:f>IF(AJ114&gt;0,"Route listed; review status/completeness",IF(C114="T0","Raw entry feed; no production route","No production route listed"))</x:f>
        <x:v>Route listed; review status/completeness</x:v>
      </x:c>
      <x:c r="AN114" s="14">
        <x:f>IF(C114="T0",0,IF(C114="T1",1,IF(C114="T2",2,IF(C114="T3",3,IF(C114="T4",4,IF(C114="Unassigned",98,99))))))</x:f>
        <x:v>2</x:v>
      </x:c>
      <x:c r="AZ114"/>
      <x:c r="BA114"/>
      <x:c r="BB114"/>
      <x:c r="BC114"/>
      <x:c r="BD114"/>
      <x:c r="BE114"/>
      <x:c r="BF114"/>
      <x:c r="BG114"/>
      <x:c r="BH114"/>
      <x:c r="BI114"/>
      <x:c r="BJ114"/>
      <x:c r="BK114"/>
      <x:c r="BL114"/>
      <x:c r="BM114"/>
      <x:c r="BN114"/>
      <x:c r="BO114"/>
      <x:c r="BP114"/>
      <x:c r="BQ114"/>
      <x:c r="BR114"/>
      <x:c r="BS114"/>
      <x:c r="BT114"/>
      <x:c r="BU114"/>
      <x:c r="BV114"/>
      <x:c r="BW114"/>
      <x:c r="BX114"/>
      <x:c r="BY114"/>
      <x:c r="BZ114"/>
      <x:c r="CA114"/>
      <x:c r="CB114"/>
      <x:c r="CC114"/>
    </x:row>
    <x:row r="115" ht="105" customHeight="1">
      <x:c r="A115" s="9" t="inlineStr">
        <x:is>
          <x:t xml:space="preserve">proposal.gear.helmet</x:t>
        </x:is>
      </x:c>
      <x:c r="B115" s="9" t="inlineStr">
        <x:is>
          <x:t xml:space="preserve">Iron helmet</x:t>
        </x:is>
      </x:c>
      <x:c r="C115" s="4" t="inlineStr">
        <x:is>
          <x:t xml:space="preserve">T2</x:t>
        </x:is>
      </x:c>
      <x:c r="D115" s="9" t="inlineStr">
        <x:is>
          <x:t xml:space="preserve">Armor</x:t>
        </x:is>
      </x:c>
      <x:c r="E115" s="9" t="inlineStr">
        <x:is>
          <x:t xml:space="preserve">Iron armor / helmet</x:t>
        </x:is>
      </x:c>
      <x:c r="F115" s="9" t="inlineStr">
        <x:is>
          <x:t xml:space="preserve">New proposal</x:t>
        </x:is>
      </x:c>
      <x:c r="G115" s="9" t="inlineStr">
        <x:is>
          <x:t xml:space="preserve">Iron armor family: individually listed helmet. Head covering with sight, hearing and canister clearance requiring design. Broad worked-iron plates with plain rolled edges and exposed metal fasteners. Construction and protection are proposals; the five family pieces remain separate items.</x:t>
        </x:is>
      </x:c>
      <x:c r="H115" s="9" t="inlineStr">
        <x:is>
          <x:t xml:space="preserve">Unassigned; no new slot approved</x:t>
        </x:is>
      </x:c>
      <x:c r="I115" s="9" t="inlineStr">
        <x:is>
          <x:t xml:space="preserve">Booter-worn armor concept; fitting, packing and spare-cargo rules unresolved.</x:t>
        </x:is>
      </x:c>
      <x:c r="J115" s="13" t="inlineStr">
        <x:is>
          <x:t xml:space="preserve"/>
        </x:is>
      </x:c>
      <x:c r="K115" s="15" t="inlineStr">
        <x:is>
          <x:t xml:space="preserve"/>
        </x:is>
      </x:c>
      <x:c r="L115" s="9" t="inlineStr">
        <x:is>
          <x:t xml:space="preserve">Proposed contemporary fabrication or specialist trade; construction recipe unresolved.</x:t>
        </x:is>
      </x:c>
      <x:c r="M115" s="9" t="inlineStr">
        <x:is>
          <x:t xml:space="preserve">Separate fitted piece using selected qualified stock; no whole-set recipe, quantities, yield or production time authored.</x:t>
        </x:is>
      </x:c>
      <x:c r="N115" s="9" t="inlineStr">
        <x:is>
          <x:t xml:space="preserve">Not implemented</x:t>
        </x:is>
      </x:c>
      <x:c r="O115" s="9" t="inlineStr">
        <x:is>
          <x:t xml:space="preserve">Fit, coverage, articulation, mass, durability and protection remain proposals. No wood, ordinary cloth, free-water quenching, set bonuses or new equipment slots.</x:t>
        </x:is>
      </x:c>
      <x:c r="P115" s="17" t="inlineStr">
        <x:is>
          <x:t xml:space="preserve"/>
        </x:is>
      </x:c>
      <x:c r="Q115" s="17"/>
      <x:c r="R115" s="17"/>
      <x:c r="S115" s="17"/>
      <x:c r="T115" s="17"/>
      <x:c r="U115" s="9" t="inlineStr">
        <x:is>
          <x:t xml:space="preserve">Head covering with sight, hearing and canister clearance requiring design. Visual direction: Broad worked-iron plates with plain rolled edges and exposed metal fasteners. Joining, fit, wearability and performance require design.</x:t>
        </x:is>
      </x:c>
      <x:c r="V115" s="11" t="inlineStr">
        <x:is>
          <x:t xml:space="preserve">iron armor set; iron armor family; iron armor; helmet; separate armor piece</x:t>
        </x:is>
      </x:c>
      <x:c r="W115"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5" s="4" t="inlineStr">
        <x:is>
          <x:t xml:space="preserve">Armor</x:t>
        </x:is>
      </x:c>
      <x:c r="Y115" s="4" t="inlineStr">
        <x:is>
          <x:t xml:space="preserve">Finished item</x:t>
        </x:is>
      </x:c>
      <x:c r="Z115" s="4" t="inlineStr">
        <x:is>
          <x:t xml:space="preserve">Manufactured / unresolved</x:t>
        </x:is>
      </x:c>
      <x:c r="AA115" s="4" t="inlineStr">
        <x:is>
          <x:t xml:space="preserve">Protection</x:t>
        </x:is>
      </x:c>
      <x:c r="AB115" s="4" t="inlineStr">
        <x:is>
          <x:t xml:space="preserve">Metal</x:t>
        </x:is>
      </x:c>
      <x:c r="AC115" s="4" t="inlineStr">
        <x:is>
          <x:t xml:space="preserve">Assembly</x:t>
        </x:is>
      </x:c>
      <x:c r="AD115" s="4" t="inlineStr">
        <x:is>
          <x:t xml:space="preserve">Proposal</x:t>
        </x:is>
      </x:c>
      <x:c r="AE115" s="4" t="str">
        <x:f>LOWER(A115&amp;"; "&amp;B115&amp;"; "&amp;D115&amp;"; "&amp;E115&amp;"; "&amp;X115&amp;"; "&amp;Y115&amp;"; "&amp;Z115&amp;"; "&amp;AA115&amp;"; "&amp;AB115&amp;"; "&amp;AC115&amp;"; "&amp;AD115&amp;"; "&amp;V115&amp;"; "&amp;C115&amp;"; "&amp;AH115&amp;"; "&amp;AI115)</x:f>
        <x:v>proposal.gear.helmet; iron helmet; armor; iron armor / helmet; armor; finished item; manufactured / unresolved; protection; metal; assembly; proposal; iron armor set; iron armor family; iron armor; helmet; separate armor piece; t2; t1; finished item</x:v>
      </x:c>
      <x:c r="AF115" s="4" t="inlineStr">
        <x:is>
          <x:t xml:space="preserve">One independently listed armor piece. Family membership is a design grouping, never another inventory item or a set bonus.</x:t>
        </x:is>
      </x:c>
      <x:c r="AG115" s="4" t="inlineStr">
        <x:is>
          <x:t xml:space="preserve">Proposed T2 finished piece using T1 inputs; material grade, fabrication and protection are unresolved.</x:t>
        </x:is>
      </x:c>
      <x:c r="AH115" s="4" t="inlineStr">
        <x:is>
          <x:t xml:space="preserve">T1</x:t>
        </x:is>
      </x:c>
      <x:c r="AI115" s="4" t="inlineStr">
        <x:is>
          <x:t xml:space="preserve">Finished item</x:t>
        </x:is>
      </x:c>
      <x:c r="AJ115" s="4" t="n">
        <x:f>COUNTIFS('Material routes'!$D$6:$D$2205,A115,'Material routes'!$C$6:$C$2205,"Output")</x:f>
        <x:v>1</x:v>
      </x:c>
      <x:c r="AK115" s="4" t="n">
        <x:f>SUM(COUNTIFS('Material routes'!$D$6:$D$2205,A115,'Material routes'!$C$6:$C$2205,"Ingredient candidate"),COUNTIFS('Material routes'!$D$6:$D$2205,A115,'Material routes'!$C$6:$C$2205,"Consumed input"),COUNTIFS('Material routes'!$D$6:$D$2205,A115,'Material routes'!$C$6:$C$2205,"Contained input"),COUNTIFS('Material routes'!$D$6:$D$2205,A115,'Material routes'!$C$6:$C$2205,"Transform input"))</x:f>
        <x:v>1</x:v>
      </x:c>
      <x:c r="AL115" s="4" t="n">
        <x:f>COUNTIFS('Material routes'!$D$6:$D$2205,A115,'Material routes'!$C$6:$C$2205,"Tool candidate")</x:f>
        <x:v>0</x:v>
      </x:c>
      <x:c r="AM115" s="4" t="str">
        <x:f>IF(AJ115&gt;0,"Route listed; review status/completeness",IF(C115="T0","Raw entry feed; no production route","No production route listed"))</x:f>
        <x:v>Route listed; review status/completeness</x:v>
      </x:c>
      <x:c r="AN115" s="14">
        <x:f>IF(C115="T0",0,IF(C115="T1",1,IF(C115="T2",2,IF(C115="T3",3,IF(C115="T4",4,IF(C115="Unassigned",98,99))))))</x:f>
        <x:v>2</x:v>
      </x:c>
      <x:c r="AZ115"/>
      <x:c r="BA115"/>
      <x:c r="BB115"/>
      <x:c r="BC115"/>
      <x:c r="BD115"/>
      <x:c r="BE115"/>
      <x:c r="BF115"/>
      <x:c r="BG115"/>
      <x:c r="BH115"/>
      <x:c r="BI115"/>
      <x:c r="BJ115"/>
      <x:c r="BK115"/>
      <x:c r="BL115"/>
      <x:c r="BM115"/>
      <x:c r="BN115"/>
      <x:c r="BO115"/>
      <x:c r="BP115"/>
      <x:c r="BQ115"/>
      <x:c r="BR115"/>
      <x:c r="BS115"/>
      <x:c r="BT115"/>
      <x:c r="BU115"/>
      <x:c r="BV115"/>
      <x:c r="BW115"/>
      <x:c r="BX115"/>
      <x:c r="BY115"/>
      <x:c r="BZ115"/>
      <x:c r="CA115"/>
      <x:c r="CB115"/>
      <x:c r="CC115"/>
    </x:row>
    <x:row r="116" ht="105" customHeight="1">
      <x:c r="A116" s="9" t="inlineStr">
        <x:is>
          <x:t xml:space="preserve">proposal.gear.leg_armor</x:t>
        </x:is>
      </x:c>
      <x:c r="B116" s="9" t="inlineStr">
        <x:is>
          <x:t xml:space="preserve">Iron leg guards</x:t>
        </x:is>
      </x:c>
      <x:c r="C116" s="4" t="inlineStr">
        <x:is>
          <x:t xml:space="preserve">T2</x:t>
        </x:is>
      </x:c>
      <x:c r="D116" s="9" t="inlineStr">
        <x:is>
          <x:t xml:space="preserve">Armor</x:t>
        </x:is>
      </x:c>
      <x:c r="E116" s="9" t="inlineStr">
        <x:is>
          <x:t xml:space="preserve">Iron armor / legs</x:t>
        </x:is>
      </x:c>
      <x:c r="F116" s="9" t="inlineStr">
        <x:is>
          <x:t xml:space="preserve">New proposal</x:t>
        </x:is>
      </x:c>
      <x:c r="G116" s="9" t="inlineStr">
        <x:is>
          <x:t xml:space="preserve">Iron armor family: individually listed leg guards. Paired thigh, knee and shin guards; boots remain a separate item. Broad worked-iron plates with plain rolled edges and exposed metal fasteners. Construction and protection are proposals; the five family pieces remain separate items.</x:t>
        </x:is>
      </x:c>
      <x:c r="H116" s="9" t="inlineStr">
        <x:is>
          <x:t xml:space="preserve">Unassigned; no new slot approved</x:t>
        </x:is>
      </x:c>
      <x:c r="I116" s="9" t="inlineStr">
        <x:is>
          <x:t xml:space="preserve">Booter-worn armor concept; fitting, packing and spare-cargo rules unresolved.</x:t>
        </x:is>
      </x:c>
      <x:c r="J116" s="13" t="inlineStr">
        <x:is>
          <x:t xml:space="preserve"/>
        </x:is>
      </x:c>
      <x:c r="K116" s="15" t="inlineStr">
        <x:is>
          <x:t xml:space="preserve"/>
        </x:is>
      </x:c>
      <x:c r="L116" s="9" t="inlineStr">
        <x:is>
          <x:t xml:space="preserve">Proposed contemporary fabrication or specialist trade; construction recipe unresolved.</x:t>
        </x:is>
      </x:c>
      <x:c r="M116" s="9" t="inlineStr">
        <x:is>
          <x:t xml:space="preserve">Separate fitted piece using selected qualified stock; no whole-set recipe, quantities, yield or production time authored.</x:t>
        </x:is>
      </x:c>
      <x:c r="N116" s="9" t="inlineStr">
        <x:is>
          <x:t xml:space="preserve">Not implemented</x:t>
        </x:is>
      </x:c>
      <x:c r="O116" s="9" t="inlineStr">
        <x:is>
          <x:t xml:space="preserve">Fit, coverage, articulation, mass, durability and protection remain proposals. No wood, ordinary cloth, free-water quenching, set bonuses or new equipment slots.</x:t>
        </x:is>
      </x:c>
      <x:c r="P116" s="17" t="inlineStr">
        <x:is>
          <x:t xml:space="preserve"/>
        </x:is>
      </x:c>
      <x:c r="Q116" s="17"/>
      <x:c r="R116" s="17"/>
      <x:c r="S116" s="17"/>
      <x:c r="T116" s="17"/>
      <x:c r="U116" s="9" t="inlineStr">
        <x:is>
          <x:t xml:space="preserve">Paired thigh, knee and shin guards; boots remain a separate item. Visual direction: Broad worked-iron plates with plain rolled edges and exposed metal fasteners. Joining, fit, wearability and performance require design.</x:t>
        </x:is>
      </x:c>
      <x:c r="V116" s="11" t="inlineStr">
        <x:is>
          <x:t xml:space="preserve">iron armor set; iron armor family; iron armor; legs; separate armor piece</x:t>
        </x:is>
      </x:c>
      <x:c r="W116"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6" s="4" t="inlineStr">
        <x:is>
          <x:t xml:space="preserve">Armor</x:t>
        </x:is>
      </x:c>
      <x:c r="Y116" s="4" t="inlineStr">
        <x:is>
          <x:t xml:space="preserve">Finished item</x:t>
        </x:is>
      </x:c>
      <x:c r="Z116" s="4" t="inlineStr">
        <x:is>
          <x:t xml:space="preserve">Manufactured / unresolved</x:t>
        </x:is>
      </x:c>
      <x:c r="AA116" s="4" t="inlineStr">
        <x:is>
          <x:t xml:space="preserve">Protection</x:t>
        </x:is>
      </x:c>
      <x:c r="AB116" s="4" t="inlineStr">
        <x:is>
          <x:t xml:space="preserve">Metal</x:t>
        </x:is>
      </x:c>
      <x:c r="AC116" s="4" t="inlineStr">
        <x:is>
          <x:t xml:space="preserve">Assembly</x:t>
        </x:is>
      </x:c>
      <x:c r="AD116" s="4" t="inlineStr">
        <x:is>
          <x:t xml:space="preserve">Proposal</x:t>
        </x:is>
      </x:c>
      <x:c r="AE116" s="4" t="str">
        <x:f>LOWER(A116&amp;"; "&amp;B116&amp;"; "&amp;D116&amp;"; "&amp;E116&amp;"; "&amp;X116&amp;"; "&amp;Y116&amp;"; "&amp;Z116&amp;"; "&amp;AA116&amp;"; "&amp;AB116&amp;"; "&amp;AC116&amp;"; "&amp;AD116&amp;"; "&amp;V116&amp;"; "&amp;C116&amp;"; "&amp;AH116&amp;"; "&amp;AI116)</x:f>
        <x:v>proposal.gear.leg_armor; iron leg guards; armor; iron armor / legs; armor; finished item; manufactured / unresolved; protection; metal; assembly; proposal; iron armor set; iron armor family; iron armor; legs; separate armor piece; t2; t1; finished item</x:v>
      </x:c>
      <x:c r="AF116" s="4" t="inlineStr">
        <x:is>
          <x:t xml:space="preserve">One independently listed armor piece. Family membership is a design grouping, never another inventory item or a set bonus.</x:t>
        </x:is>
      </x:c>
      <x:c r="AG116" s="4" t="inlineStr">
        <x:is>
          <x:t xml:space="preserve">Proposed T2 finished piece using T1 inputs; material grade, fabrication and protection are unresolved.</x:t>
        </x:is>
      </x:c>
      <x:c r="AH116" s="4" t="inlineStr">
        <x:is>
          <x:t xml:space="preserve">T1</x:t>
        </x:is>
      </x:c>
      <x:c r="AI116" s="4" t="inlineStr">
        <x:is>
          <x:t xml:space="preserve">Finished item</x:t>
        </x:is>
      </x:c>
      <x:c r="AJ116" s="4" t="n">
        <x:f>COUNTIFS('Material routes'!$D$6:$D$2205,A116,'Material routes'!$C$6:$C$2205,"Output")</x:f>
        <x:v>1</x:v>
      </x:c>
      <x:c r="AK116" s="4" t="n">
        <x:f>SUM(COUNTIFS('Material routes'!$D$6:$D$2205,A116,'Material routes'!$C$6:$C$2205,"Ingredient candidate"),COUNTIFS('Material routes'!$D$6:$D$2205,A116,'Material routes'!$C$6:$C$2205,"Consumed input"),COUNTIFS('Material routes'!$D$6:$D$2205,A116,'Material routes'!$C$6:$C$2205,"Contained input"),COUNTIFS('Material routes'!$D$6:$D$2205,A116,'Material routes'!$C$6:$C$2205,"Transform input"))</x:f>
        <x:v>1</x:v>
      </x:c>
      <x:c r="AL116" s="4" t="n">
        <x:f>COUNTIFS('Material routes'!$D$6:$D$2205,A116,'Material routes'!$C$6:$C$2205,"Tool candidate")</x:f>
        <x:v>0</x:v>
      </x:c>
      <x:c r="AM116" s="4" t="str">
        <x:f>IF(AJ116&gt;0,"Route listed; review status/completeness",IF(C116="T0","Raw entry feed; no production route","No production route listed"))</x:f>
        <x:v>Route listed; review status/completeness</x:v>
      </x:c>
      <x:c r="AN116" s="14">
        <x:f>IF(C116="T0",0,IF(C116="T1",1,IF(C116="T2",2,IF(C116="T3",3,IF(C116="T4",4,IF(C116="Unassigned",98,99))))))</x:f>
        <x:v>2</x:v>
      </x:c>
      <x:c r="AZ116"/>
      <x:c r="BA116"/>
      <x:c r="BB116"/>
      <x:c r="BC116"/>
      <x:c r="BD116"/>
      <x:c r="BE116"/>
      <x:c r="BF116"/>
      <x:c r="BG116"/>
      <x:c r="BH116"/>
      <x:c r="BI116"/>
      <x:c r="BJ116"/>
      <x:c r="BK116"/>
      <x:c r="BL116"/>
      <x:c r="BM116"/>
      <x:c r="BN116"/>
      <x:c r="BO116"/>
      <x:c r="BP116"/>
      <x:c r="BQ116"/>
      <x:c r="BR116"/>
      <x:c r="BS116"/>
      <x:c r="BT116"/>
      <x:c r="BU116"/>
      <x:c r="BV116"/>
      <x:c r="BW116"/>
      <x:c r="BX116"/>
      <x:c r="BY116"/>
      <x:c r="BZ116"/>
      <x:c r="CA116"/>
      <x:c r="CB116"/>
      <x:c r="CC116"/>
    </x:row>
    <x:row r="117" ht="105" customHeight="1">
      <x:c r="A117" s="9"/>
      <x:c r="B117" s="9"/>
      <x:c r="C117" s="4"/>
      <x:c r="D117" s="9"/>
      <x:c r="E117" s="9"/>
      <x:c r="F117" s="9"/>
      <x:c r="G117" s="9"/>
      <x:c r="H117" s="9"/>
      <x:c r="I117" s="9"/>
      <x:c r="J117" s="13"/>
      <x:c r="K117" s="15"/>
      <x:c r="L117" s="9"/>
      <x:c r="M117" s="9"/>
      <x:c r="N117" s="9"/>
      <x:c r="O117" s="9"/>
      <x:c r="P117" s="17"/>
      <x:c r="Q117" s="17"/>
      <x:c r="R117" s="17"/>
      <x:c r="S117" s="17"/>
      <x:c r="T117" s="17"/>
      <x:c r="U117" s="9"/>
      <x:c r="V117" s="11"/>
      <x:c r="W117" s="9"/>
      <x:c r="X117" s="4"/>
      <x:c r="Y117" s="4"/>
      <x:c r="Z117" s="4"/>
      <x:c r="AA117" s="4"/>
      <x:c r="AB117" s="4"/>
      <x:c r="AC117" s="4"/>
      <x:c r="AD117" s="4"/>
      <x:c r="AE117" s="4"/>
      <x:c r="AF117" s="4"/>
      <x:c r="AG117" s="4"/>
      <x:c r="AH117" s="4"/>
      <x:c r="AI117" s="4"/>
      <x:c r="AJ117" s="4"/>
      <x:c r="AK117" s="4"/>
      <x:c r="AL117" s="4"/>
      <x:c r="AM117" s="4"/>
      <x:c r="AN117" s="14"/>
      <x:c r="AZ117"/>
      <x:c r="BA117"/>
      <x:c r="BB117"/>
      <x:c r="BC117"/>
      <x:c r="BD117"/>
      <x:c r="BE117"/>
      <x:c r="BF117"/>
      <x:c r="BG117"/>
      <x:c r="BH117"/>
      <x:c r="BI117"/>
      <x:c r="BJ117"/>
      <x:c r="BK117"/>
      <x:c r="BL117"/>
      <x:c r="BM117"/>
      <x:c r="BN117"/>
      <x:c r="BO117"/>
      <x:c r="BP117"/>
      <x:c r="BQ117"/>
      <x:c r="BR117"/>
      <x:c r="BS117"/>
      <x:c r="BT117"/>
      <x:c r="BU117"/>
      <x:c r="BV117"/>
      <x:c r="BW117"/>
      <x:c r="BX117"/>
      <x:c r="BY117"/>
      <x:c r="BZ117"/>
      <x:c r="CA117"/>
      <x:c r="CB117"/>
      <x:c r="CC117"/>
    </x:row>
    <x:row r="118" ht="105" customHeight="1">
      <x:c r="A118" s="9"/>
      <x:c r="B118" s="9"/>
      <x:c r="C118" s="4"/>
      <x:c r="D118" s="9"/>
      <x:c r="E118" s="9"/>
      <x:c r="F118" s="9"/>
      <x:c r="G118" s="9"/>
      <x:c r="H118" s="9"/>
      <x:c r="I118" s="9"/>
      <x:c r="J118" s="13"/>
      <x:c r="K118" s="15"/>
      <x:c r="L118" s="9"/>
      <x:c r="M118" s="9"/>
      <x:c r="N118" s="9"/>
      <x:c r="O118" s="9"/>
      <x:c r="P118" s="17"/>
      <x:c r="Q118" s="17"/>
      <x:c r="R118" s="17"/>
      <x:c r="S118" s="17"/>
      <x:c r="T118" s="17"/>
      <x:c r="U118" s="9"/>
      <x:c r="V118" s="11"/>
      <x:c r="W118" s="9"/>
      <x:c r="X118" s="4"/>
      <x:c r="Y118" s="4"/>
      <x:c r="Z118" s="4"/>
      <x:c r="AA118" s="4"/>
      <x:c r="AB118" s="4"/>
      <x:c r="AC118" s="4"/>
      <x:c r="AD118" s="4"/>
      <x:c r="AE118" s="4"/>
      <x:c r="AF118" s="4"/>
      <x:c r="AG118" s="4"/>
      <x:c r="AH118" s="4"/>
      <x:c r="AI118" s="4"/>
      <x:c r="AJ118" s="4"/>
      <x:c r="AK118" s="4"/>
      <x:c r="AL118" s="4"/>
      <x:c r="AM118" s="4"/>
      <x:c r="AN118" s="14"/>
      <x:c r="AZ118"/>
      <x:c r="BA118"/>
      <x:c r="BB118"/>
      <x:c r="BC118"/>
      <x:c r="BD118"/>
      <x:c r="BE118"/>
      <x:c r="BF118"/>
      <x:c r="BG118"/>
      <x:c r="BH118"/>
      <x:c r="BI118"/>
      <x:c r="BJ118"/>
      <x:c r="BK118"/>
      <x:c r="BL118"/>
      <x:c r="BM118"/>
      <x:c r="BN118"/>
      <x:c r="BO118"/>
      <x:c r="BP118"/>
      <x:c r="BQ118"/>
      <x:c r="BR118"/>
      <x:c r="BS118"/>
      <x:c r="BT118"/>
      <x:c r="BU118"/>
      <x:c r="BV118"/>
      <x:c r="BW118"/>
      <x:c r="BX118"/>
      <x:c r="BY118"/>
      <x:c r="BZ118"/>
      <x:c r="CA118"/>
      <x:c r="CB118"/>
      <x:c r="CC118"/>
    </x:row>
    <x:row r="119" ht="105" customHeight="1">
      <x:c r="A119" s="9" t="str">
        <x:v>proposal.gear.backpack</x:v>
      </x:c>
      <x:c r="B119" s="9" t="str">
        <x:v>Backpack</x:v>
      </x:c>
      <x:c r="C119" s="4" t="str">
        <x:v>Not applicable</x:v>
      </x:c>
      <x:c r="D119" s="9" t="inlineStr">
        <x:is>
          <x:t xml:space="preserve">Tools</x:t>
        </x:is>
      </x:c>
      <x:c r="E119" s="9" t="str">
        <x:v>Back-mounted carrier</x:v>
      </x:c>
      <x:c r="F119" s="9" t="str">
        <x:v>User direction; not implemented</x:v>
      </x:c>
      <x:c r="G119" s="9" t="inlineStr">
        <x:is>
          <x:t xml:space="preserve">Booter-carried supplies/tool carrier candidate. It is intended to retain or separate physical cargo at its actual location; it does not create remote storage or extra carrying capacity.</x:t>
        </x:is>
      </x:c>
      <x:c r="H119" s="9" t="str">
        <x:v>Unassigned; loadout extension TBD</x:v>
      </x:c>
      <x:c r="I119" s="9" t="str">
        <x:v>Booter-worn/held concept; permitted spares in Legger cargo TBD</x:v>
      </x:c>
      <x:c r="J119" s="13"/>
      <x:c r="K119" s="15"/>
      <x:c r="L119" s="9" t="str">
        <x:v>Fabrication, trade or salvage candidate; no recipe authored</x:v>
      </x:c>
      <x:c r="M119" s="9" t="str">
        <x:v>Proposed materials: Shell panels, metal frame, hinges; harness material unresolved</x:v>
      </x:c>
      <x:c r="N119" s="9" t="str">
        <x:v>Not implemented</x:v>
      </x:c>
      <x:c r="O119" s="9" t="str">
        <x:v>No raw-resource carrying exception. Capacity, equipment spares, cloak clearance and mounts remain open</x:v>
      </x:c>
      <x:c r="P119" s="17"/>
      <x:c r="Q119" s="17"/>
      <x:c r="R119" s="17"/>
      <x:c r="S119" s="17"/>
      <x:c r="T119" s="17"/>
      <x:c r="U119" s="9" t="str">
        <x:v>Crude: Rigid back basket or simple carrying frame. Serviceable: Compartmented shell/metal case on a fitted frame. Elaborate: Tailored frame with modular tool mounts and access panels</x:v>
      </x:c>
      <x:c r="V119" s="11"/>
      <x:c r="W119"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9" s="4" t="str">
        <x:v>Carrier</x:v>
      </x:c>
      <x:c r="Y119" s="4" t="str">
        <x:v>Finished item</x:v>
      </x:c>
      <x:c r="Z119" s="4" t="str">
        <x:v>Manufactured / unresolved</x:v>
      </x:c>
      <x:c r="AA119" s="4" t="str">
        <x:v>Cargo organization</x:v>
      </x:c>
      <x:c r="AB119" s="4" t="str">
        <x:v>Mixed / unresolved</x:v>
      </x:c>
      <x:c r="AC119" s="4" t="str">
        <x:v>Assembly</x:v>
      </x:c>
      <x:c r="AD119" s="4" t="str">
        <x:v>Author direction</x:v>
      </x:c>
      <x:c r="AE119" s="4" t="str">
        <x:f>LOWER(A119&amp;"; "&amp;B119&amp;"; "&amp;D119&amp;"; "&amp;E119&amp;"; "&amp;X119&amp;"; "&amp;Y119&amp;"; "&amp;Z119&amp;"; "&amp;AA119&amp;"; "&amp;AB119&amp;"; "&amp;AC119&amp;"; "&amp;AD119&amp;"; "&amp;V119&amp;"; "&amp;C119&amp;"; "&amp;AH119&amp;"; "&amp;AI119)</x:f>
        <x:v>proposal.gear.backpack; backpack; tools; back-mounted carrier; carrier; finished item; manufactured / unresolved; cargo organization; mixed / unresolved; assembly; author direction; ; not applicable; t3; finished item</x:v>
      </x:c>
      <x:c r="AF11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19" s="4" t="str">
        <x:v>Finished endpoint; material tier is not applicable. Input tiers belong to the chosen recipe.</x:v>
      </x:c>
      <x:c r="AH119" s="4" t="str">
        <x:v>T3</x:v>
      </x:c>
      <x:c r="AI119" s="4" t="str">
        <x:v>Finished item</x:v>
      </x:c>
      <x:c r="AJ119" s="4" t="n">
        <x:f>COUNTIFS('Material routes'!$D$6:$D$2205,A119,'Material routes'!$C$6:$C$2205,"Output")</x:f>
        <x:v>1</x:v>
      </x:c>
      <x:c r="AK119" s="4" t="n">
        <x:f>SUM(COUNTIFS('Material routes'!$D$6:$D$2205,A119,'Material routes'!$C$6:$C$2205,"Ingredient candidate"),COUNTIFS('Material routes'!$D$6:$D$2205,A119,'Material routes'!$C$6:$C$2205,"Consumed input"),COUNTIFS('Material routes'!$D$6:$D$2205,A119,'Material routes'!$C$6:$C$2205,"Contained input"),COUNTIFS('Material routes'!$D$6:$D$2205,A119,'Material routes'!$C$6:$C$2205,"Transform input"))</x:f>
        <x:v>0</x:v>
      </x:c>
      <x:c r="AL119" s="4" t="n">
        <x:f>COUNTIFS('Material routes'!$D$6:$D$2205,A119,'Material routes'!$C$6:$C$2205,"Tool candidate")</x:f>
        <x:v>0</x:v>
      </x:c>
      <x:c r="AM119" s="4" t="str">
        <x:f>IF(AJ119&gt;0,"Route listed; review status/completeness",IF(C119="T0","Raw entry feed; no production route","No production route listed"))</x:f>
        <x:v>Route listed; review status/completeness</x:v>
      </x:c>
      <x:c r="AN119" s="14" t="n">
        <x:f>IF(C119="T0",0,IF(C119="T1",1,IF(C119="T2",2,IF(C119="T3",3,IF(C119="T4",4,IF(C119="Unassigned",98,99))))))</x:f>
        <x:v>99</x:v>
      </x:c>
      <x:c r="AZ119"/>
      <x:c r="BA119"/>
      <x:c r="BB119"/>
      <x:c r="BC119"/>
      <x:c r="BD119"/>
      <x:c r="BE119"/>
      <x:c r="BF119"/>
      <x:c r="BG119"/>
      <x:c r="BH119"/>
      <x:c r="BI119"/>
      <x:c r="BJ119"/>
      <x:c r="BK119"/>
      <x:c r="BL119"/>
      <x:c r="BM119"/>
      <x:c r="BN119"/>
      <x:c r="BO119"/>
      <x:c r="BP119"/>
      <x:c r="BQ119"/>
      <x:c r="BR119"/>
      <x:c r="BS119"/>
      <x:c r="BT119"/>
      <x:c r="BU119"/>
      <x:c r="BV119"/>
      <x:c r="BW119"/>
      <x:c r="BX119"/>
      <x:c r="BY119"/>
      <x:c r="BZ119"/>
      <x:c r="CA119"/>
      <x:c r="CB119"/>
      <x:c r="CC119"/>
    </x:row>
    <x:row r="120" ht="105" customHeight="1">
      <x:c r="A120" s="9" t="str">
        <x:v>proposal.gear.special_plates</x:v>
      </x:c>
      <x:c r="B120" s="9" t="str">
        <x:v>Specialized armor plates</x:v>
      </x:c>
      <x:c r="C120" s="4" t="str">
        <x:v>Not applicable</x:v>
      </x:c>
      <x:c r="D120" s="9" t="inlineStr">
        <x:is>
          <x:t xml:space="preserve">Armor</x:t>
        </x:is>
      </x:c>
      <x:c r="E120" s="9" t="str">
        <x:v>Modular protection</x:v>
      </x:c>
      <x:c r="F120" s="9" t="str">
        <x:v>User direction; not implemented</x:v>
      </x:c>
      <x:c r="G120" s="9" t="inlineStr">
        <x:is>
          <x:t xml:space="preserve">Purpose-specific protection modules. It is intended to cover or guard the recorded area, with fit, coverage and protective performance still requiring qualification.</x:t>
        </x:is>
      </x:c>
      <x:c r="H120" s="9" t="str">
        <x:v>Unassigned; loadout extension TBD</x:v>
      </x:c>
      <x:c r="I120" s="9" t="str">
        <x:v>Booter-worn/held concept; permitted spares in Legger cargo TBD</x:v>
      </x:c>
      <x:c r="J120" s="13"/>
      <x:c r="K120" s="15"/>
      <x:c r="L120" s="9" t="str">
        <x:v>Fabrication, trade or salvage candidate; no recipe authored</x:v>
      </x:c>
      <x:c r="M120" s="9" t="str">
        <x:v>Proposed materials: Metal, shell and optional mineral/ceramic layers; recipes TBD</x:v>
      </x:c>
      <x:c r="N120" s="9" t="str">
        <x:v>Not implemented</x:v>
      </x:c>
      <x:c r="O120" s="9" t="str">
        <x:v>Candidate functions: impact distribution, abrasion protection, joint coverage and electrical separation; all effects unapproved</x:v>
      </x:c>
      <x:c r="P120" s="17"/>
      <x:c r="Q120" s="17"/>
      <x:c r="R120" s="17"/>
      <x:c r="S120" s="17"/>
      <x:c r="T120" s="17"/>
      <x:c r="U120" s="9" t="str">
        <x:v>Crude: Replaceable abrasion plate or bolted reinforcement. Serviceable: Purpose-shaped joint cover or impact-spreading module. Elaborate: Integrated interchangeable plate system for specific tasks</x:v>
      </x:c>
      <x:c r="V120" s="11"/>
      <x:c r="W120"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20" s="4" t="str">
        <x:v>Armor</x:v>
      </x:c>
      <x:c r="Y120" s="4" t="str">
        <x:v>Finished item</x:v>
      </x:c>
      <x:c r="Z120" s="4" t="str">
        <x:v>Manufactured / unresolved</x:v>
      </x:c>
      <x:c r="AA120" s="4" t="str">
        <x:v>Protection</x:v>
      </x:c>
      <x:c r="AB120" s="4" t="str">
        <x:v>Metal</x:v>
      </x:c>
      <x:c r="AC120" s="4" t="str">
        <x:v>Assembly</x:v>
      </x:c>
      <x:c r="AD120" s="4" t="str">
        <x:v>Author direction</x:v>
      </x:c>
      <x:c r="AE120" s="4" t="str">
        <x:f>LOWER(A120&amp;"; "&amp;B120&amp;"; "&amp;D120&amp;"; "&amp;E120&amp;"; "&amp;X120&amp;"; "&amp;Y120&amp;"; "&amp;Z120&amp;"; "&amp;AA120&amp;"; "&amp;AB120&amp;"; "&amp;AC120&amp;"; "&amp;AD120&amp;"; "&amp;V120&amp;"; "&amp;C120&amp;"; "&amp;AH120&amp;"; "&amp;AI120)</x:f>
        <x:v>proposal.gear.special_plates; specialized armor plates; armor; modular protection; armor; finished item; manufactured / unresolved; protection; metal; assembly; author direction; ; not applicable; t4; finished item</x:v>
      </x:c>
      <x:c r="AF120" s="4" t="inlineStr">
        <x:is>
          <x:t xml:space="preserve">From current item description. Proposed uses retain their existing approval status. October 15 equipment split: Attachments. Fitted mounts, cargo rigging, inserts, backing, liners and replaceable add-ons that serve another piece of equipment. Author direction October 16: all remaining general Attachments belong in Armor; retire the empty Attachments section. Category assignment preserves item type, properties and recipe roles, including the tool belt. Legger attachments remains separate.</x:t>
        </x:is>
      </x:c>
      <x:c r="AG120" s="4" t="str">
        <x:v>Finished endpoint; material tier is not applicable. Input tiers belong to the chosen recipe.</x:v>
      </x:c>
      <x:c r="AH120" s="4" t="str">
        <x:v>T4</x:v>
      </x:c>
      <x:c r="AI120" s="4" t="str">
        <x:v>Finished item</x:v>
      </x:c>
      <x:c r="AJ120" s="4" t="n">
        <x:f>COUNTIFS('Material routes'!$D$6:$D$2205,A120,'Material routes'!$C$6:$C$2205,"Output")</x:f>
        <x:v>1</x:v>
      </x:c>
      <x:c r="AK120" s="4" t="n">
        <x:f>SUM(COUNTIFS('Material routes'!$D$6:$D$2205,A120,'Material routes'!$C$6:$C$2205,"Ingredient candidate"),COUNTIFS('Material routes'!$D$6:$D$2205,A120,'Material routes'!$C$6:$C$2205,"Consumed input"),COUNTIFS('Material routes'!$D$6:$D$2205,A120,'Material routes'!$C$6:$C$2205,"Contained input"),COUNTIFS('Material routes'!$D$6:$D$2205,A120,'Material routes'!$C$6:$C$2205,"Transform input"))</x:f>
        <x:v>0</x:v>
      </x:c>
      <x:c r="AL120" s="4" t="n">
        <x:f>COUNTIFS('Material routes'!$D$6:$D$2205,A120,'Material routes'!$C$6:$C$2205,"Tool candidate")</x:f>
        <x:v>0</x:v>
      </x:c>
      <x:c r="AM120" s="4" t="str">
        <x:f>IF(AJ120&gt;0,"Route listed; review status/completeness",IF(C120="T0","Raw entry feed; no production route","No production route listed"))</x:f>
        <x:v>Route listed; review status/completeness</x:v>
      </x:c>
      <x:c r="AN120" s="14" t="n">
        <x:f>IF(C120="T0",0,IF(C120="T1",1,IF(C120="T2",2,IF(C120="T3",3,IF(C120="T4",4,IF(C120="Unassigned",98,99))))))</x:f>
        <x:v>99</x:v>
      </x:c>
      <x:c r="AZ120"/>
      <x:c r="BA120"/>
      <x:c r="BB120"/>
      <x:c r="BC120"/>
      <x:c r="BD120"/>
      <x:c r="BE120"/>
      <x:c r="BF120"/>
      <x:c r="BG120"/>
      <x:c r="BH120"/>
      <x:c r="BI120"/>
      <x:c r="BJ120"/>
      <x:c r="BK120"/>
      <x:c r="BL120"/>
      <x:c r="BM120"/>
      <x:c r="BN120"/>
      <x:c r="BO120"/>
      <x:c r="BP120"/>
      <x:c r="BQ120"/>
      <x:c r="BR120"/>
      <x:c r="BS120"/>
      <x:c r="BT120"/>
      <x:c r="BU120"/>
      <x:c r="BV120"/>
      <x:c r="BW120"/>
      <x:c r="BX120"/>
      <x:c r="BY120"/>
      <x:c r="BZ120"/>
      <x:c r="CA120"/>
      <x:c r="CB120"/>
      <x:c r="CC120"/>
    </x:row>
    <x:row r="121" ht="105" customHeight="1">
      <x:c r="A121" s="9"/>
      <x:c r="B121" s="9"/>
      <x:c r="C121" s="4"/>
      <x:c r="D121" s="9"/>
      <x:c r="E121" s="9"/>
      <x:c r="F121" s="9"/>
      <x:c r="G121" s="9"/>
      <x:c r="H121" s="9"/>
      <x:c r="I121" s="9"/>
      <x:c r="J121" s="13"/>
      <x:c r="M121" s="9"/>
      <x:c r="N121" s="9"/>
      <x:c r="O121" s="9"/>
      <x:c r="P121" s="17"/>
      <x:c r="V121" s="11"/>
      <x:c r="X121" s="4"/>
      <x:c r="Y121" s="4"/>
      <x:c r="Z121" s="4"/>
      <x:c r="AA121" s="4"/>
      <x:c r="AB121" s="4"/>
      <x:c r="AC121" s="4"/>
      <x:c r="AD121" s="4"/>
      <x:c r="AE121" s="4"/>
      <x:c r="AF121" s="4"/>
      <x:c r="AG121" s="4"/>
      <x:c r="AH121" s="4"/>
      <x:c r="AI121" s="4"/>
      <x:c r="AJ121" s="4"/>
      <x:c r="AK121" s="4"/>
      <x:c r="AL121" s="4"/>
      <x:c r="AM121" s="4"/>
      <x:c r="AN121" s="14"/>
      <x:c r="AZ121"/>
      <x:c r="BA121"/>
      <x:c r="BB121"/>
      <x:c r="BC121"/>
      <x:c r="BD121"/>
      <x:c r="BE121"/>
      <x:c r="BF121"/>
      <x:c r="BG121"/>
      <x:c r="BH121"/>
      <x:c r="BI121"/>
      <x:c r="BJ121"/>
      <x:c r="BK121"/>
      <x:c r="BL121"/>
      <x:c r="BM121"/>
      <x:c r="BN121"/>
      <x:c r="BO121"/>
      <x:c r="BP121"/>
      <x:c r="BQ121"/>
      <x:c r="BR121"/>
      <x:c r="BS121"/>
      <x:c r="BT121"/>
      <x:c r="BU121"/>
      <x:c r="BV121"/>
      <x:c r="BW121"/>
      <x:c r="BX121"/>
      <x:c r="BY121"/>
      <x:c r="BZ121"/>
      <x:c r="CA121"/>
      <x:c r="CB121"/>
      <x:c r="CC121"/>
    </x:row>
    <x:row r="122" ht="85" customHeight="1">
      <x:c r="A122" s="9" t="str">
        <x:v>proposal.weapon.caltrops</x:v>
      </x:c>
      <x:c r="B122" s="9" t="str">
        <x:v>Caltrops</x:v>
      </x:c>
      <x:c r="C122" s="4" t="str">
        <x:v>Not applicable</x:v>
      </x:c>
      <x:c r="D122" s="9" t="str">
        <x:v>Weapons</x:v>
      </x:c>
      <x:c r="E122" s="9" t="str">
        <x:v>Trip-ups</x:v>
      </x:c>
      <x:c r="F122" s="9" t="str">
        <x:v>User direction; not implemented</x:v>
      </x:c>
      <x:c r="G122" s="9" t="inlineStr">
        <x:is>
          <x:t xml:space="preserve">First named candidate for specialized, purpose-specific weapon brainstorming. It is intended to obstruct movement through a selected space. Placement, triggering and interaction with people, fauna or equipment remain design decisions.</x:t>
        </x:is>
      </x:c>
      <x:c r="H122" s="9" t="str">
        <x:v>Unassigned; future design</x:v>
      </x:c>
      <x:c r="I122" s="9" t="str">
        <x:v>Carrier and quantity policy TBD</x:v>
      </x:c>
      <x:c r="J122" s="13"/>
      <x:c r="K122" s="15"/>
      <x:c r="L122" s="9" t="str">
        <x:v>Acquisition and manufacture deferred</x:v>
      </x:c>
      <x:c r="M122" s="9" t="str">
        <x:v>No recipe authored</x:v>
      </x:c>
      <x:c r="N122" s="9" t="str">
        <x:v>Not implemented</x:v>
      </x:c>
      <x:c r="O122" s="9" t="str">
        <x:v>Weapon mechanics, damage, targets and deployment are deferred.</x:v>
      </x:c>
      <x:c r="P122" s="17"/>
      <x:c r="Q122" s="17"/>
      <x:c r="R122" s="17"/>
      <x:c r="S122" s="17"/>
      <x:c r="T122" s="17"/>
      <x:c r="U122" s="9" t="str">
        <x:v>Future weapon lanes: offensive weapons, defensive weapons, traps and trip-ups. No additional weapon roster proposed.</x:v>
      </x:c>
      <x:c r="V122" s="11"/>
      <x:c r="W122" s="9" t="str">
        <x:v>Direct author direction, October 14, 2026. Detailed brainstorming explicitly deferred.</x:v>
      </x:c>
      <x:c r="X122" s="4" t="str">
        <x:v>Trip hazard</x:v>
      </x:c>
      <x:c r="Y122" s="4" t="str">
        <x:v>Finished item</x:v>
      </x:c>
      <x:c r="Z122" s="4" t="str">
        <x:v>Manufactured / unresolved</x:v>
      </x:c>
      <x:c r="AA122" s="4" t="str">
        <x:v>Area denial</x:v>
      </x:c>
      <x:c r="AB122" s="4" t="str">
        <x:v>Unresolved</x:v>
      </x:c>
      <x:c r="AC122" s="4" t="str">
        <x:v>Solid part</x:v>
      </x:c>
      <x:c r="AD122" s="4" t="str">
        <x:v>Author direction</x:v>
      </x:c>
      <x:c r="AE122" s="4" t="str">
        <x:f>LOWER(A122&amp;"; "&amp;B122&amp;"; "&amp;D122&amp;"; "&amp;E122&amp;"; "&amp;X122&amp;"; "&amp;Y122&amp;"; "&amp;Z122&amp;"; "&amp;AA122&amp;"; "&amp;AB122&amp;"; "&amp;AC122&amp;"; "&amp;AD122&amp;"; "&amp;V122&amp;"; "&amp;C122&amp;"; "&amp;AH122&amp;"; "&amp;AI122)</x:f>
        <x:v>proposal.weapon.caltrops; caltrops; weapons; trip-ups; trip hazard; finished item; manufactured / unresolved; area denial; unresolved; solid part; author direction; ; not applicable; t2; finished item</x:v>
      </x:c>
      <x:c r="AF122" s="4" t="str">
        <x:v>From current item description. Proposed uses retain their existing approval status.</x:v>
      </x:c>
      <x:c r="AG122" s="4" t="str">
        <x:v>Finished endpoint; material tier is not applicable. Input tiers belong to the chosen recipe.</x:v>
      </x:c>
      <x:c r="AH122" s="4" t="str">
        <x:v>T2</x:v>
      </x:c>
      <x:c r="AI122" s="4" t="str">
        <x:v>Finished item</x:v>
      </x:c>
      <x:c r="AJ122" s="4" t="n">
        <x:f>COUNTIFS('Material routes'!$D$6:$D$2205,A122,'Material routes'!$C$6:$C$2205,"Output")</x:f>
        <x:v>1</x:v>
      </x:c>
      <x:c r="AK122" s="4" t="n">
        <x:f>SUM(COUNTIFS('Material routes'!$D$6:$D$2205,A122,'Material routes'!$C$6:$C$2205,"Ingredient candidate"),COUNTIFS('Material routes'!$D$6:$D$2205,A122,'Material routes'!$C$6:$C$2205,"Consumed input"),COUNTIFS('Material routes'!$D$6:$D$2205,A122,'Material routes'!$C$6:$C$2205,"Contained input"),COUNTIFS('Material routes'!$D$6:$D$2205,A122,'Material routes'!$C$6:$C$2205,"Transform input"))</x:f>
        <x:v>0</x:v>
      </x:c>
      <x:c r="AL122" s="4" t="n">
        <x:f>COUNTIFS('Material routes'!$D$6:$D$2205,A122,'Material routes'!$C$6:$C$2205,"Tool candidate")</x:f>
        <x:v>0</x:v>
      </x:c>
      <x:c r="AM122" s="4" t="str">
        <x:f>IF(AJ122&gt;0,"Route listed; review status/completeness",IF(C122="T0","Raw entry feed; no production route","No production route listed"))</x:f>
        <x:v>Route listed; review status/completeness</x:v>
      </x:c>
      <x:c r="AN122" s="14" t="n">
        <x:f>IF(C122="T0",0,IF(C122="T1",1,IF(C122="T2",2,IF(C122="T3",3,IF(C122="T4",4,IF(C122="Unassigned",98,99))))))</x:f>
        <x:v>99</x:v>
      </x:c>
      <x:c r="AZ122"/>
      <x:c r="BA122"/>
      <x:c r="BB122"/>
      <x:c r="BC122"/>
      <x:c r="BD122"/>
      <x:c r="BE122"/>
      <x:c r="BF122"/>
      <x:c r="BG122"/>
      <x:c r="BH122"/>
      <x:c r="BI122"/>
      <x:c r="BJ122"/>
      <x:c r="BK122"/>
      <x:c r="BL122"/>
      <x:c r="BM122"/>
      <x:c r="BN122"/>
      <x:c r="BO122"/>
      <x:c r="BP122"/>
      <x:c r="BQ122"/>
      <x:c r="BR122"/>
      <x:c r="BS122"/>
      <x:c r="BT122"/>
      <x:c r="BU122"/>
      <x:c r="BV122"/>
      <x:c r="BW122"/>
      <x:c r="BX122"/>
      <x:c r="BY122"/>
      <x:c r="BZ122"/>
      <x:c r="CA122"/>
      <x:c r="CB122"/>
      <x:c r="CC122"/>
    </x:row>
    <x:row r="123" ht="170" customHeight="1">
      <x:c r="A123" s="9" t="str">
        <x:v>proposal.ancient.carbon_composite</x:v>
      </x:c>
      <x:c r="B123" s="9" t="str">
        <x:v>Ancient carbon composite</x:v>
      </x:c>
      <x:c r="C123" s="4" t="str">
        <x:v>Not applicable</x:v>
      </x:c>
      <x:c r="D123" s="9" t="str">
        <x:v>Ancient salvage</x:v>
      </x:c>
      <x:c r="E123" s="9" t="str">
        <x:v>Ancient manufactured material</x:v>
      </x:c>
      <x:c r="F123" s="9" t="str">
        <x:v>User direction; not implemented</x:v>
      </x:c>
      <x:c r="G123" s="9" t="inlineStr">
        <x:is>
          <x:t xml:space="preserve">Ancient material comparable to carbon-fiber composites. It is an extremely rare ancient recovery whose original function remains a working hypothesis. Condition, compatibility and safe operation are unknown; no contemporary reproduction is implied.</x:t>
        </x:is>
      </x:c>
      <x:c r="H123" s="9" t="str">
        <x:v>None</x:v>
      </x:c>
      <x:c r="I123" s="9" t="str">
        <x:v>Recovered material: Legger / physical local storage</x:v>
      </x:c>
      <x:c r="J123" s="13"/>
      <x:c r="K123" s="15"/>
      <x:c r="L123" s="9" t="str">
        <x:v>Ancient-tech recovery source; specific sites and forms undecided</x:v>
      </x:c>
      <x:c r="M123" s="9" t="str">
        <x:v>Recovery/reuse only as a design candidate; no manufacturing recipe established</x:v>
      </x:c>
      <x:c r="N123" s="9" t="str">
        <x:v>Not implemented</x:v>
      </x:c>
      <x:c r="O123" s="9" t="str">
        <x:v>Recovery form, composition and usable properties need design. No carbon-fabric or cloth item assumed.</x:v>
      </x:c>
      <x:c r="P123" s="46" t="str">
        <x:v>Extremely rare</x:v>
      </x:c>
      <x:c r="Q123" s="17"/>
      <x:c r="R123" s="17"/>
      <x:c r="S123" s="17"/>
      <x:c r="T123" s="17"/>
      <x:c r="U123" s="9" t="str">
        <x:v>Extremely rare by author direction. Fragment versus intact component, testing, trade and fabrication possibilities remain open.</x:v>
      </x:c>
      <x:c r="V123" s="11"/>
      <x:c r="W123" s="9" t="str">
        <x:v>Direct author direction October 14, 2026; Docs/WORLD_BASIS.md#material-culture. Related source is a proposal: https://github.com/sleepyseamonster/Arc-Dust/blob/f6f98515c005dc3c73cccd9cbc031691745740c6/02-Arc-Dust-Worldbuilding/world/materials/ancient-synthetics.md</x:v>
      </x:c>
      <x:c r="X123" s="4" t="str">
        <x:v>Processed material</x:v>
      </x:c>
      <x:c r="Y123" s="4" t="str">
        <x:v>Ancient manufactured</x:v>
      </x:c>
      <x:c r="Z123" s="4" t="str">
        <x:v>Ancient technology</x:v>
      </x:c>
      <x:c r="AA123" s="4" t="str">
        <x:v>Use unresolved</x:v>
      </x:c>
      <x:c r="AB123" s="4" t="str">
        <x:v>Ancient composite</x:v>
      </x:c>
      <x:c r="AC123" s="4" t="str">
        <x:v>Unresolved</x:v>
      </x:c>
      <x:c r="AD123" s="4" t="str">
        <x:v>Author direction</x:v>
      </x:c>
      <x:c r="AE123" s="4" t="str">
        <x:f>LOWER(A123&amp;"; "&amp;B123&amp;"; "&amp;D123&amp;"; "&amp;E123&amp;"; "&amp;X123&amp;"; "&amp;Y123&amp;"; "&amp;Z123&amp;"; "&amp;AA123&amp;"; "&amp;AB123&amp;"; "&amp;AC123&amp;"; "&amp;AD123&amp;"; "&amp;V123&amp;"; "&amp;C123&amp;"; "&amp;AH123&amp;"; "&amp;AI123)</x:f>
        <x:v>proposal.ancient.carbon_composite; ancient carbon composite; ancient salvage; ancient manufactured material; processed material; ancient manufactured; ancient technology; use unresolved; ancient composite; unresolved; author direction; ; not applicable; unassigned; material</x:v>
      </x:c>
      <x:c r="AF123" s="4" t="str">
        <x:v>From current item description. Proposed uses retain their existing approval status. Lore category review: Resources -&gt; Ancient salvage. Classification only; original item status and tier retained.</x:v>
      </x:c>
      <x:c r="AG123"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3" s="4" t="str">
        <x:v>Unassigned</x:v>
      </x:c>
      <x:c r="AI123" s="4" t="str">
        <x:v>Material</x:v>
      </x:c>
      <x:c r="AJ123" s="4" t="n">
        <x:f>COUNTIFS('Material routes'!$D$6:$D$2205,A123,'Material routes'!$C$6:$C$2205,"Output")</x:f>
        <x:v>0</x:v>
      </x:c>
      <x:c r="AK123" s="4" t="n">
        <x:f>SUM(COUNTIFS('Material routes'!$D$6:$D$2205,A123,'Material routes'!$C$6:$C$2205,"Ingredient candidate"),COUNTIFS('Material routes'!$D$6:$D$2205,A123,'Material routes'!$C$6:$C$2205,"Consumed input"),COUNTIFS('Material routes'!$D$6:$D$2205,A123,'Material routes'!$C$6:$C$2205,"Contained input"),COUNTIFS('Material routes'!$D$6:$D$2205,A123,'Material routes'!$C$6:$C$2205,"Transform input"))</x:f>
        <x:v>0</x:v>
      </x:c>
      <x:c r="AL123" s="4" t="n">
        <x:f>COUNTIFS('Material routes'!$D$6:$D$2205,A123,'Material routes'!$C$6:$C$2205,"Tool candidate")</x:f>
        <x:v>0</x:v>
      </x:c>
      <x:c r="AM123" s="4" t="str">
        <x:f>IF(AJ123&gt;0,"Route listed; review status/completeness",IF(C123="T0","Raw entry feed; no production route","No production route listed"))</x:f>
        <x:v>No production route listed</x:v>
      </x:c>
      <x:c r="AN123" s="14" t="n">
        <x:f>IF(C123="T0",0,IF(C123="T1",1,IF(C123="T2",2,IF(C123="T3",3,IF(C123="T4",4,IF(C123="Unassigned",98,99))))))</x:f>
        <x:v>99</x:v>
      </x:c>
      <x:c r="AZ123"/>
      <x:c r="BA123"/>
      <x:c r="BB123"/>
      <x:c r="BC123"/>
      <x:c r="BD123"/>
      <x:c r="BE123"/>
      <x:c r="BF123"/>
      <x:c r="BG123"/>
      <x:c r="BH123"/>
      <x:c r="BI123"/>
      <x:c r="BJ123"/>
      <x:c r="BK123"/>
      <x:c r="BL123"/>
      <x:c r="BM123"/>
      <x:c r="BN123"/>
      <x:c r="BO123"/>
      <x:c r="BP123"/>
      <x:c r="BQ123"/>
      <x:c r="BR123"/>
      <x:c r="BS123"/>
      <x:c r="BT123"/>
      <x:c r="BU123"/>
      <x:c r="BV123"/>
      <x:c r="BW123"/>
      <x:c r="BX123"/>
      <x:c r="BY123"/>
      <x:c r="BZ123"/>
      <x:c r="CA123"/>
      <x:c r="CB123"/>
      <x:c r="CC123"/>
    </x:row>
    <x:row r="124" ht="170" customHeight="1">
      <x:c r="A124" s="9" t="str">
        <x:v>proposal.ancient.nanocarbon</x:v>
      </x:c>
      <x:c r="B124" s="9" t="str">
        <x:v>Ancient nanocarbon material</x:v>
      </x:c>
      <x:c r="C124" s="4" t="str">
        <x:v>Not applicable</x:v>
      </x:c>
      <x:c r="D124" s="9" t="str">
        <x:v>Ancient salvage</x:v>
      </x:c>
      <x:c r="E124" s="9" t="str">
        <x:v>Ancient manufactured material</x:v>
      </x:c>
      <x:c r="F124" s="9" t="str">
        <x:v>User direction; not implemented</x:v>
      </x:c>
      <x:c r="G124" s="9" t="inlineStr">
        <x:is>
          <x:t xml:space="preserve">Ancient material comparable to advanced nanocarbon substances. It is an extremely rare ancient recovery whose original function remains a working hypothesis. Condition, compatibility and safe operation are unknown; no contemporary reproduction is implied.</x:t>
        </x:is>
      </x:c>
      <x:c r="H124" s="9" t="str">
        <x:v>None</x:v>
      </x:c>
      <x:c r="I124" s="9" t="str">
        <x:v>Recovered material: Legger / physical local storage</x:v>
      </x:c>
      <x:c r="J124" s="13"/>
      <x:c r="K124" s="15"/>
      <x:c r="L124" s="9" t="str">
        <x:v>Ancient-tech recovery source; specific sites and forms undecided</x:v>
      </x:c>
      <x:c r="M124" s="9" t="str">
        <x:v>Recovery/reuse only as a design candidate; no manufacturing recipe established</x:v>
      </x:c>
      <x:c r="N124" s="9" t="str">
        <x:v>Not implemented</x:v>
      </x:c>
      <x:c r="O124" s="9" t="str">
        <x:v>No self-repair, active nanomachines or extraordinary conductivity inferred from its name.</x:v>
      </x:c>
      <x:c r="P124" s="46" t="str">
        <x:v>Extremely rare</x:v>
      </x:c>
      <x:c r="Q124" s="17"/>
      <x:c r="R124" s="17"/>
      <x:c r="S124" s="17"/>
      <x:c r="T124" s="17"/>
      <x:c r="U124" s="9" t="str">
        <x:v>Extremely rare by author direction. Fragment versus intact component, testing, trade and fabrication possibilities remain open.</x:v>
      </x:c>
      <x:c r="V124" s="11"/>
      <x:c r="W124" s="9" t="str">
        <x:v>Direct author direction October 14, 2026; Docs/WORLD_BASIS.md#material-culture. Related source is a proposal: https://github.com/sleepyseamonster/Arc-Dust/blob/f6f98515c005dc3c73cccd9cbc031691745740c6/02-Arc-Dust-Worldbuilding/world/materials/ancient-synthetics.md</x:v>
      </x:c>
      <x:c r="X124" s="4" t="str">
        <x:v>Processed material</x:v>
      </x:c>
      <x:c r="Y124" s="4" t="str">
        <x:v>Ancient manufactured</x:v>
      </x:c>
      <x:c r="Z124" s="4" t="str">
        <x:v>Ancient technology</x:v>
      </x:c>
      <x:c r="AA124" s="4" t="str">
        <x:v>Use unresolved</x:v>
      </x:c>
      <x:c r="AB124" s="4" t="str">
        <x:v>Ancient composite</x:v>
      </x:c>
      <x:c r="AC124" s="4" t="str">
        <x:v>Unresolved</x:v>
      </x:c>
      <x:c r="AD124" s="4" t="str">
        <x:v>Author direction</x:v>
      </x:c>
      <x:c r="AE124" s="4" t="str">
        <x:f>LOWER(A124&amp;"; "&amp;B124&amp;"; "&amp;D124&amp;"; "&amp;E124&amp;"; "&amp;X124&amp;"; "&amp;Y124&amp;"; "&amp;Z124&amp;"; "&amp;AA124&amp;"; "&amp;AB124&amp;"; "&amp;AC124&amp;"; "&amp;AD124&amp;"; "&amp;V124&amp;"; "&amp;C124&amp;"; "&amp;AH124&amp;"; "&amp;AI124)</x:f>
        <x:v>proposal.ancient.nanocarbon; ancient nanocarbon material; ancient salvage; ancient manufactured material; processed material; ancient manufactured; ancient technology; use unresolved; ancient composite; unresolved; author direction; ; not applicable; unassigned; material</x:v>
      </x:c>
      <x:c r="AF124" s="4" t="str">
        <x:v>From current item description. Proposed uses retain their existing approval status. Lore category review: Resources -&gt; Ancient salvage. Classification only; original item status and tier retained.</x:v>
      </x:c>
      <x:c r="AG12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4" s="4" t="str">
        <x:v>Unassigned</x:v>
      </x:c>
      <x:c r="AI124" s="4" t="str">
        <x:v>Material</x:v>
      </x:c>
      <x:c r="AJ124" s="4" t="n">
        <x:f>COUNTIFS('Material routes'!$D$6:$D$2205,A124,'Material routes'!$C$6:$C$2205,"Output")</x:f>
        <x:v>0</x:v>
      </x:c>
      <x:c r="AK124" s="4" t="n">
        <x:f>SUM(COUNTIFS('Material routes'!$D$6:$D$2205,A124,'Material routes'!$C$6:$C$2205,"Ingredient candidate"),COUNTIFS('Material routes'!$D$6:$D$2205,A124,'Material routes'!$C$6:$C$2205,"Consumed input"),COUNTIFS('Material routes'!$D$6:$D$2205,A124,'Material routes'!$C$6:$C$2205,"Contained input"),COUNTIFS('Material routes'!$D$6:$D$2205,A124,'Material routes'!$C$6:$C$2205,"Transform input"))</x:f>
        <x:v>0</x:v>
      </x:c>
      <x:c r="AL124" s="4" t="n">
        <x:f>COUNTIFS('Material routes'!$D$6:$D$2205,A124,'Material routes'!$C$6:$C$2205,"Tool candidate")</x:f>
        <x:v>0</x:v>
      </x:c>
      <x:c r="AM124" s="4" t="str">
        <x:f>IF(AJ124&gt;0,"Route listed; review status/completeness",IF(C124="T0","Raw entry feed; no production route","No production route listed"))</x:f>
        <x:v>No production route listed</x:v>
      </x:c>
      <x:c r="AN124" s="14" t="n">
        <x:f>IF(C124="T0",0,IF(C124="T1",1,IF(C124="T2",2,IF(C124="T3",3,IF(C124="T4",4,IF(C124="Unassigned",98,99))))))</x:f>
        <x:v>99</x:v>
      </x:c>
      <x:c r="AZ124"/>
      <x:c r="BA124"/>
      <x:c r="BB124"/>
      <x:c r="BC124"/>
      <x:c r="BD124"/>
      <x:c r="BE124"/>
      <x:c r="BF124"/>
      <x:c r="BG124"/>
      <x:c r="BH124"/>
      <x:c r="BI124"/>
      <x:c r="BJ124"/>
      <x:c r="BK124"/>
      <x:c r="BL124"/>
      <x:c r="BM124"/>
      <x:c r="BN124"/>
      <x:c r="BO124"/>
      <x:c r="BP124"/>
      <x:c r="BQ124"/>
      <x:c r="BR124"/>
      <x:c r="BS124"/>
      <x:c r="BT124"/>
      <x:c r="BU124"/>
      <x:c r="BV124"/>
      <x:c r="BW124"/>
      <x:c r="BX124"/>
      <x:c r="BY124"/>
      <x:c r="BZ124"/>
      <x:c r="CA124"/>
      <x:c r="CB124"/>
      <x:c r="CC124"/>
    </x:row>
    <x:row r="125" ht="170" customHeight="1">
      <x:c r="A125" s="9" t="str">
        <x:v>proposal.ancient.plasteel</x:v>
      </x:c>
      <x:c r="B125" s="9" t="str">
        <x:v>Ancient plasteel material</x:v>
      </x:c>
      <x:c r="C125" s="4" t="str">
        <x:v>Not applicable</x:v>
      </x:c>
      <x:c r="D125" s="9" t="str">
        <x:v>Ancient salvage</x:v>
      </x:c>
      <x:c r="E125" s="9" t="str">
        <x:v>Ancient manufactured material</x:v>
      </x:c>
      <x:c r="F125" s="9" t="str">
        <x:v>User direction; not implemented</x:v>
      </x:c>
      <x:c r="G125" s="9" t="inlineStr">
        <x:is>
          <x:t xml:space="preserve">Ancient manufactured material comparable to plasteel. It is an extremely rare ancient recovery whose original function remains a working hypothesis. Condition, compatibility and safe operation are unknown; no contemporary reproduction is implied.</x:t>
        </x:is>
      </x:c>
      <x:c r="H125" s="9" t="str">
        <x:v>None</x:v>
      </x:c>
      <x:c r="I125" s="9" t="str">
        <x:v>Recovered material: Legger / physical local storage</x:v>
      </x:c>
      <x:c r="J125" s="13"/>
      <x:c r="K125" s="15"/>
      <x:c r="L125" s="9" t="str">
        <x:v>Ancient-tech recovery source; specific sites and forms undecided</x:v>
      </x:c>
      <x:c r="M125" s="9" t="str">
        <x:v>Recovery/reuse only as a design candidate; no manufacturing recipe established</x:v>
      </x:c>
      <x:c r="N125" s="9" t="str">
        <x:v>Not implemented</x:v>
      </x:c>
      <x:c r="O125" s="9" t="str">
        <x:v>Exact formulation and properties undefined; not an ordinary iron/steel ore or alloy recipe.</x:v>
      </x:c>
      <x:c r="P125" s="46" t="str">
        <x:v>Extremely rare</x:v>
      </x:c>
      <x:c r="Q125" s="17"/>
      <x:c r="R125" s="17"/>
      <x:c r="S125" s="17"/>
      <x:c r="T125" s="17"/>
      <x:c r="U125" s="9" t="str">
        <x:v>Extremely rare by author direction. Fragment versus intact component, testing, trade and fabrication possibilities remain open.</x:v>
      </x:c>
      <x:c r="V125" s="11"/>
      <x:c r="W125" s="9" t="str">
        <x:v>Direct author direction October 14, 2026; Docs/WORLD_BASIS.md#material-culture. Related source is a proposal: https://github.com/sleepyseamonster/Arc-Dust/blob/f6f98515c005dc3c73cccd9cbc031691745740c6/02-Arc-Dust-Worldbuilding/world/materials/ancient-synthetics.md</x:v>
      </x:c>
      <x:c r="X125" s="4" t="str">
        <x:v>Processed material</x:v>
      </x:c>
      <x:c r="Y125" s="4" t="str">
        <x:v>Ancient manufactured</x:v>
      </x:c>
      <x:c r="Z125" s="4" t="str">
        <x:v>Ancient technology</x:v>
      </x:c>
      <x:c r="AA125" s="4" t="str">
        <x:v>Use unresolved</x:v>
      </x:c>
      <x:c r="AB125" s="4" t="str">
        <x:v>Ancient composite</x:v>
      </x:c>
      <x:c r="AC125" s="4" t="str">
        <x:v>Unresolved</x:v>
      </x:c>
      <x:c r="AD125" s="4" t="str">
        <x:v>Author direction</x:v>
      </x:c>
      <x:c r="AE125" s="4" t="str">
        <x:f>LOWER(A125&amp;"; "&amp;B125&amp;"; "&amp;D125&amp;"; "&amp;E125&amp;"; "&amp;X125&amp;"; "&amp;Y125&amp;"; "&amp;Z125&amp;"; "&amp;AA125&amp;"; "&amp;AB125&amp;"; "&amp;AC125&amp;"; "&amp;AD125&amp;"; "&amp;V125&amp;"; "&amp;C125&amp;"; "&amp;AH125&amp;"; "&amp;AI125)</x:f>
        <x:v>proposal.ancient.plasteel; ancient plasteel material; ancient salvage; ancient manufactured material; processed material; ancient manufactured; ancient technology; use unresolved; ancient composite; unresolved; author direction; ; not applicable; unassigned; material</x:v>
      </x:c>
      <x:c r="AF125" s="4" t="str">
        <x:v>From current item description. Proposed uses retain their existing approval status. Lore category review: Resources -&gt; Ancient salvage. Classification only; original item status and tier retained.</x:v>
      </x:c>
      <x:c r="AG12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5" s="4" t="str">
        <x:v>Unassigned</x:v>
      </x:c>
      <x:c r="AI125" s="4" t="str">
        <x:v>Material</x:v>
      </x:c>
      <x:c r="AJ125" s="4" t="n">
        <x:f>COUNTIFS('Material routes'!$D$6:$D$2205,A125,'Material routes'!$C$6:$C$2205,"Output")</x:f>
        <x:v>0</x:v>
      </x:c>
      <x:c r="AK125" s="4" t="n">
        <x:f>SUM(COUNTIFS('Material routes'!$D$6:$D$2205,A125,'Material routes'!$C$6:$C$2205,"Ingredient candidate"),COUNTIFS('Material routes'!$D$6:$D$2205,A125,'Material routes'!$C$6:$C$2205,"Consumed input"),COUNTIFS('Material routes'!$D$6:$D$2205,A125,'Material routes'!$C$6:$C$2205,"Contained input"),COUNTIFS('Material routes'!$D$6:$D$2205,A125,'Material routes'!$C$6:$C$2205,"Transform input"))</x:f>
        <x:v>0</x:v>
      </x:c>
      <x:c r="AL125" s="4" t="n">
        <x:f>COUNTIFS('Material routes'!$D$6:$D$2205,A125,'Material routes'!$C$6:$C$2205,"Tool candidate")</x:f>
        <x:v>0</x:v>
      </x:c>
      <x:c r="AM125" s="4" t="str">
        <x:f>IF(AJ125&gt;0,"Route listed; review status/completeness",IF(C125="T0","Raw entry feed; no production route","No production route listed"))</x:f>
        <x:v>No production route listed</x:v>
      </x:c>
      <x:c r="AN125" s="14" t="n">
        <x:f>IF(C125="T0",0,IF(C125="T1",1,IF(C125="T2",2,IF(C125="T3",3,IF(C125="T4",4,IF(C125="Unassigned",98,99))))))</x:f>
        <x:v>99</x:v>
      </x:c>
      <x:c r="AZ125"/>
      <x:c r="BA125"/>
      <x:c r="BB125"/>
      <x:c r="BC125"/>
      <x:c r="BD125"/>
      <x:c r="BE125"/>
      <x:c r="BF125"/>
      <x:c r="BG125"/>
      <x:c r="BH125"/>
      <x:c r="BI125"/>
      <x:c r="BJ125"/>
      <x:c r="BK125"/>
      <x:c r="BL125"/>
      <x:c r="BM125"/>
      <x:c r="BN125"/>
      <x:c r="BO125"/>
      <x:c r="BP125"/>
      <x:c r="BQ125"/>
      <x:c r="BR125"/>
      <x:c r="BS125"/>
      <x:c r="BT125"/>
      <x:c r="BU125"/>
      <x:c r="BV125"/>
      <x:c r="BW125"/>
      <x:c r="BX125"/>
      <x:c r="BY125"/>
      <x:c r="BZ125"/>
      <x:c r="CA125"/>
      <x:c r="CB125"/>
      <x:c r="CC125"/>
    </x:row>
    <x:row r="126" ht="90" customHeight="1">
      <x:c r="A126" s="9" t="str">
        <x:v>proposal.fashion.special_spectacles</x:v>
      </x:c>
      <x:c r="B126" s="9" t="str">
        <x:v>Specialized spectacles</x:v>
      </x:c>
      <x:c r="C126" s="4" t="str">
        <x:v>Not applicable</x:v>
      </x:c>
      <x:c r="D126" s="9" t="inlineStr">
        <x:is>
          <x:t xml:space="preserve">Salvage</x:t>
        </x:is>
      </x:c>
      <x:c r="E126" s="9" t="str">
        <x:v>Specialist eyewear</x:v>
      </x:c>
      <x:c r="F126" s="9" t="str">
        <x:v>User direction; not implemented</x:v>
      </x:c>
      <x:c r="G126" s="9" t="inlineStr">
        <x:is>
          <x:t xml:space="preserve">Rare specialized eyewear; precise purpose and optical effect to define. It supports the positioning or preparation of a viewing element. Useful clarity, alignment or correction must be established for the actual optics.</x:t>
        </x:is>
      </x:c>
      <x:c r="H126" s="9" t="str">
        <x:v>Unassigned; fit/layering TBD</x:v>
      </x:c>
      <x:c r="I126" s="9" t="str">
        <x:v>Booter-worn concept; spare/transfer policy TBD</x:v>
      </x:c>
      <x:c r="J126" s="13"/>
      <x:c r="K126" s="15"/>
      <x:c r="L126" s="9" t="str">
        <x:v>Specialist crafting/trade candidate; exact acquisition TBD</x:v>
      </x:c>
      <x:c r="M126" s="9" t="str">
        <x:v>Material family: Lens and frame materials/requirements TBD</x:v>
      </x:c>
      <x:c r="N126" s="9" t="str">
        <x:v>Not implemented</x:v>
      </x:c>
      <x:c r="O126" s="9" t="str">
        <x:v>Specific purpose, lens manufacture, face fit and equipment compatibility remain open</x:v>
      </x:c>
      <x:c r="P126" s="46" t="str">
        <x:v>Rare</x:v>
      </x:c>
      <x:c r="Q126" s="17"/>
      <x:c r="R126" s="17"/>
      <x:c r="S126" s="17"/>
      <x:c r="T126" s="17"/>
      <x:c r="U126" s="9" t="str">
        <x:v>Rare by author direction; fashion versions very rare and expensive. Crafting inputs intended high-value trade goods; no numeric price/time/yield assigned.</x:v>
      </x:c>
      <x:c r="V126" s="11"/>
      <x:c r="W126" s="9" t="str">
        <x:v>Direct author direction, October 14, 2026; Docs/WORLD_BASIS.md#material-culture. Clothing exists without cloth; fashion is very rare/expensive and qualifying crafting inputs have high sale-value intent.</x:v>
      </x:c>
      <x:c r="X126" s="4" t="str">
        <x:v>Wearable</x:v>
      </x:c>
      <x:c r="Y126" s="4" t="str">
        <x:v>Finished item</x:v>
      </x:c>
      <x:c r="Z126" s="4" t="str">
        <x:v>Manufactured / unresolved</x:v>
      </x:c>
      <x:c r="AA126" s="4" t="str">
        <x:v>Vision</x:v>
      </x:c>
      <x:c r="AB126" s="4" t="str">
        <x:v>Mixed / unresolved</x:v>
      </x:c>
      <x:c r="AC126" s="4" t="str">
        <x:v>Assembly</x:v>
      </x:c>
      <x:c r="AD126" s="4" t="str">
        <x:v>Author direction</x:v>
      </x:c>
      <x:c r="AE126" s="4" t="str">
        <x:f>LOWER(A126&amp;"; "&amp;B126&amp;"; "&amp;D126&amp;"; "&amp;E126&amp;"; "&amp;X126&amp;"; "&amp;Y126&amp;"; "&amp;Z126&amp;"; "&amp;AA126&amp;"; "&amp;AB126&amp;"; "&amp;AC126&amp;"; "&amp;AD126&amp;"; "&amp;V126&amp;"; "&amp;C126&amp;"; "&amp;AH126&amp;"; "&amp;AI126)</x:f>
        <x:v>proposal.fashion.special_spectacles; specialized spectacles; salvage; specialist eyewear; wearable; finished item; manufactured / unresolved; vision; mixed / unresolved; assembly; author direction; ; not applicable; t3; finished item</x:v>
      </x:c>
      <x:c r="AF126"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6" s="4" t="str">
        <x:v>Finished endpoint; material tier is not applicable. Input tiers belong to the chosen recipe.</x:v>
      </x:c>
      <x:c r="AH126" s="4" t="str">
        <x:v>T3</x:v>
      </x:c>
      <x:c r="AI126" s="4" t="str">
        <x:v>Finished item</x:v>
      </x:c>
      <x:c r="AJ126" s="4" t="n">
        <x:f>COUNTIFS('Material routes'!$D$6:$D$2205,A126,'Material routes'!$C$6:$C$2205,"Output")</x:f>
        <x:v>1</x:v>
      </x:c>
      <x:c r="AK126" s="4" t="n">
        <x:f>SUM(COUNTIFS('Material routes'!$D$6:$D$2205,A126,'Material routes'!$C$6:$C$2205,"Ingredient candidate"),COUNTIFS('Material routes'!$D$6:$D$2205,A126,'Material routes'!$C$6:$C$2205,"Consumed input"),COUNTIFS('Material routes'!$D$6:$D$2205,A126,'Material routes'!$C$6:$C$2205,"Contained input"),COUNTIFS('Material routes'!$D$6:$D$2205,A126,'Material routes'!$C$6:$C$2205,"Transform input"))</x:f>
        <x:v>0</x:v>
      </x:c>
      <x:c r="AL126" s="4" t="n">
        <x:f>COUNTIFS('Material routes'!$D$6:$D$2205,A126,'Material routes'!$C$6:$C$2205,"Tool candidate")</x:f>
        <x:v>0</x:v>
      </x:c>
      <x:c r="AM126" s="4" t="str">
        <x:f>IF(AJ126&gt;0,"Route listed; review status/completeness",IF(C126="T0","Raw entry feed; no production route","No production route listed"))</x:f>
        <x:v>Route listed; review status/completeness</x:v>
      </x:c>
      <x:c r="AN126" s="14" t="n">
        <x:f>IF(C126="T0",0,IF(C126="T1",1,IF(C126="T2",2,IF(C126="T3",3,IF(C126="T4",4,IF(C126="Unassigned",98,99))))))</x:f>
        <x:v>99</x:v>
      </x:c>
      <x:c r="AZ126"/>
      <x:c r="BA126"/>
      <x:c r="BB126"/>
      <x:c r="BC126"/>
      <x:c r="BD126"/>
      <x:c r="BE126"/>
      <x:c r="BF126"/>
      <x:c r="BG126"/>
      <x:c r="BH126"/>
      <x:c r="BI126"/>
      <x:c r="BJ126"/>
      <x:c r="BK126"/>
      <x:c r="BL126"/>
      <x:c r="BM126"/>
      <x:c r="BN126"/>
      <x:c r="BO126"/>
      <x:c r="BP126"/>
      <x:c r="BQ126"/>
      <x:c r="BR126"/>
      <x:c r="BS126"/>
      <x:c r="BT126"/>
      <x:c r="BU126"/>
      <x:c r="BV126"/>
      <x:c r="BW126"/>
      <x:c r="BX126"/>
      <x:c r="BY126"/>
      <x:c r="BZ126"/>
      <x:c r="CA126"/>
      <x:c r="CB126"/>
      <x:c r="CC126"/>
    </x:row>
    <x:row r="127" ht="90" customHeight="1">
      <x:c r="A127" s="9" t="str">
        <x:v>proposal.fashion.eyeglasses</x:v>
      </x:c>
      <x:c r="B127" s="9" t="str">
        <x:v>Eyeglasses</x:v>
      </x:c>
      <x:c r="C127" s="4" t="str">
        <x:v>Not applicable</x:v>
      </x:c>
      <x:c r="D127" s="9" t="inlineStr">
        <x:is>
          <x:t xml:space="preserve">Salvage</x:t>
        </x:is>
      </x:c>
      <x:c r="E127" s="9" t="str">
        <x:v>Eyewear</x:v>
      </x:c>
      <x:c r="F127" s="9" t="str">
        <x:v>User direction; not implemented</x:v>
      </x:c>
      <x:c r="G127" s="9" t="inlineStr">
        <x:is>
          <x:t xml:space="preserve">Rare eyeglasses; lens function, frame and fitting need design. It supports the positioning or preparation of a viewing element. Useful clarity, alignment or correction must be established for the actual optics.</x:t>
        </x:is>
      </x:c>
      <x:c r="H127" s="9" t="str">
        <x:v>Unassigned; fit/layering TBD</x:v>
      </x:c>
      <x:c r="I127" s="9" t="str">
        <x:v>Booter-worn concept; spare/transfer policy TBD</x:v>
      </x:c>
      <x:c r="J127" s="13"/>
      <x:c r="K127" s="15"/>
      <x:c r="L127" s="9" t="str">
        <x:v>Specialist crafting/trade candidate; exact acquisition TBD</x:v>
      </x:c>
      <x:c r="M127" s="9" t="str">
        <x:v>Material family: Lens and frame materials/requirements TBD</x:v>
      </x:c>
      <x:c r="N127" s="9" t="str">
        <x:v>Not implemented</x:v>
      </x:c>
      <x:c r="O127" s="9" t="str">
        <x:v>Distinction from specialized spectacles and actual vision effects remain open</x:v>
      </x:c>
      <x:c r="P127" s="46" t="str">
        <x:v>Rare</x:v>
      </x:c>
      <x:c r="Q127" s="17"/>
      <x:c r="R127" s="17"/>
      <x:c r="S127" s="17"/>
      <x:c r="T127" s="17"/>
      <x:c r="U127" s="9" t="str">
        <x:v>Rare by author direction; fashion versions very rare and expensive. Crafting inputs intended high-value trade goods; no numeric price/time/yield assigned.</x:v>
      </x:c>
      <x:c r="V127" s="11"/>
      <x:c r="W127" s="9" t="str">
        <x:v>Direct author direction, October 14, 2026; Docs/WORLD_BASIS.md#material-culture. Clothing exists without cloth; fashion is very rare/expensive and qualifying crafting inputs have high sale-value intent.</x:v>
      </x:c>
      <x:c r="X127" s="4" t="str">
        <x:v>Wearable</x:v>
      </x:c>
      <x:c r="Y127" s="4" t="str">
        <x:v>Finished item</x:v>
      </x:c>
      <x:c r="Z127" s="4" t="str">
        <x:v>Manufactured / unresolved</x:v>
      </x:c>
      <x:c r="AA127" s="4" t="str">
        <x:v>Vision</x:v>
      </x:c>
      <x:c r="AB127" s="4" t="str">
        <x:v>Mixed / unresolved</x:v>
      </x:c>
      <x:c r="AC127" s="4" t="str">
        <x:v>Assembly</x:v>
      </x:c>
      <x:c r="AD127" s="4" t="str">
        <x:v>Author direction</x:v>
      </x:c>
      <x:c r="AE127" s="4" t="str">
        <x:f>LOWER(A127&amp;"; "&amp;B127&amp;"; "&amp;D127&amp;"; "&amp;E127&amp;"; "&amp;X127&amp;"; "&amp;Y127&amp;"; "&amp;Z127&amp;"; "&amp;AA127&amp;"; "&amp;AB127&amp;"; "&amp;AC127&amp;"; "&amp;AD127&amp;"; "&amp;V127&amp;"; "&amp;C127&amp;"; "&amp;AH127&amp;"; "&amp;AI127)</x:f>
        <x:v>proposal.fashion.eyeglasses; eyeglasses; salvage; eyewear; wearable; finished item; manufactured / unresolved; vision; mixed / unresolved; assembly; author direction; ; not applicable; t3; finished item</x:v>
      </x:c>
      <x:c r="AF127"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7" s="4" t="str">
        <x:v>Finished endpoint; material tier is not applicable. Input tiers belong to the chosen recipe.</x:v>
      </x:c>
      <x:c r="AH127" s="4" t="str">
        <x:v>T3</x:v>
      </x:c>
      <x:c r="AI127" s="4" t="str">
        <x:v>Finished item</x:v>
      </x:c>
      <x:c r="AJ127" s="4" t="n">
        <x:f>COUNTIFS('Material routes'!$D$6:$D$2205,A127,'Material routes'!$C$6:$C$2205,"Output")</x:f>
        <x:v>1</x:v>
      </x:c>
      <x:c r="AK127" s="4" t="n">
        <x:f>SUM(COUNTIFS('Material routes'!$D$6:$D$2205,A127,'Material routes'!$C$6:$C$2205,"Ingredient candidate"),COUNTIFS('Material routes'!$D$6:$D$2205,A127,'Material routes'!$C$6:$C$2205,"Consumed input"),COUNTIFS('Material routes'!$D$6:$D$2205,A127,'Material routes'!$C$6:$C$2205,"Contained input"),COUNTIFS('Material routes'!$D$6:$D$2205,A127,'Material routes'!$C$6:$C$2205,"Transform input"))</x:f>
        <x:v>0</x:v>
      </x:c>
      <x:c r="AL127" s="4" t="n">
        <x:f>COUNTIFS('Material routes'!$D$6:$D$2205,A127,'Material routes'!$C$6:$C$2205,"Tool candidate")</x:f>
        <x:v>0</x:v>
      </x:c>
      <x:c r="AM127" s="4" t="str">
        <x:f>IF(AJ127&gt;0,"Route listed; review status/completeness",IF(C127="T0","Raw entry feed; no production route","No production route listed"))</x:f>
        <x:v>Route listed; review status/completeness</x:v>
      </x:c>
      <x:c r="AN127" s="14" t="n">
        <x:f>IF(C127="T0",0,IF(C127="T1",1,IF(C127="T2",2,IF(C127="T3",3,IF(C127="T4",4,IF(C127="Unassigned",98,99))))))</x:f>
        <x:v>99</x:v>
      </x:c>
      <x:c r="AZ127"/>
      <x:c r="BA127"/>
      <x:c r="BB127"/>
      <x:c r="BC127"/>
      <x:c r="BD127"/>
      <x:c r="BE127"/>
      <x:c r="BF127"/>
      <x:c r="BG127"/>
      <x:c r="BH127"/>
      <x:c r="BI127"/>
      <x:c r="BJ127"/>
      <x:c r="BK127"/>
      <x:c r="BL127"/>
      <x:c r="BM127"/>
      <x:c r="BN127"/>
      <x:c r="BO127"/>
      <x:c r="BP127"/>
      <x:c r="BQ127"/>
      <x:c r="BR127"/>
      <x:c r="BS127"/>
      <x:c r="BT127"/>
      <x:c r="BU127"/>
      <x:c r="BV127"/>
      <x:c r="BW127"/>
      <x:c r="BX127"/>
      <x:c r="BY127"/>
      <x:c r="BZ127"/>
      <x:c r="CA127"/>
      <x:c r="CB127"/>
      <x:c r="CC127"/>
    </x:row>
    <x:row r="128" ht="90" customHeight="1">
      <x:c r="A128" s="9"/>
      <x:c r="B128" s="9"/>
      <x:c r="C128" s="4"/>
      <x:c r="D128" s="9"/>
      <x:c r="E128" s="9"/>
      <x:c r="F128" s="9"/>
      <x:c r="G128" s="9"/>
      <x:c r="H128" s="9"/>
      <x:c r="I128" s="9"/>
      <x:c r="J128" s="13"/>
      <x:c r="K128" s="15"/>
      <x:c r="L128" s="9"/>
      <x:c r="M128" s="9"/>
      <x:c r="N128" s="9"/>
      <x:c r="O128" s="9"/>
      <x:c r="P128" s="46"/>
      <x:c r="Q128" s="17"/>
      <x:c r="R128" s="17"/>
      <x:c r="S128" s="17"/>
      <x:c r="T128" s="17"/>
      <x:c r="U128" s="9"/>
      <x:c r="V128" s="11"/>
      <x:c r="W128" s="9"/>
      <x:c r="X128" s="4"/>
      <x:c r="Y128" s="4"/>
      <x:c r="Z128" s="4"/>
      <x:c r="AA128" s="4"/>
      <x:c r="AB128" s="4"/>
      <x:c r="AC128" s="4"/>
      <x:c r="AD128" s="4"/>
      <x:c r="AE128" s="4"/>
      <x:c r="AF128" s="4"/>
      <x:c r="AG128" s="4"/>
      <x:c r="AH128" s="4"/>
      <x:c r="AI128" s="4"/>
      <x:c r="AJ128" s="4"/>
      <x:c r="AK128" s="4"/>
      <x:c r="AL128" s="4"/>
      <x:c r="AM128" s="4"/>
      <x:c r="AN128" s="14"/>
      <x:c r="AZ128"/>
      <x:c r="BA128"/>
      <x:c r="BB128"/>
      <x:c r="BC128"/>
      <x:c r="BD128"/>
      <x:c r="BE128"/>
      <x:c r="BF128"/>
      <x:c r="BG128"/>
      <x:c r="BH128"/>
      <x:c r="BI128"/>
      <x:c r="BJ128"/>
      <x:c r="BK128"/>
      <x:c r="BL128"/>
      <x:c r="BM128"/>
      <x:c r="BN128"/>
      <x:c r="BO128"/>
      <x:c r="BP128"/>
      <x:c r="BQ128"/>
      <x:c r="BR128"/>
      <x:c r="BS128"/>
      <x:c r="BT128"/>
      <x:c r="BU128"/>
      <x:c r="BV128"/>
      <x:c r="BW128"/>
      <x:c r="BX128"/>
      <x:c r="BY128"/>
      <x:c r="BZ128"/>
      <x:c r="CA128"/>
      <x:c r="CB128"/>
      <x:c r="CC128"/>
    </x:row>
    <x:row r="129" ht="90" customHeight="1">
      <x:c r="A129" s="9" t="str">
        <x:v>proposal.fashion.husk_garment</x:v>
      </x:c>
      <x:c r="B129" s="9" t="inlineStr">
        <x:is>
          <x:t xml:space="preserve">Pleated husk-fiber dress coat</x:t>
        </x:is>
      </x:c>
      <x:c r="C129" s="4" t="inlineStr">
        <x:is>
          <x:t xml:space="preserve">T3</x:t>
        </x:is>
      </x:c>
      <x:c r="D129" s="9" t="inlineStr">
        <x:is>
          <x:t xml:space="preserve">Clothing</x:t>
        </x:is>
      </x:c>
      <x:c r="E129" s="9" t="inlineStr">
        <x:is>
          <x:t xml:space="preserve">Fancy husk-fiber fashion / coat</x:t>
        </x:is>
      </x:c>
      <x:c r="F129" s="9" t="inlineStr">
        <x:is>
          <x:t xml:space="preserve">New proposal</x:t>
        </x:is>
      </x:c>
      <x:c r="G129" s="9" t="inlineStr">
        <x:is>
          <x:t xml:space="preserve">One fitted fashion coat with a high folded collar, long split tails and narrow fan pleats at the back. Burnished metal clasps and layered husk-fiber edges give the proposed family a sculpted formal silhouette. Reuses the former broad Elaborate husk-fiber wear entry as one coat.</x:t>
        </x:is>
      </x:c>
      <x:c r="H129" s="9" t="inlineStr">
        <x:is>
          <x:t xml:space="preserve">Unassigned; fit unresolved</x:t>
        </x:is>
      </x:c>
      <x:c r="I129" s="9" t="inlineStr">
        <x:is>
          <x:t xml:space="preserve">Booter-worn fashion garment; fitting, packing and canister clearance unresolved.</x:t>
        </x:is>
      </x:c>
      <x:c r="J129" s="13" t="inlineStr">
        <x:is>
          <x:t xml:space="preserve"/>
        </x:is>
      </x:c>
      <x:c r="K129" s="15" t="inlineStr">
        <x:is>
          <x:t xml:space="preserve"/>
        </x:is>
      </x:c>
      <x:c r="L129" s="9" t="inlineStr">
        <x:is>
          <x:t xml:space="preserve">Proposed specialist fashion craft or high-value trade. Elaborate fashion is very rare and expensive; exact availability, cost and maker remain unresolved.</x:t>
        </x:is>
      </x:c>
      <x:c r="M129" s="9"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129" s="9" t="inlineStr">
        <x:is>
          <x:t xml:space="preserve">Not implemented</x:t>
        </x:is>
      </x:c>
      <x:c r="O129" s="9" t="inlineStr">
        <x:is>
          <x:t xml:space="preserve">Fashion clothing, not armor. Material preparation, seams, fit, comfort, wear and performance remain proposals. No ordinary cloth, wood, free-water textile process, social-stat bonus, set bonus or equipment slot introduced.</x:t>
        </x:is>
      </x:c>
      <x:c r="P129" s="46" t="inlineStr">
        <x:is>
          <x:t xml:space="preserve">Very rare</x:t>
        </x:is>
      </x:c>
      <x:c r="Q129" s="17" t="inlineStr">
        <x:is>
          <x:t xml:space="preserve"/>
        </x:is>
      </x:c>
      <x:c r="R129" s="17" t="inlineStr">
        <x:is>
          <x:t xml:space="preserve"/>
        </x:is>
      </x:c>
      <x:c r="S129" s="17" t="inlineStr">
        <x:is>
          <x:t xml:space="preserve"/>
        </x:is>
      </x:c>
      <x:c r="T129" s="17" t="inlineStr">
        <x:is>
          <x:t xml:space="preserve"/>
        </x:is>
      </x:c>
      <x:c r="U129" s="9" t="inlineStr">
        <x:is>
          <x:t xml:space="preserve">Panel preparation, fold retention, joining, collar fit, closure and canister clearance require design. No uniform, rank, social privilege or armor benefit established.</x:t>
        </x:is>
      </x:c>
      <x:c r="V129" s="11" t="inlineStr">
        <x:is>
          <x:t xml:space="preserve">elaborate husk-fiber wear; fancy husk fiber set; fashionable textile; formal coat; separate garment</x:t>
        </x:is>
      </x:c>
      <x:c r="W129" s="9"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x:t>
        </x:is>
      </x:c>
      <x:c r="X129" s="4" t="inlineStr">
        <x:is>
          <x:t xml:space="preserve">Wearable</x:t>
        </x:is>
      </x:c>
      <x:c r="Y129" s="4" t="inlineStr">
        <x:is>
          <x:t xml:space="preserve">Finished item</x:t>
        </x:is>
      </x:c>
      <x:c r="Z129" s="4" t="inlineStr">
        <x:is>
          <x:t xml:space="preserve">Manufactured / unresolved</x:t>
        </x:is>
      </x:c>
      <x:c r="AA129" s="4" t="inlineStr">
        <x:is>
          <x:t xml:space="preserve">Fashion</x:t>
        </x:is>
      </x:c>
      <x:c r="AB129" s="4" t="inlineStr">
        <x:is>
          <x:t xml:space="preserve">Husk fiber</x:t>
        </x:is>
      </x:c>
      <x:c r="AC129" s="4" t="inlineStr">
        <x:is>
          <x:t xml:space="preserve">Assembly</x:t>
        </x:is>
      </x:c>
      <x:c r="AD129" s="4" t="inlineStr">
        <x:is>
          <x:t xml:space="preserve">Proposal</x:t>
        </x:is>
      </x:c>
      <x:c r="AE129" s="4" t="str">
        <x:f>LOWER(A129&amp;"; "&amp;B129&amp;"; "&amp;D129&amp;"; "&amp;E129&amp;"; "&amp;X129&amp;"; "&amp;Y129&amp;"; "&amp;Z129&amp;"; "&amp;AA129&amp;"; "&amp;AB129&amp;"; "&amp;AC129&amp;"; "&amp;AD129&amp;"; "&amp;V129&amp;"; "&amp;C129&amp;"; "&amp;AH129&amp;"; "&amp;AI129)</x:f>
        <x:v>proposal.fashion.husk_garment; pleated husk-fiber dress coat; clothing; fancy husk-fiber fashion / coat; wearable; finished item; manufactured / unresolved; fashion; husk fiber; assembly; proposal; elaborate husk-fiber wear; fancy husk fiber set; fashionable textile; formal coat; separate garment; t3; t2; finished item</x:v>
      </x:c>
      <x:c r="AF129" s="4" t="inlineStr">
        <x:is>
          <x:t xml:space="preserve">One separate fashionable husk-fiber garment; family membership adds no counted outfit. Rarity and value follow the author's elaborate-fashion direction without assigning prices.</x:t>
        </x:is>
      </x:c>
      <x:c r="AG129" s="4" t="inlineStr">
        <x:is>
          <x:t xml:space="preserve">Proposed T3 finished fashion piece assembled from qualified T2 husk-fiber textile inputs and supporting fittings. Exact preparation and construction remain unresolved; rarity is separate from tier.</x:t>
        </x:is>
      </x:c>
      <x:c r="AH129" s="4" t="inlineStr">
        <x:is>
          <x:t xml:space="preserve">T2</x:t>
        </x:is>
      </x:c>
      <x:c r="AI129" s="4" t="inlineStr">
        <x:is>
          <x:t xml:space="preserve">Finished item</x:t>
        </x:is>
      </x:c>
      <x:c r="AJ129" s="4" t="n">
        <x:f>COUNTIFS('Material routes'!$D$6:$D$2205,A129,'Material routes'!$C$6:$C$2205,"Output")</x:f>
        <x:v>1</x:v>
      </x:c>
      <x:c r="AK129" s="4" t="n">
        <x:f>SUM(COUNTIFS('Material routes'!$D$6:$D$2205,A129,'Material routes'!$C$6:$C$2205,"Ingredient candidate"),COUNTIFS('Material routes'!$D$6:$D$2205,A129,'Material routes'!$C$6:$C$2205,"Consumed input"),COUNTIFS('Material routes'!$D$6:$D$2205,A129,'Material routes'!$C$6:$C$2205,"Contained input"),COUNTIFS('Material routes'!$D$6:$D$2205,A129,'Material routes'!$C$6:$C$2205,"Transform input"))</x:f>
        <x:v>0</x:v>
      </x:c>
      <x:c r="AL129" s="4" t="n">
        <x:f>COUNTIFS('Material routes'!$D$6:$D$2205,A129,'Material routes'!$C$6:$C$2205,"Tool candidate")</x:f>
        <x:v>0</x:v>
      </x:c>
      <x:c r="AM129" s="4" t="str">
        <x:f>IF(AJ129&gt;0,"Route listed; review status/completeness",IF(C129="T0","Raw entry feed; no production route","No production route listed"))</x:f>
        <x:v>Route listed; review status/completeness</x:v>
      </x:c>
      <x:c r="AN129" s="14">
        <x:f>IF(C129="T0",0,IF(C129="T1",1,IF(C129="T2",2,IF(C129="T3",3,IF(C129="T4",4,IF(C129="Unassigned",98,99))))))</x:f>
        <x:v>3</x:v>
      </x:c>
      <x:c r="AZ129"/>
      <x:c r="BA129"/>
      <x:c r="BB129"/>
      <x:c r="BC129"/>
      <x:c r="BD129"/>
      <x:c r="BE129"/>
      <x:c r="BF129"/>
      <x:c r="BG129"/>
      <x:c r="BH129"/>
      <x:c r="BI129"/>
      <x:c r="BJ129"/>
      <x:c r="BK129"/>
      <x:c r="BL129"/>
      <x:c r="BM129"/>
      <x:c r="BN129"/>
      <x:c r="BO129"/>
      <x:c r="BP129"/>
      <x:c r="BQ129"/>
      <x:c r="BR129"/>
      <x:c r="BS129"/>
      <x:c r="BT129"/>
      <x:c r="BU129"/>
      <x:c r="BV129"/>
      <x:c r="BW129"/>
      <x:c r="BX129"/>
      <x:c r="BY129"/>
      <x:c r="BZ129"/>
      <x:c r="CA129"/>
      <x:c r="CB129"/>
      <x:c r="CC129"/>
    </x:row>
    <x:row r="130" ht="90" customHeight="1">
      <x:c r="A130" s="9" t="str">
        <x:v>proposal.fashion.fur_garment</x:v>
      </x:c>
      <x:c r="B130" s="9" t="str">
        <x:v>Elaborate fur wear</x:v>
      </x:c>
      <x:c r="C130" s="4" t="str">
        <x:v>Not applicable</x:v>
      </x:c>
      <x:c r="D130" s="9" t="inlineStr">
        <x:is>
          <x:t xml:space="preserve">Clothing</x:t>
        </x:is>
      </x:c>
      <x:c r="E130" s="9" t="str">
        <x:v>Fashion garment</x:v>
      </x:c>
      <x:c r="F130" s="9" t="str">
        <x:v>User direction; not implemented</x:v>
      </x:c>
      <x:c r="G130" s="9" t="inlineStr">
        <x:is>
          <x:t xml:space="preserve">Very rare expensive fashion clothing using animal fur. Its appearance and workmanship serve the recorded fashion role, independently of armor or special equipment effects.</x:t>
        </x:is>
      </x:c>
      <x:c r="H130" s="9" t="str">
        <x:v>Unassigned; fit/layering TBD</x:v>
      </x:c>
      <x:c r="I130" s="9" t="str">
        <x:v>Booter-worn concept; spare/transfer policy TBD</x:v>
      </x:c>
      <x:c r="J130" s="13"/>
      <x:c r="K130" s="15"/>
      <x:c r="L130" s="9" t="str">
        <x:v>Specialist crafting/trade candidate; exact acquisition TBD</x:v>
      </x:c>
      <x:c r="M130" s="9" t="str">
        <x:v>Material family: Animal fur; supporting material TBD; no cloth</x:v>
      </x:c>
      <x:c r="N130" s="9" t="str">
        <x:v>Not implemented</x:v>
      </x:c>
      <x:c r="O130" s="9" t="str">
        <x:v>Luxury workmanship and large material/time demand; does not classify all everyday clothing as rare. Hide/fur processing still has extremely low yield.</x:v>
      </x:c>
      <x:c r="P130" s="46" t="str">
        <x:v>Very rare</x:v>
      </x:c>
      <x:c r="Q130" s="17"/>
      <x:c r="R130" s="17"/>
      <x:c r="S130" s="17"/>
      <x:c r="T130" s="17"/>
      <x:c r="U130" s="9" t="str">
        <x:v>Elaborate fashion variant. Ordinary simple wraps and metal-based wear with minimal fur are a separate everyday baseline.</x:v>
      </x:c>
      <x:c r="V130" s="11"/>
      <x:c r="W130" s="9" t="str">
        <x:v>Direct author clarification, October 14, 2026; Docs/WORLD_BASIS.md#material-culture. Ordinary wear: simple wraps, metal chainmail and practical metal-based pieces with minimal fur. Elaborate fashion remains rare/expensive; no cloth.</x:v>
      </x:c>
      <x:c r="X130" s="4" t="str">
        <x:v>Wearable</x:v>
      </x:c>
      <x:c r="Y130" s="4" t="str">
        <x:v>Finished item</x:v>
      </x:c>
      <x:c r="Z130" s="4" t="str">
        <x:v>Manufactured / unresolved</x:v>
      </x:c>
      <x:c r="AA130" s="4" t="str">
        <x:v>Fashion</x:v>
      </x:c>
      <x:c r="AB130" s="4" t="str">
        <x:v>Fur</x:v>
      </x:c>
      <x:c r="AC130" s="4" t="str">
        <x:v>Garment</x:v>
      </x:c>
      <x:c r="AD130" s="4" t="str">
        <x:v>Author direction</x:v>
      </x:c>
      <x:c r="AE130" s="4" t="str">
        <x:f>LOWER(A130&amp;"; "&amp;B130&amp;"; "&amp;D130&amp;"; "&amp;E130&amp;"; "&amp;X130&amp;"; "&amp;Y130&amp;"; "&amp;Z130&amp;"; "&amp;AA130&amp;"; "&amp;AB130&amp;"; "&amp;AC130&amp;"; "&amp;AD130&amp;"; "&amp;V130&amp;"; "&amp;C130&amp;"; "&amp;AH130&amp;"; "&amp;AI130)</x:f>
        <x:v>proposal.fashion.fur_garment; elaborate fur wear; clothing; fashion garment; wearable; finished item; manufactured / unresolved; fashion; fur; garment; author direction; ; not applicable; t4; finished item</x:v>
      </x:c>
      <x:c r="AF13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0" s="4" t="str">
        <x:v>Finished endpoint; material tier is not applicable. Input tiers belong to the chosen recipe.</x:v>
      </x:c>
      <x:c r="AH130" s="4" t="str">
        <x:v>T4</x:v>
      </x:c>
      <x:c r="AI130" s="4" t="str">
        <x:v>Finished item</x:v>
      </x:c>
      <x:c r="AJ130" s="4" t="n">
        <x:f>COUNTIFS('Material routes'!$D$6:$D$2205,A130,'Material routes'!$C$6:$C$2205,"Output")</x:f>
        <x:v>1</x:v>
      </x:c>
      <x:c r="AK130" s="4" t="n">
        <x:f>SUM(COUNTIFS('Material routes'!$D$6:$D$2205,A130,'Material routes'!$C$6:$C$2205,"Ingredient candidate"),COUNTIFS('Material routes'!$D$6:$D$2205,A130,'Material routes'!$C$6:$C$2205,"Consumed input"),COUNTIFS('Material routes'!$D$6:$D$2205,A130,'Material routes'!$C$6:$C$2205,"Contained input"),COUNTIFS('Material routes'!$D$6:$D$2205,A130,'Material routes'!$C$6:$C$2205,"Transform input"))</x:f>
        <x:v>0</x:v>
      </x:c>
      <x:c r="AL130" s="4" t="n">
        <x:f>COUNTIFS('Material routes'!$D$6:$D$2205,A130,'Material routes'!$C$6:$C$2205,"Tool candidate")</x:f>
        <x:v>0</x:v>
      </x:c>
      <x:c r="AM130" s="4" t="str">
        <x:f>IF(AJ130&gt;0,"Route listed; review status/completeness",IF(C130="T0","Raw entry feed; no production route","No production route listed"))</x:f>
        <x:v>Route listed; review status/completeness</x:v>
      </x:c>
      <x:c r="AN130" s="14" t="n">
        <x:f>IF(C130="T0",0,IF(C130="T1",1,IF(C130="T2",2,IF(C130="T3",3,IF(C130="T4",4,IF(C130="Unassigned",98,99))))))</x:f>
        <x:v>99</x:v>
      </x:c>
      <x:c r="AZ130"/>
      <x:c r="BA130"/>
      <x:c r="BB130"/>
      <x:c r="BC130"/>
      <x:c r="BD130"/>
      <x:c r="BE130"/>
      <x:c r="BF130"/>
      <x:c r="BG130"/>
      <x:c r="BH130"/>
      <x:c r="BI130"/>
      <x:c r="BJ130"/>
      <x:c r="BK130"/>
      <x:c r="BL130"/>
      <x:c r="BM130"/>
      <x:c r="BN130"/>
      <x:c r="BO130"/>
      <x:c r="BP130"/>
      <x:c r="BQ130"/>
      <x:c r="BR130"/>
      <x:c r="BS130"/>
      <x:c r="BT130"/>
      <x:c r="BU130"/>
      <x:c r="BV130"/>
      <x:c r="BW130"/>
      <x:c r="BX130"/>
      <x:c r="BY130"/>
      <x:c r="BZ130"/>
      <x:c r="CA130"/>
      <x:c r="CB130"/>
      <x:c r="CC130"/>
    </x:row>
    <x:row r="131" ht="90" customHeight="1">
      <x:c r="A131" s="9" t="str">
        <x:v>proposal.fashion.hide_garment</x:v>
      </x:c>
      <x:c r="B131" s="9" t="str">
        <x:v>Elaborate hide wear</x:v>
      </x:c>
      <x:c r="C131" s="4" t="str">
        <x:v>Not applicable</x:v>
      </x:c>
      <x:c r="D131" s="9" t="inlineStr">
        <x:is>
          <x:t xml:space="preserve">Clothing</x:t>
        </x:is>
      </x:c>
      <x:c r="E131" s="9" t="str">
        <x:v>Fashion garment</x:v>
      </x:c>
      <x:c r="F131" s="9" t="str">
        <x:v>User direction; not implemented</x:v>
      </x:c>
      <x:c r="G131" s="9" t="inlineStr">
        <x:is>
          <x:t xml:space="preserve">Very rare expensive fashion clothing using processed hides. Its appearance and workmanship serve the recorded fashion role, independently of armor or special equipment effects.</x:t>
        </x:is>
      </x:c>
      <x:c r="H131" s="9" t="str">
        <x:v>Unassigned; fit/layering TBD</x:v>
      </x:c>
      <x:c r="I131" s="9" t="str">
        <x:v>Booter-worn concept; spare/transfer policy TBD</x:v>
      </x:c>
      <x:c r="J131" s="13"/>
      <x:c r="K131" s="15"/>
      <x:c r="L131" s="9" t="str">
        <x:v>Specialist crafting/trade candidate; exact acquisition TBD</x:v>
      </x:c>
      <x:c r="M131" s="9" t="str">
        <x:v>Material family: Processed hide; supporting material TBD; no cloth</x:v>
      </x:c>
      <x:c r="N131" s="9" t="str">
        <x:v>Not implemented</x:v>
      </x:c>
      <x:c r="O131" s="9" t="str">
        <x:v>Luxury workmanship and large material/time demand; does not classify all everyday clothing as rare. Hide/fur processing still has extremely low yield.</x:v>
      </x:c>
      <x:c r="P131" s="46" t="str">
        <x:v>Very rare</x:v>
      </x:c>
      <x:c r="Q131" s="17"/>
      <x:c r="R131" s="17"/>
      <x:c r="S131" s="17"/>
      <x:c r="T131" s="17"/>
      <x:c r="U131" s="9" t="str">
        <x:v>Elaborate fashion variant. Ordinary simple wraps and metal-based wear with minimal fur are a separate everyday baseline.</x:v>
      </x:c>
      <x:c r="V131" s="11"/>
      <x:c r="W131" s="9" t="str">
        <x:v>Direct author clarification, October 14, 2026; Docs/WORLD_BASIS.md#material-culture. Ordinary wear: simple wraps, metal chainmail and practical metal-based pieces with minimal fur. Elaborate fashion remains rare/expensive; no cloth.</x:v>
      </x:c>
      <x:c r="X131" s="4" t="str">
        <x:v>Wearable</x:v>
      </x:c>
      <x:c r="Y131" s="4" t="str">
        <x:v>Finished item</x:v>
      </x:c>
      <x:c r="Z131" s="4" t="str">
        <x:v>Manufactured / unresolved</x:v>
      </x:c>
      <x:c r="AA131" s="4" t="str">
        <x:v>Fashion</x:v>
      </x:c>
      <x:c r="AB131" s="4" t="str">
        <x:v>Hide</x:v>
      </x:c>
      <x:c r="AC131" s="4" t="str">
        <x:v>Garment</x:v>
      </x:c>
      <x:c r="AD131" s="4" t="str">
        <x:v>Author direction</x:v>
      </x:c>
      <x:c r="AE131" s="4" t="str">
        <x:f>LOWER(A131&amp;"; "&amp;B131&amp;"; "&amp;D131&amp;"; "&amp;E131&amp;"; "&amp;X131&amp;"; "&amp;Y131&amp;"; "&amp;Z131&amp;"; "&amp;AA131&amp;"; "&amp;AB131&amp;"; "&amp;AC131&amp;"; "&amp;AD131&amp;"; "&amp;V131&amp;"; "&amp;C131&amp;"; "&amp;AH131&amp;"; "&amp;AI131)</x:f>
        <x:v>proposal.fashion.hide_garment; elaborate hide wear; clothing; fashion garment; wearable; finished item; manufactured / unresolved; fashion; hide; garment; author direction; ; not applicable; t4; finished item</x:v>
      </x:c>
      <x:c r="AF131"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1" s="4" t="str">
        <x:v>Finished endpoint; material tier is not applicable. Input tiers belong to the chosen recipe.</x:v>
      </x:c>
      <x:c r="AH131" s="4" t="str">
        <x:v>T4</x:v>
      </x:c>
      <x:c r="AI131" s="4" t="str">
        <x:v>Finished item</x:v>
      </x:c>
      <x:c r="AJ131" s="4" t="n">
        <x:f>COUNTIFS('Material routes'!$D$6:$D$2205,A131,'Material routes'!$C$6:$C$2205,"Output")</x:f>
        <x:v>1</x:v>
      </x:c>
      <x:c r="AK131" s="4" t="n">
        <x:f>SUM(COUNTIFS('Material routes'!$D$6:$D$2205,A131,'Material routes'!$C$6:$C$2205,"Ingredient candidate"),COUNTIFS('Material routes'!$D$6:$D$2205,A131,'Material routes'!$C$6:$C$2205,"Consumed input"),COUNTIFS('Material routes'!$D$6:$D$2205,A131,'Material routes'!$C$6:$C$2205,"Contained input"),COUNTIFS('Material routes'!$D$6:$D$2205,A131,'Material routes'!$C$6:$C$2205,"Transform input"))</x:f>
        <x:v>0</x:v>
      </x:c>
      <x:c r="AL131" s="4" t="n">
        <x:f>COUNTIFS('Material routes'!$D$6:$D$2205,A131,'Material routes'!$C$6:$C$2205,"Tool candidate")</x:f>
        <x:v>0</x:v>
      </x:c>
      <x:c r="AM131" s="4" t="str">
        <x:f>IF(AJ131&gt;0,"Route listed; review status/completeness",IF(C131="T0","Raw entry feed; no production route","No production route listed"))</x:f>
        <x:v>Route listed; review status/completeness</x:v>
      </x:c>
      <x:c r="AN131" s="14" t="n">
        <x:f>IF(C131="T0",0,IF(C131="T1",1,IF(C131="T2",2,IF(C131="T3",3,IF(C131="T4",4,IF(C131="Unassigned",98,99))))))</x:f>
        <x:v>99</x:v>
      </x:c>
      <x:c r="AZ131"/>
      <x:c r="BA131"/>
      <x:c r="BB131"/>
      <x:c r="BC131"/>
      <x:c r="BD131"/>
      <x:c r="BE131"/>
      <x:c r="BF131"/>
      <x:c r="BG131"/>
      <x:c r="BH131"/>
      <x:c r="BI131"/>
      <x:c r="BJ131"/>
      <x:c r="BK131"/>
      <x:c r="BL131"/>
      <x:c r="BM131"/>
      <x:c r="BN131"/>
      <x:c r="BO131"/>
      <x:c r="BP131"/>
      <x:c r="BQ131"/>
      <x:c r="BR131"/>
      <x:c r="BS131"/>
      <x:c r="BT131"/>
      <x:c r="BU131"/>
      <x:c r="BV131"/>
      <x:c r="BW131"/>
      <x:c r="BX131"/>
      <x:c r="BY131"/>
      <x:c r="BZ131"/>
      <x:c r="CA131"/>
      <x:c r="CB131"/>
      <x:c r="CC131"/>
    </x:row>
    <x:row r="132" ht="90" customHeight="1">
      <x:c r="A132" s="9" t="str">
        <x:v>proposal.gem.clear_quartz</x:v>
      </x:c>
      <x:c r="B132" s="9" t="str">
        <x:v>Clear quartz</x:v>
      </x:c>
      <x:c r="C132" s="4" t="str">
        <x:v>T0</x:v>
      </x:c>
      <x:c r="D132" s="9" t="str">
        <x:v>Mineral resources</x:v>
      </x:c>
      <x:c r="E132" s="9" t="str">
        <x:v>Gemstone concept</x:v>
      </x:c>
      <x:c r="F132" s="9" t="str">
        <x:v>New proposal</x:v>
      </x:c>
      <x:c r="G132" s="9" t="str">
        <x:v>Proposed appearance: Colorless / clear crystal. Potential use: Small ornaments, polished inserts and premium clear stonework</x:v>
      </x:c>
      <x:c r="H132" s="9" t="str">
        <x:v>None</x:v>
      </x:c>
      <x:c r="I132" s="9" t="str">
        <x:v>Gathered raw gemstone: Legger / local storage</x:v>
      </x:c>
      <x:c r="J132" s="13"/>
      <x:c r="K132" s="15"/>
      <x:c r="L132" s="9" t="str">
        <x:v>Authored ancient mineral-bearing strata candidate; no deposit placement approved</x:v>
      </x:c>
      <x:c r="M132" s="9" t="str">
        <x:v>Sorting, cutting, polishing and setting are future craft concepts</x:v>
      </x:c>
      <x:c r="N132" s="9" t="str">
        <x:v>Not implemented</x:v>
      </x:c>
      <x:c r="O132" s="9" t="str">
        <x:v>Keep distinct from loose silica grit and manufactured glass; optical function is not assumed.</x:v>
      </x:c>
      <x:c r="P132" s="17"/>
      <x:c r="Q132" s="17"/>
      <x:c r="R132" s="17"/>
      <x:c r="S132" s="17"/>
      <x:c r="T132" s="17"/>
      <x:c r="U132" s="9" t="str">
        <x:v>Gemstones exist by author direction. This mineral choice, palette, grade, cut and use are proposals. Fashion-suitable inputs intended valuable; no universal rarity or numeric price assigned.</x:v>
      </x:c>
      <x:c r="V132" s="11"/>
      <x:c r="W132" s="9" t="str">
        <x:v>Author direction October 14, 2026 establishes gemstones generally. Proposed real-mineral inspiration: https://www.gia.edu/gem-encyclopedia; no claim of Death Valley occurrence or game canon for this species.</x:v>
      </x:c>
      <x:c r="X132" s="4" t="str">
        <x:v>Gem material</x:v>
      </x:c>
      <x:c r="Y132" s="4" t="str">
        <x:v>Unresolved</x:v>
      </x:c>
      <x:c r="Z132" s="4" t="str">
        <x:v>Geological</x:v>
      </x:c>
      <x:c r="AA132" s="4" t="str">
        <x:v>Decoration</x:v>
      </x:c>
      <x:c r="AB132" s="4" t="str">
        <x:v>Gemstone</x:v>
      </x:c>
      <x:c r="AC132" s="4" t="str">
        <x:v>Unresolved</x:v>
      </x:c>
      <x:c r="AD132" s="4" t="str">
        <x:v>Proposal</x:v>
      </x:c>
      <x:c r="AE132" s="4" t="str">
        <x:f>LOWER(A132&amp;"; "&amp;B132&amp;"; "&amp;D132&amp;"; "&amp;E132&amp;"; "&amp;X132&amp;"; "&amp;Y132&amp;"; "&amp;Z132&amp;"; "&amp;AA132&amp;"; "&amp;AB132&amp;"; "&amp;AC132&amp;"; "&amp;AD132&amp;"; "&amp;V132&amp;"; "&amp;C132&amp;"; "&amp;AH132&amp;"; "&amp;AI132)</x:f>
        <x:v>proposal.gem.clear_quartz; clear quartz; mineral resources; gemstone concept; gem material; unresolved; geological; decoration; gemstone; unresolved; proposal; ; t0; not applicable; material</x:v>
      </x:c>
      <x:c r="AF132" s="4" t="str">
        <x:v>From current item description. Proposed uses retain their existing approval status. Lore category review: Resources -&gt; Mineral resources. Classification only; original item status and tier retained.</x:v>
      </x:c>
      <x:c r="AG132" s="4" t="str">
        <x:v>Provisional raw-stone input interpretation; existing cut state remains unresolved.</x:v>
      </x:c>
      <x:c r="AH132" s="4" t="str">
        <x:v>Not applicable</x:v>
      </x:c>
      <x:c r="AI132" s="4" t="str">
        <x:v>Material</x:v>
      </x:c>
      <x:c r="AJ132" s="4" t="n">
        <x:f>COUNTIFS('Material routes'!$D$6:$D$2205,A132,'Material routes'!$C$6:$C$2205,"Output")</x:f>
        <x:v>0</x:v>
      </x:c>
      <x:c r="AK132" s="4" t="n">
        <x:f>SUM(COUNTIFS('Material routes'!$D$6:$D$2205,A132,'Material routes'!$C$6:$C$2205,"Ingredient candidate"),COUNTIFS('Material routes'!$D$6:$D$2205,A132,'Material routes'!$C$6:$C$2205,"Consumed input"),COUNTIFS('Material routes'!$D$6:$D$2205,A132,'Material routes'!$C$6:$C$2205,"Contained input"),COUNTIFS('Material routes'!$D$6:$D$2205,A132,'Material routes'!$C$6:$C$2205,"Transform input"))</x:f>
        <x:v>1</x:v>
      </x:c>
      <x:c r="AL132" s="4" t="n">
        <x:f>COUNTIFS('Material routes'!$D$6:$D$2205,A132,'Material routes'!$C$6:$C$2205,"Tool candidate")</x:f>
        <x:v>0</x:v>
      </x:c>
      <x:c r="AM132" s="4" t="str">
        <x:f>IF(AJ132&gt;0,"Route listed; review status/completeness",IF(C132="T0","Raw entry feed; no production route","No production route listed"))</x:f>
        <x:v>Raw entry feed; no production route</x:v>
      </x:c>
      <x:c r="AN132" s="14" t="n">
        <x:f>IF(C132="T0",0,IF(C132="T1",1,IF(C132="T2",2,IF(C132="T3",3,IF(C132="T4",4,IF(C132="Unassigned",98,99))))))</x:f>
        <x:v>0</x:v>
      </x:c>
      <x:c r="AZ132"/>
      <x:c r="BA132"/>
      <x:c r="BB132"/>
      <x:c r="BC132"/>
      <x:c r="BD132"/>
      <x:c r="BE132"/>
      <x:c r="BF132"/>
      <x:c r="BG132"/>
      <x:c r="BH132"/>
      <x:c r="BI132"/>
      <x:c r="BJ132"/>
      <x:c r="BK132"/>
      <x:c r="BL132"/>
      <x:c r="BM132"/>
      <x:c r="BN132"/>
      <x:c r="BO132"/>
      <x:c r="BP132"/>
      <x:c r="BQ132"/>
      <x:c r="BR132"/>
      <x:c r="BS132"/>
      <x:c r="BT132"/>
      <x:c r="BU132"/>
      <x:c r="BV132"/>
      <x:c r="BW132"/>
      <x:c r="BX132"/>
      <x:c r="BY132"/>
      <x:c r="BZ132"/>
      <x:c r="CA132"/>
      <x:c r="CB132"/>
      <x:c r="CC132"/>
    </x:row>
    <x:row r="133" ht="90" customHeight="1">
      <x:c r="A133" s="9" t="str">
        <x:v>proposal.gem.smoky_quartz</x:v>
      </x:c>
      <x:c r="B133" s="9" t="str">
        <x:v>Smoky quartz</x:v>
      </x:c>
      <x:c r="C133" s="4" t="str">
        <x:v>T0</x:v>
      </x:c>
      <x:c r="D133" s="9" t="str">
        <x:v>Mineral resources</x:v>
      </x:c>
      <x:c r="E133" s="9" t="str">
        <x:v>Gemstone concept</x:v>
      </x:c>
      <x:c r="F133" s="9" t="str">
        <x:v>New proposal</x:v>
      </x:c>
      <x:c r="G133" s="9" t="str">
        <x:v>Proposed appearance: Smoke-brown through near-black palette. Potential use: Dark ornaments, clasps and contrasting inlays</x:v>
      </x:c>
      <x:c r="H133" s="9" t="str">
        <x:v>None</x:v>
      </x:c>
      <x:c r="I133" s="9" t="str">
        <x:v>Gathered raw gemstone: Legger / local storage</x:v>
      </x:c>
      <x:c r="J133" s="13"/>
      <x:c r="K133" s="15"/>
      <x:c r="L133" s="9" t="str">
        <x:v>Authored ancient mineral-bearing strata candidate; no deposit placement approved</x:v>
      </x:c>
      <x:c r="M133" s="9" t="str">
        <x:v>Sorting, cutting, polishing and setting are future craft concepts</x:v>
      </x:c>
      <x:c r="N133" s="9" t="str">
        <x:v>Not implemented</x:v>
      </x:c>
      <x:c r="O133" s="9" t="str">
        <x:v>Color/clarity grades and cutting uses are proposals; no storm or charge effect inferred.</x:v>
      </x:c>
      <x:c r="P133" s="17"/>
      <x:c r="Q133" s="17"/>
      <x:c r="R133" s="17"/>
      <x:c r="S133" s="17"/>
      <x:c r="T133" s="17"/>
      <x:c r="U133" s="9" t="str">
        <x:v>Gemstones exist by author direction. This mineral choice, palette, grade, cut and use are proposals. Fashion-suitable inputs intended valuable; no universal rarity or numeric price assigned.</x:v>
      </x:c>
      <x:c r="V133" s="11"/>
      <x:c r="W133" s="9" t="str">
        <x:v>Author direction October 14, 2026 establishes gemstones generally. Proposed real-mineral inspiration: https://www.gia.edu/gem-encyclopedia; no claim of Death Valley occurrence or game canon for this species.</x:v>
      </x:c>
      <x:c r="X133" s="4" t="str">
        <x:v>Gem material</x:v>
      </x:c>
      <x:c r="Y133" s="4" t="str">
        <x:v>Unresolved</x:v>
      </x:c>
      <x:c r="Z133" s="4" t="str">
        <x:v>Geological</x:v>
      </x:c>
      <x:c r="AA133" s="4" t="str">
        <x:v>Decoration</x:v>
      </x:c>
      <x:c r="AB133" s="4" t="str">
        <x:v>Gemstone</x:v>
      </x:c>
      <x:c r="AC133" s="4" t="str">
        <x:v>Unresolved</x:v>
      </x:c>
      <x:c r="AD133" s="4" t="str">
        <x:v>Proposal</x:v>
      </x:c>
      <x:c r="AE133" s="4" t="str">
        <x:f>LOWER(A133&amp;"; "&amp;B133&amp;"; "&amp;D133&amp;"; "&amp;E133&amp;"; "&amp;X133&amp;"; "&amp;Y133&amp;"; "&amp;Z133&amp;"; "&amp;AA133&amp;"; "&amp;AB133&amp;"; "&amp;AC133&amp;"; "&amp;AD133&amp;"; "&amp;V133&amp;"; "&amp;C133&amp;"; "&amp;AH133&amp;"; "&amp;AI133)</x:f>
        <x:v>proposal.gem.smoky_quartz; smoky quartz; mineral resources; gemstone concept; gem material; unresolved; geological; decoration; gemstone; unresolved; proposal; ; t0; not applicable; material</x:v>
      </x:c>
      <x:c r="AF133" s="4" t="str">
        <x:v>From current item description. Proposed uses retain their existing approval status. Lore category review: Resources -&gt; Mineral resources. Classification only; original item status and tier retained.</x:v>
      </x:c>
      <x:c r="AG133" s="4" t="str">
        <x:v>Provisional raw-stone input interpretation; existing cut state remains unresolved.</x:v>
      </x:c>
      <x:c r="AH133" s="4" t="str">
        <x:v>Not applicable</x:v>
      </x:c>
      <x:c r="AI133" s="4" t="str">
        <x:v>Material</x:v>
      </x:c>
      <x:c r="AJ133" s="4" t="n">
        <x:f>COUNTIFS('Material routes'!$D$6:$D$2205,A133,'Material routes'!$C$6:$C$2205,"Output")</x:f>
        <x:v>0</x:v>
      </x:c>
      <x:c r="AK133" s="4" t="n">
        <x:f>SUM(COUNTIFS('Material routes'!$D$6:$D$2205,A133,'Material routes'!$C$6:$C$2205,"Ingredient candidate"),COUNTIFS('Material routes'!$D$6:$D$2205,A133,'Material routes'!$C$6:$C$2205,"Consumed input"),COUNTIFS('Material routes'!$D$6:$D$2205,A133,'Material routes'!$C$6:$C$2205,"Contained input"),COUNTIFS('Material routes'!$D$6:$D$2205,A133,'Material routes'!$C$6:$C$2205,"Transform input"))</x:f>
        <x:v>0</x:v>
      </x:c>
      <x:c r="AL133" s="4" t="n">
        <x:f>COUNTIFS('Material routes'!$D$6:$D$2205,A133,'Material routes'!$C$6:$C$2205,"Tool candidate")</x:f>
        <x:v>0</x:v>
      </x:c>
      <x:c r="AM133" s="4" t="str">
        <x:f>IF(AJ133&gt;0,"Route listed; review status/completeness",IF(C133="T0","Raw entry feed; no production route","No production route listed"))</x:f>
        <x:v>Raw entry feed; no production route</x:v>
      </x:c>
      <x:c r="AN133" s="14" t="n">
        <x:f>IF(C133="T0",0,IF(C133="T1",1,IF(C133="T2",2,IF(C133="T3",3,IF(C133="T4",4,IF(C133="Unassigned",98,99))))))</x:f>
        <x:v>0</x:v>
      </x:c>
      <x:c r="AZ133"/>
      <x:c r="BA133"/>
      <x:c r="BB133"/>
      <x:c r="BC133"/>
      <x:c r="BD133"/>
      <x:c r="BE133"/>
      <x:c r="BF133"/>
      <x:c r="BG133"/>
      <x:c r="BH133"/>
      <x:c r="BI133"/>
      <x:c r="BJ133"/>
      <x:c r="BK133"/>
      <x:c r="BL133"/>
      <x:c r="BM133"/>
      <x:c r="BN133"/>
      <x:c r="BO133"/>
      <x:c r="BP133"/>
      <x:c r="BQ133"/>
      <x:c r="BR133"/>
      <x:c r="BS133"/>
      <x:c r="BT133"/>
      <x:c r="BU133"/>
      <x:c r="BV133"/>
      <x:c r="BW133"/>
      <x:c r="BX133"/>
      <x:c r="BY133"/>
      <x:c r="BZ133"/>
      <x:c r="CA133"/>
      <x:c r="CB133"/>
      <x:c r="CC133"/>
    </x:row>
    <x:row r="134" ht="90" customHeight="1">
      <x:c r="A134" s="9" t="str">
        <x:v>proposal.gem.garnet</x:v>
      </x:c>
      <x:c r="B134" s="9" t="str">
        <x:v>Garnet</x:v>
      </x:c>
      <x:c r="C134" s="4" t="str">
        <x:v>T0</x:v>
      </x:c>
      <x:c r="D134" s="9" t="str">
        <x:v>Mineral resources</x:v>
      </x:c>
      <x:c r="E134" s="9" t="str">
        <x:v>Gemstone concept</x:v>
      </x:c>
      <x:c r="F134" s="9" t="str">
        <x:v>New proposal</x:v>
      </x:c>
      <x:c r="G134" s="9" t="str">
        <x:v>Proposed appearance: Deep red / rust / orange palette. Potential use: Fashion settings, clasps and detailed inlay</x:v>
      </x:c>
      <x:c r="H134" s="9" t="str">
        <x:v>None</x:v>
      </x:c>
      <x:c r="I134" s="9" t="str">
        <x:v>Gathered raw gemstone: Legger / local storage</x:v>
      </x:c>
      <x:c r="J134" s="13"/>
      <x:c r="K134" s="15"/>
      <x:c r="L134" s="9" t="str">
        <x:v>Authored ancient mineral-bearing strata candidate; no deposit placement approved</x:v>
      </x:c>
      <x:c r="M134" s="9" t="str">
        <x:v>Sorting, cutting, polishing and setting are future craft concepts</x:v>
      </x:c>
      <x:c r="N134" s="9" t="str">
        <x:v>Not implemented</x:v>
      </x:c>
      <x:c r="O134" s="9" t="str">
        <x:v>Garnet is a mineral group; exact species and regional source undecided.</x:v>
      </x:c>
      <x:c r="P134" s="17"/>
      <x:c r="Q134" s="17"/>
      <x:c r="R134" s="17"/>
      <x:c r="S134" s="17"/>
      <x:c r="T134" s="17"/>
      <x:c r="U134" s="9" t="str">
        <x:v>Gemstones exist by author direction. This mineral choice, palette, grade, cut and use are proposals. Fashion-suitable inputs intended valuable; no universal rarity or numeric price assigned.</x:v>
      </x:c>
      <x:c r="V134" s="11"/>
      <x:c r="W134" s="9" t="str">
        <x:v>Author direction October 14, 2026 establishes gemstones generally. Proposed real-mineral inspiration: https://www.gia.edu/gem-encyclopedia; no claim of Death Valley occurrence or game canon for this species.</x:v>
      </x:c>
      <x:c r="X134" s="4" t="str">
        <x:v>Gem material</x:v>
      </x:c>
      <x:c r="Y134" s="4" t="str">
        <x:v>Unresolved</x:v>
      </x:c>
      <x:c r="Z134" s="4" t="str">
        <x:v>Geological</x:v>
      </x:c>
      <x:c r="AA134" s="4" t="str">
        <x:v>Decoration</x:v>
      </x:c>
      <x:c r="AB134" s="4" t="str">
        <x:v>Gemstone</x:v>
      </x:c>
      <x:c r="AC134" s="4" t="str">
        <x:v>Unresolved</x:v>
      </x:c>
      <x:c r="AD134" s="4" t="str">
        <x:v>Proposal</x:v>
      </x:c>
      <x:c r="AE134" s="4" t="str">
        <x:f>LOWER(A134&amp;"; "&amp;B134&amp;"; "&amp;D134&amp;"; "&amp;E134&amp;"; "&amp;X134&amp;"; "&amp;Y134&amp;"; "&amp;Z134&amp;"; "&amp;AA134&amp;"; "&amp;AB134&amp;"; "&amp;AC134&amp;"; "&amp;AD134&amp;"; "&amp;V134&amp;"; "&amp;C134&amp;"; "&amp;AH134&amp;"; "&amp;AI134)</x:f>
        <x:v>proposal.gem.garnet; garnet; mineral resources; gemstone concept; gem material; unresolved; geological; decoration; gemstone; unresolved; proposal; ; t0; not applicable; material</x:v>
      </x:c>
      <x:c r="AF134" s="4" t="str">
        <x:v>From current item description. Proposed uses retain their existing approval status. Lore category review: Resources -&gt; Mineral resources. Classification only; original item status and tier retained.</x:v>
      </x:c>
      <x:c r="AG134" s="4" t="str">
        <x:v>Provisional raw-stone input interpretation; existing cut state remains unresolved.</x:v>
      </x:c>
      <x:c r="AH134" s="4" t="str">
        <x:v>Not applicable</x:v>
      </x:c>
      <x:c r="AI134" s="4" t="str">
        <x:v>Material</x:v>
      </x:c>
      <x:c r="AJ134" s="4" t="n">
        <x:f>COUNTIFS('Material routes'!$D$6:$D$2205,A134,'Material routes'!$C$6:$C$2205,"Output")</x:f>
        <x:v>0</x:v>
      </x:c>
      <x:c r="AK134" s="4" t="n">
        <x:f>SUM(COUNTIFS('Material routes'!$D$6:$D$2205,A134,'Material routes'!$C$6:$C$2205,"Ingredient candidate"),COUNTIFS('Material routes'!$D$6:$D$2205,A134,'Material routes'!$C$6:$C$2205,"Consumed input"),COUNTIFS('Material routes'!$D$6:$D$2205,A134,'Material routes'!$C$6:$C$2205,"Contained input"),COUNTIFS('Material routes'!$D$6:$D$2205,A134,'Material routes'!$C$6:$C$2205,"Transform input"))</x:f>
        <x:v>1</x:v>
      </x:c>
      <x:c r="AL134" s="4" t="n">
        <x:f>COUNTIFS('Material routes'!$D$6:$D$2205,A134,'Material routes'!$C$6:$C$2205,"Tool candidate")</x:f>
        <x:v>0</x:v>
      </x:c>
      <x:c r="AM134" s="4" t="str">
        <x:f>IF(AJ134&gt;0,"Route listed; review status/completeness",IF(C134="T0","Raw entry feed; no production route","No production route listed"))</x:f>
        <x:v>Raw entry feed; no production route</x:v>
      </x:c>
      <x:c r="AN134" s="14" t="n">
        <x:f>IF(C134="T0",0,IF(C134="T1",1,IF(C134="T2",2,IF(C134="T3",3,IF(C134="T4",4,IF(C134="Unassigned",98,99))))))</x:f>
        <x:v>0</x:v>
      </x:c>
      <x:c r="AZ134"/>
      <x:c r="BA134"/>
      <x:c r="BB134"/>
      <x:c r="BC134"/>
      <x:c r="BD134"/>
      <x:c r="BE134"/>
      <x:c r="BF134"/>
      <x:c r="BG134"/>
      <x:c r="BH134"/>
      <x:c r="BI134"/>
      <x:c r="BJ134"/>
      <x:c r="BK134"/>
      <x:c r="BL134"/>
      <x:c r="BM134"/>
      <x:c r="BN134"/>
      <x:c r="BO134"/>
      <x:c r="BP134"/>
      <x:c r="BQ134"/>
      <x:c r="BR134"/>
      <x:c r="BS134"/>
      <x:c r="BT134"/>
      <x:c r="BU134"/>
      <x:c r="BV134"/>
      <x:c r="BW134"/>
      <x:c r="BX134"/>
      <x:c r="BY134"/>
      <x:c r="BZ134"/>
      <x:c r="CA134"/>
      <x:c r="CB134"/>
      <x:c r="CC134"/>
    </x:row>
    <x:row r="135" ht="90" customHeight="1">
      <x:c r="A135" s="9" t="str">
        <x:v>proposal.gem.spinel</x:v>
      </x:c>
      <x:c r="B135" s="9" t="str">
        <x:v>Spinel</x:v>
      </x:c>
      <x:c r="C135" s="4" t="str">
        <x:v>T0</x:v>
      </x:c>
      <x:c r="D135" s="9" t="str">
        <x:v>Mineral resources</x:v>
      </x:c>
      <x:c r="E135" s="9" t="str">
        <x:v>Gemstone concept</x:v>
      </x:c>
      <x:c r="F135" s="9" t="str">
        <x:v>New proposal</x:v>
      </x:c>
      <x:c r="G135" s="9" t="str">
        <x:v>Proposed appearance: Black, with other colors left open. Potential use: High-contrast accents and polished dark settings</x:v>
      </x:c>
      <x:c r="H135" s="9" t="str">
        <x:v>None</x:v>
      </x:c>
      <x:c r="I135" s="9" t="str">
        <x:v>Gathered raw gemstone: Legger / local storage</x:v>
      </x:c>
      <x:c r="J135" s="13"/>
      <x:c r="K135" s="15"/>
      <x:c r="L135" s="9" t="str">
        <x:v>Authored ancient mineral-bearing strata candidate; no deposit placement approved</x:v>
      </x:c>
      <x:c r="M135" s="9" t="str">
        <x:v>Sorting, cutting, polishing and setting are future craft concepts</x:v>
      </x:c>
      <x:c r="N135" s="9" t="str">
        <x:v>Not implemented</x:v>
      </x:c>
      <x:c r="O135" s="9" t="str">
        <x:v>Proposed black spinel direction; other colors need not become separate item IDs.</x:v>
      </x:c>
      <x:c r="P135" s="17"/>
      <x:c r="Q135" s="17"/>
      <x:c r="R135" s="17"/>
      <x:c r="S135" s="17"/>
      <x:c r="T135" s="17"/>
      <x:c r="U135" s="9" t="str">
        <x:v>Gemstones exist by author direction. This mineral choice, palette, grade, cut and use are proposals. Fashion-suitable inputs intended valuable; no universal rarity or numeric price assigned.</x:v>
      </x:c>
      <x:c r="V135" s="11"/>
      <x:c r="W135" s="9" t="str">
        <x:v>Author direction October 14, 2026 establishes gemstones generally. Proposed real-mineral inspiration: https://my.gia.edu/gems-gemology/winter-2022-colored-stones-unearthed; no claim of Death Valley occurrence or game canon for this species.</x:v>
      </x:c>
      <x:c r="X135" s="4" t="str">
        <x:v>Gem material</x:v>
      </x:c>
      <x:c r="Y135" s="4" t="str">
        <x:v>Unresolved</x:v>
      </x:c>
      <x:c r="Z135" s="4" t="str">
        <x:v>Geological</x:v>
      </x:c>
      <x:c r="AA135" s="4" t="str">
        <x:v>Decoration</x:v>
      </x:c>
      <x:c r="AB135" s="4" t="str">
        <x:v>Gemstone</x:v>
      </x:c>
      <x:c r="AC135" s="4" t="str">
        <x:v>Unresolved</x:v>
      </x:c>
      <x:c r="AD135" s="4" t="str">
        <x:v>Proposal</x:v>
      </x:c>
      <x:c r="AE135" s="4" t="str">
        <x:f>LOWER(A135&amp;"; "&amp;B135&amp;"; "&amp;D135&amp;"; "&amp;E135&amp;"; "&amp;X135&amp;"; "&amp;Y135&amp;"; "&amp;Z135&amp;"; "&amp;AA135&amp;"; "&amp;AB135&amp;"; "&amp;AC135&amp;"; "&amp;AD135&amp;"; "&amp;V135&amp;"; "&amp;C135&amp;"; "&amp;AH135&amp;"; "&amp;AI135)</x:f>
        <x:v>proposal.gem.spinel; spinel; mineral resources; gemstone concept; gem material; unresolved; geological; decoration; gemstone; unresolved; proposal; ; t0; not applicable; material</x:v>
      </x:c>
      <x:c r="AF135" s="4" t="str">
        <x:v>From current item description. Proposed uses retain their existing approval status. Lore category review: Resources -&gt; Mineral resources. Classification only; original item status and tier retained.</x:v>
      </x:c>
      <x:c r="AG135" s="4" t="str">
        <x:v>Provisional raw-stone input interpretation; existing cut state remains unresolved.</x:v>
      </x:c>
      <x:c r="AH135" s="4" t="str">
        <x:v>Not applicable</x:v>
      </x:c>
      <x:c r="AI135" s="4" t="str">
        <x:v>Material</x:v>
      </x:c>
      <x:c r="AJ135" s="4" t="n">
        <x:f>COUNTIFS('Material routes'!$D$6:$D$2205,A135,'Material routes'!$C$6:$C$2205,"Output")</x:f>
        <x:v>0</x:v>
      </x:c>
      <x:c r="AK135" s="4" t="n">
        <x:f>SUM(COUNTIFS('Material routes'!$D$6:$D$2205,A135,'Material routes'!$C$6:$C$2205,"Ingredient candidate"),COUNTIFS('Material routes'!$D$6:$D$2205,A135,'Material routes'!$C$6:$C$2205,"Consumed input"),COUNTIFS('Material routes'!$D$6:$D$2205,A135,'Material routes'!$C$6:$C$2205,"Contained input"),COUNTIFS('Material routes'!$D$6:$D$2205,A135,'Material routes'!$C$6:$C$2205,"Transform input"))</x:f>
        <x:v>0</x:v>
      </x:c>
      <x:c r="AL135" s="4" t="n">
        <x:f>COUNTIFS('Material routes'!$D$6:$D$2205,A135,'Material routes'!$C$6:$C$2205,"Tool candidate")</x:f>
        <x:v>0</x:v>
      </x:c>
      <x:c r="AM135" s="4" t="str">
        <x:f>IF(AJ135&gt;0,"Route listed; review status/completeness",IF(C135="T0","Raw entry feed; no production route","No production route listed"))</x:f>
        <x:v>Raw entry feed; no production route</x:v>
      </x:c>
      <x:c r="AN135" s="14" t="n">
        <x:f>IF(C135="T0",0,IF(C135="T1",1,IF(C135="T2",2,IF(C135="T3",3,IF(C135="T4",4,IF(C135="Unassigned",98,99))))))</x:f>
        <x:v>0</x:v>
      </x:c>
      <x:c r="AZ135"/>
      <x:c r="BA135"/>
      <x:c r="BB135"/>
      <x:c r="BC135"/>
      <x:c r="BD135"/>
      <x:c r="BE135"/>
      <x:c r="BF135"/>
      <x:c r="BG135"/>
      <x:c r="BH135"/>
      <x:c r="BI135"/>
      <x:c r="BJ135"/>
      <x:c r="BK135"/>
      <x:c r="BL135"/>
      <x:c r="BM135"/>
      <x:c r="BN135"/>
      <x:c r="BO135"/>
      <x:c r="BP135"/>
      <x:c r="BQ135"/>
      <x:c r="BR135"/>
      <x:c r="BS135"/>
      <x:c r="BT135"/>
      <x:c r="BU135"/>
      <x:c r="BV135"/>
      <x:c r="BW135"/>
      <x:c r="BX135"/>
      <x:c r="BY135"/>
      <x:c r="BZ135"/>
      <x:c r="CA135"/>
      <x:c r="CB135"/>
      <x:c r="CC135"/>
    </x:row>
    <x:row r="136" ht="90" customHeight="1">
      <x:c r="A136" s="9" t="str">
        <x:v>proposal.gem.peridot</x:v>
      </x:c>
      <x:c r="B136" s="9" t="str">
        <x:v>Peridot</x:v>
      </x:c>
      <x:c r="C136" s="4" t="str">
        <x:v>T0</x:v>
      </x:c>
      <x:c r="D136" s="9" t="str">
        <x:v>Mineral resources</x:v>
      </x:c>
      <x:c r="E136" s="9" t="str">
        <x:v>Gemstone concept</x:v>
      </x:c>
      <x:c r="F136" s="9" t="str">
        <x:v>New proposal</x:v>
      </x:c>
      <x:c r="G136" s="9" t="str">
        <x:v>Proposed appearance: Yellow-green / olive palette. Potential use: Distinctive green accents against iron-colored materials</x:v>
      </x:c>
      <x:c r="H136" s="9" t="str">
        <x:v>None</x:v>
      </x:c>
      <x:c r="I136" s="9" t="str">
        <x:v>Gathered raw gemstone: Legger / local storage</x:v>
      </x:c>
      <x:c r="J136" s="13"/>
      <x:c r="K136" s="15"/>
      <x:c r="L136" s="9" t="str">
        <x:v>Authored ancient mineral-bearing strata candidate; no deposit placement approved</x:v>
      </x:c>
      <x:c r="M136" s="9" t="str">
        <x:v>Sorting, cutting, polishing and setting are future craft concepts</x:v>
      </x:c>
      <x:c r="N136" s="9" t="str">
        <x:v>Not implemented</x:v>
      </x:c>
      <x:c r="O136" s="9" t="str">
        <x:v>Proposed geological gem candidate; not plant material or a source of greenery.</x:v>
      </x:c>
      <x:c r="P136" s="17"/>
      <x:c r="Q136" s="17"/>
      <x:c r="R136" s="17"/>
      <x:c r="S136" s="17"/>
      <x:c r="T136" s="17"/>
      <x:c r="U136" s="9" t="str">
        <x:v>Gemstones exist by author direction. This mineral choice, palette, grade, cut and use are proposals. Fashion-suitable inputs intended valuable; no universal rarity or numeric price assigned.</x:v>
      </x:c>
      <x:c r="V136" s="11"/>
      <x:c r="W136" s="9" t="str">
        <x:v>Author direction October 14, 2026 establishes gemstones generally. Proposed real-mineral inspiration: https://my.gia.edu/gems-gemology/winter-2022-colored-stones-unearthed; no claim of Death Valley occurrence or game canon for this species.</x:v>
      </x:c>
      <x:c r="X136" s="4" t="str">
        <x:v>Gem material</x:v>
      </x:c>
      <x:c r="Y136" s="4" t="str">
        <x:v>Unresolved</x:v>
      </x:c>
      <x:c r="Z136" s="4" t="str">
        <x:v>Geological</x:v>
      </x:c>
      <x:c r="AA136" s="4" t="str">
        <x:v>Decoration</x:v>
      </x:c>
      <x:c r="AB136" s="4" t="str">
        <x:v>Gemstone</x:v>
      </x:c>
      <x:c r="AC136" s="4" t="str">
        <x:v>Unresolved</x:v>
      </x:c>
      <x:c r="AD136" s="4" t="str">
        <x:v>Proposal</x:v>
      </x:c>
      <x:c r="AE136" s="4" t="str">
        <x:f>LOWER(A136&amp;"; "&amp;B136&amp;"; "&amp;D136&amp;"; "&amp;E136&amp;"; "&amp;X136&amp;"; "&amp;Y136&amp;"; "&amp;Z136&amp;"; "&amp;AA136&amp;"; "&amp;AB136&amp;"; "&amp;AC136&amp;"; "&amp;AD136&amp;"; "&amp;V136&amp;"; "&amp;C136&amp;"; "&amp;AH136&amp;"; "&amp;AI136)</x:f>
        <x:v>proposal.gem.peridot; peridot; mineral resources; gemstone concept; gem material; unresolved; geological; decoration; gemstone; unresolved; proposal; ; t0; not applicable; material</x:v>
      </x:c>
      <x:c r="AF136" s="4" t="str">
        <x:v>From current item description. Proposed uses retain their existing approval status. Lore category review: Resources -&gt; Mineral resources. Classification only; original item status and tier retained.</x:v>
      </x:c>
      <x:c r="AG136" s="4" t="str">
        <x:v>Provisional raw-stone input interpretation; existing cut state remains unresolved.</x:v>
      </x:c>
      <x:c r="AH136" s="4" t="str">
        <x:v>Not applicable</x:v>
      </x:c>
      <x:c r="AI136" s="4" t="str">
        <x:v>Material</x:v>
      </x:c>
      <x:c r="AJ136" s="4" t="n">
        <x:f>COUNTIFS('Material routes'!$D$6:$D$2205,A136,'Material routes'!$C$6:$C$2205,"Output")</x:f>
        <x:v>0</x:v>
      </x:c>
      <x:c r="AK136" s="4" t="n">
        <x:f>SUM(COUNTIFS('Material routes'!$D$6:$D$2205,A136,'Material routes'!$C$6:$C$2205,"Ingredient candidate"),COUNTIFS('Material routes'!$D$6:$D$2205,A136,'Material routes'!$C$6:$C$2205,"Consumed input"),COUNTIFS('Material routes'!$D$6:$D$2205,A136,'Material routes'!$C$6:$C$2205,"Contained input"),COUNTIFS('Material routes'!$D$6:$D$2205,A136,'Material routes'!$C$6:$C$2205,"Transform input"))</x:f>
        <x:v>0</x:v>
      </x:c>
      <x:c r="AL136" s="4" t="n">
        <x:f>COUNTIFS('Material routes'!$D$6:$D$2205,A136,'Material routes'!$C$6:$C$2205,"Tool candidate")</x:f>
        <x:v>0</x:v>
      </x:c>
      <x:c r="AM136" s="4" t="str">
        <x:f>IF(AJ136&gt;0,"Route listed; review status/completeness",IF(C136="T0","Raw entry feed; no production route","No production route listed"))</x:f>
        <x:v>Raw entry feed; no production route</x:v>
      </x:c>
      <x:c r="AN136" s="14" t="n">
        <x:f>IF(C136="T0",0,IF(C136="T1",1,IF(C136="T2",2,IF(C136="T3",3,IF(C136="T4",4,IF(C136="Unassigned",98,99))))))</x:f>
        <x:v>0</x:v>
      </x:c>
      <x:c r="AZ136"/>
      <x:c r="BA136"/>
      <x:c r="BB136"/>
      <x:c r="BC136"/>
      <x:c r="BD136"/>
      <x:c r="BE136"/>
      <x:c r="BF136"/>
      <x:c r="BG136"/>
      <x:c r="BH136"/>
      <x:c r="BI136"/>
      <x:c r="BJ136"/>
      <x:c r="BK136"/>
      <x:c r="BL136"/>
      <x:c r="BM136"/>
      <x:c r="BN136"/>
      <x:c r="BO136"/>
      <x:c r="BP136"/>
      <x:c r="BQ136"/>
      <x:c r="BR136"/>
      <x:c r="BS136"/>
      <x:c r="BT136"/>
      <x:c r="BU136"/>
      <x:c r="BV136"/>
      <x:c r="BW136"/>
      <x:c r="BX136"/>
      <x:c r="BY136"/>
      <x:c r="BZ136"/>
      <x:c r="CA136"/>
      <x:c r="CB136"/>
      <x:c r="CC136"/>
    </x:row>
    <x:row r="137" ht="90" customHeight="1">
      <x:c r="A137" s="9"/>
      <x:c r="B137" s="9"/>
      <x:c r="C137" s="4"/>
      <x:c r="D137" s="9"/>
      <x:c r="E137" s="9"/>
      <x:c r="F137" s="9"/>
      <x:c r="G137" s="9"/>
      <x:c r="H137" s="9"/>
      <x:c r="I137" s="9"/>
      <x:c r="J137" s="13"/>
      <x:c r="K137" s="15"/>
      <x:c r="L137" s="9"/>
      <x:c r="M137" s="9"/>
      <x:c r="N137" s="9"/>
      <x:c r="O137" s="9"/>
      <x:c r="P137" s="17"/>
      <x:c r="Q137" s="17"/>
      <x:c r="R137" s="17"/>
      <x:c r="S137" s="17"/>
      <x:c r="T137" s="17"/>
      <x:c r="U137" s="9"/>
      <x:c r="V137" s="11"/>
      <x:c r="W137" s="9"/>
      <x:c r="X137" s="4"/>
      <x:c r="Y137" s="4"/>
      <x:c r="Z137" s="4"/>
      <x:c r="AA137" s="4"/>
      <x:c r="AB137" s="4"/>
      <x:c r="AC137" s="4"/>
      <x:c r="AD137" s="4"/>
      <x:c r="AE137" s="4"/>
      <x:c r="AF137" s="4"/>
      <x:c r="AG137" s="4"/>
      <x:c r="AH137" s="4"/>
      <x:c r="AI137" s="4"/>
      <x:c r="AJ137" s="4"/>
      <x:c r="AK137" s="4"/>
      <x:c r="AL137" s="4"/>
      <x:c r="AM137" s="4"/>
      <x:c r="AN137" s="14"/>
      <x:c r="AZ137"/>
      <x:c r="BA137"/>
      <x:c r="BB137"/>
      <x:c r="BC137"/>
      <x:c r="BD137"/>
      <x:c r="BE137"/>
      <x:c r="BF137"/>
      <x:c r="BG137"/>
      <x:c r="BH137"/>
      <x:c r="BI137"/>
      <x:c r="BJ137"/>
      <x:c r="BK137"/>
      <x:c r="BL137"/>
      <x:c r="BM137"/>
      <x:c r="BN137"/>
      <x:c r="BO137"/>
      <x:c r="BP137"/>
      <x:c r="BQ137"/>
      <x:c r="BR137"/>
      <x:c r="BS137"/>
      <x:c r="BT137"/>
      <x:c r="BU137"/>
      <x:c r="BV137"/>
      <x:c r="BW137"/>
      <x:c r="BX137"/>
      <x:c r="BY137"/>
      <x:c r="BZ137"/>
      <x:c r="CA137"/>
      <x:c r="CB137"/>
      <x:c r="CC137"/>
    </x:row>
    <x:row r="138" ht="90" customHeight="1">
      <x:c r="A138" s="9" t="str">
        <x:v>proposal.gem.tourmaline</x:v>
      </x:c>
      <x:c r="B138" s="9" t="str">
        <x:v>Tourmaline</x:v>
      </x:c>
      <x:c r="C138" s="4" t="str">
        <x:v>T0</x:v>
      </x:c>
      <x:c r="D138" s="9" t="str">
        <x:v>Mineral resources</x:v>
      </x:c>
      <x:c r="E138" s="9" t="str">
        <x:v>Gemstone concept</x:v>
      </x:c>
      <x:c r="F138" s="9" t="str">
        <x:v>New proposal</x:v>
      </x:c>
      <x:c r="G138" s="9" t="str">
        <x:v>Proposed appearance: Dark green / multicolor palette to select. Potential use: Regional ornament styles and distinctive settings</x:v>
      </x:c>
      <x:c r="H138" s="9" t="str">
        <x:v>None</x:v>
      </x:c>
      <x:c r="I138" s="9" t="str">
        <x:v>Gathered raw gemstone: Legger / local storage</x:v>
      </x:c>
      <x:c r="J138" s="13"/>
      <x:c r="K138" s="15"/>
      <x:c r="L138" s="9" t="str">
        <x:v>Authored ancient mineral-bearing strata candidate; no deposit placement approved</x:v>
      </x:c>
      <x:c r="M138" s="9" t="str">
        <x:v>Sorting, cutting, polishing and setting are future craft concepts</x:v>
      </x:c>
      <x:c r="N138" s="9" t="str">
        <x:v>Not implemented</x:v>
      </x:c>
      <x:c r="O138" s="9" t="str">
        <x:v>Exact variety and useful color range undecided; no magnetic or electrical powers inferred.</x:v>
      </x:c>
      <x:c r="P138" s="17"/>
      <x:c r="Q138" s="17"/>
      <x:c r="R138" s="17"/>
      <x:c r="S138" s="17"/>
      <x:c r="T138" s="17"/>
      <x:c r="U138" s="9" t="str">
        <x:v>Gemstones exist by author direction. This mineral choice, palette, grade, cut and use are proposals. Fashion-suitable inputs intended valuable; no universal rarity or numeric price assigned.</x:v>
      </x:c>
      <x:c r="V138" s="11"/>
      <x:c r="W138" s="9" t="str">
        <x:v>Author direction October 14, 2026 establishes gemstones generally. Proposed real-mineral inspiration: https://www.gia.edu/gem-encyclopedia; no claim of Death Valley occurrence or game canon for this species.</x:v>
      </x:c>
      <x:c r="X138" s="4" t="str">
        <x:v>Gem material</x:v>
      </x:c>
      <x:c r="Y138" s="4" t="str">
        <x:v>Unresolved</x:v>
      </x:c>
      <x:c r="Z138" s="4" t="str">
        <x:v>Geological</x:v>
      </x:c>
      <x:c r="AA138" s="4" t="str">
        <x:v>Decoration</x:v>
      </x:c>
      <x:c r="AB138" s="4" t="str">
        <x:v>Gemstone</x:v>
      </x:c>
      <x:c r="AC138" s="4" t="str">
        <x:v>Unresolved</x:v>
      </x:c>
      <x:c r="AD138" s="4" t="str">
        <x:v>Proposal</x:v>
      </x:c>
      <x:c r="AE138" s="4" t="str">
        <x:f>LOWER(A138&amp;"; "&amp;B138&amp;"; "&amp;D138&amp;"; "&amp;E138&amp;"; "&amp;X138&amp;"; "&amp;Y138&amp;"; "&amp;Z138&amp;"; "&amp;AA138&amp;"; "&amp;AB138&amp;"; "&amp;AC138&amp;"; "&amp;AD138&amp;"; "&amp;V138&amp;"; "&amp;C138&amp;"; "&amp;AH138&amp;"; "&amp;AI138)</x:f>
        <x:v>proposal.gem.tourmaline; tourmaline; mineral resources; gemstone concept; gem material; unresolved; geological; decoration; gemstone; unresolved; proposal; ; t0; not applicable; material</x:v>
      </x:c>
      <x:c r="AF138" s="4" t="str">
        <x:v>From current item description. Proposed uses retain their existing approval status. Lore category review: Resources -&gt; Mineral resources. Classification only; original item status and tier retained.</x:v>
      </x:c>
      <x:c r="AG138" s="4" t="str">
        <x:v>Provisional raw-stone input interpretation; existing cut state remains unresolved.</x:v>
      </x:c>
      <x:c r="AH138" s="4" t="str">
        <x:v>Not applicable</x:v>
      </x:c>
      <x:c r="AI138" s="4" t="str">
        <x:v>Material</x:v>
      </x:c>
      <x:c r="AJ138" s="4" t="n">
        <x:f>COUNTIFS('Material routes'!$D$6:$D$2205,A138,'Material routes'!$C$6:$C$2205,"Output")</x:f>
        <x:v>0</x:v>
      </x:c>
      <x:c r="AK138" s="4" t="n">
        <x:f>SUM(COUNTIFS('Material routes'!$D$6:$D$2205,A138,'Material routes'!$C$6:$C$2205,"Ingredient candidate"),COUNTIFS('Material routes'!$D$6:$D$2205,A138,'Material routes'!$C$6:$C$2205,"Consumed input"),COUNTIFS('Material routes'!$D$6:$D$2205,A138,'Material routes'!$C$6:$C$2205,"Contained input"),COUNTIFS('Material routes'!$D$6:$D$2205,A138,'Material routes'!$C$6:$C$2205,"Transform input"))</x:f>
        <x:v>0</x:v>
      </x:c>
      <x:c r="AL138" s="4" t="n">
        <x:f>COUNTIFS('Material routes'!$D$6:$D$2205,A138,'Material routes'!$C$6:$C$2205,"Tool candidate")</x:f>
        <x:v>0</x:v>
      </x:c>
      <x:c r="AM138" s="4" t="str">
        <x:f>IF(AJ138&gt;0,"Route listed; review status/completeness",IF(C138="T0","Raw entry feed; no production route","No production route listed"))</x:f>
        <x:v>Raw entry feed; no production route</x:v>
      </x:c>
      <x:c r="AN138" s="14" t="n">
        <x:f>IF(C138="T0",0,IF(C138="T1",1,IF(C138="T2",2,IF(C138="T3",3,IF(C138="T4",4,IF(C138="Unassigned",98,99))))))</x:f>
        <x:v>0</x:v>
      </x:c>
      <x:c r="AZ138"/>
      <x:c r="BA138"/>
      <x:c r="BB138"/>
      <x:c r="BC138"/>
      <x:c r="BD138"/>
      <x:c r="BE138"/>
      <x:c r="BF138"/>
      <x:c r="BG138"/>
      <x:c r="BH138"/>
      <x:c r="BI138"/>
      <x:c r="BJ138"/>
      <x:c r="BK138"/>
      <x:c r="BL138"/>
      <x:c r="BM138"/>
      <x:c r="BN138"/>
      <x:c r="BO138"/>
      <x:c r="BP138"/>
      <x:c r="BQ138"/>
      <x:c r="BR138"/>
      <x:c r="BS138"/>
      <x:c r="BT138"/>
      <x:c r="BU138"/>
      <x:c r="BV138"/>
      <x:c r="BW138"/>
      <x:c r="BX138"/>
      <x:c r="BY138"/>
      <x:c r="BZ138"/>
      <x:c r="CA138"/>
      <x:c r="CB138"/>
      <x:c r="CC138"/>
    </x:row>
    <x:row r="139" ht="90" customHeight="1">
      <x:c r="A139" s="9" t="str">
        <x:v>proposal.gem.zircon</x:v>
      </x:c>
      <x:c r="B139" s="9" t="str">
        <x:v>Zircon</x:v>
      </x:c>
      <x:c r="C139" s="4" t="str">
        <x:v>T0</x:v>
      </x:c>
      <x:c r="D139" s="9" t="str">
        <x:v>Mineral resources</x:v>
      </x:c>
      <x:c r="E139" s="9" t="str">
        <x:v>Gemstone concept</x:v>
      </x:c>
      <x:c r="F139" s="9" t="str">
        <x:v>New proposal</x:v>
      </x:c>
      <x:c r="G139" s="9" t="str">
        <x:v>Proposed appearance: Honey-brown / warm clear palette. Potential use: Small brilliant accents and fine polished settings</x:v>
      </x:c>
      <x:c r="H139" s="9" t="str">
        <x:v>None</x:v>
      </x:c>
      <x:c r="I139" s="9" t="str">
        <x:v>Gathered raw gemstone: Legger / local storage</x:v>
      </x:c>
      <x:c r="J139" s="13"/>
      <x:c r="K139" s="15"/>
      <x:c r="L139" s="9" t="str">
        <x:v>Authored ancient mineral-bearing strata candidate; no deposit placement approved</x:v>
      </x:c>
      <x:c r="M139" s="9" t="str">
        <x:v>Sorting, cutting, polishing and setting are future craft concepts</x:v>
      </x:c>
      <x:c r="N139" s="9" t="str">
        <x:v>Not implemented</x:v>
      </x:c>
      <x:c r="O139" s="9" t="str">
        <x:v>A natural mineral candidate, distinct from cubic zirconia; no ancient-tech identity assumed.</x:v>
      </x:c>
      <x:c r="P139" s="17"/>
      <x:c r="Q139" s="17"/>
      <x:c r="R139" s="17"/>
      <x:c r="S139" s="17"/>
      <x:c r="T139" s="17"/>
      <x:c r="U139" s="9" t="str">
        <x:v>Gemstones exist by author direction. This mineral choice, palette, grade, cut and use are proposals. Fashion-suitable inputs intended valuable; no universal rarity or numeric price assigned.</x:v>
      </x:c>
      <x:c r="V139" s="11"/>
      <x:c r="W139" s="9" t="str">
        <x:v>Author direction October 14, 2026 establishes gemstones generally. Proposed real-mineral inspiration: https://www.gia.edu/zircon-description; no claim of Death Valley occurrence or game canon for this species.</x:v>
      </x:c>
      <x:c r="X139" s="4" t="str">
        <x:v>Gem material</x:v>
      </x:c>
      <x:c r="Y139" s="4" t="str">
        <x:v>Unresolved</x:v>
      </x:c>
      <x:c r="Z139" s="4" t="str">
        <x:v>Geological</x:v>
      </x:c>
      <x:c r="AA139" s="4" t="str">
        <x:v>Decoration</x:v>
      </x:c>
      <x:c r="AB139" s="4" t="str">
        <x:v>Gemstone</x:v>
      </x:c>
      <x:c r="AC139" s="4" t="str">
        <x:v>Unresolved</x:v>
      </x:c>
      <x:c r="AD139" s="4" t="str">
        <x:v>Proposal</x:v>
      </x:c>
      <x:c r="AE139" s="4" t="str">
        <x:f>LOWER(A139&amp;"; "&amp;B139&amp;"; "&amp;D139&amp;"; "&amp;E139&amp;"; "&amp;X139&amp;"; "&amp;Y139&amp;"; "&amp;Z139&amp;"; "&amp;AA139&amp;"; "&amp;AB139&amp;"; "&amp;AC139&amp;"; "&amp;AD139&amp;"; "&amp;V139&amp;"; "&amp;C139&amp;"; "&amp;AH139&amp;"; "&amp;AI139)</x:f>
        <x:v>proposal.gem.zircon; zircon; mineral resources; gemstone concept; gem material; unresolved; geological; decoration; gemstone; unresolved; proposal; ; t0; not applicable; material</x:v>
      </x:c>
      <x:c r="AF139" s="4" t="str">
        <x:v>From current item description. Proposed uses retain their existing approval status. Lore category review: Resources -&gt; Mineral resources. Classification only; original item status and tier retained.</x:v>
      </x:c>
      <x:c r="AG139" s="4" t="str">
        <x:v>Provisional raw-stone input interpretation; existing cut state remains unresolved.</x:v>
      </x:c>
      <x:c r="AH139" s="4" t="str">
        <x:v>Not applicable</x:v>
      </x:c>
      <x:c r="AI139" s="4" t="str">
        <x:v>Material</x:v>
      </x:c>
      <x:c r="AJ139" s="4" t="n">
        <x:f>COUNTIFS('Material routes'!$D$6:$D$2205,A139,'Material routes'!$C$6:$C$2205,"Output")</x:f>
        <x:v>0</x:v>
      </x:c>
      <x:c r="AK139" s="4" t="n">
        <x:f>SUM(COUNTIFS('Material routes'!$D$6:$D$2205,A139,'Material routes'!$C$6:$C$2205,"Ingredient candidate"),COUNTIFS('Material routes'!$D$6:$D$2205,A139,'Material routes'!$C$6:$C$2205,"Consumed input"),COUNTIFS('Material routes'!$D$6:$D$2205,A139,'Material routes'!$C$6:$C$2205,"Contained input"),COUNTIFS('Material routes'!$D$6:$D$2205,A139,'Material routes'!$C$6:$C$2205,"Transform input"))</x:f>
        <x:v>0</x:v>
      </x:c>
      <x:c r="AL139" s="4" t="n">
        <x:f>COUNTIFS('Material routes'!$D$6:$D$2205,A139,'Material routes'!$C$6:$C$2205,"Tool candidate")</x:f>
        <x:v>0</x:v>
      </x:c>
      <x:c r="AM139" s="4" t="str">
        <x:f>IF(AJ139&gt;0,"Route listed; review status/completeness",IF(C139="T0","Raw entry feed; no production route","No production route listed"))</x:f>
        <x:v>Raw entry feed; no production route</x:v>
      </x:c>
      <x:c r="AN139" s="14" t="n">
        <x:f>IF(C139="T0",0,IF(C139="T1",1,IF(C139="T2",2,IF(C139="T3",3,IF(C139="T4",4,IF(C139="Unassigned",98,99))))))</x:f>
        <x:v>0</x:v>
      </x:c>
      <x:c r="AZ139"/>
      <x:c r="BA139"/>
      <x:c r="BB139"/>
      <x:c r="BC139"/>
      <x:c r="BD139"/>
      <x:c r="BE139"/>
      <x:c r="BF139"/>
      <x:c r="BG139"/>
      <x:c r="BH139"/>
      <x:c r="BI139"/>
      <x:c r="BJ139"/>
      <x:c r="BK139"/>
      <x:c r="BL139"/>
      <x:c r="BM139"/>
      <x:c r="BN139"/>
      <x:c r="BO139"/>
      <x:c r="BP139"/>
      <x:c r="BQ139"/>
      <x:c r="BR139"/>
      <x:c r="BS139"/>
      <x:c r="BT139"/>
      <x:c r="BU139"/>
      <x:c r="BV139"/>
      <x:c r="BW139"/>
      <x:c r="BX139"/>
      <x:c r="BY139"/>
      <x:c r="BZ139"/>
      <x:c r="CA139"/>
      <x:c r="CB139"/>
      <x:c r="CC139"/>
    </x:row>
    <x:row r="140" ht="90" customHeight="1">
      <x:c r="A140" s="9" t="str">
        <x:v>proposal.gear.simple_wraps</x:v>
      </x:c>
      <x:c r="B140" s="9" t="inlineStr">
        <x:is>
          <x:t xml:space="preserve">Everyday torso wrap</x:t>
        </x:is>
      </x:c>
      <x:c r="C140" s="4" t="inlineStr">
        <x:is>
          <x:t xml:space="preserve">T2</x:t>
        </x:is>
      </x:c>
      <x:c r="D140" s="9" t="inlineStr">
        <x:is>
          <x:t xml:space="preserve">Clothing</x:t>
        </x:is>
      </x:c>
      <x:c r="E140" s="9" t="inlineStr">
        <x:is>
          <x:t xml:space="preserve">Everyday wraps / torso</x:t>
        </x:is>
      </x:c>
      <x:c r="F140" s="9" t="inlineStr">
        <x:is>
          <x:t xml:space="preserve">New proposal</x:t>
        </x:is>
      </x:c>
      <x:c r="G140" s="9" t="inlineStr">
        <x:is>
          <x:t xml:space="preserve">One simple crossed torso wrap with an overlapping waist return and small metal keeper. Covers the trunk without including leg, hand, foot or head pieces. Reuses the former generic Simple everyday wraps entry as one garment.</x:t>
        </x:is>
      </x:c>
      <x:c r="H140" s="9" t="inlineStr">
        <x:is>
          <x:t xml:space="preserve">Unassigned; fit unresolved</x:t>
        </x:is>
      </x:c>
      <x:c r="I140" s="9" t="inlineStr">
        <x:is>
          <x:t xml:space="preserve">Booter-worn wrap garment; fit, packing and personal canister clearance unresolved.</x:t>
        </x:is>
      </x:c>
      <x:c r="J140" s="13" t="inlineStr">
        <x:is>
          <x:t xml:space="preserve"/>
        </x:is>
      </x:c>
      <x:c r="K140" s="15" t="inlineStr">
        <x:is>
          <x:t xml:space="preserve"/>
        </x:is>
      </x:c>
      <x:c r="L140" s="9" t="inlineStr">
        <x:is>
          <x:t xml:space="preserve">Proposed simple garment craft or trade; price and availability unresolved.</x:t>
        </x:is>
      </x:c>
      <x:c r="M140" s="9"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140" s="9" t="inlineStr">
        <x:is>
          <x:t xml:space="preserve">Not implemented</x:t>
        </x:is>
      </x:c>
      <x:c r="O140" s="9"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140" s="17" t="inlineStr">
        <x:is>
          <x:t xml:space="preserve"/>
        </x:is>
      </x:c>
      <x:c r="Q140" s="17" t="inlineStr">
        <x:is>
          <x:t xml:space="preserve"/>
        </x:is>
      </x:c>
      <x:c r="R140" s="17" t="inlineStr">
        <x:is>
          <x:t xml:space="preserve"/>
        </x:is>
      </x:c>
      <x:c r="S140" s="17" t="inlineStr">
        <x:is>
          <x:t xml:space="preserve"/>
        </x:is>
      </x:c>
      <x:c r="T140" s="17" t="inlineStr">
        <x:is>
          <x:t xml:space="preserve"/>
        </x:is>
      </x:c>
      <x:c r="U140" s="9" t="inlineStr">
        <x:is>
          <x:t xml:space="preserve">Torso fit, strip preparation, keeper design, joining and canister clearance unresolved. This is one torso garment, not the former broad outfit concept.</x:t>
        </x:is>
      </x:c>
      <x:c r="V140" s="11" t="inlineStr">
        <x:is>
          <x:t xml:space="preserve">simple everyday wraps; everyday wraps set; torso wrap; crossed body wrap; separate garment</x:t>
        </x:is>
      </x:c>
      <x:c r="W140" s="9"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x:t>
        </x:is>
      </x:c>
      <x:c r="X140" s="4" t="inlineStr">
        <x:is>
          <x:t xml:space="preserve">Wearable</x:t>
        </x:is>
      </x:c>
      <x:c r="Y140" s="4" t="inlineStr">
        <x:is>
          <x:t xml:space="preserve">Finished item</x:t>
        </x:is>
      </x:c>
      <x:c r="Z140" s="4" t="inlineStr">
        <x:is>
          <x:t xml:space="preserve">Manufactured / unresolved</x:t>
        </x:is>
      </x:c>
      <x:c r="AA140" s="4" t="inlineStr">
        <x:is>
          <x:t xml:space="preserve">Clothing</x:t>
        </x:is>
      </x:c>
      <x:c r="AB140" s="4" t="inlineStr">
        <x:is>
          <x:t xml:space="preserve">Husk fiber</x:t>
        </x:is>
      </x:c>
      <x:c r="AC140" s="4" t="inlineStr">
        <x:is>
          <x:t xml:space="preserve">Assembly</x:t>
        </x:is>
      </x:c>
      <x:c r="AD140" s="4" t="inlineStr">
        <x:is>
          <x:t xml:space="preserve">Proposal</x:t>
        </x:is>
      </x:c>
      <x:c r="AE140" s="4" t="str">
        <x:f>LOWER(A140&amp;"; "&amp;B140&amp;"; "&amp;D140&amp;"; "&amp;E140&amp;"; "&amp;X140&amp;"; "&amp;Y140&amp;"; "&amp;Z140&amp;"; "&amp;AA140&amp;"; "&amp;AB140&amp;"; "&amp;AC140&amp;"; "&amp;AD140&amp;"; "&amp;V140&amp;"; "&amp;C140&amp;"; "&amp;AH140&amp;"; "&amp;AI140)</x:f>
        <x:v>proposal.gear.simple_wraps; everyday torso wrap; clothing; everyday wraps / torso; wearable; finished item; manufactured / unresolved; clothing; husk fiber; assembly; proposal; simple everyday wraps; everyday wraps set; torso wrap; crossed body wrap; separate garment; t2; t1; finished item</x:v>
      </x:c>
      <x:c r="AF140" s="4" t="inlineStr">
        <x:is>
          <x:t xml:space="preserve">One independently listed garment in the everyday-wraps family; the family itself is not an inventory item.</x:t>
        </x:is>
      </x:c>
      <x:c r="AG140" s="4" t="inlineStr">
        <x:is>
          <x:t xml:space="preserve">Proposed T2 garment using qualified T1 strip stock and supporting closures. The necessary fiber preparation and assembly route remain unresolved.</x:t>
        </x:is>
      </x:c>
      <x:c r="AH140" s="4" t="inlineStr">
        <x:is>
          <x:t xml:space="preserve">T1</x:t>
        </x:is>
      </x:c>
      <x:c r="AI140" s="4" t="inlineStr">
        <x:is>
          <x:t xml:space="preserve">Finished item</x:t>
        </x:is>
      </x:c>
      <x:c r="AJ140" s="4" t="n">
        <x:f>COUNTIFS('Material routes'!$D$6:$D$2205,A140,'Material routes'!$C$6:$C$2205,"Output")</x:f>
        <x:v>1</x:v>
      </x:c>
      <x:c r="AK140" s="4" t="n">
        <x:f>SUM(COUNTIFS('Material routes'!$D$6:$D$2205,A140,'Material routes'!$C$6:$C$2205,"Ingredient candidate"),COUNTIFS('Material routes'!$D$6:$D$2205,A140,'Material routes'!$C$6:$C$2205,"Consumed input"),COUNTIFS('Material routes'!$D$6:$D$2205,A140,'Material routes'!$C$6:$C$2205,"Contained input"),COUNTIFS('Material routes'!$D$6:$D$2205,A140,'Material routes'!$C$6:$C$2205,"Transform input"))</x:f>
        <x:v>0</x:v>
      </x:c>
      <x:c r="AL140" s="4" t="n">
        <x:f>COUNTIFS('Material routes'!$D$6:$D$2205,A140,'Material routes'!$C$6:$C$2205,"Tool candidate")</x:f>
        <x:v>0</x:v>
      </x:c>
      <x:c r="AM140" s="4" t="str">
        <x:f>IF(AJ140&gt;0,"Route listed; review status/completeness",IF(C140="T0","Raw entry feed; no production route","No production route listed"))</x:f>
        <x:v>Route listed; review status/completeness</x:v>
      </x:c>
      <x:c r="AN140" s="14">
        <x:f>IF(C140="T0",0,IF(C140="T1",1,IF(C140="T2",2,IF(C140="T3",3,IF(C140="T4",4,IF(C140="Unassigned",98,99))))))</x:f>
        <x:v>2</x:v>
      </x:c>
      <x:c r="AZ140"/>
      <x:c r="BA140"/>
      <x:c r="BB140"/>
      <x:c r="BC140"/>
      <x:c r="BD140"/>
      <x:c r="BE140"/>
      <x:c r="BF140"/>
      <x:c r="BG140"/>
      <x:c r="BH140"/>
      <x:c r="BI140"/>
      <x:c r="BJ140"/>
      <x:c r="BK140"/>
      <x:c r="BL140"/>
      <x:c r="BM140"/>
      <x:c r="BN140"/>
      <x:c r="BO140"/>
      <x:c r="BP140"/>
      <x:c r="BQ140"/>
      <x:c r="BR140"/>
      <x:c r="BS140"/>
      <x:c r="BT140"/>
      <x:c r="BU140"/>
      <x:c r="BV140"/>
      <x:c r="BW140"/>
      <x:c r="BX140"/>
      <x:c r="BY140"/>
      <x:c r="BZ140"/>
      <x:c r="CA140"/>
      <x:c r="CB140"/>
      <x:c r="CC140"/>
    </x:row>
    <x:row r="141" ht="95" customHeight="1">
      <x:c r="A141" s="9" t="str">
        <x:v>proposal.bio.inner_wing</x:v>
      </x:c>
      <x:c r="B141" s="9" t="str">
        <x:v>Delicate inner wing</x:v>
      </x:c>
      <x:c r="C141" s="4" t="str">
        <x:v>T0</x:v>
      </x:c>
      <x:c r="D141" s="9" t="str">
        <x:v>Biological resources</x:v>
      </x:c>
      <x:c r="E141" s="9" t="str">
        <x:v>Wing material</x:v>
      </x:c>
      <x:c r="F141" s="9" t="str">
        <x:v>User direction; not implemented</x:v>
      </x:c>
      <x:c r="G141" s="9" t="str">
        <x:v>Gathered insectoid megafauna inner-wing membrane for vertical sun shades. Also author-directed input for wind sails.</x:v>
      </x:c>
      <x:c r="H141" s="9" t="str">
        <x:v>None</x:v>
      </x:c>
      <x:c r="I141" s="9" t="str">
        <x:v>Raw resource: Legger / local storage</x:v>
      </x:c>
      <x:c r="J141" s="13"/>
      <x:c r="K141" s="15"/>
      <x:c r="L141" s="9" t="str">
        <x:v>Megafauna inner wings; collection details TBD</x:v>
      </x:c>
      <x:c r="M141" s="9" t="str">
        <x:v>Prepare/join into shade panels; method and yield undefined</x:v>
      </x:c>
      <x:c r="N141" s="9" t="str">
        <x:v>Not implemented</x:v>
      </x:c>
      <x:c r="O141" s="9" t="str">
        <x:v>Delicate resource; no automatic opacity, heat resistance, structural strength or cloth properties assigned.</x:v>
      </x:c>
      <x:c r="P141" s="17"/>
      <x:c r="Q141" s="17"/>
      <x:c r="R141" s="17"/>
      <x:c r="S141" s="17"/>
      <x:c r="T141" s="17"/>
      <x:c r="U141" s="9" t="str">
        <x:v>Vertical sun-shade material by author direction; value and processing work remain unspecified.</x:v>
      </x:c>
      <x:c r="V141" s="11" t="str">
        <x:v>sail membrane; wind propulsion</x:v>
      </x:c>
      <x:c r="W141" s="9" t="str">
        <x:v>Direct author direction October 14, 2026; Docs/WORLD_BASIS.md#material-culture</x:v>
      </x:c>
      <x:c r="X141" s="4" t="str">
        <x:v>Raw material</x:v>
      </x:c>
      <x:c r="Y141" s="4" t="str">
        <x:v>Raw</x:v>
      </x:c>
      <x:c r="Z141" s="4" t="str">
        <x:v>Fauna</x:v>
      </x:c>
      <x:c r="AA141" s="4" t="str">
        <x:v>Sun shading</x:v>
      </x:c>
      <x:c r="AB141" s="4" t="str">
        <x:v>Wing membrane</x:v>
      </x:c>
      <x:c r="AC141" s="4" t="str">
        <x:v>Membrane</x:v>
      </x:c>
      <x:c r="AD141" s="4" t="str">
        <x:v>Author direction</x:v>
      </x:c>
      <x:c r="AE141" s="4" t="str">
        <x:f>LOWER(A141&amp;"; "&amp;B141&amp;"; "&amp;D141&amp;"; "&amp;E141&amp;"; "&amp;X141&amp;"; "&amp;Y141&amp;"; "&amp;Z141&amp;"; "&amp;AA141&amp;"; "&amp;AB141&amp;"; "&amp;AC141&amp;"; "&amp;AD141&amp;"; "&amp;V141&amp;"; "&amp;C141&amp;"; "&amp;AH141&amp;"; "&amp;AI141)</x:f>
        <x:v>proposal.bio.inner_wing; delicate inner wing; biological resources; wing material; raw material; raw; fauna; sun shading; wing membrane; membrane; author direction; sail membrane; wind propulsion; t0; not applicable; material</x:v>
      </x:c>
      <x:c r="AF141" s="4" t="str">
        <x:v>From current item description. Proposed uses retain their existing approval status. Lore category review: Resources -&gt; Biological resources. Classification only; original item status and tier retained.</x:v>
      </x:c>
      <x:c r="AG141" s="4" t="str">
        <x:v>Raw gathered/recovered craft input under the author T0 framework. This does not imply a naturally occurring pure metal.</x:v>
      </x:c>
      <x:c r="AH141" s="4" t="str">
        <x:v>Not applicable</x:v>
      </x:c>
      <x:c r="AI141" s="4" t="str">
        <x:v>Material</x:v>
      </x:c>
      <x:c r="AJ141" s="4" t="n">
        <x:f>COUNTIFS('Material routes'!$D$6:$D$2205,A141,'Material routes'!$C$6:$C$2205,"Output")</x:f>
        <x:v>0</x:v>
      </x:c>
      <x:c r="AK141" s="4" t="n">
        <x:f>SUM(COUNTIFS('Material routes'!$D$6:$D$2205,A141,'Material routes'!$C$6:$C$2205,"Ingredient candidate"),COUNTIFS('Material routes'!$D$6:$D$2205,A141,'Material routes'!$C$6:$C$2205,"Consumed input"),COUNTIFS('Material routes'!$D$6:$D$2205,A141,'Material routes'!$C$6:$C$2205,"Contained input"),COUNTIFS('Material routes'!$D$6:$D$2205,A141,'Material routes'!$C$6:$C$2205,"Transform input"))</x:f>
        <x:v>2</x:v>
      </x:c>
      <x:c r="AL141" s="4" t="n">
        <x:f>COUNTIFS('Material routes'!$D$6:$D$2205,A141,'Material routes'!$C$6:$C$2205,"Tool candidate")</x:f>
        <x:v>0</x:v>
      </x:c>
      <x:c r="AM141" s="4" t="str">
        <x:f>IF(AJ141&gt;0,"Route listed; review status/completeness",IF(C141="T0","Raw entry feed; no production route","No production route listed"))</x:f>
        <x:v>Raw entry feed; no production route</x:v>
      </x:c>
      <x:c r="AN141" s="14" t="n">
        <x:f>IF(C141="T0",0,IF(C141="T1",1,IF(C141="T2",2,IF(C141="T3",3,IF(C141="T4",4,IF(C141="Unassigned",98,99))))))</x:f>
        <x:v>0</x:v>
      </x:c>
      <x:c r="AZ141"/>
      <x:c r="BA141"/>
      <x:c r="BB141"/>
      <x:c r="BC141"/>
      <x:c r="BD141"/>
      <x:c r="BE141"/>
      <x:c r="BF141"/>
      <x:c r="BG141"/>
      <x:c r="BH141"/>
      <x:c r="BI141"/>
      <x:c r="BJ141"/>
      <x:c r="BK141"/>
      <x:c r="BL141"/>
      <x:c r="BM141"/>
      <x:c r="BN141"/>
      <x:c r="BO141"/>
      <x:c r="BP141"/>
      <x:c r="BQ141"/>
      <x:c r="BR141"/>
      <x:c r="BS141"/>
      <x:c r="BT141"/>
      <x:c r="BU141"/>
      <x:c r="BV141"/>
      <x:c r="BW141"/>
      <x:c r="BX141"/>
      <x:c r="BY141"/>
      <x:c r="BZ141"/>
      <x:c r="CA141"/>
      <x:c r="CB141"/>
      <x:c r="CC141"/>
    </x:row>
    <x:row r="142" ht="95" customHeight="1">
      <x:c r="A142" s="9" t="str">
        <x:v>proposal.bio.wing_panel</x:v>
      </x:c>
      <x:c r="B142" s="9" t="str">
        <x:v>Prepared wing shade panel</x:v>
      </x:c>
      <x:c r="C142" s="4" t="str">
        <x:v>T1</x:v>
      </x:c>
      <x:c r="D142" s="9" t="inlineStr">
        <x:is>
          <x:t xml:space="preserve">Salvage</x:t>
        </x:is>
      </x:c>
      <x:c r="E142" s="9" t="inlineStr">
        <x:is>
          <x:t xml:space="preserve">Shelter &amp; rest</x:t>
        </x:is>
      </x:c>
      <x:c r="F142" s="9" t="str">
        <x:v>New proposal</x:v>
      </x:c>
      <x:c r="G142" s="9" t="inlineStr">
        <x:is>
          <x:t xml:space="preserve">Prepared inner-wing material for an assembled vertical sun shade. It is intended to place a physical screen between the low sun and the user or equipment; orientation, supports and wind retention matter to the final arrangement.</x:t>
        </x:is>
      </x:c>
      <x:c r="H142" s="9" t="str">
        <x:v>None</x:v>
      </x:c>
      <x:c r="I142" s="9" t="str">
        <x:v>Component carrier eligibility TBD</x:v>
      </x:c>
      <x:c r="J142" s="13"/>
      <x:c r="K142" s="15"/>
      <x:c r="L142" s="9" t="str">
        <x:v>Process delicate inner wings; exact method undecided</x:v>
      </x:c>
      <x:c r="M142" s="9" t="str">
        <x:v>Candidate input for existing popup-camp shade; no recipe authored</x:v>
      </x:c>
      <x:c r="N142" s="9" t="str">
        <x:v>Not implemented</x:v>
      </x:c>
      <x:c r="O142" s="9" t="str">
        <x:v>Panel preparation, joining, frame support and actual shade properties need design; no cloth assumed.</x:v>
      </x:c>
      <x:c r="P142" s="17"/>
      <x:c r="Q142" s="17"/>
      <x:c r="R142" s="17"/>
      <x:c r="S142" s="17"/>
      <x:c r="T142" s="17"/>
      <x:c r="U142" s="9" t="str">
        <x:v>Proposed intermediate product; reuse existing popup-camp item instead of duplicating the deployed shade.</x:v>
      </x:c>
      <x:c r="V142" s="11" t="inlineStr">
        <x:is>
          <x:t xml:space="preserve">Wing material; camp goods; Shelter &amp; rest</x:t>
        </x:is>
      </x:c>
      <x:c r="W142" s="9" t="str">
        <x:v>New game proposal derived from author wing-resource direction October 14, 2026</x:v>
      </x:c>
      <x:c r="X142" s="4" t="str">
        <x:v>Crafting component</x:v>
      </x:c>
      <x:c r="Y142" s="4" t="str">
        <x:v>Processed intermediate</x:v>
      </x:c>
      <x:c r="Z142" s="4" t="str">
        <x:v>Fauna</x:v>
      </x:c>
      <x:c r="AA142" s="4" t="str">
        <x:v>Sun shading</x:v>
      </x:c>
      <x:c r="AB142" s="4" t="str">
        <x:v>Wing membrane</x:v>
      </x:c>
      <x:c r="AC142" s="4" t="str">
        <x:v>Panel</x:v>
      </x:c>
      <x:c r="AD142" s="4" t="str">
        <x:v>Proposal</x:v>
      </x:c>
      <x:c r="AE142" s="4" t="str">
        <x:f>LOWER(A142&amp;"; "&amp;B142&amp;"; "&amp;D142&amp;"; "&amp;E142&amp;"; "&amp;X142&amp;"; "&amp;Y142&amp;"; "&amp;Z142&amp;"; "&amp;AA142&amp;"; "&amp;AB142&amp;"; "&amp;AC142&amp;"; "&amp;AD142&amp;"; "&amp;V142&amp;"; "&amp;C142&amp;"; "&amp;AH142&amp;"; "&amp;AI142)</x:f>
        <x:v>proposal.bio.wing_panel; prepared wing shade panel; salvage; shelter &amp; rest; crafting component; processed intermediate; fauna; sun shading; wing membrane; panel; proposal; wing material; camp goods; shelter &amp; rest; t1; not applicable; component</x:v>
      </x:c>
      <x:c r="AF142" s="4" t="inlineStr">
        <x:is>
          <x:t xml:space="preserve">From current item description. Proposed uses retain their existing approval status. Author camp organization: Camp items / Shelter &amp; rest; previous category/subtype: Crafting components / Wing material. Author direction October 16: all Camp items are Salvage; retire the Camp items section. Item identity, condition, tiers, purposes and recipe semantics remain unchanged.</x:t>
        </x:is>
      </x:c>
      <x:c r="AG142" s="4" t="str">
        <x:v>Proposed game manufacturing tier from the candidate routes. Integrated operations may contain many work steps.</x:v>
      </x:c>
      <x:c r="AH142" s="4" t="str">
        <x:v>Not applicable</x:v>
      </x:c>
      <x:c r="AI142" s="4" t="str">
        <x:v>Component</x:v>
      </x:c>
      <x:c r="AJ142" s="4" t="n">
        <x:f>COUNTIFS('Material routes'!$D$6:$D$2205,A142,'Material routes'!$C$6:$C$2205,"Output")</x:f>
        <x:v>1</x:v>
      </x:c>
      <x:c r="AK142" s="4" t="n">
        <x:f>SUM(COUNTIFS('Material routes'!$D$6:$D$2205,A142,'Material routes'!$C$6:$C$2205,"Ingredient candidate"),COUNTIFS('Material routes'!$D$6:$D$2205,A142,'Material routes'!$C$6:$C$2205,"Consumed input"),COUNTIFS('Material routes'!$D$6:$D$2205,A142,'Material routes'!$C$6:$C$2205,"Contained input"),COUNTIFS('Material routes'!$D$6:$D$2205,A142,'Material routes'!$C$6:$C$2205,"Transform input"))</x:f>
        <x:v>1</x:v>
      </x:c>
      <x:c r="AL142" s="4" t="n">
        <x:f>COUNTIFS('Material routes'!$D$6:$D$2205,A142,'Material routes'!$C$6:$C$2205,"Tool candidate")</x:f>
        <x:v>0</x:v>
      </x:c>
      <x:c r="AM142" s="4" t="str">
        <x:f>IF(AJ142&gt;0,"Route listed; review status/completeness",IF(C142="T0","Raw entry feed; no production route","No production route listed"))</x:f>
        <x:v>Route listed; review status/completeness</x:v>
      </x:c>
      <x:c r="AN142" s="14" t="n">
        <x:f>IF(C142="T0",0,IF(C142="T1",1,IF(C142="T2",2,IF(C142="T3",3,IF(C142="T4",4,IF(C142="Unassigned",98,99))))))</x:f>
        <x:v>1</x:v>
      </x:c>
      <x:c r="AZ142"/>
      <x:c r="BA142"/>
      <x:c r="BB142"/>
      <x:c r="BC142"/>
      <x:c r="BD142"/>
      <x:c r="BE142"/>
      <x:c r="BF142"/>
      <x:c r="BG142"/>
      <x:c r="BH142"/>
      <x:c r="BI142"/>
      <x:c r="BJ142"/>
      <x:c r="BK142"/>
      <x:c r="BL142"/>
      <x:c r="BM142"/>
      <x:c r="BN142"/>
      <x:c r="BO142"/>
      <x:c r="BP142"/>
      <x:c r="BQ142"/>
      <x:c r="BR142"/>
      <x:c r="BS142"/>
      <x:c r="BT142"/>
      <x:c r="BU142"/>
      <x:c r="BV142"/>
      <x:c r="BW142"/>
      <x:c r="BX142"/>
      <x:c r="BY142"/>
      <x:c r="BZ142"/>
      <x:c r="CA142"/>
      <x:c r="CB142"/>
      <x:c r="CC142"/>
    </x:row>
    <x:row r="143" ht="170" customHeight="1">
      <x:c r="A143" s="9" t="str">
        <x:v>proposal.canister.body_blank</x:v>
      </x:c>
      <x:c r="B143" s="9" t="str">
        <x:v>Canister body blank</x:v>
      </x:c>
      <x:c r="C143" s="4" t="str">
        <x:v>T3</x:v>
      </x:c>
      <x:c r="D143" s="9" t="str">
        <x:v>Crafting components</x:v>
      </x:c>
      <x:c r="E143" s="9" t="str">
        <x:v>Canister economy concept</x:v>
      </x:c>
      <x:c r="F143" s="9" t="str">
        <x:v>New proposal</x:v>
      </x:c>
      <x:c r="G143" s="9" t="inlineStr">
        <x:is>
          <x:t xml:space="preserve">Unfinished body for specialist assembly. It is intended to hold the recorded material physically, with closure, compatibility and carrying arrangements resolved for that contents.</x:t>
        </x:is>
      </x:c>
      <x:c r="H143" s="9" t="str">
        <x:v>Unassigned; part/fit ownership TBD</x:v>
      </x:c>
      <x:c r="I143" s="9" t="str">
        <x:v>Resource/component cargo or permitted Booter kit; policy TBD</x:v>
      </x:c>
      <x:c r="J143" s="13"/>
      <x:c r="K143" s="15"/>
      <x:c r="L143" s="9" t="str">
        <x:v>Specialist craft/trade/service candidate; no recipe authored</x:v>
      </x:c>
      <x:c r="M143" s="9" t="str">
        <x:v>Proposed material: Worked metal/alloy choice TBD; shell outer casing possible</x:v>
      </x:c>
      <x:c r="N143" s="9" t="str">
        <x:v>Not implemented</x:v>
      </x:c>
      <x:c r="O143" s="9" t="str">
        <x:v>Personal life-support canister and raw-chemical vessel are distinct service roles</x:v>
      </x:c>
      <x:c r="P143" s="17"/>
      <x:c r="Q143" s="17"/>
      <x:c r="R143" s="17"/>
      <x:c r="S143" s="17"/>
      <x:c r="T143" s="17"/>
      <x:c r="U143" s="9" t="str">
        <x:v>Source explicitly distinguishes body fabrication. Source systems are proposals; precision skill and suitable material may affect value, but no prices or lifetime values assigned.</x:v>
      </x:c>
      <x:c r="V143" s="11"/>
      <x:c r="W143" s="9" t="str">
        <x:v>New game item concept October 14, 2026. Source proposal: https://github.com/sleepyseamonster/Arc-Dust/blob/f6f98515c005dc3c73cccd9cbc031691745740c6/02-Arc-Dust-Worldbuilding/world/economy/canister/caster-craft.md</x:v>
      </x:c>
      <x:c r="X143" s="4" t="str">
        <x:v>Container part</x:v>
      </x:c>
      <x:c r="Y143" s="4" t="str">
        <x:v>Processed intermediate</x:v>
      </x:c>
      <x:c r="Z143" s="4" t="str">
        <x:v>Manufactured / unresolved</x:v>
      </x:c>
      <x:c r="AA143" s="4" t="str">
        <x:v>Liquid and bulk containment</x:v>
      </x:c>
      <x:c r="AB143" s="4" t="str">
        <x:v>Mixed / unresolved</x:v>
      </x:c>
      <x:c r="AC143" s="4" t="str">
        <x:v>Solid part</x:v>
      </x:c>
      <x:c r="AD143" s="4" t="str">
        <x:v>Proposal</x:v>
      </x:c>
      <x:c r="AE143" s="4" t="str">
        <x:f>LOWER(A143&amp;"; "&amp;B143&amp;"; "&amp;D143&amp;"; "&amp;E143&amp;"; "&amp;X143&amp;"; "&amp;Y143&amp;"; "&amp;Z143&amp;"; "&amp;AA143&amp;"; "&amp;AB143&amp;"; "&amp;AC143&amp;"; "&amp;AD143&amp;"; "&amp;V143&amp;"; "&amp;C143&amp;"; "&amp;AH143&amp;"; "&amp;AI143)</x:f>
        <x:v>proposal.canister.body_blank; canister body blank; crafting components; canister economy concept; container part; processed intermediate; manufactured / unresolved; liquid and bulk containment; mixed / unresolved; solid part; proposal; ; t3; not applicable; component</x:v>
      </x:c>
      <x:c r="AF143" s="4" t="str">
        <x:v>From current item description. Proposed uses retain their existing approval status.</x:v>
      </x:c>
      <x:c r="AG143" s="4" t="str">
        <x:v>October 15 proposed tier review: 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AH143" s="4" t="str">
        <x:v>Not applicable</x:v>
      </x:c>
      <x:c r="AI143" s="4" t="str">
        <x:v>Component</x:v>
      </x:c>
      <x:c r="AJ143" s="4" t="n">
        <x:f>COUNTIFS('Material routes'!$D$6:$D$2205,A143,'Material routes'!$C$6:$C$2205,"Output")</x:f>
        <x:v>1</x:v>
      </x:c>
      <x:c r="AK143" s="4" t="n">
        <x:f>SUM(COUNTIFS('Material routes'!$D$6:$D$2205,A143,'Material routes'!$C$6:$C$2205,"Ingredient candidate"),COUNTIFS('Material routes'!$D$6:$D$2205,A143,'Material routes'!$C$6:$C$2205,"Consumed input"),COUNTIFS('Material routes'!$D$6:$D$2205,A143,'Material routes'!$C$6:$C$2205,"Contained input"),COUNTIFS('Material routes'!$D$6:$D$2205,A143,'Material routes'!$C$6:$C$2205,"Transform input"))</x:f>
        <x:v>4</x:v>
      </x:c>
      <x:c r="AL143" s="4" t="n">
        <x:f>COUNTIFS('Material routes'!$D$6:$D$2205,A143,'Material routes'!$C$6:$C$2205,"Tool candidate")</x:f>
        <x:v>0</x:v>
      </x:c>
      <x:c r="AM143" s="4" t="str">
        <x:f>IF(AJ143&gt;0,"Route listed; review status/completeness",IF(C143="T0","Raw entry feed; no production route","No production route listed"))</x:f>
        <x:v>Route listed; review status/completeness</x:v>
      </x:c>
      <x:c r="AN143" s="14" t="n">
        <x:f>IF(C143="T0",0,IF(C143="T1",1,IF(C143="T2",2,IF(C143="T3",3,IF(C143="T4",4,IF(C143="Unassigned",98,99))))))</x:f>
        <x:v>3</x:v>
      </x:c>
      <x:c r="AZ143"/>
      <x:c r="BA143"/>
      <x:c r="BB143"/>
      <x:c r="BC143"/>
      <x:c r="BD143"/>
      <x:c r="BE143"/>
      <x:c r="BF143"/>
      <x:c r="BG143"/>
      <x:c r="BH143"/>
      <x:c r="BI143"/>
      <x:c r="BJ143"/>
      <x:c r="BK143"/>
      <x:c r="BL143"/>
      <x:c r="BM143"/>
      <x:c r="BN143"/>
      <x:c r="BO143"/>
      <x:c r="BP143"/>
      <x:c r="BQ143"/>
      <x:c r="BR143"/>
      <x:c r="BS143"/>
      <x:c r="BT143"/>
      <x:c r="BU143"/>
      <x:c r="BV143"/>
      <x:c r="BW143"/>
      <x:c r="BX143"/>
      <x:c r="BY143"/>
      <x:c r="BZ143"/>
      <x:c r="CA143"/>
      <x:c r="CB143"/>
      <x:c r="CC143"/>
    </x:row>
    <x:row r="144" ht="170" customHeight="1">
      <x:c r="A144" s="9" t="str">
        <x:v>proposal.canister.seal_ring</x:v>
      </x:c>
      <x:c r="B144" s="9" t="str">
        <x:v>Replacement seal ring</x:v>
      </x:c>
      <x:c r="C144" s="4" t="str">
        <x:v>T3</x:v>
      </x:c>
      <x:c r="D144" s="9" t="str">
        <x:v>Crafting components</x:v>
      </x:c>
      <x:c r="E144" s="9" t="str">
        <x:v>Canister economy concept</x:v>
      </x:c>
      <x:c r="F144" s="9" t="str">
        <x:v>New proposal</x:v>
      </x:c>
      <x:c r="G144" s="9" t="inlineStr">
        <x:is>
          <x:t xml:space="preserve">Replaceable fitted sealing part. It is intended to close a selected joint or patch an interface. Contents compatibility, movement and service conditions must be checked before a seal is relied on.</x:t>
        </x:is>
      </x:c>
      <x:c r="H144" s="9" t="str">
        <x:v>Unassigned; part/fit ownership TBD</x:v>
      </x:c>
      <x:c r="I144" s="9" t="str">
        <x:v>Resource/component cargo or permitted Booter kit; policy TBD</x:v>
      </x:c>
      <x:c r="J144" s="13"/>
      <x:c r="K144" s="15"/>
      <x:c r="L144" s="9" t="str">
        <x:v>Specialist craft/trade/service candidate; no recipe authored</x:v>
      </x:c>
      <x:c r="M144" s="9" t="str">
        <x:v>Proposed material: Biological/mineral elastic material candidate; formulation TBD</x:v>
      </x:c>
      <x:c r="N144" s="9" t="str">
        <x:v>Not implemented</x:v>
      </x:c>
      <x:c r="O144" s="9" t="str">
        <x:v>Seal diameter, compound and service must match; ancient synthetic input not universally required</x:v>
      </x:c>
      <x:c r="P144" s="17"/>
      <x:c r="Q144" s="17"/>
      <x:c r="R144" s="17"/>
      <x:c r="S144" s="17"/>
      <x:c r="T144" s="17"/>
      <x:c r="U144" s="9" t="str">
        <x:v>Source explicitly describes replaceable seal systems. Source systems are proposals; precision skill and suitable material may affect value, but no prices or lifetime values assigned.</x:v>
      </x:c>
      <x:c r="V144" s="11" t="str">
        <x:v>gasket</x:v>
      </x:c>
      <x:c r="W144" s="9" t="str">
        <x:v>New game item concept October 14, 2026. Source proposal: https://github.com/sleepyseamonster/Arc-Dust/blob/f6f98515c005dc3c73cccd9cbc031691745740c6/02-Arc-Dust-Worldbuilding/world/economy/canister/caster-craft.md</x:v>
      </x:c>
      <x:c r="X144" s="4" t="str">
        <x:v>Container part</x:v>
      </x:c>
      <x:c r="Y144" s="4" t="str">
        <x:v>Processed intermediate</x:v>
      </x:c>
      <x:c r="Z144" s="4" t="str">
        <x:v>Manufactured / unresolved</x:v>
      </x:c>
      <x:c r="AA144" s="4" t="str">
        <x:v>Sealing</x:v>
      </x:c>
      <x:c r="AB144" s="4" t="str">
        <x:v>Mixed / unresolved</x:v>
      </x:c>
      <x:c r="AC144" s="4" t="str">
        <x:v>Solid part</x:v>
      </x:c>
      <x:c r="AD144" s="4" t="str">
        <x:v>Proposal</x:v>
      </x:c>
      <x:c r="AE144" s="4" t="str">
        <x:f>LOWER(A144&amp;"; "&amp;B144&amp;"; "&amp;D144&amp;"; "&amp;E144&amp;"; "&amp;X144&amp;"; "&amp;Y144&amp;"; "&amp;Z144&amp;"; "&amp;AA144&amp;"; "&amp;AB144&amp;"; "&amp;AC144&amp;"; "&amp;AD144&amp;"; "&amp;V144&amp;"; "&amp;C144&amp;"; "&amp;AH144&amp;"; "&amp;AI144)</x:f>
        <x:v>proposal.canister.seal_ring; replacement seal ring; crafting components; canister economy concept; container part; processed intermediate; manufactured / unresolved; sealing; mixed / unresolved; solid part; proposal; gasket; t3; not applicable; component</x:v>
      </x:c>
      <x:c r="AF144" s="4" t="str">
        <x:v>From current item description. Proposed uses retain their existing approval status.</x:v>
      </x:c>
      <x:c r="AG144" s="4" t="str">
        <x:v>October 15 proposed tier review: Form a selected sealing compound into a fitted ring. Candidate route only: quantities, yield, tools, fit, process conditions and service compatibility remain open. Not proof of elastomer behavior or Phagia-contact safety.</x:v>
      </x:c>
      <x:c r="AH144" s="4" t="str">
        <x:v>Not applicable</x:v>
      </x:c>
      <x:c r="AI144" s="4" t="str">
        <x:v>Component</x:v>
      </x:c>
      <x:c r="AJ144" s="4" t="n">
        <x:f>COUNTIFS('Material routes'!$D$6:$D$2205,A144,'Material routes'!$C$6:$C$2205,"Output")</x:f>
        <x:v>1</x:v>
      </x:c>
      <x:c r="AK144" s="4" t="n">
        <x:f>SUM(COUNTIFS('Material routes'!$D$6:$D$2205,A144,'Material routes'!$C$6:$C$2205,"Ingredient candidate"),COUNTIFS('Material routes'!$D$6:$D$2205,A144,'Material routes'!$C$6:$C$2205,"Consumed input"),COUNTIFS('Material routes'!$D$6:$D$2205,A144,'Material routes'!$C$6:$C$2205,"Contained input"),COUNTIFS('Material routes'!$D$6:$D$2205,A144,'Material routes'!$C$6:$C$2205,"Transform input"))</x:f>
        <x:v>9</x:v>
      </x:c>
      <x:c r="AL144" s="4" t="n">
        <x:f>COUNTIFS('Material routes'!$D$6:$D$2205,A144,'Material routes'!$C$6:$C$2205,"Tool candidate")</x:f>
        <x:v>0</x:v>
      </x:c>
      <x:c r="AM144" s="4" t="str">
        <x:f>IF(AJ144&gt;0,"Route listed; review status/completeness",IF(C144="T0","Raw entry feed; no production route","No production route listed"))</x:f>
        <x:v>Route listed; review status/completeness</x:v>
      </x:c>
      <x:c r="AN144" s="14" t="n">
        <x:f>IF(C144="T0",0,IF(C144="T1",1,IF(C144="T2",2,IF(C144="T3",3,IF(C144="T4",4,IF(C144="Unassigned",98,99))))))</x:f>
        <x:v>3</x:v>
      </x:c>
      <x:c r="AZ144"/>
      <x:c r="BA144"/>
      <x:c r="BB144"/>
      <x:c r="BC144"/>
      <x:c r="BD144"/>
      <x:c r="BE144"/>
      <x:c r="BF144"/>
      <x:c r="BG144"/>
      <x:c r="BH144"/>
      <x:c r="BI144"/>
      <x:c r="BJ144"/>
      <x:c r="BK144"/>
      <x:c r="BL144"/>
      <x:c r="BM144"/>
      <x:c r="BN144"/>
      <x:c r="BO144"/>
      <x:c r="BP144"/>
      <x:c r="BQ144"/>
      <x:c r="BR144"/>
      <x:c r="BS144"/>
      <x:c r="BT144"/>
      <x:c r="BU144"/>
      <x:c r="BV144"/>
      <x:c r="BW144"/>
      <x:c r="BX144"/>
      <x:c r="BY144"/>
      <x:c r="BZ144"/>
      <x:c r="CA144"/>
      <x:c r="CB144"/>
      <x:c r="CC144"/>
    </x:row>
    <x:row r="145" ht="170" customHeight="1">
      <x:c r="A145" s="9" t="str">
        <x:v>proposal.canister.seal_seat</x:v>
      </x:c>
      <x:c r="B145" s="9" t="str">
        <x:v>Fitted seal seat</x:v>
      </x:c>
      <x:c r="C145" s="4" t="str">
        <x:v>T3</x:v>
      </x:c>
      <x:c r="D145" s="9" t="str">
        <x:v>Crafting components</x:v>
      </x:c>
      <x:c r="E145" s="9" t="str">
        <x:v>Canister economy concept</x:v>
      </x:c>
      <x:c r="F145" s="9" t="str">
        <x:v>New proposal</x:v>
      </x:c>
      <x:c r="G145" s="9" t="inlineStr">
        <x:is>
          <x:t xml:space="preserve">Precision contact surface supporting a seal. It is intended to close a selected joint or patch an interface. Contents compatibility, movement and service conditions must be checked before a seal is relied on.</x:t>
        </x:is>
      </x:c>
      <x:c r="H145" s="9" t="str">
        <x:v>Unassigned; part/fit ownership TBD</x:v>
      </x:c>
      <x:c r="I145" s="9" t="str">
        <x:v>Resource/component cargo or permitted Booter kit; policy TBD</x:v>
      </x:c>
      <x:c r="J145" s="13"/>
      <x:c r="K145" s="15"/>
      <x:c r="L145" s="9" t="str">
        <x:v>Specialist craft/trade/service candidate; no recipe authored</x:v>
      </x:c>
      <x:c r="M145" s="9" t="str">
        <x:v>Proposed material: Worked metal or compatible hard insert TBD</x:v>
      </x:c>
      <x:c r="N145" s="9" t="str">
        <x:v>Not implemented</x:v>
      </x:c>
      <x:c r="O145" s="9" t="str">
        <x:v>A seat supports the seal; not a duplicate compression collar or replacement ring</x:v>
      </x:c>
      <x:c r="P145" s="17"/>
      <x:c r="Q145" s="17"/>
      <x:c r="R145" s="17"/>
      <x:c r="S145" s="17"/>
      <x:c r="T145" s="17"/>
      <x:c r="U145" s="9" t="str">
        <x:v>New explicit part derived from source seal-system precision. Source systems are proposals; precision skill and suitable material may affect value, but no prices or lifetime values assigned.</x:v>
      </x:c>
      <x:c r="V145" s="11"/>
      <x:c r="W145" s="9" t="str">
        <x:v>New game item concept October 14, 2026. Source proposal: https://github.com/sleepyseamonster/Arc-Dust/blob/f6f98515c005dc3c73cccd9cbc031691745740c6/02-Arc-Dust-Worldbuilding/world/economy/canister/caster-craft.md</x:v>
      </x:c>
      <x:c r="X145" s="4" t="str">
        <x:v>Container part</x:v>
      </x:c>
      <x:c r="Y145" s="4" t="str">
        <x:v>Processed intermediate</x:v>
      </x:c>
      <x:c r="Z145" s="4" t="str">
        <x:v>Manufactured / unresolved</x:v>
      </x:c>
      <x:c r="AA145" s="4" t="str">
        <x:v>Sealing</x:v>
      </x:c>
      <x:c r="AB145" s="4" t="str">
        <x:v>Mixed / unresolved</x:v>
      </x:c>
      <x:c r="AC145" s="4" t="str">
        <x:v>Solid part</x:v>
      </x:c>
      <x:c r="AD145" s="4" t="str">
        <x:v>Proposal</x:v>
      </x:c>
      <x:c r="AE145" s="4" t="str">
        <x:f>LOWER(A145&amp;"; "&amp;B145&amp;"; "&amp;D145&amp;"; "&amp;E145&amp;"; "&amp;X145&amp;"; "&amp;Y145&amp;"; "&amp;Z145&amp;"; "&amp;AA145&amp;"; "&amp;AB145&amp;"; "&amp;AC145&amp;"; "&amp;AD145&amp;"; "&amp;V145&amp;"; "&amp;C145&amp;"; "&amp;AH145&amp;"; "&amp;AI145)</x:f>
        <x:v>proposal.canister.seal_seat; fitted seal seat; crafting components; canister economy concept; container part; processed intermediate; manufactured / unresolved; sealing; mixed / unresolved; solid part; proposal; ; t3; not applicable; component</x:v>
      </x:c>
      <x:c r="AF145" s="4" t="str">
        <x:v>From current item description. Proposed uses retain their existing approval status.</x:v>
      </x:c>
      <x:c r="AG145" s="4" t="str">
        <x:v>October 15 proposed tier review: Machine a selected metal seat as a matched vessel component. Candidate route only: quantities, yield, tools, fit, process conditions and service compatibility remain open. </x:v>
      </x:c>
      <x:c r="AH145" s="4" t="str">
        <x:v>Not applicable</x:v>
      </x:c>
      <x:c r="AI145" s="4" t="str">
        <x:v>Component</x:v>
      </x:c>
      <x:c r="AJ145" s="4" t="n">
        <x:f>COUNTIFS('Material routes'!$D$6:$D$2205,A145,'Material routes'!$C$6:$C$2205,"Output")</x:f>
        <x:v>1</x:v>
      </x:c>
      <x:c r="AK145" s="4" t="n">
        <x:f>SUM(COUNTIFS('Material routes'!$D$6:$D$2205,A145,'Material routes'!$C$6:$C$2205,"Ingredient candidate"),COUNTIFS('Material routes'!$D$6:$D$2205,A145,'Material routes'!$C$6:$C$2205,"Consumed input"),COUNTIFS('Material routes'!$D$6:$D$2205,A145,'Material routes'!$C$6:$C$2205,"Contained input"),COUNTIFS('Material routes'!$D$6:$D$2205,A145,'Material routes'!$C$6:$C$2205,"Transform input"))</x:f>
        <x:v>0</x:v>
      </x:c>
      <x:c r="AL145" s="4" t="n">
        <x:f>COUNTIFS('Material routes'!$D$6:$D$2205,A145,'Material routes'!$C$6:$C$2205,"Tool candidate")</x:f>
        <x:v>0</x:v>
      </x:c>
      <x:c r="AM145" s="4" t="str">
        <x:f>IF(AJ145&gt;0,"Route listed; review status/completeness",IF(C145="T0","Raw entry feed; no production route","No production route listed"))</x:f>
        <x:v>Route listed; review status/completeness</x:v>
      </x:c>
      <x:c r="AN145" s="14" t="n">
        <x:f>IF(C145="T0",0,IF(C145="T1",1,IF(C145="T2",2,IF(C145="T3",3,IF(C145="T4",4,IF(C145="Unassigned",98,99))))))</x:f>
        <x:v>3</x:v>
      </x:c>
      <x:c r="AZ145"/>
      <x:c r="BA145"/>
      <x:c r="BB145"/>
      <x:c r="BC145"/>
      <x:c r="BD145"/>
      <x:c r="BE145"/>
      <x:c r="BF145"/>
      <x:c r="BG145"/>
      <x:c r="BH145"/>
      <x:c r="BI145"/>
      <x:c r="BJ145"/>
      <x:c r="BK145"/>
      <x:c r="BL145"/>
      <x:c r="BM145"/>
      <x:c r="BN145"/>
      <x:c r="BO145"/>
      <x:c r="BP145"/>
      <x:c r="BQ145"/>
      <x:c r="BR145"/>
      <x:c r="BS145"/>
      <x:c r="BT145"/>
      <x:c r="BU145"/>
      <x:c r="BV145"/>
      <x:c r="BW145"/>
      <x:c r="BX145"/>
      <x:c r="BY145"/>
      <x:c r="BZ145"/>
      <x:c r="CA145"/>
      <x:c r="CB145"/>
      <x:c r="CC145"/>
    </x:row>
    <x:row r="146" ht="95" customHeight="1">
      <x:c r="A146" s="9" t="str">
        <x:v>proposal.canister.sealant</x:v>
      </x:c>
      <x:c r="B146" s="9" t="str">
        <x:v>Canister joint sealant</x:v>
      </x:c>
      <x:c r="C146" s="4" t="str">
        <x:v>T3</x:v>
      </x:c>
      <x:c r="D146" s="9" t="str">
        <x:v>Crafting components</x:v>
      </x:c>
      <x:c r="E146" s="9" t="str">
        <x:v>Canister economy concept</x:v>
      </x:c>
      <x:c r="F146" s="9" t="str">
        <x:v>New proposal</x:v>
      </x:c>
      <x:c r="G146" s="9" t="inlineStr">
        <x:is>
          <x:t xml:space="preserve">Prepared compound for compatible joints. It is intended to close a selected joint or patch an interface. Contents compatibility, movement and service conditions must be checked before a seal is relied on.</x:t>
        </x:is>
      </x:c>
      <x:c r="H146" s="9" t="str">
        <x:v>Unassigned; part/fit ownership TBD</x:v>
      </x:c>
      <x:c r="I146" s="9" t="str">
        <x:v>Resource/component cargo or permitted Booter kit; policy TBD</x:v>
      </x:c>
      <x:c r="J146" s="13"/>
      <x:c r="K146" s="15"/>
      <x:c r="L146" s="9" t="str">
        <x:v>Specialist craft/trade/service candidate; no recipe authored</x:v>
      </x:c>
      <x:c r="M146" s="9" t="str">
        <x:v>Proposed material: Compatible biological/mineral binder formulation TBD</x:v>
      </x:c>
      <x:c r="N146" s="9" t="str">
        <x:v>Not implemented</x:v>
      </x:c>
      <x:c r="O146" s="9" t="str">
        <x:v>Not interchangeable with glue, toxic shell binder or a failed pressure seal; exact applications unresolved</x:v>
      </x:c>
      <x:c r="P146" s="17"/>
      <x:c r="Q146" s="17"/>
      <x:c r="R146" s="17"/>
      <x:c r="S146" s="17"/>
      <x:c r="T146" s="17"/>
      <x:c r="U146" s="9" t="str">
        <x:v>Author requests sealant; source describes biological seal compounds. Source systems are proposals; precision skill and suitable material may affect value, but no prices or lifetime values assigned.</x:v>
      </x:c>
      <x:c r="V146" s="11"/>
      <x:c r="W146" s="9" t="str">
        <x:v>New game item concept October 14, 2026. Source proposal: https://github.com/sleepyseamonster/Arc-Dust/blob/f6f98515c005dc3c73cccd9cbc031691745740c6/02-Arc-Dust-Worldbuilding/world/economy/canister/caster-craft.md</x:v>
      </x:c>
      <x:c r="X146" s="4" t="str">
        <x:v>Chemical material</x:v>
      </x:c>
      <x:c r="Y146" s="4" t="str">
        <x:v>Processed intermediate</x:v>
      </x:c>
      <x:c r="Z146" s="4" t="str">
        <x:v>Manufactured / unresolved</x:v>
      </x:c>
      <x:c r="AA146" s="4" t="str">
        <x:v>Sealing</x:v>
      </x:c>
      <x:c r="AB146" s="4" t="str">
        <x:v>Mixed / unresolved</x:v>
      </x:c>
      <x:c r="AC146" s="4" t="str">
        <x:v>Unresolved</x:v>
      </x:c>
      <x:c r="AD146" s="4" t="str">
        <x:v>Proposal</x:v>
      </x:c>
      <x:c r="AE146" s="4" t="str">
        <x:f>LOWER(A146&amp;"; "&amp;B146&amp;"; "&amp;D146&amp;"; "&amp;E146&amp;"; "&amp;X146&amp;"; "&amp;Y146&amp;"; "&amp;Z146&amp;"; "&amp;AA146&amp;"; "&amp;AB146&amp;"; "&amp;AC146&amp;"; "&amp;AD146&amp;"; "&amp;V146&amp;"; "&amp;C146&amp;"; "&amp;AH146&amp;"; "&amp;AI146)</x:f>
        <x:v>proposal.canister.sealant; canister joint sealant; crafting components; canister economy concept; chemical material; processed intermediate; manufactured / unresolved; sealing; mixed / unresolved; unresolved; proposal; ; t3; not applicable; material</x:v>
      </x:c>
      <x:c r="AF146" s="4" t="str">
        <x:v>From current item description. Proposed uses retain their existing approval status.</x:v>
      </x:c>
      <x:c r="AG146" s="4" t="str">
        <x:v>Proposed October 15 tier/recipe for the existing item family; not a change to its original item-design status. Existing proposal reused. Compatibility and pressure qualification remain mandatory design questions; no approved repair method or universal canister fit.</x:v>
      </x:c>
      <x:c r="AH146" s="4" t="str">
        <x:v>Not applicable</x:v>
      </x:c>
      <x:c r="AI146" s="4" t="str">
        <x:v>Material</x:v>
      </x:c>
      <x:c r="AJ146" s="4" t="n">
        <x:f>COUNTIFS('Material routes'!$D$6:$D$2205,A146,'Material routes'!$C$6:$C$2205,"Output")</x:f>
        <x:v>1</x:v>
      </x:c>
      <x:c r="AK146" s="4" t="n">
        <x:f>SUM(COUNTIFS('Material routes'!$D$6:$D$2205,A146,'Material routes'!$C$6:$C$2205,"Ingredient candidate"),COUNTIFS('Material routes'!$D$6:$D$2205,A146,'Material routes'!$C$6:$C$2205,"Consumed input"),COUNTIFS('Material routes'!$D$6:$D$2205,A146,'Material routes'!$C$6:$C$2205,"Contained input"),COUNTIFS('Material routes'!$D$6:$D$2205,A146,'Material routes'!$C$6:$C$2205,"Transform input"))</x:f>
        <x:v>2</x:v>
      </x:c>
      <x:c r="AL146" s="4" t="n">
        <x:f>COUNTIFS('Material routes'!$D$6:$D$2205,A146,'Material routes'!$C$6:$C$2205,"Tool candidate")</x:f>
        <x:v>0</x:v>
      </x:c>
      <x:c r="AM146" s="4" t="str">
        <x:f>IF(AJ146&gt;0,"Route listed; review status/completeness",IF(C146="T0","Raw entry feed; no production route","No production route listed"))</x:f>
        <x:v>Route listed; review status/completeness</x:v>
      </x:c>
      <x:c r="AN146" s="14" t="n">
        <x:f>IF(C146="T0",0,IF(C146="T1",1,IF(C146="T2",2,IF(C146="T3",3,IF(C146="T4",4,IF(C146="Unassigned",98,99))))))</x:f>
        <x:v>3</x:v>
      </x:c>
      <x:c r="AZ146"/>
      <x:c r="BA146"/>
      <x:c r="BB146"/>
      <x:c r="BC146"/>
      <x:c r="BD146"/>
      <x:c r="BE146"/>
      <x:c r="BF146"/>
      <x:c r="BG146"/>
      <x:c r="BH146"/>
      <x:c r="BI146"/>
      <x:c r="BJ146"/>
      <x:c r="BK146"/>
      <x:c r="BL146"/>
      <x:c r="BM146"/>
      <x:c r="BN146"/>
      <x:c r="BO146"/>
      <x:c r="BP146"/>
      <x:c r="BQ146"/>
      <x:c r="BR146"/>
      <x:c r="BS146"/>
      <x:c r="BT146"/>
      <x:c r="BU146"/>
      <x:c r="BV146"/>
      <x:c r="BW146"/>
      <x:c r="BX146"/>
      <x:c r="BY146"/>
      <x:c r="BZ146"/>
      <x:c r="CA146"/>
      <x:c r="CB146"/>
      <x:c r="CC146"/>
    </x:row>
    <x:row r="147" ht="170" customHeight="1">
      <x:c r="A147" s="9" t="str">
        <x:v>proposal.canister.feed_line</x:v>
      </x:c>
      <x:c r="B147" s="9" t="str">
        <x:v>Feed-line section</x:v>
      </x:c>
      <x:c r="C147" s="4" t="str">
        <x:v>T4</x:v>
      </x:c>
      <x:c r="D147" s="9" t="str">
        <x:v>Crafting components</x:v>
      </x:c>
      <x:c r="E147" s="9" t="str">
        <x:v>Canister economy concept</x:v>
      </x:c>
      <x:c r="F147" s="9" t="str">
        <x:v>New proposal</x:v>
      </x:c>
      <x:c r="G147" s="9" t="inlineStr">
        <x:is>
          <x:t xml:space="preserve">Replacement contained conduit for a personal canister. It provides a proposed means of moving material between compatible parts or vessels while keeping the physical contents accounted for.</x:t>
        </x:is>
      </x:c>
      <x:c r="H147" s="9" t="str">
        <x:v>Unassigned; part/fit ownership TBD</x:v>
      </x:c>
      <x:c r="I147" s="9" t="str">
        <x:v>Resource/component cargo or permitted Booter kit; policy TBD</x:v>
      </x:c>
      <x:c r="J147" s="13"/>
      <x:c r="K147" s="15"/>
      <x:c r="L147" s="9" t="str">
        <x:v>Specialist craft/trade/service candidate; no recipe authored</x:v>
      </x:c>
      <x:c r="M147" s="9" t="str">
        <x:v>Proposed material: Flexible biological/mineral component or recovered part TBD</x:v>
      </x:c>
      <x:c r="N147" s="9" t="str">
        <x:v>Not implemented</x:v>
      </x:c>
      <x:c r="O147" s="9" t="str">
        <x:v>No ordinary rubber/cloth or new respiratory system assumed; service and purity matter</x:v>
      </x:c>
      <x:c r="P147" s="17"/>
      <x:c r="Q147" s="17"/>
      <x:c r="R147" s="17"/>
      <x:c r="S147" s="17"/>
      <x:c r="T147" s="17"/>
      <x:c r="U147" s="9" t="str">
        <x:v>Source explicitly describes feed-line routing and material quality. Source systems are proposals; precision skill and suitable material may affect value, but no prices or lifetime values assigned.</x:v>
      </x:c>
      <x:c r="V147" s="11"/>
      <x:c r="W147" s="9" t="str">
        <x:v>New game item concept October 14, 2026. Source proposal: https://github.com/sleepyseamonster/Arc-Dust/blob/f6f98515c005dc3c73cccd9cbc031691745740c6/02-Arc-Dust-Worldbuilding/world/economy/canister/carry-styles.md</x:v>
      </x:c>
      <x:c r="X147" s="4" t="str">
        <x:v>Container part</x:v>
      </x:c>
      <x:c r="Y147" s="4" t="str">
        <x:v>Processed intermediate</x:v>
      </x:c>
      <x:c r="Z147" s="4" t="str">
        <x:v>Manufactured / unresolved</x:v>
      </x:c>
      <x:c r="AA147" s="4" t="str">
        <x:v>Material transfer</x:v>
      </x:c>
      <x:c r="AB147" s="4" t="str">
        <x:v>Mixed / unresolved</x:v>
      </x:c>
      <x:c r="AC147" s="4" t="str">
        <x:v>Solid part</x:v>
      </x:c>
      <x:c r="AD147" s="4" t="str">
        <x:v>Proposal</x:v>
      </x:c>
      <x:c r="AE147" s="4" t="str">
        <x:f>LOWER(A147&amp;"; "&amp;B147&amp;"; "&amp;D147&amp;"; "&amp;E147&amp;"; "&amp;X147&amp;"; "&amp;Y147&amp;"; "&amp;Z147&amp;"; "&amp;AA147&amp;"; "&amp;AB147&amp;"; "&amp;AC147&amp;"; "&amp;AD147&amp;"; "&amp;V147&amp;"; "&amp;C147&amp;"; "&amp;AH147&amp;"; "&amp;AI147)</x:f>
        <x:v>proposal.canister.feed_line; feed-line section; crafting components; canister economy concept; container part; processed intermediate; manufactured / unresolved; material transfer; mixed / unresolved; solid part; proposal; ; t4; not applicable; component</x:v>
      </x:c>
      <x:c r="AF147" s="4" t="str">
        <x:v>From current item description. Proposed uses retain their existing approval status.</x:v>
      </x:c>
      <x:c r="AG147" s="4" t="str">
        <x:v>October 15 proposed tier review: Fit a T3 tube section and packed end interfaces for an identified canister service. Candidate route only: quantities, yield, tools, fit, process conditions and service compatibility remain open. </x:v>
      </x:c>
      <x:c r="AH147" s="4" t="str">
        <x:v>Not applicable</x:v>
      </x:c>
      <x:c r="AI147" s="4" t="str">
        <x:v>Component</x:v>
      </x:c>
      <x:c r="AJ147" s="4" t="n">
        <x:f>COUNTIFS('Material routes'!$D$6:$D$2205,A147,'Material routes'!$C$6:$C$2205,"Output")</x:f>
        <x:v>1</x:v>
      </x:c>
      <x:c r="AK147" s="4" t="n">
        <x:f>SUM(COUNTIFS('Material routes'!$D$6:$D$2205,A147,'Material routes'!$C$6:$C$2205,"Ingredient candidate"),COUNTIFS('Material routes'!$D$6:$D$2205,A147,'Material routes'!$C$6:$C$2205,"Consumed input"),COUNTIFS('Material routes'!$D$6:$D$2205,A147,'Material routes'!$C$6:$C$2205,"Contained input"),COUNTIFS('Material routes'!$D$6:$D$2205,A147,'Material routes'!$C$6:$C$2205,"Transform input"))</x:f>
        <x:v>0</x:v>
      </x:c>
      <x:c r="AL147" s="4" t="n">
        <x:f>COUNTIFS('Material routes'!$D$6:$D$2205,A147,'Material routes'!$C$6:$C$2205,"Tool candidate")</x:f>
        <x:v>0</x:v>
      </x:c>
      <x:c r="AM147" s="4" t="str">
        <x:f>IF(AJ147&gt;0,"Route listed; review status/completeness",IF(C147="T0","Raw entry feed; no production route","No production route listed"))</x:f>
        <x:v>Route listed; review status/completeness</x:v>
      </x:c>
      <x:c r="AN147" s="14" t="n">
        <x:f>IF(C147="T0",0,IF(C147="T1",1,IF(C147="T2",2,IF(C147="T3",3,IF(C147="T4",4,IF(C147="Unassigned",98,99))))))</x:f>
        <x:v>4</x:v>
      </x:c>
      <x:c r="AZ147"/>
      <x:c r="BA147"/>
      <x:c r="BB147"/>
      <x:c r="BC147"/>
      <x:c r="BD147"/>
      <x:c r="BE147"/>
      <x:c r="BF147"/>
      <x:c r="BG147"/>
      <x:c r="BH147"/>
      <x:c r="BI147"/>
      <x:c r="BJ147"/>
      <x:c r="BK147"/>
      <x:c r="BL147"/>
      <x:c r="BM147"/>
      <x:c r="BN147"/>
      <x:c r="BO147"/>
      <x:c r="BP147"/>
      <x:c r="BQ147"/>
      <x:c r="BR147"/>
      <x:c r="BS147"/>
      <x:c r="BT147"/>
      <x:c r="BU147"/>
      <x:c r="BV147"/>
      <x:c r="BW147"/>
      <x:c r="BX147"/>
      <x:c r="BY147"/>
      <x:c r="BZ147"/>
      <x:c r="CA147"/>
      <x:c r="CB147"/>
      <x:c r="CC147"/>
    </x:row>
    <x:row r="148" ht="170" customHeight="1">
      <x:c r="A148" s="9" t="str">
        <x:v>proposal.canister.coupling</x:v>
      </x:c>
      <x:c r="B148" s="9" t="str">
        <x:v>Feed-line coupling</x:v>
      </x:c>
      <x:c r="C148" s="4" t="str">
        <x:v>T4</x:v>
      </x:c>
      <x:c r="D148" s="9" t="str">
        <x:v>Crafting components</x:v>
      </x:c>
      <x:c r="E148" s="9" t="str">
        <x:v>Canister economy concept</x:v>
      </x:c>
      <x:c r="F148" s="9" t="str">
        <x:v>New proposal</x:v>
      </x:c>
      <x:c r="G148" s="9" t="inlineStr">
        <x:is>
          <x:t xml:space="preserve">Connect a line to a matching canister/interface. It provides a proposed means of moving material between compatible parts or vessels while keeping the physical contents accounted for.</x:t>
        </x:is>
      </x:c>
      <x:c r="H148" s="9" t="str">
        <x:v>Unassigned; part/fit ownership TBD</x:v>
      </x:c>
      <x:c r="I148" s="9" t="str">
        <x:v>Resource/component cargo or permitted Booter kit; policy TBD</x:v>
      </x:c>
      <x:c r="J148" s="13"/>
      <x:c r="K148" s="15"/>
      <x:c r="L148" s="9" t="str">
        <x:v>Specialist craft/trade/service candidate; no recipe authored</x:v>
      </x:c>
      <x:c r="M148" s="9" t="str">
        <x:v>Proposed material: Machined metal with qualified sealing insert TBD</x:v>
      </x:c>
      <x:c r="N148" s="9" t="str">
        <x:v>Not implemented</x:v>
      </x:c>
      <x:c r="O148" s="9" t="str">
        <x:v>Match intended service; not a generic connector for every toxic liquid</x:v>
      </x:c>
      <x:c r="P148" s="17"/>
      <x:c r="Q148" s="17"/>
      <x:c r="R148" s="17"/>
      <x:c r="S148" s="17"/>
      <x:c r="T148" s="17"/>
      <x:c r="U148" s="9" t="str">
        <x:v>New explicit fitting from source connection systems. Source systems are proposals; precision skill and suitable material may affect value, but no prices or lifetime values assigned.</x:v>
      </x:c>
      <x:c r="V148" s="11" t="str">
        <x:v>sealing</x:v>
      </x:c>
      <x:c r="W148" s="9" t="str">
        <x:v>New game item concept October 14, 2026. Source proposal: https://github.com/sleepyseamonster/Arc-Dust/blob/f6f98515c005dc3c73cccd9cbc031691745740c6/02-Arc-Dust-Worldbuilding/world/economy/canister/carry-styles.md</x:v>
      </x:c>
      <x:c r="X148" s="4" t="str">
        <x:v>Container part</x:v>
      </x:c>
      <x:c r="Y148" s="4" t="str">
        <x:v>Processed intermediate</x:v>
      </x:c>
      <x:c r="Z148" s="4" t="str">
        <x:v>Manufactured / unresolved</x:v>
      </x:c>
      <x:c r="AA148" s="4" t="str">
        <x:v>Material transfer</x:v>
      </x:c>
      <x:c r="AB148" s="4" t="str">
        <x:v>Mixed / unresolved</x:v>
      </x:c>
      <x:c r="AC148" s="4" t="str">
        <x:v>Solid part</x:v>
      </x:c>
      <x:c r="AD148" s="4" t="str">
        <x:v>Proposal</x:v>
      </x:c>
      <x:c r="AE148" s="4" t="str">
        <x:f>LOWER(A148&amp;"; "&amp;B148&amp;"; "&amp;D148&amp;"; "&amp;E148&amp;"; "&amp;X148&amp;"; "&amp;Y148&amp;"; "&amp;Z148&amp;"; "&amp;AA148&amp;"; "&amp;AB148&amp;"; "&amp;AC148&amp;"; "&amp;AD148&amp;"; "&amp;V148&amp;"; "&amp;C148&amp;"; "&amp;AH148&amp;"; "&amp;AI148)</x:f>
        <x:v>proposal.canister.coupling; feed-line coupling; crafting components; canister economy concept; container part; processed intermediate; manufactured / unresolved; material transfer; mixed / unresolved; solid part; proposal; sealing; t4; not applicable; component</x:v>
      </x:c>
      <x:c r="AF148" s="4" t="str">
        <x:v>From current item description. Proposed uses retain their existing approval status.</x:v>
      </x:c>
      <x:c r="AG148" s="4" t="str">
        <x:v>October 15 proposed tier review: Make a matched coupling from precision tube, packing and bearing-grade metal feed. Candidate route only: quantities, yield, tools, fit, process conditions and service compatibility remain open. </x:v>
      </x:c>
      <x:c r="AH148" s="4" t="str">
        <x:v>Not applicable</x:v>
      </x:c>
      <x:c r="AI148" s="4" t="str">
        <x:v>Component</x:v>
      </x:c>
      <x:c r="AJ148" s="4" t="n">
        <x:f>COUNTIFS('Material routes'!$D$6:$D$2205,A148,'Material routes'!$C$6:$C$2205,"Output")</x:f>
        <x:v>1</x:v>
      </x:c>
      <x:c r="AK148" s="4" t="n">
        <x:f>SUM(COUNTIFS('Material routes'!$D$6:$D$2205,A148,'Material routes'!$C$6:$C$2205,"Ingredient candidate"),COUNTIFS('Material routes'!$D$6:$D$2205,A148,'Material routes'!$C$6:$C$2205,"Consumed input"),COUNTIFS('Material routes'!$D$6:$D$2205,A148,'Material routes'!$C$6:$C$2205,"Contained input"),COUNTIFS('Material routes'!$D$6:$D$2205,A148,'Material routes'!$C$6:$C$2205,"Transform input"))</x:f>
        <x:v>1</x:v>
      </x:c>
      <x:c r="AL148" s="4" t="n">
        <x:f>COUNTIFS('Material routes'!$D$6:$D$2205,A148,'Material routes'!$C$6:$C$2205,"Tool candidate")</x:f>
        <x:v>0</x:v>
      </x:c>
      <x:c r="AM148" s="4" t="str">
        <x:f>IF(AJ148&gt;0,"Route listed; review status/completeness",IF(C148="T0","Raw entry feed; no production route","No production route listed"))</x:f>
        <x:v>Route listed; review status/completeness</x:v>
      </x:c>
      <x:c r="AN148" s="14" t="n">
        <x:f>IF(C148="T0",0,IF(C148="T1",1,IF(C148="T2",2,IF(C148="T3",3,IF(C148="T4",4,IF(C148="Unassigned",98,99))))))</x:f>
        <x:v>4</x:v>
      </x:c>
      <x:c r="AZ148"/>
      <x:c r="BA148"/>
      <x:c r="BB148"/>
      <x:c r="BC148"/>
      <x:c r="BD148"/>
      <x:c r="BE148"/>
      <x:c r="BF148"/>
      <x:c r="BG148"/>
      <x:c r="BH148"/>
      <x:c r="BI148"/>
      <x:c r="BJ148"/>
      <x:c r="BK148"/>
      <x:c r="BL148"/>
      <x:c r="BM148"/>
      <x:c r="BN148"/>
      <x:c r="BO148"/>
      <x:c r="BP148"/>
      <x:c r="BQ148"/>
      <x:c r="BR148"/>
      <x:c r="BS148"/>
      <x:c r="BT148"/>
      <x:c r="BU148"/>
      <x:c r="BV148"/>
      <x:c r="BW148"/>
      <x:c r="BX148"/>
      <x:c r="BY148"/>
      <x:c r="BZ148"/>
      <x:c r="CA148"/>
      <x:c r="CB148"/>
      <x:c r="CC148"/>
    </x:row>
    <x:row r="149" ht="170" customHeight="1">
      <x:c r="A149" s="9" t="str">
        <x:v>proposal.canister.mouthpiece</x:v>
      </x:c>
      <x:c r="B149" s="9" t="str">
        <x:v>Canister mouthpiece interface</x:v>
      </x:c>
      <x:c r="C149" s="4" t="str">
        <x:v>T3</x:v>
      </x:c>
      <x:c r="D149" s="9" t="str">
        <x:v>Crafting components</x:v>
      </x:c>
      <x:c r="E149" s="9" t="str">
        <x:v>Canister economy concept</x:v>
      </x:c>
      <x:c r="F149" s="9" t="str">
        <x:v>New proposal</x:v>
      </x:c>
      <x:c r="G149" s="9" t="inlineStr">
        <x:is>
          <x:t xml:space="preserve">Personal delivery interface candidate. It supports preparation of the algae-based supplies on which people depend, with actual reserve use governed by the existing item rules.</x:t>
        </x:is>
      </x:c>
      <x:c r="H149" s="9" t="str">
        <x:v>Unassigned; part/fit ownership TBD</x:v>
      </x:c>
      <x:c r="I149" s="9" t="str">
        <x:v>Resource/component cargo or permitted Booter kit; policy TBD</x:v>
      </x:c>
      <x:c r="J149" s="13"/>
      <x:c r="K149" s="15"/>
      <x:c r="L149" s="9" t="str">
        <x:v>Specialist craft/trade/service candidate; no recipe authored</x:v>
      </x:c>
      <x:c r="M149" s="9" t="str">
        <x:v>Proposed material: Qualified body-contact material TBD</x:v>
      </x:c>
      <x:c r="N149" s="9" t="str">
        <x:v>Not implemented</x:v>
      </x:c>
      <x:c r="O149" s="9" t="str">
        <x:v>Game algae-use and breathing systems are unchanged; anatomy and hygiene design needed</x:v>
      </x:c>
      <x:c r="P149" s="17"/>
      <x:c r="Q149" s="17"/>
      <x:c r="R149" s="17"/>
      <x:c r="S149" s="17"/>
      <x:c r="T149" s="17"/>
      <x:c r="U149" s="9" t="str">
        <x:v>Source describes mouthpiece/collar interfaces. Source systems are proposals; precision skill and suitable material may affect value, but no prices or lifetime values assigned.</x:v>
      </x:c>
      <x:c r="V149" s="11"/>
      <x:c r="W149" s="9" t="str">
        <x:v>New game item concept October 14, 2026. Source proposal: https://github.com/sleepyseamonster/Arc-Dust/blob/f6f98515c005dc3c73cccd9cbc031691745740c6/02-Arc-Dust-Worldbuilding/world/economy/canister/carry-styles.md</x:v>
      </x:c>
      <x:c r="X149" s="4" t="str">
        <x:v>Container part</x:v>
      </x:c>
      <x:c r="Y149" s="4" t="str">
        <x:v>Processed intermediate</x:v>
      </x:c>
      <x:c r="Z149" s="4" t="str">
        <x:v>Manufactured / unresolved</x:v>
      </x:c>
      <x:c r="AA149" s="4" t="str">
        <x:v>Survival provision</x:v>
      </x:c>
      <x:c r="AB149" s="4" t="str">
        <x:v>Mixed / unresolved</x:v>
      </x:c>
      <x:c r="AC149" s="4" t="str">
        <x:v>Solid part</x:v>
      </x:c>
      <x:c r="AD149" s="4" t="str">
        <x:v>Proposal</x:v>
      </x:c>
      <x:c r="AE149" s="4" t="str">
        <x:f>LOWER(A149&amp;"; "&amp;B149&amp;"; "&amp;D149&amp;"; "&amp;E149&amp;"; "&amp;X149&amp;"; "&amp;Y149&amp;"; "&amp;Z149&amp;"; "&amp;AA149&amp;"; "&amp;AB149&amp;"; "&amp;AC149&amp;"; "&amp;AD149&amp;"; "&amp;V149&amp;"; "&amp;C149&amp;"; "&amp;AH149&amp;"; "&amp;AI149)</x:f>
        <x:v>proposal.canister.mouthpiece; canister mouthpiece interface; crafting components; canister economy concept; container part; processed intermediate; manufactured / unresolved; survival provision; mixed / unresolved; solid part; proposal; ; t3; not applicable; component</x:v>
      </x:c>
      <x:c r="AF149" s="4" t="str">
        <x:v>From current item description. Proposed uses retain their existing approval status.</x:v>
      </x:c>
      <x:c r="AG149" s="4" t="str">
        <x:v>October 15 proposed tier review: Fit a ceramic interface and selected seal stock. Candidate route only: quantities, yield, tools, fit, process conditions and service compatibility remain open. Human/Phagia contact and cleanability require separate approval; no industrial faunal chemical is assumed safe.</x:v>
      </x:c>
      <x:c r="AH149" s="4" t="str">
        <x:v>Not applicable</x:v>
      </x:c>
      <x:c r="AI149" s="4" t="str">
        <x:v>Component</x:v>
      </x:c>
      <x:c r="AJ149" s="4" t="n">
        <x:f>COUNTIFS('Material routes'!$D$6:$D$2205,A149,'Material routes'!$C$6:$C$2205,"Output")</x:f>
        <x:v>1</x:v>
      </x:c>
      <x:c r="AK149" s="4" t="n">
        <x:f>SUM(COUNTIFS('Material routes'!$D$6:$D$2205,A149,'Material routes'!$C$6:$C$2205,"Ingredient candidate"),COUNTIFS('Material routes'!$D$6:$D$2205,A149,'Material routes'!$C$6:$C$2205,"Consumed input"),COUNTIFS('Material routes'!$D$6:$D$2205,A149,'Material routes'!$C$6:$C$2205,"Contained input"),COUNTIFS('Material routes'!$D$6:$D$2205,A149,'Material routes'!$C$6:$C$2205,"Transform input"))</x:f>
        <x:v>1</x:v>
      </x:c>
      <x:c r="AL149" s="4" t="n">
        <x:f>COUNTIFS('Material routes'!$D$6:$D$2205,A149,'Material routes'!$C$6:$C$2205,"Tool candidate")</x:f>
        <x:v>0</x:v>
      </x:c>
      <x:c r="AM149" s="4" t="str">
        <x:f>IF(AJ149&gt;0,"Route listed; review status/completeness",IF(C149="T0","Raw entry feed; no production route","No production route listed"))</x:f>
        <x:v>Route listed; review status/completeness</x:v>
      </x:c>
      <x:c r="AN149" s="14" t="n">
        <x:f>IF(C149="T0",0,IF(C149="T1",1,IF(C149="T2",2,IF(C149="T3",3,IF(C149="T4",4,IF(C149="Unassigned",98,99))))))</x:f>
        <x:v>3</x:v>
      </x:c>
      <x:c r="AZ149"/>
      <x:c r="BA149"/>
      <x:c r="BB149"/>
      <x:c r="BC149"/>
      <x:c r="BD149"/>
      <x:c r="BE149"/>
      <x:c r="BF149"/>
      <x:c r="BG149"/>
      <x:c r="BH149"/>
      <x:c r="BI149"/>
      <x:c r="BJ149"/>
      <x:c r="BK149"/>
      <x:c r="BL149"/>
      <x:c r="BM149"/>
      <x:c r="BN149"/>
      <x:c r="BO149"/>
      <x:c r="BP149"/>
      <x:c r="BQ149"/>
      <x:c r="BR149"/>
      <x:c r="BS149"/>
      <x:c r="BT149"/>
      <x:c r="BU149"/>
      <x:c r="BV149"/>
      <x:c r="BW149"/>
      <x:c r="BX149"/>
      <x:c r="BY149"/>
      <x:c r="BZ149"/>
      <x:c r="CA149"/>
      <x:c r="CB149"/>
      <x:c r="CC149"/>
    </x:row>
    <x:row r="150" ht="170" customHeight="1">
      <x:c r="A150" s="9" t="str">
        <x:v>proposal.canister.window</x:v>
      </x:c>
      <x:c r="B150" s="9" t="str">
        <x:v>Canister viewing-port insert</x:v>
      </x:c>
      <x:c r="C150" s="4" t="str">
        <x:v>T3</x:v>
      </x:c>
      <x:c r="D150" s="9" t="str">
        <x:v>Crafting components</x:v>
      </x:c>
      <x:c r="E150" s="9" t="str">
        <x:v>Canister economy concept</x:v>
      </x:c>
      <x:c r="F150" s="9" t="str">
        <x:v>New proposal</x:v>
      </x:c>
      <x:c r="G150" s="9" t="inlineStr">
        <x:is>
          <x:t xml:space="preserve">Inspect a compatible interior without opening it. It supports looking at or examining a workpiece, with the useful view determined by its optical and mechanical arrangement.</x:t>
        </x:is>
      </x:c>
      <x:c r="H150" s="9" t="str">
        <x:v>Unassigned; part/fit ownership TBD</x:v>
      </x:c>
      <x:c r="I150" s="9" t="str">
        <x:v>Resource/component cargo or permitted Booter kit; policy TBD</x:v>
      </x:c>
      <x:c r="J150" s="13"/>
      <x:c r="K150" s="15"/>
      <x:c r="L150" s="9" t="str">
        <x:v>Specialist craft/trade/service candidate; no recipe authored</x:v>
      </x:c>
      <x:c r="M150" s="9" t="str">
        <x:v>Proposed material: Clear glass and fitted retaining seat</x:v>
      </x:c>
      <x:c r="N150" s="9" t="str">
        <x:v>Not implemented</x:v>
      </x:c>
      <x:c r="O150" s="9" t="str">
        <x:v>Clear glass craft cost; no automatic fill sensor, pressure certification or new HUD</x:v>
      </x:c>
      <x:c r="P150" s="17"/>
      <x:c r="Q150" s="17"/>
      <x:c r="R150" s="17"/>
      <x:c r="S150" s="17"/>
      <x:c r="T150" s="17"/>
      <x:c r="U150" s="9" t="str">
        <x:v>Glass source and canister craft describe viewing ports. Source systems are proposals; precision skill and suitable material may affect value, but no prices or lifetime values assigned.</x:v>
      </x:c>
      <x:c r="V150" s="11"/>
      <x:c r="W150" s="9" t="str">
        <x:v>New game item concept October 14, 2026. Source proposal: https://github.com/sleepyseamonster/Arc-Dust/blob/f6f98515c005dc3c73cccd9cbc031691745740c6/02-Arc-Dust-Worldbuilding/world/materials/glass.md</x:v>
      </x:c>
      <x:c r="X150" s="4" t="str">
        <x:v>Container part</x:v>
      </x:c>
      <x:c r="Y150" s="4" t="str">
        <x:v>Processed intermediate</x:v>
      </x:c>
      <x:c r="Z150" s="4" t="str">
        <x:v>Manufactured / unresolved</x:v>
      </x:c>
      <x:c r="AA150" s="4" t="str">
        <x:v>Inspection</x:v>
      </x:c>
      <x:c r="AB150" s="4" t="str">
        <x:v>Glass</x:v>
      </x:c>
      <x:c r="AC150" s="4" t="str">
        <x:v>Solid part</x:v>
      </x:c>
      <x:c r="AD150" s="4" t="str">
        <x:v>Proposal</x:v>
      </x:c>
      <x:c r="AE150" s="4" t="str">
        <x:f>LOWER(A150&amp;"; "&amp;B150&amp;"; "&amp;D150&amp;"; "&amp;E150&amp;"; "&amp;X150&amp;"; "&amp;Y150&amp;"; "&amp;Z150&amp;"; "&amp;AA150&amp;"; "&amp;AB150&amp;"; "&amp;AC150&amp;"; "&amp;AD150&amp;"; "&amp;V150&amp;"; "&amp;C150&amp;"; "&amp;AH150&amp;"; "&amp;AI150)</x:f>
        <x:v>proposal.canister.window; canister viewing-port insert; crafting components; canister economy concept; container part; processed intermediate; manufactured / unresolved; inspection; glass; solid part; proposal; ; t3; not applicable; component</x:v>
      </x:c>
      <x:c r="AF150" s="4" t="str">
        <x:v>From current item description. Proposed uses retain their existing approval status.</x:v>
      </x:c>
      <x:c r="AG150" s="4" t="str">
        <x:v>October 15 proposed tier review: Finish and fit selected viewing-glass stock as a port insert. Candidate route only: quantities, yield, tools, fit, process conditions and service compatibility remain open. </x:v>
      </x:c>
      <x:c r="AH150" s="4" t="str">
        <x:v>Not applicable</x:v>
      </x:c>
      <x:c r="AI150" s="4" t="str">
        <x:v>Component</x:v>
      </x:c>
      <x:c r="AJ150" s="4" t="n">
        <x:f>COUNTIFS('Material routes'!$D$6:$D$2205,A150,'Material routes'!$C$6:$C$2205,"Output")</x:f>
        <x:v>1</x:v>
      </x:c>
      <x:c r="AK150" s="4" t="n">
        <x:f>SUM(COUNTIFS('Material routes'!$D$6:$D$2205,A150,'Material routes'!$C$6:$C$2205,"Ingredient candidate"),COUNTIFS('Material routes'!$D$6:$D$2205,A150,'Material routes'!$C$6:$C$2205,"Consumed input"),COUNTIFS('Material routes'!$D$6:$D$2205,A150,'Material routes'!$C$6:$C$2205,"Contained input"),COUNTIFS('Material routes'!$D$6:$D$2205,A150,'Material routes'!$C$6:$C$2205,"Transform input"))</x:f>
        <x:v>0</x:v>
      </x:c>
      <x:c r="AL150" s="4" t="n">
        <x:f>COUNTIFS('Material routes'!$D$6:$D$2205,A150,'Material routes'!$C$6:$C$2205,"Tool candidate")</x:f>
        <x:v>0</x:v>
      </x:c>
      <x:c r="AM150" s="4" t="str">
        <x:f>IF(AJ150&gt;0,"Route listed; review status/completeness",IF(C150="T0","Raw entry feed; no production route","No production route listed"))</x:f>
        <x:v>Route listed; review status/completeness</x:v>
      </x:c>
      <x:c r="AN150" s="14" t="n">
        <x:f>IF(C150="T0",0,IF(C150="T1",1,IF(C150="T2",2,IF(C150="T3",3,IF(C150="T4",4,IF(C150="Unassigned",98,99))))))</x:f>
        <x:v>3</x:v>
      </x:c>
      <x:c r="AZ150"/>
      <x:c r="BA150"/>
      <x:c r="BB150"/>
      <x:c r="BC150"/>
      <x:c r="BD150"/>
      <x:c r="BE150"/>
      <x:c r="BF150"/>
      <x:c r="BG150"/>
      <x:c r="BH150"/>
      <x:c r="BI150"/>
      <x:c r="BJ150"/>
      <x:c r="BK150"/>
      <x:c r="BL150"/>
      <x:c r="BM150"/>
      <x:c r="BN150"/>
      <x:c r="BO150"/>
      <x:c r="BP150"/>
      <x:c r="BQ150"/>
      <x:c r="BR150"/>
      <x:c r="BS150"/>
      <x:c r="BT150"/>
      <x:c r="BU150"/>
      <x:c r="BV150"/>
      <x:c r="BW150"/>
      <x:c r="BX150"/>
      <x:c r="BY150"/>
      <x:c r="BZ150"/>
      <x:c r="CA150"/>
      <x:c r="CB150"/>
      <x:c r="CC150"/>
    </x:row>
    <x:row r="151" ht="170" customHeight="1">
      <x:c r="A151" s="9" t="str">
        <x:v>proposal.canister.mount</x:v>
      </x:c>
      <x:c r="B151" s="9" t="str">
        <x:v>Canister mounting bracket</x:v>
      </x:c>
      <x:c r="C151" s="4" t="str">
        <x:v>T3</x:v>
      </x:c>
      <x:c r="D151" s="9" t="str">
        <x:v>Crafting components</x:v>
      </x:c>
      <x:c r="E151" s="9" t="str">
        <x:v>Canister economy concept</x:v>
      </x:c>
      <x:c r="F151" s="9" t="str">
        <x:v>New proposal</x:v>
      </x:c>
      <x:c r="G151" s="9" t="inlineStr">
        <x:is>
          <x:t xml:space="preserve">Attach one canister to a fitted carrier. It locates or retains a fitted item on a matching structure; mounting geometry and loads must be chosen together.</x:t>
        </x:is>
      </x:c>
      <x:c r="H151" s="9" t="str">
        <x:v>Unassigned; part/fit ownership TBD</x:v>
      </x:c>
      <x:c r="I151" s="9" t="str">
        <x:v>Resource/component cargo or permitted Booter kit; policy TBD</x:v>
      </x:c>
      <x:c r="J151" s="13"/>
      <x:c r="K151" s="15"/>
      <x:c r="L151" s="9" t="str">
        <x:v>Specialist craft/trade/service candidate; no recipe authored</x:v>
      </x:c>
      <x:c r="M151" s="9" t="str">
        <x:v>Proposed material: Metal bracket and retainers</x:v>
      </x:c>
      <x:c r="N151" s="9" t="str">
        <x:v>Not implemented</x:v>
      </x:c>
      <x:c r="O151" s="9" t="str">
        <x:v>Coexist with armor, cloak, backpack, magnets and grounding equipment; no new slot authority</x:v>
      </x:c>
      <x:c r="P151" s="17"/>
      <x:c r="Q151" s="17"/>
      <x:c r="R151" s="17"/>
      <x:c r="S151" s="17"/>
      <x:c r="T151" s="17"/>
      <x:c r="U151" s="9" t="str">
        <x:v>Source explicitly separates fitments from body/seal. Source systems are proposals; precision skill and suitable material may affect value, but no prices or lifetime values assigned.</x:v>
      </x:c>
      <x:c r="V151" s="11"/>
      <x:c r="W151" s="9" t="str">
        <x:v>New game item concept October 14, 2026. Source proposal: https://github.com/sleepyseamonster/Arc-Dust/blob/f6f98515c005dc3c73cccd9cbc031691745740c6/02-Arc-Dust-Worldbuilding/world/economy/canister/caster-craft.md</x:v>
      </x:c>
      <x:c r="X151" s="4" t="str">
        <x:v>Container part</x:v>
      </x:c>
      <x:c r="Y151" s="4" t="str">
        <x:v>Processed intermediate</x:v>
      </x:c>
      <x:c r="Z151" s="4" t="str">
        <x:v>Manufactured / unresolved</x:v>
      </x:c>
      <x:c r="AA151" s="4" t="str">
        <x:v>Equipment mounting</x:v>
      </x:c>
      <x:c r="AB151" s="4" t="str">
        <x:v>Mixed / unresolved</x:v>
      </x:c>
      <x:c r="AC151" s="4" t="str">
        <x:v>Solid part</x:v>
      </x:c>
      <x:c r="AD151" s="4" t="str">
        <x:v>Proposal</x:v>
      </x:c>
      <x:c r="AE151" s="4" t="str">
        <x:f>LOWER(A151&amp;"; "&amp;B151&amp;"; "&amp;D151&amp;"; "&amp;E151&amp;"; "&amp;X151&amp;"; "&amp;Y151&amp;"; "&amp;Z151&amp;"; "&amp;AA151&amp;"; "&amp;AB151&amp;"; "&amp;AC151&amp;"; "&amp;AD151&amp;"; "&amp;V151&amp;"; "&amp;C151&amp;"; "&amp;AH151&amp;"; "&amp;AI151)</x:f>
        <x:v>proposal.canister.mount; canister mounting bracket; crafting components; canister economy concept; container part; processed intermediate; manufactured / unresolved; equipment mounting; mixed / unresolved; solid part; proposal; ; t3; not applicable; component</x:v>
      </x:c>
      <x:c r="AF151" s="4" t="str">
        <x:v>From current item description. Proposed uses retain their existing approval status.</x:v>
      </x:c>
      <x:c r="AG151" s="4" t="str">
        <x:v>October 15 proposed tier review: Shape and fit a mounting bracket from prepared steel. Candidate route only: quantities, yield, tools, fit, process conditions and service compatibility remain open. </x:v>
      </x:c>
      <x:c r="AH151" s="4" t="str">
        <x:v>Not applicable</x:v>
      </x:c>
      <x:c r="AI151" s="4" t="str">
        <x:v>Component</x:v>
      </x:c>
      <x:c r="AJ151" s="4" t="n">
        <x:f>COUNTIFS('Material routes'!$D$6:$D$2205,A151,'Material routes'!$C$6:$C$2205,"Output")</x:f>
        <x:v>1</x:v>
      </x:c>
      <x:c r="AK151" s="4" t="n">
        <x:f>SUM(COUNTIFS('Material routes'!$D$6:$D$2205,A151,'Material routes'!$C$6:$C$2205,"Ingredient candidate"),COUNTIFS('Material routes'!$D$6:$D$2205,A151,'Material routes'!$C$6:$C$2205,"Consumed input"),COUNTIFS('Material routes'!$D$6:$D$2205,A151,'Material routes'!$C$6:$C$2205,"Contained input"),COUNTIFS('Material routes'!$D$6:$D$2205,A151,'Material routes'!$C$6:$C$2205,"Transform input"))</x:f>
        <x:v>1</x:v>
      </x:c>
      <x:c r="AL151" s="4" t="n">
        <x:f>COUNTIFS('Material routes'!$D$6:$D$2205,A151,'Material routes'!$C$6:$C$2205,"Tool candidate")</x:f>
        <x:v>0</x:v>
      </x:c>
      <x:c r="AM151" s="4" t="str">
        <x:f>IF(AJ151&gt;0,"Route listed; review status/completeness",IF(C151="T0","Raw entry feed; no production route","No production route listed"))</x:f>
        <x:v>Route listed; review status/completeness</x:v>
      </x:c>
      <x:c r="AN151" s="14" t="n">
        <x:f>IF(C151="T0",0,IF(C151="T1",1,IF(C151="T2",2,IF(C151="T3",3,IF(C151="T4",4,IF(C151="Unassigned",98,99))))))</x:f>
        <x:v>3</x:v>
      </x:c>
      <x:c r="AZ151"/>
      <x:c r="BA151"/>
      <x:c r="BB151"/>
      <x:c r="BC151"/>
      <x:c r="BD151"/>
      <x:c r="BE151"/>
      <x:c r="BF151"/>
      <x:c r="BG151"/>
      <x:c r="BH151"/>
      <x:c r="BI151"/>
      <x:c r="BJ151"/>
      <x:c r="BK151"/>
      <x:c r="BL151"/>
      <x:c r="BM151"/>
      <x:c r="BN151"/>
      <x:c r="BO151"/>
      <x:c r="BP151"/>
      <x:c r="BQ151"/>
      <x:c r="BR151"/>
      <x:c r="BS151"/>
      <x:c r="BT151"/>
      <x:c r="BU151"/>
      <x:c r="BV151"/>
      <x:c r="BW151"/>
      <x:c r="BX151"/>
      <x:c r="BY151"/>
      <x:c r="BZ151"/>
      <x:c r="CA151"/>
      <x:c r="CB151"/>
      <x:c r="CC151"/>
    </x:row>
    <x:row r="152" ht="95" customHeight="1">
      <x:c r="A152" s="9" t="str">
        <x:v>proposal.canister.harness</x:v>
      </x:c>
      <x:c r="B152" s="9" t="str">
        <x:v>Fitted canister harness</x:v>
      </x:c>
      <x:c r="C152" s="4" t="str">
        <x:v>Not applicable</x:v>
      </x:c>
      <x:c r="D152" s="9" t="inlineStr">
        <x:is>
          <x:t xml:space="preserve">Armor</x:t>
        </x:is>
      </x:c>
      <x:c r="E152" s="9" t="str">
        <x:v>Canister economy concept</x:v>
      </x:c>
      <x:c r="F152" s="9" t="str">
        <x:v>New proposal</x:v>
      </x:c>
      <x:c r="G152" s="9" t="inlineStr">
        <x:is>
          <x:t xml:space="preserve">Wear a canister in a selected carry arrangement. It locates or retains a fitted item on a matching structure; mounting geometry and loads must be chosen together.</x:t>
        </x:is>
      </x:c>
      <x:c r="H152" s="9" t="str">
        <x:v>Unassigned; part/fit ownership TBD</x:v>
      </x:c>
      <x:c r="I152" s="9" t="str">
        <x:v>Resource/component cargo or permitted Booter kit; policy TBD</x:v>
      </x:c>
      <x:c r="J152" s="13"/>
      <x:c r="K152" s="15"/>
      <x:c r="L152" s="9" t="str">
        <x:v>Specialist craft/trade/service candidate; no recipe authored</x:v>
      </x:c>
      <x:c r="M152" s="9" t="str">
        <x:v>Proposed material: Metal/shell carrier; minimal-fur contact material or difficult husk material proposed</x:v>
      </x:c>
      <x:c r="N152" s="9" t="str">
        <x:v>Not implemented</x:v>
      </x:c>
      <x:c r="O152" s="9" t="str">
        <x:v>Exact harness material and capacities unresolved; no cloth straps or changed trial equipment slots</x:v>
      </x:c>
      <x:c r="P152" s="17"/>
      <x:c r="Q152" s="17"/>
      <x:c r="R152" s="17"/>
      <x:c r="S152" s="17"/>
      <x:c r="T152" s="17"/>
      <x:c r="U152" s="9" t="str">
        <x:v>Source chest/hip/back/cross-body carry styles. Source systems are proposals; precision skill and suitable material may affect value, but no prices or lifetime values assigned.</x:v>
      </x:c>
      <x:c r="V152" s="11"/>
      <x:c r="W152" s="9" t="str">
        <x:v>New game item concept October 14, 2026. Source proposal: https://github.com/sleepyseamonster/Arc-Dust/blob/f6f98515c005dc3c73cccd9cbc031691745740c6/02-Arc-Dust-Worldbuilding/world/economy/canister/carry-styles.md</x:v>
      </x:c>
      <x:c r="X152" s="4" t="str">
        <x:v>Carrier</x:v>
      </x:c>
      <x:c r="Y152" s="4" t="str">
        <x:v>Finished item</x:v>
      </x:c>
      <x:c r="Z152" s="4" t="str">
        <x:v>Manufactured / unresolved</x:v>
      </x:c>
      <x:c r="AA152" s="4" t="str">
        <x:v>Equipment mounting</x:v>
      </x:c>
      <x:c r="AB152" s="4" t="str">
        <x:v>Mixed / unresolved</x:v>
      </x:c>
      <x:c r="AC152" s="4" t="str">
        <x:v>Assembly</x:v>
      </x:c>
      <x:c r="AD152" s="4" t="str">
        <x:v>Proposal</x:v>
      </x:c>
      <x:c r="AE152" s="4" t="str">
        <x:f>LOWER(A152&amp;"; "&amp;B152&amp;"; "&amp;D152&amp;"; "&amp;E152&amp;"; "&amp;X152&amp;"; "&amp;Y152&amp;"; "&amp;Z152&amp;"; "&amp;AA152&amp;"; "&amp;AB152&amp;"; "&amp;AC152&amp;"; "&amp;AD152&amp;"; "&amp;V152&amp;"; "&amp;C152&amp;"; "&amp;AH152&amp;"; "&amp;AI152)</x:f>
        <x:v>proposal.canister.harness; fitted canister harness; armor; canister economy concept; carrier; finished item; manufactured / unresolved; equipment mounting; mixed / unresolved; assembly; proposal; ; not applicable; t3; finished item</x:v>
      </x:c>
      <x:c r="AF152" s="4" t="inlineStr">
        <x:is>
          <x:t xml:space="preserve">From current item description. Proposed uses retain their existing approval status. October 15 equipment split: Attachments. Fitted mounts, cargo rigging, inserts, backing, liners and replaceable add-ons that serve another piece of equipment.</x:t>
        </x:is>
      </x:c>
      <x:c r="AG152" s="4" t="str">
        <x:v>Finished endpoint; material tier is not applicable. Input tiers belong to the chosen recipe.</x:v>
      </x:c>
      <x:c r="AH152" s="4" t="str">
        <x:v>T3</x:v>
      </x:c>
      <x:c r="AI152" s="4" t="str">
        <x:v>Finished item</x:v>
      </x:c>
      <x:c r="AJ152" s="4" t="n">
        <x:f>COUNTIFS('Material routes'!$D$6:$D$2205,A152,'Material routes'!$C$6:$C$2205,"Output")</x:f>
        <x:v>1</x:v>
      </x:c>
      <x:c r="AK152" s="4" t="n">
        <x:f>SUM(COUNTIFS('Material routes'!$D$6:$D$2205,A152,'Material routes'!$C$6:$C$2205,"Ingredient candidate"),COUNTIFS('Material routes'!$D$6:$D$2205,A152,'Material routes'!$C$6:$C$2205,"Consumed input"),COUNTIFS('Material routes'!$D$6:$D$2205,A152,'Material routes'!$C$6:$C$2205,"Contained input"),COUNTIFS('Material routes'!$D$6:$D$2205,A152,'Material routes'!$C$6:$C$2205,"Transform input"))</x:f>
        <x:v>0</x:v>
      </x:c>
      <x:c r="AL152" s="4" t="n">
        <x:f>COUNTIFS('Material routes'!$D$6:$D$2205,A152,'Material routes'!$C$6:$C$2205,"Tool candidate")</x:f>
        <x:v>0</x:v>
      </x:c>
      <x:c r="AM152" s="4" t="str">
        <x:f>IF(AJ152&gt;0,"Route listed; review status/completeness",IF(C152="T0","Raw entry feed; no production route","No production route listed"))</x:f>
        <x:v>Route listed; review status/completeness</x:v>
      </x:c>
      <x:c r="AN152" s="14" t="n">
        <x:f>IF(C152="T0",0,IF(C152="T1",1,IF(C152="T2",2,IF(C152="T3",3,IF(C152="T4",4,IF(C152="Unassigned",98,99))))))</x:f>
        <x:v>99</x:v>
      </x:c>
      <x:c r="AZ152"/>
      <x:c r="BA152"/>
      <x:c r="BB152"/>
      <x:c r="BC152"/>
      <x:c r="BD152"/>
      <x:c r="BE152"/>
      <x:c r="BF152"/>
      <x:c r="BG152"/>
      <x:c r="BH152"/>
      <x:c r="BI152"/>
      <x:c r="BJ152"/>
      <x:c r="BK152"/>
      <x:c r="BL152"/>
      <x:c r="BM152"/>
      <x:c r="BN152"/>
      <x:c r="BO152"/>
      <x:c r="BP152"/>
      <x:c r="BQ152"/>
      <x:c r="BR152"/>
      <x:c r="BS152"/>
      <x:c r="BT152"/>
      <x:c r="BU152"/>
      <x:c r="BV152"/>
      <x:c r="BW152"/>
      <x:c r="BX152"/>
      <x:c r="BY152"/>
      <x:c r="BZ152"/>
      <x:c r="CA152"/>
      <x:c r="CB152"/>
      <x:c r="CC152"/>
    </x:row>
    <x:row r="153" ht="95" customHeight="1">
      <x:c r="A153" s="9" t="str">
        <x:v>proposal.canister.inspection_gauge</x:v>
      </x:c>
      <x:c r="B153" s="9" t="str">
        <x:v>Seal inspection gauge</x:v>
      </x:c>
      <x:c r="C153" s="4" t="str">
        <x:v>Not applicable</x:v>
      </x:c>
      <x:c r="D153" s="9" t="inlineStr">
        <x:is>
          <x:t xml:space="preserve">Salvage</x:t>
        </x:is>
      </x:c>
      <x:c r="E153" s="9" t="str">
        <x:v>Canister economy concept</x:v>
      </x:c>
      <x:c r="F153" s="9" t="str">
        <x:v>New proposal</x:v>
      </x:c>
      <x:c r="G153" s="9" t="inlineStr">
        <x:is>
          <x:t xml:space="preserve">Specialist workshop inspection aid. It supports looking at or examining a workpiece, with the useful view determined by its optical and mechanical arrangement.</x:t>
        </x:is>
      </x:c>
      <x:c r="H153" s="9" t="str">
        <x:v>Unassigned; part/fit ownership TBD</x:v>
      </x:c>
      <x:c r="I153" s="9" t="str">
        <x:v>Resource/component cargo or permitted Booter kit; policy TBD</x:v>
      </x:c>
      <x:c r="J153" s="13"/>
      <x:c r="K153" s="15"/>
      <x:c r="L153" s="9" t="str">
        <x:v>Specialist craft/trade/service candidate; no recipe authored</x:v>
      </x:c>
      <x:c r="M153" s="9" t="str">
        <x:v>Proposed material: Precision metal/glass tool candidate</x:v>
      </x:c>
      <x:c r="N153" s="9" t="str">
        <x:v>Not implemented</x:v>
      </x:c>
      <x:c r="O153" s="9" t="str">
        <x:v>No numerical pressure behavior or mandatory recurring inspection chore introduced</x:v>
      </x:c>
      <x:c r="P153" s="17"/>
      <x:c r="Q153" s="17"/>
      <x:c r="R153" s="17"/>
      <x:c r="S153" s="17"/>
      <x:c r="T153" s="17"/>
      <x:c r="U153" s="9" t="str">
        <x:v>New tool idea inspired by source seal checks/testing. Source systems are proposals; precision skill and suitable material may affect value, but no prices or lifetime values assigned.</x:v>
      </x:c>
      <x:c r="V153" s="11"/>
      <x:c r="W153" s="9" t="str">
        <x:v>New game item concept October 14, 2026. Source proposal: https://github.com/sleepyseamonster/Arc-Dust/blob/f6f98515c005dc3c73cccd9cbc031691745740c6/02-Arc-Dust-Worldbuilding/world/economy/canister/daily-ritual.md</x:v>
      </x:c>
      <x:c r="X153" s="4" t="str">
        <x:v>Tool</x:v>
      </x:c>
      <x:c r="Y153" s="4" t="str">
        <x:v>Finished item</x:v>
      </x:c>
      <x:c r="Z153" s="4" t="str">
        <x:v>Manufactured / unresolved</x:v>
      </x:c>
      <x:c r="AA153" s="4" t="str">
        <x:v>Inspection</x:v>
      </x:c>
      <x:c r="AB153" s="4" t="str">
        <x:v>Mixed / unresolved</x:v>
      </x:c>
      <x:c r="AC153" s="4" t="str">
        <x:v>Assembly</x:v>
      </x:c>
      <x:c r="AD153" s="4" t="str">
        <x:v>Proposal</x:v>
      </x:c>
      <x:c r="AE153" s="4" t="str">
        <x:f>LOWER(A153&amp;"; "&amp;B153&amp;"; "&amp;D153&amp;"; "&amp;E153&amp;"; "&amp;X153&amp;"; "&amp;Y153&amp;"; "&amp;Z153&amp;"; "&amp;AA153&amp;"; "&amp;AB153&amp;"; "&amp;AC153&amp;"; "&amp;AD153&amp;"; "&amp;V153&amp;"; "&amp;C153&amp;"; "&amp;AH153&amp;"; "&amp;AI153)</x:f>
        <x:v>proposal.canister.inspection_gauge; seal inspection gauge; salvage; canister economy concept; tool; finished item; manufactured / unresolved; inspection; mixed / unresolved; assembly; proposal; ; not applicable; t2; finished item</x:v>
      </x:c>
      <x:c r="AF15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153" s="4" t="str">
        <x:v>Finished endpoint; material tier is not applicable. Input tiers belong to the chosen recipe.</x:v>
      </x:c>
      <x:c r="AH153" s="4" t="str">
        <x:v>T2</x:v>
      </x:c>
      <x:c r="AI153" s="4" t="str">
        <x:v>Finished item</x:v>
      </x:c>
      <x:c r="AJ153" s="4" t="n">
        <x:f>COUNTIFS('Material routes'!$D$6:$D$2205,A153,'Material routes'!$C$6:$C$2205,"Output")</x:f>
        <x:v>1</x:v>
      </x:c>
      <x:c r="AK153" s="4" t="n">
        <x:f>SUM(COUNTIFS('Material routes'!$D$6:$D$2205,A153,'Material routes'!$C$6:$C$2205,"Ingredient candidate"),COUNTIFS('Material routes'!$D$6:$D$2205,A153,'Material routes'!$C$6:$C$2205,"Consumed input"),COUNTIFS('Material routes'!$D$6:$D$2205,A153,'Material routes'!$C$6:$C$2205,"Contained input"),COUNTIFS('Material routes'!$D$6:$D$2205,A153,'Material routes'!$C$6:$C$2205,"Transform input"))</x:f>
        <x:v>1</x:v>
      </x:c>
      <x:c r="AL153" s="4" t="n">
        <x:f>COUNTIFS('Material routes'!$D$6:$D$2205,A153,'Material routes'!$C$6:$C$2205,"Tool candidate")</x:f>
        <x:v>1</x:v>
      </x:c>
      <x:c r="AM153" s="4" t="str">
        <x:f>IF(AJ153&gt;0,"Route listed; review status/completeness",IF(C153="T0","Raw entry feed; no production route","No production route listed"))</x:f>
        <x:v>Route listed; review status/completeness</x:v>
      </x:c>
      <x:c r="AN153" s="14" t="n">
        <x:f>IF(C153="T0",0,IF(C153="T1",1,IF(C153="T2",2,IF(C153="T3",3,IF(C153="T4",4,IF(C153="Unassigned",98,99))))))</x:f>
        <x:v>99</x:v>
      </x:c>
      <x:c r="AZ153"/>
      <x:c r="BA153"/>
      <x:c r="BB153"/>
      <x:c r="BC153"/>
      <x:c r="BD153"/>
      <x:c r="BE153"/>
      <x:c r="BF153"/>
      <x:c r="BG153"/>
      <x:c r="BH153"/>
      <x:c r="BI153"/>
      <x:c r="BJ153"/>
      <x:c r="BK153"/>
      <x:c r="BL153"/>
      <x:c r="BM153"/>
      <x:c r="BN153"/>
      <x:c r="BO153"/>
      <x:c r="BP153"/>
      <x:c r="BQ153"/>
      <x:c r="BR153"/>
      <x:c r="BS153"/>
      <x:c r="BT153"/>
      <x:c r="BU153"/>
      <x:c r="BV153"/>
      <x:c r="BW153"/>
      <x:c r="BX153"/>
      <x:c r="BY153"/>
      <x:c r="BZ153"/>
      <x:c r="CA153"/>
      <x:c r="CB153"/>
      <x:c r="CC153"/>
    </x:row>
    <x:row r="154" ht="95" customHeight="1">
      <x:c r="A154" s="9" t="str">
        <x:v>proposal.canister.service_kit</x:v>
      </x:c>
      <x:c r="B154" s="9" t="str">
        <x:v>Canister service kit</x:v>
      </x:c>
      <x:c r="C154" s="4" t="str">
        <x:v>Not applicable</x:v>
      </x:c>
      <x:c r="D154" s="9" t="inlineStr">
        <x:is>
          <x:t xml:space="preserve">Salvage</x:t>
        </x:is>
      </x:c>
      <x:c r="E154" s="9" t="str">
        <x:v>Canister economy concept</x:v>
      </x:c>
      <x:c r="F154" s="9" t="str">
        <x:v>New proposal</x:v>
      </x:c>
      <x:c r="G154" s="9" t="inlineStr">
        <x:is>
          <x:t xml:space="preserve">Carry a selected set of compatible spare seals/fittings. It supports replacement, refitting or maintenance of a compatible item; ownership alone does not restore the equipment’s condition.</x:t>
        </x:is>
      </x:c>
      <x:c r="H154" s="9" t="str">
        <x:v>Unassigned; part/fit ownership TBD</x:v>
      </x:c>
      <x:c r="I154" s="9" t="str">
        <x:v>Resource/component cargo or permitted Booter kit; policy TBD</x:v>
      </x:c>
      <x:c r="J154" s="13"/>
      <x:c r="K154" s="15"/>
      <x:c r="L154" s="9" t="str">
        <x:v>Specialist craft/trade/service candidate; no recipe authored</x:v>
      </x:c>
      <x:c r="M154" s="9" t="str">
        <x:v>Proposed material: Existing candidate parts in a fitted case</x:v>
      </x:c>
      <x:c r="N154" s="9" t="str">
        <x:v>Not implemented</x:v>
      </x:c>
      <x:c r="O154" s="9" t="str">
        <x:v>Bundle contents count once and occupy finite capacity; recipe/quantity and repair action unapproved</x:v>
      </x:c>
      <x:c r="P154" s="17"/>
      <x:c r="Q154" s="17"/>
      <x:c r="R154" s="17"/>
      <x:c r="S154" s="17"/>
      <x:c r="T154" s="17"/>
      <x:c r="U154" s="9" t="str">
        <x:v>Source caravan carry includes repair kits/spare seals. Source systems are proposals; precision skill and suitable material may affect value, but no prices or lifetime values assigned.</x:v>
      </x:c>
      <x:c r="V154" s="11" t="str">
        <x:v>sealing</x:v>
      </x:c>
      <x:c r="W154" s="9" t="str">
        <x:v>New game item concept October 14, 2026. Source proposal: https://github.com/sleepyseamonster/Arc-Dust/blob/f6f98515c005dc3c73cccd9cbc031691745740c6/02-Arc-Dust-Worldbuilding/world/economy/canister/carry-styles.md</x:v>
      </x:c>
      <x:c r="X154" s="4" t="str">
        <x:v>Service kit</x:v>
      </x:c>
      <x:c r="Y154" s="4" t="str">
        <x:v>Finished item</x:v>
      </x:c>
      <x:c r="Z154" s="4" t="str">
        <x:v>Manufactured / unresolved</x:v>
      </x:c>
      <x:c r="AA154" s="4" t="str">
        <x:v>Equipment repair</x:v>
      </x:c>
      <x:c r="AB154" s="4" t="str">
        <x:v>Mixed / unresolved</x:v>
      </x:c>
      <x:c r="AC154" s="4" t="str">
        <x:v>Assembly</x:v>
      </x:c>
      <x:c r="AD154" s="4" t="str">
        <x:v>Proposal</x:v>
      </x:c>
      <x:c r="AE154" s="4" t="str">
        <x:f>LOWER(A154&amp;"; "&amp;B154&amp;"; "&amp;D154&amp;"; "&amp;E154&amp;"; "&amp;X154&amp;"; "&amp;Y154&amp;"; "&amp;Z154&amp;"; "&amp;AA154&amp;"; "&amp;AB154&amp;"; "&amp;AC154&amp;"; "&amp;AD154&amp;"; "&amp;V154&amp;"; "&amp;C154&amp;"; "&amp;AH154&amp;"; "&amp;AI154)</x:f>
        <x:v>proposal.canister.service_kit; canister service kit; salvage; canister economy concept; service kit; finished item; manufactured / unresolved; equipment repair; mixed / unresolved; assembly; proposal; sealing; not applicable; unassigned; finished item</x:v>
      </x:c>
      <x:c r="AF154" s="4" t="str">
        <x:v>From current item description. Proposed uses retain their existing approval status.</x:v>
      </x:c>
      <x:c r="AG154" s="4" t="str">
        <x:v>Finished endpoint; material tier is not applicable. Input tiers belong to the chosen recipe.</x:v>
      </x:c>
      <x:c r="AH154" s="4" t="str">
        <x:v>Unassigned</x:v>
      </x:c>
      <x:c r="AI154" s="4" t="str">
        <x:v>Finished item</x:v>
      </x:c>
      <x:c r="AJ154" s="4" t="n">
        <x:f>COUNTIFS('Material routes'!$D$6:$D$2205,A154,'Material routes'!$C$6:$C$2205,"Output")</x:f>
        <x:v>1</x:v>
      </x:c>
      <x:c r="AK154" s="4" t="n">
        <x:f>SUM(COUNTIFS('Material routes'!$D$6:$D$2205,A154,'Material routes'!$C$6:$C$2205,"Ingredient candidate"),COUNTIFS('Material routes'!$D$6:$D$2205,A154,'Material routes'!$C$6:$C$2205,"Consumed input"),COUNTIFS('Material routes'!$D$6:$D$2205,A154,'Material routes'!$C$6:$C$2205,"Contained input"),COUNTIFS('Material routes'!$D$6:$D$2205,A154,'Material routes'!$C$6:$C$2205,"Transform input"))</x:f>
        <x:v>0</x:v>
      </x:c>
      <x:c r="AL154" s="4" t="n">
        <x:f>COUNTIFS('Material routes'!$D$6:$D$2205,A154,'Material routes'!$C$6:$C$2205,"Tool candidate")</x:f>
        <x:v>0</x:v>
      </x:c>
      <x:c r="AM154" s="4" t="str">
        <x:f>IF(AJ154&gt;0,"Route listed; review status/completeness",IF(C154="T0","Raw entry feed; no production route","No production route listed"))</x:f>
        <x:v>Route listed; review status/completeness</x:v>
      </x:c>
      <x:c r="AN154" s="14" t="n">
        <x:f>IF(C154="T0",0,IF(C154="T1",1,IF(C154="T2",2,IF(C154="T3",3,IF(C154="T4",4,IF(C154="Unassigned",98,99))))))</x:f>
        <x:v>99</x:v>
      </x:c>
      <x:c r="AZ154"/>
      <x:c r="BA154"/>
      <x:c r="BB154"/>
      <x:c r="BC154"/>
      <x:c r="BD154"/>
      <x:c r="BE154"/>
      <x:c r="BF154"/>
      <x:c r="BG154"/>
      <x:c r="BH154"/>
      <x:c r="BI154"/>
      <x:c r="BJ154"/>
      <x:c r="BK154"/>
      <x:c r="BL154"/>
      <x:c r="BM154"/>
      <x:c r="BN154"/>
      <x:c r="BO154"/>
      <x:c r="BP154"/>
      <x:c r="BQ154"/>
      <x:c r="BR154"/>
      <x:c r="BS154"/>
      <x:c r="BT154"/>
      <x:c r="BU154"/>
      <x:c r="BV154"/>
      <x:c r="BW154"/>
      <x:c r="BX154"/>
      <x:c r="BY154"/>
      <x:c r="BZ154"/>
      <x:c r="CA154"/>
      <x:c r="CB154"/>
      <x:c r="CC154"/>
    </x:row>
    <x:row r="155" ht="170" customHeight="1">
      <x:c r="A155" s="9" t="str">
        <x:v>proposal.canister.maker_plate</x:v>
      </x:c>
      <x:c r="B155" s="9" t="str">
        <x:v>Canister maker plate</x:v>
      </x:c>
      <x:c r="C155" s="4" t="str">
        <x:v>T2</x:v>
      </x:c>
      <x:c r="D155" s="9" t="str">
        <x:v>Crafting components</x:v>
      </x:c>
      <x:c r="E155" s="9" t="str">
        <x:v>Canister economy concept</x:v>
      </x:c>
      <x:c r="F155" s="9" t="str">
        <x:v>New proposal</x:v>
      </x:c>
      <x:c r="G155" s="9" t="inlineStr">
        <x:is>
          <x:t xml:space="preserve">Visible craft provenance or personal decoration. It is intended to carry a record of an object’s origin or history; the issuer and meaning of the marks are not yet assigned.</x:t>
        </x:is>
      </x:c>
      <x:c r="H155" s="9" t="str">
        <x:v>Unassigned; part/fit ownership TBD</x:v>
      </x:c>
      <x:c r="I155" s="9" t="str">
        <x:v>Resource/component cargo or permitted Booter kit; policy TBD</x:v>
      </x:c>
      <x:c r="J155" s="13"/>
      <x:c r="K155" s="15"/>
      <x:c r="L155" s="9" t="str">
        <x:v>Specialist craft/trade/service candidate; no recipe authored</x:v>
      </x:c>
      <x:c r="M155" s="9" t="str">
        <x:v>Proposed material: Engraved metal; exact format TBD</x:v>
      </x:c>
      <x:c r="N155" s="9" t="str">
        <x:v>Not implemented</x:v>
      </x:c>
      <x:c r="O155" s="9" t="str">
        <x:v>Not functional seal quality, an achievement award or a verified authenticity system by itself</x:v>
      </x:c>
      <x:c r="P155" s="17"/>
      <x:c r="Q155" s="17"/>
      <x:c r="R155" s="17"/>
      <x:c r="S155" s="17"/>
      <x:c r="T155" s="17"/>
      <x:c r="U155" s="9" t="str">
        <x:v>Source guild marks and maker reputation. Source systems are proposals; precision skill and suitable material may affect value, but no prices or lifetime values assigned.</x:v>
      </x:c>
      <x:c r="V155" s="11" t="str">
        <x:v>decoration</x:v>
      </x:c>
      <x:c r="W155" s="9" t="str">
        <x:v>New game item concept October 14, 2026. Source proposal: https://github.com/sleepyseamonster/Arc-Dust/blob/f6f98515c005dc3c73cccd9cbc031691745740c6/02-Arc-Dust-Worldbuilding/world/economy/canister-identity.md</x:v>
      </x:c>
      <x:c r="X155" s="4" t="str">
        <x:v>Crafting component</x:v>
      </x:c>
      <x:c r="Y155" s="4" t="str">
        <x:v>Processed intermediate</x:v>
      </x:c>
      <x:c r="Z155" s="4" t="str">
        <x:v>Manufactured / unresolved</x:v>
      </x:c>
      <x:c r="AA155" s="4" t="str">
        <x:v>Provenance</x:v>
      </x:c>
      <x:c r="AB155" s="4" t="str">
        <x:v>Mixed / unresolved</x:v>
      </x:c>
      <x:c r="AC155" s="4" t="str">
        <x:v>Solid part</x:v>
      </x:c>
      <x:c r="AD155" s="4" t="str">
        <x:v>Proposal</x:v>
      </x:c>
      <x:c r="AE155" s="4" t="str">
        <x:f>LOWER(A155&amp;"; "&amp;B155&amp;"; "&amp;D155&amp;"; "&amp;E155&amp;"; "&amp;X155&amp;"; "&amp;Y155&amp;"; "&amp;Z155&amp;"; "&amp;AA155&amp;"; "&amp;AB155&amp;"; "&amp;AC155&amp;"; "&amp;AD155&amp;"; "&amp;V155&amp;"; "&amp;C155&amp;"; "&amp;AH155&amp;"; "&amp;AI155)</x:f>
        <x:v>proposal.canister.maker_plate; canister maker plate; crafting components; canister economy concept; crafting component; processed intermediate; manufactured / unresolved; provenance; mixed / unresolved; solid part; proposal; decoration; t2; not applicable; component</x:v>
      </x:c>
      <x:c r="AF155" s="4" t="str">
        <x:v>From current item description. Proposed uses retain their existing approval status.</x:v>
      </x:c>
      <x:c r="AG155" s="4" t="str">
        <x:v>October 15 proposed tier review: Form and mark a plate from first reclaimed bronze stock. Candidate route only: quantities, yield, tools, fit, process conditions and service compatibility remain open. Specific issuer marks, provenance guarantees and legal standards remain undefined.</x:v>
      </x:c>
      <x:c r="AH155" s="4" t="str">
        <x:v>Not applicable</x:v>
      </x:c>
      <x:c r="AI155" s="4" t="str">
        <x:v>Component</x:v>
      </x:c>
      <x:c r="AJ155" s="4" t="n">
        <x:f>COUNTIFS('Material routes'!$D$6:$D$2205,A155,'Material routes'!$C$6:$C$2205,"Output")</x:f>
        <x:v>1</x:v>
      </x:c>
      <x:c r="AK155" s="4" t="n">
        <x:f>SUM(COUNTIFS('Material routes'!$D$6:$D$2205,A155,'Material routes'!$C$6:$C$2205,"Ingredient candidate"),COUNTIFS('Material routes'!$D$6:$D$2205,A155,'Material routes'!$C$6:$C$2205,"Consumed input"),COUNTIFS('Material routes'!$D$6:$D$2205,A155,'Material routes'!$C$6:$C$2205,"Contained input"),COUNTIFS('Material routes'!$D$6:$D$2205,A155,'Material routes'!$C$6:$C$2205,"Transform input"))</x:f>
        <x:v>0</x:v>
      </x:c>
      <x:c r="AL155" s="4" t="n">
        <x:f>COUNTIFS('Material routes'!$D$6:$D$2205,A155,'Material routes'!$C$6:$C$2205,"Tool candidate")</x:f>
        <x:v>0</x:v>
      </x:c>
      <x:c r="AM155" s="4" t="str">
        <x:f>IF(AJ155&gt;0,"Route listed; review status/completeness",IF(C155="T0","Raw entry feed; no production route","No production route listed"))</x:f>
        <x:v>Route listed; review status/completeness</x:v>
      </x:c>
      <x:c r="AN155" s="14" t="n">
        <x:f>IF(C155="T0",0,IF(C155="T1",1,IF(C155="T2",2,IF(C155="T3",3,IF(C155="T4",4,IF(C155="Unassigned",98,99))))))</x:f>
        <x:v>2</x:v>
      </x:c>
      <x:c r="AZ155"/>
      <x:c r="BA155"/>
      <x:c r="BB155"/>
      <x:c r="BC155"/>
      <x:c r="BD155"/>
      <x:c r="BE155"/>
      <x:c r="BF155"/>
      <x:c r="BG155"/>
      <x:c r="BH155"/>
      <x:c r="BI155"/>
      <x:c r="BJ155"/>
      <x:c r="BK155"/>
      <x:c r="BL155"/>
      <x:c r="BM155"/>
      <x:c r="BN155"/>
      <x:c r="BO155"/>
      <x:c r="BP155"/>
      <x:c r="BQ155"/>
      <x:c r="BR155"/>
      <x:c r="BS155"/>
      <x:c r="BT155"/>
      <x:c r="BU155"/>
      <x:c r="BV155"/>
      <x:c r="BW155"/>
      <x:c r="BX155"/>
      <x:c r="BY155"/>
      <x:c r="BZ155"/>
      <x:c r="CA155"/>
      <x:c r="CB155"/>
      <x:c r="CC155"/>
    </x:row>
    <x:row r="156" ht="170" customHeight="1">
      <x:c r="A156" s="9" t="str">
        <x:v>proposal.canister.trim</x:v>
      </x:c>
      <x:c r="B156" s="9" t="str">
        <x:v>Decorative canister panel</x:v>
      </x:c>
      <x:c r="C156" s="4" t="str">
        <x:v>T3</x:v>
      </x:c>
      <x:c r="D156" s="9" t="str">
        <x:v>Crafting components</x:v>
      </x:c>
      <x:c r="E156" s="9" t="str">
        <x:v>Canister economy concept</x:v>
      </x:c>
      <x:c r="F156" s="9" t="str">
        <x:v>New proposal</x:v>
      </x:c>
      <x:c r="G156" s="9" t="inlineStr">
        <x:is>
          <x:t xml:space="preserve">Nonstructural custom finish candidate. It supplies a visible ornamental surface or detail, with its placement and cultural meaning left to the receiving object’s design.</x:t>
        </x:is>
      </x:c>
      <x:c r="H156" s="9" t="str">
        <x:v>Unassigned; part/fit ownership TBD</x:v>
      </x:c>
      <x:c r="I156" s="9" t="str">
        <x:v>Resource/component cargo or permitted Booter kit; policy TBD</x:v>
      </x:c>
      <x:c r="J156" s="13"/>
      <x:c r="K156" s="15"/>
      <x:c r="L156" s="9" t="str">
        <x:v>Specialist craft/trade/service candidate; no recipe authored</x:v>
      </x:c>
      <x:c r="M156" s="9" t="str">
        <x:v>Proposed material: Worked metal/shell; fashion-grade inlay optional</x:v>
      </x:c>
      <x:c r="N156" s="9" t="str">
        <x:v>Not implemented</x:v>
      </x:c>
      <x:c r="O156" s="9" t="str">
        <x:v>Decoration remains separate from seal/body functionality; material requirements and price TBD</x:v>
      </x:c>
      <x:c r="P156" s="17"/>
      <x:c r="Q156" s="17"/>
      <x:c r="R156" s="17"/>
      <x:c r="S156" s="17"/>
      <x:c r="T156" s="17"/>
      <x:c r="U156" s="9" t="str">
        <x:v>Source engravings, surface work and identity. Source systems are proposals; precision skill and suitable material may affect value, but no prices or lifetime values assigned.</x:v>
      </x:c>
      <x:c r="V156" s="11"/>
      <x:c r="W156" s="9" t="str">
        <x:v>New game item concept October 14, 2026. Source proposal: https://github.com/sleepyseamonster/Arc-Dust/blob/f6f98515c005dc3c73cccd9cbc031691745740c6/02-Arc-Dust-Worldbuilding/world/economy/canister-identity.md</x:v>
      </x:c>
      <x:c r="X156" s="4" t="str">
        <x:v>Crafting component</x:v>
      </x:c>
      <x:c r="Y156" s="4" t="str">
        <x:v>Processed intermediate</x:v>
      </x:c>
      <x:c r="Z156" s="4" t="str">
        <x:v>Manufactured / unresolved</x:v>
      </x:c>
      <x:c r="AA156" s="4" t="str">
        <x:v>Decoration</x:v>
      </x:c>
      <x:c r="AB156" s="4" t="str">
        <x:v>Mixed / unresolved</x:v>
      </x:c>
      <x:c r="AC156" s="4" t="str">
        <x:v>Solid part</x:v>
      </x:c>
      <x:c r="AD156" s="4" t="str">
        <x:v>Proposal</x:v>
      </x:c>
      <x:c r="AE156" s="4" t="str">
        <x:f>LOWER(A156&amp;"; "&amp;B156&amp;"; "&amp;D156&amp;"; "&amp;E156&amp;"; "&amp;X156&amp;"; "&amp;Y156&amp;"; "&amp;Z156&amp;"; "&amp;AA156&amp;"; "&amp;AB156&amp;"; "&amp;AC156&amp;"; "&amp;AD156&amp;"; "&amp;V156&amp;"; "&amp;C156&amp;"; "&amp;AH156&amp;"; "&amp;AI156)</x:f>
        <x:v>proposal.canister.trim; decorative canister panel; crafting components; canister economy concept; crafting component; processed intermediate; manufactured / unresolved; decoration; mixed / unresolved; solid part; proposal; ; t3; not applicable; component</x:v>
      </x:c>
      <x:c r="AF156" s="4" t="str">
        <x:v>From current item description. Proposed uses retain their existing approval status.</x:v>
      </x:c>
      <x:c r="AG156" s="4" t="str">
        <x:v>October 15 proposed tier review: Prepare a fitted decorative metal/inlay panel from T2 finish stocks. Candidate route only: quantities, yield, tools, fit, process conditions and service compatibility remain open. </x:v>
      </x:c>
      <x:c r="AH156" s="4" t="str">
        <x:v>Not applicable</x:v>
      </x:c>
      <x:c r="AI156" s="4" t="str">
        <x:v>Component</x:v>
      </x:c>
      <x:c r="AJ156" s="4" t="n">
        <x:f>COUNTIFS('Material routes'!$D$6:$D$2205,A156,'Material routes'!$C$6:$C$2205,"Output")</x:f>
        <x:v>1</x:v>
      </x:c>
      <x:c r="AK156" s="4" t="n">
        <x:f>SUM(COUNTIFS('Material routes'!$D$6:$D$2205,A156,'Material routes'!$C$6:$C$2205,"Ingredient candidate"),COUNTIFS('Material routes'!$D$6:$D$2205,A156,'Material routes'!$C$6:$C$2205,"Consumed input"),COUNTIFS('Material routes'!$D$6:$D$2205,A156,'Material routes'!$C$6:$C$2205,"Contained input"),COUNTIFS('Material routes'!$D$6:$D$2205,A156,'Material routes'!$C$6:$C$2205,"Transform input"))</x:f>
        <x:v>0</x:v>
      </x:c>
      <x:c r="AL156" s="4" t="n">
        <x:f>COUNTIFS('Material routes'!$D$6:$D$2205,A156,'Material routes'!$C$6:$C$2205,"Tool candidate")</x:f>
        <x:v>0</x:v>
      </x:c>
      <x:c r="AM156" s="4" t="str">
        <x:f>IF(AJ156&gt;0,"Route listed; review status/completeness",IF(C156="T0","Raw entry feed; no production route","No production route listed"))</x:f>
        <x:v>Route listed; review status/completeness</x:v>
      </x:c>
      <x:c r="AN156" s="14" t="n">
        <x:f>IF(C156="T0",0,IF(C156="T1",1,IF(C156="T2",2,IF(C156="T3",3,IF(C156="T4",4,IF(C156="Unassigned",98,99))))))</x:f>
        <x:v>3</x:v>
      </x:c>
      <x:c r="AZ156"/>
      <x:c r="BA156"/>
      <x:c r="BB156"/>
      <x:c r="BC156"/>
      <x:c r="BD156"/>
      <x:c r="BE156"/>
      <x:c r="BF156"/>
      <x:c r="BG156"/>
      <x:c r="BH156"/>
      <x:c r="BI156"/>
      <x:c r="BJ156"/>
      <x:c r="BK156"/>
      <x:c r="BL156"/>
      <x:c r="BM156"/>
      <x:c r="BN156"/>
      <x:c r="BO156"/>
      <x:c r="BP156"/>
      <x:c r="BQ156"/>
      <x:c r="BR156"/>
      <x:c r="BS156"/>
      <x:c r="BT156"/>
      <x:c r="BU156"/>
      <x:c r="BV156"/>
      <x:c r="BW156"/>
      <x:c r="BX156"/>
      <x:c r="BY156"/>
      <x:c r="BZ156"/>
      <x:c r="CA156"/>
      <x:c r="CB156"/>
      <x:c r="CC156"/>
    </x:row>
    <x:row r="157" ht="170" customHeight="1">
      <x:c r="A157" s="9" t="str">
        <x:v>proposal.canister.endcap</x:v>
      </x:c>
      <x:c r="B157" s="9" t="str">
        <x:v>Canister protective endcap</x:v>
      </x:c>
      <x:c r="C157" s="4" t="str">
        <x:v>T3</x:v>
      </x:c>
      <x:c r="D157" s="9" t="str">
        <x:v>Crafting components</x:v>
      </x:c>
      <x:c r="E157" s="9" t="str">
        <x:v>Canister economy concept</x:v>
      </x:c>
      <x:c r="F157" s="9" t="str">
        <x:v>New proposal</x:v>
      </x:c>
      <x:c r="G157" s="9" t="inlineStr">
        <x:is>
          <x:t xml:space="preserve">Outer impact/dust guard candidate. It is intended to cover or guard the recorded area, with fit, coverage and protective performance still requiring qualification.</x:t>
        </x:is>
      </x:c>
      <x:c r="H157" s="9" t="str">
        <x:v>Unassigned; part/fit ownership TBD</x:v>
      </x:c>
      <x:c r="I157" s="9" t="str">
        <x:v>Resource/component cargo or permitted Booter kit; policy TBD</x:v>
      </x:c>
      <x:c r="J157" s="13"/>
      <x:c r="K157" s="15"/>
      <x:c r="L157" s="9" t="str">
        <x:v>Specialist craft/trade/service candidate; no recipe authored</x:v>
      </x:c>
      <x:c r="M157" s="9" t="str">
        <x:v>Proposed material: Cheap shell outer guard or metal form proposed</x:v>
      </x:c>
      <x:c r="N157" s="9" t="str">
        <x:v>Not implemented</x:v>
      </x:c>
      <x:c r="O157" s="9" t="str">
        <x:v>Protective casing is not a pressure seal; no damage/breakage simulation approved</x:v>
      </x:c>
      <x:c r="P157" s="17"/>
      <x:c r="Q157" s="17"/>
      <x:c r="R157" s="17"/>
      <x:c r="S157" s="17"/>
      <x:c r="T157" s="17"/>
      <x:c r="U157" s="9" t="str">
        <x:v>New part inspired by source protective deep-operation casing. Source systems are proposals; precision skill and suitable material may affect value, but no prices or lifetime values assigned.</x:v>
      </x:c>
      <x:c r="V157" s="11" t="str">
        <x:v>dust exclusion</x:v>
      </x:c>
      <x:c r="W157" s="9" t="str">
        <x:v>New game item concept October 14, 2026. Source proposal: https://github.com/sleepyseamonster/Arc-Dust/blob/f6f98515c005dc3c73cccd9cbc031691745740c6/02-Arc-Dust-Worldbuilding/world/economy/canister/carry-styles.md</x:v>
      </x:c>
      <x:c r="X157" s="4" t="str">
        <x:v>Container part</x:v>
      </x:c>
      <x:c r="Y157" s="4" t="str">
        <x:v>Processed intermediate</x:v>
      </x:c>
      <x:c r="Z157" s="4" t="str">
        <x:v>Manufactured / unresolved</x:v>
      </x:c>
      <x:c r="AA157" s="4" t="str">
        <x:v>Protection</x:v>
      </x:c>
      <x:c r="AB157" s="4" t="str">
        <x:v>Mixed / unresolved</x:v>
      </x:c>
      <x:c r="AC157" s="4" t="str">
        <x:v>Solid part</x:v>
      </x:c>
      <x:c r="AD157" s="4" t="str">
        <x:v>Proposal</x:v>
      </x:c>
      <x:c r="AE157" s="4" t="str">
        <x:f>LOWER(A157&amp;"; "&amp;B157&amp;"; "&amp;D157&amp;"; "&amp;E157&amp;"; "&amp;X157&amp;"; "&amp;Y157&amp;"; "&amp;Z157&amp;"; "&amp;AA157&amp;"; "&amp;AB157&amp;"; "&amp;AC157&amp;"; "&amp;AD157&amp;"; "&amp;V157&amp;"; "&amp;C157&amp;"; "&amp;AH157&amp;"; "&amp;AI157)</x:f>
        <x:v>proposal.canister.endcap; canister protective endcap; crafting components; canister economy concept; container part; processed intermediate; manufactured / unresolved; protection; mixed / unresolved; solid part; proposal; dust exclusion; t3; not applicable; component</x:v>
      </x:c>
      <x:c r="AF157" s="4" t="str">
        <x:v>From current item description. Proposed uses retain their existing approval status.</x:v>
      </x:c>
      <x:c r="AG157" s="4" t="str">
        <x:v>October 15 proposed tier review: Form and fit a supported protective cap from prepared shell and metal stocks. Candidate route only: quantities, yield, tools, fit, process conditions and service compatibility remain open. </x:v>
      </x:c>
      <x:c r="AH157" s="4" t="str">
        <x:v>Not applicable</x:v>
      </x:c>
      <x:c r="AI157" s="4" t="str">
        <x:v>Component</x:v>
      </x:c>
      <x:c r="AJ157" s="4" t="n">
        <x:f>COUNTIFS('Material routes'!$D$6:$D$2205,A157,'Material routes'!$C$6:$C$2205,"Output")</x:f>
        <x:v>1</x:v>
      </x:c>
      <x:c r="AK157" s="4" t="n">
        <x:f>SUM(COUNTIFS('Material routes'!$D$6:$D$2205,A157,'Material routes'!$C$6:$C$2205,"Ingredient candidate"),COUNTIFS('Material routes'!$D$6:$D$2205,A157,'Material routes'!$C$6:$C$2205,"Consumed input"),COUNTIFS('Material routes'!$D$6:$D$2205,A157,'Material routes'!$C$6:$C$2205,"Contained input"),COUNTIFS('Material routes'!$D$6:$D$2205,A157,'Material routes'!$C$6:$C$2205,"Transform input"))</x:f>
        <x:v>2</x:v>
      </x:c>
      <x:c r="AL157" s="4" t="n">
        <x:f>COUNTIFS('Material routes'!$D$6:$D$2205,A157,'Material routes'!$C$6:$C$2205,"Tool candidate")</x:f>
        <x:v>0</x:v>
      </x:c>
      <x:c r="AM157" s="4" t="str">
        <x:f>IF(AJ157&gt;0,"Route listed; review status/completeness",IF(C157="T0","Raw entry feed; no production route","No production route listed"))</x:f>
        <x:v>Route listed; review status/completeness</x:v>
      </x:c>
      <x:c r="AN157" s="14" t="n">
        <x:f>IF(C157="T0",0,IF(C157="T1",1,IF(C157="T2",2,IF(C157="T3",3,IF(C157="T4",4,IF(C157="Unassigned",98,99))))))</x:f>
        <x:v>3</x:v>
      </x:c>
      <x:c r="AZ157"/>
      <x:c r="BA157"/>
      <x:c r="BB157"/>
      <x:c r="BC157"/>
      <x:c r="BD157"/>
      <x:c r="BE157"/>
      <x:c r="BF157"/>
      <x:c r="BG157"/>
      <x:c r="BH157"/>
      <x:c r="BI157"/>
      <x:c r="BJ157"/>
      <x:c r="BK157"/>
      <x:c r="BL157"/>
      <x:c r="BM157"/>
      <x:c r="BN157"/>
      <x:c r="BO157"/>
      <x:c r="BP157"/>
      <x:c r="BQ157"/>
      <x:c r="BR157"/>
      <x:c r="BS157"/>
      <x:c r="BT157"/>
      <x:c r="BU157"/>
      <x:c r="BV157"/>
      <x:c r="BW157"/>
      <x:c r="BX157"/>
      <x:c r="BY157"/>
      <x:c r="BZ157"/>
      <x:c r="CA157"/>
      <x:c r="CB157"/>
      <x:c r="CC157"/>
    </x:row>
    <x:row r="158" ht="100" customHeight="1">
      <x:c r="A158" s="9" t="str">
        <x:v>proposal.culture.icon</x:v>
      </x:c>
      <x:c r="B158" s="9" t="str">
        <x:v>Preserver icon token</x:v>
      </x:c>
      <x:c r="C158" s="4" t="str">
        <x:v>Not applicable</x:v>
      </x:c>
      <x:c r="D158" s="9" t="inlineStr">
        <x:is>
          <x:t xml:space="preserve">Salvage</x:t>
        </x:is>
      </x:c>
      <x:c r="E158" s="9" t="str">
        <x:v>Religious</x:v>
      </x:c>
      <x:c r="F158" s="9" t="str">
        <x:v>New proposal</x:v>
      </x:c>
      <x:c r="G158" s="9" t="inlineStr">
        <x:is>
          <x:t xml:space="preserve">Small devotional image carried or displayed. It is intended for personal or communal devotional use; no particular belief, ritual or supernatural effect is assigned.</x:t>
        </x:is>
      </x:c>
      <x:c r="H158" s="9" t="str">
        <x:v>Unassigned</x:v>
      </x:c>
      <x:c r="I158" s="9" t="str">
        <x:v>Personal kit / local storage eligibility TBD</x:v>
      </x:c>
      <x:c r="J158" s="13"/>
      <x:c r="K158" s="15"/>
      <x:c r="L158" s="9" t="str">
        <x:v>Craft, trade, gift or institutional custody; exact source TBD</x:v>
      </x:c>
      <x:c r="M158" s="9" t="str">
        <x:v>Material candidate: Stamped metal or carved shell</x:v>
      </x:c>
      <x:c r="N158" s="9" t="str">
        <x:v>Not implemented</x:v>
      </x:c>
      <x:c r="O158" s="9" t="str">
        <x:v>Symbolic object; no protective buff</x:v>
      </x:c>
      <x:c r="P158" s="17"/>
      <x:c r="Q158" s="17"/>
      <x:c r="R158" s="17"/>
      <x:c r="S158" s="17"/>
      <x:c r="T158" s="17"/>
      <x:c r="U158" s="9" t="str">
        <x:v>Plain stamped examples could be accessible; fine engraving is prestige work. Faith, political authority, ritual practice and prices remain proposals.</x:v>
      </x:c>
      <x:c r="V158" s="11"/>
      <x:c r="W158" s="9" t="str">
        <x:v>New game proposal inspired by proposal-stage lore: https://github.com/sleepyseamonster/Arc-Dust/blob/f6f98515c005dc3c73cccd9cbc031691745740c6/02-Arc-Dust-Worldbuilding/world/economy/canister/religious-traditions.md</x:v>
      </x:c>
      <x:c r="X158" s="4" t="str">
        <x:v>Cultural object</x:v>
      </x:c>
      <x:c r="Y158" s="4" t="str">
        <x:v>Finished item</x:v>
      </x:c>
      <x:c r="Z158" s="4" t="str">
        <x:v>Manufactured / unresolved</x:v>
      </x:c>
      <x:c r="AA158" s="4" t="str">
        <x:v>Devotion</x:v>
      </x:c>
      <x:c r="AB158" s="4" t="str">
        <x:v>Metal or shell</x:v>
      </x:c>
      <x:c r="AC158" s="4" t="str">
        <x:v>Solid piece</x:v>
      </x:c>
      <x:c r="AD158" s="4" t="str">
        <x:v>Proposal</x:v>
      </x:c>
      <x:c r="AE158" s="4" t="str">
        <x:f>LOWER(A158&amp;"; "&amp;B158&amp;"; "&amp;D158&amp;"; "&amp;E158&amp;"; "&amp;X158&amp;"; "&amp;Y158&amp;"; "&amp;Z158&amp;"; "&amp;AA158&amp;"; "&amp;AB158&amp;"; "&amp;AC158&amp;"; "&amp;AD158&amp;"; "&amp;V158&amp;"; "&amp;C158&amp;"; "&amp;AH158&amp;"; "&amp;AI158)</x:f>
        <x:v>proposal.culture.icon; preserver icon token; salvage; religious; cultural object; finished item; manufactured / unresolved; devotion; metal or shell; solid piece; proposal; ; not applicable; t2; finished item</x:v>
      </x:c>
      <x:c r="AF158"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58" s="4" t="str">
        <x:v>Finished endpoint; material tier is not applicable. Input tiers belong to the chosen recipe.</x:v>
      </x:c>
      <x:c r="AH158" s="4" t="str">
        <x:v>T2</x:v>
      </x:c>
      <x:c r="AI158" s="4" t="str">
        <x:v>Finished item</x:v>
      </x:c>
      <x:c r="AJ158" s="4" t="n">
        <x:f>COUNTIFS('Material routes'!$D$6:$D$2205,A158,'Material routes'!$C$6:$C$2205,"Output")</x:f>
        <x:v>1</x:v>
      </x:c>
      <x:c r="AK158" s="4" t="n">
        <x:f>SUM(COUNTIFS('Material routes'!$D$6:$D$2205,A158,'Material routes'!$C$6:$C$2205,"Ingredient candidate"),COUNTIFS('Material routes'!$D$6:$D$2205,A158,'Material routes'!$C$6:$C$2205,"Consumed input"),COUNTIFS('Material routes'!$D$6:$D$2205,A158,'Material routes'!$C$6:$C$2205,"Contained input"),COUNTIFS('Material routes'!$D$6:$D$2205,A158,'Material routes'!$C$6:$C$2205,"Transform input"))</x:f>
        <x:v>0</x:v>
      </x:c>
      <x:c r="AL158" s="4" t="n">
        <x:f>COUNTIFS('Material routes'!$D$6:$D$2205,A158,'Material routes'!$C$6:$C$2205,"Tool candidate")</x:f>
        <x:v>0</x:v>
      </x:c>
      <x:c r="AM158" s="4" t="str">
        <x:f>IF(AJ158&gt;0,"Route listed; review status/completeness",IF(C158="T0","Raw entry feed; no production route","No production route listed"))</x:f>
        <x:v>Route listed; review status/completeness</x:v>
      </x:c>
      <x:c r="AN158" s="14" t="n">
        <x:f>IF(C158="T0",0,IF(C158="T1",1,IF(C158="T2",2,IF(C158="T3",3,IF(C158="T4",4,IF(C158="Unassigned",98,99))))))</x:f>
        <x:v>99</x:v>
      </x:c>
      <x:c r="AZ158"/>
      <x:c r="BA158"/>
      <x:c r="BB158"/>
      <x:c r="BC158"/>
      <x:c r="BD158"/>
      <x:c r="BE158"/>
      <x:c r="BF158"/>
      <x:c r="BG158"/>
      <x:c r="BH158"/>
      <x:c r="BI158"/>
      <x:c r="BJ158"/>
      <x:c r="BK158"/>
      <x:c r="BL158"/>
      <x:c r="BM158"/>
      <x:c r="BN158"/>
      <x:c r="BO158"/>
      <x:c r="BP158"/>
      <x:c r="BQ158"/>
      <x:c r="BR158"/>
      <x:c r="BS158"/>
      <x:c r="BT158"/>
      <x:c r="BU158"/>
      <x:c r="BV158"/>
      <x:c r="BW158"/>
      <x:c r="BX158"/>
      <x:c r="BY158"/>
      <x:c r="BZ158"/>
      <x:c r="CA158"/>
      <x:c r="CB158"/>
      <x:c r="CC158"/>
    </x:row>
    <x:row r="159" ht="100" customHeight="1">
      <x:c r="A159" s="9" t="str">
        <x:v>proposal.culture.shrine</x:v>
      </x:c>
      <x:c r="B159" s="9" t="str">
        <x:v>Household shrine plaque</x:v>
      </x:c>
      <x:c r="C159" s="4" t="str">
        <x:v>Not applicable</x:v>
      </x:c>
      <x:c r="D159" s="9" t="inlineStr">
        <x:is>
          <x:t xml:space="preserve">Salvage</x:t>
        </x:is>
      </x:c>
      <x:c r="E159" s="9" t="str">
        <x:v>Religious</x:v>
      </x:c>
      <x:c r="F159" s="9" t="str">
        <x:v>New proposal</x:v>
      </x:c>
      <x:c r="G159" s="9" t="inlineStr">
        <x:is>
          <x:t xml:space="preserve">Small fixed place for household remembrance and devotion. It is intended for personal or communal devotional use; no particular belief, ritual or supernatural effect is assigned.</x:t>
        </x:is>
      </x:c>
      <x:c r="H159" s="9" t="str">
        <x:v>Unassigned</x:v>
      </x:c>
      <x:c r="I159" s="9" t="str">
        <x:v>Personal kit / local storage eligibility TBD</x:v>
      </x:c>
      <x:c r="J159" s="13"/>
      <x:c r="K159" s="15"/>
      <x:c r="L159" s="9" t="str">
        <x:v>Craft, trade, gift or institutional custody; exact source TBD</x:v>
      </x:c>
      <x:c r="M159" s="9" t="str">
        <x:v>Material candidate: Shell backing and metal motif</x:v>
      </x:c>
      <x:c r="N159" s="9" t="str">
        <x:v>Not implemented</x:v>
      </x:c>
      <x:c r="O159" s="9" t="str">
        <x:v>Household object; no temple system assumed</x:v>
      </x:c>
      <x:c r="P159" s="17"/>
      <x:c r="Q159" s="17"/>
      <x:c r="R159" s="17"/>
      <x:c r="S159" s="17"/>
      <x:c r="T159" s="17"/>
      <x:c r="U159" s="9" t="str">
        <x:v>Simple versions versus elaborate commissioned pieces. Faith, political authority, ritual practice and prices remain proposals.</x:v>
      </x:c>
      <x:c r="V159" s="11"/>
      <x:c r="W159" s="9" t="str">
        <x:v>New game proposal inspired by proposal-stage lore: https://github.com/sleepyseamonster/Arc-Dust/blob/f6f98515c005dc3c73cccd9cbc031691745740c6/02-Arc-Dust-Worldbuilding/world/economy/canister/religious-traditions.md</x:v>
      </x:c>
      <x:c r="X159" s="4" t="str">
        <x:v>Cultural object</x:v>
      </x:c>
      <x:c r="Y159" s="4" t="str">
        <x:v>Finished item</x:v>
      </x:c>
      <x:c r="Z159" s="4" t="str">
        <x:v>Manufactured / unresolved</x:v>
      </x:c>
      <x:c r="AA159" s="4" t="str">
        <x:v>Devotion</x:v>
      </x:c>
      <x:c r="AB159" s="4" t="str">
        <x:v>Metal or shell</x:v>
      </x:c>
      <x:c r="AC159" s="4" t="str">
        <x:v>Panel</x:v>
      </x:c>
      <x:c r="AD159" s="4" t="str">
        <x:v>Proposal</x:v>
      </x:c>
      <x:c r="AE159" s="4" t="str">
        <x:f>LOWER(A159&amp;"; "&amp;B159&amp;"; "&amp;D159&amp;"; "&amp;E159&amp;"; "&amp;X159&amp;"; "&amp;Y159&amp;"; "&amp;Z159&amp;"; "&amp;AA159&amp;"; "&amp;AB159&amp;"; "&amp;AC159&amp;"; "&amp;AD159&amp;"; "&amp;V159&amp;"; "&amp;C159&amp;"; "&amp;AH159&amp;"; "&amp;AI159)</x:f>
        <x:v>proposal.culture.shrine; household shrine plaque; salvage; religious; cultural object; finished item; manufactured / unresolved; devotion; metal or shell; panel; proposal; ; not applicable; t2; finished item</x:v>
      </x:c>
      <x:c r="AF159"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59" s="4" t="str">
        <x:v>Finished endpoint; material tier is not applicable. Input tiers belong to the chosen recipe.</x:v>
      </x:c>
      <x:c r="AH159" s="4" t="str">
        <x:v>T2</x:v>
      </x:c>
      <x:c r="AI159" s="4" t="str">
        <x:v>Finished item</x:v>
      </x:c>
      <x:c r="AJ159" s="4" t="n">
        <x:f>COUNTIFS('Material routes'!$D$6:$D$2205,A159,'Material routes'!$C$6:$C$2205,"Output")</x:f>
        <x:v>1</x:v>
      </x:c>
      <x:c r="AK159" s="4" t="n">
        <x:f>SUM(COUNTIFS('Material routes'!$D$6:$D$2205,A159,'Material routes'!$C$6:$C$2205,"Ingredient candidate"),COUNTIFS('Material routes'!$D$6:$D$2205,A159,'Material routes'!$C$6:$C$2205,"Consumed input"),COUNTIFS('Material routes'!$D$6:$D$2205,A159,'Material routes'!$C$6:$C$2205,"Contained input"),COUNTIFS('Material routes'!$D$6:$D$2205,A159,'Material routes'!$C$6:$C$2205,"Transform input"))</x:f>
        <x:v>0</x:v>
      </x:c>
      <x:c r="AL159" s="4" t="n">
        <x:f>COUNTIFS('Material routes'!$D$6:$D$2205,A159,'Material routes'!$C$6:$C$2205,"Tool candidate")</x:f>
        <x:v>0</x:v>
      </x:c>
      <x:c r="AM159" s="4" t="str">
        <x:f>IF(AJ159&gt;0,"Route listed; review status/completeness",IF(C159="T0","Raw entry feed; no production route","No production route listed"))</x:f>
        <x:v>Route listed; review status/completeness</x:v>
      </x:c>
      <x:c r="AN159" s="14" t="n">
        <x:f>IF(C159="T0",0,IF(C159="T1",1,IF(C159="T2",2,IF(C159="T3",3,IF(C159="T4",4,IF(C159="Unassigned",98,99))))))</x:f>
        <x:v>99</x:v>
      </x:c>
      <x:c r="AZ159"/>
      <x:c r="BA159"/>
      <x:c r="BB159"/>
      <x:c r="BC159"/>
      <x:c r="BD159"/>
      <x:c r="BE159"/>
      <x:c r="BF159"/>
      <x:c r="BG159"/>
      <x:c r="BH159"/>
      <x:c r="BI159"/>
      <x:c r="BJ159"/>
      <x:c r="BK159"/>
      <x:c r="BL159"/>
      <x:c r="BM159"/>
      <x:c r="BN159"/>
      <x:c r="BO159"/>
      <x:c r="BP159"/>
      <x:c r="BQ159"/>
      <x:c r="BR159"/>
      <x:c r="BS159"/>
      <x:c r="BT159"/>
      <x:c r="BU159"/>
      <x:c r="BV159"/>
      <x:c r="BW159"/>
      <x:c r="BX159"/>
      <x:c r="BY159"/>
      <x:c r="BZ159"/>
      <x:c r="CA159"/>
      <x:c r="CB159"/>
      <x:c r="CC159"/>
    </x:row>
    <x:row r="160" ht="100" customHeight="1">
      <x:c r="A160" s="9" t="str">
        <x:v>proposal.culture.altar_vial</x:v>
      </x:c>
      <x:c r="B160" s="9" t="str">
        <x:v>Altar display vial</x:v>
      </x:c>
      <x:c r="C160" s="4" t="str">
        <x:v>Not applicable</x:v>
      </x:c>
      <x:c r="D160" s="9" t="inlineStr">
        <x:is>
          <x:t xml:space="preserve">Salvage</x:t>
        </x:is>
      </x:c>
      <x:c r="E160" s="9" t="str">
        <x:v>Religious</x:v>
      </x:c>
      <x:c r="F160" s="9" t="str">
        <x:v>New proposal</x:v>
      </x:c>
      <x:c r="G160" s="9" t="inlineStr">
        <x:is>
          <x:t xml:space="preserve">Ceremonial display of a deliberately contained sacred sample. It is intended to be carried, displayed or used in a ceremony. The occasion, ownership and symbolic meaning remain open.</x:t>
        </x:is>
      </x:c>
      <x:c r="H160" s="9" t="str">
        <x:v>Unassigned</x:v>
      </x:c>
      <x:c r="I160" s="9" t="str">
        <x:v>Personal kit / local storage eligibility TBD</x:v>
      </x:c>
      <x:c r="J160" s="13"/>
      <x:c r="K160" s="15"/>
      <x:c r="L160" s="9" t="str">
        <x:v>Craft, trade, gift or institutional custody; exact source TBD</x:v>
      </x:c>
      <x:c r="M160" s="9" t="str">
        <x:v>Material candidate: Fine sealed glass vessel and metal cradle</x:v>
      </x:c>
      <x:c r="N160" s="9" t="str">
        <x:v>Not implemented</x:v>
      </x:c>
      <x:c r="O160" s="9" t="str">
        <x:v>Source altar-vial concept; payload identity and viability unresolved; reuse vessel parts</x:v>
      </x:c>
      <x:c r="P160" s="17"/>
      <x:c r="Q160" s="17"/>
      <x:c r="R160" s="17"/>
      <x:c r="S160" s="17"/>
      <x:c r="T160" s="17"/>
      <x:c r="U160" s="9" t="str">
        <x:v>Fine glass and precision sealing suggest costly craftsmanship. Faith, political authority, ritual practice and prices remain proposals.</x:v>
      </x:c>
      <x:c r="V160" s="11" t="str">
        <x:v>liquid and bulk containment</x:v>
      </x:c>
      <x:c r="W160" s="9" t="str">
        <x:v>New game proposal inspired by proposal-stage lore: https://github.com/sleepyseamonster/Arc-Dust/blob/f6f98515c005dc3c73cccd9cbc031691745740c6/02-Arc-Dust-Worldbuilding/world/economy/canister/religious-traditions.md</x:v>
      </x:c>
      <x:c r="X160" s="4" t="str">
        <x:v>Container</x:v>
      </x:c>
      <x:c r="Y160" s="4" t="str">
        <x:v>Finished item</x:v>
      </x:c>
      <x:c r="Z160" s="4" t="str">
        <x:v>Manufactured / unresolved</x:v>
      </x:c>
      <x:c r="AA160" s="4" t="str">
        <x:v>Ceremony</x:v>
      </x:c>
      <x:c r="AB160" s="4" t="str">
        <x:v>Glass and metal</x:v>
      </x:c>
      <x:c r="AC160" s="4" t="str">
        <x:v>Assembly</x:v>
      </x:c>
      <x:c r="AD160" s="4" t="str">
        <x:v>Proposal</x:v>
      </x:c>
      <x:c r="AE160" s="4" t="str">
        <x:f>LOWER(A160&amp;"; "&amp;B160&amp;"; "&amp;D160&amp;"; "&amp;E160&amp;"; "&amp;X160&amp;"; "&amp;Y160&amp;"; "&amp;Z160&amp;"; "&amp;AA160&amp;"; "&amp;AB160&amp;"; "&amp;AC160&amp;"; "&amp;AD160&amp;"; "&amp;V160&amp;"; "&amp;C160&amp;"; "&amp;AH160&amp;"; "&amp;AI160)</x:f>
        <x:v>proposal.culture.altar_vial; altar display vial; salvage; religious; container; finished item; manufactured / unresolved; ceremony; glass and metal; assembly; proposal; liquid and bulk containment; not applicable; t2; finished item</x:v>
      </x:c>
      <x:c r="AF160"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0" s="4" t="str">
        <x:v>Finished endpoint; material tier is not applicable. Input tiers belong to the chosen recipe.</x:v>
      </x:c>
      <x:c r="AH160" s="4" t="str">
        <x:v>T2</x:v>
      </x:c>
      <x:c r="AI160" s="4" t="str">
        <x:v>Finished item</x:v>
      </x:c>
      <x:c r="AJ160" s="4" t="n">
        <x:f>COUNTIFS('Material routes'!$D$6:$D$2205,A160,'Material routes'!$C$6:$C$2205,"Output")</x:f>
        <x:v>1</x:v>
      </x:c>
      <x:c r="AK160" s="4" t="n">
        <x:f>SUM(COUNTIFS('Material routes'!$D$6:$D$2205,A160,'Material routes'!$C$6:$C$2205,"Ingredient candidate"),COUNTIFS('Material routes'!$D$6:$D$2205,A160,'Material routes'!$C$6:$C$2205,"Consumed input"),COUNTIFS('Material routes'!$D$6:$D$2205,A160,'Material routes'!$C$6:$C$2205,"Contained input"),COUNTIFS('Material routes'!$D$6:$D$2205,A160,'Material routes'!$C$6:$C$2205,"Transform input"))</x:f>
        <x:v>0</x:v>
      </x:c>
      <x:c r="AL160" s="4" t="n">
        <x:f>COUNTIFS('Material routes'!$D$6:$D$2205,A160,'Material routes'!$C$6:$C$2205,"Tool candidate")</x:f>
        <x:v>0</x:v>
      </x:c>
      <x:c r="AM160" s="4" t="str">
        <x:f>IF(AJ160&gt;0,"Route listed; review status/completeness",IF(C160="T0","Raw entry feed; no production route","No production route listed"))</x:f>
        <x:v>Route listed; review status/completeness</x:v>
      </x:c>
      <x:c r="AN160" s="14" t="n">
        <x:f>IF(C160="T0",0,IF(C160="T1",1,IF(C160="T2",2,IF(C160="T3",3,IF(C160="T4",4,IF(C160="Unassigned",98,99))))))</x:f>
        <x:v>99</x:v>
      </x:c>
      <x:c r="AZ160"/>
      <x:c r="BA160"/>
      <x:c r="BB160"/>
      <x:c r="BC160"/>
      <x:c r="BD160"/>
      <x:c r="BE160"/>
      <x:c r="BF160"/>
      <x:c r="BG160"/>
      <x:c r="BH160"/>
      <x:c r="BI160"/>
      <x:c r="BJ160"/>
      <x:c r="BK160"/>
      <x:c r="BL160"/>
      <x:c r="BM160"/>
      <x:c r="BN160"/>
      <x:c r="BO160"/>
      <x:c r="BP160"/>
      <x:c r="BQ160"/>
      <x:c r="BR160"/>
      <x:c r="BS160"/>
      <x:c r="BT160"/>
      <x:c r="BU160"/>
      <x:c r="BV160"/>
      <x:c r="BW160"/>
      <x:c r="BX160"/>
      <x:c r="BY160"/>
      <x:c r="BZ160"/>
      <x:c r="CA160"/>
      <x:c r="CB160"/>
      <x:c r="CC160"/>
    </x:row>
    <x:row r="161" ht="100" customHeight="1">
      <x:c r="A161" s="9" t="str">
        <x:v>proposal.culture.reliquary</x:v>
      </x:c>
      <x:c r="B161" s="9" t="str">
        <x:v>Relic case</x:v>
      </x:c>
      <x:c r="C161" s="4" t="str">
        <x:v>Not applicable</x:v>
      </x:c>
      <x:c r="D161" s="9" t="inlineStr">
        <x:is>
          <x:t xml:space="preserve">Salvage</x:t>
        </x:is>
      </x:c>
      <x:c r="E161" s="9" t="str">
        <x:v>Religious</x:v>
      </x:c>
      <x:c r="F161" s="9" t="str">
        <x:v>New proposal</x:v>
      </x:c>
      <x:c r="G161" s="9" t="inlineStr">
        <x:is>
          <x:t xml:space="preserve">Protect and display a claimed ancestral relic. It is intended for personal or communal devotional use; no particular belief, ritual or supernatural effect is assigned.</x:t>
        </x:is>
      </x:c>
      <x:c r="H161" s="9" t="str">
        <x:v>Unassigned</x:v>
      </x:c>
      <x:c r="I161" s="9" t="str">
        <x:v>Personal kit / local storage eligibility TBD</x:v>
      </x:c>
      <x:c r="J161" s="13"/>
      <x:c r="K161" s="15"/>
      <x:c r="L161" s="9" t="str">
        <x:v>Craft, trade, gift or institutional custody; exact source TBD</x:v>
      </x:c>
      <x:c r="M161" s="9" t="str">
        <x:v>Material candidate: Metal or shell case; rare clear window optional</x:v>
      </x:c>
      <x:c r="N161" s="9" t="str">
        <x:v>Not implemented</x:v>
      </x:c>
      <x:c r="O161" s="9" t="str">
        <x:v>A claim of authenticity is not proof or a magical property</x:v>
      </x:c>
      <x:c r="P161" s="17"/>
      <x:c r="Q161" s="17"/>
      <x:c r="R161" s="17"/>
      <x:c r="S161" s="17"/>
      <x:c r="T161" s="17"/>
      <x:c r="U161" s="9" t="str">
        <x:v>Plain keepsake boxes through rare institutional commissions. Faith, political authority, ritual practice and prices remain proposals.</x:v>
      </x:c>
      <x:c r="V161" s="11" t="str">
        <x:v>keepsake storage</x:v>
      </x:c>
      <x:c r="W161" s="9" t="str">
        <x:v>New game proposal inspired by proposal-stage lore: https://github.com/sleepyseamonster/Arc-Dust/blob/f6f98515c005dc3c73cccd9cbc031691745740c6/02-Arc-Dust-Worldbuilding/world/economy/spiritual-economy.md</x:v>
      </x:c>
      <x:c r="X161" s="4" t="str">
        <x:v>Container</x:v>
      </x:c>
      <x:c r="Y161" s="4" t="str">
        <x:v>Finished item</x:v>
      </x:c>
      <x:c r="Z161" s="4" t="str">
        <x:v>Manufactured / unresolved</x:v>
      </x:c>
      <x:c r="AA161" s="4" t="str">
        <x:v>Devotion</x:v>
      </x:c>
      <x:c r="AB161" s="4" t="str">
        <x:v>Metal or shell</x:v>
      </x:c>
      <x:c r="AC161" s="4" t="str">
        <x:v>Assembly</x:v>
      </x:c>
      <x:c r="AD161" s="4" t="str">
        <x:v>Proposal</x:v>
      </x:c>
      <x:c r="AE161" s="4" t="str">
        <x:f>LOWER(A161&amp;"; "&amp;B161&amp;"; "&amp;D161&amp;"; "&amp;E161&amp;"; "&amp;X161&amp;"; "&amp;Y161&amp;"; "&amp;Z161&amp;"; "&amp;AA161&amp;"; "&amp;AB161&amp;"; "&amp;AC161&amp;"; "&amp;AD161&amp;"; "&amp;V161&amp;"; "&amp;C161&amp;"; "&amp;AH161&amp;"; "&amp;AI161)</x:f>
        <x:v>proposal.culture.reliquary; relic case; salvage; religious; container; finished item; manufactured / unresolved; devotion; metal or shell; assembly; proposal; keepsake storage; not applicable; t3; finished item</x:v>
      </x:c>
      <x:c r="AF161"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1" s="4" t="str">
        <x:v>Finished endpoint; material tier is not applicable. Input tiers belong to the chosen recipe.</x:v>
      </x:c>
      <x:c r="AH161" s="4" t="str">
        <x:v>T3</x:v>
      </x:c>
      <x:c r="AI161" s="4" t="str">
        <x:v>Finished item</x:v>
      </x:c>
      <x:c r="AJ161" s="4" t="n">
        <x:f>COUNTIFS('Material routes'!$D$6:$D$2205,A161,'Material routes'!$C$6:$C$2205,"Output")</x:f>
        <x:v>1</x:v>
      </x:c>
      <x:c r="AK161" s="4" t="n">
        <x:f>SUM(COUNTIFS('Material routes'!$D$6:$D$2205,A161,'Material routes'!$C$6:$C$2205,"Ingredient candidate"),COUNTIFS('Material routes'!$D$6:$D$2205,A161,'Material routes'!$C$6:$C$2205,"Consumed input"),COUNTIFS('Material routes'!$D$6:$D$2205,A161,'Material routes'!$C$6:$C$2205,"Contained input"),COUNTIFS('Material routes'!$D$6:$D$2205,A161,'Material routes'!$C$6:$C$2205,"Transform input"))</x:f>
        <x:v>0</x:v>
      </x:c>
      <x:c r="AL161" s="4" t="n">
        <x:f>COUNTIFS('Material routes'!$D$6:$D$2205,A161,'Material routes'!$C$6:$C$2205,"Tool candidate")</x:f>
        <x:v>0</x:v>
      </x:c>
      <x:c r="AM161" s="4" t="str">
        <x:f>IF(AJ161&gt;0,"Route listed; review status/completeness",IF(C161="T0","Raw entry feed; no production route","No production route listed"))</x:f>
        <x:v>Route listed; review status/completeness</x:v>
      </x:c>
      <x:c r="AN161" s="14" t="n">
        <x:f>IF(C161="T0",0,IF(C161="T1",1,IF(C161="T2",2,IF(C161="T3",3,IF(C161="T4",4,IF(C161="Unassigned",98,99))))))</x:f>
        <x:v>99</x:v>
      </x:c>
      <x:c r="AZ161"/>
      <x:c r="BA161"/>
      <x:c r="BB161"/>
      <x:c r="BC161"/>
      <x:c r="BD161"/>
      <x:c r="BE161"/>
      <x:c r="BF161"/>
      <x:c r="BG161"/>
      <x:c r="BH161"/>
      <x:c r="BI161"/>
      <x:c r="BJ161"/>
      <x:c r="BK161"/>
      <x:c r="BL161"/>
      <x:c r="BM161"/>
      <x:c r="BN161"/>
      <x:c r="BO161"/>
      <x:c r="BP161"/>
      <x:c r="BQ161"/>
      <x:c r="BR161"/>
      <x:c r="BS161"/>
      <x:c r="BT161"/>
      <x:c r="BU161"/>
      <x:c r="BV161"/>
      <x:c r="BW161"/>
      <x:c r="BX161"/>
      <x:c r="BY161"/>
      <x:c r="BZ161"/>
      <x:c r="CA161"/>
      <x:c r="CB161"/>
      <x:c r="CC161"/>
    </x:row>
    <x:row r="162" ht="100" customHeight="1">
      <x:c r="A162" s="9"/>
      <x:c r="B162" s="9"/>
      <x:c r="C162" s="4"/>
      <x:c r="D162" s="9"/>
      <x:c r="E162" s="9"/>
      <x:c r="F162" s="9"/>
      <x:c r="G162" s="9"/>
      <x:c r="H162" s="9"/>
      <x:c r="I162" s="9"/>
      <x:c r="J162" s="13"/>
      <x:c r="K162" s="15"/>
      <x:c r="L162" s="9"/>
      <x:c r="M162" s="9"/>
      <x:c r="N162" s="9"/>
      <x:c r="O162" s="9"/>
      <x:c r="P162" s="17"/>
      <x:c r="Q162" s="17"/>
      <x:c r="R162" s="17"/>
      <x:c r="S162" s="17"/>
      <x:c r="T162" s="17"/>
      <x:c r="U162" s="9"/>
      <x:c r="V162" s="11"/>
      <x:c r="W162" s="9"/>
      <x:c r="X162" s="4"/>
      <x:c r="Y162" s="4"/>
      <x:c r="Z162" s="4"/>
      <x:c r="AA162" s="4"/>
      <x:c r="AB162" s="4"/>
      <x:c r="AC162" s="4"/>
      <x:c r="AD162" s="4"/>
      <x:c r="AE162" s="4"/>
      <x:c r="AF162" s="4"/>
      <x:c r="AG162" s="4"/>
      <x:c r="AH162" s="4"/>
      <x:c r="AI162" s="4"/>
      <x:c r="AJ162" s="4"/>
      <x:c r="AK162" s="4"/>
      <x:c r="AL162" s="4"/>
      <x:c r="AM162" s="4"/>
      <x:c r="AN162" s="14"/>
      <x:c r="AZ162"/>
      <x:c r="BA162"/>
      <x:c r="BB162"/>
      <x:c r="BC162"/>
      <x:c r="BD162"/>
      <x:c r="BE162"/>
      <x:c r="BF162"/>
      <x:c r="BG162"/>
      <x:c r="BH162"/>
      <x:c r="BI162"/>
      <x:c r="BJ162"/>
      <x:c r="BK162"/>
      <x:c r="BL162"/>
      <x:c r="BM162"/>
      <x:c r="BN162"/>
      <x:c r="BO162"/>
      <x:c r="BP162"/>
      <x:c r="BQ162"/>
      <x:c r="BR162"/>
      <x:c r="BS162"/>
      <x:c r="BT162"/>
      <x:c r="BU162"/>
      <x:c r="BV162"/>
      <x:c r="BW162"/>
      <x:c r="BX162"/>
      <x:c r="BY162"/>
      <x:c r="BZ162"/>
      <x:c r="CA162"/>
      <x:c r="CB162"/>
      <x:c r="CC162"/>
    </x:row>
    <x:row r="163" ht="100" customHeight="1">
      <x:c r="A163" s="9" t="str">
        <x:v>proposal.culture.offering</x:v>
      </x:c>
      <x:c r="B163" s="9" t="str">
        <x:v>Votive shell token</x:v>
      </x:c>
      <x:c r="C163" s="4" t="str">
        <x:v>Not applicable</x:v>
      </x:c>
      <x:c r="D163" s="9" t="inlineStr">
        <x:is>
          <x:t xml:space="preserve">Salvage</x:t>
        </x:is>
      </x:c>
      <x:c r="E163" s="9" t="str">
        <x:v>Religious</x:v>
      </x:c>
      <x:c r="F163" s="9" t="str">
        <x:v>New proposal</x:v>
      </x:c>
      <x:c r="G163" s="9" t="inlineStr">
        <x:is>
          <x:t xml:space="preserve">Small dedicated offering left at a shrine. It is intended for personal or communal devotional use; no particular belief, ritual or supernatural effect is assigned.</x:t>
        </x:is>
      </x:c>
      <x:c r="H163" s="9" t="str">
        <x:v>Unassigned</x:v>
      </x:c>
      <x:c r="I163" s="9" t="str">
        <x:v>Personal kit / local storage eligibility TBD</x:v>
      </x:c>
      <x:c r="J163" s="13"/>
      <x:c r="K163" s="15"/>
      <x:c r="L163" s="9" t="str">
        <x:v>Craft, trade, gift or institutional custody; exact source TBD</x:v>
      </x:c>
      <x:c r="M163" s="9" t="str">
        <x:v>Material candidate: Worked shed shell; metal inlay optional</x:v>
      </x:c>
      <x:c r="N163" s="9" t="str">
        <x:v>Not implemented</x:v>
      </x:c>
      <x:c r="O163" s="9" t="str">
        <x:v>New game object idea; no mandatory tithe or survival payment</x:v>
      </x:c>
      <x:c r="P163" s="17"/>
      <x:c r="Q163" s="17"/>
      <x:c r="R163" s="17"/>
      <x:c r="S163" s="17"/>
      <x:c r="T163" s="17"/>
      <x:c r="U163" s="9" t="str">
        <x:v>Simple shell version can be modest; embellished versions expensive. Faith, political authority, ritual practice and prices remain proposals.</x:v>
      </x:c>
      <x:c r="V163" s="11"/>
      <x:c r="W163" s="9" t="str">
        <x:v>New game proposal inspired by proposal-stage lore: https://github.com/sleepyseamonster/Arc-Dust/blob/f6f98515c005dc3c73cccd9cbc031691745740c6/02-Arc-Dust-Worldbuilding/world/economy/spiritual-economy.md</x:v>
      </x:c>
      <x:c r="X163" s="4" t="str">
        <x:v>Cultural object</x:v>
      </x:c>
      <x:c r="Y163" s="4" t="str">
        <x:v>Finished item</x:v>
      </x:c>
      <x:c r="Z163" s="4" t="str">
        <x:v>Manufactured / unresolved</x:v>
      </x:c>
      <x:c r="AA163" s="4" t="str">
        <x:v>Devotion</x:v>
      </x:c>
      <x:c r="AB163" s="4" t="str">
        <x:v>Shell / chitin</x:v>
      </x:c>
      <x:c r="AC163" s="4" t="str">
        <x:v>Solid piece</x:v>
      </x:c>
      <x:c r="AD163" s="4" t="str">
        <x:v>Proposal</x:v>
      </x:c>
      <x:c r="AE163" s="4" t="str">
        <x:f>LOWER(A163&amp;"; "&amp;B163&amp;"; "&amp;D163&amp;"; "&amp;E163&amp;"; "&amp;X163&amp;"; "&amp;Y163&amp;"; "&amp;Z163&amp;"; "&amp;AA163&amp;"; "&amp;AB163&amp;"; "&amp;AC163&amp;"; "&amp;AD163&amp;"; "&amp;V163&amp;"; "&amp;C163&amp;"; "&amp;AH163&amp;"; "&amp;AI163)</x:f>
        <x:v>proposal.culture.offering; votive shell token; salvage; religious; cultural object; finished item; manufactured / unresolved; devotion; shell / chitin; solid piece; proposal; ; not applicable; t2; finished item</x:v>
      </x:c>
      <x:c r="AF163"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3" s="4" t="str">
        <x:v>Finished endpoint; material tier is not applicable. Input tiers belong to the chosen recipe.</x:v>
      </x:c>
      <x:c r="AH163" s="4" t="str">
        <x:v>T2</x:v>
      </x:c>
      <x:c r="AI163" s="4" t="str">
        <x:v>Finished item</x:v>
      </x:c>
      <x:c r="AJ163" s="4" t="n">
        <x:f>COUNTIFS('Material routes'!$D$6:$D$2205,A163,'Material routes'!$C$6:$C$2205,"Output")</x:f>
        <x:v>1</x:v>
      </x:c>
      <x:c r="AK163" s="4" t="n">
        <x:f>SUM(COUNTIFS('Material routes'!$D$6:$D$2205,A163,'Material routes'!$C$6:$C$2205,"Ingredient candidate"),COUNTIFS('Material routes'!$D$6:$D$2205,A163,'Material routes'!$C$6:$C$2205,"Consumed input"),COUNTIFS('Material routes'!$D$6:$D$2205,A163,'Material routes'!$C$6:$C$2205,"Contained input"),COUNTIFS('Material routes'!$D$6:$D$2205,A163,'Material routes'!$C$6:$C$2205,"Transform input"))</x:f>
        <x:v>0</x:v>
      </x:c>
      <x:c r="AL163" s="4" t="n">
        <x:f>COUNTIFS('Material routes'!$D$6:$D$2205,A163,'Material routes'!$C$6:$C$2205,"Tool candidate")</x:f>
        <x:v>0</x:v>
      </x:c>
      <x:c r="AM163" s="4" t="str">
        <x:f>IF(AJ163&gt;0,"Route listed; review status/completeness",IF(C163="T0","Raw entry feed; no production route","No production route listed"))</x:f>
        <x:v>Route listed; review status/completeness</x:v>
      </x:c>
      <x:c r="AN163" s="14" t="n">
        <x:f>IF(C163="T0",0,IF(C163="T1",1,IF(C163="T2",2,IF(C163="T3",3,IF(C163="T4",4,IF(C163="Unassigned",98,99))))))</x:f>
        <x:v>99</x:v>
      </x:c>
      <x:c r="AZ163"/>
      <x:c r="BA163"/>
      <x:c r="BB163"/>
      <x:c r="BC163"/>
      <x:c r="BD163"/>
      <x:c r="BE163"/>
      <x:c r="BF163"/>
      <x:c r="BG163"/>
      <x:c r="BH163"/>
      <x:c r="BI163"/>
      <x:c r="BJ163"/>
      <x:c r="BK163"/>
      <x:c r="BL163"/>
      <x:c r="BM163"/>
      <x:c r="BN163"/>
      <x:c r="BO163"/>
      <x:c r="BP163"/>
      <x:c r="BQ163"/>
      <x:c r="BR163"/>
      <x:c r="BS163"/>
      <x:c r="BT163"/>
      <x:c r="BU163"/>
      <x:c r="BV163"/>
      <x:c r="BW163"/>
      <x:c r="BX163"/>
      <x:c r="BY163"/>
      <x:c r="BZ163"/>
      <x:c r="CA163"/>
      <x:c r="CB163"/>
      <x:c r="CC163"/>
    </x:row>
    <x:row r="164" ht="100" customHeight="1">
      <x:c r="A164" s="9" t="str">
        <x:v>proposal.culture.badge</x:v>
      </x:c>
      <x:c r="B164" s="9" t="str">
        <x:v>Civic office badge</x:v>
      </x:c>
      <x:c r="C164" s="4" t="str">
        <x:v>Not applicable</x:v>
      </x:c>
      <x:c r="D164" s="9" t="inlineStr">
        <x:is>
          <x:t xml:space="preserve">Salvage</x:t>
        </x:is>
      </x:c>
      <x:c r="E164" s="9" t="str">
        <x:v>Political / civic</x:v>
      </x:c>
      <x:c r="F164" s="9" t="str">
        <x:v>New proposal</x:v>
      </x:c>
      <x:c r="G164" s="9" t="inlineStr">
        <x:is>
          <x:t xml:space="preserve">Visible sign of a delegated public role. It is proposed as a visible identifying object, with its issuing community, marks and authority still undefined.</x:t>
        </x:is>
      </x:c>
      <x:c r="H164" s="9" t="str">
        <x:v>Unassigned</x:v>
      </x:c>
      <x:c r="I164" s="9" t="str">
        <x:v>Personal kit / local storage eligibility TBD</x:v>
      </x:c>
      <x:c r="J164" s="13"/>
      <x:c r="K164" s="15"/>
      <x:c r="L164" s="9" t="str">
        <x:v>Craft, trade, gift or institutional custody; exact source TBD</x:v>
      </x:c>
      <x:c r="M164" s="9" t="str">
        <x:v>Material candidate: Stamped metal or carved shell</x:v>
      </x:c>
      <x:c r="N164" s="9" t="str">
        <x:v>Not implemented</x:v>
      </x:c>
      <x:c r="O164" s="9" t="str">
        <x:v>Office names and authority unresolved; no automatic access rules</x:v>
      </x:c>
      <x:c r="P164" s="17"/>
      <x:c r="Q164" s="17"/>
      <x:c r="R164" s="17"/>
      <x:c r="S164" s="17"/>
      <x:c r="T164" s="17"/>
      <x:c r="U164" s="9" t="str">
        <x:v>Plain office issue or costly ceremonial version. Faith, political authority, ritual practice and prices remain proposals.</x:v>
      </x:c>
      <x:c r="V164" s="11"/>
      <x:c r="W164" s="9" t="str">
        <x:v>New game proposal inspired by proposal-stage lore: https://github.com/sleepyseamonster/Arc-Dust/blob/f6f98515c005dc3c73cccd9cbc031691745740c6/02-Arc-Dust-Worldbuilding/world/economy/civic-contract.md</x:v>
      </x:c>
      <x:c r="X164" s="4" t="str">
        <x:v>Cultural object</x:v>
      </x:c>
      <x:c r="Y164" s="4" t="str">
        <x:v>Finished item</x:v>
      </x:c>
      <x:c r="Z164" s="4" t="str">
        <x:v>Manufactured / unresolved</x:v>
      </x:c>
      <x:c r="AA164" s="4" t="str">
        <x:v>Civic identification</x:v>
      </x:c>
      <x:c r="AB164" s="4" t="str">
        <x:v>Metal or shell</x:v>
      </x:c>
      <x:c r="AC164" s="4" t="str">
        <x:v>Solid piece</x:v>
      </x:c>
      <x:c r="AD164" s="4" t="str">
        <x:v>Proposal</x:v>
      </x:c>
      <x:c r="AE164" s="4" t="str">
        <x:f>LOWER(A164&amp;"; "&amp;B164&amp;"; "&amp;D164&amp;"; "&amp;E164&amp;"; "&amp;X164&amp;"; "&amp;Y164&amp;"; "&amp;Z164&amp;"; "&amp;AA164&amp;"; "&amp;AB164&amp;"; "&amp;AC164&amp;"; "&amp;AD164&amp;"; "&amp;V164&amp;"; "&amp;C164&amp;"; "&amp;AH164&amp;"; "&amp;AI164)</x:f>
        <x:v>proposal.culture.badge; civic office badge; salvage; political / civic; cultural object; finished item; manufactured / unresolved; civic identification; metal or shell; solid piece; proposal; ; not applicable; t2; finished item</x:v>
      </x:c>
      <x:c r="AF164"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4" s="4" t="str">
        <x:v>Finished endpoint; material tier is not applicable. Input tiers belong to the chosen recipe.</x:v>
      </x:c>
      <x:c r="AH164" s="4" t="str">
        <x:v>T2</x:v>
      </x:c>
      <x:c r="AI164" s="4" t="str">
        <x:v>Finished item</x:v>
      </x:c>
      <x:c r="AJ164" s="4" t="n">
        <x:f>COUNTIFS('Material routes'!$D$6:$D$2205,A164,'Material routes'!$C$6:$C$2205,"Output")</x:f>
        <x:v>1</x:v>
      </x:c>
      <x:c r="AK164" s="4" t="n">
        <x:f>SUM(COUNTIFS('Material routes'!$D$6:$D$2205,A164,'Material routes'!$C$6:$C$2205,"Ingredient candidate"),COUNTIFS('Material routes'!$D$6:$D$2205,A164,'Material routes'!$C$6:$C$2205,"Consumed input"),COUNTIFS('Material routes'!$D$6:$D$2205,A164,'Material routes'!$C$6:$C$2205,"Contained input"),COUNTIFS('Material routes'!$D$6:$D$2205,A164,'Material routes'!$C$6:$C$2205,"Transform input"))</x:f>
        <x:v>0</x:v>
      </x:c>
      <x:c r="AL164" s="4" t="n">
        <x:f>COUNTIFS('Material routes'!$D$6:$D$2205,A164,'Material routes'!$C$6:$C$2205,"Tool candidate")</x:f>
        <x:v>0</x:v>
      </x:c>
      <x:c r="AM164" s="4" t="str">
        <x:f>IF(AJ164&gt;0,"Route listed; review status/completeness",IF(C164="T0","Raw entry feed; no production route","No production route listed"))</x:f>
        <x:v>Route listed; review status/completeness</x:v>
      </x:c>
      <x:c r="AN164" s="14" t="n">
        <x:f>IF(C164="T0",0,IF(C164="T1",1,IF(C164="T2",2,IF(C164="T3",3,IF(C164="T4",4,IF(C164="Unassigned",98,99))))))</x:f>
        <x:v>99</x:v>
      </x:c>
      <x:c r="AZ164"/>
      <x:c r="BA164"/>
      <x:c r="BB164"/>
      <x:c r="BC164"/>
      <x:c r="BD164"/>
      <x:c r="BE164"/>
      <x:c r="BF164"/>
      <x:c r="BG164"/>
      <x:c r="BH164"/>
      <x:c r="BI164"/>
      <x:c r="BJ164"/>
      <x:c r="BK164"/>
      <x:c r="BL164"/>
      <x:c r="BM164"/>
      <x:c r="BN164"/>
      <x:c r="BO164"/>
      <x:c r="BP164"/>
      <x:c r="BQ164"/>
      <x:c r="BR164"/>
      <x:c r="BS164"/>
      <x:c r="BT164"/>
      <x:c r="BU164"/>
      <x:c r="BV164"/>
      <x:c r="BW164"/>
      <x:c r="BX164"/>
      <x:c r="BY164"/>
      <x:c r="BZ164"/>
      <x:c r="CA164"/>
      <x:c r="CB164"/>
      <x:c r="CC164"/>
    </x:row>
    <x:row r="165" ht="100" customHeight="1">
      <x:c r="A165" s="9" t="str">
        <x:v>proposal.culture.stamp</x:v>
      </x:c>
      <x:c r="B165" s="9" t="str">
        <x:v>Official seal stamp</x:v>
      </x:c>
      <x:c r="C165" s="4" t="str">
        <x:v>Not applicable</x:v>
      </x:c>
      <x:c r="D165" s="9" t="inlineStr">
        <x:is>
          <x:t xml:space="preserve">Salvage</x:t>
        </x:is>
      </x:c>
      <x:c r="E165" s="9" t="str">
        <x:v>Political / civic</x:v>
      </x:c>
      <x:c r="F165" s="9" t="str">
        <x:v>New proposal</x:v>
      </x:c>
      <x:c r="G165" s="9" t="inlineStr">
        <x:is>
          <x:t xml:space="preserve">Mark a record or notice with an office symbol. It provides a physical way to make, carry or preserve marks and records, without assigning a particular script or institution.</x:t>
        </x:is>
      </x:c>
      <x:c r="H165" s="9" t="str">
        <x:v>Unassigned</x:v>
      </x:c>
      <x:c r="I165" s="9" t="str">
        <x:v>Personal kit / local storage eligibility TBD</x:v>
      </x:c>
      <x:c r="J165" s="13"/>
      <x:c r="K165" s="15"/>
      <x:c r="L165" s="9" t="str">
        <x:v>Craft, trade, gift or institutional custody; exact source TBD</x:v>
      </x:c>
      <x:c r="M165" s="9" t="str">
        <x:v>Material candidate: Engraved metal stamping face</x:v>
      </x:c>
      <x:c r="N165" s="9" t="str">
        <x:v>Not implemented</x:v>
      </x:c>
      <x:c r="O165" s="9" t="str">
        <x:v>Document mark only; distinct from a canister pressure seal</x:v>
      </x:c>
      <x:c r="P165" s="17"/>
      <x:c r="Q165" s="17"/>
      <x:c r="R165" s="17"/>
      <x:c r="S165" s="17"/>
      <x:c r="T165" s="17"/>
      <x:c r="U165" s="9" t="str">
        <x:v>Skilled engraving; actual trade restrictions unresolved. Faith, political authority, ritual practice and prices remain proposals.</x:v>
      </x:c>
      <x:c r="V165" s="11" t="str">
        <x:v>civic identification; document authentication stamp not pressure seal</x:v>
      </x:c>
      <x:c r="W165" s="9" t="str">
        <x:v>New game proposal inspired by proposal-stage lore: https://github.com/sleepyseamonster/Arc-Dust/blob/f6f98515c005dc3c73cccd9cbc031691745740c6/02-Arc-Dust-Worldbuilding/world/economy/civic-contract.md</x:v>
      </x:c>
      <x:c r="X165" s="4" t="str">
        <x:v>Tool</x:v>
      </x:c>
      <x:c r="Y165" s="4" t="str">
        <x:v>Finished item</x:v>
      </x:c>
      <x:c r="Z165" s="4" t="str">
        <x:v>Manufactured / unresolved</x:v>
      </x:c>
      <x:c r="AA165" s="4" t="str">
        <x:v>Writing and records</x:v>
      </x:c>
      <x:c r="AB165" s="4" t="str">
        <x:v>Metal</x:v>
      </x:c>
      <x:c r="AC165" s="4" t="str">
        <x:v>Solid part</x:v>
      </x:c>
      <x:c r="AD165" s="4" t="str">
        <x:v>Proposal</x:v>
      </x:c>
      <x:c r="AE165" s="4" t="str">
        <x:f>LOWER(A165&amp;"; "&amp;B165&amp;"; "&amp;D165&amp;"; "&amp;E165&amp;"; "&amp;X165&amp;"; "&amp;Y165&amp;"; "&amp;Z165&amp;"; "&amp;AA165&amp;"; "&amp;AB165&amp;"; "&amp;AC165&amp;"; "&amp;AD165&amp;"; "&amp;V165&amp;"; "&amp;C165&amp;"; "&amp;AH165&amp;"; "&amp;AI165)</x:f>
        <x:v>proposal.culture.stamp; official seal stamp; salvage; political / civic; tool; finished item; manufactured / unresolved; writing and records; metal; solid part; proposal; civic identification; document authentication stamp not pressure seal; not applicable; t3; finished item</x:v>
      </x:c>
      <x:c r="AF165"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5" s="4" t="str">
        <x:v>Finished endpoint; material tier is not applicable. Input tiers belong to the chosen recipe.</x:v>
      </x:c>
      <x:c r="AH165" s="4" t="str">
        <x:v>T3</x:v>
      </x:c>
      <x:c r="AI165" s="4" t="str">
        <x:v>Finished item</x:v>
      </x:c>
      <x:c r="AJ165" s="4" t="n">
        <x:f>COUNTIFS('Material routes'!$D$6:$D$2205,A165,'Material routes'!$C$6:$C$2205,"Output")</x:f>
        <x:v>1</x:v>
      </x:c>
      <x:c r="AK165" s="4" t="n">
        <x:f>SUM(COUNTIFS('Material routes'!$D$6:$D$2205,A165,'Material routes'!$C$6:$C$2205,"Ingredient candidate"),COUNTIFS('Material routes'!$D$6:$D$2205,A165,'Material routes'!$C$6:$C$2205,"Consumed input"),COUNTIFS('Material routes'!$D$6:$D$2205,A165,'Material routes'!$C$6:$C$2205,"Contained input"),COUNTIFS('Material routes'!$D$6:$D$2205,A165,'Material routes'!$C$6:$C$2205,"Transform input"))</x:f>
        <x:v>0</x:v>
      </x:c>
      <x:c r="AL165" s="4" t="n">
        <x:f>COUNTIFS('Material routes'!$D$6:$D$2205,A165,'Material routes'!$C$6:$C$2205,"Tool candidate")</x:f>
        <x:v>0</x:v>
      </x:c>
      <x:c r="AM165" s="4" t="str">
        <x:f>IF(AJ165&gt;0,"Route listed; review status/completeness",IF(C165="T0","Raw entry feed; no production route","No production route listed"))</x:f>
        <x:v>Route listed; review status/completeness</x:v>
      </x:c>
      <x:c r="AN165" s="14" t="n">
        <x:f>IF(C165="T0",0,IF(C165="T1",1,IF(C165="T2",2,IF(C165="T3",3,IF(C165="T4",4,IF(C165="Unassigned",98,99))))))</x:f>
        <x:v>99</x:v>
      </x:c>
      <x:c r="AZ165"/>
      <x:c r="BA165"/>
      <x:c r="BB165"/>
      <x:c r="BC165"/>
      <x:c r="BD165"/>
      <x:c r="BE165"/>
      <x:c r="BF165"/>
      <x:c r="BG165"/>
      <x:c r="BH165"/>
      <x:c r="BI165"/>
      <x:c r="BJ165"/>
      <x:c r="BK165"/>
      <x:c r="BL165"/>
      <x:c r="BM165"/>
      <x:c r="BN165"/>
      <x:c r="BO165"/>
      <x:c r="BP165"/>
      <x:c r="BQ165"/>
      <x:c r="BR165"/>
      <x:c r="BS165"/>
      <x:c r="BT165"/>
      <x:c r="BU165"/>
      <x:c r="BV165"/>
      <x:c r="BW165"/>
      <x:c r="BX165"/>
      <x:c r="BY165"/>
      <x:c r="BZ165"/>
      <x:c r="CA165"/>
      <x:c r="CB165"/>
      <x:c r="CC165"/>
    </x:row>
    <x:row r="166" ht="100" customHeight="1">
      <x:c r="A166" s="9"/>
      <x:c r="B166" s="9"/>
      <x:c r="C166" s="4"/>
      <x:c r="D166" s="9"/>
      <x:c r="E166" s="9"/>
      <x:c r="F166" s="9"/>
      <x:c r="G166" s="9"/>
      <x:c r="H166" s="9"/>
      <x:c r="I166" s="9"/>
      <x:c r="J166" s="13"/>
      <x:c r="K166" s="15"/>
      <x:c r="L166" s="9"/>
      <x:c r="M166" s="9"/>
      <x:c r="N166" s="9"/>
      <x:c r="O166" s="9"/>
      <x:c r="P166" s="17"/>
      <x:c r="Q166" s="17"/>
      <x:c r="R166" s="17"/>
      <x:c r="S166" s="17"/>
      <x:c r="T166" s="17"/>
      <x:c r="U166" s="9"/>
      <x:c r="V166" s="11"/>
      <x:c r="W166" s="9"/>
      <x:c r="X166" s="4"/>
      <x:c r="Y166" s="4"/>
      <x:c r="Z166" s="4"/>
      <x:c r="AA166" s="4"/>
      <x:c r="AB166" s="4"/>
      <x:c r="AC166" s="4"/>
      <x:c r="AD166" s="4"/>
      <x:c r="AE166" s="4"/>
      <x:c r="AF166" s="4"/>
      <x:c r="AG166" s="4"/>
      <x:c r="AH166" s="4"/>
      <x:c r="AI166" s="4"/>
      <x:c r="AJ166" s="4"/>
      <x:c r="AK166" s="4"/>
      <x:c r="AL166" s="4"/>
      <x:c r="AM166" s="4"/>
      <x:c r="AN166" s="14"/>
      <x:c r="AZ166"/>
      <x:c r="BA166"/>
      <x:c r="BB166"/>
      <x:c r="BC166"/>
      <x:c r="BD166"/>
      <x:c r="BE166"/>
      <x:c r="BF166"/>
      <x:c r="BG166"/>
      <x:c r="BH166"/>
      <x:c r="BI166"/>
      <x:c r="BJ166"/>
      <x:c r="BK166"/>
      <x:c r="BL166"/>
      <x:c r="BM166"/>
      <x:c r="BN166"/>
      <x:c r="BO166"/>
      <x:c r="BP166"/>
      <x:c r="BQ166"/>
      <x:c r="BR166"/>
      <x:c r="BS166"/>
      <x:c r="BT166"/>
      <x:c r="BU166"/>
      <x:c r="BV166"/>
      <x:c r="BW166"/>
      <x:c r="BX166"/>
      <x:c r="BY166"/>
      <x:c r="BZ166"/>
      <x:c r="CA166"/>
      <x:c r="CB166"/>
      <x:c r="CC166"/>
    </x:row>
    <x:row r="167" ht="100" customHeight="1">
      <x:c r="A167" s="9" t="str">
        <x:v>proposal.culture.notice</x:v>
      </x:c>
      <x:c r="B167" s="9" t="str">
        <x:v>Public notice plate</x:v>
      </x:c>
      <x:c r="C167" s="4" t="str">
        <x:v>Not applicable</x:v>
      </x:c>
      <x:c r="D167" s="9" t="inlineStr">
        <x:is>
          <x:t xml:space="preserve">Salvage</x:t>
        </x:is>
      </x:c>
      <x:c r="E167" s="9" t="str">
        <x:v>Political / civic</x:v>
      </x:c>
      <x:c r="F167" s="9" t="str">
        <x:v>New proposal</x:v>
      </x:c>
      <x:c r="G167" s="9" t="inlineStr">
        <x:is>
          <x:t xml:space="preserve">Display civic announcements, rules or meeting notices. It is intended to present a message where others can encounter it; the message and social context remain to be authored.</x:t>
        </x:is>
      </x:c>
      <x:c r="H167" s="9" t="str">
        <x:v>Unassigned</x:v>
      </x:c>
      <x:c r="I167" s="9" t="str">
        <x:v>Personal kit / local storage eligibility TBD</x:v>
      </x:c>
      <x:c r="J167" s="13"/>
      <x:c r="K167" s="15"/>
      <x:c r="L167" s="9" t="str">
        <x:v>Craft, trade, gift or institutional custody; exact source TBD</x:v>
      </x:c>
      <x:c r="M167" s="9" t="str">
        <x:v>Material candidate: Incised shell or thin worked metal</x:v>
      </x:c>
      <x:c r="N167" s="9" t="str">
        <x:v>Not implemented</x:v>
      </x:c>
      <x:c r="O167" s="9" t="str">
        <x:v>Government and literacy practices unresolved</x:v>
      </x:c>
      <x:c r="P167" s="17"/>
      <x:c r="Q167" s="17"/>
      <x:c r="R167" s="17"/>
      <x:c r="S167" s="17"/>
      <x:c r="T167" s="17"/>
      <x:c r="U167" s="9" t="str">
        <x:v>Durable reusable public object; exact cost TBD. Faith, political authority, ritual practice and prices remain proposals.</x:v>
      </x:c>
      <x:c r="V167" s="11"/>
      <x:c r="W167" s="9" t="str">
        <x:v>New game proposal inspired by proposal-stage lore: https://github.com/sleepyseamonster/Arc-Dust/blob/f6f98515c005dc3c73cccd9cbc031691745740c6/02-Arc-Dust-Worldbuilding/world/economy/civic-contract.md</x:v>
      </x:c>
      <x:c r="X167" s="4" t="str">
        <x:v>Document</x:v>
      </x:c>
      <x:c r="Y167" s="4" t="str">
        <x:v>Finished item</x:v>
      </x:c>
      <x:c r="Z167" s="4" t="str">
        <x:v>Manufactured / unresolved</x:v>
      </x:c>
      <x:c r="AA167" s="4" t="str">
        <x:v>Public communication</x:v>
      </x:c>
      <x:c r="AB167" s="4" t="str">
        <x:v>Metal or shell</x:v>
      </x:c>
      <x:c r="AC167" s="4" t="str">
        <x:v>Panel</x:v>
      </x:c>
      <x:c r="AD167" s="4" t="str">
        <x:v>Proposal</x:v>
      </x:c>
      <x:c r="AE167" s="4" t="str">
        <x:f>LOWER(A167&amp;"; "&amp;B167&amp;"; "&amp;D167&amp;"; "&amp;E167&amp;"; "&amp;X167&amp;"; "&amp;Y167&amp;"; "&amp;Z167&amp;"; "&amp;AA167&amp;"; "&amp;AB167&amp;"; "&amp;AC167&amp;"; "&amp;AD167&amp;"; "&amp;V167&amp;"; "&amp;C167&amp;"; "&amp;AH167&amp;"; "&amp;AI167)</x:f>
        <x:v>proposal.culture.notice; public notice plate; salvage; political / civic; document; finished item; manufactured / unresolved; public communication; metal or shell; panel; proposal; ; not applicable; t3; finished item</x:v>
      </x:c>
      <x:c r="AF167"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7" s="4" t="str">
        <x:v>Finished endpoint; material tier is not applicable. Input tiers belong to the chosen recipe.</x:v>
      </x:c>
      <x:c r="AH167" s="4" t="str">
        <x:v>T3</x:v>
      </x:c>
      <x:c r="AI167" s="4" t="str">
        <x:v>Finished item</x:v>
      </x:c>
      <x:c r="AJ167" s="4" t="n">
        <x:f>COUNTIFS('Material routes'!$D$6:$D$2205,A167,'Material routes'!$C$6:$C$2205,"Output")</x:f>
        <x:v>1</x:v>
      </x:c>
      <x:c r="AK167" s="4" t="n">
        <x:f>SUM(COUNTIFS('Material routes'!$D$6:$D$2205,A167,'Material routes'!$C$6:$C$2205,"Ingredient candidate"),COUNTIFS('Material routes'!$D$6:$D$2205,A167,'Material routes'!$C$6:$C$2205,"Consumed input"),COUNTIFS('Material routes'!$D$6:$D$2205,A167,'Material routes'!$C$6:$C$2205,"Contained input"),COUNTIFS('Material routes'!$D$6:$D$2205,A167,'Material routes'!$C$6:$C$2205,"Transform input"))</x:f>
        <x:v>0</x:v>
      </x:c>
      <x:c r="AL167" s="4" t="n">
        <x:f>COUNTIFS('Material routes'!$D$6:$D$2205,A167,'Material routes'!$C$6:$C$2205,"Tool candidate")</x:f>
        <x:v>0</x:v>
      </x:c>
      <x:c r="AM167" s="4" t="str">
        <x:f>IF(AJ167&gt;0,"Route listed; review status/completeness",IF(C167="T0","Raw entry feed; no production route","No production route listed"))</x:f>
        <x:v>Route listed; review status/completeness</x:v>
      </x:c>
      <x:c r="AN167" s="14" t="n">
        <x:f>IF(C167="T0",0,IF(C167="T1",1,IF(C167="T2",2,IF(C167="T3",3,IF(C167="T4",4,IF(C167="Unassigned",98,99))))))</x:f>
        <x:v>99</x:v>
      </x:c>
      <x:c r="AZ167"/>
      <x:c r="BA167"/>
      <x:c r="BB167"/>
      <x:c r="BC167"/>
      <x:c r="BD167"/>
      <x:c r="BE167"/>
      <x:c r="BF167"/>
      <x:c r="BG167"/>
      <x:c r="BH167"/>
      <x:c r="BI167"/>
      <x:c r="BJ167"/>
      <x:c r="BK167"/>
      <x:c r="BL167"/>
      <x:c r="BM167"/>
      <x:c r="BN167"/>
      <x:c r="BO167"/>
      <x:c r="BP167"/>
      <x:c r="BQ167"/>
      <x:c r="BR167"/>
      <x:c r="BS167"/>
      <x:c r="BT167"/>
      <x:c r="BU167"/>
      <x:c r="BV167"/>
      <x:c r="BW167"/>
      <x:c r="BX167"/>
      <x:c r="BY167"/>
      <x:c r="BZ167"/>
      <x:c r="CA167"/>
      <x:c r="CB167"/>
      <x:c r="CC167"/>
    </x:row>
    <x:row r="168" ht="100" customHeight="1">
      <x:c r="A168" s="9"/>
      <x:c r="B168" s="9"/>
      <x:c r="C168" s="4"/>
      <x:c r="D168" s="9"/>
      <x:c r="E168" s="9"/>
      <x:c r="F168" s="9"/>
      <x:c r="G168" s="9"/>
      <x:c r="H168" s="9"/>
      <x:c r="I168" s="9"/>
      <x:c r="J168" s="13"/>
      <x:c r="K168" s="15"/>
      <x:c r="L168" s="9"/>
      <x:c r="M168" s="9"/>
      <x:c r="N168" s="9"/>
      <x:c r="O168" s="9"/>
      <x:c r="P168" s="17"/>
      <x:c r="Q168" s="17"/>
      <x:c r="R168" s="17"/>
      <x:c r="S168" s="17"/>
      <x:c r="T168" s="17"/>
      <x:c r="U168" s="9"/>
      <x:c r="V168" s="11"/>
      <x:c r="W168" s="9"/>
      <x:c r="X168" s="4"/>
      <x:c r="Y168" s="4"/>
      <x:c r="Z168" s="4"/>
      <x:c r="AA168" s="4"/>
      <x:c r="AB168" s="4"/>
      <x:c r="AC168" s="4"/>
      <x:c r="AD168" s="4"/>
      <x:c r="AE168" s="4"/>
      <x:c r="AF168" s="4"/>
      <x:c r="AG168" s="4"/>
      <x:c r="AH168" s="4"/>
      <x:c r="AI168" s="4"/>
      <x:c r="AJ168" s="4"/>
      <x:c r="AK168" s="4"/>
      <x:c r="AL168" s="4"/>
      <x:c r="AM168" s="4"/>
      <x:c r="AN168" s="14"/>
      <x:c r="AZ168"/>
      <x:c r="BA168"/>
      <x:c r="BB168"/>
      <x:c r="BC168"/>
      <x:c r="BD168"/>
      <x:c r="BE168"/>
      <x:c r="BF168"/>
      <x:c r="BG168"/>
      <x:c r="BH168"/>
      <x:c r="BI168"/>
      <x:c r="BJ168"/>
      <x:c r="BK168"/>
      <x:c r="BL168"/>
      <x:c r="BM168"/>
      <x:c r="BN168"/>
      <x:c r="BO168"/>
      <x:c r="BP168"/>
      <x:c r="BQ168"/>
      <x:c r="BR168"/>
      <x:c r="BS168"/>
      <x:c r="BT168"/>
      <x:c r="BU168"/>
      <x:c r="BV168"/>
      <x:c r="BW168"/>
      <x:c r="BX168"/>
      <x:c r="BY168"/>
      <x:c r="BZ168"/>
      <x:c r="CA168"/>
      <x:c r="CB168"/>
      <x:c r="CC168"/>
    </x:row>
    <x:row r="169" ht="100" customHeight="1">
      <x:c r="A169" s="9"/>
      <x:c r="B169" s="9"/>
      <x:c r="C169" s="4"/>
      <x:c r="D169" s="9"/>
      <x:c r="E169" s="9"/>
      <x:c r="F169" s="9"/>
      <x:c r="G169" s="9"/>
      <x:c r="H169" s="9"/>
      <x:c r="I169" s="9"/>
      <x:c r="J169" s="13"/>
      <x:c r="K169" s="15"/>
      <x:c r="L169" s="9"/>
      <x:c r="M169" s="9"/>
      <x:c r="N169" s="9"/>
      <x:c r="O169" s="9"/>
      <x:c r="P169" s="17"/>
      <x:c r="Q169" s="17"/>
      <x:c r="R169" s="17"/>
      <x:c r="S169" s="17"/>
      <x:c r="T169" s="17"/>
      <x:c r="U169" s="9"/>
      <x:c r="V169" s="11"/>
      <x:c r="W169" s="9"/>
      <x:c r="X169" s="4"/>
      <x:c r="Y169" s="4"/>
      <x:c r="Z169" s="4"/>
      <x:c r="AA169" s="4"/>
      <x:c r="AB169" s="4"/>
      <x:c r="AC169" s="4"/>
      <x:c r="AD169" s="4"/>
      <x:c r="AE169" s="4"/>
      <x:c r="AF169" s="4"/>
      <x:c r="AG169" s="4"/>
      <x:c r="AH169" s="4"/>
      <x:c r="AI169" s="4"/>
      <x:c r="AJ169" s="4"/>
      <x:c r="AK169" s="4"/>
      <x:c r="AL169" s="4"/>
      <x:c r="AM169" s="4"/>
      <x:c r="AN169" s="14"/>
      <x:c r="AZ169"/>
      <x:c r="BA169"/>
      <x:c r="BB169"/>
      <x:c r="BC169"/>
      <x:c r="BD169"/>
      <x:c r="BE169"/>
      <x:c r="BF169"/>
      <x:c r="BG169"/>
      <x:c r="BH169"/>
      <x:c r="BI169"/>
      <x:c r="BJ169"/>
      <x:c r="BK169"/>
      <x:c r="BL169"/>
      <x:c r="BM169"/>
      <x:c r="BN169"/>
      <x:c r="BO169"/>
      <x:c r="BP169"/>
      <x:c r="BQ169"/>
      <x:c r="BR169"/>
      <x:c r="BS169"/>
      <x:c r="BT169"/>
      <x:c r="BU169"/>
      <x:c r="BV169"/>
      <x:c r="BW169"/>
      <x:c r="BX169"/>
      <x:c r="BY169"/>
      <x:c r="BZ169"/>
      <x:c r="CA169"/>
      <x:c r="CB169"/>
      <x:c r="CC169"/>
    </x:row>
    <x:row r="170" ht="100" customHeight="1">
      <x:c r="A170" s="9" t="str">
        <x:v>proposal.culture.pilgrim_die</x:v>
      </x:c>
      <x:c r="B170" s="9" t="str">
        <x:v>Pilgrimage marking die</x:v>
      </x:c>
      <x:c r="C170" s="4" t="str">
        <x:v>Not applicable</x:v>
      </x:c>
      <x:c r="D170" s="9" t="inlineStr">
        <x:is>
          <x:t xml:space="preserve">Salvage</x:t>
        </x:is>
      </x:c>
      <x:c r="E170" s="9" t="str">
        <x:v>Ritual</x:v>
      </x:c>
      <x:c r="F170" s="9" t="str">
        <x:v>New proposal</x:v>
      </x:c>
      <x:c r="G170" s="9" t="inlineStr">
        <x:is>
          <x:t xml:space="preserve">Apply a sacred-site mark to a suitable record surface. It is intended to be carried, displayed or used in a ceremony. The occasion, ownership and symbolic meaning remain open.</x:t>
        </x:is>
      </x:c>
      <x:c r="H170" s="9" t="str">
        <x:v>Unassigned</x:v>
      </x:c>
      <x:c r="I170" s="9" t="str">
        <x:v>Personal kit / local storage eligibility TBD</x:v>
      </x:c>
      <x:c r="J170" s="13"/>
      <x:c r="K170" s="15"/>
      <x:c r="L170" s="9" t="str">
        <x:v>Craft, trade, gift or institutional custody; exact source TBD</x:v>
      </x:c>
      <x:c r="M170" s="9" t="str">
        <x:v>Material candidate: Engraved metal die</x:v>
      </x:c>
      <x:c r="N170" s="9" t="str">
        <x:v>Not implemented</x:v>
      </x:c>
      <x:c r="O170" s="9" t="str">
        <x:v>No hammering on a live vessel assumed; safe application and faith adoption TBD</x:v>
      </x:c>
      <x:c r="P170" s="17"/>
      <x:c r="Q170" s="17"/>
      <x:c r="R170" s="17"/>
      <x:c r="S170" s="17"/>
      <x:c r="T170" s="17"/>
      <x:c r="U170" s="9" t="str">
        <x:v>Specialist institutional tool. Faith, political authority, ritual practice and prices remain proposals.</x:v>
      </x:c>
      <x:c r="V170" s="11" t="str">
        <x:v>provenance</x:v>
      </x:c>
      <x:c r="W170" s="9" t="str">
        <x:v>New game proposal inspired by proposal-stage lore: https://github.com/sleepyseamonster/Arc-Dust/blob/f6f98515c005dc3c73cccd9cbc031691745740c6/02-Arc-Dust-Worldbuilding/world/economy/canister/religious-traditions.md</x:v>
      </x:c>
      <x:c r="X170" s="4" t="str">
        <x:v>Tool</x:v>
      </x:c>
      <x:c r="Y170" s="4" t="str">
        <x:v>Finished item</x:v>
      </x:c>
      <x:c r="Z170" s="4" t="str">
        <x:v>Manufactured / unresolved</x:v>
      </x:c>
      <x:c r="AA170" s="4" t="str">
        <x:v>Ceremony</x:v>
      </x:c>
      <x:c r="AB170" s="4" t="str">
        <x:v>Metal</x:v>
      </x:c>
      <x:c r="AC170" s="4" t="str">
        <x:v>Solid part</x:v>
      </x:c>
      <x:c r="AD170" s="4" t="str">
        <x:v>Proposal</x:v>
      </x:c>
      <x:c r="AE170" s="4" t="str">
        <x:f>LOWER(A170&amp;"; "&amp;B170&amp;"; "&amp;D170&amp;"; "&amp;E170&amp;"; "&amp;X170&amp;"; "&amp;Y170&amp;"; "&amp;Z170&amp;"; "&amp;AA170&amp;"; "&amp;AB170&amp;"; "&amp;AC170&amp;"; "&amp;AD170&amp;"; "&amp;V170&amp;"; "&amp;C170&amp;"; "&amp;AH170&amp;"; "&amp;AI170)</x:f>
        <x:v>proposal.culture.pilgrim_die; pilgrimage marking die; salvage; ritual; tool; finished item; manufactured / unresolved; ceremony; metal; solid part; proposal; provenance; not applicable; t2; finished item</x:v>
      </x:c>
      <x:c r="AF170"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0" s="4" t="str">
        <x:v>Finished endpoint; material tier is not applicable. Input tiers belong to the chosen recipe.</x:v>
      </x:c>
      <x:c r="AH170" s="4" t="str">
        <x:v>T2</x:v>
      </x:c>
      <x:c r="AI170" s="4" t="str">
        <x:v>Finished item</x:v>
      </x:c>
      <x:c r="AJ170" s="4" t="n">
        <x:f>COUNTIFS('Material routes'!$D$6:$D$2205,A170,'Material routes'!$C$6:$C$2205,"Output")</x:f>
        <x:v>1</x:v>
      </x:c>
      <x:c r="AK170" s="4" t="n">
        <x:f>SUM(COUNTIFS('Material routes'!$D$6:$D$2205,A170,'Material routes'!$C$6:$C$2205,"Ingredient candidate"),COUNTIFS('Material routes'!$D$6:$D$2205,A170,'Material routes'!$C$6:$C$2205,"Consumed input"),COUNTIFS('Material routes'!$D$6:$D$2205,A170,'Material routes'!$C$6:$C$2205,"Contained input"),COUNTIFS('Material routes'!$D$6:$D$2205,A170,'Material routes'!$C$6:$C$2205,"Transform input"))</x:f>
        <x:v>0</x:v>
      </x:c>
      <x:c r="AL170" s="4" t="n">
        <x:f>COUNTIFS('Material routes'!$D$6:$D$2205,A170,'Material routes'!$C$6:$C$2205,"Tool candidate")</x:f>
        <x:v>0</x:v>
      </x:c>
      <x:c r="AM170" s="4" t="str">
        <x:f>IF(AJ170&gt;0,"Route listed; review status/completeness",IF(C170="T0","Raw entry feed; no production route","No production route listed"))</x:f>
        <x:v>Route listed; review status/completeness</x:v>
      </x:c>
      <x:c r="AN170" s="14" t="n">
        <x:f>IF(C170="T0",0,IF(C170="T1",1,IF(C170="T2",2,IF(C170="T3",3,IF(C170="T4",4,IF(C170="Unassigned",98,99))))))</x:f>
        <x:v>99</x:v>
      </x:c>
      <x:c r="AZ170"/>
      <x:c r="BA170"/>
      <x:c r="BB170"/>
      <x:c r="BC170"/>
      <x:c r="BD170"/>
      <x:c r="BE170"/>
      <x:c r="BF170"/>
      <x:c r="BG170"/>
      <x:c r="BH170"/>
      <x:c r="BI170"/>
      <x:c r="BJ170"/>
      <x:c r="BK170"/>
      <x:c r="BL170"/>
      <x:c r="BM170"/>
      <x:c r="BN170"/>
      <x:c r="BO170"/>
      <x:c r="BP170"/>
      <x:c r="BQ170"/>
      <x:c r="BR170"/>
      <x:c r="BS170"/>
      <x:c r="BT170"/>
      <x:c r="BU170"/>
      <x:c r="BV170"/>
      <x:c r="BW170"/>
      <x:c r="BX170"/>
      <x:c r="BY170"/>
      <x:c r="BZ170"/>
      <x:c r="CA170"/>
      <x:c r="CB170"/>
      <x:c r="CC170"/>
    </x:row>
    <x:row r="171" ht="100" customHeight="1">
      <x:c r="A171" s="9" t="str">
        <x:v>proposal.culture.memorial</x:v>
      </x:c>
      <x:c r="B171" s="9" t="str">
        <x:v>Memorial name plate</x:v>
      </x:c>
      <x:c r="C171" s="4" t="str">
        <x:v>Not applicable</x:v>
      </x:c>
      <x:c r="D171" s="9" t="inlineStr">
        <x:is>
          <x:t xml:space="preserve">Salvage</x:t>
        </x:is>
      </x:c>
      <x:c r="E171" s="9" t="str">
        <x:v>Ritual</x:v>
      </x:c>
      <x:c r="F171" s="9" t="str">
        <x:v>New proposal</x:v>
      </x:c>
      <x:c r="G171" s="9" t="inlineStr">
        <x:is>
          <x:t xml:space="preserve">Remember a deceased person or missing traveler. It is intended as a physical focus for remembering a person or event, without prescribing whose memory it carries.</x:t>
        </x:is>
      </x:c>
      <x:c r="H171" s="9" t="str">
        <x:v>Unassigned</x:v>
      </x:c>
      <x:c r="I171" s="9" t="str">
        <x:v>Personal kit / local storage eligibility TBD</x:v>
      </x:c>
      <x:c r="J171" s="13"/>
      <x:c r="K171" s="15"/>
      <x:c r="L171" s="9" t="str">
        <x:v>Craft, trade, gift or institutional custody; exact source TBD</x:v>
      </x:c>
      <x:c r="M171" s="9" t="str">
        <x:v>Material candidate: Incised metal or shell</x:v>
      </x:c>
      <x:c r="N171" s="9" t="str">
        <x:v>Not implemented</x:v>
      </x:c>
      <x:c r="O171" s="9" t="str">
        <x:v>Cultural keepsake; no resurrection or supernatural effect</x:v>
      </x:c>
      <x:c r="P171" s="17"/>
      <x:c r="Q171" s="17"/>
      <x:c r="R171" s="17"/>
      <x:c r="S171" s="17"/>
      <x:c r="T171" s="17"/>
      <x:c r="U171" s="9" t="str">
        <x:v>Plain family marker to elaborate memorial commission. Faith, political authority, ritual practice and prices remain proposals.</x:v>
      </x:c>
      <x:c r="V171" s="11"/>
      <x:c r="W171" s="9" t="str">
        <x:v>New game proposal inspired by proposal-stage lore: https://github.com/sleepyseamonster/Arc-Dust/blob/f6f98515c005dc3c73cccd9cbc031691745740c6/02-Arc-Dust-Worldbuilding/world/economy/spiritual-economy.md</x:v>
      </x:c>
      <x:c r="X171" s="4" t="str">
        <x:v>Cultural object</x:v>
      </x:c>
      <x:c r="Y171" s="4" t="str">
        <x:v>Finished item</x:v>
      </x:c>
      <x:c r="Z171" s="4" t="str">
        <x:v>Manufactured / unresolved</x:v>
      </x:c>
      <x:c r="AA171" s="4" t="str">
        <x:v>Remembrance</x:v>
      </x:c>
      <x:c r="AB171" s="4" t="str">
        <x:v>Metal or shell</x:v>
      </x:c>
      <x:c r="AC171" s="4" t="str">
        <x:v>Panel</x:v>
      </x:c>
      <x:c r="AD171" s="4" t="str">
        <x:v>Proposal</x:v>
      </x:c>
      <x:c r="AE171" s="4" t="str">
        <x:f>LOWER(A171&amp;"; "&amp;B171&amp;"; "&amp;D171&amp;"; "&amp;E171&amp;"; "&amp;X171&amp;"; "&amp;Y171&amp;"; "&amp;Z171&amp;"; "&amp;AA171&amp;"; "&amp;AB171&amp;"; "&amp;AC171&amp;"; "&amp;AD171&amp;"; "&amp;V171&amp;"; "&amp;C171&amp;"; "&amp;AH171&amp;"; "&amp;AI171)</x:f>
        <x:v>proposal.culture.memorial; memorial name plate; salvage; ritual; cultural object; finished item; manufactured / unresolved; remembrance; metal or shell; panel; proposal; ; not applicable; t2; finished item</x:v>
      </x:c>
      <x:c r="AF171"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1" s="4" t="str">
        <x:v>Finished endpoint; material tier is not applicable. Input tiers belong to the chosen recipe.</x:v>
      </x:c>
      <x:c r="AH171" s="4" t="str">
        <x:v>T2</x:v>
      </x:c>
      <x:c r="AI171" s="4" t="str">
        <x:v>Finished item</x:v>
      </x:c>
      <x:c r="AJ171" s="4" t="n">
        <x:f>COUNTIFS('Material routes'!$D$6:$D$2205,A171,'Material routes'!$C$6:$C$2205,"Output")</x:f>
        <x:v>1</x:v>
      </x:c>
      <x:c r="AK171" s="4" t="n">
        <x:f>SUM(COUNTIFS('Material routes'!$D$6:$D$2205,A171,'Material routes'!$C$6:$C$2205,"Ingredient candidate"),COUNTIFS('Material routes'!$D$6:$D$2205,A171,'Material routes'!$C$6:$C$2205,"Consumed input"),COUNTIFS('Material routes'!$D$6:$D$2205,A171,'Material routes'!$C$6:$C$2205,"Contained input"),COUNTIFS('Material routes'!$D$6:$D$2205,A171,'Material routes'!$C$6:$C$2205,"Transform input"))</x:f>
        <x:v>0</x:v>
      </x:c>
      <x:c r="AL171" s="4" t="n">
        <x:f>COUNTIFS('Material routes'!$D$6:$D$2205,A171,'Material routes'!$C$6:$C$2205,"Tool candidate")</x:f>
        <x:v>0</x:v>
      </x:c>
      <x:c r="AM171" s="4" t="str">
        <x:f>IF(AJ171&gt;0,"Route listed; review status/completeness",IF(C171="T0","Raw entry feed; no production route","No production route listed"))</x:f>
        <x:v>Route listed; review status/completeness</x:v>
      </x:c>
      <x:c r="AN171" s="14" t="n">
        <x:f>IF(C171="T0",0,IF(C171="T1",1,IF(C171="T2",2,IF(C171="T3",3,IF(C171="T4",4,IF(C171="Unassigned",98,99))))))</x:f>
        <x:v>99</x:v>
      </x:c>
      <x:c r="AZ171"/>
      <x:c r="BA171"/>
      <x:c r="BB171"/>
      <x:c r="BC171"/>
      <x:c r="BD171"/>
      <x:c r="BE171"/>
      <x:c r="BF171"/>
      <x:c r="BG171"/>
      <x:c r="BH171"/>
      <x:c r="BI171"/>
      <x:c r="BJ171"/>
      <x:c r="BK171"/>
      <x:c r="BL171"/>
      <x:c r="BM171"/>
      <x:c r="BN171"/>
      <x:c r="BO171"/>
      <x:c r="BP171"/>
      <x:c r="BQ171"/>
      <x:c r="BR171"/>
      <x:c r="BS171"/>
      <x:c r="BT171"/>
      <x:c r="BU171"/>
      <x:c r="BV171"/>
      <x:c r="BW171"/>
      <x:c r="BX171"/>
      <x:c r="BY171"/>
      <x:c r="BZ171"/>
      <x:c r="CA171"/>
      <x:c r="CB171"/>
      <x:c r="CC171"/>
    </x:row>
    <x:row r="172" ht="100" customHeight="1">
      <x:c r="A172" s="9" t="str">
        <x:v>proposal.culture.oath_ring</x:v>
      </x:c>
      <x:c r="B172" s="9" t="str">
        <x:v>Oath exchange ring</x:v>
      </x:c>
      <x:c r="C172" s="4" t="str">
        <x:v>Not applicable</x:v>
      </x:c>
      <x:c r="D172" s="9" t="inlineStr">
        <x:is>
          <x:t xml:space="preserve">Salvage</x:t>
        </x:is>
      </x:c>
      <x:c r="E172" s="9" t="str">
        <x:v>Ritual</x:v>
      </x:c>
      <x:c r="F172" s="9" t="str">
        <x:v>New proposal</x:v>
      </x:c>
      <x:c r="G172" s="9" t="inlineStr">
        <x:is>
          <x:t xml:space="preserve">Exchange a visible token at a vow or commitment. It is intended to be carried, displayed or used in a ceremony. The occasion, ownership and symbolic meaning remain open.</x:t>
        </x:is>
      </x:c>
      <x:c r="H172" s="9" t="str">
        <x:v>Unassigned</x:v>
      </x:c>
      <x:c r="I172" s="9" t="str">
        <x:v>Personal kit / local storage eligibility TBD</x:v>
      </x:c>
      <x:c r="J172" s="13"/>
      <x:c r="K172" s="15"/>
      <x:c r="L172" s="9" t="str">
        <x:v>Craft, trade, gift or institutional custody; exact source TBD</x:v>
      </x:c>
      <x:c r="M172" s="9" t="str">
        <x:v>Material candidate: Worked metal; shell inset optional</x:v>
      </x:c>
      <x:c r="N172" s="9" t="str">
        <x:v>Not implemented</x:v>
      </x:c>
      <x:c r="O172" s="9" t="str">
        <x:v>New game ritual proposal; exact marriage or guild customs undecided</x:v>
      </x:c>
      <x:c r="P172" s="17"/>
      <x:c r="Q172" s="17"/>
      <x:c r="R172" s="17"/>
      <x:c r="S172" s="17"/>
      <x:c r="T172" s="17"/>
      <x:c r="U172" s="9" t="str">
        <x:v>Simple bands through expensive engraved work. Faith, political authority, ritual practice and prices remain proposals.</x:v>
      </x:c>
      <x:c r="V172" s="11"/>
      <x:c r="W172" s="9" t="str">
        <x:v>New game proposal inspired by proposal-stage lore: https://github.com/sleepyseamonster/Arc-Dust/blob/f6f98515c005dc3c73cccd9cbc031691745740c6/02-Arc-Dust-Worldbuilding/world/economy/spiritual-economy.md</x:v>
      </x:c>
      <x:c r="X172" s="4" t="str">
        <x:v>Cultural object</x:v>
      </x:c>
      <x:c r="Y172" s="4" t="str">
        <x:v>Finished item</x:v>
      </x:c>
      <x:c r="Z172" s="4" t="str">
        <x:v>Manufactured / unresolved</x:v>
      </x:c>
      <x:c r="AA172" s="4" t="str">
        <x:v>Ceremony</x:v>
      </x:c>
      <x:c r="AB172" s="4" t="str">
        <x:v>Metal</x:v>
      </x:c>
      <x:c r="AC172" s="4" t="str">
        <x:v>Solid piece</x:v>
      </x:c>
      <x:c r="AD172" s="4" t="str">
        <x:v>Proposal</x:v>
      </x:c>
      <x:c r="AE172" s="4" t="str">
        <x:f>LOWER(A172&amp;"; "&amp;B172&amp;"; "&amp;D172&amp;"; "&amp;E172&amp;"; "&amp;X172&amp;"; "&amp;Y172&amp;"; "&amp;Z172&amp;"; "&amp;AA172&amp;"; "&amp;AB172&amp;"; "&amp;AC172&amp;"; "&amp;AD172&amp;"; "&amp;V172&amp;"; "&amp;C172&amp;"; "&amp;AH172&amp;"; "&amp;AI172)</x:f>
        <x:v>proposal.culture.oath_ring; oath exchange ring; salvage; ritual; cultural object; finished item; manufactured / unresolved; ceremony; metal; solid piece; proposal; ; not applicable; t2; finished item</x:v>
      </x:c>
      <x:c r="AF172"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2" s="4" t="str">
        <x:v>Finished endpoint; material tier is not applicable. Input tiers belong to the chosen recipe.</x:v>
      </x:c>
      <x:c r="AH172" s="4" t="str">
        <x:v>T2</x:v>
      </x:c>
      <x:c r="AI172" s="4" t="str">
        <x:v>Finished item</x:v>
      </x:c>
      <x:c r="AJ172" s="4" t="n">
        <x:f>COUNTIFS('Material routes'!$D$6:$D$2205,A172,'Material routes'!$C$6:$C$2205,"Output")</x:f>
        <x:v>1</x:v>
      </x:c>
      <x:c r="AK172" s="4" t="n">
        <x:f>SUM(COUNTIFS('Material routes'!$D$6:$D$2205,A172,'Material routes'!$C$6:$C$2205,"Ingredient candidate"),COUNTIFS('Material routes'!$D$6:$D$2205,A172,'Material routes'!$C$6:$C$2205,"Consumed input"),COUNTIFS('Material routes'!$D$6:$D$2205,A172,'Material routes'!$C$6:$C$2205,"Contained input"),COUNTIFS('Material routes'!$D$6:$D$2205,A172,'Material routes'!$C$6:$C$2205,"Transform input"))</x:f>
        <x:v>0</x:v>
      </x:c>
      <x:c r="AL172" s="4" t="n">
        <x:f>COUNTIFS('Material routes'!$D$6:$D$2205,A172,'Material routes'!$C$6:$C$2205,"Tool candidate")</x:f>
        <x:v>0</x:v>
      </x:c>
      <x:c r="AM172" s="4" t="str">
        <x:f>IF(AJ172&gt;0,"Route listed; review status/completeness",IF(C172="T0","Raw entry feed; no production route","No production route listed"))</x:f>
        <x:v>Route listed; review status/completeness</x:v>
      </x:c>
      <x:c r="AN172" s="14" t="n">
        <x:f>IF(C172="T0",0,IF(C172="T1",1,IF(C172="T2",2,IF(C172="T3",3,IF(C172="T4",4,IF(C172="Unassigned",98,99))))))</x:f>
        <x:v>99</x:v>
      </x:c>
      <x:c r="AZ172"/>
      <x:c r="BA172"/>
      <x:c r="BB172"/>
      <x:c r="BC172"/>
      <x:c r="BD172"/>
      <x:c r="BE172"/>
      <x:c r="BF172"/>
      <x:c r="BG172"/>
      <x:c r="BH172"/>
      <x:c r="BI172"/>
      <x:c r="BJ172"/>
      <x:c r="BK172"/>
      <x:c r="BL172"/>
      <x:c r="BM172"/>
      <x:c r="BN172"/>
      <x:c r="BO172"/>
      <x:c r="BP172"/>
      <x:c r="BQ172"/>
      <x:c r="BR172"/>
      <x:c r="BS172"/>
      <x:c r="BT172"/>
      <x:c r="BU172"/>
      <x:c r="BV172"/>
      <x:c r="BW172"/>
      <x:c r="BX172"/>
      <x:c r="BY172"/>
      <x:c r="BZ172"/>
      <x:c r="CA172"/>
      <x:c r="CB172"/>
      <x:c r="CC172"/>
    </x:row>
    <x:row r="173" ht="100" customHeight="1">
      <x:c r="A173" s="9" t="str">
        <x:v>proposal.culture.milestone</x:v>
      </x:c>
      <x:c r="B173" s="9" t="str">
        <x:v>Life-event charm</x:v>
      </x:c>
      <x:c r="C173" s="4" t="str">
        <x:v>Not applicable</x:v>
      </x:c>
      <x:c r="D173" s="9" t="inlineStr">
        <x:is>
          <x:t xml:space="preserve">Salvage</x:t>
        </x:is>
      </x:c>
      <x:c r="E173" s="9" t="str">
        <x:v>Ritual</x:v>
      </x:c>
      <x:c r="F173" s="9" t="str">
        <x:v>New proposal</x:v>
      </x:c>
      <x:c r="G173" s="9" t="inlineStr">
        <x:is>
          <x:t xml:space="preserve">Record coming of age, apprenticeship or return. It is intended as a physical focus for remembering a person or event, without prescribing whose memory it carries.</x:t>
        </x:is>
      </x:c>
      <x:c r="H173" s="9" t="str">
        <x:v>Unassigned</x:v>
      </x:c>
      <x:c r="I173" s="9" t="str">
        <x:v>Personal kit / local storage eligibility TBD</x:v>
      </x:c>
      <x:c r="J173" s="13"/>
      <x:c r="K173" s="15"/>
      <x:c r="L173" s="9" t="str">
        <x:v>Craft, trade, gift or institutional custody; exact source TBD</x:v>
      </x:c>
      <x:c r="M173" s="9" t="str">
        <x:v>Material candidate: Stamped metal or carved shell</x:v>
      </x:c>
      <x:c r="N173" s="9" t="str">
        <x:v>Not implemented</x:v>
      </x:c>
      <x:c r="O173" s="9" t="str">
        <x:v>Use existing mounts where appropriate; not a new functional canister</x:v>
      </x:c>
      <x:c r="P173" s="17"/>
      <x:c r="Q173" s="17"/>
      <x:c r="R173" s="17"/>
      <x:c r="S173" s="17"/>
      <x:c r="T173" s="17"/>
      <x:c r="U173" s="9" t="str">
        <x:v>Small plain charm to fine engraved keepsake. Faith, political authority, ritual practice and prices remain proposals.</x:v>
      </x:c>
      <x:c r="V173" s="11" t="str">
        <x:v>ceremony</x:v>
      </x:c>
      <x:c r="W173" s="9" t="str">
        <x:v>New game proposal inspired by proposal-stage lore: https://github.com/sleepyseamonster/Arc-Dust/blob/f6f98515c005dc3c73cccd9cbc031691745740c6/02-Arc-Dust-Worldbuilding/world/economy/canister/religious-traditions.md</x:v>
      </x:c>
      <x:c r="X173" s="4" t="str">
        <x:v>Cultural object</x:v>
      </x:c>
      <x:c r="Y173" s="4" t="str">
        <x:v>Finished item</x:v>
      </x:c>
      <x:c r="Z173" s="4" t="str">
        <x:v>Manufactured / unresolved</x:v>
      </x:c>
      <x:c r="AA173" s="4" t="str">
        <x:v>Remembrance</x:v>
      </x:c>
      <x:c r="AB173" s="4" t="str">
        <x:v>Metal or shell</x:v>
      </x:c>
      <x:c r="AC173" s="4" t="str">
        <x:v>Solid piece</x:v>
      </x:c>
      <x:c r="AD173" s="4" t="str">
        <x:v>Proposal</x:v>
      </x:c>
      <x:c r="AE173" s="4" t="str">
        <x:f>LOWER(A173&amp;"; "&amp;B173&amp;"; "&amp;D173&amp;"; "&amp;E173&amp;"; "&amp;X173&amp;"; "&amp;Y173&amp;"; "&amp;Z173&amp;"; "&amp;AA173&amp;"; "&amp;AB173&amp;"; "&amp;AC173&amp;"; "&amp;AD173&amp;"; "&amp;V173&amp;"; "&amp;C173&amp;"; "&amp;AH173&amp;"; "&amp;AI173)</x:f>
        <x:v>proposal.culture.milestone; life-event charm; salvage; ritual; cultural object; finished item; manufactured / unresolved; remembrance; metal or shell; solid piece; proposal; ceremony; not applicable; t2; finished item</x:v>
      </x:c>
      <x:c r="AF173"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3" s="4" t="str">
        <x:v>Finished endpoint; material tier is not applicable. Input tiers belong to the chosen recipe.</x:v>
      </x:c>
      <x:c r="AH173" s="4" t="str">
        <x:v>T2</x:v>
      </x:c>
      <x:c r="AI173" s="4" t="str">
        <x:v>Finished item</x:v>
      </x:c>
      <x:c r="AJ173" s="4" t="n">
        <x:f>COUNTIFS('Material routes'!$D$6:$D$2205,A173,'Material routes'!$C$6:$C$2205,"Output")</x:f>
        <x:v>1</x:v>
      </x:c>
      <x:c r="AK173" s="4" t="n">
        <x:f>SUM(COUNTIFS('Material routes'!$D$6:$D$2205,A173,'Material routes'!$C$6:$C$2205,"Ingredient candidate"),COUNTIFS('Material routes'!$D$6:$D$2205,A173,'Material routes'!$C$6:$C$2205,"Consumed input"),COUNTIFS('Material routes'!$D$6:$D$2205,A173,'Material routes'!$C$6:$C$2205,"Contained input"),COUNTIFS('Material routes'!$D$6:$D$2205,A173,'Material routes'!$C$6:$C$2205,"Transform input"))</x:f>
        <x:v>0</x:v>
      </x:c>
      <x:c r="AL173" s="4" t="n">
        <x:f>COUNTIFS('Material routes'!$D$6:$D$2205,A173,'Material routes'!$C$6:$C$2205,"Tool candidate")</x:f>
        <x:v>0</x:v>
      </x:c>
      <x:c r="AM173" s="4" t="str">
        <x:f>IF(AJ173&gt;0,"Route listed; review status/completeness",IF(C173="T0","Raw entry feed; no production route","No production route listed"))</x:f>
        <x:v>Route listed; review status/completeness</x:v>
      </x:c>
      <x:c r="AN173" s="14" t="n">
        <x:f>IF(C173="T0",0,IF(C173="T1",1,IF(C173="T2",2,IF(C173="T3",3,IF(C173="T4",4,IF(C173="Unassigned",98,99))))))</x:f>
        <x:v>99</x:v>
      </x:c>
      <x:c r="AZ173"/>
      <x:c r="BA173"/>
      <x:c r="BB173"/>
      <x:c r="BC173"/>
      <x:c r="BD173"/>
      <x:c r="BE173"/>
      <x:c r="BF173"/>
      <x:c r="BG173"/>
      <x:c r="BH173"/>
      <x:c r="BI173"/>
      <x:c r="BJ173"/>
      <x:c r="BK173"/>
      <x:c r="BL173"/>
      <x:c r="BM173"/>
      <x:c r="BN173"/>
      <x:c r="BO173"/>
      <x:c r="BP173"/>
      <x:c r="BQ173"/>
      <x:c r="BR173"/>
      <x:c r="BS173"/>
      <x:c r="BT173"/>
      <x:c r="BU173"/>
      <x:c r="BV173"/>
      <x:c r="BW173"/>
      <x:c r="BX173"/>
      <x:c r="BY173"/>
      <x:c r="BZ173"/>
      <x:c r="CA173"/>
      <x:c r="CB173"/>
      <x:c r="CC173"/>
    </x:row>
    <x:row r="174" ht="100" customHeight="1">
      <x:c r="A174" s="9" t="str">
        <x:v>proposal.culture.rattle</x:v>
      </x:c>
      <x:c r="B174" s="9" t="str">
        <x:v>Ceremonial shell rattle</x:v>
      </x:c>
      <x:c r="C174" s="4" t="str">
        <x:v>Not applicable</x:v>
      </x:c>
      <x:c r="D174" s="9" t="inlineStr">
        <x:is>
          <x:t xml:space="preserve">Salvage</x:t>
        </x:is>
      </x:c>
      <x:c r="E174" s="9" t="str">
        <x:v>Ritual</x:v>
      </x:c>
      <x:c r="F174" s="9" t="str">
        <x:v>New proposal</x:v>
      </x:c>
      <x:c r="G174" s="9" t="inlineStr">
        <x:is>
          <x:t xml:space="preserve">Provide a dry percussive sound for gatherings. It is intended to be carried, displayed or used in a ceremony. The occasion, ownership and symbolic meaning remain open.</x:t>
        </x:is>
      </x:c>
      <x:c r="H174" s="9" t="str">
        <x:v>Unassigned</x:v>
      </x:c>
      <x:c r="I174" s="9" t="str">
        <x:v>Personal kit / local storage eligibility TBD</x:v>
      </x:c>
      <x:c r="J174" s="13"/>
      <x:c r="K174" s="15"/>
      <x:c r="L174" s="9" t="str">
        <x:v>Craft, trade, gift or institutional custody; exact source TBD</x:v>
      </x:c>
      <x:c r="M174" s="9" t="str">
        <x:v>Material candidate: Hollow shell with mineral chips and metal fasteners</x:v>
      </x:c>
      <x:c r="N174" s="9" t="str">
        <x:v>Not implemented</x:v>
      </x:c>
      <x:c r="O174" s="9" t="str">
        <x:v>Sound rituals and fauna reactions undecided; no weapon mechanic</x:v>
      </x:c>
      <x:c r="P174" s="17"/>
      <x:c r="Q174" s="17"/>
      <x:c r="R174" s="17"/>
      <x:c r="S174" s="17"/>
      <x:c r="T174" s="17"/>
      <x:c r="U174" s="9" t="str">
        <x:v>Plain community instrument; decorated pieces may be costly. Faith, political authority, ritual practice and prices remain proposals.</x:v>
      </x:c>
      <x:c r="V174" s="11" t="str">
        <x:v>music</x:v>
      </x:c>
      <x:c r="W174" s="9" t="str">
        <x:v>New game proposal; author request October 14, 2026</x:v>
      </x:c>
      <x:c r="X174" s="4" t="str">
        <x:v>Musical instrument</x:v>
      </x:c>
      <x:c r="Y174" s="4" t="str">
        <x:v>Finished item</x:v>
      </x:c>
      <x:c r="Z174" s="4" t="str">
        <x:v>Manufactured / unresolved</x:v>
      </x:c>
      <x:c r="AA174" s="4" t="str">
        <x:v>Ceremony</x:v>
      </x:c>
      <x:c r="AB174" s="4" t="str">
        <x:v>Shell and mineral</x:v>
      </x:c>
      <x:c r="AC174" s="4" t="str">
        <x:v>Assembly</x:v>
      </x:c>
      <x:c r="AD174" s="4" t="str">
        <x:v>Proposal</x:v>
      </x:c>
      <x:c r="AE174" s="4" t="str">
        <x:f>LOWER(A174&amp;"; "&amp;B174&amp;"; "&amp;D174&amp;"; "&amp;E174&amp;"; "&amp;X174&amp;"; "&amp;Y174&amp;"; "&amp;Z174&amp;"; "&amp;AA174&amp;"; "&amp;AB174&amp;"; "&amp;AC174&amp;"; "&amp;AD174&amp;"; "&amp;V174&amp;"; "&amp;C174&amp;"; "&amp;AH174&amp;"; "&amp;AI174)</x:f>
        <x:v>proposal.culture.rattle; ceremonial shell rattle; salvage; ritual; musical instrument; finished item; manufactured / unresolved; ceremony; shell and mineral; assembly; proposal; music; not applicable; t1; finished item</x:v>
      </x:c>
      <x:c r="AF174"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4" s="4" t="str">
        <x:v>Finished endpoint; material tier is not applicable. Input tiers belong to the chosen recipe.</x:v>
      </x:c>
      <x:c r="AH174" s="4" t="str">
        <x:v>T1</x:v>
      </x:c>
      <x:c r="AI174" s="4" t="str">
        <x:v>Finished item</x:v>
      </x:c>
      <x:c r="AJ174" s="4" t="n">
        <x:f>COUNTIFS('Material routes'!$D$6:$D$2205,A174,'Material routes'!$C$6:$C$2205,"Output")</x:f>
        <x:v>1</x:v>
      </x:c>
      <x:c r="AK174" s="4" t="n">
        <x:f>SUM(COUNTIFS('Material routes'!$D$6:$D$2205,A174,'Material routes'!$C$6:$C$2205,"Ingredient candidate"),COUNTIFS('Material routes'!$D$6:$D$2205,A174,'Material routes'!$C$6:$C$2205,"Consumed input"),COUNTIFS('Material routes'!$D$6:$D$2205,A174,'Material routes'!$C$6:$C$2205,"Contained input"),COUNTIFS('Material routes'!$D$6:$D$2205,A174,'Material routes'!$C$6:$C$2205,"Transform input"))</x:f>
        <x:v>0</x:v>
      </x:c>
      <x:c r="AL174" s="4" t="n">
        <x:f>COUNTIFS('Material routes'!$D$6:$D$2205,A174,'Material routes'!$C$6:$C$2205,"Tool candidate")</x:f>
        <x:v>0</x:v>
      </x:c>
      <x:c r="AM174" s="4" t="str">
        <x:f>IF(AJ174&gt;0,"Route listed; review status/completeness",IF(C174="T0","Raw entry feed; no production route","No production route listed"))</x:f>
        <x:v>Route listed; review status/completeness</x:v>
      </x:c>
      <x:c r="AN174" s="14" t="n">
        <x:f>IF(C174="T0",0,IF(C174="T1",1,IF(C174="T2",2,IF(C174="T3",3,IF(C174="T4",4,IF(C174="Unassigned",98,99))))))</x:f>
        <x:v>99</x:v>
      </x:c>
      <x:c r="AZ174"/>
      <x:c r="BA174"/>
      <x:c r="BB174"/>
      <x:c r="BC174"/>
      <x:c r="BD174"/>
      <x:c r="BE174"/>
      <x:c r="BF174"/>
      <x:c r="BG174"/>
      <x:c r="BH174"/>
      <x:c r="BI174"/>
      <x:c r="BJ174"/>
      <x:c r="BK174"/>
      <x:c r="BL174"/>
      <x:c r="BM174"/>
      <x:c r="BN174"/>
      <x:c r="BO174"/>
      <x:c r="BP174"/>
      <x:c r="BQ174"/>
      <x:c r="BR174"/>
      <x:c r="BS174"/>
      <x:c r="BT174"/>
      <x:c r="BU174"/>
      <x:c r="BV174"/>
      <x:c r="BW174"/>
      <x:c r="BX174"/>
      <x:c r="BY174"/>
      <x:c r="BZ174"/>
      <x:c r="CA174"/>
      <x:c r="CB174"/>
      <x:c r="CC174"/>
    </x:row>
    <x:row r="175" ht="100" customHeight="1">
      <x:c r="A175" s="9" t="str">
        <x:v>proposal.culture.gift_case</x:v>
      </x:c>
      <x:c r="B175" s="9" t="str">
        <x:v>Ceremonial gift case</x:v>
      </x:c>
      <x:c r="C175" s="4" t="str">
        <x:v>Not applicable</x:v>
      </x:c>
      <x:c r="D175" s="9" t="inlineStr">
        <x:is>
          <x:t xml:space="preserve">Salvage</x:t>
        </x:is>
      </x:c>
      <x:c r="E175" s="9" t="str">
        <x:v>Ritual</x:v>
      </x:c>
      <x:c r="F175" s="9" t="str">
        <x:v>New proposal</x:v>
      </x:c>
      <x:c r="G175" s="9" t="inlineStr">
        <x:is>
          <x:t xml:space="preserve">Present and retain a life-event gift. It is intended to be carried, displayed or used in a ceremony. The occasion, ownership and symbolic meaning remain open.</x:t>
        </x:is>
      </x:c>
      <x:c r="H175" s="9" t="str">
        <x:v>Unassigned</x:v>
      </x:c>
      <x:c r="I175" s="9" t="str">
        <x:v>Personal kit / local storage eligibility TBD</x:v>
      </x:c>
      <x:c r="J175" s="13"/>
      <x:c r="K175" s="15"/>
      <x:c r="L175" s="9" t="str">
        <x:v>Craft, trade, gift or institutional custody; exact source TBD</x:v>
      </x:c>
      <x:c r="M175" s="9" t="str">
        <x:v>Material candidate: Fitted shell or worked metal; minimal lining if needed</x:v>
      </x:c>
      <x:c r="N175" s="9" t="str">
        <x:v>Not implemented</x:v>
      </x:c>
      <x:c r="O175" s="9" t="str">
        <x:v>Reuse existing box/container family as craft basis; contents counted separately</x:v>
      </x:c>
      <x:c r="P175" s="17"/>
      <x:c r="Q175" s="17"/>
      <x:c r="R175" s="17"/>
      <x:c r="S175" s="17"/>
      <x:c r="T175" s="17"/>
      <x:c r="U175" s="9" t="str">
        <x:v>Labor-intensive fitted finish differentiates it from basic storage. Faith, political authority, ritual practice and prices remain proposals.</x:v>
      </x:c>
      <x:c r="V175" s="11" t="str">
        <x:v>keepsake storage</x:v>
      </x:c>
      <x:c r="W175" s="9" t="str">
        <x:v>New game proposal inspired by proposal-stage lore: https://github.com/sleepyseamonster/Arc-Dust/blob/f6f98515c005dc3c73cccd9cbc031691745740c6/02-Arc-Dust-Worldbuilding/world/economy/canister/religious-traditions.md</x:v>
      </x:c>
      <x:c r="X175" s="4" t="str">
        <x:v>Container</x:v>
      </x:c>
      <x:c r="Y175" s="4" t="str">
        <x:v>Finished item</x:v>
      </x:c>
      <x:c r="Z175" s="4" t="str">
        <x:v>Manufactured / unresolved</x:v>
      </x:c>
      <x:c r="AA175" s="4" t="str">
        <x:v>Ceremony</x:v>
      </x:c>
      <x:c r="AB175" s="4" t="str">
        <x:v>Metal or shell</x:v>
      </x:c>
      <x:c r="AC175" s="4" t="str">
        <x:v>Assembly</x:v>
      </x:c>
      <x:c r="AD175" s="4" t="str">
        <x:v>Proposal</x:v>
      </x:c>
      <x:c r="AE175" s="4" t="str">
        <x:f>LOWER(A175&amp;"; "&amp;B175&amp;"; "&amp;D175&amp;"; "&amp;E175&amp;"; "&amp;X175&amp;"; "&amp;Y175&amp;"; "&amp;Z175&amp;"; "&amp;AA175&amp;"; "&amp;AB175&amp;"; "&amp;AC175&amp;"; "&amp;AD175&amp;"; "&amp;V175&amp;"; "&amp;C175&amp;"; "&amp;AH175&amp;"; "&amp;AI175)</x:f>
        <x:v>proposal.culture.gift_case; ceremonial gift case; salvage; ritual; container; finished item; manufactured / unresolved; ceremony; metal or shell; assembly; proposal; keepsake storage; not applicable; t3; finished item</x:v>
      </x:c>
      <x:c r="AF175"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5" s="4" t="str">
        <x:v>Finished endpoint; material tier is not applicable. Input tiers belong to the chosen recipe.</x:v>
      </x:c>
      <x:c r="AH175" s="4" t="str">
        <x:v>T3</x:v>
      </x:c>
      <x:c r="AI175" s="4" t="str">
        <x:v>Finished item</x:v>
      </x:c>
      <x:c r="AJ175" s="4" t="n">
        <x:f>COUNTIFS('Material routes'!$D$6:$D$2205,A175,'Material routes'!$C$6:$C$2205,"Output")</x:f>
        <x:v>1</x:v>
      </x:c>
      <x:c r="AK175" s="4" t="n">
        <x:f>SUM(COUNTIFS('Material routes'!$D$6:$D$2205,A175,'Material routes'!$C$6:$C$2205,"Ingredient candidate"),COUNTIFS('Material routes'!$D$6:$D$2205,A175,'Material routes'!$C$6:$C$2205,"Consumed input"),COUNTIFS('Material routes'!$D$6:$D$2205,A175,'Material routes'!$C$6:$C$2205,"Contained input"),COUNTIFS('Material routes'!$D$6:$D$2205,A175,'Material routes'!$C$6:$C$2205,"Transform input"))</x:f>
        <x:v>0</x:v>
      </x:c>
      <x:c r="AL175" s="4" t="n">
        <x:f>COUNTIFS('Material routes'!$D$6:$D$2205,A175,'Material routes'!$C$6:$C$2205,"Tool candidate")</x:f>
        <x:v>0</x:v>
      </x:c>
      <x:c r="AM175" s="4" t="str">
        <x:f>IF(AJ175&gt;0,"Route listed; review status/completeness",IF(C175="T0","Raw entry feed; no production route","No production route listed"))</x:f>
        <x:v>Route listed; review status/completeness</x:v>
      </x:c>
      <x:c r="AN175" s="14" t="n">
        <x:f>IF(C175="T0",0,IF(C175="T1",1,IF(C175="T2",2,IF(C175="T3",3,IF(C175="T4",4,IF(C175="Unassigned",98,99))))))</x:f>
        <x:v>99</x:v>
      </x:c>
      <x:c r="AZ175"/>
      <x:c r="BA175"/>
      <x:c r="BB175"/>
      <x:c r="BC175"/>
      <x:c r="BD175"/>
      <x:c r="BE175"/>
      <x:c r="BF175"/>
      <x:c r="BG175"/>
      <x:c r="BH175"/>
      <x:c r="BI175"/>
      <x:c r="BJ175"/>
      <x:c r="BK175"/>
      <x:c r="BL175"/>
      <x:c r="BM175"/>
      <x:c r="BN175"/>
      <x:c r="BO175"/>
      <x:c r="BP175"/>
      <x:c r="BQ175"/>
      <x:c r="BR175"/>
      <x:c r="BS175"/>
      <x:c r="BT175"/>
      <x:c r="BU175"/>
      <x:c r="BV175"/>
      <x:c r="BW175"/>
      <x:c r="BX175"/>
      <x:c r="BY175"/>
      <x:c r="BZ175"/>
      <x:c r="CA175"/>
      <x:c r="CB175"/>
      <x:c r="CC175"/>
    </x:row>
    <x:row r="176" ht="100" customHeight="1">
      <x:c r="A176" s="9" t="str">
        <x:v>proposal.culture.bowl</x:v>
      </x:c>
      <x:c r="B176" s="9" t="str">
        <x:v>Everyday shell bowl</x:v>
      </x:c>
      <x:c r="C176" s="4" t="str">
        <x:v>Not applicable</x:v>
      </x:c>
      <x:c r="D176" s="9" t="inlineStr">
        <x:is>
          <x:t xml:space="preserve">Salvage</x:t>
        </x:is>
      </x:c>
      <x:c r="E176" s="9" t="inlineStr">
        <x:is>
          <x:t xml:space="preserve">Food service &amp; storage</x:t>
        </x:is>
      </x:c>
      <x:c r="F176" s="9" t="str">
        <x:v>New proposal</x:v>
      </x:c>
      <x:c r="G176" s="9" t="inlineStr">
        <x:is>
          <x:t xml:space="preserve">Hold an algae meal or sorted small goods. It is intended to portion, hold or serve the recorded food or drink. Food-contact preparation and the contents remain separate design requirements.</x:t>
        </x:is>
      </x:c>
      <x:c r="H176" s="9" t="str">
        <x:v>Unassigned</x:v>
      </x:c>
      <x:c r="I176" s="9" t="str">
        <x:v>Personal kit / local storage eligibility TBD</x:v>
      </x:c>
      <x:c r="J176" s="13"/>
      <x:c r="K176" s="15"/>
      <x:c r="L176" s="9" t="str">
        <x:v>Craft, trade, gift or institutional custody; exact source TBD</x:v>
      </x:c>
      <x:c r="M176" s="9" t="str">
        <x:v>Material candidate: Prepared shell; safe metal version possible</x:v>
      </x:c>
      <x:c r="N176" s="9" t="str">
        <x:v>Not implemented</x:v>
      </x:c>
      <x:c r="O176" s="9" t="str">
        <x:v>Shell must be assessed for toxic residues; no assumed water supply</x:v>
      </x:c>
      <x:c r="P176" s="17"/>
      <x:c r="Q176" s="17"/>
      <x:c r="R176" s="17"/>
      <x:c r="S176" s="17"/>
      <x:c r="T176" s="17"/>
      <x:c r="U176" s="9" t="str">
        <x:v>Cheap raw shell; food-contact preparation has its own cost. Faith, political authority, ritual practice and prices remain proposals.</x:v>
      </x:c>
      <x:c r="V176" s="11" t="inlineStr">
        <x:is>
          <x:t xml:space="preserve">Everyday household; camp goods; Food service &amp; storage</x:t>
        </x:is>
      </x:c>
      <x:c r="W176" s="9" t="str">
        <x:v>New game proposal; author request October 14, 2026</x:v>
      </x:c>
      <x:c r="X176" s="4" t="str">
        <x:v>Household utensil</x:v>
      </x:c>
      <x:c r="Y176" s="4" t="str">
        <x:v>Finished item</x:v>
      </x:c>
      <x:c r="Z176" s="4" t="str">
        <x:v>Manufactured / unresolved</x:v>
      </x:c>
      <x:c r="AA176" s="4" t="str">
        <x:v>Food service</x:v>
      </x:c>
      <x:c r="AB176" s="4" t="str">
        <x:v>Metal or shell</x:v>
      </x:c>
      <x:c r="AC176" s="4" t="str">
        <x:v>Solid piece</x:v>
      </x:c>
      <x:c r="AD176" s="4" t="str">
        <x:v>Proposal</x:v>
      </x:c>
      <x:c r="AE176" s="4" t="str">
        <x:f>LOWER(A176&amp;"; "&amp;B176&amp;"; "&amp;D176&amp;"; "&amp;E176&amp;"; "&amp;X176&amp;"; "&amp;Y176&amp;"; "&amp;Z176&amp;"; "&amp;AA176&amp;"; "&amp;AB176&amp;"; "&amp;AC176&amp;"; "&amp;AD176&amp;"; "&amp;V176&amp;"; "&amp;C176&amp;"; "&amp;AH176&amp;"; "&amp;AI176)</x:f>
        <x:v>proposal.culture.bowl; everyday shell bowl; salvage; food service &amp; storage; household utensil; finished item; manufactured / unresolved; food service; metal or shell; solid piece; proposal; everyday household; camp goods; food service &amp; storage; not applicable; t1; finished item</x:v>
      </x:c>
      <x:c r="AF176" s="4" t="inlineStr">
        <x:is>
          <x:t xml:space="preserve">From current item description. Proposed uses retain their existing approval status. Author camp organization: Camp items / Food service &amp; storage; previous category/subtype: Everyday objects / Everyday household. Author direction October 16: all Camp items are Salvage; retire the Camp items section. Item identity, condition, tiers, purposes and recipe semantics remain unchanged.</x:t>
        </x:is>
      </x:c>
      <x:c r="AG176" s="4" t="str">
        <x:v>Finished endpoint; material tier is not applicable. Input tiers belong to the chosen recipe.</x:v>
      </x:c>
      <x:c r="AH176" s="4" t="str">
        <x:v>T1</x:v>
      </x:c>
      <x:c r="AI176" s="4" t="str">
        <x:v>Finished item</x:v>
      </x:c>
      <x:c r="AJ176" s="4" t="n">
        <x:f>COUNTIFS('Material routes'!$D$6:$D$2205,A176,'Material routes'!$C$6:$C$2205,"Output")</x:f>
        <x:v>1</x:v>
      </x:c>
      <x:c r="AK176" s="4" t="n">
        <x:f>SUM(COUNTIFS('Material routes'!$D$6:$D$2205,A176,'Material routes'!$C$6:$C$2205,"Ingredient candidate"),COUNTIFS('Material routes'!$D$6:$D$2205,A176,'Material routes'!$C$6:$C$2205,"Consumed input"),COUNTIFS('Material routes'!$D$6:$D$2205,A176,'Material routes'!$C$6:$C$2205,"Contained input"),COUNTIFS('Material routes'!$D$6:$D$2205,A176,'Material routes'!$C$6:$C$2205,"Transform input"))</x:f>
        <x:v>0</x:v>
      </x:c>
      <x:c r="AL176" s="4" t="n">
        <x:f>COUNTIFS('Material routes'!$D$6:$D$2205,A176,'Material routes'!$C$6:$C$2205,"Tool candidate")</x:f>
        <x:v>0</x:v>
      </x:c>
      <x:c r="AM176" s="4" t="str">
        <x:f>IF(AJ176&gt;0,"Route listed; review status/completeness",IF(C176="T0","Raw entry feed; no production route","No production route listed"))</x:f>
        <x:v>Route listed; review status/completeness</x:v>
      </x:c>
      <x:c r="AN176" s="14" t="n">
        <x:f>IF(C176="T0",0,IF(C176="T1",1,IF(C176="T2",2,IF(C176="T3",3,IF(C176="T4",4,IF(C176="Unassigned",98,99))))))</x:f>
        <x:v>99</x:v>
      </x:c>
      <x:c r="AZ176"/>
      <x:c r="BA176"/>
      <x:c r="BB176"/>
      <x:c r="BC176"/>
      <x:c r="BD176"/>
      <x:c r="BE176"/>
      <x:c r="BF176"/>
      <x:c r="BG176"/>
      <x:c r="BH176"/>
      <x:c r="BI176"/>
      <x:c r="BJ176"/>
      <x:c r="BK176"/>
      <x:c r="BL176"/>
      <x:c r="BM176"/>
      <x:c r="BN176"/>
      <x:c r="BO176"/>
      <x:c r="BP176"/>
      <x:c r="BQ176"/>
      <x:c r="BR176"/>
      <x:c r="BS176"/>
      <x:c r="BT176"/>
      <x:c r="BU176"/>
      <x:c r="BV176"/>
      <x:c r="BW176"/>
      <x:c r="BX176"/>
      <x:c r="BY176"/>
      <x:c r="BZ176"/>
      <x:c r="CA176"/>
      <x:c r="CB176"/>
      <x:c r="CC176"/>
    </x:row>
    <x:row r="177" ht="100" customHeight="1">
      <x:c r="A177" s="9" t="str">
        <x:v>proposal.culture.spoon</x:v>
      </x:c>
      <x:c r="B177" s="9" t="str">
        <x:v>Algae spoon / scraper</x:v>
      </x:c>
      <x:c r="C177" s="4" t="str">
        <x:v>Not applicable</x:v>
      </x:c>
      <x:c r="D177" s="9" t="inlineStr">
        <x:is>
          <x:t xml:space="preserve">Salvage</x:t>
        </x:is>
      </x:c>
      <x:c r="E177" s="9" t="inlineStr">
        <x:is>
          <x:t xml:space="preserve">Food service &amp; storage</x:t>
        </x:is>
      </x:c>
      <x:c r="F177" s="9" t="str">
        <x:v>New proposal</x:v>
      </x:c>
      <x:c r="G177" s="9" t="inlineStr">
        <x:is>
          <x:t xml:space="preserve">Eat or scrape a contained algae portion. It is intended to portion, hold or serve the recorded food or drink. Food-contact preparation and the contents remain separate design requirements.</x:t>
        </x:is>
      </x:c>
      <x:c r="H177" s="9" t="str">
        <x:v>Unassigned</x:v>
      </x:c>
      <x:c r="I177" s="9" t="str">
        <x:v>Personal kit / local storage eligibility TBD</x:v>
      </x:c>
      <x:c r="J177" s="13"/>
      <x:c r="K177" s="15"/>
      <x:c r="L177" s="9" t="str">
        <x:v>Craft, trade, gift or institutional custody; exact source TBD</x:v>
      </x:c>
      <x:c r="M177" s="9" t="str">
        <x:v>Material candidate: Formed metal or prepared shell</x:v>
      </x:c>
      <x:c r="N177" s="9" t="str">
        <x:v>Not implemented</x:v>
      </x:c>
      <x:c r="O177" s="9" t="str">
        <x:v>Food-safe finish TBD; no duplicate algae supply</x:v>
      </x:c>
      <x:c r="P177" s="17"/>
      <x:c r="Q177" s="17"/>
      <x:c r="R177" s="17"/>
      <x:c r="S177" s="17"/>
      <x:c r="T177" s="17"/>
      <x:c r="U177" s="9" t="str">
        <x:v>Practical simple tool; workmanship and material determine value. Faith, political authority, ritual practice and prices remain proposals.</x:v>
      </x:c>
      <x:c r="V177" s="11" t="inlineStr">
        <x:is>
          <x:t xml:space="preserve">Everyday household; camp goods; Food service &amp; storage</x:t>
        </x:is>
      </x:c>
      <x:c r="W177" s="9" t="str">
        <x:v>New game proposal; author request October 14, 2026</x:v>
      </x:c>
      <x:c r="X177" s="4" t="str">
        <x:v>Household utensil</x:v>
      </x:c>
      <x:c r="Y177" s="4" t="str">
        <x:v>Finished item</x:v>
      </x:c>
      <x:c r="Z177" s="4" t="str">
        <x:v>Manufactured / unresolved</x:v>
      </x:c>
      <x:c r="AA177" s="4" t="str">
        <x:v>Food service</x:v>
      </x:c>
      <x:c r="AB177" s="4" t="str">
        <x:v>Metal or shell</x:v>
      </x:c>
      <x:c r="AC177" s="4" t="str">
        <x:v>Solid piece</x:v>
      </x:c>
      <x:c r="AD177" s="4" t="str">
        <x:v>Proposal</x:v>
      </x:c>
      <x:c r="AE177" s="4" t="str">
        <x:f>LOWER(A177&amp;"; "&amp;B177&amp;"; "&amp;D177&amp;"; "&amp;E177&amp;"; "&amp;X177&amp;"; "&amp;Y177&amp;"; "&amp;Z177&amp;"; "&amp;AA177&amp;"; "&amp;AB177&amp;"; "&amp;AC177&amp;"; "&amp;AD177&amp;"; "&amp;V177&amp;"; "&amp;C177&amp;"; "&amp;AH177&amp;"; "&amp;AI177)</x:f>
        <x:v>proposal.culture.spoon; algae spoon / scraper; salvage; food service &amp; storage; household utensil; finished item; manufactured / unresolved; food service; metal or shell; solid piece; proposal; everyday household; camp goods; food service &amp; storage; not applicable; t1; finished item</x:v>
      </x:c>
      <x:c r="AF177" s="4" t="inlineStr">
        <x:is>
          <x:t xml:space="preserve">From current item description. Proposed uses retain their existing approval status. Author camp organization: Camp items / Food service &amp; storage; previous category/subtype: Everyday objects / Everyday household. Author direction October 16: all Camp items are Salvage; retire the Camp items section. Item identity, condition, tiers, purposes and recipe semantics remain unchanged.</x:t>
        </x:is>
      </x:c>
      <x:c r="AG177" s="4" t="str">
        <x:v>Finished endpoint; material tier is not applicable. Input tiers belong to the chosen recipe.</x:v>
      </x:c>
      <x:c r="AH177" s="4" t="str">
        <x:v>T1</x:v>
      </x:c>
      <x:c r="AI177" s="4" t="str">
        <x:v>Finished item</x:v>
      </x:c>
      <x:c r="AJ177" s="4" t="n">
        <x:f>COUNTIFS('Material routes'!$D$6:$D$2205,A177,'Material routes'!$C$6:$C$2205,"Output")</x:f>
        <x:v>1</x:v>
      </x:c>
      <x:c r="AK177" s="4" t="n">
        <x:f>SUM(COUNTIFS('Material routes'!$D$6:$D$2205,A177,'Material routes'!$C$6:$C$2205,"Ingredient candidate"),COUNTIFS('Material routes'!$D$6:$D$2205,A177,'Material routes'!$C$6:$C$2205,"Consumed input"),COUNTIFS('Material routes'!$D$6:$D$2205,A177,'Material routes'!$C$6:$C$2205,"Contained input"),COUNTIFS('Material routes'!$D$6:$D$2205,A177,'Material routes'!$C$6:$C$2205,"Transform input"))</x:f>
        <x:v>0</x:v>
      </x:c>
      <x:c r="AL177" s="4" t="n">
        <x:f>COUNTIFS('Material routes'!$D$6:$D$2205,A177,'Material routes'!$C$6:$C$2205,"Tool candidate")</x:f>
        <x:v>0</x:v>
      </x:c>
      <x:c r="AM177" s="4" t="str">
        <x:f>IF(AJ177&gt;0,"Route listed; review status/completeness",IF(C177="T0","Raw entry feed; no production route","No production route listed"))</x:f>
        <x:v>Route listed; review status/completeness</x:v>
      </x:c>
      <x:c r="AN177" s="14" t="n">
        <x:f>IF(C177="T0",0,IF(C177="T1",1,IF(C177="T2",2,IF(C177="T3",3,IF(C177="T4",4,IF(C177="Unassigned",98,99))))))</x:f>
        <x:v>99</x:v>
      </x:c>
      <x:c r="AZ177"/>
      <x:c r="BA177"/>
      <x:c r="BB177"/>
      <x:c r="BC177"/>
      <x:c r="BD177"/>
      <x:c r="BE177"/>
      <x:c r="BF177"/>
      <x:c r="BG177"/>
      <x:c r="BH177"/>
      <x:c r="BI177"/>
      <x:c r="BJ177"/>
      <x:c r="BK177"/>
      <x:c r="BL177"/>
      <x:c r="BM177"/>
      <x:c r="BN177"/>
      <x:c r="BO177"/>
      <x:c r="BP177"/>
      <x:c r="BQ177"/>
      <x:c r="BR177"/>
      <x:c r="BS177"/>
      <x:c r="BT177"/>
      <x:c r="BU177"/>
      <x:c r="BV177"/>
      <x:c r="BW177"/>
      <x:c r="BX177"/>
      <x:c r="BY177"/>
      <x:c r="BZ177"/>
      <x:c r="CA177"/>
      <x:c r="CB177"/>
      <x:c r="CC177"/>
    </x:row>
    <x:row r="178" ht="100" customHeight="1">
      <x:c r="A178" s="9" t="str">
        <x:v>proposal.culture.brush</x:v>
      </x:c>
      <x:c r="B178" s="9" t="str">
        <x:v>Dust brush</x:v>
      </x:c>
      <x:c r="C178" s="4" t="str">
        <x:v>Not applicable</x:v>
      </x:c>
      <x:c r="D178" s="9" t="inlineStr">
        <x:is>
          <x:t xml:space="preserve">Salvage</x:t>
        </x:is>
      </x:c>
      <x:c r="E178" s="9" t="inlineStr">
        <x:is>
          <x:t xml:space="preserve">Cleaning &amp; personal care</x:t>
        </x:is>
      </x:c>
      <x:c r="F178" s="9" t="str">
        <x:v>New proposal</x:v>
      </x:c>
      <x:c r="G178" s="9" t="inlineStr">
        <x:is>
          <x:t xml:space="preserve">Sweep dust from possessions and living areas. It is intended to dislodge or collect dirt from a suitable surface using its recorded physical form.</x:t>
        </x:is>
      </x:c>
      <x:c r="H178" s="9" t="str">
        <x:v>Unassigned</x:v>
      </x:c>
      <x:c r="I178" s="9" t="str">
        <x:v>Personal kit / local storage eligibility TBD</x:v>
      </x:c>
      <x:c r="J178" s="13"/>
      <x:c r="K178" s="15"/>
      <x:c r="L178" s="9" t="str">
        <x:v>Craft, trade, gift or institutional custody; exact source TBD</x:v>
      </x:c>
      <x:c r="M178" s="9" t="str">
        <x:v>Material candidate: Selected fauna bristles in a shell/metal head</x:v>
      </x:c>
      <x:c r="N178" s="9" t="str">
        <x:v>Not implemented</x:v>
      </x:c>
      <x:c r="O178" s="9" t="str">
        <x:v>Bristle safety and assembly unresolved; no cloth required</x:v>
      </x:c>
      <x:c r="P178" s="17"/>
      <x:c r="Q178" s="17"/>
      <x:c r="R178" s="17"/>
      <x:c r="S178" s="17"/>
      <x:c r="T178" s="17"/>
      <x:c r="U178" s="9" t="str">
        <x:v>Raw bristles and finished brush have separate value. Faith, political authority, ritual practice and prices remain proposals.</x:v>
      </x:c>
      <x:c r="V178" s="11" t="inlineStr">
        <x:is>
          <x:t xml:space="preserve">Everyday household; camp goods; Cleaning &amp; personal care</x:t>
        </x:is>
      </x:c>
      <x:c r="W178" s="9" t="str">
        <x:v>New game proposal; author request October 14, 2026</x:v>
      </x:c>
      <x:c r="X178" s="4" t="str">
        <x:v>Tool</x:v>
      </x:c>
      <x:c r="Y178" s="4" t="str">
        <x:v>Finished item</x:v>
      </x:c>
      <x:c r="Z178" s="4" t="str">
        <x:v>Manufactured / unresolved</x:v>
      </x:c>
      <x:c r="AA178" s="4" t="str">
        <x:v>Cleaning</x:v>
      </x:c>
      <x:c r="AB178" s="4" t="str">
        <x:v>Faunal fiber and shell</x:v>
      </x:c>
      <x:c r="AC178" s="4" t="str">
        <x:v>Assembly</x:v>
      </x:c>
      <x:c r="AD178" s="4" t="str">
        <x:v>Proposal</x:v>
      </x:c>
      <x:c r="AE178" s="4" t="str">
        <x:f>LOWER(A178&amp;"; "&amp;B178&amp;"; "&amp;D178&amp;"; "&amp;E178&amp;"; "&amp;X178&amp;"; "&amp;Y178&amp;"; "&amp;Z178&amp;"; "&amp;AA178&amp;"; "&amp;AB178&amp;"; "&amp;AC178&amp;"; "&amp;AD178&amp;"; "&amp;V178&amp;"; "&amp;C178&amp;"; "&amp;AH178&amp;"; "&amp;AI178)</x:f>
        <x:v>proposal.culture.brush; dust brush; salvage; cleaning &amp; personal care; tool; finished item; manufactured / unresolved; cleaning; faunal fiber and shell; assembly; proposal; everyday household; camp goods; cleaning &amp; personal care; not applicable; t3; finished item</x:v>
      </x:c>
      <x:c r="AF178" s="4" t="inlineStr">
        <x:is>
          <x:t xml:space="preserve">From current item description. Proposed uses retain their existing approval status. Author camp organization: Camp items / Cleaning &amp; personal care; previous category/subtype: Everyday objects / Everyday household. Author direction October 16: all Camp items are Salvage; retire the Camp items section. Item identity, condition, tiers, purposes and recipe semantics remain unchanged.</x:t>
        </x:is>
      </x:c>
      <x:c r="AG178" s="4" t="str">
        <x:v>Finished endpoint; material tier is not applicable. Input tiers belong to the chosen recipe.</x:v>
      </x:c>
      <x:c r="AH178" s="4" t="str">
        <x:v>T3</x:v>
      </x:c>
      <x:c r="AI178" s="4" t="str">
        <x:v>Finished item</x:v>
      </x:c>
      <x:c r="AJ178" s="4" t="n">
        <x:f>COUNTIFS('Material routes'!$D$6:$D$2205,A178,'Material routes'!$C$6:$C$2205,"Output")</x:f>
        <x:v>1</x:v>
      </x:c>
      <x:c r="AK178" s="4" t="n">
        <x:f>SUM(COUNTIFS('Material routes'!$D$6:$D$2205,A178,'Material routes'!$C$6:$C$2205,"Ingredient candidate"),COUNTIFS('Material routes'!$D$6:$D$2205,A178,'Material routes'!$C$6:$C$2205,"Consumed input"),COUNTIFS('Material routes'!$D$6:$D$2205,A178,'Material routes'!$C$6:$C$2205,"Contained input"),COUNTIFS('Material routes'!$D$6:$D$2205,A178,'Material routes'!$C$6:$C$2205,"Transform input"))</x:f>
        <x:v>0</x:v>
      </x:c>
      <x:c r="AL178" s="4" t="n">
        <x:f>COUNTIFS('Material routes'!$D$6:$D$2205,A178,'Material routes'!$C$6:$C$2205,"Tool candidate")</x:f>
        <x:v>0</x:v>
      </x:c>
      <x:c r="AM178" s="4" t="str">
        <x:f>IF(AJ178&gt;0,"Route listed; review status/completeness",IF(C178="T0","Raw entry feed; no production route","No production route listed"))</x:f>
        <x:v>Route listed; review status/completeness</x:v>
      </x:c>
      <x:c r="AN178" s="14" t="n">
        <x:f>IF(C178="T0",0,IF(C178="T1",1,IF(C178="T2",2,IF(C178="T3",3,IF(C178="T4",4,IF(C178="Unassigned",98,99))))))</x:f>
        <x:v>99</x:v>
      </x:c>
      <x:c r="AZ178"/>
      <x:c r="BA178"/>
      <x:c r="BB178"/>
      <x:c r="BC178"/>
      <x:c r="BD178"/>
      <x:c r="BE178"/>
      <x:c r="BF178"/>
      <x:c r="BG178"/>
      <x:c r="BH178"/>
      <x:c r="BI178"/>
      <x:c r="BJ178"/>
      <x:c r="BK178"/>
      <x:c r="BL178"/>
      <x:c r="BM178"/>
      <x:c r="BN178"/>
      <x:c r="BO178"/>
      <x:c r="BP178"/>
      <x:c r="BQ178"/>
      <x:c r="BR178"/>
      <x:c r="BS178"/>
      <x:c r="BT178"/>
      <x:c r="BU178"/>
      <x:c r="BV178"/>
      <x:c r="BW178"/>
      <x:c r="BX178"/>
      <x:c r="BY178"/>
      <x:c r="BZ178"/>
      <x:c r="CA178"/>
      <x:c r="CB178"/>
      <x:c r="CC178"/>
    </x:row>
    <x:row r="179" ht="100" customHeight="1">
      <x:c r="A179" s="9" t="str">
        <x:v>proposal.culture.comb</x:v>
      </x:c>
      <x:c r="B179" s="9" t="str">
        <x:v>Shell comb</x:v>
      </x:c>
      <x:c r="C179" s="4" t="str">
        <x:v>Not applicable</x:v>
      </x:c>
      <x:c r="D179" s="9" t="inlineStr">
        <x:is>
          <x:t xml:space="preserve">Salvage</x:t>
        </x:is>
      </x:c>
      <x:c r="E179" s="9" t="inlineStr">
        <x:is>
          <x:t xml:space="preserve">Cleaning &amp; personal care</x:t>
        </x:is>
      </x:c>
      <x:c r="F179" s="9" t="str">
        <x:v>New proposal</x:v>
      </x:c>
      <x:c r="G179" s="9" t="inlineStr">
        <x:is>
          <x:t xml:space="preserve">Personal grooming. It is intended for personal grooming through direct contact, with the working edges and fit shaped for that use.</x:t>
        </x:is>
      </x:c>
      <x:c r="H179" s="9" t="str">
        <x:v>Unassigned</x:v>
      </x:c>
      <x:c r="I179" s="9" t="str">
        <x:v>Personal kit / local storage eligibility TBD</x:v>
      </x:c>
      <x:c r="J179" s="13"/>
      <x:c r="K179" s="15"/>
      <x:c r="L179" s="9" t="str">
        <x:v>Craft, trade, gift or institutional custody; exact source TBD</x:v>
      </x:c>
      <x:c r="M179" s="9" t="str">
        <x:v>Material candidate: Carved shell or metal</x:v>
      </x:c>
      <x:c r="N179" s="9" t="str">
        <x:v>Not implemented</x:v>
      </x:c>
      <x:c r="O179" s="9" t="str">
        <x:v>No fur textile input or clothing slot implied</x:v>
      </x:c>
      <x:c r="P179" s="17"/>
      <x:c r="Q179" s="17"/>
      <x:c r="R179" s="17"/>
      <x:c r="S179" s="17"/>
      <x:c r="T179" s="17"/>
      <x:c r="U179" s="9" t="str">
        <x:v>Simple cheap-material craft; elaborate fine-tooth versions possible. Faith, political authority, ritual practice and prices remain proposals.</x:v>
      </x:c>
      <x:c r="V179" s="11" t="inlineStr">
        <x:is>
          <x:t xml:space="preserve">Everyday household; camp goods; Cleaning &amp; personal care</x:t>
        </x:is>
      </x:c>
      <x:c r="W179" s="9" t="str">
        <x:v>New game proposal; author request October 14, 2026</x:v>
      </x:c>
      <x:c r="X179" s="4" t="str">
        <x:v>Household utensil</x:v>
      </x:c>
      <x:c r="Y179" s="4" t="str">
        <x:v>Finished item</x:v>
      </x:c>
      <x:c r="Z179" s="4" t="str">
        <x:v>Manufactured / unresolved</x:v>
      </x:c>
      <x:c r="AA179" s="4" t="str">
        <x:v>Grooming</x:v>
      </x:c>
      <x:c r="AB179" s="4" t="str">
        <x:v>Metal or shell</x:v>
      </x:c>
      <x:c r="AC179" s="4" t="str">
        <x:v>Solid piece</x:v>
      </x:c>
      <x:c r="AD179" s="4" t="str">
        <x:v>Proposal</x:v>
      </x:c>
      <x:c r="AE179" s="4" t="str">
        <x:f>LOWER(A179&amp;"; "&amp;B179&amp;"; "&amp;D179&amp;"; "&amp;E179&amp;"; "&amp;X179&amp;"; "&amp;Y179&amp;"; "&amp;Z179&amp;"; "&amp;AA179&amp;"; "&amp;AB179&amp;"; "&amp;AC179&amp;"; "&amp;AD179&amp;"; "&amp;V179&amp;"; "&amp;C179&amp;"; "&amp;AH179&amp;"; "&amp;AI179)</x:f>
        <x:v>proposal.culture.comb; shell comb; salvage; cleaning &amp; personal care; household utensil; finished item; manufactured / unresolved; grooming; metal or shell; solid piece; proposal; everyday household; camp goods; cleaning &amp; personal care; not applicable; t1; finished item</x:v>
      </x:c>
      <x:c r="AF179" s="4" t="inlineStr">
        <x:is>
          <x:t xml:space="preserve">From current item description. Proposed uses retain their existing approval status. Author camp organization: Camp items / Cleaning &amp; personal care; previous category/subtype: Everyday objects / Everyday household. Author direction October 16: all Camp items are Salvage; retire the Camp items section. Item identity, condition, tiers, purposes and recipe semantics remain unchanged.</x:t>
        </x:is>
      </x:c>
      <x:c r="AG179" s="4" t="str">
        <x:v>Finished endpoint; material tier is not applicable. Input tiers belong to the chosen recipe.</x:v>
      </x:c>
      <x:c r="AH179" s="4" t="str">
        <x:v>T1</x:v>
      </x:c>
      <x:c r="AI179" s="4" t="str">
        <x:v>Finished item</x:v>
      </x:c>
      <x:c r="AJ179" s="4" t="n">
        <x:f>COUNTIFS('Material routes'!$D$6:$D$2205,A179,'Material routes'!$C$6:$C$2205,"Output")</x:f>
        <x:v>1</x:v>
      </x:c>
      <x:c r="AK179" s="4" t="n">
        <x:f>SUM(COUNTIFS('Material routes'!$D$6:$D$2205,A179,'Material routes'!$C$6:$C$2205,"Ingredient candidate"),COUNTIFS('Material routes'!$D$6:$D$2205,A179,'Material routes'!$C$6:$C$2205,"Consumed input"),COUNTIFS('Material routes'!$D$6:$D$2205,A179,'Material routes'!$C$6:$C$2205,"Contained input"),COUNTIFS('Material routes'!$D$6:$D$2205,A179,'Material routes'!$C$6:$C$2205,"Transform input"))</x:f>
        <x:v>0</x:v>
      </x:c>
      <x:c r="AL179" s="4" t="n">
        <x:f>COUNTIFS('Material routes'!$D$6:$D$2205,A179,'Material routes'!$C$6:$C$2205,"Tool candidate")</x:f>
        <x:v>0</x:v>
      </x:c>
      <x:c r="AM179" s="4" t="str">
        <x:f>IF(AJ179&gt;0,"Route listed; review status/completeness",IF(C179="T0","Raw entry feed; no production route","No production route listed"))</x:f>
        <x:v>Route listed; review status/completeness</x:v>
      </x:c>
      <x:c r="AN179" s="14" t="n">
        <x:f>IF(C179="T0",0,IF(C179="T1",1,IF(C179="T2",2,IF(C179="T3",3,IF(C179="T4",4,IF(C179="Unassigned",98,99))))))</x:f>
        <x:v>99</x:v>
      </x:c>
      <x:c r="AZ179"/>
      <x:c r="BA179"/>
      <x:c r="BB179"/>
      <x:c r="BC179"/>
      <x:c r="BD179"/>
      <x:c r="BE179"/>
      <x:c r="BF179"/>
      <x:c r="BG179"/>
      <x:c r="BH179"/>
      <x:c r="BI179"/>
      <x:c r="BJ179"/>
      <x:c r="BK179"/>
      <x:c r="BL179"/>
      <x:c r="BM179"/>
      <x:c r="BN179"/>
      <x:c r="BO179"/>
      <x:c r="BP179"/>
      <x:c r="BQ179"/>
      <x:c r="BR179"/>
      <x:c r="BS179"/>
      <x:c r="BT179"/>
      <x:c r="BU179"/>
      <x:c r="BV179"/>
      <x:c r="BW179"/>
      <x:c r="BX179"/>
      <x:c r="BY179"/>
      <x:c r="BZ179"/>
      <x:c r="CA179"/>
      <x:c r="CB179"/>
      <x:c r="CC179"/>
    </x:row>
    <x:row r="180" ht="100" customHeight="1">
      <x:c r="A180" s="9" t="str">
        <x:v>proposal.culture.tablet</x:v>
      </x:c>
      <x:c r="B180" s="9" t="str">
        <x:v>Reusable tally tablet</x:v>
      </x:c>
      <x:c r="C180" s="4" t="str">
        <x:v>Not applicable</x:v>
      </x:c>
      <x:c r="D180" s="9" t="inlineStr">
        <x:is>
          <x:t xml:space="preserve">Salvage</x:t>
        </x:is>
      </x:c>
      <x:c r="E180" s="9" t="inlineStr">
        <x:is>
          <x:t xml:space="preserve">Camp records</x:t>
        </x:is>
      </x:c>
      <x:c r="F180" s="9" t="str">
        <x:v>New proposal</x:v>
      </x:c>
      <x:c r="G180" s="9" t="inlineStr">
        <x:is>
          <x:t xml:space="preserve">Practice marks, keep counts or leave short messages. It provides a physical way to make, carry or preserve marks and records, without assigning a particular script or institution.</x:t>
        </x:is>
      </x:c>
      <x:c r="H180" s="9" t="str">
        <x:v>Unassigned</x:v>
      </x:c>
      <x:c r="I180" s="9" t="str">
        <x:v>Personal kit / local storage eligibility TBD</x:v>
      </x:c>
      <x:c r="J180" s="13"/>
      <x:c r="K180" s="15"/>
      <x:c r="L180" s="9" t="str">
        <x:v>Craft, trade, gift or institutional custody; exact source TBD</x:v>
      </x:c>
      <x:c r="M180" s="9" t="str">
        <x:v>Material candidate: Incised shell or soft mineral plate</x:v>
      </x:c>
      <x:c r="N180" s="9" t="str">
        <x:v>Not implemented</x:v>
      </x:c>
      <x:c r="O180" s="9" t="str">
        <x:v>Writing method must match surface; not an electronic tablet</x:v>
      </x:c>
      <x:c r="P180" s="17"/>
      <x:c r="Q180" s="17"/>
      <x:c r="R180" s="17"/>
      <x:c r="S180" s="17"/>
      <x:c r="T180" s="17"/>
      <x:c r="U180" s="9" t="str">
        <x:v>Paper-saving reusable surface; exact erasability TBD. Faith, political authority, ritual practice and prices remain proposals.</x:v>
      </x:c>
      <x:c r="V180" s="11" t="inlineStr">
        <x:is>
          <x:t xml:space="preserve">Everyday household; camp goods; Camp records</x:t>
        </x:is>
      </x:c>
      <x:c r="W180" s="9" t="str">
        <x:v>New game proposal; author request October 14, 2026</x:v>
      </x:c>
      <x:c r="X180" s="4" t="str">
        <x:v>Document</x:v>
      </x:c>
      <x:c r="Y180" s="4" t="str">
        <x:v>Finished item</x:v>
      </x:c>
      <x:c r="Z180" s="4" t="str">
        <x:v>Manufactured / unresolved</x:v>
      </x:c>
      <x:c r="AA180" s="4" t="str">
        <x:v>Writing and records</x:v>
      </x:c>
      <x:c r="AB180" s="4" t="str">
        <x:v>Mineral or shell</x:v>
      </x:c>
      <x:c r="AC180" s="4" t="str">
        <x:v>Solid piece</x:v>
      </x:c>
      <x:c r="AD180" s="4" t="str">
        <x:v>Proposal</x:v>
      </x:c>
      <x:c r="AE180" s="4" t="str">
        <x:f>LOWER(A180&amp;"; "&amp;B180&amp;"; "&amp;D180&amp;"; "&amp;E180&amp;"; "&amp;X180&amp;"; "&amp;Y180&amp;"; "&amp;Z180&amp;"; "&amp;AA180&amp;"; "&amp;AB180&amp;"; "&amp;AC180&amp;"; "&amp;AD180&amp;"; "&amp;V180&amp;"; "&amp;C180&amp;"; "&amp;AH180&amp;"; "&amp;AI180)</x:f>
        <x:v>proposal.culture.tablet; reusable tally tablet; salvage; camp records; document; finished item; manufactured / unresolved; writing and records; mineral or shell; solid piece; proposal; everyday household; camp goods; camp records; not applicable; t0; finished item</x:v>
      </x:c>
      <x:c r="AF180" s="4" t="inlineStr">
        <x:is>
          <x:t xml:space="preserve">From current item description. Proposed uses retain their existing approval status. Author camp organization: Camp items / Camp records; previous category/subtype: Everyday objects / Everyday household. Author direction October 16: all Camp items are Salvage; retire the Camp items section. Item identity, condition, tiers, purposes and recipe semantics remain unchanged.</x:t>
        </x:is>
      </x:c>
      <x:c r="AG180" s="4" t="str">
        <x:v>Finished endpoint; material tier is not applicable. Input tiers belong to the chosen recipe.</x:v>
      </x:c>
      <x:c r="AH180" s="4" t="str">
        <x:v>T0</x:v>
      </x:c>
      <x:c r="AI180" s="4" t="str">
        <x:v>Finished item</x:v>
      </x:c>
      <x:c r="AJ180" s="4" t="n">
        <x:f>COUNTIFS('Material routes'!$D$6:$D$2205,A180,'Material routes'!$C$6:$C$2205,"Output")</x:f>
        <x:v>1</x:v>
      </x:c>
      <x:c r="AK180" s="4" t="n">
        <x:f>SUM(COUNTIFS('Material routes'!$D$6:$D$2205,A180,'Material routes'!$C$6:$C$2205,"Ingredient candidate"),COUNTIFS('Material routes'!$D$6:$D$2205,A180,'Material routes'!$C$6:$C$2205,"Consumed input"),COUNTIFS('Material routes'!$D$6:$D$2205,A180,'Material routes'!$C$6:$C$2205,"Contained input"),COUNTIFS('Material routes'!$D$6:$D$2205,A180,'Material routes'!$C$6:$C$2205,"Transform input"))</x:f>
        <x:v>0</x:v>
      </x:c>
      <x:c r="AL180" s="4" t="n">
        <x:f>COUNTIFS('Material routes'!$D$6:$D$2205,A180,'Material routes'!$C$6:$C$2205,"Tool candidate")</x:f>
        <x:v>0</x:v>
      </x:c>
      <x:c r="AM180" s="4" t="str">
        <x:f>IF(AJ180&gt;0,"Route listed; review status/completeness",IF(C180="T0","Raw entry feed; no production route","No production route listed"))</x:f>
        <x:v>Route listed; review status/completeness</x:v>
      </x:c>
      <x:c r="AN180" s="14" t="n">
        <x:f>IF(C180="T0",0,IF(C180="T1",1,IF(C180="T2",2,IF(C180="T3",3,IF(C180="T4",4,IF(C180="Unassigned",98,99))))))</x:f>
        <x:v>99</x:v>
      </x:c>
      <x:c r="AZ180"/>
      <x:c r="BA180"/>
      <x:c r="BB180"/>
      <x:c r="BC180"/>
      <x:c r="BD180"/>
      <x:c r="BE180"/>
      <x:c r="BF180"/>
      <x:c r="BG180"/>
      <x:c r="BH180"/>
      <x:c r="BI180"/>
      <x:c r="BJ180"/>
      <x:c r="BK180"/>
      <x:c r="BL180"/>
      <x:c r="BM180"/>
      <x:c r="BN180"/>
      <x:c r="BO180"/>
      <x:c r="BP180"/>
      <x:c r="BQ180"/>
      <x:c r="BR180"/>
      <x:c r="BS180"/>
      <x:c r="BT180"/>
      <x:c r="BU180"/>
      <x:c r="BV180"/>
      <x:c r="BW180"/>
      <x:c r="BX180"/>
      <x:c r="BY180"/>
      <x:c r="BZ180"/>
      <x:c r="CA180"/>
      <x:c r="CB180"/>
      <x:c r="CC180"/>
    </x:row>
    <x:row r="181" ht="100" customHeight="1">
      <x:c r="A181" s="9" t="str">
        <x:v>proposal.culture.stylus</x:v>
      </x:c>
      <x:c r="B181" s="9" t="str">
        <x:v>Marking stylus</x:v>
      </x:c>
      <x:c r="C181" s="4" t="str">
        <x:v>Not applicable</x:v>
      </x:c>
      <x:c r="D181" s="9" t="inlineStr">
        <x:is>
          <x:t xml:space="preserve">Salvage</x:t>
        </x:is>
      </x:c>
      <x:c r="E181" s="9" t="inlineStr">
        <x:is>
          <x:t xml:space="preserve">Camp records</x:t>
        </x:is>
      </x:c>
      <x:c r="F181" s="9" t="str">
        <x:v>New proposal</x:v>
      </x:c>
      <x:c r="G181" s="9" t="inlineStr">
        <x:is>
          <x:t xml:space="preserve">Incise compatible tablets, labels or simple designs. It provides a physical way to make, carry or preserve marks and records, without assigning a particular script or institution.</x:t>
        </x:is>
      </x:c>
      <x:c r="H181" s="9" t="str">
        <x:v>Unassigned</x:v>
      </x:c>
      <x:c r="I181" s="9" t="str">
        <x:v>Personal kit / local storage eligibility TBD</x:v>
      </x:c>
      <x:c r="J181" s="13"/>
      <x:c r="K181" s="15"/>
      <x:c r="L181" s="9" t="str">
        <x:v>Craft, trade, gift or institutional custody; exact source TBD</x:v>
      </x:c>
      <x:c r="M181" s="9" t="str">
        <x:v>Material candidate: Worked metal point in a shell/metal grip</x:v>
      </x:c>
      <x:c r="N181" s="9" t="str">
        <x:v>Not implemented</x:v>
      </x:c>
      <x:c r="O181" s="9" t="str">
        <x:v>No ink chemistry or universal writing compatibility assumed</x:v>
      </x:c>
      <x:c r="P181" s="17"/>
      <x:c r="Q181" s="17"/>
      <x:c r="R181" s="17"/>
      <x:c r="S181" s="17"/>
      <x:c r="T181" s="17"/>
      <x:c r="U181" s="9" t="str">
        <x:v>Simple durable tool; fine engraving tools are separate specialist grades. Faith, political authority, ritual practice and prices remain proposals.</x:v>
      </x:c>
      <x:c r="V181" s="11" t="inlineStr">
        <x:is>
          <x:t xml:space="preserve">Everyday household; camp goods; Camp records</x:t>
        </x:is>
      </x:c>
      <x:c r="W181" s="9" t="str">
        <x:v>New game proposal; author request October 14, 2026</x:v>
      </x:c>
      <x:c r="X181" s="4" t="str">
        <x:v>Tool</x:v>
      </x:c>
      <x:c r="Y181" s="4" t="str">
        <x:v>Finished item</x:v>
      </x:c>
      <x:c r="Z181" s="4" t="str">
        <x:v>Manufactured / unresolved</x:v>
      </x:c>
      <x:c r="AA181" s="4" t="str">
        <x:v>Writing and records</x:v>
      </x:c>
      <x:c r="AB181" s="4" t="str">
        <x:v>Metal and shell</x:v>
      </x:c>
      <x:c r="AC181" s="4" t="str">
        <x:v>Solid part</x:v>
      </x:c>
      <x:c r="AD181" s="4" t="str">
        <x:v>Proposal</x:v>
      </x:c>
      <x:c r="AE181" s="4" t="str">
        <x:f>LOWER(A181&amp;"; "&amp;B181&amp;"; "&amp;D181&amp;"; "&amp;E181&amp;"; "&amp;X181&amp;"; "&amp;Y181&amp;"; "&amp;Z181&amp;"; "&amp;AA181&amp;"; "&amp;AB181&amp;"; "&amp;AC181&amp;"; "&amp;AD181&amp;"; "&amp;V181&amp;"; "&amp;C181&amp;"; "&amp;AH181&amp;"; "&amp;AI181)</x:f>
        <x:v>proposal.culture.stylus; marking stylus; salvage; camp records; tool; finished item; manufactured / unresolved; writing and records; metal and shell; solid part; proposal; everyday household; camp goods; camp records; not applicable; t2; finished item</x:v>
      </x:c>
      <x:c r="AF181" s="4" t="inlineStr">
        <x:is>
          <x:t xml:space="preserve">From current item description. Proposed uses retain their existing approval status. Author camp organization: Camp items / Camp records; previous category/subtype: Everyday objects / Everyday household. Author direction October 16: all Camp items are Salvage; retire the Camp items section. Item identity, condition, tiers, purposes and recipe semantics remain unchanged.</x:t>
        </x:is>
      </x:c>
      <x:c r="AG181" s="4" t="str">
        <x:v>Finished endpoint; material tier is not applicable. Input tiers belong to the chosen recipe.</x:v>
      </x:c>
      <x:c r="AH181" s="4" t="str">
        <x:v>T2</x:v>
      </x:c>
      <x:c r="AI181" s="4" t="str">
        <x:v>Finished item</x:v>
      </x:c>
      <x:c r="AJ181" s="4" t="n">
        <x:f>COUNTIFS('Material routes'!$D$6:$D$2205,A181,'Material routes'!$C$6:$C$2205,"Output")</x:f>
        <x:v>1</x:v>
      </x:c>
      <x:c r="AK181" s="4" t="n">
        <x:f>SUM(COUNTIFS('Material routes'!$D$6:$D$2205,A181,'Material routes'!$C$6:$C$2205,"Ingredient candidate"),COUNTIFS('Material routes'!$D$6:$D$2205,A181,'Material routes'!$C$6:$C$2205,"Consumed input"),COUNTIFS('Material routes'!$D$6:$D$2205,A181,'Material routes'!$C$6:$C$2205,"Contained input"),COUNTIFS('Material routes'!$D$6:$D$2205,A181,'Material routes'!$C$6:$C$2205,"Transform input"))</x:f>
        <x:v>0</x:v>
      </x:c>
      <x:c r="AL181" s="4" t="n">
        <x:f>COUNTIFS('Material routes'!$D$6:$D$2205,A181,'Material routes'!$C$6:$C$2205,"Tool candidate")</x:f>
        <x:v>0</x:v>
      </x:c>
      <x:c r="AM181" s="4" t="str">
        <x:f>IF(AJ181&gt;0,"Route listed; review status/completeness",IF(C181="T0","Raw entry feed; no production route","No production route listed"))</x:f>
        <x:v>Route listed; review status/completeness</x:v>
      </x:c>
      <x:c r="AN181" s="14" t="n">
        <x:f>IF(C181="T0",0,IF(C181="T1",1,IF(C181="T2",2,IF(C181="T3",3,IF(C181="T4",4,IF(C181="Unassigned",98,99))))))</x:f>
        <x:v>99</x:v>
      </x:c>
      <x:c r="AZ181"/>
      <x:c r="BA181"/>
      <x:c r="BB181"/>
      <x:c r="BC181"/>
      <x:c r="BD181"/>
      <x:c r="BE181"/>
      <x:c r="BF181"/>
      <x:c r="BG181"/>
      <x:c r="BH181"/>
      <x:c r="BI181"/>
      <x:c r="BJ181"/>
      <x:c r="BK181"/>
      <x:c r="BL181"/>
      <x:c r="BM181"/>
      <x:c r="BN181"/>
      <x:c r="BO181"/>
      <x:c r="BP181"/>
      <x:c r="BQ181"/>
      <x:c r="BR181"/>
      <x:c r="BS181"/>
      <x:c r="BT181"/>
      <x:c r="BU181"/>
      <x:c r="BV181"/>
      <x:c r="BW181"/>
      <x:c r="BX181"/>
      <x:c r="BY181"/>
      <x:c r="BZ181"/>
      <x:c r="CA181"/>
      <x:c r="CB181"/>
      <x:c r="CC181"/>
    </x:row>
    <x:row r="182" ht="105" customHeight="1">
      <x:c r="A182" s="9" t="str">
        <x:v>proposal.ceramic.grog</x:v>
      </x:c>
      <x:c r="B182" s="9" t="str">
        <x:v>Crushed fired ceramic grit</x:v>
      </x:c>
      <x:c r="C182" s="4" t="str">
        <x:v>T1</x:v>
      </x:c>
      <x:c r="D182" s="9" t="str">
        <x:v>Manufactured stock</x:v>
      </x:c>
      <x:c r="E182" s="9" t="str">
        <x:v>Ceramic feedstock</x:v>
      </x:c>
      <x:c r="F182" s="9" t="str">
        <x:v>New proposal</x:v>
      </x:c>
      <x:c r="G182" s="9" t="inlineStr">
        <x:is>
          <x:t xml:space="preserve">Selected broken fired ceramic, sorted and crushed for candidate body mixes. It is intended for a matched glassworking or ceramic process, with composition, forming and controlled heat determining the useful result.</x:t>
        </x:is>
      </x:c>
      <x:c r="H182" s="9" t="str">
        <x:v>Unassigned; no new slot approved</x:v>
      </x:c>
      <x:c r="I182" s="9" t="str">
        <x:v>Carrier / placement policy TBD</x:v>
      </x:c>
      <x:c r="J182" s="13"/>
      <x:c r="K182" s="15"/>
      <x:c r="L182" s="9" t="str">
        <x:v>Specialist ceramic craft or trade; exact production route TBD</x:v>
      </x:c>
      <x:c r="M182" s="9" t="str">
        <x:v>Build on existing claystone, alumina, mineral feeds and insulating blanks where appropriate. No recipe authored.</x:v>
      </x:c>
      <x:c r="N182" s="9" t="str">
        <x:v>Not implemented</x:v>
      </x:c>
      <x:c r="O182" s="9" t="str">
        <x:v>Composition and contamination must be identified; not every broken vessel is reusable feed.</x:v>
      </x:c>
      <x:c r="P182" s="17"/>
      <x:c r="Q182" s="17"/>
      <x:c r="R182" s="17"/>
      <x:c r="S182" s="17"/>
      <x:c r="T182" s="17"/>
      <x:c r="U182" s="9" t="str">
        <x:v>Ceramics requested as a broad item family. Specific objects, grades, sourcing, yield and value remain proposals.</x:v>
      </x:c>
      <x:c r="V182" s="11" t="str">
        <x:v>fabrication; ceramic; pottery</x:v>
      </x:c>
      <x:c r="W182" s="9" t="str">
        <x:v>Author ceramics direction October 14, 2026; local game item proposal. Existing mineral/ceramic entries reused where applicable.</x:v>
      </x:c>
      <x:c r="X182" s="4" t="str">
        <x:v>Processed material</x:v>
      </x:c>
      <x:c r="Y182" s="4" t="str">
        <x:v>Processed intermediate</x:v>
      </x:c>
      <x:c r="Z182" s="4" t="str">
        <x:v>Geological</x:v>
      </x:c>
      <x:c r="AA182" s="4" t="str">
        <x:v>Glass and ceramics</x:v>
      </x:c>
      <x:c r="AB182" s="4" t="str">
        <x:v>Ceramic feed mixture</x:v>
      </x:c>
      <x:c r="AC182" s="4" t="str">
        <x:v>Particles</x:v>
      </x:c>
      <x:c r="AD182" s="4" t="str">
        <x:v>Proposal</x:v>
      </x:c>
      <x:c r="AE182" s="4" t="str">
        <x:f>LOWER(A182&amp;"; "&amp;B182&amp;"; "&amp;D182&amp;"; "&amp;E182&amp;"; "&amp;X182&amp;"; "&amp;Y182&amp;"; "&amp;Z182&amp;"; "&amp;AA182&amp;"; "&amp;AB182&amp;"; "&amp;AC182&amp;"; "&amp;AD182&amp;"; "&amp;V182&amp;"; "&amp;C182&amp;"; "&amp;AH182&amp;"; "&amp;AI182)</x:f>
        <x:v>proposal.ceramic.grog; crushed fired ceramic grit; manufactured stock; ceramic feedstock; processed material; processed intermediate; geological; glass and ceramics; ceramic feed mixture; particles; proposal; fabrication; ceramic; pottery; t1; not applicable; material</x:v>
      </x:c>
      <x:c r="AF182" s="4" t="str">
        <x:v>Specific item proposed from author ceramics direction; functional and material limits remain unresolved. Lore category review: Resources -&gt; Manufactured stock. Classification only; original item status and tier retained.</x:v>
      </x:c>
      <x:c r="AG182" s="4" t="str">
        <x:v>Proposed game manufacturing tier from the candidate routes. Integrated operations may contain many work steps.</x:v>
      </x:c>
      <x:c r="AH182" s="4" t="str">
        <x:v>Not applicable</x:v>
      </x:c>
      <x:c r="AI182" s="4" t="str">
        <x:v>Material</x:v>
      </x:c>
      <x:c r="AJ182" s="4" t="n">
        <x:f>COUNTIFS('Material routes'!$D$6:$D$2205,A182,'Material routes'!$C$6:$C$2205,"Output")</x:f>
        <x:v>1</x:v>
      </x:c>
      <x:c r="AK182" s="4" t="n">
        <x:f>SUM(COUNTIFS('Material routes'!$D$6:$D$2205,A182,'Material routes'!$C$6:$C$2205,"Ingredient candidate"),COUNTIFS('Material routes'!$D$6:$D$2205,A182,'Material routes'!$C$6:$C$2205,"Consumed input"),COUNTIFS('Material routes'!$D$6:$D$2205,A182,'Material routes'!$C$6:$C$2205,"Contained input"),COUNTIFS('Material routes'!$D$6:$D$2205,A182,'Material routes'!$C$6:$C$2205,"Transform input"))</x:f>
        <x:v>1</x:v>
      </x:c>
      <x:c r="AL182" s="4" t="n">
        <x:f>COUNTIFS('Material routes'!$D$6:$D$2205,A182,'Material routes'!$C$6:$C$2205,"Tool candidate")</x:f>
        <x:v>0</x:v>
      </x:c>
      <x:c r="AM182" s="4" t="str">
        <x:f>IF(AJ182&gt;0,"Route listed; review status/completeness",IF(C182="T0","Raw entry feed; no production route","No production route listed"))</x:f>
        <x:v>Route listed; review status/completeness</x:v>
      </x:c>
      <x:c r="AN182" s="14" t="n">
        <x:f>IF(C182="T0",0,IF(C182="T1",1,IF(C182="T2",2,IF(C182="T3",3,IF(C182="T4",4,IF(C182="Unassigned",98,99))))))</x:f>
        <x:v>1</x:v>
      </x:c>
      <x:c r="AZ182"/>
      <x:c r="BA182"/>
      <x:c r="BB182"/>
      <x:c r="BC182"/>
      <x:c r="BD182"/>
      <x:c r="BE182"/>
      <x:c r="BF182"/>
      <x:c r="BG182"/>
      <x:c r="BH182"/>
      <x:c r="BI182"/>
      <x:c r="BJ182"/>
      <x:c r="BK182"/>
      <x:c r="BL182"/>
      <x:c r="BM182"/>
      <x:c r="BN182"/>
      <x:c r="BO182"/>
      <x:c r="BP182"/>
      <x:c r="BQ182"/>
      <x:c r="BR182"/>
      <x:c r="BS182"/>
      <x:c r="BT182"/>
      <x:c r="BU182"/>
      <x:c r="BV182"/>
      <x:c r="BW182"/>
      <x:c r="BX182"/>
      <x:c r="BY182"/>
      <x:c r="BZ182"/>
      <x:c r="CA182"/>
      <x:c r="CB182"/>
      <x:c r="CC182"/>
    </x:row>
    <x:row r="183" ht="105" customHeight="1">
      <x:c r="A183" s="9" t="str">
        <x:v>proposal.ceramic.body_feed</x:v>
      </x:c>
      <x:c r="B183" s="9" t="str">
        <x:v>Prepared ceramic body feed</x:v>
      </x:c>
      <x:c r="C183" s="4" t="str">
        <x:v>T1</x:v>
      </x:c>
      <x:c r="D183" s="9" t="str">
        <x:v>Manufactured stock</x:v>
      </x:c>
      <x:c r="E183" s="9" t="str">
        <x:v>Ceramic feedstock</x:v>
      </x:c>
      <x:c r="F183" s="9" t="str">
        <x:v>New proposal</x:v>
      </x:c>
      <x:c r="G183" s="9" t="inlineStr">
        <x:is>
          <x:t xml:space="preserve">Selected mineral feed blended for a chosen ceramic product. It is intended for a matched glassworking or ceramic process, with composition, forming and controlled heat determining the useful result.</x:t>
        </x:is>
      </x:c>
      <x:c r="H183" s="9" t="str">
        <x:v>Unassigned; no new slot approved</x:v>
      </x:c>
      <x:c r="I183" s="9" t="str">
        <x:v>Carrier / placement policy TBD</x:v>
      </x:c>
      <x:c r="J183" s="13"/>
      <x:c r="K183" s="15"/>
      <x:c r="L183" s="9" t="str">
        <x:v>Specialist ceramic craft or trade; exact production route TBD</x:v>
      </x:c>
      <x:c r="M183" s="9" t="str">
        <x:v>Build on existing claystone, alumina, mineral feeds and insulating blanks where appropriate. No recipe authored.</x:v>
      </x:c>
      <x:c r="N183" s="9" t="str">
        <x:v>Not implemented</x:v>
      </x:c>
      <x:c r="O183" s="9" t="str">
        <x:v>Forming and binder method unresolved under the no-free-water rule; no recipe ratios.</x:v>
      </x:c>
      <x:c r="P183" s="17"/>
      <x:c r="Q183" s="17"/>
      <x:c r="R183" s="17"/>
      <x:c r="S183" s="17"/>
      <x:c r="T183" s="17"/>
      <x:c r="U183" s="9" t="str">
        <x:v>Ceramics requested as a broad item family. Specific objects, grades, sourcing, yield and value remain proposals.</x:v>
      </x:c>
      <x:c r="V183" s="11" t="str">
        <x:v>fabrication; ceramic; pottery</x:v>
      </x:c>
      <x:c r="W183" s="9" t="str">
        <x:v>Author ceramics direction October 14, 2026; local game item proposal. Existing mineral/ceramic entries reused where applicable.</x:v>
      </x:c>
      <x:c r="X183" s="4" t="str">
        <x:v>Processed material</x:v>
      </x:c>
      <x:c r="Y183" s="4" t="str">
        <x:v>Processed intermediate</x:v>
      </x:c>
      <x:c r="Z183" s="4" t="str">
        <x:v>Geological</x:v>
      </x:c>
      <x:c r="AA183" s="4" t="str">
        <x:v>Glass and ceramics</x:v>
      </x:c>
      <x:c r="AB183" s="4" t="str">
        <x:v>Ceramic feed mixture</x:v>
      </x:c>
      <x:c r="AC183" s="4" t="str">
        <x:v>Particles</x:v>
      </x:c>
      <x:c r="AD183" s="4" t="str">
        <x:v>Proposal</x:v>
      </x:c>
      <x:c r="AE183" s="4" t="str">
        <x:f>LOWER(A183&amp;"; "&amp;B183&amp;"; "&amp;D183&amp;"; "&amp;E183&amp;"; "&amp;X183&amp;"; "&amp;Y183&amp;"; "&amp;Z183&amp;"; "&amp;AA183&amp;"; "&amp;AB183&amp;"; "&amp;AC183&amp;"; "&amp;AD183&amp;"; "&amp;V183&amp;"; "&amp;C183&amp;"; "&amp;AH183&amp;"; "&amp;AI183)</x:f>
        <x:v>proposal.ceramic.body_feed; prepared ceramic body feed; manufactured stock; ceramic feedstock; processed material; processed intermediate; geological; glass and ceramics; ceramic feed mixture; particles; proposal; fabrication; ceramic; pottery; t1; not applicable; material</x:v>
      </x:c>
      <x:c r="AF183" s="4" t="str">
        <x:v>Specific item proposed from author ceramics direction; functional and material limits remain unresolved. Lore category review: Resources -&gt; Manufactured stock. Classification only; original item status and tier retained.</x:v>
      </x:c>
      <x:c r="AG183" s="4" t="str">
        <x:v>Proposed game manufacturing tier from the candidate routes. Integrated operations may contain many work steps.</x:v>
      </x:c>
      <x:c r="AH183" s="4" t="str">
        <x:v>Not applicable</x:v>
      </x:c>
      <x:c r="AI183" s="4" t="str">
        <x:v>Material</x:v>
      </x:c>
      <x:c r="AJ183" s="4" t="n">
        <x:f>COUNTIFS('Material routes'!$D$6:$D$2205,A183,'Material routes'!$C$6:$C$2205,"Output")</x:f>
        <x:v>1</x:v>
      </x:c>
      <x:c r="AK183" s="4" t="n">
        <x:f>SUM(COUNTIFS('Material routes'!$D$6:$D$2205,A183,'Material routes'!$C$6:$C$2205,"Ingredient candidate"),COUNTIFS('Material routes'!$D$6:$D$2205,A183,'Material routes'!$C$6:$C$2205,"Consumed input"),COUNTIFS('Material routes'!$D$6:$D$2205,A183,'Material routes'!$C$6:$C$2205,"Contained input"),COUNTIFS('Material routes'!$D$6:$D$2205,A183,'Material routes'!$C$6:$C$2205,"Transform input"))</x:f>
        <x:v>18</x:v>
      </x:c>
      <x:c r="AL183" s="4" t="n">
        <x:f>COUNTIFS('Material routes'!$D$6:$D$2205,A183,'Material routes'!$C$6:$C$2205,"Tool candidate")</x:f>
        <x:v>0</x:v>
      </x:c>
      <x:c r="AM183" s="4" t="str">
        <x:f>IF(AJ183&gt;0,"Route listed; review status/completeness",IF(C183="T0","Raw entry feed; no production route","No production route listed"))</x:f>
        <x:v>Route listed; review status/completeness</x:v>
      </x:c>
      <x:c r="AN183" s="14" t="n">
        <x:f>IF(C183="T0",0,IF(C183="T1",1,IF(C183="T2",2,IF(C183="T3",3,IF(C183="T4",4,IF(C183="Unassigned",98,99))))))</x:f>
        <x:v>1</x:v>
      </x:c>
      <x:c r="AZ183"/>
      <x:c r="BA183"/>
      <x:c r="BB183"/>
      <x:c r="BC183"/>
      <x:c r="BD183"/>
      <x:c r="BE183"/>
      <x:c r="BF183"/>
      <x:c r="BG183"/>
      <x:c r="BH183"/>
      <x:c r="BI183"/>
      <x:c r="BJ183"/>
      <x:c r="BK183"/>
      <x:c r="BL183"/>
      <x:c r="BM183"/>
      <x:c r="BN183"/>
      <x:c r="BO183"/>
      <x:c r="BP183"/>
      <x:c r="BQ183"/>
      <x:c r="BR183"/>
      <x:c r="BS183"/>
      <x:c r="BT183"/>
      <x:c r="BU183"/>
      <x:c r="BV183"/>
      <x:c r="BW183"/>
      <x:c r="BX183"/>
      <x:c r="BY183"/>
      <x:c r="BZ183"/>
      <x:c r="CA183"/>
      <x:c r="CB183"/>
      <x:c r="CC183"/>
    </x:row>
    <x:row r="184" ht="105" customHeight="1">
      <x:c r="A184" s="9" t="str">
        <x:v>proposal.ceramic.glaze_feed</x:v>
      </x:c>
      <x:c r="B184" s="9" t="str">
        <x:v>Prepared glaze feed</x:v>
      </x:c>
      <x:c r="C184" s="4" t="str">
        <x:v>T1</x:v>
      </x:c>
      <x:c r="D184" s="9" t="str">
        <x:v>Manufactured stock</x:v>
      </x:c>
      <x:c r="E184" s="9" t="str">
        <x:v>Ceramic feedstock</x:v>
      </x:c>
      <x:c r="F184" s="9" t="str">
        <x:v>New proposal</x:v>
      </x:c>
      <x:c r="G184" s="9" t="inlineStr">
        <x:is>
          <x:t xml:space="preserve">Selected mineral finishing feed for compatible ceramic surfaces. It is intended for a matched glassworking or ceramic process, with composition, forming and controlled heat determining the useful result.</x:t>
        </x:is>
      </x:c>
      <x:c r="H184" s="9" t="str">
        <x:v>Unassigned; no new slot approved</x:v>
      </x:c>
      <x:c r="I184" s="9" t="str">
        <x:v>Carrier / placement policy TBD</x:v>
      </x:c>
      <x:c r="J184" s="13"/>
      <x:c r="K184" s="15"/>
      <x:c r="L184" s="9" t="str">
        <x:v>Specialist ceramic craft or trade; exact production route TBD</x:v>
      </x:c>
      <x:c r="M184" s="9" t="str">
        <x:v>Build on existing claystone, alumina, mineral feeds and insulating blanks where appropriate. No recipe authored.</x:v>
      </x:c>
      <x:c r="N184" s="9" t="str">
        <x:v>Not implemented</x:v>
      </x:c>
      <x:c r="O184" s="9" t="str">
        <x:v>No universal glaze, toxin barrier or food-safe finish assumed.</x:v>
      </x:c>
      <x:c r="P184" s="17"/>
      <x:c r="Q184" s="17"/>
      <x:c r="R184" s="17"/>
      <x:c r="S184" s="17"/>
      <x:c r="T184" s="17"/>
      <x:c r="U184" s="9" t="str">
        <x:v>Ceramics requested as a broad item family. Specific objects, grades, sourcing, yield and value remain proposals.</x:v>
      </x:c>
      <x:c r="V184" s="11" t="str">
        <x:v>surface finishing; ceramic; pottery</x:v>
      </x:c>
      <x:c r="W184" s="9" t="str">
        <x:v>Author ceramics direction October 14, 2026; local game item proposal. Existing mineral/ceramic entries reused where applicable.</x:v>
      </x:c>
      <x:c r="X184" s="4" t="str">
        <x:v>Processed material</x:v>
      </x:c>
      <x:c r="Y184" s="4" t="str">
        <x:v>Processed intermediate</x:v>
      </x:c>
      <x:c r="Z184" s="4" t="str">
        <x:v>Geological</x:v>
      </x:c>
      <x:c r="AA184" s="4" t="str">
        <x:v>Glass and ceramics</x:v>
      </x:c>
      <x:c r="AB184" s="4" t="str">
        <x:v>Ceramic feed mixture</x:v>
      </x:c>
      <x:c r="AC184" s="4" t="str">
        <x:v>Particles</x:v>
      </x:c>
      <x:c r="AD184" s="4" t="str">
        <x:v>Proposal</x:v>
      </x:c>
      <x:c r="AE184" s="4" t="str">
        <x:f>LOWER(A184&amp;"; "&amp;B184&amp;"; "&amp;D184&amp;"; "&amp;E184&amp;"; "&amp;X184&amp;"; "&amp;Y184&amp;"; "&amp;Z184&amp;"; "&amp;AA184&amp;"; "&amp;AB184&amp;"; "&amp;AC184&amp;"; "&amp;AD184&amp;"; "&amp;V184&amp;"; "&amp;C184&amp;"; "&amp;AH184&amp;"; "&amp;AI184)</x:f>
        <x:v>proposal.ceramic.glaze_feed; prepared glaze feed; manufactured stock; ceramic feedstock; processed material; processed intermediate; geological; glass and ceramics; ceramic feed mixture; particles; proposal; surface finishing; ceramic; pottery; t1; not applicable; material</x:v>
      </x:c>
      <x:c r="AF184" s="4" t="str">
        <x:v>Specific item proposed from author ceramics direction; functional and material limits remain unresolved. Lore category review: Resources -&gt; Manufactured stock. Classification only; original item status and tier retained.</x:v>
      </x:c>
      <x:c r="AG184" s="4" t="str">
        <x:v>Proposed game manufacturing tier from the candidate routes. Integrated operations may contain many work steps.</x:v>
      </x:c>
      <x:c r="AH184" s="4" t="str">
        <x:v>Not applicable</x:v>
      </x:c>
      <x:c r="AI184" s="4" t="str">
        <x:v>Material</x:v>
      </x:c>
      <x:c r="AJ184" s="4" t="n">
        <x:f>COUNTIFS('Material routes'!$D$6:$D$2205,A184,'Material routes'!$C$6:$C$2205,"Output")</x:f>
        <x:v>1</x:v>
      </x:c>
      <x:c r="AK184" s="4" t="n">
        <x:f>SUM(COUNTIFS('Material routes'!$D$6:$D$2205,A184,'Material routes'!$C$6:$C$2205,"Ingredient candidate"),COUNTIFS('Material routes'!$D$6:$D$2205,A184,'Material routes'!$C$6:$C$2205,"Consumed input"),COUNTIFS('Material routes'!$D$6:$D$2205,A184,'Material routes'!$C$6:$C$2205,"Contained input"),COUNTIFS('Material routes'!$D$6:$D$2205,A184,'Material routes'!$C$6:$C$2205,"Transform input"))</x:f>
        <x:v>3</x:v>
      </x:c>
      <x:c r="AL184" s="4" t="n">
        <x:f>COUNTIFS('Material routes'!$D$6:$D$2205,A184,'Material routes'!$C$6:$C$2205,"Tool candidate")</x:f>
        <x:v>0</x:v>
      </x:c>
      <x:c r="AM184" s="4" t="str">
        <x:f>IF(AJ184&gt;0,"Route listed; review status/completeness",IF(C184="T0","Raw entry feed; no production route","No production route listed"))</x:f>
        <x:v>Route listed; review status/completeness</x:v>
      </x:c>
      <x:c r="AN184" s="14" t="n">
        <x:f>IF(C184="T0",0,IF(C184="T1",1,IF(C184="T2",2,IF(C184="T3",3,IF(C184="T4",4,IF(C184="Unassigned",98,99))))))</x:f>
        <x:v>1</x:v>
      </x:c>
      <x:c r="AZ184"/>
      <x:c r="BA184"/>
      <x:c r="BB184"/>
      <x:c r="BC184"/>
      <x:c r="BD184"/>
      <x:c r="BE184"/>
      <x:c r="BF184"/>
      <x:c r="BG184"/>
      <x:c r="BH184"/>
      <x:c r="BI184"/>
      <x:c r="BJ184"/>
      <x:c r="BK184"/>
      <x:c r="BL184"/>
      <x:c r="BM184"/>
      <x:c r="BN184"/>
      <x:c r="BO184"/>
      <x:c r="BP184"/>
      <x:c r="BQ184"/>
      <x:c r="BR184"/>
      <x:c r="BS184"/>
      <x:c r="BT184"/>
      <x:c r="BU184"/>
      <x:c r="BV184"/>
      <x:c r="BW184"/>
      <x:c r="BX184"/>
      <x:c r="BY184"/>
      <x:c r="BZ184"/>
      <x:c r="CA184"/>
      <x:c r="CB184"/>
      <x:c r="CC184"/>
    </x:row>
    <x:row r="185" ht="170" customHeight="1">
      <x:c r="A185" s="9" t="str">
        <x:v>proposal.ceramic.unfired_blank</x:v>
      </x:c>
      <x:c r="B185" s="9" t="str">
        <x:v>Unfired shaped ceramic blank</x:v>
      </x:c>
      <x:c r="C185" s="4" t="str">
        <x:v>T2</x:v>
      </x:c>
      <x:c r="D185" s="9" t="str">
        <x:v>Crafting components</x:v>
      </x:c>
      <x:c r="E185" s="9" t="str">
        <x:v>Ceramic intermediate</x:v>
      </x:c>
      <x:c r="F185" s="9" t="str">
        <x:v>New proposal</x:v>
      </x:c>
      <x:c r="G185" s="9" t="inlineStr">
        <x:is>
          <x:t xml:space="preserve">A shaped intermediate awaiting its designed firing process. It is intended for a matched glassworking or ceramic process, with composition, forming and controlled heat determining the useful result.</x:t>
        </x:is>
      </x:c>
      <x:c r="H185" s="9" t="str">
        <x:v>Unassigned; no new slot approved</x:v>
      </x:c>
      <x:c r="I185" s="9" t="str">
        <x:v>Carrier / placement policy TBD</x:v>
      </x:c>
      <x:c r="J185" s="13"/>
      <x:c r="K185" s="15"/>
      <x:c r="L185" s="9" t="str">
        <x:v>Specialist ceramic craft or trade; exact production route TBD</x:v>
      </x:c>
      <x:c r="M185" s="9" t="str">
        <x:v>Build on existing claystone, alumina, mineral feeds and insulating blanks where appropriate. No recipe authored.</x:v>
      </x:c>
      <x:c r="N185" s="9" t="str">
        <x:v>Not implemented</x:v>
      </x:c>
      <x:c r="O185" s="9" t="str">
        <x:v>Forming method and required binders remain proposals; not a usable finished part.</x:v>
      </x:c>
      <x:c r="P185" s="17"/>
      <x:c r="Q185" s="17"/>
      <x:c r="R185" s="17"/>
      <x:c r="S185" s="17"/>
      <x:c r="T185" s="17"/>
      <x:c r="U185" s="9" t="str">
        <x:v>Ceramics requested as a broad item family. Specific objects, grades, sourcing, yield and value remain proposals.</x:v>
      </x:c>
      <x:c r="V185" s="11" t="str">
        <x:v>pottery</x:v>
      </x:c>
      <x:c r="W185" s="9" t="str">
        <x:v>Author ceramics direction October 14, 2026; local game item proposal. Existing mineral/ceramic entries reused where applicable.</x:v>
      </x:c>
      <x:c r="X185" s="4" t="str">
        <x:v>Crafting component</x:v>
      </x:c>
      <x:c r="Y185" s="4" t="str">
        <x:v>Unfired intermediate</x:v>
      </x:c>
      <x:c r="Z185" s="4" t="str">
        <x:v>Manufactured / unresolved</x:v>
      </x:c>
      <x:c r="AA185" s="4" t="str">
        <x:v>Glass and ceramics</x:v>
      </x:c>
      <x:c r="AB185" s="4" t="str">
        <x:v>Ceramic</x:v>
      </x:c>
      <x:c r="AC185" s="4" t="str">
        <x:v>Solid part</x:v>
      </x:c>
      <x:c r="AD185" s="4" t="str">
        <x:v>Proposal</x:v>
      </x:c>
      <x:c r="AE185" s="4" t="str">
        <x:f>LOWER(A185&amp;"; "&amp;B185&amp;"; "&amp;D185&amp;"; "&amp;E185&amp;"; "&amp;X185&amp;"; "&amp;Y185&amp;"; "&amp;Z185&amp;"; "&amp;AA185&amp;"; "&amp;AB185&amp;"; "&amp;AC185&amp;"; "&amp;AD185&amp;"; "&amp;V185&amp;"; "&amp;C185&amp;"; "&amp;AH185&amp;"; "&amp;AI185)</x:f>
        <x:v>proposal.ceramic.unfired_blank; unfired shaped ceramic blank; crafting components; ceramic intermediate; crafting component; unfired intermediate; manufactured / unresolved; glass and ceramics; ceramic; solid part; proposal; pottery; t2; not applicable; component</x:v>
      </x:c>
      <x:c r="AF185" s="4" t="str">
        <x:v>Specific item proposed from author ceramics direction; functional and material limits remain unresolved.</x:v>
      </x:c>
      <x:c r="AG185" s="4" t="str">
        <x:v>October 15 proposed tier review: 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AH185" s="4" t="str">
        <x:v>Not applicable</x:v>
      </x:c>
      <x:c r="AI185" s="4" t="str">
        <x:v>Component</x:v>
      </x:c>
      <x:c r="AJ185" s="4" t="n">
        <x:f>COUNTIFS('Material routes'!$D$6:$D$2205,A185,'Material routes'!$C$6:$C$2205,"Output")</x:f>
        <x:v>1</x:v>
      </x:c>
      <x:c r="AK185" s="4" t="n">
        <x:f>SUM(COUNTIFS('Material routes'!$D$6:$D$2205,A185,'Material routes'!$C$6:$C$2205,"Ingredient candidate"),COUNTIFS('Material routes'!$D$6:$D$2205,A185,'Material routes'!$C$6:$C$2205,"Consumed input"),COUNTIFS('Material routes'!$D$6:$D$2205,A185,'Material routes'!$C$6:$C$2205,"Contained input"),COUNTIFS('Material routes'!$D$6:$D$2205,A185,'Material routes'!$C$6:$C$2205,"Transform input"))</x:f>
        <x:v>0</x:v>
      </x:c>
      <x:c r="AL185" s="4" t="n">
        <x:f>COUNTIFS('Material routes'!$D$6:$D$2205,A185,'Material routes'!$C$6:$C$2205,"Tool candidate")</x:f>
        <x:v>0</x:v>
      </x:c>
      <x:c r="AM185" s="4" t="str">
        <x:f>IF(AJ185&gt;0,"Route listed; review status/completeness",IF(C185="T0","Raw entry feed; no production route","No production route listed"))</x:f>
        <x:v>Route listed; review status/completeness</x:v>
      </x:c>
      <x:c r="AN185" s="14" t="n">
        <x:f>IF(C185="T0",0,IF(C185="T1",1,IF(C185="T2",2,IF(C185="T3",3,IF(C185="T4",4,IF(C185="Unassigned",98,99))))))</x:f>
        <x:v>2</x:v>
      </x:c>
      <x:c r="AZ185"/>
      <x:c r="BA185"/>
      <x:c r="BB185"/>
      <x:c r="BC185"/>
      <x:c r="BD185"/>
      <x:c r="BE185"/>
      <x:c r="BF185"/>
      <x:c r="BG185"/>
      <x:c r="BH185"/>
      <x:c r="BI185"/>
      <x:c r="BJ185"/>
      <x:c r="BK185"/>
      <x:c r="BL185"/>
      <x:c r="BM185"/>
      <x:c r="BN185"/>
      <x:c r="BO185"/>
      <x:c r="BP185"/>
      <x:c r="BQ185"/>
      <x:c r="BR185"/>
      <x:c r="BS185"/>
      <x:c r="BT185"/>
      <x:c r="BU185"/>
      <x:c r="BV185"/>
      <x:c r="BW185"/>
      <x:c r="BX185"/>
      <x:c r="BY185"/>
      <x:c r="BZ185"/>
      <x:c r="CA185"/>
      <x:c r="CB185"/>
      <x:c r="CC185"/>
    </x:row>
    <x:row r="186" ht="105" customHeight="1">
      <x:c r="A186" s="9" t="str">
        <x:v>proposal.ceramic.bowl</x:v>
      </x:c>
      <x:c r="B186" s="9" t="str">
        <x:v>Plain ceramic eating bowl</x:v>
      </x:c>
      <x:c r="C186" s="4" t="str">
        <x:v>Not applicable</x:v>
      </x:c>
      <x:c r="D186" s="9" t="inlineStr">
        <x:is>
          <x:t xml:space="preserve">Salvage</x:t>
        </x:is>
      </x:c>
      <x:c r="E186" s="9" t="inlineStr">
        <x:is>
          <x:t xml:space="preserve">Food service &amp; storage</x:t>
        </x:is>
      </x:c>
      <x:c r="F186" s="9" t="str">
        <x:v>New proposal</x:v>
      </x:c>
      <x:c r="G186" s="9" t="inlineStr">
        <x:is>
          <x:t xml:space="preserve">Simple ceramic bowl for contained algae portions. It is intended to portion, hold or serve the recorded food or drink. Food-contact preparation and the contents remain separate design requirements.</x:t>
        </x:is>
      </x:c>
      <x:c r="H186" s="9" t="str">
        <x:v>Unassigned; no new slot approved</x:v>
      </x:c>
      <x:c r="I186" s="9" t="str">
        <x:v>Carrier / placement policy TBD</x:v>
      </x:c>
      <x:c r="J186" s="13"/>
      <x:c r="K186" s="15"/>
      <x:c r="L186" s="9" t="str">
        <x:v>Specialist ceramic craft or trade; exact production route TBD</x:v>
      </x:c>
      <x:c r="M186" s="9" t="str">
        <x:v>Build on existing claystone, alumina, mineral feeds and insulating blanks where appropriate. No recipe authored.</x:v>
      </x:c>
      <x:c r="N186" s="9" t="str">
        <x:v>Not implemented</x:v>
      </x:c>
      <x:c r="O186" s="9" t="str">
        <x:v>Food-contact grade and surface finish require design; not a water vessel assumption.</x:v>
      </x:c>
      <x:c r="P186" s="17"/>
      <x:c r="Q186" s="17"/>
      <x:c r="R186" s="17"/>
      <x:c r="S186" s="17"/>
      <x:c r="T186" s="17"/>
      <x:c r="U186" s="9" t="str">
        <x:v>Ceramics requested as a broad item family. Specific objects, grades, sourcing, yield and value remain proposals.</x:v>
      </x:c>
      <x:c r="V186" s="11" t="inlineStr">
        <x:is>
          <x:t xml:space="preserve">pottery; Ceramic household; camp goods; Food service &amp; storage</x:t>
        </x:is>
      </x:c>
      <x:c r="W186" s="9" t="str">
        <x:v>Author ceramics direction October 14, 2026; local game item proposal. Existing mineral/ceramic entries reused where applicable.</x:v>
      </x:c>
      <x:c r="X186" s="4" t="str">
        <x:v>Household utensil</x:v>
      </x:c>
      <x:c r="Y186" s="4" t="str">
        <x:v>Finished item</x:v>
      </x:c>
      <x:c r="Z186" s="4" t="str">
        <x:v>Manufactured / unresolved</x:v>
      </x:c>
      <x:c r="AA186" s="4" t="str">
        <x:v>Food service</x:v>
      </x:c>
      <x:c r="AB186" s="4" t="str">
        <x:v>Ceramic</x:v>
      </x:c>
      <x:c r="AC186" s="4" t="str">
        <x:v>Solid part</x:v>
      </x:c>
      <x:c r="AD186" s="4" t="str">
        <x:v>Proposal</x:v>
      </x:c>
      <x:c r="AE186" s="4" t="str">
        <x:f>LOWER(A186&amp;"; "&amp;B186&amp;"; "&amp;D186&amp;"; "&amp;E186&amp;"; "&amp;X186&amp;"; "&amp;Y186&amp;"; "&amp;Z186&amp;"; "&amp;AA186&amp;"; "&amp;AB186&amp;"; "&amp;AC186&amp;"; "&amp;AD186&amp;"; "&amp;V186&amp;"; "&amp;C186&amp;"; "&amp;AH186&amp;"; "&amp;AI186)</x:f>
        <x:v>proposal.ceramic.bowl; plain ceramic eating bowl; salvage; food service &amp; storage; household utensil; finished item; manufactured / unresolved; food service; ceramic; solid part; proposal; pottery; ceramic household; camp goods; food service &amp; storage; not applicable; t1; finished item</x:v>
      </x:c>
      <x:c r="AF186" s="4" t="inlineStr">
        <x:is>
          <x:t xml:space="preserve">Specific item proposed from author ceramics direction; functional and material limits remain unresolved. Author camp organization: Camp items / Food service &amp; storage; previous category/subtype: Everyday objects / Ceramic household. Author direction October 16: all Camp items are Salvage; retire the Camp items section. Item identity, condition, tiers, purposes and recipe semantics remain unchanged.</x:t>
        </x:is>
      </x:c>
      <x:c r="AG186" s="4" t="str">
        <x:v>Finished endpoint; material tier is not applicable. Input tiers belong to the chosen recipe.</x:v>
      </x:c>
      <x:c r="AH186" s="4" t="str">
        <x:v>T1</x:v>
      </x:c>
      <x:c r="AI186" s="4" t="str">
        <x:v>Finished item</x:v>
      </x:c>
      <x:c r="AJ186" s="4" t="n">
        <x:f>COUNTIFS('Material routes'!$D$6:$D$2205,A186,'Material routes'!$C$6:$C$2205,"Output")</x:f>
        <x:v>1</x:v>
      </x:c>
      <x:c r="AK186" s="4" t="n">
        <x:f>SUM(COUNTIFS('Material routes'!$D$6:$D$2205,A186,'Material routes'!$C$6:$C$2205,"Ingredient candidate"),COUNTIFS('Material routes'!$D$6:$D$2205,A186,'Material routes'!$C$6:$C$2205,"Consumed input"),COUNTIFS('Material routes'!$D$6:$D$2205,A186,'Material routes'!$C$6:$C$2205,"Contained input"),COUNTIFS('Material routes'!$D$6:$D$2205,A186,'Material routes'!$C$6:$C$2205,"Transform input"))</x:f>
        <x:v>0</x:v>
      </x:c>
      <x:c r="AL186" s="4" t="n">
        <x:f>COUNTIFS('Material routes'!$D$6:$D$2205,A186,'Material routes'!$C$6:$C$2205,"Tool candidate")</x:f>
        <x:v>0</x:v>
      </x:c>
      <x:c r="AM186" s="4" t="str">
        <x:f>IF(AJ186&gt;0,"Route listed; review status/completeness",IF(C186="T0","Raw entry feed; no production route","No production route listed"))</x:f>
        <x:v>Route listed; review status/completeness</x:v>
      </x:c>
      <x:c r="AN186" s="14" t="n">
        <x:f>IF(C186="T0",0,IF(C186="T1",1,IF(C186="T2",2,IF(C186="T3",3,IF(C186="T4",4,IF(C186="Unassigned",98,99))))))</x:f>
        <x:v>99</x:v>
      </x:c>
      <x:c r="AZ186"/>
      <x:c r="BA186"/>
      <x:c r="BB186"/>
      <x:c r="BC186"/>
      <x:c r="BD186"/>
      <x:c r="BE186"/>
      <x:c r="BF186"/>
      <x:c r="BG186"/>
      <x:c r="BH186"/>
      <x:c r="BI186"/>
      <x:c r="BJ186"/>
      <x:c r="BK186"/>
      <x:c r="BL186"/>
      <x:c r="BM186"/>
      <x:c r="BN186"/>
      <x:c r="BO186"/>
      <x:c r="BP186"/>
      <x:c r="BQ186"/>
      <x:c r="BR186"/>
      <x:c r="BS186"/>
      <x:c r="BT186"/>
      <x:c r="BU186"/>
      <x:c r="BV186"/>
      <x:c r="BW186"/>
      <x:c r="BX186"/>
      <x:c r="BY186"/>
      <x:c r="BZ186"/>
      <x:c r="CA186"/>
      <x:c r="CB186"/>
      <x:c r="CC186"/>
    </x:row>
    <x:row r="187" ht="105" customHeight="1">
      <x:c r="A187" s="9" t="str">
        <x:v>proposal.ceramic.cup</x:v>
      </x:c>
      <x:c r="B187" s="9" t="str">
        <x:v>Small ceramic cup</x:v>
      </x:c>
      <x:c r="C187" s="4" t="str">
        <x:v>Not applicable</x:v>
      </x:c>
      <x:c r="D187" s="9" t="inlineStr">
        <x:is>
          <x:t xml:space="preserve">Salvage</x:t>
        </x:is>
      </x:c>
      <x:c r="E187" s="9" t="inlineStr">
        <x:is>
          <x:t xml:space="preserve">Food service &amp; storage</x:t>
        </x:is>
      </x:c>
      <x:c r="F187" s="9" t="str">
        <x:v>New proposal</x:v>
      </x:c>
      <x:c r="G187" s="9" t="inlineStr">
        <x:is>
          <x:t xml:space="preserve">Small cup for a contained food portion or other assigned household use. It is intended to portion, hold or serve the recorded food or drink. Food-contact preparation and the contents remain separate design requirements.</x:t>
        </x:is>
      </x:c>
      <x:c r="H187" s="9" t="str">
        <x:v>Unassigned; no new slot approved</x:v>
      </x:c>
      <x:c r="I187" s="9" t="str">
        <x:v>Carrier / placement policy TBD</x:v>
      </x:c>
      <x:c r="J187" s="13"/>
      <x:c r="K187" s="15"/>
      <x:c r="L187" s="9" t="str">
        <x:v>Specialist ceramic craft or trade; exact production route TBD</x:v>
      </x:c>
      <x:c r="M187" s="9" t="str">
        <x:v>Build on existing claystone, alumina, mineral feeds and insulating blanks where appropriate. No recipe authored.</x:v>
      </x:c>
      <x:c r="N187" s="9" t="str">
        <x:v>Not implemented</x:v>
      </x:c>
      <x:c r="O187" s="9" t="str">
        <x:v>Contents and food-contact suitability must be defined; no natural water introduced.</x:v>
      </x:c>
      <x:c r="P187" s="17"/>
      <x:c r="Q187" s="17"/>
      <x:c r="R187" s="17"/>
      <x:c r="S187" s="17"/>
      <x:c r="T187" s="17"/>
      <x:c r="U187" s="9" t="str">
        <x:v>Ceramics requested as a broad item family. Specific objects, grades, sourcing, yield and value remain proposals.</x:v>
      </x:c>
      <x:c r="V187" s="11" t="inlineStr">
        <x:is>
          <x:t xml:space="preserve">pottery; Ceramic household; camp goods; Food service &amp; storage</x:t>
        </x:is>
      </x:c>
      <x:c r="W187" s="9" t="str">
        <x:v>Author ceramics direction October 14, 2026; local game item proposal. Existing mineral/ceramic entries reused where applicable.</x:v>
      </x:c>
      <x:c r="X187" s="4" t="str">
        <x:v>Household utensil</x:v>
      </x:c>
      <x:c r="Y187" s="4" t="str">
        <x:v>Finished item</x:v>
      </x:c>
      <x:c r="Z187" s="4" t="str">
        <x:v>Manufactured / unresolved</x:v>
      </x:c>
      <x:c r="AA187" s="4" t="str">
        <x:v>Food service</x:v>
      </x:c>
      <x:c r="AB187" s="4" t="str">
        <x:v>Ceramic</x:v>
      </x:c>
      <x:c r="AC187" s="4" t="str">
        <x:v>Solid part</x:v>
      </x:c>
      <x:c r="AD187" s="4" t="str">
        <x:v>Proposal</x:v>
      </x:c>
      <x:c r="AE187" s="4" t="str">
        <x:f>LOWER(A187&amp;"; "&amp;B187&amp;"; "&amp;D187&amp;"; "&amp;E187&amp;"; "&amp;X187&amp;"; "&amp;Y187&amp;"; "&amp;Z187&amp;"; "&amp;AA187&amp;"; "&amp;AB187&amp;"; "&amp;AC187&amp;"; "&amp;AD187&amp;"; "&amp;V187&amp;"; "&amp;C187&amp;"; "&amp;AH187&amp;"; "&amp;AI187)</x:f>
        <x:v>proposal.ceramic.cup; small ceramic cup; salvage; food service &amp; storage; household utensil; finished item; manufactured / unresolved; food service; ceramic; solid part; proposal; pottery; ceramic household; camp goods; food service &amp; storage; not applicable; t1; finished item</x:v>
      </x:c>
      <x:c r="AF187" s="4" t="inlineStr">
        <x:is>
          <x:t xml:space="preserve">Specific item proposed from author ceramics direction; functional and material limits remain unresolved. Author camp organization: Camp items / Food service &amp; storage; previous category/subtype: Everyday objects / Ceramic household. Author direction October 16: all Camp items are Salvage; retire the Camp items section. Item identity, condition, tiers, purposes and recipe semantics remain unchanged.</x:t>
        </x:is>
      </x:c>
      <x:c r="AG187" s="4" t="str">
        <x:v>Finished endpoint; material tier is not applicable. Input tiers belong to the chosen recipe.</x:v>
      </x:c>
      <x:c r="AH187" s="4" t="str">
        <x:v>T1</x:v>
      </x:c>
      <x:c r="AI187" s="4" t="str">
        <x:v>Finished item</x:v>
      </x:c>
      <x:c r="AJ187" s="4" t="n">
        <x:f>COUNTIFS('Material routes'!$D$6:$D$2205,A187,'Material routes'!$C$6:$C$2205,"Output")</x:f>
        <x:v>1</x:v>
      </x:c>
      <x:c r="AK187" s="4" t="n">
        <x:f>SUM(COUNTIFS('Material routes'!$D$6:$D$2205,A187,'Material routes'!$C$6:$C$2205,"Ingredient candidate"),COUNTIFS('Material routes'!$D$6:$D$2205,A187,'Material routes'!$C$6:$C$2205,"Consumed input"),COUNTIFS('Material routes'!$D$6:$D$2205,A187,'Material routes'!$C$6:$C$2205,"Contained input"),COUNTIFS('Material routes'!$D$6:$D$2205,A187,'Material routes'!$C$6:$C$2205,"Transform input"))</x:f>
        <x:v>0</x:v>
      </x:c>
      <x:c r="AL187" s="4" t="n">
        <x:f>COUNTIFS('Material routes'!$D$6:$D$2205,A187,'Material routes'!$C$6:$C$2205,"Tool candidate")</x:f>
        <x:v>0</x:v>
      </x:c>
      <x:c r="AM187" s="4" t="str">
        <x:f>IF(AJ187&gt;0,"Route listed; review status/completeness",IF(C187="T0","Raw entry feed; no production route","No production route listed"))</x:f>
        <x:v>Route listed; review status/completeness</x:v>
      </x:c>
      <x:c r="AN187" s="14" t="n">
        <x:f>IF(C187="T0",0,IF(C187="T1",1,IF(C187="T2",2,IF(C187="T3",3,IF(C187="T4",4,IF(C187="Unassigned",98,99))))))</x:f>
        <x:v>99</x:v>
      </x:c>
      <x:c r="AZ187"/>
      <x:c r="BA187"/>
      <x:c r="BB187"/>
      <x:c r="BC187"/>
      <x:c r="BD187"/>
      <x:c r="BE187"/>
      <x:c r="BF187"/>
      <x:c r="BG187"/>
      <x:c r="BH187"/>
      <x:c r="BI187"/>
      <x:c r="BJ187"/>
      <x:c r="BK187"/>
      <x:c r="BL187"/>
      <x:c r="BM187"/>
      <x:c r="BN187"/>
      <x:c r="BO187"/>
      <x:c r="BP187"/>
      <x:c r="BQ187"/>
      <x:c r="BR187"/>
      <x:c r="BS187"/>
      <x:c r="BT187"/>
      <x:c r="BU187"/>
      <x:c r="BV187"/>
      <x:c r="BW187"/>
      <x:c r="BX187"/>
      <x:c r="BY187"/>
      <x:c r="BZ187"/>
      <x:c r="CA187"/>
      <x:c r="CB187"/>
      <x:c r="CC187"/>
    </x:row>
    <x:row r="188" ht="105" customHeight="1">
      <x:c r="A188" s="9" t="str">
        <x:v>proposal.ceramic.plate</x:v>
      </x:c>
      <x:c r="B188" s="9" t="str">
        <x:v>Ceramic serving plate</x:v>
      </x:c>
      <x:c r="C188" s="4" t="str">
        <x:v>Not applicable</x:v>
      </x:c>
      <x:c r="D188" s="9" t="inlineStr">
        <x:is>
          <x:t xml:space="preserve">Salvage</x:t>
        </x:is>
      </x:c>
      <x:c r="E188" s="9" t="inlineStr">
        <x:is>
          <x:t xml:space="preserve">Food service &amp; storage</x:t>
        </x:is>
      </x:c>
      <x:c r="F188" s="9" t="str">
        <x:v>New proposal</x:v>
      </x:c>
      <x:c r="G188" s="9" t="inlineStr">
        <x:is>
          <x:t xml:space="preserve">Shallow plate for serving or separating food portions. It is intended to portion, hold or serve the recorded food or drink. Food-contact preparation and the contents remain separate design requirements.</x:t>
        </x:is>
      </x:c>
      <x:c r="H188" s="9" t="str">
        <x:v>Unassigned; no new slot approved</x:v>
      </x:c>
      <x:c r="I188" s="9" t="str">
        <x:v>Carrier / placement policy TBD</x:v>
      </x:c>
      <x:c r="J188" s="13"/>
      <x:c r="K188" s="15"/>
      <x:c r="L188" s="9" t="str">
        <x:v>Specialist ceramic craft or trade; exact production route TBD</x:v>
      </x:c>
      <x:c r="M188" s="9" t="str">
        <x:v>Build on existing claystone, alumina, mineral feeds and insulating blanks where appropriate. No recipe authored.</x:v>
      </x:c>
      <x:c r="N188" s="9" t="str">
        <x:v>Not implemented</x:v>
      </x:c>
      <x:c r="O188" s="9" t="str">
        <x:v>No edible-fauna nutritional improvement or cleanliness mechanic granted.</x:v>
      </x:c>
      <x:c r="P188" s="17"/>
      <x:c r="Q188" s="17"/>
      <x:c r="R188" s="17"/>
      <x:c r="S188" s="17"/>
      <x:c r="T188" s="17"/>
      <x:c r="U188" s="9" t="str">
        <x:v>Ceramics requested as a broad item family. Specific objects, grades, sourcing, yield and value remain proposals.</x:v>
      </x:c>
      <x:c r="V188" s="11" t="inlineStr">
        <x:is>
          <x:t xml:space="preserve">pottery; Ceramic household; camp goods; Food service &amp; storage</x:t>
        </x:is>
      </x:c>
      <x:c r="W188" s="9" t="str">
        <x:v>Author ceramics direction October 14, 2026; local game item proposal. Existing mineral/ceramic entries reused where applicable.</x:v>
      </x:c>
      <x:c r="X188" s="4" t="str">
        <x:v>Household utensil</x:v>
      </x:c>
      <x:c r="Y188" s="4" t="str">
        <x:v>Finished item</x:v>
      </x:c>
      <x:c r="Z188" s="4" t="str">
        <x:v>Manufactured / unresolved</x:v>
      </x:c>
      <x:c r="AA188" s="4" t="str">
        <x:v>Food service</x:v>
      </x:c>
      <x:c r="AB188" s="4" t="str">
        <x:v>Ceramic</x:v>
      </x:c>
      <x:c r="AC188" s="4" t="str">
        <x:v>Solid part</x:v>
      </x:c>
      <x:c r="AD188" s="4" t="str">
        <x:v>Proposal</x:v>
      </x:c>
      <x:c r="AE188" s="4" t="str">
        <x:f>LOWER(A188&amp;"; "&amp;B188&amp;"; "&amp;D188&amp;"; "&amp;E188&amp;"; "&amp;X188&amp;"; "&amp;Y188&amp;"; "&amp;Z188&amp;"; "&amp;AA188&amp;"; "&amp;AB188&amp;"; "&amp;AC188&amp;"; "&amp;AD188&amp;"; "&amp;V188&amp;"; "&amp;C188&amp;"; "&amp;AH188&amp;"; "&amp;AI188)</x:f>
        <x:v>proposal.ceramic.plate; ceramic serving plate; salvage; food service &amp; storage; household utensil; finished item; manufactured / unresolved; food service; ceramic; solid part; proposal; pottery; ceramic household; camp goods; food service &amp; storage; not applicable; t1; finished item</x:v>
      </x:c>
      <x:c r="AF188" s="4" t="inlineStr">
        <x:is>
          <x:t xml:space="preserve">Specific item proposed from author ceramics direction; functional and material limits remain unresolved. Author camp organization: Camp items / Food service &amp; storage; previous category/subtype: Everyday objects / Ceramic household. Author direction October 16: all Camp items are Salvage; retire the Camp items section. Item identity, condition, tiers, purposes and recipe semantics remain unchanged.</x:t>
        </x:is>
      </x:c>
      <x:c r="AG188" s="4" t="str">
        <x:v>Finished endpoint; material tier is not applicable. Input tiers belong to the chosen recipe.</x:v>
      </x:c>
      <x:c r="AH188" s="4" t="str">
        <x:v>T1</x:v>
      </x:c>
      <x:c r="AI188" s="4" t="str">
        <x:v>Finished item</x:v>
      </x:c>
      <x:c r="AJ188" s="4" t="n">
        <x:f>COUNTIFS('Material routes'!$D$6:$D$2205,A188,'Material routes'!$C$6:$C$2205,"Output")</x:f>
        <x:v>1</x:v>
      </x:c>
      <x:c r="AK188" s="4" t="n">
        <x:f>SUM(COUNTIFS('Material routes'!$D$6:$D$2205,A188,'Material routes'!$C$6:$C$2205,"Ingredient candidate"),COUNTIFS('Material routes'!$D$6:$D$2205,A188,'Material routes'!$C$6:$C$2205,"Consumed input"),COUNTIFS('Material routes'!$D$6:$D$2205,A188,'Material routes'!$C$6:$C$2205,"Contained input"),COUNTIFS('Material routes'!$D$6:$D$2205,A188,'Material routes'!$C$6:$C$2205,"Transform input"))</x:f>
        <x:v>0</x:v>
      </x:c>
      <x:c r="AL188" s="4" t="n">
        <x:f>COUNTIFS('Material routes'!$D$6:$D$2205,A188,'Material routes'!$C$6:$C$2205,"Tool candidate")</x:f>
        <x:v>1</x:v>
      </x:c>
      <x:c r="AM188" s="4" t="str">
        <x:f>IF(AJ188&gt;0,"Route listed; review status/completeness",IF(C188="T0","Raw entry feed; no production route","No production route listed"))</x:f>
        <x:v>Route listed; review status/completeness</x:v>
      </x:c>
      <x:c r="AN188" s="14" t="n">
        <x:f>IF(C188="T0",0,IF(C188="T1",1,IF(C188="T2",2,IF(C188="T3",3,IF(C188="T4",4,IF(C188="Unassigned",98,99))))))</x:f>
        <x:v>99</x:v>
      </x:c>
      <x:c r="AZ188"/>
      <x:c r="BA188"/>
      <x:c r="BB188"/>
      <x:c r="BC188"/>
      <x:c r="BD188"/>
      <x:c r="BE188"/>
      <x:c r="BF188"/>
      <x:c r="BG188"/>
      <x:c r="BH188"/>
      <x:c r="BI188"/>
      <x:c r="BJ188"/>
      <x:c r="BK188"/>
      <x:c r="BL188"/>
      <x:c r="BM188"/>
      <x:c r="BN188"/>
      <x:c r="BO188"/>
      <x:c r="BP188"/>
      <x:c r="BQ188"/>
      <x:c r="BR188"/>
      <x:c r="BS188"/>
      <x:c r="BT188"/>
      <x:c r="BU188"/>
      <x:c r="BV188"/>
      <x:c r="BW188"/>
      <x:c r="BX188"/>
      <x:c r="BY188"/>
      <x:c r="BZ188"/>
      <x:c r="CA188"/>
      <x:c r="CB188"/>
      <x:c r="CC188"/>
    </x:row>
    <x:row r="189" ht="105" customHeight="1">
      <x:c r="A189" s="9" t="str">
        <x:v>proposal.ceramic.storage_crock</x:v>
      </x:c>
      <x:c r="B189" s="9" t="str">
        <x:v>Ceramic dry-storage crock</x:v>
      </x:c>
      <x:c r="C189" s="4" t="str">
        <x:v>Not applicable</x:v>
      </x:c>
      <x:c r="D189" s="9" t="inlineStr">
        <x:is>
          <x:t xml:space="preserve">Salvage</x:t>
        </x:is>
      </x:c>
      <x:c r="E189" s="9" t="inlineStr">
        <x:is>
          <x:t xml:space="preserve">Food service &amp; storage</x:t>
        </x:is>
      </x:c>
      <x:c r="F189" s="9" t="str">
        <x:v>New proposal</x:v>
      </x:c>
      <x:c r="G189" s="9" t="inlineStr">
        <x:is>
          <x:t xml:space="preserve">Lidded vessel for selected dry household goods. It is intended to retain or separate physical cargo at its actual location; it does not create remote storage or extra carrying capacity.</x:t>
        </x:is>
      </x:c>
      <x:c r="H189" s="9" t="str">
        <x:v>Unassigned; no new slot approved</x:v>
      </x:c>
      <x:c r="I189" s="9" t="str">
        <x:v>Carrier / placement policy TBD</x:v>
      </x:c>
      <x:c r="J189" s="13"/>
      <x:c r="K189" s="15"/>
      <x:c r="L189" s="9" t="str">
        <x:v>Specialist ceramic craft or trade; exact production route TBD</x:v>
      </x:c>
      <x:c r="M189" s="9" t="str">
        <x:v>Build on existing claystone, alumina, mineral feeds and insulating blanks where appropriate. No recipe authored.</x:v>
      </x:c>
      <x:c r="N189" s="9" t="str">
        <x:v>Not implemented</x:v>
      </x:c>
      <x:c r="O189" s="9" t="str">
        <x:v>Not automatically sealed, airtight, pressure-rated or chemically compatible.</x:v>
      </x:c>
      <x:c r="P189" s="17"/>
      <x:c r="Q189" s="17"/>
      <x:c r="R189" s="17"/>
      <x:c r="S189" s="17"/>
      <x:c r="T189" s="17"/>
      <x:c r="U189" s="9" t="str">
        <x:v>Ceramics requested as a broad item family. Specific objects, grades, sourcing, yield and value remain proposals.</x:v>
      </x:c>
      <x:c r="V189" s="11" t="inlineStr">
        <x:is>
          <x:t xml:space="preserve">liquid and bulk containment; pottery; Ceramic storage; camp goods; Food service &amp; storage</x:t>
        </x:is>
      </x:c>
      <x:c r="W189" s="9" t="str">
        <x:v>Author ceramics direction October 14, 2026; local game item proposal. Existing mineral/ceramic entries reused where applicable.</x:v>
      </x:c>
      <x:c r="X189" s="4" t="str">
        <x:v>Container</x:v>
      </x:c>
      <x:c r="Y189" s="4" t="str">
        <x:v>Finished item</x:v>
      </x:c>
      <x:c r="Z189" s="4" t="str">
        <x:v>Manufactured / unresolved</x:v>
      </x:c>
      <x:c r="AA189" s="4" t="str">
        <x:v>Cargo organization</x:v>
      </x:c>
      <x:c r="AB189" s="4" t="str">
        <x:v>Ceramic</x:v>
      </x:c>
      <x:c r="AC189" s="4" t="str">
        <x:v>Solid part</x:v>
      </x:c>
      <x:c r="AD189" s="4" t="str">
        <x:v>Proposal</x:v>
      </x:c>
      <x:c r="AE189" s="4" t="str">
        <x:f>LOWER(A189&amp;"; "&amp;B189&amp;"; "&amp;D189&amp;"; "&amp;E189&amp;"; "&amp;X189&amp;"; "&amp;Y189&amp;"; "&amp;Z189&amp;"; "&amp;AA189&amp;"; "&amp;AB189&amp;"; "&amp;AC189&amp;"; "&amp;AD189&amp;"; "&amp;V189&amp;"; "&amp;C189&amp;"; "&amp;AH189&amp;"; "&amp;AI189)</x:f>
        <x:v>proposal.ceramic.storage_crock; ceramic dry-storage crock; salvage; food service &amp; storage; container; finished item; manufactured / unresolved; cargo organization; ceramic; solid part; proposal; liquid and bulk containment; pottery; ceramic storage; camp goods; food service &amp; storage; not applicable; t3; finished item</x:v>
      </x:c>
      <x:c r="AF189" s="4" t="inlineStr">
        <x:is>
          <x:t xml:space="preserve">Specific item proposed from author ceramics direction; functional and material limits remain unresolved. Author camp organization: Camp items / Food service &amp; storage; previous category/subtype: Containers / Ceramic storage. Author direction October 16: all Camp items are Salvage; retire the Camp items section. Item identity, condition, tiers, purposes and recipe semantics remain unchanged.</x:t>
        </x:is>
      </x:c>
      <x:c r="AG189" s="4" t="str">
        <x:v>Finished endpoint; material tier is not applicable. Input tiers belong to the chosen recipe.</x:v>
      </x:c>
      <x:c r="AH189" s="4" t="str">
        <x:v>T3</x:v>
      </x:c>
      <x:c r="AI189" s="4" t="str">
        <x:v>Finished item</x:v>
      </x:c>
      <x:c r="AJ189" s="4" t="n">
        <x:f>COUNTIFS('Material routes'!$D$6:$D$2205,A189,'Material routes'!$C$6:$C$2205,"Output")</x:f>
        <x:v>1</x:v>
      </x:c>
      <x:c r="AK189" s="4" t="n">
        <x:f>SUM(COUNTIFS('Material routes'!$D$6:$D$2205,A189,'Material routes'!$C$6:$C$2205,"Ingredient candidate"),COUNTIFS('Material routes'!$D$6:$D$2205,A189,'Material routes'!$C$6:$C$2205,"Consumed input"),COUNTIFS('Material routes'!$D$6:$D$2205,A189,'Material routes'!$C$6:$C$2205,"Contained input"),COUNTIFS('Material routes'!$D$6:$D$2205,A189,'Material routes'!$C$6:$C$2205,"Transform input"))</x:f>
        <x:v>0</x:v>
      </x:c>
      <x:c r="AL189" s="4" t="n">
        <x:f>COUNTIFS('Material routes'!$D$6:$D$2205,A189,'Material routes'!$C$6:$C$2205,"Tool candidate")</x:f>
        <x:v>0</x:v>
      </x:c>
      <x:c r="AM189" s="4" t="str">
        <x:f>IF(AJ189&gt;0,"Route listed; review status/completeness",IF(C189="T0","Raw entry feed; no production route","No production route listed"))</x:f>
        <x:v>Route listed; review status/completeness</x:v>
      </x:c>
      <x:c r="AN189" s="14" t="n">
        <x:f>IF(C189="T0",0,IF(C189="T1",1,IF(C189="T2",2,IF(C189="T3",3,IF(C189="T4",4,IF(C189="Unassigned",98,99))))))</x:f>
        <x:v>99</x:v>
      </x:c>
      <x:c r="AZ189"/>
      <x:c r="BA189"/>
      <x:c r="BB189"/>
      <x:c r="BC189"/>
      <x:c r="BD189"/>
      <x:c r="BE189"/>
      <x:c r="BF189"/>
      <x:c r="BG189"/>
      <x:c r="BH189"/>
      <x:c r="BI189"/>
      <x:c r="BJ189"/>
      <x:c r="BK189"/>
      <x:c r="BL189"/>
      <x:c r="BM189"/>
      <x:c r="BN189"/>
      <x:c r="BO189"/>
      <x:c r="BP189"/>
      <x:c r="BQ189"/>
      <x:c r="BR189"/>
      <x:c r="BS189"/>
      <x:c r="BT189"/>
      <x:c r="BU189"/>
      <x:c r="BV189"/>
      <x:c r="BW189"/>
      <x:c r="BX189"/>
      <x:c r="BY189"/>
      <x:c r="BZ189"/>
      <x:c r="CA189"/>
      <x:c r="CB189"/>
      <x:c r="CC189"/>
    </x:row>
    <x:row r="190" ht="105" customHeight="1">
      <x:c r="A190" s="9" t="str">
        <x:v>proposal.ceramic.crucible</x:v>
      </x:c>
      <x:c r="B190" s="9" t="str">
        <x:v>Ceramic crucible</x:v>
      </x:c>
      <x:c r="C190" s="4" t="str">
        <x:v>Not applicable</x:v>
      </x:c>
      <x:c r="D190" s="9" t="inlineStr">
        <x:is>
          <x:t xml:space="preserve">Salvage</x:t>
        </x:is>
      </x:c>
      <x:c r="E190" s="9" t="str">
        <x:v>Ceramic workshop</x:v>
      </x:c>
      <x:c r="F190" s="9" t="str">
        <x:v>New proposal</x:v>
      </x:c>
      <x:c r="G190" s="9" t="inlineStr">
        <x:is>
          <x:t xml:space="preserve">Specialist vessel candidate for a selected high-temperature material process. It is intended to enter a controlled metal-preparation or refining process; the feed material is distinct from the usable metal eventually produced.</x:t>
        </x:is>
      </x:c>
      <x:c r="H190" s="9" t="str">
        <x:v>Unassigned; no new slot approved</x:v>
      </x:c>
      <x:c r="I190" s="9" t="str">
        <x:v>Carrier / placement policy TBD</x:v>
      </x:c>
      <x:c r="J190" s="13"/>
      <x:c r="K190" s="15"/>
      <x:c r="L190" s="9" t="str">
        <x:v>Specialist ceramic craft or trade; exact production route TBD</x:v>
      </x:c>
      <x:c r="M190" s="9" t="str">
        <x:v>Build on existing claystone, alumina, mineral feeds and insulating blanks where appropriate. No recipe authored.</x:v>
      </x:c>
      <x:c r="N190" s="9" t="str">
        <x:v>Not implemented</x:v>
      </x:c>
      <x:c r="O190" s="9" t="str">
        <x:v>Composition, supported contents and temperature range unresolved; ordinary pottery is not interchangeable.</x:v>
      </x:c>
      <x:c r="P190" s="17"/>
      <x:c r="Q190" s="17"/>
      <x:c r="R190" s="17"/>
      <x:c r="S190" s="17"/>
      <x:c r="T190" s="17"/>
      <x:c r="U190" s="9" t="str">
        <x:v>Ceramics requested as a broad item family. Specific objects, grades, sourcing, yield and value remain proposals.</x:v>
      </x:c>
      <x:c r="V190" s="11" t="str">
        <x:v>glass and ceramics; pottery</x:v>
      </x:c>
      <x:c r="W190" s="9" t="str">
        <x:v>Author ceramics direction October 14, 2026; local game item proposal. Existing mineral/ceramic entries reused where applicable.</x:v>
      </x:c>
      <x:c r="X190" s="4" t="str">
        <x:v>Tool</x:v>
      </x:c>
      <x:c r="Y190" s="4" t="str">
        <x:v>Finished item</x:v>
      </x:c>
      <x:c r="Z190" s="4" t="str">
        <x:v>Manufactured / unresolved</x:v>
      </x:c>
      <x:c r="AA190" s="4" t="str">
        <x:v>Metal refining</x:v>
      </x:c>
      <x:c r="AB190" s="4" t="str">
        <x:v>Ceramic</x:v>
      </x:c>
      <x:c r="AC190" s="4" t="str">
        <x:v>Solid part</x:v>
      </x:c>
      <x:c r="AD190" s="4" t="str">
        <x:v>Proposal</x:v>
      </x:c>
      <x:c r="AE190" s="4" t="str">
        <x:f>LOWER(A190&amp;"; "&amp;B190&amp;"; "&amp;D190&amp;"; "&amp;E190&amp;"; "&amp;X190&amp;"; "&amp;Y190&amp;"; "&amp;Z190&amp;"; "&amp;AA190&amp;"; "&amp;AB190&amp;"; "&amp;AC190&amp;"; "&amp;AD190&amp;"; "&amp;V190&amp;"; "&amp;C190&amp;"; "&amp;AH190&amp;"; "&amp;AI190)</x:f>
        <x:v>proposal.ceramic.crucible; ceramic crucible; salvage; ceramic workshop; tool; finished item; manufactured / unresolved; metal refining; ceramic; solid part; proposal; glass and ceramics; pottery; not applicable; t2; finished item</x:v>
      </x:c>
      <x:c r="AF190"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0" s="4" t="str">
        <x:v>Finished endpoint; material tier is not applicable. Input tiers belong to the chosen recipe.</x:v>
      </x:c>
      <x:c r="AH190" s="4" t="str">
        <x:v>T2</x:v>
      </x:c>
      <x:c r="AI190" s="4" t="str">
        <x:v>Finished item</x:v>
      </x:c>
      <x:c r="AJ190" s="4" t="n">
        <x:f>COUNTIFS('Material routes'!$D$6:$D$2205,A190,'Material routes'!$C$6:$C$2205,"Output")</x:f>
        <x:v>1</x:v>
      </x:c>
      <x:c r="AK190" s="4" t="n">
        <x:f>SUM(COUNTIFS('Material routes'!$D$6:$D$2205,A190,'Material routes'!$C$6:$C$2205,"Ingredient candidate"),COUNTIFS('Material routes'!$D$6:$D$2205,A190,'Material routes'!$C$6:$C$2205,"Consumed input"),COUNTIFS('Material routes'!$D$6:$D$2205,A190,'Material routes'!$C$6:$C$2205,"Contained input"),COUNTIFS('Material routes'!$D$6:$D$2205,A190,'Material routes'!$C$6:$C$2205,"Transform input"))</x:f>
        <x:v>0</x:v>
      </x:c>
      <x:c r="AL190" s="4" t="n">
        <x:f>COUNTIFS('Material routes'!$D$6:$D$2205,A190,'Material routes'!$C$6:$C$2205,"Tool candidate")</x:f>
        <x:v>0</x:v>
      </x:c>
      <x:c r="AM190" s="4" t="str">
        <x:f>IF(AJ190&gt;0,"Route listed; review status/completeness",IF(C190="T0","Raw entry feed; no production route","No production route listed"))</x:f>
        <x:v>Route listed; review status/completeness</x:v>
      </x:c>
      <x:c r="AN190" s="14" t="n">
        <x:f>IF(C190="T0",0,IF(C190="T1",1,IF(C190="T2",2,IF(C190="T3",3,IF(C190="T4",4,IF(C190="Unassigned",98,99))))))</x:f>
        <x:v>99</x:v>
      </x:c>
      <x:c r="AZ190"/>
      <x:c r="BA190"/>
      <x:c r="BB190"/>
      <x:c r="BC190"/>
      <x:c r="BD190"/>
      <x:c r="BE190"/>
      <x:c r="BF190"/>
      <x:c r="BG190"/>
      <x:c r="BH190"/>
      <x:c r="BI190"/>
      <x:c r="BJ190"/>
      <x:c r="BK190"/>
      <x:c r="BL190"/>
      <x:c r="BM190"/>
      <x:c r="BN190"/>
      <x:c r="BO190"/>
      <x:c r="BP190"/>
      <x:c r="BQ190"/>
      <x:c r="BR190"/>
      <x:c r="BS190"/>
      <x:c r="BT190"/>
      <x:c r="BU190"/>
      <x:c r="BV190"/>
      <x:c r="BW190"/>
      <x:c r="BX190"/>
      <x:c r="BY190"/>
      <x:c r="BZ190"/>
      <x:c r="CA190"/>
      <x:c r="CB190"/>
      <x:c r="CC190"/>
    </x:row>
    <x:row r="191" ht="105" customHeight="1">
      <x:c r="A191" s="9" t="str">
        <x:v>proposal.ceramic.casting_mold</x:v>
      </x:c>
      <x:c r="B191" s="9" t="str">
        <x:v>Ceramic casting mold</x:v>
      </x:c>
      <x:c r="C191" s="4" t="str">
        <x:v>Not applicable</x:v>
      </x:c>
      <x:c r="D191" s="9" t="inlineStr">
        <x:is>
          <x:t xml:space="preserve">Salvage</x:t>
        </x:is>
      </x:c>
      <x:c r="E191" s="9" t="str">
        <x:v>Ceramic workshop</x:v>
      </x:c>
      <x:c r="F191" s="9" t="str">
        <x:v>New proposal</x:v>
      </x:c>
      <x:c r="G191" s="9" t="inlineStr">
        <x:is>
          <x:t xml:space="preserve">A shaped mold for a specifically chosen casting process. It provides candidate material or a shaped starting piece for making other objects, with the final form set by the receiving design.</x:t>
        </x:is>
      </x:c>
      <x:c r="H191" s="9" t="str">
        <x:v>Unassigned; no new slot approved</x:v>
      </x:c>
      <x:c r="I191" s="9" t="str">
        <x:v>Carrier / placement policy TBD</x:v>
      </x:c>
      <x:c r="J191" s="13"/>
      <x:c r="K191" s="15"/>
      <x:c r="L191" s="9" t="str">
        <x:v>Specialist ceramic craft or trade; exact production route TBD</x:v>
      </x:c>
      <x:c r="M191" s="9" t="str">
        <x:v>Build on existing claystone, alumina, mineral feeds and insulating blanks where appropriate. No recipe authored.</x:v>
      </x:c>
      <x:c r="N191" s="9" t="str">
        <x:v>Not implemented</x:v>
      </x:c>
      <x:c r="O191" s="9" t="str">
        <x:v>Process compatibility, release, lifetime and reusable versus expendable construction TBD.</x:v>
      </x:c>
      <x:c r="P191" s="17"/>
      <x:c r="Q191" s="17"/>
      <x:c r="R191" s="17"/>
      <x:c r="S191" s="17"/>
      <x:c r="T191" s="17"/>
      <x:c r="U191" s="9" t="str">
        <x:v>Ceramics requested as a broad item family. Specific objects, grades, sourcing, yield and value remain proposals.</x:v>
      </x:c>
      <x:c r="V191" s="11" t="str">
        <x:v>metal refining; pottery</x:v>
      </x:c>
      <x:c r="W191" s="9" t="str">
        <x:v>Author ceramics direction October 14, 2026; local game item proposal. Existing mineral/ceramic entries reused where applicable.</x:v>
      </x:c>
      <x:c r="X191" s="4" t="str">
        <x:v>Tool</x:v>
      </x:c>
      <x:c r="Y191" s="4" t="str">
        <x:v>Finished item</x:v>
      </x:c>
      <x:c r="Z191" s="4" t="str">
        <x:v>Manufactured / unresolved</x:v>
      </x:c>
      <x:c r="AA191" s="4" t="str">
        <x:v>Fabrication</x:v>
      </x:c>
      <x:c r="AB191" s="4" t="str">
        <x:v>Ceramic</x:v>
      </x:c>
      <x:c r="AC191" s="4" t="str">
        <x:v>Solid part</x:v>
      </x:c>
      <x:c r="AD191" s="4" t="str">
        <x:v>Proposal</x:v>
      </x:c>
      <x:c r="AE191" s="4" t="str">
        <x:f>LOWER(A191&amp;"; "&amp;B191&amp;"; "&amp;D191&amp;"; "&amp;E191&amp;"; "&amp;X191&amp;"; "&amp;Y191&amp;"; "&amp;Z191&amp;"; "&amp;AA191&amp;"; "&amp;AB191&amp;"; "&amp;AC191&amp;"; "&amp;AD191&amp;"; "&amp;V191&amp;"; "&amp;C191&amp;"; "&amp;AH191&amp;"; "&amp;AI191)</x:f>
        <x:v>proposal.ceramic.casting_mold; ceramic casting mold; salvage; ceramic workshop; tool; finished item; manufactured / unresolved; fabrication; ceramic; solid part; proposal; metal refining; pottery; not applicable; t1; finished item</x:v>
      </x:c>
      <x:c r="AF191"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1" s="4" t="str">
        <x:v>Finished endpoint; material tier is not applicable. Input tiers belong to the chosen recipe.</x:v>
      </x:c>
      <x:c r="AH191" s="4" t="str">
        <x:v>T1</x:v>
      </x:c>
      <x:c r="AI191" s="4" t="str">
        <x:v>Finished item</x:v>
      </x:c>
      <x:c r="AJ191" s="4" t="n">
        <x:f>COUNTIFS('Material routes'!$D$6:$D$2205,A191,'Material routes'!$C$6:$C$2205,"Output")</x:f>
        <x:v>1</x:v>
      </x:c>
      <x:c r="AK191" s="4" t="n">
        <x:f>SUM(COUNTIFS('Material routes'!$D$6:$D$2205,A191,'Material routes'!$C$6:$C$2205,"Ingredient candidate"),COUNTIFS('Material routes'!$D$6:$D$2205,A191,'Material routes'!$C$6:$C$2205,"Consumed input"),COUNTIFS('Material routes'!$D$6:$D$2205,A191,'Material routes'!$C$6:$C$2205,"Contained input"),COUNTIFS('Material routes'!$D$6:$D$2205,A191,'Material routes'!$C$6:$C$2205,"Transform input"))</x:f>
        <x:v>0</x:v>
      </x:c>
      <x:c r="AL191" s="4" t="n">
        <x:f>COUNTIFS('Material routes'!$D$6:$D$2205,A191,'Material routes'!$C$6:$C$2205,"Tool candidate")</x:f>
        <x:v>0</x:v>
      </x:c>
      <x:c r="AM191" s="4" t="str">
        <x:f>IF(AJ191&gt;0,"Route listed; review status/completeness",IF(C191="T0","Raw entry feed; no production route","No production route listed"))</x:f>
        <x:v>Route listed; review status/completeness</x:v>
      </x:c>
      <x:c r="AN191" s="14" t="n">
        <x:f>IF(C191="T0",0,IF(C191="T1",1,IF(C191="T2",2,IF(C191="T3",3,IF(C191="T4",4,IF(C191="Unassigned",98,99))))))</x:f>
        <x:v>99</x:v>
      </x:c>
      <x:c r="AZ191"/>
      <x:c r="BA191"/>
      <x:c r="BB191"/>
      <x:c r="BC191"/>
      <x:c r="BD191"/>
      <x:c r="BE191"/>
      <x:c r="BF191"/>
      <x:c r="BG191"/>
      <x:c r="BH191"/>
      <x:c r="BI191"/>
      <x:c r="BJ191"/>
      <x:c r="BK191"/>
      <x:c r="BL191"/>
      <x:c r="BM191"/>
      <x:c r="BN191"/>
      <x:c r="BO191"/>
      <x:c r="BP191"/>
      <x:c r="BQ191"/>
      <x:c r="BR191"/>
      <x:c r="BS191"/>
      <x:c r="BT191"/>
      <x:c r="BU191"/>
      <x:c r="BV191"/>
      <x:c r="BW191"/>
      <x:c r="BX191"/>
      <x:c r="BY191"/>
      <x:c r="BZ191"/>
      <x:c r="CA191"/>
      <x:c r="CB191"/>
      <x:c r="CC191"/>
    </x:row>
    <x:row r="192" ht="105" customHeight="1">
      <x:c r="A192" s="9" t="str">
        <x:v>proposal.ceramic.mortar</x:v>
      </x:c>
      <x:c r="B192" s="9" t="str">
        <x:v>Ceramic grinding mortar</x:v>
      </x:c>
      <x:c r="C192" s="4" t="str">
        <x:v>Not applicable</x:v>
      </x:c>
      <x:c r="D192" s="9" t="inlineStr">
        <x:is>
          <x:t xml:space="preserve">Salvage</x:t>
        </x:is>
      </x:c>
      <x:c r="E192" s="9" t="str">
        <x:v>Ceramic workshop</x:v>
      </x:c>
      <x:c r="F192" s="9" t="str">
        <x:v>New proposal</x:v>
      </x:c>
      <x:c r="G192" s="9" t="inlineStr">
        <x:is>
          <x:t xml:space="preserve">Bowl-shaped workshop tool for controlled grinding of selected feed. It is a candidate industrial input or process aid. Its composition, containment and compatible treatment must be established; usefulness does not imply edibility.</x:t>
        </x:is>
      </x:c>
      <x:c r="H192" s="9" t="str">
        <x:v>Unassigned; no new slot approved</x:v>
      </x:c>
      <x:c r="I192" s="9" t="str">
        <x:v>Carrier / placement policy TBD</x:v>
      </x:c>
      <x:c r="J192" s="13"/>
      <x:c r="K192" s="15"/>
      <x:c r="L192" s="9" t="str">
        <x:v>Specialist ceramic craft or trade; exact production route TBD</x:v>
      </x:c>
      <x:c r="M192" s="9" t="str">
        <x:v>Build on existing claystone, alumina, mineral feeds and insulating blanks where appropriate. No recipe authored.</x:v>
      </x:c>
      <x:c r="N192" s="9" t="str">
        <x:v>Not implemented</x:v>
      </x:c>
      <x:c r="O192" s="9" t="str">
        <x:v>Grinding suitability and contamination matter; not interchangeable with an eating bowl.</x:v>
      </x:c>
      <x:c r="P192" s="17"/>
      <x:c r="Q192" s="17"/>
      <x:c r="R192" s="17"/>
      <x:c r="S192" s="17"/>
      <x:c r="T192" s="17"/>
      <x:c r="U192" s="9" t="str">
        <x:v>Ceramics requested as a broad item family. Specific objects, grades, sourcing, yield and value remain proposals.</x:v>
      </x:c>
      <x:c r="V192" s="11" t="str">
        <x:v>glass and ceramics; pottery</x:v>
      </x:c>
      <x:c r="W192" s="9" t="str">
        <x:v>Author ceramics direction October 14, 2026; local game item proposal. Existing mineral/ceramic entries reused where applicable.</x:v>
      </x:c>
      <x:c r="X192" s="4" t="str">
        <x:v>Tool</x:v>
      </x:c>
      <x:c r="Y192" s="4" t="str">
        <x:v>Finished item</x:v>
      </x:c>
      <x:c r="Z192" s="4" t="str">
        <x:v>Manufactured / unresolved</x:v>
      </x:c>
      <x:c r="AA192" s="4" t="str">
        <x:v>Chemical processing</x:v>
      </x:c>
      <x:c r="AB192" s="4" t="str">
        <x:v>Ceramic</x:v>
      </x:c>
      <x:c r="AC192" s="4" t="str">
        <x:v>Solid part</x:v>
      </x:c>
      <x:c r="AD192" s="4" t="str">
        <x:v>Proposal</x:v>
      </x:c>
      <x:c r="AE192" s="4" t="str">
        <x:f>LOWER(A192&amp;"; "&amp;B192&amp;"; "&amp;D192&amp;"; "&amp;E192&amp;"; "&amp;X192&amp;"; "&amp;Y192&amp;"; "&amp;Z192&amp;"; "&amp;AA192&amp;"; "&amp;AB192&amp;"; "&amp;AC192&amp;"; "&amp;AD192&amp;"; "&amp;V192&amp;"; "&amp;C192&amp;"; "&amp;AH192&amp;"; "&amp;AI192)</x:f>
        <x:v>proposal.ceramic.mortar; ceramic grinding mortar; salvage; ceramic workshop; tool; finished item; manufactured / unresolved; chemical processing; ceramic; solid part; proposal; glass and ceramics; pottery; not applicable; t1; finished item</x:v>
      </x:c>
      <x:c r="AF192"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2" s="4" t="str">
        <x:v>Finished endpoint; material tier is not applicable. Input tiers belong to the chosen recipe.</x:v>
      </x:c>
      <x:c r="AH192" s="4" t="str">
        <x:v>T1</x:v>
      </x:c>
      <x:c r="AI192" s="4" t="str">
        <x:v>Finished item</x:v>
      </x:c>
      <x:c r="AJ192" s="4" t="n">
        <x:f>COUNTIFS('Material routes'!$D$6:$D$2205,A192,'Material routes'!$C$6:$C$2205,"Output")</x:f>
        <x:v>1</x:v>
      </x:c>
      <x:c r="AK192" s="4" t="n">
        <x:f>SUM(COUNTIFS('Material routes'!$D$6:$D$2205,A192,'Material routes'!$C$6:$C$2205,"Ingredient candidate"),COUNTIFS('Material routes'!$D$6:$D$2205,A192,'Material routes'!$C$6:$C$2205,"Consumed input"),COUNTIFS('Material routes'!$D$6:$D$2205,A192,'Material routes'!$C$6:$C$2205,"Contained input"),COUNTIFS('Material routes'!$D$6:$D$2205,A192,'Material routes'!$C$6:$C$2205,"Transform input"))</x:f>
        <x:v>0</x:v>
      </x:c>
      <x:c r="AL192" s="4" t="n">
        <x:f>COUNTIFS('Material routes'!$D$6:$D$2205,A192,'Material routes'!$C$6:$C$2205,"Tool candidate")</x:f>
        <x:v>0</x:v>
      </x:c>
      <x:c r="AM192" s="4" t="str">
        <x:f>IF(AJ192&gt;0,"Route listed; review status/completeness",IF(C192="T0","Raw entry feed; no production route","No production route listed"))</x:f>
        <x:v>Route listed; review status/completeness</x:v>
      </x:c>
      <x:c r="AN192" s="14" t="n">
        <x:f>IF(C192="T0",0,IF(C192="T1",1,IF(C192="T2",2,IF(C192="T3",3,IF(C192="T4",4,IF(C192="Unassigned",98,99))))))</x:f>
        <x:v>99</x:v>
      </x:c>
      <x:c r="AZ192"/>
      <x:c r="BA192"/>
      <x:c r="BB192"/>
      <x:c r="BC192"/>
      <x:c r="BD192"/>
      <x:c r="BE192"/>
      <x:c r="BF192"/>
      <x:c r="BG192"/>
      <x:c r="BH192"/>
      <x:c r="BI192"/>
      <x:c r="BJ192"/>
      <x:c r="BK192"/>
      <x:c r="BL192"/>
      <x:c r="BM192"/>
      <x:c r="BN192"/>
      <x:c r="BO192"/>
      <x:c r="BP192"/>
      <x:c r="BQ192"/>
      <x:c r="BR192"/>
      <x:c r="BS192"/>
      <x:c r="BT192"/>
      <x:c r="BU192"/>
      <x:c r="BV192"/>
      <x:c r="BW192"/>
      <x:c r="BX192"/>
      <x:c r="BY192"/>
      <x:c r="BZ192"/>
      <x:c r="CA192"/>
      <x:c r="CB192"/>
      <x:c r="CC192"/>
    </x:row>
    <x:row r="193" ht="105" customHeight="1">
      <x:c r="A193" s="9" t="str">
        <x:v>proposal.ceramic.pestle</x:v>
      </x:c>
      <x:c r="B193" s="9" t="str">
        <x:v>Ceramic pestle</x:v>
      </x:c>
      <x:c r="C193" s="4" t="str">
        <x:v>Not applicable</x:v>
      </x:c>
      <x:c r="D193" s="9" t="inlineStr">
        <x:is>
          <x:t xml:space="preserve">Salvage</x:t>
        </x:is>
      </x:c>
      <x:c r="E193" s="9" t="str">
        <x:v>Ceramic workshop</x:v>
      </x:c>
      <x:c r="F193" s="9" t="str">
        <x:v>New proposal</x:v>
      </x:c>
      <x:c r="G193" s="9" t="inlineStr">
        <x:is>
          <x:t xml:space="preserve">Grinding tool used with a compatible mortar. It is a candidate industrial input or process aid. Its composition, containment and compatible treatment must be established; usefulness does not imply edibility.</x:t>
        </x:is>
      </x:c>
      <x:c r="H193" s="9" t="str">
        <x:v>Unassigned; no new slot approved</x:v>
      </x:c>
      <x:c r="I193" s="9" t="str">
        <x:v>Carrier / placement policy TBD</x:v>
      </x:c>
      <x:c r="J193" s="13"/>
      <x:c r="K193" s="15"/>
      <x:c r="L193" s="9" t="str">
        <x:v>Specialist ceramic craft or trade; exact production route TBD</x:v>
      </x:c>
      <x:c r="M193" s="9" t="str">
        <x:v>Build on existing claystone, alumina, mineral feeds and insulating blanks where appropriate. No recipe authored.</x:v>
      </x:c>
      <x:c r="N193" s="9" t="str">
        <x:v>Not implemented</x:v>
      </x:c>
      <x:c r="O193" s="9" t="str">
        <x:v>Companion mortar remains separately owned; no automatic processing recipe.</x:v>
      </x:c>
      <x:c r="P193" s="17"/>
      <x:c r="Q193" s="17"/>
      <x:c r="R193" s="17"/>
      <x:c r="S193" s="17"/>
      <x:c r="T193" s="17"/>
      <x:c r="U193" s="9" t="str">
        <x:v>Ceramics requested as a broad item family. Specific objects, grades, sourcing, yield and value remain proposals.</x:v>
      </x:c>
      <x:c r="V193" s="11" t="str">
        <x:v>glass and ceramics; pottery</x:v>
      </x:c>
      <x:c r="W193" s="9" t="str">
        <x:v>Author ceramics direction October 14, 2026; local game item proposal. Existing mineral/ceramic entries reused where applicable.</x:v>
      </x:c>
      <x:c r="X193" s="4" t="str">
        <x:v>Tool</x:v>
      </x:c>
      <x:c r="Y193" s="4" t="str">
        <x:v>Finished item</x:v>
      </x:c>
      <x:c r="Z193" s="4" t="str">
        <x:v>Manufactured / unresolved</x:v>
      </x:c>
      <x:c r="AA193" s="4" t="str">
        <x:v>Chemical processing</x:v>
      </x:c>
      <x:c r="AB193" s="4" t="str">
        <x:v>Ceramic</x:v>
      </x:c>
      <x:c r="AC193" s="4" t="str">
        <x:v>Solid part</x:v>
      </x:c>
      <x:c r="AD193" s="4" t="str">
        <x:v>Proposal</x:v>
      </x:c>
      <x:c r="AE193" s="4" t="str">
        <x:f>LOWER(A193&amp;"; "&amp;B193&amp;"; "&amp;D193&amp;"; "&amp;E193&amp;"; "&amp;X193&amp;"; "&amp;Y193&amp;"; "&amp;Z193&amp;"; "&amp;AA193&amp;"; "&amp;AB193&amp;"; "&amp;AC193&amp;"; "&amp;AD193&amp;"; "&amp;V193&amp;"; "&amp;C193&amp;"; "&amp;AH193&amp;"; "&amp;AI193)</x:f>
        <x:v>proposal.ceramic.pestle; ceramic pestle; salvage; ceramic workshop; tool; finished item; manufactured / unresolved; chemical processing; ceramic; solid part; proposal; glass and ceramics; pottery; not applicable; t1; finished item</x:v>
      </x:c>
      <x:c r="AF193"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3" s="4" t="str">
        <x:v>Finished endpoint; material tier is not applicable. Input tiers belong to the chosen recipe.</x:v>
      </x:c>
      <x:c r="AH193" s="4" t="str">
        <x:v>T1</x:v>
      </x:c>
      <x:c r="AI193" s="4" t="str">
        <x:v>Finished item</x:v>
      </x:c>
      <x:c r="AJ193" s="4" t="n">
        <x:f>COUNTIFS('Material routes'!$D$6:$D$2205,A193,'Material routes'!$C$6:$C$2205,"Output")</x:f>
        <x:v>1</x:v>
      </x:c>
      <x:c r="AK193" s="4" t="n">
        <x:f>SUM(COUNTIFS('Material routes'!$D$6:$D$2205,A193,'Material routes'!$C$6:$C$2205,"Ingredient candidate"),COUNTIFS('Material routes'!$D$6:$D$2205,A193,'Material routes'!$C$6:$C$2205,"Consumed input"),COUNTIFS('Material routes'!$D$6:$D$2205,A193,'Material routes'!$C$6:$C$2205,"Contained input"),COUNTIFS('Material routes'!$D$6:$D$2205,A193,'Material routes'!$C$6:$C$2205,"Transform input"))</x:f>
        <x:v>0</x:v>
      </x:c>
      <x:c r="AL193" s="4" t="n">
        <x:f>COUNTIFS('Material routes'!$D$6:$D$2205,A193,'Material routes'!$C$6:$C$2205,"Tool candidate")</x:f>
        <x:v>0</x:v>
      </x:c>
      <x:c r="AM193" s="4" t="str">
        <x:f>IF(AJ193&gt;0,"Route listed; review status/completeness",IF(C193="T0","Raw entry feed; no production route","No production route listed"))</x:f>
        <x:v>Route listed; review status/completeness</x:v>
      </x:c>
      <x:c r="AN193" s="14" t="n">
        <x:f>IF(C193="T0",0,IF(C193="T1",1,IF(C193="T2",2,IF(C193="T3",3,IF(C193="T4",4,IF(C193="Unassigned",98,99))))))</x:f>
        <x:v>99</x:v>
      </x:c>
      <x:c r="AZ193"/>
      <x:c r="BA193"/>
      <x:c r="BB193"/>
      <x:c r="BC193"/>
      <x:c r="BD193"/>
      <x:c r="BE193"/>
      <x:c r="BF193"/>
      <x:c r="BG193"/>
      <x:c r="BH193"/>
      <x:c r="BI193"/>
      <x:c r="BJ193"/>
      <x:c r="BK193"/>
      <x:c r="BL193"/>
      <x:c r="BM193"/>
      <x:c r="BN193"/>
      <x:c r="BO193"/>
      <x:c r="BP193"/>
      <x:c r="BQ193"/>
      <x:c r="BR193"/>
      <x:c r="BS193"/>
      <x:c r="BT193"/>
      <x:c r="BU193"/>
      <x:c r="BV193"/>
      <x:c r="BW193"/>
      <x:c r="BX193"/>
      <x:c r="BY193"/>
      <x:c r="BZ193"/>
      <x:c r="CA193"/>
      <x:c r="CB193"/>
      <x:c r="CC193"/>
    </x:row>
    <x:row r="194" ht="105" customHeight="1">
      <x:c r="A194" s="9" t="str">
        <x:v>proposal.ceramic.firing_tray</x:v>
      </x:c>
      <x:c r="B194" s="9" t="str">
        <x:v>Ceramic firing tray</x:v>
      </x:c>
      <x:c r="C194" s="4" t="str">
        <x:v>Not applicable</x:v>
      </x:c>
      <x:c r="D194" s="9" t="inlineStr">
        <x:is>
          <x:t xml:space="preserve">Salvage</x:t>
        </x:is>
      </x:c>
      <x:c r="E194" s="9" t="str">
        <x:v>Ceramic workshop</x:v>
      </x:c>
      <x:c r="F194" s="9" t="str">
        <x:v>New proposal</x:v>
      </x:c>
      <x:c r="G194" s="9" t="inlineStr">
        <x:is>
          <x:t xml:space="preserve">Support selected small parts in a proposed firing setup. It is intended for a matched glassworking or ceramic process, with composition, forming and controlled heat determining the useful result.</x:t>
        </x:is>
      </x:c>
      <x:c r="H194" s="9" t="str">
        <x:v>Unassigned; no new slot approved</x:v>
      </x:c>
      <x:c r="I194" s="9" t="str">
        <x:v>Carrier / placement policy TBD</x:v>
      </x:c>
      <x:c r="J194" s="13"/>
      <x:c r="K194" s="15"/>
      <x:c r="L194" s="9" t="str">
        <x:v>Specialist ceramic craft or trade; exact production route TBD</x:v>
      </x:c>
      <x:c r="M194" s="9" t="str">
        <x:v>Build on existing claystone, alumina, mineral feeds and insulating blanks where appropriate. No recipe authored.</x:v>
      </x:c>
      <x:c r="N194" s="9" t="str">
        <x:v>Not implemented</x:v>
      </x:c>
      <x:c r="O194" s="9" t="str">
        <x:v>Suitable ceramic grade, kiln system and firing behavior are undefined.</x:v>
      </x:c>
      <x:c r="P194" s="17"/>
      <x:c r="Q194" s="17"/>
      <x:c r="R194" s="17"/>
      <x:c r="S194" s="17"/>
      <x:c r="T194" s="17"/>
      <x:c r="U194" s="9" t="str">
        <x:v>Ceramics requested as a broad item family. Specific objects, grades, sourcing, yield and value remain proposals.</x:v>
      </x:c>
      <x:c r="V194" s="11" t="str">
        <x:v>pottery</x:v>
      </x:c>
      <x:c r="W194" s="9" t="str">
        <x:v>Author ceramics direction October 14, 2026; local game item proposal. Existing mineral/ceramic entries reused where applicable.</x:v>
      </x:c>
      <x:c r="X194" s="4" t="str">
        <x:v>Tool</x:v>
      </x:c>
      <x:c r="Y194" s="4" t="str">
        <x:v>Finished item</x:v>
      </x:c>
      <x:c r="Z194" s="4" t="str">
        <x:v>Manufactured / unresolved</x:v>
      </x:c>
      <x:c r="AA194" s="4" t="str">
        <x:v>Glass and ceramics</x:v>
      </x:c>
      <x:c r="AB194" s="4" t="str">
        <x:v>Ceramic</x:v>
      </x:c>
      <x:c r="AC194" s="4" t="str">
        <x:v>Panel</x:v>
      </x:c>
      <x:c r="AD194" s="4" t="str">
        <x:v>Proposal</x:v>
      </x:c>
      <x:c r="AE194" s="4" t="str">
        <x:f>LOWER(A194&amp;"; "&amp;B194&amp;"; "&amp;D194&amp;"; "&amp;E194&amp;"; "&amp;X194&amp;"; "&amp;Y194&amp;"; "&amp;Z194&amp;"; "&amp;AA194&amp;"; "&amp;AB194&amp;"; "&amp;AC194&amp;"; "&amp;AD194&amp;"; "&amp;V194&amp;"; "&amp;C194&amp;"; "&amp;AH194&amp;"; "&amp;AI194)</x:f>
        <x:v>proposal.ceramic.firing_tray; ceramic firing tray; salvage; ceramic workshop; tool; finished item; manufactured / unresolved; glass and ceramics; ceramic; panel; proposal; pottery; not applicable; t1; finished item</x:v>
      </x:c>
      <x:c r="AF194"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4" s="4" t="str">
        <x:v>Finished endpoint; material tier is not applicable. Input tiers belong to the chosen recipe.</x:v>
      </x:c>
      <x:c r="AH194" s="4" t="str">
        <x:v>T1</x:v>
      </x:c>
      <x:c r="AI194" s="4" t="str">
        <x:v>Finished item</x:v>
      </x:c>
      <x:c r="AJ194" s="4" t="n">
        <x:f>COUNTIFS('Material routes'!$D$6:$D$2205,A194,'Material routes'!$C$6:$C$2205,"Output")</x:f>
        <x:v>1</x:v>
      </x:c>
      <x:c r="AK194" s="4" t="n">
        <x:f>SUM(COUNTIFS('Material routes'!$D$6:$D$2205,A194,'Material routes'!$C$6:$C$2205,"Ingredient candidate"),COUNTIFS('Material routes'!$D$6:$D$2205,A194,'Material routes'!$C$6:$C$2205,"Consumed input"),COUNTIFS('Material routes'!$D$6:$D$2205,A194,'Material routes'!$C$6:$C$2205,"Contained input"),COUNTIFS('Material routes'!$D$6:$D$2205,A194,'Material routes'!$C$6:$C$2205,"Transform input"))</x:f>
        <x:v>0</x:v>
      </x:c>
      <x:c r="AL194" s="4" t="n">
        <x:f>COUNTIFS('Material routes'!$D$6:$D$2205,A194,'Material routes'!$C$6:$C$2205,"Tool candidate")</x:f>
        <x:v>0</x:v>
      </x:c>
      <x:c r="AM194" s="4" t="str">
        <x:f>IF(AJ194&gt;0,"Route listed; review status/completeness",IF(C194="T0","Raw entry feed; no production route","No production route listed"))</x:f>
        <x:v>Route listed; review status/completeness</x:v>
      </x:c>
      <x:c r="AN194" s="14" t="n">
        <x:f>IF(C194="T0",0,IF(C194="T1",1,IF(C194="T2",2,IF(C194="T3",3,IF(C194="T4",4,IF(C194="Unassigned",98,99))))))</x:f>
        <x:v>99</x:v>
      </x:c>
      <x:c r="AZ194"/>
      <x:c r="BA194"/>
      <x:c r="BB194"/>
      <x:c r="BC194"/>
      <x:c r="BD194"/>
      <x:c r="BE194"/>
      <x:c r="BF194"/>
      <x:c r="BG194"/>
      <x:c r="BH194"/>
      <x:c r="BI194"/>
      <x:c r="BJ194"/>
      <x:c r="BK194"/>
      <x:c r="BL194"/>
      <x:c r="BM194"/>
      <x:c r="BN194"/>
      <x:c r="BO194"/>
      <x:c r="BP194"/>
      <x:c r="BQ194"/>
      <x:c r="BR194"/>
      <x:c r="BS194"/>
      <x:c r="BT194"/>
      <x:c r="BU194"/>
      <x:c r="BV194"/>
      <x:c r="BW194"/>
      <x:c r="BX194"/>
      <x:c r="BY194"/>
      <x:c r="BZ194"/>
      <x:c r="CA194"/>
      <x:c r="CB194"/>
      <x:c r="CC194"/>
    </x:row>
    <x:row r="195" ht="170" customHeight="1">
      <x:c r="A195" s="9" t="str">
        <x:v>proposal.ceramic.refractory_brick</x:v>
      </x:c>
      <x:c r="B195" s="9" t="str">
        <x:v>Refractory ceramic brick</x:v>
      </x:c>
      <x:c r="C195" s="4" t="str">
        <x:v>T3</x:v>
      </x:c>
      <x:c r="D195" s="9" t="str">
        <x:v>Crafting components</x:v>
      </x:c>
      <x:c r="E195" s="9" t="str">
        <x:v>Ceramic thermal component</x:v>
      </x:c>
      <x:c r="F195" s="9" t="str">
        <x:v>New proposal</x:v>
      </x:c>
      <x:c r="G195" s="9" t="inlineStr">
        <x:is>
          <x:t xml:space="preserve">Specialist lining brick for a compatible furnace or kiln. It provides candidate stock for a protective assembly, with coverage, joining and backing still determining the finished protection.</x:t>
        </x:is>
      </x:c>
      <x:c r="H195" s="9" t="str">
        <x:v>Unassigned; no new slot approved</x:v>
      </x:c>
      <x:c r="I195" s="9" t="str">
        <x:v>Carrier / placement policy TBD</x:v>
      </x:c>
      <x:c r="J195" s="13"/>
      <x:c r="K195" s="15"/>
      <x:c r="L195" s="9" t="str">
        <x:v>Specialist ceramic craft or trade; exact production route TBD</x:v>
      </x:c>
      <x:c r="M195" s="9" t="str">
        <x:v>Build on existing claystone, alumina, mineral feeds and insulating blanks where appropriate. No recipe authored.</x:v>
      </x:c>
      <x:c r="N195" s="9" t="str">
        <x:v>Not implemented</x:v>
      </x:c>
      <x:c r="O195" s="9" t="str">
        <x:v>Heat-service composition and installation unresolved; no universal fire immunity.</x:v>
      </x:c>
      <x:c r="P195" s="17"/>
      <x:c r="Q195" s="17"/>
      <x:c r="R195" s="17"/>
      <x:c r="S195" s="17"/>
      <x:c r="T195" s="17"/>
      <x:c r="U195" s="9" t="str">
        <x:v>Ceramics requested as a broad item family. Specific objects, grades, sourcing, yield and value remain proposals.</x:v>
      </x:c>
      <x:c r="V195" s="11" t="str">
        <x:v>glass and ceramics; metal refining; pottery</x:v>
      </x:c>
      <x:c r="W195" s="9" t="str">
        <x:v>Author ceramics direction October 14, 2026; local game item proposal. Existing mineral/ceramic entries reused where applicable.</x:v>
      </x:c>
      <x:c r="X195" s="4" t="str">
        <x:v>Crafting component</x:v>
      </x:c>
      <x:c r="Y195" s="4" t="str">
        <x:v>Processed intermediate</x:v>
      </x:c>
      <x:c r="Z195" s="4" t="str">
        <x:v>Manufactured / unresolved</x:v>
      </x:c>
      <x:c r="AA195" s="4" t="str">
        <x:v>Protective fabrication</x:v>
      </x:c>
      <x:c r="AB195" s="4" t="str">
        <x:v>Ceramic</x:v>
      </x:c>
      <x:c r="AC195" s="4" t="str">
        <x:v>Solid part</x:v>
      </x:c>
      <x:c r="AD195" s="4" t="str">
        <x:v>Proposal</x:v>
      </x:c>
      <x:c r="AE195" s="4" t="str">
        <x:f>LOWER(A195&amp;"; "&amp;B195&amp;"; "&amp;D195&amp;"; "&amp;E195&amp;"; "&amp;X195&amp;"; "&amp;Y195&amp;"; "&amp;Z195&amp;"; "&amp;AA195&amp;"; "&amp;AB195&amp;"; "&amp;AC195&amp;"; "&amp;AD195&amp;"; "&amp;V195&amp;"; "&amp;C195&amp;"; "&amp;AH195&amp;"; "&amp;AI195)</x:f>
        <x:v>proposal.ceramic.refractory_brick; refractory ceramic brick; crafting components; ceramic thermal component; crafting component; processed intermediate; manufactured / unresolved; protective fabrication; ceramic; solid part; proposal; glass and ceramics; metal refining; pottery; t3; not applicable; component</x:v>
      </x:c>
      <x:c r="AF195" s="4" t="str">
        <x:v>Specific item proposed from author ceramics direction; functional and material limits remain unresolved.</x:v>
      </x:c>
      <x:c r="AG195"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5" s="4" t="str">
        <x:v>Not applicable</x:v>
      </x:c>
      <x:c r="AI195" s="4" t="str">
        <x:v>Component</x:v>
      </x:c>
      <x:c r="AJ195" s="4" t="n">
        <x:f>COUNTIFS('Material routes'!$D$6:$D$2205,A195,'Material routes'!$C$6:$C$2205,"Output")</x:f>
        <x:v>1</x:v>
      </x:c>
      <x:c r="AK195" s="4" t="n">
        <x:f>SUM(COUNTIFS('Material routes'!$D$6:$D$2205,A195,'Material routes'!$C$6:$C$2205,"Ingredient candidate"),COUNTIFS('Material routes'!$D$6:$D$2205,A195,'Material routes'!$C$6:$C$2205,"Consumed input"),COUNTIFS('Material routes'!$D$6:$D$2205,A195,'Material routes'!$C$6:$C$2205,"Contained input"),COUNTIFS('Material routes'!$D$6:$D$2205,A195,'Material routes'!$C$6:$C$2205,"Transform input"))</x:f>
        <x:v>3</x:v>
      </x:c>
      <x:c r="AL195" s="4" t="n">
        <x:f>COUNTIFS('Material routes'!$D$6:$D$2205,A195,'Material routes'!$C$6:$C$2205,"Tool candidate")</x:f>
        <x:v>0</x:v>
      </x:c>
      <x:c r="AM195" s="4" t="str">
        <x:f>IF(AJ195&gt;0,"Route listed; review status/completeness",IF(C195="T0","Raw entry feed; no production route","No production route listed"))</x:f>
        <x:v>Route listed; review status/completeness</x:v>
      </x:c>
      <x:c r="AN195" s="14" t="n">
        <x:f>IF(C195="T0",0,IF(C195="T1",1,IF(C195="T2",2,IF(C195="T3",3,IF(C195="T4",4,IF(C195="Unassigned",98,99))))))</x:f>
        <x:v>3</x:v>
      </x:c>
      <x:c r="AZ195"/>
      <x:c r="BA195"/>
      <x:c r="BB195"/>
      <x:c r="BC195"/>
      <x:c r="BD195"/>
      <x:c r="BE195"/>
      <x:c r="BF195"/>
      <x:c r="BG195"/>
      <x:c r="BH195"/>
      <x:c r="BI195"/>
      <x:c r="BJ195"/>
      <x:c r="BK195"/>
      <x:c r="BL195"/>
      <x:c r="BM195"/>
      <x:c r="BN195"/>
      <x:c r="BO195"/>
      <x:c r="BP195"/>
      <x:c r="BQ195"/>
      <x:c r="BR195"/>
      <x:c r="BS195"/>
      <x:c r="BT195"/>
      <x:c r="BU195"/>
      <x:c r="BV195"/>
      <x:c r="BW195"/>
      <x:c r="BX195"/>
      <x:c r="BY195"/>
      <x:c r="BZ195"/>
      <x:c r="CA195"/>
      <x:c r="CB195"/>
      <x:c r="CC195"/>
    </x:row>
    <x:row r="196" ht="170" customHeight="1">
      <x:c r="A196" s="9" t="str">
        <x:v>proposal.ceramic.kiln_liner</x:v>
      </x:c>
      <x:c r="B196" s="9" t="str">
        <x:v>Ceramic kiln lining panel</x:v>
      </x:c>
      <x:c r="C196" s="4" t="str">
        <x:v>T3</x:v>
      </x:c>
      <x:c r="D196" s="9" t="str">
        <x:v>Crafting components</x:v>
      </x:c>
      <x:c r="E196" s="9" t="str">
        <x:v>Ceramic thermal component</x:v>
      </x:c>
      <x:c r="F196" s="9" t="str">
        <x:v>New proposal</x:v>
      </x:c>
      <x:c r="G196" s="9" t="inlineStr">
        <x:is>
          <x:t xml:space="preserve">Replaceable shaped hot-face panel for a proposed stationary kiln. It provides candidate stock for a protective assembly, with coverage, joining and backing still determining the finished protection.</x:t>
        </x:is>
      </x:c>
      <x:c r="H196" s="9" t="str">
        <x:v>Unassigned; no new slot approved</x:v>
      </x:c>
      <x:c r="I196" s="9" t="str">
        <x:v>Carrier / placement policy TBD</x:v>
      </x:c>
      <x:c r="J196" s="13"/>
      <x:c r="K196" s="15"/>
      <x:c r="L196" s="9" t="str">
        <x:v>Specialist ceramic craft or trade; exact production route TBD</x:v>
      </x:c>
      <x:c r="M196" s="9" t="str">
        <x:v>Build on existing claystone, alumina, mineral feeds and insulating blanks where appropriate. No recipe authored.</x:v>
      </x:c>
      <x:c r="N196" s="9" t="str">
        <x:v>Not implemented</x:v>
      </x:c>
      <x:c r="O196" s="9" t="str">
        <x:v>Panel differs from brick geometry; kiln implementation and thermal properties TBD.</x:v>
      </x:c>
      <x:c r="P196" s="17"/>
      <x:c r="Q196" s="17"/>
      <x:c r="R196" s="17"/>
      <x:c r="S196" s="17"/>
      <x:c r="T196" s="17"/>
      <x:c r="U196" s="9" t="str">
        <x:v>Ceramics requested as a broad item family. Specific objects, grades, sourcing, yield and value remain proposals.</x:v>
      </x:c>
      <x:c r="V196" s="11" t="str">
        <x:v>glass and ceramics; pottery</x:v>
      </x:c>
      <x:c r="W196" s="9" t="str">
        <x:v>Author ceramics direction October 14, 2026; local game item proposal. Existing mineral/ceramic entries reused where applicable.</x:v>
      </x:c>
      <x:c r="X196" s="4" t="str">
        <x:v>Crafting component</x:v>
      </x:c>
      <x:c r="Y196" s="4" t="str">
        <x:v>Processed intermediate</x:v>
      </x:c>
      <x:c r="Z196" s="4" t="str">
        <x:v>Manufactured / unresolved</x:v>
      </x:c>
      <x:c r="AA196" s="4" t="str">
        <x:v>Protective fabrication</x:v>
      </x:c>
      <x:c r="AB196" s="4" t="str">
        <x:v>Ceramic</x:v>
      </x:c>
      <x:c r="AC196" s="4" t="str">
        <x:v>Panel</x:v>
      </x:c>
      <x:c r="AD196" s="4" t="str">
        <x:v>Proposal</x:v>
      </x:c>
      <x:c r="AE196" s="4" t="str">
        <x:f>LOWER(A196&amp;"; "&amp;B196&amp;"; "&amp;D196&amp;"; "&amp;E196&amp;"; "&amp;X196&amp;"; "&amp;Y196&amp;"; "&amp;Z196&amp;"; "&amp;AA196&amp;"; "&amp;AB196&amp;"; "&amp;AC196&amp;"; "&amp;AD196&amp;"; "&amp;V196&amp;"; "&amp;C196&amp;"; "&amp;AH196&amp;"; "&amp;AI196)</x:f>
        <x:v>proposal.ceramic.kiln_liner; ceramic kiln lining panel; crafting components; ceramic thermal component; crafting component; processed intermediate; manufactured / unresolved; protective fabrication; ceramic; panel; proposal; glass and ceramics; pottery; t3; not applicable; component</x:v>
      </x:c>
      <x:c r="AF196" s="4" t="str">
        <x:v>Specific item proposed from author ceramics direction; functional and material limits remain unresolved.</x:v>
      </x:c>
      <x:c r="AG196"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6" s="4" t="str">
        <x:v>Not applicable</x:v>
      </x:c>
      <x:c r="AI196" s="4" t="str">
        <x:v>Component</x:v>
      </x:c>
      <x:c r="AJ196" s="4" t="n">
        <x:f>COUNTIFS('Material routes'!$D$6:$D$2205,A196,'Material routes'!$C$6:$C$2205,"Output")</x:f>
        <x:v>1</x:v>
      </x:c>
      <x:c r="AK196" s="4" t="n">
        <x:f>SUM(COUNTIFS('Material routes'!$D$6:$D$2205,A196,'Material routes'!$C$6:$C$2205,"Ingredient candidate"),COUNTIFS('Material routes'!$D$6:$D$2205,A196,'Material routes'!$C$6:$C$2205,"Consumed input"),COUNTIFS('Material routes'!$D$6:$D$2205,A196,'Material routes'!$C$6:$C$2205,"Contained input"),COUNTIFS('Material routes'!$D$6:$D$2205,A196,'Material routes'!$C$6:$C$2205,"Transform input"))</x:f>
        <x:v>2</x:v>
      </x:c>
      <x:c r="AL196" s="4" t="n">
        <x:f>COUNTIFS('Material routes'!$D$6:$D$2205,A196,'Material routes'!$C$6:$C$2205,"Tool candidate")</x:f>
        <x:v>0</x:v>
      </x:c>
      <x:c r="AM196" s="4" t="str">
        <x:f>IF(AJ196&gt;0,"Route listed; review status/completeness",IF(C196="T0","Raw entry feed; no production route","No production route listed"))</x:f>
        <x:v>Route listed; review status/completeness</x:v>
      </x:c>
      <x:c r="AN196" s="14" t="n">
        <x:f>IF(C196="T0",0,IF(C196="T1",1,IF(C196="T2",2,IF(C196="T3",3,IF(C196="T4",4,IF(C196="Unassigned",98,99))))))</x:f>
        <x:v>3</x:v>
      </x:c>
      <x:c r="AZ196"/>
      <x:c r="BA196"/>
      <x:c r="BB196"/>
      <x:c r="BC196"/>
      <x:c r="BD196"/>
      <x:c r="BE196"/>
      <x:c r="BF196"/>
      <x:c r="BG196"/>
      <x:c r="BH196"/>
      <x:c r="BI196"/>
      <x:c r="BJ196"/>
      <x:c r="BK196"/>
      <x:c r="BL196"/>
      <x:c r="BM196"/>
      <x:c r="BN196"/>
      <x:c r="BO196"/>
      <x:c r="BP196"/>
      <x:c r="BQ196"/>
      <x:c r="BR196"/>
      <x:c r="BS196"/>
      <x:c r="BT196"/>
      <x:c r="BU196"/>
      <x:c r="BV196"/>
      <x:c r="BW196"/>
      <x:c r="BX196"/>
      <x:c r="BY196"/>
      <x:c r="BZ196"/>
      <x:c r="CA196"/>
      <x:c r="CB196"/>
      <x:c r="CC196"/>
    </x:row>
    <x:row r="197" ht="170" customHeight="1">
      <x:c r="A197" s="9" t="str">
        <x:v>proposal.ceramic.bead</x:v>
      </x:c>
      <x:c r="B197" s="9" t="str">
        <x:v>Ceramic insulating bead</x:v>
      </x:c>
      <x:c r="C197" s="4" t="str">
        <x:v>T3</x:v>
      </x:c>
      <x:c r="D197" s="9" t="str">
        <x:v>Crafting components</x:v>
      </x:c>
      <x:c r="E197" s="9" t="str">
        <x:v>Ceramic electrical component</x:v>
      </x:c>
      <x:c r="F197" s="9" t="str">
        <x:v>New proposal</x:v>
      </x:c>
      <x:c r="G197" s="9" t="inlineStr">
        <x:is>
          <x:t xml:space="preserve">Small fitted bead candidate for separating selected conductor sections. It is intended to separate conductive parts or support them without a direct conducting path. No voltage or thermal rating follows from that proposed role.</x:t>
        </x:is>
      </x:c>
      <x:c r="H197" s="9" t="str">
        <x:v>Unassigned; no new slot approved</x:v>
      </x:c>
      <x:c r="I197" s="9" t="str">
        <x:v>Carrier / placement policy TBD</x:v>
      </x:c>
      <x:c r="J197" s="13"/>
      <x:c r="K197" s="15"/>
      <x:c r="L197" s="9" t="str">
        <x:v>Specialist ceramic craft or trade; exact production route TBD</x:v>
      </x:c>
      <x:c r="M197" s="9" t="str">
        <x:v>Build on existing claystone, alumina, mineral feeds and insulating blanks where appropriate. No recipe authored.</x:v>
      </x:c>
      <x:c r="N197" s="9" t="str">
        <x:v>Not implemented</x:v>
      </x:c>
      <x:c r="O197" s="9" t="str">
        <x:v>Voltage, contamination, geometry and mounting unresolved; no lightning immunity.</x:v>
      </x:c>
      <x:c r="P197" s="17"/>
      <x:c r="Q197" s="17"/>
      <x:c r="R197" s="17"/>
      <x:c r="S197" s="17"/>
      <x:c r="T197" s="17"/>
      <x:c r="U197" s="9" t="str">
        <x:v>Ceramics requested as a broad item family. Specific objects, grades, sourcing, yield and value remain proposals.</x:v>
      </x:c>
      <x:c r="V197" s="11" t="str">
        <x:v>electrical work; pottery</x:v>
      </x:c>
      <x:c r="W197" s="9" t="str">
        <x:v>Author ceramics direction October 14, 2026; local game item proposal. Existing mineral/ceramic entries reused where applicable.</x:v>
      </x:c>
      <x:c r="X197" s="4" t="str">
        <x:v>Crafting component</x:v>
      </x:c>
      <x:c r="Y197" s="4" t="str">
        <x:v>Processed intermediate</x:v>
      </x:c>
      <x:c r="Z197" s="4" t="str">
        <x:v>Manufactured / unresolved</x:v>
      </x:c>
      <x:c r="AA197" s="4" t="str">
        <x:v>Electrical insulation</x:v>
      </x:c>
      <x:c r="AB197" s="4" t="str">
        <x:v>Ceramic</x:v>
      </x:c>
      <x:c r="AC197" s="4" t="str">
        <x:v>Solid part</x:v>
      </x:c>
      <x:c r="AD197" s="4" t="str">
        <x:v>Proposal</x:v>
      </x:c>
      <x:c r="AE197" s="4" t="str">
        <x:f>LOWER(A197&amp;"; "&amp;B197&amp;"; "&amp;D197&amp;"; "&amp;E197&amp;"; "&amp;X197&amp;"; "&amp;Y197&amp;"; "&amp;Z197&amp;"; "&amp;AA197&amp;"; "&amp;AB197&amp;"; "&amp;AC197&amp;"; "&amp;AD197&amp;"; "&amp;V197&amp;"; "&amp;C197&amp;"; "&amp;AH197&amp;"; "&amp;AI197)</x:f>
        <x:v>proposal.ceramic.bead; ceramic insulating bead; crafting components; ceramic electrical component; crafting component; processed intermediate; manufactured / unresolved; electrical insulation; ceramic; solid part; proposal; electrical work; pottery; t3; not applicable; component</x:v>
      </x:c>
      <x:c r="AF197" s="4" t="str">
        <x:v>Specific item proposed from author ceramics direction; functional and material limits remain unresolved.</x:v>
      </x:c>
      <x:c r="AG197"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7" s="4" t="str">
        <x:v>Not applicable</x:v>
      </x:c>
      <x:c r="AI197" s="4" t="str">
        <x:v>Component</x:v>
      </x:c>
      <x:c r="AJ197" s="4" t="n">
        <x:f>COUNTIFS('Material routes'!$D$6:$D$2205,A197,'Material routes'!$C$6:$C$2205,"Output")</x:f>
        <x:v>1</x:v>
      </x:c>
      <x:c r="AK197" s="4" t="n">
        <x:f>SUM(COUNTIFS('Material routes'!$D$6:$D$2205,A197,'Material routes'!$C$6:$C$2205,"Ingredient candidate"),COUNTIFS('Material routes'!$D$6:$D$2205,A197,'Material routes'!$C$6:$C$2205,"Consumed input"),COUNTIFS('Material routes'!$D$6:$D$2205,A197,'Material routes'!$C$6:$C$2205,"Contained input"),COUNTIFS('Material routes'!$D$6:$D$2205,A197,'Material routes'!$C$6:$C$2205,"Transform input"))</x:f>
        <x:v>1</x:v>
      </x:c>
      <x:c r="AL197" s="4" t="n">
        <x:f>COUNTIFS('Material routes'!$D$6:$D$2205,A197,'Material routes'!$C$6:$C$2205,"Tool candidate")</x:f>
        <x:v>0</x:v>
      </x:c>
      <x:c r="AM197" s="4" t="str">
        <x:f>IF(AJ197&gt;0,"Route listed; review status/completeness",IF(C197="T0","Raw entry feed; no production route","No production route listed"))</x:f>
        <x:v>Route listed; review status/completeness</x:v>
      </x:c>
      <x:c r="AN197" s="14" t="n">
        <x:f>IF(C197="T0",0,IF(C197="T1",1,IF(C197="T2",2,IF(C197="T3",3,IF(C197="T4",4,IF(C197="Unassigned",98,99))))))</x:f>
        <x:v>3</x:v>
      </x:c>
      <x:c r="AZ197"/>
      <x:c r="BA197"/>
      <x:c r="BB197"/>
      <x:c r="BC197"/>
      <x:c r="BD197"/>
      <x:c r="BE197"/>
      <x:c r="BF197"/>
      <x:c r="BG197"/>
      <x:c r="BH197"/>
      <x:c r="BI197"/>
      <x:c r="BJ197"/>
      <x:c r="BK197"/>
      <x:c r="BL197"/>
      <x:c r="BM197"/>
      <x:c r="BN197"/>
      <x:c r="BO197"/>
      <x:c r="BP197"/>
      <x:c r="BQ197"/>
      <x:c r="BR197"/>
      <x:c r="BS197"/>
      <x:c r="BT197"/>
      <x:c r="BU197"/>
      <x:c r="BV197"/>
      <x:c r="BW197"/>
      <x:c r="BX197"/>
      <x:c r="BY197"/>
      <x:c r="BZ197"/>
      <x:c r="CA197"/>
      <x:c r="CB197"/>
      <x:c r="CC197"/>
    </x:row>
    <x:row r="198" ht="170" customHeight="1">
      <x:c r="A198" s="9" t="str">
        <x:v>proposal.ceramic.spacer</x:v>
      </x:c>
      <x:c r="B198" s="9" t="str">
        <x:v>Ceramic insulating spacer</x:v>
      </x:c>
      <x:c r="C198" s="4" t="str">
        <x:v>T3</x:v>
      </x:c>
      <x:c r="D198" s="9" t="str">
        <x:v>Crafting components</x:v>
      </x:c>
      <x:c r="E198" s="9" t="str">
        <x:v>Ceramic electrical component</x:v>
      </x:c>
      <x:c r="F198" s="9" t="str">
        <x:v>New proposal</x:v>
      </x:c>
      <x:c r="G198" s="9" t="inlineStr">
        <x:is>
          <x:t xml:space="preserve">Hard standoff separating compatible conductive parts. It is intended to separate conductive parts or support them without a direct conducting path. No voltage or thermal rating follows from that proposed role.</x:t>
        </x:is>
      </x:c>
      <x:c r="H198" s="9" t="str">
        <x:v>Unassigned; no new slot approved</x:v>
      </x:c>
      <x:c r="I198" s="9" t="str">
        <x:v>Carrier / placement policy TBD</x:v>
      </x:c>
      <x:c r="J198" s="13"/>
      <x:c r="K198" s="15"/>
      <x:c r="L198" s="9" t="str">
        <x:v>Specialist ceramic craft or trade; exact production route TBD</x:v>
      </x:c>
      <x:c r="M198" s="9" t="str">
        <x:v>Build on existing claystone, alumina, mineral feeds and insulating blanks where appropriate. No recipe authored.</x:v>
      </x:c>
      <x:c r="N198" s="9" t="str">
        <x:v>Not implemented</x:v>
      </x:c>
      <x:c r="O198" s="9" t="str">
        <x:v>Shape-specific part within existing insulating-blank family; no universal substitution.</x:v>
      </x:c>
      <x:c r="P198" s="17"/>
      <x:c r="Q198" s="17"/>
      <x:c r="R198" s="17"/>
      <x:c r="S198" s="17"/>
      <x:c r="T198" s="17"/>
      <x:c r="U198" s="9" t="str">
        <x:v>Ceramics requested as a broad item family. Specific objects, grades, sourcing, yield and value remain proposals.</x:v>
      </x:c>
      <x:c r="V198" s="11" t="str">
        <x:v>electrical work; pottery</x:v>
      </x:c>
      <x:c r="W198" s="9" t="str">
        <x:v>Author ceramics direction October 14, 2026; local game item proposal. Existing mineral/ceramic entries reused where applicable.</x:v>
      </x:c>
      <x:c r="X198" s="4" t="str">
        <x:v>Crafting component</x:v>
      </x:c>
      <x:c r="Y198" s="4" t="str">
        <x:v>Processed intermediate</x:v>
      </x:c>
      <x:c r="Z198" s="4" t="str">
        <x:v>Manufactured / unresolved</x:v>
      </x:c>
      <x:c r="AA198" s="4" t="str">
        <x:v>Electrical insulation</x:v>
      </x:c>
      <x:c r="AB198" s="4" t="str">
        <x:v>Ceramic</x:v>
      </x:c>
      <x:c r="AC198" s="4" t="str">
        <x:v>Solid part</x:v>
      </x:c>
      <x:c r="AD198" s="4" t="str">
        <x:v>Proposal</x:v>
      </x:c>
      <x:c r="AE198" s="4" t="str">
        <x:f>LOWER(A198&amp;"; "&amp;B198&amp;"; "&amp;D198&amp;"; "&amp;E198&amp;"; "&amp;X198&amp;"; "&amp;Y198&amp;"; "&amp;Z198&amp;"; "&amp;AA198&amp;"; "&amp;AB198&amp;"; "&amp;AC198&amp;"; "&amp;AD198&amp;"; "&amp;V198&amp;"; "&amp;C198&amp;"; "&amp;AH198&amp;"; "&amp;AI198)</x:f>
        <x:v>proposal.ceramic.spacer; ceramic insulating spacer; crafting components; ceramic electrical component; crafting component; processed intermediate; manufactured / unresolved; electrical insulation; ceramic; solid part; proposal; electrical work; pottery; t3; not applicable; component</x:v>
      </x:c>
      <x:c r="AF198" s="4" t="str">
        <x:v>Specific item proposed from author ceramics direction; functional and material limits remain unresolved.</x:v>
      </x:c>
      <x:c r="AG19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8" s="4" t="str">
        <x:v>Not applicable</x:v>
      </x:c>
      <x:c r="AI198" s="4" t="str">
        <x:v>Component</x:v>
      </x:c>
      <x:c r="AJ198" s="4" t="n">
        <x:f>COUNTIFS('Material routes'!$D$6:$D$2205,A198,'Material routes'!$C$6:$C$2205,"Output")</x:f>
        <x:v>1</x:v>
      </x:c>
      <x:c r="AK198" s="4" t="n">
        <x:f>SUM(COUNTIFS('Material routes'!$D$6:$D$2205,A198,'Material routes'!$C$6:$C$2205,"Ingredient candidate"),COUNTIFS('Material routes'!$D$6:$D$2205,A198,'Material routes'!$C$6:$C$2205,"Consumed input"),COUNTIFS('Material routes'!$D$6:$D$2205,A198,'Material routes'!$C$6:$C$2205,"Contained input"),COUNTIFS('Material routes'!$D$6:$D$2205,A198,'Material routes'!$C$6:$C$2205,"Transform input"))</x:f>
        <x:v>4</x:v>
      </x:c>
      <x:c r="AL198" s="4" t="n">
        <x:f>COUNTIFS('Material routes'!$D$6:$D$2205,A198,'Material routes'!$C$6:$C$2205,"Tool candidate")</x:f>
        <x:v>0</x:v>
      </x:c>
      <x:c r="AM198" s="4" t="str">
        <x:f>IF(AJ198&gt;0,"Route listed; review status/completeness",IF(C198="T0","Raw entry feed; no production route","No production route listed"))</x:f>
        <x:v>Route listed; review status/completeness</x:v>
      </x:c>
      <x:c r="AN198" s="14" t="n">
        <x:f>IF(C198="T0",0,IF(C198="T1",1,IF(C198="T2",2,IF(C198="T3",3,IF(C198="T4",4,IF(C198="Unassigned",98,99))))))</x:f>
        <x:v>3</x:v>
      </x:c>
      <x:c r="AZ198"/>
      <x:c r="BA198"/>
      <x:c r="BB198"/>
      <x:c r="BC198"/>
      <x:c r="BD198"/>
      <x:c r="BE198"/>
      <x:c r="BF198"/>
      <x:c r="BG198"/>
      <x:c r="BH198"/>
      <x:c r="BI198"/>
      <x:c r="BJ198"/>
      <x:c r="BK198"/>
      <x:c r="BL198"/>
      <x:c r="BM198"/>
      <x:c r="BN198"/>
      <x:c r="BO198"/>
      <x:c r="BP198"/>
      <x:c r="BQ198"/>
      <x:c r="BR198"/>
      <x:c r="BS198"/>
      <x:c r="BT198"/>
      <x:c r="BU198"/>
      <x:c r="BV198"/>
      <x:c r="BW198"/>
      <x:c r="BX198"/>
      <x:c r="BY198"/>
      <x:c r="BZ198"/>
      <x:c r="CA198"/>
      <x:c r="CB198"/>
      <x:c r="CC198"/>
    </x:row>
    <x:row r="199" ht="170" customHeight="1">
      <x:c r="A199" s="9" t="str">
        <x:v>proposal.ceramic.feedthrough</x:v>
      </x:c>
      <x:c r="B199" s="9" t="str">
        <x:v>Ceramic electrical feedthrough</x:v>
      </x:c>
      <x:c r="C199" s="4" t="str">
        <x:v>T4</x:v>
      </x:c>
      <x:c r="D199" s="9" t="str">
        <x:v>Crafting components</x:v>
      </x:c>
      <x:c r="E199" s="9" t="str">
        <x:v>Ceramic electrical component</x:v>
      </x:c>
      <x:c r="F199" s="9" t="str">
        <x:v>New proposal</x:v>
      </x:c>
      <x:c r="G199" s="9" t="inlineStr">
        <x:is>
          <x:t xml:space="preserve">Fitted ceramic/conductor assembly routing an electrical connection through a housing. It is intended to separate conductive parts or support them without a direct conducting path. No voltage or thermal rating follows from that proposed role.</x:t>
        </x:is>
      </x:c>
      <x:c r="H199" s="9" t="str">
        <x:v>Unassigned; no new slot approved</x:v>
      </x:c>
      <x:c r="I199" s="9" t="str">
        <x:v>Carrier / placement policy TBD</x:v>
      </x:c>
      <x:c r="J199" s="13"/>
      <x:c r="K199" s="15"/>
      <x:c r="L199" s="9" t="str">
        <x:v>Specialist ceramic craft or trade; exact production route TBD</x:v>
      </x:c>
      <x:c r="M199" s="9" t="str">
        <x:v>Build on existing claystone, alumina, mineral feeds and insulating blanks where appropriate. No recipe authored.</x:v>
      </x:c>
      <x:c r="N199" s="9" t="str">
        <x:v>Not implemented</x:v>
      </x:c>
      <x:c r="O199" s="9" t="str">
        <x:v>Material, seals, voltage and intended service unresolved.</x:v>
      </x:c>
      <x:c r="P199" s="17"/>
      <x:c r="Q199" s="17"/>
      <x:c r="R199" s="17"/>
      <x:c r="S199" s="17"/>
      <x:c r="T199" s="17"/>
      <x:c r="U199" s="9" t="str">
        <x:v>Ceramics requested as a broad item family. Specific objects, grades, sourcing, yield and value remain proposals.</x:v>
      </x:c>
      <x:c r="V199" s="11" t="str">
        <x:v>electrical conduction; ceramic; pottery</x:v>
      </x:c>
      <x:c r="W199" s="9" t="str">
        <x:v>Author ceramics direction October 14, 2026; local game item proposal. Existing mineral/ceramic entries reused where applicable.</x:v>
      </x:c>
      <x:c r="X199" s="4" t="str">
        <x:v>Crafting component</x:v>
      </x:c>
      <x:c r="Y199" s="4" t="str">
        <x:v>Processed intermediate</x:v>
      </x:c>
      <x:c r="Z199" s="4" t="str">
        <x:v>Manufactured / unresolved</x:v>
      </x:c>
      <x:c r="AA199" s="4" t="str">
        <x:v>Electrical insulation</x:v>
      </x:c>
      <x:c r="AB199" s="4" t="str">
        <x:v>Ceramic and metal</x:v>
      </x:c>
      <x:c r="AC199" s="4" t="str">
        <x:v>Assembly</x:v>
      </x:c>
      <x:c r="AD199" s="4" t="str">
        <x:v>Proposal</x:v>
      </x:c>
      <x:c r="AE199" s="4" t="str">
        <x:f>LOWER(A199&amp;"; "&amp;B199&amp;"; "&amp;D199&amp;"; "&amp;E199&amp;"; "&amp;X199&amp;"; "&amp;Y199&amp;"; "&amp;Z199&amp;"; "&amp;AA199&amp;"; "&amp;AB199&amp;"; "&amp;AC199&amp;"; "&amp;AD199&amp;"; "&amp;V199&amp;"; "&amp;C199&amp;"; "&amp;AH199&amp;"; "&amp;AI199)</x:f>
        <x:v>proposal.ceramic.feedthrough; ceramic electrical feedthrough; crafting components; ceramic electrical component; crafting component; processed intermediate; manufactured / unresolved; electrical insulation; ceramic and metal; assembly; proposal; electrical conduction; ceramic; pottery; t4; not applicable; component</x:v>
      </x:c>
      <x:c r="AF199" s="4" t="str">
        <x:v>Specific item proposed from author ceramics direction; functional and material limits remain unresolved.</x:v>
      </x:c>
      <x:c r="AG199" s="4" t="str">
        <x:v>October 15 proposed tier review: 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AH199" s="4" t="str">
        <x:v>Not applicable</x:v>
      </x:c>
      <x:c r="AI199" s="4" t="str">
        <x:v>Component</x:v>
      </x:c>
      <x:c r="AJ199" s="4" t="n">
        <x:f>COUNTIFS('Material routes'!$D$6:$D$2205,A199,'Material routes'!$C$6:$C$2205,"Output")</x:f>
        <x:v>1</x:v>
      </x:c>
      <x:c r="AK199" s="4" t="n">
        <x:f>SUM(COUNTIFS('Material routes'!$D$6:$D$2205,A199,'Material routes'!$C$6:$C$2205,"Ingredient candidate"),COUNTIFS('Material routes'!$D$6:$D$2205,A199,'Material routes'!$C$6:$C$2205,"Consumed input"),COUNTIFS('Material routes'!$D$6:$D$2205,A199,'Material routes'!$C$6:$C$2205,"Contained input"),COUNTIFS('Material routes'!$D$6:$D$2205,A199,'Material routes'!$C$6:$C$2205,"Transform input"))</x:f>
        <x:v>0</x:v>
      </x:c>
      <x:c r="AL199" s="4" t="n">
        <x:f>COUNTIFS('Material routes'!$D$6:$D$2205,A199,'Material routes'!$C$6:$C$2205,"Tool candidate")</x:f>
        <x:v>0</x:v>
      </x:c>
      <x:c r="AM199" s="4" t="str">
        <x:f>IF(AJ199&gt;0,"Route listed; review status/completeness",IF(C199="T0","Raw entry feed; no production route","No production route listed"))</x:f>
        <x:v>Route listed; review status/completeness</x:v>
      </x:c>
      <x:c r="AN199" s="14" t="n">
        <x:f>IF(C199="T0",0,IF(C199="T1",1,IF(C199="T2",2,IF(C199="T3",3,IF(C199="T4",4,IF(C199="Unassigned",98,99))))))</x:f>
        <x:v>4</x:v>
      </x:c>
      <x:c r="AZ199"/>
      <x:c r="BA199"/>
      <x:c r="BB199"/>
      <x:c r="BC199"/>
      <x:c r="BD199"/>
      <x:c r="BE199"/>
      <x:c r="BF199"/>
      <x:c r="BG199"/>
      <x:c r="BH199"/>
      <x:c r="BI199"/>
      <x:c r="BJ199"/>
      <x:c r="BK199"/>
      <x:c r="BL199"/>
      <x:c r="BM199"/>
      <x:c r="BN199"/>
      <x:c r="BO199"/>
      <x:c r="BP199"/>
      <x:c r="BQ199"/>
      <x:c r="BR199"/>
      <x:c r="BS199"/>
      <x:c r="BT199"/>
      <x:c r="BU199"/>
      <x:c r="BV199"/>
      <x:c r="BW199"/>
      <x:c r="BX199"/>
      <x:c r="BY199"/>
      <x:c r="BZ199"/>
      <x:c r="CA199"/>
      <x:c r="CB199"/>
      <x:c r="CC199"/>
    </x:row>
    <x:row r="200" ht="170" customHeight="1">
      <x:c r="A200" s="9" t="str">
        <x:v>proposal.ceramic.stopper</x:v>
      </x:c>
      <x:c r="B200" s="9" t="str">
        <x:v>Fitted ceramic stopper</x:v>
      </x:c>
      <x:c r="C200" s="4" t="str">
        <x:v>T3</x:v>
      </x:c>
      <x:c r="D200" s="9" t="str">
        <x:v>Crafting components</x:v>
      </x:c>
      <x:c r="E200" s="9" t="str">
        <x:v>Ceramic vessel fitting</x:v>
      </x:c>
      <x:c r="F200" s="9" t="str">
        <x:v>New proposal</x:v>
      </x:c>
      <x:c r="G200" s="9" t="inlineStr">
        <x:is>
          <x:t xml:space="preserve">Hard closure shaped for its matching vessel. It is intended to close a selected joint or patch an interface. Contents compatibility, movement and service conditions must be checked before a seal is relied on.</x:t>
        </x:is>
      </x:c>
      <x:c r="H200" s="9" t="str">
        <x:v>Unassigned; no new slot approved</x:v>
      </x:c>
      <x:c r="I200" s="9" t="str">
        <x:v>Carrier / placement policy TBD</x:v>
      </x:c>
      <x:c r="J200" s="13"/>
      <x:c r="K200" s="15"/>
      <x:c r="L200" s="9" t="str">
        <x:v>Specialist ceramic craft or trade; exact production route TBD</x:v>
      </x:c>
      <x:c r="M200" s="9" t="str">
        <x:v>Build on existing claystone, alumina, mineral feeds and insulating blanks where appropriate. No recipe authored.</x:v>
      </x:c>
      <x:c r="N200" s="9" t="str">
        <x:v>Not implemented</x:v>
      </x:c>
      <x:c r="O200" s="9" t="str">
        <x:v>Not automatically leak-tight; compatible seat and sealing material may be required.</x:v>
      </x:c>
      <x:c r="P200" s="17"/>
      <x:c r="Q200" s="17"/>
      <x:c r="R200" s="17"/>
      <x:c r="S200" s="17"/>
      <x:c r="T200" s="17"/>
      <x:c r="U200" s="9" t="str">
        <x:v>Ceramics requested as a broad item family. Specific objects, grades, sourcing, yield and value remain proposals.</x:v>
      </x:c>
      <x:c r="V200" s="11" t="str">
        <x:v>pottery</x:v>
      </x:c>
      <x:c r="W200" s="9" t="str">
        <x:v>Author ceramics direction October 14, 2026; local game item proposal. Existing mineral/ceramic entries reused where applicable.</x:v>
      </x:c>
      <x:c r="X200" s="4" t="str">
        <x:v>Container part</x:v>
      </x:c>
      <x:c r="Y200" s="4" t="str">
        <x:v>Processed intermediate</x:v>
      </x:c>
      <x:c r="Z200" s="4" t="str">
        <x:v>Manufactured / unresolved</x:v>
      </x:c>
      <x:c r="AA200" s="4" t="str">
        <x:v>Sealing</x:v>
      </x:c>
      <x:c r="AB200" s="4" t="str">
        <x:v>Ceramic</x:v>
      </x:c>
      <x:c r="AC200" s="4" t="str">
        <x:v>Solid part</x:v>
      </x:c>
      <x:c r="AD200" s="4" t="str">
        <x:v>Proposal</x:v>
      </x:c>
      <x:c r="AE200" s="4" t="str">
        <x:f>LOWER(A200&amp;"; "&amp;B200&amp;"; "&amp;D200&amp;"; "&amp;E200&amp;"; "&amp;X200&amp;"; "&amp;Y200&amp;"; "&amp;Z200&amp;"; "&amp;AA200&amp;"; "&amp;AB200&amp;"; "&amp;AC200&amp;"; "&amp;AD200&amp;"; "&amp;V200&amp;"; "&amp;C200&amp;"; "&amp;AH200&amp;"; "&amp;AI200)</x:f>
        <x:v>proposal.ceramic.stopper; fitted ceramic stopper; crafting components; ceramic vessel fitting; container part; processed intermediate; manufactured / unresolved; sealing; ceramic; solid part; proposal; pottery; t3; not applicable; component</x:v>
      </x:c>
      <x:c r="AF200" s="4" t="str">
        <x:v>Specific item proposed from author ceramics direction; functional and material limits remain unresolved.</x:v>
      </x:c>
      <x:c r="AG200"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0" s="4" t="str">
        <x:v>Not applicable</x:v>
      </x:c>
      <x:c r="AI200" s="4" t="str">
        <x:v>Component</x:v>
      </x:c>
      <x:c r="AJ200" s="4" t="n">
        <x:f>COUNTIFS('Material routes'!$D$6:$D$2205,A200,'Material routes'!$C$6:$C$2205,"Output")</x:f>
        <x:v>1</x:v>
      </x:c>
      <x:c r="AK200" s="4" t="n">
        <x:f>SUM(COUNTIFS('Material routes'!$D$6:$D$2205,A200,'Material routes'!$C$6:$C$2205,"Ingredient candidate"),COUNTIFS('Material routes'!$D$6:$D$2205,A200,'Material routes'!$C$6:$C$2205,"Consumed input"),COUNTIFS('Material routes'!$D$6:$D$2205,A200,'Material routes'!$C$6:$C$2205,"Contained input"),COUNTIFS('Material routes'!$D$6:$D$2205,A200,'Material routes'!$C$6:$C$2205,"Transform input"))</x:f>
        <x:v>2</x:v>
      </x:c>
      <x:c r="AL200" s="4" t="n">
        <x:f>COUNTIFS('Material routes'!$D$6:$D$2205,A200,'Material routes'!$C$6:$C$2205,"Tool candidate")</x:f>
        <x:v>0</x:v>
      </x:c>
      <x:c r="AM200" s="4" t="str">
        <x:f>IF(AJ200&gt;0,"Route listed; review status/completeness",IF(C200="T0","Raw entry feed; no production route","No production route listed"))</x:f>
        <x:v>Route listed; review status/completeness</x:v>
      </x:c>
      <x:c r="AN200" s="14" t="n">
        <x:f>IF(C200="T0",0,IF(C200="T1",1,IF(C200="T2",2,IF(C200="T3",3,IF(C200="T4",4,IF(C200="Unassigned",98,99))))))</x:f>
        <x:v>3</x:v>
      </x:c>
      <x:c r="AZ200"/>
      <x:c r="BA200"/>
      <x:c r="BB200"/>
      <x:c r="BC200"/>
      <x:c r="BD200"/>
      <x:c r="BE200"/>
      <x:c r="BF200"/>
      <x:c r="BG200"/>
      <x:c r="BH200"/>
      <x:c r="BI200"/>
      <x:c r="BJ200"/>
      <x:c r="BK200"/>
      <x:c r="BL200"/>
      <x:c r="BM200"/>
      <x:c r="BN200"/>
      <x:c r="BO200"/>
      <x:c r="BP200"/>
      <x:c r="BQ200"/>
      <x:c r="BR200"/>
      <x:c r="BS200"/>
      <x:c r="BT200"/>
      <x:c r="BU200"/>
      <x:c r="BV200"/>
      <x:c r="BW200"/>
      <x:c r="BX200"/>
      <x:c r="BY200"/>
      <x:c r="BZ200"/>
      <x:c r="CA200"/>
      <x:c r="CB200"/>
      <x:c r="CC200"/>
    </x:row>
    <x:row r="201" ht="170" customHeight="1">
      <x:c r="A201" s="9" t="str">
        <x:v>proposal.ceramic.lid</x:v>
      </x:c>
      <x:c r="B201" s="9" t="str">
        <x:v>Ceramic vessel lid</x:v>
      </x:c>
      <x:c r="C201" s="4" t="str">
        <x:v>T3</x:v>
      </x:c>
      <x:c r="D201" s="9" t="str">
        <x:v>Crafting components</x:v>
      </x:c>
      <x:c r="E201" s="9" t="str">
        <x:v>Ceramic vessel fitting</x:v>
      </x:c>
      <x:c r="F201" s="9" t="str">
        <x:v>New proposal</x:v>
      </x:c>
      <x:c r="G201" s="9" t="inlineStr">
        <x:is>
          <x:t xml:space="preserve">Removable cover matched to an open-topped ceramic vessel. It is intended to hold the recorded material physically, with closure, compatibility and carrying arrangements resolved for that contents.</x:t>
        </x:is>
      </x:c>
      <x:c r="H201" s="9" t="str">
        <x:v>Unassigned; no new slot approved</x:v>
      </x:c>
      <x:c r="I201" s="9" t="str">
        <x:v>Carrier / placement policy TBD</x:v>
      </x:c>
      <x:c r="J201" s="13"/>
      <x:c r="K201" s="15"/>
      <x:c r="L201" s="9" t="str">
        <x:v>Specialist ceramic craft or trade; exact production route TBD</x:v>
      </x:c>
      <x:c r="M201" s="9" t="str">
        <x:v>Build on existing claystone, alumina, mineral feeds and insulating blanks where appropriate. No recipe authored.</x:v>
      </x:c>
      <x:c r="N201" s="9" t="str">
        <x:v>Not implemented</x:v>
      </x:c>
      <x:c r="O201" s="9" t="str">
        <x:v>A cover is distinct from a pressure seal or a matched neck stopper.</x:v>
      </x:c>
      <x:c r="P201" s="17"/>
      <x:c r="Q201" s="17"/>
      <x:c r="R201" s="17"/>
      <x:c r="S201" s="17"/>
      <x:c r="T201" s="17"/>
      <x:c r="U201" s="9" t="str">
        <x:v>Ceramics requested as a broad item family. Specific objects, grades, sourcing, yield and value remain proposals.</x:v>
      </x:c>
      <x:c r="V201" s="11" t="str">
        <x:v>dust exclusion; pottery</x:v>
      </x:c>
      <x:c r="W201" s="9" t="str">
        <x:v>Author ceramics direction October 14, 2026; local game item proposal. Existing mineral/ceramic entries reused where applicable.</x:v>
      </x:c>
      <x:c r="X201" s="4" t="str">
        <x:v>Container part</x:v>
      </x:c>
      <x:c r="Y201" s="4" t="str">
        <x:v>Processed intermediate</x:v>
      </x:c>
      <x:c r="Z201" s="4" t="str">
        <x:v>Manufactured / unresolved</x:v>
      </x:c>
      <x:c r="AA201" s="4" t="str">
        <x:v>Liquid and bulk containment</x:v>
      </x:c>
      <x:c r="AB201" s="4" t="str">
        <x:v>Ceramic</x:v>
      </x:c>
      <x:c r="AC201" s="4" t="str">
        <x:v>Solid part</x:v>
      </x:c>
      <x:c r="AD201" s="4" t="str">
        <x:v>Proposal</x:v>
      </x:c>
      <x:c r="AE201" s="4" t="str">
        <x:f>LOWER(A201&amp;"; "&amp;B201&amp;"; "&amp;D201&amp;"; "&amp;E201&amp;"; "&amp;X201&amp;"; "&amp;Y201&amp;"; "&amp;Z201&amp;"; "&amp;AA201&amp;"; "&amp;AB201&amp;"; "&amp;AC201&amp;"; "&amp;AD201&amp;"; "&amp;V201&amp;"; "&amp;C201&amp;"; "&amp;AH201&amp;"; "&amp;AI201)</x:f>
        <x:v>proposal.ceramic.lid; ceramic vessel lid; crafting components; ceramic vessel fitting; container part; processed intermediate; manufactured / unresolved; liquid and bulk containment; ceramic; solid part; proposal; dust exclusion; pottery; t3; not applicable; component</x:v>
      </x:c>
      <x:c r="AF201" s="4" t="str">
        <x:v>Specific item proposed from author ceramics direction; functional and material limits remain unresolved.</x:v>
      </x:c>
      <x:c r="AG201"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1" s="4" t="str">
        <x:v>Not applicable</x:v>
      </x:c>
      <x:c r="AI201" s="4" t="str">
        <x:v>Component</x:v>
      </x:c>
      <x:c r="AJ201" s="4" t="n">
        <x:f>COUNTIFS('Material routes'!$D$6:$D$2205,A201,'Material routes'!$C$6:$C$2205,"Output")</x:f>
        <x:v>1</x:v>
      </x:c>
      <x:c r="AK201" s="4" t="n">
        <x:f>SUM(COUNTIFS('Material routes'!$D$6:$D$2205,A201,'Material routes'!$C$6:$C$2205,"Ingredient candidate"),COUNTIFS('Material routes'!$D$6:$D$2205,A201,'Material routes'!$C$6:$C$2205,"Consumed input"),COUNTIFS('Material routes'!$D$6:$D$2205,A201,'Material routes'!$C$6:$C$2205,"Contained input"),COUNTIFS('Material routes'!$D$6:$D$2205,A201,'Material routes'!$C$6:$C$2205,"Transform input"))</x:f>
        <x:v>4</x:v>
      </x:c>
      <x:c r="AL201" s="4" t="n">
        <x:f>COUNTIFS('Material routes'!$D$6:$D$2205,A201,'Material routes'!$C$6:$C$2205,"Tool candidate")</x:f>
        <x:v>0</x:v>
      </x:c>
      <x:c r="AM201" s="4" t="str">
        <x:f>IF(AJ201&gt;0,"Route listed; review status/completeness",IF(C201="T0","Raw entry feed; no production route","No production route listed"))</x:f>
        <x:v>Route listed; review status/completeness</x:v>
      </x:c>
      <x:c r="AN201" s="14" t="n">
        <x:f>IF(C201="T0",0,IF(C201="T1",1,IF(C201="T2",2,IF(C201="T3",3,IF(C201="T4",4,IF(C201="Unassigned",98,99))))))</x:f>
        <x:v>3</x:v>
      </x:c>
      <x:c r="AZ201"/>
      <x:c r="BA201"/>
      <x:c r="BB201"/>
      <x:c r="BC201"/>
      <x:c r="BD201"/>
      <x:c r="BE201"/>
      <x:c r="BF201"/>
      <x:c r="BG201"/>
      <x:c r="BH201"/>
      <x:c r="BI201"/>
      <x:c r="BJ201"/>
      <x:c r="BK201"/>
      <x:c r="BL201"/>
      <x:c r="BM201"/>
      <x:c r="BN201"/>
      <x:c r="BO201"/>
      <x:c r="BP201"/>
      <x:c r="BQ201"/>
      <x:c r="BR201"/>
      <x:c r="BS201"/>
      <x:c r="BT201"/>
      <x:c r="BU201"/>
      <x:c r="BV201"/>
      <x:c r="BW201"/>
      <x:c r="BX201"/>
      <x:c r="BY201"/>
      <x:c r="BZ201"/>
      <x:c r="CA201"/>
      <x:c r="CB201"/>
      <x:c r="CC201"/>
    </x:row>
    <x:row r="202" ht="170" customHeight="1">
      <x:c r="A202" s="9" t="str">
        <x:v>proposal.ceramic.pour_spout</x:v>
      </x:c>
      <x:c r="B202" s="9" t="str">
        <x:v>Ceramic pouring spout</x:v>
      </x:c>
      <x:c r="C202" s="4" t="str">
        <x:v>T3</x:v>
      </x:c>
      <x:c r="D202" s="9" t="str">
        <x:v>Crafting components</x:v>
      </x:c>
      <x:c r="E202" s="9" t="str">
        <x:v>Ceramic vessel fitting</x:v>
      </x:c>
      <x:c r="F202" s="9" t="str">
        <x:v>New proposal</x:v>
      </x:c>
      <x:c r="G202" s="9" t="inlineStr">
        <x:is>
          <x:t xml:space="preserve">Replaceable outlet candidate for compatible contained material. It provides a proposed means of moving material between compatible parts or vessels while keeping the physical contents accounted for.</x:t>
        </x:is>
      </x:c>
      <x:c r="H202" s="9" t="str">
        <x:v>Unassigned; no new slot approved</x:v>
      </x:c>
      <x:c r="I202" s="9" t="str">
        <x:v>Carrier / placement policy TBD</x:v>
      </x:c>
      <x:c r="J202" s="13"/>
      <x:c r="K202" s="15"/>
      <x:c r="L202" s="9" t="str">
        <x:v>Specialist ceramic craft or trade; exact production route TBD</x:v>
      </x:c>
      <x:c r="M202" s="9" t="str">
        <x:v>Build on existing claystone, alumina, mineral feeds and insulating blanks where appropriate. No recipe authored.</x:v>
      </x:c>
      <x:c r="N202" s="9" t="str">
        <x:v>Not implemented</x:v>
      </x:c>
      <x:c r="O202" s="9" t="str">
        <x:v>Viscosity, joints and chemical suitability unresolved; not a universal ichor fitting.</x:v>
      </x:c>
      <x:c r="P202" s="17"/>
      <x:c r="Q202" s="17"/>
      <x:c r="R202" s="17"/>
      <x:c r="S202" s="17"/>
      <x:c r="T202" s="17"/>
      <x:c r="U202" s="9" t="str">
        <x:v>Ceramics requested as a broad item family. Specific objects, grades, sourcing, yield and value remain proposals.</x:v>
      </x:c>
      <x:c r="V202" s="11" t="str">
        <x:v>pottery</x:v>
      </x:c>
      <x:c r="W202" s="9" t="str">
        <x:v>Author ceramics direction October 14, 2026; local game item proposal. Existing mineral/ceramic entries reused where applicable.</x:v>
      </x:c>
      <x:c r="X202" s="4" t="str">
        <x:v>Container part</x:v>
      </x:c>
      <x:c r="Y202" s="4" t="str">
        <x:v>Processed intermediate</x:v>
      </x:c>
      <x:c r="Z202" s="4" t="str">
        <x:v>Manufactured / unresolved</x:v>
      </x:c>
      <x:c r="AA202" s="4" t="str">
        <x:v>Material transfer</x:v>
      </x:c>
      <x:c r="AB202" s="4" t="str">
        <x:v>Ceramic</x:v>
      </x:c>
      <x:c r="AC202" s="4" t="str">
        <x:v>Solid part</x:v>
      </x:c>
      <x:c r="AD202" s="4" t="str">
        <x:v>Proposal</x:v>
      </x:c>
      <x:c r="AE202" s="4" t="str">
        <x:f>LOWER(A202&amp;"; "&amp;B202&amp;"; "&amp;D202&amp;"; "&amp;E202&amp;"; "&amp;X202&amp;"; "&amp;Y202&amp;"; "&amp;Z202&amp;"; "&amp;AA202&amp;"; "&amp;AB202&amp;"; "&amp;AC202&amp;"; "&amp;AD202&amp;"; "&amp;V202&amp;"; "&amp;C202&amp;"; "&amp;AH202&amp;"; "&amp;AI202)</x:f>
        <x:v>proposal.ceramic.pour_spout; ceramic pouring spout; crafting components; ceramic vessel fitting; container part; processed intermediate; manufactured / unresolved; material transfer; ceramic; solid part; proposal; pottery; t3; not applicable; component</x:v>
      </x:c>
      <x:c r="AF202" s="4" t="str">
        <x:v>Specific item proposed from author ceramics direction; functional and material limits remain unresolved.</x:v>
      </x:c>
      <x:c r="AG202"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2" s="4" t="str">
        <x:v>Not applicable</x:v>
      </x:c>
      <x:c r="AI202" s="4" t="str">
        <x:v>Component</x:v>
      </x:c>
      <x:c r="AJ202" s="4" t="n">
        <x:f>COUNTIFS('Material routes'!$D$6:$D$2205,A202,'Material routes'!$C$6:$C$2205,"Output")</x:f>
        <x:v>1</x:v>
      </x:c>
      <x:c r="AK202" s="4" t="n">
        <x:f>SUM(COUNTIFS('Material routes'!$D$6:$D$2205,A202,'Material routes'!$C$6:$C$2205,"Ingredient candidate"),COUNTIFS('Material routes'!$D$6:$D$2205,A202,'Material routes'!$C$6:$C$2205,"Consumed input"),COUNTIFS('Material routes'!$D$6:$D$2205,A202,'Material routes'!$C$6:$C$2205,"Contained input"),COUNTIFS('Material routes'!$D$6:$D$2205,A202,'Material routes'!$C$6:$C$2205,"Transform input"))</x:f>
        <x:v>0</x:v>
      </x:c>
      <x:c r="AL202" s="4" t="n">
        <x:f>COUNTIFS('Material routes'!$D$6:$D$2205,A202,'Material routes'!$C$6:$C$2205,"Tool candidate")</x:f>
        <x:v>0</x:v>
      </x:c>
      <x:c r="AM202" s="4" t="str">
        <x:f>IF(AJ202&gt;0,"Route listed; review status/completeness",IF(C202="T0","Raw entry feed; no production route","No production route listed"))</x:f>
        <x:v>Route listed; review status/completeness</x:v>
      </x:c>
      <x:c r="AN202" s="14" t="n">
        <x:f>IF(C202="T0",0,IF(C202="T1",1,IF(C202="T2",2,IF(C202="T3",3,IF(C202="T4",4,IF(C202="Unassigned",98,99))))))</x:f>
        <x:v>3</x:v>
      </x:c>
      <x:c r="AZ202"/>
      <x:c r="BA202"/>
      <x:c r="BB202"/>
      <x:c r="BC202"/>
      <x:c r="BD202"/>
      <x:c r="BE202"/>
      <x:c r="BF202"/>
      <x:c r="BG202"/>
      <x:c r="BH202"/>
      <x:c r="BI202"/>
      <x:c r="BJ202"/>
      <x:c r="BK202"/>
      <x:c r="BL202"/>
      <x:c r="BM202"/>
      <x:c r="BN202"/>
      <x:c r="BO202"/>
      <x:c r="BP202"/>
      <x:c r="BQ202"/>
      <x:c r="BR202"/>
      <x:c r="BS202"/>
      <x:c r="BT202"/>
      <x:c r="BU202"/>
      <x:c r="BV202"/>
      <x:c r="BW202"/>
      <x:c r="BX202"/>
      <x:c r="BY202"/>
      <x:c r="BZ202"/>
      <x:c r="CA202"/>
      <x:c r="CB202"/>
      <x:c r="CC202"/>
    </x:row>
    <x:row r="203" ht="170" customHeight="1">
      <x:c r="A203" s="9" t="str">
        <x:v>proposal.ceramic.conduit</x:v>
      </x:c>
      <x:c r="B203" s="9" t="str">
        <x:v>Ceramic conduit section</x:v>
      </x:c>
      <x:c r="C203" s="4" t="str">
        <x:v>T3</x:v>
      </x:c>
      <x:c r="D203" s="9" t="str">
        <x:v>Crafting components</x:v>
      </x:c>
      <x:c r="E203" s="9" t="str">
        <x:v>Ceramic vessel fitting</x:v>
      </x:c>
      <x:c r="F203" s="9" t="str">
        <x:v>New proposal</x:v>
      </x:c>
      <x:c r="G203" s="9" t="inlineStr">
        <x:is>
          <x:t xml:space="preserve">Rigid channel candidate for an assigned industrial transfer route. It provides a proposed means of moving material between compatible parts or vessels while keeping the physical contents accounted for.</x:t>
        </x:is>
      </x:c>
      <x:c r="H203" s="9" t="str">
        <x:v>Unassigned; no new slot approved</x:v>
      </x:c>
      <x:c r="I203" s="9" t="str">
        <x:v>Carrier / placement policy TBD</x:v>
      </x:c>
      <x:c r="J203" s="13"/>
      <x:c r="K203" s="15"/>
      <x:c r="L203" s="9" t="str">
        <x:v>Specialist ceramic craft or trade; exact production route TBD</x:v>
      </x:c>
      <x:c r="M203" s="9" t="str">
        <x:v>Build on existing claystone, alumina, mineral feeds and insulating blanks where appropriate. No recipe authored.</x:v>
      </x:c>
      <x:c r="N203" s="9" t="str">
        <x:v>Not implemented</x:v>
      </x:c>
      <x:c r="O203" s="9" t="str">
        <x:v>Contents, joints and installation TBD; does not establish outdoor liquid streams.</x:v>
      </x:c>
      <x:c r="P203" s="17"/>
      <x:c r="Q203" s="17"/>
      <x:c r="R203" s="17"/>
      <x:c r="S203" s="17"/>
      <x:c r="T203" s="17"/>
      <x:c r="U203" s="9" t="str">
        <x:v>Ceramics requested as a broad item family. Specific objects, grades, sourcing, yield and value remain proposals.</x:v>
      </x:c>
      <x:c r="V203" s="11" t="str">
        <x:v>pottery</x:v>
      </x:c>
      <x:c r="W203" s="9" t="str">
        <x:v>Author ceramics direction October 14, 2026; local game item proposal. Existing mineral/ceramic entries reused where applicable.</x:v>
      </x:c>
      <x:c r="X203" s="4" t="str">
        <x:v>Crafting component</x:v>
      </x:c>
      <x:c r="Y203" s="4" t="str">
        <x:v>Processed intermediate</x:v>
      </x:c>
      <x:c r="Z203" s="4" t="str">
        <x:v>Manufactured / unresolved</x:v>
      </x:c>
      <x:c r="AA203" s="4" t="str">
        <x:v>Material transfer</x:v>
      </x:c>
      <x:c r="AB203" s="4" t="str">
        <x:v>Ceramic</x:v>
      </x:c>
      <x:c r="AC203" s="4" t="str">
        <x:v>Solid part</x:v>
      </x:c>
      <x:c r="AD203" s="4" t="str">
        <x:v>Proposal</x:v>
      </x:c>
      <x:c r="AE203" s="4" t="str">
        <x:f>LOWER(A203&amp;"; "&amp;B203&amp;"; "&amp;D203&amp;"; "&amp;E203&amp;"; "&amp;X203&amp;"; "&amp;Y203&amp;"; "&amp;Z203&amp;"; "&amp;AA203&amp;"; "&amp;AB203&amp;"; "&amp;AC203&amp;"; "&amp;AD203&amp;"; "&amp;V203&amp;"; "&amp;C203&amp;"; "&amp;AH203&amp;"; "&amp;AI203)</x:f>
        <x:v>proposal.ceramic.conduit; ceramic conduit section; crafting components; ceramic vessel fitting; crafting component; processed intermediate; manufactured / unresolved; material transfer; ceramic; solid part; proposal; pottery; t3; not applicable; component</x:v>
      </x:c>
      <x:c r="AF203" s="4" t="str">
        <x:v>Specific item proposed from author ceramics direction; functional and material limits remain unresolved.</x:v>
      </x:c>
      <x:c r="AG203"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3" s="4" t="str">
        <x:v>Not applicable</x:v>
      </x:c>
      <x:c r="AI203" s="4" t="str">
        <x:v>Component</x:v>
      </x:c>
      <x:c r="AJ203" s="4" t="n">
        <x:f>COUNTIFS('Material routes'!$D$6:$D$2205,A203,'Material routes'!$C$6:$C$2205,"Output")</x:f>
        <x:v>1</x:v>
      </x:c>
      <x:c r="AK203" s="4" t="n">
        <x:f>SUM(COUNTIFS('Material routes'!$D$6:$D$2205,A203,'Material routes'!$C$6:$C$2205,"Ingredient candidate"),COUNTIFS('Material routes'!$D$6:$D$2205,A203,'Material routes'!$C$6:$C$2205,"Consumed input"),COUNTIFS('Material routes'!$D$6:$D$2205,A203,'Material routes'!$C$6:$C$2205,"Contained input"),COUNTIFS('Material routes'!$D$6:$D$2205,A203,'Material routes'!$C$6:$C$2205,"Transform input"))</x:f>
        <x:v>0</x:v>
      </x:c>
      <x:c r="AL203" s="4" t="n">
        <x:f>COUNTIFS('Material routes'!$D$6:$D$2205,A203,'Material routes'!$C$6:$C$2205,"Tool candidate")</x:f>
        <x:v>0</x:v>
      </x:c>
      <x:c r="AM203" s="4" t="str">
        <x:f>IF(AJ203&gt;0,"Route listed; review status/completeness",IF(C203="T0","Raw entry feed; no production route","No production route listed"))</x:f>
        <x:v>Route listed; review status/completeness</x:v>
      </x:c>
      <x:c r="AN203" s="14" t="n">
        <x:f>IF(C203="T0",0,IF(C203="T1",1,IF(C203="T2",2,IF(C203="T3",3,IF(C203="T4",4,IF(C203="Unassigned",98,99))))))</x:f>
        <x:v>3</x:v>
      </x:c>
      <x:c r="AZ203"/>
      <x:c r="BA203"/>
      <x:c r="BB203"/>
      <x:c r="BC203"/>
      <x:c r="BD203"/>
      <x:c r="BE203"/>
      <x:c r="BF203"/>
      <x:c r="BG203"/>
      <x:c r="BH203"/>
      <x:c r="BI203"/>
      <x:c r="BJ203"/>
      <x:c r="BK203"/>
      <x:c r="BL203"/>
      <x:c r="BM203"/>
      <x:c r="BN203"/>
      <x:c r="BO203"/>
      <x:c r="BP203"/>
      <x:c r="BQ203"/>
      <x:c r="BR203"/>
      <x:c r="BS203"/>
      <x:c r="BT203"/>
      <x:c r="BU203"/>
      <x:c r="BV203"/>
      <x:c r="BW203"/>
      <x:c r="BX203"/>
      <x:c r="BY203"/>
      <x:c r="BZ203"/>
      <x:c r="CA203"/>
      <x:c r="CB203"/>
      <x:c r="CC203"/>
    </x:row>
    <x:row r="204" ht="105" customHeight="1">
      <x:c r="A204" s="9" t="str">
        <x:v>proposal.ceramic.votive_plaque</x:v>
      </x:c>
      <x:c r="B204" s="9" t="str">
        <x:v>Ceramic votive plaque</x:v>
      </x:c>
      <x:c r="C204" s="4" t="str">
        <x:v>Not applicable</x:v>
      </x:c>
      <x:c r="D204" s="9" t="inlineStr">
        <x:is>
          <x:t xml:space="preserve">Salvage</x:t>
        </x:is>
      </x:c>
      <x:c r="E204" s="9" t="str">
        <x:v>Ceramic ceremonial</x:v>
      </x:c>
      <x:c r="F204" s="9" t="str">
        <x:v>New proposal</x:v>
      </x:c>
      <x:c r="G204" s="9" t="inlineStr">
        <x:is>
          <x:t xml:space="preserve">Small ceramic offering or devotional image. It is intended for personal or communal devotional use; no particular belief, ritual or supernatural effect is assigned.</x:t>
        </x:is>
      </x:c>
      <x:c r="H204" s="9" t="str">
        <x:v>Unassigned; no new slot approved</x:v>
      </x:c>
      <x:c r="I204" s="9" t="str">
        <x:v>Carrier / placement policy TBD</x:v>
      </x:c>
      <x:c r="J204" s="13"/>
      <x:c r="K204" s="15"/>
      <x:c r="L204" s="9" t="str">
        <x:v>Specialist ceramic craft or trade; exact production route TBD</x:v>
      </x:c>
      <x:c r="M204" s="9" t="str">
        <x:v>Build on existing claystone, alumina, mineral feeds and insulating blanks where appropriate. No recipe authored.</x:v>
      </x:c>
      <x:c r="N204" s="9" t="str">
        <x:v>Not implemented</x:v>
      </x:c>
      <x:c r="O204" s="9" t="str">
        <x:v>New material-specific craft family; iconography and institutional acceptance remain proposals.</x:v>
      </x:c>
      <x:c r="P204" s="17"/>
      <x:c r="Q204" s="17"/>
      <x:c r="R204" s="17"/>
      <x:c r="S204" s="17"/>
      <x:c r="T204" s="17"/>
      <x:c r="U204" s="9" t="str">
        <x:v>Ceramics requested as a broad item family. Specific objects, grades, sourcing, yield and value remain proposals.</x:v>
      </x:c>
      <x:c r="V204" s="11" t="str">
        <x:v>decoration; pottery</x:v>
      </x:c>
      <x:c r="W204" s="9" t="str">
        <x:v>Author ceramics direction October 14, 2026; local game item proposal. Existing mineral/ceramic entries reused where applicable.</x:v>
      </x:c>
      <x:c r="X204" s="4" t="str">
        <x:v>Cultural object</x:v>
      </x:c>
      <x:c r="Y204" s="4" t="str">
        <x:v>Finished item</x:v>
      </x:c>
      <x:c r="Z204" s="4" t="str">
        <x:v>Manufactured / unresolved</x:v>
      </x:c>
      <x:c r="AA204" s="4" t="str">
        <x:v>Devotion</x:v>
      </x:c>
      <x:c r="AB204" s="4" t="str">
        <x:v>Ceramic</x:v>
      </x:c>
      <x:c r="AC204" s="4" t="str">
        <x:v>Panel</x:v>
      </x:c>
      <x:c r="AD204" s="4" t="str">
        <x:v>Proposal</x:v>
      </x:c>
      <x:c r="AE204" s="4" t="str">
        <x:f>LOWER(A204&amp;"; "&amp;B204&amp;"; "&amp;D204&amp;"; "&amp;E204&amp;"; "&amp;X204&amp;"; "&amp;Y204&amp;"; "&amp;Z204&amp;"; "&amp;AA204&amp;"; "&amp;AB204&amp;"; "&amp;AC204&amp;"; "&amp;AD204&amp;"; "&amp;V204&amp;"; "&amp;C204&amp;"; "&amp;AH204&amp;"; "&amp;AI204)</x:f>
        <x:v>proposal.ceramic.votive_plaque; ceramic votive plaque; salvage; ceramic ceremonial; cultural object; finished item; manufactured / unresolved; devotion; ceramic; panel; proposal; decoration; pottery; not applicable; t1; finished item</x:v>
      </x:c>
      <x:c r="AF204" s="4" t="inlineStr">
        <x:is>
          <x:t xml:space="preserve">Specific item proposed from author ceramics direction; functional and material limits remain unresolved. Author direction October 16: all remaining Cultural objects are Salvage; remove the cultural items section. Preserve item identity, descriptions, condition, tiers, uses and recipe semantics.</x:t>
        </x:is>
      </x:c>
      <x:c r="AG204" s="4" t="str">
        <x:v>Finished endpoint; material tier is not applicable. Input tiers belong to the chosen recipe.</x:v>
      </x:c>
      <x:c r="AH204" s="4" t="str">
        <x:v>T1</x:v>
      </x:c>
      <x:c r="AI204" s="4" t="str">
        <x:v>Finished item</x:v>
      </x:c>
      <x:c r="AJ204" s="4" t="n">
        <x:f>COUNTIFS('Material routes'!$D$6:$D$2205,A204,'Material routes'!$C$6:$C$2205,"Output")</x:f>
        <x:v>1</x:v>
      </x:c>
      <x:c r="AK204" s="4" t="n">
        <x:f>SUM(COUNTIFS('Material routes'!$D$6:$D$2205,A204,'Material routes'!$C$6:$C$2205,"Ingredient candidate"),COUNTIFS('Material routes'!$D$6:$D$2205,A204,'Material routes'!$C$6:$C$2205,"Consumed input"),COUNTIFS('Material routes'!$D$6:$D$2205,A204,'Material routes'!$C$6:$C$2205,"Contained input"),COUNTIFS('Material routes'!$D$6:$D$2205,A204,'Material routes'!$C$6:$C$2205,"Transform input"))</x:f>
        <x:v>0</x:v>
      </x:c>
      <x:c r="AL204" s="4" t="n">
        <x:f>COUNTIFS('Material routes'!$D$6:$D$2205,A204,'Material routes'!$C$6:$C$2205,"Tool candidate")</x:f>
        <x:v>0</x:v>
      </x:c>
      <x:c r="AM204" s="4" t="str">
        <x:f>IF(AJ204&gt;0,"Route listed; review status/completeness",IF(C204="T0","Raw entry feed; no production route","No production route listed"))</x:f>
        <x:v>Route listed; review status/completeness</x:v>
      </x:c>
      <x:c r="AN204" s="14" t="n">
        <x:f>IF(C204="T0",0,IF(C204="T1",1,IF(C204="T2",2,IF(C204="T3",3,IF(C204="T4",4,IF(C204="Unassigned",98,99))))))</x:f>
        <x:v>99</x:v>
      </x:c>
      <x:c r="AZ204"/>
      <x:c r="BA204"/>
      <x:c r="BB204"/>
      <x:c r="BC204"/>
      <x:c r="BD204"/>
      <x:c r="BE204"/>
      <x:c r="BF204"/>
      <x:c r="BG204"/>
      <x:c r="BH204"/>
      <x:c r="BI204"/>
      <x:c r="BJ204"/>
      <x:c r="BK204"/>
      <x:c r="BL204"/>
      <x:c r="BM204"/>
      <x:c r="BN204"/>
      <x:c r="BO204"/>
      <x:c r="BP204"/>
      <x:c r="BQ204"/>
      <x:c r="BR204"/>
      <x:c r="BS204"/>
      <x:c r="BT204"/>
      <x:c r="BU204"/>
      <x:c r="BV204"/>
      <x:c r="BW204"/>
      <x:c r="BX204"/>
      <x:c r="BY204"/>
      <x:c r="BZ204"/>
      <x:c r="CA204"/>
      <x:c r="CB204"/>
      <x:c r="CC204"/>
    </x:row>
    <x:row r="205" ht="105" customHeight="1">
      <x:c r="A205" s="9" t="str">
        <x:v>proposal.ceramic.figurine</x:v>
      </x:c>
      <x:c r="B205" s="9" t="str">
        <x:v>Ceramic commemorative figurine</x:v>
      </x:c>
      <x:c r="C205" s="4" t="str">
        <x:v>Not applicable</x:v>
      </x:c>
      <x:c r="D205" s="9" t="inlineStr">
        <x:is>
          <x:t xml:space="preserve">Salvage</x:t>
        </x:is>
      </x:c>
      <x:c r="E205" s="9" t="str">
        <x:v>Ceramic ceremonial</x:v>
      </x:c>
      <x:c r="F205" s="9" t="str">
        <x:v>New proposal</x:v>
      </x:c>
      <x:c r="G205" s="9" t="inlineStr">
        <x:is>
          <x:t xml:space="preserve">Sculpted keepsake of a person, creature or significant event. It is intended as a physical focus for remembering a person or event, without prescribing whose memory it carries.</x:t>
        </x:is>
      </x:c>
      <x:c r="H205" s="9" t="str">
        <x:v>Unassigned; no new slot approved</x:v>
      </x:c>
      <x:c r="I205" s="9" t="str">
        <x:v>Carrier / placement policy TBD</x:v>
      </x:c>
      <x:c r="J205" s="13"/>
      <x:c r="K205" s="15"/>
      <x:c r="L205" s="9" t="str">
        <x:v>Specialist ceramic craft or trade; exact production route TBD</x:v>
      </x:c>
      <x:c r="M205" s="9" t="str">
        <x:v>Build on existing claystone, alumina, mineral feeds and insulating blanks where appropriate. No recipe authored.</x:v>
      </x:c>
      <x:c r="N205" s="9" t="str">
        <x:v>Not implemented</x:v>
      </x:c>
      <x:c r="O205" s="9" t="str">
        <x:v>Subject matter and style TBD; no relic authenticity or supernatural property.</x:v>
      </x:c>
      <x:c r="P205" s="17"/>
      <x:c r="Q205" s="17"/>
      <x:c r="R205" s="17"/>
      <x:c r="S205" s="17"/>
      <x:c r="T205" s="17"/>
      <x:c r="U205" s="9" t="str">
        <x:v>Ceramics requested as a broad item family. Specific objects, grades, sourcing, yield and value remain proposals.</x:v>
      </x:c>
      <x:c r="V205" s="11" t="str">
        <x:v>decoration; pottery</x:v>
      </x:c>
      <x:c r="W205" s="9" t="str">
        <x:v>Author ceramics direction October 14, 2026; local game item proposal. Existing mineral/ceramic entries reused where applicable.</x:v>
      </x:c>
      <x:c r="X205" s="4" t="str">
        <x:v>Cultural object</x:v>
      </x:c>
      <x:c r="Y205" s="4" t="str">
        <x:v>Finished item</x:v>
      </x:c>
      <x:c r="Z205" s="4" t="str">
        <x:v>Manufactured / unresolved</x:v>
      </x:c>
      <x:c r="AA205" s="4" t="str">
        <x:v>Remembrance</x:v>
      </x:c>
      <x:c r="AB205" s="4" t="str">
        <x:v>Ceramic</x:v>
      </x:c>
      <x:c r="AC205" s="4" t="str">
        <x:v>Solid piece</x:v>
      </x:c>
      <x:c r="AD205" s="4" t="str">
        <x:v>Proposal</x:v>
      </x:c>
      <x:c r="AE205" s="4" t="str">
        <x:f>LOWER(A205&amp;"; "&amp;B205&amp;"; "&amp;D205&amp;"; "&amp;E205&amp;"; "&amp;X205&amp;"; "&amp;Y205&amp;"; "&amp;Z205&amp;"; "&amp;AA205&amp;"; "&amp;AB205&amp;"; "&amp;AC205&amp;"; "&amp;AD205&amp;"; "&amp;V205&amp;"; "&amp;C205&amp;"; "&amp;AH205&amp;"; "&amp;AI205)</x:f>
        <x:v>proposal.ceramic.figurine; ceramic commemorative figurine; salvage; ceramic ceremonial; cultural object; finished item; manufactured / unresolved; remembrance; ceramic; solid piece; proposal; decoration; pottery; not applicable; t1; finished item</x:v>
      </x:c>
      <x:c r="AF205" s="4" t="inlineStr">
        <x:is>
          <x:t xml:space="preserve">Specific item proposed from author ceramics direction; functional and material limits remain unresolved. Author direction October 16: all remaining Cultural objects are Salvage; remove the cultural items section. Preserve item identity, descriptions, condition, tiers, uses and recipe semantics.</x:t>
        </x:is>
      </x:c>
      <x:c r="AG205" s="4" t="str">
        <x:v>Finished endpoint; material tier is not applicable. Input tiers belong to the chosen recipe.</x:v>
      </x:c>
      <x:c r="AH205" s="4" t="str">
        <x:v>T1</x:v>
      </x:c>
      <x:c r="AI205" s="4" t="str">
        <x:v>Finished item</x:v>
      </x:c>
      <x:c r="AJ205" s="4" t="n">
        <x:f>COUNTIFS('Material routes'!$D$6:$D$2205,A205,'Material routes'!$C$6:$C$2205,"Output")</x:f>
        <x:v>1</x:v>
      </x:c>
      <x:c r="AK205" s="4" t="n">
        <x:f>SUM(COUNTIFS('Material routes'!$D$6:$D$2205,A205,'Material routes'!$C$6:$C$2205,"Ingredient candidate"),COUNTIFS('Material routes'!$D$6:$D$2205,A205,'Material routes'!$C$6:$C$2205,"Consumed input"),COUNTIFS('Material routes'!$D$6:$D$2205,A205,'Material routes'!$C$6:$C$2205,"Contained input"),COUNTIFS('Material routes'!$D$6:$D$2205,A205,'Material routes'!$C$6:$C$2205,"Transform input"))</x:f>
        <x:v>0</x:v>
      </x:c>
      <x:c r="AL205" s="4" t="n">
        <x:f>COUNTIFS('Material routes'!$D$6:$D$2205,A205,'Material routes'!$C$6:$C$2205,"Tool candidate")</x:f>
        <x:v>0</x:v>
      </x:c>
      <x:c r="AM205" s="4" t="str">
        <x:f>IF(AJ205&gt;0,"Route listed; review status/completeness",IF(C205="T0","Raw entry feed; no production route","No production route listed"))</x:f>
        <x:v>Route listed; review status/completeness</x:v>
      </x:c>
      <x:c r="AN205" s="14" t="n">
        <x:f>IF(C205="T0",0,IF(C205="T1",1,IF(C205="T2",2,IF(C205="T3",3,IF(C205="T4",4,IF(C205="Unassigned",98,99))))))</x:f>
        <x:v>99</x:v>
      </x:c>
      <x:c r="AZ205"/>
      <x:c r="BA205"/>
      <x:c r="BB205"/>
      <x:c r="BC205"/>
      <x:c r="BD205"/>
      <x:c r="BE205"/>
      <x:c r="BF205"/>
      <x:c r="BG205"/>
      <x:c r="BH205"/>
      <x:c r="BI205"/>
      <x:c r="BJ205"/>
      <x:c r="BK205"/>
      <x:c r="BL205"/>
      <x:c r="BM205"/>
      <x:c r="BN205"/>
      <x:c r="BO205"/>
      <x:c r="BP205"/>
      <x:c r="BQ205"/>
      <x:c r="BR205"/>
      <x:c r="BS205"/>
      <x:c r="BT205"/>
      <x:c r="BU205"/>
      <x:c r="BV205"/>
      <x:c r="BW205"/>
      <x:c r="BX205"/>
      <x:c r="BY205"/>
      <x:c r="BZ205"/>
      <x:c r="CA205"/>
      <x:c r="CB205"/>
      <x:c r="CC205"/>
    </x:row>
    <x:row r="206" ht="105" customHeight="1">
      <x:c r="A206" s="9" t="str">
        <x:v>proposal.ceramic.ceremony_bowl</x:v>
      </x:c>
      <x:c r="B206" s="9" t="str">
        <x:v>Ceremonial ceramic bowl</x:v>
      </x:c>
      <x:c r="C206" s="4" t="str">
        <x:v>Not applicable</x:v>
      </x:c>
      <x:c r="D206" s="9" t="inlineStr">
        <x:is>
          <x:t xml:space="preserve">Salvage</x:t>
        </x:is>
      </x:c>
      <x:c r="E206" s="9" t="str">
        <x:v>Ceramic ceremonial</x:v>
      </x:c>
      <x:c r="F206" s="9" t="str">
        <x:v>New proposal</x:v>
      </x:c>
      <x:c r="G206" s="9" t="inlineStr">
        <x:is>
          <x:t xml:space="preserve">Dedicated presentation bowl with selected finish or engraving. It is intended to be carried, displayed or used in a ceremony. The occasion, ownership and symbolic meaning remain open.</x:t>
        </x:is>
      </x:c>
      <x:c r="H206" s="9" t="str">
        <x:v>Unassigned; no new slot approved</x:v>
      </x:c>
      <x:c r="I206" s="9" t="str">
        <x:v>Carrier / placement policy TBD</x:v>
      </x:c>
      <x:c r="J206" s="13"/>
      <x:c r="K206" s="15"/>
      <x:c r="L206" s="9" t="str">
        <x:v>Specialist ceramic craft or trade; exact production route TBD</x:v>
      </x:c>
      <x:c r="M206" s="9" t="str">
        <x:v>Build on existing claystone, alumina, mineral feeds and insulating blanks where appropriate. No recipe authored.</x:v>
      </x:c>
      <x:c r="N206" s="9" t="str">
        <x:v>Not implemented</x:v>
      </x:c>
      <x:c r="O206" s="9" t="str">
        <x:v>Ceremonial workmanship distinguishes this from ordinary tableware; contents unspecified.</x:v>
      </x:c>
      <x:c r="P206" s="17"/>
      <x:c r="Q206" s="17"/>
      <x:c r="R206" s="17"/>
      <x:c r="S206" s="17"/>
      <x:c r="T206" s="17"/>
      <x:c r="U206" s="9" t="str">
        <x:v>Ceramics requested as a broad item family. Specific objects, grades, sourcing, yield and value remain proposals.</x:v>
      </x:c>
      <x:c r="V206" s="11" t="str">
        <x:v>decoration; pottery</x:v>
      </x:c>
      <x:c r="W206" s="9" t="str">
        <x:v>Author ceramics direction October 14, 2026; local game item proposal. Existing mineral/ceramic entries reused where applicable.</x:v>
      </x:c>
      <x:c r="X206" s="4" t="str">
        <x:v>Cultural object</x:v>
      </x:c>
      <x:c r="Y206" s="4" t="str">
        <x:v>Finished item</x:v>
      </x:c>
      <x:c r="Z206" s="4" t="str">
        <x:v>Manufactured / unresolved</x:v>
      </x:c>
      <x:c r="AA206" s="4" t="str">
        <x:v>Ceremony</x:v>
      </x:c>
      <x:c r="AB206" s="4" t="str">
        <x:v>Ceramic</x:v>
      </x:c>
      <x:c r="AC206" s="4" t="str">
        <x:v>Solid part</x:v>
      </x:c>
      <x:c r="AD206" s="4" t="str">
        <x:v>Proposal</x:v>
      </x:c>
      <x:c r="AE206" s="4" t="str">
        <x:f>LOWER(A206&amp;"; "&amp;B206&amp;"; "&amp;D206&amp;"; "&amp;E206&amp;"; "&amp;X206&amp;"; "&amp;Y206&amp;"; "&amp;Z206&amp;"; "&amp;AA206&amp;"; "&amp;AB206&amp;"; "&amp;AC206&amp;"; "&amp;AD206&amp;"; "&amp;V206&amp;"; "&amp;C206&amp;"; "&amp;AH206&amp;"; "&amp;AI206)</x:f>
        <x:v>proposal.ceramic.ceremony_bowl; ceremonial ceramic bowl; salvage; ceramic ceremonial; cultural object; finished item; manufactured / unresolved; ceremony; ceramic; solid part; proposal; decoration; pottery; not applicable; t1; finished item</x:v>
      </x:c>
      <x:c r="AF206" s="4" t="inlineStr">
        <x:is>
          <x:t xml:space="preserve">Specific item proposed from author ceramics direction; functional and material limits remain unresolved. Author direction October 16: all remaining Cultural objects are Salvage; remove the cultural items section. Preserve item identity, descriptions, condition, tiers, uses and recipe semantics.</x:t>
        </x:is>
      </x:c>
      <x:c r="AG206" s="4" t="str">
        <x:v>Finished endpoint; material tier is not applicable. Input tiers belong to the chosen recipe.</x:v>
      </x:c>
      <x:c r="AH206" s="4" t="str">
        <x:v>T1</x:v>
      </x:c>
      <x:c r="AI206" s="4" t="str">
        <x:v>Finished item</x:v>
      </x:c>
      <x:c r="AJ206" s="4" t="n">
        <x:f>COUNTIFS('Material routes'!$D$6:$D$2205,A206,'Material routes'!$C$6:$C$2205,"Output")</x:f>
        <x:v>1</x:v>
      </x:c>
      <x:c r="AK206" s="4" t="n">
        <x:f>SUM(COUNTIFS('Material routes'!$D$6:$D$2205,A206,'Material routes'!$C$6:$C$2205,"Ingredient candidate"),COUNTIFS('Material routes'!$D$6:$D$2205,A206,'Material routes'!$C$6:$C$2205,"Consumed input"),COUNTIFS('Material routes'!$D$6:$D$2205,A206,'Material routes'!$C$6:$C$2205,"Contained input"),COUNTIFS('Material routes'!$D$6:$D$2205,A206,'Material routes'!$C$6:$C$2205,"Transform input"))</x:f>
        <x:v>0</x:v>
      </x:c>
      <x:c r="AL206" s="4" t="n">
        <x:f>COUNTIFS('Material routes'!$D$6:$D$2205,A206,'Material routes'!$C$6:$C$2205,"Tool candidate")</x:f>
        <x:v>0</x:v>
      </x:c>
      <x:c r="AM206" s="4" t="str">
        <x:f>IF(AJ206&gt;0,"Route listed; review status/completeness",IF(C206="T0","Raw entry feed; no production route","No production route listed"))</x:f>
        <x:v>Route listed; review status/completeness</x:v>
      </x:c>
      <x:c r="AN206" s="14" t="n">
        <x:f>IF(C206="T0",0,IF(C206="T1",1,IF(C206="T2",2,IF(C206="T3",3,IF(C206="T4",4,IF(C206="Unassigned",98,99))))))</x:f>
        <x:v>99</x:v>
      </x:c>
      <x:c r="AZ206"/>
      <x:c r="BA206"/>
      <x:c r="BB206"/>
      <x:c r="BC206"/>
      <x:c r="BD206"/>
      <x:c r="BE206"/>
      <x:c r="BF206"/>
      <x:c r="BG206"/>
      <x:c r="BH206"/>
      <x:c r="BI206"/>
      <x:c r="BJ206"/>
      <x:c r="BK206"/>
      <x:c r="BL206"/>
      <x:c r="BM206"/>
      <x:c r="BN206"/>
      <x:c r="BO206"/>
      <x:c r="BP206"/>
      <x:c r="BQ206"/>
      <x:c r="BR206"/>
      <x:c r="BS206"/>
      <x:c r="BT206"/>
      <x:c r="BU206"/>
      <x:c r="BV206"/>
      <x:c r="BW206"/>
      <x:c r="BX206"/>
      <x:c r="BY206"/>
      <x:c r="BZ206"/>
      <x:c r="CA206"/>
      <x:c r="CB206"/>
      <x:c r="CC206"/>
    </x:row>
    <x:row r="207" ht="105" customHeight="1">
      <x:c r="A207" s="9" t="str">
        <x:v>proposal.ceramic.armor_insert</x:v>
      </x:c>
      <x:c r="B207" s="9" t="str">
        <x:v>Specialist ceramic armor insert</x:v>
      </x:c>
      <x:c r="C207" s="4" t="str">
        <x:v>Not applicable</x:v>
      </x:c>
      <x:c r="D207" s="9" t="inlineStr">
        <x:is>
          <x:t xml:space="preserve">Armor</x:t>
        </x:is>
      </x:c>
      <x:c r="E207" s="9" t="str">
        <x:v>Ceramic protection</x:v>
      </x:c>
      <x:c r="F207" s="9" t="str">
        <x:v>New proposal</x:v>
      </x:c>
      <x:c r="G207" s="9" t="inlineStr">
        <x:is>
          <x:t xml:space="preserve">Candidate fitted insert in the existing specialized-armor-plate family. It is intended to cover or guard the recorded area, with fit, coverage and protective performance still requiring qualification.</x:t>
        </x:is>
      </x:c>
      <x:c r="H207" s="9" t="str">
        <x:v>Unassigned; no new slot approved</x:v>
      </x:c>
      <x:c r="I207" s="9" t="str">
        <x:v>Carrier / placement policy TBD</x:v>
      </x:c>
      <x:c r="J207" s="13"/>
      <x:c r="K207" s="15"/>
      <x:c r="L207" s="9" t="str">
        <x:v>Specialist ceramic craft or trade; exact production route TBD</x:v>
      </x:c>
      <x:c r="M207" s="9" t="str">
        <x:v>Build on existing claystone, alumina, mineral feeds and insulating blanks where appropriate. No recipe authored.</x:v>
      </x:c>
      <x:c r="N207" s="9" t="str">
        <x:v>Not implemented</x:v>
      </x:c>
      <x:c r="O207" s="9" t="str">
        <x:v>Performance, brittleness, mounting and damage behavior undecided; no protection stats.</x:v>
      </x:c>
      <x:c r="P207" s="17"/>
      <x:c r="Q207" s="17"/>
      <x:c r="R207" s="17"/>
      <x:c r="S207" s="17"/>
      <x:c r="T207" s="17"/>
      <x:c r="U207" s="9" t="str">
        <x:v>Ceramics requested as a broad item family. Specific objects, grades, sourcing, yield and value remain proposals.</x:v>
      </x:c>
      <x:c r="V207" s="11" t="str">
        <x:v>pottery</x:v>
      </x:c>
      <x:c r="W207" s="9" t="str">
        <x:v>Author ceramics direction October 14, 2026; local game item proposal. Existing mineral/ceramic entries reused where applicable.</x:v>
      </x:c>
      <x:c r="X207" s="4" t="str">
        <x:v>Armor</x:v>
      </x:c>
      <x:c r="Y207" s="4" t="str">
        <x:v>Finished item</x:v>
      </x:c>
      <x:c r="Z207" s="4" t="str">
        <x:v>Manufactured / unresolved</x:v>
      </x:c>
      <x:c r="AA207" s="4" t="str">
        <x:v>Protection</x:v>
      </x:c>
      <x:c r="AB207" s="4" t="str">
        <x:v>Ceramic</x:v>
      </x:c>
      <x:c r="AC207" s="4" t="str">
        <x:v>Panel</x:v>
      </x:c>
      <x:c r="AD207" s="4" t="str">
        <x:v>Proposal</x:v>
      </x:c>
      <x:c r="AE207" s="4" t="str">
        <x:f>LOWER(A207&amp;"; "&amp;B207&amp;"; "&amp;D207&amp;"; "&amp;E207&amp;"; "&amp;X207&amp;"; "&amp;Y207&amp;"; "&amp;Z207&amp;"; "&amp;AA207&amp;"; "&amp;AB207&amp;"; "&amp;AC207&amp;"; "&amp;AD207&amp;"; "&amp;V207&amp;"; "&amp;C207&amp;"; "&amp;AH207&amp;"; "&amp;AI207)</x:f>
        <x:v>proposal.ceramic.armor_insert; specialist ceramic armor insert; armor; ceramic protection; armor; finished item; manufactured / unresolved; protection; ceramic; panel; proposal; pottery; not applicable; t3; finished item</x:v>
      </x:c>
      <x:c r="AF207"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 Author direction October 16: all remaining general Attachments belong in Armor; retire the empty Attachments section. Category assignment preserves item type, properties and recipe roles, including the tool belt. Legger attachments remains separate.</x:t>
        </x:is>
      </x:c>
      <x:c r="AG207" s="4" t="str">
        <x:v>Finished endpoint; material tier is not applicable. Input tiers belong to the chosen recipe.</x:v>
      </x:c>
      <x:c r="AH207" s="4" t="str">
        <x:v>T3</x:v>
      </x:c>
      <x:c r="AI207" s="4" t="str">
        <x:v>Finished item</x:v>
      </x:c>
      <x:c r="AJ207" s="4" t="n">
        <x:f>COUNTIFS('Material routes'!$D$6:$D$2205,A207,'Material routes'!$C$6:$C$2205,"Output")</x:f>
        <x:v>1</x:v>
      </x:c>
      <x:c r="AK207" s="4" t="n">
        <x:f>SUM(COUNTIFS('Material routes'!$D$6:$D$2205,A207,'Material routes'!$C$6:$C$2205,"Ingredient candidate"),COUNTIFS('Material routes'!$D$6:$D$2205,A207,'Material routes'!$C$6:$C$2205,"Consumed input"),COUNTIFS('Material routes'!$D$6:$D$2205,A207,'Material routes'!$C$6:$C$2205,"Contained input"),COUNTIFS('Material routes'!$D$6:$D$2205,A207,'Material routes'!$C$6:$C$2205,"Transform input"))</x:f>
        <x:v>1</x:v>
      </x:c>
      <x:c r="AL207" s="4" t="n">
        <x:f>COUNTIFS('Material routes'!$D$6:$D$2205,A207,'Material routes'!$C$6:$C$2205,"Tool candidate")</x:f>
        <x:v>0</x:v>
      </x:c>
      <x:c r="AM207" s="4" t="str">
        <x:f>IF(AJ207&gt;0,"Route listed; review status/completeness",IF(C207="T0","Raw entry feed; no production route","No production route listed"))</x:f>
        <x:v>Route listed; review status/completeness</x:v>
      </x:c>
      <x:c r="AN207" s="14" t="n">
        <x:f>IF(C207="T0",0,IF(C207="T1",1,IF(C207="T2",2,IF(C207="T3",3,IF(C207="T4",4,IF(C207="Unassigned",98,99))))))</x:f>
        <x:v>99</x:v>
      </x:c>
      <x:c r="AZ207"/>
      <x:c r="BA207"/>
      <x:c r="BB207"/>
      <x:c r="BC207"/>
      <x:c r="BD207"/>
      <x:c r="BE207"/>
      <x:c r="BF207"/>
      <x:c r="BG207"/>
      <x:c r="BH207"/>
      <x:c r="BI207"/>
      <x:c r="BJ207"/>
      <x:c r="BK207"/>
      <x:c r="BL207"/>
      <x:c r="BM207"/>
      <x:c r="BN207"/>
      <x:c r="BO207"/>
      <x:c r="BP207"/>
      <x:c r="BQ207"/>
      <x:c r="BR207"/>
      <x:c r="BS207"/>
      <x:c r="BT207"/>
      <x:c r="BU207"/>
      <x:c r="BV207"/>
      <x:c r="BW207"/>
      <x:c r="BX207"/>
      <x:c r="BY207"/>
      <x:c r="BZ207"/>
      <x:c r="CA207"/>
      <x:c r="CB207"/>
      <x:c r="CC207"/>
    </x:row>
    <x:row r="208" ht="170" customHeight="1">
      <x:c r="A208" s="9" t="str">
        <x:v>proposal.ceramic.fastener</x:v>
      </x:c>
      <x:c r="B208" s="9" t="str">
        <x:v>Ceramic toggle fastener</x:v>
      </x:c>
      <x:c r="C208" s="4" t="str">
        <x:v>T3</x:v>
      </x:c>
      <x:c r="D208" s="9" t="str">
        <x:v>Crafting components</x:v>
      </x:c>
      <x:c r="E208" s="9" t="str">
        <x:v>Ceramic household fitting</x:v>
      </x:c>
      <x:c r="F208" s="9" t="str">
        <x:v>New proposal</x:v>
      </x:c>
      <x:c r="G208" s="9" t="inlineStr">
        <x:is>
          <x:t xml:space="preserve">Shaped toggle for a compatible wrap or fitted carrier. It supplies a candidate fastening, panel or material for clothing; cutting, joining and fit remain part of the finished garment’s design.</x:t>
        </x:is>
      </x:c>
      <x:c r="H208" s="9" t="str">
        <x:v>Unassigned; no new slot approved</x:v>
      </x:c>
      <x:c r="I208" s="9" t="str">
        <x:v>Carrier / placement policy TBD</x:v>
      </x:c>
      <x:c r="J208" s="13"/>
      <x:c r="K208" s="15"/>
      <x:c r="L208" s="9" t="str">
        <x:v>Specialist ceramic craft or trade; exact production route TBD</x:v>
      </x:c>
      <x:c r="M208" s="9" t="str">
        <x:v>Build on existing claystone, alumina, mineral feeds and insulating blanks where appropriate. No recipe authored.</x:v>
      </x:c>
      <x:c r="N208" s="9" t="str">
        <x:v>Not implemented</x:v>
      </x:c>
      <x:c r="O208" s="9" t="str">
        <x:v>No cloth required; joining method, strength and wear properties unresolved.</x:v>
      </x:c>
      <x:c r="P208" s="17"/>
      <x:c r="Q208" s="17"/>
      <x:c r="R208" s="17"/>
      <x:c r="S208" s="17"/>
      <x:c r="T208" s="17"/>
      <x:c r="U208" s="9" t="str">
        <x:v>Ceramics requested as a broad item family. Specific objects, grades, sourcing, yield and value remain proposals.</x:v>
      </x:c>
      <x:c r="V208" s="11" t="str">
        <x:v>equipment mounting; pottery</x:v>
      </x:c>
      <x:c r="W208" s="9" t="str">
        <x:v>Author ceramics direction October 14, 2026; local game item proposal. Existing mineral/ceramic entries reused where applicable.</x:v>
      </x:c>
      <x:c r="X208" s="4" t="str">
        <x:v>Crafting component</x:v>
      </x:c>
      <x:c r="Y208" s="4" t="str">
        <x:v>Processed intermediate</x:v>
      </x:c>
      <x:c r="Z208" s="4" t="str">
        <x:v>Manufactured / unresolved</x:v>
      </x:c>
      <x:c r="AA208" s="4" t="str">
        <x:v>Clothing fabrication</x:v>
      </x:c>
      <x:c r="AB208" s="4" t="str">
        <x:v>Ceramic</x:v>
      </x:c>
      <x:c r="AC208" s="4" t="str">
        <x:v>Solid part</x:v>
      </x:c>
      <x:c r="AD208" s="4" t="str">
        <x:v>Proposal</x:v>
      </x:c>
      <x:c r="AE208" s="4" t="str">
        <x:f>LOWER(A208&amp;"; "&amp;B208&amp;"; "&amp;D208&amp;"; "&amp;E208&amp;"; "&amp;X208&amp;"; "&amp;Y208&amp;"; "&amp;Z208&amp;"; "&amp;AA208&amp;"; "&amp;AB208&amp;"; "&amp;AC208&amp;"; "&amp;AD208&amp;"; "&amp;V208&amp;"; "&amp;C208&amp;"; "&amp;AH208&amp;"; "&amp;AI208)</x:f>
        <x:v>proposal.ceramic.fastener; ceramic toggle fastener; crafting components; ceramic household fitting; crafting component; processed intermediate; manufactured / unresolved; clothing fabrication; ceramic; solid part; proposal; equipment mounting; pottery; t3; not applicable; component</x:v>
      </x:c>
      <x:c r="AF208" s="4" t="str">
        <x:v>Specific item proposed from author ceramics direction; functional and material limits remain unresolved.</x:v>
      </x:c>
      <x:c r="AG20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8" s="4" t="str">
        <x:v>Not applicable</x:v>
      </x:c>
      <x:c r="AI208" s="4" t="str">
        <x:v>Component</x:v>
      </x:c>
      <x:c r="AJ208" s="4" t="n">
        <x:f>COUNTIFS('Material routes'!$D$6:$D$2205,A208,'Material routes'!$C$6:$C$2205,"Output")</x:f>
        <x:v>1</x:v>
      </x:c>
      <x:c r="AK208" s="4" t="n">
        <x:f>SUM(COUNTIFS('Material routes'!$D$6:$D$2205,A208,'Material routes'!$C$6:$C$2205,"Ingredient candidate"),COUNTIFS('Material routes'!$D$6:$D$2205,A208,'Material routes'!$C$6:$C$2205,"Consumed input"),COUNTIFS('Material routes'!$D$6:$D$2205,A208,'Material routes'!$C$6:$C$2205,"Contained input"),COUNTIFS('Material routes'!$D$6:$D$2205,A208,'Material routes'!$C$6:$C$2205,"Transform input"))</x:f>
        <x:v>8</x:v>
      </x:c>
      <x:c r="AL208" s="4" t="n">
        <x:f>COUNTIFS('Material routes'!$D$6:$D$2205,A208,'Material routes'!$C$6:$C$2205,"Tool candidate")</x:f>
        <x:v>0</x:v>
      </x:c>
      <x:c r="AM208" s="4" t="str">
        <x:f>IF(AJ208&gt;0,"Route listed; review status/completeness",IF(C208="T0","Raw entry feed; no production route","No production route listed"))</x:f>
        <x:v>Route listed; review status/completeness</x:v>
      </x:c>
      <x:c r="AN208" s="14" t="n">
        <x:f>IF(C208="T0",0,IF(C208="T1",1,IF(C208="T2",2,IF(C208="T3",3,IF(C208="T4",4,IF(C208="Unassigned",98,99))))))</x:f>
        <x:v>3</x:v>
      </x:c>
      <x:c r="AZ208"/>
      <x:c r="BA208"/>
      <x:c r="BB208"/>
      <x:c r="BC208"/>
      <x:c r="BD208"/>
      <x:c r="BE208"/>
      <x:c r="BF208"/>
      <x:c r="BG208"/>
      <x:c r="BH208"/>
      <x:c r="BI208"/>
      <x:c r="BJ208"/>
      <x:c r="BK208"/>
      <x:c r="BL208"/>
      <x:c r="BM208"/>
      <x:c r="BN208"/>
      <x:c r="BO208"/>
      <x:c r="BP208"/>
      <x:c r="BQ208"/>
      <x:c r="BR208"/>
      <x:c r="BS208"/>
      <x:c r="BT208"/>
      <x:c r="BU208"/>
      <x:c r="BV208"/>
      <x:c r="BW208"/>
      <x:c r="BX208"/>
      <x:c r="BY208"/>
      <x:c r="BZ208"/>
      <x:c r="CA208"/>
      <x:c r="CB208"/>
      <x:c r="CC208"/>
    </x:row>
    <x:row r="209" ht="105" customHeight="1">
      <x:c r="A209" s="9" t="str">
        <x:v>proposal.ceramic.grinding_disc</x:v>
      </x:c>
      <x:c r="B209" s="9" t="str">
        <x:v>Ceramic abrasive disc</x:v>
      </x:c>
      <x:c r="C209" s="4" t="str">
        <x:v>Not applicable</x:v>
      </x:c>
      <x:c r="D209" s="9" t="inlineStr">
        <x:is>
          <x:t xml:space="preserve">Workshop upgrades</x:t>
        </x:is>
      </x:c>
      <x:c r="E209" s="9" t="str">
        <x:v>Ceramic workshop</x:v>
      </x:c>
      <x:c r="F209" s="9" t="str">
        <x:v>New proposal</x:v>
      </x:c>
      <x:c r="G209" s="9" t="inlineStr">
        <x:is>
          <x:t xml:space="preserve">Replaceable shaped abrasive for a chosen workshop tool. It is intended to prepare or change a workpiece’s surface before a later fitting, coating or use; the treatment must suit that material.</x:t>
        </x:is>
      </x:c>
      <x:c r="H209" s="9" t="str">
        <x:v>Unassigned; no new slot approved</x:v>
      </x:c>
      <x:c r="I209" s="9" t="str">
        <x:v>Carrier / placement policy TBD</x:v>
      </x:c>
      <x:c r="J209" s="13"/>
      <x:c r="K209" s="15"/>
      <x:c r="L209" s="9" t="str">
        <x:v>Specialist ceramic craft or trade; exact production route TBD</x:v>
      </x:c>
      <x:c r="M209" s="9" t="str">
        <x:v>Build on existing claystone, alumina, mineral feeds and insulating blanks where appropriate. No recipe authored.</x:v>
      </x:c>
      <x:c r="N209" s="9" t="str">
        <x:v>Not implemented</x:v>
      </x:c>
      <x:c r="O209" s="9" t="str">
        <x:v>Abrasive grade, drive method and safe operating limits unresolved; no powered tool granted.</x:v>
      </x:c>
      <x:c r="P209" s="17"/>
      <x:c r="Q209" s="17"/>
      <x:c r="R209" s="17"/>
      <x:c r="S209" s="17"/>
      <x:c r="T209" s="17"/>
      <x:c r="U209" s="9" t="str">
        <x:v>Ceramics requested as a broad item family. Specific objects, grades, sourcing, yield and value remain proposals.</x:v>
      </x:c>
      <x:c r="V209" s="11" t="str">
        <x:v>pottery</x:v>
      </x:c>
      <x:c r="W209" s="9" t="str">
        <x:v>Author ceramics direction October 14, 2026; local game item proposal. Existing mineral/ceramic entries reused where applicable.</x:v>
      </x:c>
      <x:c r="X209" s="4" t="str">
        <x:v>Tool</x:v>
      </x:c>
      <x:c r="Y209" s="4" t="str">
        <x:v>Finished item</x:v>
      </x:c>
      <x:c r="Z209" s="4" t="str">
        <x:v>Manufactured / unresolved</x:v>
      </x:c>
      <x:c r="AA209" s="4" t="str">
        <x:v>Surface finishing</x:v>
      </x:c>
      <x:c r="AB209" s="4" t="str">
        <x:v>Ceramic</x:v>
      </x:c>
      <x:c r="AC209" s="4" t="str">
        <x:v>Solid part</x:v>
      </x:c>
      <x:c r="AD209" s="4" t="str">
        <x:v>Proposal</x:v>
      </x:c>
      <x:c r="AE209" s="4" t="str">
        <x:f>LOWER(A209&amp;"; "&amp;B209&amp;"; "&amp;D209&amp;"; "&amp;E209&amp;"; "&amp;X209&amp;"; "&amp;Y209&amp;"; "&amp;Z209&amp;"; "&amp;AA209&amp;"; "&amp;AB209&amp;"; "&amp;AC209&amp;"; "&amp;AD209&amp;"; "&amp;V209&amp;"; "&amp;C209&amp;"; "&amp;AH209&amp;"; "&amp;AI209)</x:f>
        <x:v>proposal.ceramic.grinding_disc; ceramic abrasive disc; workshop upgrades; ceramic workshop; tool; finished item; manufactured / unresolved; surface finishing; ceramic; solid part; proposal; pottery; not applicable; t2; finished item</x:v>
      </x:c>
      <x:c r="AF209"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 Author correction, October 15, 2026: Workshop upgrades supersedes Attachments. Upgrades and replaceable working parts fitted to workshop tools or stations.</x:t>
        </x:is>
      </x:c>
      <x:c r="AG209" s="4" t="str">
        <x:v>Finished endpoint; material tier is not applicable. Input tiers belong to the chosen recipe.</x:v>
      </x:c>
      <x:c r="AH209" s="4" t="str">
        <x:v>T2</x:v>
      </x:c>
      <x:c r="AI209" s="4" t="str">
        <x:v>Finished item</x:v>
      </x:c>
      <x:c r="AJ209" s="4" t="n">
        <x:f>COUNTIFS('Material routes'!$D$6:$D$2205,A209,'Material routes'!$C$6:$C$2205,"Output")</x:f>
        <x:v>1</x:v>
      </x:c>
      <x:c r="AK209" s="4" t="n">
        <x:f>SUM(COUNTIFS('Material routes'!$D$6:$D$2205,A209,'Material routes'!$C$6:$C$2205,"Ingredient candidate"),COUNTIFS('Material routes'!$D$6:$D$2205,A209,'Material routes'!$C$6:$C$2205,"Consumed input"),COUNTIFS('Material routes'!$D$6:$D$2205,A209,'Material routes'!$C$6:$C$2205,"Contained input"),COUNTIFS('Material routes'!$D$6:$D$2205,A209,'Material routes'!$C$6:$C$2205,"Transform input"))</x:f>
        <x:v>0</x:v>
      </x:c>
      <x:c r="AL209" s="4" t="n">
        <x:f>COUNTIFS('Material routes'!$D$6:$D$2205,A209,'Material routes'!$C$6:$C$2205,"Tool candidate")</x:f>
        <x:v>0</x:v>
      </x:c>
      <x:c r="AM209" s="4" t="str">
        <x:f>IF(AJ209&gt;0,"Route listed; review status/completeness",IF(C209="T0","Raw entry feed; no production route","No production route listed"))</x:f>
        <x:v>Route listed; review status/completeness</x:v>
      </x:c>
      <x:c r="AN209" s="14" t="n">
        <x:f>IF(C209="T0",0,IF(C209="T1",1,IF(C209="T2",2,IF(C209="T3",3,IF(C209="T4",4,IF(C209="Unassigned",98,99))))))</x:f>
        <x:v>99</x:v>
      </x:c>
      <x:c r="AZ209"/>
      <x:c r="BA209"/>
      <x:c r="BB209"/>
      <x:c r="BC209"/>
      <x:c r="BD209"/>
      <x:c r="BE209"/>
      <x:c r="BF209"/>
      <x:c r="BG209"/>
      <x:c r="BH209"/>
      <x:c r="BI209"/>
      <x:c r="BJ209"/>
      <x:c r="BK209"/>
      <x:c r="BL209"/>
      <x:c r="BM209"/>
      <x:c r="BN209"/>
      <x:c r="BO209"/>
      <x:c r="BP209"/>
      <x:c r="BQ209"/>
      <x:c r="BR209"/>
      <x:c r="BS209"/>
      <x:c r="BT209"/>
      <x:c r="BU209"/>
      <x:c r="BV209"/>
      <x:c r="BW209"/>
      <x:c r="BX209"/>
      <x:c r="BY209"/>
      <x:c r="BZ209"/>
      <x:c r="CA209"/>
      <x:c r="CB209"/>
      <x:c r="CC209"/>
    </x:row>
    <x:row r="210" ht="170" customHeight="1">
      <x:c r="A210" s="9" t="str">
        <x:v>source.currency.imperial_commons</x:v>
      </x:c>
      <x:c r="B210" s="9" t="str">
        <x:v>Imperial Commons</x:v>
      </x:c>
      <x:c r="C210" s="4" t="str">
        <x:v>Not applicable</x:v>
      </x:c>
      <x:c r="D210" s="9" t="str">
        <x:v>Currency</x:v>
      </x:c>
      <x:c r="E210" s="9" t="str">
        <x:v>Currency family; source lacks material denominations</x:v>
      </x:c>
      <x:c r="F210" s="9" t="str">
        <x:v>Source proposal; not implemented</x:v>
      </x:c>
      <x:c r="G210" s="9" t="inlineStr">
        <x:is>
          <x:t xml:space="preserve">Imperial Commons is a material-defined currency entry. It is a currency entry distinguished by material and workmanship. Issuer, denomination, exchange ratios and particular craft grades remain unassigned.</x:t>
        </x:is>
      </x:c>
      <x:c r="H210" s="9" t="str">
        <x:v>None</x:v>
      </x:c>
      <x:c r="I210" s="9" t="str">
        <x:v>Physical form and carrier policy unresolved</x:v>
      </x:c>
      <x:c r="J210" s="13"/>
      <x:c r="K210" s="15"/>
      <x:c r="L210" s="9" t="str">
        <x:v>Source issuer: Empire. Issuance and acquisition are not game systems.</x:v>
      </x:c>
      <x:c r="M210" s="9" t="str">
        <x:v>No minting or crafting recipe authored</x:v>
      </x:c>
      <x:c r="N210" s="9" t="str">
        <x:v>Not implemented</x:v>
      </x:c>
      <x:c r="O210" s="9" t="str">
        <x:v>Source WLD-0032 is draft/proposal. No denomination names, face values, ratios, coin/note materials, dimensions or physical form are specified.</x:v>
      </x:c>
      <x:c r="P210" s="17"/>
      <x:c r="Q210" s="17"/>
      <x:c r="R210" s="17"/>
      <x:c r="S210" s="17"/>
      <x:c r="T210" s="17"/>
      <x:c r="U210" s="9" t="str">
        <x:v>Currency-family placeholder, not a claimed one-Common coin or note. Commons and marks are aliases, not separate denominations. Leave face values, item prices, stack/mass and wallet behavior undefined. Author now specifies iron, steel, ceramic and glass marks as separate material currency entries. Their exact relationship to Commons and values remain open.</x:v>
      </x:c>
      <x:c r="V210" s="11" t="str">
        <x:v>commons; marks; money; exchange; denomination unspecified</x:v>
      </x:c>
      <x:c r="W210" s="9" t="str">
        <x:v>https://github.com/sleepyseamonster/Arc-Dust/blob/f6f98515c005dc3c73cccd9cbc031691745740c6/02-Arc-Dust-Worldbuilding/world/economy/currency.md; WLD-0032 status=draft, canon_status=proposal; remote master revision verified October 14, 2026.</x:v>
      </x:c>
      <x:c r="X210" s="4" t="str">
        <x:v>Currency</x:v>
      </x:c>
      <x:c r="Y210" s="4" t="str">
        <x:v>Unresolved</x:v>
      </x:c>
      <x:c r="Z210" s="4" t="str">
        <x:v>Manufactured / unresolved</x:v>
      </x:c>
      <x:c r="AA210" s="4" t="str">
        <x:v>Trade</x:v>
      </x:c>
      <x:c r="AB210" s="4" t="str">
        <x:v>Unresolved</x:v>
      </x:c>
      <x:c r="AC210" s="4" t="str">
        <x:v>Unresolved</x:v>
      </x:c>
      <x:c r="AD210" s="4" t="str">
        <x:v>Source proposal</x:v>
      </x:c>
      <x:c r="AE210" s="4" t="str">
        <x:f>LOWER(A210&amp;"; "&amp;B210&amp;"; "&amp;D210&amp;"; "&amp;E210&amp;"; "&amp;X210&amp;"; "&amp;Y210&amp;"; "&amp;Z210&amp;"; "&amp;AA210&amp;"; "&amp;AB210&amp;"; "&amp;AC210&amp;"; "&amp;AD210&amp;"; "&amp;V210&amp;"; "&amp;C210&amp;"; "&amp;AH210&amp;"; "&amp;AI210)</x:f>
        <x:v>source.currency.imperial_commons; imperial commons; currency; currency family; source lacks material denominations; currency; unresolved; manufactured / unresolved; trade; unresolved; unresolved; source proposal; commons; marks; money; exchange; denomination unspecified; not applicable; unassigned; currency</x:v>
      </x:c>
      <x:c r="AF210" s="4" t="str">
        <x:v>Source record explicitly names the currency and aliases; no physical denomination item inferred.</x:v>
      </x:c>
      <x:c r="AG210" s="4" t="str">
        <x:v>October 15 proposed tier review: Currency family, not material-refinement stock. The inspected source does not define minting inputs or denominations. No invented coin/note material, denomination, exchange ratio or minting recipe. Material/craftsmanship denomination direction remains a separate source-verification question.</x:v>
      </x:c>
      <x:c r="AH210" s="4" t="str">
        <x:v>Unassigned</x:v>
      </x:c>
      <x:c r="AI210" s="4" t="str">
        <x:v>Currency</x:v>
      </x:c>
      <x:c r="AJ210" s="4" t="n">
        <x:f>COUNTIFS('Material routes'!$D$6:$D$2205,A210,'Material routes'!$C$6:$C$2205,"Output")</x:f>
        <x:v>0</x:v>
      </x:c>
      <x:c r="AK210" s="4" t="n">
        <x:f>SUM(COUNTIFS('Material routes'!$D$6:$D$2205,A210,'Material routes'!$C$6:$C$2205,"Ingredient candidate"),COUNTIFS('Material routes'!$D$6:$D$2205,A210,'Material routes'!$C$6:$C$2205,"Consumed input"),COUNTIFS('Material routes'!$D$6:$D$2205,A210,'Material routes'!$C$6:$C$2205,"Contained input"),COUNTIFS('Material routes'!$D$6:$D$2205,A210,'Material routes'!$C$6:$C$2205,"Transform input"))</x:f>
        <x:v>0</x:v>
      </x:c>
      <x:c r="AL210" s="4" t="n">
        <x:f>COUNTIFS('Material routes'!$D$6:$D$2205,A210,'Material routes'!$C$6:$C$2205,"Tool candidate")</x:f>
        <x:v>0</x:v>
      </x:c>
      <x:c r="AM210" s="4" t="str">
        <x:f>IF(AJ210&gt;0,"Route listed; review status/completeness",IF(C210="T0","Raw entry feed; no production route","No production route listed"))</x:f>
        <x:v>No production route listed</x:v>
      </x:c>
      <x:c r="AN210" s="14" t="n">
        <x:f>IF(C210="T0",0,IF(C210="T1",1,IF(C210="T2",2,IF(C210="T3",3,IF(C210="T4",4,IF(C210="Unassigned",98,99))))))</x:f>
        <x:v>99</x:v>
      </x:c>
      <x:c r="AZ210"/>
      <x:c r="BA210"/>
      <x:c r="BB210"/>
      <x:c r="BC210"/>
      <x:c r="BD210"/>
      <x:c r="BE210"/>
      <x:c r="BF210"/>
      <x:c r="BG210"/>
      <x:c r="BH210"/>
      <x:c r="BI210"/>
      <x:c r="BJ210"/>
      <x:c r="BK210"/>
      <x:c r="BL210"/>
      <x:c r="BM210"/>
      <x:c r="BN210"/>
      <x:c r="BO210"/>
      <x:c r="BP210"/>
      <x:c r="BQ210"/>
      <x:c r="BR210"/>
      <x:c r="BS210"/>
      <x:c r="BT210"/>
      <x:c r="BU210"/>
      <x:c r="BV210"/>
      <x:c r="BW210"/>
      <x:c r="BX210"/>
      <x:c r="BY210"/>
      <x:c r="BZ210"/>
      <x:c r="CA210"/>
      <x:c r="CB210"/>
      <x:c r="CC210"/>
    </x:row>
    <x:row r="211" ht="115" customHeight="1">
      <x:c r="A211" s="9" t="str">
        <x:v>proposal.fire.oxygen_stone</x:v>
      </x:c>
      <x:c r="B211" s="9" t="str">
        <x:v>Oxygen-releasing stone</x:v>
      </x:c>
      <x:c r="C211" s="4" t="str">
        <x:v>T0</x:v>
      </x:c>
      <x:c r="D211" s="9" t="str">
        <x:v>Mineral resources</x:v>
      </x:c>
      <x:c r="E211" s="9" t="str">
        <x:v>Special stone</x:v>
      </x:c>
      <x:c r="F211" s="9" t="str">
        <x:v>User direction; not implemented</x:v>
      </x:c>
      <x:c r="G211" s="9" t="inlineStr">
        <x:is>
          <x:t xml:space="preserve">Stone family that releases oxygen, as requested by author. It is intended for a compatible contained atmospheric-support arrangement; the working medium and service conditions still require research.</x:t>
        </x:is>
      </x:c>
      <x:c r="H211" s="9" t="str">
        <x:v>Unassigned; no new slot approved</x:v>
      </x:c>
      <x:c r="I211" s="9" t="str">
        <x:v>Carrier / placement policy TBD</x:v>
      </x:c>
      <x:c r="J211" s="13"/>
      <x:c r="K211" s="15"/>
      <x:c r="L211" s="9" t="str">
        <x:v>Gathering, specialist craft or trade; exact acquisition TBD</x:v>
      </x:c>
      <x:c r="M211" s="9" t="str">
        <x:v>No cooking, ignition or oxygen-release recipe authored</x:v>
      </x:c>
      <x:c r="N211" s="9" t="str">
        <x:v>Not implemented</x:v>
      </x:c>
      <x:c r="O211" s="9" t="str">
        <x:v>Source describes active bedrock under geothermal heat/pressure. Continued output after extraction, rate, exhaustion and activation unresolved; no portable infinite air supply.</x:v>
      </x:c>
      <x:c r="P211" s="17"/>
      <x:c r="Q211" s="17"/>
      <x:c r="R211" s="17"/>
      <x:c r="S211" s="17"/>
      <x:c r="T211" s="17"/>
      <x:c r="U211" s="9" t="str">
        <x:v>Names are descriptive working labels. Fire-dependent uses are constrained by source atmosphere proposals; no oxygen/flame simulation, nutrition bonus or automatic detoxification.</x:v>
      </x:c>
      <x:c r="V211" s="11"/>
      <x:c r="W211" s="9" t="str">
        <x:v>https://github.com/sleepyseamonster/Arc-Dust/blob/f6f98515c005dc3c73cccd9cbc031691745740c6/02-Arc-Dust-Worldbuilding/world/geography/atmosphere.md</x:v>
      </x:c>
      <x:c r="X211" s="4" t="str">
        <x:v>Raw material</x:v>
      </x:c>
      <x:c r="Y211" s="4" t="str">
        <x:v>Raw</x:v>
      </x:c>
      <x:c r="Z211" s="4" t="str">
        <x:v>Geological</x:v>
      </x:c>
      <x:c r="AA211" s="4" t="str">
        <x:v>Atmospheric support</x:v>
      </x:c>
      <x:c r="AB211" s="4" t="str">
        <x:v>Mineral</x:v>
      </x:c>
      <x:c r="AC211" s="4" t="str">
        <x:v>Rock</x:v>
      </x:c>
      <x:c r="AD211" s="4" t="str">
        <x:v>Author direction</x:v>
      </x:c>
      <x:c r="AE211" s="4" t="str">
        <x:f>LOWER(A211&amp;"; "&amp;B211&amp;"; "&amp;D211&amp;"; "&amp;E211&amp;"; "&amp;X211&amp;"; "&amp;Y211&amp;"; "&amp;Z211&amp;"; "&amp;AA211&amp;"; "&amp;AB211&amp;"; "&amp;AC211&amp;"; "&amp;AD211&amp;"; "&amp;V211&amp;"; "&amp;C211&amp;"; "&amp;AH211&amp;"; "&amp;AI211)</x:f>
        <x:v>proposal.fire.oxygen_stone; oxygen-releasing stone; mineral resources; special stone; raw material; raw; geological; atmospheric support; mineral; rock; author direction; ; t0; not applicable; material</x:v>
      </x:c>
      <x:c r="AF211" s="4" t="str">
        <x:v>Author direction establishes stone families. Source mechanisms remain proposal-stage; specific equipment functions are proposals. Lore category review: Resources -&gt; Mineral resources. Classification only; original item status and tier retained.</x:v>
      </x:c>
      <x:c r="AG211" s="4" t="str">
        <x:v>Raw gathered/recovered craft input under the author T0 framework. This does not imply a naturally occurring pure metal.</x:v>
      </x:c>
      <x:c r="AH211" s="4" t="str">
        <x:v>Not applicable</x:v>
      </x:c>
      <x:c r="AI211" s="4" t="str">
        <x:v>Material</x:v>
      </x:c>
      <x:c r="AJ211" s="4" t="n">
        <x:f>COUNTIFS('Material routes'!$D$6:$D$2205,A211,'Material routes'!$C$6:$C$2205,"Output")</x:f>
        <x:v>0</x:v>
      </x:c>
      <x:c r="AK211" s="4" t="n">
        <x:f>SUM(COUNTIFS('Material routes'!$D$6:$D$2205,A211,'Material routes'!$C$6:$C$2205,"Ingredient candidate"),COUNTIFS('Material routes'!$D$6:$D$2205,A211,'Material routes'!$C$6:$C$2205,"Consumed input"),COUNTIFS('Material routes'!$D$6:$D$2205,A211,'Material routes'!$C$6:$C$2205,"Contained input"),COUNTIFS('Material routes'!$D$6:$D$2205,A211,'Material routes'!$C$6:$C$2205,"Transform input"))</x:f>
        <x:v>0</x:v>
      </x:c>
      <x:c r="AL211" s="4" t="n">
        <x:f>COUNTIFS('Material routes'!$D$6:$D$2205,A211,'Material routes'!$C$6:$C$2205,"Tool candidate")</x:f>
        <x:v>0</x:v>
      </x:c>
      <x:c r="AM211" s="4" t="str">
        <x:f>IF(AJ211&gt;0,"Route listed; review status/completeness",IF(C211="T0","Raw entry feed; no production route","No production route listed"))</x:f>
        <x:v>Raw entry feed; no production route</x:v>
      </x:c>
      <x:c r="AN211" s="14" t="n">
        <x:f>IF(C211="T0",0,IF(C211="T1",1,IF(C211="T2",2,IF(C211="T3",3,IF(C211="T4",4,IF(C211="Unassigned",98,99))))))</x:f>
        <x:v>0</x:v>
      </x:c>
      <x:c r="AZ211"/>
      <x:c r="BA211"/>
      <x:c r="BB211"/>
      <x:c r="BC211"/>
      <x:c r="BD211"/>
      <x:c r="BE211"/>
      <x:c r="BF211"/>
      <x:c r="BG211"/>
      <x:c r="BH211"/>
      <x:c r="BI211"/>
      <x:c r="BJ211"/>
      <x:c r="BK211"/>
      <x:c r="BL211"/>
      <x:c r="BM211"/>
      <x:c r="BN211"/>
      <x:c r="BO211"/>
      <x:c r="BP211"/>
      <x:c r="BQ211"/>
      <x:c r="BR211"/>
      <x:c r="BS211"/>
      <x:c r="BT211"/>
      <x:c r="BU211"/>
      <x:c r="BV211"/>
      <x:c r="BW211"/>
      <x:c r="BX211"/>
      <x:c r="BY211"/>
      <x:c r="BZ211"/>
      <x:c r="CA211"/>
      <x:c r="CB211"/>
      <x:c r="CC211"/>
    </x:row>
    <x:row r="212" ht="115" customHeight="1">
      <x:c r="A212" s="9" t="str">
        <x:v>proposal.fire.glow_stone</x:v>
      </x:c>
      <x:c r="B212" s="9" t="str">
        <x:v>Glowing stone</x:v>
      </x:c>
      <x:c r="C212" s="4" t="str">
        <x:v>T0</x:v>
      </x:c>
      <x:c r="D212" s="9" t="str">
        <x:v>Mineral resources</x:v>
      </x:c>
      <x:c r="E212" s="9" t="str">
        <x:v>Special stone</x:v>
      </x:c>
      <x:c r="F212" s="9" t="str">
        <x:v>User direction; not implemented</x:v>
      </x:c>
      <x:c r="G212" s="9" t="inlineStr">
        <x:is>
          <x:t xml:space="preserve">Stone family that emits light, as requested by author. It is intended to provide or control a local light source, with fuel or energy supply and operating conditions matched to the design.</x:t>
        </x:is>
      </x:c>
      <x:c r="H212" s="9" t="str">
        <x:v>Unassigned; no new slot approved</x:v>
      </x:c>
      <x:c r="I212" s="9" t="str">
        <x:v>Carrier / placement policy TBD</x:v>
      </x:c>
      <x:c r="J212" s="13"/>
      <x:c r="K212" s="15"/>
      <x:c r="L212" s="9" t="str">
        <x:v>Gathering, specialist craft or trade; exact acquisition TBD</x:v>
      </x:c>
      <x:c r="M212" s="9" t="str">
        <x:v>No cooking, ignition or oxygen-release recipe authored</x:v>
      </x:c>
      <x:c r="N212" s="9" t="str">
        <x:v>Not implemented</x:v>
      </x:c>
      <x:c r="O212" s="9" t="str">
        <x:v>No owning glow-stone record found in inspected material/atmosphere records. Color, brightness, duration, charging, depletion and heat unresolved; glow does not imply combustion.</x:v>
      </x:c>
      <x:c r="P212" s="17"/>
      <x:c r="Q212" s="17"/>
      <x:c r="R212" s="17"/>
      <x:c r="S212" s="17"/>
      <x:c r="T212" s="17"/>
      <x:c r="U212" s="9" t="str">
        <x:v>Names are descriptive working labels. Fire-dependent uses are constrained by source atmosphere proposals; no oxygen/flame simulation, nutrition bonus or automatic detoxification.</x:v>
      </x:c>
      <x:c r="V212" s="11"/>
      <x:c r="W212" s="9" t="str">
        <x:v>Direct author direction October 14, 2026</x:v>
      </x:c>
      <x:c r="X212" s="4" t="str">
        <x:v>Raw material</x:v>
      </x:c>
      <x:c r="Y212" s="4" t="str">
        <x:v>Raw</x:v>
      </x:c>
      <x:c r="Z212" s="4" t="str">
        <x:v>Geological</x:v>
      </x:c>
      <x:c r="AA212" s="4" t="str">
        <x:v>Illumination</x:v>
      </x:c>
      <x:c r="AB212" s="4" t="str">
        <x:v>Mineral</x:v>
      </x:c>
      <x:c r="AC212" s="4" t="str">
        <x:v>Rock</x:v>
      </x:c>
      <x:c r="AD212" s="4" t="str">
        <x:v>Author direction</x:v>
      </x:c>
      <x:c r="AE212" s="4" t="str">
        <x:f>LOWER(A212&amp;"; "&amp;B212&amp;"; "&amp;D212&amp;"; "&amp;E212&amp;"; "&amp;X212&amp;"; "&amp;Y212&amp;"; "&amp;Z212&amp;"; "&amp;AA212&amp;"; "&amp;AB212&amp;"; "&amp;AC212&amp;"; "&amp;AD212&amp;"; "&amp;V212&amp;"; "&amp;C212&amp;"; "&amp;AH212&amp;"; "&amp;AI212)</x:f>
        <x:v>proposal.fire.glow_stone; glowing stone; mineral resources; special stone; raw material; raw; geological; illumination; mineral; rock; author direction; ; t0; not applicable; material</x:v>
      </x:c>
      <x:c r="AF212" s="4" t="str">
        <x:v>Author direction establishes stone families. Source mechanisms remain proposal-stage; specific equipment functions are proposals. Lore category review: Resources -&gt; Mineral resources. Classification only; original item status and tier retained.</x:v>
      </x:c>
      <x:c r="AG212" s="4" t="str">
        <x:v>Raw gathered/recovered craft input under the author T0 framework. This does not imply a naturally occurring pure metal.</x:v>
      </x:c>
      <x:c r="AH212" s="4" t="str">
        <x:v>Not applicable</x:v>
      </x:c>
      <x:c r="AI212" s="4" t="str">
        <x:v>Material</x:v>
      </x:c>
      <x:c r="AJ212" s="4" t="n">
        <x:f>COUNTIFS('Material routes'!$D$6:$D$2205,A212,'Material routes'!$C$6:$C$2205,"Output")</x:f>
        <x:v>0</x:v>
      </x:c>
      <x:c r="AK212" s="4" t="n">
        <x:f>SUM(COUNTIFS('Material routes'!$D$6:$D$2205,A212,'Material routes'!$C$6:$C$2205,"Ingredient candidate"),COUNTIFS('Material routes'!$D$6:$D$2205,A212,'Material routes'!$C$6:$C$2205,"Consumed input"),COUNTIFS('Material routes'!$D$6:$D$2205,A212,'Material routes'!$C$6:$C$2205,"Contained input"),COUNTIFS('Material routes'!$D$6:$D$2205,A212,'Material routes'!$C$6:$C$2205,"Transform input"))</x:f>
        <x:v>1</x:v>
      </x:c>
      <x:c r="AL212" s="4" t="n">
        <x:f>COUNTIFS('Material routes'!$D$6:$D$2205,A212,'Material routes'!$C$6:$C$2205,"Tool candidate")</x:f>
        <x:v>0</x:v>
      </x:c>
      <x:c r="AM212" s="4" t="str">
        <x:f>IF(AJ212&gt;0,"Route listed; review status/completeness",IF(C212="T0","Raw entry feed; no production route","No production route listed"))</x:f>
        <x:v>Raw entry feed; no production route</x:v>
      </x:c>
      <x:c r="AN212" s="14" t="n">
        <x:f>IF(C212="T0",0,IF(C212="T1",1,IF(C212="T2",2,IF(C212="T3",3,IF(C212="T4",4,IF(C212="Unassigned",98,99))))))</x:f>
        <x:v>0</x:v>
      </x:c>
      <x:c r="AZ212"/>
      <x:c r="BA212"/>
      <x:c r="BB212"/>
      <x:c r="BC212"/>
      <x:c r="BD212"/>
      <x:c r="BE212"/>
      <x:c r="BF212"/>
      <x:c r="BG212"/>
      <x:c r="BH212"/>
      <x:c r="BI212"/>
      <x:c r="BJ212"/>
      <x:c r="BK212"/>
      <x:c r="BL212"/>
      <x:c r="BM212"/>
      <x:c r="BN212"/>
      <x:c r="BO212"/>
      <x:c r="BP212"/>
      <x:c r="BQ212"/>
      <x:c r="BR212"/>
      <x:c r="BS212"/>
      <x:c r="BT212"/>
      <x:c r="BU212"/>
      <x:c r="BV212"/>
      <x:c r="BW212"/>
      <x:c r="BX212"/>
      <x:c r="BY212"/>
      <x:c r="BZ212"/>
      <x:c r="CA212"/>
      <x:c r="CB212"/>
      <x:c r="CC212"/>
    </x:row>
    <x:row r="213" ht="115" customHeight="1">
      <x:c r="A213" s="9" t="str">
        <x:v>proposal.fire.flint</x:v>
      </x:c>
      <x:c r="B213" s="9" t="str">
        <x:v>Flint stone</x:v>
      </x:c>
      <x:c r="C213" s="4" t="str">
        <x:v>T0</x:v>
      </x:c>
      <x:c r="D213" s="9" t="str">
        <x:v>Mineral resources</x:v>
      </x:c>
      <x:c r="E213" s="9" t="str">
        <x:v>Special stone</x:v>
      </x:c>
      <x:c r="F213" s="9" t="str">
        <x:v>User direction; not implemented</x:v>
      </x:c>
      <x:c r="G213" s="9" t="inlineStr">
        <x:is>
          <x:t xml:space="preserve">Flint resource requested by author; candidate sparking and worked-edge uses. It is intended to start a controlled fire or hot-work process using its recorded mechanism; a suitable fuel and working conditions are still required.</x:t>
        </x:is>
      </x:c>
      <x:c r="H213" s="9" t="str">
        <x:v>Unassigned; no new slot approved</x:v>
      </x:c>
      <x:c r="I213" s="9" t="str">
        <x:v>Carrier / placement policy TBD</x:v>
      </x:c>
      <x:c r="J213" s="13"/>
      <x:c r="K213" s="15"/>
      <x:c r="L213" s="9" t="str">
        <x:v>Gathering, specialist craft or trade; exact acquisition TBD</x:v>
      </x:c>
      <x:c r="M213" s="9" t="str">
        <x:v>No cooking, ignition or oxygen-release recipe authored</x:v>
      </x:c>
      <x:c r="N213" s="9" t="str">
        <x:v>Not implemented</x:v>
      </x:c>
      <x:c r="O213" s="9" t="str">
        <x:v>No matched striker, tinder, guaranteed ignition or crafting recipe assigned. Atmospheric conditions still matter.</x:v>
      </x:c>
      <x:c r="P213" s="17"/>
      <x:c r="Q213" s="17"/>
      <x:c r="R213" s="17"/>
      <x:c r="S213" s="17"/>
      <x:c r="T213" s="17"/>
      <x:c r="U213" s="9" t="str">
        <x:v>Names are descriptive working labels. Fire-dependent uses are constrained by source atmosphere proposals; no oxygen/flame simulation, nutrition bonus or automatic detoxification.</x:v>
      </x:c>
      <x:c r="V213" s="11" t="str">
        <x:v>tool fabrication</x:v>
      </x:c>
      <x:c r="W213" s="9" t="str">
        <x:v>Direct author direction October 14, 2026</x:v>
      </x:c>
      <x:c r="X213" s="4" t="str">
        <x:v>Raw material</x:v>
      </x:c>
      <x:c r="Y213" s="4" t="str">
        <x:v>Raw</x:v>
      </x:c>
      <x:c r="Z213" s="4" t="str">
        <x:v>Geological</x:v>
      </x:c>
      <x:c r="AA213" s="4" t="str">
        <x:v>Ignition</x:v>
      </x:c>
      <x:c r="AB213" s="4" t="str">
        <x:v>Mineral</x:v>
      </x:c>
      <x:c r="AC213" s="4" t="str">
        <x:v>Rock</x:v>
      </x:c>
      <x:c r="AD213" s="4" t="str">
        <x:v>Author direction</x:v>
      </x:c>
      <x:c r="AE213" s="4" t="str">
        <x:f>LOWER(A213&amp;"; "&amp;B213&amp;"; "&amp;D213&amp;"; "&amp;E213&amp;"; "&amp;X213&amp;"; "&amp;Y213&amp;"; "&amp;Z213&amp;"; "&amp;AA213&amp;"; "&amp;AB213&amp;"; "&amp;AC213&amp;"; "&amp;AD213&amp;"; "&amp;V213&amp;"; "&amp;C213&amp;"; "&amp;AH213&amp;"; "&amp;AI213)</x:f>
        <x:v>proposal.fire.flint; flint stone; mineral resources; special stone; raw material; raw; geological; ignition; mineral; rock; author direction; tool fabrication; t0; not applicable; material</x:v>
      </x:c>
      <x:c r="AF213" s="4" t="str">
        <x:v>Author direction establishes stone families. Source mechanisms remain proposal-stage; specific equipment functions are proposals. Lore category review: Resources -&gt; Mineral resources. Classification only; original item status and tier retained.</x:v>
      </x:c>
      <x:c r="AG213" s="4" t="str">
        <x:v>Raw gathered/recovered craft input under the author T0 framework. This does not imply a naturally occurring pure metal.</x:v>
      </x:c>
      <x:c r="AH213" s="4" t="str">
        <x:v>Not applicable</x:v>
      </x:c>
      <x:c r="AI213" s="4" t="str">
        <x:v>Material</x:v>
      </x:c>
      <x:c r="AJ213" s="4" t="n">
        <x:f>COUNTIFS('Material routes'!$D$6:$D$2205,A213,'Material routes'!$C$6:$C$2205,"Output")</x:f>
        <x:v>0</x:v>
      </x:c>
      <x:c r="AK213" s="4" t="n">
        <x:f>SUM(COUNTIFS('Material routes'!$D$6:$D$2205,A213,'Material routes'!$C$6:$C$2205,"Ingredient candidate"),COUNTIFS('Material routes'!$D$6:$D$2205,A213,'Material routes'!$C$6:$C$2205,"Consumed input"),COUNTIFS('Material routes'!$D$6:$D$2205,A213,'Material routes'!$C$6:$C$2205,"Contained input"),COUNTIFS('Material routes'!$D$6:$D$2205,A213,'Material routes'!$C$6:$C$2205,"Transform input"))</x:f>
        <x:v>1</x:v>
      </x:c>
      <x:c r="AL213" s="4" t="n">
        <x:f>COUNTIFS('Material routes'!$D$6:$D$2205,A213,'Material routes'!$C$6:$C$2205,"Tool candidate")</x:f>
        <x:v>0</x:v>
      </x:c>
      <x:c r="AM213" s="4" t="str">
        <x:f>IF(AJ213&gt;0,"Route listed; review status/completeness",IF(C213="T0","Raw entry feed; no production route","No production route listed"))</x:f>
        <x:v>Raw entry feed; no production route</x:v>
      </x:c>
      <x:c r="AN213" s="14" t="n">
        <x:f>IF(C213="T0",0,IF(C213="T1",1,IF(C213="T2",2,IF(C213="T3",3,IF(C213="T4",4,IF(C213="Unassigned",98,99))))))</x:f>
        <x:v>0</x:v>
      </x:c>
      <x:c r="AZ213"/>
      <x:c r="BA213"/>
      <x:c r="BB213"/>
      <x:c r="BC213"/>
      <x:c r="BD213"/>
      <x:c r="BE213"/>
      <x:c r="BF213"/>
      <x:c r="BG213"/>
      <x:c r="BH213"/>
      <x:c r="BI213"/>
      <x:c r="BJ213"/>
      <x:c r="BK213"/>
      <x:c r="BL213"/>
      <x:c r="BM213"/>
      <x:c r="BN213"/>
      <x:c r="BO213"/>
      <x:c r="BP213"/>
      <x:c r="BQ213"/>
      <x:c r="BR213"/>
      <x:c r="BS213"/>
      <x:c r="BT213"/>
      <x:c r="BU213"/>
      <x:c r="BV213"/>
      <x:c r="BW213"/>
      <x:c r="BX213"/>
      <x:c r="BY213"/>
      <x:c r="BZ213"/>
      <x:c r="CA213"/>
      <x:c r="CB213"/>
      <x:c r="CC213"/>
    </x:row>
    <x:row r="214" ht="115" customHeight="1">
      <x:c r="A214" s="9" t="str">
        <x:v>proposal.fire.striker</x:v>
      </x:c>
      <x:c r="B214" s="9" t="str">
        <x:v>Flint striking tool</x:v>
      </x:c>
      <x:c r="C214" s="4" t="str">
        <x:v>Not applicable</x:v>
      </x:c>
      <x:c r="D214" s="9" t="inlineStr">
        <x:is>
          <x:t xml:space="preserve">Salvage</x:t>
        </x:is>
      </x:c>
      <x:c r="E214" s="9" t="inlineStr">
        <x:is>
          <x:t xml:space="preserve">Cooking &amp; ignition</x:t>
        </x:is>
      </x:c>
      <x:c r="F214" s="9" t="str">
        <x:v>New proposal</x:v>
      </x:c>
      <x:c r="G214" s="9" t="inlineStr">
        <x:is>
          <x:t xml:space="preserve">Worked striking implement candidate used with compatible flint. It is intended to start a controlled fire or hot-work process using its recorded mechanism; a suitable fuel and working conditions are still required.</x:t>
        </x:is>
      </x:c>
      <x:c r="H214" s="9" t="str">
        <x:v>Unassigned; no new slot approved</x:v>
      </x:c>
      <x:c r="I214" s="9" t="str">
        <x:v>Carrier / placement policy TBD</x:v>
      </x:c>
      <x:c r="J214" s="13"/>
      <x:c r="K214" s="15"/>
      <x:c r="L214" s="9" t="str">
        <x:v>Gathering, specialist craft or trade; exact acquisition TBD</x:v>
      </x:c>
      <x:c r="M214" s="9" t="str">
        <x:v>No cooking, ignition or oxygen-release recipe authored</x:v>
      </x:c>
      <x:c r="N214" s="9" t="str">
        <x:v>Not implemented</x:v>
      </x:c>
      <x:c r="O214" s="9" t="str">
        <x:v>Striking-face composition and fuel/tinder pairing TBD; a spark does not guarantee a sustained cooking fire.</x:v>
      </x:c>
      <x:c r="P214" s="17"/>
      <x:c r="Q214" s="17"/>
      <x:c r="R214" s="17"/>
      <x:c r="S214" s="17"/>
      <x:c r="T214" s="17"/>
      <x:c r="U214" s="9" t="str">
        <x:v>Names are descriptive working labels. Fire-dependent uses are constrained by source atmosphere proposals; no oxygen/flame simulation, nutrition bonus or automatic detoxification.</x:v>
      </x:c>
      <x:c r="V214" s="11" t="inlineStr">
        <x:is>
          <x:t xml:space="preserve">Ignition tool; camp goods; Cooking &amp; ignition</x:t>
        </x:is>
      </x:c>
      <x:c r="W214" s="9" t="str">
        <x:v>New game proposal from author flint direction</x:v>
      </x:c>
      <x:c r="X214" s="4" t="str">
        <x:v>Tool</x:v>
      </x:c>
      <x:c r="Y214" s="4" t="str">
        <x:v>Finished item</x:v>
      </x:c>
      <x:c r="Z214" s="4" t="str">
        <x:v>Manufactured / unresolved</x:v>
      </x:c>
      <x:c r="AA214" s="4" t="str">
        <x:v>Ignition</x:v>
      </x:c>
      <x:c r="AB214" s="4" t="str">
        <x:v>Metal or shell</x:v>
      </x:c>
      <x:c r="AC214" s="4" t="str">
        <x:v>Assembly</x:v>
      </x:c>
      <x:c r="AD214" s="4" t="str">
        <x:v>Proposal</x:v>
      </x:c>
      <x:c r="AE214" s="4" t="str">
        <x:f>LOWER(A214&amp;"; "&amp;B214&amp;"; "&amp;D214&amp;"; "&amp;E214&amp;"; "&amp;X214&amp;"; "&amp;Y214&amp;"; "&amp;Z214&amp;"; "&amp;AA214&amp;"; "&amp;AB214&amp;"; "&amp;AC214&amp;"; "&amp;AD214&amp;"; "&amp;V214&amp;"; "&amp;C214&amp;"; "&amp;AH214&amp;"; "&amp;AI214)</x:f>
        <x:v>proposal.fire.striker; flint striking tool; salvage; cooking &amp; ignition; tool; finished item; manufactured / unresolved; ignition; metal or shell; assembly; proposal; ignition tool; camp goods; cooking &amp; ignition; not applicable; t2; finished item</x:v>
      </x:c>
      <x:c r="AF214"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Ignition tool. Author direction October 16: all Camp items are Salvage; retire the Camp items section. Item identity, condition, tiers, purposes and recipe semantics remain unchanged.</x:t>
        </x:is>
      </x:c>
      <x:c r="AG214" s="4" t="str">
        <x:v>Finished endpoint; material tier is not applicable. Input tiers belong to the chosen recipe.</x:v>
      </x:c>
      <x:c r="AH214" s="4" t="str">
        <x:v>T2</x:v>
      </x:c>
      <x:c r="AI214" s="4" t="str">
        <x:v>Finished item</x:v>
      </x:c>
      <x:c r="AJ214" s="4" t="n">
        <x:f>COUNTIFS('Material routes'!$D$6:$D$2205,A214,'Material routes'!$C$6:$C$2205,"Output")</x:f>
        <x:v>1</x:v>
      </x:c>
      <x:c r="AK214" s="4" t="n">
        <x:f>SUM(COUNTIFS('Material routes'!$D$6:$D$2205,A214,'Material routes'!$C$6:$C$2205,"Ingredient candidate"),COUNTIFS('Material routes'!$D$6:$D$2205,A214,'Material routes'!$C$6:$C$2205,"Consumed input"),COUNTIFS('Material routes'!$D$6:$D$2205,A214,'Material routes'!$C$6:$C$2205,"Contained input"),COUNTIFS('Material routes'!$D$6:$D$2205,A214,'Material routes'!$C$6:$C$2205,"Transform input"))</x:f>
        <x:v>0</x:v>
      </x:c>
      <x:c r="AL214" s="4" t="n">
        <x:f>COUNTIFS('Material routes'!$D$6:$D$2205,A214,'Material routes'!$C$6:$C$2205,"Tool candidate")</x:f>
        <x:v>0</x:v>
      </x:c>
      <x:c r="AM214" s="4" t="str">
        <x:f>IF(AJ214&gt;0,"Route listed; review status/completeness",IF(C214="T0","Raw entry feed; no production route","No production route listed"))</x:f>
        <x:v>Route listed; review status/completeness</x:v>
      </x:c>
      <x:c r="AN214" s="14" t="n">
        <x:f>IF(C214="T0",0,IF(C214="T1",1,IF(C214="T2",2,IF(C214="T3",3,IF(C214="T4",4,IF(C214="Unassigned",98,99))))))</x:f>
        <x:v>99</x:v>
      </x:c>
      <x:c r="AZ214"/>
      <x:c r="BA214"/>
      <x:c r="BB214"/>
      <x:c r="BC214"/>
      <x:c r="BD214"/>
      <x:c r="BE214"/>
      <x:c r="BF214"/>
      <x:c r="BG214"/>
      <x:c r="BH214"/>
      <x:c r="BI214"/>
      <x:c r="BJ214"/>
      <x:c r="BK214"/>
      <x:c r="BL214"/>
      <x:c r="BM214"/>
      <x:c r="BN214"/>
      <x:c r="BO214"/>
      <x:c r="BP214"/>
      <x:c r="BQ214"/>
      <x:c r="BR214"/>
      <x:c r="BS214"/>
      <x:c r="BT214"/>
      <x:c r="BU214"/>
      <x:c r="BV214"/>
      <x:c r="BW214"/>
      <x:c r="BX214"/>
      <x:c r="BY214"/>
      <x:c r="BZ214"/>
      <x:c r="CA214"/>
      <x:c r="CB214"/>
      <x:c r="CC214"/>
    </x:row>
    <x:row r="215" ht="170" customHeight="1">
      <x:c r="A215" s="9" t="str">
        <x:v>proposal.fire.chitin_char</x:v>
      </x:c>
      <x:c r="B215" s="9" t="str">
        <x:v>Chitin-char</x:v>
      </x:c>
      <x:c r="C215" s="4" t="str">
        <x:v>T1</x:v>
      </x:c>
      <x:c r="D215" s="9" t="str">
        <x:v>Manufactured stock</x:v>
      </x:c>
      <x:c r="E215" s="9" t="str">
        <x:v>Fire fuel</x:v>
      </x:c>
      <x:c r="F215" s="9" t="str">
        <x:v>Source proposal; not implemented</x:v>
      </x:c>
      <x:c r="G215" s="9" t="inlineStr">
        <x:is>
          <x:t xml:space="preserve">Carbonized chitin material described in the chitin source record. It is proposed as a material energy input for controlled hot work. The receiving process must establish ignition, handling and a suitable working atmosphere.</x:t>
        </x:is>
      </x:c>
      <x:c r="H215" s="9" t="str">
        <x:v>Unassigned; no new slot approved</x:v>
      </x:c>
      <x:c r="I215" s="9" t="str">
        <x:v>Carrier / placement policy TBD</x:v>
      </x:c>
      <x:c r="J215" s="13"/>
      <x:c r="K215" s="15"/>
      <x:c r="L215" s="9" t="str">
        <x:v>Gathering, specialist craft or trade; exact acquisition TBD</x:v>
      </x:c>
      <x:c r="M215" s="9" t="str">
        <x:v>No cooking, ignition or oxygen-release recipe authored</x:v>
      </x:c>
      <x:c r="N215" s="9" t="str">
        <x:v>Not implemented</x:v>
      </x:c>
      <x:c r="O215" s="9" t="str">
        <x:v>Exact preparation and fuel performance unapproved. Existing generic Charcoal is retained; decide whether these become a material variant or separate resources before implementation.</x:v>
      </x:c>
      <x:c r="P215" s="17"/>
      <x:c r="Q215" s="17"/>
      <x:c r="R215" s="17"/>
      <x:c r="S215" s="17"/>
      <x:c r="T215" s="17"/>
      <x:c r="U215" s="9" t="str">
        <x:v>Names are descriptive working labels. Fire-dependent uses are constrained by source atmosphere proposals; no oxygen/flame simulation, nutrition bonus or automatic detoxification.</x:v>
      </x:c>
      <x:c r="V215" s="11"/>
      <x:c r="W215" s="9" t="str">
        <x:v>https://github.com/sleepyseamonster/Arc-Dust/blob/f6f98515c005dc3c73cccd9cbc031691745740c6/02-Arc-Dust-Worldbuilding/world/materials/chitin.md</x:v>
      </x:c>
      <x:c r="X215" s="4" t="str">
        <x:v>Processed material</x:v>
      </x:c>
      <x:c r="Y215" s="4" t="str">
        <x:v>Processed intermediate</x:v>
      </x:c>
      <x:c r="Z215" s="4" t="str">
        <x:v>Fauna</x:v>
      </x:c>
      <x:c r="AA215" s="4" t="str">
        <x:v>Fuel</x:v>
      </x:c>
      <x:c r="AB215" s="4" t="str">
        <x:v>Carbonaceous material</x:v>
      </x:c>
      <x:c r="AC215" s="4" t="str">
        <x:v>Solid piece</x:v>
      </x:c>
      <x:c r="AD215" s="4" t="str">
        <x:v>Source proposal</x:v>
      </x:c>
      <x:c r="AE215" s="4" t="str">
        <x:f>LOWER(A215&amp;"; "&amp;B215&amp;"; "&amp;D215&amp;"; "&amp;E215&amp;"; "&amp;X215&amp;"; "&amp;Y215&amp;"; "&amp;Z215&amp;"; "&amp;AA215&amp;"; "&amp;AB215&amp;"; "&amp;AC215&amp;"; "&amp;AD215&amp;"; "&amp;V215&amp;"; "&amp;C215&amp;"; "&amp;AH215&amp;"; "&amp;AI215)</x:f>
        <x:v>proposal.fire.chitin_char; chitin-char; manufactured stock; fire fuel; processed material; processed intermediate; fauna; fuel; carbonaceous material; solid piece; source proposal; ; t1; not applicable; material</x:v>
      </x:c>
      <x:c r="AF215" s="4" t="str">
        <x:v>Author direction establishes stone families. Source mechanisms remain proposal-stage; specific equipment functions are proposals. Lore category review: Resources -&gt; Manufactured stock. Classification only; original item status and tier retained.</x:v>
      </x:c>
      <x:c r="AG215" s="4" t="str">
        <x:v>October 15 proposed tier review: First controlled thermal conversion of selected chitin-bearing husk feed. Candidate route only: quantities, yield, tools, fit, process conditions and service compatibility remain open. Thermal process, atmosphere, fuel properties and yield remain unqualified.</x:v>
      </x:c>
      <x:c r="AH215" s="4" t="str">
        <x:v>Not applicable</x:v>
      </x:c>
      <x:c r="AI215" s="4" t="str">
        <x:v>Material</x:v>
      </x:c>
      <x:c r="AJ215" s="4" t="n">
        <x:f>COUNTIFS('Material routes'!$D$6:$D$2205,A215,'Material routes'!$C$6:$C$2205,"Output")</x:f>
        <x:v>1</x:v>
      </x:c>
      <x:c r="AK215" s="4" t="n">
        <x:f>SUM(COUNTIFS('Material routes'!$D$6:$D$2205,A215,'Material routes'!$C$6:$C$2205,"Ingredient candidate"),COUNTIFS('Material routes'!$D$6:$D$2205,A215,'Material routes'!$C$6:$C$2205,"Consumed input"),COUNTIFS('Material routes'!$D$6:$D$2205,A215,'Material routes'!$C$6:$C$2205,"Contained input"),COUNTIFS('Material routes'!$D$6:$D$2205,A215,'Material routes'!$C$6:$C$2205,"Transform input"))</x:f>
        <x:v>0</x:v>
      </x:c>
      <x:c r="AL215" s="4" t="n">
        <x:f>COUNTIFS('Material routes'!$D$6:$D$2205,A215,'Material routes'!$C$6:$C$2205,"Tool candidate")</x:f>
        <x:v>0</x:v>
      </x:c>
      <x:c r="AM215" s="4" t="str">
        <x:f>IF(AJ215&gt;0,"Route listed; review status/completeness",IF(C215="T0","Raw entry feed; no production route","No production route listed"))</x:f>
        <x:v>Route listed; review status/completeness</x:v>
      </x:c>
      <x:c r="AN215" s="14" t="n">
        <x:f>IF(C215="T0",0,IF(C215="T1",1,IF(C215="T2",2,IF(C215="T3",3,IF(C215="T4",4,IF(C215="Unassigned",98,99))))))</x:f>
        <x:v>1</x:v>
      </x:c>
      <x:c r="AZ215"/>
      <x:c r="BA215"/>
      <x:c r="BB215"/>
      <x:c r="BC215"/>
      <x:c r="BD215"/>
      <x:c r="BE215"/>
      <x:c r="BF215"/>
      <x:c r="BG215"/>
      <x:c r="BH215"/>
      <x:c r="BI215"/>
      <x:c r="BJ215"/>
      <x:c r="BK215"/>
      <x:c r="BL215"/>
      <x:c r="BM215"/>
      <x:c r="BN215"/>
      <x:c r="BO215"/>
      <x:c r="BP215"/>
      <x:c r="BQ215"/>
      <x:c r="BR215"/>
      <x:c r="BS215"/>
      <x:c r="BT215"/>
      <x:c r="BU215"/>
      <x:c r="BV215"/>
      <x:c r="BW215"/>
      <x:c r="BX215"/>
      <x:c r="BY215"/>
      <x:c r="BZ215"/>
      <x:c r="CA215"/>
      <x:c r="CB215"/>
      <x:c r="CC215"/>
    </x:row>
    <x:row r="216" ht="115" customHeight="1">
      <x:c r="A216" s="9" t="str">
        <x:v>proposal.fire.cooking_pot</x:v>
      </x:c>
      <x:c r="B216" s="9" t="str">
        <x:v>Ceramic cooking pot</x:v>
      </x:c>
      <x:c r="C216" s="4" t="str">
        <x:v>Not applicable</x:v>
      </x:c>
      <x:c r="D216" s="9" t="inlineStr">
        <x:is>
          <x:t xml:space="preserve">Salvage</x:t>
        </x:is>
      </x:c>
      <x:c r="E216" s="9" t="inlineStr">
        <x:is>
          <x:t xml:space="preserve">Cooking &amp; ignition</x:t>
        </x:is>
      </x:c>
      <x:c r="F216" s="9" t="str">
        <x:v>New proposal</x:v>
      </x:c>
      <x:c r="G216" s="9" t="inlineStr">
        <x:is>
          <x:t xml:space="preserve">Purpose-made ceramic vessel candidate for heating a contained food portion. It is intended to support controlled preparation or heating of food, with the heat source, vessel and safe ingredients established separately.</x:t>
        </x:is>
      </x:c>
      <x:c r="H216" s="9" t="str">
        <x:v>Unassigned; no new slot approved</x:v>
      </x:c>
      <x:c r="I216" s="9" t="str">
        <x:v>Carrier / placement policy TBD</x:v>
      </x:c>
      <x:c r="J216" s="13"/>
      <x:c r="K216" s="15"/>
      <x:c r="L216" s="9" t="str">
        <x:v>Gathering, specialist craft or trade; exact acquisition TBD</x:v>
      </x:c>
      <x:c r="M216" s="9" t="str">
        <x:v>No cooking, ignition or oxygen-release recipe authored</x:v>
      </x:c>
      <x:c r="N216" s="9" t="str">
        <x:v>Not implemented</x:v>
      </x:c>
      <x:c r="O216" s="9" t="str">
        <x:v>Food-contact suitability, supported contents, heat grade and process TBD. Distinct from cold serving bowl, storage crock and chemical-service jar.</x:v>
      </x:c>
      <x:c r="P216" s="17"/>
      <x:c r="Q216" s="17"/>
      <x:c r="R216" s="17"/>
      <x:c r="S216" s="17"/>
      <x:c r="T216" s="17"/>
      <x:c r="U216" s="9" t="str">
        <x:v>Names are descriptive working labels. Fire-dependent uses are constrained by source atmosphere proposals; no oxygen/flame simulation, nutrition bonus or automatic detoxification.</x:v>
      </x:c>
      <x:c r="V216" s="11" t="inlineStr">
        <x:is>
          <x:t xml:space="preserve">Cooking vessel; camp goods; Cooking &amp; ignition</x:t>
        </x:is>
      </x:c>
      <x:c r="W216" s="9" t="str">
        <x:v>https://github.com/sleepyseamonster/Arc-Dust/blob/f6f98515c005dc3c73cccd9cbc031691745740c6/02-Arc-Dust-Worldbuilding/world/geography/atmosphere.md</x:v>
      </x:c>
      <x:c r="X216" s="4" t="str">
        <x:v>Tool</x:v>
      </x:c>
      <x:c r="Y216" s="4" t="str">
        <x:v>Finished item</x:v>
      </x:c>
      <x:c r="Z216" s="4" t="str">
        <x:v>Manufactured / unresolved</x:v>
      </x:c>
      <x:c r="AA216" s="4" t="str">
        <x:v>Cooking</x:v>
      </x:c>
      <x:c r="AB216" s="4" t="str">
        <x:v>Ceramic</x:v>
      </x:c>
      <x:c r="AC216" s="4" t="str">
        <x:v>Solid part</x:v>
      </x:c>
      <x:c r="AD216" s="4" t="str">
        <x:v>Proposal</x:v>
      </x:c>
      <x:c r="AE216" s="4" t="str">
        <x:f>LOWER(A216&amp;"; "&amp;B216&amp;"; "&amp;D216&amp;"; "&amp;E216&amp;"; "&amp;X216&amp;"; "&amp;Y216&amp;"; "&amp;Z216&amp;"; "&amp;AA216&amp;"; "&amp;AB216&amp;"; "&amp;AC216&amp;"; "&amp;AD216&amp;"; "&amp;V216&amp;"; "&amp;C216&amp;"; "&amp;AH216&amp;"; "&amp;AI216)</x:f>
        <x:v>proposal.fire.cooking_pot; ceramic cooking pot; salvage; cooking &amp; ignition; tool; finished item; manufactured / unresolved; cooking; ceramic; solid part; proposal; cooking vessel; camp goods; cooking &amp; ignition; not applicable; t1; finished item</x:v>
      </x:c>
      <x:c r="AF216"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vessel. Author direction October 16: all Camp items are Salvage; retire the Camp items section. Item identity, condition, tiers, purposes and recipe semantics remain unchanged.</x:t>
        </x:is>
      </x:c>
      <x:c r="AG216" s="4" t="str">
        <x:v>Finished endpoint; material tier is not applicable. Input tiers belong to the chosen recipe.</x:v>
      </x:c>
      <x:c r="AH216" s="4" t="str">
        <x:v>T1</x:v>
      </x:c>
      <x:c r="AI216" s="4" t="str">
        <x:v>Finished item</x:v>
      </x:c>
      <x:c r="AJ216" s="4" t="n">
        <x:f>COUNTIFS('Material routes'!$D$6:$D$2205,A216,'Material routes'!$C$6:$C$2205,"Output")</x:f>
        <x:v>1</x:v>
      </x:c>
      <x:c r="AK216" s="4" t="n">
        <x:f>SUM(COUNTIFS('Material routes'!$D$6:$D$2205,A216,'Material routes'!$C$6:$C$2205,"Ingredient candidate"),COUNTIFS('Material routes'!$D$6:$D$2205,A216,'Material routes'!$C$6:$C$2205,"Consumed input"),COUNTIFS('Material routes'!$D$6:$D$2205,A216,'Material routes'!$C$6:$C$2205,"Contained input"),COUNTIFS('Material routes'!$D$6:$D$2205,A216,'Material routes'!$C$6:$C$2205,"Transform input"))</x:f>
        <x:v>0</x:v>
      </x:c>
      <x:c r="AL216" s="4" t="n">
        <x:f>COUNTIFS('Material routes'!$D$6:$D$2205,A216,'Material routes'!$C$6:$C$2205,"Tool candidate")</x:f>
        <x:v>0</x:v>
      </x:c>
      <x:c r="AM216" s="4" t="str">
        <x:f>IF(AJ216&gt;0,"Route listed; review status/completeness",IF(C216="T0","Raw entry feed; no production route","No production route listed"))</x:f>
        <x:v>Route listed; review status/completeness</x:v>
      </x:c>
      <x:c r="AN216" s="14" t="n">
        <x:f>IF(C216="T0",0,IF(C216="T1",1,IF(C216="T2",2,IF(C216="T3",3,IF(C216="T4",4,IF(C216="Unassigned",98,99))))))</x:f>
        <x:v>99</x:v>
      </x:c>
      <x:c r="AZ216"/>
      <x:c r="BA216"/>
      <x:c r="BB216"/>
      <x:c r="BC216"/>
      <x:c r="BD216"/>
      <x:c r="BE216"/>
      <x:c r="BF216"/>
      <x:c r="BG216"/>
      <x:c r="BH216"/>
      <x:c r="BI216"/>
      <x:c r="BJ216"/>
      <x:c r="BK216"/>
      <x:c r="BL216"/>
      <x:c r="BM216"/>
      <x:c r="BN216"/>
      <x:c r="BO216"/>
      <x:c r="BP216"/>
      <x:c r="BQ216"/>
      <x:c r="BR216"/>
      <x:c r="BS216"/>
      <x:c r="BT216"/>
      <x:c r="BU216"/>
      <x:c r="BV216"/>
      <x:c r="BW216"/>
      <x:c r="BX216"/>
      <x:c r="BY216"/>
      <x:c r="BZ216"/>
      <x:c r="CA216"/>
      <x:c r="CB216"/>
      <x:c r="CC216"/>
    </x:row>
    <x:row r="217" ht="115" customHeight="1">
      <x:c r="A217" s="9"/>
      <x:c r="B217" s="9"/>
      <x:c r="C217" s="4"/>
      <x:c r="D217" s="9"/>
      <x:c r="E217" s="9"/>
      <x:c r="F217" s="9"/>
      <x:c r="G217" s="9"/>
      <x:c r="H217" s="9"/>
      <x:c r="I217" s="9"/>
      <x:c r="J217" s="13"/>
      <x:c r="M217" s="9"/>
      <x:c r="N217" s="9"/>
      <x:c r="O217" s="9"/>
      <x:c r="P217" s="17"/>
      <x:c r="V217" s="11"/>
      <x:c r="X217" s="4"/>
      <x:c r="Y217" s="4"/>
      <x:c r="Z217" s="4"/>
      <x:c r="AA217" s="4"/>
      <x:c r="AB217" s="4"/>
      <x:c r="AC217" s="4"/>
      <x:c r="AD217" s="4"/>
      <x:c r="AE217" s="4"/>
      <x:c r="AF217" s="4"/>
      <x:c r="AG217" s="4"/>
      <x:c r="AH217" s="4"/>
      <x:c r="AI217" s="4"/>
      <x:c r="AJ217" s="4"/>
      <x:c r="AK217" s="4"/>
      <x:c r="AL217" s="4"/>
      <x:c r="AM217" s="4"/>
      <x:c r="AN217" s="14"/>
      <x:c r="AZ217"/>
      <x:c r="BA217"/>
      <x:c r="BB217"/>
      <x:c r="BC217"/>
      <x:c r="BD217"/>
      <x:c r="BE217"/>
      <x:c r="BF217"/>
      <x:c r="BG217"/>
      <x:c r="BH217"/>
      <x:c r="BI217"/>
      <x:c r="BJ217"/>
      <x:c r="BK217"/>
      <x:c r="BL217"/>
      <x:c r="BM217"/>
      <x:c r="BN217"/>
      <x:c r="BO217"/>
      <x:c r="BP217"/>
      <x:c r="BQ217"/>
      <x:c r="BR217"/>
      <x:c r="BS217"/>
      <x:c r="BT217"/>
      <x:c r="BU217"/>
      <x:c r="BV217"/>
      <x:c r="BW217"/>
      <x:c r="BX217"/>
      <x:c r="BY217"/>
      <x:c r="BZ217"/>
      <x:c r="CA217"/>
      <x:c r="CB217"/>
      <x:c r="CC217"/>
    </x:row>
    <x:row r="218" ht="115" customHeight="1">
      <x:c r="A218" s="9" t="str">
        <x:v>proposal.fire.lidded_pan</x:v>
      </x:c>
      <x:c r="B218" s="9" t="str">
        <x:v>Lidded cooking pan</x:v>
      </x:c>
      <x:c r="C218" s="4" t="str">
        <x:v>Not applicable</x:v>
      </x:c>
      <x:c r="D218" s="9" t="inlineStr">
        <x:is>
          <x:t xml:space="preserve">Salvage</x:t>
        </x:is>
      </x:c>
      <x:c r="E218" s="9" t="inlineStr">
        <x:is>
          <x:t xml:space="preserve">Cooking &amp; ignition</x:t>
        </x:is>
      </x:c>
      <x:c r="F218" s="9" t="str">
        <x:v>New proposal</x:v>
      </x:c>
      <x:c r="G218" s="9" t="inlineStr">
        <x:is>
          <x:t xml:space="preserve">Metal cooking pan with matched cover for controlled heating. It is intended to support controlled preparation or heating of food, with the heat source, vessel and safe ingredients established separately.</x:t>
        </x:is>
      </x:c>
      <x:c r="H218" s="9" t="str">
        <x:v>Unassigned; no new slot approved</x:v>
      </x:c>
      <x:c r="I218" s="9" t="str">
        <x:v>Carrier / placement policy TBD</x:v>
      </x:c>
      <x:c r="J218" s="13"/>
      <x:c r="K218" s="15"/>
      <x:c r="L218" s="9" t="str">
        <x:v>Gathering, specialist craft or trade; exact acquisition TBD</x:v>
      </x:c>
      <x:c r="M218" s="9" t="str">
        <x:v>No cooking, ignition or oxygen-release recipe authored</x:v>
      </x:c>
      <x:c r="N218" s="9" t="str">
        <x:v>Not implemented</x:v>
      </x:c>
      <x:c r="O218" s="9" t="str">
        <x:v>Lid is part of the item family; heat requirements and food process unresolved. No water-boiling recipe assumed.</x:v>
      </x:c>
      <x:c r="P218" s="17"/>
      <x:c r="Q218" s="17"/>
      <x:c r="R218" s="17"/>
      <x:c r="S218" s="17"/>
      <x:c r="T218" s="17"/>
      <x:c r="U218" s="9" t="str">
        <x:v>Names are descriptive working labels. Fire-dependent uses are constrained by source atmosphere proposals; no oxygen/flame simulation, nutrition bonus or automatic detoxification.</x:v>
      </x:c>
      <x:c r="V218" s="11" t="inlineStr">
        <x:is>
          <x:t xml:space="preserve">Cooking vessel; camp goods; Cooking &amp; ignition</x:t>
        </x:is>
      </x:c>
      <x:c r="W218" s="9" t="str">
        <x:v>https://github.com/sleepyseamonster/Arc-Dust/blob/f6f98515c005dc3c73cccd9cbc031691745740c6/02-Arc-Dust-Worldbuilding/world/geography/atmosphere.md</x:v>
      </x:c>
      <x:c r="X218" s="4" t="str">
        <x:v>Tool</x:v>
      </x:c>
      <x:c r="Y218" s="4" t="str">
        <x:v>Finished item</x:v>
      </x:c>
      <x:c r="Z218" s="4" t="str">
        <x:v>Manufactured / unresolved</x:v>
      </x:c>
      <x:c r="AA218" s="4" t="str">
        <x:v>Cooking</x:v>
      </x:c>
      <x:c r="AB218" s="4" t="str">
        <x:v>Metal</x:v>
      </x:c>
      <x:c r="AC218" s="4" t="str">
        <x:v>Assembly</x:v>
      </x:c>
      <x:c r="AD218" s="4" t="str">
        <x:v>Proposal</x:v>
      </x:c>
      <x:c r="AE218" s="4" t="str">
        <x:f>LOWER(A218&amp;"; "&amp;B218&amp;"; "&amp;D218&amp;"; "&amp;E218&amp;"; "&amp;X218&amp;"; "&amp;Y218&amp;"; "&amp;Z218&amp;"; "&amp;AA218&amp;"; "&amp;AB218&amp;"; "&amp;AC218&amp;"; "&amp;AD218&amp;"; "&amp;V218&amp;"; "&amp;C218&amp;"; "&amp;AH218&amp;"; "&amp;AI218)</x:f>
        <x:v>proposal.fire.lidded_pan; lidded cooking pan; salvage; cooking &amp; ignition; tool; finished item; manufactured / unresolved; cooking; metal; assembly; proposal; cooking vessel; camp goods; cooking &amp; ignition; not applicable; t3; finished item</x:v>
      </x:c>
      <x:c r="AF218"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Cooking vessel. Author direction October 16: all Camp items are Salvage; retire the Camp items section. Item identity, condition, tiers, purposes and recipe semantics remain unchanged.</x:t>
        </x:is>
      </x:c>
      <x:c r="AG218" s="4" t="str">
        <x:v>Finished endpoint; material tier is not applicable. Input tiers belong to the chosen recipe.</x:v>
      </x:c>
      <x:c r="AH218" s="4" t="str">
        <x:v>T3</x:v>
      </x:c>
      <x:c r="AI218" s="4" t="str">
        <x:v>Finished item</x:v>
      </x:c>
      <x:c r="AJ218" s="4" t="n">
        <x:f>COUNTIFS('Material routes'!$D$6:$D$2205,A218,'Material routes'!$C$6:$C$2205,"Output")</x:f>
        <x:v>1</x:v>
      </x:c>
      <x:c r="AK218" s="4" t="n">
        <x:f>SUM(COUNTIFS('Material routes'!$D$6:$D$2205,A218,'Material routes'!$C$6:$C$2205,"Ingredient candidate"),COUNTIFS('Material routes'!$D$6:$D$2205,A218,'Material routes'!$C$6:$C$2205,"Consumed input"),COUNTIFS('Material routes'!$D$6:$D$2205,A218,'Material routes'!$C$6:$C$2205,"Contained input"),COUNTIFS('Material routes'!$D$6:$D$2205,A218,'Material routes'!$C$6:$C$2205,"Transform input"))</x:f>
        <x:v>0</x:v>
      </x:c>
      <x:c r="AL218" s="4" t="n">
        <x:f>COUNTIFS('Material routes'!$D$6:$D$2205,A218,'Material routes'!$C$6:$C$2205,"Tool candidate")</x:f>
        <x:v>0</x:v>
      </x:c>
      <x:c r="AM218" s="4" t="str">
        <x:f>IF(AJ218&gt;0,"Route listed; review status/completeness",IF(C218="T0","Raw entry feed; no production route","No production route listed"))</x:f>
        <x:v>Route listed; review status/completeness</x:v>
      </x:c>
      <x:c r="AN218" s="14" t="n">
        <x:f>IF(C218="T0",0,IF(C218="T1",1,IF(C218="T2",2,IF(C218="T3",3,IF(C218="T4",4,IF(C218="Unassigned",98,99))))))</x:f>
        <x:v>99</x:v>
      </x:c>
      <x:c r="AZ218"/>
      <x:c r="BA218"/>
      <x:c r="BB218"/>
      <x:c r="BC218"/>
      <x:c r="BD218"/>
      <x:c r="BE218"/>
      <x:c r="BF218"/>
      <x:c r="BG218"/>
      <x:c r="BH218"/>
      <x:c r="BI218"/>
      <x:c r="BJ218"/>
      <x:c r="BK218"/>
      <x:c r="BL218"/>
      <x:c r="BM218"/>
      <x:c r="BN218"/>
      <x:c r="BO218"/>
      <x:c r="BP218"/>
      <x:c r="BQ218"/>
      <x:c r="BR218"/>
      <x:c r="BS218"/>
      <x:c r="BT218"/>
      <x:c r="BU218"/>
      <x:c r="BV218"/>
      <x:c r="BW218"/>
      <x:c r="BX218"/>
      <x:c r="BY218"/>
      <x:c r="BZ218"/>
      <x:c r="CA218"/>
      <x:c r="CB218"/>
      <x:c r="CC218"/>
    </x:row>
    <x:row r="219" ht="115" customHeight="1">
      <x:c r="A219" s="9" t="str">
        <x:v>proposal.fire.rack</x:v>
      </x:c>
      <x:c r="B219" s="9" t="str">
        <x:v>Cooking rack</x:v>
      </x:c>
      <x:c r="C219" s="4" t="str">
        <x:v>Not applicable</x:v>
      </x:c>
      <x:c r="D219" s="9" t="inlineStr">
        <x:is>
          <x:t xml:space="preserve">Salvage</x:t>
        </x:is>
      </x:c>
      <x:c r="E219" s="9" t="inlineStr">
        <x:is>
          <x:t xml:space="preserve">Cooking &amp; ignition</x:t>
        </x:is>
      </x:c>
      <x:c r="F219" s="9" t="str">
        <x:v>New proposal</x:v>
      </x:c>
      <x:c r="G219" s="9" t="inlineStr">
        <x:is>
          <x:t xml:space="preserve">Open rack for a specifically supported food-heating method. It is intended to support controlled preparation or heating of food, with the heat source, vessel and safe ingredients established separately.</x:t>
        </x:is>
      </x:c>
      <x:c r="H219" s="9" t="str">
        <x:v>Unassigned; no new slot approved</x:v>
      </x:c>
      <x:c r="I219" s="9" t="str">
        <x:v>Carrier / placement policy TBD</x:v>
      </x:c>
      <x:c r="J219" s="13"/>
      <x:c r="K219" s="15"/>
      <x:c r="L219" s="9" t="str">
        <x:v>Gathering, specialist craft or trade; exact acquisition TBD</x:v>
      </x:c>
      <x:c r="M219" s="9" t="str">
        <x:v>No cooking, ignition or oxygen-release recipe authored</x:v>
      </x:c>
      <x:c r="N219" s="9" t="str">
        <x:v>Not implemented</x:v>
      </x:c>
      <x:c r="O219" s="9" t="str">
        <x:v>Compatible food and heat source TBD; cooking does not automatically detoxify fauna.</x:v>
      </x:c>
      <x:c r="P219" s="17"/>
      <x:c r="Q219" s="17"/>
      <x:c r="R219" s="17"/>
      <x:c r="S219" s="17"/>
      <x:c r="T219" s="17"/>
      <x:c r="U219" s="9" t="str">
        <x:v>Names are descriptive working labels. Fire-dependent uses are constrained by source atmosphere proposals; no oxygen/flame simulation, nutrition bonus or automatic detoxification.</x:v>
      </x:c>
      <x:c r="V219" s="11" t="inlineStr">
        <x:is>
          <x:t xml:space="preserve">Cooking tool; camp goods; Cooking &amp; ignition</x:t>
        </x:is>
      </x:c>
      <x:c r="W219" s="9" t="str">
        <x:v>https://github.com/sleepyseamonster/Arc-Dust/blob/f6f98515c005dc3c73cccd9cbc031691745740c6/02-Arc-Dust-Worldbuilding/world/geography/atmosphere.md</x:v>
      </x:c>
      <x:c r="X219" s="4" t="str">
        <x:v>Tool</x:v>
      </x:c>
      <x:c r="Y219" s="4" t="str">
        <x:v>Finished item</x:v>
      </x:c>
      <x:c r="Z219" s="4" t="str">
        <x:v>Manufactured / unresolved</x:v>
      </x:c>
      <x:c r="AA219" s="4" t="str">
        <x:v>Cooking</x:v>
      </x:c>
      <x:c r="AB219" s="4" t="str">
        <x:v>Metal</x:v>
      </x:c>
      <x:c r="AC219" s="4" t="str">
        <x:v>Assembly</x:v>
      </x:c>
      <x:c r="AD219" s="4" t="str">
        <x:v>Proposal</x:v>
      </x:c>
      <x:c r="AE219" s="4" t="str">
        <x:f>LOWER(A219&amp;"; "&amp;B219&amp;"; "&amp;D219&amp;"; "&amp;E219&amp;"; "&amp;X219&amp;"; "&amp;Y219&amp;"; "&amp;Z219&amp;"; "&amp;AA219&amp;"; "&amp;AB219&amp;"; "&amp;AC219&amp;"; "&amp;AD219&amp;"; "&amp;V219&amp;"; "&amp;C219&amp;"; "&amp;AH219&amp;"; "&amp;AI219)</x:f>
        <x:v>proposal.fire.rack; cooking rack; salvage; cooking &amp; ignition; tool; finished item; manufactured / unresolved; cooking; metal; assembly; proposal; cooking tool; camp goods; cooking &amp; ignition; not applicable; t2; finished item</x:v>
      </x:c>
      <x:c r="AF219"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tool. Author direction October 16: all Camp items are Salvage; retire the Camp items section. Item identity, condition, tiers, purposes and recipe semantics remain unchanged.</x:t>
        </x:is>
      </x:c>
      <x:c r="AG219" s="4" t="str">
        <x:v>Finished endpoint; material tier is not applicable. Input tiers belong to the chosen recipe.</x:v>
      </x:c>
      <x:c r="AH219" s="4" t="str">
        <x:v>T2</x:v>
      </x:c>
      <x:c r="AI219" s="4" t="str">
        <x:v>Finished item</x:v>
      </x:c>
      <x:c r="AJ219" s="4" t="n">
        <x:f>COUNTIFS('Material routes'!$D$6:$D$2205,A219,'Material routes'!$C$6:$C$2205,"Output")</x:f>
        <x:v>1</x:v>
      </x:c>
      <x:c r="AK219" s="4" t="n">
        <x:f>SUM(COUNTIFS('Material routes'!$D$6:$D$2205,A219,'Material routes'!$C$6:$C$2205,"Ingredient candidate"),COUNTIFS('Material routes'!$D$6:$D$2205,A219,'Material routes'!$C$6:$C$2205,"Consumed input"),COUNTIFS('Material routes'!$D$6:$D$2205,A219,'Material routes'!$C$6:$C$2205,"Contained input"),COUNTIFS('Material routes'!$D$6:$D$2205,A219,'Material routes'!$C$6:$C$2205,"Transform input"))</x:f>
        <x:v>0</x:v>
      </x:c>
      <x:c r="AL219" s="4" t="n">
        <x:f>COUNTIFS('Material routes'!$D$6:$D$2205,A219,'Material routes'!$C$6:$C$2205,"Tool candidate")</x:f>
        <x:v>0</x:v>
      </x:c>
      <x:c r="AM219" s="4" t="str">
        <x:f>IF(AJ219&gt;0,"Route listed; review status/completeness",IF(C219="T0","Raw entry feed; no production route","No production route listed"))</x:f>
        <x:v>Route listed; review status/completeness</x:v>
      </x:c>
      <x:c r="AN219" s="14" t="n">
        <x:f>IF(C219="T0",0,IF(C219="T1",1,IF(C219="T2",2,IF(C219="T3",3,IF(C219="T4",4,IF(C219="Unassigned",98,99))))))</x:f>
        <x:v>99</x:v>
      </x:c>
      <x:c r="AZ219"/>
      <x:c r="BA219"/>
      <x:c r="BB219"/>
      <x:c r="BC219"/>
      <x:c r="BD219"/>
      <x:c r="BE219"/>
      <x:c r="BF219"/>
      <x:c r="BG219"/>
      <x:c r="BH219"/>
      <x:c r="BI219"/>
      <x:c r="BJ219"/>
      <x:c r="BK219"/>
      <x:c r="BL219"/>
      <x:c r="BM219"/>
      <x:c r="BN219"/>
      <x:c r="BO219"/>
      <x:c r="BP219"/>
      <x:c r="BQ219"/>
      <x:c r="BR219"/>
      <x:c r="BS219"/>
      <x:c r="BT219"/>
      <x:c r="BU219"/>
      <x:c r="BV219"/>
      <x:c r="BW219"/>
      <x:c r="BX219"/>
      <x:c r="BY219"/>
      <x:c r="BZ219"/>
      <x:c r="CA219"/>
      <x:c r="CB219"/>
      <x:c r="CC219"/>
    </x:row>
    <x:row r="220" ht="115" customHeight="1">
      <x:c r="A220" s="9" t="str">
        <x:v>proposal.fire.pot_stand</x:v>
      </x:c>
      <x:c r="B220" s="9" t="str">
        <x:v>Cooking pot stand</x:v>
      </x:c>
      <x:c r="C220" s="4" t="str">
        <x:v>Not applicable</x:v>
      </x:c>
      <x:c r="D220" s="9" t="inlineStr">
        <x:is>
          <x:t xml:space="preserve">Salvage</x:t>
        </x:is>
      </x:c>
      <x:c r="E220" s="9" t="inlineStr">
        <x:is>
          <x:t xml:space="preserve">Cooking &amp; ignition</x:t>
        </x:is>
      </x:c>
      <x:c r="F220" s="9" t="str">
        <x:v>New proposal</x:v>
      </x:c>
      <x:c r="G220" s="9" t="inlineStr">
        <x:is>
          <x:t xml:space="preserve">Support a compatible vessel above a managed heat source. It is intended to support controlled preparation or heating of food, with the heat source, vessel and safe ingredients established separately.</x:t>
        </x:is>
      </x:c>
      <x:c r="H220" s="9" t="str">
        <x:v>Unassigned; no new slot approved</x:v>
      </x:c>
      <x:c r="I220" s="9" t="str">
        <x:v>Carrier / placement policy TBD</x:v>
      </x:c>
      <x:c r="J220" s="13"/>
      <x:c r="K220" s="15"/>
      <x:c r="L220" s="9" t="str">
        <x:v>Gathering, specialist craft or trade; exact acquisition TBD</x:v>
      </x:c>
      <x:c r="M220" s="9" t="str">
        <x:v>No cooking, ignition or oxygen-release recipe authored</x:v>
      </x:c>
      <x:c r="N220" s="9" t="str">
        <x:v>Not implemented</x:v>
      </x:c>
      <x:c r="O220" s="9" t="str">
        <x:v>Footprint, heat clearance and field deployment unresolved; no free-standing workstation service implied.</x:v>
      </x:c>
      <x:c r="P220" s="17"/>
      <x:c r="Q220" s="17"/>
      <x:c r="R220" s="17"/>
      <x:c r="S220" s="17"/>
      <x:c r="T220" s="17"/>
      <x:c r="U220" s="9" t="str">
        <x:v>Names are descriptive working labels. Fire-dependent uses are constrained by source atmosphere proposals; no oxygen/flame simulation, nutrition bonus or automatic detoxification.</x:v>
      </x:c>
      <x:c r="V220" s="11" t="inlineStr">
        <x:is>
          <x:t xml:space="preserve">Cooking tool; camp goods; Cooking &amp; ignition</x:t>
        </x:is>
      </x:c>
      <x:c r="W220" s="9" t="str">
        <x:v>https://github.com/sleepyseamonster/Arc-Dust/blob/f6f98515c005dc3c73cccd9cbc031691745740c6/02-Arc-Dust-Worldbuilding/world/geography/atmosphere.md</x:v>
      </x:c>
      <x:c r="X220" s="4" t="str">
        <x:v>Tool</x:v>
      </x:c>
      <x:c r="Y220" s="4" t="str">
        <x:v>Finished item</x:v>
      </x:c>
      <x:c r="Z220" s="4" t="str">
        <x:v>Manufactured / unresolved</x:v>
      </x:c>
      <x:c r="AA220" s="4" t="str">
        <x:v>Cooking</x:v>
      </x:c>
      <x:c r="AB220" s="4" t="str">
        <x:v>Metal</x:v>
      </x:c>
      <x:c r="AC220" s="4" t="str">
        <x:v>Assembly</x:v>
      </x:c>
      <x:c r="AD220" s="4" t="str">
        <x:v>Proposal</x:v>
      </x:c>
      <x:c r="AE220" s="4" t="str">
        <x:f>LOWER(A220&amp;"; "&amp;B220&amp;"; "&amp;D220&amp;"; "&amp;E220&amp;"; "&amp;X220&amp;"; "&amp;Y220&amp;"; "&amp;Z220&amp;"; "&amp;AA220&amp;"; "&amp;AB220&amp;"; "&amp;AC220&amp;"; "&amp;AD220&amp;"; "&amp;V220&amp;"; "&amp;C220&amp;"; "&amp;AH220&amp;"; "&amp;AI220)</x:f>
        <x:v>proposal.fire.pot_stand; cooking pot stand; salvage; cooking &amp; ignition; tool; finished item; manufactured / unresolved; cooking; metal; assembly; proposal; cooking tool; camp goods; cooking &amp; ignition; not applicable; t2; finished item</x:v>
      </x:c>
      <x:c r="AF220"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tool. Author direction October 16: all Camp items are Salvage; retire the Camp items section. Item identity, condition, tiers, purposes and recipe semantics remain unchanged.</x:t>
        </x:is>
      </x:c>
      <x:c r="AG220" s="4" t="str">
        <x:v>Finished endpoint; material tier is not applicable. Input tiers belong to the chosen recipe.</x:v>
      </x:c>
      <x:c r="AH220" s="4" t="str">
        <x:v>T2</x:v>
      </x:c>
      <x:c r="AI220" s="4" t="str">
        <x:v>Finished item</x:v>
      </x:c>
      <x:c r="AJ220" s="4" t="n">
        <x:f>COUNTIFS('Material routes'!$D$6:$D$2205,A220,'Material routes'!$C$6:$C$2205,"Output")</x:f>
        <x:v>1</x:v>
      </x:c>
      <x:c r="AK220" s="4" t="n">
        <x:f>SUM(COUNTIFS('Material routes'!$D$6:$D$2205,A220,'Material routes'!$C$6:$C$2205,"Ingredient candidate"),COUNTIFS('Material routes'!$D$6:$D$2205,A220,'Material routes'!$C$6:$C$2205,"Consumed input"),COUNTIFS('Material routes'!$D$6:$D$2205,A220,'Material routes'!$C$6:$C$2205,"Contained input"),COUNTIFS('Material routes'!$D$6:$D$2205,A220,'Material routes'!$C$6:$C$2205,"Transform input"))</x:f>
        <x:v>0</x:v>
      </x:c>
      <x:c r="AL220" s="4" t="n">
        <x:f>COUNTIFS('Material routes'!$D$6:$D$2205,A220,'Material routes'!$C$6:$C$2205,"Tool candidate")</x:f>
        <x:v>0</x:v>
      </x:c>
      <x:c r="AM220" s="4" t="str">
        <x:f>IF(AJ220&gt;0,"Route listed; review status/completeness",IF(C220="T0","Raw entry feed; no production route","No production route listed"))</x:f>
        <x:v>Route listed; review status/completeness</x:v>
      </x:c>
      <x:c r="AN220" s="14" t="n">
        <x:f>IF(C220="T0",0,IF(C220="T1",1,IF(C220="T2",2,IF(C220="T3",3,IF(C220="T4",4,IF(C220="Unassigned",98,99))))))</x:f>
        <x:v>99</x:v>
      </x:c>
      <x:c r="AZ220"/>
      <x:c r="BA220"/>
      <x:c r="BB220"/>
      <x:c r="BC220"/>
      <x:c r="BD220"/>
      <x:c r="BE220"/>
      <x:c r="BF220"/>
      <x:c r="BG220"/>
      <x:c r="BH220"/>
      <x:c r="BI220"/>
      <x:c r="BJ220"/>
      <x:c r="BK220"/>
      <x:c r="BL220"/>
      <x:c r="BM220"/>
      <x:c r="BN220"/>
      <x:c r="BO220"/>
      <x:c r="BP220"/>
      <x:c r="BQ220"/>
      <x:c r="BR220"/>
      <x:c r="BS220"/>
      <x:c r="BT220"/>
      <x:c r="BU220"/>
      <x:c r="BV220"/>
      <x:c r="BW220"/>
      <x:c r="BX220"/>
      <x:c r="BY220"/>
      <x:c r="BZ220"/>
      <x:c r="CA220"/>
      <x:c r="CB220"/>
      <x:c r="CC220"/>
    </x:row>
    <x:row r="221" ht="115" customHeight="1">
      <x:c r="A221" s="9" t="str">
        <x:v>proposal.fire.tongs</x:v>
      </x:c>
      <x:c r="B221" s="9" t="str">
        <x:v>Cooking tongs</x:v>
      </x:c>
      <x:c r="C221" s="4" t="str">
        <x:v>Not applicable</x:v>
      </x:c>
      <x:c r="D221" s="9" t="inlineStr">
        <x:is>
          <x:t xml:space="preserve">Salvage</x:t>
        </x:is>
      </x:c>
      <x:c r="E221" s="9" t="inlineStr">
        <x:is>
          <x:t xml:space="preserve">Cooking &amp; ignition</x:t>
        </x:is>
      </x:c>
      <x:c r="F221" s="9" t="str">
        <x:v>New proposal</x:v>
      </x:c>
      <x:c r="G221" s="9" t="inlineStr">
        <x:is>
          <x:t xml:space="preserve">Handle compatible hot cooking items. It is intended to support controlled preparation or heating of food, with the heat source, vessel and safe ingredients established separately.</x:t>
        </x:is>
      </x:c>
      <x:c r="H221" s="9" t="str">
        <x:v>Unassigned; no new slot approved</x:v>
      </x:c>
      <x:c r="I221" s="9" t="str">
        <x:v>Carrier / placement policy TBD</x:v>
      </x:c>
      <x:c r="J221" s="13"/>
      <x:c r="K221" s="15"/>
      <x:c r="L221" s="9" t="str">
        <x:v>Gathering, specialist craft or trade; exact acquisition TBD</x:v>
      </x:c>
      <x:c r="M221" s="9" t="str">
        <x:v>No cooking, ignition or oxygen-release recipe authored</x:v>
      </x:c>
      <x:c r="N221" s="9" t="str">
        <x:v>Not implemented</x:v>
      </x:c>
      <x:c r="O221" s="9" t="str">
        <x:v>Contact surfaces, reach and handling behavior TBD; no automatic immunity to heat.</x:v>
      </x:c>
      <x:c r="P221" s="17"/>
      <x:c r="Q221" s="17"/>
      <x:c r="R221" s="17"/>
      <x:c r="S221" s="17"/>
      <x:c r="T221" s="17"/>
      <x:c r="U221" s="9" t="str">
        <x:v>Names are descriptive working labels. Fire-dependent uses are constrained by source atmosphere proposals; no oxygen/flame simulation, nutrition bonus or automatic detoxification.</x:v>
      </x:c>
      <x:c r="V221" s="11" t="inlineStr">
        <x:is>
          <x:t xml:space="preserve">Cooking tool; camp goods; Cooking &amp; ignition</x:t>
        </x:is>
      </x:c>
      <x:c r="W221" s="9" t="str">
        <x:v>New game proposal from author cooking direction</x:v>
      </x:c>
      <x:c r="X221" s="4" t="str">
        <x:v>Tool</x:v>
      </x:c>
      <x:c r="Y221" s="4" t="str">
        <x:v>Finished item</x:v>
      </x:c>
      <x:c r="Z221" s="4" t="str">
        <x:v>Manufactured / unresolved</x:v>
      </x:c>
      <x:c r="AA221" s="4" t="str">
        <x:v>Cooking</x:v>
      </x:c>
      <x:c r="AB221" s="4" t="str">
        <x:v>Metal</x:v>
      </x:c>
      <x:c r="AC221" s="4" t="str">
        <x:v>Assembly</x:v>
      </x:c>
      <x:c r="AD221" s="4" t="str">
        <x:v>Proposal</x:v>
      </x:c>
      <x:c r="AE221" s="4" t="str">
        <x:f>LOWER(A221&amp;"; "&amp;B221&amp;"; "&amp;D221&amp;"; "&amp;E221&amp;"; "&amp;X221&amp;"; "&amp;Y221&amp;"; "&amp;Z221&amp;"; "&amp;AA221&amp;"; "&amp;AB221&amp;"; "&amp;AC221&amp;"; "&amp;AD221&amp;"; "&amp;V221&amp;"; "&amp;C221&amp;"; "&amp;AH221&amp;"; "&amp;AI221)</x:f>
        <x:v>proposal.fire.tongs; cooking tongs; salvage; cooking &amp; ignition; tool; finished item; manufactured / unresolved; cooking; metal; assembly; proposal; cooking tool; camp goods; cooking &amp; ignition; not applicable; t3; finished item</x:v>
      </x:c>
      <x:c r="AF221"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Cooking tool. Author direction October 16: all Camp items are Salvage; retire the Camp items section. Item identity, condition, tiers, purposes and recipe semantics remain unchanged.</x:t>
        </x:is>
      </x:c>
      <x:c r="AG221" s="4" t="str">
        <x:v>Finished endpoint; material tier is not applicable. Input tiers belong to the chosen recipe.</x:v>
      </x:c>
      <x:c r="AH221" s="4" t="str">
        <x:v>T3</x:v>
      </x:c>
      <x:c r="AI221" s="4" t="str">
        <x:v>Finished item</x:v>
      </x:c>
      <x:c r="AJ221" s="4" t="n">
        <x:f>COUNTIFS('Material routes'!$D$6:$D$2205,A221,'Material routes'!$C$6:$C$2205,"Output")</x:f>
        <x:v>1</x:v>
      </x:c>
      <x:c r="AK221" s="4" t="n">
        <x:f>SUM(COUNTIFS('Material routes'!$D$6:$D$2205,A221,'Material routes'!$C$6:$C$2205,"Ingredient candidate"),COUNTIFS('Material routes'!$D$6:$D$2205,A221,'Material routes'!$C$6:$C$2205,"Consumed input"),COUNTIFS('Material routes'!$D$6:$D$2205,A221,'Material routes'!$C$6:$C$2205,"Contained input"),COUNTIFS('Material routes'!$D$6:$D$2205,A221,'Material routes'!$C$6:$C$2205,"Transform input"))</x:f>
        <x:v>0</x:v>
      </x:c>
      <x:c r="AL221" s="4" t="n">
        <x:f>COUNTIFS('Material routes'!$D$6:$D$2205,A221,'Material routes'!$C$6:$C$2205,"Tool candidate")</x:f>
        <x:v>0</x:v>
      </x:c>
      <x:c r="AM221" s="4" t="str">
        <x:f>IF(AJ221&gt;0,"Route listed; review status/completeness",IF(C221="T0","Raw entry feed; no production route","No production route listed"))</x:f>
        <x:v>Route listed; review status/completeness</x:v>
      </x:c>
      <x:c r="AN221" s="14" t="n">
        <x:f>IF(C221="T0",0,IF(C221="T1",1,IF(C221="T2",2,IF(C221="T3",3,IF(C221="T4",4,IF(C221="Unassigned",98,99))))))</x:f>
        <x:v>99</x:v>
      </x:c>
      <x:c r="AZ221"/>
      <x:c r="BA221"/>
      <x:c r="BB221"/>
      <x:c r="BC221"/>
      <x:c r="BD221"/>
      <x:c r="BE221"/>
      <x:c r="BF221"/>
      <x:c r="BG221"/>
      <x:c r="BH221"/>
      <x:c r="BI221"/>
      <x:c r="BJ221"/>
      <x:c r="BK221"/>
      <x:c r="BL221"/>
      <x:c r="BM221"/>
      <x:c r="BN221"/>
      <x:c r="BO221"/>
      <x:c r="BP221"/>
      <x:c r="BQ221"/>
      <x:c r="BR221"/>
      <x:c r="BS221"/>
      <x:c r="BT221"/>
      <x:c r="BU221"/>
      <x:c r="BV221"/>
      <x:c r="BW221"/>
      <x:c r="BX221"/>
      <x:c r="BY221"/>
      <x:c r="BZ221"/>
      <x:c r="CA221"/>
      <x:c r="CB221"/>
      <x:c r="CC221"/>
    </x:row>
    <x:row r="222" ht="115" customHeight="1">
      <x:c r="A222" s="9" t="str">
        <x:v>proposal.fire.firebox</x:v>
      </x:c>
      <x:c r="B222" s="9" t="inlineStr">
        <x:is>
          <x:t xml:space="preserve">Cooking station</x:t>
        </x:is>
      </x:c>
      <x:c r="C222" s="4" t="str">
        <x:v>Not applicable</x:v>
      </x:c>
      <x:c r="D222" s="9" t="inlineStr">
        <x:is>
          <x:t xml:space="preserve">Salvage</x:t>
        </x:is>
      </x:c>
      <x:c r="E222" s="9" t="inlineStr">
        <x:is>
          <x:t xml:space="preserve">Cooking &amp; ignition</x:t>
        </x:is>
      </x:c>
      <x:c r="F222" s="9" t="str">
        <x:v>New proposal</x:v>
      </x:c>
      <x:c r="G222" s="9" t="inlineStr">
        <x:is>
          <x:t xml:space="preserve">Camp food-preparation and cooking station combining the existing managed firebox concept with a preparation surface and compatible cooking vessels and tools. Process Phagia ingredients and selected edible fauna fractions into meals, bars or drinks using explicitly designed recipes; Phagia remains the nutritional foundation.</x:t>
        </x:is>
      </x:c>
      <x:c r="H222" s="9" t="str">
        <x:v>Unassigned; no new slot approved</x:v>
      </x:c>
      <x:c r="I222" s="9" t="str">
        <x:v>Carrier / placement policy TBD</x:v>
      </x:c>
      <x:c r="J222" s="13"/>
      <x:c r="K222" s="15"/>
      <x:c r="L222" s="9" t="str">
        <x:v>Gathering, specialist craft or trade; exact acquisition TBD</x:v>
      </x:c>
      <x:c r="M222" s="9" t="str">
        <x:v>No cooking, ignition or oxygen-release recipe authored</x:v>
      </x:c>
      <x:c r="N222" s="9" t="str">
        <x:v>Not implemented</x:v>
      </x:c>
      <x:c r="O222" s="9" t="inlineStr">
        <x:is>
          <x:t xml:space="preserve">Food contact must remain separate from industrial chemical processing. No ordinary combustion, free-water supply, wooden worktop, ordinary cloth or general fauna edibility assumed. Heat source, atmosphere management, food safety, quantities and benefits remain unresolved. Existing firebox item ID retained.</x:t>
        </x:is>
      </x:c>
      <x:c r="P222" s="17"/>
      <x:c r="Q222" s="17"/>
      <x:c r="R222" s="17"/>
      <x:c r="S222" s="17"/>
      <x:c r="T222" s="17"/>
      <x:c r="U222" s="9" t="str">
        <x:v>Names are descriptive working labels. Fire-dependent uses are constrained by source atmosphere proposals; no oxygen/flame simulation, nutrition bonus or automatic detoxification.</x:v>
      </x:c>
      <x:c r="V222" s="11" t="inlineStr">
        <x:is>
          <x:t xml:space="preserve">managed cooking firebox; camp kitchen; food preparation station; phagia cooking; Camp cooking station; Cooking &amp; ignition</x:t>
        </x:is>
      </x:c>
      <x:c r="W222" s="9" t="str">
        <x:v>https://github.com/sleepyseamonster/Arc-Dust/blob/f6f98515c005dc3c73cccd9cbc031691745740c6/02-Arc-Dust-Worldbuilding/world/geography/atmosphere.md</x:v>
      </x:c>
      <x:c r="X222" s="4" t="str">
        <x:v>Tool</x:v>
      </x:c>
      <x:c r="Y222" s="4" t="str">
        <x:v>Finished item</x:v>
      </x:c>
      <x:c r="Z222" s="4" t="str">
        <x:v>Manufactured / unresolved</x:v>
      </x:c>
      <x:c r="AA222" s="4" t="str">
        <x:v>Cooking</x:v>
      </x:c>
      <x:c r="AB222" s="4" t="str">
        <x:v>Mixed / unresolved</x:v>
      </x:c>
      <x:c r="AC222" s="4" t="str">
        <x:v>Assembly</x:v>
      </x:c>
      <x:c r="AD222" s="4" t="inlineStr">
        <x:is>
          <x:t xml:space="preserve">Author direction</x:t>
        </x:is>
      </x:c>
      <x:c r="AE222" s="4" t="str">
        <x:f>LOWER(A222&amp;"; "&amp;B222&amp;"; "&amp;D222&amp;"; "&amp;E222&amp;"; "&amp;X222&amp;"; "&amp;Y222&amp;"; "&amp;Z222&amp;"; "&amp;AA222&amp;"; "&amp;AB222&amp;"; "&amp;AC222&amp;"; "&amp;AD222&amp;"; "&amp;V222&amp;"; "&amp;C222&amp;"; "&amp;AH222&amp;"; "&amp;AI222)</x:f>
        <x:v>proposal.fire.firebox; cooking station; salvage; cooking &amp; ignition; tool; finished item; manufactured / unresolved; cooking; mixed / unresolved; assembly; author direction; managed cooking firebox; camp kitchen; food preparation station; phagia cooking; camp cooking station; cooking &amp; ignition; not applicable; t3; finished item</x:v>
      </x:c>
      <x:c r="AF222" s="4" t="inlineStr">
        <x:is>
          <x:t xml:space="preserve">Author requested a full camp cooking station. Expanded existing firebox concept; stable item ID retained, without a duplicate heat station or implemented recipes. Author correction: all cooking equipment and related household food-preparation records belong in Camp items, including the cooking station and damaged cooking vessels. Classification does not repair salvage or establish working equipment. Author direction October 16: all Camp items are Salvage; retire the Camp items section. Item identity, condition, tiers, purposes and recipe semantics remain unchanged.</x:t>
        </x:is>
      </x:c>
      <x:c r="AG222" s="4" t="str">
        <x:v>Finished endpoint; material tier is not applicable. Input tiers belong to the chosen recipe.</x:v>
      </x:c>
      <x:c r="AH222" s="4" t="str">
        <x:v>T3</x:v>
      </x:c>
      <x:c r="AI222" s="4" t="str">
        <x:v>Finished item</x:v>
      </x:c>
      <x:c r="AJ222" s="4" t="n">
        <x:f>COUNTIFS('Material routes'!$D$6:$D$2205,A222,'Material routes'!$C$6:$C$2205,"Output")</x:f>
        <x:v>1</x:v>
      </x:c>
      <x:c r="AK222" s="4" t="n">
        <x:f>SUM(COUNTIFS('Material routes'!$D$6:$D$2205,A222,'Material routes'!$C$6:$C$2205,"Ingredient candidate"),COUNTIFS('Material routes'!$D$6:$D$2205,A222,'Material routes'!$C$6:$C$2205,"Consumed input"),COUNTIFS('Material routes'!$D$6:$D$2205,A222,'Material routes'!$C$6:$C$2205,"Contained input"),COUNTIFS('Material routes'!$D$6:$D$2205,A222,'Material routes'!$C$6:$C$2205,"Transform input"))</x:f>
        <x:v>0</x:v>
      </x:c>
      <x:c r="AL222" s="4" t="n">
        <x:f>COUNTIFS('Material routes'!$D$6:$D$2205,A222,'Material routes'!$C$6:$C$2205,"Tool candidate")</x:f>
        <x:v>0</x:v>
      </x:c>
      <x:c r="AM222" s="4" t="str">
        <x:f>IF(AJ222&gt;0,"Route listed; review status/completeness",IF(C222="T0","Raw entry feed; no production route","No production route listed"))</x:f>
        <x:v>Route listed; review status/completeness</x:v>
      </x:c>
      <x:c r="AN222" s="14" t="n">
        <x:f>IF(C222="T0",0,IF(C222="T1",1,IF(C222="T2",2,IF(C222="T3",3,IF(C222="T4",4,IF(C222="Unassigned",98,99))))))</x:f>
        <x:v>99</x:v>
      </x:c>
      <x:c r="AZ222"/>
      <x:c r="BA222"/>
      <x:c r="BB222"/>
      <x:c r="BC222"/>
      <x:c r="BD222"/>
      <x:c r="BE222"/>
      <x:c r="BF222"/>
      <x:c r="BG222"/>
      <x:c r="BH222"/>
      <x:c r="BI222"/>
      <x:c r="BJ222"/>
      <x:c r="BK222"/>
      <x:c r="BL222"/>
      <x:c r="BM222"/>
      <x:c r="BN222"/>
      <x:c r="BO222"/>
      <x:c r="BP222"/>
      <x:c r="BQ222"/>
      <x:c r="BR222"/>
      <x:c r="BS222"/>
      <x:c r="BT222"/>
      <x:c r="BU222"/>
      <x:c r="BV222"/>
      <x:c r="BW222"/>
      <x:c r="BX222"/>
      <x:c r="BY222"/>
      <x:c r="BZ222"/>
      <x:c r="CA222"/>
      <x:c r="CB222"/>
      <x:c r="CC222"/>
    </x:row>
    <x:row r="223" ht="170" customHeight="1">
      <x:c r="A223" s="9"/>
      <x:c r="B223" s="9"/>
      <x:c r="C223" s="4"/>
      <x:c r="D223" s="9"/>
      <x:c r="E223" s="9"/>
      <x:c r="F223" s="9"/>
      <x:c r="G223" s="9"/>
      <x:c r="H223" s="9"/>
      <x:c r="I223" s="9"/>
      <x:c r="J223" s="13"/>
      <x:c r="M223" s="9"/>
      <x:c r="N223" s="9"/>
      <x:c r="O223" s="9"/>
      <x:c r="P223" s="17"/>
      <x:c r="V223" s="11"/>
      <x:c r="W223" s="9"/>
      <x:c r="X223" s="4"/>
      <x:c r="Y223" s="4"/>
      <x:c r="Z223" s="4"/>
      <x:c r="AA223" s="4"/>
      <x:c r="AB223" s="4"/>
      <x:c r="AC223" s="4"/>
      <x:c r="AD223" s="4"/>
      <x:c r="AE223" s="4"/>
      <x:c r="AF223" s="4"/>
      <x:c r="AG223" s="4"/>
      <x:c r="AH223" s="4"/>
      <x:c r="AI223" s="4"/>
      <x:c r="AJ223" s="4"/>
      <x:c r="AK223" s="4"/>
      <x:c r="AL223" s="4"/>
      <x:c r="AM223" s="4"/>
      <x:c r="AN223" s="14"/>
      <x:c r="AZ223"/>
      <x:c r="BA223"/>
      <x:c r="BB223"/>
      <x:c r="BC223"/>
      <x:c r="BD223"/>
      <x:c r="BE223"/>
      <x:c r="BF223"/>
      <x:c r="BG223"/>
      <x:c r="BH223"/>
      <x:c r="BI223"/>
      <x:c r="BJ223"/>
      <x:c r="BK223"/>
      <x:c r="BL223"/>
      <x:c r="BM223"/>
      <x:c r="BN223"/>
      <x:c r="BO223"/>
      <x:c r="BP223"/>
      <x:c r="BQ223"/>
      <x:c r="BR223"/>
      <x:c r="BS223"/>
      <x:c r="BT223"/>
      <x:c r="BU223"/>
      <x:c r="BV223"/>
      <x:c r="BW223"/>
      <x:c r="BX223"/>
      <x:c r="BY223"/>
      <x:c r="BZ223"/>
      <x:c r="CA223"/>
      <x:c r="CB223"/>
      <x:c r="CC223"/>
    </x:row>
    <x:row r="224" ht="170" customHeight="1">
      <x:c r="A224" s="9"/>
      <x:c r="B224" s="9"/>
      <x:c r="C224" s="4"/>
      <x:c r="D224" s="9"/>
      <x:c r="E224" s="9"/>
      <x:c r="F224" s="9"/>
      <x:c r="G224" s="9"/>
      <x:c r="H224" s="9"/>
      <x:c r="I224" s="9"/>
      <x:c r="J224" s="13"/>
      <x:c r="M224" s="9"/>
      <x:c r="N224" s="9"/>
      <x:c r="O224" s="9"/>
      <x:c r="P224" s="17"/>
      <x:c r="V224" s="11"/>
      <x:c r="W224" s="9"/>
      <x:c r="X224" s="4"/>
      <x:c r="Y224" s="4"/>
      <x:c r="Z224" s="4"/>
      <x:c r="AA224" s="4"/>
      <x:c r="AB224" s="4"/>
      <x:c r="AC224" s="4"/>
      <x:c r="AD224" s="4"/>
      <x:c r="AE224" s="4"/>
      <x:c r="AF224" s="4"/>
      <x:c r="AG224" s="4"/>
      <x:c r="AH224" s="4"/>
      <x:c r="AI224" s="4"/>
      <x:c r="AJ224" s="4"/>
      <x:c r="AK224" s="4"/>
      <x:c r="AL224" s="4"/>
      <x:c r="AM224" s="4"/>
      <x:c r="AN224" s="14"/>
      <x:c r="AZ224"/>
      <x:c r="BA224"/>
      <x:c r="BB224"/>
      <x:c r="BC224"/>
      <x:c r="BD224"/>
      <x:c r="BE224"/>
      <x:c r="BF224"/>
      <x:c r="BG224"/>
      <x:c r="BH224"/>
      <x:c r="BI224"/>
      <x:c r="BJ224"/>
      <x:c r="BK224"/>
      <x:c r="BL224"/>
      <x:c r="BM224"/>
      <x:c r="BN224"/>
      <x:c r="BO224"/>
      <x:c r="BP224"/>
      <x:c r="BQ224"/>
      <x:c r="BR224"/>
      <x:c r="BS224"/>
      <x:c r="BT224"/>
      <x:c r="BU224"/>
      <x:c r="BV224"/>
      <x:c r="BW224"/>
      <x:c r="BX224"/>
      <x:c r="BY224"/>
      <x:c r="BZ224"/>
      <x:c r="CA224"/>
      <x:c r="CB224"/>
      <x:c r="CC224"/>
    </x:row>
    <x:row r="225" ht="170" customHeight="1">
      <x:c r="A225" s="9"/>
      <x:c r="B225" s="9"/>
      <x:c r="C225" s="4"/>
      <x:c r="D225" s="9"/>
      <x:c r="E225" s="9"/>
      <x:c r="F225" s="9"/>
      <x:c r="G225" s="9"/>
      <x:c r="H225" s="9"/>
      <x:c r="I225" s="9"/>
      <x:c r="J225" s="13"/>
      <x:c r="M225" s="9"/>
      <x:c r="N225" s="9"/>
      <x:c r="O225" s="9"/>
      <x:c r="P225" s="17"/>
      <x:c r="V225" s="11"/>
      <x:c r="W225" s="9"/>
      <x:c r="X225" s="4"/>
      <x:c r="Y225" s="4"/>
      <x:c r="Z225" s="4"/>
      <x:c r="AA225" s="4"/>
      <x:c r="AB225" s="4"/>
      <x:c r="AC225" s="4"/>
      <x:c r="AD225" s="4"/>
      <x:c r="AE225" s="4"/>
      <x:c r="AF225" s="4"/>
      <x:c r="AG225" s="4"/>
      <x:c r="AH225" s="4"/>
      <x:c r="AI225" s="4"/>
      <x:c r="AJ225" s="4"/>
      <x:c r="AK225" s="4"/>
      <x:c r="AL225" s="4"/>
      <x:c r="AM225" s="4"/>
      <x:c r="AN225" s="14"/>
      <x:c r="AZ225"/>
      <x:c r="BA225"/>
      <x:c r="BB225"/>
      <x:c r="BC225"/>
      <x:c r="BD225"/>
      <x:c r="BE225"/>
      <x:c r="BF225"/>
      <x:c r="BG225"/>
      <x:c r="BH225"/>
      <x:c r="BI225"/>
      <x:c r="BJ225"/>
      <x:c r="BK225"/>
      <x:c r="BL225"/>
      <x:c r="BM225"/>
      <x:c r="BN225"/>
      <x:c r="BO225"/>
      <x:c r="BP225"/>
      <x:c r="BQ225"/>
      <x:c r="BR225"/>
      <x:c r="BS225"/>
      <x:c r="BT225"/>
      <x:c r="BU225"/>
      <x:c r="BV225"/>
      <x:c r="BW225"/>
      <x:c r="BX225"/>
      <x:c r="BY225"/>
      <x:c r="BZ225"/>
      <x:c r="CA225"/>
      <x:c r="CB225"/>
      <x:c r="CC225"/>
    </x:row>
    <x:row r="226" ht="115" customHeight="1">
      <x:c r="A226" s="9" t="str">
        <x:v>proposal.fire.glow_holder</x:v>
      </x:c>
      <x:c r="B226" s="9" t="str">
        <x:v>Shuttered glow-stone holder</x:v>
      </x:c>
      <x:c r="C226" s="4" t="str">
        <x:v>Not applicable</x:v>
      </x:c>
      <x:c r="D226" s="9" t="inlineStr">
        <x:is>
          <x:t xml:space="preserve">Salvage</x:t>
        </x:is>
      </x:c>
      <x:c r="E226" s="9" t="str">
        <x:v>Mineral light</x:v>
      </x:c>
      <x:c r="F226" s="9" t="str">
        <x:v>New proposal</x:v>
      </x:c>
      <x:c r="G226" s="9" t="inlineStr">
        <x:is>
          <x:t xml:space="preserve">Carrier with a movable cover for a selected glowing stone. It is intended to provide or control a local light source, with fuel or energy supply and operating conditions matched to the design.</x:t>
        </x:is>
      </x:c>
      <x:c r="H226" s="9" t="str">
        <x:v>Unassigned; no new slot approved</x:v>
      </x:c>
      <x:c r="I226" s="9" t="str">
        <x:v>Carrier / placement policy TBD</x:v>
      </x:c>
      <x:c r="J226" s="13"/>
      <x:c r="K226" s="15"/>
      <x:c r="L226" s="9" t="str">
        <x:v>Gathering, specialist craft or trade; exact acquisition TBD</x:v>
      </x:c>
      <x:c r="M226" s="9" t="str">
        <x:v>No cooking, ignition or oxygen-release recipe authored</x:v>
      </x:c>
      <x:c r="N226" s="9" t="str">
        <x:v>Not implemented</x:v>
      </x:c>
      <x:c r="O226" s="9" t="str">
        <x:v>Holder is separate from its stone payload. It may expose or cover light, but does not establish charging, fuel, heat or brightness behavior.</x:v>
      </x:c>
      <x:c r="P226" s="17"/>
      <x:c r="Q226" s="17"/>
      <x:c r="R226" s="17"/>
      <x:c r="S226" s="17"/>
      <x:c r="T226" s="17"/>
      <x:c r="U226" s="9" t="str">
        <x:v>Names are descriptive working labels. Fire-dependent uses are constrained by source atmosphere proposals; no oxygen/flame simulation, nutrition bonus or automatic detoxification.</x:v>
      </x:c>
      <x:c r="V226" s="11"/>
      <x:c r="W226" s="9" t="str">
        <x:v>New game proposal from author glowing-stone direction</x:v>
      </x:c>
      <x:c r="X226" s="4" t="str">
        <x:v>Tool</x:v>
      </x:c>
      <x:c r="Y226" s="4" t="str">
        <x:v>Finished item</x:v>
      </x:c>
      <x:c r="Z226" s="4" t="str">
        <x:v>Manufactured / unresolved</x:v>
      </x:c>
      <x:c r="AA226" s="4" t="str">
        <x:v>Illumination</x:v>
      </x:c>
      <x:c r="AB226" s="4" t="str">
        <x:v>Mixed / unresolved</x:v>
      </x:c>
      <x:c r="AC226" s="4" t="str">
        <x:v>Assembly</x:v>
      </x:c>
      <x:c r="AD226" s="4" t="str">
        <x:v>Proposal</x:v>
      </x:c>
      <x:c r="AE226" s="4" t="str">
        <x:f>LOWER(A226&amp;"; "&amp;B226&amp;"; "&amp;D226&amp;"; "&amp;E226&amp;"; "&amp;X226&amp;"; "&amp;Y226&amp;"; "&amp;Z226&amp;"; "&amp;AA226&amp;"; "&amp;AB226&amp;"; "&amp;AC226&amp;"; "&amp;AD226&amp;"; "&amp;V226&amp;"; "&amp;C226&amp;"; "&amp;AH226&amp;"; "&amp;AI226)</x:f>
        <x:v>proposal.fire.glow_holder; shuttered glow-stone holder; salvage; mineral light; tool; finished item; manufactured / unresolved; illumination; mixed / unresolved; assembly; proposal; ; not applicable; t3; finished item</x:v>
      </x:c>
      <x:c r="AF226" s="4" t="inlineStr">
        <x:is>
          <x:t xml:space="preserve">Author direction establishes stone families. Source mechanisms remain proposal-stage; specific equipment functions are proposals. October 15 equipment split: Accessories. General clothing, eyewear, carried personal reserves, carriers and supporting utility gear; no new equipment slots or effects.</x:t>
        </x:is>
      </x:c>
      <x:c r="AG226" s="4" t="str">
        <x:v>Finished endpoint; material tier is not applicable. Input tiers belong to the chosen recipe.</x:v>
      </x:c>
      <x:c r="AH226" s="4" t="str">
        <x:v>T3</x:v>
      </x:c>
      <x:c r="AI226" s="4" t="str">
        <x:v>Finished item</x:v>
      </x:c>
      <x:c r="AJ226" s="4" t="n">
        <x:f>COUNTIFS('Material routes'!$D$6:$D$2205,A226,'Material routes'!$C$6:$C$2205,"Output")</x:f>
        <x:v>1</x:v>
      </x:c>
      <x:c r="AK226" s="4" t="n">
        <x:f>SUM(COUNTIFS('Material routes'!$D$6:$D$2205,A226,'Material routes'!$C$6:$C$2205,"Ingredient candidate"),COUNTIFS('Material routes'!$D$6:$D$2205,A226,'Material routes'!$C$6:$C$2205,"Consumed input"),COUNTIFS('Material routes'!$D$6:$D$2205,A226,'Material routes'!$C$6:$C$2205,"Contained input"),COUNTIFS('Material routes'!$D$6:$D$2205,A226,'Material routes'!$C$6:$C$2205,"Transform input"))</x:f>
        <x:v>0</x:v>
      </x:c>
      <x:c r="AL226" s="4" t="n">
        <x:f>COUNTIFS('Material routes'!$D$6:$D$2205,A226,'Material routes'!$C$6:$C$2205,"Tool candidate")</x:f>
        <x:v>0</x:v>
      </x:c>
      <x:c r="AM226" s="4" t="str">
        <x:f>IF(AJ226&gt;0,"Route listed; review status/completeness",IF(C226="T0","Raw entry feed; no production route","No production route listed"))</x:f>
        <x:v>Route listed; review status/completeness</x:v>
      </x:c>
      <x:c r="AN226" s="14" t="n">
        <x:f>IF(C226="T0",0,IF(C226="T1",1,IF(C226="T2",2,IF(C226="T3",3,IF(C226="T4",4,IF(C226="Unassigned",98,99))))))</x:f>
        <x:v>99</x:v>
      </x:c>
      <x:c r="AZ226"/>
      <x:c r="BA226"/>
      <x:c r="BB226"/>
      <x:c r="BC226"/>
      <x:c r="BD226"/>
      <x:c r="BE226"/>
      <x:c r="BF226"/>
      <x:c r="BG226"/>
      <x:c r="BH226"/>
      <x:c r="BI226"/>
      <x:c r="BJ226"/>
      <x:c r="BK226"/>
      <x:c r="BL226"/>
      <x:c r="BM226"/>
      <x:c r="BN226"/>
      <x:c r="BO226"/>
      <x:c r="BP226"/>
      <x:c r="BQ226"/>
      <x:c r="BR226"/>
      <x:c r="BS226"/>
      <x:c r="BT226"/>
      <x:c r="BU226"/>
      <x:c r="BV226"/>
      <x:c r="BW226"/>
      <x:c r="BX226"/>
      <x:c r="BY226"/>
      <x:c r="BZ226"/>
      <x:c r="CA226"/>
      <x:c r="CB226"/>
      <x:c r="CC226"/>
    </x:row>
    <x:row r="227" ht="115" customHeight="1">
      <x:c r="A227" s="9" t="str">
        <x:v>proposal.lubricant.base</x:v>
      </x:c>
      <x:c r="B227" s="9" t="str">
        <x:v>Clarified faunal lubricant base</x:v>
      </x:c>
      <x:c r="C227" s="4" t="str">
        <x:v>T1</x:v>
      </x:c>
      <x:c r="D227" s="9" t="inlineStr">
        <x:is>
          <x:t xml:space="preserve">Crafting components</x:t>
        </x:is>
      </x:c>
      <x:c r="E227" s="9" t="str">
        <x:v>Lubricant intermediate</x:v>
      </x:c>
      <x:c r="F227" s="9" t="str">
        <x:v>New proposal</x:v>
      </x:c>
      <x:c r="G227" s="9" t="str">
        <x:v>Select a candidate lubricating liquid fraction from existing joint secretion or a suitable species-specific metabolic fluid.</x:v>
      </x:c>
      <x:c r="H227" s="9" t="str">
        <x:v>None</x:v>
      </x:c>
      <x:c r="I227" s="9" t="str">
        <x:v>Contained chemical cargo; carrier policy TBD</x:v>
      </x:c>
      <x:c r="J227" s="13"/>
      <x:c r="K227" s="15"/>
      <x:c r="L227" s="9" t="str">
        <x:v>Process existing faunal secretions in a specialist workshop; exact species and route TBD</x:v>
      </x:c>
      <x:c r="M227" s="9" t="str">
        <x:v>Proposed stages: segregated collection, separation, selected-fraction preparation, compatible formulation, service-specific testing. No formula or numeric yield.</x:v>
      </x:c>
      <x:c r="N227" s="9" t="str">
        <x:v>Not implemented</x:v>
      </x:c>
      <x:c r="O227" s="9" t="str">
        <x:v>Separate grit, hard-clotting fractions and unwanted chemistry; exact apparatus, stabilization, yield and residual toxicity unresolved.</x:v>
      </x:c>
      <x:c r="P227" s="17"/>
      <x:c r="Q227" s="17"/>
      <x:c r="R227" s="17"/>
      <x:c r="S227" s="17"/>
      <x:c r="T227" s="17"/>
      <x:c r="U227" s="9" t="str">
        <x:v>Toxic industrial chemistry remains separate from food. Quality, batch consistency and specialist refinement may drive value; no price, spoilage or maintenance timer assigned.</x:v>
      </x:c>
      <x:c r="V227" s="11" t="str">
        <x:v>grease; lubricant; fauna chemistry; lubrication</x:v>
      </x:c>
      <x:c r="W227"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7" s="4" t="str">
        <x:v>Chemical material</x:v>
      </x:c>
      <x:c r="Y227" s="4" t="str">
        <x:v>Processed intermediate</x:v>
      </x:c>
      <x:c r="Z227" s="4" t="str">
        <x:v>Fauna</x:v>
      </x:c>
      <x:c r="AA227" s="4" t="str">
        <x:v>Chemical processing</x:v>
      </x:c>
      <x:c r="AB227" s="4" t="str">
        <x:v>Biological chemical</x:v>
      </x:c>
      <x:c r="AC227" s="4" t="str">
        <x:v>Liquid</x:v>
      </x:c>
      <x:c r="AD227" s="4" t="str">
        <x:v>Proposal</x:v>
      </x:c>
      <x:c r="AE227" s="4" t="str">
        <x:f>LOWER(A227&amp;"; "&amp;B227&amp;"; "&amp;D227&amp;"; "&amp;E227&amp;"; "&amp;X227&amp;"; "&amp;Y227&amp;"; "&amp;Z227&amp;"; "&amp;AA227&amp;"; "&amp;AB227&amp;"; "&amp;AC227&amp;"; "&amp;AD227&amp;"; "&amp;V227&amp;"; "&amp;C227&amp;"; "&amp;AH227&amp;"; "&amp;AI227)</x:f>
        <x:v>proposal.lubricant.base; clarified faunal lubricant base; crafting components; lubricant intermediate; chemical material; processed intermediate; fauna; chemical processing; biological chemical; liquid; proposal; grease; lubricant; fauna chemistry; lubrication; t1; not applicable; material</x:v>
      </x:c>
      <x:c r="AF227"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7" s="4" t="str">
        <x:v>Proposed game manufacturing tier from the candidate routes. Integrated operations may contain many work steps.</x:v>
      </x:c>
      <x:c r="AH227" s="4" t="str">
        <x:v>Not applicable</x:v>
      </x:c>
      <x:c r="AI227" s="4" t="str">
        <x:v>Material</x:v>
      </x:c>
      <x:c r="AJ227" s="4" t="n">
        <x:f>COUNTIFS('Material routes'!$D$6:$D$2205,A227,'Material routes'!$C$6:$C$2205,"Output")</x:f>
        <x:v>1</x:v>
      </x:c>
      <x:c r="AK227" s="4" t="n">
        <x:f>SUM(COUNTIFS('Material routes'!$D$6:$D$2205,A227,'Material routes'!$C$6:$C$2205,"Ingredient candidate"),COUNTIFS('Material routes'!$D$6:$D$2205,A227,'Material routes'!$C$6:$C$2205,"Consumed input"),COUNTIFS('Material routes'!$D$6:$D$2205,A227,'Material routes'!$C$6:$C$2205,"Contained input"),COUNTIFS('Material routes'!$D$6:$D$2205,A227,'Material routes'!$C$6:$C$2205,"Transform input"))</x:f>
        <x:v>6</x:v>
      </x:c>
      <x:c r="AL227" s="4" t="n">
        <x:f>COUNTIFS('Material routes'!$D$6:$D$2205,A227,'Material routes'!$C$6:$C$2205,"Tool candidate")</x:f>
        <x:v>0</x:v>
      </x:c>
      <x:c r="AM227" s="4" t="str">
        <x:f>IF(AJ227&gt;0,"Route listed; review status/completeness",IF(C227="T0","Raw entry feed; no production route","No production route listed"))</x:f>
        <x:v>Route listed; review status/completeness</x:v>
      </x:c>
      <x:c r="AN227" s="14" t="n">
        <x:f>IF(C227="T0",0,IF(C227="T1",1,IF(C227="T2",2,IF(C227="T3",3,IF(C227="T4",4,IF(C227="Unassigned",98,99))))))</x:f>
        <x:v>1</x:v>
      </x:c>
      <x:c r="AZ227"/>
      <x:c r="BA227"/>
      <x:c r="BB227"/>
      <x:c r="BC227"/>
      <x:c r="BD227"/>
      <x:c r="BE227"/>
      <x:c r="BF227"/>
      <x:c r="BG227"/>
      <x:c r="BH227"/>
      <x:c r="BI227"/>
      <x:c r="BJ227"/>
      <x:c r="BK227"/>
      <x:c r="BL227"/>
      <x:c r="BM227"/>
      <x:c r="BN227"/>
      <x:c r="BO227"/>
      <x:c r="BP227"/>
      <x:c r="BQ227"/>
      <x:c r="BR227"/>
      <x:c r="BS227"/>
      <x:c r="BT227"/>
      <x:c r="BU227"/>
      <x:c r="BV227"/>
      <x:c r="BW227"/>
      <x:c r="BX227"/>
      <x:c r="BY227"/>
      <x:c r="BZ227"/>
      <x:c r="CA227"/>
      <x:c r="CB227"/>
      <x:c r="CC227"/>
    </x:row>
    <x:row r="228" ht="115" customHeight="1">
      <x:c r="A228" s="9" t="str">
        <x:v>proposal.lubricant.thickener</x:v>
      </x:c>
      <x:c r="B228" s="9" t="str">
        <x:v>Prepared secretion thickener</x:v>
      </x:c>
      <x:c r="C228" s="4" t="str">
        <x:v>T1</x:v>
      </x:c>
      <x:c r="D228" s="9" t="inlineStr">
        <x:is>
          <x:t xml:space="preserve">Crafting components</x:t>
        </x:is>
      </x:c>
      <x:c r="E228" s="9" t="str">
        <x:v>Lubricant intermediate</x:v>
      </x:c>
      <x:c r="F228" s="9" t="str">
        <x:v>New proposal</x:v>
      </x:c>
      <x:c r="G228" s="9" t="inlineStr">
        <x:is>
          <x:t xml:space="preserve">Selected biological fraction proposed to give a compatible lubricant body and retention. It is a candidate industrial input or process aid. Its composition, containment and compatible treatment must be established; usefulness does not imply edibility.</x:t>
        </x:is>
      </x:c>
      <x:c r="H228" s="9" t="str">
        <x:v>None</x:v>
      </x:c>
      <x:c r="I228" s="9" t="str">
        <x:v>Contained chemical cargo; carrier policy TBD</x:v>
      </x:c>
      <x:c r="J228" s="13"/>
      <x:c r="K228" s="15"/>
      <x:c r="L228" s="9" t="str">
        <x:v>Process existing faunal secretions in a specialist workshop; exact species and route TBD</x:v>
      </x:c>
      <x:c r="M228" s="9" t="str">
        <x:v>Proposed stages: segregated collection, separation, selected-fraction preparation, compatible formulation, service-specific testing. No formula or numeric yield.</x:v>
      </x:c>
      <x:c r="N228" s="9" t="str">
        <x:v>Not implemented</x:v>
      </x:c>
      <x:c r="O228" s="9" t="str">
        <x:v>New research candidate, not automatic use of shell glue, husk enzymes, wax or conventional animal fat. It must remain workable rather than cure hard.</x:v>
      </x:c>
      <x:c r="P228" s="17"/>
      <x:c r="Q228" s="17"/>
      <x:c r="R228" s="17"/>
      <x:c r="S228" s="17"/>
      <x:c r="T228" s="17"/>
      <x:c r="U228" s="9" t="str">
        <x:v>Toxic industrial chemistry remains separate from food. Quality, batch consistency and specialist refinement may drive value; no price, spoilage or maintenance timer assigned.</x:v>
      </x:c>
      <x:c r="V228" s="11" t="str">
        <x:v>grease; lubricant; fauna chemistry; lubrication</x:v>
      </x:c>
      <x:c r="W228"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8" s="4" t="str">
        <x:v>Chemical material</x:v>
      </x:c>
      <x:c r="Y228" s="4" t="str">
        <x:v>Processed intermediate</x:v>
      </x:c>
      <x:c r="Z228" s="4" t="str">
        <x:v>Fauna</x:v>
      </x:c>
      <x:c r="AA228" s="4" t="str">
        <x:v>Chemical processing</x:v>
      </x:c>
      <x:c r="AB228" s="4" t="str">
        <x:v>Biological chemical</x:v>
      </x:c>
      <x:c r="AC228" s="4" t="str">
        <x:v>Unresolved</x:v>
      </x:c>
      <x:c r="AD228" s="4" t="str">
        <x:v>Proposal</x:v>
      </x:c>
      <x:c r="AE228" s="4" t="str">
        <x:f>LOWER(A228&amp;"; "&amp;B228&amp;"; "&amp;D228&amp;"; "&amp;E228&amp;"; "&amp;X228&amp;"; "&amp;Y228&amp;"; "&amp;Z228&amp;"; "&amp;AA228&amp;"; "&amp;AB228&amp;"; "&amp;AC228&amp;"; "&amp;AD228&amp;"; "&amp;V228&amp;"; "&amp;C228&amp;"; "&amp;AH228&amp;"; "&amp;AI228)</x:f>
        <x:v>proposal.lubricant.thickener; prepared secretion thickener; crafting components; lubricant intermediate; chemical material; processed intermediate; fauna; chemical processing; biological chemical; unresolved; proposal; grease; lubricant; fauna chemistry; lubrication; t1; not applicable; material</x:v>
      </x:c>
      <x:c r="AF228"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8" s="4" t="str">
        <x:v>Proposed game manufacturing tier from the candidate routes. Integrated operations may contain many work steps.</x:v>
      </x:c>
      <x:c r="AH228" s="4" t="str">
        <x:v>Not applicable</x:v>
      </x:c>
      <x:c r="AI228" s="4" t="str">
        <x:v>Material</x:v>
      </x:c>
      <x:c r="AJ228" s="4" t="n">
        <x:f>COUNTIFS('Material routes'!$D$6:$D$2205,A228,'Material routes'!$C$6:$C$2205,"Output")</x:f>
        <x:v>1</x:v>
      </x:c>
      <x:c r="AK228" s="4" t="n">
        <x:f>SUM(COUNTIFS('Material routes'!$D$6:$D$2205,A228,'Material routes'!$C$6:$C$2205,"Ingredient candidate"),COUNTIFS('Material routes'!$D$6:$D$2205,A228,'Material routes'!$C$6:$C$2205,"Consumed input"),COUNTIFS('Material routes'!$D$6:$D$2205,A228,'Material routes'!$C$6:$C$2205,"Contained input"),COUNTIFS('Material routes'!$D$6:$D$2205,A228,'Material routes'!$C$6:$C$2205,"Transform input"))</x:f>
        <x:v>3</x:v>
      </x:c>
      <x:c r="AL228" s="4" t="n">
        <x:f>COUNTIFS('Material routes'!$D$6:$D$2205,A228,'Material routes'!$C$6:$C$2205,"Tool candidate")</x:f>
        <x:v>0</x:v>
      </x:c>
      <x:c r="AM228" s="4" t="str">
        <x:f>IF(AJ228&gt;0,"Route listed; review status/completeness",IF(C228="T0","Raw entry feed; no production route","No production route listed"))</x:f>
        <x:v>Route listed; review status/completeness</x:v>
      </x:c>
      <x:c r="AN228" s="14" t="n">
        <x:f>IF(C228="T0",0,IF(C228="T1",1,IF(C228="T2",2,IF(C228="T3",3,IF(C228="T4",4,IF(C228="Unassigned",98,99))))))</x:f>
        <x:v>1</x:v>
      </x:c>
      <x:c r="AZ228"/>
      <x:c r="BA228"/>
      <x:c r="BB228"/>
      <x:c r="BC228"/>
      <x:c r="BD228"/>
      <x:c r="BE228"/>
      <x:c r="BF228"/>
      <x:c r="BG228"/>
      <x:c r="BH228"/>
      <x:c r="BI228"/>
      <x:c r="BJ228"/>
      <x:c r="BK228"/>
      <x:c r="BL228"/>
      <x:c r="BM228"/>
      <x:c r="BN228"/>
      <x:c r="BO228"/>
      <x:c r="BP228"/>
      <x:c r="BQ228"/>
      <x:c r="BR228"/>
      <x:c r="BS228"/>
      <x:c r="BT228"/>
      <x:c r="BU228"/>
      <x:c r="BV228"/>
      <x:c r="BW228"/>
      <x:c r="BX228"/>
      <x:c r="BY228"/>
      <x:c r="BZ228"/>
      <x:c r="CA228"/>
      <x:c r="CB228"/>
      <x:c r="CC228"/>
    </x:row>
    <x:row r="229" ht="115" customHeight="1">
      <x:c r="A229" s="9" t="str">
        <x:v>proposal.lubricant.joint_grease</x:v>
      </x:c>
      <x:c r="B229" s="9" t="str">
        <x:v>Faunal joint grease</x:v>
      </x:c>
      <x:c r="C229" s="4" t="str">
        <x:v>T2</x:v>
      </x:c>
      <x:c r="D229" s="9" t="inlineStr">
        <x:is>
          <x:t xml:space="preserve">Crafting components</x:t>
        </x:is>
      </x:c>
      <x:c r="E229" s="9" t="str">
        <x:v>Finished lubricant</x:v>
      </x:c>
      <x:c r="F229" s="9" t="str">
        <x:v>New proposal</x:v>
      </x:c>
      <x:c r="G229" s="9" t="str">
        <x:v>Lubricant base plus a compatible prepared thickener, proposed for slow mechanical pivots and heavy joints.</x:v>
      </x:c>
      <x:c r="H229" s="9" t="str">
        <x:v>None</x:v>
      </x:c>
      <x:c r="I229" s="9" t="str">
        <x:v>Contained chemical cargo; carrier policy TBD</x:v>
      </x:c>
      <x:c r="J229" s="13"/>
      <x:c r="K229" s="15"/>
      <x:c r="L229" s="9" t="str">
        <x:v>Process existing faunal secretions in a specialist workshop; exact species and route TBD</x:v>
      </x:c>
      <x:c r="M229" s="9" t="str">
        <x:v>Proposed stages: segregated collection, separation, selected-fraction preparation, compatible formulation, service-specific testing. No formula or numeric yield.</x:v>
      </x:c>
      <x:c r="N229" s="9" t="str">
        <x:v>Not implemented</x:v>
      </x:c>
      <x:c r="O229" s="9" t="str">
        <x:v>Application, consistency, seal fit and service interval TBD. Raw secretion is not ready-to-use universal grease.</x:v>
      </x:c>
      <x:c r="P229" s="17"/>
      <x:c r="Q229" s="17"/>
      <x:c r="R229" s="17"/>
      <x:c r="S229" s="17"/>
      <x:c r="T229" s="17"/>
      <x:c r="U229" s="9" t="str">
        <x:v>Toxic industrial chemistry remains separate from food. Quality, batch consistency and specialist refinement may drive value; no price, spoilage or maintenance timer assigned.</x:v>
      </x:c>
      <x:c r="V229" s="11" t="str">
        <x:v>grease; lubricant; fauna chemistry; equipment repair</x:v>
      </x:c>
      <x:c r="W229"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9" s="4" t="str">
        <x:v>Chemical material</x:v>
      </x:c>
      <x:c r="Y229" s="4" t="str">
        <x:v>Finished item</x:v>
      </x:c>
      <x:c r="Z229" s="4" t="str">
        <x:v>Fauna</x:v>
      </x:c>
      <x:c r="AA229" s="4" t="str">
        <x:v>Lubrication</x:v>
      </x:c>
      <x:c r="AB229" s="4" t="str">
        <x:v>Biological chemical</x:v>
      </x:c>
      <x:c r="AC229" s="4" t="str">
        <x:v>Paste</x:v>
      </x:c>
      <x:c r="AD229" s="4" t="str">
        <x:v>Proposal</x:v>
      </x:c>
      <x:c r="AE229" s="4" t="str">
        <x:f>LOWER(A229&amp;"; "&amp;B229&amp;"; "&amp;D229&amp;"; "&amp;E229&amp;"; "&amp;X229&amp;"; "&amp;Y229&amp;"; "&amp;Z229&amp;"; "&amp;AA229&amp;"; "&amp;AB229&amp;"; "&amp;AC229&amp;"; "&amp;AD229&amp;"; "&amp;V229&amp;"; "&amp;C229&amp;"; "&amp;AH229&amp;"; "&amp;AI229)</x:f>
        <x:v>proposal.lubricant.joint_grease; faunal joint grease; crafting components; finished lubricant; chemical material; finished item; fauna; lubrication; biological chemical; paste; proposal; grease; lubricant; fauna chemistry; equipment repair; t2; not applicable; material</x:v>
      </x:c>
      <x:c r="AF229"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9" s="4" t="str">
        <x:v>Proposed game manufacturing tier from the candidate routes. Integrated operations may contain many work steps.</x:v>
      </x:c>
      <x:c r="AH229" s="4" t="str">
        <x:v>Not applicable</x:v>
      </x:c>
      <x:c r="AI229" s="4" t="str">
        <x:v>Material</x:v>
      </x:c>
      <x:c r="AJ229" s="4" t="n">
        <x:f>COUNTIFS('Material routes'!$D$6:$D$2205,A229,'Material routes'!$C$6:$C$2205,"Output")</x:f>
        <x:v>1</x:v>
      </x:c>
      <x:c r="AK229" s="4" t="n">
        <x:f>SUM(COUNTIFS('Material routes'!$D$6:$D$2205,A229,'Material routes'!$C$6:$C$2205,"Ingredient candidate"),COUNTIFS('Material routes'!$D$6:$D$2205,A229,'Material routes'!$C$6:$C$2205,"Consumed input"),COUNTIFS('Material routes'!$D$6:$D$2205,A229,'Material routes'!$C$6:$C$2205,"Contained input"),COUNTIFS('Material routes'!$D$6:$D$2205,A229,'Material routes'!$C$6:$C$2205,"Transform input"))</x:f>
        <x:v>2</x:v>
      </x:c>
      <x:c r="AL229" s="4" t="n">
        <x:f>COUNTIFS('Material routes'!$D$6:$D$2205,A229,'Material routes'!$C$6:$C$2205,"Tool candidate")</x:f>
        <x:v>0</x:v>
      </x:c>
      <x:c r="AM229" s="4" t="str">
        <x:f>IF(AJ229&gt;0,"Route listed; review status/completeness",IF(C229="T0","Raw entry feed; no production route","No production route listed"))</x:f>
        <x:v>Route listed; review status/completeness</x:v>
      </x:c>
      <x:c r="AN229" s="14" t="n">
        <x:f>IF(C229="T0",0,IF(C229="T1",1,IF(C229="T2",2,IF(C229="T3",3,IF(C229="T4",4,IF(C229="Unassigned",98,99))))))</x:f>
        <x:v>2</x:v>
      </x:c>
      <x:c r="AZ229"/>
      <x:c r="BA229"/>
      <x:c r="BB229"/>
      <x:c r="BC229"/>
      <x:c r="BD229"/>
      <x:c r="BE229"/>
      <x:c r="BF229"/>
      <x:c r="BG229"/>
      <x:c r="BH229"/>
      <x:c r="BI229"/>
      <x:c r="BJ229"/>
      <x:c r="BK229"/>
      <x:c r="BL229"/>
      <x:c r="BM229"/>
      <x:c r="BN229"/>
      <x:c r="BO229"/>
      <x:c r="BP229"/>
      <x:c r="BQ229"/>
      <x:c r="BR229"/>
      <x:c r="BS229"/>
      <x:c r="BT229"/>
      <x:c r="BU229"/>
      <x:c r="BV229"/>
      <x:c r="BW229"/>
      <x:c r="BX229"/>
      <x:c r="BY229"/>
      <x:c r="BZ229"/>
      <x:c r="CA229"/>
      <x:c r="CB229"/>
      <x:c r="CC229"/>
    </x:row>
    <x:row r="230" ht="170" customHeight="1">
      <x:c r="A230" s="9" t="str">
        <x:v>proposal.lubricant.dust_film</x:v>
      </x:c>
      <x:c r="B230" s="9" t="str">
        <x:v>Dust-shedding lubricant film</x:v>
      </x:c>
      <x:c r="C230" s="4" t="str">
        <x:v>T2</x:v>
      </x:c>
      <x:c r="D230" s="9" t="inlineStr">
        <x:is>
          <x:t xml:space="preserve">Crafting components</x:t>
        </x:is>
      </x:c>
      <x:c r="E230" s="9" t="str">
        <x:v>Finished lubricant</x:v>
      </x:c>
      <x:c r="F230" s="9" t="str">
        <x:v>New proposal</x:v>
      </x:c>
      <x:c r="G230" s="9" t="inlineStr">
        <x:is>
          <x:t xml:space="preserve">Candidate thin-film finish for exposed tool slides and guides in dusty terrain. It is intended to reduce friction at a matched contact surface; dust behavior and material compatibility require qualification.</x:t>
        </x:is>
      </x:c>
      <x:c r="H230" s="9" t="str">
        <x:v>None</x:v>
      </x:c>
      <x:c r="I230" s="9" t="str">
        <x:v>Contained chemical cargo; carrier policy TBD</x:v>
      </x:c>
      <x:c r="J230" s="13"/>
      <x:c r="K230" s="15"/>
      <x:c r="L230" s="9" t="str">
        <x:v>Process existing faunal secretions in a specialist workshop; exact species and route TBD</x:v>
      </x:c>
      <x:c r="M230" s="9" t="str">
        <x:v>Proposed stages: segregated collection, separation, selected-fraction preparation, compatible formulation, service-specific testing. No formula or numeric yield.</x:v>
      </x:c>
      <x:c r="N230" s="9" t="str">
        <x:v>Not implemented</x:v>
      </x:c>
      <x:c r="O230" s="9" t="str">
        <x:v>Design goal: avoid a persistent sticky exposed coating. Film formation, dust behavior and reapplication remain unverified.</x:v>
      </x:c>
      <x:c r="P230" s="17"/>
      <x:c r="Q230" s="17"/>
      <x:c r="R230" s="17"/>
      <x:c r="S230" s="17"/>
      <x:c r="T230" s="17"/>
      <x:c r="U230" s="9" t="str">
        <x:v>Toxic industrial chemistry remains separate from food. Quality, batch consistency and specialist refinement may drive value; no price, spoilage or maintenance timer assigned.</x:v>
      </x:c>
      <x:c r="V230" s="11" t="str">
        <x:v>grease; lubricant; fauna chemistry; dust exclusion</x:v>
      </x:c>
      <x:c r="W230"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0" s="4" t="str">
        <x:v>Chemical material</x:v>
      </x:c>
      <x:c r="Y230" s="4" t="str">
        <x:v>Finished item</x:v>
      </x:c>
      <x:c r="Z230" s="4" t="str">
        <x:v>Fauna</x:v>
      </x:c>
      <x:c r="AA230" s="4" t="str">
        <x:v>Lubrication</x:v>
      </x:c>
      <x:c r="AB230" s="4" t="str">
        <x:v>Biological chemical</x:v>
      </x:c>
      <x:c r="AC230" s="4" t="str">
        <x:v>Unresolved</x:v>
      </x:c>
      <x:c r="AD230" s="4" t="str">
        <x:v>Proposal</x:v>
      </x:c>
      <x:c r="AE230" s="4" t="str">
        <x:f>LOWER(A230&amp;"; "&amp;B230&amp;"; "&amp;D230&amp;"; "&amp;E230&amp;"; "&amp;X230&amp;"; "&amp;Y230&amp;"; "&amp;Z230&amp;"; "&amp;AA230&amp;"; "&amp;AB230&amp;"; "&amp;AC230&amp;"; "&amp;AD230&amp;"; "&amp;V230&amp;"; "&amp;C230&amp;"; "&amp;AH230&amp;"; "&amp;AI230)</x:f>
        <x:v>proposal.lubricant.dust_film; dust-shedding lubricant film; crafting components; finished lubricant; chemical material; finished item; fauna; lubrication; biological chemical; unresolved; proposal; grease; lubricant; fauna chemistry; dust exclusion; t2; not applicable; material</x:v>
      </x:c>
      <x:c r="AF230"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0" s="4" t="str">
        <x:v>October 15 proposed tier review: 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AH230" s="4" t="str">
        <x:v>Not applicable</x:v>
      </x:c>
      <x:c r="AI230" s="4" t="str">
        <x:v>Material</x:v>
      </x:c>
      <x:c r="AJ230" s="4" t="n">
        <x:f>COUNTIFS('Material routes'!$D$6:$D$2205,A230,'Material routes'!$C$6:$C$2205,"Output")</x:f>
        <x:v>1</x:v>
      </x:c>
      <x:c r="AK230" s="4" t="n">
        <x:f>SUM(COUNTIFS('Material routes'!$D$6:$D$2205,A230,'Material routes'!$C$6:$C$2205,"Ingredient candidate"),COUNTIFS('Material routes'!$D$6:$D$2205,A230,'Material routes'!$C$6:$C$2205,"Consumed input"),COUNTIFS('Material routes'!$D$6:$D$2205,A230,'Material routes'!$C$6:$C$2205,"Contained input"),COUNTIFS('Material routes'!$D$6:$D$2205,A230,'Material routes'!$C$6:$C$2205,"Transform input"))</x:f>
        <x:v>0</x:v>
      </x:c>
      <x:c r="AL230" s="4" t="n">
        <x:f>COUNTIFS('Material routes'!$D$6:$D$2205,A230,'Material routes'!$C$6:$C$2205,"Tool candidate")</x:f>
        <x:v>0</x:v>
      </x:c>
      <x:c r="AM230" s="4" t="str">
        <x:f>IF(AJ230&gt;0,"Route listed; review status/completeness",IF(C230="T0","Raw entry feed; no production route","No production route listed"))</x:f>
        <x:v>Route listed; review status/completeness</x:v>
      </x:c>
      <x:c r="AN230" s="14" t="n">
        <x:f>IF(C230="T0",0,IF(C230="T1",1,IF(C230="T2",2,IF(C230="T3",3,IF(C230="T4",4,IF(C230="Unassigned",98,99))))))</x:f>
        <x:v>2</x:v>
      </x:c>
      <x:c r="AZ230"/>
      <x:c r="BA230"/>
      <x:c r="BB230"/>
      <x:c r="BC230"/>
      <x:c r="BD230"/>
      <x:c r="BE230"/>
      <x:c r="BF230"/>
      <x:c r="BG230"/>
      <x:c r="BH230"/>
      <x:c r="BI230"/>
      <x:c r="BJ230"/>
      <x:c r="BK230"/>
      <x:c r="BL230"/>
      <x:c r="BM230"/>
      <x:c r="BN230"/>
      <x:c r="BO230"/>
      <x:c r="BP230"/>
      <x:c r="BQ230"/>
      <x:c r="BR230"/>
      <x:c r="BS230"/>
      <x:c r="BT230"/>
      <x:c r="BU230"/>
      <x:c r="BV230"/>
      <x:c r="BW230"/>
      <x:c r="BX230"/>
      <x:c r="BY230"/>
      <x:c r="BZ230"/>
      <x:c r="CA230"/>
      <x:c r="CB230"/>
      <x:c r="CC230"/>
    </x:row>
    <x:row r="231" ht="170" customHeight="1">
      <x:c r="A231" s="9" t="str">
        <x:v>proposal.lubricant.seal_paste</x:v>
      </x:c>
      <x:c r="B231" s="9" t="str">
        <x:v>Seal-conditioning paste</x:v>
      </x:c>
      <x:c r="C231" s="4" t="str">
        <x:v>T2</x:v>
      </x:c>
      <x:c r="D231" s="9" t="inlineStr">
        <x:is>
          <x:t xml:space="preserve">Crafting components</x:t>
        </x:is>
      </x:c>
      <x:c r="E231" s="9" t="str">
        <x:v>Finished lubricant</x:v>
      </x:c>
      <x:c r="F231" s="9" t="str">
        <x:v>New proposal</x:v>
      </x:c>
      <x:c r="G231" s="9" t="inlineStr">
        <x:is>
          <x:t xml:space="preserve">Candidate small-dose conditioner for a specifically compatible canister seal material. It is intended to reduce friction at a matched contact surface; dust behavior and material compatibility require qualification.</x:t>
        </x:is>
      </x:c>
      <x:c r="H231" s="9" t="str">
        <x:v>None</x:v>
      </x:c>
      <x:c r="I231" s="9" t="str">
        <x:v>Contained chemical cargo; carrier policy TBD</x:v>
      </x:c>
      <x:c r="J231" s="13"/>
      <x:c r="K231" s="15"/>
      <x:c r="L231" s="9" t="str">
        <x:v>Process existing faunal secretions in a specialist workshop; exact species and route TBD</x:v>
      </x:c>
      <x:c r="M231" s="9" t="str">
        <x:v>Proposed stages: segregated collection, separation, selected-fraction preparation, compatible formulation, service-specific testing. No formula or numeric yield.</x:v>
      </x:c>
      <x:c r="N231" s="9" t="str">
        <x:v>Not implemented</x:v>
      </x:c>
      <x:c r="O231" s="9" t="str">
        <x:v>Not a sealant, adhesive or repair for a broken seal. Must not contaminate the payload or damage the selected seal.</x:v>
      </x:c>
      <x:c r="P231" s="17"/>
      <x:c r="Q231" s="17"/>
      <x:c r="R231" s="17"/>
      <x:c r="S231" s="17"/>
      <x:c r="T231" s="17"/>
      <x:c r="U231" s="9" t="str">
        <x:v>Toxic industrial chemistry remains separate from food. Quality, batch consistency and specialist refinement may drive value; no price, spoilage or maintenance timer assigned.</x:v>
      </x:c>
      <x:c r="V231" s="11" t="str">
        <x:v>grease; lubricant; fauna chemistry; sealing</x:v>
      </x:c>
      <x:c r="W231"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1" s="4" t="str">
        <x:v>Chemical material</x:v>
      </x:c>
      <x:c r="Y231" s="4" t="str">
        <x:v>Finished item</x:v>
      </x:c>
      <x:c r="Z231" s="4" t="str">
        <x:v>Fauna</x:v>
      </x:c>
      <x:c r="AA231" s="4" t="str">
        <x:v>Lubrication</x:v>
      </x:c>
      <x:c r="AB231" s="4" t="str">
        <x:v>Biological chemical</x:v>
      </x:c>
      <x:c r="AC231" s="4" t="str">
        <x:v>Paste</x:v>
      </x:c>
      <x:c r="AD231" s="4" t="str">
        <x:v>Proposal</x:v>
      </x:c>
      <x:c r="AE231" s="4" t="str">
        <x:f>LOWER(A231&amp;"; "&amp;B231&amp;"; "&amp;D231&amp;"; "&amp;E231&amp;"; "&amp;X231&amp;"; "&amp;Y231&amp;"; "&amp;Z231&amp;"; "&amp;AA231&amp;"; "&amp;AB231&amp;"; "&amp;AC231&amp;"; "&amp;AD231&amp;"; "&amp;V231&amp;"; "&amp;C231&amp;"; "&amp;AH231&amp;"; "&amp;AI231)</x:f>
        <x:v>proposal.lubricant.seal_paste; seal-conditioning paste; crafting components; finished lubricant; chemical material; finished item; fauna; lubrication; biological chemical; paste; proposal; grease; lubricant; fauna chemistry; sealing; t2; not applicable; material</x:v>
      </x:c>
      <x:c r="AF231"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1" s="4" t="str">
        <x:v>October 15 proposed tier review: 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AH231" s="4" t="str">
        <x:v>Not applicable</x:v>
      </x:c>
      <x:c r="AI231" s="4" t="str">
        <x:v>Material</x:v>
      </x:c>
      <x:c r="AJ231" s="4" t="n">
        <x:f>COUNTIFS('Material routes'!$D$6:$D$2205,A231,'Material routes'!$C$6:$C$2205,"Output")</x:f>
        <x:v>1</x:v>
      </x:c>
      <x:c r="AK231" s="4" t="n">
        <x:f>SUM(COUNTIFS('Material routes'!$D$6:$D$2205,A231,'Material routes'!$C$6:$C$2205,"Ingredient candidate"),COUNTIFS('Material routes'!$D$6:$D$2205,A231,'Material routes'!$C$6:$C$2205,"Consumed input"),COUNTIFS('Material routes'!$D$6:$D$2205,A231,'Material routes'!$C$6:$C$2205,"Contained input"),COUNTIFS('Material routes'!$D$6:$D$2205,A231,'Material routes'!$C$6:$C$2205,"Transform input"))</x:f>
        <x:v>0</x:v>
      </x:c>
      <x:c r="AL231" s="4" t="n">
        <x:f>COUNTIFS('Material routes'!$D$6:$D$2205,A231,'Material routes'!$C$6:$C$2205,"Tool candidate")</x:f>
        <x:v>0</x:v>
      </x:c>
      <x:c r="AM231" s="4" t="str">
        <x:f>IF(AJ231&gt;0,"Route listed; review status/completeness",IF(C231="T0","Raw entry feed; no production route","No production route listed"))</x:f>
        <x:v>Route listed; review status/completeness</x:v>
      </x:c>
      <x:c r="AN231" s="14" t="n">
        <x:f>IF(C231="T0",0,IF(C231="T1",1,IF(C231="T2",2,IF(C231="T3",3,IF(C231="T4",4,IF(C231="Unassigned",98,99))))))</x:f>
        <x:v>2</x:v>
      </x:c>
      <x:c r="AZ231"/>
      <x:c r="BA231"/>
      <x:c r="BB231"/>
      <x:c r="BC231"/>
      <x:c r="BD231"/>
      <x:c r="BE231"/>
      <x:c r="BF231"/>
      <x:c r="BG231"/>
      <x:c r="BH231"/>
      <x:c r="BI231"/>
      <x:c r="BJ231"/>
      <x:c r="BK231"/>
      <x:c r="BL231"/>
      <x:c r="BM231"/>
      <x:c r="BN231"/>
      <x:c r="BO231"/>
      <x:c r="BP231"/>
      <x:c r="BQ231"/>
      <x:c r="BR231"/>
      <x:c r="BS231"/>
      <x:c r="BT231"/>
      <x:c r="BU231"/>
      <x:c r="BV231"/>
      <x:c r="BW231"/>
      <x:c r="BX231"/>
      <x:c r="BY231"/>
      <x:c r="BZ231"/>
      <x:c r="CA231"/>
      <x:c r="CB231"/>
      <x:c r="CC231"/>
    </x:row>
    <x:row r="232" ht="115" customHeight="1">
      <x:c r="A232" s="9" t="str">
        <x:v>proposal.lubricant.graphite_grease</x:v>
      </x:c>
      <x:c r="B232" s="9" t="str">
        <x:v>Graphite faunal grease</x:v>
      </x:c>
      <x:c r="C232" s="4" t="str">
        <x:v>T2</x:v>
      </x:c>
      <x:c r="D232" s="9" t="inlineStr">
        <x:is>
          <x:t xml:space="preserve">Crafting components</x:t>
        </x:is>
      </x:c>
      <x:c r="E232" s="9" t="str">
        <x:v>Finished lubricant</x:v>
      </x:c>
      <x:c r="F232" s="9" t="str">
        <x:v>New proposal</x:v>
      </x:c>
      <x:c r="G232" s="9" t="inlineStr">
        <x:is>
          <x:t xml:space="preserve">Candidate lubricating blend using existing graded graphite flakes in a compatible faunal carrier. It is intended to reduce friction at a matched contact surface; dust behavior and material compatibility require qualification.</x:t>
        </x:is>
      </x:c>
      <x:c r="H232" s="9" t="str">
        <x:v>None</x:v>
      </x:c>
      <x:c r="I232" s="9" t="str">
        <x:v>Contained chemical cargo; carrier policy TBD</x:v>
      </x:c>
      <x:c r="J232" s="13"/>
      <x:c r="K232" s="15"/>
      <x:c r="L232" s="9" t="str">
        <x:v>Process existing faunal secretions in a specialist workshop; exact species and route TBD</x:v>
      </x:c>
      <x:c r="M232" s="9" t="str">
        <x:v>Proposed stages: segregated collection, separation, selected-fraction preparation, compatible formulation, service-specific testing. No formula or numeric yield.</x:v>
      </x:c>
      <x:c r="N232" s="9" t="str">
        <x:v>Not implemented</x:v>
      </x:c>
      <x:c r="O232" s="9" t="str">
        <x:v>Particle grade and part compatibility TBD. Keep electrical-contact behavior separate; no universal lubricant for every machine.</x:v>
      </x:c>
      <x:c r="P232" s="17"/>
      <x:c r="Q232" s="17"/>
      <x:c r="R232" s="17"/>
      <x:c r="S232" s="17"/>
      <x:c r="T232" s="17"/>
      <x:c r="U232" s="9" t="str">
        <x:v>Toxic industrial chemistry remains separate from food. Quality, batch consistency and specialist refinement may drive value; no price, spoilage or maintenance timer assigned.</x:v>
      </x:c>
      <x:c r="V232" s="11" t="str">
        <x:v>grease; lubricant; fauna chemistry; equipment repair</x:v>
      </x:c>
      <x:c r="W232"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2" s="4" t="str">
        <x:v>Chemical material</x:v>
      </x:c>
      <x:c r="Y232" s="4" t="str">
        <x:v>Finished item</x:v>
      </x:c>
      <x:c r="Z232" s="4" t="str">
        <x:v>Fauna</x:v>
      </x:c>
      <x:c r="AA232" s="4" t="str">
        <x:v>Lubrication</x:v>
      </x:c>
      <x:c r="AB232" s="4" t="str">
        <x:v>Biological and mineral mixture</x:v>
      </x:c>
      <x:c r="AC232" s="4" t="str">
        <x:v>Paste</x:v>
      </x:c>
      <x:c r="AD232" s="4" t="str">
        <x:v>Proposal</x:v>
      </x:c>
      <x:c r="AE232" s="4" t="str">
        <x:f>LOWER(A232&amp;"; "&amp;B232&amp;"; "&amp;D232&amp;"; "&amp;E232&amp;"; "&amp;X232&amp;"; "&amp;Y232&amp;"; "&amp;Z232&amp;"; "&amp;AA232&amp;"; "&amp;AB232&amp;"; "&amp;AC232&amp;"; "&amp;AD232&amp;"; "&amp;V232&amp;"; "&amp;C232&amp;"; "&amp;AH232&amp;"; "&amp;AI232)</x:f>
        <x:v>proposal.lubricant.graphite_grease; graphite faunal grease; crafting components; finished lubricant; chemical material; finished item; fauna; lubrication; biological and mineral mixture; paste; proposal; grease; lubricant; fauna chemistry; equipment repair; t2; not applicable; material</x:v>
      </x:c>
      <x:c r="AF232"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2" s="4" t="str">
        <x:v>Proposed October 15 tier/recipe for the existing item family; not a change to its original item-design status. Existing proposal reused. Grit size, compatibility, conductivity and suitability for specific mechanisms remain open.</x:v>
      </x:c>
      <x:c r="AH232" s="4" t="str">
        <x:v>Not applicable</x:v>
      </x:c>
      <x:c r="AI232" s="4" t="str">
        <x:v>Material</x:v>
      </x:c>
      <x:c r="AJ232" s="4" t="n">
        <x:f>COUNTIFS('Material routes'!$D$6:$D$2205,A232,'Material routes'!$C$6:$C$2205,"Output")</x:f>
        <x:v>1</x:v>
      </x:c>
      <x:c r="AK232" s="4" t="n">
        <x:f>SUM(COUNTIFS('Material routes'!$D$6:$D$2205,A232,'Material routes'!$C$6:$C$2205,"Ingredient candidate"),COUNTIFS('Material routes'!$D$6:$D$2205,A232,'Material routes'!$C$6:$C$2205,"Consumed input"),COUNTIFS('Material routes'!$D$6:$D$2205,A232,'Material routes'!$C$6:$C$2205,"Contained input"),COUNTIFS('Material routes'!$D$6:$D$2205,A232,'Material routes'!$C$6:$C$2205,"Transform input"))</x:f>
        <x:v>0</x:v>
      </x:c>
      <x:c r="AL232" s="4" t="n">
        <x:f>COUNTIFS('Material routes'!$D$6:$D$2205,A232,'Material routes'!$C$6:$C$2205,"Tool candidate")</x:f>
        <x:v>0</x:v>
      </x:c>
      <x:c r="AM232" s="4" t="str">
        <x:f>IF(AJ232&gt;0,"Route listed; review status/completeness",IF(C232="T0","Raw entry feed; no production route","No production route listed"))</x:f>
        <x:v>Route listed; review status/completeness</x:v>
      </x:c>
      <x:c r="AN232" s="14" t="n">
        <x:f>IF(C232="T0",0,IF(C232="T1",1,IF(C232="T2",2,IF(C232="T3",3,IF(C232="T4",4,IF(C232="Unassigned",98,99))))))</x:f>
        <x:v>2</x:v>
      </x:c>
      <x:c r="AZ232"/>
      <x:c r="BA232"/>
      <x:c r="BB232"/>
      <x:c r="BC232"/>
      <x:c r="BD232"/>
      <x:c r="BE232"/>
      <x:c r="BF232"/>
      <x:c r="BG232"/>
      <x:c r="BH232"/>
      <x:c r="BI232"/>
      <x:c r="BJ232"/>
      <x:c r="BK232"/>
      <x:c r="BL232"/>
      <x:c r="BM232"/>
      <x:c r="BN232"/>
      <x:c r="BO232"/>
      <x:c r="BP232"/>
      <x:c r="BQ232"/>
      <x:c r="BR232"/>
      <x:c r="BS232"/>
      <x:c r="BT232"/>
      <x:c r="BU232"/>
      <x:c r="BV232"/>
      <x:c r="BW232"/>
      <x:c r="BX232"/>
      <x:c r="BY232"/>
      <x:c r="BZ232"/>
      <x:c r="CA232"/>
      <x:c r="CB232"/>
      <x:c r="CC232"/>
    </x:row>
    <x:row r="233" ht="170" customHeight="1">
      <x:c r="A233" s="9" t="str">
        <x:v>proposal.lubricant.insulating_grease</x:v>
      </x:c>
      <x:c r="B233" s="9" t="str">
        <x:v>Electrically insulating grease</x:v>
      </x:c>
      <x:c r="C233" s="4" t="str">
        <x:v>T2</x:v>
      </x:c>
      <x:c r="D233" s="9" t="inlineStr">
        <x:is>
          <x:t xml:space="preserve">Crafting components</x:t>
        </x:is>
      </x:c>
      <x:c r="E233" s="9" t="str">
        <x:v>Finished lubricant</x:v>
      </x:c>
      <x:c r="F233" s="9" t="str">
        <x:v>New proposal</x:v>
      </x:c>
      <x:c r="G233" s="9" t="inlineStr">
        <x:is>
          <x:t xml:space="preserve">Candidate grease formulated for a selected insulating joint or equipment interface. It is intended to reduce friction at a matched contact surface; dust behavior and material compatibility require qualification.</x:t>
        </x:is>
      </x:c>
      <x:c r="H233" s="9" t="str">
        <x:v>None</x:v>
      </x:c>
      <x:c r="I233" s="9" t="str">
        <x:v>Contained chemical cargo; carrier policy TBD</x:v>
      </x:c>
      <x:c r="J233" s="13"/>
      <x:c r="K233" s="15"/>
      <x:c r="L233" s="9" t="str">
        <x:v>Process existing faunal secretions in a specialist workshop; exact species and route TBD</x:v>
      </x:c>
      <x:c r="M233" s="9" t="str">
        <x:v>Proposed stages: segregated collection, separation, selected-fraction preparation, compatible formulation, service-specific testing. No formula or numeric yield.</x:v>
      </x:c>
      <x:c r="N233" s="9" t="str">
        <x:v>Not implemented</x:v>
      </x:c>
      <x:c r="O233" s="9" t="str">
        <x:v>Insulation is a design target needing material selection and testing; not inferred from ordinary ichor or graphite grease.</x:v>
      </x:c>
      <x:c r="P233" s="17"/>
      <x:c r="Q233" s="17"/>
      <x:c r="R233" s="17"/>
      <x:c r="S233" s="17"/>
      <x:c r="T233" s="17"/>
      <x:c r="U233" s="9" t="str">
        <x:v>Toxic industrial chemistry remains separate from food. Quality, batch consistency and specialist refinement may drive value; no price, spoilage or maintenance timer assigned.</x:v>
      </x:c>
      <x:c r="V233" s="11" t="str">
        <x:v>grease; lubricant; fauna chemistry; electrical insulation</x:v>
      </x:c>
      <x:c r="W233"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3" s="4" t="str">
        <x:v>Chemical material</x:v>
      </x:c>
      <x:c r="Y233" s="4" t="str">
        <x:v>Finished item</x:v>
      </x:c>
      <x:c r="Z233" s="4" t="str">
        <x:v>Fauna</x:v>
      </x:c>
      <x:c r="AA233" s="4" t="str">
        <x:v>Lubrication</x:v>
      </x:c>
      <x:c r="AB233" s="4" t="str">
        <x:v>Biological chemical</x:v>
      </x:c>
      <x:c r="AC233" s="4" t="str">
        <x:v>Paste</x:v>
      </x:c>
      <x:c r="AD233" s="4" t="str">
        <x:v>Proposal</x:v>
      </x:c>
      <x:c r="AE233" s="4" t="str">
        <x:f>LOWER(A233&amp;"; "&amp;B233&amp;"; "&amp;D233&amp;"; "&amp;E233&amp;"; "&amp;X233&amp;"; "&amp;Y233&amp;"; "&amp;Z233&amp;"; "&amp;AA233&amp;"; "&amp;AB233&amp;"; "&amp;AC233&amp;"; "&amp;AD233&amp;"; "&amp;V233&amp;"; "&amp;C233&amp;"; "&amp;AH233&amp;"; "&amp;AI233)</x:f>
        <x:v>proposal.lubricant.insulating_grease; electrically insulating grease; crafting components; finished lubricant; chemical material; finished item; fauna; lubrication; biological chemical; paste; proposal; grease; lubricant; fauna chemistry; electrical insulation; t2; not applicable; material</x:v>
      </x:c>
      <x:c r="AF233"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3" s="4" t="str">
        <x:v>October 15 proposed tier review: 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AH233" s="4" t="str">
        <x:v>Not applicable</x:v>
      </x:c>
      <x:c r="AI233" s="4" t="str">
        <x:v>Material</x:v>
      </x:c>
      <x:c r="AJ233" s="4" t="n">
        <x:f>COUNTIFS('Material routes'!$D$6:$D$2205,A233,'Material routes'!$C$6:$C$2205,"Output")</x:f>
        <x:v>1</x:v>
      </x:c>
      <x:c r="AK233" s="4" t="n">
        <x:f>SUM(COUNTIFS('Material routes'!$D$6:$D$2205,A233,'Material routes'!$C$6:$C$2205,"Ingredient candidate"),COUNTIFS('Material routes'!$D$6:$D$2205,A233,'Material routes'!$C$6:$C$2205,"Consumed input"),COUNTIFS('Material routes'!$D$6:$D$2205,A233,'Material routes'!$C$6:$C$2205,"Contained input"),COUNTIFS('Material routes'!$D$6:$D$2205,A233,'Material routes'!$C$6:$C$2205,"Transform input"))</x:f>
        <x:v>0</x:v>
      </x:c>
      <x:c r="AL233" s="4" t="n">
        <x:f>COUNTIFS('Material routes'!$D$6:$D$2205,A233,'Material routes'!$C$6:$C$2205,"Tool candidate")</x:f>
        <x:v>0</x:v>
      </x:c>
      <x:c r="AM233" s="4" t="str">
        <x:f>IF(AJ233&gt;0,"Route listed; review status/completeness",IF(C233="T0","Raw entry feed; no production route","No production route listed"))</x:f>
        <x:v>Route listed; review status/completeness</x:v>
      </x:c>
      <x:c r="AN233" s="14" t="n">
        <x:f>IF(C233="T0",0,IF(C233="T1",1,IF(C233="T2",2,IF(C233="T3",3,IF(C233="T4",4,IF(C233="Unassigned",98,99))))))</x:f>
        <x:v>2</x:v>
      </x:c>
      <x:c r="AZ233"/>
      <x:c r="BA233"/>
      <x:c r="BB233"/>
      <x:c r="BC233"/>
      <x:c r="BD233"/>
      <x:c r="BE233"/>
      <x:c r="BF233"/>
      <x:c r="BG233"/>
      <x:c r="BH233"/>
      <x:c r="BI233"/>
      <x:c r="BJ233"/>
      <x:c r="BK233"/>
      <x:c r="BL233"/>
      <x:c r="BM233"/>
      <x:c r="BN233"/>
      <x:c r="BO233"/>
      <x:c r="BP233"/>
      <x:c r="BQ233"/>
      <x:c r="BR233"/>
      <x:c r="BS233"/>
      <x:c r="BT233"/>
      <x:c r="BU233"/>
      <x:c r="BV233"/>
      <x:c r="BW233"/>
      <x:c r="BX233"/>
      <x:c r="BY233"/>
      <x:c r="BZ233"/>
      <x:c r="CA233"/>
      <x:c r="CB233"/>
      <x:c r="CC233"/>
    </x:row>
    <x:row r="234" ht="115" customHeight="1">
      <x:c r="A234" s="9" t="str">
        <x:v>proposal.lubricant.precision_oil</x:v>
      </x:c>
      <x:c r="B234" s="9" t="str">
        <x:v>Fine mechanism oil</x:v>
      </x:c>
      <x:c r="C234" s="4" t="str">
        <x:v>T2</x:v>
      </x:c>
      <x:c r="D234" s="9" t="inlineStr">
        <x:is>
          <x:t xml:space="preserve">Crafting components</x:t>
        </x:is>
      </x:c>
      <x:c r="E234" s="9" t="str">
        <x:v>Finished lubricant</x:v>
      </x:c>
      <x:c r="F234" s="9" t="str">
        <x:v>New proposal</x:v>
      </x:c>
      <x:c r="G234" s="9" t="inlineStr">
        <x:is>
          <x:t xml:space="preserve">Highly selected liquid lubricant candidate for small mechanisms and specialist workshop work. It is intended to reduce friction at a matched contact surface; dust behavior and material compatibility require qualification.</x:t>
        </x:is>
      </x:c>
      <x:c r="H234" s="9" t="str">
        <x:v>None</x:v>
      </x:c>
      <x:c r="I234" s="9" t="str">
        <x:v>Contained chemical cargo; carrier policy TBD</x:v>
      </x:c>
      <x:c r="J234" s="13"/>
      <x:c r="K234" s="15"/>
      <x:c r="L234" s="9" t="str">
        <x:v>Process existing faunal secretions in a specialist workshop; exact species and route TBD</x:v>
      </x:c>
      <x:c r="M234" s="9" t="str">
        <x:v>Proposed stages: segregated collection, separation, selected-fraction preparation, compatible formulation, service-specific testing. No formula or numeric yield.</x:v>
      </x:c>
      <x:c r="N234" s="9" t="str">
        <x:v>Not implemented</x:v>
      </x:c>
      <x:c r="O234" s="9" t="str">
        <x:v>Precision and low residue are proposed craft grades. No assumed food safety, optical suitability, shelf life or ancient-tech repair capability.</x:v>
      </x:c>
      <x:c r="P234" s="17"/>
      <x:c r="Q234" s="17"/>
      <x:c r="R234" s="17"/>
      <x:c r="S234" s="17"/>
      <x:c r="T234" s="17"/>
      <x:c r="U234" s="9" t="str">
        <x:v>Toxic industrial chemistry remains separate from food. Quality, batch consistency and specialist refinement may drive value; no price, spoilage or maintenance timer assigned.</x:v>
      </x:c>
      <x:c r="V234" s="11" t="str">
        <x:v>grease; lubricant; fauna chemistry; equipment repair</x:v>
      </x:c>
      <x:c r="W234"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4" s="4" t="str">
        <x:v>Chemical material</x:v>
      </x:c>
      <x:c r="Y234" s="4" t="str">
        <x:v>Finished item</x:v>
      </x:c>
      <x:c r="Z234" s="4" t="str">
        <x:v>Fauna</x:v>
      </x:c>
      <x:c r="AA234" s="4" t="str">
        <x:v>Lubrication</x:v>
      </x:c>
      <x:c r="AB234" s="4" t="str">
        <x:v>Biological chemical</x:v>
      </x:c>
      <x:c r="AC234" s="4" t="str">
        <x:v>Liquid</x:v>
      </x:c>
      <x:c r="AD234" s="4" t="str">
        <x:v>Proposal</x:v>
      </x:c>
      <x:c r="AE234" s="4" t="str">
        <x:f>LOWER(A234&amp;"; "&amp;B234&amp;"; "&amp;D234&amp;"; "&amp;E234&amp;"; "&amp;X234&amp;"; "&amp;Y234&amp;"; "&amp;Z234&amp;"; "&amp;AA234&amp;"; "&amp;AB234&amp;"; "&amp;AC234&amp;"; "&amp;AD234&amp;"; "&amp;V234&amp;"; "&amp;C234&amp;"; "&amp;AH234&amp;"; "&amp;AI234)</x:f>
        <x:v>proposal.lubricant.precision_oil; fine mechanism oil; crafting components; finished lubricant; chemical material; finished item; fauna; lubrication; biological chemical; liquid; proposal; grease; lubricant; fauna chemistry; equipment repair; t2; not applicable; material</x:v>
      </x:c>
      <x:c r="AF234"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4" s="4" t="str">
        <x:v>Proposed October 15 tier/recipe for the existing item family; not a change to its original item-design status. Existing proposal reused. Carrier/base compatibility, viscosity, stability and machinery service remain unresolved; no conventional fat assumed.</x:v>
      </x:c>
      <x:c r="AH234" s="4" t="str">
        <x:v>Not applicable</x:v>
      </x:c>
      <x:c r="AI234" s="4" t="str">
        <x:v>Material</x:v>
      </x:c>
      <x:c r="AJ234" s="4" t="n">
        <x:f>COUNTIFS('Material routes'!$D$6:$D$2205,A234,'Material routes'!$C$6:$C$2205,"Output")</x:f>
        <x:v>1</x:v>
      </x:c>
      <x:c r="AK234" s="4" t="n">
        <x:f>SUM(COUNTIFS('Material routes'!$D$6:$D$2205,A234,'Material routes'!$C$6:$C$2205,"Ingredient candidate"),COUNTIFS('Material routes'!$D$6:$D$2205,A234,'Material routes'!$C$6:$C$2205,"Consumed input"),COUNTIFS('Material routes'!$D$6:$D$2205,A234,'Material routes'!$C$6:$C$2205,"Contained input"),COUNTIFS('Material routes'!$D$6:$D$2205,A234,'Material routes'!$C$6:$C$2205,"Transform input"))</x:f>
        <x:v>5</x:v>
      </x:c>
      <x:c r="AL234" s="4" t="n">
        <x:f>COUNTIFS('Material routes'!$D$6:$D$2205,A234,'Material routes'!$C$6:$C$2205,"Tool candidate")</x:f>
        <x:v>0</x:v>
      </x:c>
      <x:c r="AM234" s="4" t="str">
        <x:f>IF(AJ234&gt;0,"Route listed; review status/completeness",IF(C234="T0","Raw entry feed; no production route","No production route listed"))</x:f>
        <x:v>Route listed; review status/completeness</x:v>
      </x:c>
      <x:c r="AN234" s="14" t="n">
        <x:f>IF(C234="T0",0,IF(C234="T1",1,IF(C234="T2",2,IF(C234="T3",3,IF(C234="T4",4,IF(C234="Unassigned",98,99))))))</x:f>
        <x:v>2</x:v>
      </x:c>
      <x:c r="AZ234"/>
      <x:c r="BA234"/>
      <x:c r="BB234"/>
      <x:c r="BC234"/>
      <x:c r="BD234"/>
      <x:c r="BE234"/>
      <x:c r="BF234"/>
      <x:c r="BG234"/>
      <x:c r="BH234"/>
      <x:c r="BI234"/>
      <x:c r="BJ234"/>
      <x:c r="BK234"/>
      <x:c r="BL234"/>
      <x:c r="BM234"/>
      <x:c r="BN234"/>
      <x:c r="BO234"/>
      <x:c r="BP234"/>
      <x:c r="BQ234"/>
      <x:c r="BR234"/>
      <x:c r="BS234"/>
      <x:c r="BT234"/>
      <x:c r="BU234"/>
      <x:c r="BV234"/>
      <x:c r="BW234"/>
      <x:c r="BX234"/>
      <x:c r="BY234"/>
      <x:c r="BZ234"/>
      <x:c r="CA234"/>
      <x:c r="CB234"/>
      <x:c r="CC234"/>
    </x:row>
    <x:row r="235" ht="115" customHeight="1">
      <x:c r="A235" s="9" t="str">
        <x:v>proposal.wind.turbine</x:v>
      </x:c>
      <x:c r="B235" s="9" t="str">
        <x:v>Salvaged wind turbine</x:v>
      </x:c>
      <x:c r="C235" s="4" t="str">
        <x:v>Not applicable</x:v>
      </x:c>
      <x:c r="D235" s="9" t="inlineStr">
        <x:is>
          <x:t xml:space="preserve">Salvage</x:t>
        </x:is>
      </x:c>
      <x:c r="E235" s="9" t="str">
        <x:v>Wind machine</x:v>
      </x:c>
      <x:c r="F235" s="9" t="str">
        <x:v>User direction; not implemented</x:v>
      </x:c>
      <x:c r="G235" s="9" t="inlineStr">
        <x:is>
          <x:t xml:space="preserve">Wind turbine assembled from fallen/salvaged parts, as requested by author. It is intended to turn wind-driven motion into useful work for a compatible assembly, with its mounting, load and weather limits unresolved.</x:t>
        </x:is>
      </x:c>
      <x:c r="H235" s="9" t="str">
        <x:v>Unassigned; no new slot approved</x:v>
      </x:c>
      <x:c r="I235" s="9" t="str">
        <x:v>Physical part / installation ownership TBD</x:v>
      </x:c>
      <x:c r="J235" s="13"/>
      <x:c r="K235" s="15"/>
      <x:c r="L235" s="9" t="str">
        <x:v>Salvage, insect-wing processing and specialist assembly; exact routes TBD</x:v>
      </x:c>
      <x:c r="M235" s="9" t="str">
        <x:v>No recipe authored. Existing metal stock, drive salvage, fasteners and compatible lubricant concepts may support later design.</x:v>
      </x:c>
      <x:c r="N235" s="9" t="str">
        <x:v>Not implemented</x:v>
      </x:c>
      <x:c r="O235" s="9" t="str">
        <x:v>Stationary versus deployable installation, mounting, rotor form, wind response and useful output unresolved. Existing drive salvage is a candidate input, not a mandatory recipe.</x:v>
      </x:c>
      <x:c r="P235" s="17"/>
      <x:c r="Q235" s="17"/>
      <x:c r="R235" s="17"/>
      <x:c r="S235" s="17"/>
      <x:c r="T235" s="17"/>
      <x:c r="U235" s="9" t="str">
        <x:v>Working labels; material quantities, durability and value unspecified. Fallen parts is interpreted as recoverable salvage, not proof of mandatory ancient technology.</x:v>
      </x:c>
      <x:c r="V235" s="11" t="str">
        <x:v>machinery drive; wind; sail</x:v>
      </x:c>
      <x:c r="W235" s="9" t="str">
        <x:v>Direct author wind-turbine, insect-wing sail and four-wheel dirtboard direction October 14, 2026; specific component breakdown is proposed.</x:v>
      </x:c>
      <x:c r="X235" s="4" t="str">
        <x:v>Machine</x:v>
      </x:c>
      <x:c r="Y235" s="4" t="str">
        <x:v>Finished item</x:v>
      </x:c>
      <x:c r="Z235" s="4" t="str">
        <x:v>Recovered machinery</x:v>
      </x:c>
      <x:c r="AA235" s="4" t="str">
        <x:v>Wind power</x:v>
      </x:c>
      <x:c r="AB235" s="4" t="str">
        <x:v>Mixed / unresolved</x:v>
      </x:c>
      <x:c r="AC235" s="4" t="str">
        <x:v>Assembly</x:v>
      </x:c>
      <x:c r="AD235" s="4" t="str">
        <x:v>Author direction</x:v>
      </x:c>
      <x:c r="AE235" s="4" t="str">
        <x:f>LOWER(A235&amp;"; "&amp;B235&amp;"; "&amp;D235&amp;"; "&amp;E235&amp;"; "&amp;X235&amp;"; "&amp;Y235&amp;"; "&amp;Z235&amp;"; "&amp;AA235&amp;"; "&amp;AB235&amp;"; "&amp;AC235&amp;"; "&amp;AD235&amp;"; "&amp;V235&amp;"; "&amp;C235&amp;"; "&amp;AH235&amp;"; "&amp;AI235)</x:f>
        <x:v>proposal.wind.turbine; salvaged wind turbine; salvage; wind machine; machine; finished item; recovered machinery; wind power; mixed / unresolved; assembly; author direction; machinery drive; wind; sail; not applicable; unassigned; finished item</x:v>
      </x:c>
      <x:c r="AF235"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35" s="4" t="str">
        <x:v>Finished endpoint; material tier is not applicable. Input tiers belong to the chosen recipe.</x:v>
      </x:c>
      <x:c r="AH235" s="4" t="str">
        <x:v>Unassigned</x:v>
      </x:c>
      <x:c r="AI235" s="4" t="str">
        <x:v>Finished item</x:v>
      </x:c>
      <x:c r="AJ235" s="4" t="n">
        <x:f>COUNTIFS('Material routes'!$D$6:$D$2205,A235,'Material routes'!$C$6:$C$2205,"Output")</x:f>
        <x:v>1</x:v>
      </x:c>
      <x:c r="AK235" s="4" t="n">
        <x:f>SUM(COUNTIFS('Material routes'!$D$6:$D$2205,A235,'Material routes'!$C$6:$C$2205,"Ingredient candidate"),COUNTIFS('Material routes'!$D$6:$D$2205,A235,'Material routes'!$C$6:$C$2205,"Consumed input"),COUNTIFS('Material routes'!$D$6:$D$2205,A235,'Material routes'!$C$6:$C$2205,"Contained input"),COUNTIFS('Material routes'!$D$6:$D$2205,A235,'Material routes'!$C$6:$C$2205,"Transform input"))</x:f>
        <x:v>0</x:v>
      </x:c>
      <x:c r="AL235" s="4" t="n">
        <x:f>COUNTIFS('Material routes'!$D$6:$D$2205,A235,'Material routes'!$C$6:$C$2205,"Tool candidate")</x:f>
        <x:v>0</x:v>
      </x:c>
      <x:c r="AM235" s="4" t="str">
        <x:f>IF(AJ235&gt;0,"Route listed; review status/completeness",IF(C235="T0","Raw entry feed; no production route","No production route listed"))</x:f>
        <x:v>Route listed; review status/completeness</x:v>
      </x:c>
      <x:c r="AN235" s="14" t="n">
        <x:f>IF(C235="T0",0,IF(C235="T1",1,IF(C235="T2",2,IF(C235="T3",3,IF(C235="T4",4,IF(C235="Unassigned",98,99))))))</x:f>
        <x:v>99</x:v>
      </x:c>
      <x:c r="AZ235"/>
      <x:c r="BA235"/>
      <x:c r="BB235"/>
      <x:c r="BC235"/>
      <x:c r="BD235"/>
      <x:c r="BE235"/>
      <x:c r="BF235"/>
      <x:c r="BG235"/>
      <x:c r="BH235"/>
      <x:c r="BI235"/>
      <x:c r="BJ235"/>
      <x:c r="BK235"/>
      <x:c r="BL235"/>
      <x:c r="BM235"/>
      <x:c r="BN235"/>
      <x:c r="BO235"/>
      <x:c r="BP235"/>
      <x:c r="BQ235"/>
      <x:c r="BR235"/>
      <x:c r="BS235"/>
      <x:c r="BT235"/>
      <x:c r="BU235"/>
      <x:c r="BV235"/>
      <x:c r="BW235"/>
      <x:c r="BX235"/>
      <x:c r="BY235"/>
      <x:c r="BZ235"/>
      <x:c r="CA235"/>
      <x:c r="CB235"/>
      <x:c r="CC235"/>
    </x:row>
    <x:row r="236" ht="115" customHeight="1">
      <x:c r="A236" s="9" t="str">
        <x:v>proposal.wind.sail_panel</x:v>
      </x:c>
      <x:c r="B236" s="9" t="str">
        <x:v>Prepared insect-wing sail panel</x:v>
      </x:c>
      <x:c r="C236" s="4" t="str">
        <x:v>T1</x:v>
      </x:c>
      <x:c r="D236" s="9" t="inlineStr">
        <x:is>
          <x:t xml:space="preserve">Salvage</x:t>
        </x:is>
      </x:c>
      <x:c r="E236" s="9" t="str">
        <x:v>Wind sail material</x:v>
      </x:c>
      <x:c r="F236" s="9" t="str">
        <x:v>User direction; not implemented</x:v>
      </x:c>
      <x:c r="G236" s="9" t="inlineStr">
        <x:is>
          <x:t xml:space="preserve">Prepared delicate insectoid-wing membrane intended for a sail. It is intended to transmit wind force through a fitted sail or wing arrangement, with the support structure and control method designed together.</x:t>
        </x:is>
      </x:c>
      <x:c r="H236" s="9" t="str">
        <x:v>Unassigned; no new slot approved</x:v>
      </x:c>
      <x:c r="I236" s="9" t="str">
        <x:v>Physical part / installation ownership TBD</x:v>
      </x:c>
      <x:c r="J236" s="13"/>
      <x:c r="K236" s="15"/>
      <x:c r="L236" s="9" t="str">
        <x:v>Salvage, insect-wing processing and specialist assembly; exact routes TBD</x:v>
      </x:c>
      <x:c r="M236" s="9" t="str">
        <x:v>No recipe authored. Existing metal stock, drive salvage, fasteners and compatible lubricant concepts may support later design.</x:v>
      </x:c>
      <x:c r="N236" s="9" t="str">
        <x:v>Not implemented</x:v>
      </x:c>
      <x:c r="O236" s="9" t="str">
        <x:v>Reuse existing inner-wing resource. Sail panel and shade panel are service-specific intermediate concepts; decide later whether their preparation can share a product.</x:v>
      </x:c>
      <x:c r="P236" s="17"/>
      <x:c r="Q236" s="17"/>
      <x:c r="R236" s="17"/>
      <x:c r="S236" s="17"/>
      <x:c r="T236" s="17"/>
      <x:c r="U236" s="9" t="str">
        <x:v>Working labels; material quantities, durability and value unspecified. Fallen parts is interpreted as recoverable salvage, not proof of mandatory ancient technology.</x:v>
      </x:c>
      <x:c r="V236" s="11" t="str">
        <x:v>wind; sail</x:v>
      </x:c>
      <x:c r="W236" s="9" t="str">
        <x:v>Direct author wind-turbine, insect-wing sail and four-wheel dirtboard direction October 14, 2026; specific component breakdown is proposed.</x:v>
      </x:c>
      <x:c r="X236" s="4" t="str">
        <x:v>Crafting component</x:v>
      </x:c>
      <x:c r="Y236" s="4" t="str">
        <x:v>Processed intermediate</x:v>
      </x:c>
      <x:c r="Z236" s="4" t="str">
        <x:v>Manufactured / unresolved</x:v>
      </x:c>
      <x:c r="AA236" s="4" t="str">
        <x:v>Wind propulsion</x:v>
      </x:c>
      <x:c r="AB236" s="4" t="str">
        <x:v>Wing membrane</x:v>
      </x:c>
      <x:c r="AC236" s="4" t="str">
        <x:v>Panel</x:v>
      </x:c>
      <x:c r="AD236" s="4" t="str">
        <x:v>Author direction</x:v>
      </x:c>
      <x:c r="AE236" s="4" t="str">
        <x:f>LOWER(A236&amp;"; "&amp;B236&amp;"; "&amp;D236&amp;"; "&amp;E236&amp;"; "&amp;X236&amp;"; "&amp;Y236&amp;"; "&amp;Z236&amp;"; "&amp;AA236&amp;"; "&amp;AB236&amp;"; "&amp;AC236&amp;"; "&amp;AD236&amp;"; "&amp;V236&amp;"; "&amp;C236&amp;"; "&amp;AH236&amp;"; "&amp;AI236)</x:f>
        <x:v>proposal.wind.sail_panel; prepared insect-wing sail panel; salvage; wind sail material; crafting component; processed intermediate; manufactured / unresolved; wind propulsion; wing membrane; panel; author direction; wind; sail; t1; not applicable; component</x:v>
      </x:c>
      <x:c r="AF236"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36" s="4" t="str">
        <x:v>Proposed game manufacturing tier from the candidate routes. Integrated operations may contain many work steps.</x:v>
      </x:c>
      <x:c r="AH236" s="4" t="str">
        <x:v>Not applicable</x:v>
      </x:c>
      <x:c r="AI236" s="4" t="str">
        <x:v>Component</x:v>
      </x:c>
      <x:c r="AJ236" s="4" t="n">
        <x:f>COUNTIFS('Material routes'!$D$6:$D$2205,A236,'Material routes'!$C$6:$C$2205,"Output")</x:f>
        <x:v>1</x:v>
      </x:c>
      <x:c r="AK236" s="4" t="n">
        <x:f>SUM(COUNTIFS('Material routes'!$D$6:$D$2205,A236,'Material routes'!$C$6:$C$2205,"Ingredient candidate"),COUNTIFS('Material routes'!$D$6:$D$2205,A236,'Material routes'!$C$6:$C$2205,"Consumed input"),COUNTIFS('Material routes'!$D$6:$D$2205,A236,'Material routes'!$C$6:$C$2205,"Contained input"),COUNTIFS('Material routes'!$D$6:$D$2205,A236,'Material routes'!$C$6:$C$2205,"Transform input"))</x:f>
        <x:v>1</x:v>
      </x:c>
      <x:c r="AL236" s="4" t="n">
        <x:f>COUNTIFS('Material routes'!$D$6:$D$2205,A236,'Material routes'!$C$6:$C$2205,"Tool candidate")</x:f>
        <x:v>0</x:v>
      </x:c>
      <x:c r="AM236" s="4" t="str">
        <x:f>IF(AJ236&gt;0,"Route listed; review status/completeness",IF(C236="T0","Raw entry feed; no production route","No production route listed"))</x:f>
        <x:v>Route listed; review status/completeness</x:v>
      </x:c>
      <x:c r="AN236" s="14" t="n">
        <x:f>IF(C236="T0",0,IF(C236="T1",1,IF(C236="T2",2,IF(C236="T3",3,IF(C236="T4",4,IF(C236="Unassigned",98,99))))))</x:f>
        <x:v>1</x:v>
      </x:c>
      <x:c r="AZ236"/>
      <x:c r="BA236"/>
      <x:c r="BB236"/>
      <x:c r="BC236"/>
      <x:c r="BD236"/>
      <x:c r="BE236"/>
      <x:c r="BF236"/>
      <x:c r="BG236"/>
      <x:c r="BH236"/>
      <x:c r="BI236"/>
      <x:c r="BJ236"/>
      <x:c r="BK236"/>
      <x:c r="BL236"/>
      <x:c r="BM236"/>
      <x:c r="BN236"/>
      <x:c r="BO236"/>
      <x:c r="BP236"/>
      <x:c r="BQ236"/>
      <x:c r="BR236"/>
      <x:c r="BS236"/>
      <x:c r="BT236"/>
      <x:c r="BU236"/>
      <x:c r="BV236"/>
      <x:c r="BW236"/>
      <x:c r="BX236"/>
      <x:c r="BY236"/>
      <x:c r="BZ236"/>
      <x:c r="CA236"/>
      <x:c r="CB236"/>
      <x:c r="CC236"/>
    </x:row>
    <x:row r="237" ht="115" customHeight="1">
      <x:c r="A237" s="9" t="str">
        <x:v>proposal.wind.hand_sail</x:v>
      </x:c>
      <x:c r="B237" s="9" t="str">
        <x:v>Collapsible handheld wind sail</x:v>
      </x:c>
      <x:c r="C237" s="4" t="str">
        <x:v>Not applicable</x:v>
      </x:c>
      <x:c r="D237" s="9" t="inlineStr">
        <x:is>
          <x:t xml:space="preserve">Tools</x:t>
        </x:is>
      </x:c>
      <x:c r="E237" s="9" t="str">
        <x:v>Wind traversal gear</x:v>
      </x:c>
      <x:c r="F237" s="9" t="str">
        <x:v>User direction; not implemented</x:v>
      </x:c>
      <x:c r="G237" s="9" t="inlineStr">
        <x:is>
          <x:t xml:space="preserve">Booter handheld sail that collapses for carrying and opens for wind-driven dirtboard travel. It is intended to transmit wind force through a fitted sail or wing arrangement, with the support structure and control method designed together.</x:t>
        </x:is>
      </x:c>
      <x:c r="H237" s="9" t="str">
        <x:v>Unassigned; no new slot approved</x:v>
      </x:c>
      <x:c r="I237" s="9" t="str">
        <x:v>Booter personal gear intended; stowage policy TBD</x:v>
      </x:c>
      <x:c r="J237" s="13"/>
      <x:c r="K237" s="15"/>
      <x:c r="L237" s="9" t="str">
        <x:v>Salvage, insect-wing processing and specialist assembly; exact routes TBD</x:v>
      </x:c>
      <x:c r="M237" s="9" t="str">
        <x:v>No recipe authored. Existing metal stock, drive salvage, fasteners and compatible lubricant concepts may support later design.</x:v>
      </x:c>
      <x:c r="N237" s="9" t="str">
        <x:v>Not implemented</x:v>
      </x:c>
      <x:c r="O237" s="9" t="str">
        <x:v>One gear item with carried/deployed configurations. Frame geometry, hand use, steering, stowage and carry policy undefined.</x:v>
      </x:c>
      <x:c r="P237" s="17"/>
      <x:c r="Q237" s="17"/>
      <x:c r="R237" s="17"/>
      <x:c r="S237" s="17"/>
      <x:c r="T237" s="17"/>
      <x:c r="U237" s="9" t="str">
        <x:v>Working labels; material quantities, durability and value unspecified. Fallen parts is interpreted as recoverable salvage, not proof of mandatory ancient technology.</x:v>
      </x:c>
      <x:c r="V237" s="11" t="str">
        <x:v>traversal; wind; sail</x:v>
      </x:c>
      <x:c r="W237" s="9" t="str">
        <x:v>Direct author wind-turbine, insect-wing sail and four-wheel dirtboard direction October 14, 2026; specific component breakdown is proposed.</x:v>
      </x:c>
      <x:c r="X237" s="4" t="str">
        <x:v>Traversal device</x:v>
      </x:c>
      <x:c r="Y237" s="4" t="str">
        <x:v>Finished item</x:v>
      </x:c>
      <x:c r="Z237" s="4" t="str">
        <x:v>Manufactured / unresolved</x:v>
      </x:c>
      <x:c r="AA237" s="4" t="str">
        <x:v>Wind propulsion</x:v>
      </x:c>
      <x:c r="AB237" s="4" t="str">
        <x:v>Wing membrane and frame</x:v>
      </x:c>
      <x:c r="AC237" s="4" t="str">
        <x:v>Assembly</x:v>
      </x:c>
      <x:c r="AD237" s="4" t="str">
        <x:v>Author direction</x:v>
      </x:c>
      <x:c r="AE237" s="4" t="str">
        <x:f>LOWER(A237&amp;"; "&amp;B237&amp;"; "&amp;D237&amp;"; "&amp;E237&amp;"; "&amp;X237&amp;"; "&amp;Y237&amp;"; "&amp;Z237&amp;"; "&amp;AA237&amp;"; "&amp;AB237&amp;"; "&amp;AC237&amp;"; "&amp;AD237&amp;"; "&amp;V237&amp;"; "&amp;C237&amp;"; "&amp;AH237&amp;"; "&amp;AI237)</x:f>
        <x:v>proposal.wind.hand_sail; collapsible handheld wind sail; tools; wind traversal gear; traversal device; finished item; manufactured / unresolved; wind propulsion; wing membrane and frame; assembly; author direction; traversal; wind; sail; not applicable; t4; finished item</x:v>
      </x:c>
      <x:c r="AF237"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7" s="4" t="str">
        <x:v>Finished endpoint; material tier is not applicable. Input tiers belong to the chosen recipe.</x:v>
      </x:c>
      <x:c r="AH237" s="4" t="str">
        <x:v>T4</x:v>
      </x:c>
      <x:c r="AI237" s="4" t="str">
        <x:v>Finished item</x:v>
      </x:c>
      <x:c r="AJ237" s="4" t="n">
        <x:f>COUNTIFS('Material routes'!$D$6:$D$2205,A237,'Material routes'!$C$6:$C$2205,"Output")</x:f>
        <x:v>1</x:v>
      </x:c>
      <x:c r="AK237" s="4" t="n">
        <x:f>SUM(COUNTIFS('Material routes'!$D$6:$D$2205,A237,'Material routes'!$C$6:$C$2205,"Ingredient candidate"),COUNTIFS('Material routes'!$D$6:$D$2205,A237,'Material routes'!$C$6:$C$2205,"Consumed input"),COUNTIFS('Material routes'!$D$6:$D$2205,A237,'Material routes'!$C$6:$C$2205,"Contained input"),COUNTIFS('Material routes'!$D$6:$D$2205,A237,'Material routes'!$C$6:$C$2205,"Transform input"))</x:f>
        <x:v>0</x:v>
      </x:c>
      <x:c r="AL237" s="4" t="n">
        <x:f>COUNTIFS('Material routes'!$D$6:$D$2205,A237,'Material routes'!$C$6:$C$2205,"Tool candidate")</x:f>
        <x:v>0</x:v>
      </x:c>
      <x:c r="AM237" s="4" t="str">
        <x:f>IF(AJ237&gt;0,"Route listed; review status/completeness",IF(C237="T0","Raw entry feed; no production route","No production route listed"))</x:f>
        <x:v>Route listed; review status/completeness</x:v>
      </x:c>
      <x:c r="AN237" s="14" t="n">
        <x:f>IF(C237="T0",0,IF(C237="T1",1,IF(C237="T2",2,IF(C237="T3",3,IF(C237="T4",4,IF(C237="Unassigned",98,99))))))</x:f>
        <x:v>99</x:v>
      </x:c>
      <x:c r="AZ237"/>
      <x:c r="BA237"/>
      <x:c r="BB237"/>
      <x:c r="BC237"/>
      <x:c r="BD237"/>
      <x:c r="BE237"/>
      <x:c r="BF237"/>
      <x:c r="BG237"/>
      <x:c r="BH237"/>
      <x:c r="BI237"/>
      <x:c r="BJ237"/>
      <x:c r="BK237"/>
      <x:c r="BL237"/>
      <x:c r="BM237"/>
      <x:c r="BN237"/>
      <x:c r="BO237"/>
      <x:c r="BP237"/>
      <x:c r="BQ237"/>
      <x:c r="BR237"/>
      <x:c r="BS237"/>
      <x:c r="BT237"/>
      <x:c r="BU237"/>
      <x:c r="BV237"/>
      <x:c r="BW237"/>
      <x:c r="BX237"/>
      <x:c r="BY237"/>
      <x:c r="BZ237"/>
      <x:c r="CA237"/>
      <x:c r="CB237"/>
      <x:c r="CC237"/>
    </x:row>
    <x:row r="238" ht="115" customHeight="1">
      <x:c r="A238" s="9" t="str">
        <x:v>proposal.wind.dirtboard</x:v>
      </x:c>
      <x:c r="B238" s="9" t="str">
        <x:v>Four-wheel all-terrain dirtboard</x:v>
      </x:c>
      <x:c r="C238" s="4" t="str">
        <x:v>Not applicable</x:v>
      </x:c>
      <x:c r="D238" s="9" t="inlineStr">
        <x:is>
          <x:t xml:space="preserve">Tools</x:t>
        </x:is>
      </x:c>
      <x:c r="E238" s="9" t="str">
        <x:v>Wind traversal gear</x:v>
      </x:c>
      <x:c r="F238" s="9" t="str">
        <x:v>User direction; not implemented</x:v>
      </x:c>
      <x:c r="G238" s="9" t="str">
        <x:v>Booter all-terrain skateboard with four wheels, used with the handheld sail across large flat areas.</x:v>
      </x:c>
      <x:c r="H238" s="9" t="str">
        <x:v>Unassigned; no new slot approved</x:v>
      </x:c>
      <x:c r="I238" s="9" t="str">
        <x:v>Booter personal gear intended; stowage policy TBD</x:v>
      </x:c>
      <x:c r="J238" s="13"/>
      <x:c r="K238" s="15"/>
      <x:c r="L238" s="9" t="str">
        <x:v>Salvage, insect-wing processing and specialist assembly; exact routes TBD</x:v>
      </x:c>
      <x:c r="M238" s="9" t="str">
        <x:v>No recipe authored. Existing metal stock, drive salvage, fasteners and compatible lubricant concepts may support later design.</x:v>
      </x:c>
      <x:c r="N238" s="9" t="str">
        <x:v>Not implemented</x:v>
      </x:c>
      <x:c r="O238" s="9" t="str">
        <x:v>Wheel material, steering, braking, traction, terrain limits, speed and cargo effects remain open. Sail and board are separately owned companion items.</x:v>
      </x:c>
      <x:c r="P238" s="17"/>
      <x:c r="Q238" s="17"/>
      <x:c r="R238" s="17"/>
      <x:c r="S238" s="17"/>
      <x:c r="T238" s="17"/>
      <x:c r="U238" s="9" t="str">
        <x:v>Working labels; material quantities, durability and value unspecified. Fallen parts is interpreted as recoverable salvage, not proof of mandatory ancient technology.</x:v>
      </x:c>
      <x:c r="V238" s="11" t="str">
        <x:v>wind propulsion; wind; sail; skateboard mountainboard four wheel dirt board</x:v>
      </x:c>
      <x:c r="W238" s="9" t="str">
        <x:v>Direct author wind-turbine, insect-wing sail and four-wheel dirtboard direction October 14, 2026; specific component breakdown is proposed.</x:v>
      </x:c>
      <x:c r="X238" s="4" t="str">
        <x:v>Traversal device</x:v>
      </x:c>
      <x:c r="Y238" s="4" t="str">
        <x:v>Finished item</x:v>
      </x:c>
      <x:c r="Z238" s="4" t="str">
        <x:v>Manufactured / unresolved</x:v>
      </x:c>
      <x:c r="AA238" s="4" t="str">
        <x:v>Traversal</x:v>
      </x:c>
      <x:c r="AB238" s="4" t="str">
        <x:v>Mixed / unresolved</x:v>
      </x:c>
      <x:c r="AC238" s="4" t="str">
        <x:v>Assembly</x:v>
      </x:c>
      <x:c r="AD238" s="4" t="str">
        <x:v>Author direction</x:v>
      </x:c>
      <x:c r="AE238" s="4" t="str">
        <x:f>LOWER(A238&amp;"; "&amp;B238&amp;"; "&amp;D238&amp;"; "&amp;E238&amp;"; "&amp;X238&amp;"; "&amp;Y238&amp;"; "&amp;Z238&amp;"; "&amp;AA238&amp;"; "&amp;AB238&amp;"; "&amp;AC238&amp;"; "&amp;AD238&amp;"; "&amp;V238&amp;"; "&amp;C238&amp;"; "&amp;AH238&amp;"; "&amp;AI238)</x:f>
        <x:v>proposal.wind.dirtboard; four-wheel all-terrain dirtboard; tools; wind traversal gear; traversal device; finished item; manufactured / unresolved; traversal; mixed / unresolved; assembly; author direction; wind propulsion; wind; sail; skateboard mountainboard four wheel dirt board; not applicable; t4; finished item</x:v>
      </x:c>
      <x:c r="AF238"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8" s="4" t="str">
        <x:v>Finished endpoint; material tier is not applicable. Input tiers belong to the chosen recipe.</x:v>
      </x:c>
      <x:c r="AH238" s="4" t="str">
        <x:v>T4</x:v>
      </x:c>
      <x:c r="AI238" s="4" t="str">
        <x:v>Finished item</x:v>
      </x:c>
      <x:c r="AJ238" s="4" t="n">
        <x:f>COUNTIFS('Material routes'!$D$6:$D$2205,A238,'Material routes'!$C$6:$C$2205,"Output")</x:f>
        <x:v>1</x:v>
      </x:c>
      <x:c r="AK238" s="4" t="n">
        <x:f>SUM(COUNTIFS('Material routes'!$D$6:$D$2205,A238,'Material routes'!$C$6:$C$2205,"Ingredient candidate"),COUNTIFS('Material routes'!$D$6:$D$2205,A238,'Material routes'!$C$6:$C$2205,"Consumed input"),COUNTIFS('Material routes'!$D$6:$D$2205,A238,'Material routes'!$C$6:$C$2205,"Contained input"),COUNTIFS('Material routes'!$D$6:$D$2205,A238,'Material routes'!$C$6:$C$2205,"Transform input"))</x:f>
        <x:v>0</x:v>
      </x:c>
      <x:c r="AL238" s="4" t="n">
        <x:f>COUNTIFS('Material routes'!$D$6:$D$2205,A238,'Material routes'!$C$6:$C$2205,"Tool candidate")</x:f>
        <x:v>0</x:v>
      </x:c>
      <x:c r="AM238" s="4" t="str">
        <x:f>IF(AJ238&gt;0,"Route listed; review status/completeness",IF(C238="T0","Raw entry feed; no production route","No production route listed"))</x:f>
        <x:v>Route listed; review status/completeness</x:v>
      </x:c>
      <x:c r="AN238" s="14" t="n">
        <x:f>IF(C238="T0",0,IF(C238="T1",1,IF(C238="T2",2,IF(C238="T3",3,IF(C238="T4",4,IF(C238="Unassigned",98,99))))))</x:f>
        <x:v>99</x:v>
      </x:c>
      <x:c r="AZ238"/>
      <x:c r="BA238"/>
      <x:c r="BB238"/>
      <x:c r="BC238"/>
      <x:c r="BD238"/>
      <x:c r="BE238"/>
      <x:c r="BF238"/>
      <x:c r="BG238"/>
      <x:c r="BH238"/>
      <x:c r="BI238"/>
      <x:c r="BJ238"/>
      <x:c r="BK238"/>
      <x:c r="BL238"/>
      <x:c r="BM238"/>
      <x:c r="BN238"/>
      <x:c r="BO238"/>
      <x:c r="BP238"/>
      <x:c r="BQ238"/>
      <x:c r="BR238"/>
      <x:c r="BS238"/>
      <x:c r="BT238"/>
      <x:c r="BU238"/>
      <x:c r="BV238"/>
      <x:c r="BW238"/>
      <x:c r="BX238"/>
      <x:c r="BY238"/>
      <x:c r="BZ238"/>
      <x:c r="CA238"/>
      <x:c r="CB238"/>
      <x:c r="CC238"/>
    </x:row>
    <x:row r="239" ht="170" customHeight="1">
      <x:c r="A239" s="9" t="str">
        <x:v>proposal.wind.folding_frame</x:v>
      </x:c>
      <x:c r="B239" s="9" t="str">
        <x:v>Collapsible sail frame</x:v>
      </x:c>
      <x:c r="C239" s="4" t="str">
        <x:v>T4</x:v>
      </x:c>
      <x:c r="D239" s="9" t="inlineStr">
        <x:is>
          <x:t xml:space="preserve">Salvage</x:t>
        </x:is>
      </x:c>
      <x:c r="E239" s="9" t="str">
        <x:v>Wind sail component</x:v>
      </x:c>
      <x:c r="F239" s="9" t="str">
        <x:v>New proposal</x:v>
      </x:c>
      <x:c r="G239" s="9" t="inlineStr">
        <x:is>
          <x:t xml:space="preserve">Proposed folding spars, joints and retainers supporting a wing sail. It provides a candidate part for constructing equipment; matching interfaces and final assembly are still required.</x:t>
        </x:is>
      </x:c>
      <x:c r="H239" s="9" t="str">
        <x:v>Unassigned; no new slot approved</x:v>
      </x:c>
      <x:c r="I239" s="9" t="str">
        <x:v>Physical part / installation ownership TBD</x:v>
      </x:c>
      <x:c r="J239" s="13"/>
      <x:c r="K239" s="15"/>
      <x:c r="L239" s="9" t="str">
        <x:v>Salvage, insect-wing processing and specialist assembly; exact routes TBD</x:v>
      </x:c>
      <x:c r="M239" s="9" t="str">
        <x:v>No recipe authored. Existing metal stock, drive salvage, fasteners and compatible lubricant concepts may support later design.</x:v>
      </x:c>
      <x:c r="N239" s="9" t="str">
        <x:v>Not implemented</x:v>
      </x:c>
      <x:c r="O239" s="9" t="str">
        <x:v>Use metal/salvaged parts as candidates; folding geometry, weight and membrane attachment require design.</x:v>
      </x:c>
      <x:c r="P239" s="17"/>
      <x:c r="Q239" s="17"/>
      <x:c r="R239" s="17"/>
      <x:c r="S239" s="17"/>
      <x:c r="T239" s="17"/>
      <x:c r="U239" s="9" t="str">
        <x:v>Working labels; material quantities, durability and value unspecified. Fallen parts is interpreted as recoverable salvage, not proof of mandatory ancient technology.</x:v>
      </x:c>
      <x:c r="V239" s="11" t="str">
        <x:v>wind; sail</x:v>
      </x:c>
      <x:c r="W239" s="9" t="str">
        <x:v>Direct author wind-turbine, insect-wing sail and four-wheel dirtboard direction October 14, 2026; specific component breakdown is proposed.</x:v>
      </x:c>
      <x:c r="X239" s="4" t="str">
        <x:v>Crafting component</x:v>
      </x:c>
      <x:c r="Y239" s="4" t="str">
        <x:v>Processed intermediate</x:v>
      </x:c>
      <x:c r="Z239" s="4" t="str">
        <x:v>Manufactured / unresolved</x:v>
      </x:c>
      <x:c r="AA239" s="4" t="str">
        <x:v>Equipment fabrication</x:v>
      </x:c>
      <x:c r="AB239" s="4" t="str">
        <x:v>Metal</x:v>
      </x:c>
      <x:c r="AC239" s="4" t="str">
        <x:v>Assembly</x:v>
      </x:c>
      <x:c r="AD239" s="4" t="str">
        <x:v>Proposal</x:v>
      </x:c>
      <x:c r="AE239" s="4" t="str">
        <x:f>LOWER(A239&amp;"; "&amp;B239&amp;"; "&amp;D239&amp;"; "&amp;E239&amp;"; "&amp;X239&amp;"; "&amp;Y239&amp;"; "&amp;Z239&amp;"; "&amp;AA239&amp;"; "&amp;AB239&amp;"; "&amp;AC239&amp;"; "&amp;AD239&amp;"; "&amp;V239&amp;"; "&amp;C239&amp;"; "&amp;AH239&amp;"; "&amp;AI239)</x:f>
        <x:v>proposal.wind.folding_frame; collapsible sail frame; salvage; wind sail component; crafting component; processed intermediate; manufactured / unresolved; equipment fabrication; metal; assembly; proposal; wind; sail; t4; not applicable; component</x:v>
      </x:c>
      <x:c r="AF239"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39" s="4" t="str">
        <x:v>October 15 proposed tier review: 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AH239" s="4" t="str">
        <x:v>Not applicable</x:v>
      </x:c>
      <x:c r="AI239" s="4" t="str">
        <x:v>Component</x:v>
      </x:c>
      <x:c r="AJ239" s="4" t="n">
        <x:f>COUNTIFS('Material routes'!$D$6:$D$2205,A239,'Material routes'!$C$6:$C$2205,"Output")</x:f>
        <x:v>1</x:v>
      </x:c>
      <x:c r="AK239" s="4" t="n">
        <x:f>SUM(COUNTIFS('Material routes'!$D$6:$D$2205,A239,'Material routes'!$C$6:$C$2205,"Ingredient candidate"),COUNTIFS('Material routes'!$D$6:$D$2205,A239,'Material routes'!$C$6:$C$2205,"Consumed input"),COUNTIFS('Material routes'!$D$6:$D$2205,A239,'Material routes'!$C$6:$C$2205,"Contained input"),COUNTIFS('Material routes'!$D$6:$D$2205,A239,'Material routes'!$C$6:$C$2205,"Transform input"))</x:f>
        <x:v>3</x:v>
      </x:c>
      <x:c r="AL239" s="4" t="n">
        <x:f>COUNTIFS('Material routes'!$D$6:$D$2205,A239,'Material routes'!$C$6:$C$2205,"Tool candidate")</x:f>
        <x:v>0</x:v>
      </x:c>
      <x:c r="AM239" s="4" t="str">
        <x:f>IF(AJ239&gt;0,"Route listed; review status/completeness",IF(C239="T0","Raw entry feed; no production route","No production route listed"))</x:f>
        <x:v>Route listed; review status/completeness</x:v>
      </x:c>
      <x:c r="AN239" s="14" t="n">
        <x:f>IF(C239="T0",0,IF(C239="T1",1,IF(C239="T2",2,IF(C239="T3",3,IF(C239="T4",4,IF(C239="Unassigned",98,99))))))</x:f>
        <x:v>4</x:v>
      </x:c>
      <x:c r="AZ239"/>
      <x:c r="BA239"/>
      <x:c r="BB239"/>
      <x:c r="BC239"/>
      <x:c r="BD239"/>
      <x:c r="BE239"/>
      <x:c r="BF239"/>
      <x:c r="BG239"/>
      <x:c r="BH239"/>
      <x:c r="BI239"/>
      <x:c r="BJ239"/>
      <x:c r="BK239"/>
      <x:c r="BL239"/>
      <x:c r="BM239"/>
      <x:c r="BN239"/>
      <x:c r="BO239"/>
      <x:c r="BP239"/>
      <x:c r="BQ239"/>
      <x:c r="BR239"/>
      <x:c r="BS239"/>
      <x:c r="BT239"/>
      <x:c r="BU239"/>
      <x:c r="BV239"/>
      <x:c r="BW239"/>
      <x:c r="BX239"/>
      <x:c r="BY239"/>
      <x:c r="BZ239"/>
      <x:c r="CA239"/>
      <x:c r="CB239"/>
      <x:c r="CC239"/>
    </x:row>
    <x:row r="240" ht="170" customHeight="1">
      <x:c r="A240" s="9" t="str">
        <x:v>proposal.wind.sail_grip</x:v>
      </x:c>
      <x:c r="B240" s="9" t="str">
        <x:v>Hand-sail grip assembly</x:v>
      </x:c>
      <x:c r="C240" s="4" t="str">
        <x:v>T3</x:v>
      </x:c>
      <x:c r="D240" s="9" t="inlineStr">
        <x:is>
          <x:t xml:space="preserve">Salvage</x:t>
        </x:is>
      </x:c>
      <x:c r="E240" s="9" t="str">
        <x:v>Wind sail component</x:v>
      </x:c>
      <x:c r="F240" s="9" t="str">
        <x:v>New proposal</x:v>
      </x:c>
      <x:c r="G240" s="9" t="inlineStr">
        <x:is>
          <x:t xml:space="preserve">Proposed hand interface and control attachment for the collapsible sail. It provides a candidate part for constructing equipment; matching interfaces and final assembly are still required.</x:t>
        </x:is>
      </x:c>
      <x:c r="H240" s="9" t="str">
        <x:v>Unassigned; no new slot approved</x:v>
      </x:c>
      <x:c r="I240" s="9" t="str">
        <x:v>Physical part / installation ownership TBD</x:v>
      </x:c>
      <x:c r="J240" s="13"/>
      <x:c r="K240" s="15"/>
      <x:c r="L240" s="9" t="str">
        <x:v>Salvage, insect-wing processing and specialist assembly; exact routes TBD</x:v>
      </x:c>
      <x:c r="M240" s="9" t="str">
        <x:v>No recipe authored. Existing metal stock, drive salvage, fasteners and compatible lubricant concepts may support later design.</x:v>
      </x:c>
      <x:c r="N240" s="9" t="str">
        <x:v>Not implemented</x:v>
      </x:c>
      <x:c r="O240" s="9" t="str">
        <x:v>Grip arrangement, release behavior and hand occupancy undecided; no body harness or bindings assumed.</x:v>
      </x:c>
      <x:c r="P240" s="17"/>
      <x:c r="Q240" s="17"/>
      <x:c r="R240" s="17"/>
      <x:c r="S240" s="17"/>
      <x:c r="T240" s="17"/>
      <x:c r="U240" s="9" t="str">
        <x:v>Working labels; material quantities, durability and value unspecified. Fallen parts is interpreted as recoverable salvage, not proof of mandatory ancient technology.</x:v>
      </x:c>
      <x:c r="V240" s="11" t="str">
        <x:v>equipment mounting; wind; sail</x:v>
      </x:c>
      <x:c r="W240" s="9" t="str">
        <x:v>Direct author wind-turbine, insect-wing sail and four-wheel dirtboard direction October 14, 2026; specific component breakdown is proposed.</x:v>
      </x:c>
      <x:c r="X240" s="4" t="str">
        <x:v>Crafting component</x:v>
      </x:c>
      <x:c r="Y240" s="4" t="str">
        <x:v>Processed intermediate</x:v>
      </x:c>
      <x:c r="Z240" s="4" t="str">
        <x:v>Manufactured / unresolved</x:v>
      </x:c>
      <x:c r="AA240" s="4" t="str">
        <x:v>Equipment fabrication</x:v>
      </x:c>
      <x:c r="AB240" s="4" t="str">
        <x:v>Mixed / unresolved</x:v>
      </x:c>
      <x:c r="AC240" s="4" t="str">
        <x:v>Assembly</x:v>
      </x:c>
      <x:c r="AD240" s="4" t="str">
        <x:v>Proposal</x:v>
      </x:c>
      <x:c r="AE240" s="4" t="str">
        <x:f>LOWER(A240&amp;"; "&amp;B240&amp;"; "&amp;D240&amp;"; "&amp;E240&amp;"; "&amp;X240&amp;"; "&amp;Y240&amp;"; "&amp;Z240&amp;"; "&amp;AA240&amp;"; "&amp;AB240&amp;"; "&amp;AC240&amp;"; "&amp;AD240&amp;"; "&amp;V240&amp;"; "&amp;C240&amp;"; "&amp;AH240&amp;"; "&amp;AI240)</x:f>
        <x:v>proposal.wind.sail_grip; hand-sail grip assembly; salvage; wind sail component; crafting component; processed intermediate; manufactured / unresolved; equipment fabrication; mixed / unresolved; assembly; proposal; equipment mounting; wind; sail; t3; not applicable; component</x:v>
      </x:c>
      <x:c r="AF240"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40" s="4" t="str">
        <x:v>October 15 proposed tier review: Fit a metal grip with minimal selected prepared hide contact material. Candidate route only: quantities, yield, tools, fit, process conditions and service compatibility remain open. No wood, ordinary cloth or abundant hide supply; release geometry remains open.</x:v>
      </x:c>
      <x:c r="AH240" s="4" t="str">
        <x:v>Not applicable</x:v>
      </x:c>
      <x:c r="AI240" s="4" t="str">
        <x:v>Component</x:v>
      </x:c>
      <x:c r="AJ240" s="4" t="n">
        <x:f>COUNTIFS('Material routes'!$D$6:$D$2205,A240,'Material routes'!$C$6:$C$2205,"Output")</x:f>
        <x:v>1</x:v>
      </x:c>
      <x:c r="AK240" s="4" t="n">
        <x:f>SUM(COUNTIFS('Material routes'!$D$6:$D$2205,A240,'Material routes'!$C$6:$C$2205,"Ingredient candidate"),COUNTIFS('Material routes'!$D$6:$D$2205,A240,'Material routes'!$C$6:$C$2205,"Consumed input"),COUNTIFS('Material routes'!$D$6:$D$2205,A240,'Material routes'!$C$6:$C$2205,"Contained input"),COUNTIFS('Material routes'!$D$6:$D$2205,A240,'Material routes'!$C$6:$C$2205,"Transform input"))</x:f>
        <x:v>1</x:v>
      </x:c>
      <x:c r="AL240" s="4" t="n">
        <x:f>COUNTIFS('Material routes'!$D$6:$D$2205,A240,'Material routes'!$C$6:$C$2205,"Tool candidate")</x:f>
        <x:v>0</x:v>
      </x:c>
      <x:c r="AM240" s="4" t="str">
        <x:f>IF(AJ240&gt;0,"Route listed; review status/completeness",IF(C240="T0","Raw entry feed; no production route","No production route listed"))</x:f>
        <x:v>Route listed; review status/completeness</x:v>
      </x:c>
      <x:c r="AN240" s="14" t="n">
        <x:f>IF(C240="T0",0,IF(C240="T1",1,IF(C240="T2",2,IF(C240="T3",3,IF(C240="T4",4,IF(C240="Unassigned",98,99))))))</x:f>
        <x:v>3</x:v>
      </x:c>
      <x:c r="AZ240"/>
      <x:c r="BA240"/>
      <x:c r="BB240"/>
      <x:c r="BC240"/>
      <x:c r="BD240"/>
      <x:c r="BE240"/>
      <x:c r="BF240"/>
      <x:c r="BG240"/>
      <x:c r="BH240"/>
      <x:c r="BI240"/>
      <x:c r="BJ240"/>
      <x:c r="BK240"/>
      <x:c r="BL240"/>
      <x:c r="BM240"/>
      <x:c r="BN240"/>
      <x:c r="BO240"/>
      <x:c r="BP240"/>
      <x:c r="BQ240"/>
      <x:c r="BR240"/>
      <x:c r="BS240"/>
      <x:c r="BT240"/>
      <x:c r="BU240"/>
      <x:c r="BV240"/>
      <x:c r="BW240"/>
      <x:c r="BX240"/>
      <x:c r="BY240"/>
      <x:c r="BZ240"/>
      <x:c r="CA240"/>
      <x:c r="CB240"/>
      <x:c r="CC240"/>
    </x:row>
    <x:row r="241" ht="170" customHeight="1">
      <x:c r="A241" s="9" t="str">
        <x:v>proposal.wind.wheel</x:v>
      </x:c>
      <x:c r="B241" s="9" t="str">
        <x:v>Dirtboard wheel assembly</x:v>
      </x:c>
      <x:c r="C241" s="4" t="str">
        <x:v>T4</x:v>
      </x:c>
      <x:c r="D241" s="9" t="inlineStr">
        <x:is>
          <x:t xml:space="preserve">Salvage</x:t>
        </x:is>
      </x:c>
      <x:c r="E241" s="9" t="str">
        <x:v>Dirtboard component</x:v>
      </x:c>
      <x:c r="F241" s="9" t="str">
        <x:v>New proposal</x:v>
      </x:c>
      <x:c r="G241" s="9" t="inlineStr">
        <x:is>
          <x:t xml:space="preserve">Replaceable wheel-and-bearing unit candidate for the four-wheel dirtboard. It provides a candidate part for constructing equipment; matching interfaces and final assembly are still required.</x:t>
        </x:is>
      </x:c>
      <x:c r="H241" s="9" t="str">
        <x:v>Unassigned; no new slot approved</x:v>
      </x:c>
      <x:c r="I241" s="9" t="str">
        <x:v>Physical part / installation ownership TBD</x:v>
      </x:c>
      <x:c r="J241" s="13"/>
      <x:c r="K241" s="15"/>
      <x:c r="L241" s="9" t="str">
        <x:v>Salvage, insect-wing processing and specialist assembly; exact routes TBD</x:v>
      </x:c>
      <x:c r="M241" s="9" t="str">
        <x:v>No recipe authored. Existing metal stock, drive salvage, fasteners and compatible lubricant concepts may support later design.</x:v>
      </x:c>
      <x:c r="N241" s="9" t="str">
        <x:v>Not implemented</x:v>
      </x:c>
      <x:c r="O241" s="9" t="str">
        <x:v>Exactly four wheels on the assembled board by author direction. Wheel composition unresolved; no ordinary rubber supply assumed.</x:v>
      </x:c>
      <x:c r="P241" s="17"/>
      <x:c r="Q241" s="17"/>
      <x:c r="R241" s="17"/>
      <x:c r="S241" s="17"/>
      <x:c r="T241" s="17"/>
      <x:c r="U241" s="9" t="str">
        <x:v>Working labels; material quantities, durability and value unspecified. Fallen parts is interpreted as recoverable salvage, not proof of mandatory ancient technology.</x:v>
      </x:c>
      <x:c r="V241" s="11" t="str">
        <x:v>equipment repair; wind; sail</x:v>
      </x:c>
      <x:c r="W241" s="9" t="str">
        <x:v>Direct author wind-turbine, insect-wing sail and four-wheel dirtboard direction October 14, 2026; specific component breakdown is proposed.</x:v>
      </x:c>
      <x:c r="X241" s="4" t="str">
        <x:v>Crafting component</x:v>
      </x:c>
      <x:c r="Y241" s="4" t="str">
        <x:v>Processed intermediate</x:v>
      </x:c>
      <x:c r="Z241" s="4" t="str">
        <x:v>Manufactured / unresolved</x:v>
      </x:c>
      <x:c r="AA241" s="4" t="str">
        <x:v>Equipment fabrication</x:v>
      </x:c>
      <x:c r="AB241" s="4" t="str">
        <x:v>Mixed / unresolved</x:v>
      </x:c>
      <x:c r="AC241" s="4" t="str">
        <x:v>Assembly</x:v>
      </x:c>
      <x:c r="AD241" s="4" t="str">
        <x:v>Proposal</x:v>
      </x:c>
      <x:c r="AE241" s="4" t="str">
        <x:f>LOWER(A241&amp;"; "&amp;B241&amp;"; "&amp;D241&amp;"; "&amp;E241&amp;"; "&amp;X241&amp;"; "&amp;Y241&amp;"; "&amp;Z241&amp;"; "&amp;AA241&amp;"; "&amp;AB241&amp;"; "&amp;AC241&amp;"; "&amp;AD241&amp;"; "&amp;V241&amp;"; "&amp;C241&amp;"; "&amp;AH241&amp;"; "&amp;AI241)</x:f>
        <x:v>proposal.wind.wheel; dirtboard wheel assembly; salvage; dirtboard component; crafting component; processed intermediate; manufactured / unresolved; equipment fabrication; mixed / unresolved; assembly; proposal; equipment repair; wind; sail; t4; not applicable; component</x:v>
      </x:c>
      <x:c r="AF241"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41" s="4" t="str">
        <x:v>October 15 proposed tier review: 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AH241" s="4" t="str">
        <x:v>Not applicable</x:v>
      </x:c>
      <x:c r="AI241" s="4" t="str">
        <x:v>Component</x:v>
      </x:c>
      <x:c r="AJ241" s="4" t="n">
        <x:f>COUNTIFS('Material routes'!$D$6:$D$2205,A241,'Material routes'!$C$6:$C$2205,"Output")</x:f>
        <x:v>1</x:v>
      </x:c>
      <x:c r="AK241" s="4" t="n">
        <x:f>SUM(COUNTIFS('Material routes'!$D$6:$D$2205,A241,'Material routes'!$C$6:$C$2205,"Ingredient candidate"),COUNTIFS('Material routes'!$D$6:$D$2205,A241,'Material routes'!$C$6:$C$2205,"Consumed input"),COUNTIFS('Material routes'!$D$6:$D$2205,A241,'Material routes'!$C$6:$C$2205,"Contained input"),COUNTIFS('Material routes'!$D$6:$D$2205,A241,'Material routes'!$C$6:$C$2205,"Transform input"))</x:f>
        <x:v>1</x:v>
      </x:c>
      <x:c r="AL241" s="4" t="n">
        <x:f>COUNTIFS('Material routes'!$D$6:$D$2205,A241,'Material routes'!$C$6:$C$2205,"Tool candidate")</x:f>
        <x:v>0</x:v>
      </x:c>
      <x:c r="AM241" s="4" t="str">
        <x:f>IF(AJ241&gt;0,"Route listed; review status/completeness",IF(C241="T0","Raw entry feed; no production route","No production route listed"))</x:f>
        <x:v>Route listed; review status/completeness</x:v>
      </x:c>
      <x:c r="AN241" s="14" t="n">
        <x:f>IF(C241="T0",0,IF(C241="T1",1,IF(C241="T2",2,IF(C241="T3",3,IF(C241="T4",4,IF(C241="Unassigned",98,99))))))</x:f>
        <x:v>4</x:v>
      </x:c>
      <x:c r="AZ241"/>
      <x:c r="BA241"/>
      <x:c r="BB241"/>
      <x:c r="BC241"/>
      <x:c r="BD241"/>
      <x:c r="BE241"/>
      <x:c r="BF241"/>
      <x:c r="BG241"/>
      <x:c r="BH241"/>
      <x:c r="BI241"/>
      <x:c r="BJ241"/>
      <x:c r="BK241"/>
      <x:c r="BL241"/>
      <x:c r="BM241"/>
      <x:c r="BN241"/>
      <x:c r="BO241"/>
      <x:c r="BP241"/>
      <x:c r="BQ241"/>
      <x:c r="BR241"/>
      <x:c r="BS241"/>
      <x:c r="BT241"/>
      <x:c r="BU241"/>
      <x:c r="BV241"/>
      <x:c r="BW241"/>
      <x:c r="BX241"/>
      <x:c r="BY241"/>
      <x:c r="BZ241"/>
      <x:c r="CA241"/>
      <x:c r="CB241"/>
      <x:c r="CC241"/>
    </x:row>
    <x:row r="242" ht="170" customHeight="1">
      <x:c r="A242" s="9" t="str">
        <x:v>proposal.wind.truck</x:v>
      </x:c>
      <x:c r="B242" s="9" t="str">
        <x:v>Dirtboard axle / steering assembly</x:v>
      </x:c>
      <x:c r="C242" s="4" t="str">
        <x:v>T4</x:v>
      </x:c>
      <x:c r="D242" s="9" t="inlineStr">
        <x:is>
          <x:t xml:space="preserve">Salvage</x:t>
        </x:is>
      </x:c>
      <x:c r="E242" s="9" t="str">
        <x:v>Dirtboard component</x:v>
      </x:c>
      <x:c r="F242" s="9" t="str">
        <x:v>New proposal</x:v>
      </x:c>
      <x:c r="G242" s="9" t="inlineStr">
        <x:is>
          <x:t xml:space="preserve">Proposed mount joining wheels to the board and supporting a chosen steering method. It provides a candidate part for constructing equipment; matching interfaces and final assembly are still required.</x:t>
        </x:is>
      </x:c>
      <x:c r="H242" s="9" t="str">
        <x:v>Unassigned; no new slot approved</x:v>
      </x:c>
      <x:c r="I242" s="9" t="str">
        <x:v>Physical part / installation ownership TBD</x:v>
      </x:c>
      <x:c r="J242" s="13"/>
      <x:c r="K242" s="15"/>
      <x:c r="L242" s="9" t="str">
        <x:v>Salvage, insect-wing processing and specialist assembly; exact routes TBD</x:v>
      </x:c>
      <x:c r="M242" s="9" t="str">
        <x:v>No recipe authored. Existing metal stock, drive salvage, fasteners and compatible lubricant concepts may support later design.</x:v>
      </x:c>
      <x:c r="N242" s="9" t="str">
        <x:v>Not implemented</x:v>
      </x:c>
      <x:c r="O242" s="9" t="str">
        <x:v>Axle/truck geometry, suspension and steering response are design questions; component count unassigned.</x:v>
      </x:c>
      <x:c r="P242" s="17"/>
      <x:c r="Q242" s="17"/>
      <x:c r="R242" s="17"/>
      <x:c r="S242" s="17"/>
      <x:c r="T242" s="17"/>
      <x:c r="U242" s="9" t="str">
        <x:v>Working labels; material quantities, durability and value unspecified. Fallen parts is interpreted as recoverable salvage, not proof of mandatory ancient technology.</x:v>
      </x:c>
      <x:c r="V242" s="11" t="str">
        <x:v>equipment repair; wind; sail</x:v>
      </x:c>
      <x:c r="W242" s="9" t="str">
        <x:v>Direct author wind-turbine, insect-wing sail and four-wheel dirtboard direction October 14, 2026; specific component breakdown is proposed.</x:v>
      </x:c>
      <x:c r="X242" s="4" t="str">
        <x:v>Crafting component</x:v>
      </x:c>
      <x:c r="Y242" s="4" t="str">
        <x:v>Processed intermediate</x:v>
      </x:c>
      <x:c r="Z242" s="4" t="str">
        <x:v>Manufactured / unresolved</x:v>
      </x:c>
      <x:c r="AA242" s="4" t="str">
        <x:v>Equipment fabrication</x:v>
      </x:c>
      <x:c r="AB242" s="4" t="str">
        <x:v>Metal</x:v>
      </x:c>
      <x:c r="AC242" s="4" t="str">
        <x:v>Assembly</x:v>
      </x:c>
      <x:c r="AD242" s="4" t="str">
        <x:v>Proposal</x:v>
      </x:c>
      <x:c r="AE242" s="4" t="str">
        <x:f>LOWER(A242&amp;"; "&amp;B242&amp;"; "&amp;D242&amp;"; "&amp;E242&amp;"; "&amp;X242&amp;"; "&amp;Y242&amp;"; "&amp;Z242&amp;"; "&amp;AA242&amp;"; "&amp;AB242&amp;"; "&amp;AC242&amp;"; "&amp;AD242&amp;"; "&amp;V242&amp;"; "&amp;C242&amp;"; "&amp;AH242&amp;"; "&amp;AI242)</x:f>
        <x:v>proposal.wind.truck; dirtboard axle / steering assembly; salvage; dirtboard component; crafting component; processed intermediate; manufactured / unresolved; equipment fabrication; metal; assembly; proposal; equipment repair; wind; sail; t4; not applicable; component</x:v>
      </x:c>
      <x:c r="AF242"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x:t>
        </x:is>
      </x:c>
      <x:c r="AG242" s="4" t="str">
        <x:v>October 15 proposed tier review: Fit axle, steering and retention interfaces from selected T3 stocks. Candidate route only: quantities, yield, tools, fit, process conditions and service compatibility remain open. Steering geometry, spring use, clearances and ground service remain open.</x:v>
      </x:c>
      <x:c r="AH242" s="4" t="str">
        <x:v>Not applicable</x:v>
      </x:c>
      <x:c r="AI242" s="4" t="str">
        <x:v>Component</x:v>
      </x:c>
      <x:c r="AJ242" s="4" t="n">
        <x:f>COUNTIFS('Material routes'!$D$6:$D$2205,A242,'Material routes'!$C$6:$C$2205,"Output")</x:f>
        <x:v>1</x:v>
      </x:c>
      <x:c r="AK242" s="4" t="n">
        <x:f>SUM(COUNTIFS('Material routes'!$D$6:$D$2205,A242,'Material routes'!$C$6:$C$2205,"Ingredient candidate"),COUNTIFS('Material routes'!$D$6:$D$2205,A242,'Material routes'!$C$6:$C$2205,"Consumed input"),COUNTIFS('Material routes'!$D$6:$D$2205,A242,'Material routes'!$C$6:$C$2205,"Contained input"),COUNTIFS('Material routes'!$D$6:$D$2205,A242,'Material routes'!$C$6:$C$2205,"Transform input"))</x:f>
        <x:v>1</x:v>
      </x:c>
      <x:c r="AL242" s="4" t="n">
        <x:f>COUNTIFS('Material routes'!$D$6:$D$2205,A242,'Material routes'!$C$6:$C$2205,"Tool candidate")</x:f>
        <x:v>0</x:v>
      </x:c>
      <x:c r="AM242" s="4" t="str">
        <x:f>IF(AJ242&gt;0,"Route listed; review status/completeness",IF(C242="T0","Raw entry feed; no production route","No production route listed"))</x:f>
        <x:v>Route listed; review status/completeness</x:v>
      </x:c>
      <x:c r="AN242" s="14" t="n">
        <x:f>IF(C242="T0",0,IF(C242="T1",1,IF(C242="T2",2,IF(C242="T3",3,IF(C242="T4",4,IF(C242="Unassigned",98,99))))))</x:f>
        <x:v>4</x:v>
      </x:c>
      <x:c r="AZ242"/>
      <x:c r="BA242"/>
      <x:c r="BB242"/>
      <x:c r="BC242"/>
      <x:c r="BD242"/>
      <x:c r="BE242"/>
      <x:c r="BF242"/>
      <x:c r="BG242"/>
      <x:c r="BH242"/>
      <x:c r="BI242"/>
      <x:c r="BJ242"/>
      <x:c r="BK242"/>
      <x:c r="BL242"/>
      <x:c r="BM242"/>
      <x:c r="BN242"/>
      <x:c r="BO242"/>
      <x:c r="BP242"/>
      <x:c r="BQ242"/>
      <x:c r="BR242"/>
      <x:c r="BS242"/>
      <x:c r="BT242"/>
      <x:c r="BU242"/>
      <x:c r="BV242"/>
      <x:c r="BW242"/>
      <x:c r="BX242"/>
      <x:c r="BY242"/>
      <x:c r="BZ242"/>
      <x:c r="CA242"/>
      <x:c r="CB242"/>
      <x:c r="CC242"/>
    </x:row>
    <x:row r="243" ht="170" customHeight="1">
      <x:c r="A243" s="9" t="str">
        <x:v>proposal.wind.rotor</x:v>
      </x:c>
      <x:c r="B243" s="9" t="str">
        <x:v>Salvaged turbine rotor assembly</x:v>
      </x:c>
      <x:c r="C243" s="4" t="str">
        <x:v>Not applicable</x:v>
      </x:c>
      <x:c r="D243" s="9" t="inlineStr">
        <x:is>
          <x:t xml:space="preserve">Salvage</x:t>
        </x:is>
      </x:c>
      <x:c r="E243" s="9" t="str">
        <x:v>Wind machine component</x:v>
      </x:c>
      <x:c r="F243" s="9" t="str">
        <x:v>New proposal</x:v>
      </x:c>
      <x:c r="G243" s="9" t="inlineStr">
        <x:is>
          <x:t xml:space="preserve">Recovered or reworked rotor components for a compatible wind turbine. It provides a candidate part for constructing equipment; matching interfaces and final assembly are still required.</x:t>
        </x:is>
      </x:c>
      <x:c r="H243" s="9" t="str">
        <x:v>Unassigned; no new slot approved</x:v>
      </x:c>
      <x:c r="I243" s="9" t="str">
        <x:v>Physical part / installation ownership TBD</x:v>
      </x:c>
      <x:c r="J243" s="13"/>
      <x:c r="K243" s="15"/>
      <x:c r="L243" s="9" t="str">
        <x:v>Salvage, insect-wing processing and specialist assembly; exact routes TBD</x:v>
      </x:c>
      <x:c r="M243" s="9" t="str">
        <x:v>No recipe authored. Existing metal stock, drive salvage, fasteners and compatible lubricant concepts may support later design.</x:v>
      </x:c>
      <x:c r="N243" s="9" t="str">
        <x:v>Not implemented</x:v>
      </x:c>
      <x:c r="O243" s="9" t="str">
        <x:v>Blade versus membrane rotor design undecided; not automatically a complete operating turbine.</x:v>
      </x:c>
      <x:c r="P243" s="17"/>
      <x:c r="Q243" s="17"/>
      <x:c r="R243" s="17"/>
      <x:c r="S243" s="17"/>
      <x:c r="T243" s="17"/>
      <x:c r="U243" s="9" t="str">
        <x:v>Working labels; material quantities, durability and value unspecified. Fallen parts is interpreted as recoverable salvage, not proof of mandatory ancient technology.</x:v>
      </x:c>
      <x:c r="V243" s="11" t="str">
        <x:v>wind power; wind; sail</x:v>
      </x:c>
      <x:c r="W243" s="9" t="str">
        <x:v>Direct author wind-turbine, insect-wing sail and four-wheel dirtboard direction October 14, 2026; specific component breakdown is proposed.</x:v>
      </x:c>
      <x:c r="X243" s="4" t="str">
        <x:v>Crafting component</x:v>
      </x:c>
      <x:c r="Y243" s="4" t="str">
        <x:v>Processed intermediate</x:v>
      </x:c>
      <x:c r="Z243" s="4" t="str">
        <x:v>Recovered machinery</x:v>
      </x:c>
      <x:c r="AA243" s="4" t="str">
        <x:v>Equipment fabrication</x:v>
      </x:c>
      <x:c r="AB243" s="4" t="str">
        <x:v>Mixed / unresolved</x:v>
      </x:c>
      <x:c r="AC243" s="4" t="str">
        <x:v>Assembly</x:v>
      </x:c>
      <x:c r="AD243" s="4" t="str">
        <x:v>Proposal</x:v>
      </x:c>
      <x:c r="AE243" s="4" t="str">
        <x:f>LOWER(A243&amp;"; "&amp;B243&amp;"; "&amp;D243&amp;"; "&amp;E243&amp;"; "&amp;X243&amp;"; "&amp;Y243&amp;"; "&amp;Z243&amp;"; "&amp;AA243&amp;"; "&amp;AB243&amp;"; "&amp;AC243&amp;"; "&amp;AD243&amp;"; "&amp;V243&amp;"; "&amp;C243&amp;"; "&amp;AH243&amp;"; "&amp;AI243)</x:f>
        <x:v>proposal.wind.rotor; salvaged turbine rotor assembly; salvage; wind machine component; crafting component; processed intermediate; recovered machinery; equipment fabrication; mixed / unresolved; assembly; proposal; wind power; wind; sail; not applicable; not applicable; component</x:v>
      </x:c>
      <x:c r="AF243" s="4" t="inlineStr">
        <x:is>
          <x:t xml:space="preserve">Author direction for equipment families; proposed components and unimplemented behavior remain explicitly separate.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243"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243" s="4" t="str">
        <x:v>Not applicable</x:v>
      </x:c>
      <x:c r="AI243" s="4" t="str">
        <x:v>Component</x:v>
      </x:c>
      <x:c r="AJ243" s="4" t="n">
        <x:f>COUNTIFS('Material routes'!$D$6:$D$2205,A243,'Material routes'!$C$6:$C$2205,"Output")</x:f>
        <x:v>0</x:v>
      </x:c>
      <x:c r="AK243" s="4" t="n">
        <x:f>SUM(COUNTIFS('Material routes'!$D$6:$D$2205,A243,'Material routes'!$C$6:$C$2205,"Ingredient candidate"),COUNTIFS('Material routes'!$D$6:$D$2205,A243,'Material routes'!$C$6:$C$2205,"Consumed input"),COUNTIFS('Material routes'!$D$6:$D$2205,A243,'Material routes'!$C$6:$C$2205,"Contained input"),COUNTIFS('Material routes'!$D$6:$D$2205,A243,'Material routes'!$C$6:$C$2205,"Transform input"))</x:f>
        <x:v>1</x:v>
      </x:c>
      <x:c r="AL243" s="4" t="n">
        <x:f>COUNTIFS('Material routes'!$D$6:$D$2205,A243,'Material routes'!$C$6:$C$2205,"Tool candidate")</x:f>
        <x:v>0</x:v>
      </x:c>
      <x:c r="AM243" s="4" t="str">
        <x:f>IF(AJ243&gt;0,"Route listed; review status/completeness",IF(C243="T0","Raw entry feed; no production route","No production route listed"))</x:f>
        <x:v>No production route listed</x:v>
      </x:c>
      <x:c r="AN243" s="14" t="n">
        <x:f>IF(C243="T0",0,IF(C243="T1",1,IF(C243="T2",2,IF(C243="T3",3,IF(C243="T4",4,IF(C243="Unassigned",98,99))))))</x:f>
        <x:v>99</x:v>
      </x:c>
      <x:c r="AZ243"/>
      <x:c r="BA243"/>
      <x:c r="BB243"/>
      <x:c r="BC243"/>
      <x:c r="BD243"/>
      <x:c r="BE243"/>
      <x:c r="BF243"/>
      <x:c r="BG243"/>
      <x:c r="BH243"/>
      <x:c r="BI243"/>
      <x:c r="BJ243"/>
      <x:c r="BK243"/>
      <x:c r="BL243"/>
      <x:c r="BM243"/>
      <x:c r="BN243"/>
      <x:c r="BO243"/>
      <x:c r="BP243"/>
      <x:c r="BQ243"/>
      <x:c r="BR243"/>
      <x:c r="BS243"/>
      <x:c r="BT243"/>
      <x:c r="BU243"/>
      <x:c r="BV243"/>
      <x:c r="BW243"/>
      <x:c r="BX243"/>
      <x:c r="BY243"/>
      <x:c r="BZ243"/>
      <x:c r="CA243"/>
      <x:c r="CB243"/>
      <x:c r="CC243"/>
    </x:row>
    <x:row r="244" ht="170" customHeight="1">
      <x:c r="A244" s="9" t="str">
        <x:v>proposal.wind.generator</x:v>
      </x:c>
      <x:c r="B244" s="9" t="str">
        <x:v>Salvaged generator assembly</x:v>
      </x:c>
      <x:c r="C244" s="4" t="str">
        <x:v>Not applicable</x:v>
      </x:c>
      <x:c r="D244" s="9" t="inlineStr">
        <x:is>
          <x:t xml:space="preserve">Salvage</x:t>
        </x:is>
      </x:c>
      <x:c r="E244" s="9" t="str">
        <x:v>Wind machine component</x:v>
      </x:c>
      <x:c r="F244" s="9" t="str">
        <x:v>New proposal</x:v>
      </x:c>
      <x:c r="G244" s="9" t="inlineStr">
        <x:is>
          <x:t xml:space="preserve">Optional recovered electromechanical conversion unit for a future electrical-output turbine design. It is a feed or fitting for the recorded energy-processing chain; the energy source and receiving equipment remain distinct.</x:t>
        </x:is>
      </x:c>
      <x:c r="H244" s="9" t="str">
        <x:v>Unassigned; no new slot approved</x:v>
      </x:c>
      <x:c r="I244" s="9" t="str">
        <x:v>Physical part / installation ownership TBD</x:v>
      </x:c>
      <x:c r="J244" s="13"/>
      <x:c r="K244" s="15"/>
      <x:c r="L244" s="9" t="str">
        <x:v>Salvage, insect-wing processing and specialist assembly; exact routes TBD</x:v>
      </x:c>
      <x:c r="M244" s="9" t="str">
        <x:v>No recipe authored. Existing metal stock, drive salvage, fasteners and compatible lubricant concepts may support later design.</x:v>
      </x:c>
      <x:c r="N244" s="9" t="str">
        <x:v>Not implemented</x:v>
      </x:c>
      <x:c r="O244" s="9" t="str">
        <x:v>Wind output may instead drive machinery directly. Electrical output, connections and Arc Battery compatibility are undefined.</x:v>
      </x:c>
      <x:c r="P244" s="17"/>
      <x:c r="Q244" s="17"/>
      <x:c r="R244" s="17"/>
      <x:c r="S244" s="17"/>
      <x:c r="T244" s="17"/>
      <x:c r="U244" s="9" t="str">
        <x:v>Working labels; material quantities, durability and value unspecified. Fallen parts is interpreted as recoverable salvage, not proof of mandatory ancient technology.</x:v>
      </x:c>
      <x:c r="V244" s="11" t="str">
        <x:v>wind power; wind; sail</x:v>
      </x:c>
      <x:c r="W244" s="9" t="str">
        <x:v>Direct author wind-turbine, insect-wing sail and four-wheel dirtboard direction October 14, 2026; specific component breakdown is proposed.</x:v>
      </x:c>
      <x:c r="X244" s="4" t="str">
        <x:v>Crafting component</x:v>
      </x:c>
      <x:c r="Y244" s="4" t="str">
        <x:v>Processed intermediate</x:v>
      </x:c>
      <x:c r="Z244" s="4" t="str">
        <x:v>Recovered machinery</x:v>
      </x:c>
      <x:c r="AA244" s="4" t="str">
        <x:v>Energy processing</x:v>
      </x:c>
      <x:c r="AB244" s="4" t="str">
        <x:v>Mixed / unresolved</x:v>
      </x:c>
      <x:c r="AC244" s="4" t="str">
        <x:v>Assembly</x:v>
      </x:c>
      <x:c r="AD244" s="4" t="str">
        <x:v>Proposal</x:v>
      </x:c>
      <x:c r="AE244" s="4" t="str">
        <x:f>LOWER(A244&amp;"; "&amp;B244&amp;"; "&amp;D244&amp;"; "&amp;E244&amp;"; "&amp;X244&amp;"; "&amp;Y244&amp;"; "&amp;Z244&amp;"; "&amp;AA244&amp;"; "&amp;AB244&amp;"; "&amp;AC244&amp;"; "&amp;AD244&amp;"; "&amp;V244&amp;"; "&amp;C244&amp;"; "&amp;AH244&amp;"; "&amp;AI244)</x:f>
        <x:v>proposal.wind.generator; salvaged generator assembly; salvage; wind machine component; crafting component; processed intermediate; recovered machinery; energy processing; mixed / unresolved; assembly; proposal; wind power; wind; sail; not applicable; not applicable; component</x:v>
      </x:c>
      <x:c r="AF244" s="4" t="inlineStr">
        <x:is>
          <x:t xml:space="preserve">Author direction for equipment families; proposed components and unimplemented behavior remain explicitly separate.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244"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244" s="4" t="str">
        <x:v>Not applicable</x:v>
      </x:c>
      <x:c r="AI244" s="4" t="str">
        <x:v>Component</x:v>
      </x:c>
      <x:c r="AJ244" s="4" t="n">
        <x:f>COUNTIFS('Material routes'!$D$6:$D$2205,A244,'Material routes'!$C$6:$C$2205,"Output")</x:f>
        <x:v>0</x:v>
      </x:c>
      <x:c r="AK244" s="4" t="n">
        <x:f>SUM(COUNTIFS('Material routes'!$D$6:$D$2205,A244,'Material routes'!$C$6:$C$2205,"Ingredient candidate"),COUNTIFS('Material routes'!$D$6:$D$2205,A244,'Material routes'!$C$6:$C$2205,"Consumed input"),COUNTIFS('Material routes'!$D$6:$D$2205,A244,'Material routes'!$C$6:$C$2205,"Contained input"),COUNTIFS('Material routes'!$D$6:$D$2205,A244,'Material routes'!$C$6:$C$2205,"Transform input"))</x:f>
        <x:v>1</x:v>
      </x:c>
      <x:c r="AL244" s="4" t="n">
        <x:f>COUNTIFS('Material routes'!$D$6:$D$2205,A244,'Material routes'!$C$6:$C$2205,"Tool candidate")</x:f>
        <x:v>0</x:v>
      </x:c>
      <x:c r="AM244" s="4" t="str">
        <x:f>IF(AJ244&gt;0,"Route listed; review status/completeness",IF(C244="T0","Raw entry feed; no production route","No production route listed"))</x:f>
        <x:v>No production route listed</x:v>
      </x:c>
      <x:c r="AN244" s="14" t="n">
        <x:f>IF(C244="T0",0,IF(C244="T1",1,IF(C244="T2",2,IF(C244="T3",3,IF(C244="T4",4,IF(C244="Unassigned",98,99))))))</x:f>
        <x:v>99</x:v>
      </x:c>
      <x:c r="AZ244"/>
      <x:c r="BA244"/>
      <x:c r="BB244"/>
      <x:c r="BC244"/>
      <x:c r="BD244"/>
      <x:c r="BE244"/>
      <x:c r="BF244"/>
      <x:c r="BG244"/>
      <x:c r="BH244"/>
      <x:c r="BI244"/>
      <x:c r="BJ244"/>
      <x:c r="BK244"/>
      <x:c r="BL244"/>
      <x:c r="BM244"/>
      <x:c r="BN244"/>
      <x:c r="BO244"/>
      <x:c r="BP244"/>
      <x:c r="BQ244"/>
      <x:c r="BR244"/>
      <x:c r="BS244"/>
      <x:c r="BT244"/>
      <x:c r="BU244"/>
      <x:c r="BV244"/>
      <x:c r="BW244"/>
      <x:c r="BX244"/>
      <x:c r="BY244"/>
      <x:c r="BZ244"/>
      <x:c r="CA244"/>
      <x:c r="CB244"/>
      <x:c r="CC244"/>
    </x:row>
    <x:row r="245" ht="115" customHeight="1">
      <x:c r="A245" s="9" t="str">
        <x:v>proposal.legger.sling</x:v>
      </x:c>
      <x:c r="B245" s="9" t="str">
        <x:v>Legger cargo sling</x:v>
      </x:c>
      <x:c r="C245" s="4" t="str">
        <x:v>Not applicable</x:v>
      </x:c>
      <x:c r="D245" s="9" t="inlineStr">
        <x:is>
          <x:t xml:space="preserve">Legger attachments</x:t>
        </x:is>
      </x:c>
      <x:c r="E245" s="9" t="str">
        <x:v>Legger cargo rigging</x:v>
      </x:c>
      <x:c r="F245" s="9" t="str">
        <x:v>New proposal</x:v>
      </x:c>
      <x:c r="G245" s="9" t="inlineStr">
        <x:is>
          <x:t xml:space="preserve">Flexible cradle carrying a physically supported load. It is intended to retain or separate physical cargo at its actual location; it does not create remote storage or extra carrying capacity.</x:t>
        </x:is>
      </x:c>
      <x:c r="H245" s="9" t="str">
        <x:v>Legger fitment unresolved</x:v>
      </x:c>
      <x:c r="I245" s="9" t="str">
        <x:v>Legger attachment / replacement intended; physical cargo policy unchanged</x:v>
      </x:c>
      <x:c r="J245" s="13"/>
      <x:c r="K245" s="15"/>
      <x:c r="L245" s="9" t="str">
        <x:v>Local craft, salvage or specialist trade; exact route TBD</x:v>
      </x:c>
      <x:c r="M245" s="9" t="str">
        <x:v>No recipe authored. Reuse existing iron stock, biological materials, ceramic craft, lubricant and ancient-material families where appropriate.</x:v>
      </x:c>
      <x:c r="N245" s="9" t="str">
        <x:v>Not implemented</x:v>
      </x:c>
      <x:c r="O245" s="9" t="str">
        <x:v>Metal links, biological cord or scarce processed hide are candidates; no ordinary cloth. Cargo envelope and fit TBD.</x:v>
      </x:c>
      <x:c r="P245" s="17"/>
      <x:c r="Q245" s="17"/>
      <x:c r="R245" s="17"/>
      <x:c r="S245" s="17"/>
      <x:c r="T245" s="17"/>
      <x:c r="U245" s="9" t="str">
        <x:v>Brainstorming candidate. Geometry, cost, mass, mounting, carrying and replacement behavior remain open. Part belongs to a finite physical companion.</x:v>
      </x:c>
      <x:c r="V245" s="11" t="str">
        <x:v>equipment mounting; legger; leger; companion replacement part</x:v>
      </x:c>
      <x:c r="W245" s="9" t="str">
        <x:v>Author Legger slings/chassis/replacement/iron/ancient-armor brainstorming October 14, 2026; Docs/WORLD_BASIS.md#the-legger; specific item proposal.</x:v>
      </x:c>
      <x:c r="X245" s="4" t="str">
        <x:v>Carrier</x:v>
      </x:c>
      <x:c r="Y245" s="4" t="str">
        <x:v>Finished item</x:v>
      </x:c>
      <x:c r="Z245" s="4" t="str">
        <x:v>Manufactured / unresolved</x:v>
      </x:c>
      <x:c r="AA245" s="4" t="str">
        <x:v>Cargo organization</x:v>
      </x:c>
      <x:c r="AB245" s="4" t="str">
        <x:v>Mixed / unresolved</x:v>
      </x:c>
      <x:c r="AC245" s="4" t="str">
        <x:v>Assembly</x:v>
      </x:c>
      <x:c r="AD245" s="4" t="str">
        <x:v>Proposal</x:v>
      </x:c>
      <x:c r="AE245" s="4" t="str">
        <x:f>LOWER(A245&amp;"; "&amp;B245&amp;"; "&amp;D245&amp;"; "&amp;E245&amp;"; "&amp;X245&amp;"; "&amp;Y245&amp;"; "&amp;Z245&amp;"; "&amp;AA245&amp;"; "&amp;AB245&amp;"; "&amp;AC245&amp;"; "&amp;AD245&amp;"; "&amp;V245&amp;"; "&amp;C245&amp;"; "&amp;AH245&amp;"; "&amp;AI245)</x:f>
        <x:v>proposal.legger.sling; legger cargo sling; legger attachments; legger cargo rigging; carrier; finished item; manufactured / unresolved; cargo organization; mixed / unresolved; assembly; proposal; equipment mounting; legger; leger; companion replacement part; not applicable; t3; finished item</x:v>
      </x:c>
      <x:c r="AF24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5" s="4" t="str">
        <x:v>Finished endpoint; material tier is not applicable. Input tiers belong to the chosen recipe.</x:v>
      </x:c>
      <x:c r="AH245" s="4" t="str">
        <x:v>T3</x:v>
      </x:c>
      <x:c r="AI245" s="4" t="str">
        <x:v>Finished item</x:v>
      </x:c>
      <x:c r="AJ245" s="4" t="n">
        <x:f>COUNTIFS('Material routes'!$D$6:$D$2205,A245,'Material routes'!$C$6:$C$2205,"Output")</x:f>
        <x:v>1</x:v>
      </x:c>
      <x:c r="AK245" s="4" t="n">
        <x:f>SUM(COUNTIFS('Material routes'!$D$6:$D$2205,A245,'Material routes'!$C$6:$C$2205,"Ingredient candidate"),COUNTIFS('Material routes'!$D$6:$D$2205,A245,'Material routes'!$C$6:$C$2205,"Consumed input"),COUNTIFS('Material routes'!$D$6:$D$2205,A245,'Material routes'!$C$6:$C$2205,"Contained input"),COUNTIFS('Material routes'!$D$6:$D$2205,A245,'Material routes'!$C$6:$C$2205,"Transform input"))</x:f>
        <x:v>0</x:v>
      </x:c>
      <x:c r="AL245" s="4" t="n">
        <x:f>COUNTIFS('Material routes'!$D$6:$D$2205,A245,'Material routes'!$C$6:$C$2205,"Tool candidate")</x:f>
        <x:v>0</x:v>
      </x:c>
      <x:c r="AM245" s="4" t="str">
        <x:f>IF(AJ245&gt;0,"Route listed; review status/completeness",IF(C245="T0","Raw entry feed; no production route","No production route listed"))</x:f>
        <x:v>Route listed; review status/completeness</x:v>
      </x:c>
      <x:c r="AN245" s="14" t="n">
        <x:f>IF(C245="T0",0,IF(C245="T1",1,IF(C245="T2",2,IF(C245="T3",3,IF(C245="T4",4,IF(C245="Unassigned",98,99))))))</x:f>
        <x:v>99</x:v>
      </x:c>
      <x:c r="AZ245"/>
      <x:c r="BA245"/>
      <x:c r="BB245"/>
      <x:c r="BC245"/>
      <x:c r="BD245"/>
      <x:c r="BE245"/>
      <x:c r="BF245"/>
      <x:c r="BG245"/>
      <x:c r="BH245"/>
      <x:c r="BI245"/>
      <x:c r="BJ245"/>
      <x:c r="BK245"/>
      <x:c r="BL245"/>
      <x:c r="BM245"/>
      <x:c r="BN245"/>
      <x:c r="BO245"/>
      <x:c r="BP245"/>
      <x:c r="BQ245"/>
      <x:c r="BR245"/>
      <x:c r="BS245"/>
      <x:c r="BT245"/>
      <x:c r="BU245"/>
      <x:c r="BV245"/>
      <x:c r="BW245"/>
      <x:c r="BX245"/>
      <x:c r="BY245"/>
      <x:c r="BZ245"/>
      <x:c r="CA245"/>
      <x:c r="CB245"/>
      <x:c r="CC245"/>
    </x:row>
    <x:row r="246" ht="115" customHeight="1">
      <x:c r="A246" s="9" t="str">
        <x:v>proposal.legger.cradle</x:v>
      </x:c>
      <x:c r="B246" s="9" t="str">
        <x:v>Legger rigid cargo cradle</x:v>
      </x:c>
      <x:c r="C246" s="4" t="str">
        <x:v>Not applicable</x:v>
      </x:c>
      <x:c r="D246" s="9" t="inlineStr">
        <x:is>
          <x:t xml:space="preserve">Legger attachments</x:t>
        </x:is>
      </x:c>
      <x:c r="E246" s="9" t="str">
        <x:v>Legger cargo rigging</x:v>
      </x:c>
      <x:c r="F246" s="9" t="str">
        <x:v>New proposal</x:v>
      </x:c>
      <x:c r="G246" s="9" t="inlineStr">
        <x:is>
          <x:t xml:space="preserve">Fitted frame for an awkward piece of salvage or a compatible container. It is intended to retain or separate physical cargo at its actual location; it does not create remote storage or extra carrying capacity.</x:t>
        </x:is>
      </x:c>
      <x:c r="H246" s="9" t="str">
        <x:v>Legger fitment unresolved</x:v>
      </x:c>
      <x:c r="I246" s="9" t="str">
        <x:v>Legger attachment / replacement intended; physical cargo policy unchanged</x:v>
      </x:c>
      <x:c r="J246" s="13"/>
      <x:c r="K246" s="15"/>
      <x:c r="L246" s="9" t="str">
        <x:v>Local craft, salvage or specialist trade; exact route TBD</x:v>
      </x:c>
      <x:c r="M246" s="9" t="str">
        <x:v>No recipe authored. Reuse existing iron stock, biological materials, ceramic craft, lubricant and ancient-material families where appropriate.</x:v>
      </x:c>
      <x:c r="N246" s="9" t="str">
        <x:v>Not implemented</x:v>
      </x:c>
      <x:c r="O246" s="9" t="str">
        <x:v>Shape-specific support differs from a flexible sling; dimensions and capacity undecided.</x:v>
      </x:c>
      <x:c r="P246" s="17"/>
      <x:c r="Q246" s="17"/>
      <x:c r="R246" s="17"/>
      <x:c r="S246" s="17"/>
      <x:c r="T246" s="17"/>
      <x:c r="U246" s="9" t="str">
        <x:v>Brainstorming candidate. Geometry, cost, mass, mounting, carrying and replacement behavior remain open. Part belongs to a finite physical companion.</x:v>
      </x:c>
      <x:c r="V246" s="11" t="str">
        <x:v>equipment mounting; legger; leger; companion replacement part</x:v>
      </x:c>
      <x:c r="W246" s="9" t="str">
        <x:v>Author Legger slings/chassis/replacement/iron/ancient-armor brainstorming October 14, 2026; Docs/WORLD_BASIS.md#the-legger; specific item proposal.</x:v>
      </x:c>
      <x:c r="X246" s="4" t="str">
        <x:v>Carrier</x:v>
      </x:c>
      <x:c r="Y246" s="4" t="str">
        <x:v>Finished item</x:v>
      </x:c>
      <x:c r="Z246" s="4" t="str">
        <x:v>Manufactured / unresolved</x:v>
      </x:c>
      <x:c r="AA246" s="4" t="str">
        <x:v>Cargo organization</x:v>
      </x:c>
      <x:c r="AB246" s="4" t="str">
        <x:v>Metal</x:v>
      </x:c>
      <x:c r="AC246" s="4" t="str">
        <x:v>Assembly</x:v>
      </x:c>
      <x:c r="AD246" s="4" t="str">
        <x:v>Proposal</x:v>
      </x:c>
      <x:c r="AE246" s="4" t="str">
        <x:f>LOWER(A246&amp;"; "&amp;B246&amp;"; "&amp;D246&amp;"; "&amp;E246&amp;"; "&amp;X246&amp;"; "&amp;Y246&amp;"; "&amp;Z246&amp;"; "&amp;AA246&amp;"; "&amp;AB246&amp;"; "&amp;AC246&amp;"; "&amp;AD246&amp;"; "&amp;V246&amp;"; "&amp;C246&amp;"; "&amp;AH246&amp;"; "&amp;AI246)</x:f>
        <x:v>proposal.legger.cradle; legger rigid cargo cradle; legger attachments; legger cargo rigging; carrier; finished item; manufactured / unresolved; cargo organization; metal; assembly; proposal; equipment mounting; legger; leger; companion replacement part; not applicable; t3; finished item</x:v>
      </x:c>
      <x:c r="AF24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6" s="4" t="str">
        <x:v>Finished endpoint; material tier is not applicable. Input tiers belong to the chosen recipe.</x:v>
      </x:c>
      <x:c r="AH246" s="4" t="str">
        <x:v>T3</x:v>
      </x:c>
      <x:c r="AI246" s="4" t="str">
        <x:v>Finished item</x:v>
      </x:c>
      <x:c r="AJ246" s="4" t="n">
        <x:f>COUNTIFS('Material routes'!$D$6:$D$2205,A246,'Material routes'!$C$6:$C$2205,"Output")</x:f>
        <x:v>1</x:v>
      </x:c>
      <x:c r="AK246" s="4" t="n">
        <x:f>SUM(COUNTIFS('Material routes'!$D$6:$D$2205,A246,'Material routes'!$C$6:$C$2205,"Ingredient candidate"),COUNTIFS('Material routes'!$D$6:$D$2205,A246,'Material routes'!$C$6:$C$2205,"Consumed input"),COUNTIFS('Material routes'!$D$6:$D$2205,A246,'Material routes'!$C$6:$C$2205,"Contained input"),COUNTIFS('Material routes'!$D$6:$D$2205,A246,'Material routes'!$C$6:$C$2205,"Transform input"))</x:f>
        <x:v>0</x:v>
      </x:c>
      <x:c r="AL246" s="4" t="n">
        <x:f>COUNTIFS('Material routes'!$D$6:$D$2205,A246,'Material routes'!$C$6:$C$2205,"Tool candidate")</x:f>
        <x:v>0</x:v>
      </x:c>
      <x:c r="AM246" s="4" t="str">
        <x:f>IF(AJ246&gt;0,"Route listed; review status/completeness",IF(C246="T0","Raw entry feed; no production route","No production route listed"))</x:f>
        <x:v>Route listed; review status/completeness</x:v>
      </x:c>
      <x:c r="AN246" s="14" t="n">
        <x:f>IF(C246="T0",0,IF(C246="T1",1,IF(C246="T2",2,IF(C246="T3",3,IF(C246="T4",4,IF(C246="Unassigned",98,99))))))</x:f>
        <x:v>99</x:v>
      </x:c>
      <x:c r="AZ246"/>
      <x:c r="BA246"/>
      <x:c r="BB246"/>
      <x:c r="BC246"/>
      <x:c r="BD246"/>
      <x:c r="BE246"/>
      <x:c r="BF246"/>
      <x:c r="BG246"/>
      <x:c r="BH246"/>
      <x:c r="BI246"/>
      <x:c r="BJ246"/>
      <x:c r="BK246"/>
      <x:c r="BL246"/>
      <x:c r="BM246"/>
      <x:c r="BN246"/>
      <x:c r="BO246"/>
      <x:c r="BP246"/>
      <x:c r="BQ246"/>
      <x:c r="BR246"/>
      <x:c r="BS246"/>
      <x:c r="BT246"/>
      <x:c r="BU246"/>
      <x:c r="BV246"/>
      <x:c r="BW246"/>
      <x:c r="BX246"/>
      <x:c r="BY246"/>
      <x:c r="BZ246"/>
      <x:c r="CA246"/>
      <x:c r="CB246"/>
      <x:c r="CC246"/>
    </x:row>
    <x:row r="247" ht="170" customHeight="1">
      <x:c r="A247" s="9" t="str">
        <x:v>proposal.legger.anchors</x:v>
      </x:c>
      <x:c r="B247" s="9" t="str">
        <x:v>Legger lashing-anchor set</x:v>
      </x:c>
      <x:c r="C247" s="4" t="str">
        <x:v>T3</x:v>
      </x:c>
      <x:c r="D247" s="9" t="str">
        <x:v>Crafting components</x:v>
      </x:c>
      <x:c r="E247" s="9" t="str">
        <x:v>Legger cargo rigging</x:v>
      </x:c>
      <x:c r="F247" s="9" t="str">
        <x:v>New proposal</x:v>
      </x:c>
      <x:c r="G247" s="9" t="inlineStr">
        <x:is>
          <x:t xml:space="preserve">Attachment eyes and retainers for a chosen cargo rig. It locates or retains a fitted item on a matching structure; mounting geometry and loads must be chosen together.</x:t>
        </x:is>
      </x:c>
      <x:c r="H247" s="9" t="str">
        <x:v>Legger fitment unresolved</x:v>
      </x:c>
      <x:c r="I247" s="9" t="str">
        <x:v>Legger attachment / replacement intended; physical cargo policy unchanged</x:v>
      </x:c>
      <x:c r="J247" s="13"/>
      <x:c r="K247" s="15"/>
      <x:c r="L247" s="9" t="str">
        <x:v>Local craft, salvage or specialist trade; exact route TBD</x:v>
      </x:c>
      <x:c r="M247" s="9" t="str">
        <x:v>No recipe authored. Reuse existing iron stock, biological materials, ceramic craft, lubricant and ancient-material families where appropriate.</x:v>
      </x:c>
      <x:c r="N247" s="9" t="str">
        <x:v>Not implemented</x:v>
      </x:c>
      <x:c r="O247" s="9" t="str">
        <x:v>Anchor geometry, fastening and loads unresolved; item is a set with quantity not yet defined.</x:v>
      </x:c>
      <x:c r="P247" s="17"/>
      <x:c r="Q247" s="17"/>
      <x:c r="R247" s="17"/>
      <x:c r="S247" s="17"/>
      <x:c r="T247" s="17"/>
      <x:c r="U247" s="9" t="str">
        <x:v>Brainstorming candidate. Geometry, cost, mass, mounting, carrying and replacement behavior remain open. Part belongs to a finite physical companion.</x:v>
      </x:c>
      <x:c r="V247" s="11" t="str">
        <x:v>legger; leger; companion replacement part</x:v>
      </x:c>
      <x:c r="W247" s="9" t="str">
        <x:v>Author Legger slings/chassis/replacement/iron/ancient-armor brainstorming October 14, 2026; Docs/WORLD_BASIS.md#the-legger; specific item proposal.</x:v>
      </x:c>
      <x:c r="X247" s="4" t="str">
        <x:v>Crafting component</x:v>
      </x:c>
      <x:c r="Y247" s="4" t="str">
        <x:v>Processed intermediate</x:v>
      </x:c>
      <x:c r="Z247" s="4" t="str">
        <x:v>Manufactured / unresolved</x:v>
      </x:c>
      <x:c r="AA247" s="4" t="str">
        <x:v>Equipment mounting</x:v>
      </x:c>
      <x:c r="AB247" s="4" t="str">
        <x:v>Metal</x:v>
      </x:c>
      <x:c r="AC247" s="4" t="str">
        <x:v>Assembly</x:v>
      </x:c>
      <x:c r="AD247" s="4" t="str">
        <x:v>Proposal</x:v>
      </x:c>
      <x:c r="AE247" s="4" t="str">
        <x:f>LOWER(A247&amp;"; "&amp;B247&amp;"; "&amp;D247&amp;"; "&amp;E247&amp;"; "&amp;X247&amp;"; "&amp;Y247&amp;"; "&amp;Z247&amp;"; "&amp;AA247&amp;"; "&amp;AB247&amp;"; "&amp;AC247&amp;"; "&amp;AD247&amp;"; "&amp;V247&amp;"; "&amp;C247&amp;"; "&amp;AH247&amp;"; "&amp;AI247)</x:f>
        <x:v>proposal.legger.anchors; legger lashing-anchor set; crafting components; legger cargo rigging; crafting component; processed intermediate; manufactured / unresolved; equipment mounting; metal; assembly; proposal; legger; leger; companion replacement part; t3; not applicable; component</x:v>
      </x:c>
      <x:c r="AF247" s="4" t="str">
        <x:v>Specific parts and protective properties remain proposals; ancient-material scarcity is established author direction.</x:v>
      </x:c>
      <x:c r="AG247"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47" s="4" t="str">
        <x:v>Not applicable</x:v>
      </x:c>
      <x:c r="AI247" s="4" t="str">
        <x:v>Component</x:v>
      </x:c>
      <x:c r="AJ247" s="4" t="n">
        <x:f>COUNTIFS('Material routes'!$D$6:$D$2205,A247,'Material routes'!$C$6:$C$2205,"Output")</x:f>
        <x:v>1</x:v>
      </x:c>
      <x:c r="AK247" s="4" t="n">
        <x:f>SUM(COUNTIFS('Material routes'!$D$6:$D$2205,A247,'Material routes'!$C$6:$C$2205,"Ingredient candidate"),COUNTIFS('Material routes'!$D$6:$D$2205,A247,'Material routes'!$C$6:$C$2205,"Consumed input"),COUNTIFS('Material routes'!$D$6:$D$2205,A247,'Material routes'!$C$6:$C$2205,"Contained input"),COUNTIFS('Material routes'!$D$6:$D$2205,A247,'Material routes'!$C$6:$C$2205,"Transform input"))</x:f>
        <x:v>1</x:v>
      </x:c>
      <x:c r="AL247" s="4" t="n">
        <x:f>COUNTIFS('Material routes'!$D$6:$D$2205,A247,'Material routes'!$C$6:$C$2205,"Tool candidate")</x:f>
        <x:v>0</x:v>
      </x:c>
      <x:c r="AM247" s="4" t="str">
        <x:f>IF(AJ247&gt;0,"Route listed; review status/completeness",IF(C247="T0","Raw entry feed; no production route","No production route listed"))</x:f>
        <x:v>Route listed; review status/completeness</x:v>
      </x:c>
      <x:c r="AN247" s="14" t="n">
        <x:f>IF(C247="T0",0,IF(C247="T1",1,IF(C247="T2",2,IF(C247="T3",3,IF(C247="T4",4,IF(C247="Unassigned",98,99))))))</x:f>
        <x:v>3</x:v>
      </x:c>
      <x:c r="AZ247"/>
      <x:c r="BA247"/>
      <x:c r="BB247"/>
      <x:c r="BC247"/>
      <x:c r="BD247"/>
      <x:c r="BE247"/>
      <x:c r="BF247"/>
      <x:c r="BG247"/>
      <x:c r="BH247"/>
      <x:c r="BI247"/>
      <x:c r="BJ247"/>
      <x:c r="BK247"/>
      <x:c r="BL247"/>
      <x:c r="BM247"/>
      <x:c r="BN247"/>
      <x:c r="BO247"/>
      <x:c r="BP247"/>
      <x:c r="BQ247"/>
      <x:c r="BR247"/>
      <x:c r="BS247"/>
      <x:c r="BT247"/>
      <x:c r="BU247"/>
      <x:c r="BV247"/>
      <x:c r="BW247"/>
      <x:c r="BX247"/>
      <x:c r="BY247"/>
      <x:c r="BZ247"/>
      <x:c r="CA247"/>
      <x:c r="CB247"/>
      <x:c r="CC247"/>
    </x:row>
    <x:row r="248" ht="170" customHeight="1">
      <x:c r="A248" s="9" t="str">
        <x:v>proposal.legger.balance_link</x:v>
      </x:c>
      <x:c r="B248" s="9" t="str">
        <x:v>Legger load-balance linkage</x:v>
      </x:c>
      <x:c r="C248" s="4" t="str">
        <x:v>T3</x:v>
      </x:c>
      <x:c r="D248" s="9" t="str">
        <x:v>Crafting components</x:v>
      </x:c>
      <x:c r="E248" s="9" t="str">
        <x:v>Legger cargo rigging</x:v>
      </x:c>
      <x:c r="F248" s="9" t="str">
        <x:v>New proposal</x:v>
      </x:c>
      <x:c r="G248" s="9" t="inlineStr">
        <x:is>
          <x:t xml:space="preserve">Mechanical linkage candidate to distribute a supported cargo load. It is intended to retain or separate physical cargo at its actual location; it does not create remote storage or extra carrying capacity.</x:t>
        </x:is>
      </x:c>
      <x:c r="H248" s="9" t="str">
        <x:v>Legger fitment unresolved</x:v>
      </x:c>
      <x:c r="I248" s="9" t="str">
        <x:v>Legger attachment / replacement intended; physical cargo policy unchanged</x:v>
      </x:c>
      <x:c r="J248" s="13"/>
      <x:c r="K248" s="15"/>
      <x:c r="L248" s="9" t="str">
        <x:v>Local craft, salvage or specialist trade; exact route TBD</x:v>
      </x:c>
      <x:c r="M248" s="9" t="str">
        <x:v>No recipe authored. Reuse existing iron stock, biological materials, ceramic craft, lubricant and ancient-material families where appropriate.</x:v>
      </x:c>
      <x:c r="N248" s="9" t="str">
        <x:v>Not implemented</x:v>
      </x:c>
      <x:c r="O248" s="9" t="str">
        <x:v>A design goal rather than active self-balancing behavior; no increased capacity or stability stat assigned.</x:v>
      </x:c>
      <x:c r="P248" s="17"/>
      <x:c r="Q248" s="17"/>
      <x:c r="R248" s="17"/>
      <x:c r="S248" s="17"/>
      <x:c r="T248" s="17"/>
      <x:c r="U248" s="9" t="str">
        <x:v>Brainstorming candidate. Geometry, cost, mass, mounting, carrying and replacement behavior remain open. Part belongs to a finite physical companion.</x:v>
      </x:c>
      <x:c r="V248" s="11" t="str">
        <x:v>equipment mounting; legger; leger; companion replacement part</x:v>
      </x:c>
      <x:c r="W248" s="9" t="str">
        <x:v>Author Legger slings/chassis/replacement/iron/ancient-armor brainstorming October 14, 2026; Docs/WORLD_BASIS.md#the-legger; specific item proposal.</x:v>
      </x:c>
      <x:c r="X248" s="4" t="str">
        <x:v>Crafting component</x:v>
      </x:c>
      <x:c r="Y248" s="4" t="str">
        <x:v>Processed intermediate</x:v>
      </x:c>
      <x:c r="Z248" s="4" t="str">
        <x:v>Manufactured / unresolved</x:v>
      </x:c>
      <x:c r="AA248" s="4" t="str">
        <x:v>Cargo organization</x:v>
      </x:c>
      <x:c r="AB248" s="4" t="str">
        <x:v>Metal</x:v>
      </x:c>
      <x:c r="AC248" s="4" t="str">
        <x:v>Assembly</x:v>
      </x:c>
      <x:c r="AD248" s="4" t="str">
        <x:v>Proposal</x:v>
      </x:c>
      <x:c r="AE248" s="4" t="str">
        <x:f>LOWER(A248&amp;"; "&amp;B248&amp;"; "&amp;D248&amp;"; "&amp;E248&amp;"; "&amp;X248&amp;"; "&amp;Y248&amp;"; "&amp;Z248&amp;"; "&amp;AA248&amp;"; "&amp;AB248&amp;"; "&amp;AC248&amp;"; "&amp;AD248&amp;"; "&amp;V248&amp;"; "&amp;C248&amp;"; "&amp;AH248&amp;"; "&amp;AI248)</x:f>
        <x:v>proposal.legger.balance_link; legger load-balance linkage; crafting components; legger cargo rigging; crafting component; processed intermediate; manufactured / unresolved; cargo organization; metal; assembly; proposal; equipment mounting; legger; leger; companion replacement part; t3; not applicable; component</x:v>
      </x:c>
      <x:c r="AF248" s="4" t="str">
        <x:v>Specific parts and protective properties remain proposals; ancient-material scarcity is established author direction.</x:v>
      </x:c>
      <x:c r="AG248" s="4" t="str">
        <x:v>October 15 proposed tier review: Fit a load-linkage component from prepared iron and bearing-metal feed. Candidate route only: quantities, yield, tools, fit, process conditions and service compatibility remain open. No automatic load balancing or stability behavior implied.</x:v>
      </x:c>
      <x:c r="AH248" s="4" t="str">
        <x:v>Not applicable</x:v>
      </x:c>
      <x:c r="AI248" s="4" t="str">
        <x:v>Component</x:v>
      </x:c>
      <x:c r="AJ248" s="4" t="n">
        <x:f>COUNTIFS('Material routes'!$D$6:$D$2205,A248,'Material routes'!$C$6:$C$2205,"Output")</x:f>
        <x:v>1</x:v>
      </x:c>
      <x:c r="AK248" s="4" t="n">
        <x:f>SUM(COUNTIFS('Material routes'!$D$6:$D$2205,A248,'Material routes'!$C$6:$C$2205,"Ingredient candidate"),COUNTIFS('Material routes'!$D$6:$D$2205,A248,'Material routes'!$C$6:$C$2205,"Consumed input"),COUNTIFS('Material routes'!$D$6:$D$2205,A248,'Material routes'!$C$6:$C$2205,"Contained input"),COUNTIFS('Material routes'!$D$6:$D$2205,A248,'Material routes'!$C$6:$C$2205,"Transform input"))</x:f>
        <x:v>0</x:v>
      </x:c>
      <x:c r="AL248" s="4" t="n">
        <x:f>COUNTIFS('Material routes'!$D$6:$D$2205,A248,'Material routes'!$C$6:$C$2205,"Tool candidate")</x:f>
        <x:v>0</x:v>
      </x:c>
      <x:c r="AM248" s="4" t="str">
        <x:f>IF(AJ248&gt;0,"Route listed; review status/completeness",IF(C248="T0","Raw entry feed; no production route","No production route listed"))</x:f>
        <x:v>Route listed; review status/completeness</x:v>
      </x:c>
      <x:c r="AN248" s="14" t="n">
        <x:f>IF(C248="T0",0,IF(C248="T1",1,IF(C248="T2",2,IF(C248="T3",3,IF(C248="T4",4,IF(C248="Unassigned",98,99))))))</x:f>
        <x:v>3</x:v>
      </x:c>
      <x:c r="AZ248"/>
      <x:c r="BA248"/>
      <x:c r="BB248"/>
      <x:c r="BC248"/>
      <x:c r="BD248"/>
      <x:c r="BE248"/>
      <x:c r="BF248"/>
      <x:c r="BG248"/>
      <x:c r="BH248"/>
      <x:c r="BI248"/>
      <x:c r="BJ248"/>
      <x:c r="BK248"/>
      <x:c r="BL248"/>
      <x:c r="BM248"/>
      <x:c r="BN248"/>
      <x:c r="BO248"/>
      <x:c r="BP248"/>
      <x:c r="BQ248"/>
      <x:c r="BR248"/>
      <x:c r="BS248"/>
      <x:c r="BT248"/>
      <x:c r="BU248"/>
      <x:c r="BV248"/>
      <x:c r="BW248"/>
      <x:c r="BX248"/>
      <x:c r="BY248"/>
      <x:c r="BZ248"/>
      <x:c r="CA248"/>
      <x:c r="CB248"/>
      <x:c r="CC248"/>
    </x:row>
    <x:row r="249" ht="170" customHeight="1">
      <x:c r="A249" s="9" t="str">
        <x:v>proposal.legger.iron_rib</x:v>
      </x:c>
      <x:c r="B249" s="9" t="str">
        <x:v>Iron chassis replacement rib</x:v>
      </x:c>
      <x:c r="C249" s="4" t="str">
        <x:v>T3</x:v>
      </x:c>
      <x:c r="D249" s="9" t="str">
        <x:v>Crafting components</x:v>
      </x:c>
      <x:c r="E249" s="9" t="str">
        <x:v>Legger chassis</x:v>
      </x:c>
      <x:c r="F249" s="9" t="str">
        <x:v>New proposal</x:v>
      </x:c>
      <x:c r="G249" s="9" t="inlineStr">
        <x:is>
          <x:t xml:space="preserve">Locally worked iron replacement for a selected damaged chassis member. It supports replacement, refitting or maintenance of a compatible item; ownership alone does not restore the equipment’s condition.</x:t>
        </x:is>
      </x:c>
      <x:c r="H249" s="9" t="str">
        <x:v>Legger fitment unresolved</x:v>
      </x:c>
      <x:c r="I249" s="9" t="str">
        <x:v>Legger attachment / replacement intended; physical cargo policy unchanged</x:v>
      </x:c>
      <x:c r="J249" s="13"/>
      <x:c r="K249" s="15"/>
      <x:c r="L249" s="9" t="str">
        <x:v>Local craft, salvage or specialist trade; exact route TBD</x:v>
      </x:c>
      <x:c r="M249" s="9" t="str">
        <x:v>No recipe authored. Reuse existing iron stock, biological materials, ceramic craft, lubricant and ancient-material families where appropriate.</x:v>
      </x:c>
      <x:c r="N249" s="9" t="str">
        <x:v>Not implemented</x:v>
      </x:c>
      <x:c r="O249" s="9" t="str">
        <x:v>Geometry, weight and compatibility must match the selected host; iron is not an automatic drop-in substitute.</x:v>
      </x:c>
      <x:c r="P249" s="17"/>
      <x:c r="Q249" s="17"/>
      <x:c r="R249" s="17"/>
      <x:c r="S249" s="17"/>
      <x:c r="T249" s="17"/>
      <x:c r="U249" s="9" t="str">
        <x:v>Brainstorming candidate. Geometry, cost, mass, mounting, carrying and replacement behavior remain open. Part belongs to a finite physical companion.</x:v>
      </x:c>
      <x:c r="V249" s="11" t="str">
        <x:v>legger; leger; companion replacement part</x:v>
      </x:c>
      <x:c r="W249" s="9" t="str">
        <x:v>Author Legger slings/chassis/replacement/iron/ancient-armor brainstorming October 14, 2026; Docs/WORLD_BASIS.md#the-legger; specific item proposal.</x:v>
      </x:c>
      <x:c r="X249" s="4" t="str">
        <x:v>Crafting component</x:v>
      </x:c>
      <x:c r="Y249" s="4" t="str">
        <x:v>Processed intermediate</x:v>
      </x:c>
      <x:c r="Z249" s="4" t="str">
        <x:v>Manufactured / unresolved</x:v>
      </x:c>
      <x:c r="AA249" s="4" t="str">
        <x:v>Equipment repair</x:v>
      </x:c>
      <x:c r="AB249" s="4" t="str">
        <x:v>Metal</x:v>
      </x:c>
      <x:c r="AC249" s="4" t="str">
        <x:v>Solid part</x:v>
      </x:c>
      <x:c r="AD249" s="4" t="str">
        <x:v>Proposal</x:v>
      </x:c>
      <x:c r="AE249" s="4" t="str">
        <x:f>LOWER(A249&amp;"; "&amp;B249&amp;"; "&amp;D249&amp;"; "&amp;E249&amp;"; "&amp;X249&amp;"; "&amp;Y249&amp;"; "&amp;Z249&amp;"; "&amp;AA249&amp;"; "&amp;AB249&amp;"; "&amp;AC249&amp;"; "&amp;AD249&amp;"; "&amp;V249&amp;"; "&amp;C249&amp;"; "&amp;AH249&amp;"; "&amp;AI249)</x:f>
        <x:v>proposal.legger.iron_rib; iron chassis replacement rib; crafting components; legger chassis; crafting component; processed intermediate; manufactured / unresolved; equipment repair; metal; solid part; proposal; legger; leger; companion replacement part; t3; not applicable; component</x:v>
      </x:c>
      <x:c r="AF249" s="4" t="str">
        <x:v>Specific parts and protective properties remain proposals; ancient-material scarcity is established author direction.</x:v>
      </x:c>
      <x:c r="AG24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49" s="4" t="str">
        <x:v>Not applicable</x:v>
      </x:c>
      <x:c r="AI249" s="4" t="str">
        <x:v>Component</x:v>
      </x:c>
      <x:c r="AJ249" s="4" t="n">
        <x:f>COUNTIFS('Material routes'!$D$6:$D$2205,A249,'Material routes'!$C$6:$C$2205,"Output")</x:f>
        <x:v>1</x:v>
      </x:c>
      <x:c r="AK249" s="4" t="n">
        <x:f>SUM(COUNTIFS('Material routes'!$D$6:$D$2205,A249,'Material routes'!$C$6:$C$2205,"Ingredient candidate"),COUNTIFS('Material routes'!$D$6:$D$2205,A249,'Material routes'!$C$6:$C$2205,"Consumed input"),COUNTIFS('Material routes'!$D$6:$D$2205,A249,'Material routes'!$C$6:$C$2205,"Contained input"),COUNTIFS('Material routes'!$D$6:$D$2205,A249,'Material routes'!$C$6:$C$2205,"Transform input"))</x:f>
        <x:v>4</x:v>
      </x:c>
      <x:c r="AL249" s="4" t="n">
        <x:f>COUNTIFS('Material routes'!$D$6:$D$2205,A249,'Material routes'!$C$6:$C$2205,"Tool candidate")</x:f>
        <x:v>0</x:v>
      </x:c>
      <x:c r="AM249" s="4" t="str">
        <x:f>IF(AJ249&gt;0,"Route listed; review status/completeness",IF(C249="T0","Raw entry feed; no production route","No production route listed"))</x:f>
        <x:v>Route listed; review status/completeness</x:v>
      </x:c>
      <x:c r="AN249" s="14" t="n">
        <x:f>IF(C249="T0",0,IF(C249="T1",1,IF(C249="T2",2,IF(C249="T3",3,IF(C249="T4",4,IF(C249="Unassigned",98,99))))))</x:f>
        <x:v>3</x:v>
      </x:c>
      <x:c r="AZ249"/>
      <x:c r="BA249"/>
      <x:c r="BB249"/>
      <x:c r="BC249"/>
      <x:c r="BD249"/>
      <x:c r="BE249"/>
      <x:c r="BF249"/>
      <x:c r="BG249"/>
      <x:c r="BH249"/>
      <x:c r="BI249"/>
      <x:c r="BJ249"/>
      <x:c r="BK249"/>
      <x:c r="BL249"/>
      <x:c r="BM249"/>
      <x:c r="BN249"/>
      <x:c r="BO249"/>
      <x:c r="BP249"/>
      <x:c r="BQ249"/>
      <x:c r="BR249"/>
      <x:c r="BS249"/>
      <x:c r="BT249"/>
      <x:c r="BU249"/>
      <x:c r="BV249"/>
      <x:c r="BW249"/>
      <x:c r="BX249"/>
      <x:c r="BY249"/>
      <x:c r="BZ249"/>
      <x:c r="CA249"/>
      <x:c r="CB249"/>
      <x:c r="CC249"/>
    </x:row>
    <x:row r="250" ht="170" customHeight="1">
      <x:c r="A250" s="9" t="str">
        <x:v>proposal.legger.crossbrace</x:v>
      </x:c>
      <x:c r="B250" s="9" t="str">
        <x:v>Chassis crossbrace</x:v>
      </x:c>
      <x:c r="C250" s="4" t="str">
        <x:v>T3</x:v>
      </x:c>
      <x:c r="D250" s="9" t="str">
        <x:v>Crafting components</x:v>
      </x:c>
      <x:c r="E250" s="9" t="str">
        <x:v>Legger chassis</x:v>
      </x:c>
      <x:c r="F250" s="9" t="str">
        <x:v>New proposal</x:v>
      </x:c>
      <x:c r="G250" s="9" t="inlineStr">
        <x:is>
          <x:t xml:space="preserve">Brace joining selected chassis members. It supports replacement, refitting or maintenance of a compatible item; ownership alone does not restore the equipment’s condition.</x:t>
        </x:is>
      </x:c>
      <x:c r="H250" s="9" t="str">
        <x:v>Legger fitment unresolved</x:v>
      </x:c>
      <x:c r="I250" s="9" t="str">
        <x:v>Legger attachment / replacement intended; physical cargo policy unchanged</x:v>
      </x:c>
      <x:c r="J250" s="13"/>
      <x:c r="K250" s="15"/>
      <x:c r="L250" s="9" t="str">
        <x:v>Local craft, salvage or specialist trade; exact route TBD</x:v>
      </x:c>
      <x:c r="M250" s="9" t="str">
        <x:v>No recipe authored. Reuse existing iron stock, biological materials, ceramic craft, lubricant and ancient-material families where appropriate.</x:v>
      </x:c>
      <x:c r="N250" s="9" t="str">
        <x:v>Not implemented</x:v>
      </x:c>
      <x:c r="O250" s="9" t="str">
        <x:v>Mounting pattern, material grade and repair procedure TBD.</x:v>
      </x:c>
      <x:c r="P250" s="17"/>
      <x:c r="Q250" s="17"/>
      <x:c r="R250" s="17"/>
      <x:c r="S250" s="17"/>
      <x:c r="T250" s="17"/>
      <x:c r="U250" s="9" t="str">
        <x:v>Brainstorming candidate. Geometry, cost, mass, mounting, carrying and replacement behavior remain open. Part belongs to a finite physical companion.</x:v>
      </x:c>
      <x:c r="V250" s="11" t="str">
        <x:v>equipment fabrication; legger; leger; companion replacement part</x:v>
      </x:c>
      <x:c r="W250" s="9" t="str">
        <x:v>Author Legger slings/chassis/replacement/iron/ancient-armor brainstorming October 14, 2026; Docs/WORLD_BASIS.md#the-legger; specific item proposal.</x:v>
      </x:c>
      <x:c r="X250" s="4" t="str">
        <x:v>Crafting component</x:v>
      </x:c>
      <x:c r="Y250" s="4" t="str">
        <x:v>Processed intermediate</x:v>
      </x:c>
      <x:c r="Z250" s="4" t="str">
        <x:v>Manufactured / unresolved</x:v>
      </x:c>
      <x:c r="AA250" s="4" t="str">
        <x:v>Equipment repair</x:v>
      </x:c>
      <x:c r="AB250" s="4" t="str">
        <x:v>Metal</x:v>
      </x:c>
      <x:c r="AC250" s="4" t="str">
        <x:v>Solid part</x:v>
      </x:c>
      <x:c r="AD250" s="4" t="str">
        <x:v>Proposal</x:v>
      </x:c>
      <x:c r="AE250" s="4" t="str">
        <x:f>LOWER(A250&amp;"; "&amp;B250&amp;"; "&amp;D250&amp;"; "&amp;E250&amp;"; "&amp;X250&amp;"; "&amp;Y250&amp;"; "&amp;Z250&amp;"; "&amp;AA250&amp;"; "&amp;AB250&amp;"; "&amp;AC250&amp;"; "&amp;AD250&amp;"; "&amp;V250&amp;"; "&amp;C250&amp;"; "&amp;AH250&amp;"; "&amp;AI250)</x:f>
        <x:v>proposal.legger.crossbrace; chassis crossbrace; crafting components; legger chassis; crafting component; processed intermediate; manufactured / unresolved; equipment repair; metal; solid part; proposal; equipment fabrication; legger; leger; companion replacement part; t3; not applicable; component</x:v>
      </x:c>
      <x:c r="AF250" s="4" t="str">
        <x:v>Specific parts and protective properties remain proposals; ancient-material scarcity is established author direction.</x:v>
      </x:c>
      <x:c r="AG250"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0" s="4" t="str">
        <x:v>Not applicable</x:v>
      </x:c>
      <x:c r="AI250" s="4" t="str">
        <x:v>Component</x:v>
      </x:c>
      <x:c r="AJ250" s="4" t="n">
        <x:f>COUNTIFS('Material routes'!$D$6:$D$2205,A250,'Material routes'!$C$6:$C$2205,"Output")</x:f>
        <x:v>1</x:v>
      </x:c>
      <x:c r="AK250" s="4" t="n">
        <x:f>SUM(COUNTIFS('Material routes'!$D$6:$D$2205,A250,'Material routes'!$C$6:$C$2205,"Ingredient candidate"),COUNTIFS('Material routes'!$D$6:$D$2205,A250,'Material routes'!$C$6:$C$2205,"Consumed input"),COUNTIFS('Material routes'!$D$6:$D$2205,A250,'Material routes'!$C$6:$C$2205,"Contained input"),COUNTIFS('Material routes'!$D$6:$D$2205,A250,'Material routes'!$C$6:$C$2205,"Transform input"))</x:f>
        <x:v>1</x:v>
      </x:c>
      <x:c r="AL250" s="4" t="n">
        <x:f>COUNTIFS('Material routes'!$D$6:$D$2205,A250,'Material routes'!$C$6:$C$2205,"Tool candidate")</x:f>
        <x:v>0</x:v>
      </x:c>
      <x:c r="AM250" s="4" t="str">
        <x:f>IF(AJ250&gt;0,"Route listed; review status/completeness",IF(C250="T0","Raw entry feed; no production route","No production route listed"))</x:f>
        <x:v>Route listed; review status/completeness</x:v>
      </x:c>
      <x:c r="AN250" s="14" t="n">
        <x:f>IF(C250="T0",0,IF(C250="T1",1,IF(C250="T2",2,IF(C250="T3",3,IF(C250="T4",4,IF(C250="Unassigned",98,99))))))</x:f>
        <x:v>3</x:v>
      </x:c>
      <x:c r="AZ250"/>
      <x:c r="BA250"/>
      <x:c r="BB250"/>
      <x:c r="BC250"/>
      <x:c r="BD250"/>
      <x:c r="BE250"/>
      <x:c r="BF250"/>
      <x:c r="BG250"/>
      <x:c r="BH250"/>
      <x:c r="BI250"/>
      <x:c r="BJ250"/>
      <x:c r="BK250"/>
      <x:c r="BL250"/>
      <x:c r="BM250"/>
      <x:c r="BN250"/>
      <x:c r="BO250"/>
      <x:c r="BP250"/>
      <x:c r="BQ250"/>
      <x:c r="BR250"/>
      <x:c r="BS250"/>
      <x:c r="BT250"/>
      <x:c r="BU250"/>
      <x:c r="BV250"/>
      <x:c r="BW250"/>
      <x:c r="BX250"/>
      <x:c r="BY250"/>
      <x:c r="BZ250"/>
      <x:c r="CA250"/>
      <x:c r="CB250"/>
      <x:c r="CC250"/>
    </x:row>
    <x:row r="251" ht="115" customHeight="1">
      <x:c r="A251" s="9" t="str">
        <x:v>proposal.legger.belly_pan</x:v>
      </x:c>
      <x:c r="B251" s="9" t="str">
        <x:v>Legger chassis belly pan</x:v>
      </x:c>
      <x:c r="C251" s="4" t="str">
        <x:v>Not applicable</x:v>
      </x:c>
      <x:c r="D251" s="9" t="inlineStr">
        <x:is>
          <x:t xml:space="preserve">Legger armor</x:t>
        </x:is>
      </x:c>
      <x:c r="E251" s="9" t="str">
        <x:v>Legger chassis</x:v>
      </x:c>
      <x:c r="F251" s="9" t="str">
        <x:v>New proposal</x:v>
      </x:c>
      <x:c r="G251" s="9" t="inlineStr">
        <x:is>
          <x:t xml:space="preserve">Lower chassis cover candidate for debris and contact exposure. It is intended to cover or guard the recorded area, with fit, coverage and protective performance still requiring qualification.</x:t>
        </x:is>
      </x:c>
      <x:c r="H251" s="9" t="str">
        <x:v>Legger fitment unresolved</x:v>
      </x:c>
      <x:c r="I251" s="9" t="str">
        <x:v>Legger attachment / replacement intended; physical cargo policy unchanged</x:v>
      </x:c>
      <x:c r="J251" s="13"/>
      <x:c r="K251" s="15"/>
      <x:c r="L251" s="9" t="str">
        <x:v>Local craft, salvage or specialist trade; exact route TBD</x:v>
      </x:c>
      <x:c r="M251" s="9" t="str">
        <x:v>No recipe authored. Reuse existing iron stock, biological materials, ceramic craft, lubricant and ancient-material families where appropriate.</x:v>
      </x:c>
      <x:c r="N251" s="9" t="str">
        <x:v>Not implemented</x:v>
      </x:c>
      <x:c r="O251" s="9" t="str">
        <x:v>Clearance, access and actual protection remain undecided.</x:v>
      </x:c>
      <x:c r="P251" s="17"/>
      <x:c r="Q251" s="17"/>
      <x:c r="R251" s="17"/>
      <x:c r="S251" s="17"/>
      <x:c r="T251" s="17"/>
      <x:c r="U251" s="9" t="str">
        <x:v>Brainstorming candidate. Geometry, cost, mass, mounting, carrying and replacement behavior remain open. Part belongs to a finite physical companion.</x:v>
      </x:c>
      <x:c r="V251" s="11" t="str">
        <x:v>dust exclusion; legger; leger; companion replacement part</x:v>
      </x:c>
      <x:c r="W251" s="9" t="str">
        <x:v>Author Legger slings/chassis/replacement/iron/ancient-armor brainstorming October 14, 2026; Docs/WORLD_BASIS.md#the-legger; specific item proposal.</x:v>
      </x:c>
      <x:c r="X251" s="4" t="str">
        <x:v>Armor</x:v>
      </x:c>
      <x:c r="Y251" s="4" t="str">
        <x:v>Finished item</x:v>
      </x:c>
      <x:c r="Z251" s="4" t="str">
        <x:v>Manufactured / unresolved</x:v>
      </x:c>
      <x:c r="AA251" s="4" t="str">
        <x:v>Protection</x:v>
      </x:c>
      <x:c r="AB251" s="4" t="str">
        <x:v>Metal</x:v>
      </x:c>
      <x:c r="AC251" s="4" t="str">
        <x:v>Assembly</x:v>
      </x:c>
      <x:c r="AD251" s="4" t="str">
        <x:v>Proposal</x:v>
      </x:c>
      <x:c r="AE251" s="4" t="str">
        <x:f>LOWER(A251&amp;"; "&amp;B251&amp;"; "&amp;D251&amp;"; "&amp;E251&amp;"; "&amp;X251&amp;"; "&amp;Y251&amp;"; "&amp;Z251&amp;"; "&amp;AA251&amp;"; "&amp;AB251&amp;"; "&amp;AC251&amp;"; "&amp;AD251&amp;"; "&amp;V251&amp;"; "&amp;C251&amp;"; "&amp;AH251&amp;"; "&amp;AI251)</x:f>
        <x:v>proposal.legger.belly_pan; legger chassis belly pan; legger armor; legger chassis; legger armor; finished item; manufactured / unresolved; protection; metal; assembly; proposal; dust exclusion; legger; leger; companion replacement part; not applicable; t3; finished item</x:v>
      </x:c>
      <x:c r="AF25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51" s="4" t="str">
        <x:v>Finished endpoint; material tier is not applicable. Input tiers belong to the chosen recipe.</x:v>
      </x:c>
      <x:c r="AH251" s="4" t="str">
        <x:v>T3</x:v>
      </x:c>
      <x:c r="AI251" s="4" t="str">
        <x:v>Finished item</x:v>
      </x:c>
      <x:c r="AJ251" s="4" t="n">
        <x:f>COUNTIFS('Material routes'!$D$6:$D$2205,A251,'Material routes'!$C$6:$C$2205,"Output")</x:f>
        <x:v>1</x:v>
      </x:c>
      <x:c r="AK251" s="4" t="n">
        <x:f>SUM(COUNTIFS('Material routes'!$D$6:$D$2205,A251,'Material routes'!$C$6:$C$2205,"Ingredient candidate"),COUNTIFS('Material routes'!$D$6:$D$2205,A251,'Material routes'!$C$6:$C$2205,"Consumed input"),COUNTIFS('Material routes'!$D$6:$D$2205,A251,'Material routes'!$C$6:$C$2205,"Contained input"),COUNTIFS('Material routes'!$D$6:$D$2205,A251,'Material routes'!$C$6:$C$2205,"Transform input"))</x:f>
        <x:v>0</x:v>
      </x:c>
      <x:c r="AL251" s="4" t="n">
        <x:f>COUNTIFS('Material routes'!$D$6:$D$2205,A251,'Material routes'!$C$6:$C$2205,"Tool candidate")</x:f>
        <x:v>0</x:v>
      </x:c>
      <x:c r="AM251" s="4" t="str">
        <x:f>IF(AJ251&gt;0,"Route listed; review status/completeness",IF(C251="T0","Raw entry feed; no production route","No production route listed"))</x:f>
        <x:v>Route listed; review status/completeness</x:v>
      </x:c>
      <x:c r="AN251" s="14" t="n">
        <x:f>IF(C251="T0",0,IF(C251="T1",1,IF(C251="T2",2,IF(C251="T3",3,IF(C251="T4",4,IF(C251="Unassigned",98,99))))))</x:f>
        <x:v>99</x:v>
      </x:c>
      <x:c r="AZ251"/>
      <x:c r="BA251"/>
      <x:c r="BB251"/>
      <x:c r="BC251"/>
      <x:c r="BD251"/>
      <x:c r="BE251"/>
      <x:c r="BF251"/>
      <x:c r="BG251"/>
      <x:c r="BH251"/>
      <x:c r="BI251"/>
      <x:c r="BJ251"/>
      <x:c r="BK251"/>
      <x:c r="BL251"/>
      <x:c r="BM251"/>
      <x:c r="BN251"/>
      <x:c r="BO251"/>
      <x:c r="BP251"/>
      <x:c r="BQ251"/>
      <x:c r="BR251"/>
      <x:c r="BS251"/>
      <x:c r="BT251"/>
      <x:c r="BU251"/>
      <x:c r="BV251"/>
      <x:c r="BW251"/>
      <x:c r="BX251"/>
      <x:c r="BY251"/>
      <x:c r="BZ251"/>
      <x:c r="CA251"/>
      <x:c r="CB251"/>
      <x:c r="CC251"/>
    </x:row>
    <x:row r="252" ht="170" customHeight="1">
      <x:c r="A252" s="9" t="str">
        <x:v>proposal.legger.mount_rail</x:v>
      </x:c>
      <x:c r="B252" s="9" t="str">
        <x:v>Legger attachment rail</x:v>
      </x:c>
      <x:c r="C252" s="4" t="str">
        <x:v>T3</x:v>
      </x:c>
      <x:c r="D252" s="9" t="str">
        <x:v>Crafting components</x:v>
      </x:c>
      <x:c r="E252" s="9" t="str">
        <x:v>Legger chassis</x:v>
      </x:c>
      <x:c r="F252" s="9" t="str">
        <x:v>New proposal</x:v>
      </x:c>
      <x:c r="G252" s="9" t="inlineStr">
        <x:is>
          <x:t xml:space="preserve">Standardized mounting surface candidate for selected Legger attachments. It locates or retains a fitted item on a matching structure; mounting geometry and loads must be chosen together.</x:t>
        </x:is>
      </x:c>
      <x:c r="H252" s="9" t="str">
        <x:v>Legger fitment unresolved</x:v>
      </x:c>
      <x:c r="I252" s="9" t="str">
        <x:v>Legger attachment / replacement intended; physical cargo policy unchanged</x:v>
      </x:c>
      <x:c r="J252" s="13"/>
      <x:c r="K252" s="15"/>
      <x:c r="L252" s="9" t="str">
        <x:v>Local craft, salvage or specialist trade; exact route TBD</x:v>
      </x:c>
      <x:c r="M252" s="9" t="str">
        <x:v>No recipe authored. Reuse existing iron stock, biological materials, ceramic craft, lubricant and ancient-material families where appropriate.</x:v>
      </x:c>
      <x:c r="N252" s="9" t="str">
        <x:v>Not implemented</x:v>
      </x:c>
      <x:c r="O252" s="9" t="str">
        <x:v>Compatibility is a future design choice; does not create universal sockets or unlimited attachments.</x:v>
      </x:c>
      <x:c r="P252" s="17"/>
      <x:c r="Q252" s="17"/>
      <x:c r="R252" s="17"/>
      <x:c r="S252" s="17"/>
      <x:c r="T252" s="17"/>
      <x:c r="U252" s="9" t="str">
        <x:v>Brainstorming candidate. Geometry, cost, mass, mounting, carrying and replacement behavior remain open. Part belongs to a finite physical companion.</x:v>
      </x:c>
      <x:c r="V252" s="11" t="str">
        <x:v>legger; leger; companion replacement part</x:v>
      </x:c>
      <x:c r="W252" s="9" t="str">
        <x:v>Author Legger slings/chassis/replacement/iron/ancient-armor brainstorming October 14, 2026; Docs/WORLD_BASIS.md#the-legger; specific item proposal.</x:v>
      </x:c>
      <x:c r="X252" s="4" t="str">
        <x:v>Crafting component</x:v>
      </x:c>
      <x:c r="Y252" s="4" t="str">
        <x:v>Processed intermediate</x:v>
      </x:c>
      <x:c r="Z252" s="4" t="str">
        <x:v>Manufactured / unresolved</x:v>
      </x:c>
      <x:c r="AA252" s="4" t="str">
        <x:v>Equipment mounting</x:v>
      </x:c>
      <x:c r="AB252" s="4" t="str">
        <x:v>Metal</x:v>
      </x:c>
      <x:c r="AC252" s="4" t="str">
        <x:v>Solid part</x:v>
      </x:c>
      <x:c r="AD252" s="4" t="str">
        <x:v>Proposal</x:v>
      </x:c>
      <x:c r="AE252" s="4" t="str">
        <x:f>LOWER(A252&amp;"; "&amp;B252&amp;"; "&amp;D252&amp;"; "&amp;E252&amp;"; "&amp;X252&amp;"; "&amp;Y252&amp;"; "&amp;Z252&amp;"; "&amp;AA252&amp;"; "&amp;AB252&amp;"; "&amp;AC252&amp;"; "&amp;AD252&amp;"; "&amp;V252&amp;"; "&amp;C252&amp;"; "&amp;AH252&amp;"; "&amp;AI252)</x:f>
        <x:v>proposal.legger.mount_rail; legger attachment rail; crafting components; legger chassis; crafting component; processed intermediate; manufactured / unresolved; equipment mounting; metal; solid part; proposal; legger; leger; companion replacement part; t3; not applicable; component</x:v>
      </x:c>
      <x:c r="AF252" s="4" t="str">
        <x:v>Specific parts and protective properties remain proposals; ancient-material scarcity is established author direction.</x:v>
      </x:c>
      <x:c r="AG25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52" s="4" t="str">
        <x:v>Not applicable</x:v>
      </x:c>
      <x:c r="AI252" s="4" t="str">
        <x:v>Component</x:v>
      </x:c>
      <x:c r="AJ252" s="4" t="n">
        <x:f>COUNTIFS('Material routes'!$D$6:$D$2205,A252,'Material routes'!$C$6:$C$2205,"Output")</x:f>
        <x:v>1</x:v>
      </x:c>
      <x:c r="AK252" s="4" t="n">
        <x:f>SUM(COUNTIFS('Material routes'!$D$6:$D$2205,A252,'Material routes'!$C$6:$C$2205,"Ingredient candidate"),COUNTIFS('Material routes'!$D$6:$D$2205,A252,'Material routes'!$C$6:$C$2205,"Consumed input"),COUNTIFS('Material routes'!$D$6:$D$2205,A252,'Material routes'!$C$6:$C$2205,"Contained input"),COUNTIFS('Material routes'!$D$6:$D$2205,A252,'Material routes'!$C$6:$C$2205,"Transform input"))</x:f>
        <x:v>4</x:v>
      </x:c>
      <x:c r="AL252" s="4" t="n">
        <x:f>COUNTIFS('Material routes'!$D$6:$D$2205,A252,'Material routes'!$C$6:$C$2205,"Tool candidate")</x:f>
        <x:v>0</x:v>
      </x:c>
      <x:c r="AM252" s="4" t="str">
        <x:f>IF(AJ252&gt;0,"Route listed; review status/completeness",IF(C252="T0","Raw entry feed; no production route","No production route listed"))</x:f>
        <x:v>Route listed; review status/completeness</x:v>
      </x:c>
      <x:c r="AN252" s="14" t="n">
        <x:f>IF(C252="T0",0,IF(C252="T1",1,IF(C252="T2",2,IF(C252="T3",3,IF(C252="T4",4,IF(C252="Unassigned",98,99))))))</x:f>
        <x:v>3</x:v>
      </x:c>
      <x:c r="AZ252"/>
      <x:c r="BA252"/>
      <x:c r="BB252"/>
      <x:c r="BC252"/>
      <x:c r="BD252"/>
      <x:c r="BE252"/>
      <x:c r="BF252"/>
      <x:c r="BG252"/>
      <x:c r="BH252"/>
      <x:c r="BI252"/>
      <x:c r="BJ252"/>
      <x:c r="BK252"/>
      <x:c r="BL252"/>
      <x:c r="BM252"/>
      <x:c r="BN252"/>
      <x:c r="BO252"/>
      <x:c r="BP252"/>
      <x:c r="BQ252"/>
      <x:c r="BR252"/>
      <x:c r="BS252"/>
      <x:c r="BT252"/>
      <x:c r="BU252"/>
      <x:c r="BV252"/>
      <x:c r="BW252"/>
      <x:c r="BX252"/>
      <x:c r="BY252"/>
      <x:c r="BZ252"/>
      <x:c r="CA252"/>
      <x:c r="CB252"/>
      <x:c r="CC252"/>
    </x:row>
    <x:row r="253" ht="170" customHeight="1">
      <x:c r="A253" s="9" t="str">
        <x:v>proposal.legger.joint_bush</x:v>
      </x:c>
      <x:c r="B253" s="9" t="str">
        <x:v>Iron joint bushing</x:v>
      </x:c>
      <x:c r="C253" s="4" t="str">
        <x:v>T3</x:v>
      </x:c>
      <x:c r="D253" s="9" t="str">
        <x:v>Crafting components</x:v>
      </x:c>
      <x:c r="E253" s="9" t="str">
        <x:v>Legger mechanical parts</x:v>
      </x:c>
      <x:c r="F253" s="9" t="str">
        <x:v>New proposal</x:v>
      </x:c>
      <x:c r="G253" s="9" t="inlineStr">
        <x:is>
          <x:t xml:space="preserve">Replaceable wear sleeve in a specifically matched joint. It supports replacement, refitting or maintenance of a compatible item; ownership alone does not restore the equipment’s condition.</x:t>
        </x:is>
      </x:c>
      <x:c r="H253" s="9" t="str">
        <x:v>Legger fitment unresolved</x:v>
      </x:c>
      <x:c r="I253" s="9" t="str">
        <x:v>Legger attachment / replacement intended; physical cargo policy unchanged</x:v>
      </x:c>
      <x:c r="J253" s="13"/>
      <x:c r="K253" s="15"/>
      <x:c r="L253" s="9" t="str">
        <x:v>Local craft, salvage or specialist trade; exact route TBD</x:v>
      </x:c>
      <x:c r="M253" s="9" t="str">
        <x:v>No recipe authored. Reuse existing iron stock, biological materials, ceramic craft, lubricant and ancient-material families where appropriate.</x:v>
      </x:c>
      <x:c r="N253" s="9" t="str">
        <x:v>Not implemented</x:v>
      </x:c>
      <x:c r="O253" s="9" t="str">
        <x:v>Material grade, fit and lubrication are unresolved; separate from a full bearing cassette.</x:v>
      </x:c>
      <x:c r="P253" s="17"/>
      <x:c r="Q253" s="17"/>
      <x:c r="R253" s="17"/>
      <x:c r="S253" s="17"/>
      <x:c r="T253" s="17"/>
      <x:c r="U253" s="9" t="str">
        <x:v>Brainstorming candidate. Geometry, cost, mass, mounting, carrying and replacement behavior remain open. Part belongs to a finite physical companion.</x:v>
      </x:c>
      <x:c r="V253" s="11" t="str">
        <x:v>legger; leger; companion replacement part</x:v>
      </x:c>
      <x:c r="W253" s="9" t="str">
        <x:v>Author Legger slings/chassis/replacement/iron/ancient-armor brainstorming October 14, 2026; Docs/WORLD_BASIS.md#the-legger; specific item proposal.</x:v>
      </x:c>
      <x:c r="X253" s="4" t="str">
        <x:v>Crafting component</x:v>
      </x:c>
      <x:c r="Y253" s="4" t="str">
        <x:v>Processed intermediate</x:v>
      </x:c>
      <x:c r="Z253" s="4" t="str">
        <x:v>Manufactured / unresolved</x:v>
      </x:c>
      <x:c r="AA253" s="4" t="str">
        <x:v>Equipment repair</x:v>
      </x:c>
      <x:c r="AB253" s="4" t="str">
        <x:v>Metal</x:v>
      </x:c>
      <x:c r="AC253" s="4" t="str">
        <x:v>Solid part</x:v>
      </x:c>
      <x:c r="AD253" s="4" t="str">
        <x:v>Proposal</x:v>
      </x:c>
      <x:c r="AE253" s="4" t="str">
        <x:f>LOWER(A253&amp;"; "&amp;B253&amp;"; "&amp;D253&amp;"; "&amp;E253&amp;"; "&amp;X253&amp;"; "&amp;Y253&amp;"; "&amp;Z253&amp;"; "&amp;AA253&amp;"; "&amp;AB253&amp;"; "&amp;AC253&amp;"; "&amp;AD253&amp;"; "&amp;V253&amp;"; "&amp;C253&amp;"; "&amp;AH253&amp;"; "&amp;AI253)</x:f>
        <x:v>proposal.legger.joint_bush; iron joint bushing; crafting components; legger mechanical parts; crafting component; processed intermediate; manufactured / unresolved; equipment repair; metal; solid part; proposal; legger; leger; companion replacement part; t3; not applicable; component</x:v>
      </x:c>
      <x:c r="AF253" s="4" t="str">
        <x:v>Specific parts and protective properties remain proposals; ancient-material scarcity is established author direction.</x:v>
      </x:c>
      <x:c r="AG253" s="4" t="str">
        <x:v>October 15 proposed tier review: Machine and finish worked iron as a fitted joint bushing. Candidate route only: quantities, yield, tools, fit, process conditions and service compatibility remain open. </x:v>
      </x:c>
      <x:c r="AH253" s="4" t="str">
        <x:v>Not applicable</x:v>
      </x:c>
      <x:c r="AI253" s="4" t="str">
        <x:v>Component</x:v>
      </x:c>
      <x:c r="AJ253" s="4" t="n">
        <x:f>COUNTIFS('Material routes'!$D$6:$D$2205,A253,'Material routes'!$C$6:$C$2205,"Output")</x:f>
        <x:v>1</x:v>
      </x:c>
      <x:c r="AK253" s="4" t="n">
        <x:f>SUM(COUNTIFS('Material routes'!$D$6:$D$2205,A253,'Material routes'!$C$6:$C$2205,"Ingredient candidate"),COUNTIFS('Material routes'!$D$6:$D$2205,A253,'Material routes'!$C$6:$C$2205,"Consumed input"),COUNTIFS('Material routes'!$D$6:$D$2205,A253,'Material routes'!$C$6:$C$2205,"Contained input"),COUNTIFS('Material routes'!$D$6:$D$2205,A253,'Material routes'!$C$6:$C$2205,"Transform input"))</x:f>
        <x:v>0</x:v>
      </x:c>
      <x:c r="AL253" s="4" t="n">
        <x:f>COUNTIFS('Material routes'!$D$6:$D$2205,A253,'Material routes'!$C$6:$C$2205,"Tool candidate")</x:f>
        <x:v>0</x:v>
      </x:c>
      <x:c r="AM253" s="4" t="str">
        <x:f>IF(AJ253&gt;0,"Route listed; review status/completeness",IF(C253="T0","Raw entry feed; no production route","No production route listed"))</x:f>
        <x:v>Route listed; review status/completeness</x:v>
      </x:c>
      <x:c r="AN253" s="14" t="n">
        <x:f>IF(C253="T0",0,IF(C253="T1",1,IF(C253="T2",2,IF(C253="T3",3,IF(C253="T4",4,IF(C253="Unassigned",98,99))))))</x:f>
        <x:v>3</x:v>
      </x:c>
      <x:c r="AZ253"/>
      <x:c r="BA253"/>
      <x:c r="BB253"/>
      <x:c r="BC253"/>
      <x:c r="BD253"/>
      <x:c r="BE253"/>
      <x:c r="BF253"/>
      <x:c r="BG253"/>
      <x:c r="BH253"/>
      <x:c r="BI253"/>
      <x:c r="BJ253"/>
      <x:c r="BK253"/>
      <x:c r="BL253"/>
      <x:c r="BM253"/>
      <x:c r="BN253"/>
      <x:c r="BO253"/>
      <x:c r="BP253"/>
      <x:c r="BQ253"/>
      <x:c r="BR253"/>
      <x:c r="BS253"/>
      <x:c r="BT253"/>
      <x:c r="BU253"/>
      <x:c r="BV253"/>
      <x:c r="BW253"/>
      <x:c r="BX253"/>
      <x:c r="BY253"/>
      <x:c r="BZ253"/>
      <x:c r="CA253"/>
      <x:c r="CB253"/>
      <x:c r="CC253"/>
    </x:row>
    <x:row r="254" ht="170" customHeight="1">
      <x:c r="A254" s="9" t="str">
        <x:v>proposal.legger.bearing</x:v>
      </x:c>
      <x:c r="B254" s="9" t="str">
        <x:v>Replacement bearing assembly</x:v>
      </x:c>
      <x:c r="C254" s="4" t="str">
        <x:v>T4</x:v>
      </x:c>
      <x:c r="D254" s="9" t="str">
        <x:v>Crafting components</x:v>
      </x:c>
      <x:c r="E254" s="9" t="str">
        <x:v>Legger mechanical parts</x:v>
      </x:c>
      <x:c r="F254" s="9" t="str">
        <x:v>New proposal</x:v>
      </x:c>
      <x:c r="G254" s="9" t="inlineStr">
        <x:is>
          <x:t xml:space="preserve">Locally serviceable bearing assembly for a selected mechanical joint. It supports replacement, refitting or maintenance of a compatible item; ownership alone does not restore the equipment’s condition.</x:t>
        </x:is>
      </x:c>
      <x:c r="H254" s="9" t="str">
        <x:v>Legger fitment unresolved</x:v>
      </x:c>
      <x:c r="I254" s="9" t="str">
        <x:v>Legger attachment / replacement intended; physical cargo policy unchanged</x:v>
      </x:c>
      <x:c r="J254" s="13"/>
      <x:c r="K254" s="15"/>
      <x:c r="L254" s="9" t="str">
        <x:v>Local craft, salvage or specialist trade; exact route TBD</x:v>
      </x:c>
      <x:c r="M254" s="9" t="str">
        <x:v>No recipe authored. Reuse existing iron stock, biological materials, ceramic craft, lubricant and ancient-material families where appropriate.</x:v>
      </x:c>
      <x:c r="N254" s="9" t="str">
        <x:v>Not implemented</x:v>
      </x:c>
      <x:c r="O254" s="9" t="str">
        <x:v>Load, geometry, grit exclusion and suitable lubricant TBD; no bearing standard assumed.</x:v>
      </x:c>
      <x:c r="P254" s="17"/>
      <x:c r="Q254" s="17"/>
      <x:c r="R254" s="17"/>
      <x:c r="S254" s="17"/>
      <x:c r="T254" s="17"/>
      <x:c r="U254" s="9" t="str">
        <x:v>Brainstorming candidate. Geometry, cost, mass, mounting, carrying and replacement behavior remain open. Part belongs to a finite physical companion.</x:v>
      </x:c>
      <x:c r="V254" s="11" t="str">
        <x:v>legger; leger; companion replacement part</x:v>
      </x:c>
      <x:c r="W254" s="9" t="str">
        <x:v>Author Legger slings/chassis/replacement/iron/ancient-armor brainstorming October 14, 2026; Docs/WORLD_BASIS.md#the-legger; specific item proposal.</x:v>
      </x:c>
      <x:c r="X254" s="4" t="str">
        <x:v>Crafting component</x:v>
      </x:c>
      <x:c r="Y254" s="4" t="str">
        <x:v>Processed intermediate</x:v>
      </x:c>
      <x:c r="Z254" s="4" t="str">
        <x:v>Manufactured / unresolved</x:v>
      </x:c>
      <x:c r="AA254" s="4" t="str">
        <x:v>Equipment repair</x:v>
      </x:c>
      <x:c r="AB254" s="4" t="str">
        <x:v>Mixed / unresolved</x:v>
      </x:c>
      <x:c r="AC254" s="4" t="str">
        <x:v>Assembly</x:v>
      </x:c>
      <x:c r="AD254" s="4" t="str">
        <x:v>Proposal</x:v>
      </x:c>
      <x:c r="AE254" s="4" t="str">
        <x:f>LOWER(A254&amp;"; "&amp;B254&amp;"; "&amp;D254&amp;"; "&amp;E254&amp;"; "&amp;X254&amp;"; "&amp;Y254&amp;"; "&amp;Z254&amp;"; "&amp;AA254&amp;"; "&amp;AB254&amp;"; "&amp;AC254&amp;"; "&amp;AD254&amp;"; "&amp;V254&amp;"; "&amp;C254&amp;"; "&amp;AH254&amp;"; "&amp;AI254)</x:f>
        <x:v>proposal.legger.bearing; replacement bearing assembly; crafting components; legger mechanical parts; crafting component; processed intermediate; manufactured / unresolved; equipment repair; mixed / unresolved; assembly; proposal; legger; leger; companion replacement part; t4; not applicable; component</x:v>
      </x:c>
      <x:c r="AF254" s="4" t="str">
        <x:v>Specific parts and protective properties remain proposals; ancient-material scarcity is established author direction.</x:v>
      </x:c>
      <x:c r="AG254" s="4" t="str">
        <x:v>October 15 proposed tier review: 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AH254" s="4" t="str">
        <x:v>Not applicable</x:v>
      </x:c>
      <x:c r="AI254" s="4" t="str">
        <x:v>Component</x:v>
      </x:c>
      <x:c r="AJ254" s="4" t="n">
        <x:f>COUNTIFS('Material routes'!$D$6:$D$2205,A254,'Material routes'!$C$6:$C$2205,"Output")</x:f>
        <x:v>1</x:v>
      </x:c>
      <x:c r="AK254" s="4" t="n">
        <x:f>SUM(COUNTIFS('Material routes'!$D$6:$D$2205,A254,'Material routes'!$C$6:$C$2205,"Ingredient candidate"),COUNTIFS('Material routes'!$D$6:$D$2205,A254,'Material routes'!$C$6:$C$2205,"Consumed input"),COUNTIFS('Material routes'!$D$6:$D$2205,A254,'Material routes'!$C$6:$C$2205,"Contained input"),COUNTIFS('Material routes'!$D$6:$D$2205,A254,'Material routes'!$C$6:$C$2205,"Transform input"))</x:f>
        <x:v>0</x:v>
      </x:c>
      <x:c r="AL254" s="4" t="n">
        <x:f>COUNTIFS('Material routes'!$D$6:$D$2205,A254,'Material routes'!$C$6:$C$2205,"Tool candidate")</x:f>
        <x:v>0</x:v>
      </x:c>
      <x:c r="AM254" s="4" t="str">
        <x:f>IF(AJ254&gt;0,"Route listed; review status/completeness",IF(C254="T0","Raw entry feed; no production route","No production route listed"))</x:f>
        <x:v>Route listed; review status/completeness</x:v>
      </x:c>
      <x:c r="AN254" s="14" t="n">
        <x:f>IF(C254="T0",0,IF(C254="T1",1,IF(C254="T2",2,IF(C254="T3",3,IF(C254="T4",4,IF(C254="Unassigned",98,99))))))</x:f>
        <x:v>4</x:v>
      </x:c>
      <x:c r="AZ254"/>
      <x:c r="BA254"/>
      <x:c r="BB254"/>
      <x:c r="BC254"/>
      <x:c r="BD254"/>
      <x:c r="BE254"/>
      <x:c r="BF254"/>
      <x:c r="BG254"/>
      <x:c r="BH254"/>
      <x:c r="BI254"/>
      <x:c r="BJ254"/>
      <x:c r="BK254"/>
      <x:c r="BL254"/>
      <x:c r="BM254"/>
      <x:c r="BN254"/>
      <x:c r="BO254"/>
      <x:c r="BP254"/>
      <x:c r="BQ254"/>
      <x:c r="BR254"/>
      <x:c r="BS254"/>
      <x:c r="BT254"/>
      <x:c r="BU254"/>
      <x:c r="BV254"/>
      <x:c r="BW254"/>
      <x:c r="BX254"/>
      <x:c r="BY254"/>
      <x:c r="BZ254"/>
      <x:c r="CA254"/>
      <x:c r="CB254"/>
      <x:c r="CC254"/>
    </x:row>
    <x:row r="255" ht="170" customHeight="1">
      <x:c r="A255" s="9" t="str">
        <x:v>proposal.legger.foot_plate</x:v>
      </x:c>
      <x:c r="B255" s="9" t="str">
        <x:v>Replaceable foot contact plate</x:v>
      </x:c>
      <x:c r="C255" s="4" t="str">
        <x:v>T3</x:v>
      </x:c>
      <x:c r="D255" s="9" t="str">
        <x:v>Crafting components</x:v>
      </x:c>
      <x:c r="E255" s="9" t="str">
        <x:v>Legger mechanical parts</x:v>
      </x:c>
      <x:c r="F255" s="9" t="str">
        <x:v>New proposal</x:v>
      </x:c>
      <x:c r="G255" s="9" t="inlineStr">
        <x:is>
          <x:t xml:space="preserve">Wear plate at an existing foot-ground contact surface. It supports replacement, refitting or maintenance of a compatible item; ownership alone does not restore the equipment’s condition.</x:t>
        </x:is>
      </x:c>
      <x:c r="H255" s="9" t="str">
        <x:v>Legger fitment unresolved</x:v>
      </x:c>
      <x:c r="I255" s="9" t="str">
        <x:v>Legger attachment / replacement intended; physical cargo policy unchanged</x:v>
      </x:c>
      <x:c r="J255" s="13"/>
      <x:c r="K255" s="15"/>
      <x:c r="L255" s="9" t="str">
        <x:v>Local craft, salvage or specialist trade; exact route TBD</x:v>
      </x:c>
      <x:c r="M255" s="9" t="str">
        <x:v>No recipe authored. Reuse existing iron stock, biological materials, ceramic craft, lubricant and ancient-material families where appropriate.</x:v>
      </x:c>
      <x:c r="N255" s="9" t="str">
        <x:v>Not implemented</x:v>
      </x:c>
      <x:c r="O255" s="9" t="str">
        <x:v>Foot anatomy and attachment need inspection before implementation; traction and ground effects unassigned.</x:v>
      </x:c>
      <x:c r="P255" s="17"/>
      <x:c r="Q255" s="17"/>
      <x:c r="R255" s="17"/>
      <x:c r="S255" s="17"/>
      <x:c r="T255" s="17"/>
      <x:c r="U255" s="9" t="str">
        <x:v>Brainstorming candidate. Geometry, cost, mass, mounting, carrying and replacement behavior remain open. Part belongs to a finite physical companion.</x:v>
      </x:c>
      <x:c r="V255" s="11" t="str">
        <x:v>traversal; legger; leger; companion replacement part</x:v>
      </x:c>
      <x:c r="W255" s="9" t="str">
        <x:v>Author Legger slings/chassis/replacement/iron/ancient-armor brainstorming October 14, 2026; Docs/WORLD_BASIS.md#the-legger; specific item proposal.</x:v>
      </x:c>
      <x:c r="X255" s="4" t="str">
        <x:v>Crafting component</x:v>
      </x:c>
      <x:c r="Y255" s="4" t="str">
        <x:v>Processed intermediate</x:v>
      </x:c>
      <x:c r="Z255" s="4" t="str">
        <x:v>Manufactured / unresolved</x:v>
      </x:c>
      <x:c r="AA255" s="4" t="str">
        <x:v>Equipment repair</x:v>
      </x:c>
      <x:c r="AB255" s="4" t="str">
        <x:v>Metal</x:v>
      </x:c>
      <x:c r="AC255" s="4" t="str">
        <x:v>Solid part</x:v>
      </x:c>
      <x:c r="AD255" s="4" t="str">
        <x:v>Proposal</x:v>
      </x:c>
      <x:c r="AE255" s="4" t="str">
        <x:f>LOWER(A255&amp;"; "&amp;B255&amp;"; "&amp;D255&amp;"; "&amp;E255&amp;"; "&amp;X255&amp;"; "&amp;Y255&amp;"; "&amp;Z255&amp;"; "&amp;AA255&amp;"; "&amp;AB255&amp;"; "&amp;AC255&amp;"; "&amp;AD255&amp;"; "&amp;V255&amp;"; "&amp;C255&amp;"; "&amp;AH255&amp;"; "&amp;AI255)</x:f>
        <x:v>proposal.legger.foot_plate; replaceable foot contact plate; crafting components; legger mechanical parts; crafting component; processed intermediate; manufactured / unresolved; equipment repair; metal; solid part; proposal; traversal; legger; leger; companion replacement part; t3; not applicable; component</x:v>
      </x:c>
      <x:c r="AF255" s="4" t="str">
        <x:v>Specific parts and protective properties remain proposals; ancient-material scarcity is established author direction.</x:v>
      </x:c>
      <x:c r="AG255"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5" s="4" t="str">
        <x:v>Not applicable</x:v>
      </x:c>
      <x:c r="AI255" s="4" t="str">
        <x:v>Component</x:v>
      </x:c>
      <x:c r="AJ255" s="4" t="n">
        <x:f>COUNTIFS('Material routes'!$D$6:$D$2205,A255,'Material routes'!$C$6:$C$2205,"Output")</x:f>
        <x:v>1</x:v>
      </x:c>
      <x:c r="AK255" s="4" t="n">
        <x:f>SUM(COUNTIFS('Material routes'!$D$6:$D$2205,A255,'Material routes'!$C$6:$C$2205,"Ingredient candidate"),COUNTIFS('Material routes'!$D$6:$D$2205,A255,'Material routes'!$C$6:$C$2205,"Consumed input"),COUNTIFS('Material routes'!$D$6:$D$2205,A255,'Material routes'!$C$6:$C$2205,"Contained input"),COUNTIFS('Material routes'!$D$6:$D$2205,A255,'Material routes'!$C$6:$C$2205,"Transform input"))</x:f>
        <x:v>0</x:v>
      </x:c>
      <x:c r="AL255" s="4" t="n">
        <x:f>COUNTIFS('Material routes'!$D$6:$D$2205,A255,'Material routes'!$C$6:$C$2205,"Tool candidate")</x:f>
        <x:v>0</x:v>
      </x:c>
      <x:c r="AM255" s="4" t="str">
        <x:f>IF(AJ255&gt;0,"Route listed; review status/completeness",IF(C255="T0","Raw entry feed; no production route","No production route listed"))</x:f>
        <x:v>Route listed; review status/completeness</x:v>
      </x:c>
      <x:c r="AN255" s="14" t="n">
        <x:f>IF(C255="T0",0,IF(C255="T1",1,IF(C255="T2",2,IF(C255="T3",3,IF(C255="T4",4,IF(C255="Unassigned",98,99))))))</x:f>
        <x:v>3</x:v>
      </x:c>
      <x:c r="AZ255"/>
      <x:c r="BA255"/>
      <x:c r="BB255"/>
      <x:c r="BC255"/>
      <x:c r="BD255"/>
      <x:c r="BE255"/>
      <x:c r="BF255"/>
      <x:c r="BG255"/>
      <x:c r="BH255"/>
      <x:c r="BI255"/>
      <x:c r="BJ255"/>
      <x:c r="BK255"/>
      <x:c r="BL255"/>
      <x:c r="BM255"/>
      <x:c r="BN255"/>
      <x:c r="BO255"/>
      <x:c r="BP255"/>
      <x:c r="BQ255"/>
      <x:c r="BR255"/>
      <x:c r="BS255"/>
      <x:c r="BT255"/>
      <x:c r="BU255"/>
      <x:c r="BV255"/>
      <x:c r="BW255"/>
      <x:c r="BX255"/>
      <x:c r="BY255"/>
      <x:c r="BZ255"/>
      <x:c r="CA255"/>
      <x:c r="CB255"/>
      <x:c r="CC255"/>
    </x:row>
    <x:row r="256" ht="170" customHeight="1">
      <x:c r="A256" s="9" t="str">
        <x:v>proposal.legger.actuator_rod</x:v>
      </x:c>
      <x:c r="B256" s="9" t="str">
        <x:v>Replacement actuator link</x:v>
      </x:c>
      <x:c r="C256" s="4" t="str">
        <x:v>T3</x:v>
      </x:c>
      <x:c r="D256" s="9" t="str">
        <x:v>Crafting components</x:v>
      </x:c>
      <x:c r="E256" s="9" t="str">
        <x:v>Legger mechanical parts</x:v>
      </x:c>
      <x:c r="F256" s="9" t="str">
        <x:v>New proposal</x:v>
      </x:c>
      <x:c r="G256" s="9" t="inlineStr">
        <x:is>
          <x:t xml:space="preserve">Mechanical link candidate within a compatible existing movement assembly. It supports replacement, refitting or maintenance of a compatible item; ownership alone does not restore the equipment’s condition.</x:t>
        </x:is>
      </x:c>
      <x:c r="H256" s="9" t="str">
        <x:v>Legger fitment unresolved</x:v>
      </x:c>
      <x:c r="I256" s="9" t="str">
        <x:v>Legger attachment / replacement intended; physical cargo policy unchanged</x:v>
      </x:c>
      <x:c r="J256" s="13"/>
      <x:c r="K256" s="15"/>
      <x:c r="L256" s="9" t="str">
        <x:v>Local craft, salvage or specialist trade; exact route TBD</x:v>
      </x:c>
      <x:c r="M256" s="9" t="str">
        <x:v>No recipe authored. Reuse existing iron stock, biological materials, ceramic craft, lubricant and ancient-material families where appropriate.</x:v>
      </x:c>
      <x:c r="N256" s="9" t="str">
        <x:v>Not implemented</x:v>
      </x:c>
      <x:c r="O256" s="9" t="str">
        <x:v>Does not establish hydraulic, pneumatic or electric actuation; host mechanism remains TBD.</x:v>
      </x:c>
      <x:c r="P256" s="17"/>
      <x:c r="Q256" s="17"/>
      <x:c r="R256" s="17"/>
      <x:c r="S256" s="17"/>
      <x:c r="T256" s="17"/>
      <x:c r="U256" s="9" t="str">
        <x:v>Brainstorming candidate. Geometry, cost, mass, mounting, carrying and replacement behavior remain open. Part belongs to a finite physical companion.</x:v>
      </x:c>
      <x:c r="V256" s="11" t="str">
        <x:v>legger; leger; companion replacement part</x:v>
      </x:c>
      <x:c r="W256" s="9" t="str">
        <x:v>Author Legger slings/chassis/replacement/iron/ancient-armor brainstorming October 14, 2026; Docs/WORLD_BASIS.md#the-legger; specific item proposal.</x:v>
      </x:c>
      <x:c r="X256" s="4" t="str">
        <x:v>Crafting component</x:v>
      </x:c>
      <x:c r="Y256" s="4" t="str">
        <x:v>Processed intermediate</x:v>
      </x:c>
      <x:c r="Z256" s="4" t="str">
        <x:v>Manufactured / unresolved</x:v>
      </x:c>
      <x:c r="AA256" s="4" t="str">
        <x:v>Equipment repair</x:v>
      </x:c>
      <x:c r="AB256" s="4" t="str">
        <x:v>Metal</x:v>
      </x:c>
      <x:c r="AC256" s="4" t="str">
        <x:v>Solid part</x:v>
      </x:c>
      <x:c r="AD256" s="4" t="str">
        <x:v>Proposal</x:v>
      </x:c>
      <x:c r="AE256" s="4" t="str">
        <x:f>LOWER(A256&amp;"; "&amp;B256&amp;"; "&amp;D256&amp;"; "&amp;E256&amp;"; "&amp;X256&amp;"; "&amp;Y256&amp;"; "&amp;Z256&amp;"; "&amp;AA256&amp;"; "&amp;AB256&amp;"; "&amp;AC256&amp;"; "&amp;AD256&amp;"; "&amp;V256&amp;"; "&amp;C256&amp;"; "&amp;AH256&amp;"; "&amp;AI256)</x:f>
        <x:v>proposal.legger.actuator_rod; replacement actuator link; crafting components; legger mechanical parts; crafting component; processed intermediate; manufactured / unresolved; equipment repair; metal; solid part; proposal; legger; leger; companion replacement part; t3; not applicable; component</x:v>
      </x:c>
      <x:c r="AF256" s="4" t="str">
        <x:v>Specific parts and protective properties remain proposals; ancient-material scarcity is established author direction.</x:v>
      </x:c>
      <x:c r="AG256" s="4" t="str">
        <x:v>October 15 proposed tier review: Shape and finish an actuator-link replacement from prepared steel. Candidate route only: quantities, yield, tools, fit, process conditions and service compatibility remain open. This is a passive link, not a reproduced powered actuator.</x:v>
      </x:c>
      <x:c r="AH256" s="4" t="str">
        <x:v>Not applicable</x:v>
      </x:c>
      <x:c r="AI256" s="4" t="str">
        <x:v>Component</x:v>
      </x:c>
      <x:c r="AJ256" s="4" t="n">
        <x:f>COUNTIFS('Material routes'!$D$6:$D$2205,A256,'Material routes'!$C$6:$C$2205,"Output")</x:f>
        <x:v>1</x:v>
      </x:c>
      <x:c r="AK256" s="4" t="n">
        <x:f>SUM(COUNTIFS('Material routes'!$D$6:$D$2205,A256,'Material routes'!$C$6:$C$2205,"Ingredient candidate"),COUNTIFS('Material routes'!$D$6:$D$2205,A256,'Material routes'!$C$6:$C$2205,"Consumed input"),COUNTIFS('Material routes'!$D$6:$D$2205,A256,'Material routes'!$C$6:$C$2205,"Contained input"),COUNTIFS('Material routes'!$D$6:$D$2205,A256,'Material routes'!$C$6:$C$2205,"Transform input"))</x:f>
        <x:v>2</x:v>
      </x:c>
      <x:c r="AL256" s="4" t="n">
        <x:f>COUNTIFS('Material routes'!$D$6:$D$2205,A256,'Material routes'!$C$6:$C$2205,"Tool candidate")</x:f>
        <x:v>0</x:v>
      </x:c>
      <x:c r="AM256" s="4" t="str">
        <x:f>IF(AJ256&gt;0,"Route listed; review status/completeness",IF(C256="T0","Raw entry feed; no production route","No production route listed"))</x:f>
        <x:v>Route listed; review status/completeness</x:v>
      </x:c>
      <x:c r="AN256" s="14" t="n">
        <x:f>IF(C256="T0",0,IF(C256="T1",1,IF(C256="T2",2,IF(C256="T3",3,IF(C256="T4",4,IF(C256="Unassigned",98,99))))))</x:f>
        <x:v>3</x:v>
      </x:c>
      <x:c r="AZ256"/>
      <x:c r="BA256"/>
      <x:c r="BB256"/>
      <x:c r="BC256"/>
      <x:c r="BD256"/>
      <x:c r="BE256"/>
      <x:c r="BF256"/>
      <x:c r="BG256"/>
      <x:c r="BH256"/>
      <x:c r="BI256"/>
      <x:c r="BJ256"/>
      <x:c r="BK256"/>
      <x:c r="BL256"/>
      <x:c r="BM256"/>
      <x:c r="BN256"/>
      <x:c r="BO256"/>
      <x:c r="BP256"/>
      <x:c r="BQ256"/>
      <x:c r="BR256"/>
      <x:c r="BS256"/>
      <x:c r="BT256"/>
      <x:c r="BU256"/>
      <x:c r="BV256"/>
      <x:c r="BW256"/>
      <x:c r="BX256"/>
      <x:c r="BY256"/>
      <x:c r="BZ256"/>
      <x:c r="CA256"/>
      <x:c r="CB256"/>
      <x:c r="CC256"/>
    </x:row>
    <x:row r="257" ht="170" customHeight="1">
      <x:c r="A257" s="9" t="str">
        <x:v>proposal.legger.joint_shroud</x:v>
      </x:c>
      <x:c r="B257" s="9" t="str">
        <x:v>Joint dust shroud</x:v>
      </x:c>
      <x:c r="C257" s="4" t="str">
        <x:v>T3</x:v>
      </x:c>
      <x:c r="D257" s="9" t="str">
        <x:v>Crafting components</x:v>
      </x:c>
      <x:c r="E257" s="9" t="str">
        <x:v>Legger service parts</x:v>
      </x:c>
      <x:c r="F257" s="9" t="str">
        <x:v>New proposal</x:v>
      </x:c>
      <x:c r="G257" s="9" t="inlineStr">
        <x:is>
          <x:t xml:space="preserve">Protective cover candidate around a moving joint. It is intended to obstruct grit at an opening or moving interface. Its fit and wear must be qualified before any exclusion or filtration performance is assigned.</x:t>
        </x:is>
      </x:c>
      <x:c r="H257" s="9" t="str">
        <x:v>Legger fitment unresolved</x:v>
      </x:c>
      <x:c r="I257" s="9" t="str">
        <x:v>Legger attachment / replacement intended; physical cargo policy unchanged</x:v>
      </x:c>
      <x:c r="J257" s="13"/>
      <x:c r="K257" s="15"/>
      <x:c r="L257" s="9" t="str">
        <x:v>Local craft, salvage or specialist trade; exact route TBD</x:v>
      </x:c>
      <x:c r="M257" s="9" t="str">
        <x:v>No recipe authored. Reuse existing iron stock, biological materials, ceramic craft, lubricant and ancient-material families where appropriate.</x:v>
      </x:c>
      <x:c r="N257" s="9" t="str">
        <x:v>Not implemented</x:v>
      </x:c>
      <x:c r="O257" s="9" t="str">
        <x:v>Selected membrane or segmented metal geometry; no rubber or cloth supply presumed.</x:v>
      </x:c>
      <x:c r="P257" s="17"/>
      <x:c r="Q257" s="17"/>
      <x:c r="R257" s="17"/>
      <x:c r="S257" s="17"/>
      <x:c r="T257" s="17"/>
      <x:c r="U257" s="9" t="str">
        <x:v>Brainstorming candidate. Geometry, cost, mass, mounting, carrying and replacement behavior remain open. Part belongs to a finite physical companion.</x:v>
      </x:c>
      <x:c r="V257" s="11" t="str">
        <x:v>protection; legger; leger; companion replacement part</x:v>
      </x:c>
      <x:c r="W257" s="9" t="str">
        <x:v>Author Legger slings/chassis/replacement/iron/ancient-armor brainstorming October 14, 2026; Docs/WORLD_BASIS.md#the-legger; specific item proposal.</x:v>
      </x:c>
      <x:c r="X257" s="4" t="str">
        <x:v>Crafting component</x:v>
      </x:c>
      <x:c r="Y257" s="4" t="str">
        <x:v>Processed intermediate</x:v>
      </x:c>
      <x:c r="Z257" s="4" t="str">
        <x:v>Manufactured / unresolved</x:v>
      </x:c>
      <x:c r="AA257" s="4" t="str">
        <x:v>Dust exclusion</x:v>
      </x:c>
      <x:c r="AB257" s="4" t="str">
        <x:v>Mixed / unresolved</x:v>
      </x:c>
      <x:c r="AC257" s="4" t="str">
        <x:v>Assembly</x:v>
      </x:c>
      <x:c r="AD257" s="4" t="str">
        <x:v>Proposal</x:v>
      </x:c>
      <x:c r="AE257" s="4" t="str">
        <x:f>LOWER(A257&amp;"; "&amp;B257&amp;"; "&amp;D257&amp;"; "&amp;E257&amp;"; "&amp;X257&amp;"; "&amp;Y257&amp;"; "&amp;Z257&amp;"; "&amp;AA257&amp;"; "&amp;AB257&amp;"; "&amp;AC257&amp;"; "&amp;AD257&amp;"; "&amp;V257&amp;"; "&amp;C257&amp;"; "&amp;AH257&amp;"; "&amp;AI257)</x:f>
        <x:v>proposal.legger.joint_shroud; joint dust shroud; crafting components; legger service parts; crafting component; processed intermediate; manufactured / unresolved; dust exclusion; mixed / unresolved; assembly; proposal; protection; legger; leger; companion replacement part; t3; not applicable; component</x:v>
      </x:c>
      <x:c r="AF257" s="4" t="str">
        <x:v>Specific parts and protective properties remain proposals; ancient-material scarcity is established author direction.</x:v>
      </x:c>
      <x:c r="AG257" s="4" t="str">
        <x:v>October 15 proposed tier review: Fit difficult prepared husk and bonding stock as a joint shroud. Candidate route only: quantities, yield, tools, fit, process conditions and service compatibility remain open. Flexibility, wear and dust behavior remain unqualified; no ordinary rubber or cloth.</x:v>
      </x:c>
      <x:c r="AH257" s="4" t="str">
        <x:v>Not applicable</x:v>
      </x:c>
      <x:c r="AI257" s="4" t="str">
        <x:v>Component</x:v>
      </x:c>
      <x:c r="AJ257" s="4" t="n">
        <x:f>COUNTIFS('Material routes'!$D$6:$D$2205,A257,'Material routes'!$C$6:$C$2205,"Output")</x:f>
        <x:v>1</x:v>
      </x:c>
      <x:c r="AK257" s="4" t="n">
        <x:f>SUM(COUNTIFS('Material routes'!$D$6:$D$2205,A257,'Material routes'!$C$6:$C$2205,"Ingredient candidate"),COUNTIFS('Material routes'!$D$6:$D$2205,A257,'Material routes'!$C$6:$C$2205,"Consumed input"),COUNTIFS('Material routes'!$D$6:$D$2205,A257,'Material routes'!$C$6:$C$2205,"Contained input"),COUNTIFS('Material routes'!$D$6:$D$2205,A257,'Material routes'!$C$6:$C$2205,"Transform input"))</x:f>
        <x:v>1</x:v>
      </x:c>
      <x:c r="AL257" s="4" t="n">
        <x:f>COUNTIFS('Material routes'!$D$6:$D$2205,A257,'Material routes'!$C$6:$C$2205,"Tool candidate")</x:f>
        <x:v>0</x:v>
      </x:c>
      <x:c r="AM257" s="4" t="str">
        <x:f>IF(AJ257&gt;0,"Route listed; review status/completeness",IF(C257="T0","Raw entry feed; no production route","No production route listed"))</x:f>
        <x:v>Route listed; review status/completeness</x:v>
      </x:c>
      <x:c r="AN257" s="14" t="n">
        <x:f>IF(C257="T0",0,IF(C257="T1",1,IF(C257="T2",2,IF(C257="T3",3,IF(C257="T4",4,IF(C257="Unassigned",98,99))))))</x:f>
        <x:v>3</x:v>
      </x:c>
      <x:c r="AZ257"/>
      <x:c r="BA257"/>
      <x:c r="BB257"/>
      <x:c r="BC257"/>
      <x:c r="BD257"/>
      <x:c r="BE257"/>
      <x:c r="BF257"/>
      <x:c r="BG257"/>
      <x:c r="BH257"/>
      <x:c r="BI257"/>
      <x:c r="BJ257"/>
      <x:c r="BK257"/>
      <x:c r="BL257"/>
      <x:c r="BM257"/>
      <x:c r="BN257"/>
      <x:c r="BO257"/>
      <x:c r="BP257"/>
      <x:c r="BQ257"/>
      <x:c r="BR257"/>
      <x:c r="BS257"/>
      <x:c r="BT257"/>
      <x:c r="BU257"/>
      <x:c r="BV257"/>
      <x:c r="BW257"/>
      <x:c r="BX257"/>
      <x:c r="BY257"/>
      <x:c r="BZ257"/>
      <x:c r="CA257"/>
      <x:c r="CB257"/>
      <x:c r="CC257"/>
    </x:row>
    <x:row r="258" ht="170" customHeight="1">
      <x:c r="A258" s="9" t="str">
        <x:v>proposal.legger.grease_cup</x:v>
      </x:c>
      <x:c r="B258" s="9" t="str">
        <x:v>Fitted joint lubricant cup</x:v>
      </x:c>
      <x:c r="C258" s="4" t="str">
        <x:v>T3</x:v>
      </x:c>
      <x:c r="D258" s="9" t="str">
        <x:v>Crafting components</x:v>
      </x:c>
      <x:c r="E258" s="9" t="str">
        <x:v>Legger service parts</x:v>
      </x:c>
      <x:c r="F258" s="9" t="str">
        <x:v>New proposal</x:v>
      </x:c>
      <x:c r="G258" s="9" t="inlineStr">
        <x:is>
          <x:t xml:space="preserve">Small fitted reservoir candidate for a selected joint lubricant. It is intended to reduce friction at a matched contact surface; dust behavior and material compatibility require qualification.</x:t>
        </x:is>
      </x:c>
      <x:c r="H258" s="9" t="str">
        <x:v>Legger fitment unresolved</x:v>
      </x:c>
      <x:c r="I258" s="9" t="str">
        <x:v>Legger attachment / replacement intended; physical cargo policy unchanged</x:v>
      </x:c>
      <x:c r="J258" s="13"/>
      <x:c r="K258" s="15"/>
      <x:c r="L258" s="9" t="str">
        <x:v>Local craft, salvage or specialist trade; exact route TBD</x:v>
      </x:c>
      <x:c r="M258" s="9" t="str">
        <x:v>No recipe authored. Reuse existing iron stock, biological materials, ceramic craft, lubricant and ancient-material families where appropriate.</x:v>
      </x:c>
      <x:c r="N258" s="9" t="str">
        <x:v>Not implemented</x:v>
      </x:c>
      <x:c r="O258" s="9" t="str">
        <x:v>Supply path, dose and grease compatibility TBD. No automatic replenishment or maintenance timer.</x:v>
      </x:c>
      <x:c r="P258" s="17"/>
      <x:c r="Q258" s="17"/>
      <x:c r="R258" s="17"/>
      <x:c r="S258" s="17"/>
      <x:c r="T258" s="17"/>
      <x:c r="U258" s="9" t="str">
        <x:v>Brainstorming candidate. Geometry, cost, mass, mounting, carrying and replacement behavior remain open. Part belongs to a finite physical companion.</x:v>
      </x:c>
      <x:c r="V258" s="11" t="str">
        <x:v>legger; leger; companion replacement part</x:v>
      </x:c>
      <x:c r="W258" s="9" t="str">
        <x:v>Author Legger slings/chassis/replacement/iron/ancient-armor brainstorming October 14, 2026; Docs/WORLD_BASIS.md#the-legger; specific item proposal.</x:v>
      </x:c>
      <x:c r="X258" s="4" t="str">
        <x:v>Container part</x:v>
      </x:c>
      <x:c r="Y258" s="4" t="str">
        <x:v>Processed intermediate</x:v>
      </x:c>
      <x:c r="Z258" s="4" t="str">
        <x:v>Manufactured / unresolved</x:v>
      </x:c>
      <x:c r="AA258" s="4" t="str">
        <x:v>Lubrication</x:v>
      </x:c>
      <x:c r="AB258" s="4" t="str">
        <x:v>Metal</x:v>
      </x:c>
      <x:c r="AC258" s="4" t="str">
        <x:v>Assembly</x:v>
      </x:c>
      <x:c r="AD258" s="4" t="str">
        <x:v>Proposal</x:v>
      </x:c>
      <x:c r="AE258" s="4" t="str">
        <x:f>LOWER(A258&amp;"; "&amp;B258&amp;"; "&amp;D258&amp;"; "&amp;E258&amp;"; "&amp;X258&amp;"; "&amp;Y258&amp;"; "&amp;Z258&amp;"; "&amp;AA258&amp;"; "&amp;AB258&amp;"; "&amp;AC258&amp;"; "&amp;AD258&amp;"; "&amp;V258&amp;"; "&amp;C258&amp;"; "&amp;AH258&amp;"; "&amp;AI258)</x:f>
        <x:v>proposal.legger.grease_cup; fitted joint lubricant cup; crafting components; legger service parts; container part; processed intermediate; manufactured / unresolved; lubrication; metal; assembly; proposal; legger; leger; companion replacement part; t3; not applicable; component</x:v>
      </x:c>
      <x:c r="AF258" s="4" t="str">
        <x:v>Specific parts and protective properties remain proposals; ancient-material scarcity is established author direction.</x:v>
      </x:c>
      <x:c r="AG258" s="4" t="str">
        <x:v>October 15 proposed tier review: Form a fitted empty metal lubricant cup and attachment interfaces. Candidate route only: quantities, yield, tools, fit, process conditions and service compatibility remain open. Lubricant contents are separate; no grease is silently included in the output.</x:v>
      </x:c>
      <x:c r="AH258" s="4" t="str">
        <x:v>Not applicable</x:v>
      </x:c>
      <x:c r="AI258" s="4" t="str">
        <x:v>Component</x:v>
      </x:c>
      <x:c r="AJ258" s="4" t="n">
        <x:f>COUNTIFS('Material routes'!$D$6:$D$2205,A258,'Material routes'!$C$6:$C$2205,"Output")</x:f>
        <x:v>1</x:v>
      </x:c>
      <x:c r="AK258" s="4" t="n">
        <x:f>SUM(COUNTIFS('Material routes'!$D$6:$D$2205,A258,'Material routes'!$C$6:$C$2205,"Ingredient candidate"),COUNTIFS('Material routes'!$D$6:$D$2205,A258,'Material routes'!$C$6:$C$2205,"Consumed input"),COUNTIFS('Material routes'!$D$6:$D$2205,A258,'Material routes'!$C$6:$C$2205,"Contained input"),COUNTIFS('Material routes'!$D$6:$D$2205,A258,'Material routes'!$C$6:$C$2205,"Transform input"))</x:f>
        <x:v>1</x:v>
      </x:c>
      <x:c r="AL258" s="4" t="n">
        <x:f>COUNTIFS('Material routes'!$D$6:$D$2205,A258,'Material routes'!$C$6:$C$2205,"Tool candidate")</x:f>
        <x:v>0</x:v>
      </x:c>
      <x:c r="AM258" s="4" t="str">
        <x:f>IF(AJ258&gt;0,"Route listed; review status/completeness",IF(C258="T0","Raw entry feed; no production route","No production route listed"))</x:f>
        <x:v>Route listed; review status/completeness</x:v>
      </x:c>
      <x:c r="AN258" s="14" t="n">
        <x:f>IF(C258="T0",0,IF(C258="T1",1,IF(C258="T2",2,IF(C258="T3",3,IF(C258="T4",4,IF(C258="Unassigned",98,99))))))</x:f>
        <x:v>3</x:v>
      </x:c>
      <x:c r="AZ258"/>
      <x:c r="BA258"/>
      <x:c r="BB258"/>
      <x:c r="BC258"/>
      <x:c r="BD258"/>
      <x:c r="BE258"/>
      <x:c r="BF258"/>
      <x:c r="BG258"/>
      <x:c r="BH258"/>
      <x:c r="BI258"/>
      <x:c r="BJ258"/>
      <x:c r="BK258"/>
      <x:c r="BL258"/>
      <x:c r="BM258"/>
      <x:c r="BN258"/>
      <x:c r="BO258"/>
      <x:c r="BP258"/>
      <x:c r="BQ258"/>
      <x:c r="BR258"/>
      <x:c r="BS258"/>
      <x:c r="BT258"/>
      <x:c r="BU258"/>
      <x:c r="BV258"/>
      <x:c r="BW258"/>
      <x:c r="BX258"/>
      <x:c r="BY258"/>
      <x:c r="BZ258"/>
      <x:c r="CA258"/>
      <x:c r="CB258"/>
      <x:c r="CC258"/>
    </x:row>
    <x:row r="259" ht="170" customHeight="1">
      <x:c r="A259" s="9" t="str">
        <x:v>proposal.legger.seal_cartridge</x:v>
      </x:c>
      <x:c r="B259" s="9" t="str">
        <x:v>Replaceable joint-seal cartridge</x:v>
      </x:c>
      <x:c r="C259" s="4" t="str">
        <x:v>T4</x:v>
      </x:c>
      <x:c r="D259" s="9" t="str">
        <x:v>Crafting components</x:v>
      </x:c>
      <x:c r="E259" s="9" t="str">
        <x:v>Legger service parts</x:v>
      </x:c>
      <x:c r="F259" s="9" t="str">
        <x:v>New proposal</x:v>
      </x:c>
      <x:c r="G259" s="9" t="inlineStr">
        <x:is>
          <x:t xml:space="preserve">Serviceable dust/lubricant retention unit for a specific joint. It is intended to close a selected joint or patch an interface. Contents compatibility, movement and service conditions must be checked before a seal is relied on.</x:t>
        </x:is>
      </x:c>
      <x:c r="H259" s="9" t="str">
        <x:v>Legger fitment unresolved</x:v>
      </x:c>
      <x:c r="I259" s="9" t="str">
        <x:v>Legger attachment / replacement intended; physical cargo policy unchanged</x:v>
      </x:c>
      <x:c r="J259" s="13"/>
      <x:c r="K259" s="15"/>
      <x:c r="L259" s="9" t="str">
        <x:v>Local craft, salvage or specialist trade; exact route TBD</x:v>
      </x:c>
      <x:c r="M259" s="9" t="str">
        <x:v>No recipe authored. Reuse existing iron stock, biological materials, ceramic craft, lubricant and ancient-material families where appropriate.</x:v>
      </x:c>
      <x:c r="N259" s="9" t="str">
        <x:v>Not implemented</x:v>
      </x:c>
      <x:c r="O259" s="9" t="str">
        <x:v>Different service from a survival-canister seal; materials and fit unresolved.</x:v>
      </x:c>
      <x:c r="P259" s="17"/>
      <x:c r="Q259" s="17"/>
      <x:c r="R259" s="17"/>
      <x:c r="S259" s="17"/>
      <x:c r="T259" s="17"/>
      <x:c r="U259" s="9" t="str">
        <x:v>Brainstorming candidate. Geometry, cost, mass, mounting, carrying and replacement behavior remain open. Part belongs to a finite physical companion.</x:v>
      </x:c>
      <x:c r="V259" s="11" t="str">
        <x:v>equipment repair; legger; leger; companion replacement part</x:v>
      </x:c>
      <x:c r="W259" s="9" t="str">
        <x:v>Author Legger slings/chassis/replacement/iron/ancient-armor brainstorming October 14, 2026; Docs/WORLD_BASIS.md#the-legger; specific item proposal.</x:v>
      </x:c>
      <x:c r="X259" s="4" t="str">
        <x:v>Crafting component</x:v>
      </x:c>
      <x:c r="Y259" s="4" t="str">
        <x:v>Processed intermediate</x:v>
      </x:c>
      <x:c r="Z259" s="4" t="str">
        <x:v>Manufactured / unresolved</x:v>
      </x:c>
      <x:c r="AA259" s="4" t="str">
        <x:v>Sealing</x:v>
      </x:c>
      <x:c r="AB259" s="4" t="str">
        <x:v>Mixed / unresolved</x:v>
      </x:c>
      <x:c r="AC259" s="4" t="str">
        <x:v>Assembly</x:v>
      </x:c>
      <x:c r="AD259" s="4" t="str">
        <x:v>Proposal</x:v>
      </x:c>
      <x:c r="AE259" s="4" t="str">
        <x:f>LOWER(A259&amp;"; "&amp;B259&amp;"; "&amp;D259&amp;"; "&amp;E259&amp;"; "&amp;X259&amp;"; "&amp;Y259&amp;"; "&amp;Z259&amp;"; "&amp;AA259&amp;"; "&amp;AB259&amp;"; "&amp;AC259&amp;"; "&amp;AD259&amp;"; "&amp;V259&amp;"; "&amp;C259&amp;"; "&amp;AH259&amp;"; "&amp;AI259)</x:f>
        <x:v>proposal.legger.seal_cartridge; replaceable joint-seal cartridge; crafting components; legger service parts; crafting component; processed intermediate; manufactured / unresolved; sealing; mixed / unresolved; assembly; proposal; equipment repair; legger; leger; companion replacement part; t4; not applicable; component</x:v>
      </x:c>
      <x:c r="AF259" s="4" t="str">
        <x:v>Specific parts and protective properties remain proposals; ancient-material scarcity is established author direction.</x:v>
      </x:c>
      <x:c r="AG259" s="4" t="str">
        <x:v>October 15 proposed tier review: Fit selected T3 sealing/packing stock into a Legger service cartridge. Candidate route only: quantities, yield, tools, fit, process conditions and service compatibility remain open. </x:v>
      </x:c>
      <x:c r="AH259" s="4" t="str">
        <x:v>Not applicable</x:v>
      </x:c>
      <x:c r="AI259" s="4" t="str">
        <x:v>Component</x:v>
      </x:c>
      <x:c r="AJ259" s="4" t="n">
        <x:f>COUNTIFS('Material routes'!$D$6:$D$2205,A259,'Material routes'!$C$6:$C$2205,"Output")</x:f>
        <x:v>1</x:v>
      </x:c>
      <x:c r="AK259" s="4" t="n">
        <x:f>SUM(COUNTIFS('Material routes'!$D$6:$D$2205,A259,'Material routes'!$C$6:$C$2205,"Ingredient candidate"),COUNTIFS('Material routes'!$D$6:$D$2205,A259,'Material routes'!$C$6:$C$2205,"Consumed input"),COUNTIFS('Material routes'!$D$6:$D$2205,A259,'Material routes'!$C$6:$C$2205,"Contained input"),COUNTIFS('Material routes'!$D$6:$D$2205,A259,'Material routes'!$C$6:$C$2205,"Transform input"))</x:f>
        <x:v>0</x:v>
      </x:c>
      <x:c r="AL259" s="4" t="n">
        <x:f>COUNTIFS('Material routes'!$D$6:$D$2205,A259,'Material routes'!$C$6:$C$2205,"Tool candidate")</x:f>
        <x:v>0</x:v>
      </x:c>
      <x:c r="AM259" s="4" t="str">
        <x:f>IF(AJ259&gt;0,"Route listed; review status/completeness",IF(C259="T0","Raw entry feed; no production route","No production route listed"))</x:f>
        <x:v>Route listed; review status/completeness</x:v>
      </x:c>
      <x:c r="AN259" s="14" t="n">
        <x:f>IF(C259="T0",0,IF(C259="T1",1,IF(C259="T2",2,IF(C259="T3",3,IF(C259="T4",4,IF(C259="Unassigned",98,99))))))</x:f>
        <x:v>4</x:v>
      </x:c>
      <x:c r="AZ259"/>
      <x:c r="BA259"/>
      <x:c r="BB259"/>
      <x:c r="BC259"/>
      <x:c r="BD259"/>
      <x:c r="BE259"/>
      <x:c r="BF259"/>
      <x:c r="BG259"/>
      <x:c r="BH259"/>
      <x:c r="BI259"/>
      <x:c r="BJ259"/>
      <x:c r="BK259"/>
      <x:c r="BL259"/>
      <x:c r="BM259"/>
      <x:c r="BN259"/>
      <x:c r="BO259"/>
      <x:c r="BP259"/>
      <x:c r="BQ259"/>
      <x:c r="BR259"/>
      <x:c r="BS259"/>
      <x:c r="BT259"/>
      <x:c r="BU259"/>
      <x:c r="BV259"/>
      <x:c r="BW259"/>
      <x:c r="BX259"/>
      <x:c r="BY259"/>
      <x:c r="BZ259"/>
      <x:c r="CA259"/>
      <x:c r="CB259"/>
      <x:c r="CC259"/>
    </x:row>
    <x:row r="260" ht="115" customHeight="1">
      <x:c r="A260" s="9" t="str">
        <x:v>proposal.legger.fastener_pack</x:v>
      </x:c>
      <x:c r="B260" s="9" t="str">
        <x:v>Legger service fastener pack</x:v>
      </x:c>
      <x:c r="C260" s="4" t="str">
        <x:v>Not applicable</x:v>
      </x:c>
      <x:c r="D260" s="9" t="inlineStr">
        <x:is>
          <x:t xml:space="preserve">Crafting components</x:t>
        </x:is>
      </x:c>
      <x:c r="E260" s="9" t="str">
        <x:v>Legger service parts</x:v>
      </x:c>
      <x:c r="F260" s="9" t="str">
        <x:v>New proposal</x:v>
      </x:c>
      <x:c r="G260" s="9" t="inlineStr">
        <x:is>
          <x:t xml:space="preserve">Selected matching pins, retainers and fasteners for a bounded repair job. It supports replacement, refitting or maintenance of a compatible item; ownership alone does not restore the equipment’s condition.</x:t>
        </x:is>
      </x:c>
      <x:c r="H260" s="9" t="str">
        <x:v>Legger fitment unresolved</x:v>
      </x:c>
      <x:c r="I260" s="9" t="str">
        <x:v>Legger attachment / replacement intended; physical cargo policy unchanged</x:v>
      </x:c>
      <x:c r="J260" s="13"/>
      <x:c r="K260" s="15"/>
      <x:c r="L260" s="9" t="str">
        <x:v>Local craft, salvage or specialist trade; exact route TBD</x:v>
      </x:c>
      <x:c r="M260" s="9" t="str">
        <x:v>No recipe authored. Reuse existing iron stock, biological materials, ceramic craft, lubricant and ancient-material families where appropriate.</x:v>
      </x:c>
      <x:c r="N260" s="9" t="str">
        <x:v>Not implemented</x:v>
      </x:c>
      <x:c r="O260" s="9" t="str">
        <x:v>Pack contents and quantity TBD; no generic ability to repair every part or duplicate uncounted contents.</x:v>
      </x:c>
      <x:c r="P260" s="17"/>
      <x:c r="Q260" s="17"/>
      <x:c r="R260" s="17"/>
      <x:c r="S260" s="17"/>
      <x:c r="T260" s="17"/>
      <x:c r="U260" s="9" t="str">
        <x:v>Brainstorming candidate. Geometry, cost, mass, mounting, carrying and replacement behavior remain open. Part belongs to a finite physical companion.</x:v>
      </x:c>
      <x:c r="V260" s="11" t="str">
        <x:v>legger; leger; companion replacement part</x:v>
      </x:c>
      <x:c r="W260" s="9" t="str">
        <x:v>Author Legger slings/chassis/replacement/iron/ancient-armor brainstorming October 14, 2026; Docs/WORLD_BASIS.md#the-legger; specific item proposal.</x:v>
      </x:c>
      <x:c r="X260" s="4" t="str">
        <x:v>Service kit</x:v>
      </x:c>
      <x:c r="Y260" s="4" t="str">
        <x:v>Finished item</x:v>
      </x:c>
      <x:c r="Z260" s="4" t="str">
        <x:v>Manufactured / unresolved</x:v>
      </x:c>
      <x:c r="AA260" s="4" t="str">
        <x:v>Equipment repair</x:v>
      </x:c>
      <x:c r="AB260" s="4" t="str">
        <x:v>Metal</x:v>
      </x:c>
      <x:c r="AC260" s="4" t="str">
        <x:v>Assembly</x:v>
      </x:c>
      <x:c r="AD260" s="4" t="str">
        <x:v>Proposal</x:v>
      </x:c>
      <x:c r="AE260" s="4" t="str">
        <x:f>LOWER(A260&amp;"; "&amp;B260&amp;"; "&amp;D260&amp;"; "&amp;E260&amp;"; "&amp;X260&amp;"; "&amp;Y260&amp;"; "&amp;Z260&amp;"; "&amp;AA260&amp;"; "&amp;AB260&amp;"; "&amp;AC260&amp;"; "&amp;AD260&amp;"; "&amp;V260&amp;"; "&amp;C260&amp;"; "&amp;AH260&amp;"; "&amp;AI260)</x:f>
        <x:v>proposal.legger.fastener_pack; legger service fastener pack; crafting components; legger service parts; service kit; finished item; manufactured / unresolved; equipment repair; metal; assembly; proposal; legger; leger; companion replacement part; not applicable; t3; finished item</x:v>
      </x:c>
      <x:c r="AF260" s="4" t="inlineStr">
        <x:is>
          <x:t xml:space="preserve">Specific parts and protective properties remain proposals; ancient-material scarcity is established author direction. Author direction October 15: all remaining Field supplies are Crafting components; retire Field supplies as an active category.</x:t>
        </x:is>
      </x:c>
      <x:c r="AG260" s="4" t="str">
        <x:v>Finished endpoint; material tier is not applicable. Input tiers belong to the chosen recipe.</x:v>
      </x:c>
      <x:c r="AH260" s="4" t="str">
        <x:v>T3</x:v>
      </x:c>
      <x:c r="AI260" s="4" t="str">
        <x:v>Finished item</x:v>
      </x:c>
      <x:c r="AJ260" s="4" t="n">
        <x:f>COUNTIFS('Material routes'!$D$6:$D$2205,A260,'Material routes'!$C$6:$C$2205,"Output")</x:f>
        <x:v>1</x:v>
      </x:c>
      <x:c r="AK260" s="4" t="n">
        <x:f>SUM(COUNTIFS('Material routes'!$D$6:$D$2205,A260,'Material routes'!$C$6:$C$2205,"Ingredient candidate"),COUNTIFS('Material routes'!$D$6:$D$2205,A260,'Material routes'!$C$6:$C$2205,"Consumed input"),COUNTIFS('Material routes'!$D$6:$D$2205,A260,'Material routes'!$C$6:$C$2205,"Contained input"),COUNTIFS('Material routes'!$D$6:$D$2205,A260,'Material routes'!$C$6:$C$2205,"Transform input"))</x:f>
        <x:v>0</x:v>
      </x:c>
      <x:c r="AL260" s="4" t="n">
        <x:f>COUNTIFS('Material routes'!$D$6:$D$2205,A260,'Material routes'!$C$6:$C$2205,"Tool candidate")</x:f>
        <x:v>0</x:v>
      </x:c>
      <x:c r="AM260" s="4" t="str">
        <x:f>IF(AJ260&gt;0,"Route listed; review status/completeness",IF(C260="T0","Raw entry feed; no production route","No production route listed"))</x:f>
        <x:v>Route listed; review status/completeness</x:v>
      </x:c>
      <x:c r="AN260" s="14" t="n">
        <x:f>IF(C260="T0",0,IF(C260="T1",1,IF(C260="T2",2,IF(C260="T3",3,IF(C260="T4",4,IF(C260="Unassigned",98,99))))))</x:f>
        <x:v>99</x:v>
      </x:c>
      <x:c r="AZ260"/>
      <x:c r="BA260"/>
      <x:c r="BB260"/>
      <x:c r="BC260"/>
      <x:c r="BD260"/>
      <x:c r="BE260"/>
      <x:c r="BF260"/>
      <x:c r="BG260"/>
      <x:c r="BH260"/>
      <x:c r="BI260"/>
      <x:c r="BJ260"/>
      <x:c r="BK260"/>
      <x:c r="BL260"/>
      <x:c r="BM260"/>
      <x:c r="BN260"/>
      <x:c r="BO260"/>
      <x:c r="BP260"/>
      <x:c r="BQ260"/>
      <x:c r="BR260"/>
      <x:c r="BS260"/>
      <x:c r="BT260"/>
      <x:c r="BU260"/>
      <x:c r="BV260"/>
      <x:c r="BW260"/>
      <x:c r="BX260"/>
      <x:c r="BY260"/>
      <x:c r="BZ260"/>
      <x:c r="CA260"/>
      <x:c r="CB260"/>
      <x:c r="CC260"/>
    </x:row>
    <x:row r="261" ht="115" customHeight="1">
      <x:c r="A261" s="9" t="str">
        <x:v>proposal.legger.shell_guard</x:v>
      </x:c>
      <x:c r="B261" s="9" t="str">
        <x:v>Chitin chassis guard</x:v>
      </x:c>
      <x:c r="C261" s="4" t="str">
        <x:v>Not applicable</x:v>
      </x:c>
      <x:c r="D261" s="9" t="inlineStr">
        <x:is>
          <x:t xml:space="preserve">Legger armor</x:t>
        </x:is>
      </x:c>
      <x:c r="E261" s="9" t="str">
        <x:v>Legger armor</x:v>
      </x:c>
      <x:c r="F261" s="9" t="str">
        <x:v>New proposal</x:v>
      </x:c>
      <x:c r="G261" s="9" t="inlineStr">
        <x:is>
          <x:t xml:space="preserve">Worked shell panel candidate covering a selected exposed surface. It is intended to cover or guard the recorded area, with fit, coverage and protective performance still requiring qualification.</x:t>
        </x:is>
      </x:c>
      <x:c r="H261" s="9" t="str">
        <x:v>Legger fitment unresolved</x:v>
      </x:c>
      <x:c r="I261" s="9" t="str">
        <x:v>Legger attachment / replacement intended; physical cargo policy unchanged</x:v>
      </x:c>
      <x:c r="J261" s="13"/>
      <x:c r="K261" s="15"/>
      <x:c r="L261" s="9" t="str">
        <x:v>Local craft, salvage or specialist trade; exact route TBD</x:v>
      </x:c>
      <x:c r="M261" s="9" t="str">
        <x:v>No recipe authored. Reuse existing iron stock, biological materials, ceramic craft, lubricant and ancient-material families where appropriate.</x:v>
      </x:c>
      <x:c r="N261" s="9" t="str">
        <x:v>Not implemented</x:v>
      </x:c>
      <x:c r="O261" s="9" t="str">
        <x:v>Cheap raw shell still needs fitting; no numeric protection, durability or ballistic rating.</x:v>
      </x:c>
      <x:c r="P261" s="17"/>
      <x:c r="Q261" s="17"/>
      <x:c r="R261" s="17"/>
      <x:c r="S261" s="17"/>
      <x:c r="T261" s="17"/>
      <x:c r="U261" s="9" t="str">
        <x:v>Brainstorming candidate. Geometry, cost, mass, mounting, carrying and replacement behavior remain open. Part belongs to a finite physical companion.</x:v>
      </x:c>
      <x:c r="V261" s="11" t="str">
        <x:v>legger; leger; companion replacement part</x:v>
      </x:c>
      <x:c r="W261" s="9" t="str">
        <x:v>Author Legger slings/chassis/replacement/iron/ancient-armor brainstorming October 14, 2026; Docs/WORLD_BASIS.md#the-legger; specific item proposal.</x:v>
      </x:c>
      <x:c r="X261" s="4" t="str">
        <x:v>Armor</x:v>
      </x:c>
      <x:c r="Y261" s="4" t="str">
        <x:v>Finished item</x:v>
      </x:c>
      <x:c r="Z261" s="4" t="str">
        <x:v>Manufactured / unresolved</x:v>
      </x:c>
      <x:c r="AA261" s="4" t="str">
        <x:v>Protection</x:v>
      </x:c>
      <x:c r="AB261" s="4" t="str">
        <x:v>Shell / chitin</x:v>
      </x:c>
      <x:c r="AC261" s="4" t="str">
        <x:v>Panel</x:v>
      </x:c>
      <x:c r="AD261" s="4" t="str">
        <x:v>Proposal</x:v>
      </x:c>
      <x:c r="AE261" s="4" t="str">
        <x:f>LOWER(A261&amp;"; "&amp;B261&amp;"; "&amp;D261&amp;"; "&amp;E261&amp;"; "&amp;X261&amp;"; "&amp;Y261&amp;"; "&amp;Z261&amp;"; "&amp;AA261&amp;"; "&amp;AB261&amp;"; "&amp;AC261&amp;"; "&amp;AD261&amp;"; "&amp;V261&amp;"; "&amp;C261&amp;"; "&amp;AH261&amp;"; "&amp;AI261)</x:f>
        <x:v>proposal.legger.shell_guard; chitin chassis guard; legger armor; legger armor; legger armor; finished item; manufactured / unresolved; protection; shell / chitin; panel; proposal; legger; leger; companion replacement part; not applicable; t3; finished item</x:v>
      </x:c>
      <x:c r="AF26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1" s="4" t="str">
        <x:v>Finished endpoint; material tier is not applicable. Input tiers belong to the chosen recipe.</x:v>
      </x:c>
      <x:c r="AH261" s="4" t="str">
        <x:v>T3</x:v>
      </x:c>
      <x:c r="AI261" s="4" t="str">
        <x:v>Finished item</x:v>
      </x:c>
      <x:c r="AJ261" s="4" t="n">
        <x:f>COUNTIFS('Material routes'!$D$6:$D$2205,A261,'Material routes'!$C$6:$C$2205,"Output")</x:f>
        <x:v>1</x:v>
      </x:c>
      <x:c r="AK261" s="4" t="n">
        <x:f>SUM(COUNTIFS('Material routes'!$D$6:$D$2205,A261,'Material routes'!$C$6:$C$2205,"Ingredient candidate"),COUNTIFS('Material routes'!$D$6:$D$2205,A261,'Material routes'!$C$6:$C$2205,"Consumed input"),COUNTIFS('Material routes'!$D$6:$D$2205,A261,'Material routes'!$C$6:$C$2205,"Contained input"),COUNTIFS('Material routes'!$D$6:$D$2205,A261,'Material routes'!$C$6:$C$2205,"Transform input"))</x:f>
        <x:v>0</x:v>
      </x:c>
      <x:c r="AL261" s="4" t="n">
        <x:f>COUNTIFS('Material routes'!$D$6:$D$2205,A261,'Material routes'!$C$6:$C$2205,"Tool candidate")</x:f>
        <x:v>0</x:v>
      </x:c>
      <x:c r="AM261" s="4" t="str">
        <x:f>IF(AJ261&gt;0,"Route listed; review status/completeness",IF(C261="T0","Raw entry feed; no production route","No production route listed"))</x:f>
        <x:v>Route listed; review status/completeness</x:v>
      </x:c>
      <x:c r="AN261" s="14" t="n">
        <x:f>IF(C261="T0",0,IF(C261="T1",1,IF(C261="T2",2,IF(C261="T3",3,IF(C261="T4",4,IF(C261="Unassigned",98,99))))))</x:f>
        <x:v>99</x:v>
      </x:c>
      <x:c r="AZ261"/>
      <x:c r="BA261"/>
      <x:c r="BB261"/>
      <x:c r="BC261"/>
      <x:c r="BD261"/>
      <x:c r="BE261"/>
      <x:c r="BF261"/>
      <x:c r="BG261"/>
      <x:c r="BH261"/>
      <x:c r="BI261"/>
      <x:c r="BJ261"/>
      <x:c r="BK261"/>
      <x:c r="BL261"/>
      <x:c r="BM261"/>
      <x:c r="BN261"/>
      <x:c r="BO261"/>
      <x:c r="BP261"/>
      <x:c r="BQ261"/>
      <x:c r="BR261"/>
      <x:c r="BS261"/>
      <x:c r="BT261"/>
      <x:c r="BU261"/>
      <x:c r="BV261"/>
      <x:c r="BW261"/>
      <x:c r="BX261"/>
      <x:c r="BY261"/>
      <x:c r="BZ261"/>
      <x:c r="CA261"/>
      <x:c r="CB261"/>
      <x:c r="CC261"/>
    </x:row>
    <x:row r="262" ht="115" customHeight="1">
      <x:c r="A262" s="9" t="str">
        <x:v>proposal.legger.iron_guard</x:v>
      </x:c>
      <x:c r="B262" s="9" t="str">
        <x:v>Iron chassis guard</x:v>
      </x:c>
      <x:c r="C262" s="4" t="str">
        <x:v>Not applicable</x:v>
      </x:c>
      <x:c r="D262" s="9" t="inlineStr">
        <x:is>
          <x:t xml:space="preserve">Legger armor</x:t>
        </x:is>
      </x:c>
      <x:c r="E262" s="9" t="str">
        <x:v>Legger armor</x:v>
      </x:c>
      <x:c r="F262" s="9" t="str">
        <x:v>New proposal</x:v>
      </x:c>
      <x:c r="G262" s="9" t="inlineStr">
        <x:is>
          <x:t xml:space="preserve">Worked iron panel candidate for a selected Legger mount. It is intended to cover or guard the recorded area, with fit, coverage and protective performance still requiring qualification.</x:t>
        </x:is>
      </x:c>
      <x:c r="H262" s="9" t="str">
        <x:v>Legger fitment unresolved</x:v>
      </x:c>
      <x:c r="I262" s="9" t="str">
        <x:v>Legger attachment / replacement intended; physical cargo policy unchanged</x:v>
      </x:c>
      <x:c r="J262" s="13"/>
      <x:c r="K262" s="15"/>
      <x:c r="L262" s="9" t="str">
        <x:v>Local craft, salvage or specialist trade; exact route TBD</x:v>
      </x:c>
      <x:c r="M262" s="9" t="str">
        <x:v>No recipe authored. Reuse existing iron stock, biological materials, ceramic craft, lubricant and ancient-material families where appropriate.</x:v>
      </x:c>
      <x:c r="N262" s="9" t="str">
        <x:v>Not implemented</x:v>
      </x:c>
      <x:c r="O262" s="9" t="str">
        <x:v>Mass, articulation, shielding and replacement tradeoffs require design.</x:v>
      </x:c>
      <x:c r="P262" s="17"/>
      <x:c r="Q262" s="17"/>
      <x:c r="R262" s="17"/>
      <x:c r="S262" s="17"/>
      <x:c r="T262" s="17"/>
      <x:c r="U262" s="9" t="str">
        <x:v>Brainstorming candidate. Geometry, cost, mass, mounting, carrying and replacement behavior remain open. Part belongs to a finite physical companion.</x:v>
      </x:c>
      <x:c r="V262" s="11" t="str">
        <x:v>legger; leger; companion replacement part</x:v>
      </x:c>
      <x:c r="W262" s="9" t="str">
        <x:v>Author Legger slings/chassis/replacement/iron/ancient-armor brainstorming October 14, 2026; Docs/WORLD_BASIS.md#the-legger; specific item proposal.</x:v>
      </x:c>
      <x:c r="X262" s="4" t="str">
        <x:v>Armor</x:v>
      </x:c>
      <x:c r="Y262" s="4" t="str">
        <x:v>Finished item</x:v>
      </x:c>
      <x:c r="Z262" s="4" t="str">
        <x:v>Manufactured / unresolved</x:v>
      </x:c>
      <x:c r="AA262" s="4" t="str">
        <x:v>Protection</x:v>
      </x:c>
      <x:c r="AB262" s="4" t="str">
        <x:v>Metal</x:v>
      </x:c>
      <x:c r="AC262" s="4" t="str">
        <x:v>Panel</x:v>
      </x:c>
      <x:c r="AD262" s="4" t="str">
        <x:v>Proposal</x:v>
      </x:c>
      <x:c r="AE262" s="4" t="str">
        <x:f>LOWER(A262&amp;"; "&amp;B262&amp;"; "&amp;D262&amp;"; "&amp;E262&amp;"; "&amp;X262&amp;"; "&amp;Y262&amp;"; "&amp;Z262&amp;"; "&amp;AA262&amp;"; "&amp;AB262&amp;"; "&amp;AC262&amp;"; "&amp;AD262&amp;"; "&amp;V262&amp;"; "&amp;C262&amp;"; "&amp;AH262&amp;"; "&amp;AI262)</x:f>
        <x:v>proposal.legger.iron_guard; iron chassis guard; legger armor; legger armor; legger armor; finished item; manufactured / unresolved; protection; metal; panel; proposal; legger; leger; companion replacement part; not applicable; t3; finished item</x:v>
      </x:c>
      <x:c r="AF262"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2" s="4" t="str">
        <x:v>Finished endpoint; material tier is not applicable. Input tiers belong to the chosen recipe.</x:v>
      </x:c>
      <x:c r="AH262" s="4" t="str">
        <x:v>T3</x:v>
      </x:c>
      <x:c r="AI262" s="4" t="str">
        <x:v>Finished item</x:v>
      </x:c>
      <x:c r="AJ262" s="4" t="n">
        <x:f>COUNTIFS('Material routes'!$D$6:$D$2205,A262,'Material routes'!$C$6:$C$2205,"Output")</x:f>
        <x:v>1</x:v>
      </x:c>
      <x:c r="AK262" s="4" t="n">
        <x:f>SUM(COUNTIFS('Material routes'!$D$6:$D$2205,A262,'Material routes'!$C$6:$C$2205,"Ingredient candidate"),COUNTIFS('Material routes'!$D$6:$D$2205,A262,'Material routes'!$C$6:$C$2205,"Consumed input"),COUNTIFS('Material routes'!$D$6:$D$2205,A262,'Material routes'!$C$6:$C$2205,"Contained input"),COUNTIFS('Material routes'!$D$6:$D$2205,A262,'Material routes'!$C$6:$C$2205,"Transform input"))</x:f>
        <x:v>0</x:v>
      </x:c>
      <x:c r="AL262" s="4" t="n">
        <x:f>COUNTIFS('Material routes'!$D$6:$D$2205,A262,'Material routes'!$C$6:$C$2205,"Tool candidate")</x:f>
        <x:v>0</x:v>
      </x:c>
      <x:c r="AM262" s="4" t="str">
        <x:f>IF(AJ262&gt;0,"Route listed; review status/completeness",IF(C262="T0","Raw entry feed; no production route","No production route listed"))</x:f>
        <x:v>Route listed; review status/completeness</x:v>
      </x:c>
      <x:c r="AN262" s="14" t="n">
        <x:f>IF(C262="T0",0,IF(C262="T1",1,IF(C262="T2",2,IF(C262="T3",3,IF(C262="T4",4,IF(C262="Unassigned",98,99))))))</x:f>
        <x:v>99</x:v>
      </x:c>
      <x:c r="AZ262"/>
      <x:c r="BA262"/>
      <x:c r="BB262"/>
      <x:c r="BC262"/>
      <x:c r="BD262"/>
      <x:c r="BE262"/>
      <x:c r="BF262"/>
      <x:c r="BG262"/>
      <x:c r="BH262"/>
      <x:c r="BI262"/>
      <x:c r="BJ262"/>
      <x:c r="BK262"/>
      <x:c r="BL262"/>
      <x:c r="BM262"/>
      <x:c r="BN262"/>
      <x:c r="BO262"/>
      <x:c r="BP262"/>
      <x:c r="BQ262"/>
      <x:c r="BR262"/>
      <x:c r="BS262"/>
      <x:c r="BT262"/>
      <x:c r="BU262"/>
      <x:c r="BV262"/>
      <x:c r="BW262"/>
      <x:c r="BX262"/>
      <x:c r="BY262"/>
      <x:c r="BZ262"/>
      <x:c r="CA262"/>
      <x:c r="CB262"/>
      <x:c r="CC262"/>
    </x:row>
    <x:row r="263" ht="115" customHeight="1">
      <x:c r="A263" s="9"/>
      <x:c r="B263" s="9"/>
      <x:c r="C263" s="4"/>
      <x:c r="D263" s="9"/>
      <x:c r="E263" s="9"/>
      <x:c r="F263" s="9"/>
      <x:c r="G263" s="9"/>
      <x:c r="H263" s="9"/>
      <x:c r="I263" s="9"/>
      <x:c r="J263" s="13"/>
      <x:c r="M263" s="9"/>
      <x:c r="N263" s="9"/>
      <x:c r="O263" s="9"/>
      <x:c r="P263" s="17"/>
      <x:c r="V263" s="11"/>
      <x:c r="W263" s="9"/>
      <x:c r="X263" s="4"/>
      <x:c r="Y263" s="4"/>
      <x:c r="Z263" s="4"/>
      <x:c r="AA263" s="4"/>
      <x:c r="AB263" s="4"/>
      <x:c r="AC263" s="4"/>
      <x:c r="AD263" s="4"/>
      <x:c r="AE263" s="4"/>
      <x:c r="AF263" s="4"/>
      <x:c r="AG263" s="4"/>
      <x:c r="AH263" s="4"/>
      <x:c r="AI263" s="4"/>
      <x:c r="AJ263" s="4"/>
      <x:c r="AK263" s="4"/>
      <x:c r="AL263" s="4"/>
      <x:c r="AM263" s="4"/>
      <x:c r="AN263" s="14"/>
      <x:c r="AZ263"/>
      <x:c r="BA263"/>
      <x:c r="BB263"/>
      <x:c r="BC263"/>
      <x:c r="BD263"/>
      <x:c r="BE263"/>
      <x:c r="BF263"/>
      <x:c r="BG263"/>
      <x:c r="BH263"/>
      <x:c r="BI263"/>
      <x:c r="BJ263"/>
      <x:c r="BK263"/>
      <x:c r="BL263"/>
      <x:c r="BM263"/>
      <x:c r="BN263"/>
      <x:c r="BO263"/>
      <x:c r="BP263"/>
      <x:c r="BQ263"/>
      <x:c r="BR263"/>
      <x:c r="BS263"/>
      <x:c r="BT263"/>
      <x:c r="BU263"/>
      <x:c r="BV263"/>
      <x:c r="BW263"/>
      <x:c r="BX263"/>
      <x:c r="BY263"/>
      <x:c r="BZ263"/>
      <x:c r="CA263"/>
      <x:c r="CB263"/>
      <x:c r="CC263"/>
    </x:row>
    <x:row r="264" ht="115" customHeight="1">
      <x:c r="A264" s="9" t="str">
        <x:v>proposal.legger.ceramic_backing</x:v>
      </x:c>
      <x:c r="B264" s="9" t="str">
        <x:v>Ceramic armor backing insert</x:v>
      </x:c>
      <x:c r="C264" s="4" t="str">
        <x:v>Not applicable</x:v>
      </x:c>
      <x:c r="D264" s="9" t="inlineStr">
        <x:is>
          <x:t xml:space="preserve">Legger attachments</x:t>
        </x:is>
      </x:c>
      <x:c r="E264" s="9" t="str">
        <x:v>Legger armor</x:v>
      </x:c>
      <x:c r="F264" s="9" t="str">
        <x:v>New proposal</x:v>
      </x:c>
      <x:c r="G264" s="9" t="inlineStr">
        <x:is>
          <x:t xml:space="preserve">Fitted ceramic backing candidate within a selected composite guard assembly. It is intended to cover or guard the recorded area, with fit, coverage and protective performance still requiring qualification.</x:t>
        </x:is>
      </x:c>
      <x:c r="H264" s="9" t="str">
        <x:v>Legger fitment unresolved</x:v>
      </x:c>
      <x:c r="I264" s="9" t="str">
        <x:v>Legger attachment / replacement intended; physical cargo policy unchanged</x:v>
      </x:c>
      <x:c r="J264" s="13"/>
      <x:c r="K264" s="15"/>
      <x:c r="L264" s="9" t="str">
        <x:v>Local craft, salvage or specialist trade; exact route TBD</x:v>
      </x:c>
      <x:c r="M264" s="9" t="str">
        <x:v>No recipe authored. Reuse existing iron stock, biological materials, ceramic craft, lubricant and ancient-material families where appropriate.</x:v>
      </x:c>
      <x:c r="N264" s="9" t="str">
        <x:v>Not implemented</x:v>
      </x:c>
      <x:c r="O264" s="9" t="str">
        <x:v>An application of the existing ceramic-armor family; layer order, damage and service limits TBD.</x:v>
      </x:c>
      <x:c r="P264" s="17"/>
      <x:c r="Q264" s="17"/>
      <x:c r="R264" s="17"/>
      <x:c r="S264" s="17"/>
      <x:c r="T264" s="17"/>
      <x:c r="U264" s="9" t="str">
        <x:v>Brainstorming candidate. Geometry, cost, mass, mounting, carrying and replacement behavior remain open. Part belongs to a finite physical companion.</x:v>
      </x:c>
      <x:c r="V264" s="11" t="str">
        <x:v>legger; leger; companion replacement part</x:v>
      </x:c>
      <x:c r="W264" s="9" t="str">
        <x:v>Author Legger slings/chassis/replacement/iron/ancient-armor brainstorming October 14, 2026; Docs/WORLD_BASIS.md#the-legger; specific item proposal.</x:v>
      </x:c>
      <x:c r="X264" s="4" t="str">
        <x:v>Armor</x:v>
      </x:c>
      <x:c r="Y264" s="4" t="str">
        <x:v>Finished item</x:v>
      </x:c>
      <x:c r="Z264" s="4" t="str">
        <x:v>Manufactured / unresolved</x:v>
      </x:c>
      <x:c r="AA264" s="4" t="str">
        <x:v>Protection</x:v>
      </x:c>
      <x:c r="AB264" s="4" t="str">
        <x:v>Ceramic</x:v>
      </x:c>
      <x:c r="AC264" s="4" t="str">
        <x:v>Panel</x:v>
      </x:c>
      <x:c r="AD264" s="4" t="str">
        <x:v>Proposal</x:v>
      </x:c>
      <x:c r="AE264" s="4" t="str">
        <x:f>LOWER(A264&amp;"; "&amp;B264&amp;"; "&amp;D264&amp;"; "&amp;E264&amp;"; "&amp;X264&amp;"; "&amp;Y264&amp;"; "&amp;Z264&amp;"; "&amp;AA264&amp;"; "&amp;AB264&amp;"; "&amp;AC264&amp;"; "&amp;AD264&amp;"; "&amp;V264&amp;"; "&amp;C264&amp;"; "&amp;AH264&amp;"; "&amp;AI264)</x:f>
        <x:v>proposal.legger.ceramic_backing; ceramic armor backing insert; legger attachments; legger armor; armor; finished item; manufactured / unresolved; protection; ceramic; panel; proposal; legger; leger; companion replacement part; not applicable; t3; finished item</x:v>
      </x:c>
      <x:c r="AF26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4" s="4" t="str">
        <x:v>Finished endpoint; material tier is not applicable. Input tiers belong to the chosen recipe.</x:v>
      </x:c>
      <x:c r="AH264" s="4" t="str">
        <x:v>T3</x:v>
      </x:c>
      <x:c r="AI264" s="4" t="str">
        <x:v>Finished item</x:v>
      </x:c>
      <x:c r="AJ264" s="4" t="n">
        <x:f>COUNTIFS('Material routes'!$D$6:$D$2205,A264,'Material routes'!$C$6:$C$2205,"Output")</x:f>
        <x:v>1</x:v>
      </x:c>
      <x:c r="AK264" s="4" t="n">
        <x:f>SUM(COUNTIFS('Material routes'!$D$6:$D$2205,A264,'Material routes'!$C$6:$C$2205,"Ingredient candidate"),COUNTIFS('Material routes'!$D$6:$D$2205,A264,'Material routes'!$C$6:$C$2205,"Consumed input"),COUNTIFS('Material routes'!$D$6:$D$2205,A264,'Material routes'!$C$6:$C$2205,"Contained input"),COUNTIFS('Material routes'!$D$6:$D$2205,A264,'Material routes'!$C$6:$C$2205,"Transform input"))</x:f>
        <x:v>0</x:v>
      </x:c>
      <x:c r="AL264" s="4" t="n">
        <x:f>COUNTIFS('Material routes'!$D$6:$D$2205,A264,'Material routes'!$C$6:$C$2205,"Tool candidate")</x:f>
        <x:v>0</x:v>
      </x:c>
      <x:c r="AM264" s="4" t="str">
        <x:f>IF(AJ264&gt;0,"Route listed; review status/completeness",IF(C264="T0","Raw entry feed; no production route","No production route listed"))</x:f>
        <x:v>Route listed; review status/completeness</x:v>
      </x:c>
      <x:c r="AN264" s="14" t="n">
        <x:f>IF(C264="T0",0,IF(C264="T1",1,IF(C264="T2",2,IF(C264="T3",3,IF(C264="T4",4,IF(C264="Unassigned",98,99))))))</x:f>
        <x:v>99</x:v>
      </x:c>
      <x:c r="AZ264"/>
      <x:c r="BA264"/>
      <x:c r="BB264"/>
      <x:c r="BC264"/>
      <x:c r="BD264"/>
      <x:c r="BE264"/>
      <x:c r="BF264"/>
      <x:c r="BG264"/>
      <x:c r="BH264"/>
      <x:c r="BI264"/>
      <x:c r="BJ264"/>
      <x:c r="BK264"/>
      <x:c r="BL264"/>
      <x:c r="BM264"/>
      <x:c r="BN264"/>
      <x:c r="BO264"/>
      <x:c r="BP264"/>
      <x:c r="BQ264"/>
      <x:c r="BR264"/>
      <x:c r="BS264"/>
      <x:c r="BT264"/>
      <x:c r="BU264"/>
      <x:c r="BV264"/>
      <x:c r="BW264"/>
      <x:c r="BX264"/>
      <x:c r="BY264"/>
      <x:c r="BZ264"/>
      <x:c r="CA264"/>
      <x:c r="CB264"/>
      <x:c r="CC264"/>
    </x:row>
    <x:row r="265" ht="170" customHeight="1">
      <x:c r="A265" s="9" t="str">
        <x:v>proposal.legger.plasteel_rib</x:v>
      </x:c>
      <x:c r="B265" s="9" t="str">
        <x:v>Ancient plasteel replacement member</x:v>
      </x:c>
      <x:c r="C265" s="4" t="str">
        <x:v>Not applicable</x:v>
      </x:c>
      <x:c r="D265" s="9" t="str">
        <x:v>Ancient salvage</x:v>
      </x:c>
      <x:c r="E265" s="9" t="str">
        <x:v>Legger ancient replacement</x:v>
      </x:c>
      <x:c r="F265" s="9" t="str">
        <x:v>New proposal</x:v>
      </x:c>
      <x:c r="G265" s="9" t="inlineStr">
        <x:is>
          <x:t xml:space="preserve">Recovered plasteel structural piece considered for a compatible chassis replacement. It is an extremely rare ancient recovery whose original function remains a working hypothesis. Condition, compatibility and safe operation are unknown; no contemporary reproduction is implied.</x:t>
        </x:is>
      </x:c>
      <x:c r="H265" s="9" t="str">
        <x:v>Legger fitment unresolved</x:v>
      </x:c>
      <x:c r="I265" s="9" t="str">
        <x:v>Legger attachment / replacement intended; physical cargo policy unchanged</x:v>
      </x:c>
      <x:c r="J265" s="13"/>
      <x:c r="K265" s="15"/>
      <x:c r="L265" s="9" t="str">
        <x:v>Extremely rare recovered technology; fitting and recovery method TBD</x:v>
      </x:c>
      <x:c r="M265" s="9" t="str">
        <x:v>No recipe authored. Reuse existing iron stock, biological materials, ceramic craft, lubricant and ancient-material families where appropriate.</x:v>
      </x:c>
      <x:c r="N265" s="9" t="str">
        <x:v>Not implemented</x:v>
      </x:c>
      <x:c r="O265" s="9" t="str">
        <x:v>Extremely rare; fit, identification, rework and attachment remain unresolved. Recovery does not grant manufacture.</x:v>
      </x:c>
      <x:c r="P265" s="17" t="str">
        <x:v>Extremely rare</x:v>
      </x:c>
      <x:c r="Q265" s="17"/>
      <x:c r="R265" s="17"/>
      <x:c r="S265" s="17"/>
      <x:c r="T265" s="17"/>
      <x:c r="U265" s="9" t="str">
        <x:v>Brainstorming candidate. Geometry, cost, mass, mounting, carrying and replacement behavior remain open. Part belongs to a finite physical companion.</x:v>
      </x:c>
      <x:c r="V265" s="11" t="str">
        <x:v>legger; leger; companion replacement part; ancient salvage plasteel nanotube ballistic</x:v>
      </x:c>
      <x:c r="W265" s="9" t="str">
        <x:v>Author Legger slings/chassis/replacement/iron/ancient-armor brainstorming October 14, 2026; Docs/WORLD_BASIS.md#the-legger; specific item proposal.</x:v>
      </x:c>
      <x:c r="X265" s="4" t="str">
        <x:v>Crafting component</x:v>
      </x:c>
      <x:c r="Y265" s="4" t="str">
        <x:v>Processed intermediate</x:v>
      </x:c>
      <x:c r="Z265" s="4" t="str">
        <x:v>Ancient technology</x:v>
      </x:c>
      <x:c r="AA265" s="4" t="str">
        <x:v>Equipment repair</x:v>
      </x:c>
      <x:c r="AB265" s="4" t="str">
        <x:v>Ancient composite</x:v>
      </x:c>
      <x:c r="AC265" s="4" t="str">
        <x:v>Solid part</x:v>
      </x:c>
      <x:c r="AD265" s="4" t="str">
        <x:v>Proposal</x:v>
      </x:c>
      <x:c r="AE265" s="4" t="str">
        <x:f>LOWER(A265&amp;"; "&amp;B265&amp;"; "&amp;D265&amp;"; "&amp;E265&amp;"; "&amp;X265&amp;"; "&amp;Y265&amp;"; "&amp;Z265&amp;"; "&amp;AA265&amp;"; "&amp;AB265&amp;"; "&amp;AC265&amp;"; "&amp;AD265&amp;"; "&amp;V265&amp;"; "&amp;C265&amp;"; "&amp;AH265&amp;"; "&amp;AI265)</x:f>
        <x:v>proposal.legger.plasteel_rib; ancient plasteel replacement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65" s="4" t="str">
        <x:v>Specific parts and protective properties remain proposals; ancient-material scarcity is established author direction. Lore category review: Crafting components -&gt; Ancient salvage. Classification only; original item status and tier retained.</x:v>
      </x:c>
      <x:c r="AG26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5" s="4" t="str">
        <x:v>Unassigned</x:v>
      </x:c>
      <x:c r="AI265" s="4" t="str">
        <x:v>Component</x:v>
      </x:c>
      <x:c r="AJ265" s="4" t="n">
        <x:f>COUNTIFS('Material routes'!$D$6:$D$2205,A265,'Material routes'!$C$6:$C$2205,"Output")</x:f>
        <x:v>0</x:v>
      </x:c>
      <x:c r="AK265" s="4" t="n">
        <x:f>SUM(COUNTIFS('Material routes'!$D$6:$D$2205,A265,'Material routes'!$C$6:$C$2205,"Ingredient candidate"),COUNTIFS('Material routes'!$D$6:$D$2205,A265,'Material routes'!$C$6:$C$2205,"Consumed input"),COUNTIFS('Material routes'!$D$6:$D$2205,A265,'Material routes'!$C$6:$C$2205,"Contained input"),COUNTIFS('Material routes'!$D$6:$D$2205,A265,'Material routes'!$C$6:$C$2205,"Transform input"))</x:f>
        <x:v>0</x:v>
      </x:c>
      <x:c r="AL265" s="4" t="n">
        <x:f>COUNTIFS('Material routes'!$D$6:$D$2205,A265,'Material routes'!$C$6:$C$2205,"Tool candidate")</x:f>
        <x:v>0</x:v>
      </x:c>
      <x:c r="AM265" s="4" t="str">
        <x:f>IF(AJ265&gt;0,"Route listed; review status/completeness",IF(C265="T0","Raw entry feed; no production route","No production route listed"))</x:f>
        <x:v>No production route listed</x:v>
      </x:c>
      <x:c r="AN265" s="14" t="n">
        <x:f>IF(C265="T0",0,IF(C265="T1",1,IF(C265="T2",2,IF(C265="T3",3,IF(C265="T4",4,IF(C265="Unassigned",98,99))))))</x:f>
        <x:v>99</x:v>
      </x:c>
      <x:c r="AZ265"/>
      <x:c r="BA265"/>
      <x:c r="BB265"/>
      <x:c r="BC265"/>
      <x:c r="BD265"/>
      <x:c r="BE265"/>
      <x:c r="BF265"/>
      <x:c r="BG265"/>
      <x:c r="BH265"/>
      <x:c r="BI265"/>
      <x:c r="BJ265"/>
      <x:c r="BK265"/>
      <x:c r="BL265"/>
      <x:c r="BM265"/>
      <x:c r="BN265"/>
      <x:c r="BO265"/>
      <x:c r="BP265"/>
      <x:c r="BQ265"/>
      <x:c r="BR265"/>
      <x:c r="BS265"/>
      <x:c r="BT265"/>
      <x:c r="BU265"/>
      <x:c r="BV265"/>
      <x:c r="BW265"/>
      <x:c r="BX265"/>
      <x:c r="BY265"/>
      <x:c r="BZ265"/>
      <x:c r="CA265"/>
      <x:c r="CB265"/>
      <x:c r="CC265"/>
    </x:row>
    <x:row r="266" ht="115" customHeight="1">
      <x:c r="A266" s="9" t="str">
        <x:v>proposal.legger.nanocarbon_panel</x:v>
      </x:c>
      <x:c r="B266" s="9" t="str">
        <x:v>Ancient nanocarbon armor panel</x:v>
      </x:c>
      <x:c r="C266" s="4" t="str">
        <x:v>Not applicable</x:v>
      </x:c>
      <x:c r="D266" s="9" t="inlineStr">
        <x:is>
          <x:t xml:space="preserve">Legger armor</x:t>
        </x:is>
      </x:c>
      <x:c r="E266" s="9" t="str">
        <x:v>Legger ancient replacement</x:v>
      </x:c>
      <x:c r="F266" s="9" t="str">
        <x:v>New proposal</x:v>
      </x:c>
      <x:c r="G266" s="9" t="inlineStr">
        <x:is>
          <x:t xml:space="preserve">Recovered nanotube/nanocarbon composite protective panel candidate. It is intended to cover or guard the recorded area, with fit, coverage and protective performance still requiring qualification.</x:t>
        </x:is>
      </x:c>
      <x:c r="H266" s="9" t="str">
        <x:v>Legger fitment unresolved</x:v>
      </x:c>
      <x:c r="I266" s="9" t="str">
        <x:v>Legger attachment / replacement intended; physical cargo policy unchanged</x:v>
      </x:c>
      <x:c r="J266" s="13"/>
      <x:c r="K266" s="15"/>
      <x:c r="L266" s="9" t="str">
        <x:v>Extremely rare recovered technology; fitting and recovery method TBD</x:v>
      </x:c>
      <x:c r="M266" s="9" t="str">
        <x:v>No recipe authored. Reuse existing iron stock, biological materials, ceramic craft, lubricant and ancient-material families where appropriate.</x:v>
      </x:c>
      <x:c r="N266" s="9" t="str">
        <x:v>Not implemented</x:v>
      </x:c>
      <x:c r="O266" s="9" t="str">
        <x:v>Extremely rare; ballistic response and degradation must be designed, with no automatic immunity or reproducibility.</x:v>
      </x:c>
      <x:c r="P266" s="17" t="str">
        <x:v>Extremely rare</x:v>
      </x:c>
      <x:c r="Q266" s="17"/>
      <x:c r="R266" s="17"/>
      <x:c r="S266" s="17"/>
      <x:c r="T266" s="17"/>
      <x:c r="U266" s="9" t="str">
        <x:v>Brainstorming candidate. Geometry, cost, mass, mounting, carrying and replacement behavior remain open. Part belongs to a finite physical companion.</x:v>
      </x:c>
      <x:c r="V266" s="11" t="str">
        <x:v>legger; leger; companion replacement part; ancient salvage plasteel nanotube ballistic</x:v>
      </x:c>
      <x:c r="W266" s="9" t="str">
        <x:v>Author Legger slings/chassis/replacement/iron/ancient-armor brainstorming October 14, 2026; Docs/WORLD_BASIS.md#the-legger; specific item proposal.</x:v>
      </x:c>
      <x:c r="X266" s="4" t="str">
        <x:v>Armor</x:v>
      </x:c>
      <x:c r="Y266" s="4" t="str">
        <x:v>Finished item</x:v>
      </x:c>
      <x:c r="Z266" s="4" t="str">
        <x:v>Ancient technology</x:v>
      </x:c>
      <x:c r="AA266" s="4" t="str">
        <x:v>Protection</x:v>
      </x:c>
      <x:c r="AB266" s="4" t="str">
        <x:v>Ancient composite</x:v>
      </x:c>
      <x:c r="AC266" s="4" t="str">
        <x:v>Panel</x:v>
      </x:c>
      <x:c r="AD266" s="4" t="str">
        <x:v>Proposal</x:v>
      </x:c>
      <x:c r="AE266" s="4" t="str">
        <x:f>LOWER(A266&amp;"; "&amp;B266&amp;"; "&amp;D266&amp;"; "&amp;E266&amp;"; "&amp;X266&amp;"; "&amp;Y266&amp;"; "&amp;Z266&amp;"; "&amp;AA266&amp;"; "&amp;AB266&amp;"; "&amp;AC266&amp;"; "&amp;AD266&amp;"; "&amp;V266&amp;"; "&amp;C266&amp;"; "&amp;AH266&amp;"; "&amp;AI266)</x:f>
        <x:v>proposal.legger.nanocarbon_panel; ancient nanocarbon armor panel; legger armor; legger ancient replacement; legger armor; finished item; ancient technology; protection; ancient composite; panel; proposal; legger; leger; companion replacement part; ancient salvage plasteel nanotube ballistic; not applicable; unassigned; finished item</x:v>
      </x:c>
      <x:c r="AF266"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6" s="4" t="str">
        <x:v>Finished endpoint; material tier is not applicable. Input tiers belong to the chosen recipe.</x:v>
      </x:c>
      <x:c r="AH266" s="4" t="str">
        <x:v>Unassigned</x:v>
      </x:c>
      <x:c r="AI266" s="4" t="str">
        <x:v>Finished item</x:v>
      </x:c>
      <x:c r="AJ266" s="4" t="n">
        <x:f>COUNTIFS('Material routes'!$D$6:$D$2205,A266,'Material routes'!$C$6:$C$2205,"Output")</x:f>
        <x:v>0</x:v>
      </x:c>
      <x:c r="AK266" s="4" t="n">
        <x:f>SUM(COUNTIFS('Material routes'!$D$6:$D$2205,A266,'Material routes'!$C$6:$C$2205,"Ingredient candidate"),COUNTIFS('Material routes'!$D$6:$D$2205,A266,'Material routes'!$C$6:$C$2205,"Consumed input"),COUNTIFS('Material routes'!$D$6:$D$2205,A266,'Material routes'!$C$6:$C$2205,"Contained input"),COUNTIFS('Material routes'!$D$6:$D$2205,A266,'Material routes'!$C$6:$C$2205,"Transform input"))</x:f>
        <x:v>0</x:v>
      </x:c>
      <x:c r="AL266" s="4" t="n">
        <x:f>COUNTIFS('Material routes'!$D$6:$D$2205,A266,'Material routes'!$C$6:$C$2205,"Tool candidate")</x:f>
        <x:v>0</x:v>
      </x:c>
      <x:c r="AM266" s="4" t="str">
        <x:f>IF(AJ266&gt;0,"Route listed; review status/completeness",IF(C266="T0","Raw entry feed; no production route","No production route listed"))</x:f>
        <x:v>No production route listed</x:v>
      </x:c>
      <x:c r="AN266" s="14" t="n">
        <x:f>IF(C266="T0",0,IF(C266="T1",1,IF(C266="T2",2,IF(C266="T3",3,IF(C266="T4",4,IF(C266="Unassigned",98,99))))))</x:f>
        <x:v>99</x:v>
      </x:c>
      <x:c r="AZ266"/>
      <x:c r="BA266"/>
      <x:c r="BB266"/>
      <x:c r="BC266"/>
      <x:c r="BD266"/>
      <x:c r="BE266"/>
      <x:c r="BF266"/>
      <x:c r="BG266"/>
      <x:c r="BH266"/>
      <x:c r="BI266"/>
      <x:c r="BJ266"/>
      <x:c r="BK266"/>
      <x:c r="BL266"/>
      <x:c r="BM266"/>
      <x:c r="BN266"/>
      <x:c r="BO266"/>
      <x:c r="BP266"/>
      <x:c r="BQ266"/>
      <x:c r="BR266"/>
      <x:c r="BS266"/>
      <x:c r="BT266"/>
      <x:c r="BU266"/>
      <x:c r="BV266"/>
      <x:c r="BW266"/>
      <x:c r="BX266"/>
      <x:c r="BY266"/>
      <x:c r="BZ266"/>
      <x:c r="CA266"/>
      <x:c r="CB266"/>
      <x:c r="CC266"/>
    </x:row>
    <x:row r="267" ht="170" customHeight="1">
      <x:c r="A267" s="9" t="str">
        <x:v>proposal.legger.ancient_bearing</x:v>
      </x:c>
      <x:c r="B267" s="9" t="str">
        <x:v>Ancient bearing cassette</x:v>
      </x:c>
      <x:c r="C267" s="4" t="str">
        <x:v>Not applicable</x:v>
      </x:c>
      <x:c r="D267" s="9" t="str">
        <x:v>Ancient salvage</x:v>
      </x:c>
      <x:c r="E267" s="9" t="str">
        <x:v>Legger ancient replacement</x:v>
      </x:c>
      <x:c r="F267" s="9" t="str">
        <x:v>New proposal</x:v>
      </x:c>
      <x:c r="G267" s="9" t="inlineStr">
        <x:is>
          <x:t xml:space="preserve">Recovered precision bearing module considered for an appropriate joint. It is an extremely rare ancient recovery whose original function remains a working hypothesis. Condition, compatibility and safe operation are unknown; no contemporary reproduction is implied.</x:t>
        </x:is>
      </x:c>
      <x:c r="H267" s="9" t="str">
        <x:v>Legger fitment unresolved</x:v>
      </x:c>
      <x:c r="I267" s="9" t="str">
        <x:v>Legger attachment / replacement intended; physical cargo policy unchanged</x:v>
      </x:c>
      <x:c r="J267" s="13"/>
      <x:c r="K267" s="15"/>
      <x:c r="L267" s="9" t="str">
        <x:v>Extremely rare recovered technology; fitting and recovery method TBD</x:v>
      </x:c>
      <x:c r="M267" s="9" t="str">
        <x:v>No recipe authored. Reuse existing iron stock, biological materials, ceramic craft, lubricant and ancient-material families where appropriate.</x:v>
      </x:c>
      <x:c r="N267" s="9" t="str">
        <x:v>Not implemented</x:v>
      </x:c>
      <x:c r="O267" s="9" t="str">
        <x:v>Extremely rare; compatibility, remaining life and ability to service it are unknown. Material makeup unspecified.</x:v>
      </x:c>
      <x:c r="P267" s="17" t="str">
        <x:v>Extremely rare</x:v>
      </x:c>
      <x:c r="Q267" s="17"/>
      <x:c r="R267" s="17"/>
      <x:c r="S267" s="17"/>
      <x:c r="T267" s="17"/>
      <x:c r="U267" s="9" t="str">
        <x:v>Brainstorming candidate. Geometry, cost, mass, mounting, carrying and replacement behavior remain open. Part belongs to a finite physical companion.</x:v>
      </x:c>
      <x:c r="V267" s="11" t="str">
        <x:v>legger; leger; companion replacement part; ancient salvage plasteel nanotube ballistic</x:v>
      </x:c>
      <x:c r="W267" s="9" t="str">
        <x:v>Author Legger slings/chassis/replacement/iron/ancient-armor brainstorming October 14, 2026; Docs/WORLD_BASIS.md#the-legger; specific item proposal.</x:v>
      </x:c>
      <x:c r="X267" s="4" t="str">
        <x:v>Crafting component</x:v>
      </x:c>
      <x:c r="Y267" s="4" t="str">
        <x:v>Processed intermediate</x:v>
      </x:c>
      <x:c r="Z267" s="4" t="str">
        <x:v>Ancient technology</x:v>
      </x:c>
      <x:c r="AA267" s="4" t="str">
        <x:v>Equipment repair</x:v>
      </x:c>
      <x:c r="AB267" s="4" t="str">
        <x:v>Unresolved</x:v>
      </x:c>
      <x:c r="AC267" s="4" t="str">
        <x:v>Assembly</x:v>
      </x:c>
      <x:c r="AD267" s="4" t="str">
        <x:v>Proposal</x:v>
      </x:c>
      <x:c r="AE267" s="4" t="str">
        <x:f>LOWER(A267&amp;"; "&amp;B267&amp;"; "&amp;D267&amp;"; "&amp;E267&amp;"; "&amp;X267&amp;"; "&amp;Y267&amp;"; "&amp;Z267&amp;"; "&amp;AA267&amp;"; "&amp;AB267&amp;"; "&amp;AC267&amp;"; "&amp;AD267&amp;"; "&amp;V267&amp;"; "&amp;C267&amp;"; "&amp;AH267&amp;"; "&amp;AI267)</x:f>
        <x:v>proposal.legger.ancient_bearing; ancient bearing cassette; ancient salvage; legger ancient replacement; crafting component; processed intermediate; ancient technology; equipment repair; unresolved; assembly; proposal; legger; leger; companion replacement part; ancient salvage plasteel nanotube ballistic; not applicable; unassigned; component</x:v>
      </x:c>
      <x:c r="AF267" s="4" t="str">
        <x:v>Specific parts and protective properties remain proposals; ancient-material scarcity is established author direction. Lore category review: Crafting components -&gt; Ancient salvage. Classification only; original item status and tier retained.</x:v>
      </x:c>
      <x:c r="AG267"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7" s="4" t="str">
        <x:v>Unassigned</x:v>
      </x:c>
      <x:c r="AI267" s="4" t="str">
        <x:v>Component</x:v>
      </x:c>
      <x:c r="AJ267" s="4" t="n">
        <x:f>COUNTIFS('Material routes'!$D$6:$D$2205,A267,'Material routes'!$C$6:$C$2205,"Output")</x:f>
        <x:v>0</x:v>
      </x:c>
      <x:c r="AK267" s="4" t="n">
        <x:f>SUM(COUNTIFS('Material routes'!$D$6:$D$2205,A267,'Material routes'!$C$6:$C$2205,"Ingredient candidate"),COUNTIFS('Material routes'!$D$6:$D$2205,A267,'Material routes'!$C$6:$C$2205,"Consumed input"),COUNTIFS('Material routes'!$D$6:$D$2205,A267,'Material routes'!$C$6:$C$2205,"Contained input"),COUNTIFS('Material routes'!$D$6:$D$2205,A267,'Material routes'!$C$6:$C$2205,"Transform input"))</x:f>
        <x:v>0</x:v>
      </x:c>
      <x:c r="AL267" s="4" t="n">
        <x:f>COUNTIFS('Material routes'!$D$6:$D$2205,A267,'Material routes'!$C$6:$C$2205,"Tool candidate")</x:f>
        <x:v>0</x:v>
      </x:c>
      <x:c r="AM267" s="4" t="str">
        <x:f>IF(AJ267&gt;0,"Route listed; review status/completeness",IF(C267="T0","Raw entry feed; no production route","No production route listed"))</x:f>
        <x:v>No production route listed</x:v>
      </x:c>
      <x:c r="AN267" s="14" t="n">
        <x:f>IF(C267="T0",0,IF(C267="T1",1,IF(C267="T2",2,IF(C267="T3",3,IF(C267="T4",4,IF(C267="Unassigned",98,99))))))</x:f>
        <x:v>99</x:v>
      </x:c>
      <x:c r="AZ267"/>
      <x:c r="BA267"/>
      <x:c r="BB267"/>
      <x:c r="BC267"/>
      <x:c r="BD267"/>
      <x:c r="BE267"/>
      <x:c r="BF267"/>
      <x:c r="BG267"/>
      <x:c r="BH267"/>
      <x:c r="BI267"/>
      <x:c r="BJ267"/>
      <x:c r="BK267"/>
      <x:c r="BL267"/>
      <x:c r="BM267"/>
      <x:c r="BN267"/>
      <x:c r="BO267"/>
      <x:c r="BP267"/>
      <x:c r="BQ267"/>
      <x:c r="BR267"/>
      <x:c r="BS267"/>
      <x:c r="BT267"/>
      <x:c r="BU267"/>
      <x:c r="BV267"/>
      <x:c r="BW267"/>
      <x:c r="BX267"/>
      <x:c r="BY267"/>
      <x:c r="BZ267"/>
      <x:c r="CA267"/>
      <x:c r="CB267"/>
      <x:c r="CC267"/>
    </x:row>
    <x:row r="268" ht="115" customHeight="1">
      <x:c r="A268" s="9" t="str">
        <x:v>proposal.legger.ballistic_guard</x:v>
      </x:c>
      <x:c r="B268" s="9" t="str">
        <x:v>Ancient ballistic-deflecting guard</x:v>
      </x:c>
      <x:c r="C268" s="4" t="str">
        <x:v>Not applicable</x:v>
      </x:c>
      <x:c r="D268" s="9" t="inlineStr">
        <x:is>
          <x:t xml:space="preserve">Legger armor</x:t>
        </x:is>
      </x:c>
      <x:c r="E268" s="9" t="str">
        <x:v>Legger ancient replacement</x:v>
      </x:c>
      <x:c r="F268" s="9" t="str">
        <x:v>New proposal</x:v>
      </x:c>
      <x:c r="G268" s="9" t="inlineStr">
        <x:is>
          <x:t xml:space="preserve">Working concept for plasteel/nanocarbon armor intended to resist or deflect projectiles. It is intended to cover or guard the recorded area, with fit, coverage and protective performance still requiring qualification.</x:t>
        </x:is>
      </x:c>
      <x:c r="H268" s="9" t="str">
        <x:v>Legger fitment unresolved</x:v>
      </x:c>
      <x:c r="I268" s="9" t="str">
        <x:v>Legger attachment / replacement intended; physical cargo policy unchanged</x:v>
      </x:c>
      <x:c r="J268" s="13"/>
      <x:c r="K268" s="15"/>
      <x:c r="L268" s="9" t="str">
        <x:v>Extremely rare recovered technology; fitting and recovery method TBD</x:v>
      </x:c>
      <x:c r="M268" s="9" t="str">
        <x:v>No recipe authored. Reuse existing iron stock, biological materials, ceramic craft, lubricant and ancient-material families where appropriate.</x:v>
      </x:c>
      <x:c r="N268" s="9" t="str">
        <x:v>Not implemented</x:v>
      </x:c>
      <x:c r="O268" s="9" t="str">
        <x:v>Extremely rare. Passive layering, geometry or another mechanism is undecided; no force-field system, guaranteed deflection or armor statistics established.</x:v>
      </x:c>
      <x:c r="P268" s="17" t="str">
        <x:v>Extremely rare</x:v>
      </x:c>
      <x:c r="Q268" s="17"/>
      <x:c r="R268" s="17"/>
      <x:c r="S268" s="17"/>
      <x:c r="T268" s="17"/>
      <x:c r="U268" s="9" t="str">
        <x:v>Brainstorming candidate. Geometry, cost, mass, mounting, carrying and replacement behavior remain open. Part belongs to a finite physical companion.</x:v>
      </x:c>
      <x:c r="V268" s="11" t="str">
        <x:v>legger; leger; companion replacement part; ancient salvage plasteel nanotube ballistic</x:v>
      </x:c>
      <x:c r="W268" s="9" t="str">
        <x:v>Author Legger slings/chassis/replacement/iron/ancient-armor brainstorming October 14, 2026; Docs/WORLD_BASIS.md#the-legger; specific item proposal.</x:v>
      </x:c>
      <x:c r="X268" s="4" t="str">
        <x:v>Armor</x:v>
      </x:c>
      <x:c r="Y268" s="4" t="str">
        <x:v>Finished item</x:v>
      </x:c>
      <x:c r="Z268" s="4" t="str">
        <x:v>Ancient technology</x:v>
      </x:c>
      <x:c r="AA268" s="4" t="str">
        <x:v>Protection</x:v>
      </x:c>
      <x:c r="AB268" s="4" t="str">
        <x:v>Ancient composite</x:v>
      </x:c>
      <x:c r="AC268" s="4" t="str">
        <x:v>Panel</x:v>
      </x:c>
      <x:c r="AD268" s="4" t="str">
        <x:v>Proposal</x:v>
      </x:c>
      <x:c r="AE268" s="4" t="str">
        <x:f>LOWER(A268&amp;"; "&amp;B268&amp;"; "&amp;D268&amp;"; "&amp;E268&amp;"; "&amp;X268&amp;"; "&amp;Y268&amp;"; "&amp;Z268&amp;"; "&amp;AA268&amp;"; "&amp;AB268&amp;"; "&amp;AC268&amp;"; "&amp;AD268&amp;"; "&amp;V268&amp;"; "&amp;C268&amp;"; "&amp;AH268&amp;"; "&amp;AI268)</x:f>
        <x:v>proposal.legger.ballistic_guard; ancient ballistic-deflecting guard; legger armor; legger ancient replacement; legger armor; finished item; ancient technology; protection; ancient composite; panel; proposal; legger; leger; companion replacement part; ancient salvage plasteel nanotube ballistic; not applicable; unassigned; finished item</x:v>
      </x:c>
      <x:c r="AF268"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8" s="4" t="str">
        <x:v>Finished endpoint; material tier is not applicable. Input tiers belong to the chosen recipe.</x:v>
      </x:c>
      <x:c r="AH268" s="4" t="str">
        <x:v>Unassigned</x:v>
      </x:c>
      <x:c r="AI268" s="4" t="str">
        <x:v>Finished item</x:v>
      </x:c>
      <x:c r="AJ268" s="4" t="n">
        <x:f>COUNTIFS('Material routes'!$D$6:$D$2205,A268,'Material routes'!$C$6:$C$2205,"Output")</x:f>
        <x:v>0</x:v>
      </x:c>
      <x:c r="AK268" s="4" t="n">
        <x:f>SUM(COUNTIFS('Material routes'!$D$6:$D$2205,A268,'Material routes'!$C$6:$C$2205,"Ingredient candidate"),COUNTIFS('Material routes'!$D$6:$D$2205,A268,'Material routes'!$C$6:$C$2205,"Consumed input"),COUNTIFS('Material routes'!$D$6:$D$2205,A268,'Material routes'!$C$6:$C$2205,"Contained input"),COUNTIFS('Material routes'!$D$6:$D$2205,A268,'Material routes'!$C$6:$C$2205,"Transform input"))</x:f>
        <x:v>0</x:v>
      </x:c>
      <x:c r="AL268" s="4" t="n">
        <x:f>COUNTIFS('Material routes'!$D$6:$D$2205,A268,'Material routes'!$C$6:$C$2205,"Tool candidate")</x:f>
        <x:v>0</x:v>
      </x:c>
      <x:c r="AM268" s="4" t="str">
        <x:f>IF(AJ268&gt;0,"Route listed; review status/completeness",IF(C268="T0","Raw entry feed; no production route","No production route listed"))</x:f>
        <x:v>No production route listed</x:v>
      </x:c>
      <x:c r="AN268" s="14" t="n">
        <x:f>IF(C268="T0",0,IF(C268="T1",1,IF(C268="T2",2,IF(C268="T3",3,IF(C268="T4",4,IF(C268="Unassigned",98,99))))))</x:f>
        <x:v>99</x:v>
      </x:c>
      <x:c r="AZ268"/>
      <x:c r="BA268"/>
      <x:c r="BB268"/>
      <x:c r="BC268"/>
      <x:c r="BD268"/>
      <x:c r="BE268"/>
      <x:c r="BF268"/>
      <x:c r="BG268"/>
      <x:c r="BH268"/>
      <x:c r="BI268"/>
      <x:c r="BJ268"/>
      <x:c r="BK268"/>
      <x:c r="BL268"/>
      <x:c r="BM268"/>
      <x:c r="BN268"/>
      <x:c r="BO268"/>
      <x:c r="BP268"/>
      <x:c r="BQ268"/>
      <x:c r="BR268"/>
      <x:c r="BS268"/>
      <x:c r="BT268"/>
      <x:c r="BU268"/>
      <x:c r="BV268"/>
      <x:c r="BW268"/>
      <x:c r="BX268"/>
      <x:c r="BY268"/>
      <x:c r="BZ268"/>
      <x:c r="CA268"/>
      <x:c r="CB268"/>
      <x:c r="CC268"/>
    </x:row>
    <x:row r="269" ht="115" customHeight="1">
      <x:c r="A269" s="9" t="str">
        <x:v>proposal.legger.pannier_frame</x:v>
      </x:c>
      <x:c r="B269" s="9" t="str">
        <x:v>Legger side-pannier frame</x:v>
      </x:c>
      <x:c r="C269" s="4" t="str">
        <x:v>Not applicable</x:v>
      </x:c>
      <x:c r="D269" s="9" t="inlineStr">
        <x:is>
          <x:t xml:space="preserve">Legger attachments</x:t>
        </x:is>
      </x:c>
      <x:c r="E269" s="9" t="str">
        <x:v>Legger cargo rigging</x:v>
      </x:c>
      <x:c r="F269" s="9" t="str">
        <x:v>New proposal</x:v>
      </x:c>
      <x:c r="G269" s="9" t="inlineStr">
        <x:is>
          <x:t xml:space="preserve">Side-mounted support for a matched bounded cargo container. It is intended to retain or separate physical cargo at its actual location; it does not create remote storage or extra carrying capacity.</x:t>
        </x:is>
      </x:c>
      <x:c r="H269" s="9" t="str">
        <x:v>Legger fitment unresolved</x:v>
      </x:c>
      <x:c r="I269" s="9" t="str">
        <x:v>Legger attachment / replacement intended; physical cargo policy unchanged</x:v>
      </x:c>
      <x:c r="J269" s="13"/>
      <x:c r="K269" s="15"/>
      <x:c r="L269" s="9" t="str">
        <x:v>Local craft, salvage or specialist trade; exact route TBD</x:v>
      </x:c>
      <x:c r="M269" s="9" t="str">
        <x:v>No recipe authored. Reuse existing iron stock, biological materials, ceramic craft, lubricant and ancient-material families where appropriate.</x:v>
      </x:c>
      <x:c r="N269" s="9" t="str">
        <x:v>Not implemented</x:v>
      </x:c>
      <x:c r="O269" s="9" t="str">
        <x:v>Side clearance, load placement and attachment remain open; distinct from a general cargo cradle.</x:v>
      </x:c>
      <x:c r="P269" s="17"/>
      <x:c r="Q269" s="17"/>
      <x:c r="R269" s="17"/>
      <x:c r="S269" s="17"/>
      <x:c r="T269" s="17"/>
      <x:c r="U269" s="9" t="str">
        <x:v>Brainstorming candidate. Geometry, cost, mass, mounting, carrying and replacement behavior remain open. Part belongs to a finite physical companion.</x:v>
      </x:c>
      <x:c r="V269" s="11" t="str">
        <x:v>equipment mounting; legger; leger; companion replacement part</x:v>
      </x:c>
      <x:c r="W269" s="9" t="str">
        <x:v>Author Legger slings/chassis/replacement/iron/ancient-armor brainstorming October 14, 2026; Docs/WORLD_BASIS.md#the-legger; specific item proposal.</x:v>
      </x:c>
      <x:c r="X269" s="4" t="str">
        <x:v>Carrier</x:v>
      </x:c>
      <x:c r="Y269" s="4" t="str">
        <x:v>Finished item</x:v>
      </x:c>
      <x:c r="Z269" s="4" t="str">
        <x:v>Manufactured / unresolved</x:v>
      </x:c>
      <x:c r="AA269" s="4" t="str">
        <x:v>Cargo organization</x:v>
      </x:c>
      <x:c r="AB269" s="4" t="str">
        <x:v>Metal</x:v>
      </x:c>
      <x:c r="AC269" s="4" t="str">
        <x:v>Assembly</x:v>
      </x:c>
      <x:c r="AD269" s="4" t="str">
        <x:v>Proposal</x:v>
      </x:c>
      <x:c r="AE269" s="4" t="str">
        <x:f>LOWER(A269&amp;"; "&amp;B269&amp;"; "&amp;D269&amp;"; "&amp;E269&amp;"; "&amp;X269&amp;"; "&amp;Y269&amp;"; "&amp;Z269&amp;"; "&amp;AA269&amp;"; "&amp;AB269&amp;"; "&amp;AC269&amp;"; "&amp;AD269&amp;"; "&amp;V269&amp;"; "&amp;C269&amp;"; "&amp;AH269&amp;"; "&amp;AI269)</x:f>
        <x:v>proposal.legger.pannier_frame; legger side-pannier frame; legger attachments; legger cargo rigging; carrier; finished item; manufactured / unresolved; cargo organization; metal; assembly; proposal; equipment mounting; legger; leger; companion replacement part; not applicable; t4; finished item</x:v>
      </x:c>
      <x:c r="AF269"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9" s="4" t="str">
        <x:v>Finished endpoint; material tier is not applicable. Input tiers belong to the chosen recipe.</x:v>
      </x:c>
      <x:c r="AH269" s="4" t="str">
        <x:v>T4</x:v>
      </x:c>
      <x:c r="AI269" s="4" t="str">
        <x:v>Finished item</x:v>
      </x:c>
      <x:c r="AJ269" s="4" t="n">
        <x:f>COUNTIFS('Material routes'!$D$6:$D$2205,A269,'Material routes'!$C$6:$C$2205,"Output")</x:f>
        <x:v>1</x:v>
      </x:c>
      <x:c r="AK269" s="4" t="n">
        <x:f>SUM(COUNTIFS('Material routes'!$D$6:$D$2205,A269,'Material routes'!$C$6:$C$2205,"Ingredient candidate"),COUNTIFS('Material routes'!$D$6:$D$2205,A269,'Material routes'!$C$6:$C$2205,"Consumed input"),COUNTIFS('Material routes'!$D$6:$D$2205,A269,'Material routes'!$C$6:$C$2205,"Contained input"),COUNTIFS('Material routes'!$D$6:$D$2205,A269,'Material routes'!$C$6:$C$2205,"Transform input"))</x:f>
        <x:v>0</x:v>
      </x:c>
      <x:c r="AL269" s="4" t="n">
        <x:f>COUNTIFS('Material routes'!$D$6:$D$2205,A269,'Material routes'!$C$6:$C$2205,"Tool candidate")</x:f>
        <x:v>0</x:v>
      </x:c>
      <x:c r="AM269" s="4" t="str">
        <x:f>IF(AJ269&gt;0,"Route listed; review status/completeness",IF(C269="T0","Raw entry feed; no production route","No production route listed"))</x:f>
        <x:v>Route listed; review status/completeness</x:v>
      </x:c>
      <x:c r="AN269" s="14" t="n">
        <x:f>IF(C269="T0",0,IF(C269="T1",1,IF(C269="T2",2,IF(C269="T3",3,IF(C269="T4",4,IF(C269="Unassigned",98,99))))))</x:f>
        <x:v>99</x:v>
      </x:c>
      <x:c r="AZ269"/>
      <x:c r="BA269"/>
      <x:c r="BB269"/>
      <x:c r="BC269"/>
      <x:c r="BD269"/>
      <x:c r="BE269"/>
      <x:c r="BF269"/>
      <x:c r="BG269"/>
      <x:c r="BH269"/>
      <x:c r="BI269"/>
      <x:c r="BJ269"/>
      <x:c r="BK269"/>
      <x:c r="BL269"/>
      <x:c r="BM269"/>
      <x:c r="BN269"/>
      <x:c r="BO269"/>
      <x:c r="BP269"/>
      <x:c r="BQ269"/>
      <x:c r="BR269"/>
      <x:c r="BS269"/>
      <x:c r="BT269"/>
      <x:c r="BU269"/>
      <x:c r="BV269"/>
      <x:c r="BW269"/>
      <x:c r="BX269"/>
      <x:c r="BY269"/>
      <x:c r="BZ269"/>
      <x:c r="CA269"/>
      <x:c r="CB269"/>
      <x:c r="CC269"/>
    </x:row>
    <x:row r="270" ht="115" customHeight="1">
      <x:c r="A270" s="9" t="str">
        <x:v>proposal.legger.sample_rack</x:v>
      </x:c>
      <x:c r="B270" s="9" t="str">
        <x:v>Legger sample-vial rack</x:v>
      </x:c>
      <x:c r="C270" s="4" t="str">
        <x:v>Not applicable</x:v>
      </x:c>
      <x:c r="D270" s="9" t="inlineStr">
        <x:is>
          <x:t xml:space="preserve">Legger attachments</x:t>
        </x:is>
      </x:c>
      <x:c r="E270" s="9" t="str">
        <x:v>Legger cargo rigging</x:v>
      </x:c>
      <x:c r="F270" s="9" t="str">
        <x:v>New proposal</x:v>
      </x:c>
      <x:c r="G270" s="9" t="inlineStr">
        <x:is>
          <x:t xml:space="preserve">Fitted rack holding existing separately sealed sample vessels. It is intended to retain or separate physical cargo at its actual location; it does not create remote storage or extra carrying capacity.</x:t>
        </x:is>
      </x:c>
      <x:c r="H270" s="9" t="str">
        <x:v>Legger fitment unresolved</x:v>
      </x:c>
      <x:c r="I270" s="9" t="str">
        <x:v>Legger attachment / replacement intended; physical cargo policy unchanged</x:v>
      </x:c>
      <x:c r="J270" s="13"/>
      <x:c r="K270" s="15"/>
      <x:c r="L270" s="9" t="str">
        <x:v>Local craft, salvage or specialist trade; exact route TBD</x:v>
      </x:c>
      <x:c r="M270" s="9" t="str">
        <x:v>No recipe authored. Reuse existing iron stock, biological materials, ceramic craft, lubricant and ancient-material families where appropriate.</x:v>
      </x:c>
      <x:c r="N270" s="9" t="str">
        <x:v>Not implemented</x:v>
      </x:c>
      <x:c r="O270" s="9" t="str">
        <x:v>Rack geometry, shock isolation and chemistry segregation TBD; vials remain separately counted.</x:v>
      </x:c>
      <x:c r="P270" s="17"/>
      <x:c r="Q270" s="17"/>
      <x:c r="R270" s="17"/>
      <x:c r="S270" s="17"/>
      <x:c r="T270" s="17"/>
      <x:c r="U270" s="9" t="str">
        <x:v>Brainstorming candidate. Geometry, cost, mass, mounting, carrying and replacement behavior remain open. Part belongs to a finite physical companion.</x:v>
      </x:c>
      <x:c r="V270" s="11" t="str">
        <x:v>legger; leger; companion replacement part</x:v>
      </x:c>
      <x:c r="W270" s="9" t="str">
        <x:v>Author Legger slings/chassis/replacement/iron/ancient-armor brainstorming October 14, 2026; Docs/WORLD_BASIS.md#the-legger; specific item proposal.</x:v>
      </x:c>
      <x:c r="X270" s="4" t="str">
        <x:v>Carrier</x:v>
      </x:c>
      <x:c r="Y270" s="4" t="str">
        <x:v>Finished item</x:v>
      </x:c>
      <x:c r="Z270" s="4" t="str">
        <x:v>Manufactured / unresolved</x:v>
      </x:c>
      <x:c r="AA270" s="4" t="str">
        <x:v>Cargo organization</x:v>
      </x:c>
      <x:c r="AB270" s="4" t="str">
        <x:v>Mixed / unresolved</x:v>
      </x:c>
      <x:c r="AC270" s="4" t="str">
        <x:v>Assembly</x:v>
      </x:c>
      <x:c r="AD270" s="4" t="str">
        <x:v>Proposal</x:v>
      </x:c>
      <x:c r="AE270" s="4" t="str">
        <x:f>LOWER(A270&amp;"; "&amp;B270&amp;"; "&amp;D270&amp;"; "&amp;E270&amp;"; "&amp;X270&amp;"; "&amp;Y270&amp;"; "&amp;Z270&amp;"; "&amp;AA270&amp;"; "&amp;AB270&amp;"; "&amp;AC270&amp;"; "&amp;AD270&amp;"; "&amp;V270&amp;"; "&amp;C270&amp;"; "&amp;AH270&amp;"; "&amp;AI270)</x:f>
        <x:v>proposal.legger.sample_rack; legger sample-vial rack; legger attachments; legger cargo rigging; carrier; finished item; manufactured / unresolved; cargo organization; mixed / unresolved; assembly; proposal; legger; leger; companion replacement part; not applicable; unassigned; finished item</x:v>
      </x:c>
      <x:c r="AF270"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0" s="4" t="str">
        <x:v>Finished endpoint; material tier is not applicable. Input tiers belong to the chosen recipe.</x:v>
      </x:c>
      <x:c r="AH270" s="4" t="str">
        <x:v>Unassigned</x:v>
      </x:c>
      <x:c r="AI270" s="4" t="str">
        <x:v>Finished item</x:v>
      </x:c>
      <x:c r="AJ270" s="4" t="n">
        <x:f>COUNTIFS('Material routes'!$D$6:$D$2205,A270,'Material routes'!$C$6:$C$2205,"Output")</x:f>
        <x:v>1</x:v>
      </x:c>
      <x:c r="AK270" s="4" t="n">
        <x:f>SUM(COUNTIFS('Material routes'!$D$6:$D$2205,A270,'Material routes'!$C$6:$C$2205,"Ingredient candidate"),COUNTIFS('Material routes'!$D$6:$D$2205,A270,'Material routes'!$C$6:$C$2205,"Consumed input"),COUNTIFS('Material routes'!$D$6:$D$2205,A270,'Material routes'!$C$6:$C$2205,"Contained input"),COUNTIFS('Material routes'!$D$6:$D$2205,A270,'Material routes'!$C$6:$C$2205,"Transform input"))</x:f>
        <x:v>0</x:v>
      </x:c>
      <x:c r="AL270" s="4" t="n">
        <x:f>COUNTIFS('Material routes'!$D$6:$D$2205,A270,'Material routes'!$C$6:$C$2205,"Tool candidate")</x:f>
        <x:v>0</x:v>
      </x:c>
      <x:c r="AM270" s="4" t="str">
        <x:f>IF(AJ270&gt;0,"Route listed; review status/completeness",IF(C270="T0","Raw entry feed; no production route","No production route listed"))</x:f>
        <x:v>Route listed; review status/completeness</x:v>
      </x:c>
      <x:c r="AN270" s="14" t="n">
        <x:f>IF(C270="T0",0,IF(C270="T1",1,IF(C270="T2",2,IF(C270="T3",3,IF(C270="T4",4,IF(C270="Unassigned",98,99))))))</x:f>
        <x:v>99</x:v>
      </x:c>
      <x:c r="AZ270"/>
      <x:c r="BA270"/>
      <x:c r="BB270"/>
      <x:c r="BC270"/>
      <x:c r="BD270"/>
      <x:c r="BE270"/>
      <x:c r="BF270"/>
      <x:c r="BG270"/>
      <x:c r="BH270"/>
      <x:c r="BI270"/>
      <x:c r="BJ270"/>
      <x:c r="BK270"/>
      <x:c r="BL270"/>
      <x:c r="BM270"/>
      <x:c r="BN270"/>
      <x:c r="BO270"/>
      <x:c r="BP270"/>
      <x:c r="BQ270"/>
      <x:c r="BR270"/>
      <x:c r="BS270"/>
      <x:c r="BT270"/>
      <x:c r="BU270"/>
      <x:c r="BV270"/>
      <x:c r="BW270"/>
      <x:c r="BX270"/>
      <x:c r="BY270"/>
      <x:c r="BZ270"/>
      <x:c r="CA270"/>
      <x:c r="CB270"/>
      <x:c r="CC270"/>
    </x:row>
    <x:row r="271" ht="115" customHeight="1">
      <x:c r="A271" s="9" t="str">
        <x:v>proposal.legger.ore_bin</x:v>
      </x:c>
      <x:c r="B271" s="9" t="str">
        <x:v>Legger removable ore bin</x:v>
      </x:c>
      <x:c r="C271" s="4" t="str">
        <x:v>Not applicable</x:v>
      </x:c>
      <x:c r="D271" s="9" t="inlineStr">
        <x:is>
          <x:t xml:space="preserve">Legger attachments</x:t>
        </x:is>
      </x:c>
      <x:c r="E271" s="9" t="str">
        <x:v>Legger cargo rigging</x:v>
      </x:c>
      <x:c r="F271" s="9" t="str">
        <x:v>New proposal</x:v>
      </x:c>
      <x:c r="G271" s="9" t="inlineStr">
        <x:is>
          <x:t xml:space="preserve">Removable rigid bin for selected bulk mineral cargo. It is intended to retain or separate physical cargo at its actual location; it does not create remote storage or extra carrying capacity.</x:t>
        </x:is>
      </x:c>
      <x:c r="H271" s="9" t="str">
        <x:v>Legger fitment unresolved</x:v>
      </x:c>
      <x:c r="I271" s="9" t="str">
        <x:v>Legger attachment / replacement intended; physical cargo policy unchanged</x:v>
      </x:c>
      <x:c r="J271" s="13"/>
      <x:c r="K271" s="15"/>
      <x:c r="L271" s="9" t="str">
        <x:v>Local craft, salvage or specialist trade; exact route TBD</x:v>
      </x:c>
      <x:c r="M271" s="9" t="str">
        <x:v>No recipe authored. Reuse existing iron stock, biological materials, ceramic craft, lubricant and ancient-material families where appropriate.</x:v>
      </x:c>
      <x:c r="N271" s="9" t="str">
        <x:v>Not implemented</x:v>
      </x:c>
      <x:c r="O271" s="9" t="str">
        <x:v>Volume and load limit undefined; remains physical Legger cargo, not extra abstract inventory.</x:v>
      </x:c>
      <x:c r="P271" s="17"/>
      <x:c r="Q271" s="17"/>
      <x:c r="R271" s="17"/>
      <x:c r="S271" s="17"/>
      <x:c r="T271" s="17"/>
      <x:c r="U271" s="9" t="str">
        <x:v>Brainstorming candidate. Geometry, cost, mass, mounting, carrying and replacement behavior remain open. Part belongs to a finite physical companion.</x:v>
      </x:c>
      <x:c r="V271" s="11" t="str">
        <x:v>legger; leger; companion replacement part</x:v>
      </x:c>
      <x:c r="W271" s="9" t="str">
        <x:v>Author Legger slings/chassis/replacement/iron/ancient-armor brainstorming October 14, 2026; Docs/WORLD_BASIS.md#the-legger; specific item proposal.</x:v>
      </x:c>
      <x:c r="X271" s="4" t="str">
        <x:v>Container</x:v>
      </x:c>
      <x:c r="Y271" s="4" t="str">
        <x:v>Finished item</x:v>
      </x:c>
      <x:c r="Z271" s="4" t="str">
        <x:v>Manufactured / unresolved</x:v>
      </x:c>
      <x:c r="AA271" s="4" t="str">
        <x:v>Cargo organization</x:v>
      </x:c>
      <x:c r="AB271" s="4" t="str">
        <x:v>Metal</x:v>
      </x:c>
      <x:c r="AC271" s="4" t="str">
        <x:v>Assembly</x:v>
      </x:c>
      <x:c r="AD271" s="4" t="str">
        <x:v>Proposal</x:v>
      </x:c>
      <x:c r="AE271" s="4" t="str">
        <x:f>LOWER(A271&amp;"; "&amp;B271&amp;"; "&amp;D271&amp;"; "&amp;E271&amp;"; "&amp;X271&amp;"; "&amp;Y271&amp;"; "&amp;Z271&amp;"; "&amp;AA271&amp;"; "&amp;AB271&amp;"; "&amp;AC271&amp;"; "&amp;AD271&amp;"; "&amp;V271&amp;"; "&amp;C271&amp;"; "&amp;AH271&amp;"; "&amp;AI271)</x:f>
        <x:v>proposal.legger.ore_bin; legger removable ore bin; legger attachments; legger cargo rigging; container; finished item; manufactured / unresolved; cargo organization; metal; assembly; proposal; legger; leger; companion replacement part; not applicable; t4; finished item</x:v>
      </x:c>
      <x:c r="AF271"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1" s="4" t="str">
        <x:v>Finished endpoint; material tier is not applicable. Input tiers belong to the chosen recipe.</x:v>
      </x:c>
      <x:c r="AH271" s="4" t="str">
        <x:v>T4</x:v>
      </x:c>
      <x:c r="AI271" s="4" t="str">
        <x:v>Finished item</x:v>
      </x:c>
      <x:c r="AJ271" s="4" t="n">
        <x:f>COUNTIFS('Material routes'!$D$6:$D$2205,A271,'Material routes'!$C$6:$C$2205,"Output")</x:f>
        <x:v>1</x:v>
      </x:c>
      <x:c r="AK271" s="4" t="n">
        <x:f>SUM(COUNTIFS('Material routes'!$D$6:$D$2205,A271,'Material routes'!$C$6:$C$2205,"Ingredient candidate"),COUNTIFS('Material routes'!$D$6:$D$2205,A271,'Material routes'!$C$6:$C$2205,"Consumed input"),COUNTIFS('Material routes'!$D$6:$D$2205,A271,'Material routes'!$C$6:$C$2205,"Contained input"),COUNTIFS('Material routes'!$D$6:$D$2205,A271,'Material routes'!$C$6:$C$2205,"Transform input"))</x:f>
        <x:v>0</x:v>
      </x:c>
      <x:c r="AL271" s="4" t="n">
        <x:f>COUNTIFS('Material routes'!$D$6:$D$2205,A271,'Material routes'!$C$6:$C$2205,"Tool candidate")</x:f>
        <x:v>0</x:v>
      </x:c>
      <x:c r="AM271" s="4" t="str">
        <x:f>IF(AJ271&gt;0,"Route listed; review status/completeness",IF(C271="T0","Raw entry feed; no production route","No production route listed"))</x:f>
        <x:v>Route listed; review status/completeness</x:v>
      </x:c>
      <x:c r="AN271" s="14" t="n">
        <x:f>IF(C271="T0",0,IF(C271="T1",1,IF(C271="T2",2,IF(C271="T3",3,IF(C271="T4",4,IF(C271="Unassigned",98,99))))))</x:f>
        <x:v>99</x:v>
      </x:c>
      <x:c r="AZ271"/>
      <x:c r="BA271"/>
      <x:c r="BB271"/>
      <x:c r="BC271"/>
      <x:c r="BD271"/>
      <x:c r="BE271"/>
      <x:c r="BF271"/>
      <x:c r="BG271"/>
      <x:c r="BH271"/>
      <x:c r="BI271"/>
      <x:c r="BJ271"/>
      <x:c r="BK271"/>
      <x:c r="BL271"/>
      <x:c r="BM271"/>
      <x:c r="BN271"/>
      <x:c r="BO271"/>
      <x:c r="BP271"/>
      <x:c r="BQ271"/>
      <x:c r="BR271"/>
      <x:c r="BS271"/>
      <x:c r="BT271"/>
      <x:c r="BU271"/>
      <x:c r="BV271"/>
      <x:c r="BW271"/>
      <x:c r="BX271"/>
      <x:c r="BY271"/>
      <x:c r="BZ271"/>
      <x:c r="CA271"/>
      <x:c r="CB271"/>
      <x:c r="CC271"/>
    </x:row>
    <x:row r="272" ht="170" customHeight="1">
      <x:c r="A272" s="9" t="str">
        <x:v>proposal.legger.long_load_clamp</x:v>
      </x:c>
      <x:c r="B272" s="9" t="str">
        <x:v>Legger long-load clamp</x:v>
      </x:c>
      <x:c r="C272" s="4" t="str">
        <x:v>T3</x:v>
      </x:c>
      <x:c r="D272" s="9" t="str">
        <x:v>Crafting components</x:v>
      </x:c>
      <x:c r="E272" s="9" t="str">
        <x:v>Legger cargo rigging</x:v>
      </x:c>
      <x:c r="F272" s="9" t="str">
        <x:v>New proposal</x:v>
      </x:c>
      <x:c r="G272" s="9" t="inlineStr">
        <x:is>
          <x:t xml:space="preserve">A matched clamp for carrying a long salvage member. It locates or retains a fitted item on a matching structure; mounting geometry and loads must be chosen together.</x:t>
        </x:is>
      </x:c>
      <x:c r="H272" s="9" t="str">
        <x:v>Legger fitment unresolved</x:v>
      </x:c>
      <x:c r="I272" s="9" t="str">
        <x:v>Legger attachment / replacement intended; physical cargo policy unchanged</x:v>
      </x:c>
      <x:c r="J272" s="13"/>
      <x:c r="K272" s="15"/>
      <x:c r="L272" s="9" t="str">
        <x:v>Local craft, salvage or specialist trade; exact route TBD</x:v>
      </x:c>
      <x:c r="M272" s="9" t="str">
        <x:v>No recipe authored. Reuse existing iron stock, biological materials, ceramic craft, lubricant and ancient-material families where appropriate.</x:v>
      </x:c>
      <x:c r="N272" s="9" t="str">
        <x:v>Not implemented</x:v>
      </x:c>
      <x:c r="O272" s="9" t="str">
        <x:v>Must account for reach, balance and collision envelope; no automatic carrying of arbitrarily large objects.</x:v>
      </x:c>
      <x:c r="P272" s="17"/>
      <x:c r="Q272" s="17"/>
      <x:c r="R272" s="17"/>
      <x:c r="S272" s="17"/>
      <x:c r="T272" s="17"/>
      <x:c r="U272" s="9" t="str">
        <x:v>Brainstorming candidate. Geometry, cost, mass, mounting, carrying and replacement behavior remain open. Part belongs to a finite physical companion.</x:v>
      </x:c>
      <x:c r="V272" s="11" t="str">
        <x:v>cargo organization; legger; leger; companion replacement part</x:v>
      </x:c>
      <x:c r="W272" s="9" t="str">
        <x:v>Author Legger slings/chassis/replacement/iron/ancient-armor brainstorming October 14, 2026; Docs/WORLD_BASIS.md#the-legger; specific item proposal.</x:v>
      </x:c>
      <x:c r="X272" s="4" t="str">
        <x:v>Crafting component</x:v>
      </x:c>
      <x:c r="Y272" s="4" t="str">
        <x:v>Processed intermediate</x:v>
      </x:c>
      <x:c r="Z272" s="4" t="str">
        <x:v>Manufactured / unresolved</x:v>
      </x:c>
      <x:c r="AA272" s="4" t="str">
        <x:v>Equipment mounting</x:v>
      </x:c>
      <x:c r="AB272" s="4" t="str">
        <x:v>Metal</x:v>
      </x:c>
      <x:c r="AC272" s="4" t="str">
        <x:v>Solid part</x:v>
      </x:c>
      <x:c r="AD272" s="4" t="str">
        <x:v>Proposal</x:v>
      </x:c>
      <x:c r="AE272" s="4" t="str">
        <x:f>LOWER(A272&amp;"; "&amp;B272&amp;"; "&amp;D272&amp;"; "&amp;E272&amp;"; "&amp;X272&amp;"; "&amp;Y272&amp;"; "&amp;Z272&amp;"; "&amp;AA272&amp;"; "&amp;AB272&amp;"; "&amp;AC272&amp;"; "&amp;AD272&amp;"; "&amp;V272&amp;"; "&amp;C272&amp;"; "&amp;AH272&amp;"; "&amp;AI272)</x:f>
        <x:v>proposal.legger.long_load_clamp; legger long-load clamp; crafting components; legger cargo rigging; crafting component; processed intermediate; manufactured / unresolved; equipment mounting; metal; solid part; proposal; cargo organization; legger; leger; companion replacement part; t3; not applicable; component</x:v>
      </x:c>
      <x:c r="AF272" s="4" t="str">
        <x:v>Specific parts and protective properties remain proposals; ancient-material scarcity is established author direction.</x:v>
      </x:c>
      <x:c r="AG27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2" s="4" t="str">
        <x:v>Not applicable</x:v>
      </x:c>
      <x:c r="AI272" s="4" t="str">
        <x:v>Component</x:v>
      </x:c>
      <x:c r="AJ272" s="4" t="n">
        <x:f>COUNTIFS('Material routes'!$D$6:$D$2205,A272,'Material routes'!$C$6:$C$2205,"Output")</x:f>
        <x:v>1</x:v>
      </x:c>
      <x:c r="AK272" s="4" t="n">
        <x:f>SUM(COUNTIFS('Material routes'!$D$6:$D$2205,A272,'Material routes'!$C$6:$C$2205,"Ingredient candidate"),COUNTIFS('Material routes'!$D$6:$D$2205,A272,'Material routes'!$C$6:$C$2205,"Consumed input"),COUNTIFS('Material routes'!$D$6:$D$2205,A272,'Material routes'!$C$6:$C$2205,"Contained input"),COUNTIFS('Material routes'!$D$6:$D$2205,A272,'Material routes'!$C$6:$C$2205,"Transform input"))</x:f>
        <x:v>1</x:v>
      </x:c>
      <x:c r="AL272" s="4" t="n">
        <x:f>COUNTIFS('Material routes'!$D$6:$D$2205,A272,'Material routes'!$C$6:$C$2205,"Tool candidate")</x:f>
        <x:v>0</x:v>
      </x:c>
      <x:c r="AM272" s="4" t="str">
        <x:f>IF(AJ272&gt;0,"Route listed; review status/completeness",IF(C272="T0","Raw entry feed; no production route","No production route listed"))</x:f>
        <x:v>Route listed; review status/completeness</x:v>
      </x:c>
      <x:c r="AN272" s="14" t="n">
        <x:f>IF(C272="T0",0,IF(C272="T1",1,IF(C272="T2",2,IF(C272="T3",3,IF(C272="T4",4,IF(C272="Unassigned",98,99))))))</x:f>
        <x:v>3</x:v>
      </x:c>
      <x:c r="AZ272"/>
      <x:c r="BA272"/>
      <x:c r="BB272"/>
      <x:c r="BC272"/>
      <x:c r="BD272"/>
      <x:c r="BE272"/>
      <x:c r="BF272"/>
      <x:c r="BG272"/>
      <x:c r="BH272"/>
      <x:c r="BI272"/>
      <x:c r="BJ272"/>
      <x:c r="BK272"/>
      <x:c r="BL272"/>
      <x:c r="BM272"/>
      <x:c r="BN272"/>
      <x:c r="BO272"/>
      <x:c r="BP272"/>
      <x:c r="BQ272"/>
      <x:c r="BR272"/>
      <x:c r="BS272"/>
      <x:c r="BT272"/>
      <x:c r="BU272"/>
      <x:c r="BV272"/>
      <x:c r="BW272"/>
      <x:c r="BX272"/>
      <x:c r="BY272"/>
      <x:c r="BZ272"/>
      <x:c r="CA272"/>
      <x:c r="CB272"/>
      <x:c r="CC272"/>
    </x:row>
    <x:row r="273" ht="170" customHeight="1">
      <x:c r="A273" s="9"/>
      <x:c r="B273" s="9"/>
      <x:c r="C273" s="4"/>
      <x:c r="D273" s="9"/>
      <x:c r="E273" s="9"/>
      <x:c r="F273" s="9"/>
      <x:c r="G273" s="9"/>
      <x:c r="H273" s="9"/>
      <x:c r="I273" s="9"/>
      <x:c r="J273" s="13"/>
      <x:c r="M273" s="9"/>
      <x:c r="N273" s="9"/>
      <x:c r="O273" s="9"/>
      <x:c r="P273" s="17"/>
      <x:c r="V273" s="11"/>
      <x:c r="W273" s="9"/>
      <x:c r="X273" s="4"/>
      <x:c r="Y273" s="4"/>
      <x:c r="Z273" s="4"/>
      <x:c r="AA273" s="4"/>
      <x:c r="AB273" s="4"/>
      <x:c r="AC273" s="4"/>
      <x:c r="AD273" s="4"/>
      <x:c r="AE273" s="4"/>
      <x:c r="AF273" s="4"/>
      <x:c r="AG273" s="4"/>
      <x:c r="AH273" s="4"/>
      <x:c r="AI273" s="4"/>
      <x:c r="AJ273" s="4"/>
      <x:c r="AK273" s="4"/>
      <x:c r="AL273" s="4"/>
      <x:c r="AM273" s="4"/>
      <x:c r="AN273" s="14"/>
      <x:c r="AZ273"/>
      <x:c r="BA273"/>
      <x:c r="BB273"/>
      <x:c r="BC273"/>
      <x:c r="BD273"/>
      <x:c r="BE273"/>
      <x:c r="BF273"/>
      <x:c r="BG273"/>
      <x:c r="BH273"/>
      <x:c r="BI273"/>
      <x:c r="BJ273"/>
      <x:c r="BK273"/>
      <x:c r="BL273"/>
      <x:c r="BM273"/>
      <x:c r="BN273"/>
      <x:c r="BO273"/>
      <x:c r="BP273"/>
      <x:c r="BQ273"/>
      <x:c r="BR273"/>
      <x:c r="BS273"/>
      <x:c r="BT273"/>
      <x:c r="BU273"/>
      <x:c r="BV273"/>
      <x:c r="BW273"/>
      <x:c r="BX273"/>
      <x:c r="BY273"/>
      <x:c r="BZ273"/>
      <x:c r="CA273"/>
      <x:c r="CB273"/>
      <x:c r="CC273"/>
    </x:row>
    <x:row r="274" ht="115" customHeight="1">
      <x:c r="A274" s="9" t="str">
        <x:v>proposal.legger.board_bracket</x:v>
      </x:c>
      <x:c r="B274" s="9" t="str">
        <x:v>Legger dirtboard carrying bracket</x:v>
      </x:c>
      <x:c r="C274" s="4" t="str">
        <x:v>Not applicable</x:v>
      </x:c>
      <x:c r="D274" s="9" t="inlineStr">
        <x:is>
          <x:t xml:space="preserve">Salvage</x:t>
        </x:is>
      </x:c>
      <x:c r="E274" s="9" t="str">
        <x:v>Legger cargo rigging</x:v>
      </x:c>
      <x:c r="F274" s="9" t="str">
        <x:v>New proposal</x:v>
      </x:c>
      <x:c r="G274" s="9" t="inlineStr">
        <x:is>
          <x:t xml:space="preserve">Proposed stowage bracket for Booter four-wheel dirtboard. It is intended to retain or separate physical cargo at its actual location; it does not create remote storage or extra carrying capacity.</x:t>
        </x:is>
      </x:c>
      <x:c r="H274" s="9" t="str">
        <x:v>Legger fitment unresolved</x:v>
      </x:c>
      <x:c r="I274" s="9" t="str">
        <x:v>Legger attachment / replacement intended; physical cargo policy unchanged</x:v>
      </x:c>
      <x:c r="J274" s="13"/>
      <x:c r="K274" s="15"/>
      <x:c r="L274" s="9" t="str">
        <x:v>Local craft, salvage or specialist trade; exact route TBD</x:v>
      </x:c>
      <x:c r="M274" s="9" t="str">
        <x:v>No recipe authored. Reuse existing iron stock, biological materials, ceramic craft, lubricant and ancient-material families where appropriate.</x:v>
      </x:c>
      <x:c r="N274" s="9" t="str">
        <x:v>Not implemented</x:v>
      </x:c>
      <x:c r="O274" s="9" t="str">
        <x:v>Fits only after gear/companion carry design; adds no remote board access or capacity.</x:v>
      </x:c>
      <x:c r="P274" s="17"/>
      <x:c r="Q274" s="17"/>
      <x:c r="R274" s="17"/>
      <x:c r="S274" s="17"/>
      <x:c r="T274" s="17"/>
      <x:c r="U274" s="9" t="str">
        <x:v>Brainstorming candidate. Geometry, cost, mass, mounting, carrying and replacement behavior remain open. Part belongs to a finite physical companion.</x:v>
      </x:c>
      <x:c r="V274" s="11" t="str">
        <x:v>equipment mounting; legger; leger; companion replacement part</x:v>
      </x:c>
      <x:c r="W274" s="9" t="str">
        <x:v>Author Legger slings/chassis/replacement/iron/ancient-armor brainstorming October 14, 2026; Docs/WORLD_BASIS.md#the-legger; specific item proposal.</x:v>
      </x:c>
      <x:c r="X274" s="4" t="str">
        <x:v>Carrier</x:v>
      </x:c>
      <x:c r="Y274" s="4" t="str">
        <x:v>Finished item</x:v>
      </x:c>
      <x:c r="Z274" s="4" t="str">
        <x:v>Manufactured / unresolved</x:v>
      </x:c>
      <x:c r="AA274" s="4" t="str">
        <x:v>Cargo organization</x:v>
      </x:c>
      <x:c r="AB274" s="4" t="str">
        <x:v>Metal</x:v>
      </x:c>
      <x:c r="AC274" s="4" t="str">
        <x:v>Assembly</x:v>
      </x:c>
      <x:c r="AD274" s="4" t="str">
        <x:v>Proposal</x:v>
      </x:c>
      <x:c r="AE274" s="4" t="str">
        <x:f>LOWER(A274&amp;"; "&amp;B274&amp;"; "&amp;D274&amp;"; "&amp;E274&amp;"; "&amp;X274&amp;"; "&amp;Y274&amp;"; "&amp;Z274&amp;"; "&amp;AA274&amp;"; "&amp;AB274&amp;"; "&amp;AC274&amp;"; "&amp;AD274&amp;"; "&amp;V274&amp;"; "&amp;C274&amp;"; "&amp;AH274&amp;"; "&amp;AI274)</x:f>
        <x:v>proposal.legger.board_bracket; legger dirtboard carrying bracket; salvage; legger cargo rigging; carrier; finished item; manufactured / unresolved; cargo organization; metal; assembly; proposal; equipment mounting; legger; leger; companion replacement part; not applicable; t3; finished item</x:v>
      </x:c>
      <x:c r="AF27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74" s="4" t="str">
        <x:v>Finished endpoint; material tier is not applicable. Input tiers belong to the chosen recipe.</x:v>
      </x:c>
      <x:c r="AH274" s="4" t="str">
        <x:v>T3</x:v>
      </x:c>
      <x:c r="AI274" s="4" t="str">
        <x:v>Finished item</x:v>
      </x:c>
      <x:c r="AJ274" s="4" t="n">
        <x:f>COUNTIFS('Material routes'!$D$6:$D$2205,A274,'Material routes'!$C$6:$C$2205,"Output")</x:f>
        <x:v>1</x:v>
      </x:c>
      <x:c r="AK274" s="4" t="n">
        <x:f>SUM(COUNTIFS('Material routes'!$D$6:$D$2205,A274,'Material routes'!$C$6:$C$2205,"Ingredient candidate"),COUNTIFS('Material routes'!$D$6:$D$2205,A274,'Material routes'!$C$6:$C$2205,"Consumed input"),COUNTIFS('Material routes'!$D$6:$D$2205,A274,'Material routes'!$C$6:$C$2205,"Contained input"),COUNTIFS('Material routes'!$D$6:$D$2205,A274,'Material routes'!$C$6:$C$2205,"Transform input"))</x:f>
        <x:v>0</x:v>
      </x:c>
      <x:c r="AL274" s="4" t="n">
        <x:f>COUNTIFS('Material routes'!$D$6:$D$2205,A274,'Material routes'!$C$6:$C$2205,"Tool candidate")</x:f>
        <x:v>0</x:v>
      </x:c>
      <x:c r="AM274" s="4" t="str">
        <x:f>IF(AJ274&gt;0,"Route listed; review status/completeness",IF(C274="T0","Raw entry feed; no production route","No production route listed"))</x:f>
        <x:v>Route listed; review status/completeness</x:v>
      </x:c>
      <x:c r="AN274" s="14" t="n">
        <x:f>IF(C274="T0",0,IF(C274="T1",1,IF(C274="T2",2,IF(C274="T3",3,IF(C274="T4",4,IF(C274="Unassigned",98,99))))))</x:f>
        <x:v>99</x:v>
      </x:c>
      <x:c r="AZ274"/>
      <x:c r="BA274"/>
      <x:c r="BB274"/>
      <x:c r="BC274"/>
      <x:c r="BD274"/>
      <x:c r="BE274"/>
      <x:c r="BF274"/>
      <x:c r="BG274"/>
      <x:c r="BH274"/>
      <x:c r="BI274"/>
      <x:c r="BJ274"/>
      <x:c r="BK274"/>
      <x:c r="BL274"/>
      <x:c r="BM274"/>
      <x:c r="BN274"/>
      <x:c r="BO274"/>
      <x:c r="BP274"/>
      <x:c r="BQ274"/>
      <x:c r="BR274"/>
      <x:c r="BS274"/>
      <x:c r="BT274"/>
      <x:c r="BU274"/>
      <x:c r="BV274"/>
      <x:c r="BW274"/>
      <x:c r="BX274"/>
      <x:c r="BY274"/>
      <x:c r="BZ274"/>
      <x:c r="CA274"/>
      <x:c r="CB274"/>
      <x:c r="CC274"/>
    </x:row>
    <x:row r="275" ht="170" customHeight="1">
      <x:c r="A275" s="9" t="str">
        <x:v>proposal.legger.hinge_plate</x:v>
      </x:c>
      <x:c r="B275" s="9" t="str">
        <x:v>Chassis hinge-mount plate</x:v>
      </x:c>
      <x:c r="C275" s="4" t="str">
        <x:v>T3</x:v>
      </x:c>
      <x:c r="D275" s="9" t="str">
        <x:v>Crafting components</x:v>
      </x:c>
      <x:c r="E275" s="9" t="str">
        <x:v>Legger chassis</x:v>
      </x:c>
      <x:c r="F275" s="9" t="str">
        <x:v>New proposal</x:v>
      </x:c>
      <x:c r="G275" s="9" t="inlineStr">
        <x:is>
          <x:t xml:space="preserve">Replaceable mounting face for a compatible hinged chassis assembly. It supports replacement, refitting or maintenance of a compatible item; ownership alone does not restore the equipment’s condition.</x:t>
        </x:is>
      </x:c>
      <x:c r="H275" s="9" t="str">
        <x:v>Legger fitment unresolved</x:v>
      </x:c>
      <x:c r="I275" s="9" t="str">
        <x:v>Legger attachment / replacement intended; physical cargo policy unchanged</x:v>
      </x:c>
      <x:c r="J275" s="13"/>
      <x:c r="K275" s="15"/>
      <x:c r="L275" s="9" t="str">
        <x:v>Local craft, salvage or specialist trade; exact route TBD</x:v>
      </x:c>
      <x:c r="M275" s="9" t="str">
        <x:v>No recipe authored. Reuse existing iron stock, biological materials, ceramic craft, lubricant and ancient-material families where appropriate.</x:v>
      </x:c>
      <x:c r="N275" s="9" t="str">
        <x:v>Not implemented</x:v>
      </x:c>
      <x:c r="O275" s="9" t="str">
        <x:v>Host joint geometry and fasteners must be established first.</x:v>
      </x:c>
      <x:c r="P275" s="17"/>
      <x:c r="Q275" s="17"/>
      <x:c r="R275" s="17"/>
      <x:c r="S275" s="17"/>
      <x:c r="T275" s="17"/>
      <x:c r="U275" s="9" t="str">
        <x:v>Brainstorming candidate. Geometry, cost, mass, mounting, carrying and replacement behavior remain open. Part belongs to a finite physical companion.</x:v>
      </x:c>
      <x:c r="V275" s="11" t="str">
        <x:v>equipment mounting; legger; leger; companion replacement part</x:v>
      </x:c>
      <x:c r="W275" s="9" t="str">
        <x:v>Author Legger slings/chassis/replacement/iron/ancient-armor brainstorming October 14, 2026; Docs/WORLD_BASIS.md#the-legger; specific item proposal.</x:v>
      </x:c>
      <x:c r="X275" s="4" t="str">
        <x:v>Crafting component</x:v>
      </x:c>
      <x:c r="Y275" s="4" t="str">
        <x:v>Processed intermediate</x:v>
      </x:c>
      <x:c r="Z275" s="4" t="str">
        <x:v>Manufactured / unresolved</x:v>
      </x:c>
      <x:c r="AA275" s="4" t="str">
        <x:v>Equipment repair</x:v>
      </x:c>
      <x:c r="AB275" s="4" t="str">
        <x:v>Metal</x:v>
      </x:c>
      <x:c r="AC275" s="4" t="str">
        <x:v>Panel</x:v>
      </x:c>
      <x:c r="AD275" s="4" t="str">
        <x:v>Proposal</x:v>
      </x:c>
      <x:c r="AE275" s="4" t="str">
        <x:f>LOWER(A275&amp;"; "&amp;B275&amp;"; "&amp;D275&amp;"; "&amp;E275&amp;"; "&amp;X275&amp;"; "&amp;Y275&amp;"; "&amp;Z275&amp;"; "&amp;AA275&amp;"; "&amp;AB275&amp;"; "&amp;AC275&amp;"; "&amp;AD275&amp;"; "&amp;V275&amp;"; "&amp;C275&amp;"; "&amp;AH275&amp;"; "&amp;AI275)</x:f>
        <x:v>proposal.legger.hinge_plate; chassis hinge-mount plate; crafting components; legger chassis; crafting component; processed intermediate; manufactured / unresolved; equipment repair; metal; panel; proposal; equipment mounting; legger; leger; companion replacement part; t3; not applicable; component</x:v>
      </x:c>
      <x:c r="AF275" s="4" t="str">
        <x:v>Specific parts and protective properties remain proposals; ancient-material scarcity is established author direction.</x:v>
      </x:c>
      <x:c r="AG275"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5" s="4" t="str">
        <x:v>Not applicable</x:v>
      </x:c>
      <x:c r="AI275" s="4" t="str">
        <x:v>Component</x:v>
      </x:c>
      <x:c r="AJ275" s="4" t="n">
        <x:f>COUNTIFS('Material routes'!$D$6:$D$2205,A275,'Material routes'!$C$6:$C$2205,"Output")</x:f>
        <x:v>1</x:v>
      </x:c>
      <x:c r="AK275" s="4" t="n">
        <x:f>SUM(COUNTIFS('Material routes'!$D$6:$D$2205,A275,'Material routes'!$C$6:$C$2205,"Ingredient candidate"),COUNTIFS('Material routes'!$D$6:$D$2205,A275,'Material routes'!$C$6:$C$2205,"Consumed input"),COUNTIFS('Material routes'!$D$6:$D$2205,A275,'Material routes'!$C$6:$C$2205,"Contained input"),COUNTIFS('Material routes'!$D$6:$D$2205,A275,'Material routes'!$C$6:$C$2205,"Transform input"))</x:f>
        <x:v>0</x:v>
      </x:c>
      <x:c r="AL275" s="4" t="n">
        <x:f>COUNTIFS('Material routes'!$D$6:$D$2205,A275,'Material routes'!$C$6:$C$2205,"Tool candidate")</x:f>
        <x:v>0</x:v>
      </x:c>
      <x:c r="AM275" s="4" t="str">
        <x:f>IF(AJ275&gt;0,"Route listed; review status/completeness",IF(C275="T0","Raw entry feed; no production route","No production route listed"))</x:f>
        <x:v>Route listed; review status/completeness</x:v>
      </x:c>
      <x:c r="AN275" s="14" t="n">
        <x:f>IF(C275="T0",0,IF(C275="T1",1,IF(C275="T2",2,IF(C275="T3",3,IF(C275="T4",4,IF(C275="Unassigned",98,99))))))</x:f>
        <x:v>3</x:v>
      </x:c>
      <x:c r="AZ275"/>
      <x:c r="BA275"/>
      <x:c r="BB275"/>
      <x:c r="BC275"/>
      <x:c r="BD275"/>
      <x:c r="BE275"/>
      <x:c r="BF275"/>
      <x:c r="BG275"/>
      <x:c r="BH275"/>
      <x:c r="BI275"/>
      <x:c r="BJ275"/>
      <x:c r="BK275"/>
      <x:c r="BL275"/>
      <x:c r="BM275"/>
      <x:c r="BN275"/>
      <x:c r="BO275"/>
      <x:c r="BP275"/>
      <x:c r="BQ275"/>
      <x:c r="BR275"/>
      <x:c r="BS275"/>
      <x:c r="BT275"/>
      <x:c r="BU275"/>
      <x:c r="BV275"/>
      <x:c r="BW275"/>
      <x:c r="BX275"/>
      <x:c r="BY275"/>
      <x:c r="BZ275"/>
      <x:c r="CA275"/>
      <x:c r="CB275"/>
      <x:c r="CC275"/>
    </x:row>
    <x:row r="276" ht="170" customHeight="1">
      <x:c r="A276" s="9" t="str">
        <x:v>proposal.legger.inspection_hatch</x:v>
      </x:c>
      <x:c r="B276" s="9" t="str">
        <x:v>Legger inspection hatch</x:v>
      </x:c>
      <x:c r="C276" s="4" t="str">
        <x:v>T3</x:v>
      </x:c>
      <x:c r="D276" s="9" t="str">
        <x:v>Crafting components</x:v>
      </x:c>
      <x:c r="E276" s="9" t="str">
        <x:v>Legger chassis</x:v>
      </x:c>
      <x:c r="F276" s="9" t="str">
        <x:v>New proposal</x:v>
      </x:c>
      <x:c r="G276" s="9" t="inlineStr">
        <x:is>
          <x:t xml:space="preserve">Removable chassis access cover for selected service points. It supports looking at or examining a workpiece, with the useful view determined by its optical and mechanical arrangement.</x:t>
        </x:is>
      </x:c>
      <x:c r="H276" s="9" t="str">
        <x:v>Legger fitment unresolved</x:v>
      </x:c>
      <x:c r="I276" s="9" t="str">
        <x:v>Legger attachment / replacement intended; physical cargo policy unchanged</x:v>
      </x:c>
      <x:c r="J276" s="13"/>
      <x:c r="K276" s="15"/>
      <x:c r="L276" s="9" t="str">
        <x:v>Local craft, salvage or specialist trade; exact route TBD</x:v>
      </x:c>
      <x:c r="M276" s="9" t="str">
        <x:v>No recipe authored. Reuse existing iron stock, biological materials, ceramic craft, lubricant and ancient-material families where appropriate.</x:v>
      </x:c>
      <x:c r="N276" s="9" t="str">
        <x:v>Not implemented</x:v>
      </x:c>
      <x:c r="O276" s="9" t="str">
        <x:v>Opening and sealing details remain open; distinct from an armor cover.</x:v>
      </x:c>
      <x:c r="P276" s="17"/>
      <x:c r="Q276" s="17"/>
      <x:c r="R276" s="17"/>
      <x:c r="S276" s="17"/>
      <x:c r="T276" s="17"/>
      <x:c r="U276" s="9" t="str">
        <x:v>Brainstorming candidate. Geometry, cost, mass, mounting, carrying and replacement behavior remain open. Part belongs to a finite physical companion.</x:v>
      </x:c>
      <x:c r="V276" s="11" t="str">
        <x:v>equipment repair; legger; leger; companion replacement part</x:v>
      </x:c>
      <x:c r="W276" s="9" t="str">
        <x:v>Author Legger slings/chassis/replacement/iron/ancient-armor brainstorming October 14, 2026; Docs/WORLD_BASIS.md#the-legger; specific item proposal.</x:v>
      </x:c>
      <x:c r="X276" s="4" t="str">
        <x:v>Crafting component</x:v>
      </x:c>
      <x:c r="Y276" s="4" t="str">
        <x:v>Processed intermediate</x:v>
      </x:c>
      <x:c r="Z276" s="4" t="str">
        <x:v>Manufactured / unresolved</x:v>
      </x:c>
      <x:c r="AA276" s="4" t="str">
        <x:v>Inspection</x:v>
      </x:c>
      <x:c r="AB276" s="4" t="str">
        <x:v>Metal</x:v>
      </x:c>
      <x:c r="AC276" s="4" t="str">
        <x:v>Assembly</x:v>
      </x:c>
      <x:c r="AD276" s="4" t="str">
        <x:v>Proposal</x:v>
      </x:c>
      <x:c r="AE276" s="4" t="str">
        <x:f>LOWER(A276&amp;"; "&amp;B276&amp;"; "&amp;D276&amp;"; "&amp;E276&amp;"; "&amp;X276&amp;"; "&amp;Y276&amp;"; "&amp;Z276&amp;"; "&amp;AA276&amp;"; "&amp;AB276&amp;"; "&amp;AC276&amp;"; "&amp;AD276&amp;"; "&amp;V276&amp;"; "&amp;C276&amp;"; "&amp;AH276&amp;"; "&amp;AI276)</x:f>
        <x:v>proposal.legger.inspection_hatch; legger inspection hatch; crafting components; legger chassis; crafting component; processed intermediate; manufactured / unresolved; inspection; metal; assembly; proposal; equipment repair; legger; leger; companion replacement part; t3; not applicable; component</x:v>
      </x:c>
      <x:c r="AF276" s="4" t="str">
        <x:v>Specific parts and protective properties remain proposals; ancient-material scarcity is established author direction.</x:v>
      </x:c>
      <x:c r="AG276" s="4" t="str">
        <x:v>October 15 proposed tier review: Fit a metal hatch with selected hinge and sealing feed. Candidate route only: quantities, yield, tools, fit, process conditions and service compatibility remain open. </x:v>
      </x:c>
      <x:c r="AH276" s="4" t="str">
        <x:v>Not applicable</x:v>
      </x:c>
      <x:c r="AI276" s="4" t="str">
        <x:v>Component</x:v>
      </x:c>
      <x:c r="AJ276" s="4" t="n">
        <x:f>COUNTIFS('Material routes'!$D$6:$D$2205,A276,'Material routes'!$C$6:$C$2205,"Output")</x:f>
        <x:v>1</x:v>
      </x:c>
      <x:c r="AK276" s="4" t="n">
        <x:f>SUM(COUNTIFS('Material routes'!$D$6:$D$2205,A276,'Material routes'!$C$6:$C$2205,"Ingredient candidate"),COUNTIFS('Material routes'!$D$6:$D$2205,A276,'Material routes'!$C$6:$C$2205,"Consumed input"),COUNTIFS('Material routes'!$D$6:$D$2205,A276,'Material routes'!$C$6:$C$2205,"Contained input"),COUNTIFS('Material routes'!$D$6:$D$2205,A276,'Material routes'!$C$6:$C$2205,"Transform input"))</x:f>
        <x:v>0</x:v>
      </x:c>
      <x:c r="AL276" s="4" t="n">
        <x:f>COUNTIFS('Material routes'!$D$6:$D$2205,A276,'Material routes'!$C$6:$C$2205,"Tool candidate")</x:f>
        <x:v>0</x:v>
      </x:c>
      <x:c r="AM276" s="4" t="str">
        <x:f>IF(AJ276&gt;0,"Route listed; review status/completeness",IF(C276="T0","Raw entry feed; no production route","No production route listed"))</x:f>
        <x:v>Route listed; review status/completeness</x:v>
      </x:c>
      <x:c r="AN276" s="14" t="n">
        <x:f>IF(C276="T0",0,IF(C276="T1",1,IF(C276="T2",2,IF(C276="T3",3,IF(C276="T4",4,IF(C276="Unassigned",98,99))))))</x:f>
        <x:v>3</x:v>
      </x:c>
      <x:c r="AZ276"/>
      <x:c r="BA276"/>
      <x:c r="BB276"/>
      <x:c r="BC276"/>
      <x:c r="BD276"/>
      <x:c r="BE276"/>
      <x:c r="BF276"/>
      <x:c r="BG276"/>
      <x:c r="BH276"/>
      <x:c r="BI276"/>
      <x:c r="BJ276"/>
      <x:c r="BK276"/>
      <x:c r="BL276"/>
      <x:c r="BM276"/>
      <x:c r="BN276"/>
      <x:c r="BO276"/>
      <x:c r="BP276"/>
      <x:c r="BQ276"/>
      <x:c r="BR276"/>
      <x:c r="BS276"/>
      <x:c r="BT276"/>
      <x:c r="BU276"/>
      <x:c r="BV276"/>
      <x:c r="BW276"/>
      <x:c r="BX276"/>
      <x:c r="BY276"/>
      <x:c r="BZ276"/>
      <x:c r="CA276"/>
      <x:c r="CB276"/>
      <x:c r="CC276"/>
    </x:row>
    <x:row r="277" ht="170" customHeight="1">
      <x:c r="A277" s="9" t="str">
        <x:v>proposal.legger.fracture_patch</x:v>
      </x:c>
      <x:c r="B277" s="9" t="str">
        <x:v>Iron chassis fracture patch</x:v>
      </x:c>
      <x:c r="C277" s="4" t="str">
        <x:v>T3</x:v>
      </x:c>
      <x:c r="D277" s="9" t="str">
        <x:v>Crafting components</x:v>
      </x:c>
      <x:c r="E277" s="9" t="str">
        <x:v>Legger chassis</x:v>
      </x:c>
      <x:c r="F277" s="9" t="str">
        <x:v>New proposal</x:v>
      </x:c>
      <x:c r="G277" s="9" t="inlineStr">
        <x:is>
          <x:t xml:space="preserve">Shaped bridging piece for a particular damaged frame location. It supports replacement, refitting or maintenance of a compatible item; ownership alone does not restore the equipment’s condition.</x:t>
        </x:is>
      </x:c>
      <x:c r="H277" s="9" t="str">
        <x:v>Legger fitment unresolved</x:v>
      </x:c>
      <x:c r="I277" s="9" t="str">
        <x:v>Legger attachment / replacement intended; physical cargo policy unchanged</x:v>
      </x:c>
      <x:c r="J277" s="13"/>
      <x:c r="K277" s="15"/>
      <x:c r="L277" s="9" t="str">
        <x:v>Local craft, salvage or specialist trade; exact route TBD</x:v>
      </x:c>
      <x:c r="M277" s="9" t="str">
        <x:v>No recipe authored. Reuse existing iron stock, biological materials, ceramic craft, lubricant and ancient-material families where appropriate.</x:v>
      </x:c>
      <x:c r="N277" s="9" t="str">
        <x:v>Not implemented</x:v>
      </x:c>
      <x:c r="O277" s="9" t="str">
        <x:v>Temporary versus permanent repair and installation method TBD; not universal structural healing.</x:v>
      </x:c>
      <x:c r="P277" s="17"/>
      <x:c r="Q277" s="17"/>
      <x:c r="R277" s="17"/>
      <x:c r="S277" s="17"/>
      <x:c r="T277" s="17"/>
      <x:c r="U277" s="9" t="str">
        <x:v>Brainstorming candidate. Geometry, cost, mass, mounting, carrying and replacement behavior remain open. Part belongs to a finite physical companion.</x:v>
      </x:c>
      <x:c r="V277" s="11" t="str">
        <x:v>legger; leger; companion replacement part</x:v>
      </x:c>
      <x:c r="W277" s="9" t="str">
        <x:v>Author Legger slings/chassis/replacement/iron/ancient-armor brainstorming October 14, 2026; Docs/WORLD_BASIS.md#the-legger; specific item proposal.</x:v>
      </x:c>
      <x:c r="X277" s="4" t="str">
        <x:v>Crafting component</x:v>
      </x:c>
      <x:c r="Y277" s="4" t="str">
        <x:v>Processed intermediate</x:v>
      </x:c>
      <x:c r="Z277" s="4" t="str">
        <x:v>Manufactured / unresolved</x:v>
      </x:c>
      <x:c r="AA277" s="4" t="str">
        <x:v>Equipment repair</x:v>
      </x:c>
      <x:c r="AB277" s="4" t="str">
        <x:v>Metal</x:v>
      </x:c>
      <x:c r="AC277" s="4" t="str">
        <x:v>Panel</x:v>
      </x:c>
      <x:c r="AD277" s="4" t="str">
        <x:v>Proposal</x:v>
      </x:c>
      <x:c r="AE277" s="4" t="str">
        <x:f>LOWER(A277&amp;"; "&amp;B277&amp;"; "&amp;D277&amp;"; "&amp;E277&amp;"; "&amp;X277&amp;"; "&amp;Y277&amp;"; "&amp;Z277&amp;"; "&amp;AA277&amp;"; "&amp;AB277&amp;"; "&amp;AC277&amp;"; "&amp;AD277&amp;"; "&amp;V277&amp;"; "&amp;C277&amp;"; "&amp;AH277&amp;"; "&amp;AI277)</x:f>
        <x:v>proposal.legger.fracture_patch; iron chassis fracture patch; crafting components; legger chassis; crafting component; processed intermediate; manufactured / unresolved; equipment repair; metal; panel; proposal; legger; leger; companion replacement part; t3; not applicable; component</x:v>
      </x:c>
      <x:c r="AF277" s="4" t="str">
        <x:v>Specific parts and protective properties remain proposals; ancient-material scarcity is established author direction.</x:v>
      </x:c>
      <x:c r="AG277"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7" s="4" t="str">
        <x:v>Not applicable</x:v>
      </x:c>
      <x:c r="AI277" s="4" t="str">
        <x:v>Component</x:v>
      </x:c>
      <x:c r="AJ277" s="4" t="n">
        <x:f>COUNTIFS('Material routes'!$D$6:$D$2205,A277,'Material routes'!$C$6:$C$2205,"Output")</x:f>
        <x:v>1</x:v>
      </x:c>
      <x:c r="AK277" s="4" t="n">
        <x:f>SUM(COUNTIFS('Material routes'!$D$6:$D$2205,A277,'Material routes'!$C$6:$C$2205,"Ingredient candidate"),COUNTIFS('Material routes'!$D$6:$D$2205,A277,'Material routes'!$C$6:$C$2205,"Consumed input"),COUNTIFS('Material routes'!$D$6:$D$2205,A277,'Material routes'!$C$6:$C$2205,"Contained input"),COUNTIFS('Material routes'!$D$6:$D$2205,A277,'Material routes'!$C$6:$C$2205,"Transform input"))</x:f>
        <x:v>0</x:v>
      </x:c>
      <x:c r="AL277" s="4" t="n">
        <x:f>COUNTIFS('Material routes'!$D$6:$D$2205,A277,'Material routes'!$C$6:$C$2205,"Tool candidate")</x:f>
        <x:v>0</x:v>
      </x:c>
      <x:c r="AM277" s="4" t="str">
        <x:f>IF(AJ277&gt;0,"Route listed; review status/completeness",IF(C277="T0","Raw entry feed; no production route","No production route listed"))</x:f>
        <x:v>Route listed; review status/completeness</x:v>
      </x:c>
      <x:c r="AN277" s="14" t="n">
        <x:f>IF(C277="T0",0,IF(C277="T1",1,IF(C277="T2",2,IF(C277="T3",3,IF(C277="T4",4,IF(C277="Unassigned",98,99))))))</x:f>
        <x:v>3</x:v>
      </x:c>
      <x:c r="AZ277"/>
      <x:c r="BA277"/>
      <x:c r="BB277"/>
      <x:c r="BC277"/>
      <x:c r="BD277"/>
      <x:c r="BE277"/>
      <x:c r="BF277"/>
      <x:c r="BG277"/>
      <x:c r="BH277"/>
      <x:c r="BI277"/>
      <x:c r="BJ277"/>
      <x:c r="BK277"/>
      <x:c r="BL277"/>
      <x:c r="BM277"/>
      <x:c r="BN277"/>
      <x:c r="BO277"/>
      <x:c r="BP277"/>
      <x:c r="BQ277"/>
      <x:c r="BR277"/>
      <x:c r="BS277"/>
      <x:c r="BT277"/>
      <x:c r="BU277"/>
      <x:c r="BV277"/>
      <x:c r="BW277"/>
      <x:c r="BX277"/>
      <x:c r="BY277"/>
      <x:c r="BZ277"/>
      <x:c r="CA277"/>
      <x:c r="CB277"/>
      <x:c r="CC277"/>
    </x:row>
    <x:row r="278" ht="170" customHeight="1">
      <x:c r="A278" s="9" t="str">
        <x:v>proposal.legger.crush_mount</x:v>
      </x:c>
      <x:c r="B278" s="9" t="str">
        <x:v>Sacrificial attachment mount</x:v>
      </x:c>
      <x:c r="C278" s="4" t="str">
        <x:v>T3</x:v>
      </x:c>
      <x:c r="D278" s="9" t="str">
        <x:v>Crafting components</x:v>
      </x:c>
      <x:c r="E278" s="9" t="str">
        <x:v>Legger chassis</x:v>
      </x:c>
      <x:c r="F278" s="9" t="str">
        <x:v>New proposal</x:v>
      </x:c>
      <x:c r="G278" s="9" t="inlineStr">
        <x:is>
          <x:t xml:space="preserve">Replaceable mount proposed to localize damage at an attachment. It locates or retains a fitted item on a matching structure; mounting geometry and loads must be chosen together.</x:t>
        </x:is>
      </x:c>
      <x:c r="H278" s="9" t="str">
        <x:v>Legger fitment unresolved</x:v>
      </x:c>
      <x:c r="I278" s="9" t="str">
        <x:v>Legger attachment / replacement intended; physical cargo policy unchanged</x:v>
      </x:c>
      <x:c r="J278" s="13"/>
      <x:c r="K278" s="15"/>
      <x:c r="L278" s="9" t="str">
        <x:v>Local craft, salvage or specialist trade; exact route TBD</x:v>
      </x:c>
      <x:c r="M278" s="9" t="str">
        <x:v>No recipe authored. Reuse existing iron stock, biological materials, ceramic craft, lubricant and ancient-material families where appropriate.</x:v>
      </x:c>
      <x:c r="N278" s="9" t="str">
        <x:v>Not implemented</x:v>
      </x:c>
      <x:c r="O278" s="9" t="str">
        <x:v>Controlled failure is a design goal; thresholds and damage transfer unresolved.</x:v>
      </x:c>
      <x:c r="P278" s="17"/>
      <x:c r="Q278" s="17"/>
      <x:c r="R278" s="17"/>
      <x:c r="S278" s="17"/>
      <x:c r="T278" s="17"/>
      <x:c r="U278" s="9" t="str">
        <x:v>Brainstorming candidate. Geometry, cost, mass, mounting, carrying and replacement behavior remain open. Part belongs to a finite physical companion.</x:v>
      </x:c>
      <x:c r="V278" s="11" t="str">
        <x:v>protection; legger; leger; companion replacement part</x:v>
      </x:c>
      <x:c r="W278" s="9" t="str">
        <x:v>Author Legger slings/chassis/replacement/iron/ancient-armor brainstorming October 14, 2026; Docs/WORLD_BASIS.md#the-legger; specific item proposal.</x:v>
      </x:c>
      <x:c r="X278" s="4" t="str">
        <x:v>Crafting component</x:v>
      </x:c>
      <x:c r="Y278" s="4" t="str">
        <x:v>Processed intermediate</x:v>
      </x:c>
      <x:c r="Z278" s="4" t="str">
        <x:v>Manufactured / unresolved</x:v>
      </x:c>
      <x:c r="AA278" s="4" t="str">
        <x:v>Equipment mounting</x:v>
      </x:c>
      <x:c r="AB278" s="4" t="str">
        <x:v>Metal</x:v>
      </x:c>
      <x:c r="AC278" s="4" t="str">
        <x:v>Assembly</x:v>
      </x:c>
      <x:c r="AD278" s="4" t="str">
        <x:v>Proposal</x:v>
      </x:c>
      <x:c r="AE278" s="4" t="str">
        <x:f>LOWER(A278&amp;"; "&amp;B278&amp;"; "&amp;D278&amp;"; "&amp;E278&amp;"; "&amp;X278&amp;"; "&amp;Y278&amp;"; "&amp;Z278&amp;"; "&amp;AA278&amp;"; "&amp;AB278&amp;"; "&amp;AC278&amp;"; "&amp;AD278&amp;"; "&amp;V278&amp;"; "&amp;C278&amp;"; "&amp;AH278&amp;"; "&amp;AI278)</x:f>
        <x:v>proposal.legger.crush_mount; sacrificial attachment mount; crafting components; legger chassis; crafting component; processed intermediate; manufactured / unresolved; equipment mounting; metal; assembly; proposal; protection; legger; leger; companion replacement part; t3; not applicable; component</x:v>
      </x:c>
      <x:c r="AF278" s="4" t="str">
        <x:v>Specific parts and protective properties remain proposals; ancient-material scarcity is established author direction.</x:v>
      </x:c>
      <x:c r="AG278"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8" s="4" t="str">
        <x:v>Not applicable</x:v>
      </x:c>
      <x:c r="AI278" s="4" t="str">
        <x:v>Component</x:v>
      </x:c>
      <x:c r="AJ278" s="4" t="n">
        <x:f>COUNTIFS('Material routes'!$D$6:$D$2205,A278,'Material routes'!$C$6:$C$2205,"Output")</x:f>
        <x:v>1</x:v>
      </x:c>
      <x:c r="AK278" s="4" t="n">
        <x:f>SUM(COUNTIFS('Material routes'!$D$6:$D$2205,A278,'Material routes'!$C$6:$C$2205,"Ingredient candidate"),COUNTIFS('Material routes'!$D$6:$D$2205,A278,'Material routes'!$C$6:$C$2205,"Consumed input"),COUNTIFS('Material routes'!$D$6:$D$2205,A278,'Material routes'!$C$6:$C$2205,"Contained input"),COUNTIFS('Material routes'!$D$6:$D$2205,A278,'Material routes'!$C$6:$C$2205,"Transform input"))</x:f>
        <x:v>0</x:v>
      </x:c>
      <x:c r="AL278" s="4" t="n">
        <x:f>COUNTIFS('Material routes'!$D$6:$D$2205,A278,'Material routes'!$C$6:$C$2205,"Tool candidate")</x:f>
        <x:v>0</x:v>
      </x:c>
      <x:c r="AM278" s="4" t="str">
        <x:f>IF(AJ278&gt;0,"Route listed; review status/completeness",IF(C278="T0","Raw entry feed; no production route","No production route listed"))</x:f>
        <x:v>Route listed; review status/completeness</x:v>
      </x:c>
      <x:c r="AN278" s="14" t="n">
        <x:f>IF(C278="T0",0,IF(C278="T1",1,IF(C278="T2",2,IF(C278="T3",3,IF(C278="T4",4,IF(C278="Unassigned",98,99))))))</x:f>
        <x:v>3</x:v>
      </x:c>
      <x:c r="AZ278"/>
      <x:c r="BA278"/>
      <x:c r="BB278"/>
      <x:c r="BC278"/>
      <x:c r="BD278"/>
      <x:c r="BE278"/>
      <x:c r="BF278"/>
      <x:c r="BG278"/>
      <x:c r="BH278"/>
      <x:c r="BI278"/>
      <x:c r="BJ278"/>
      <x:c r="BK278"/>
      <x:c r="BL278"/>
      <x:c r="BM278"/>
      <x:c r="BN278"/>
      <x:c r="BO278"/>
      <x:c r="BP278"/>
      <x:c r="BQ278"/>
      <x:c r="BR278"/>
      <x:c r="BS278"/>
      <x:c r="BT278"/>
      <x:c r="BU278"/>
      <x:c r="BV278"/>
      <x:c r="BW278"/>
      <x:c r="BX278"/>
      <x:c r="BY278"/>
      <x:c r="BZ278"/>
      <x:c r="CA278"/>
      <x:c r="CB278"/>
      <x:c r="CC278"/>
    </x:row>
    <x:row r="279" ht="170" customHeight="1">
      <x:c r="A279" s="9" t="str">
        <x:v>proposal.legger.bulkhead_ring</x:v>
      </x:c>
      <x:c r="B279" s="9" t="str">
        <x:v>Chassis reinforcing ring</x:v>
      </x:c>
      <x:c r="C279" s="4" t="str">
        <x:v>T3</x:v>
      </x:c>
      <x:c r="D279" s="9" t="str">
        <x:v>Crafting components</x:v>
      </x:c>
      <x:c r="E279" s="9" t="str">
        <x:v>Legger chassis</x:v>
      </x:c>
      <x:c r="F279" s="9" t="str">
        <x:v>New proposal</x:v>
      </x:c>
      <x:c r="G279" s="9" t="inlineStr">
        <x:is>
          <x:t xml:space="preserve">Shaped reinforcement around a selected chassis opening. It provides a candidate part for constructing equipment; matching interfaces and final assembly are still required.</x:t>
        </x:is>
      </x:c>
      <x:c r="H279" s="9" t="str">
        <x:v>Legger fitment unresolved</x:v>
      </x:c>
      <x:c r="I279" s="9" t="str">
        <x:v>Legger attachment / replacement intended; physical cargo policy unchanged</x:v>
      </x:c>
      <x:c r="J279" s="13"/>
      <x:c r="K279" s="15"/>
      <x:c r="L279" s="9" t="str">
        <x:v>Local craft, salvage or specialist trade; exact route TBD</x:v>
      </x:c>
      <x:c r="M279" s="9" t="str">
        <x:v>No recipe authored. Reuse existing iron stock, biological materials, ceramic craft, lubricant and ancient-material families where appropriate.</x:v>
      </x:c>
      <x:c r="N279" s="9" t="str">
        <x:v>Not implemented</x:v>
      </x:c>
      <x:c r="O279" s="9" t="str">
        <x:v>Requires actual host geometry; reinforcement and mass effects undefined.</x:v>
      </x:c>
      <x:c r="P279" s="17"/>
      <x:c r="Q279" s="17"/>
      <x:c r="R279" s="17"/>
      <x:c r="S279" s="17"/>
      <x:c r="T279" s="17"/>
      <x:c r="U279" s="9" t="str">
        <x:v>Brainstorming candidate. Geometry, cost, mass, mounting, carrying and replacement behavior remain open. Part belongs to a finite physical companion.</x:v>
      </x:c>
      <x:c r="V279" s="11" t="str">
        <x:v>legger; leger; companion replacement part</x:v>
      </x:c>
      <x:c r="W279" s="9" t="str">
        <x:v>Author Legger slings/chassis/replacement/iron/ancient-armor brainstorming October 14, 2026; Docs/WORLD_BASIS.md#the-legger; specific item proposal.</x:v>
      </x:c>
      <x:c r="X279" s="4" t="str">
        <x:v>Crafting component</x:v>
      </x:c>
      <x:c r="Y279" s="4" t="str">
        <x:v>Processed intermediate</x:v>
      </x:c>
      <x:c r="Z279" s="4" t="str">
        <x:v>Manufactured / unresolved</x:v>
      </x:c>
      <x:c r="AA279" s="4" t="str">
        <x:v>Equipment fabrication</x:v>
      </x:c>
      <x:c r="AB279" s="4" t="str">
        <x:v>Metal</x:v>
      </x:c>
      <x:c r="AC279" s="4" t="str">
        <x:v>Solid part</x:v>
      </x:c>
      <x:c r="AD279" s="4" t="str">
        <x:v>Proposal</x:v>
      </x:c>
      <x:c r="AE279" s="4" t="str">
        <x:f>LOWER(A279&amp;"; "&amp;B279&amp;"; "&amp;D279&amp;"; "&amp;E279&amp;"; "&amp;X279&amp;"; "&amp;Y279&amp;"; "&amp;Z279&amp;"; "&amp;AA279&amp;"; "&amp;AB279&amp;"; "&amp;AC279&amp;"; "&amp;AD279&amp;"; "&amp;V279&amp;"; "&amp;C279&amp;"; "&amp;AH279&amp;"; "&amp;AI279)</x:f>
        <x:v>proposal.legger.bulkhead_ring; chassis reinforcing ring; crafting components; legger chassis; crafting component; processed intermediate; manufactured / unresolved; equipment fabrication; metal; solid part; proposal; legger; leger; companion replacement part; t3; not applicable; component</x:v>
      </x:c>
      <x:c r="AF279" s="4" t="str">
        <x:v>Specific parts and protective properties remain proposals; ancient-material scarcity is established author direction.</x:v>
      </x:c>
      <x:c r="AG27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9" s="4" t="str">
        <x:v>Not applicable</x:v>
      </x:c>
      <x:c r="AI279" s="4" t="str">
        <x:v>Component</x:v>
      </x:c>
      <x:c r="AJ279" s="4" t="n">
        <x:f>COUNTIFS('Material routes'!$D$6:$D$2205,A279,'Material routes'!$C$6:$C$2205,"Output")</x:f>
        <x:v>1</x:v>
      </x:c>
      <x:c r="AK279" s="4" t="n">
        <x:f>SUM(COUNTIFS('Material routes'!$D$6:$D$2205,A279,'Material routes'!$C$6:$C$2205,"Ingredient candidate"),COUNTIFS('Material routes'!$D$6:$D$2205,A279,'Material routes'!$C$6:$C$2205,"Consumed input"),COUNTIFS('Material routes'!$D$6:$D$2205,A279,'Material routes'!$C$6:$C$2205,"Contained input"),COUNTIFS('Material routes'!$D$6:$D$2205,A279,'Material routes'!$C$6:$C$2205,"Transform input"))</x:f>
        <x:v>0</x:v>
      </x:c>
      <x:c r="AL279" s="4" t="n">
        <x:f>COUNTIFS('Material routes'!$D$6:$D$2205,A279,'Material routes'!$C$6:$C$2205,"Tool candidate")</x:f>
        <x:v>0</x:v>
      </x:c>
      <x:c r="AM279" s="4" t="str">
        <x:f>IF(AJ279&gt;0,"Route listed; review status/completeness",IF(C279="T0","Raw entry feed; no production route","No production route listed"))</x:f>
        <x:v>Route listed; review status/completeness</x:v>
      </x:c>
      <x:c r="AN279" s="14" t="n">
        <x:f>IF(C279="T0",0,IF(C279="T1",1,IF(C279="T2",2,IF(C279="T3",3,IF(C279="T4",4,IF(C279="Unassigned",98,99))))))</x:f>
        <x:v>3</x:v>
      </x:c>
      <x:c r="AZ279"/>
      <x:c r="BA279"/>
      <x:c r="BB279"/>
      <x:c r="BC279"/>
      <x:c r="BD279"/>
      <x:c r="BE279"/>
      <x:c r="BF279"/>
      <x:c r="BG279"/>
      <x:c r="BH279"/>
      <x:c r="BI279"/>
      <x:c r="BJ279"/>
      <x:c r="BK279"/>
      <x:c r="BL279"/>
      <x:c r="BM279"/>
      <x:c r="BN279"/>
      <x:c r="BO279"/>
      <x:c r="BP279"/>
      <x:c r="BQ279"/>
      <x:c r="BR279"/>
      <x:c r="BS279"/>
      <x:c r="BT279"/>
      <x:c r="BU279"/>
      <x:c r="BV279"/>
      <x:c r="BW279"/>
      <x:c r="BX279"/>
      <x:c r="BY279"/>
      <x:c r="BZ279"/>
      <x:c r="CA279"/>
      <x:c r="CB279"/>
      <x:c r="CC279"/>
    </x:row>
    <x:row r="280" ht="170" customHeight="1">
      <x:c r="A280" s="9" t="str">
        <x:v>proposal.legger.alignment_shims</x:v>
      </x:c>
      <x:c r="B280" s="9" t="str">
        <x:v>Chassis alignment-shim set</x:v>
      </x:c>
      <x:c r="C280" s="4" t="str">
        <x:v>T3</x:v>
      </x:c>
      <x:c r="D280" s="9" t="str">
        <x:v>Crafting components</x:v>
      </x:c>
      <x:c r="E280" s="9" t="str">
        <x:v>Legger chassis</x:v>
      </x:c>
      <x:c r="F280" s="9" t="str">
        <x:v>New proposal</x:v>
      </x:c>
      <x:c r="G280" s="9" t="inlineStr">
        <x:is>
          <x:t xml:space="preserve">Selected thin inserts for matching fitted structural faces. It supports replacement, refitting or maintenance of a compatible item; ownership alone does not restore the equipment’s condition.</x:t>
        </x:is>
      </x:c>
      <x:c r="H280" s="9" t="str">
        <x:v>Legger fitment unresolved</x:v>
      </x:c>
      <x:c r="I280" s="9" t="str">
        <x:v>Legger attachment / replacement intended; physical cargo policy unchanged</x:v>
      </x:c>
      <x:c r="J280" s="13"/>
      <x:c r="K280" s="15"/>
      <x:c r="L280" s="9" t="str">
        <x:v>Local craft, salvage or specialist trade; exact route TBD</x:v>
      </x:c>
      <x:c r="M280" s="9" t="str">
        <x:v>No recipe authored. Reuse existing iron stock, biological materials, ceramic craft, lubricant and ancient-material families where appropriate.</x:v>
      </x:c>
      <x:c r="N280" s="9" t="str">
        <x:v>Not implemented</x:v>
      </x:c>
      <x:c r="O280" s="9" t="str">
        <x:v>Set sizes and required tolerances unresolved; no universal-fit interface.</x:v>
      </x:c>
      <x:c r="P280" s="17"/>
      <x:c r="Q280" s="17"/>
      <x:c r="R280" s="17"/>
      <x:c r="S280" s="17"/>
      <x:c r="T280" s="17"/>
      <x:c r="U280" s="9" t="str">
        <x:v>Brainstorming candidate. Geometry, cost, mass, mounting, carrying and replacement behavior remain open. Part belongs to a finite physical companion.</x:v>
      </x:c>
      <x:c r="V280" s="11" t="str">
        <x:v>legger; leger; companion replacement part</x:v>
      </x:c>
      <x:c r="W280" s="9" t="str">
        <x:v>Author Legger slings/chassis/replacement/iron/ancient-armor brainstorming October 14, 2026; Docs/WORLD_BASIS.md#the-legger; specific item proposal.</x:v>
      </x:c>
      <x:c r="X280" s="4" t="str">
        <x:v>Crafting component</x:v>
      </x:c>
      <x:c r="Y280" s="4" t="str">
        <x:v>Processed intermediate</x:v>
      </x:c>
      <x:c r="Z280" s="4" t="str">
        <x:v>Manufactured / unresolved</x:v>
      </x:c>
      <x:c r="AA280" s="4" t="str">
        <x:v>Equipment repair</x:v>
      </x:c>
      <x:c r="AB280" s="4" t="str">
        <x:v>Metal</x:v>
      </x:c>
      <x:c r="AC280" s="4" t="str">
        <x:v>Solid part</x:v>
      </x:c>
      <x:c r="AD280" s="4" t="str">
        <x:v>Proposal</x:v>
      </x:c>
      <x:c r="AE280" s="4" t="str">
        <x:f>LOWER(A280&amp;"; "&amp;B280&amp;"; "&amp;D280&amp;"; "&amp;E280&amp;"; "&amp;X280&amp;"; "&amp;Y280&amp;"; "&amp;Z280&amp;"; "&amp;AA280&amp;"; "&amp;AB280&amp;"; "&amp;AC280&amp;"; "&amp;AD280&amp;"; "&amp;V280&amp;"; "&amp;C280&amp;"; "&amp;AH280&amp;"; "&amp;AI280)</x:f>
        <x:v>proposal.legger.alignment_shims; chassis alignment-shim set; crafting components; legger chassis; crafting component; processed intermediate; manufactured / unresolved; equipment repair; metal; solid part; proposal; legger; leger; companion replacement part; t3; not applicable; component</x:v>
      </x:c>
      <x:c r="AF280" s="4" t="str">
        <x:v>Specific parts and protective properties remain proposals; ancient-material scarcity is established author direction.</x:v>
      </x:c>
      <x:c r="AG280" s="4" t="str">
        <x:v>October 15 proposed tier review: Finish prepared steel to the selected alignment or joint geometry. Candidate route only: quantities, yield, tools, fit, process conditions and service compatibility remain open. </x:v>
      </x:c>
      <x:c r="AH280" s="4" t="str">
        <x:v>Not applicable</x:v>
      </x:c>
      <x:c r="AI280" s="4" t="str">
        <x:v>Component</x:v>
      </x:c>
      <x:c r="AJ280" s="4" t="n">
        <x:f>COUNTIFS('Material routes'!$D$6:$D$2205,A280,'Material routes'!$C$6:$C$2205,"Output")</x:f>
        <x:v>1</x:v>
      </x:c>
      <x:c r="AK280" s="4" t="n">
        <x:f>SUM(COUNTIFS('Material routes'!$D$6:$D$2205,A280,'Material routes'!$C$6:$C$2205,"Ingredient candidate"),COUNTIFS('Material routes'!$D$6:$D$2205,A280,'Material routes'!$C$6:$C$2205,"Consumed input"),COUNTIFS('Material routes'!$D$6:$D$2205,A280,'Material routes'!$C$6:$C$2205,"Contained input"),COUNTIFS('Material routes'!$D$6:$D$2205,A280,'Material routes'!$C$6:$C$2205,"Transform input"))</x:f>
        <x:v>0</x:v>
      </x:c>
      <x:c r="AL280" s="4" t="n">
        <x:f>COUNTIFS('Material routes'!$D$6:$D$2205,A280,'Material routes'!$C$6:$C$2205,"Tool candidate")</x:f>
        <x:v>0</x:v>
      </x:c>
      <x:c r="AM280" s="4" t="str">
        <x:f>IF(AJ280&gt;0,"Route listed; review status/completeness",IF(C280="T0","Raw entry feed; no production route","No production route listed"))</x:f>
        <x:v>Route listed; review status/completeness</x:v>
      </x:c>
      <x:c r="AN280" s="14" t="n">
        <x:f>IF(C280="T0",0,IF(C280="T1",1,IF(C280="T2",2,IF(C280="T3",3,IF(C280="T4",4,IF(C280="Unassigned",98,99))))))</x:f>
        <x:v>3</x:v>
      </x:c>
      <x:c r="AZ280"/>
      <x:c r="BA280"/>
      <x:c r="BB280"/>
      <x:c r="BC280"/>
      <x:c r="BD280"/>
      <x:c r="BE280"/>
      <x:c r="BF280"/>
      <x:c r="BG280"/>
      <x:c r="BH280"/>
      <x:c r="BI280"/>
      <x:c r="BJ280"/>
      <x:c r="BK280"/>
      <x:c r="BL280"/>
      <x:c r="BM280"/>
      <x:c r="BN280"/>
      <x:c r="BO280"/>
      <x:c r="BP280"/>
      <x:c r="BQ280"/>
      <x:c r="BR280"/>
      <x:c r="BS280"/>
      <x:c r="BT280"/>
      <x:c r="BU280"/>
      <x:c r="BV280"/>
      <x:c r="BW280"/>
      <x:c r="BX280"/>
      <x:c r="BY280"/>
      <x:c r="BZ280"/>
      <x:c r="CA280"/>
      <x:c r="CB280"/>
      <x:c r="CC280"/>
    </x:row>
    <x:row r="281" ht="170" customHeight="1">
      <x:c r="A281" s="9" t="str">
        <x:v>proposal.legger.joint_pin</x:v>
      </x:c>
      <x:c r="B281" s="9" t="str">
        <x:v>Replaceable joint pin</x:v>
      </x:c>
      <x:c r="C281" s="4" t="str">
        <x:v>T3</x:v>
      </x:c>
      <x:c r="D281" s="9" t="str">
        <x:v>Crafting components</x:v>
      </x:c>
      <x:c r="E281" s="9" t="str">
        <x:v>Legger mechanical parts</x:v>
      </x:c>
      <x:c r="F281" s="9" t="str">
        <x:v>New proposal</x:v>
      </x:c>
      <x:c r="G281" s="9" t="inlineStr">
        <x:is>
          <x:t xml:space="preserve">Matched pivot pin within a selected Legger joint. It supports replacement, refitting or maintenance of a compatible item; ownership alone does not restore the equipment’s condition.</x:t>
        </x:is>
      </x:c>
      <x:c r="H281" s="9" t="str">
        <x:v>Legger fitment unresolved</x:v>
      </x:c>
      <x:c r="I281" s="9" t="str">
        <x:v>Legger attachment / replacement intended; physical cargo policy unchanged</x:v>
      </x:c>
      <x:c r="J281" s="13"/>
      <x:c r="K281" s="15"/>
      <x:c r="L281" s="9" t="str">
        <x:v>Local craft, salvage or specialist trade; exact route TBD</x:v>
      </x:c>
      <x:c r="M281" s="9" t="str">
        <x:v>No recipe authored. Reuse existing iron stock, biological materials, ceramic craft, lubricant and ancient-material families where appropriate.</x:v>
      </x:c>
      <x:c r="N281" s="9" t="str">
        <x:v>Not implemented</x:v>
      </x:c>
      <x:c r="O281" s="9" t="str">
        <x:v>Pin, sleeve and bearing are different parts; geometry and material grade unresolved.</x:v>
      </x:c>
      <x:c r="P281" s="17"/>
      <x:c r="Q281" s="17"/>
      <x:c r="R281" s="17"/>
      <x:c r="S281" s="17"/>
      <x:c r="T281" s="17"/>
      <x:c r="U281" s="9" t="str">
        <x:v>Brainstorming candidate. Geometry, cost, mass, mounting, carrying and replacement behavior remain open. Part belongs to a finite physical companion.</x:v>
      </x:c>
      <x:c r="V281" s="11" t="str">
        <x:v>legger; leger; companion replacement part</x:v>
      </x:c>
      <x:c r="W281" s="9" t="str">
        <x:v>Author Legger slings/chassis/replacement/iron/ancient-armor brainstorming October 14, 2026; Docs/WORLD_BASIS.md#the-legger; specific item proposal.</x:v>
      </x:c>
      <x:c r="X281" s="4" t="str">
        <x:v>Crafting component</x:v>
      </x:c>
      <x:c r="Y281" s="4" t="str">
        <x:v>Processed intermediate</x:v>
      </x:c>
      <x:c r="Z281" s="4" t="str">
        <x:v>Manufactured / unresolved</x:v>
      </x:c>
      <x:c r="AA281" s="4" t="str">
        <x:v>Equipment repair</x:v>
      </x:c>
      <x:c r="AB281" s="4" t="str">
        <x:v>Metal</x:v>
      </x:c>
      <x:c r="AC281" s="4" t="str">
        <x:v>Solid part</x:v>
      </x:c>
      <x:c r="AD281" s="4" t="str">
        <x:v>Proposal</x:v>
      </x:c>
      <x:c r="AE281" s="4" t="str">
        <x:f>LOWER(A281&amp;"; "&amp;B281&amp;"; "&amp;D281&amp;"; "&amp;E281&amp;"; "&amp;X281&amp;"; "&amp;Y281&amp;"; "&amp;Z281&amp;"; "&amp;AA281&amp;"; "&amp;AB281&amp;"; "&amp;AC281&amp;"; "&amp;AD281&amp;"; "&amp;V281&amp;"; "&amp;C281&amp;"; "&amp;AH281&amp;"; "&amp;AI281)</x:f>
        <x:v>proposal.legger.joint_pin; replaceable joint pin; crafting components; legger mechanical parts; crafting component; processed intermediate; manufactured / unresolved; equipment repair; metal; solid part; proposal; legger; leger; companion replacement part; t3; not applicable; component</x:v>
      </x:c>
      <x:c r="AF281" s="4" t="str">
        <x:v>Specific parts and protective properties remain proposals; ancient-material scarcity is established author direction.</x:v>
      </x:c>
      <x:c r="AG281" s="4" t="str">
        <x:v>October 15 proposed tier review: Finish prepared steel to the selected alignment or joint geometry. Candidate route only: quantities, yield, tools, fit, process conditions and service compatibility remain open. </x:v>
      </x:c>
      <x:c r="AH281" s="4" t="str">
        <x:v>Not applicable</x:v>
      </x:c>
      <x:c r="AI281" s="4" t="str">
        <x:v>Component</x:v>
      </x:c>
      <x:c r="AJ281" s="4" t="n">
        <x:f>COUNTIFS('Material routes'!$D$6:$D$2205,A281,'Material routes'!$C$6:$C$2205,"Output")</x:f>
        <x:v>1</x:v>
      </x:c>
      <x:c r="AK281" s="4" t="n">
        <x:f>SUM(COUNTIFS('Material routes'!$D$6:$D$2205,A281,'Material routes'!$C$6:$C$2205,"Ingredient candidate"),COUNTIFS('Material routes'!$D$6:$D$2205,A281,'Material routes'!$C$6:$C$2205,"Consumed input"),COUNTIFS('Material routes'!$D$6:$D$2205,A281,'Material routes'!$C$6:$C$2205,"Contained input"),COUNTIFS('Material routes'!$D$6:$D$2205,A281,'Material routes'!$C$6:$C$2205,"Transform input"))</x:f>
        <x:v>7</x:v>
      </x:c>
      <x:c r="AL281" s="4" t="n">
        <x:f>COUNTIFS('Material routes'!$D$6:$D$2205,A281,'Material routes'!$C$6:$C$2205,"Tool candidate")</x:f>
        <x:v>0</x:v>
      </x:c>
      <x:c r="AM281" s="4" t="str">
        <x:f>IF(AJ281&gt;0,"Route listed; review status/completeness",IF(C281="T0","Raw entry feed; no production route","No production route listed"))</x:f>
        <x:v>Route listed; review status/completeness</x:v>
      </x:c>
      <x:c r="AN281" s="14" t="n">
        <x:f>IF(C281="T0",0,IF(C281="T1",1,IF(C281="T2",2,IF(C281="T3",3,IF(C281="T4",4,IF(C281="Unassigned",98,99))))))</x:f>
        <x:v>3</x:v>
      </x:c>
      <x:c r="AZ281"/>
      <x:c r="BA281"/>
      <x:c r="BB281"/>
      <x:c r="BC281"/>
      <x:c r="BD281"/>
      <x:c r="BE281"/>
      <x:c r="BF281"/>
      <x:c r="BG281"/>
      <x:c r="BH281"/>
      <x:c r="BI281"/>
      <x:c r="BJ281"/>
      <x:c r="BK281"/>
      <x:c r="BL281"/>
      <x:c r="BM281"/>
      <x:c r="BN281"/>
      <x:c r="BO281"/>
      <x:c r="BP281"/>
      <x:c r="BQ281"/>
      <x:c r="BR281"/>
      <x:c r="BS281"/>
      <x:c r="BT281"/>
      <x:c r="BU281"/>
      <x:c r="BV281"/>
      <x:c r="BW281"/>
      <x:c r="BX281"/>
      <x:c r="BY281"/>
      <x:c r="BZ281"/>
      <x:c r="CA281"/>
      <x:c r="CB281"/>
      <x:c r="CC281"/>
    </x:row>
    <x:row r="282" ht="170" customHeight="1">
      <x:c r="A282" s="9" t="str">
        <x:v>proposal.legger.thrust_washer</x:v>
      </x:c>
      <x:c r="B282" s="9" t="str">
        <x:v>Joint thrust washer</x:v>
      </x:c>
      <x:c r="C282" s="4" t="str">
        <x:v>T3</x:v>
      </x:c>
      <x:c r="D282" s="9" t="str">
        <x:v>Crafting components</x:v>
      </x:c>
      <x:c r="E282" s="9" t="str">
        <x:v>Legger mechanical parts</x:v>
      </x:c>
      <x:c r="F282" s="9" t="str">
        <x:v>New proposal</x:v>
      </x:c>
      <x:c r="G282" s="9" t="inlineStr">
        <x:is>
          <x:t xml:space="preserve">Wear-interface insert proposed for a selected axial contact. It supports replacement, refitting or maintenance of a compatible item; ownership alone does not restore the equipment’s condition.</x:t>
        </x:is>
      </x:c>
      <x:c r="H282" s="9" t="str">
        <x:v>Legger fitment unresolved</x:v>
      </x:c>
      <x:c r="I282" s="9" t="str">
        <x:v>Legger attachment / replacement intended; physical cargo policy unchanged</x:v>
      </x:c>
      <x:c r="J282" s="13"/>
      <x:c r="K282" s="15"/>
      <x:c r="L282" s="9" t="str">
        <x:v>Local craft, salvage or specialist trade; exact route TBD</x:v>
      </x:c>
      <x:c r="M282" s="9" t="str">
        <x:v>No recipe authored. Reuse existing iron stock, biological materials, ceramic craft, lubricant and ancient-material families where appropriate.</x:v>
      </x:c>
      <x:c r="N282" s="9" t="str">
        <x:v>Not implemented</x:v>
      </x:c>
      <x:c r="O282" s="9" t="str">
        <x:v>Actual load path, lubrication and service requirements TBD.</x:v>
      </x:c>
      <x:c r="P282" s="17"/>
      <x:c r="Q282" s="17"/>
      <x:c r="R282" s="17"/>
      <x:c r="S282" s="17"/>
      <x:c r="T282" s="17"/>
      <x:c r="U282" s="9" t="str">
        <x:v>Brainstorming candidate. Geometry, cost, mass, mounting, carrying and replacement behavior remain open. Part belongs to a finite physical companion.</x:v>
      </x:c>
      <x:c r="V282" s="11" t="str">
        <x:v>legger; leger; companion replacement part</x:v>
      </x:c>
      <x:c r="W282" s="9" t="str">
        <x:v>Author Legger slings/chassis/replacement/iron/ancient-armor brainstorming October 14, 2026; Docs/WORLD_BASIS.md#the-legger; specific item proposal.</x:v>
      </x:c>
      <x:c r="X282" s="4" t="str">
        <x:v>Crafting component</x:v>
      </x:c>
      <x:c r="Y282" s="4" t="str">
        <x:v>Processed intermediate</x:v>
      </x:c>
      <x:c r="Z282" s="4" t="str">
        <x:v>Manufactured / unresolved</x:v>
      </x:c>
      <x:c r="AA282" s="4" t="str">
        <x:v>Equipment repair</x:v>
      </x:c>
      <x:c r="AB282" s="4" t="str">
        <x:v>Metal</x:v>
      </x:c>
      <x:c r="AC282" s="4" t="str">
        <x:v>Solid part</x:v>
      </x:c>
      <x:c r="AD282" s="4" t="str">
        <x:v>Proposal</x:v>
      </x:c>
      <x:c r="AE282" s="4" t="str">
        <x:f>LOWER(A282&amp;"; "&amp;B282&amp;"; "&amp;D282&amp;"; "&amp;E282&amp;"; "&amp;X282&amp;"; "&amp;Y282&amp;"; "&amp;Z282&amp;"; "&amp;AA282&amp;"; "&amp;AB282&amp;"; "&amp;AC282&amp;"; "&amp;AD282&amp;"; "&amp;V282&amp;"; "&amp;C282&amp;"; "&amp;AH282&amp;"; "&amp;AI282)</x:f>
        <x:v>proposal.legger.thrust_washer; joint thrust washer; crafting components; legger mechanical parts; crafting component; processed intermediate; manufactured / unresolved; equipment repair; metal; solid part; proposal; legger; leger; companion replacement part; t3; not applicable; component</x:v>
      </x:c>
      <x:c r="AF282" s="4" t="str">
        <x:v>Specific parts and protective properties remain proposals; ancient-material scarcity is established author direction.</x:v>
      </x:c>
      <x:c r="AG282" s="4" t="str">
        <x:v>October 15 proposed tier review: Shape and finish bearing-metal stock as a fitted thrust washer. Candidate route only: quantities, yield, tools, fit, process conditions and service compatibility remain open. </x:v>
      </x:c>
      <x:c r="AH282" s="4" t="str">
        <x:v>Not applicable</x:v>
      </x:c>
      <x:c r="AI282" s="4" t="str">
        <x:v>Component</x:v>
      </x:c>
      <x:c r="AJ282" s="4" t="n">
        <x:f>COUNTIFS('Material routes'!$D$6:$D$2205,A282,'Material routes'!$C$6:$C$2205,"Output")</x:f>
        <x:v>1</x:v>
      </x:c>
      <x:c r="AK282" s="4" t="n">
        <x:f>SUM(COUNTIFS('Material routes'!$D$6:$D$2205,A282,'Material routes'!$C$6:$C$2205,"Ingredient candidate"),COUNTIFS('Material routes'!$D$6:$D$2205,A282,'Material routes'!$C$6:$C$2205,"Consumed input"),COUNTIFS('Material routes'!$D$6:$D$2205,A282,'Material routes'!$C$6:$C$2205,"Contained input"),COUNTIFS('Material routes'!$D$6:$D$2205,A282,'Material routes'!$C$6:$C$2205,"Transform input"))</x:f>
        <x:v>1</x:v>
      </x:c>
      <x:c r="AL282" s="4" t="n">
        <x:f>COUNTIFS('Material routes'!$D$6:$D$2205,A282,'Material routes'!$C$6:$C$2205,"Tool candidate")</x:f>
        <x:v>0</x:v>
      </x:c>
      <x:c r="AM282" s="4" t="str">
        <x:f>IF(AJ282&gt;0,"Route listed; review status/completeness",IF(C282="T0","Raw entry feed; no production route","No production route listed"))</x:f>
        <x:v>Route listed; review status/completeness</x:v>
      </x:c>
      <x:c r="AN282" s="14" t="n">
        <x:f>IF(C282="T0",0,IF(C282="T1",1,IF(C282="T2",2,IF(C282="T3",3,IF(C282="T4",4,IF(C282="Unassigned",98,99))))))</x:f>
        <x:v>3</x:v>
      </x:c>
      <x:c r="AZ282"/>
      <x:c r="BA282"/>
      <x:c r="BB282"/>
      <x:c r="BC282"/>
      <x:c r="BD282"/>
      <x:c r="BE282"/>
      <x:c r="BF282"/>
      <x:c r="BG282"/>
      <x:c r="BH282"/>
      <x:c r="BI282"/>
      <x:c r="BJ282"/>
      <x:c r="BK282"/>
      <x:c r="BL282"/>
      <x:c r="BM282"/>
      <x:c r="BN282"/>
      <x:c r="BO282"/>
      <x:c r="BP282"/>
      <x:c r="BQ282"/>
      <x:c r="BR282"/>
      <x:c r="BS282"/>
      <x:c r="BT282"/>
      <x:c r="BU282"/>
      <x:c r="BV282"/>
      <x:c r="BW282"/>
      <x:c r="BX282"/>
      <x:c r="BY282"/>
      <x:c r="BZ282"/>
      <x:c r="CA282"/>
      <x:c r="CB282"/>
      <x:c r="CC282"/>
    </x:row>
    <x:row r="283" ht="170" customHeight="1">
      <x:c r="A283" s="9" t="str">
        <x:v>proposal.legger.gear_cluster</x:v>
      </x:c>
      <x:c r="B283" s="9" t="str">
        <x:v>Replacement gear cluster</x:v>
      </x:c>
      <x:c r="C283" s="4" t="str">
        <x:v>T4</x:v>
      </x:c>
      <x:c r="D283" s="9" t="str">
        <x:v>Crafting components</x:v>
      </x:c>
      <x:c r="E283" s="9" t="str">
        <x:v>Legger mechanical parts</x:v>
      </x:c>
      <x:c r="F283" s="9" t="str">
        <x:v>New proposal</x:v>
      </x:c>
      <x:c r="G283" s="9" t="inlineStr">
        <x:is>
          <x:t xml:space="preserve">Matched gears for a compatible drive assembly. It is intended to pass or transform motion within a matched mechanism, with the input, supports and driven load designed together.</x:t>
        </x:is>
      </x:c>
      <x:c r="H283" s="9" t="str">
        <x:v>Legger fitment unresolved</x:v>
      </x:c>
      <x:c r="I283" s="9" t="str">
        <x:v>Legger attachment / replacement intended; physical cargo policy unchanged</x:v>
      </x:c>
      <x:c r="J283" s="13"/>
      <x:c r="K283" s="15"/>
      <x:c r="L283" s="9" t="str">
        <x:v>Local craft, salvage or specialist trade; exact route TBD</x:v>
      </x:c>
      <x:c r="M283" s="9" t="str">
        <x:v>No recipe authored. Reuse existing iron stock, biological materials, ceramic craft, lubricant and ancient-material families where appropriate.</x:v>
      </x:c>
      <x:c r="N283" s="9" t="str">
        <x:v>Not implemented</x:v>
      </x:c>
      <x:c r="O283" s="9" t="str">
        <x:v>A candidate mechanism rather than proof the current Legger uses this transmission.</x:v>
      </x:c>
      <x:c r="P283" s="17"/>
      <x:c r="Q283" s="17"/>
      <x:c r="R283" s="17"/>
      <x:c r="S283" s="17"/>
      <x:c r="T283" s="17"/>
      <x:c r="U283" s="9" t="str">
        <x:v>Brainstorming candidate. Geometry, cost, mass, mounting, carrying and replacement behavior remain open. Part belongs to a finite physical companion.</x:v>
      </x:c>
      <x:c r="V283" s="11" t="str">
        <x:v>equipment repair; legger; leger; companion replacement part</x:v>
      </x:c>
      <x:c r="W283" s="9" t="str">
        <x:v>Author Legger slings/chassis/replacement/iron/ancient-armor brainstorming October 14, 2026; Docs/WORLD_BASIS.md#the-legger; specific item proposal.</x:v>
      </x:c>
      <x:c r="X283" s="4" t="str">
        <x:v>Crafting component</x:v>
      </x:c>
      <x:c r="Y283" s="4" t="str">
        <x:v>Processed intermediate</x:v>
      </x:c>
      <x:c r="Z283" s="4" t="str">
        <x:v>Manufactured / unresolved</x:v>
      </x:c>
      <x:c r="AA283" s="4" t="str">
        <x:v>Machinery drive</x:v>
      </x:c>
      <x:c r="AB283" s="4" t="str">
        <x:v>Metal</x:v>
      </x:c>
      <x:c r="AC283" s="4" t="str">
        <x:v>Assembly</x:v>
      </x:c>
      <x:c r="AD283" s="4" t="str">
        <x:v>Proposal</x:v>
      </x:c>
      <x:c r="AE283" s="4" t="str">
        <x:f>LOWER(A283&amp;"; "&amp;B283&amp;"; "&amp;D283&amp;"; "&amp;E283&amp;"; "&amp;X283&amp;"; "&amp;Y283&amp;"; "&amp;Z283&amp;"; "&amp;AA283&amp;"; "&amp;AB283&amp;"; "&amp;AC283&amp;"; "&amp;AD283&amp;"; "&amp;V283&amp;"; "&amp;C283&amp;"; "&amp;AH283&amp;"; "&amp;AI283)</x:f>
        <x:v>proposal.legger.gear_cluster; replacement gear cluster; crafting components; legger mechanical parts; crafting component; processed intermediate; manufactured / unresolved; machinery drive; metal; assembly; proposal; equipment repair; legger; leger; companion replacement part; t4; not applicable; component</x:v>
      </x:c>
      <x:c r="AF283" s="4" t="str">
        <x:v>Specific parts and protective properties remain proposals; ancient-material scarcity is established author direction.</x:v>
      </x:c>
      <x:c r="AG283" s="4" t="str">
        <x:v>October 15 proposed tier review: Cut, match and retain T3 gear blanks as a replacement cluster. Candidate route only: quantities, yield, tools, fit, process conditions and service compatibility remain open. Ratios, loads, geometry, lubrication and Legger interface remain undefined.</x:v>
      </x:c>
      <x:c r="AH283" s="4" t="str">
        <x:v>Not applicable</x:v>
      </x:c>
      <x:c r="AI283" s="4" t="str">
        <x:v>Component</x:v>
      </x:c>
      <x:c r="AJ283" s="4" t="n">
        <x:f>COUNTIFS('Material routes'!$D$6:$D$2205,A283,'Material routes'!$C$6:$C$2205,"Output")</x:f>
        <x:v>1</x:v>
      </x:c>
      <x:c r="AK283" s="4" t="n">
        <x:f>SUM(COUNTIFS('Material routes'!$D$6:$D$2205,A283,'Material routes'!$C$6:$C$2205,"Ingredient candidate"),COUNTIFS('Material routes'!$D$6:$D$2205,A283,'Material routes'!$C$6:$C$2205,"Consumed input"),COUNTIFS('Material routes'!$D$6:$D$2205,A283,'Material routes'!$C$6:$C$2205,"Contained input"),COUNTIFS('Material routes'!$D$6:$D$2205,A283,'Material routes'!$C$6:$C$2205,"Transform input"))</x:f>
        <x:v>0</x:v>
      </x:c>
      <x:c r="AL283" s="4" t="n">
        <x:f>COUNTIFS('Material routes'!$D$6:$D$2205,A283,'Material routes'!$C$6:$C$2205,"Tool candidate")</x:f>
        <x:v>0</x:v>
      </x:c>
      <x:c r="AM283" s="4" t="str">
        <x:f>IF(AJ283&gt;0,"Route listed; review status/completeness",IF(C283="T0","Raw entry feed; no production route","No production route listed"))</x:f>
        <x:v>Route listed; review status/completeness</x:v>
      </x:c>
      <x:c r="AN283" s="14" t="n">
        <x:f>IF(C283="T0",0,IF(C283="T1",1,IF(C283="T2",2,IF(C283="T3",3,IF(C283="T4",4,IF(C283="Unassigned",98,99))))))</x:f>
        <x:v>4</x:v>
      </x:c>
      <x:c r="AZ283"/>
      <x:c r="BA283"/>
      <x:c r="BB283"/>
      <x:c r="BC283"/>
      <x:c r="BD283"/>
      <x:c r="BE283"/>
      <x:c r="BF283"/>
      <x:c r="BG283"/>
      <x:c r="BH283"/>
      <x:c r="BI283"/>
      <x:c r="BJ283"/>
      <x:c r="BK283"/>
      <x:c r="BL283"/>
      <x:c r="BM283"/>
      <x:c r="BN283"/>
      <x:c r="BO283"/>
      <x:c r="BP283"/>
      <x:c r="BQ283"/>
      <x:c r="BR283"/>
      <x:c r="BS283"/>
      <x:c r="BT283"/>
      <x:c r="BU283"/>
      <x:c r="BV283"/>
      <x:c r="BW283"/>
      <x:c r="BX283"/>
      <x:c r="BY283"/>
      <x:c r="BZ283"/>
      <x:c r="CA283"/>
      <x:c r="CB283"/>
      <x:c r="CC283"/>
    </x:row>
    <x:row r="284" ht="170" customHeight="1">
      <x:c r="A284" s="9" t="str">
        <x:v>proposal.legger.linkage_end</x:v>
      </x:c>
      <x:c r="B284" s="9" t="str">
        <x:v>Replacement linkage-end joint</x:v>
      </x:c>
      <x:c r="C284" s="4" t="str">
        <x:v>T3</x:v>
      </x:c>
      <x:c r="D284" s="9" t="str">
        <x:v>Crafting components</x:v>
      </x:c>
      <x:c r="E284" s="9" t="str">
        <x:v>Legger mechanical parts</x:v>
      </x:c>
      <x:c r="F284" s="9" t="str">
        <x:v>New proposal</x:v>
      </x:c>
      <x:c r="G284" s="9" t="inlineStr">
        <x:is>
          <x:t xml:space="preserve">End connector joining a selected movement link to its mount. It supports replacement, refitting or maintenance of a compatible item; ownership alone does not restore the equipment’s condition.</x:t>
        </x:is>
      </x:c>
      <x:c r="H284" s="9" t="str">
        <x:v>Legger fitment unresolved</x:v>
      </x:c>
      <x:c r="I284" s="9" t="str">
        <x:v>Legger attachment / replacement intended; physical cargo policy unchanged</x:v>
      </x:c>
      <x:c r="J284" s="13"/>
      <x:c r="K284" s="15"/>
      <x:c r="L284" s="9" t="str">
        <x:v>Local craft, salvage or specialist trade; exact route TBD</x:v>
      </x:c>
      <x:c r="M284" s="9" t="str">
        <x:v>No recipe authored. Reuse existing iron stock, biological materials, ceramic craft, lubricant and ancient-material families where appropriate.</x:v>
      </x:c>
      <x:c r="N284" s="9" t="str">
        <x:v>Not implemented</x:v>
      </x:c>
      <x:c r="O284" s="9" t="str">
        <x:v>Degrees of movement, fit and service method unresolved.</x:v>
      </x:c>
      <x:c r="P284" s="17"/>
      <x:c r="Q284" s="17"/>
      <x:c r="R284" s="17"/>
      <x:c r="S284" s="17"/>
      <x:c r="T284" s="17"/>
      <x:c r="U284" s="9" t="str">
        <x:v>Brainstorming candidate. Geometry, cost, mass, mounting, carrying and replacement behavior remain open. Part belongs to a finite physical companion.</x:v>
      </x:c>
      <x:c r="V284" s="11" t="str">
        <x:v>legger; leger; companion replacement part</x:v>
      </x:c>
      <x:c r="W284" s="9" t="str">
        <x:v>Author Legger slings/chassis/replacement/iron/ancient-armor brainstorming October 14, 2026; Docs/WORLD_BASIS.md#the-legger; specific item proposal.</x:v>
      </x:c>
      <x:c r="X284" s="4" t="str">
        <x:v>Crafting component</x:v>
      </x:c>
      <x:c r="Y284" s="4" t="str">
        <x:v>Processed intermediate</x:v>
      </x:c>
      <x:c r="Z284" s="4" t="str">
        <x:v>Manufactured / unresolved</x:v>
      </x:c>
      <x:c r="AA284" s="4" t="str">
        <x:v>Equipment repair</x:v>
      </x:c>
      <x:c r="AB284" s="4" t="str">
        <x:v>Metal</x:v>
      </x:c>
      <x:c r="AC284" s="4" t="str">
        <x:v>Solid part</x:v>
      </x:c>
      <x:c r="AD284" s="4" t="str">
        <x:v>Proposal</x:v>
      </x:c>
      <x:c r="AE284" s="4" t="str">
        <x:f>LOWER(A284&amp;"; "&amp;B284&amp;"; "&amp;D284&amp;"; "&amp;E284&amp;"; "&amp;X284&amp;"; "&amp;Y284&amp;"; "&amp;Z284&amp;"; "&amp;AA284&amp;"; "&amp;AB284&amp;"; "&amp;AC284&amp;"; "&amp;AD284&amp;"; "&amp;V284&amp;"; "&amp;C284&amp;"; "&amp;AH284&amp;"; "&amp;AI284)</x:f>
        <x:v>proposal.legger.linkage_end; replacement linkage-end joint; crafting components; legger mechanical parts; crafting component; processed intermediate; manufactured / unresolved; equipment repair; metal; solid part; proposal; legger; leger; companion replacement part; t3; not applicable; component</x:v>
      </x:c>
      <x:c r="AF284" s="4" t="str">
        <x:v>Specific parts and protective properties remain proposals; ancient-material scarcity is established author direction.</x:v>
      </x:c>
      <x:c r="AG284" s="4" t="str">
        <x:v>October 15 proposed tier review: Form and fit a selected linkage-end joint from prepared metal stock. Candidate route only: quantities, yield, tools, fit, process conditions and service compatibility remain open. </x:v>
      </x:c>
      <x:c r="AH284" s="4" t="str">
        <x:v>Not applicable</x:v>
      </x:c>
      <x:c r="AI284" s="4" t="str">
        <x:v>Component</x:v>
      </x:c>
      <x:c r="AJ284" s="4" t="n">
        <x:f>COUNTIFS('Material routes'!$D$6:$D$2205,A284,'Material routes'!$C$6:$C$2205,"Output")</x:f>
        <x:v>1</x:v>
      </x:c>
      <x:c r="AK284" s="4" t="n">
        <x:f>SUM(COUNTIFS('Material routes'!$D$6:$D$2205,A284,'Material routes'!$C$6:$C$2205,"Ingredient candidate"),COUNTIFS('Material routes'!$D$6:$D$2205,A284,'Material routes'!$C$6:$C$2205,"Consumed input"),COUNTIFS('Material routes'!$D$6:$D$2205,A284,'Material routes'!$C$6:$C$2205,"Contained input"),COUNTIFS('Material routes'!$D$6:$D$2205,A284,'Material routes'!$C$6:$C$2205,"Transform input"))</x:f>
        <x:v>0</x:v>
      </x:c>
      <x:c r="AL284" s="4" t="n">
        <x:f>COUNTIFS('Material routes'!$D$6:$D$2205,A284,'Material routes'!$C$6:$C$2205,"Tool candidate")</x:f>
        <x:v>0</x:v>
      </x:c>
      <x:c r="AM284" s="4" t="str">
        <x:f>IF(AJ284&gt;0,"Route listed; review status/completeness",IF(C284="T0","Raw entry feed; no production route","No production route listed"))</x:f>
        <x:v>Route listed; review status/completeness</x:v>
      </x:c>
      <x:c r="AN284" s="14" t="n">
        <x:f>IF(C284="T0",0,IF(C284="T1",1,IF(C284="T2",2,IF(C284="T3",3,IF(C284="T4",4,IF(C284="Unassigned",98,99))))))</x:f>
        <x:v>3</x:v>
      </x:c>
      <x:c r="AZ284"/>
      <x:c r="BA284"/>
      <x:c r="BB284"/>
      <x:c r="BC284"/>
      <x:c r="BD284"/>
      <x:c r="BE284"/>
      <x:c r="BF284"/>
      <x:c r="BG284"/>
      <x:c r="BH284"/>
      <x:c r="BI284"/>
      <x:c r="BJ284"/>
      <x:c r="BK284"/>
      <x:c r="BL284"/>
      <x:c r="BM284"/>
      <x:c r="BN284"/>
      <x:c r="BO284"/>
      <x:c r="BP284"/>
      <x:c r="BQ284"/>
      <x:c r="BR284"/>
      <x:c r="BS284"/>
      <x:c r="BT284"/>
      <x:c r="BU284"/>
      <x:c r="BV284"/>
      <x:c r="BW284"/>
      <x:c r="BX284"/>
      <x:c r="BY284"/>
      <x:c r="BZ284"/>
      <x:c r="CA284"/>
      <x:c r="CB284"/>
      <x:c r="CC284"/>
    </x:row>
    <x:row r="285" ht="170" customHeight="1">
      <x:c r="A285" s="9" t="str">
        <x:v>proposal.legger.tensioner</x:v>
      </x:c>
      <x:c r="B285" s="9" t="str">
        <x:v>Drive tensioner assembly</x:v>
      </x:c>
      <x:c r="C285" s="4" t="str">
        <x:v>T4</x:v>
      </x:c>
      <x:c r="D285" s="9" t="str">
        <x:v>Crafting components</x:v>
      </x:c>
      <x:c r="E285" s="9" t="str">
        <x:v>Legger mechanical parts</x:v>
      </x:c>
      <x:c r="F285" s="9" t="str">
        <x:v>New proposal</x:v>
      </x:c>
      <x:c r="G285" s="9" t="inlineStr">
        <x:is>
          <x:t xml:space="preserve">Adjustment assembly candidate for a selected mechanical drive path. It is intended to pass or transform motion within a matched mechanism, with the input, supports and driven load designed together.</x:t>
        </x:is>
      </x:c>
      <x:c r="H285" s="9" t="str">
        <x:v>Legger fitment unresolved</x:v>
      </x:c>
      <x:c r="I285" s="9" t="str">
        <x:v>Legger attachment / replacement intended; physical cargo policy unchanged</x:v>
      </x:c>
      <x:c r="J285" s="13"/>
      <x:c r="K285" s="15"/>
      <x:c r="L285" s="9" t="str">
        <x:v>Local craft, salvage or specialist trade; exact route TBD</x:v>
      </x:c>
      <x:c r="M285" s="9" t="str">
        <x:v>No recipe authored. Reuse existing iron stock, biological materials, ceramic craft, lubricant and ancient-material families where appropriate.</x:v>
      </x:c>
      <x:c r="N285" s="9" t="str">
        <x:v>Not implemented</x:v>
      </x:c>
      <x:c r="O285" s="9" t="str">
        <x:v>Requires a compatible drive architecture; no belt or chain transmission assumed.</x:v>
      </x:c>
      <x:c r="P285" s="17"/>
      <x:c r="Q285" s="17"/>
      <x:c r="R285" s="17"/>
      <x:c r="S285" s="17"/>
      <x:c r="T285" s="17"/>
      <x:c r="U285" s="9" t="str">
        <x:v>Brainstorming candidate. Geometry, cost, mass, mounting, carrying and replacement behavior remain open. Part belongs to a finite physical companion.</x:v>
      </x:c>
      <x:c r="V285" s="11" t="str">
        <x:v>equipment repair; legger; leger; companion replacement part</x:v>
      </x:c>
      <x:c r="W285" s="9" t="str">
        <x:v>Author Legger slings/chassis/replacement/iron/ancient-armor brainstorming October 14, 2026; Docs/WORLD_BASIS.md#the-legger; specific item proposal.</x:v>
      </x:c>
      <x:c r="X285" s="4" t="str">
        <x:v>Crafting component</x:v>
      </x:c>
      <x:c r="Y285" s="4" t="str">
        <x:v>Processed intermediate</x:v>
      </x:c>
      <x:c r="Z285" s="4" t="str">
        <x:v>Manufactured / unresolved</x:v>
      </x:c>
      <x:c r="AA285" s="4" t="str">
        <x:v>Machinery drive</x:v>
      </x:c>
      <x:c r="AB285" s="4" t="str">
        <x:v>Mixed / unresolved</x:v>
      </x:c>
      <x:c r="AC285" s="4" t="str">
        <x:v>Assembly</x:v>
      </x:c>
      <x:c r="AD285" s="4" t="str">
        <x:v>Proposal</x:v>
      </x:c>
      <x:c r="AE285" s="4" t="str">
        <x:f>LOWER(A285&amp;"; "&amp;B285&amp;"; "&amp;D285&amp;"; "&amp;E285&amp;"; "&amp;X285&amp;"; "&amp;Y285&amp;"; "&amp;Z285&amp;"; "&amp;AA285&amp;"; "&amp;AB285&amp;"; "&amp;AC285&amp;"; "&amp;AD285&amp;"; "&amp;V285&amp;"; "&amp;C285&amp;"; "&amp;AH285&amp;"; "&amp;AI285)</x:f>
        <x:v>proposal.legger.tensioner; drive tensioner assembly; crafting components; legger mechanical parts; crafting component; processed intermediate; manufactured / unresolved; machinery drive; mixed / unresolved; assembly; proposal; equipment repair; legger; leger; companion replacement part; t4; not applicable; component</x:v>
      </x:c>
      <x:c r="AF285" s="4" t="str">
        <x:v>Specific parts and protective properties remain proposals; ancient-material scarcity is established author direction.</x:v>
      </x:c>
      <x:c r="AG285" s="4" t="str">
        <x:v>October 15 proposed tier review: Fit the spring/bearing tensioning module from selected T3 stocks. Candidate route only: quantities, yield, tools, fit, process conditions and service compatibility remain open. </x:v>
      </x:c>
      <x:c r="AH285" s="4" t="str">
        <x:v>Not applicable</x:v>
      </x:c>
      <x:c r="AI285" s="4" t="str">
        <x:v>Component</x:v>
      </x:c>
      <x:c r="AJ285" s="4" t="n">
        <x:f>COUNTIFS('Material routes'!$D$6:$D$2205,A285,'Material routes'!$C$6:$C$2205,"Output")</x:f>
        <x:v>1</x:v>
      </x:c>
      <x:c r="AK285" s="4" t="n">
        <x:f>SUM(COUNTIFS('Material routes'!$D$6:$D$2205,A285,'Material routes'!$C$6:$C$2205,"Ingredient candidate"),COUNTIFS('Material routes'!$D$6:$D$2205,A285,'Material routes'!$C$6:$C$2205,"Consumed input"),COUNTIFS('Material routes'!$D$6:$D$2205,A285,'Material routes'!$C$6:$C$2205,"Contained input"),COUNTIFS('Material routes'!$D$6:$D$2205,A285,'Material routes'!$C$6:$C$2205,"Transform input"))</x:f>
        <x:v>0</x:v>
      </x:c>
      <x:c r="AL285" s="4" t="n">
        <x:f>COUNTIFS('Material routes'!$D$6:$D$2205,A285,'Material routes'!$C$6:$C$2205,"Tool candidate")</x:f>
        <x:v>0</x:v>
      </x:c>
      <x:c r="AM285" s="4" t="str">
        <x:f>IF(AJ285&gt;0,"Route listed; review status/completeness",IF(C285="T0","Raw entry feed; no production route","No production route listed"))</x:f>
        <x:v>Route listed; review status/completeness</x:v>
      </x:c>
      <x:c r="AN285" s="14" t="n">
        <x:f>IF(C285="T0",0,IF(C285="T1",1,IF(C285="T2",2,IF(C285="T3",3,IF(C285="T4",4,IF(C285="Unassigned",98,99))))))</x:f>
        <x:v>4</x:v>
      </x:c>
      <x:c r="AZ285"/>
      <x:c r="BA285"/>
      <x:c r="BB285"/>
      <x:c r="BC285"/>
      <x:c r="BD285"/>
      <x:c r="BE285"/>
      <x:c r="BF285"/>
      <x:c r="BG285"/>
      <x:c r="BH285"/>
      <x:c r="BI285"/>
      <x:c r="BJ285"/>
      <x:c r="BK285"/>
      <x:c r="BL285"/>
      <x:c r="BM285"/>
      <x:c r="BN285"/>
      <x:c r="BO285"/>
      <x:c r="BP285"/>
      <x:c r="BQ285"/>
      <x:c r="BR285"/>
      <x:c r="BS285"/>
      <x:c r="BT285"/>
      <x:c r="BU285"/>
      <x:c r="BV285"/>
      <x:c r="BW285"/>
      <x:c r="BX285"/>
      <x:c r="BY285"/>
      <x:c r="BZ285"/>
      <x:c r="CA285"/>
      <x:c r="CB285"/>
      <x:c r="CC285"/>
    </x:row>
    <x:row r="286" ht="170" customHeight="1">
      <x:c r="A286" s="9" t="str">
        <x:v>proposal.legger.scraper_ring</x:v>
      </x:c>
      <x:c r="B286" s="9" t="str">
        <x:v>Joint grit-scraper ring</x:v>
      </x:c>
      <x:c r="C286" s="4" t="str">
        <x:v>T3</x:v>
      </x:c>
      <x:c r="D286" s="9" t="str">
        <x:v>Crafting components</x:v>
      </x:c>
      <x:c r="E286" s="9" t="str">
        <x:v>Legger mechanical parts</x:v>
      </x:c>
      <x:c r="F286" s="9" t="str">
        <x:v>New proposal</x:v>
      </x:c>
      <x:c r="G286" s="9" t="inlineStr">
        <x:is>
          <x:t xml:space="preserve">Replaceable contact ring proposed to clear grit from a matched moving surface. It is intended to obstruct grit at an opening or moving interface. Its fit and wear must be qualified before any exclusion or filtration performance is assigned.</x:t>
        </x:is>
      </x:c>
      <x:c r="H286" s="9" t="str">
        <x:v>Legger fitment unresolved</x:v>
      </x:c>
      <x:c r="I286" s="9" t="str">
        <x:v>Legger attachment / replacement intended; physical cargo policy unchanged</x:v>
      </x:c>
      <x:c r="J286" s="13"/>
      <x:c r="K286" s="15"/>
      <x:c r="L286" s="9" t="str">
        <x:v>Local craft, salvage or specialist trade; exact route TBD</x:v>
      </x:c>
      <x:c r="M286" s="9" t="str">
        <x:v>No recipe authored. Reuse existing iron stock, biological materials, ceramic craft, lubricant and ancient-material families where appropriate.</x:v>
      </x:c>
      <x:c r="N286" s="9" t="str">
        <x:v>Not implemented</x:v>
      </x:c>
      <x:c r="O286" s="9" t="str">
        <x:v>Distinct from a seal cartridge or external shroud; contact and wear properties TBD.</x:v>
      </x:c>
      <x:c r="P286" s="17"/>
      <x:c r="Q286" s="17"/>
      <x:c r="R286" s="17"/>
      <x:c r="S286" s="17"/>
      <x:c r="T286" s="17"/>
      <x:c r="U286" s="9" t="str">
        <x:v>Brainstorming candidate. Geometry, cost, mass, mounting, carrying and replacement behavior remain open. Part belongs to a finite physical companion.</x:v>
      </x:c>
      <x:c r="V286" s="11" t="str">
        <x:v>equipment repair; legger; leger; companion replacement part</x:v>
      </x:c>
      <x:c r="W286" s="9" t="str">
        <x:v>Author Legger slings/chassis/replacement/iron/ancient-armor brainstorming October 14, 2026; Docs/WORLD_BASIS.md#the-legger; specific item proposal.</x:v>
      </x:c>
      <x:c r="X286" s="4" t="str">
        <x:v>Crafting component</x:v>
      </x:c>
      <x:c r="Y286" s="4" t="str">
        <x:v>Processed intermediate</x:v>
      </x:c>
      <x:c r="Z286" s="4" t="str">
        <x:v>Manufactured / unresolved</x:v>
      </x:c>
      <x:c r="AA286" s="4" t="str">
        <x:v>Dust exclusion</x:v>
      </x:c>
      <x:c r="AB286" s="4" t="str">
        <x:v>Mixed / unresolved</x:v>
      </x:c>
      <x:c r="AC286" s="4" t="str">
        <x:v>Solid part</x:v>
      </x:c>
      <x:c r="AD286" s="4" t="str">
        <x:v>Proposal</x:v>
      </x:c>
      <x:c r="AE286" s="4" t="str">
        <x:f>LOWER(A286&amp;"; "&amp;B286&amp;"; "&amp;D286&amp;"; "&amp;E286&amp;"; "&amp;X286&amp;"; "&amp;Y286&amp;"; "&amp;Z286&amp;"; "&amp;AA286&amp;"; "&amp;AB286&amp;"; "&amp;AC286&amp;"; "&amp;AD286&amp;"; "&amp;V286&amp;"; "&amp;C286&amp;"; "&amp;AH286&amp;"; "&amp;AI286)</x:f>
        <x:v>proposal.legger.scraper_ring; joint grit-scraper ring; crafting components; legger mechanical parts; crafting component; processed intermediate; manufactured / unresolved; dust exclusion; mixed / unresolved; solid part; proposal; equipment repair; legger; leger; companion replacement part; t3; not applicable; component</x:v>
      </x:c>
      <x:c r="AF286" s="4" t="str">
        <x:v>Specific parts and protective properties remain proposals; ancient-material scarcity is established author direction.</x:v>
      </x:c>
      <x:c r="AG286" s="4" t="str">
        <x:v>October 15 proposed tier review: 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AH286" s="4" t="str">
        <x:v>Not applicable</x:v>
      </x:c>
      <x:c r="AI286" s="4" t="str">
        <x:v>Component</x:v>
      </x:c>
      <x:c r="AJ286" s="4" t="n">
        <x:f>COUNTIFS('Material routes'!$D$6:$D$2205,A286,'Material routes'!$C$6:$C$2205,"Output")</x:f>
        <x:v>1</x:v>
      </x:c>
      <x:c r="AK286" s="4" t="n">
        <x:f>SUM(COUNTIFS('Material routes'!$D$6:$D$2205,A286,'Material routes'!$C$6:$C$2205,"Ingredient candidate"),COUNTIFS('Material routes'!$D$6:$D$2205,A286,'Material routes'!$C$6:$C$2205,"Consumed input"),COUNTIFS('Material routes'!$D$6:$D$2205,A286,'Material routes'!$C$6:$C$2205,"Contained input"),COUNTIFS('Material routes'!$D$6:$D$2205,A286,'Material routes'!$C$6:$C$2205,"Transform input"))</x:f>
        <x:v>0</x:v>
      </x:c>
      <x:c r="AL286" s="4" t="n">
        <x:f>COUNTIFS('Material routes'!$D$6:$D$2205,A286,'Material routes'!$C$6:$C$2205,"Tool candidate")</x:f>
        <x:v>0</x:v>
      </x:c>
      <x:c r="AM286" s="4" t="str">
        <x:f>IF(AJ286&gt;0,"Route listed; review status/completeness",IF(C286="T0","Raw entry feed; no production route","No production route listed"))</x:f>
        <x:v>Route listed; review status/completeness</x:v>
      </x:c>
      <x:c r="AN286" s="14" t="n">
        <x:f>IF(C286="T0",0,IF(C286="T1",1,IF(C286="T2",2,IF(C286="T3",3,IF(C286="T4",4,IF(C286="Unassigned",98,99))))))</x:f>
        <x:v>3</x:v>
      </x:c>
      <x:c r="AZ286"/>
      <x:c r="BA286"/>
      <x:c r="BB286"/>
      <x:c r="BC286"/>
      <x:c r="BD286"/>
      <x:c r="BE286"/>
      <x:c r="BF286"/>
      <x:c r="BG286"/>
      <x:c r="BH286"/>
      <x:c r="BI286"/>
      <x:c r="BJ286"/>
      <x:c r="BK286"/>
      <x:c r="BL286"/>
      <x:c r="BM286"/>
      <x:c r="BN286"/>
      <x:c r="BO286"/>
      <x:c r="BP286"/>
      <x:c r="BQ286"/>
      <x:c r="BR286"/>
      <x:c r="BS286"/>
      <x:c r="BT286"/>
      <x:c r="BU286"/>
      <x:c r="BV286"/>
      <x:c r="BW286"/>
      <x:c r="BX286"/>
      <x:c r="BY286"/>
      <x:c r="BZ286"/>
      <x:c r="CA286"/>
      <x:c r="CB286"/>
      <x:c r="CC286"/>
    </x:row>
    <x:row r="287" ht="115" customHeight="1">
      <x:c r="A287" s="9" t="str">
        <x:v>proposal.legger.grease_applicator</x:v>
      </x:c>
      <x:c r="B287" s="9" t="str">
        <x:v>Joint grease applicator</x:v>
      </x:c>
      <x:c r="C287" s="4" t="str">
        <x:v>Not applicable</x:v>
      </x:c>
      <x:c r="D287" s="9" t="inlineStr">
        <x:is>
          <x:t xml:space="preserve">Salvage</x:t>
        </x:is>
      </x:c>
      <x:c r="E287" s="9" t="str">
        <x:v>Legger service parts</x:v>
      </x:c>
      <x:c r="F287" s="9" t="str">
        <x:v>New proposal</x:v>
      </x:c>
      <x:c r="G287" s="9" t="inlineStr">
        <x:is>
          <x:t xml:space="preserve">Hand-operated tool candidate for placing selected faunal grease at a service point. It is intended to reduce friction at a matched contact surface; dust behavior and material compatibility require qualification.</x:t>
        </x:is>
      </x:c>
      <x:c r="H287" s="9" t="str">
        <x:v>Legger fitment unresolved</x:v>
      </x:c>
      <x:c r="I287" s="9" t="str">
        <x:v>Legger attachment / replacement intended; physical cargo policy unchanged</x:v>
      </x:c>
      <x:c r="J287" s="13"/>
      <x:c r="K287" s="15"/>
      <x:c r="L287" s="9" t="str">
        <x:v>Local craft, salvage or specialist trade; exact route TBD</x:v>
      </x:c>
      <x:c r="M287" s="9" t="str">
        <x:v>No recipe authored. Reuse existing iron stock, biological materials, ceramic craft, lubricant and ancient-material families where appropriate.</x:v>
      </x:c>
      <x:c r="N287" s="9" t="str">
        <x:v>Not implemented</x:v>
      </x:c>
      <x:c r="O287" s="9" t="str">
        <x:v>Pressure, fitting and dose undefined; does not imply hydraulic actuation.</x:v>
      </x:c>
      <x:c r="P287" s="17"/>
      <x:c r="Q287" s="17"/>
      <x:c r="R287" s="17"/>
      <x:c r="S287" s="17"/>
      <x:c r="T287" s="17"/>
      <x:c r="U287" s="9" t="str">
        <x:v>Brainstorming candidate. Geometry, cost, mass, mounting, carrying and replacement behavior remain open. Part belongs to a finite physical companion.</x:v>
      </x:c>
      <x:c r="V287" s="11" t="str">
        <x:v>equipment repair; legger; leger; companion replacement part</x:v>
      </x:c>
      <x:c r="W287" s="9" t="str">
        <x:v>Author Legger slings/chassis/replacement/iron/ancient-armor brainstorming October 14, 2026; Docs/WORLD_BASIS.md#the-legger; specific item proposal.</x:v>
      </x:c>
      <x:c r="X287" s="4" t="str">
        <x:v>Tool</x:v>
      </x:c>
      <x:c r="Y287" s="4" t="str">
        <x:v>Finished item</x:v>
      </x:c>
      <x:c r="Z287" s="4" t="str">
        <x:v>Manufactured / unresolved</x:v>
      </x:c>
      <x:c r="AA287" s="4" t="str">
        <x:v>Lubrication</x:v>
      </x:c>
      <x:c r="AB287" s="4" t="str">
        <x:v>Metal</x:v>
      </x:c>
      <x:c r="AC287" s="4" t="str">
        <x:v>Assembly</x:v>
      </x:c>
      <x:c r="AD287" s="4" t="str">
        <x:v>Proposal</x:v>
      </x:c>
      <x:c r="AE287" s="4" t="str">
        <x:f>LOWER(A287&amp;"; "&amp;B287&amp;"; "&amp;D287&amp;"; "&amp;E287&amp;"; "&amp;X287&amp;"; "&amp;Y287&amp;"; "&amp;Z287&amp;"; "&amp;AA287&amp;"; "&amp;AB287&amp;"; "&amp;AC287&amp;"; "&amp;AD287&amp;"; "&amp;V287&amp;"; "&amp;C287&amp;"; "&amp;AH287&amp;"; "&amp;AI287)</x:f>
        <x:v>proposal.legger.grease_applicator; joint grease applicator; salvage; legger service parts; tool; finished item; manufactured / unresolved; lubrication; metal; assembly; proposal; equipment repair; legger; leger; companion replacement part; not applicable; t4; finished item</x:v>
      </x:c>
      <x:c r="AF287"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87" s="4" t="str">
        <x:v>Finished endpoint; material tier is not applicable. Input tiers belong to the chosen recipe.</x:v>
      </x:c>
      <x:c r="AH287" s="4" t="str">
        <x:v>T4</x:v>
      </x:c>
      <x:c r="AI287" s="4" t="str">
        <x:v>Finished item</x:v>
      </x:c>
      <x:c r="AJ287" s="4" t="n">
        <x:f>COUNTIFS('Material routes'!$D$6:$D$2205,A287,'Material routes'!$C$6:$C$2205,"Output")</x:f>
        <x:v>1</x:v>
      </x:c>
      <x:c r="AK287" s="4" t="n">
        <x:f>SUM(COUNTIFS('Material routes'!$D$6:$D$2205,A287,'Material routes'!$C$6:$C$2205,"Ingredient candidate"),COUNTIFS('Material routes'!$D$6:$D$2205,A287,'Material routes'!$C$6:$C$2205,"Consumed input"),COUNTIFS('Material routes'!$D$6:$D$2205,A287,'Material routes'!$C$6:$C$2205,"Contained input"),COUNTIFS('Material routes'!$D$6:$D$2205,A287,'Material routes'!$C$6:$C$2205,"Transform input"))</x:f>
        <x:v>0</x:v>
      </x:c>
      <x:c r="AL287" s="4" t="n">
        <x:f>COUNTIFS('Material routes'!$D$6:$D$2205,A287,'Material routes'!$C$6:$C$2205,"Tool candidate")</x:f>
        <x:v>0</x:v>
      </x:c>
      <x:c r="AM287" s="4" t="str">
        <x:f>IF(AJ287&gt;0,"Route listed; review status/completeness",IF(C287="T0","Raw entry feed; no production route","No production route listed"))</x:f>
        <x:v>Route listed; review status/completeness</x:v>
      </x:c>
      <x:c r="AN287" s="14" t="n">
        <x:f>IF(C287="T0",0,IF(C287="T1",1,IF(C287="T2",2,IF(C287="T3",3,IF(C287="T4",4,IF(C287="Unassigned",98,99))))))</x:f>
        <x:v>99</x:v>
      </x:c>
      <x:c r="AZ287"/>
      <x:c r="BA287"/>
      <x:c r="BB287"/>
      <x:c r="BC287"/>
      <x:c r="BD287"/>
      <x:c r="BE287"/>
      <x:c r="BF287"/>
      <x:c r="BG287"/>
      <x:c r="BH287"/>
      <x:c r="BI287"/>
      <x:c r="BJ287"/>
      <x:c r="BK287"/>
      <x:c r="BL287"/>
      <x:c r="BM287"/>
      <x:c r="BN287"/>
      <x:c r="BO287"/>
      <x:c r="BP287"/>
      <x:c r="BQ287"/>
      <x:c r="BR287"/>
      <x:c r="BS287"/>
      <x:c r="BT287"/>
      <x:c r="BU287"/>
      <x:c r="BV287"/>
      <x:c r="BW287"/>
      <x:c r="BX287"/>
      <x:c r="BY287"/>
      <x:c r="BZ287"/>
      <x:c r="CA287"/>
      <x:c r="CB287"/>
      <x:c r="CC287"/>
    </x:row>
    <x:row r="288" ht="170" customHeight="1">
      <x:c r="A288" s="9" t="str">
        <x:v>proposal.legger.service_adapter</x:v>
      </x:c>
      <x:c r="B288" s="9" t="str">
        <x:v>Lubricant service-port adapter</x:v>
      </x:c>
      <x:c r="C288" s="4" t="str">
        <x:v>T4</x:v>
      </x:c>
      <x:c r="D288" s="9" t="str">
        <x:v>Crafting components</x:v>
      </x:c>
      <x:c r="E288" s="9" t="str">
        <x:v>Legger service parts</x:v>
      </x:c>
      <x:c r="F288" s="9" t="str">
        <x:v>New proposal</x:v>
      </x:c>
      <x:c r="G288" s="9" t="inlineStr">
        <x:is>
          <x:t xml:space="preserve">Matched connection between a lubricant tool and a selected service port. It provides a proposed means of moving material between compatible parts or vessels while keeping the physical contents accounted for.</x:t>
        </x:is>
      </x:c>
      <x:c r="H288" s="9" t="str">
        <x:v>Legger fitment unresolved</x:v>
      </x:c>
      <x:c r="I288" s="9" t="str">
        <x:v>Legger attachment / replacement intended; physical cargo policy unchanged</x:v>
      </x:c>
      <x:c r="J288" s="13"/>
      <x:c r="K288" s="15"/>
      <x:c r="L288" s="9" t="str">
        <x:v>Local craft, salvage or specialist trade; exact route TBD</x:v>
      </x:c>
      <x:c r="M288" s="9" t="str">
        <x:v>No recipe authored. Reuse existing iron stock, biological materials, ceramic craft, lubricant and ancient-material families where appropriate.</x:v>
      </x:c>
      <x:c r="N288" s="9" t="str">
        <x:v>Not implemented</x:v>
      </x:c>
      <x:c r="O288" s="9" t="str">
        <x:v>Compatible fitting standard remains open; not a universal chemical connector.</x:v>
      </x:c>
      <x:c r="P288" s="17"/>
      <x:c r="Q288" s="17"/>
      <x:c r="R288" s="17"/>
      <x:c r="S288" s="17"/>
      <x:c r="T288" s="17"/>
      <x:c r="U288" s="9" t="str">
        <x:v>Brainstorming candidate. Geometry, cost, mass, mounting, carrying and replacement behavior remain open. Part belongs to a finite physical companion.</x:v>
      </x:c>
      <x:c r="V288" s="11" t="str">
        <x:v>lubrication; legger; leger; companion replacement part</x:v>
      </x:c>
      <x:c r="W288" s="9" t="str">
        <x:v>Author Legger slings/chassis/replacement/iron/ancient-armor brainstorming October 14, 2026; Docs/WORLD_BASIS.md#the-legger; specific item proposal.</x:v>
      </x:c>
      <x:c r="X288" s="4" t="str">
        <x:v>Container part</x:v>
      </x:c>
      <x:c r="Y288" s="4" t="str">
        <x:v>Processed intermediate</x:v>
      </x:c>
      <x:c r="Z288" s="4" t="str">
        <x:v>Manufactured / unresolved</x:v>
      </x:c>
      <x:c r="AA288" s="4" t="str">
        <x:v>Material transfer</x:v>
      </x:c>
      <x:c r="AB288" s="4" t="str">
        <x:v>Metal</x:v>
      </x:c>
      <x:c r="AC288" s="4" t="str">
        <x:v>Solid part</x:v>
      </x:c>
      <x:c r="AD288" s="4" t="str">
        <x:v>Proposal</x:v>
      </x:c>
      <x:c r="AE288" s="4" t="str">
        <x:f>LOWER(A288&amp;"; "&amp;B288&amp;"; "&amp;D288&amp;"; "&amp;E288&amp;"; "&amp;X288&amp;"; "&amp;Y288&amp;"; "&amp;Z288&amp;"; "&amp;AA288&amp;"; "&amp;AB288&amp;"; "&amp;AC288&amp;"; "&amp;AD288&amp;"; "&amp;V288&amp;"; "&amp;C288&amp;"; "&amp;AH288&amp;"; "&amp;AI288)</x:f>
        <x:v>proposal.legger.service_adapter; lubricant service-port adapter; crafting components; legger service parts; container part; processed intermediate; manufactured / unresolved; material transfer; metal; solid part; proposal; lubrication; legger; leger; companion replacement part; t4; not applicable; component</x:v>
      </x:c>
      <x:c r="AF288" s="4" t="str">
        <x:v>Specific parts and protective properties remain proposals; ancient-material scarcity is established author direction.</x:v>
      </x:c>
      <x:c r="AG288" s="4" t="str">
        <x:v>October 15 proposed tier review: Fit a service-port adapter from precision tube, packing and metal stock. Candidate route only: quantities, yield, tools, fit, process conditions and service compatibility remain open. </x:v>
      </x:c>
      <x:c r="AH288" s="4" t="str">
        <x:v>Not applicable</x:v>
      </x:c>
      <x:c r="AI288" s="4" t="str">
        <x:v>Component</x:v>
      </x:c>
      <x:c r="AJ288" s="4" t="n">
        <x:f>COUNTIFS('Material routes'!$D$6:$D$2205,A288,'Material routes'!$C$6:$C$2205,"Output")</x:f>
        <x:v>1</x:v>
      </x:c>
      <x:c r="AK288" s="4" t="n">
        <x:f>SUM(COUNTIFS('Material routes'!$D$6:$D$2205,A288,'Material routes'!$C$6:$C$2205,"Ingredient candidate"),COUNTIFS('Material routes'!$D$6:$D$2205,A288,'Material routes'!$C$6:$C$2205,"Consumed input"),COUNTIFS('Material routes'!$D$6:$D$2205,A288,'Material routes'!$C$6:$C$2205,"Contained input"),COUNTIFS('Material routes'!$D$6:$D$2205,A288,'Material routes'!$C$6:$C$2205,"Transform input"))</x:f>
        <x:v>1</x:v>
      </x:c>
      <x:c r="AL288" s="4" t="n">
        <x:f>COUNTIFS('Material routes'!$D$6:$D$2205,A288,'Material routes'!$C$6:$C$2205,"Tool candidate")</x:f>
        <x:v>0</x:v>
      </x:c>
      <x:c r="AM288" s="4" t="str">
        <x:f>IF(AJ288&gt;0,"Route listed; review status/completeness",IF(C288="T0","Raw entry feed; no production route","No production route listed"))</x:f>
        <x:v>Route listed; review status/completeness</x:v>
      </x:c>
      <x:c r="AN288" s="14" t="n">
        <x:f>IF(C288="T0",0,IF(C288="T1",1,IF(C288="T2",2,IF(C288="T3",3,IF(C288="T4",4,IF(C288="Unassigned",98,99))))))</x:f>
        <x:v>4</x:v>
      </x:c>
      <x:c r="AZ288"/>
      <x:c r="BA288"/>
      <x:c r="BB288"/>
      <x:c r="BC288"/>
      <x:c r="BD288"/>
      <x:c r="BE288"/>
      <x:c r="BF288"/>
      <x:c r="BG288"/>
      <x:c r="BH288"/>
      <x:c r="BI288"/>
      <x:c r="BJ288"/>
      <x:c r="BK288"/>
      <x:c r="BL288"/>
      <x:c r="BM288"/>
      <x:c r="BN288"/>
      <x:c r="BO288"/>
      <x:c r="BP288"/>
      <x:c r="BQ288"/>
      <x:c r="BR288"/>
      <x:c r="BS288"/>
      <x:c r="BT288"/>
      <x:c r="BU288"/>
      <x:c r="BV288"/>
      <x:c r="BW288"/>
      <x:c r="BX288"/>
      <x:c r="BY288"/>
      <x:c r="BZ288"/>
      <x:c r="CA288"/>
      <x:c r="CB288"/>
      <x:c r="CC288"/>
    </x:row>
    <x:row r="289" ht="115" customHeight="1">
      <x:c r="A289" s="9" t="str">
        <x:v>proposal.legger.service_pick</x:v>
      </x:c>
      <x:c r="B289" s="9" t="str">
        <x:v>Joint-service cleaning pick</x:v>
      </x:c>
      <x:c r="C289" s="4" t="str">
        <x:v>Not applicable</x:v>
      </x:c>
      <x:c r="D289" s="9" t="inlineStr">
        <x:is>
          <x:t xml:space="preserve">Salvage</x:t>
        </x:is>
      </x:c>
      <x:c r="E289" s="9" t="str">
        <x:v>Legger service parts</x:v>
      </x:c>
      <x:c r="F289" s="9" t="str">
        <x:v>New proposal</x:v>
      </x:c>
      <x:c r="G289" s="9" t="inlineStr">
        <x:is>
          <x:t xml:space="preserve">Shaped tool for removing residue from an accessible service recess. It is intended to dislodge or collect dirt from a suitable surface using its recorded physical form.</x:t>
        </x:is>
      </x:c>
      <x:c r="H289" s="9" t="str">
        <x:v>Legger fitment unresolved</x:v>
      </x:c>
      <x:c r="I289" s="9" t="str">
        <x:v>Legger attachment / replacement intended; physical cargo policy unchanged</x:v>
      </x:c>
      <x:c r="J289" s="13"/>
      <x:c r="K289" s="15"/>
      <x:c r="L289" s="9" t="str">
        <x:v>Local craft, salvage or specialist trade; exact route TBD</x:v>
      </x:c>
      <x:c r="M289" s="9" t="str">
        <x:v>No recipe authored. Reuse existing iron stock, biological materials, ceramic craft, lubricant and ancient-material families where appropriate.</x:v>
      </x:c>
      <x:c r="N289" s="9" t="str">
        <x:v>Not implemented</x:v>
      </x:c>
      <x:c r="O289" s="9" t="str">
        <x:v>Tool tip and use must preserve the selected seal/contact surface.</x:v>
      </x:c>
      <x:c r="P289" s="17"/>
      <x:c r="Q289" s="17"/>
      <x:c r="R289" s="17"/>
      <x:c r="S289" s="17"/>
      <x:c r="T289" s="17"/>
      <x:c r="U289" s="9" t="str">
        <x:v>Brainstorming candidate. Geometry, cost, mass, mounting, carrying and replacement behavior remain open. Part belongs to a finite physical companion.</x:v>
      </x:c>
      <x:c r="V289" s="11" t="str">
        <x:v>equipment repair; legger; leger; companion replacement part</x:v>
      </x:c>
      <x:c r="W289" s="9" t="str">
        <x:v>Author Legger slings/chassis/replacement/iron/ancient-armor brainstorming October 14, 2026; Docs/WORLD_BASIS.md#the-legger; specific item proposal.</x:v>
      </x:c>
      <x:c r="X289" s="4" t="str">
        <x:v>Tool</x:v>
      </x:c>
      <x:c r="Y289" s="4" t="str">
        <x:v>Finished item</x:v>
      </x:c>
      <x:c r="Z289" s="4" t="str">
        <x:v>Manufactured / unresolved</x:v>
      </x:c>
      <x:c r="AA289" s="4" t="str">
        <x:v>Cleaning</x:v>
      </x:c>
      <x:c r="AB289" s="4" t="str">
        <x:v>Metal</x:v>
      </x:c>
      <x:c r="AC289" s="4" t="str">
        <x:v>Solid part</x:v>
      </x:c>
      <x:c r="AD289" s="4" t="str">
        <x:v>Proposal</x:v>
      </x:c>
      <x:c r="AE289" s="4" t="str">
        <x:f>LOWER(A289&amp;"; "&amp;B289&amp;"; "&amp;D289&amp;"; "&amp;E289&amp;"; "&amp;X289&amp;"; "&amp;Y289&amp;"; "&amp;Z289&amp;"; "&amp;AA289&amp;"; "&amp;AB289&amp;"; "&amp;AC289&amp;"; "&amp;AD289&amp;"; "&amp;V289&amp;"; "&amp;C289&amp;"; "&amp;AH289&amp;"; "&amp;AI289)</x:f>
        <x:v>proposal.legger.service_pick; joint-service cleaning pick; salvage; legger service parts; tool; finished item; manufactured / unresolved; cleaning; metal; solid part; proposal; equipment repair; legger; leger; companion replacement part; not applicable; t3; finished item</x:v>
      </x:c>
      <x:c r="AF289"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89" s="4" t="str">
        <x:v>Finished endpoint; material tier is not applicable. Input tiers belong to the chosen recipe.</x:v>
      </x:c>
      <x:c r="AH289" s="4" t="str">
        <x:v>T3</x:v>
      </x:c>
      <x:c r="AI289" s="4" t="str">
        <x:v>Finished item</x:v>
      </x:c>
      <x:c r="AJ289" s="4" t="n">
        <x:f>COUNTIFS('Material routes'!$D$6:$D$2205,A289,'Material routes'!$C$6:$C$2205,"Output")</x:f>
        <x:v>1</x:v>
      </x:c>
      <x:c r="AK289" s="4" t="n">
        <x:f>SUM(COUNTIFS('Material routes'!$D$6:$D$2205,A289,'Material routes'!$C$6:$C$2205,"Ingredient candidate"),COUNTIFS('Material routes'!$D$6:$D$2205,A289,'Material routes'!$C$6:$C$2205,"Consumed input"),COUNTIFS('Material routes'!$D$6:$D$2205,A289,'Material routes'!$C$6:$C$2205,"Contained input"),COUNTIFS('Material routes'!$D$6:$D$2205,A289,'Material routes'!$C$6:$C$2205,"Transform input"))</x:f>
        <x:v>2</x:v>
      </x:c>
      <x:c r="AL289" s="4" t="n">
        <x:f>COUNTIFS('Material routes'!$D$6:$D$2205,A289,'Material routes'!$C$6:$C$2205,"Tool candidate")</x:f>
        <x:v>0</x:v>
      </x:c>
      <x:c r="AM289" s="4" t="str">
        <x:f>IF(AJ289&gt;0,"Route listed; review status/completeness",IF(C289="T0","Raw entry feed; no production route","No production route listed"))</x:f>
        <x:v>Route listed; review status/completeness</x:v>
      </x:c>
      <x:c r="AN289" s="14" t="n">
        <x:f>IF(C289="T0",0,IF(C289="T1",1,IF(C289="T2",2,IF(C289="T3",3,IF(C289="T4",4,IF(C289="Unassigned",98,99))))))</x:f>
        <x:v>99</x:v>
      </x:c>
      <x:c r="AZ289"/>
      <x:c r="BA289"/>
      <x:c r="BB289"/>
      <x:c r="BC289"/>
      <x:c r="BD289"/>
      <x:c r="BE289"/>
      <x:c r="BF289"/>
      <x:c r="BG289"/>
      <x:c r="BH289"/>
      <x:c r="BI289"/>
      <x:c r="BJ289"/>
      <x:c r="BK289"/>
      <x:c r="BL289"/>
      <x:c r="BM289"/>
      <x:c r="BN289"/>
      <x:c r="BO289"/>
      <x:c r="BP289"/>
      <x:c r="BQ289"/>
      <x:c r="BR289"/>
      <x:c r="BS289"/>
      <x:c r="BT289"/>
      <x:c r="BU289"/>
      <x:c r="BV289"/>
      <x:c r="BW289"/>
      <x:c r="BX289"/>
      <x:c r="BY289"/>
      <x:c r="BZ289"/>
      <x:c r="CA289"/>
      <x:c r="CB289"/>
      <x:c r="CC289"/>
    </x:row>
    <x:row r="290" ht="115" customHeight="1">
      <x:c r="A290" s="9" t="str">
        <x:v>proposal.legger.bearing_puller</x:v>
      </x:c>
      <x:c r="B290" s="9" t="str">
        <x:v>Matched bearing-removal tool</x:v>
      </x:c>
      <x:c r="C290" s="4" t="str">
        <x:v>Not applicable</x:v>
      </x:c>
      <x:c r="D290" s="9" t="inlineStr">
        <x:is>
          <x:t xml:space="preserve">Salvage</x:t>
        </x:is>
      </x:c>
      <x:c r="E290" s="9" t="str">
        <x:v>Legger service parts</x:v>
      </x:c>
      <x:c r="F290" s="9" t="str">
        <x:v>New proposal</x:v>
      </x:c>
      <x:c r="G290" s="9" t="inlineStr">
        <x:is>
          <x:t xml:space="preserve">Workshop tool candidate for removing a selected bearing assembly. It supports replacement, refitting or maintenance of a compatible item; ownership alone does not restore the equipment’s condition.</x:t>
        </x:is>
      </x:c>
      <x:c r="H290" s="9" t="str">
        <x:v>Legger fitment unresolved</x:v>
      </x:c>
      <x:c r="I290" s="9" t="str">
        <x:v>Legger attachment / replacement intended; physical cargo policy unchanged</x:v>
      </x:c>
      <x:c r="J290" s="13"/>
      <x:c r="K290" s="15"/>
      <x:c r="L290" s="9" t="str">
        <x:v>Local craft, salvage or specialist trade; exact route TBD</x:v>
      </x:c>
      <x:c r="M290" s="9" t="str">
        <x:v>No recipe authored. Reuse existing iron stock, biological materials, ceramic craft, lubricant and ancient-material families where appropriate.</x:v>
      </x:c>
      <x:c r="N290" s="9" t="str">
        <x:v>Not implemented</x:v>
      </x:c>
      <x:c r="O290" s="9" t="str">
        <x:v>Requires the actual bearing and host fit; does not grant field disassembly of all joints.</x:v>
      </x:c>
      <x:c r="P290" s="17"/>
      <x:c r="Q290" s="17"/>
      <x:c r="R290" s="17"/>
      <x:c r="S290" s="17"/>
      <x:c r="T290" s="17"/>
      <x:c r="U290" s="9" t="str">
        <x:v>Brainstorming candidate. Geometry, cost, mass, mounting, carrying and replacement behavior remain open. Part belongs to a finite physical companion.</x:v>
      </x:c>
      <x:c r="V290" s="11" t="str">
        <x:v>legger; leger; companion replacement part</x:v>
      </x:c>
      <x:c r="W290" s="9" t="str">
        <x:v>Author Legger slings/chassis/replacement/iron/ancient-armor brainstorming October 14, 2026; Docs/WORLD_BASIS.md#the-legger; specific item proposal.</x:v>
      </x:c>
      <x:c r="X290" s="4" t="str">
        <x:v>Tool</x:v>
      </x:c>
      <x:c r="Y290" s="4" t="str">
        <x:v>Finished item</x:v>
      </x:c>
      <x:c r="Z290" s="4" t="str">
        <x:v>Manufactured / unresolved</x:v>
      </x:c>
      <x:c r="AA290" s="4" t="str">
        <x:v>Equipment repair</x:v>
      </x:c>
      <x:c r="AB290" s="4" t="str">
        <x:v>Metal</x:v>
      </x:c>
      <x:c r="AC290" s="4" t="str">
        <x:v>Assembly</x:v>
      </x:c>
      <x:c r="AD290" s="4" t="str">
        <x:v>Proposal</x:v>
      </x:c>
      <x:c r="AE290" s="4" t="str">
        <x:f>LOWER(A290&amp;"; "&amp;B290&amp;"; "&amp;D290&amp;"; "&amp;E290&amp;"; "&amp;X290&amp;"; "&amp;Y290&amp;"; "&amp;Z290&amp;"; "&amp;AA290&amp;"; "&amp;AB290&amp;"; "&amp;AC290&amp;"; "&amp;AD290&amp;"; "&amp;V290&amp;"; "&amp;C290&amp;"; "&amp;AH290&amp;"; "&amp;AI290)</x:f>
        <x:v>proposal.legger.bearing_puller; matched bearing-removal tool; salvage; legger service parts; tool; finished item; manufactured / unresolved; equipment repair; metal; assembly; proposal; legger; leger; companion replacement part; not applicable; t3; finished item</x:v>
      </x:c>
      <x:c r="AF290"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90" s="4" t="str">
        <x:v>Finished endpoint; material tier is not applicable. Input tiers belong to the chosen recipe.</x:v>
      </x:c>
      <x:c r="AH290" s="4" t="str">
        <x:v>T3</x:v>
      </x:c>
      <x:c r="AI290" s="4" t="str">
        <x:v>Finished item</x:v>
      </x:c>
      <x:c r="AJ290" s="4" t="n">
        <x:f>COUNTIFS('Material routes'!$D$6:$D$2205,A290,'Material routes'!$C$6:$C$2205,"Output")</x:f>
        <x:v>1</x:v>
      </x:c>
      <x:c r="AK290" s="4" t="n">
        <x:f>SUM(COUNTIFS('Material routes'!$D$6:$D$2205,A290,'Material routes'!$C$6:$C$2205,"Ingredient candidate"),COUNTIFS('Material routes'!$D$6:$D$2205,A290,'Material routes'!$C$6:$C$2205,"Consumed input"),COUNTIFS('Material routes'!$D$6:$D$2205,A290,'Material routes'!$C$6:$C$2205,"Contained input"),COUNTIFS('Material routes'!$D$6:$D$2205,A290,'Material routes'!$C$6:$C$2205,"Transform input"))</x:f>
        <x:v>0</x:v>
      </x:c>
      <x:c r="AL290" s="4" t="n">
        <x:f>COUNTIFS('Material routes'!$D$6:$D$2205,A290,'Material routes'!$C$6:$C$2205,"Tool candidate")</x:f>
        <x:v>0</x:v>
      </x:c>
      <x:c r="AM290" s="4" t="str">
        <x:f>IF(AJ290&gt;0,"Route listed; review status/completeness",IF(C290="T0","Raw entry feed; no production route","No production route listed"))</x:f>
        <x:v>Route listed; review status/completeness</x:v>
      </x:c>
      <x:c r="AN290" s="14" t="n">
        <x:f>IF(C290="T0",0,IF(C290="T1",1,IF(C290="T2",2,IF(C290="T3",3,IF(C290="T4",4,IF(C290="Unassigned",98,99))))))</x:f>
        <x:v>99</x:v>
      </x:c>
      <x:c r="AZ290"/>
      <x:c r="BA290"/>
      <x:c r="BB290"/>
      <x:c r="BC290"/>
      <x:c r="BD290"/>
      <x:c r="BE290"/>
      <x:c r="BF290"/>
      <x:c r="BG290"/>
      <x:c r="BH290"/>
      <x:c r="BI290"/>
      <x:c r="BJ290"/>
      <x:c r="BK290"/>
      <x:c r="BL290"/>
      <x:c r="BM290"/>
      <x:c r="BN290"/>
      <x:c r="BO290"/>
      <x:c r="BP290"/>
      <x:c r="BQ290"/>
      <x:c r="BR290"/>
      <x:c r="BS290"/>
      <x:c r="BT290"/>
      <x:c r="BU290"/>
      <x:c r="BV290"/>
      <x:c r="BW290"/>
      <x:c r="BX290"/>
      <x:c r="BY290"/>
      <x:c r="BZ290"/>
      <x:c r="CA290"/>
      <x:c r="CB290"/>
      <x:c r="CC290"/>
    </x:row>
    <x:row r="291" ht="115" customHeight="1">
      <x:c r="A291" s="9" t="str">
        <x:v>proposal.legger.alignment_gauge</x:v>
      </x:c>
      <x:c r="B291" s="9" t="str">
        <x:v>Legger alignment gauge</x:v>
      </x:c>
      <x:c r="C291" s="4" t="str">
        <x:v>Not applicable</x:v>
      </x:c>
      <x:c r="D291" s="9" t="inlineStr">
        <x:is>
          <x:t xml:space="preserve">Salvage</x:t>
        </x:is>
      </x:c>
      <x:c r="E291" s="9" t="str">
        <x:v>Legger service parts</x:v>
      </x:c>
      <x:c r="F291" s="9" t="str">
        <x:v>New proposal</x:v>
      </x:c>
      <x:c r="G291" s="9" t="inlineStr">
        <x:is>
          <x:t xml:space="preserve">Template or gauge for checking a defined fitted relationship. It supports looking at or examining a workpiece, with the useful view determined by its optical and mechanical arrangement.</x:t>
        </x:is>
      </x:c>
      <x:c r="H291" s="9" t="str">
        <x:v>Legger fitment unresolved</x:v>
      </x:c>
      <x:c r="I291" s="9" t="str">
        <x:v>Legger attachment / replacement intended; physical cargo policy unchanged</x:v>
      </x:c>
      <x:c r="J291" s="13"/>
      <x:c r="K291" s="15"/>
      <x:c r="L291" s="9" t="str">
        <x:v>Local craft, salvage or specialist trade; exact route TBD</x:v>
      </x:c>
      <x:c r="M291" s="9" t="str">
        <x:v>No recipe authored. Reuse existing iron stock, biological materials, ceramic craft, lubricant and ancient-material families where appropriate.</x:v>
      </x:c>
      <x:c r="N291" s="9" t="str">
        <x:v>Not implemented</x:v>
      </x:c>
      <x:c r="O291" s="9" t="str">
        <x:v>Reference geometry and acceptable tolerances unresolved.</x:v>
      </x:c>
      <x:c r="P291" s="17"/>
      <x:c r="Q291" s="17"/>
      <x:c r="R291" s="17"/>
      <x:c r="S291" s="17"/>
      <x:c r="T291" s="17"/>
      <x:c r="U291" s="9" t="str">
        <x:v>Brainstorming candidate. Geometry, cost, mass, mounting, carrying and replacement behavior remain open. Part belongs to a finite physical companion.</x:v>
      </x:c>
      <x:c r="V291" s="11" t="str">
        <x:v>equipment repair; legger; leger; companion replacement part</x:v>
      </x:c>
      <x:c r="W291" s="9" t="str">
        <x:v>Author Legger slings/chassis/replacement/iron/ancient-armor brainstorming October 14, 2026; Docs/WORLD_BASIS.md#the-legger; specific item proposal.</x:v>
      </x:c>
      <x:c r="X291" s="4" t="str">
        <x:v>Tool</x:v>
      </x:c>
      <x:c r="Y291" s="4" t="str">
        <x:v>Finished item</x:v>
      </x:c>
      <x:c r="Z291" s="4" t="str">
        <x:v>Manufactured / unresolved</x:v>
      </x:c>
      <x:c r="AA291" s="4" t="str">
        <x:v>Inspection</x:v>
      </x:c>
      <x:c r="AB291" s="4" t="str">
        <x:v>Metal</x:v>
      </x:c>
      <x:c r="AC291" s="4" t="str">
        <x:v>Solid part</x:v>
      </x:c>
      <x:c r="AD291" s="4" t="str">
        <x:v>Proposal</x:v>
      </x:c>
      <x:c r="AE291" s="4" t="str">
        <x:f>LOWER(A291&amp;"; "&amp;B291&amp;"; "&amp;D291&amp;"; "&amp;E291&amp;"; "&amp;X291&amp;"; "&amp;Y291&amp;"; "&amp;Z291&amp;"; "&amp;AA291&amp;"; "&amp;AB291&amp;"; "&amp;AC291&amp;"; "&amp;AD291&amp;"; "&amp;V291&amp;"; "&amp;C291&amp;"; "&amp;AH291&amp;"; "&amp;AI291)</x:f>
        <x:v>proposal.legger.alignment_gauge; legger alignment gauge; salvage; legger service parts; tool; finished item; manufactured / unresolved; inspection; metal; solid part; proposal; equipment repair; legger; leger; companion replacement part; not applicable; t2; finished item</x:v>
      </x:c>
      <x:c r="AF291"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91" s="4" t="str">
        <x:v>Finished endpoint; material tier is not applicable. Input tiers belong to the chosen recipe.</x:v>
      </x:c>
      <x:c r="AH291" s="4" t="str">
        <x:v>T2</x:v>
      </x:c>
      <x:c r="AI291" s="4" t="str">
        <x:v>Finished item</x:v>
      </x:c>
      <x:c r="AJ291" s="4" t="n">
        <x:f>COUNTIFS('Material routes'!$D$6:$D$2205,A291,'Material routes'!$C$6:$C$2205,"Output")</x:f>
        <x:v>1</x:v>
      </x:c>
      <x:c r="AK291" s="4" t="n">
        <x:f>SUM(COUNTIFS('Material routes'!$D$6:$D$2205,A291,'Material routes'!$C$6:$C$2205,"Ingredient candidate"),COUNTIFS('Material routes'!$D$6:$D$2205,A291,'Material routes'!$C$6:$C$2205,"Consumed input"),COUNTIFS('Material routes'!$D$6:$D$2205,A291,'Material routes'!$C$6:$C$2205,"Contained input"),COUNTIFS('Material routes'!$D$6:$D$2205,A291,'Material routes'!$C$6:$C$2205,"Transform input"))</x:f>
        <x:v>0</x:v>
      </x:c>
      <x:c r="AL291" s="4" t="n">
        <x:f>COUNTIFS('Material routes'!$D$6:$D$2205,A291,'Material routes'!$C$6:$C$2205,"Tool candidate")</x:f>
        <x:v>0</x:v>
      </x:c>
      <x:c r="AM291" s="4" t="str">
        <x:f>IF(AJ291&gt;0,"Route listed; review status/completeness",IF(C291="T0","Raw entry feed; no production route","No production route listed"))</x:f>
        <x:v>Route listed; review status/completeness</x:v>
      </x:c>
      <x:c r="AN291" s="14" t="n">
        <x:f>IF(C291="T0",0,IF(C291="T1",1,IF(C291="T2",2,IF(C291="T3",3,IF(C291="T4",4,IF(C291="Unassigned",98,99))))))</x:f>
        <x:v>99</x:v>
      </x:c>
      <x:c r="AZ291"/>
      <x:c r="BA291"/>
      <x:c r="BB291"/>
      <x:c r="BC291"/>
      <x:c r="BD291"/>
      <x:c r="BE291"/>
      <x:c r="BF291"/>
      <x:c r="BG291"/>
      <x:c r="BH291"/>
      <x:c r="BI291"/>
      <x:c r="BJ291"/>
      <x:c r="BK291"/>
      <x:c r="BL291"/>
      <x:c r="BM291"/>
      <x:c r="BN291"/>
      <x:c r="BO291"/>
      <x:c r="BP291"/>
      <x:c r="BQ291"/>
      <x:c r="BR291"/>
      <x:c r="BS291"/>
      <x:c r="BT291"/>
      <x:c r="BU291"/>
      <x:c r="BV291"/>
      <x:c r="BW291"/>
      <x:c r="BX291"/>
      <x:c r="BY291"/>
      <x:c r="BZ291"/>
      <x:c r="CA291"/>
      <x:c r="CB291"/>
      <x:c r="CC291"/>
    </x:row>
    <x:row r="292" ht="115" customHeight="1">
      <x:c r="A292" s="9" t="str">
        <x:v>proposal.legger.spares_case</x:v>
      </x:c>
      <x:c r="B292" s="9" t="str">
        <x:v>Legger fitted spares case</x:v>
      </x:c>
      <x:c r="C292" s="4" t="str">
        <x:v>Not applicable</x:v>
      </x:c>
      <x:c r="D292" s="9" t="inlineStr">
        <x:is>
          <x:t xml:space="preserve">Legger attachments</x:t>
        </x:is>
      </x:c>
      <x:c r="E292" s="9" t="str">
        <x:v>Legger service parts</x:v>
      </x:c>
      <x:c r="F292" s="9" t="str">
        <x:v>New proposal</x:v>
      </x:c>
      <x:c r="G292" s="9" t="inlineStr">
        <x:is>
          <x:t xml:space="preserve">Partitioned case for selected small replacement parts and service tools. It is intended to retain or separate physical cargo at its actual location; it does not create remote storage or extra carrying capacity.</x:t>
        </x:is>
      </x:c>
      <x:c r="H292" s="9" t="str">
        <x:v>Legger fitment unresolved</x:v>
      </x:c>
      <x:c r="I292" s="9" t="str">
        <x:v>Legger attachment / replacement intended; physical cargo policy unchanged</x:v>
      </x:c>
      <x:c r="J292" s="13"/>
      <x:c r="K292" s="15"/>
      <x:c r="L292" s="9" t="str">
        <x:v>Local craft, salvage or specialist trade; exact route TBD</x:v>
      </x:c>
      <x:c r="M292" s="9" t="str">
        <x:v>No recipe authored. Reuse existing iron stock, biological materials, ceramic craft, lubricant and ancient-material families where appropriate.</x:v>
      </x:c>
      <x:c r="N292" s="9" t="str">
        <x:v>Not implemented</x:v>
      </x:c>
      <x:c r="O292" s="9" t="str">
        <x:v>Contents remain separate items; no uncounted complete repair kit or capacity increase.</x:v>
      </x:c>
      <x:c r="P292" s="17"/>
      <x:c r="Q292" s="17"/>
      <x:c r="R292" s="17"/>
      <x:c r="S292" s="17"/>
      <x:c r="T292" s="17"/>
      <x:c r="U292" s="9" t="str">
        <x:v>Brainstorming candidate. Geometry, cost, mass, mounting, carrying and replacement behavior remain open. Part belongs to a finite physical companion.</x:v>
      </x:c>
      <x:c r="V292" s="11" t="str">
        <x:v>legger; leger; companion replacement part</x:v>
      </x:c>
      <x:c r="W292" s="9" t="str">
        <x:v>Author Legger slings/chassis/replacement/iron/ancient-armor brainstorming October 14, 2026; Docs/WORLD_BASIS.md#the-legger; specific item proposal.</x:v>
      </x:c>
      <x:c r="X292" s="4" t="str">
        <x:v>Container</x:v>
      </x:c>
      <x:c r="Y292" s="4" t="str">
        <x:v>Finished item</x:v>
      </x:c>
      <x:c r="Z292" s="4" t="str">
        <x:v>Manufactured / unresolved</x:v>
      </x:c>
      <x:c r="AA292" s="4" t="str">
        <x:v>Cargo organization</x:v>
      </x:c>
      <x:c r="AB292" s="4" t="str">
        <x:v>Metal or shell</x:v>
      </x:c>
      <x:c r="AC292" s="4" t="str">
        <x:v>Assembly</x:v>
      </x:c>
      <x:c r="AD292" s="4" t="str">
        <x:v>Proposal</x:v>
      </x:c>
      <x:c r="AE292" s="4" t="str">
        <x:f>LOWER(A292&amp;"; "&amp;B292&amp;"; "&amp;D292&amp;"; "&amp;E292&amp;"; "&amp;X292&amp;"; "&amp;Y292&amp;"; "&amp;Z292&amp;"; "&amp;AA292&amp;"; "&amp;AB292&amp;"; "&amp;AC292&amp;"; "&amp;AD292&amp;"; "&amp;V292&amp;"; "&amp;C292&amp;"; "&amp;AH292&amp;"; "&amp;AI292)</x:f>
        <x:v>proposal.legger.spares_case; legger fitted spares case; legger attachments; legger service parts; container; finished item; manufactured / unresolved; cargo organization; metal or shell; assembly; proposal; legger; leger; companion replacement part; not applicable; t4; finished item</x:v>
      </x:c>
      <x:c r="AF292"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2" s="4" t="str">
        <x:v>Finished endpoint; material tier is not applicable. Input tiers belong to the chosen recipe.</x:v>
      </x:c>
      <x:c r="AH292" s="4" t="str">
        <x:v>T4</x:v>
      </x:c>
      <x:c r="AI292" s="4" t="str">
        <x:v>Finished item</x:v>
      </x:c>
      <x:c r="AJ292" s="4" t="n">
        <x:f>COUNTIFS('Material routes'!$D$6:$D$2205,A292,'Material routes'!$C$6:$C$2205,"Output")</x:f>
        <x:v>1</x:v>
      </x:c>
      <x:c r="AK292" s="4" t="n">
        <x:f>SUM(COUNTIFS('Material routes'!$D$6:$D$2205,A292,'Material routes'!$C$6:$C$2205,"Ingredient candidate"),COUNTIFS('Material routes'!$D$6:$D$2205,A292,'Material routes'!$C$6:$C$2205,"Consumed input"),COUNTIFS('Material routes'!$D$6:$D$2205,A292,'Material routes'!$C$6:$C$2205,"Contained input"),COUNTIFS('Material routes'!$D$6:$D$2205,A292,'Material routes'!$C$6:$C$2205,"Transform input"))</x:f>
        <x:v>0</x:v>
      </x:c>
      <x:c r="AL292" s="4" t="n">
        <x:f>COUNTIFS('Material routes'!$D$6:$D$2205,A292,'Material routes'!$C$6:$C$2205,"Tool candidate")</x:f>
        <x:v>0</x:v>
      </x:c>
      <x:c r="AM292" s="4" t="str">
        <x:f>IF(AJ292&gt;0,"Route listed; review status/completeness",IF(C292="T0","Raw entry feed; no production route","No production route listed"))</x:f>
        <x:v>Route listed; review status/completeness</x:v>
      </x:c>
      <x:c r="AN292" s="14" t="n">
        <x:f>IF(C292="T0",0,IF(C292="T1",1,IF(C292="T2",2,IF(C292="T3",3,IF(C292="T4",4,IF(C292="Unassigned",98,99))))))</x:f>
        <x:v>99</x:v>
      </x:c>
      <x:c r="AZ292"/>
      <x:c r="BA292"/>
      <x:c r="BB292"/>
      <x:c r="BC292"/>
      <x:c r="BD292"/>
      <x:c r="BE292"/>
      <x:c r="BF292"/>
      <x:c r="BG292"/>
      <x:c r="BH292"/>
      <x:c r="BI292"/>
      <x:c r="BJ292"/>
      <x:c r="BK292"/>
      <x:c r="BL292"/>
      <x:c r="BM292"/>
      <x:c r="BN292"/>
      <x:c r="BO292"/>
      <x:c r="BP292"/>
      <x:c r="BQ292"/>
      <x:c r="BR292"/>
      <x:c r="BS292"/>
      <x:c r="BT292"/>
      <x:c r="BU292"/>
      <x:c r="BV292"/>
      <x:c r="BW292"/>
      <x:c r="BX292"/>
      <x:c r="BY292"/>
      <x:c r="BZ292"/>
      <x:c r="CA292"/>
      <x:c r="CB292"/>
      <x:c r="CC292"/>
    </x:row>
    <x:row r="293" ht="115" customHeight="1">
      <x:c r="A293" s="9" t="str">
        <x:v>proposal.legger.edge_guard</x:v>
      </x:c>
      <x:c r="B293" s="9" t="str">
        <x:v>Chassis leading-edge guard</x:v>
      </x:c>
      <x:c r="C293" s="4" t="str">
        <x:v>Not applicable</x:v>
      </x:c>
      <x:c r="D293" s="9" t="inlineStr">
        <x:is>
          <x:t xml:space="preserve">Legger armor</x:t>
        </x:is>
      </x:c>
      <x:c r="E293" s="9" t="str">
        <x:v>Legger armor</x:v>
      </x:c>
      <x:c r="F293" s="9" t="str">
        <x:v>New proposal</x:v>
      </x:c>
      <x:c r="G293" s="9" t="inlineStr">
        <x:is>
          <x:t xml:space="preserve">Replaceable narrow guard on a selected exposed frame edge. It is intended to cover or guard the recorded area, with fit, coverage and protective performance still requiring qualification.</x:t>
        </x:is>
      </x:c>
      <x:c r="H293" s="9" t="str">
        <x:v>Legger fitment unresolved</x:v>
      </x:c>
      <x:c r="I293" s="9" t="str">
        <x:v>Legger attachment / replacement intended; physical cargo policy unchanged</x:v>
      </x:c>
      <x:c r="J293" s="13"/>
      <x:c r="K293" s="15"/>
      <x:c r="L293" s="9" t="str">
        <x:v>Local craft, salvage or specialist trade; exact route TBD</x:v>
      </x:c>
      <x:c r="M293" s="9" t="str">
        <x:v>No recipe authored. Reuse existing iron stock, biological materials, ceramic craft, lubricant and ancient-material families where appropriate.</x:v>
      </x:c>
      <x:c r="N293" s="9" t="str">
        <x:v>Not implemented</x:v>
      </x:c>
      <x:c r="O293" s="9" t="str">
        <x:v>Coverage and host geometry distinguish it from full chassis plates; protection TBD.</x:v>
      </x:c>
      <x:c r="P293" s="17"/>
      <x:c r="Q293" s="17"/>
      <x:c r="R293" s="17"/>
      <x:c r="S293" s="17"/>
      <x:c r="T293" s="17"/>
      <x:c r="U293" s="9" t="str">
        <x:v>Brainstorming candidate. Geometry, cost, mass, mounting, carrying and replacement behavior remain open. Part belongs to a finite physical companion.</x:v>
      </x:c>
      <x:c r="V293" s="11" t="str">
        <x:v>legger; leger; companion replacement part</x:v>
      </x:c>
      <x:c r="W293" s="9" t="str">
        <x:v>Author Legger slings/chassis/replacement/iron/ancient-armor brainstorming October 14, 2026; Docs/WORLD_BASIS.md#the-legger; specific item proposal.</x:v>
      </x:c>
      <x:c r="X293" s="4" t="str">
        <x:v>Armor</x:v>
      </x:c>
      <x:c r="Y293" s="4" t="str">
        <x:v>Finished item</x:v>
      </x:c>
      <x:c r="Z293" s="4" t="str">
        <x:v>Manufactured / unresolved</x:v>
      </x:c>
      <x:c r="AA293" s="4" t="str">
        <x:v>Protection</x:v>
      </x:c>
      <x:c r="AB293" s="4" t="str">
        <x:v>Metal</x:v>
      </x:c>
      <x:c r="AC293" s="4" t="str">
        <x:v>Panel</x:v>
      </x:c>
      <x:c r="AD293" s="4" t="str">
        <x:v>Proposal</x:v>
      </x:c>
      <x:c r="AE293" s="4" t="str">
        <x:f>LOWER(A293&amp;"; "&amp;B293&amp;"; "&amp;D293&amp;"; "&amp;E293&amp;"; "&amp;X293&amp;"; "&amp;Y293&amp;"; "&amp;Z293&amp;"; "&amp;AA293&amp;"; "&amp;AB293&amp;"; "&amp;AC293&amp;"; "&amp;AD293&amp;"; "&amp;V293&amp;"; "&amp;C293&amp;"; "&amp;AH293&amp;"; "&amp;AI293)</x:f>
        <x:v>proposal.legger.edge_guard; chassis leading-edge guard; legger armor; legger armor; legger armor; finished item; manufactured / unresolved; protection; metal; panel; proposal; legger; leger; companion replacement part; not applicable; t3; finished item</x:v>
      </x:c>
      <x:c r="AF293"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3" s="4" t="str">
        <x:v>Finished endpoint; material tier is not applicable. Input tiers belong to the chosen recipe.</x:v>
      </x:c>
      <x:c r="AH293" s="4" t="str">
        <x:v>T3</x:v>
      </x:c>
      <x:c r="AI293" s="4" t="str">
        <x:v>Finished item</x:v>
      </x:c>
      <x:c r="AJ293" s="4" t="n">
        <x:f>COUNTIFS('Material routes'!$D$6:$D$2205,A293,'Material routes'!$C$6:$C$2205,"Output")</x:f>
        <x:v>1</x:v>
      </x:c>
      <x:c r="AK293" s="4" t="n">
        <x:f>SUM(COUNTIFS('Material routes'!$D$6:$D$2205,A293,'Material routes'!$C$6:$C$2205,"Ingredient candidate"),COUNTIFS('Material routes'!$D$6:$D$2205,A293,'Material routes'!$C$6:$C$2205,"Consumed input"),COUNTIFS('Material routes'!$D$6:$D$2205,A293,'Material routes'!$C$6:$C$2205,"Contained input"),COUNTIFS('Material routes'!$D$6:$D$2205,A293,'Material routes'!$C$6:$C$2205,"Transform input"))</x:f>
        <x:v>0</x:v>
      </x:c>
      <x:c r="AL293" s="4" t="n">
        <x:f>COUNTIFS('Material routes'!$D$6:$D$2205,A293,'Material routes'!$C$6:$C$2205,"Tool candidate")</x:f>
        <x:v>0</x:v>
      </x:c>
      <x:c r="AM293" s="4" t="str">
        <x:f>IF(AJ293&gt;0,"Route listed; review status/completeness",IF(C293="T0","Raw entry feed; no production route","No production route listed"))</x:f>
        <x:v>Route listed; review status/completeness</x:v>
      </x:c>
      <x:c r="AN293" s="14" t="n">
        <x:f>IF(C293="T0",0,IF(C293="T1",1,IF(C293="T2",2,IF(C293="T3",3,IF(C293="T4",4,IF(C293="Unassigned",98,99))))))</x:f>
        <x:v>99</x:v>
      </x:c>
      <x:c r="AZ293"/>
      <x:c r="BA293"/>
      <x:c r="BB293"/>
      <x:c r="BC293"/>
      <x:c r="BD293"/>
      <x:c r="BE293"/>
      <x:c r="BF293"/>
      <x:c r="BG293"/>
      <x:c r="BH293"/>
      <x:c r="BI293"/>
      <x:c r="BJ293"/>
      <x:c r="BK293"/>
      <x:c r="BL293"/>
      <x:c r="BM293"/>
      <x:c r="BN293"/>
      <x:c r="BO293"/>
      <x:c r="BP293"/>
      <x:c r="BQ293"/>
      <x:c r="BR293"/>
      <x:c r="BS293"/>
      <x:c r="BT293"/>
      <x:c r="BU293"/>
      <x:c r="BV293"/>
      <x:c r="BW293"/>
      <x:c r="BX293"/>
      <x:c r="BY293"/>
      <x:c r="BZ293"/>
      <x:c r="CA293"/>
      <x:c r="CB293"/>
      <x:c r="CC293"/>
    </x:row>
    <x:row r="294" ht="115" customHeight="1">
      <x:c r="A294" s="9" t="str">
        <x:v>proposal.legger.instrument_guard</x:v>
      </x:c>
      <x:c r="B294" s="9" t="str">
        <x:v>Instrument-face guard</x:v>
      </x:c>
      <x:c r="C294" s="4" t="str">
        <x:v>Not applicable</x:v>
      </x:c>
      <x:c r="D294" s="9" t="inlineStr">
        <x:is>
          <x:t xml:space="preserve">Legger armor</x:t>
        </x:is>
      </x:c>
      <x:c r="E294" s="9" t="str">
        <x:v>Legger armor</x:v>
      </x:c>
      <x:c r="F294" s="9" t="str">
        <x:v>New proposal</x:v>
      </x:c>
      <x:c r="G294" s="9" t="inlineStr">
        <x:is>
          <x:t xml:space="preserve">Protective cage candidate around a selected exposed instrument face. It is intended to cover or guard the recorded area, with fit, coverage and protective performance still requiring qualification.</x:t>
        </x:is>
      </x:c>
      <x:c r="H294" s="9" t="str">
        <x:v>Legger fitment unresolved</x:v>
      </x:c>
      <x:c r="I294" s="9" t="str">
        <x:v>Legger attachment / replacement intended; physical cargo policy unchanged</x:v>
      </x:c>
      <x:c r="J294" s="13"/>
      <x:c r="K294" s="15"/>
      <x:c r="L294" s="9" t="str">
        <x:v>Local craft, salvage or specialist trade; exact route TBD</x:v>
      </x:c>
      <x:c r="M294" s="9" t="str">
        <x:v>No recipe authored. Reuse existing iron stock, biological materials, ceramic craft, lubricant and ancient-material families where appropriate.</x:v>
      </x:c>
      <x:c r="N294" s="9" t="str">
        <x:v>Not implemented</x:v>
      </x:c>
      <x:c r="O294" s="9" t="str">
        <x:v>Requires a real instrument and sight/clearance review; grants no new sensor capability.</x:v>
      </x:c>
      <x:c r="P294" s="17"/>
      <x:c r="Q294" s="17"/>
      <x:c r="R294" s="17"/>
      <x:c r="S294" s="17"/>
      <x:c r="T294" s="17"/>
      <x:c r="U294" s="9" t="str">
        <x:v>Brainstorming candidate. Geometry, cost, mass, mounting, carrying and replacement behavior remain open. Part belongs to a finite physical companion.</x:v>
      </x:c>
      <x:c r="V294" s="11" t="str">
        <x:v>legger; leger; companion replacement part</x:v>
      </x:c>
      <x:c r="W294" s="9" t="str">
        <x:v>Author Legger slings/chassis/replacement/iron/ancient-armor brainstorming October 14, 2026; Docs/WORLD_BASIS.md#the-legger; specific item proposal.</x:v>
      </x:c>
      <x:c r="X294" s="4" t="str">
        <x:v>Armor</x:v>
      </x:c>
      <x:c r="Y294" s="4" t="str">
        <x:v>Finished item</x:v>
      </x:c>
      <x:c r="Z294" s="4" t="str">
        <x:v>Manufactured / unresolved</x:v>
      </x:c>
      <x:c r="AA294" s="4" t="str">
        <x:v>Protection</x:v>
      </x:c>
      <x:c r="AB294" s="4" t="str">
        <x:v>Mixed / unresolved</x:v>
      </x:c>
      <x:c r="AC294" s="4" t="str">
        <x:v>Assembly</x:v>
      </x:c>
      <x:c r="AD294" s="4" t="str">
        <x:v>Proposal</x:v>
      </x:c>
      <x:c r="AE294" s="4" t="str">
        <x:f>LOWER(A294&amp;"; "&amp;B294&amp;"; "&amp;D294&amp;"; "&amp;E294&amp;"; "&amp;X294&amp;"; "&amp;Y294&amp;"; "&amp;Z294&amp;"; "&amp;AA294&amp;"; "&amp;AB294&amp;"; "&amp;AC294&amp;"; "&amp;AD294&amp;"; "&amp;V294&amp;"; "&amp;C294&amp;"; "&amp;AH294&amp;"; "&amp;AI294)</x:f>
        <x:v>proposal.legger.instrument_guard; instrument-face guard; legger armor; legger armor; legger armor; finished item; manufactured / unresolved; protection; mixed / unresolved; assembly; proposal; legger; leger; companion replacement part; not applicable; t3; finished item</x:v>
      </x:c>
      <x:c r="AF294"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4" s="4" t="str">
        <x:v>Finished endpoint; material tier is not applicable. Input tiers belong to the chosen recipe.</x:v>
      </x:c>
      <x:c r="AH294" s="4" t="str">
        <x:v>T3</x:v>
      </x:c>
      <x:c r="AI294" s="4" t="str">
        <x:v>Finished item</x:v>
      </x:c>
      <x:c r="AJ294" s="4" t="n">
        <x:f>COUNTIFS('Material routes'!$D$6:$D$2205,A294,'Material routes'!$C$6:$C$2205,"Output")</x:f>
        <x:v>1</x:v>
      </x:c>
      <x:c r="AK294" s="4" t="n">
        <x:f>SUM(COUNTIFS('Material routes'!$D$6:$D$2205,A294,'Material routes'!$C$6:$C$2205,"Ingredient candidate"),COUNTIFS('Material routes'!$D$6:$D$2205,A294,'Material routes'!$C$6:$C$2205,"Consumed input"),COUNTIFS('Material routes'!$D$6:$D$2205,A294,'Material routes'!$C$6:$C$2205,"Contained input"),COUNTIFS('Material routes'!$D$6:$D$2205,A294,'Material routes'!$C$6:$C$2205,"Transform input"))</x:f>
        <x:v>0</x:v>
      </x:c>
      <x:c r="AL294" s="4" t="n">
        <x:f>COUNTIFS('Material routes'!$D$6:$D$2205,A294,'Material routes'!$C$6:$C$2205,"Tool candidate")</x:f>
        <x:v>0</x:v>
      </x:c>
      <x:c r="AM294" s="4" t="str">
        <x:f>IF(AJ294&gt;0,"Route listed; review status/completeness",IF(C294="T0","Raw entry feed; no production route","No production route listed"))</x:f>
        <x:v>Route listed; review status/completeness</x:v>
      </x:c>
      <x:c r="AN294" s="14" t="n">
        <x:f>IF(C294="T0",0,IF(C294="T1",1,IF(C294="T2",2,IF(C294="T3",3,IF(C294="T4",4,IF(C294="Unassigned",98,99))))))</x:f>
        <x:v>99</x:v>
      </x:c>
      <x:c r="AZ294"/>
      <x:c r="BA294"/>
      <x:c r="BB294"/>
      <x:c r="BC294"/>
      <x:c r="BD294"/>
      <x:c r="BE294"/>
      <x:c r="BF294"/>
      <x:c r="BG294"/>
      <x:c r="BH294"/>
      <x:c r="BI294"/>
      <x:c r="BJ294"/>
      <x:c r="BK294"/>
      <x:c r="BL294"/>
      <x:c r="BM294"/>
      <x:c r="BN294"/>
      <x:c r="BO294"/>
      <x:c r="BP294"/>
      <x:c r="BQ294"/>
      <x:c r="BR294"/>
      <x:c r="BS294"/>
      <x:c r="BT294"/>
      <x:c r="BU294"/>
      <x:c r="BV294"/>
      <x:c r="BW294"/>
      <x:c r="BX294"/>
      <x:c r="BY294"/>
      <x:c r="BZ294"/>
      <x:c r="CA294"/>
      <x:c r="CB294"/>
      <x:c r="CC294"/>
    </x:row>
    <x:row r="295" ht="115" customHeight="1">
      <x:c r="A295" s="9" t="str">
        <x:v>proposal.legger.seam_guard</x:v>
      </x:c>
      <x:c r="B295" s="9" t="str">
        <x:v>Armor seam-cover strip</x:v>
      </x:c>
      <x:c r="C295" s="4" t="str">
        <x:v>Not applicable</x:v>
      </x:c>
      <x:c r="D295" s="9" t="inlineStr">
        <x:is>
          <x:t xml:space="preserve">Legger attachments</x:t>
        </x:is>
      </x:c>
      <x:c r="E295" s="9" t="str">
        <x:v>Legger armor</x:v>
      </x:c>
      <x:c r="F295" s="9" t="str">
        <x:v>New proposal</x:v>
      </x:c>
      <x:c r="G295" s="9" t="inlineStr">
        <x:is>
          <x:t xml:space="preserve">Overlap piece covering a selected gap between fitted guards. It is intended to cover or guard the recorded area, with fit, coverage and protective performance still requiring qualification.</x:t>
        </x:is>
      </x:c>
      <x:c r="H295" s="9" t="str">
        <x:v>Legger fitment unresolved</x:v>
      </x:c>
      <x:c r="I295" s="9" t="str">
        <x:v>Legger attachment / replacement intended; physical cargo policy unchanged</x:v>
      </x:c>
      <x:c r="J295" s="13"/>
      <x:c r="K295" s="15"/>
      <x:c r="L295" s="9" t="str">
        <x:v>Local craft, salvage or specialist trade; exact route TBD</x:v>
      </x:c>
      <x:c r="M295" s="9" t="str">
        <x:v>No recipe authored. Reuse existing iron stock, biological materials, ceramic craft, lubricant and ancient-material families where appropriate.</x:v>
      </x:c>
      <x:c r="N295" s="9" t="str">
        <x:v>Not implemented</x:v>
      </x:c>
      <x:c r="O295" s="9" t="str">
        <x:v>Must preserve movement and service access; no complete gap-free protection inferred.</x:v>
      </x:c>
      <x:c r="P295" s="17"/>
      <x:c r="Q295" s="17"/>
      <x:c r="R295" s="17"/>
      <x:c r="S295" s="17"/>
      <x:c r="T295" s="17"/>
      <x:c r="U295" s="9" t="str">
        <x:v>Brainstorming candidate. Geometry, cost, mass, mounting, carrying and replacement behavior remain open. Part belongs to a finite physical companion.</x:v>
      </x:c>
      <x:c r="V295" s="11" t="str">
        <x:v>legger; leger; companion replacement part</x:v>
      </x:c>
      <x:c r="W295" s="9" t="str">
        <x:v>Author Legger slings/chassis/replacement/iron/ancient-armor brainstorming October 14, 2026; Docs/WORLD_BASIS.md#the-legger; specific item proposal.</x:v>
      </x:c>
      <x:c r="X295" s="4" t="str">
        <x:v>Armor</x:v>
      </x:c>
      <x:c r="Y295" s="4" t="str">
        <x:v>Finished item</x:v>
      </x:c>
      <x:c r="Z295" s="4" t="str">
        <x:v>Manufactured / unresolved</x:v>
      </x:c>
      <x:c r="AA295" s="4" t="str">
        <x:v>Protection</x:v>
      </x:c>
      <x:c r="AB295" s="4" t="str">
        <x:v>Metal</x:v>
      </x:c>
      <x:c r="AC295" s="4" t="str">
        <x:v>Panel</x:v>
      </x:c>
      <x:c r="AD295" s="4" t="str">
        <x:v>Proposal</x:v>
      </x:c>
      <x:c r="AE295" s="4" t="str">
        <x:f>LOWER(A295&amp;"; "&amp;B295&amp;"; "&amp;D295&amp;"; "&amp;E295&amp;"; "&amp;X295&amp;"; "&amp;Y295&amp;"; "&amp;Z295&amp;"; "&amp;AA295&amp;"; "&amp;AB295&amp;"; "&amp;AC295&amp;"; "&amp;AD295&amp;"; "&amp;V295&amp;"; "&amp;C295&amp;"; "&amp;AH295&amp;"; "&amp;AI295)</x:f>
        <x:v>proposal.legger.seam_guard; armor seam-cover strip; legger attachments; legger armor; armor; finished item; manufactured / unresolved; protection; metal; panel; proposal; legger; leger; companion replacement part; not applicable; t3; finished item</x:v>
      </x:c>
      <x:c r="AF29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5" s="4" t="str">
        <x:v>Finished endpoint; material tier is not applicable. Input tiers belong to the chosen recipe.</x:v>
      </x:c>
      <x:c r="AH295" s="4" t="str">
        <x:v>T3</x:v>
      </x:c>
      <x:c r="AI295" s="4" t="str">
        <x:v>Finished item</x:v>
      </x:c>
      <x:c r="AJ295" s="4" t="n">
        <x:f>COUNTIFS('Material routes'!$D$6:$D$2205,A295,'Material routes'!$C$6:$C$2205,"Output")</x:f>
        <x:v>1</x:v>
      </x:c>
      <x:c r="AK295" s="4" t="n">
        <x:f>SUM(COUNTIFS('Material routes'!$D$6:$D$2205,A295,'Material routes'!$C$6:$C$2205,"Ingredient candidate"),COUNTIFS('Material routes'!$D$6:$D$2205,A295,'Material routes'!$C$6:$C$2205,"Consumed input"),COUNTIFS('Material routes'!$D$6:$D$2205,A295,'Material routes'!$C$6:$C$2205,"Contained input"),COUNTIFS('Material routes'!$D$6:$D$2205,A295,'Material routes'!$C$6:$C$2205,"Transform input"))</x:f>
        <x:v>0</x:v>
      </x:c>
      <x:c r="AL295" s="4" t="n">
        <x:f>COUNTIFS('Material routes'!$D$6:$D$2205,A295,'Material routes'!$C$6:$C$2205,"Tool candidate")</x:f>
        <x:v>0</x:v>
      </x:c>
      <x:c r="AM295" s="4" t="str">
        <x:f>IF(AJ295&gt;0,"Route listed; review status/completeness",IF(C295="T0","Raw entry feed; no production route","No production route listed"))</x:f>
        <x:v>Route listed; review status/completeness</x:v>
      </x:c>
      <x:c r="AN295" s="14" t="n">
        <x:f>IF(C295="T0",0,IF(C295="T1",1,IF(C295="T2",2,IF(C295="T3",3,IF(C295="T4",4,IF(C295="Unassigned",98,99))))))</x:f>
        <x:v>99</x:v>
      </x:c>
      <x:c r="AZ295"/>
      <x:c r="BA295"/>
      <x:c r="BB295"/>
      <x:c r="BC295"/>
      <x:c r="BD295"/>
      <x:c r="BE295"/>
      <x:c r="BF295"/>
      <x:c r="BG295"/>
      <x:c r="BH295"/>
      <x:c r="BI295"/>
      <x:c r="BJ295"/>
      <x:c r="BK295"/>
      <x:c r="BL295"/>
      <x:c r="BM295"/>
      <x:c r="BN295"/>
      <x:c r="BO295"/>
      <x:c r="BP295"/>
      <x:c r="BQ295"/>
      <x:c r="BR295"/>
      <x:c r="BS295"/>
      <x:c r="BT295"/>
      <x:c r="BU295"/>
      <x:c r="BV295"/>
      <x:c r="BW295"/>
      <x:c r="BX295"/>
      <x:c r="BY295"/>
      <x:c r="BZ295"/>
      <x:c r="CA295"/>
      <x:c r="CB295"/>
      <x:c r="CC295"/>
    </x:row>
    <x:row r="296" ht="115" customHeight="1">
      <x:c r="A296" s="9" t="str">
        <x:v>proposal.legger.impact_cap</x:v>
      </x:c>
      <x:c r="B296" s="9" t="str">
        <x:v>Sacrificial impact cap</x:v>
      </x:c>
      <x:c r="C296" s="4" t="str">
        <x:v>Not applicable</x:v>
      </x:c>
      <x:c r="D296" s="9" t="inlineStr">
        <x:is>
          <x:t xml:space="preserve">Salvage</x:t>
        </x:is>
      </x:c>
      <x:c r="E296" s="9" t="str">
        <x:v>Legger armor</x:v>
      </x:c>
      <x:c r="F296" s="9" t="str">
        <x:v>New proposal</x:v>
      </x:c>
      <x:c r="G296" s="9" t="inlineStr">
        <x:is>
          <x:t xml:space="preserve">Replaceable cap candidate over a selected protruding part. It is intended to cover or guard the recorded area, with fit, coverage and protective performance still requiring qualification.</x:t>
        </x:is>
      </x:c>
      <x:c r="H296" s="9" t="str">
        <x:v>Legger fitment unresolved</x:v>
      </x:c>
      <x:c r="I296" s="9" t="str">
        <x:v>Legger attachment / replacement intended; physical cargo policy unchanged</x:v>
      </x:c>
      <x:c r="J296" s="13"/>
      <x:c r="K296" s="15"/>
      <x:c r="L296" s="9" t="str">
        <x:v>Local craft, salvage or specialist trade; exact route TBD</x:v>
      </x:c>
      <x:c r="M296" s="9" t="str">
        <x:v>No recipe authored. Reuse existing iron stock, biological materials, ceramic craft, lubricant and ancient-material families where appropriate.</x:v>
      </x:c>
      <x:c r="N296" s="9" t="str">
        <x:v>Not implemented</x:v>
      </x:c>
      <x:c r="O296" s="9" t="str">
        <x:v>Damage localization, shell grade and replacement behavior remain proposed.</x:v>
      </x:c>
      <x:c r="P296" s="17"/>
      <x:c r="Q296" s="17"/>
      <x:c r="R296" s="17"/>
      <x:c r="S296" s="17"/>
      <x:c r="T296" s="17"/>
      <x:c r="U296" s="9" t="str">
        <x:v>Brainstorming candidate. Geometry, cost, mass, mounting, carrying and replacement behavior remain open. Part belongs to a finite physical companion.</x:v>
      </x:c>
      <x:c r="V296" s="11" t="str">
        <x:v>legger; leger; companion replacement part</x:v>
      </x:c>
      <x:c r="W296" s="9" t="str">
        <x:v>Author Legger slings/chassis/replacement/iron/ancient-armor brainstorming October 14, 2026; Docs/WORLD_BASIS.md#the-legger; specific item proposal.</x:v>
      </x:c>
      <x:c r="X296" s="4" t="str">
        <x:v>Armor</x:v>
      </x:c>
      <x:c r="Y296" s="4" t="str">
        <x:v>Finished item</x:v>
      </x:c>
      <x:c r="Z296" s="4" t="str">
        <x:v>Manufactured / unresolved</x:v>
      </x:c>
      <x:c r="AA296" s="4" t="str">
        <x:v>Protection</x:v>
      </x:c>
      <x:c r="AB296" s="4" t="str">
        <x:v>Shell / chitin</x:v>
      </x:c>
      <x:c r="AC296" s="4" t="str">
        <x:v>Solid part</x:v>
      </x:c>
      <x:c r="AD296" s="4" t="str">
        <x:v>Proposal</x:v>
      </x:c>
      <x:c r="AE296" s="4" t="str">
        <x:f>LOWER(A296&amp;"; "&amp;B296&amp;"; "&amp;D296&amp;"; "&amp;E296&amp;"; "&amp;X296&amp;"; "&amp;Y296&amp;"; "&amp;Z296&amp;"; "&amp;AA296&amp;"; "&amp;AB296&amp;"; "&amp;AC296&amp;"; "&amp;AD296&amp;"; "&amp;V296&amp;"; "&amp;C296&amp;"; "&amp;AH296&amp;"; "&amp;AI296)</x:f>
        <x:v>proposal.legger.impact_cap; sacrificial impact cap; salvage; legger armor; armor; finished item; manufactured / unresolved; protection; shell / chitin; solid part; proposal; legger; leger; companion replacement part; not applicable; t3; finished item</x:v>
      </x:c>
      <x:c r="AF29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6" s="4" t="str">
        <x:v>Finished endpoint; material tier is not applicable. Input tiers belong to the chosen recipe.</x:v>
      </x:c>
      <x:c r="AH296" s="4" t="str">
        <x:v>T3</x:v>
      </x:c>
      <x:c r="AI296" s="4" t="str">
        <x:v>Finished item</x:v>
      </x:c>
      <x:c r="AJ296" s="4" t="n">
        <x:f>COUNTIFS('Material routes'!$D$6:$D$2205,A296,'Material routes'!$C$6:$C$2205,"Output")</x:f>
        <x:v>1</x:v>
      </x:c>
      <x:c r="AK296" s="4" t="n">
        <x:f>SUM(COUNTIFS('Material routes'!$D$6:$D$2205,A296,'Material routes'!$C$6:$C$2205,"Ingredient candidate"),COUNTIFS('Material routes'!$D$6:$D$2205,A296,'Material routes'!$C$6:$C$2205,"Consumed input"),COUNTIFS('Material routes'!$D$6:$D$2205,A296,'Material routes'!$C$6:$C$2205,"Contained input"),COUNTIFS('Material routes'!$D$6:$D$2205,A296,'Material routes'!$C$6:$C$2205,"Transform input"))</x:f>
        <x:v>0</x:v>
      </x:c>
      <x:c r="AL296" s="4" t="n">
        <x:f>COUNTIFS('Material routes'!$D$6:$D$2205,A296,'Material routes'!$C$6:$C$2205,"Tool candidate")</x:f>
        <x:v>0</x:v>
      </x:c>
      <x:c r="AM296" s="4" t="str">
        <x:f>IF(AJ296&gt;0,"Route listed; review status/completeness",IF(C296="T0","Raw entry feed; no production route","No production route listed"))</x:f>
        <x:v>Route listed; review status/completeness</x:v>
      </x:c>
      <x:c r="AN296" s="14" t="n">
        <x:f>IF(C296="T0",0,IF(C296="T1",1,IF(C296="T2",2,IF(C296="T3",3,IF(C296="T4",4,IF(C296="Unassigned",98,99))))))</x:f>
        <x:v>99</x:v>
      </x:c>
      <x:c r="AZ296"/>
      <x:c r="BA296"/>
      <x:c r="BB296"/>
      <x:c r="BC296"/>
      <x:c r="BD296"/>
      <x:c r="BE296"/>
      <x:c r="BF296"/>
      <x:c r="BG296"/>
      <x:c r="BH296"/>
      <x:c r="BI296"/>
      <x:c r="BJ296"/>
      <x:c r="BK296"/>
      <x:c r="BL296"/>
      <x:c r="BM296"/>
      <x:c r="BN296"/>
      <x:c r="BO296"/>
      <x:c r="BP296"/>
      <x:c r="BQ296"/>
      <x:c r="BR296"/>
      <x:c r="BS296"/>
      <x:c r="BT296"/>
      <x:c r="BU296"/>
      <x:c r="BV296"/>
      <x:c r="BW296"/>
      <x:c r="BX296"/>
      <x:c r="BY296"/>
      <x:c r="BZ296"/>
      <x:c r="CA296"/>
      <x:c r="CB296"/>
      <x:c r="CC296"/>
    </x:row>
    <x:row r="297" ht="115" customHeight="1">
      <x:c r="A297" s="9" t="str">
        <x:v>proposal.legger.fragment_liner</x:v>
      </x:c>
      <x:c r="B297" s="9" t="str">
        <x:v>Pressed-husk fragment liner</x:v>
      </x:c>
      <x:c r="C297" s="4" t="str">
        <x:v>Not applicable</x:v>
      </x:c>
      <x:c r="D297" s="9" t="inlineStr">
        <x:is>
          <x:t xml:space="preserve">Legger attachments</x:t>
        </x:is>
      </x:c>
      <x:c r="E297" s="9" t="str">
        <x:v>Legger armor</x:v>
      </x:c>
      <x:c r="F297" s="9" t="str">
        <x:v>New proposal</x:v>
      </x:c>
      <x:c r="G297" s="9" t="inlineStr">
        <x:is>
          <x:t xml:space="preserve">Scarce pressed-fiber backing proposed inside a selected guard. It is intended to cover or guard the recorded area, with fit, coverage and protective performance still requiring qualification.</x:t>
        </x:is>
      </x:c>
      <x:c r="H297" s="9" t="str">
        <x:v>Legger fitment unresolved</x:v>
      </x:c>
      <x:c r="I297" s="9" t="str">
        <x:v>Legger attachment / replacement intended; physical cargo policy unchanged</x:v>
      </x:c>
      <x:c r="J297" s="13"/>
      <x:c r="K297" s="15"/>
      <x:c r="L297" s="9" t="str">
        <x:v>Local craft, salvage or specialist trade; exact route TBD</x:v>
      </x:c>
      <x:c r="M297" s="9" t="str">
        <x:v>No recipe authored. Reuse existing iron stock, biological materials, ceramic craft, lubricant and ancient-material families where appropriate.</x:v>
      </x:c>
      <x:c r="N297" s="9" t="str">
        <x:v>Not implemented</x:v>
      </x:c>
      <x:c r="O297" s="9" t="str">
        <x:v>Fragment retention is a research goal, not proven ballistic protection; difficult textile processing still applies.</x:v>
      </x:c>
      <x:c r="P297" s="17"/>
      <x:c r="Q297" s="17"/>
      <x:c r="R297" s="17"/>
      <x:c r="S297" s="17"/>
      <x:c r="T297" s="17"/>
      <x:c r="U297" s="9" t="str">
        <x:v>Brainstorming candidate. Geometry, cost, mass, mounting, carrying and replacement behavior remain open. Part belongs to a finite physical companion.</x:v>
      </x:c>
      <x:c r="V297" s="11" t="str">
        <x:v>legger; leger; companion replacement part</x:v>
      </x:c>
      <x:c r="W297" s="9" t="str">
        <x:v>Author Legger slings/chassis/replacement/iron/ancient-armor brainstorming October 14, 2026; Docs/WORLD_BASIS.md#the-legger; specific item proposal.</x:v>
      </x:c>
      <x:c r="X297" s="4" t="str">
        <x:v>Armor</x:v>
      </x:c>
      <x:c r="Y297" s="4" t="str">
        <x:v>Finished item</x:v>
      </x:c>
      <x:c r="Z297" s="4" t="str">
        <x:v>Manufactured / unresolved</x:v>
      </x:c>
      <x:c r="AA297" s="4" t="str">
        <x:v>Protection</x:v>
      </x:c>
      <x:c r="AB297" s="4" t="str">
        <x:v>Husk fiber</x:v>
      </x:c>
      <x:c r="AC297" s="4" t="str">
        <x:v>Panel</x:v>
      </x:c>
      <x:c r="AD297" s="4" t="str">
        <x:v>Proposal</x:v>
      </x:c>
      <x:c r="AE297" s="4" t="str">
        <x:f>LOWER(A297&amp;"; "&amp;B297&amp;"; "&amp;D297&amp;"; "&amp;E297&amp;"; "&amp;X297&amp;"; "&amp;Y297&amp;"; "&amp;Z297&amp;"; "&amp;AA297&amp;"; "&amp;AB297&amp;"; "&amp;AC297&amp;"; "&amp;AD297&amp;"; "&amp;V297&amp;"; "&amp;C297&amp;"; "&amp;AH297&amp;"; "&amp;AI297)</x:f>
        <x:v>proposal.legger.fragment_liner; pressed-husk fragment liner; legger attachments; legger armor; armor; finished item; manufactured / unresolved; protection; husk fiber; panel; proposal; legger; leger; companion replacement part; not applicable; t3; finished item</x:v>
      </x:c>
      <x:c r="AF297"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7" s="4" t="str">
        <x:v>Finished endpoint; material tier is not applicable. Input tiers belong to the chosen recipe.</x:v>
      </x:c>
      <x:c r="AH297" s="4" t="str">
        <x:v>T3</x:v>
      </x:c>
      <x:c r="AI297" s="4" t="str">
        <x:v>Finished item</x:v>
      </x:c>
      <x:c r="AJ297" s="4" t="n">
        <x:f>COUNTIFS('Material routes'!$D$6:$D$2205,A297,'Material routes'!$C$6:$C$2205,"Output")</x:f>
        <x:v>1</x:v>
      </x:c>
      <x:c r="AK297" s="4" t="n">
        <x:f>SUM(COUNTIFS('Material routes'!$D$6:$D$2205,A297,'Material routes'!$C$6:$C$2205,"Ingredient candidate"),COUNTIFS('Material routes'!$D$6:$D$2205,A297,'Material routes'!$C$6:$C$2205,"Consumed input"),COUNTIFS('Material routes'!$D$6:$D$2205,A297,'Material routes'!$C$6:$C$2205,"Contained input"),COUNTIFS('Material routes'!$D$6:$D$2205,A297,'Material routes'!$C$6:$C$2205,"Transform input"))</x:f>
        <x:v>0</x:v>
      </x:c>
      <x:c r="AL297" s="4" t="n">
        <x:f>COUNTIFS('Material routes'!$D$6:$D$2205,A297,'Material routes'!$C$6:$C$2205,"Tool candidate")</x:f>
        <x:v>0</x:v>
      </x:c>
      <x:c r="AM297" s="4" t="str">
        <x:f>IF(AJ297&gt;0,"Route listed; review status/completeness",IF(C297="T0","Raw entry feed; no production route","No production route listed"))</x:f>
        <x:v>Route listed; review status/completeness</x:v>
      </x:c>
      <x:c r="AN297" s="14" t="n">
        <x:f>IF(C297="T0",0,IF(C297="T1",1,IF(C297="T2",2,IF(C297="T3",3,IF(C297="T4",4,IF(C297="Unassigned",98,99))))))</x:f>
        <x:v>99</x:v>
      </x:c>
      <x:c r="AZ297"/>
      <x:c r="BA297"/>
      <x:c r="BB297"/>
      <x:c r="BC297"/>
      <x:c r="BD297"/>
      <x:c r="BE297"/>
      <x:c r="BF297"/>
      <x:c r="BG297"/>
      <x:c r="BH297"/>
      <x:c r="BI297"/>
      <x:c r="BJ297"/>
      <x:c r="BK297"/>
      <x:c r="BL297"/>
      <x:c r="BM297"/>
      <x:c r="BN297"/>
      <x:c r="BO297"/>
      <x:c r="BP297"/>
      <x:c r="BQ297"/>
      <x:c r="BR297"/>
      <x:c r="BS297"/>
      <x:c r="BT297"/>
      <x:c r="BU297"/>
      <x:c r="BV297"/>
      <x:c r="BW297"/>
      <x:c r="BX297"/>
      <x:c r="BY297"/>
      <x:c r="BZ297"/>
      <x:c r="CA297"/>
      <x:c r="CB297"/>
      <x:c r="CC297"/>
    </x:row>
    <x:row r="298" ht="170" customHeight="1">
      <x:c r="A298" s="9" t="str">
        <x:v>proposal.legger.guard_hinge</x:v>
      </x:c>
      <x:c r="B298" s="9" t="str">
        <x:v>Armor-guard hinge assembly</x:v>
      </x:c>
      <x:c r="C298" s="4" t="str">
        <x:v>T4</x:v>
      </x:c>
      <x:c r="D298" s="9" t="str">
        <x:v>Crafting components</x:v>
      </x:c>
      <x:c r="E298" s="9" t="str">
        <x:v>Legger armor</x:v>
      </x:c>
      <x:c r="F298" s="9" t="str">
        <x:v>New proposal</x:v>
      </x:c>
      <x:c r="G298" s="9" t="inlineStr">
        <x:is>
          <x:t xml:space="preserve">Hinge/retainer unit candidate for an articulated protective panel. It locates or retains a fitted item on a matching structure; mounting geometry and loads must be chosen together.</x:t>
        </x:is>
      </x:c>
      <x:c r="H298" s="9" t="str">
        <x:v>Legger fitment unresolved</x:v>
      </x:c>
      <x:c r="I298" s="9" t="str">
        <x:v>Legger attachment / replacement intended; physical cargo policy unchanged</x:v>
      </x:c>
      <x:c r="J298" s="13"/>
      <x:c r="K298" s="15"/>
      <x:c r="L298" s="9" t="str">
        <x:v>Local craft, salvage or specialist trade; exact route TBD</x:v>
      </x:c>
      <x:c r="M298" s="9" t="str">
        <x:v>No recipe authored. Reuse existing iron stock, biological materials, ceramic craft, lubricant and ancient-material families where appropriate.</x:v>
      </x:c>
      <x:c r="N298" s="9" t="str">
        <x:v>Not implemented</x:v>
      </x:c>
      <x:c r="O298" s="9" t="str">
        <x:v>Different from the joint guard itself; geometry and durability TBD.</x:v>
      </x:c>
      <x:c r="P298" s="17"/>
      <x:c r="Q298" s="17"/>
      <x:c r="R298" s="17"/>
      <x:c r="S298" s="17"/>
      <x:c r="T298" s="17"/>
      <x:c r="U298" s="9" t="str">
        <x:v>Brainstorming candidate. Geometry, cost, mass, mounting, carrying and replacement behavior remain open. Part belongs to a finite physical companion.</x:v>
      </x:c>
      <x:c r="V298" s="11" t="str">
        <x:v>equipment repair; legger; leger; companion replacement part</x:v>
      </x:c>
      <x:c r="W298" s="9" t="str">
        <x:v>Author Legger slings/chassis/replacement/iron/ancient-armor brainstorming October 14, 2026; Docs/WORLD_BASIS.md#the-legger; specific item proposal.</x:v>
      </x:c>
      <x:c r="X298" s="4" t="str">
        <x:v>Crafting component</x:v>
      </x:c>
      <x:c r="Y298" s="4" t="str">
        <x:v>Processed intermediate</x:v>
      </x:c>
      <x:c r="Z298" s="4" t="str">
        <x:v>Manufactured / unresolved</x:v>
      </x:c>
      <x:c r="AA298" s="4" t="str">
        <x:v>Equipment mounting</x:v>
      </x:c>
      <x:c r="AB298" s="4" t="str">
        <x:v>Metal</x:v>
      </x:c>
      <x:c r="AC298" s="4" t="str">
        <x:v>Assembly</x:v>
      </x:c>
      <x:c r="AD298" s="4" t="str">
        <x:v>Proposal</x:v>
      </x:c>
      <x:c r="AE298" s="4" t="str">
        <x:f>LOWER(A298&amp;"; "&amp;B298&amp;"; "&amp;D298&amp;"; "&amp;E298&amp;"; "&amp;X298&amp;"; "&amp;Y298&amp;"; "&amp;Z298&amp;"; "&amp;AA298&amp;"; "&amp;AB298&amp;"; "&amp;AC298&amp;"; "&amp;AD298&amp;"; "&amp;V298&amp;"; "&amp;C298&amp;"; "&amp;AH298&amp;"; "&amp;AI298)</x:f>
        <x:v>proposal.legger.guard_hinge; armor-guard hinge assembly; crafting components; legger armor; crafting component; processed intermediate; manufactured / unresolved; equipment mounting; metal; assembly; proposal; equipment repair; legger; leger; companion replacement part; t4; not applicable; component</x:v>
      </x:c>
      <x:c r="AF298" s="4" t="str">
        <x:v>Specific parts and protective properties remain proposals; ancient-material scarcity is established author direction.</x:v>
      </x:c>
      <x:c r="AG298" s="4" t="str">
        <x:v>October 15 proposed tier review: Fit a matched guard hinge and return mechanism from selected T3 spring stock. Candidate route only: quantities, yield, tools, fit, process conditions and service compatibility remain open. </x:v>
      </x:c>
      <x:c r="AH298" s="4" t="str">
        <x:v>Not applicable</x:v>
      </x:c>
      <x:c r="AI298" s="4" t="str">
        <x:v>Component</x:v>
      </x:c>
      <x:c r="AJ298" s="4" t="n">
        <x:f>COUNTIFS('Material routes'!$D$6:$D$2205,A298,'Material routes'!$C$6:$C$2205,"Output")</x:f>
        <x:v>1</x:v>
      </x:c>
      <x:c r="AK298" s="4" t="n">
        <x:f>SUM(COUNTIFS('Material routes'!$D$6:$D$2205,A298,'Material routes'!$C$6:$C$2205,"Ingredient candidate"),COUNTIFS('Material routes'!$D$6:$D$2205,A298,'Material routes'!$C$6:$C$2205,"Consumed input"),COUNTIFS('Material routes'!$D$6:$D$2205,A298,'Material routes'!$C$6:$C$2205,"Contained input"),COUNTIFS('Material routes'!$D$6:$D$2205,A298,'Material routes'!$C$6:$C$2205,"Transform input"))</x:f>
        <x:v>0</x:v>
      </x:c>
      <x:c r="AL298" s="4" t="n">
        <x:f>COUNTIFS('Material routes'!$D$6:$D$2205,A298,'Material routes'!$C$6:$C$2205,"Tool candidate")</x:f>
        <x:v>0</x:v>
      </x:c>
      <x:c r="AM298" s="4" t="str">
        <x:f>IF(AJ298&gt;0,"Route listed; review status/completeness",IF(C298="T0","Raw entry feed; no production route","No production route listed"))</x:f>
        <x:v>Route listed; review status/completeness</x:v>
      </x:c>
      <x:c r="AN298" s="14" t="n">
        <x:f>IF(C298="T0",0,IF(C298="T1",1,IF(C298="T2",2,IF(C298="T3",3,IF(C298="T4",4,IF(C298="Unassigned",98,99))))))</x:f>
        <x:v>4</x:v>
      </x:c>
      <x:c r="AZ298"/>
      <x:c r="BA298"/>
      <x:c r="BB298"/>
      <x:c r="BC298"/>
      <x:c r="BD298"/>
      <x:c r="BE298"/>
      <x:c r="BF298"/>
      <x:c r="BG298"/>
      <x:c r="BH298"/>
      <x:c r="BI298"/>
      <x:c r="BJ298"/>
      <x:c r="BK298"/>
      <x:c r="BL298"/>
      <x:c r="BM298"/>
      <x:c r="BN298"/>
      <x:c r="BO298"/>
      <x:c r="BP298"/>
      <x:c r="BQ298"/>
      <x:c r="BR298"/>
      <x:c r="BS298"/>
      <x:c r="BT298"/>
      <x:c r="BU298"/>
      <x:c r="BV298"/>
      <x:c r="BW298"/>
      <x:c r="BX298"/>
      <x:c r="BY298"/>
      <x:c r="BZ298"/>
      <x:c r="CA298"/>
      <x:c r="CB298"/>
      <x:c r="CC298"/>
    </x:row>
    <x:row r="299" ht="170" customHeight="1">
      <x:c r="A299" s="9" t="str">
        <x:v>proposal.legger.plasteel_collar</x:v>
      </x:c>
      <x:c r="B299" s="9" t="str">
        <x:v>Ancient plasteel joint collar</x:v>
      </x:c>
      <x:c r="C299" s="4" t="str">
        <x:v>Not applicable</x:v>
      </x:c>
      <x:c r="D299" s="9" t="str">
        <x:v>Ancient salvage</x:v>
      </x:c>
      <x:c r="E299" s="9" t="str">
        <x:v>Legger ancient replacement</x:v>
      </x:c>
      <x:c r="F299" s="9" t="str">
        <x:v>New proposal</x:v>
      </x:c>
      <x:c r="G299" s="9" t="inlineStr">
        <x:is>
          <x:t xml:space="preserve">Recovered shaped collar considered for an appropriate joint housing. It is an extremely rare ancient recovery whose original function remains a working hypothesis. Condition, compatibility and safe operation are unknown; no contemporary reproduction is implied.</x:t>
        </x:is>
      </x:c>
      <x:c r="H299" s="9" t="str">
        <x:v>Legger fitment unresolved</x:v>
      </x:c>
      <x:c r="I299" s="9" t="str">
        <x:v>Legger attachment / replacement intended; physical cargo policy unchanged</x:v>
      </x:c>
      <x:c r="J299" s="13"/>
      <x:c r="K299" s="15"/>
      <x:c r="L299" s="9" t="str">
        <x:v>Extremely rare recovered technology; fitting and recovery method TBD</x:v>
      </x:c>
      <x:c r="M299" s="9" t="str">
        <x:v>No recipe authored. Reuse existing iron stock, biological materials, ceramic craft, lubricant and ancient-material families where appropriate.</x:v>
      </x:c>
      <x:c r="N299" s="9" t="str">
        <x:v>Not implemented</x:v>
      </x:c>
      <x:c r="O299" s="9" t="str">
        <x:v>Extremely rare; interfaces, residual condition and rework capability unknown.</x:v>
      </x:c>
      <x:c r="P299" s="17" t="str">
        <x:v>Extremely rare</x:v>
      </x:c>
      <x:c r="Q299" s="17"/>
      <x:c r="R299" s="17"/>
      <x:c r="S299" s="17"/>
      <x:c r="T299" s="17"/>
      <x:c r="U299" s="9" t="str">
        <x:v>Brainstorming candidate. Geometry, cost, mass, mounting, carrying and replacement behavior remain open. Part belongs to a finite physical companion.</x:v>
      </x:c>
      <x:c r="V299" s="11" t="str">
        <x:v>legger; leger; companion replacement part; ancient salvage plasteel nanotube ballistic</x:v>
      </x:c>
      <x:c r="W299" s="9" t="str">
        <x:v>Author Legger slings/chassis/replacement/iron/ancient-armor brainstorming October 14, 2026; Docs/WORLD_BASIS.md#the-legger; specific item proposal.</x:v>
      </x:c>
      <x:c r="X299" s="4" t="str">
        <x:v>Crafting component</x:v>
      </x:c>
      <x:c r="Y299" s="4" t="str">
        <x:v>Processed intermediate</x:v>
      </x:c>
      <x:c r="Z299" s="4" t="str">
        <x:v>Ancient technology</x:v>
      </x:c>
      <x:c r="AA299" s="4" t="str">
        <x:v>Equipment repair</x:v>
      </x:c>
      <x:c r="AB299" s="4" t="str">
        <x:v>Ancient composite</x:v>
      </x:c>
      <x:c r="AC299" s="4" t="str">
        <x:v>Solid part</x:v>
      </x:c>
      <x:c r="AD299" s="4" t="str">
        <x:v>Proposal</x:v>
      </x:c>
      <x:c r="AE299" s="4" t="str">
        <x:f>LOWER(A299&amp;"; "&amp;B299&amp;"; "&amp;D299&amp;"; "&amp;E299&amp;"; "&amp;X299&amp;"; "&amp;Y299&amp;"; "&amp;Z299&amp;"; "&amp;AA299&amp;"; "&amp;AB299&amp;"; "&amp;AC299&amp;"; "&amp;AD299&amp;"; "&amp;V299&amp;"; "&amp;C299&amp;"; "&amp;AH299&amp;"; "&amp;AI299)</x:f>
        <x:v>proposal.legger.plasteel_collar; ancient plasteel joint collar;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99" s="4" t="str">
        <x:v>Specific parts and protective properties remain proposals; ancient-material scarcity is established author direction. Lore category review: Crafting components -&gt; Ancient salvage. Classification only; original item status and tier retained.</x:v>
      </x:c>
      <x:c r="AG299"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99" s="4" t="str">
        <x:v>Unassigned</x:v>
      </x:c>
      <x:c r="AI299" s="4" t="str">
        <x:v>Component</x:v>
      </x:c>
      <x:c r="AJ299" s="4" t="n">
        <x:f>COUNTIFS('Material routes'!$D$6:$D$2205,A299,'Material routes'!$C$6:$C$2205,"Output")</x:f>
        <x:v>0</x:v>
      </x:c>
      <x:c r="AK299" s="4" t="n">
        <x:f>SUM(COUNTIFS('Material routes'!$D$6:$D$2205,A299,'Material routes'!$C$6:$C$2205,"Ingredient candidate"),COUNTIFS('Material routes'!$D$6:$D$2205,A299,'Material routes'!$C$6:$C$2205,"Consumed input"),COUNTIFS('Material routes'!$D$6:$D$2205,A299,'Material routes'!$C$6:$C$2205,"Contained input"),COUNTIFS('Material routes'!$D$6:$D$2205,A299,'Material routes'!$C$6:$C$2205,"Transform input"))</x:f>
        <x:v>0</x:v>
      </x:c>
      <x:c r="AL299" s="4" t="n">
        <x:f>COUNTIFS('Material routes'!$D$6:$D$2205,A299,'Material routes'!$C$6:$C$2205,"Tool candidate")</x:f>
        <x:v>0</x:v>
      </x:c>
      <x:c r="AM299" s="4" t="str">
        <x:f>IF(AJ299&gt;0,"Route listed; review status/completeness",IF(C299="T0","Raw entry feed; no production route","No production route listed"))</x:f>
        <x:v>No production route listed</x:v>
      </x:c>
      <x:c r="AN299" s="14" t="n">
        <x:f>IF(C299="T0",0,IF(C299="T1",1,IF(C299="T2",2,IF(C299="T3",3,IF(C299="T4",4,IF(C299="Unassigned",98,99))))))</x:f>
        <x:v>99</x:v>
      </x:c>
      <x:c r="AZ299"/>
      <x:c r="BA299"/>
      <x:c r="BB299"/>
      <x:c r="BC299"/>
      <x:c r="BD299"/>
      <x:c r="BE299"/>
      <x:c r="BF299"/>
      <x:c r="BG299"/>
      <x:c r="BH299"/>
      <x:c r="BI299"/>
      <x:c r="BJ299"/>
      <x:c r="BK299"/>
      <x:c r="BL299"/>
      <x:c r="BM299"/>
      <x:c r="BN299"/>
      <x:c r="BO299"/>
      <x:c r="BP299"/>
      <x:c r="BQ299"/>
      <x:c r="BR299"/>
      <x:c r="BS299"/>
      <x:c r="BT299"/>
      <x:c r="BU299"/>
      <x:c r="BV299"/>
      <x:c r="BW299"/>
      <x:c r="BX299"/>
      <x:c r="BY299"/>
      <x:c r="BZ299"/>
      <x:c r="CA299"/>
      <x:c r="CB299"/>
      <x:c r="CC299"/>
    </x:row>
    <x:row r="300" ht="170" customHeight="1">
      <x:c r="A300" s="9" t="str">
        <x:v>proposal.legger.tension_member</x:v>
      </x:c>
      <x:c r="B300" s="9" t="str">
        <x:v>Ancient nanocarbon tension member</x:v>
      </x:c>
      <x:c r="C300" s="4" t="str">
        <x:v>Not applicable</x:v>
      </x:c>
      <x:c r="D300" s="9" t="str">
        <x:v>Ancient salvage</x:v>
      </x:c>
      <x:c r="E300" s="9" t="str">
        <x:v>Legger ancient replacement</x:v>
      </x:c>
      <x:c r="F300" s="9" t="str">
        <x:v>New proposal</x:v>
      </x:c>
      <x:c r="G300" s="9" t="inlineStr">
        <x:is>
          <x:t xml:space="preserve">Recovered fiber/composite member considered for a selected tensile linkage. It is an extremely rare ancient recovery whose original function remains a working hypothesis. Condition, compatibility and safe operation are unknown; no contemporary reproduction is implied.</x:t>
        </x:is>
      </x:c>
      <x:c r="H300" s="9" t="str">
        <x:v>Legger fitment unresolved</x:v>
      </x:c>
      <x:c r="I300" s="9" t="str">
        <x:v>Legger attachment / replacement intended; physical cargo policy unchanged</x:v>
      </x:c>
      <x:c r="J300" s="13"/>
      <x:c r="K300" s="15"/>
      <x:c r="L300" s="9" t="str">
        <x:v>Extremely rare recovered technology; fitting and recovery method TBD</x:v>
      </x:c>
      <x:c r="M300" s="9" t="str">
        <x:v>No recipe authored. Reuse existing iron stock, biological materials, ceramic craft, lubricant and ancient-material families where appropriate.</x:v>
      </x:c>
      <x:c r="N300" s="9" t="str">
        <x:v>Not implemented</x:v>
      </x:c>
      <x:c r="O300" s="9" t="str">
        <x:v>Extremely rare; term describes intended structural role, not confirmed strength or active muscle behavior.</x:v>
      </x:c>
      <x:c r="P300" s="17" t="str">
        <x:v>Extremely rare</x:v>
      </x:c>
      <x:c r="Q300" s="17"/>
      <x:c r="R300" s="17"/>
      <x:c r="S300" s="17"/>
      <x:c r="T300" s="17"/>
      <x:c r="U300" s="9" t="str">
        <x:v>Brainstorming candidate. Geometry, cost, mass, mounting, carrying and replacement behavior remain open. Part belongs to a finite physical companion.</x:v>
      </x:c>
      <x:c r="V300" s="11" t="str">
        <x:v>legger; leger; companion replacement part; ancient salvage plasteel nanotube ballistic</x:v>
      </x:c>
      <x:c r="W300" s="9" t="str">
        <x:v>Author Legger slings/chassis/replacement/iron/ancient-armor brainstorming October 14, 2026; Docs/WORLD_BASIS.md#the-legger; specific item proposal.</x:v>
      </x:c>
      <x:c r="X300" s="4" t="str">
        <x:v>Crafting component</x:v>
      </x:c>
      <x:c r="Y300" s="4" t="str">
        <x:v>Processed intermediate</x:v>
      </x:c>
      <x:c r="Z300" s="4" t="str">
        <x:v>Ancient technology</x:v>
      </x:c>
      <x:c r="AA300" s="4" t="str">
        <x:v>Equipment repair</x:v>
      </x:c>
      <x:c r="AB300" s="4" t="str">
        <x:v>Ancient composite</x:v>
      </x:c>
      <x:c r="AC300" s="4" t="str">
        <x:v>Solid part</x:v>
      </x:c>
      <x:c r="AD300" s="4" t="str">
        <x:v>Proposal</x:v>
      </x:c>
      <x:c r="AE300" s="4" t="str">
        <x:f>LOWER(A300&amp;"; "&amp;B300&amp;"; "&amp;D300&amp;"; "&amp;E300&amp;"; "&amp;X300&amp;"; "&amp;Y300&amp;"; "&amp;Z300&amp;"; "&amp;AA300&amp;"; "&amp;AB300&amp;"; "&amp;AC300&amp;"; "&amp;AD300&amp;"; "&amp;V300&amp;"; "&amp;C300&amp;"; "&amp;AH300&amp;"; "&amp;AI300)</x:f>
        <x:v>proposal.legger.tension_member; ancient nanocarbon tension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300" s="4" t="str">
        <x:v>Specific parts and protective properties remain proposals; ancient-material scarcity is established author direction. Lore category review: Crafting components -&gt; Ancient salvage. Classification only; original item status and tier retained.</x:v>
      </x:c>
      <x:c r="AG300"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0" s="4" t="str">
        <x:v>Unassigned</x:v>
      </x:c>
      <x:c r="AI300" s="4" t="str">
        <x:v>Component</x:v>
      </x:c>
      <x:c r="AJ300" s="4" t="n">
        <x:f>COUNTIFS('Material routes'!$D$6:$D$2205,A300,'Material routes'!$C$6:$C$2205,"Output")</x:f>
        <x:v>0</x:v>
      </x:c>
      <x:c r="AK300" s="4" t="n">
        <x:f>SUM(COUNTIFS('Material routes'!$D$6:$D$2205,A300,'Material routes'!$C$6:$C$2205,"Ingredient candidate"),COUNTIFS('Material routes'!$D$6:$D$2205,A300,'Material routes'!$C$6:$C$2205,"Consumed input"),COUNTIFS('Material routes'!$D$6:$D$2205,A300,'Material routes'!$C$6:$C$2205,"Contained input"),COUNTIFS('Material routes'!$D$6:$D$2205,A300,'Material routes'!$C$6:$C$2205,"Transform input"))</x:f>
        <x:v>0</x:v>
      </x:c>
      <x:c r="AL300" s="4" t="n">
        <x:f>COUNTIFS('Material routes'!$D$6:$D$2205,A300,'Material routes'!$C$6:$C$2205,"Tool candidate")</x:f>
        <x:v>0</x:v>
      </x:c>
      <x:c r="AM300" s="4" t="str">
        <x:f>IF(AJ300&gt;0,"Route listed; review status/completeness",IF(C300="T0","Raw entry feed; no production route","No production route listed"))</x:f>
        <x:v>No production route listed</x:v>
      </x:c>
      <x:c r="AN300" s="14" t="n">
        <x:f>IF(C300="T0",0,IF(C300="T1",1,IF(C300="T2",2,IF(C300="T3",3,IF(C300="T4",4,IF(C300="Unassigned",98,99))))))</x:f>
        <x:v>99</x:v>
      </x:c>
      <x:c r="AZ300"/>
      <x:c r="BA300"/>
      <x:c r="BB300"/>
      <x:c r="BC300"/>
      <x:c r="BD300"/>
      <x:c r="BE300"/>
      <x:c r="BF300"/>
      <x:c r="BG300"/>
      <x:c r="BH300"/>
      <x:c r="BI300"/>
      <x:c r="BJ300"/>
      <x:c r="BK300"/>
      <x:c r="BL300"/>
      <x:c r="BM300"/>
      <x:c r="BN300"/>
      <x:c r="BO300"/>
      <x:c r="BP300"/>
      <x:c r="BQ300"/>
      <x:c r="BR300"/>
      <x:c r="BS300"/>
      <x:c r="BT300"/>
      <x:c r="BU300"/>
      <x:c r="BV300"/>
      <x:c r="BW300"/>
      <x:c r="BX300"/>
      <x:c r="BY300"/>
      <x:c r="BZ300"/>
      <x:c r="CA300"/>
      <x:c r="CB300"/>
      <x:c r="CC300"/>
    </x:row>
    <x:row r="301" ht="170" customHeight="1">
      <x:c r="A301" s="9" t="str">
        <x:v>proposal.legger.friction_insert</x:v>
      </x:c>
      <x:c r="B301" s="9" t="str">
        <x:v>Ancient friction-interface insert</x:v>
      </x:c>
      <x:c r="C301" s="4" t="str">
        <x:v>Not applicable</x:v>
      </x:c>
      <x:c r="D301" s="9" t="str">
        <x:v>Ancient salvage</x:v>
      </x:c>
      <x:c r="E301" s="9" t="str">
        <x:v>Legger ancient replacement</x:v>
      </x:c>
      <x:c r="F301" s="9" t="str">
        <x:v>New proposal</x:v>
      </x:c>
      <x:c r="G301" s="9" t="inlineStr">
        <x:is>
          <x:t xml:space="preserve">Recovered contact insert considered for a matched wear interface. It is an extremely rare ancient recovery whose original function remains a working hypothesis. Condition, compatibility and safe operation are unknown; no contemporary reproduction is implied.</x:t>
        </x:is>
      </x:c>
      <x:c r="H301" s="9" t="str">
        <x:v>Legger fitment unresolved</x:v>
      </x:c>
      <x:c r="I301" s="9" t="str">
        <x:v>Legger attachment / replacement intended; physical cargo policy unchanged</x:v>
      </x:c>
      <x:c r="J301" s="13"/>
      <x:c r="K301" s="15"/>
      <x:c r="L301" s="9" t="str">
        <x:v>Extremely rare recovered technology; fitting and recovery method TBD</x:v>
      </x:c>
      <x:c r="M301" s="9" t="str">
        <x:v>No recipe authored. Reuse existing iron stock, biological materials, ceramic craft, lubricant and ancient-material families where appropriate.</x:v>
      </x:c>
      <x:c r="N301" s="9" t="str">
        <x:v>Not implemented</x:v>
      </x:c>
      <x:c r="O301" s="9" t="str">
        <x:v>Extremely rare; composition, remaining life and lubricant requirements unknown.</x:v>
      </x:c>
      <x:c r="P301" s="17" t="str">
        <x:v>Extremely rare</x:v>
      </x:c>
      <x:c r="Q301" s="17"/>
      <x:c r="R301" s="17"/>
      <x:c r="S301" s="17"/>
      <x:c r="T301" s="17"/>
      <x:c r="U301" s="9" t="str">
        <x:v>Brainstorming candidate. Geometry, cost, mass, mounting, carrying and replacement behavior remain open. Part belongs to a finite physical companion.</x:v>
      </x:c>
      <x:c r="V301" s="11" t="str">
        <x:v>legger; leger; companion replacement part; ancient salvage plasteel nanotube ballistic</x:v>
      </x:c>
      <x:c r="W301" s="9" t="str">
        <x:v>Author Legger slings/chassis/replacement/iron/ancient-armor brainstorming October 14, 2026; Docs/WORLD_BASIS.md#the-legger; specific item proposal.</x:v>
      </x:c>
      <x:c r="X301" s="4" t="str">
        <x:v>Crafting component</x:v>
      </x:c>
      <x:c r="Y301" s="4" t="str">
        <x:v>Processed intermediate</x:v>
      </x:c>
      <x:c r="Z301" s="4" t="str">
        <x:v>Ancient technology</x:v>
      </x:c>
      <x:c r="AA301" s="4" t="str">
        <x:v>Equipment repair</x:v>
      </x:c>
      <x:c r="AB301" s="4" t="str">
        <x:v>Unresolved</x:v>
      </x:c>
      <x:c r="AC301" s="4" t="str">
        <x:v>Solid part</x:v>
      </x:c>
      <x:c r="AD301" s="4" t="str">
        <x:v>Proposal</x:v>
      </x:c>
      <x:c r="AE301" s="4" t="str">
        <x:f>LOWER(A301&amp;"; "&amp;B301&amp;"; "&amp;D301&amp;"; "&amp;E301&amp;"; "&amp;X301&amp;"; "&amp;Y301&amp;"; "&amp;Z301&amp;"; "&amp;AA301&amp;"; "&amp;AB301&amp;"; "&amp;AC301&amp;"; "&amp;AD301&amp;"; "&amp;V301&amp;"; "&amp;C301&amp;"; "&amp;AH301&amp;"; "&amp;AI301)</x:f>
        <x:v>proposal.legger.friction_insert; ancient friction-interface insert; ancient salvage; legger ancient replacement; crafting component; processed intermediate; ancient technology; equipment repair; unresolved; solid part; proposal; legger; leger; companion replacement part; ancient salvage plasteel nanotube ballistic; not applicable; unassigned; component</x:v>
      </x:c>
      <x:c r="AF301" s="4" t="str">
        <x:v>Specific parts and protective properties remain proposals; ancient-material scarcity is established author direction. Lore category review: Crafting components -&gt; Ancient salvage. Classification only; original item status and tier retained.</x:v>
      </x:c>
      <x:c r="AG301"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1" s="4" t="str">
        <x:v>Unassigned</x:v>
      </x:c>
      <x:c r="AI301" s="4" t="str">
        <x:v>Component</x:v>
      </x:c>
      <x:c r="AJ301" s="4" t="n">
        <x:f>COUNTIFS('Material routes'!$D$6:$D$2205,A301,'Material routes'!$C$6:$C$2205,"Output")</x:f>
        <x:v>0</x:v>
      </x:c>
      <x:c r="AK301" s="4" t="n">
        <x:f>SUM(COUNTIFS('Material routes'!$D$6:$D$2205,A301,'Material routes'!$C$6:$C$2205,"Ingredient candidate"),COUNTIFS('Material routes'!$D$6:$D$2205,A301,'Material routes'!$C$6:$C$2205,"Consumed input"),COUNTIFS('Material routes'!$D$6:$D$2205,A301,'Material routes'!$C$6:$C$2205,"Contained input"),COUNTIFS('Material routes'!$D$6:$D$2205,A301,'Material routes'!$C$6:$C$2205,"Transform input"))</x:f>
        <x:v>0</x:v>
      </x:c>
      <x:c r="AL301" s="4" t="n">
        <x:f>COUNTIFS('Material routes'!$D$6:$D$2205,A301,'Material routes'!$C$6:$C$2205,"Tool candidate")</x:f>
        <x:v>0</x:v>
      </x:c>
      <x:c r="AM301" s="4" t="str">
        <x:f>IF(AJ301&gt;0,"Route listed; review status/completeness",IF(C301="T0","Raw entry feed; no production route","No production route listed"))</x:f>
        <x:v>No production route listed</x:v>
      </x:c>
      <x:c r="AN301" s="14" t="n">
        <x:f>IF(C301="T0",0,IF(C301="T1",1,IF(C301="T2",2,IF(C301="T3",3,IF(C301="T4",4,IF(C301="Unassigned",98,99))))))</x:f>
        <x:v>99</x:v>
      </x:c>
      <x:c r="AZ301"/>
      <x:c r="BA301"/>
      <x:c r="BB301"/>
      <x:c r="BC301"/>
      <x:c r="BD301"/>
      <x:c r="BE301"/>
      <x:c r="BF301"/>
      <x:c r="BG301"/>
      <x:c r="BH301"/>
      <x:c r="BI301"/>
      <x:c r="BJ301"/>
      <x:c r="BK301"/>
      <x:c r="BL301"/>
      <x:c r="BM301"/>
      <x:c r="BN301"/>
      <x:c r="BO301"/>
      <x:c r="BP301"/>
      <x:c r="BQ301"/>
      <x:c r="BR301"/>
      <x:c r="BS301"/>
      <x:c r="BT301"/>
      <x:c r="BU301"/>
      <x:c r="BV301"/>
      <x:c r="BW301"/>
      <x:c r="BX301"/>
      <x:c r="BY301"/>
      <x:c r="BZ301"/>
      <x:c r="CA301"/>
      <x:c r="CB301"/>
      <x:c r="CC301"/>
    </x:row>
    <x:row r="302" ht="170" customHeight="1">
      <x:c r="A302" s="9" t="str">
        <x:v>proposal.legger.ceramic_race</x:v>
      </x:c>
      <x:c r="B302" s="9" t="str">
        <x:v>Ancient precision ceramic bearing race</x:v>
      </x:c>
      <x:c r="C302" s="4" t="str">
        <x:v>Not applicable</x:v>
      </x:c>
      <x:c r="D302" s="9" t="str">
        <x:v>Ancient salvage</x:v>
      </x:c>
      <x:c r="E302" s="9" t="str">
        <x:v>Legger ancient replacement</x:v>
      </x:c>
      <x:c r="F302" s="9" t="str">
        <x:v>New proposal</x:v>
      </x:c>
      <x:c r="G302" s="9" t="inlineStr">
        <x:is>
          <x:t xml:space="preserve">Recovered high-precision ceramic race candidate within a compatible bearing. It is an extremely rare ancient recovery whose original function remains a working hypothesis. Condition, compatibility and safe operation are unknown; no contemporary reproduction is implied.</x:t>
        </x:is>
      </x:c>
      <x:c r="H302" s="9" t="str">
        <x:v>Legger fitment unresolved</x:v>
      </x:c>
      <x:c r="I302" s="9" t="str">
        <x:v>Legger attachment / replacement intended; physical cargo policy unchanged</x:v>
      </x:c>
      <x:c r="J302" s="13"/>
      <x:c r="K302" s="15"/>
      <x:c r="L302" s="9" t="str">
        <x:v>Extremely rare recovered technology; fitting and recovery method TBD</x:v>
      </x:c>
      <x:c r="M302" s="9" t="str">
        <x:v>No recipe authored. Reuse existing iron stock, biological materials, ceramic craft, lubricant and ancient-material families where appropriate.</x:v>
      </x:c>
      <x:c r="N302" s="9" t="str">
        <x:v>Not implemented</x:v>
      </x:c>
      <x:c r="O302" s="9" t="str">
        <x:v>Extremely rare because of its ancient fabrication; ordinary modern ceramic parts are a separate family.</x:v>
      </x:c>
      <x:c r="P302" s="17" t="str">
        <x:v>Extremely rare</x:v>
      </x:c>
      <x:c r="Q302" s="17"/>
      <x:c r="R302" s="17"/>
      <x:c r="S302" s="17"/>
      <x:c r="T302" s="17"/>
      <x:c r="U302" s="9" t="str">
        <x:v>Brainstorming candidate. Geometry, cost, mass, mounting, carrying and replacement behavior remain open. Part belongs to a finite physical companion.</x:v>
      </x:c>
      <x:c r="V302" s="11" t="str">
        <x:v>legger; leger; companion replacement part; ancient salvage plasteel nanotube ballistic</x:v>
      </x:c>
      <x:c r="W302" s="9" t="str">
        <x:v>Author Legger slings/chassis/replacement/iron/ancient-armor brainstorming October 14, 2026; Docs/WORLD_BASIS.md#the-legger; specific item proposal.</x:v>
      </x:c>
      <x:c r="X302" s="4" t="str">
        <x:v>Crafting component</x:v>
      </x:c>
      <x:c r="Y302" s="4" t="str">
        <x:v>Processed intermediate</x:v>
      </x:c>
      <x:c r="Z302" s="4" t="str">
        <x:v>Ancient technology</x:v>
      </x:c>
      <x:c r="AA302" s="4" t="str">
        <x:v>Equipment repair</x:v>
      </x:c>
      <x:c r="AB302" s="4" t="str">
        <x:v>Ceramic</x:v>
      </x:c>
      <x:c r="AC302" s="4" t="str">
        <x:v>Solid part</x:v>
      </x:c>
      <x:c r="AD302" s="4" t="str">
        <x:v>Proposal</x:v>
      </x:c>
      <x:c r="AE302" s="4" t="str">
        <x:f>LOWER(A302&amp;"; "&amp;B302&amp;"; "&amp;D302&amp;"; "&amp;E302&amp;"; "&amp;X302&amp;"; "&amp;Y302&amp;"; "&amp;Z302&amp;"; "&amp;AA302&amp;"; "&amp;AB302&amp;"; "&amp;AC302&amp;"; "&amp;AD302&amp;"; "&amp;V302&amp;"; "&amp;C302&amp;"; "&amp;AH302&amp;"; "&amp;AI302)</x:f>
        <x:v>proposal.legger.ceramic_race; ancient precision ceramic bearing race; ancient salvage; legger ancient replacement; crafting component; processed intermediate; ancient technology; equipment repair; ceramic; solid part; proposal; legger; leger; companion replacement part; ancient salvage plasteel nanotube ballistic; not applicable; unassigned; component</x:v>
      </x:c>
      <x:c r="AF302" s="4" t="str">
        <x:v>Specific parts and protective properties remain proposals; ancient-material scarcity is established author direction. Lore category review: Crafting components -&gt; Ancient salvage. Classification only; original item status and tier retained.</x:v>
      </x:c>
      <x:c r="AG302"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2" s="4" t="str">
        <x:v>Unassigned</x:v>
      </x:c>
      <x:c r="AI302" s="4" t="str">
        <x:v>Component</x:v>
      </x:c>
      <x:c r="AJ302" s="4" t="n">
        <x:f>COUNTIFS('Material routes'!$D$6:$D$2205,A302,'Material routes'!$C$6:$C$2205,"Output")</x:f>
        <x:v>0</x:v>
      </x:c>
      <x:c r="AK302" s="4" t="n">
        <x:f>SUM(COUNTIFS('Material routes'!$D$6:$D$2205,A302,'Material routes'!$C$6:$C$2205,"Ingredient candidate"),COUNTIFS('Material routes'!$D$6:$D$2205,A302,'Material routes'!$C$6:$C$2205,"Consumed input"),COUNTIFS('Material routes'!$D$6:$D$2205,A302,'Material routes'!$C$6:$C$2205,"Contained input"),COUNTIFS('Material routes'!$D$6:$D$2205,A302,'Material routes'!$C$6:$C$2205,"Transform input"))</x:f>
        <x:v>0</x:v>
      </x:c>
      <x:c r="AL302" s="4" t="n">
        <x:f>COUNTIFS('Material routes'!$D$6:$D$2205,A302,'Material routes'!$C$6:$C$2205,"Tool candidate")</x:f>
        <x:v>0</x:v>
      </x:c>
      <x:c r="AM302" s="4" t="str">
        <x:f>IF(AJ302&gt;0,"Route listed; review status/completeness",IF(C302="T0","Raw entry feed; no production route","No production route listed"))</x:f>
        <x:v>No production route listed</x:v>
      </x:c>
      <x:c r="AN302" s="14" t="n">
        <x:f>IF(C302="T0",0,IF(C302="T1",1,IF(C302="T2",2,IF(C302="T3",3,IF(C302="T4",4,IF(C302="Unassigned",98,99))))))</x:f>
        <x:v>99</x:v>
      </x:c>
      <x:c r="AZ302"/>
      <x:c r="BA302"/>
      <x:c r="BB302"/>
      <x:c r="BC302"/>
      <x:c r="BD302"/>
      <x:c r="BE302"/>
      <x:c r="BF302"/>
      <x:c r="BG302"/>
      <x:c r="BH302"/>
      <x:c r="BI302"/>
      <x:c r="BJ302"/>
      <x:c r="BK302"/>
      <x:c r="BL302"/>
      <x:c r="BM302"/>
      <x:c r="BN302"/>
      <x:c r="BO302"/>
      <x:c r="BP302"/>
      <x:c r="BQ302"/>
      <x:c r="BR302"/>
      <x:c r="BS302"/>
      <x:c r="BT302"/>
      <x:c r="BU302"/>
      <x:c r="BV302"/>
      <x:c r="BW302"/>
      <x:c r="BX302"/>
      <x:c r="BY302"/>
      <x:c r="BZ302"/>
      <x:c r="CA302"/>
      <x:c r="CB302"/>
      <x:c r="CC302"/>
    </x:row>
    <x:row r="303" ht="115" customHeight="1">
      <x:c r="A303" s="9" t="str">
        <x:v>proposal.legger.impact_lattice</x:v>
      </x:c>
      <x:c r="B303" s="9" t="str">
        <x:v>Ancient impact-lattice backing</x:v>
      </x:c>
      <x:c r="C303" s="4" t="str">
        <x:v>Not applicable</x:v>
      </x:c>
      <x:c r="D303" s="9" t="inlineStr">
        <x:is>
          <x:t xml:space="preserve">Legger attachments</x:t>
        </x:is>
      </x:c>
      <x:c r="E303" s="9" t="str">
        <x:v>Legger ancient replacement</x:v>
      </x:c>
      <x:c r="F303" s="9" t="str">
        <x:v>New proposal</x:v>
      </x:c>
      <x:c r="G303" s="9" t="inlineStr">
        <x:is>
          <x:t xml:space="preserve">Recovered structured backing considered for a composite guard. It is intended to cover or guard the recorded area, with fit, coverage and protective performance still requiring qualification.</x:t>
        </x:is>
      </x:c>
      <x:c r="H303" s="9" t="str">
        <x:v>Legger fitment unresolved</x:v>
      </x:c>
      <x:c r="I303" s="9" t="str">
        <x:v>Legger attachment / replacement intended; physical cargo policy unchanged</x:v>
      </x:c>
      <x:c r="J303" s="13"/>
      <x:c r="K303" s="15"/>
      <x:c r="L303" s="9" t="str">
        <x:v>Extremely rare recovered technology; fitting and recovery method TBD</x:v>
      </x:c>
      <x:c r="M303" s="9" t="str">
        <x:v>No recipe authored. Reuse existing iron stock, biological materials, ceramic craft, lubricant and ancient-material families where appropriate.</x:v>
      </x:c>
      <x:c r="N303" s="9" t="str">
        <x:v>Not implemented</x:v>
      </x:c>
      <x:c r="O303" s="9" t="str">
        <x:v>Extremely rare; energy response, layer compatibility and protection behavior remain undefined.</x:v>
      </x:c>
      <x:c r="P303" s="17" t="str">
        <x:v>Extremely rare</x:v>
      </x:c>
      <x:c r="Q303" s="17"/>
      <x:c r="R303" s="17"/>
      <x:c r="S303" s="17"/>
      <x:c r="T303" s="17"/>
      <x:c r="U303" s="9" t="str">
        <x:v>Brainstorming candidate. Geometry, cost, mass, mounting, carrying and replacement behavior remain open. Part belongs to a finite physical companion.</x:v>
      </x:c>
      <x:c r="V303" s="11" t="str">
        <x:v>legger; leger; companion replacement part; ancient salvage plasteel nanotube ballistic</x:v>
      </x:c>
      <x:c r="W303" s="9" t="str">
        <x:v>Author Legger slings/chassis/replacement/iron/ancient-armor brainstorming October 14, 2026; Docs/WORLD_BASIS.md#the-legger; specific item proposal.</x:v>
      </x:c>
      <x:c r="X303" s="4" t="str">
        <x:v>Armor</x:v>
      </x:c>
      <x:c r="Y303" s="4" t="str">
        <x:v>Finished item</x:v>
      </x:c>
      <x:c r="Z303" s="4" t="str">
        <x:v>Ancient technology</x:v>
      </x:c>
      <x:c r="AA303" s="4" t="str">
        <x:v>Protection</x:v>
      </x:c>
      <x:c r="AB303" s="4" t="str">
        <x:v>Ancient composite</x:v>
      </x:c>
      <x:c r="AC303" s="4" t="str">
        <x:v>Panel</x:v>
      </x:c>
      <x:c r="AD303" s="4" t="str">
        <x:v>Proposal</x:v>
      </x:c>
      <x:c r="AE303" s="4" t="str">
        <x:f>LOWER(A303&amp;"; "&amp;B303&amp;"; "&amp;D303&amp;"; "&amp;E303&amp;"; "&amp;X303&amp;"; "&amp;Y303&amp;"; "&amp;Z303&amp;"; "&amp;AA303&amp;"; "&amp;AB303&amp;"; "&amp;AC303&amp;"; "&amp;AD303&amp;"; "&amp;V303&amp;"; "&amp;C303&amp;"; "&amp;AH303&amp;"; "&amp;AI303)</x:f>
        <x:v>proposal.legger.impact_lattice; ancient impact-lattice backing; legger attachments; legger ancient replacement; armor; finished item; ancient technology; protection; ancient composite; panel; proposal; legger; leger; companion replacement part; ancient salvage plasteel nanotube ballistic; not applicable; unassigned; finished item</x:v>
      </x:c>
      <x:c r="AF303"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303" s="4" t="str">
        <x:v>Finished endpoint; material tier is not applicable. Input tiers belong to the chosen recipe.</x:v>
      </x:c>
      <x:c r="AH303" s="4" t="str">
        <x:v>Unassigned</x:v>
      </x:c>
      <x:c r="AI303" s="4" t="str">
        <x:v>Finished item</x:v>
      </x:c>
      <x:c r="AJ303" s="4" t="n">
        <x:f>COUNTIFS('Material routes'!$D$6:$D$2205,A303,'Material routes'!$C$6:$C$2205,"Output")</x:f>
        <x:v>0</x:v>
      </x:c>
      <x:c r="AK303" s="4" t="n">
        <x:f>SUM(COUNTIFS('Material routes'!$D$6:$D$2205,A303,'Material routes'!$C$6:$C$2205,"Ingredient candidate"),COUNTIFS('Material routes'!$D$6:$D$2205,A303,'Material routes'!$C$6:$C$2205,"Consumed input"),COUNTIFS('Material routes'!$D$6:$D$2205,A303,'Material routes'!$C$6:$C$2205,"Contained input"),COUNTIFS('Material routes'!$D$6:$D$2205,A303,'Material routes'!$C$6:$C$2205,"Transform input"))</x:f>
        <x:v>0</x:v>
      </x:c>
      <x:c r="AL303" s="4" t="n">
        <x:f>COUNTIFS('Material routes'!$D$6:$D$2205,A303,'Material routes'!$C$6:$C$2205,"Tool candidate")</x:f>
        <x:v>0</x:v>
      </x:c>
      <x:c r="AM303" s="4" t="str">
        <x:f>IF(AJ303&gt;0,"Route listed; review status/completeness",IF(C303="T0","Raw entry feed; no production route","No production route listed"))</x:f>
        <x:v>No production route listed</x:v>
      </x:c>
      <x:c r="AN303" s="14" t="n">
        <x:f>IF(C303="T0",0,IF(C303="T1",1,IF(C303="T2",2,IF(C303="T3",3,IF(C303="T4",4,IF(C303="Unassigned",98,99))))))</x:f>
        <x:v>99</x:v>
      </x:c>
      <x:c r="AZ303"/>
      <x:c r="BA303"/>
      <x:c r="BB303"/>
      <x:c r="BC303"/>
      <x:c r="BD303"/>
      <x:c r="BE303"/>
      <x:c r="BF303"/>
      <x:c r="BG303"/>
      <x:c r="BH303"/>
      <x:c r="BI303"/>
      <x:c r="BJ303"/>
      <x:c r="BK303"/>
      <x:c r="BL303"/>
      <x:c r="BM303"/>
      <x:c r="BN303"/>
      <x:c r="BO303"/>
      <x:c r="BP303"/>
      <x:c r="BQ303"/>
      <x:c r="BR303"/>
      <x:c r="BS303"/>
      <x:c r="BT303"/>
      <x:c r="BU303"/>
      <x:c r="BV303"/>
      <x:c r="BW303"/>
      <x:c r="BX303"/>
      <x:c r="BY303"/>
      <x:c r="BZ303"/>
      <x:c r="CA303"/>
      <x:c r="CB303"/>
      <x:c r="CC303"/>
    </x:row>
    <x:row r="304" ht="170" customHeight="1">
      <x:c r="A304" s="9" t="str">
        <x:v>proposal.legger.interface_adapter</x:v>
      </x:c>
      <x:c r="B304" s="9" t="str">
        <x:v>Ancient module interface adapter</x:v>
      </x:c>
      <x:c r="C304" s="4" t="str">
        <x:v>Not applicable</x:v>
      </x:c>
      <x:c r="D304" s="9" t="str">
        <x:v>Ancient salvage</x:v>
      </x:c>
      <x:c r="E304" s="9" t="str">
        <x:v>Legger ancient replacement</x:v>
      </x:c>
      <x:c r="F304" s="9" t="str">
        <x:v>New proposal</x:v>
      </x:c>
      <x:c r="G304" s="9" t="inlineStr">
        <x:is>
          <x:t xml:space="preserve">Recovered adapter candidate joining one identified ancient module to a matching host. It is an extremely rare ancient recovery whose original function remains a working hypothesis. Condition, compatibility and safe operation are unknown; no contemporary reproduction is implied.</x:t>
        </x:is>
      </x:c>
      <x:c r="H304" s="9" t="str">
        <x:v>Legger fitment unresolved</x:v>
      </x:c>
      <x:c r="I304" s="9" t="str">
        <x:v>Legger attachment / replacement intended; physical cargo policy unchanged</x:v>
      </x:c>
      <x:c r="J304" s="13"/>
      <x:c r="K304" s="15"/>
      <x:c r="L304" s="9" t="str">
        <x:v>Extremely rare recovered technology; fitting and recovery method TBD</x:v>
      </x:c>
      <x:c r="M304" s="9" t="str">
        <x:v>No recipe authored. Reuse existing iron stock, biological materials, ceramic craft, lubricant and ancient-material families where appropriate.</x:v>
      </x:c>
      <x:c r="N304" s="9" t="str">
        <x:v>Not implemented</x:v>
      </x:c>
      <x:c r="O304" s="9" t="str">
        <x:v>Extremely rare and interface-specific; does not unlock universal ancient-module compatibility.</x:v>
      </x:c>
      <x:c r="P304" s="17" t="str">
        <x:v>Extremely rare</x:v>
      </x:c>
      <x:c r="Q304" s="17"/>
      <x:c r="R304" s="17"/>
      <x:c r="S304" s="17"/>
      <x:c r="T304" s="17"/>
      <x:c r="U304" s="9" t="str">
        <x:v>Brainstorming candidate. Geometry, cost, mass, mounting, carrying and replacement behavior remain open. Part belongs to a finite physical companion.</x:v>
      </x:c>
      <x:c r="V304" s="11" t="str">
        <x:v>legger; leger; companion replacement part; ancient salvage plasteel nanotube ballistic</x:v>
      </x:c>
      <x:c r="W304" s="9" t="str">
        <x:v>Author Legger slings/chassis/replacement/iron/ancient-armor brainstorming October 14, 2026; Docs/WORLD_BASIS.md#the-legger; specific item proposal.</x:v>
      </x:c>
      <x:c r="X304" s="4" t="str">
        <x:v>Crafting component</x:v>
      </x:c>
      <x:c r="Y304" s="4" t="str">
        <x:v>Processed intermediate</x:v>
      </x:c>
      <x:c r="Z304" s="4" t="str">
        <x:v>Ancient technology</x:v>
      </x:c>
      <x:c r="AA304" s="4" t="str">
        <x:v>Equipment mounting</x:v>
      </x:c>
      <x:c r="AB304" s="4" t="str">
        <x:v>Unresolved</x:v>
      </x:c>
      <x:c r="AC304" s="4" t="str">
        <x:v>Solid part</x:v>
      </x:c>
      <x:c r="AD304" s="4" t="str">
        <x:v>Proposal</x:v>
      </x:c>
      <x:c r="AE304" s="4" t="str">
        <x:f>LOWER(A304&amp;"; "&amp;B304&amp;"; "&amp;D304&amp;"; "&amp;E304&amp;"; "&amp;X304&amp;"; "&amp;Y304&amp;"; "&amp;Z304&amp;"; "&amp;AA304&amp;"; "&amp;AB304&amp;"; "&amp;AC304&amp;"; "&amp;AD304&amp;"; "&amp;V304&amp;"; "&amp;C304&amp;"; "&amp;AH304&amp;"; "&amp;AI304)</x:f>
        <x:v>proposal.legger.interface_adapter; ancient module interface adapter; ancient salvage; legger ancient replacement; crafting component; processed intermediate; ancient technology; equipment mounting; unresolved; solid part; proposal; legger; leger; companion replacement part; ancient salvage plasteel nanotube ballistic; not applicable; unassigned; component</x:v>
      </x:c>
      <x:c r="AF304" s="4" t="str">
        <x:v>Specific parts and protective properties remain proposals; ancient-material scarcity is established author direction. Lore category review: Crafting components -&gt; Ancient salvage. Classification only; original item status and tier retained.</x:v>
      </x:c>
      <x:c r="AG30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4" s="4" t="str">
        <x:v>Unassigned</x:v>
      </x:c>
      <x:c r="AI304" s="4" t="str">
        <x:v>Component</x:v>
      </x:c>
      <x:c r="AJ304" s="4" t="n">
        <x:f>COUNTIFS('Material routes'!$D$6:$D$2205,A304,'Material routes'!$C$6:$C$2205,"Output")</x:f>
        <x:v>0</x:v>
      </x:c>
      <x:c r="AK304" s="4" t="n">
        <x:f>SUM(COUNTIFS('Material routes'!$D$6:$D$2205,A304,'Material routes'!$C$6:$C$2205,"Ingredient candidate"),COUNTIFS('Material routes'!$D$6:$D$2205,A304,'Material routes'!$C$6:$C$2205,"Consumed input"),COUNTIFS('Material routes'!$D$6:$D$2205,A304,'Material routes'!$C$6:$C$2205,"Contained input"),COUNTIFS('Material routes'!$D$6:$D$2205,A304,'Material routes'!$C$6:$C$2205,"Transform input"))</x:f>
        <x:v>0</x:v>
      </x:c>
      <x:c r="AL304" s="4" t="n">
        <x:f>COUNTIFS('Material routes'!$D$6:$D$2205,A304,'Material routes'!$C$6:$C$2205,"Tool candidate")</x:f>
        <x:v>0</x:v>
      </x:c>
      <x:c r="AM304" s="4" t="str">
        <x:f>IF(AJ304&gt;0,"Route listed; review status/completeness",IF(C304="T0","Raw entry feed; no production route","No production route listed"))</x:f>
        <x:v>No production route listed</x:v>
      </x:c>
      <x:c r="AN304" s="14" t="n">
        <x:f>IF(C304="T0",0,IF(C304="T1",1,IF(C304="T2",2,IF(C304="T3",3,IF(C304="T4",4,IF(C304="Unassigned",98,99))))))</x:f>
        <x:v>99</x:v>
      </x:c>
      <x:c r="AZ304"/>
      <x:c r="BA304"/>
      <x:c r="BB304"/>
      <x:c r="BC304"/>
      <x:c r="BD304"/>
      <x:c r="BE304"/>
      <x:c r="BF304"/>
      <x:c r="BG304"/>
      <x:c r="BH304"/>
      <x:c r="BI304"/>
      <x:c r="BJ304"/>
      <x:c r="BK304"/>
      <x:c r="BL304"/>
      <x:c r="BM304"/>
      <x:c r="BN304"/>
      <x:c r="BO304"/>
      <x:c r="BP304"/>
      <x:c r="BQ304"/>
      <x:c r="BR304"/>
      <x:c r="BS304"/>
      <x:c r="BT304"/>
      <x:c r="BU304"/>
      <x:c r="BV304"/>
      <x:c r="BW304"/>
      <x:c r="BX304"/>
      <x:c r="BY304"/>
      <x:c r="BZ304"/>
      <x:c r="CA304"/>
      <x:c r="CB304"/>
      <x:c r="CC304"/>
    </x:row>
    <x:row r="305" ht="115" customHeight="1">
      <x:c r="A305" s="9"/>
      <x:c r="B305" s="9"/>
      <x:c r="C305" s="4"/>
      <x:c r="D305" s="9"/>
      <x:c r="E305" s="9"/>
      <x:c r="F305" s="9"/>
      <x:c r="G305" s="9"/>
      <x:c r="H305" s="9"/>
      <x:c r="I305" s="9"/>
      <x:c r="J305" s="13"/>
      <x:c r="M305" s="9"/>
      <x:c r="N305" s="9"/>
      <x:c r="O305" s="9"/>
      <x:c r="P305" s="17"/>
      <x:c r="V305" s="11"/>
      <x:c r="W305" s="9"/>
      <x:c r="X305" s="4"/>
      <x:c r="Y305" s="4"/>
      <x:c r="Z305" s="4"/>
      <x:c r="AA305" s="4"/>
      <x:c r="AB305" s="4"/>
      <x:c r="AC305" s="4"/>
      <x:c r="AD305" s="4"/>
      <x:c r="AE305" s="4"/>
      <x:c r="AF305" s="4"/>
      <x:c r="AG305" s="4"/>
      <x:c r="AH305" s="4"/>
      <x:c r="AI305" s="4"/>
      <x:c r="AJ305" s="4"/>
      <x:c r="AK305" s="4"/>
      <x:c r="AL305" s="4"/>
      <x:c r="AM305" s="4"/>
      <x:c r="AN305" s="14"/>
      <x:c r="AZ305"/>
      <x:c r="BA305"/>
      <x:c r="BB305"/>
      <x:c r="BC305"/>
      <x:c r="BD305"/>
      <x:c r="BE305"/>
      <x:c r="BF305"/>
      <x:c r="BG305"/>
      <x:c r="BH305"/>
      <x:c r="BI305"/>
      <x:c r="BJ305"/>
      <x:c r="BK305"/>
      <x:c r="BL305"/>
      <x:c r="BM305"/>
      <x:c r="BN305"/>
      <x:c r="BO305"/>
      <x:c r="BP305"/>
      <x:c r="BQ305"/>
      <x:c r="BR305"/>
      <x:c r="BS305"/>
      <x:c r="BT305"/>
      <x:c r="BU305"/>
      <x:c r="BV305"/>
      <x:c r="BW305"/>
      <x:c r="BX305"/>
      <x:c r="BY305"/>
      <x:c r="BZ305"/>
      <x:c r="CA305"/>
      <x:c r="CB305"/>
      <x:c r="CC305"/>
    </x:row>
    <x:row r="306" ht="115" customHeight="1">
      <x:c r="A306" s="9" t="str">
        <x:v>proposal.food.dense_drink</x:v>
      </x:c>
      <x:c r="B306" s="9" t="str">
        <x:v>Dense Phagia nutrient drink</x:v>
      </x:c>
      <x:c r="C306" s="4" t="str">
        <x:v>Not applicable</x:v>
      </x:c>
      <x:c r="D306" s="9" t="str">
        <x:v>Consumables</x:v>
      </x:c>
      <x:c r="E306" s="9" t="str">
        <x:v>Phagia drink</x:v>
      </x:c>
      <x:c r="F306" s="9" t="str">
        <x:v>New proposal</x:v>
      </x:c>
      <x:c r="G306" s="9" t="inlineStr">
        <x:is>
          <x:t xml:space="preserve">Candidate concentrated drink preparation for a compact food-and-drink serving. It is intended for the recorded food or feeding role. Human edibility and useful nutrition require the selected source and preparation rather than assumptions about all fauna.</x:t>
        </x:is>
      </x:c>
      <x:c r="H306" s="9" t="str">
        <x:v>None</x:v>
      </x:c>
      <x:c r="I306" s="9" t="str">
        <x:v>Prepared portions / vessels; Booter eligibility and capacity TBD</x:v>
      </x:c>
      <x:c r="J306" s="13"/>
      <x:c r="K306" s="15"/>
      <x:c r="L306" s="9" t="str">
        <x:v>Specialist Phagia processing, provisioning or trade; exact route TBD</x:v>
      </x:c>
      <x:c r="M306" s="9" t="str">
        <x:v>No recipe, ratio or serving quantity authored. Food processing and any heating need setting-compatible design.</x:v>
      </x:c>
      <x:c r="N306" s="9" t="str">
        <x:v>Not implemented</x:v>
      </x:c>
      <x:c r="O306" s="9" t="str">
        <x:v>Drinkability, concentration process, nutritional benefit and hydration tradeoffs remain proposed; no dilution water or numeric effects assigned.</x:v>
      </x:c>
      <x:c r="P306" s="17"/>
      <x:c r="Q306" s="17"/>
      <x:c r="R306" s="17"/>
      <x:c r="S306" s="17"/>
      <x:c r="T306" s="17"/>
      <x:c r="U306" s="9" t="str">
        <x:v>Higher-performing processed Phagia consumables and high-quality fauna-mixed delicacies are author direction. Specific performance, supply costs, value, shelf life and consumption behavior remain unresolved.</x:v>
      </x:c>
      <x:c r="V306" s="11" t="str">
        <x:v>hydration; phagea; algae</x:v>
      </x:c>
      <x:c r="W306" s="9" t="str">
        <x:v>Direct author Phagia food/drink processing and fauna-delicacy direction October 14, 2026; Docs/WORLD_BASIS.md#survival-rules. Specific named dishes and packaging are proposals.</x:v>
      </x:c>
      <x:c r="X306" s="4" t="str">
        <x:v>Drink consumable</x:v>
      </x:c>
      <x:c r="Y306" s="4" t="str">
        <x:v>Finished item</x:v>
      </x:c>
      <x:c r="Z306" s="4" t="str">
        <x:v>Living culture</x:v>
      </x:c>
      <x:c r="AA306" s="4" t="str">
        <x:v>Nutrition</x:v>
      </x:c>
      <x:c r="AB306" s="4" t="str">
        <x:v>Phagia preparation</x:v>
      </x:c>
      <x:c r="AC306" s="4" t="str">
        <x:v>Liquid</x:v>
      </x:c>
      <x:c r="AD306" s="4" t="str">
        <x:v>Proposal</x:v>
      </x:c>
      <x:c r="AE306" s="4" t="str">
        <x:f>LOWER(A306&amp;"; "&amp;B306&amp;"; "&amp;D306&amp;"; "&amp;E306&amp;"; "&amp;X306&amp;"; "&amp;Y306&amp;"; "&amp;Z306&amp;"; "&amp;AA306&amp;"; "&amp;AB306&amp;"; "&amp;AC306&amp;"; "&amp;AD306&amp;"; "&amp;V306&amp;"; "&amp;C306&amp;"; "&amp;AH306&amp;"; "&amp;AI306)</x:f>
        <x:v>proposal.food.dense_drink; dense phagia nutrient drink; consumables; phagia drink; drink consumable; finished item; living culture; nutrition; phagia preparation; liquid; proposal; hydration; phagea; algae; not applicable; t2; finished item</x:v>
      </x:c>
      <x:c r="AF306" s="4" t="str">
        <x:v>Accepted direction for processed-food families; individual recipes, ingredient qualification and effects remain design proposals.</x:v>
      </x:c>
      <x:c r="AG306" s="4" t="str">
        <x:v>Finished endpoint; material tier is not applicable. Input tiers belong to the chosen recipe.</x:v>
      </x:c>
      <x:c r="AH306" s="4" t="str">
        <x:v>T2</x:v>
      </x:c>
      <x:c r="AI306" s="4" t="str">
        <x:v>Finished item</x:v>
      </x:c>
      <x:c r="AJ306" s="4" t="n">
        <x:f>COUNTIFS('Material routes'!$D$6:$D$2205,A306,'Material routes'!$C$6:$C$2205,"Output")</x:f>
        <x:v>1</x:v>
      </x:c>
      <x:c r="AK306" s="4" t="n">
        <x:f>SUM(COUNTIFS('Material routes'!$D$6:$D$2205,A306,'Material routes'!$C$6:$C$2205,"Ingredient candidate"),COUNTIFS('Material routes'!$D$6:$D$2205,A306,'Material routes'!$C$6:$C$2205,"Consumed input"),COUNTIFS('Material routes'!$D$6:$D$2205,A306,'Material routes'!$C$6:$C$2205,"Contained input"),COUNTIFS('Material routes'!$D$6:$D$2205,A306,'Material routes'!$C$6:$C$2205,"Transform input"))</x:f>
        <x:v>0</x:v>
      </x:c>
      <x:c r="AL306" s="4" t="n">
        <x:f>COUNTIFS('Material routes'!$D$6:$D$2205,A306,'Material routes'!$C$6:$C$2205,"Tool candidate")</x:f>
        <x:v>0</x:v>
      </x:c>
      <x:c r="AM306" s="4" t="str">
        <x:f>IF(AJ306&gt;0,"Route listed; review status/completeness",IF(C306="T0","Raw entry feed; no production route","No production route listed"))</x:f>
        <x:v>Route listed; review status/completeness</x:v>
      </x:c>
      <x:c r="AN306" s="14" t="n">
        <x:f>IF(C306="T0",0,IF(C306="T1",1,IF(C306="T2",2,IF(C306="T3",3,IF(C306="T4",4,IF(C306="Unassigned",98,99))))))</x:f>
        <x:v>99</x:v>
      </x:c>
      <x:c r="AZ306"/>
      <x:c r="BA306"/>
      <x:c r="BB306"/>
      <x:c r="BC306"/>
      <x:c r="BD306"/>
      <x:c r="BE306"/>
      <x:c r="BF306"/>
      <x:c r="BG306"/>
      <x:c r="BH306"/>
      <x:c r="BI306"/>
      <x:c r="BJ306"/>
      <x:c r="BK306"/>
      <x:c r="BL306"/>
      <x:c r="BM306"/>
      <x:c r="BN306"/>
      <x:c r="BO306"/>
      <x:c r="BP306"/>
      <x:c r="BQ306"/>
      <x:c r="BR306"/>
      <x:c r="BS306"/>
      <x:c r="BT306"/>
      <x:c r="BU306"/>
      <x:c r="BV306"/>
      <x:c r="BW306"/>
      <x:c r="BX306"/>
      <x:c r="BY306"/>
      <x:c r="BZ306"/>
      <x:c r="CA306"/>
      <x:c r="CB306"/>
      <x:c r="CC306"/>
    </x:row>
    <x:row r="307" ht="115" customHeight="1">
      <x:c r="A307" s="9" t="str">
        <x:v>proposal.food.ration_bar</x:v>
      </x:c>
      <x:c r="B307" s="9" t="str">
        <x:v>Phagia ration bar</x:v>
      </x:c>
      <x:c r="C307" s="4" t="str">
        <x:v>Not applicable</x:v>
      </x:c>
      <x:c r="D307" s="9" t="str">
        <x:v>Consumables</x:v>
      </x:c>
      <x:c r="E307" s="9" t="str">
        <x:v>Phagia bar</x:v>
      </x:c>
      <x:c r="F307" s="9" t="str">
        <x:v>User direction; not implemented</x:v>
      </x:c>
      <x:c r="G307" s="9" t="inlineStr">
        <x:is>
          <x:t xml:space="preserve">Prepared algae bar comparable in use to a protein/meal bar. It is intended for the recorded food or feeding role. Human edibility and useful nutrition require the selected source and preparation rather than assumptions about all fauna.</x:t>
        </x:is>
      </x:c>
      <x:c r="H307" s="9" t="str">
        <x:v>None</x:v>
      </x:c>
      <x:c r="I307" s="9" t="str">
        <x:v>Prepared portions / vessels; Booter eligibility and capacity TBD</x:v>
      </x:c>
      <x:c r="J307" s="13"/>
      <x:c r="K307" s="15"/>
      <x:c r="L307" s="9" t="str">
        <x:v>Specialist Phagia processing, provisioning or trade; exact route TBD</x:v>
      </x:c>
      <x:c r="M307" s="9" t="str">
        <x:v>No recipe, ratio or serving quantity authored. Food processing and any heating need setting-compatible design.</x:v>
      </x:c>
      <x:c r="N307" s="9" t="str">
        <x:v>Not implemented</x:v>
      </x:c>
      <x:c r="O307" s="9" t="str">
        <x:v>Comparison describes portable food format; exact protein composition, binding, serving size and benefits unresolved.</x:v>
      </x:c>
      <x:c r="P307" s="17"/>
      <x:c r="Q307" s="17"/>
      <x:c r="R307" s="17"/>
      <x:c r="S307" s="17"/>
      <x:c r="T307" s="17"/>
      <x:c r="U307" s="9" t="str">
        <x:v>Higher-performing processed Phagia consumables and high-quality fauna-mixed delicacies are author direction. Specific performance, supply costs, value, shelf life and consumption behavior remain unresolved.</x:v>
      </x:c>
      <x:c r="V307" s="11" t="str">
        <x:v>phagea; algae</x:v>
      </x:c>
      <x:c r="W307" s="9" t="str">
        <x:v>Direct author Phagia food/drink processing and fauna-delicacy direction October 14, 2026; Docs/WORLD_BASIS.md#survival-rules. Specific named dishes and packaging are proposals.</x:v>
      </x:c>
      <x:c r="X307" s="4" t="str">
        <x:v>Food consumable</x:v>
      </x:c>
      <x:c r="Y307" s="4" t="str">
        <x:v>Finished item</x:v>
      </x:c>
      <x:c r="Z307" s="4" t="str">
        <x:v>Living culture</x:v>
      </x:c>
      <x:c r="AA307" s="4" t="str">
        <x:v>Nutrition</x:v>
      </x:c>
      <x:c r="AB307" s="4" t="str">
        <x:v>Phagia preparation</x:v>
      </x:c>
      <x:c r="AC307" s="4" t="str">
        <x:v>Solid piece</x:v>
      </x:c>
      <x:c r="AD307" s="4" t="str">
        <x:v>Author direction</x:v>
      </x:c>
      <x:c r="AE307" s="4" t="str">
        <x:f>LOWER(A307&amp;"; "&amp;B307&amp;"; "&amp;D307&amp;"; "&amp;E307&amp;"; "&amp;X307&amp;"; "&amp;Y307&amp;"; "&amp;Z307&amp;"; "&amp;AA307&amp;"; "&amp;AB307&amp;"; "&amp;AC307&amp;"; "&amp;AD307&amp;"; "&amp;V307&amp;"; "&amp;C307&amp;"; "&amp;AH307&amp;"; "&amp;AI307)</x:f>
        <x:v>proposal.food.ration_bar; phagia ration bar; consumables; phagia bar; food consumable; finished item; living culture; nutrition; phagia preparation; solid piece; author direction; phagea; algae; not applicable; t1; finished item</x:v>
      </x:c>
      <x:c r="AF307" s="4" t="str">
        <x:v>Accepted direction for processed-food families; individual recipes, ingredient qualification and effects remain design proposals.</x:v>
      </x:c>
      <x:c r="AG307" s="4" t="str">
        <x:v>Finished endpoint; material tier is not applicable. Input tiers belong to the chosen recipe.</x:v>
      </x:c>
      <x:c r="AH307" s="4" t="str">
        <x:v>T1</x:v>
      </x:c>
      <x:c r="AI307" s="4" t="str">
        <x:v>Finished item</x:v>
      </x:c>
      <x:c r="AJ307" s="4" t="n">
        <x:f>COUNTIFS('Material routes'!$D$6:$D$2205,A307,'Material routes'!$C$6:$C$2205,"Output")</x:f>
        <x:v>1</x:v>
      </x:c>
      <x:c r="AK307" s="4" t="n">
        <x:f>SUM(COUNTIFS('Material routes'!$D$6:$D$2205,A307,'Material routes'!$C$6:$C$2205,"Ingredient candidate"),COUNTIFS('Material routes'!$D$6:$D$2205,A307,'Material routes'!$C$6:$C$2205,"Consumed input"),COUNTIFS('Material routes'!$D$6:$D$2205,A307,'Material routes'!$C$6:$C$2205,"Contained input"),COUNTIFS('Material routes'!$D$6:$D$2205,A307,'Material routes'!$C$6:$C$2205,"Transform input"))</x:f>
        <x:v>0</x:v>
      </x:c>
      <x:c r="AL307" s="4" t="n">
        <x:f>COUNTIFS('Material routes'!$D$6:$D$2205,A307,'Material routes'!$C$6:$C$2205,"Tool candidate")</x:f>
        <x:v>0</x:v>
      </x:c>
      <x:c r="AM307" s="4" t="str">
        <x:f>IF(AJ307&gt;0,"Route listed; review status/completeness",IF(C307="T0","Raw entry feed; no production route","No production route listed"))</x:f>
        <x:v>Route listed; review status/completeness</x:v>
      </x:c>
      <x:c r="AN307" s="14" t="n">
        <x:f>IF(C307="T0",0,IF(C307="T1",1,IF(C307="T2",2,IF(C307="T3",3,IF(C307="T4",4,IF(C307="Unassigned",98,99))))))</x:f>
        <x:v>99</x:v>
      </x:c>
      <x:c r="AZ307"/>
      <x:c r="BA307"/>
      <x:c r="BB307"/>
      <x:c r="BC307"/>
      <x:c r="BD307"/>
      <x:c r="BE307"/>
      <x:c r="BF307"/>
      <x:c r="BG307"/>
      <x:c r="BH307"/>
      <x:c r="BI307"/>
      <x:c r="BJ307"/>
      <x:c r="BK307"/>
      <x:c r="BL307"/>
      <x:c r="BM307"/>
      <x:c r="BN307"/>
      <x:c r="BO307"/>
      <x:c r="BP307"/>
      <x:c r="BQ307"/>
      <x:c r="BR307"/>
      <x:c r="BS307"/>
      <x:c r="BT307"/>
      <x:c r="BU307"/>
      <x:c r="BV307"/>
      <x:c r="BW307"/>
      <x:c r="BX307"/>
      <x:c r="BY307"/>
      <x:c r="BZ307"/>
      <x:c r="CA307"/>
      <x:c r="CB307"/>
      <x:c r="CC307"/>
    </x:row>
    <x:row r="308" ht="115" customHeight="1">
      <x:c r="A308" s="9" t="str">
        <x:v>proposal.food.dried_bar</x:v>
      </x:c>
      <x:c r="B308" s="9" t="str">
        <x:v>Dried Phagia travel bar</x:v>
      </x:c>
      <x:c r="C308" s="4" t="str">
        <x:v>Not applicable</x:v>
      </x:c>
      <x:c r="D308" s="9" t="str">
        <x:v>Consumables</x:v>
      </x:c>
      <x:c r="E308" s="9" t="str">
        <x:v>Phagia bar</x:v>
      </x:c>
      <x:c r="F308" s="9" t="str">
        <x:v>User direction; not implemented</x:v>
      </x:c>
      <x:c r="G308" s="9" t="inlineStr">
        <x:is>
          <x:t xml:space="preserve">Dried algae bar proposed as a processed travel consumable. It is intended for the recorded food or feeding role. Human edibility and useful nutrition require the selected source and preparation rather than assumptions about all fauna.</x:t>
        </x:is>
      </x:c>
      <x:c r="H308" s="9" t="str">
        <x:v>None</x:v>
      </x:c>
      <x:c r="I308" s="9" t="str">
        <x:v>Prepared portions / vessels; Booter eligibility and capacity TBD</x:v>
      </x:c>
      <x:c r="J308" s="13"/>
      <x:c r="K308" s="15"/>
      <x:c r="L308" s="9" t="str">
        <x:v>Specialist Phagia processing, provisioning or trade; exact route TBD</x:v>
      </x:c>
      <x:c r="M308" s="9" t="str">
        <x:v>No recipe, ratio or serving quantity authored. Food processing and any heating need setting-compatible design.</x:v>
      </x:c>
      <x:c r="N308" s="9" t="str">
        <x:v>Not implemented</x:v>
      </x:c>
      <x:c r="O308" s="9" t="str">
        <x:v>Drying method, retained compounds, texture and storage life require design. No hydration restoration inferred from a dry format.</x:v>
      </x:c>
      <x:c r="P308" s="17"/>
      <x:c r="Q308" s="17"/>
      <x:c r="R308" s="17"/>
      <x:c r="S308" s="17"/>
      <x:c r="T308" s="17"/>
      <x:c r="U308" s="9" t="str">
        <x:v>Higher-performing processed Phagia consumables and high-quality fauna-mixed delicacies are author direction. Specific performance, supply costs, value, shelf life and consumption behavior remain unresolved.</x:v>
      </x:c>
      <x:c r="V308" s="11" t="str">
        <x:v>phagea; algae</x:v>
      </x:c>
      <x:c r="W308" s="9" t="str">
        <x:v>Direct author Phagia food/drink processing and fauna-delicacy direction October 14, 2026; Docs/WORLD_BASIS.md#survival-rules. Specific named dishes and packaging are proposals.</x:v>
      </x:c>
      <x:c r="X308" s="4" t="str">
        <x:v>Food consumable</x:v>
      </x:c>
      <x:c r="Y308" s="4" t="str">
        <x:v>Finished item</x:v>
      </x:c>
      <x:c r="Z308" s="4" t="str">
        <x:v>Living culture</x:v>
      </x:c>
      <x:c r="AA308" s="4" t="str">
        <x:v>Nutrition</x:v>
      </x:c>
      <x:c r="AB308" s="4" t="str">
        <x:v>Phagia preparation</x:v>
      </x:c>
      <x:c r="AC308" s="4" t="str">
        <x:v>Solid piece</x:v>
      </x:c>
      <x:c r="AD308" s="4" t="str">
        <x:v>Author direction</x:v>
      </x:c>
      <x:c r="AE308" s="4" t="str">
        <x:f>LOWER(A308&amp;"; "&amp;B308&amp;"; "&amp;D308&amp;"; "&amp;E308&amp;"; "&amp;X308&amp;"; "&amp;Y308&amp;"; "&amp;Z308&amp;"; "&amp;AA308&amp;"; "&amp;AB308&amp;"; "&amp;AC308&amp;"; "&amp;AD308&amp;"; "&amp;V308&amp;"; "&amp;C308&amp;"; "&amp;AH308&amp;"; "&amp;AI308)</x:f>
        <x:v>proposal.food.dried_bar; dried phagia travel bar; consumables; phagia bar; food consumable; finished item; living culture; nutrition; phagia preparation; solid piece; author direction; phagea; algae; not applicable; t1; finished item</x:v>
      </x:c>
      <x:c r="AF308" s="4" t="str">
        <x:v>Accepted direction for processed-food families; individual recipes, ingredient qualification and effects remain design proposals.</x:v>
      </x:c>
      <x:c r="AG308" s="4" t="str">
        <x:v>Finished endpoint; material tier is not applicable. Input tiers belong to the chosen recipe.</x:v>
      </x:c>
      <x:c r="AH308" s="4" t="str">
        <x:v>T1</x:v>
      </x:c>
      <x:c r="AI308" s="4" t="str">
        <x:v>Finished item</x:v>
      </x:c>
      <x:c r="AJ308" s="4" t="n">
        <x:f>COUNTIFS('Material routes'!$D$6:$D$2205,A308,'Material routes'!$C$6:$C$2205,"Output")</x:f>
        <x:v>1</x:v>
      </x:c>
      <x:c r="AK308" s="4" t="n">
        <x:f>SUM(COUNTIFS('Material routes'!$D$6:$D$2205,A308,'Material routes'!$C$6:$C$2205,"Ingredient candidate"),COUNTIFS('Material routes'!$D$6:$D$2205,A308,'Material routes'!$C$6:$C$2205,"Consumed input"),COUNTIFS('Material routes'!$D$6:$D$2205,A308,'Material routes'!$C$6:$C$2205,"Contained input"),COUNTIFS('Material routes'!$D$6:$D$2205,A308,'Material routes'!$C$6:$C$2205,"Transform input"))</x:f>
        <x:v>0</x:v>
      </x:c>
      <x:c r="AL308" s="4" t="n">
        <x:f>COUNTIFS('Material routes'!$D$6:$D$2205,A308,'Material routes'!$C$6:$C$2205,"Tool candidate")</x:f>
        <x:v>0</x:v>
      </x:c>
      <x:c r="AM308" s="4" t="str">
        <x:f>IF(AJ308&gt;0,"Route listed; review status/completeness",IF(C308="T0","Raw entry feed; no production route","No production route listed"))</x:f>
        <x:v>Route listed; review status/completeness</x:v>
      </x:c>
      <x:c r="AN308" s="14" t="n">
        <x:f>IF(C308="T0",0,IF(C308="T1",1,IF(C308="T2",2,IF(C308="T3",3,IF(C308="T4",4,IF(C308="Unassigned",98,99))))))</x:f>
        <x:v>99</x:v>
      </x:c>
      <x:c r="AZ308"/>
      <x:c r="BA308"/>
      <x:c r="BB308"/>
      <x:c r="BC308"/>
      <x:c r="BD308"/>
      <x:c r="BE308"/>
      <x:c r="BF308"/>
      <x:c r="BG308"/>
      <x:c r="BH308"/>
      <x:c r="BI308"/>
      <x:c r="BJ308"/>
      <x:c r="BK308"/>
      <x:c r="BL308"/>
      <x:c r="BM308"/>
      <x:c r="BN308"/>
      <x:c r="BO308"/>
      <x:c r="BP308"/>
      <x:c r="BQ308"/>
      <x:c r="BR308"/>
      <x:c r="BS308"/>
      <x:c r="BT308"/>
      <x:c r="BU308"/>
      <x:c r="BV308"/>
      <x:c r="BW308"/>
      <x:c r="BX308"/>
      <x:c r="BY308"/>
      <x:c r="BZ308"/>
      <x:c r="CA308"/>
      <x:c r="CB308"/>
      <x:c r="CC308"/>
    </x:row>
    <x:row r="309" ht="115" customHeight="1">
      <x:c r="A309" s="9" t="str">
        <x:v>proposal.food.meal_paste</x:v>
      </x:c>
      <x:c r="B309" s="9" t="str">
        <x:v>Prepared Phagia meal paste</x:v>
      </x:c>
      <x:c r="C309" s="4" t="str">
        <x:v>Not applicable</x:v>
      </x:c>
      <x:c r="D309" s="9" t="str">
        <x:v>Consumables</x:v>
      </x:c>
      <x:c r="E309" s="9" t="str">
        <x:v>Phagia prepared meal</x:v>
      </x:c>
      <x:c r="F309" s="9" t="str">
        <x:v>New proposal</x:v>
      </x:c>
      <x:c r="G309" s="9" t="inlineStr">
        <x:is>
          <x:t xml:space="preserve">Smooth prepared algae meal candidate portioned for consumption. It is intended for the recorded food or feeding role. Human edibility and useful nutrition require the selected source and preparation rather than assumptions about all fauna.</x:t>
        </x:is>
      </x:c>
      <x:c r="H309" s="9" t="str">
        <x:v>None</x:v>
      </x:c>
      <x:c r="I309" s="9" t="str">
        <x:v>Prepared portions / vessels; Booter eligibility and capacity TBD</x:v>
      </x:c>
      <x:c r="J309" s="13"/>
      <x:c r="K309" s="15"/>
      <x:c r="L309" s="9" t="str">
        <x:v>Specialist Phagia processing, provisioning or trade; exact route TBD</x:v>
      </x:c>
      <x:c r="M309" s="9" t="str">
        <x:v>No recipe, ratio or serving quantity authored. Food processing and any heating need setting-compatible design.</x:v>
      </x:c>
      <x:c r="N309" s="9" t="str">
        <x:v>Not implemented</x:v>
      </x:c>
      <x:c r="O309" s="9" t="str">
        <x:v>Formulation, preparation, containment, food value and serving size remain open.</x:v>
      </x:c>
      <x:c r="P309" s="17"/>
      <x:c r="Q309" s="17"/>
      <x:c r="R309" s="17"/>
      <x:c r="S309" s="17"/>
      <x:c r="T309" s="17"/>
      <x:c r="U309" s="9" t="str">
        <x:v>Higher-performing processed Phagia consumables and high-quality fauna-mixed delicacies are author direction. Specific performance, supply costs, value, shelf life and consumption behavior remain unresolved.</x:v>
      </x:c>
      <x:c r="V309" s="11" t="str">
        <x:v>phagea; algae</x:v>
      </x:c>
      <x:c r="W309" s="9" t="str">
        <x:v>Direct author Phagia food/drink processing and fauna-delicacy direction October 14, 2026; Docs/WORLD_BASIS.md#survival-rules. Specific named dishes and packaging are proposals.</x:v>
      </x:c>
      <x:c r="X309" s="4" t="str">
        <x:v>Food consumable</x:v>
      </x:c>
      <x:c r="Y309" s="4" t="str">
        <x:v>Finished item</x:v>
      </x:c>
      <x:c r="Z309" s="4" t="str">
        <x:v>Living culture</x:v>
      </x:c>
      <x:c r="AA309" s="4" t="str">
        <x:v>Nutrition</x:v>
      </x:c>
      <x:c r="AB309" s="4" t="str">
        <x:v>Phagia preparation</x:v>
      </x:c>
      <x:c r="AC309" s="4" t="str">
        <x:v>Paste</x:v>
      </x:c>
      <x:c r="AD309" s="4" t="str">
        <x:v>Proposal</x:v>
      </x:c>
      <x:c r="AE309" s="4" t="str">
        <x:f>LOWER(A309&amp;"; "&amp;B309&amp;"; "&amp;D309&amp;"; "&amp;E309&amp;"; "&amp;X309&amp;"; "&amp;Y309&amp;"; "&amp;Z309&amp;"; "&amp;AA309&amp;"; "&amp;AB309&amp;"; "&amp;AC309&amp;"; "&amp;AD309&amp;"; "&amp;V309&amp;"; "&amp;C309&amp;"; "&amp;AH309&amp;"; "&amp;AI309)</x:f>
        <x:v>proposal.food.meal_paste; prepared phagia meal paste; consumables; phagia prepared meal; food consumable; finished item; living culture; nutrition; phagia preparation; paste; proposal; phagea; algae; not applicable; t1; finished item</x:v>
      </x:c>
      <x:c r="AF309" s="4" t="str">
        <x:v>Accepted direction for processed-food families; individual recipes, ingredient qualification and effects remain design proposals.</x:v>
      </x:c>
      <x:c r="AG309" s="4" t="str">
        <x:v>Finished endpoint; material tier is not applicable. Input tiers belong to the chosen recipe.</x:v>
      </x:c>
      <x:c r="AH309" s="4" t="str">
        <x:v>T1</x:v>
      </x:c>
      <x:c r="AI309" s="4" t="str">
        <x:v>Finished item</x:v>
      </x:c>
      <x:c r="AJ309" s="4" t="n">
        <x:f>COUNTIFS('Material routes'!$D$6:$D$2205,A309,'Material routes'!$C$6:$C$2205,"Output")</x:f>
        <x:v>1</x:v>
      </x:c>
      <x:c r="AK309" s="4" t="n">
        <x:f>SUM(COUNTIFS('Material routes'!$D$6:$D$2205,A309,'Material routes'!$C$6:$C$2205,"Ingredient candidate"),COUNTIFS('Material routes'!$D$6:$D$2205,A309,'Material routes'!$C$6:$C$2205,"Consumed input"),COUNTIFS('Material routes'!$D$6:$D$2205,A309,'Material routes'!$C$6:$C$2205,"Contained input"),COUNTIFS('Material routes'!$D$6:$D$2205,A309,'Material routes'!$C$6:$C$2205,"Transform input"))</x:f>
        <x:v>0</x:v>
      </x:c>
      <x:c r="AL309" s="4" t="n">
        <x:f>COUNTIFS('Material routes'!$D$6:$D$2205,A309,'Material routes'!$C$6:$C$2205,"Tool candidate")</x:f>
        <x:v>0</x:v>
      </x:c>
      <x:c r="AM309" s="4" t="str">
        <x:f>IF(AJ309&gt;0,"Route listed; review status/completeness",IF(C309="T0","Raw entry feed; no production route","No production route listed"))</x:f>
        <x:v>Route listed; review status/completeness</x:v>
      </x:c>
      <x:c r="AN309" s="14" t="n">
        <x:f>IF(C309="T0",0,IF(C309="T1",1,IF(C309="T2",2,IF(C309="T3",3,IF(C309="T4",4,IF(C309="Unassigned",98,99))))))</x:f>
        <x:v>99</x:v>
      </x:c>
      <x:c r="AZ309"/>
      <x:c r="BA309"/>
      <x:c r="BB309"/>
      <x:c r="BC309"/>
      <x:c r="BD309"/>
      <x:c r="BE309"/>
      <x:c r="BF309"/>
      <x:c r="BG309"/>
      <x:c r="BH309"/>
      <x:c r="BI309"/>
      <x:c r="BJ309"/>
      <x:c r="BK309"/>
      <x:c r="BL309"/>
      <x:c r="BM309"/>
      <x:c r="BN309"/>
      <x:c r="BO309"/>
      <x:c r="BP309"/>
      <x:c r="BQ309"/>
      <x:c r="BR309"/>
      <x:c r="BS309"/>
      <x:c r="BT309"/>
      <x:c r="BU309"/>
      <x:c r="BV309"/>
      <x:c r="BW309"/>
      <x:c r="BX309"/>
      <x:c r="BY309"/>
      <x:c r="BZ309"/>
      <x:c r="CA309"/>
      <x:c r="CB309"/>
      <x:c r="CC309"/>
    </x:row>
    <x:row r="310" ht="115" customHeight="1">
      <x:c r="A310" s="9" t="str">
        <x:v>proposal.food.meal_portion</x:v>
      </x:c>
      <x:c r="B310" s="9" t="str">
        <x:v>Prepared Phagia meal portion</x:v>
      </x:c>
      <x:c r="C310" s="4" t="str">
        <x:v>Not applicable</x:v>
      </x:c>
      <x:c r="D310" s="9" t="str">
        <x:v>Consumables</x:v>
      </x:c>
      <x:c r="E310" s="9" t="str">
        <x:v>Phagia prepared meal</x:v>
      </x:c>
      <x:c r="F310" s="9" t="str">
        <x:v>User direction; not implemented</x:v>
      </x:c>
      <x:c r="G310" s="9" t="inlineStr">
        <x:is>
          <x:t xml:space="preserve">Prepared consumable meal based on the survival algae. It is intended for the recorded food or feeding role. Human edibility and useful nutrition require the selected source and preparation rather than assumptions about all fauna.</x:t>
        </x:is>
      </x:c>
      <x:c r="H310" s="9" t="str">
        <x:v>None</x:v>
      </x:c>
      <x:c r="I310" s="9" t="str">
        <x:v>Prepared portions / vessels; Booter eligibility and capacity TBD</x:v>
      </x:c>
      <x:c r="J310" s="13"/>
      <x:c r="K310" s="15"/>
      <x:c r="L310" s="9" t="str">
        <x:v>Specialist Phagia processing, provisioning or trade; exact route TBD</x:v>
      </x:c>
      <x:c r="M310" s="9" t="str">
        <x:v>No recipe, ratio or serving quantity authored. Food processing and any heating need setting-compatible design.</x:v>
      </x:c>
      <x:c r="N310" s="9" t="str">
        <x:v>Not implemented</x:v>
      </x:c>
      <x:c r="O310" s="9" t="str">
        <x:v>Warmed, cold-set or other preparation routes remain open; cooking follows the world fire rules. No universal healing or stamina effect.</x:v>
      </x:c>
      <x:c r="P310" s="17"/>
      <x:c r="Q310" s="17"/>
      <x:c r="R310" s="17"/>
      <x:c r="S310" s="17"/>
      <x:c r="T310" s="17"/>
      <x:c r="U310" s="9" t="str">
        <x:v>Higher-performing processed Phagia consumables and high-quality fauna-mixed delicacies are author direction. Specific performance, supply costs, value, shelf life and consumption behavior remain unresolved.</x:v>
      </x:c>
      <x:c r="V310" s="11" t="str">
        <x:v>phagea; algae</x:v>
      </x:c>
      <x:c r="W310" s="9" t="str">
        <x:v>Direct author Phagia food/drink processing and fauna-delicacy direction October 14, 2026; Docs/WORLD_BASIS.md#survival-rules. Specific named dishes and packaging are proposals.</x:v>
      </x:c>
      <x:c r="X310" s="4" t="str">
        <x:v>Food consumable</x:v>
      </x:c>
      <x:c r="Y310" s="4" t="str">
        <x:v>Finished item</x:v>
      </x:c>
      <x:c r="Z310" s="4" t="str">
        <x:v>Living culture</x:v>
      </x:c>
      <x:c r="AA310" s="4" t="str">
        <x:v>Nutrition</x:v>
      </x:c>
      <x:c r="AB310" s="4" t="str">
        <x:v>Phagia preparation</x:v>
      </x:c>
      <x:c r="AC310" s="4" t="str">
        <x:v>Unresolved</x:v>
      </x:c>
      <x:c r="AD310" s="4" t="str">
        <x:v>Author direction</x:v>
      </x:c>
      <x:c r="AE310" s="4" t="str">
        <x:f>LOWER(A310&amp;"; "&amp;B310&amp;"; "&amp;D310&amp;"; "&amp;E310&amp;"; "&amp;X310&amp;"; "&amp;Y310&amp;"; "&amp;Z310&amp;"; "&amp;AA310&amp;"; "&amp;AB310&amp;"; "&amp;AC310&amp;"; "&amp;AD310&amp;"; "&amp;V310&amp;"; "&amp;C310&amp;"; "&amp;AH310&amp;"; "&amp;AI310)</x:f>
        <x:v>proposal.food.meal_portion; prepared phagia meal portion; consumables; phagia prepared meal; food consumable; finished item; living culture; nutrition; phagia preparation; unresolved; author direction; phagea; algae; not applicable; t2; finished item</x:v>
      </x:c>
      <x:c r="AF310" s="4" t="str">
        <x:v>Accepted direction for processed-food families; individual recipes, ingredient qualification and effects remain design proposals.</x:v>
      </x:c>
      <x:c r="AG310" s="4" t="str">
        <x:v>Finished endpoint; material tier is not applicable. Input tiers belong to the chosen recipe.</x:v>
      </x:c>
      <x:c r="AH310" s="4" t="str">
        <x:v>T2</x:v>
      </x:c>
      <x:c r="AI310" s="4" t="str">
        <x:v>Finished item</x:v>
      </x:c>
      <x:c r="AJ310" s="4" t="n">
        <x:f>COUNTIFS('Material routes'!$D$6:$D$2205,A310,'Material routes'!$C$6:$C$2205,"Output")</x:f>
        <x:v>1</x:v>
      </x:c>
      <x:c r="AK310" s="4" t="n">
        <x:f>SUM(COUNTIFS('Material routes'!$D$6:$D$2205,A310,'Material routes'!$C$6:$C$2205,"Ingredient candidate"),COUNTIFS('Material routes'!$D$6:$D$2205,A310,'Material routes'!$C$6:$C$2205,"Consumed input"),COUNTIFS('Material routes'!$D$6:$D$2205,A310,'Material routes'!$C$6:$C$2205,"Contained input"),COUNTIFS('Material routes'!$D$6:$D$2205,A310,'Material routes'!$C$6:$C$2205,"Transform input"))</x:f>
        <x:v>0</x:v>
      </x:c>
      <x:c r="AL310" s="4" t="n">
        <x:f>COUNTIFS('Material routes'!$D$6:$D$2205,A310,'Material routes'!$C$6:$C$2205,"Tool candidate")</x:f>
        <x:v>0</x:v>
      </x:c>
      <x:c r="AM310" s="4" t="str">
        <x:f>IF(AJ310&gt;0,"Route listed; review status/completeness",IF(C310="T0","Raw entry feed; no production route","No production route listed"))</x:f>
        <x:v>Route listed; review status/completeness</x:v>
      </x:c>
      <x:c r="AN310" s="14" t="n">
        <x:f>IF(C310="T0",0,IF(C310="T1",1,IF(C310="T2",2,IF(C310="T3",3,IF(C310="T4",4,IF(C310="Unassigned",98,99))))))</x:f>
        <x:v>99</x:v>
      </x:c>
      <x:c r="AZ310"/>
      <x:c r="BA310"/>
      <x:c r="BB310"/>
      <x:c r="BC310"/>
      <x:c r="BD310"/>
      <x:c r="BE310"/>
      <x:c r="BF310"/>
      <x:c r="BG310"/>
      <x:c r="BH310"/>
      <x:c r="BI310"/>
      <x:c r="BJ310"/>
      <x:c r="BK310"/>
      <x:c r="BL310"/>
      <x:c r="BM310"/>
      <x:c r="BN310"/>
      <x:c r="BO310"/>
      <x:c r="BP310"/>
      <x:c r="BQ310"/>
      <x:c r="BR310"/>
      <x:c r="BS310"/>
      <x:c r="BT310"/>
      <x:c r="BU310"/>
      <x:c r="BV310"/>
      <x:c r="BW310"/>
      <x:c r="BX310"/>
      <x:c r="BY310"/>
      <x:c r="BZ310"/>
      <x:c r="CA310"/>
      <x:c r="CB310"/>
      <x:c r="CC310"/>
    </x:row>
    <x:row r="311" ht="115" customHeight="1">
      <x:c r="A311" s="9" t="str">
        <x:v>proposal.food.fauna_flake_dish</x:v>
      </x:c>
      <x:c r="B311" s="9" t="str">
        <x:v>Phagia and edible-fauna flake delicacy</x:v>
      </x:c>
      <x:c r="C311" s="4" t="str">
        <x:v>Not applicable</x:v>
      </x:c>
      <x:c r="D311" s="9" t="str">
        <x:v>Consumables</x:v>
      </x:c>
      <x:c r="E311" s="9" t="str">
        <x:v>Phagia delicacy</x:v>
      </x:c>
      <x:c r="F311" s="9" t="str">
        <x:v>New proposal</x:v>
      </x:c>
      <x:c r="G311" s="9" t="inlineStr">
        <x:is>
          <x:t xml:space="preserve">Candidate fine meal combining algae with selected prepared edible fauna flakes. It is intended for the recorded food or feeding role. Human edibility and useful nutrition require the selected source and preparation rather than assumptions about all fauna.</x:t>
        </x:is>
      </x:c>
      <x:c r="H311" s="9" t="str">
        <x:v>None</x:v>
      </x:c>
      <x:c r="I311" s="9" t="str">
        <x:v>Prepared portions / vessels; Booter eligibility and capacity TBD</x:v>
      </x:c>
      <x:c r="J311" s="13"/>
      <x:c r="K311" s="15"/>
      <x:c r="L311" s="9" t="str">
        <x:v>Specialist Phagia processing, provisioning or trade; exact route TBD</x:v>
      </x:c>
      <x:c r="M311" s="9" t="str">
        <x:v>No recipe, ratio or serving quantity authored. Food processing and any heating need setting-compatible design.</x:v>
      </x:c>
      <x:c r="N311" s="9" t="str">
        <x:v>Not implemented</x:v>
      </x:c>
      <x:c r="O311" s="9" t="str">
        <x:v>Species and exact edible fraction unresolved. Fauna contributes culinary character; improved nutritional performance is not assumed to come from fauna.</x:v>
      </x:c>
      <x:c r="P311" s="17"/>
      <x:c r="Q311" s="17"/>
      <x:c r="R311" s="17"/>
      <x:c r="S311" s="17"/>
      <x:c r="T311" s="17"/>
      <x:c r="U311" s="9" t="str">
        <x:v>Higher-performing processed Phagia consumables and high-quality fauna-mixed delicacies are author direction. Specific performance, supply costs, value, shelf life and consumption behavior remain unresolved.</x:v>
      </x:c>
      <x:c r="V311" s="11" t="str">
        <x:v>phagea; algae</x:v>
      </x:c>
      <x:c r="W311" s="9" t="str">
        <x:v>Direct author Phagia food/drink processing and fauna-delicacy direction October 14, 2026; Docs/WORLD_BASIS.md#survival-rules. Specific named dishes and packaging are proposals.</x:v>
      </x:c>
      <x:c r="X311" s="4" t="str">
        <x:v>Food consumable</x:v>
      </x:c>
      <x:c r="Y311" s="4" t="str">
        <x:v>Finished item</x:v>
      </x:c>
      <x:c r="Z311" s="4" t="str">
        <x:v>Biological mixture</x:v>
      </x:c>
      <x:c r="AA311" s="4" t="str">
        <x:v>Nutrition</x:v>
      </x:c>
      <x:c r="AB311" s="4" t="str">
        <x:v>Phagia and edible fauna</x:v>
      </x:c>
      <x:c r="AC311" s="4" t="str">
        <x:v>Unresolved</x:v>
      </x:c>
      <x:c r="AD311" s="4" t="str">
        <x:v>Proposal</x:v>
      </x:c>
      <x:c r="AE311" s="4" t="str">
        <x:f>LOWER(A311&amp;"; "&amp;B311&amp;"; "&amp;D311&amp;"; "&amp;E311&amp;"; "&amp;X311&amp;"; "&amp;Y311&amp;"; "&amp;Z311&amp;"; "&amp;AA311&amp;"; "&amp;AB311&amp;"; "&amp;AC311&amp;"; "&amp;AD311&amp;"; "&amp;V311&amp;"; "&amp;C311&amp;"; "&amp;AH311&amp;"; "&amp;AI311)</x:f>
        <x:v>proposal.food.fauna_flake_dish; phagia and edible-fauna flake delicacy; consumables; phagia delicacy; food consumable; finished item; biological mixture; nutrition; phagia and edible fauna; unresolved; proposal; phagea; algae; not applicable; t1; finished item</x:v>
      </x:c>
      <x:c r="AF311" s="4" t="str">
        <x:v>Accepted direction for processed-food families; individual recipes, ingredient qualification and effects remain design proposals.</x:v>
      </x:c>
      <x:c r="AG311" s="4" t="str">
        <x:v>Finished endpoint; material tier is not applicable. Input tiers belong to the chosen recipe.</x:v>
      </x:c>
      <x:c r="AH311" s="4" t="str">
        <x:v>T1</x:v>
      </x:c>
      <x:c r="AI311" s="4" t="str">
        <x:v>Finished item</x:v>
      </x:c>
      <x:c r="AJ311" s="4" t="n">
        <x:f>COUNTIFS('Material routes'!$D$6:$D$2205,A311,'Material routes'!$C$6:$C$2205,"Output")</x:f>
        <x:v>1</x:v>
      </x:c>
      <x:c r="AK311" s="4" t="n">
        <x:f>SUM(COUNTIFS('Material routes'!$D$6:$D$2205,A311,'Material routes'!$C$6:$C$2205,"Ingredient candidate"),COUNTIFS('Material routes'!$D$6:$D$2205,A311,'Material routes'!$C$6:$C$2205,"Consumed input"),COUNTIFS('Material routes'!$D$6:$D$2205,A311,'Material routes'!$C$6:$C$2205,"Contained input"),COUNTIFS('Material routes'!$D$6:$D$2205,A311,'Material routes'!$C$6:$C$2205,"Transform input"))</x:f>
        <x:v>0</x:v>
      </x:c>
      <x:c r="AL311" s="4" t="n">
        <x:f>COUNTIFS('Material routes'!$D$6:$D$2205,A311,'Material routes'!$C$6:$C$2205,"Tool candidate")</x:f>
        <x:v>0</x:v>
      </x:c>
      <x:c r="AM311" s="4" t="str">
        <x:f>IF(AJ311&gt;0,"Route listed; review status/completeness",IF(C311="T0","Raw entry feed; no production route","No production route listed"))</x:f>
        <x:v>Route listed; review status/completeness</x:v>
      </x:c>
      <x:c r="AN311" s="14" t="n">
        <x:f>IF(C311="T0",0,IF(C311="T1",1,IF(C311="T2",2,IF(C311="T3",3,IF(C311="T4",4,IF(C311="Unassigned",98,99))))))</x:f>
        <x:v>99</x:v>
      </x:c>
      <x:c r="AZ311"/>
      <x:c r="BA311"/>
      <x:c r="BB311"/>
      <x:c r="BC311"/>
      <x:c r="BD311"/>
      <x:c r="BE311"/>
      <x:c r="BF311"/>
      <x:c r="BG311"/>
      <x:c r="BH311"/>
      <x:c r="BI311"/>
      <x:c r="BJ311"/>
      <x:c r="BK311"/>
      <x:c r="BL311"/>
      <x:c r="BM311"/>
      <x:c r="BN311"/>
      <x:c r="BO311"/>
      <x:c r="BP311"/>
      <x:c r="BQ311"/>
      <x:c r="BR311"/>
      <x:c r="BS311"/>
      <x:c r="BT311"/>
      <x:c r="BU311"/>
      <x:c r="BV311"/>
      <x:c r="BW311"/>
      <x:c r="BX311"/>
      <x:c r="BY311"/>
      <x:c r="BZ311"/>
      <x:c r="CA311"/>
      <x:c r="CB311"/>
      <x:c r="CC311"/>
    </x:row>
    <x:row r="312" ht="115" customHeight="1">
      <x:c r="A312" s="9" t="str">
        <x:v>proposal.food.layered_delicacy</x:v>
      </x:c>
      <x:c r="B312" s="9" t="str">
        <x:v>Layered Phagia-fauna delicacy</x:v>
      </x:c>
      <x:c r="C312" s="4" t="str">
        <x:v>Not applicable</x:v>
      </x:c>
      <x:c r="D312" s="9" t="str">
        <x:v>Consumables</x:v>
      </x:c>
      <x:c r="E312" s="9" t="str">
        <x:v>Phagia delicacy</x:v>
      </x:c>
      <x:c r="F312" s="9" t="str">
        <x:v>New proposal</x:v>
      </x:c>
      <x:c r="G312" s="9" t="inlineStr">
        <x:is>
          <x:t xml:space="preserve">Candidate composed meal using distinct prepared algae and edible-fauna layers. It is intended for the recorded food or feeding role. Human edibility and useful nutrition require the selected source and preparation rather than assumptions about all fauna.</x:t>
        </x:is>
      </x:c>
      <x:c r="H312" s="9" t="str">
        <x:v>None</x:v>
      </x:c>
      <x:c r="I312" s="9" t="str">
        <x:v>Prepared portions / vessels; Booter eligibility and capacity TBD</x:v>
      </x:c>
      <x:c r="J312" s="13"/>
      <x:c r="K312" s="15"/>
      <x:c r="L312" s="9" t="str">
        <x:v>Specialist Phagia processing, provisioning or trade; exact route TBD</x:v>
      </x:c>
      <x:c r="M312" s="9" t="str">
        <x:v>No recipe, ratio or serving quantity authored. Food processing and any heating need setting-compatible design.</x:v>
      </x:c>
      <x:c r="N312" s="9" t="str">
        <x:v>Not implemented</x:v>
      </x:c>
      <x:c r="O312" s="9" t="str">
        <x:v>Layering, texture, service method and skilled preparation differentiate this culinary concept; no accepted recipe or rarity.</x:v>
      </x:c>
      <x:c r="P312" s="17"/>
      <x:c r="Q312" s="17"/>
      <x:c r="R312" s="17"/>
      <x:c r="S312" s="17"/>
      <x:c r="T312" s="17"/>
      <x:c r="U312" s="9" t="str">
        <x:v>Higher-performing processed Phagia consumables and high-quality fauna-mixed delicacies are author direction. Specific performance, supply costs, value, shelf life and consumption behavior remain unresolved.</x:v>
      </x:c>
      <x:c r="V312" s="11" t="str">
        <x:v>phagea; algae</x:v>
      </x:c>
      <x:c r="W312" s="9" t="str">
        <x:v>Direct author Phagia food/drink processing and fauna-delicacy direction October 14, 2026; Docs/WORLD_BASIS.md#survival-rules. Specific named dishes and packaging are proposals.</x:v>
      </x:c>
      <x:c r="X312" s="4" t="str">
        <x:v>Food consumable</x:v>
      </x:c>
      <x:c r="Y312" s="4" t="str">
        <x:v>Finished item</x:v>
      </x:c>
      <x:c r="Z312" s="4" t="str">
        <x:v>Biological mixture</x:v>
      </x:c>
      <x:c r="AA312" s="4" t="str">
        <x:v>Nutrition</x:v>
      </x:c>
      <x:c r="AB312" s="4" t="str">
        <x:v>Phagia and edible fauna</x:v>
      </x:c>
      <x:c r="AC312" s="4" t="str">
        <x:v>Unresolved</x:v>
      </x:c>
      <x:c r="AD312" s="4" t="str">
        <x:v>Proposal</x:v>
      </x:c>
      <x:c r="AE312" s="4" t="str">
        <x:f>LOWER(A312&amp;"; "&amp;B312&amp;"; "&amp;D312&amp;"; "&amp;E312&amp;"; "&amp;X312&amp;"; "&amp;Y312&amp;"; "&amp;Z312&amp;"; "&amp;AA312&amp;"; "&amp;AB312&amp;"; "&amp;AC312&amp;"; "&amp;AD312&amp;"; "&amp;V312&amp;"; "&amp;C312&amp;"; "&amp;AH312&amp;"; "&amp;AI312)</x:f>
        <x:v>proposal.food.layered_delicacy; layered phagia-fauna delicacy; consumables; phagia delicacy; food consumable; finished item; biological mixture; nutrition; phagia and edible fauna; unresolved; proposal; phagea; algae; not applicable; t2; finished item</x:v>
      </x:c>
      <x:c r="AF312" s="4" t="str">
        <x:v>Accepted direction for processed-food families; individual recipes, ingredient qualification and effects remain design proposals.</x:v>
      </x:c>
      <x:c r="AG312" s="4" t="str">
        <x:v>Finished endpoint; material tier is not applicable. Input tiers belong to the chosen recipe.</x:v>
      </x:c>
      <x:c r="AH312" s="4" t="str">
        <x:v>T2</x:v>
      </x:c>
      <x:c r="AI312" s="4" t="str">
        <x:v>Finished item</x:v>
      </x:c>
      <x:c r="AJ312" s="4" t="n">
        <x:f>COUNTIFS('Material routes'!$D$6:$D$2205,A312,'Material routes'!$C$6:$C$2205,"Output")</x:f>
        <x:v>1</x:v>
      </x:c>
      <x:c r="AK312" s="4" t="n">
        <x:f>SUM(COUNTIFS('Material routes'!$D$6:$D$2205,A312,'Material routes'!$C$6:$C$2205,"Ingredient candidate"),COUNTIFS('Material routes'!$D$6:$D$2205,A312,'Material routes'!$C$6:$C$2205,"Consumed input"),COUNTIFS('Material routes'!$D$6:$D$2205,A312,'Material routes'!$C$6:$C$2205,"Contained input"),COUNTIFS('Material routes'!$D$6:$D$2205,A312,'Material routes'!$C$6:$C$2205,"Transform input"))</x:f>
        <x:v>0</x:v>
      </x:c>
      <x:c r="AL312" s="4" t="n">
        <x:f>COUNTIFS('Material routes'!$D$6:$D$2205,A312,'Material routes'!$C$6:$C$2205,"Tool candidate")</x:f>
        <x:v>0</x:v>
      </x:c>
      <x:c r="AM312" s="4" t="str">
        <x:f>IF(AJ312&gt;0,"Route listed; review status/completeness",IF(C312="T0","Raw entry feed; no production route","No production route listed"))</x:f>
        <x:v>Route listed; review status/completeness</x:v>
      </x:c>
      <x:c r="AN312" s="14" t="n">
        <x:f>IF(C312="T0",0,IF(C312="T1",1,IF(C312="T2",2,IF(C312="T3",3,IF(C312="T4",4,IF(C312="Unassigned",98,99))))))</x:f>
        <x:v>99</x:v>
      </x:c>
      <x:c r="AZ312"/>
      <x:c r="BA312"/>
      <x:c r="BB312"/>
      <x:c r="BC312"/>
      <x:c r="BD312"/>
      <x:c r="BE312"/>
      <x:c r="BF312"/>
      <x:c r="BG312"/>
      <x:c r="BH312"/>
      <x:c r="BI312"/>
      <x:c r="BJ312"/>
      <x:c r="BK312"/>
      <x:c r="BL312"/>
      <x:c r="BM312"/>
      <x:c r="BN312"/>
      <x:c r="BO312"/>
      <x:c r="BP312"/>
      <x:c r="BQ312"/>
      <x:c r="BR312"/>
      <x:c r="BS312"/>
      <x:c r="BT312"/>
      <x:c r="BU312"/>
      <x:c r="BV312"/>
      <x:c r="BW312"/>
      <x:c r="BX312"/>
      <x:c r="BY312"/>
      <x:c r="BZ312"/>
      <x:c r="CA312"/>
      <x:c r="CB312"/>
      <x:c r="CC312"/>
    </x:row>
    <x:row r="313" ht="115" customHeight="1">
      <x:c r="A313" s="9" t="str">
        <x:v>proposal.food.crisp_delicacy</x:v>
      </x:c>
      <x:c r="B313" s="9" t="str">
        <x:v>Crisp Phagia-fauna wafer</x:v>
      </x:c>
      <x:c r="C313" s="4" t="str">
        <x:v>Not applicable</x:v>
      </x:c>
      <x:c r="D313" s="9" t="str">
        <x:v>Consumables</x:v>
      </x:c>
      <x:c r="E313" s="9" t="str">
        <x:v>Phagia delicacy</x:v>
      </x:c>
      <x:c r="F313" s="9" t="str">
        <x:v>New proposal</x:v>
      </x:c>
      <x:c r="G313" s="9" t="inlineStr">
        <x:is>
          <x:t xml:space="preserve">Candidate delicate crisp combining processed algae and a selected edible fauna ingredient. It is intended for the recorded food or feeding role. Human edibility and useful nutrition require the selected source and preparation rather than assumptions about all fauna.</x:t>
        </x:is>
      </x:c>
      <x:c r="H313" s="9" t="str">
        <x:v>None</x:v>
      </x:c>
      <x:c r="I313" s="9" t="str">
        <x:v>Prepared portions / vessels; Booter eligibility and capacity TBD</x:v>
      </x:c>
      <x:c r="J313" s="13"/>
      <x:c r="K313" s="15"/>
      <x:c r="L313" s="9" t="str">
        <x:v>Specialist Phagia processing, provisioning or trade; exact route TBD</x:v>
      </x:c>
      <x:c r="M313" s="9" t="str">
        <x:v>No recipe, ratio or serving quantity authored. Food processing and any heating need setting-compatible design.</x:v>
      </x:c>
      <x:c r="N313" s="9" t="str">
        <x:v>Not implemented</x:v>
      </x:c>
      <x:c r="O313" s="9" t="str">
        <x:v>Edible binders, crisping method and food safety remain open. It is a proposed delicacy, not an automatic dried-bar ingredient substitution.</x:v>
      </x:c>
      <x:c r="P313" s="17"/>
      <x:c r="Q313" s="17"/>
      <x:c r="R313" s="17"/>
      <x:c r="S313" s="17"/>
      <x:c r="T313" s="17"/>
      <x:c r="U313" s="9" t="str">
        <x:v>Higher-performing processed Phagia consumables and high-quality fauna-mixed delicacies are author direction. Specific performance, supply costs, value, shelf life and consumption behavior remain unresolved.</x:v>
      </x:c>
      <x:c r="V313" s="11" t="str">
        <x:v>phagea; algae</x:v>
      </x:c>
      <x:c r="W313" s="9" t="str">
        <x:v>Direct author Phagia food/drink processing and fauna-delicacy direction October 14, 2026; Docs/WORLD_BASIS.md#survival-rules. Specific named dishes and packaging are proposals.</x:v>
      </x:c>
      <x:c r="X313" s="4" t="str">
        <x:v>Food consumable</x:v>
      </x:c>
      <x:c r="Y313" s="4" t="str">
        <x:v>Finished item</x:v>
      </x:c>
      <x:c r="Z313" s="4" t="str">
        <x:v>Biological mixture</x:v>
      </x:c>
      <x:c r="AA313" s="4" t="str">
        <x:v>Nutrition</x:v>
      </x:c>
      <x:c r="AB313" s="4" t="str">
        <x:v>Phagia and edible fauna</x:v>
      </x:c>
      <x:c r="AC313" s="4" t="str">
        <x:v>Solid piece</x:v>
      </x:c>
      <x:c r="AD313" s="4" t="str">
        <x:v>Proposal</x:v>
      </x:c>
      <x:c r="AE313" s="4" t="str">
        <x:f>LOWER(A313&amp;"; "&amp;B313&amp;"; "&amp;D313&amp;"; "&amp;E313&amp;"; "&amp;X313&amp;"; "&amp;Y313&amp;"; "&amp;Z313&amp;"; "&amp;AA313&amp;"; "&amp;AB313&amp;"; "&amp;AC313&amp;"; "&amp;AD313&amp;"; "&amp;V313&amp;"; "&amp;C313&amp;"; "&amp;AH313&amp;"; "&amp;AI313)</x:f>
        <x:v>proposal.food.crisp_delicacy; crisp phagia-fauna wafer; consumables; phagia delicacy; food consumable; finished item; biological mixture; nutrition; phagia and edible fauna; solid piece; proposal; phagea; algae; not applicable; t1; finished item</x:v>
      </x:c>
      <x:c r="AF313" s="4" t="str">
        <x:v>Accepted direction for processed-food families; individual recipes, ingredient qualification and effects remain design proposals.</x:v>
      </x:c>
      <x:c r="AG313" s="4" t="str">
        <x:v>Finished endpoint; material tier is not applicable. Input tiers belong to the chosen recipe.</x:v>
      </x:c>
      <x:c r="AH313" s="4" t="str">
        <x:v>T1</x:v>
      </x:c>
      <x:c r="AI313" s="4" t="str">
        <x:v>Finished item</x:v>
      </x:c>
      <x:c r="AJ313" s="4" t="n">
        <x:f>COUNTIFS('Material routes'!$D$6:$D$2205,A313,'Material routes'!$C$6:$C$2205,"Output")</x:f>
        <x:v>1</x:v>
      </x:c>
      <x:c r="AK313" s="4" t="n">
        <x:f>SUM(COUNTIFS('Material routes'!$D$6:$D$2205,A313,'Material routes'!$C$6:$C$2205,"Ingredient candidate"),COUNTIFS('Material routes'!$D$6:$D$2205,A313,'Material routes'!$C$6:$C$2205,"Consumed input"),COUNTIFS('Material routes'!$D$6:$D$2205,A313,'Material routes'!$C$6:$C$2205,"Contained input"),COUNTIFS('Material routes'!$D$6:$D$2205,A313,'Material routes'!$C$6:$C$2205,"Transform input"))</x:f>
        <x:v>0</x:v>
      </x:c>
      <x:c r="AL313" s="4" t="n">
        <x:f>COUNTIFS('Material routes'!$D$6:$D$2205,A313,'Material routes'!$C$6:$C$2205,"Tool candidate")</x:f>
        <x:v>0</x:v>
      </x:c>
      <x:c r="AM313" s="4" t="str">
        <x:f>IF(AJ313&gt;0,"Route listed; review status/completeness",IF(C313="T0","Raw entry feed; no production route","No production route listed"))</x:f>
        <x:v>Route listed; review status/completeness</x:v>
      </x:c>
      <x:c r="AN313" s="14" t="n">
        <x:f>IF(C313="T0",0,IF(C313="T1",1,IF(C313="T2",2,IF(C313="T3",3,IF(C313="T4",4,IF(C313="Unassigned",98,99))))))</x:f>
        <x:v>99</x:v>
      </x:c>
      <x:c r="AZ313"/>
      <x:c r="BA313"/>
      <x:c r="BB313"/>
      <x:c r="BC313"/>
      <x:c r="BD313"/>
      <x:c r="BE313"/>
      <x:c r="BF313"/>
      <x:c r="BG313"/>
      <x:c r="BH313"/>
      <x:c r="BI313"/>
      <x:c r="BJ313"/>
      <x:c r="BK313"/>
      <x:c r="BL313"/>
      <x:c r="BM313"/>
      <x:c r="BN313"/>
      <x:c r="BO313"/>
      <x:c r="BP313"/>
      <x:c r="BQ313"/>
      <x:c r="BR313"/>
      <x:c r="BS313"/>
      <x:c r="BT313"/>
      <x:c r="BU313"/>
      <x:c r="BV313"/>
      <x:c r="BW313"/>
      <x:c r="BX313"/>
      <x:c r="BY313"/>
      <x:c r="BZ313"/>
      <x:c r="CA313"/>
      <x:c r="CB313"/>
      <x:c r="CC313"/>
    </x:row>
    <x:row r="314" ht="170" customHeight="1">
      <x:c r="A314" s="9" t="str">
        <x:v>proposal.food.edible_flakes</x:v>
      </x:c>
      <x:c r="B314" s="9" t="str">
        <x:v>Prepared edible-fauna flakes</x:v>
      </x:c>
      <x:c r="C314" s="4" t="str">
        <x:v>T1</x:v>
      </x:c>
      <x:c r="D314" s="9" t="inlineStr">
        <x:is>
          <x:t xml:space="preserve">Cooking ingredients</x:t>
        </x:is>
      </x:c>
      <x:c r="E314" s="9" t="str">
        <x:v>Prepared fauna food ingredient</x:v>
      </x:c>
      <x:c r="F314" s="9" t="str">
        <x:v>New proposal</x:v>
      </x:c>
      <x:c r="G314" s="9" t="inlineStr">
        <x:is>
          <x:t xml:space="preserve">Selected known-edible fauna fraction prepared as a possible Phagia meal ingredient. It supports a food-designated preparation process. Industrial chemicals and unverified biological fractions cannot substitute for selected culinary inputs.</x:t>
        </x:is>
      </x:c>
      <x:c r="H314" s="9" t="str">
        <x:v>None</x:v>
      </x:c>
      <x:c r="I314" s="9" t="str">
        <x:v>Prepared portions / vessels; Booter eligibility and capacity TBD</x:v>
      </x:c>
      <x:c r="J314" s="13"/>
      <x:c r="K314" s="15"/>
      <x:c r="L314" s="9" t="str">
        <x:v>Prepare selected edible-fauna fraction; method TBD</x:v>
      </x:c>
      <x:c r="M314" s="9" t="str">
        <x:v>No recipe, ratio or serving quantity authored. Food processing and any heating need setting-compatible design.</x:v>
      </x:c>
      <x:c r="N314" s="9" t="str">
        <x:v>Not implemented</x:v>
      </x:c>
      <x:c r="O314" s="9" t="str">
        <x:v>Reuses existing generic edible fauna fraction. Selection, preparation and retained toxicity require species-specific design; conventional meat is not assumed.</x:v>
      </x:c>
      <x:c r="P314" s="17"/>
      <x:c r="Q314" s="17"/>
      <x:c r="R314" s="17"/>
      <x:c r="S314" s="17"/>
      <x:c r="T314" s="17"/>
      <x:c r="U314" s="9" t="str">
        <x:v>Higher-performing processed Phagia consumables and high-quality fauna-mixed delicacies are author direction. Specific performance, supply costs, value, shelf life and consumption behavior remain unresolved.</x:v>
      </x:c>
      <x:c r="V314" s="11" t="str">
        <x:v>phagea; algae</x:v>
      </x:c>
      <x:c r="W314" s="9" t="str">
        <x:v>Direct author Phagia food/drink processing and fauna-delicacy direction October 14, 2026; Docs/WORLD_BASIS.md#survival-rules. Specific named dishes and packaging are proposals.</x:v>
      </x:c>
      <x:c r="X314" s="4" t="str">
        <x:v>Food material</x:v>
      </x:c>
      <x:c r="Y314" s="4" t="str">
        <x:v>Processed intermediate</x:v>
      </x:c>
      <x:c r="Z314" s="4" t="str">
        <x:v>Fauna</x:v>
      </x:c>
      <x:c r="AA314" s="4" t="str">
        <x:v>Food preparation</x:v>
      </x:c>
      <x:c r="AB314" s="4" t="str">
        <x:v>Faunal tissue</x:v>
      </x:c>
      <x:c r="AC314" s="4" t="str">
        <x:v>Particles</x:v>
      </x:c>
      <x:c r="AD314" s="4" t="str">
        <x:v>Proposal</x:v>
      </x:c>
      <x:c r="AE314" s="4" t="str">
        <x:f>LOWER(A314&amp;"; "&amp;B314&amp;"; "&amp;D314&amp;"; "&amp;E314&amp;"; "&amp;X314&amp;"; "&amp;Y314&amp;"; "&amp;Z314&amp;"; "&amp;AA314&amp;"; "&amp;AB314&amp;"; "&amp;AC314&amp;"; "&amp;AD314&amp;"; "&amp;V314&amp;"; "&amp;C314&amp;"; "&amp;AH314&amp;"; "&amp;AI314)</x:f>
        <x:v>proposal.food.edible_flakes; prepared edible-fauna flakes; cooking ingredients; prepared fauna food ingredient; food material; processed intermediate; fauna; food preparation; faunal tissue; particles; proposal; phagea; algae; t1; not applicable; material</x:v>
      </x:c>
      <x:c r="AF314"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4"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4" s="4" t="str">
        <x:v>Not applicable</x:v>
      </x:c>
      <x:c r="AI314" s="4" t="str">
        <x:v>Material</x:v>
      </x:c>
      <x:c r="AJ314" s="4" t="n">
        <x:f>COUNTIFS('Material routes'!$D$6:$D$2205,A314,'Material routes'!$C$6:$C$2205,"Output")</x:f>
        <x:v>1</x:v>
      </x:c>
      <x:c r="AK314" s="4" t="n">
        <x:f>SUM(COUNTIFS('Material routes'!$D$6:$D$2205,A314,'Material routes'!$C$6:$C$2205,"Ingredient candidate"),COUNTIFS('Material routes'!$D$6:$D$2205,A314,'Material routes'!$C$6:$C$2205,"Consumed input"),COUNTIFS('Material routes'!$D$6:$D$2205,A314,'Material routes'!$C$6:$C$2205,"Contained input"),COUNTIFS('Material routes'!$D$6:$D$2205,A314,'Material routes'!$C$6:$C$2205,"Transform input"))</x:f>
        <x:v>1</x:v>
      </x:c>
      <x:c r="AL314" s="4" t="n">
        <x:f>COUNTIFS('Material routes'!$D$6:$D$2205,A314,'Material routes'!$C$6:$C$2205,"Tool candidate")</x:f>
        <x:v>0</x:v>
      </x:c>
      <x:c r="AM314" s="4" t="str">
        <x:f>IF(AJ314&gt;0,"Route listed; review status/completeness",IF(C314="T0","Raw entry feed; no production route","No production route listed"))</x:f>
        <x:v>Route listed; review status/completeness</x:v>
      </x:c>
      <x:c r="AN314" s="14" t="n">
        <x:f>IF(C314="T0",0,IF(C314="T1",1,IF(C314="T2",2,IF(C314="T3",3,IF(C314="T4",4,IF(C314="Unassigned",98,99))))))</x:f>
        <x:v>1</x:v>
      </x:c>
      <x:c r="AZ314"/>
      <x:c r="BA314"/>
      <x:c r="BB314"/>
      <x:c r="BC314"/>
      <x:c r="BD314"/>
      <x:c r="BE314"/>
      <x:c r="BF314"/>
      <x:c r="BG314"/>
      <x:c r="BH314"/>
      <x:c r="BI314"/>
      <x:c r="BJ314"/>
      <x:c r="BK314"/>
      <x:c r="BL314"/>
      <x:c r="BM314"/>
      <x:c r="BN314"/>
      <x:c r="BO314"/>
      <x:c r="BP314"/>
      <x:c r="BQ314"/>
      <x:c r="BR314"/>
      <x:c r="BS314"/>
      <x:c r="BT314"/>
      <x:c r="BU314"/>
      <x:c r="BV314"/>
      <x:c r="BW314"/>
      <x:c r="BX314"/>
      <x:c r="BY314"/>
      <x:c r="BZ314"/>
      <x:c r="CA314"/>
      <x:c r="CB314"/>
      <x:c r="CC314"/>
    </x:row>
    <x:row r="315" ht="170" customHeight="1">
      <x:c r="A315" s="9" t="str">
        <x:v>proposal.food.edible_paste</x:v>
      </x:c>
      <x:c r="B315" s="9" t="str">
        <x:v>Prepared edible-fauna paste</x:v>
      </x:c>
      <x:c r="C315" s="4" t="str">
        <x:v>T1</x:v>
      </x:c>
      <x:c r="D315" s="9" t="inlineStr">
        <x:is>
          <x:t xml:space="preserve">Cooking ingredients</x:t>
        </x:is>
      </x:c>
      <x:c r="E315" s="9" t="str">
        <x:v>Prepared fauna food ingredient</x:v>
      </x:c>
      <x:c r="F315" s="9" t="str">
        <x:v>New proposal</x:v>
      </x:c>
      <x:c r="G315" s="9" t="inlineStr">
        <x:is>
          <x:t xml:space="preserve">Selected edible fauna fraction prepared for mixing or layering with algae. It supports a food-designated preparation process. Industrial chemicals and unverified biological fractions cannot substitute for selected culinary inputs.</x:t>
        </x:is>
      </x:c>
      <x:c r="H315" s="9" t="str">
        <x:v>None</x:v>
      </x:c>
      <x:c r="I315" s="9" t="str">
        <x:v>Prepared portions / vessels; Booter eligibility and capacity TBD</x:v>
      </x:c>
      <x:c r="J315" s="13"/>
      <x:c r="K315" s="15"/>
      <x:c r="L315" s="9" t="str">
        <x:v>Prepare selected edible-fauna fraction; method TBD</x:v>
      </x:c>
      <x:c r="M315" s="9" t="str">
        <x:v>No recipe, ratio or serving quantity authored. Food processing and any heating need setting-compatible design.</x:v>
      </x:c>
      <x:c r="N315" s="9" t="str">
        <x:v>Not implemented</x:v>
      </x:c>
      <x:c r="O315" s="9" t="str">
        <x:v>Preparation is not automatic detoxification. Nutritional contribution remains low; chemistry used for machinery is not a food substitute.</x:v>
      </x:c>
      <x:c r="P315" s="17"/>
      <x:c r="Q315" s="17"/>
      <x:c r="R315" s="17"/>
      <x:c r="S315" s="17"/>
      <x:c r="T315" s="17"/>
      <x:c r="U315" s="9" t="str">
        <x:v>Higher-performing processed Phagia consumables and high-quality fauna-mixed delicacies are author direction. Specific performance, supply costs, value, shelf life and consumption behavior remain unresolved.</x:v>
      </x:c>
      <x:c r="V315" s="11" t="str">
        <x:v>phagea; algae</x:v>
      </x:c>
      <x:c r="W315" s="9" t="str">
        <x:v>Direct author Phagia food/drink processing and fauna-delicacy direction October 14, 2026; Docs/WORLD_BASIS.md#survival-rules. Specific named dishes and packaging are proposals.</x:v>
      </x:c>
      <x:c r="X315" s="4" t="str">
        <x:v>Food material</x:v>
      </x:c>
      <x:c r="Y315" s="4" t="str">
        <x:v>Processed intermediate</x:v>
      </x:c>
      <x:c r="Z315" s="4" t="str">
        <x:v>Fauna</x:v>
      </x:c>
      <x:c r="AA315" s="4" t="str">
        <x:v>Food preparation</x:v>
      </x:c>
      <x:c r="AB315" s="4" t="str">
        <x:v>Faunal tissue</x:v>
      </x:c>
      <x:c r="AC315" s="4" t="str">
        <x:v>Paste</x:v>
      </x:c>
      <x:c r="AD315" s="4" t="str">
        <x:v>Proposal</x:v>
      </x:c>
      <x:c r="AE315" s="4" t="str">
        <x:f>LOWER(A315&amp;"; "&amp;B315&amp;"; "&amp;D315&amp;"; "&amp;E315&amp;"; "&amp;X315&amp;"; "&amp;Y315&amp;"; "&amp;Z315&amp;"; "&amp;AA315&amp;"; "&amp;AB315&amp;"; "&amp;AC315&amp;"; "&amp;AD315&amp;"; "&amp;V315&amp;"; "&amp;C315&amp;"; "&amp;AH315&amp;"; "&amp;AI315)</x:f>
        <x:v>proposal.food.edible_paste; prepared edible-fauna paste; cooking ingredients; prepared fauna food ingredient; food material; processed intermediate; fauna; food preparation; faunal tissue; paste; proposal; phagea; algae; t1; not applicable; material</x:v>
      </x:c>
      <x:c r="AF315"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5"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5" s="4" t="str">
        <x:v>Not applicable</x:v>
      </x:c>
      <x:c r="AI315" s="4" t="str">
        <x:v>Material</x:v>
      </x:c>
      <x:c r="AJ315" s="4" t="n">
        <x:f>COUNTIFS('Material routes'!$D$6:$D$2205,A315,'Material routes'!$C$6:$C$2205,"Output")</x:f>
        <x:v>1</x:v>
      </x:c>
      <x:c r="AK315" s="4" t="n">
        <x:f>SUM(COUNTIFS('Material routes'!$D$6:$D$2205,A315,'Material routes'!$C$6:$C$2205,"Ingredient candidate"),COUNTIFS('Material routes'!$D$6:$D$2205,A315,'Material routes'!$C$6:$C$2205,"Consumed input"),COUNTIFS('Material routes'!$D$6:$D$2205,A315,'Material routes'!$C$6:$C$2205,"Contained input"),COUNTIFS('Material routes'!$D$6:$D$2205,A315,'Material routes'!$C$6:$C$2205,"Transform input"))</x:f>
        <x:v>1</x:v>
      </x:c>
      <x:c r="AL315" s="4" t="n">
        <x:f>COUNTIFS('Material routes'!$D$6:$D$2205,A315,'Material routes'!$C$6:$C$2205,"Tool candidate")</x:f>
        <x:v>0</x:v>
      </x:c>
      <x:c r="AM315" s="4" t="str">
        <x:f>IF(AJ315&gt;0,"Route listed; review status/completeness",IF(C315="T0","Raw entry feed; no production route","No production route listed"))</x:f>
        <x:v>Route listed; review status/completeness</x:v>
      </x:c>
      <x:c r="AN315" s="14" t="n">
        <x:f>IF(C315="T0",0,IF(C315="T1",1,IF(C315="T2",2,IF(C315="T3",3,IF(C315="T4",4,IF(C315="Unassigned",98,99))))))</x:f>
        <x:v>1</x:v>
      </x:c>
      <x:c r="AZ315"/>
      <x:c r="BA315"/>
      <x:c r="BB315"/>
      <x:c r="BC315"/>
      <x:c r="BD315"/>
      <x:c r="BE315"/>
      <x:c r="BF315"/>
      <x:c r="BG315"/>
      <x:c r="BH315"/>
      <x:c r="BI315"/>
      <x:c r="BJ315"/>
      <x:c r="BK315"/>
      <x:c r="BL315"/>
      <x:c r="BM315"/>
      <x:c r="BN315"/>
      <x:c r="BO315"/>
      <x:c r="BP315"/>
      <x:c r="BQ315"/>
      <x:c r="BR315"/>
      <x:c r="BS315"/>
      <x:c r="BT315"/>
      <x:c r="BU315"/>
      <x:c r="BV315"/>
      <x:c r="BW315"/>
      <x:c r="BX315"/>
      <x:c r="BY315"/>
      <x:c r="BZ315"/>
      <x:c r="CA315"/>
      <x:c r="CB315"/>
      <x:c r="CC315"/>
    </x:row>
    <x:row r="316" ht="115" customHeight="1">
      <x:c r="A316" s="9" t="str">
        <x:v>proposal.food.drink_flask</x:v>
      </x:c>
      <x:c r="B316" s="9" t="str">
        <x:v>Reusable Phagia drinking flask</x:v>
      </x:c>
      <x:c r="C316" s="4" t="str">
        <x:v>Not applicable</x:v>
      </x:c>
      <x:c r="D316" s="9" t="inlineStr">
        <x:is>
          <x:t xml:space="preserve">Salvage</x:t>
        </x:is>
      </x:c>
      <x:c r="E316" s="9" t="inlineStr">
        <x:is>
          <x:t xml:space="preserve">Food service &amp; storage</x:t>
        </x:is>
      </x:c>
      <x:c r="F316" s="9" t="str">
        <x:v>New proposal</x:v>
      </x:c>
      <x:c r="G316" s="9" t="inlineStr">
        <x:is>
          <x:t xml:space="preserve">Dedicated food-contact vessel for a prepared Phagia drink portion. It is intended to portion, hold or serve the recorded food or drink. Food-contact preparation and the contents remain separate design requirements.</x:t>
        </x:is>
      </x:c>
      <x:c r="H316" s="9" t="str">
        <x:v>None</x:v>
      </x:c>
      <x:c r="I316" s="9" t="str">
        <x:v>Prepared portions / vessels; Booter eligibility and capacity TBD</x:v>
      </x:c>
      <x:c r="J316" s="13"/>
      <x:c r="K316" s="15"/>
      <x:c r="L316" s="9" t="str">
        <x:v>Food-service craft or trade; exact route TBD</x:v>
      </x:c>
      <x:c r="M316" s="9" t="str">
        <x:v>No recipe, ratio or serving quantity authored. Food processing and any heating need setting-compatible design.</x:v>
      </x:c>
      <x:c r="N316" s="9" t="str">
        <x:v>Not implemented</x:v>
      </x:c>
      <x:c r="O316" s="9" t="str">
        <x:v>Vessel and edible payload are distinct. Refill, cleaning, seal compatibility and material qualification TBD; do not repurpose a contaminated reagent vessel.</x:v>
      </x:c>
      <x:c r="P316" s="17"/>
      <x:c r="Q316" s="17"/>
      <x:c r="R316" s="17"/>
      <x:c r="S316" s="17"/>
      <x:c r="T316" s="17"/>
      <x:c r="U316" s="9" t="str">
        <x:v>Higher-performing processed Phagia consumables and high-quality fauna-mixed delicacies are author direction. Specific performance, supply costs, value, shelf life and consumption behavior remain unresolved.</x:v>
      </x:c>
      <x:c r="V316" s="11" t="inlineStr">
        <x:is>
          <x:t xml:space="preserve">cargo organization; phagea; algae; Food packaging; camp goods; Food service &amp; storage</x:t>
        </x:is>
      </x:c>
      <x:c r="W316" s="9" t="str">
        <x:v>Direct author Phagia food/drink processing and fauna-delicacy direction October 14, 2026; Docs/WORLD_BASIS.md#survival-rules. Specific named dishes and packaging are proposals.</x:v>
      </x:c>
      <x:c r="X316" s="4" t="str">
        <x:v>Container</x:v>
      </x:c>
      <x:c r="Y316" s="4" t="str">
        <x:v>Finished item</x:v>
      </x:c>
      <x:c r="Z316" s="4" t="str">
        <x:v>Manufactured / unresolved</x:v>
      </x:c>
      <x:c r="AA316" s="4" t="str">
        <x:v>Food service</x:v>
      </x:c>
      <x:c r="AB316" s="4" t="str">
        <x:v>Glass or ceramic</x:v>
      </x:c>
      <x:c r="AC316" s="4" t="str">
        <x:v>Assembly</x:v>
      </x:c>
      <x:c r="AD316" s="4" t="str">
        <x:v>Proposal</x:v>
      </x:c>
      <x:c r="AE316" s="4" t="str">
        <x:f>LOWER(A316&amp;"; "&amp;B316&amp;"; "&amp;D316&amp;"; "&amp;E316&amp;"; "&amp;X316&amp;"; "&amp;Y316&amp;"; "&amp;Z316&amp;"; "&amp;AA316&amp;"; "&amp;AB316&amp;"; "&amp;AC316&amp;"; "&amp;AD316&amp;"; "&amp;V316&amp;"; "&amp;C316&amp;"; "&amp;AH316&amp;"; "&amp;AI316)</x:f>
        <x:v>proposal.food.drink_flask; reusable phagia drinking flask; salvage; food service &amp; storage; container; finished item; manufactured / unresolved; food service; glass or ceramic; assembly; proposal; cargo organization; phagea; algae; food packaging; camp goods; food service &amp; storage; not applicable; t3; finished item</x:v>
      </x:c>
      <x:c r="AF316" s="4" t="inlineStr">
        <x:is>
          <x:t xml:space="preserve">Accepted direction for processed-food families; individual recipes, ingredient qualification and effects remain design proposals. Author camp organization: Camp items / Food service &amp; storage; previous category/subtype: Containers / Food packaging. Author direction October 16: all Camp items are Salvage; retire the Camp items section. Item identity, condition, tiers, purposes and recipe semantics remain unchanged.</x:t>
        </x:is>
      </x:c>
      <x:c r="AG316" s="4" t="str">
        <x:v>Finished endpoint; material tier is not applicable. Input tiers belong to the chosen recipe.</x:v>
      </x:c>
      <x:c r="AH316" s="4" t="str">
        <x:v>T3</x:v>
      </x:c>
      <x:c r="AI316" s="4" t="str">
        <x:v>Finished item</x:v>
      </x:c>
      <x:c r="AJ316" s="4" t="n">
        <x:f>COUNTIFS('Material routes'!$D$6:$D$2205,A316,'Material routes'!$C$6:$C$2205,"Output")</x:f>
        <x:v>1</x:v>
      </x:c>
      <x:c r="AK316" s="4" t="n">
        <x:f>SUM(COUNTIFS('Material routes'!$D$6:$D$2205,A316,'Material routes'!$C$6:$C$2205,"Ingredient candidate"),COUNTIFS('Material routes'!$D$6:$D$2205,A316,'Material routes'!$C$6:$C$2205,"Consumed input"),COUNTIFS('Material routes'!$D$6:$D$2205,A316,'Material routes'!$C$6:$C$2205,"Contained input"),COUNTIFS('Material routes'!$D$6:$D$2205,A316,'Material routes'!$C$6:$C$2205,"Transform input"))</x:f>
        <x:v>0</x:v>
      </x:c>
      <x:c r="AL316" s="4" t="n">
        <x:f>COUNTIFS('Material routes'!$D$6:$D$2205,A316,'Material routes'!$C$6:$C$2205,"Tool candidate")</x:f>
        <x:v>0</x:v>
      </x:c>
      <x:c r="AM316" s="4" t="str">
        <x:f>IF(AJ316&gt;0,"Route listed; review status/completeness",IF(C316="T0","Raw entry feed; no production route","No production route listed"))</x:f>
        <x:v>Route listed; review status/completeness</x:v>
      </x:c>
      <x:c r="AN316" s="14" t="n">
        <x:f>IF(C316="T0",0,IF(C316="T1",1,IF(C316="T2",2,IF(C316="T3",3,IF(C316="T4",4,IF(C316="Unassigned",98,99))))))</x:f>
        <x:v>99</x:v>
      </x:c>
      <x:c r="AZ316"/>
      <x:c r="BA316"/>
      <x:c r="BB316"/>
      <x:c r="BC316"/>
      <x:c r="BD316"/>
      <x:c r="BE316"/>
      <x:c r="BF316"/>
      <x:c r="BG316"/>
      <x:c r="BH316"/>
      <x:c r="BI316"/>
      <x:c r="BJ316"/>
      <x:c r="BK316"/>
      <x:c r="BL316"/>
      <x:c r="BM316"/>
      <x:c r="BN316"/>
      <x:c r="BO316"/>
      <x:c r="BP316"/>
      <x:c r="BQ316"/>
      <x:c r="BR316"/>
      <x:c r="BS316"/>
      <x:c r="BT316"/>
      <x:c r="BU316"/>
      <x:c r="BV316"/>
      <x:c r="BW316"/>
      <x:c r="BX316"/>
      <x:c r="BY316"/>
      <x:c r="BZ316"/>
      <x:c r="CA316"/>
      <x:c r="CB316"/>
      <x:c r="CC316"/>
    </x:row>
    <x:row r="317" ht="115" customHeight="1">
      <x:c r="A317" s="9" t="str">
        <x:v>proposal.food.bar_case</x:v>
      </x:c>
      <x:c r="B317" s="9" t="str">
        <x:v>Phagia ration-bar case</x:v>
      </x:c>
      <x:c r="C317" s="4" t="str">
        <x:v>Not applicable</x:v>
      </x:c>
      <x:c r="D317" s="9" t="inlineStr">
        <x:is>
          <x:t xml:space="preserve">Salvage</x:t>
        </x:is>
      </x:c>
      <x:c r="E317" s="9" t="inlineStr">
        <x:is>
          <x:t xml:space="preserve">Food service &amp; storage</x:t>
        </x:is>
      </x:c>
      <x:c r="F317" s="9" t="str">
        <x:v>New proposal</x:v>
      </x:c>
      <x:c r="G317" s="9" t="inlineStr">
        <x:is>
          <x:t xml:space="preserve">Reusable fitted carrier protecting selected prepared bars from dust and damage. It is intended to portion, hold or serve the recorded food or drink. Food-contact preparation and the contents remain separate design requirements.</x:t>
        </x:is>
      </x:c>
      <x:c r="H317" s="9" t="str">
        <x:v>None</x:v>
      </x:c>
      <x:c r="I317" s="9" t="str">
        <x:v>Prepared portions / vessels; Booter eligibility and capacity TBD</x:v>
      </x:c>
      <x:c r="J317" s="13"/>
      <x:c r="K317" s="15"/>
      <x:c r="L317" s="9" t="str">
        <x:v>Food-service craft or trade; exact route TBD</x:v>
      </x:c>
      <x:c r="M317" s="9" t="str">
        <x:v>No recipe, ratio or serving quantity authored. Food processing and any heating need setting-compatible design.</x:v>
      </x:c>
      <x:c r="N317" s="9" t="str">
        <x:v>Not implemented</x:v>
      </x:c>
      <x:c r="O317" s="9" t="str">
        <x:v>Bars count separately from their case. Food contact and closure remain design work; no cloth wrapper or invisible storage capacity.</x:v>
      </x:c>
      <x:c r="P317" s="17"/>
      <x:c r="Q317" s="17"/>
      <x:c r="R317" s="17"/>
      <x:c r="S317" s="17"/>
      <x:c r="T317" s="17"/>
      <x:c r="U317" s="9" t="str">
        <x:v>Higher-performing processed Phagia consumables and high-quality fauna-mixed delicacies are author direction. Specific performance, supply costs, value, shelf life and consumption behavior remain unresolved.</x:v>
      </x:c>
      <x:c r="V317" s="11" t="inlineStr">
        <x:is>
          <x:t xml:space="preserve">cargo organization; phagea; algae; Food packaging; camp goods; Food service &amp; storage</x:t>
        </x:is>
      </x:c>
      <x:c r="W317" s="9" t="str">
        <x:v>Direct author Phagia food/drink processing and fauna-delicacy direction October 14, 2026; Docs/WORLD_BASIS.md#survival-rules. Specific named dishes and packaging are proposals.</x:v>
      </x:c>
      <x:c r="X317" s="4" t="str">
        <x:v>Carrier</x:v>
      </x:c>
      <x:c r="Y317" s="4" t="str">
        <x:v>Finished item</x:v>
      </x:c>
      <x:c r="Z317" s="4" t="str">
        <x:v>Manufactured / unresolved</x:v>
      </x:c>
      <x:c r="AA317" s="4" t="str">
        <x:v>Food service</x:v>
      </x:c>
      <x:c r="AB317" s="4" t="str">
        <x:v>Metal or shell</x:v>
      </x:c>
      <x:c r="AC317" s="4" t="str">
        <x:v>Assembly</x:v>
      </x:c>
      <x:c r="AD317" s="4" t="str">
        <x:v>Proposal</x:v>
      </x:c>
      <x:c r="AE317" s="4" t="str">
        <x:f>LOWER(A317&amp;"; "&amp;B317&amp;"; "&amp;D317&amp;"; "&amp;E317&amp;"; "&amp;X317&amp;"; "&amp;Y317&amp;"; "&amp;Z317&amp;"; "&amp;AA317&amp;"; "&amp;AB317&amp;"; "&amp;AC317&amp;"; "&amp;AD317&amp;"; "&amp;V317&amp;"; "&amp;C317&amp;"; "&amp;AH317&amp;"; "&amp;AI317)</x:f>
        <x:v>proposal.food.bar_case; phagia ration-bar case; salvage; food service &amp; storage; carrier; finished item; manufactured / unresolved; food service; metal or shell; assembly; proposal; cargo organization; phagea; algae; food packaging; camp goods; food service &amp; storage; not applicable; t3; finished item</x:v>
      </x:c>
      <x:c r="AF317" s="4" t="inlineStr">
        <x:is>
          <x:t xml:space="preserve">Accepted direction for processed-food families; individual recipes, ingredient qualification and effects remain design proposals. Author camp organization: Camp items / Food service &amp; storage; previous category/subtype: Containers / Food packaging. Author direction October 16: all Camp items are Salvage; retire the Camp items section. Item identity, condition, tiers, purposes and recipe semantics remain unchanged.</x:t>
        </x:is>
      </x:c>
      <x:c r="AG317" s="4" t="str">
        <x:v>Finished endpoint; material tier is not applicable. Input tiers belong to the chosen recipe.</x:v>
      </x:c>
      <x:c r="AH317" s="4" t="str">
        <x:v>T3</x:v>
      </x:c>
      <x:c r="AI317" s="4" t="str">
        <x:v>Finished item</x:v>
      </x:c>
      <x:c r="AJ317" s="4" t="n">
        <x:f>COUNTIFS('Material routes'!$D$6:$D$2205,A317,'Material routes'!$C$6:$C$2205,"Output")</x:f>
        <x:v>1</x:v>
      </x:c>
      <x:c r="AK317" s="4" t="n">
        <x:f>SUM(COUNTIFS('Material routes'!$D$6:$D$2205,A317,'Material routes'!$C$6:$C$2205,"Ingredient candidate"),COUNTIFS('Material routes'!$D$6:$D$2205,A317,'Material routes'!$C$6:$C$2205,"Consumed input"),COUNTIFS('Material routes'!$D$6:$D$2205,A317,'Material routes'!$C$6:$C$2205,"Contained input"),COUNTIFS('Material routes'!$D$6:$D$2205,A317,'Material routes'!$C$6:$C$2205,"Transform input"))</x:f>
        <x:v>0</x:v>
      </x:c>
      <x:c r="AL317" s="4" t="n">
        <x:f>COUNTIFS('Material routes'!$D$6:$D$2205,A317,'Material routes'!$C$6:$C$2205,"Tool candidate")</x:f>
        <x:v>0</x:v>
      </x:c>
      <x:c r="AM317" s="4" t="str">
        <x:f>IF(AJ317&gt;0,"Route listed; review status/completeness",IF(C317="T0","Raw entry feed; no production route","No production route listed"))</x:f>
        <x:v>Route listed; review status/completeness</x:v>
      </x:c>
      <x:c r="AN317" s="14" t="n">
        <x:f>IF(C317="T0",0,IF(C317="T1",1,IF(C317="T2",2,IF(C317="T3",3,IF(C317="T4",4,IF(C317="Unassigned",98,99))))))</x:f>
        <x:v>99</x:v>
      </x:c>
      <x:c r="AZ317"/>
      <x:c r="BA317"/>
      <x:c r="BB317"/>
      <x:c r="BC317"/>
      <x:c r="BD317"/>
      <x:c r="BE317"/>
      <x:c r="BF317"/>
      <x:c r="BG317"/>
      <x:c r="BH317"/>
      <x:c r="BI317"/>
      <x:c r="BJ317"/>
      <x:c r="BK317"/>
      <x:c r="BL317"/>
      <x:c r="BM317"/>
      <x:c r="BN317"/>
      <x:c r="BO317"/>
      <x:c r="BP317"/>
      <x:c r="BQ317"/>
      <x:c r="BR317"/>
      <x:c r="BS317"/>
      <x:c r="BT317"/>
      <x:c r="BU317"/>
      <x:c r="BV317"/>
      <x:c r="BW317"/>
      <x:c r="BX317"/>
      <x:c r="BY317"/>
      <x:c r="BZ317"/>
      <x:c r="CA317"/>
      <x:c r="CB317"/>
      <x:c r="CC317"/>
    </x:row>
    <x:row r="318" ht="115" customHeight="1">
      <x:c r="A318" s="9"/>
      <x:c r="B318" s="9"/>
      <x:c r="C318" s="4"/>
      <x:c r="D318" s="9"/>
      <x:c r="E318" s="9"/>
      <x:c r="F318" s="9"/>
      <x:c r="G318" s="9"/>
      <x:c r="H318" s="9"/>
      <x:c r="I318" s="9"/>
      <x:c r="J318" s="13"/>
      <x:c r="M318" s="9"/>
      <x:c r="N318" s="9"/>
      <x:c r="O318" s="9"/>
      <x:c r="P318" s="17"/>
      <x:c r="V318" s="11"/>
      <x:c r="W318" s="9"/>
      <x:c r="X318" s="4"/>
      <x:c r="Y318" s="4"/>
      <x:c r="Z318" s="4"/>
      <x:c r="AA318" s="4"/>
      <x:c r="AB318" s="4"/>
      <x:c r="AC318" s="4"/>
      <x:c r="AD318" s="4"/>
      <x:c r="AE318" s="4"/>
      <x:c r="AF318" s="4"/>
      <x:c r="AG318" s="4"/>
      <x:c r="AH318" s="4"/>
      <x:c r="AI318" s="4"/>
      <x:c r="AJ318" s="4"/>
      <x:c r="AK318" s="4"/>
      <x:c r="AL318" s="4"/>
      <x:c r="AM318" s="4"/>
      <x:c r="AN318" s="14"/>
      <x:c r="AZ318"/>
      <x:c r="BA318"/>
      <x:c r="BB318"/>
      <x:c r="BC318"/>
      <x:c r="BD318"/>
      <x:c r="BE318"/>
      <x:c r="BF318"/>
      <x:c r="BG318"/>
      <x:c r="BH318"/>
      <x:c r="BI318"/>
      <x:c r="BJ318"/>
      <x:c r="BK318"/>
      <x:c r="BL318"/>
      <x:c r="BM318"/>
      <x:c r="BN318"/>
      <x:c r="BO318"/>
      <x:c r="BP318"/>
      <x:c r="BQ318"/>
      <x:c r="BR318"/>
      <x:c r="BS318"/>
      <x:c r="BT318"/>
      <x:c r="BU318"/>
      <x:c r="BV318"/>
      <x:c r="BW318"/>
      <x:c r="BX318"/>
      <x:c r="BY318"/>
      <x:c r="BZ318"/>
      <x:c r="CA318"/>
      <x:c r="CB318"/>
      <x:c r="CC318"/>
    </x:row>
    <x:row r="319" ht="110" customHeight="1">
      <x:c r="A319" s="9"/>
      <x:c r="B319" s="9"/>
      <x:c r="C319" s="4"/>
      <x:c r="D319" s="9"/>
      <x:c r="E319" s="9"/>
      <x:c r="F319" s="9"/>
      <x:c r="G319" s="9"/>
      <x:c r="H319" s="9"/>
      <x:c r="I319" s="9"/>
      <x:c r="J319" s="13"/>
      <x:c r="K319" s="15"/>
      <x:c r="L319" s="9"/>
      <x:c r="M319" s="9"/>
      <x:c r="N319" s="9"/>
      <x:c r="O319" s="9"/>
      <x:c r="P319" s="17"/>
      <x:c r="Q319" s="17"/>
      <x:c r="R319" s="17"/>
      <x:c r="S319" s="17"/>
      <x:c r="T319" s="17"/>
      <x:c r="U319" s="9"/>
      <x:c r="V319" s="11"/>
      <x:c r="W319" s="9"/>
      <x:c r="X319" s="4"/>
      <x:c r="Y319" s="4"/>
      <x:c r="Z319" s="4"/>
      <x:c r="AA319" s="4"/>
      <x:c r="AB319" s="4"/>
      <x:c r="AC319" s="4"/>
      <x:c r="AD319" s="4"/>
      <x:c r="AE319" s="4"/>
      <x:c r="AF319" s="4"/>
      <x:c r="AG319" s="4"/>
      <x:c r="AH319" s="4"/>
      <x:c r="AI319" s="4"/>
      <x:c r="AJ319" s="4"/>
      <x:c r="AK319" s="4"/>
      <x:c r="AL319" s="4"/>
      <x:c r="AM319" s="4"/>
      <x:c r="AN319" s="14"/>
      <x:c r="AZ319"/>
      <x:c r="BA319"/>
      <x:c r="BB319"/>
      <x:c r="BC319"/>
      <x:c r="BD319"/>
      <x:c r="BE319"/>
      <x:c r="BF319"/>
      <x:c r="BG319"/>
      <x:c r="BH319"/>
      <x:c r="BI319"/>
      <x:c r="BJ319"/>
      <x:c r="BK319"/>
      <x:c r="BL319"/>
      <x:c r="BM319"/>
      <x:c r="BN319"/>
      <x:c r="BO319"/>
      <x:c r="BP319"/>
      <x:c r="BQ319"/>
      <x:c r="BR319"/>
      <x:c r="BS319"/>
      <x:c r="BT319"/>
      <x:c r="BU319"/>
      <x:c r="BV319"/>
      <x:c r="BW319"/>
      <x:c r="BX319"/>
      <x:c r="BY319"/>
      <x:c r="BZ319"/>
      <x:c r="CA319"/>
      <x:c r="CB319"/>
      <x:c r="CC319"/>
    </x:row>
    <x:row r="320" ht="110" customHeight="1">
      <x:c r="A320" s="9"/>
      <x:c r="B320" s="9"/>
      <x:c r="C320" s="4"/>
      <x:c r="D320" s="9"/>
      <x:c r="E320" s="9"/>
      <x:c r="F320" s="9"/>
      <x:c r="G320" s="9"/>
      <x:c r="H320" s="9"/>
      <x:c r="I320" s="9"/>
      <x:c r="J320" s="13"/>
      <x:c r="K320" s="15"/>
      <x:c r="L320" s="9"/>
      <x:c r="M320" s="9"/>
      <x:c r="N320" s="9"/>
      <x:c r="O320" s="9"/>
      <x:c r="P320" s="17"/>
      <x:c r="Q320" s="17"/>
      <x:c r="R320" s="17"/>
      <x:c r="S320" s="17"/>
      <x:c r="T320" s="17"/>
      <x:c r="U320" s="9"/>
      <x:c r="V320" s="11"/>
      <x:c r="W320" s="9"/>
      <x:c r="X320" s="4"/>
      <x:c r="Y320" s="4"/>
      <x:c r="Z320" s="4"/>
      <x:c r="AA320" s="4"/>
      <x:c r="AB320" s="4"/>
      <x:c r="AC320" s="4"/>
      <x:c r="AD320" s="4"/>
      <x:c r="AE320" s="4"/>
      <x:c r="AF320" s="4"/>
      <x:c r="AG320" s="4"/>
      <x:c r="AH320" s="4"/>
      <x:c r="AI320" s="4"/>
      <x:c r="AJ320" s="4"/>
      <x:c r="AK320" s="4"/>
      <x:c r="AL320" s="4"/>
      <x:c r="AM320" s="4"/>
      <x:c r="AN320" s="14"/>
      <x:c r="AZ320"/>
      <x:c r="BA320"/>
      <x:c r="BB320"/>
      <x:c r="BC320"/>
      <x:c r="BD320"/>
      <x:c r="BE320"/>
      <x:c r="BF320"/>
      <x:c r="BG320"/>
      <x:c r="BH320"/>
      <x:c r="BI320"/>
      <x:c r="BJ320"/>
      <x:c r="BK320"/>
      <x:c r="BL320"/>
      <x:c r="BM320"/>
      <x:c r="BN320"/>
      <x:c r="BO320"/>
      <x:c r="BP320"/>
      <x:c r="BQ320"/>
      <x:c r="BR320"/>
      <x:c r="BS320"/>
      <x:c r="BT320"/>
      <x:c r="BU320"/>
      <x:c r="BV320"/>
      <x:c r="BW320"/>
      <x:c r="BX320"/>
      <x:c r="BY320"/>
      <x:c r="BZ320"/>
      <x:c r="CA320"/>
      <x:c r="CB320"/>
      <x:c r="CC320"/>
    </x:row>
    <x:row r="321" ht="110" customHeight="1">
      <x:c r="A321" s="9" t="str">
        <x:v>proposal.raw.pumice</x:v>
      </x:c>
      <x:c r="B321" s="9" t="str">
        <x:v>Pumice lumps</x:v>
      </x:c>
      <x:c r="C321" s="4" t="str">
        <x:v>T0</x:v>
      </x:c>
      <x:c r="D321" s="9" t="inlineStr">
        <x:is>
          <x:t xml:space="preserve">Salvage</x:t>
        </x:is>
      </x:c>
      <x:c r="E321" s="9" t="str">
        <x:v>Stone feedstock</x:v>
      </x:c>
      <x:c r="F321" s="9" t="str">
        <x:v>New proposal</x:v>
      </x:c>
      <x:c r="G321" s="9" t="inlineStr">
        <x:is>
          <x:t xml:space="preserve">Porous mineral lumps proposed as abrasive feed for rubbing and surface preparation. Selection and grading determine which pieces could become useful finishing material.</x:t>
        </x:is>
      </x:c>
      <x:c r="H321" s="9" t="str">
        <x:v>None</x:v>
      </x:c>
      <x:c r="I321" s="9" t="str">
        <x:v>Gathered raw/salvage cargo: Legger or local storage; policy TBD</x:v>
      </x:c>
      <x:c r="J321" s="13"/>
      <x:c r="K321" s="15"/>
      <x:c r="L321" s="9" t="str">
        <x:v>Recognizable pitted volcanic-looking stone pieces</x:v>
      </x:c>
      <x:c r="M321" s="9" t="str">
        <x:v>Select or grade candidate rubbing/finishing pieces; no recipe or yield authored.</x:v>
      </x:c>
      <x:c r="N321" s="9" t="str">
        <x:v>Not implemented</x:v>
      </x:c>
      <x:c r="O321" s="9" t="str">
        <x:v>Proposed mineral feedstock; abrasive grade and equipment suitability require design.</x:v>
      </x:c>
      <x:c r="P321" s="17"/>
      <x:c r="Q321" s="17"/>
      <x:c r="R321" s="17"/>
      <x:c r="S321" s="17"/>
      <x:c r="T321" s="17"/>
      <x:c r="U321" s="9" t="str">
        <x:v>New raw-material proposal; collection, processing grade, mass, trade value and host compatibility undecided. Existing broad resources are reused rather than replaced.</x:v>
      </x:c>
      <x:c r="V321" s="11"/>
      <x:c r="W321" s="9" t="str">
        <x:v>Local brainstorming from author request for grounded raw materials October 14, 2026. These candidates are not claims retrieved from the lore repository.</x:v>
      </x:c>
      <x:c r="X321" s="4" t="str">
        <x:v>Raw material</x:v>
      </x:c>
      <x:c r="Y321" s="4" t="str">
        <x:v>Raw</x:v>
      </x:c>
      <x:c r="Z321" s="4" t="str">
        <x:v>Geological</x:v>
      </x:c>
      <x:c r="AA321" s="4" t="str">
        <x:v>Surface finishing</x:v>
      </x:c>
      <x:c r="AB321" s="4" t="str">
        <x:v>Mineral</x:v>
      </x:c>
      <x:c r="AC321" s="4" t="str">
        <x:v>Rock</x:v>
      </x:c>
      <x:c r="AD321" s="4" t="str">
        <x:v>Proposal</x:v>
      </x:c>
      <x:c r="AE321" s="4" t="str">
        <x:f>LOWER(A321&amp;"; "&amp;B321&amp;"; "&amp;D321&amp;"; "&amp;E321&amp;"; "&amp;X321&amp;"; "&amp;Y321&amp;"; "&amp;Z321&amp;"; "&amp;AA321&amp;"; "&amp;AB321&amp;"; "&amp;AC321&amp;"; "&amp;AD321&amp;"; "&amp;V321&amp;"; "&amp;C321&amp;"; "&amp;AH321&amp;"; "&amp;AI321)</x:f>
        <x:v>proposal.raw.pumice; pumice lumps; salvage; stone feedstock; raw material; raw; geological; surface finishing; mineral; rock; proposal; ; t0; not applicable; material</x:v>
      </x:c>
      <x:c r="AF321" s="4" t="str">
        <x:v>Specific raw form and candidate uses are proposals; no automatic biological function, chemistry, deposit or crafting capability. Lore category review: Resources -&gt; Mineral resources. Classification only; original item status and tier retained.</x:v>
      </x:c>
      <x:c r="AG321" s="4" t="str">
        <x:v>Raw gathered/recovered craft input under the author T0 framework. This does not imply a naturally occurring pure metal.</x:v>
      </x:c>
      <x:c r="AH321" s="4" t="str">
        <x:v>Not applicable</x:v>
      </x:c>
      <x:c r="AI321" s="4" t="str">
        <x:v>Material</x:v>
      </x:c>
      <x:c r="AJ321" s="4" t="n">
        <x:f>COUNTIFS('Material routes'!$D$6:$D$2205,A321,'Material routes'!$C$6:$C$2205,"Output")</x:f>
        <x:v>0</x:v>
      </x:c>
      <x:c r="AK321" s="4" t="n">
        <x:f>SUM(COUNTIFS('Material routes'!$D$6:$D$2205,A321,'Material routes'!$C$6:$C$2205,"Ingredient candidate"),COUNTIFS('Material routes'!$D$6:$D$2205,A321,'Material routes'!$C$6:$C$2205,"Consumed input"),COUNTIFS('Material routes'!$D$6:$D$2205,A321,'Material routes'!$C$6:$C$2205,"Contained input"),COUNTIFS('Material routes'!$D$6:$D$2205,A321,'Material routes'!$C$6:$C$2205,"Transform input"))</x:f>
        <x:v>0</x:v>
      </x:c>
      <x:c r="AL321" s="4" t="n">
        <x:f>COUNTIFS('Material routes'!$D$6:$D$2205,A321,'Material routes'!$C$6:$C$2205,"Tool candidate")</x:f>
        <x:v>0</x:v>
      </x:c>
      <x:c r="AM321" s="4" t="str">
        <x:f>IF(AJ321&gt;0,"Route listed; review status/completeness",IF(C321="T0","Raw entry feed; no production route","No production route listed"))</x:f>
        <x:v>Raw entry feed; no production route</x:v>
      </x:c>
      <x:c r="AN321" s="14" t="n">
        <x:f>IF(C321="T0",0,IF(C321="T1",1,IF(C321="T2",2,IF(C321="T3",3,IF(C321="T4",4,IF(C321="Unassigned",98,99))))))</x:f>
        <x:v>0</x:v>
      </x:c>
      <x:c r="AZ321"/>
      <x:c r="BA321"/>
      <x:c r="BB321"/>
      <x:c r="BC321"/>
      <x:c r="BD321"/>
      <x:c r="BE321"/>
      <x:c r="BF321"/>
      <x:c r="BG321"/>
      <x:c r="BH321"/>
      <x:c r="BI321"/>
      <x:c r="BJ321"/>
      <x:c r="BK321"/>
      <x:c r="BL321"/>
      <x:c r="BM321"/>
      <x:c r="BN321"/>
      <x:c r="BO321"/>
      <x:c r="BP321"/>
      <x:c r="BQ321"/>
      <x:c r="BR321"/>
      <x:c r="BS321"/>
      <x:c r="BT321"/>
      <x:c r="BU321"/>
      <x:c r="BV321"/>
      <x:c r="BW321"/>
      <x:c r="BX321"/>
      <x:c r="BY321"/>
      <x:c r="BZ321"/>
      <x:c r="CA321"/>
      <x:c r="CB321"/>
      <x:c r="CC321"/>
    </x:row>
    <x:row r="322" ht="110" customHeight="1">
      <x:c r="A322" s="9" t="str">
        <x:v>proposal.raw.feldspar</x:v>
      </x:c>
      <x:c r="B322" s="9" t="str">
        <x:v>Feldspar fragments</x:v>
      </x:c>
      <x:c r="C322" s="4" t="str">
        <x:v>T0</x:v>
      </x:c>
      <x:c r="D322" s="9" t="str">
        <x:v>Mineral resources</x:v>
      </x:c>
      <x:c r="E322" s="9" t="str">
        <x:v>Stone feedstock</x:v>
      </x:c>
      <x:c r="F322" s="9" t="str">
        <x:v>New proposal</x:v>
      </x:c>
      <x:c r="G322" s="9" t="inlineStr">
        <x:is>
          <x:t xml:space="preserve">Fragments of feldspar-bearing mineral proposed for glass and ceramic batches. They must be selected and prepared as a controlled mineral feed rather than treated as a finished glass or ceramic material.</x:t>
        </x:is>
      </x:c>
      <x:c r="H322" s="9" t="str">
        <x:v>None</x:v>
      </x:c>
      <x:c r="I322" s="9" t="str">
        <x:v>Gathered raw/salvage cargo: Legger or local storage; policy TBD</x:v>
      </x:c>
      <x:c r="J322" s="13"/>
      <x:c r="K322" s="15"/>
      <x:c r="L322" s="9" t="str">
        <x:v>Pale angular mineral fragments in suitable rock</x:v>
      </x:c>
      <x:c r="M322" s="9" t="str">
        <x:v>Sort mineral feed for proposed glass/ceramic body work; no recipe or yield authored.</x:v>
      </x:c>
      <x:c r="N322" s="9" t="str">
        <x:v>Not implemented</x:v>
      </x:c>
      <x:c r="O322" s="9" t="str">
        <x:v>Proposed input; no deposit, flux formula or ceramic recipe is established.</x:v>
      </x:c>
      <x:c r="P322" s="17"/>
      <x:c r="Q322" s="17"/>
      <x:c r="R322" s="17"/>
      <x:c r="S322" s="17"/>
      <x:c r="T322" s="17"/>
      <x:c r="U322" s="9" t="str">
        <x:v>New raw-material proposal; collection, processing grade, mass, trade value and host compatibility undecided. Existing broad resources are reused rather than replaced.</x:v>
      </x:c>
      <x:c r="V322" s="11"/>
      <x:c r="W322" s="9" t="str">
        <x:v>Local brainstorming from author request for grounded raw materials October 14, 2026. These candidates are not claims retrieved from the lore repository.</x:v>
      </x:c>
      <x:c r="X322" s="4" t="str">
        <x:v>Raw material</x:v>
      </x:c>
      <x:c r="Y322" s="4" t="str">
        <x:v>Raw</x:v>
      </x:c>
      <x:c r="Z322" s="4" t="str">
        <x:v>Geological</x:v>
      </x:c>
      <x:c r="AA322" s="4" t="str">
        <x:v>Glass and ceramics</x:v>
      </x:c>
      <x:c r="AB322" s="4" t="str">
        <x:v>Mineral</x:v>
      </x:c>
      <x:c r="AC322" s="4" t="str">
        <x:v>Rock</x:v>
      </x:c>
      <x:c r="AD322" s="4" t="str">
        <x:v>Proposal</x:v>
      </x:c>
      <x:c r="AE322" s="4" t="str">
        <x:f>LOWER(A322&amp;"; "&amp;B322&amp;"; "&amp;D322&amp;"; "&amp;E322&amp;"; "&amp;X322&amp;"; "&amp;Y322&amp;"; "&amp;Z322&amp;"; "&amp;AA322&amp;"; "&amp;AB322&amp;"; "&amp;AC322&amp;"; "&amp;AD322&amp;"; "&amp;V322&amp;"; "&amp;C322&amp;"; "&amp;AH322&amp;"; "&amp;AI322)</x:f>
        <x:v>proposal.raw.feldspar; feldspar fragments; mineral resources; stone feedstock; raw material; raw; geological; glass and ceramics; mineral; rock; proposal; ; t0; not applicable; material</x:v>
      </x:c>
      <x:c r="AF322" s="4" t="str">
        <x:v>Specific raw form and candidate uses are proposals; no automatic biological function, chemistry, deposit or crafting capability. Lore category review: Resources -&gt; Mineral resources. Classification only; original item status and tier retained.</x:v>
      </x:c>
      <x:c r="AG322" s="4" t="str">
        <x:v>Raw gathered/recovered craft input under the author T0 framework. This does not imply a naturally occurring pure metal.</x:v>
      </x:c>
      <x:c r="AH322" s="4" t="str">
        <x:v>Not applicable</x:v>
      </x:c>
      <x:c r="AI322" s="4" t="str">
        <x:v>Material</x:v>
      </x:c>
      <x:c r="AJ322" s="4" t="n">
        <x:f>COUNTIFS('Material routes'!$D$6:$D$2205,A322,'Material routes'!$C$6:$C$2205,"Output")</x:f>
        <x:v>0</x:v>
      </x:c>
      <x:c r="AK322" s="4" t="n">
        <x:f>SUM(COUNTIFS('Material routes'!$D$6:$D$2205,A322,'Material routes'!$C$6:$C$2205,"Ingredient candidate"),COUNTIFS('Material routes'!$D$6:$D$2205,A322,'Material routes'!$C$6:$C$2205,"Consumed input"),COUNTIFS('Material routes'!$D$6:$D$2205,A322,'Material routes'!$C$6:$C$2205,"Contained input"),COUNTIFS('Material routes'!$D$6:$D$2205,A322,'Material routes'!$C$6:$C$2205,"Transform input"))</x:f>
        <x:v>0</x:v>
      </x:c>
      <x:c r="AL322" s="4" t="n">
        <x:f>COUNTIFS('Material routes'!$D$6:$D$2205,A322,'Material routes'!$C$6:$C$2205,"Tool candidate")</x:f>
        <x:v>0</x:v>
      </x:c>
      <x:c r="AM322" s="4" t="str">
        <x:f>IF(AJ322&gt;0,"Route listed; review status/completeness",IF(C322="T0","Raw entry feed; no production route","No production route listed"))</x:f>
        <x:v>Raw entry feed; no production route</x:v>
      </x:c>
      <x:c r="AN322" s="14" t="n">
        <x:f>IF(C322="T0",0,IF(C322="T1",1,IF(C322="T2",2,IF(C322="T3",3,IF(C322="T4",4,IF(C322="Unassigned",98,99))))))</x:f>
        <x:v>0</x:v>
      </x:c>
      <x:c r="AZ322"/>
      <x:c r="BA322"/>
      <x:c r="BB322"/>
      <x:c r="BC322"/>
      <x:c r="BD322"/>
      <x:c r="BE322"/>
      <x:c r="BF322"/>
      <x:c r="BG322"/>
      <x:c r="BH322"/>
      <x:c r="BI322"/>
      <x:c r="BJ322"/>
      <x:c r="BK322"/>
      <x:c r="BL322"/>
      <x:c r="BM322"/>
      <x:c r="BN322"/>
      <x:c r="BO322"/>
      <x:c r="BP322"/>
      <x:c r="BQ322"/>
      <x:c r="BR322"/>
      <x:c r="BS322"/>
      <x:c r="BT322"/>
      <x:c r="BU322"/>
      <x:c r="BV322"/>
      <x:c r="BW322"/>
      <x:c r="BX322"/>
      <x:c r="BY322"/>
      <x:c r="BZ322"/>
      <x:c r="CA322"/>
      <x:c r="CB322"/>
      <x:c r="CC322"/>
    </x:row>
    <x:row r="323" ht="110" customHeight="1">
      <x:c r="A323" s="9" t="str">
        <x:v>proposal.raw.spines</x:v>
      </x:c>
      <x:c r="B323" s="9" t="str">
        <x:v>Loose fauna spines</x:v>
      </x:c>
      <x:c r="C323" s="4" t="str">
        <x:v>T0</x:v>
      </x:c>
      <x:c r="D323" s="9" t="str">
        <x:v>Biological resources</x:v>
      </x:c>
      <x:c r="E323" s="9" t="str">
        <x:v>Faunal hard-part feedstock</x:v>
      </x:c>
      <x:c r="F323" s="9" t="str">
        <x:v>New proposal</x:v>
      </x:c>
      <x:c r="G323" s="9" t="inlineStr">
        <x:is>
          <x:t xml:space="preserve">Loose hard faunal spines proposed as small pointed blanks for tools and fittings. Their shape offers a starting point for fitting, while source anatomy and usable strength remain unverified.</x:t>
        </x:is>
      </x:c>
      <x:c r="H323" s="9" t="str">
        <x:v>None</x:v>
      </x:c>
      <x:c r="I323" s="9" t="str">
        <x:v>Gathered raw/salvage cargo: Legger or local storage; policy TBD</x:v>
      </x:c>
      <x:c r="J323" s="13"/>
      <x:c r="K323" s="15"/>
      <x:c r="L323" s="9" t="str">
        <x:v>Shed or harvested spines from selected spined fauna</x:v>
      </x:c>
      <x:c r="M323" s="9" t="str">
        <x:v>Select and shape small points or piercing-tool blanks; no recipe or yield authored.</x:v>
      </x:c>
      <x:c r="N323" s="9" t="str">
        <x:v>Not implemented</x:v>
      </x:c>
      <x:c r="O323" s="9" t="str">
        <x:v>Species, composition, toxicity and working properties unresolved; no bone or venom assumed.</x:v>
      </x:c>
      <x:c r="P323" s="17"/>
      <x:c r="Q323" s="17"/>
      <x:c r="R323" s="17"/>
      <x:c r="S323" s="17"/>
      <x:c r="T323" s="17"/>
      <x:c r="U323" s="9" t="str">
        <x:v>New raw-material proposal; collection, processing grade, mass, trade value and host compatibility undecided. Existing broad resources are reused rather than replaced.</x:v>
      </x:c>
      <x:c r="V323" s="11"/>
      <x:c r="W323" s="9" t="str">
        <x:v>Local brainstorming from author request for grounded raw materials October 14, 2026. These candidates are not claims retrieved from the lore repository.</x:v>
      </x:c>
      <x:c r="X323" s="4" t="str">
        <x:v>Raw material</x:v>
      </x:c>
      <x:c r="Y323" s="4" t="str">
        <x:v>Raw</x:v>
      </x:c>
      <x:c r="Z323" s="4" t="str">
        <x:v>Fauna</x:v>
      </x:c>
      <x:c r="AA323" s="4" t="str">
        <x:v>Tool fabrication</x:v>
      </x:c>
      <x:c r="AB323" s="4" t="str">
        <x:v>Faunal hard tissue</x:v>
      </x:c>
      <x:c r="AC323" s="4" t="str">
        <x:v>Solid piece</x:v>
      </x:c>
      <x:c r="AD323" s="4" t="str">
        <x:v>Proposal</x:v>
      </x:c>
      <x:c r="AE323" s="4" t="str">
        <x:f>LOWER(A323&amp;"; "&amp;B323&amp;"; "&amp;D323&amp;"; "&amp;E323&amp;"; "&amp;X323&amp;"; "&amp;Y323&amp;"; "&amp;Z323&amp;"; "&amp;AA323&amp;"; "&amp;AB323&amp;"; "&amp;AC323&amp;"; "&amp;AD323&amp;"; "&amp;V323&amp;"; "&amp;C323&amp;"; "&amp;AH323&amp;"; "&amp;AI323)</x:f>
        <x:v>proposal.raw.spines; loose fauna spines; biological resources; faunal hard-part feedstock; raw material; raw; fauna; tool fabrication; faunal hard tissue; solid piece; proposal; ; t0; not applicable; material</x:v>
      </x:c>
      <x:c r="AF323" s="4" t="str">
        <x:v>Specific raw form and candidate uses are proposals; no automatic biological function, chemistry, deposit or crafting capability. Lore category review: Resources -&gt; Biological resources. Classification only; original item status and tier retained.</x:v>
      </x:c>
      <x:c r="AG323" s="4" t="str">
        <x:v>Raw gathered/recovered craft input under the author T0 framework. This does not imply a naturally occurring pure metal.</x:v>
      </x:c>
      <x:c r="AH323" s="4" t="str">
        <x:v>Not applicable</x:v>
      </x:c>
      <x:c r="AI323" s="4" t="str">
        <x:v>Material</x:v>
      </x:c>
      <x:c r="AJ323" s="4" t="n">
        <x:f>COUNTIFS('Material routes'!$D$6:$D$2205,A323,'Material routes'!$C$6:$C$2205,"Output")</x:f>
        <x:v>0</x:v>
      </x:c>
      <x:c r="AK323" s="4" t="n">
        <x:f>SUM(COUNTIFS('Material routes'!$D$6:$D$2205,A323,'Material routes'!$C$6:$C$2205,"Ingredient candidate"),COUNTIFS('Material routes'!$D$6:$D$2205,A323,'Material routes'!$C$6:$C$2205,"Consumed input"),COUNTIFS('Material routes'!$D$6:$D$2205,A323,'Material routes'!$C$6:$C$2205,"Contained input"),COUNTIFS('Material routes'!$D$6:$D$2205,A323,'Material routes'!$C$6:$C$2205,"Transform input"))</x:f>
        <x:v>1</x:v>
      </x:c>
      <x:c r="AL323" s="4" t="n">
        <x:f>COUNTIFS('Material routes'!$D$6:$D$2205,A323,'Material routes'!$C$6:$C$2205,"Tool candidate")</x:f>
        <x:v>0</x:v>
      </x:c>
      <x:c r="AM323" s="4" t="str">
        <x:f>IF(AJ323&gt;0,"Route listed; review status/completeness",IF(C323="T0","Raw entry feed; no production route","No production route listed"))</x:f>
        <x:v>Raw entry feed; no production route</x:v>
      </x:c>
      <x:c r="AN323" s="14" t="n">
        <x:f>IF(C323="T0",0,IF(C323="T1",1,IF(C323="T2",2,IF(C323="T3",3,IF(C323="T4",4,IF(C323="Unassigned",98,99))))))</x:f>
        <x:v>0</x:v>
      </x:c>
      <x:c r="AZ323"/>
      <x:c r="BA323"/>
      <x:c r="BB323"/>
      <x:c r="BC323"/>
      <x:c r="BD323"/>
      <x:c r="BE323"/>
      <x:c r="BF323"/>
      <x:c r="BG323"/>
      <x:c r="BH323"/>
      <x:c r="BI323"/>
      <x:c r="BJ323"/>
      <x:c r="BK323"/>
      <x:c r="BL323"/>
      <x:c r="BM323"/>
      <x:c r="BN323"/>
      <x:c r="BO323"/>
      <x:c r="BP323"/>
      <x:c r="BQ323"/>
      <x:c r="BR323"/>
      <x:c r="BS323"/>
      <x:c r="BT323"/>
      <x:c r="BU323"/>
      <x:c r="BV323"/>
      <x:c r="BW323"/>
      <x:c r="BX323"/>
      <x:c r="BY323"/>
      <x:c r="BZ323"/>
      <x:c r="CA323"/>
      <x:c r="CB323"/>
      <x:c r="CC323"/>
    </x:row>
    <x:row r="324" ht="110" customHeight="1">
      <x:c r="A324" s="9" t="str">
        <x:v>proposal.raw.claws</x:v>
      </x:c>
      <x:c r="B324" s="9" t="str">
        <x:v>Fauna claw tips</x:v>
      </x:c>
      <x:c r="C324" s="4" t="str">
        <x:v>T0</x:v>
      </x:c>
      <x:c r="D324" s="9" t="str">
        <x:v>Biological resources</x:v>
      </x:c>
      <x:c r="E324" s="9" t="str">
        <x:v>Faunal hard-part feedstock</x:v>
      </x:c>
      <x:c r="F324" s="9" t="str">
        <x:v>New proposal</x:v>
      </x:c>
      <x:c r="G324" s="9" t="inlineStr">
        <x:is>
          <x:t xml:space="preserve">Hard claw tips proposed as cutting or scraping blanks. A usable tip would need selection and a secure mounting before it could become part of a tool.</x:t>
        </x:is>
      </x:c>
      <x:c r="H324" s="9" t="str">
        <x:v>None</x:v>
      </x:c>
      <x:c r="I324" s="9" t="str">
        <x:v>Gathered raw/salvage cargo: Legger or local storage; policy TBD</x:v>
      </x:c>
      <x:c r="J324" s="13"/>
      <x:c r="K324" s="15"/>
      <x:c r="L324" s="9" t="str">
        <x:v>Detached hard claw ends from selected fauna</x:v>
      </x:c>
      <x:c r="M324" s="9" t="str">
        <x:v>Shape hook or cutting-edge candidates; no recipe or yield authored.</x:v>
      </x:c>
      <x:c r="N324" s="9" t="str">
        <x:v>Not implemented</x:v>
      </x:c>
      <x:c r="O324" s="9" t="str">
        <x:v>Claw-bearing species and material properties remain proposed; distinct from existing broad jaw plates.</x:v>
      </x:c>
      <x:c r="P324" s="17"/>
      <x:c r="Q324" s="17"/>
      <x:c r="R324" s="17"/>
      <x:c r="S324" s="17"/>
      <x:c r="T324" s="17"/>
      <x:c r="U324" s="9" t="str">
        <x:v>New raw-material proposal; collection, processing grade, mass, trade value and host compatibility undecided. Existing broad resources are reused rather than replaced.</x:v>
      </x:c>
      <x:c r="V324" s="11"/>
      <x:c r="W324" s="9" t="str">
        <x:v>Local brainstorming from author request for grounded raw materials October 14, 2026. These candidates are not claims retrieved from the lore repository.</x:v>
      </x:c>
      <x:c r="X324" s="4" t="str">
        <x:v>Raw material</x:v>
      </x:c>
      <x:c r="Y324" s="4" t="str">
        <x:v>Raw</x:v>
      </x:c>
      <x:c r="Z324" s="4" t="str">
        <x:v>Fauna</x:v>
      </x:c>
      <x:c r="AA324" s="4" t="str">
        <x:v>Tool fabrication</x:v>
      </x:c>
      <x:c r="AB324" s="4" t="str">
        <x:v>Faunal hard tissue</x:v>
      </x:c>
      <x:c r="AC324" s="4" t="str">
        <x:v>Solid piece</x:v>
      </x:c>
      <x:c r="AD324" s="4" t="str">
        <x:v>Proposal</x:v>
      </x:c>
      <x:c r="AE324" s="4" t="str">
        <x:f>LOWER(A324&amp;"; "&amp;B324&amp;"; "&amp;D324&amp;"; "&amp;E324&amp;"; "&amp;X324&amp;"; "&amp;Y324&amp;"; "&amp;Z324&amp;"; "&amp;AA324&amp;"; "&amp;AB324&amp;"; "&amp;AC324&amp;"; "&amp;AD324&amp;"; "&amp;V324&amp;"; "&amp;C324&amp;"; "&amp;AH324&amp;"; "&amp;AI324)</x:f>
        <x:v>proposal.raw.claws; fauna claw tips; biological resources; faunal hard-part feedstock; raw material; raw; fauna; tool fabrication; faunal hard tissue; solid piece; proposal; ; t0; not applicable; material</x:v>
      </x:c>
      <x:c r="AF324" s="4" t="str">
        <x:v>Specific raw form and candidate uses are proposals; no automatic biological function, chemistry, deposit or crafting capability. Lore category review: Resources -&gt; Biological resources. Classification only; original item status and tier retained.</x:v>
      </x:c>
      <x:c r="AG324" s="4" t="str">
        <x:v>Raw gathered/recovered craft input under the author T0 framework. This does not imply a naturally occurring pure metal.</x:v>
      </x:c>
      <x:c r="AH324" s="4" t="str">
        <x:v>Not applicable</x:v>
      </x:c>
      <x:c r="AI324" s="4" t="str">
        <x:v>Material</x:v>
      </x:c>
      <x:c r="AJ324" s="4" t="n">
        <x:f>COUNTIFS('Material routes'!$D$6:$D$2205,A324,'Material routes'!$C$6:$C$2205,"Output")</x:f>
        <x:v>0</x:v>
      </x:c>
      <x:c r="AK324" s="4" t="n">
        <x:f>SUM(COUNTIFS('Material routes'!$D$6:$D$2205,A324,'Material routes'!$C$6:$C$2205,"Ingredient candidate"),COUNTIFS('Material routes'!$D$6:$D$2205,A324,'Material routes'!$C$6:$C$2205,"Consumed input"),COUNTIFS('Material routes'!$D$6:$D$2205,A324,'Material routes'!$C$6:$C$2205,"Contained input"),COUNTIFS('Material routes'!$D$6:$D$2205,A324,'Material routes'!$C$6:$C$2205,"Transform input"))</x:f>
        <x:v>0</x:v>
      </x:c>
      <x:c r="AL324" s="4" t="n">
        <x:f>COUNTIFS('Material routes'!$D$6:$D$2205,A324,'Material routes'!$C$6:$C$2205,"Tool candidate")</x:f>
        <x:v>0</x:v>
      </x:c>
      <x:c r="AM324" s="4" t="str">
        <x:f>IF(AJ324&gt;0,"Route listed; review status/completeness",IF(C324="T0","Raw entry feed; no production route","No production route listed"))</x:f>
        <x:v>Raw entry feed; no production route</x:v>
      </x:c>
      <x:c r="AN324" s="14" t="n">
        <x:f>IF(C324="T0",0,IF(C324="T1",1,IF(C324="T2",2,IF(C324="T3",3,IF(C324="T4",4,IF(C324="Unassigned",98,99))))))</x:f>
        <x:v>0</x:v>
      </x:c>
      <x:c r="AZ324"/>
      <x:c r="BA324"/>
      <x:c r="BB324"/>
      <x:c r="BC324"/>
      <x:c r="BD324"/>
      <x:c r="BE324"/>
      <x:c r="BF324"/>
      <x:c r="BG324"/>
      <x:c r="BH324"/>
      <x:c r="BI324"/>
      <x:c r="BJ324"/>
      <x:c r="BK324"/>
      <x:c r="BL324"/>
      <x:c r="BM324"/>
      <x:c r="BN324"/>
      <x:c r="BO324"/>
      <x:c r="BP324"/>
      <x:c r="BQ324"/>
      <x:c r="BR324"/>
      <x:c r="BS324"/>
      <x:c r="BT324"/>
      <x:c r="BU324"/>
      <x:c r="BV324"/>
      <x:c r="BW324"/>
      <x:c r="BX324"/>
      <x:c r="BY324"/>
      <x:c r="BZ324"/>
      <x:c r="CA324"/>
      <x:c r="CB324"/>
      <x:c r="CC324"/>
    </x:row>
    <x:row r="325" ht="110" customHeight="1">
      <x:c r="A325" s="9" t="str">
        <x:v>proposal.raw.brood_casing</x:v>
      </x:c>
      <x:c r="B325" s="9" t="str">
        <x:v>Empty brood casings</x:v>
      </x:c>
      <x:c r="C325" s="4" t="str">
        <x:v>T0</x:v>
      </x:c>
      <x:c r="D325" s="9" t="str">
        <x:v>Biological resources</x:v>
      </x:c>
      <x:c r="E325" s="9" t="str">
        <x:v>Faunal hard-part feedstock</x:v>
      </x:c>
      <x:c r="F325" s="9" t="str">
        <x:v>New proposal</x:v>
      </x:c>
      <x:c r="G325" s="9" t="inlineStr">
        <x:is>
          <x:t xml:space="preserve">Empty faunal brood casings proposed as lightweight hard-part feed. Their shells could be inspected for reusable sections or processed material; species, dimensions and strength remain unresolved.</x:t>
        </x:is>
      </x:c>
      <x:c r="H325" s="9" t="str">
        <x:v>None</x:v>
      </x:c>
      <x:c r="I325" s="9" t="str">
        <x:v>Gathered raw/salvage cargo: Legger or local storage; policy TBD</x:v>
      </x:c>
      <x:c r="J325" s="13"/>
      <x:c r="K325" s="15"/>
      <x:c r="L325" s="9" t="str">
        <x:v>Spent egg/brood casings from a compatible reproductive lineage</x:v>
      </x:c>
      <x:c r="M325" s="9" t="str">
        <x:v>Sort intact curved pieces for small covers or molds; no recipe or yield authored.</x:v>
      </x:c>
      <x:c r="N325" s="9" t="str">
        <x:v>Not implemented</x:v>
      </x:c>
      <x:c r="O325" s="9" t="str">
        <x:v>Reproductive anatomy is a species-level proposal; empty casing is not automatically clean, edible or food-safe.</x:v>
      </x:c>
      <x:c r="P325" s="17"/>
      <x:c r="Q325" s="17"/>
      <x:c r="R325" s="17"/>
      <x:c r="S325" s="17"/>
      <x:c r="T325" s="17"/>
      <x:c r="U325" s="9" t="str">
        <x:v>New raw-material proposal; collection, processing grade, mass, trade value and host compatibility undecided. Existing broad resources are reused rather than replaced.</x:v>
      </x:c>
      <x:c r="V325" s="11"/>
      <x:c r="W325" s="9" t="str">
        <x:v>Local brainstorming from author request for grounded raw materials October 14, 2026. These candidates are not claims retrieved from the lore repository.</x:v>
      </x:c>
      <x:c r="X325" s="4" t="str">
        <x:v>Raw material</x:v>
      </x:c>
      <x:c r="Y325" s="4" t="str">
        <x:v>Raw</x:v>
      </x:c>
      <x:c r="Z325" s="4" t="str">
        <x:v>Fauna</x:v>
      </x:c>
      <x:c r="AA325" s="4" t="str">
        <x:v>Fabrication</x:v>
      </x:c>
      <x:c r="AB325" s="4" t="str">
        <x:v>Faunal hard tissue</x:v>
      </x:c>
      <x:c r="AC325" s="4" t="str">
        <x:v>Shell plate</x:v>
      </x:c>
      <x:c r="AD325" s="4" t="str">
        <x:v>Proposal</x:v>
      </x:c>
      <x:c r="AE325" s="4" t="str">
        <x:f>LOWER(A325&amp;"; "&amp;B325&amp;"; "&amp;D325&amp;"; "&amp;E325&amp;"; "&amp;X325&amp;"; "&amp;Y325&amp;"; "&amp;Z325&amp;"; "&amp;AA325&amp;"; "&amp;AB325&amp;"; "&amp;AC325&amp;"; "&amp;AD325&amp;"; "&amp;V325&amp;"; "&amp;C325&amp;"; "&amp;AH325&amp;"; "&amp;AI325)</x:f>
        <x:v>proposal.raw.brood_casing; empty brood casings; biological resources; faunal hard-part feedstock; raw material; raw; fauna; fabrication; faunal hard tissue; shell plate; proposal; ; t0; not applicable; material</x:v>
      </x:c>
      <x:c r="AF325" s="4" t="str">
        <x:v>Specific raw form and candidate uses are proposals; no automatic biological function, chemistry, deposit or crafting capability. Lore category review: Resources -&gt; Biological resources. Classification only; original item status and tier retained.</x:v>
      </x:c>
      <x:c r="AG325" s="4" t="str">
        <x:v>Raw gathered/recovered craft input under the author T0 framework. This does not imply a naturally occurring pure metal.</x:v>
      </x:c>
      <x:c r="AH325" s="4" t="str">
        <x:v>Not applicable</x:v>
      </x:c>
      <x:c r="AI325" s="4" t="str">
        <x:v>Material</x:v>
      </x:c>
      <x:c r="AJ325" s="4" t="n">
        <x:f>COUNTIFS('Material routes'!$D$6:$D$2205,A325,'Material routes'!$C$6:$C$2205,"Output")</x:f>
        <x:v>0</x:v>
      </x:c>
      <x:c r="AK325" s="4" t="n">
        <x:f>SUM(COUNTIFS('Material routes'!$D$6:$D$2205,A325,'Material routes'!$C$6:$C$2205,"Ingredient candidate"),COUNTIFS('Material routes'!$D$6:$D$2205,A325,'Material routes'!$C$6:$C$2205,"Consumed input"),COUNTIFS('Material routes'!$D$6:$D$2205,A325,'Material routes'!$C$6:$C$2205,"Contained input"),COUNTIFS('Material routes'!$D$6:$D$2205,A325,'Material routes'!$C$6:$C$2205,"Transform input"))</x:f>
        <x:v>1</x:v>
      </x:c>
      <x:c r="AL325" s="4" t="n">
        <x:f>COUNTIFS('Material routes'!$D$6:$D$2205,A325,'Material routes'!$C$6:$C$2205,"Tool candidate")</x:f>
        <x:v>0</x:v>
      </x:c>
      <x:c r="AM325" s="4" t="str">
        <x:f>IF(AJ325&gt;0,"Route listed; review status/completeness",IF(C325="T0","Raw entry feed; no production route","No production route listed"))</x:f>
        <x:v>Raw entry feed; no production route</x:v>
      </x:c>
      <x:c r="AN325" s="14" t="n">
        <x:f>IF(C325="T0",0,IF(C325="T1",1,IF(C325="T2",2,IF(C325="T3",3,IF(C325="T4",4,IF(C325="Unassigned",98,99))))))</x:f>
        <x:v>0</x:v>
      </x:c>
      <x:c r="AZ325"/>
      <x:c r="BA325"/>
      <x:c r="BB325"/>
      <x:c r="BC325"/>
      <x:c r="BD325"/>
      <x:c r="BE325"/>
      <x:c r="BF325"/>
      <x:c r="BG325"/>
      <x:c r="BH325"/>
      <x:c r="BI325"/>
      <x:c r="BJ325"/>
      <x:c r="BK325"/>
      <x:c r="BL325"/>
      <x:c r="BM325"/>
      <x:c r="BN325"/>
      <x:c r="BO325"/>
      <x:c r="BP325"/>
      <x:c r="BQ325"/>
      <x:c r="BR325"/>
      <x:c r="BS325"/>
      <x:c r="BT325"/>
      <x:c r="BU325"/>
      <x:c r="BV325"/>
      <x:c r="BW325"/>
      <x:c r="BX325"/>
      <x:c r="BY325"/>
      <x:c r="BZ325"/>
      <x:c r="CA325"/>
      <x:c r="CB325"/>
      <x:c r="CC325"/>
    </x:row>
    <x:row r="326" ht="110" customHeight="1">
      <x:c r="A326" s="9" t="str">
        <x:v>proposal.raw.antenna_sheath</x:v>
      </x:c>
      <x:c r="B326" s="9" t="str">
        <x:v>Empty antenna sheaths</x:v>
      </x:c>
      <x:c r="C326" s="4" t="str">
        <x:v>T0</x:v>
      </x:c>
      <x:c r="D326" s="9" t="str">
        <x:v>Biological resources</x:v>
      </x:c>
      <x:c r="E326" s="9" t="str">
        <x:v>Faunal hard-part feedstock</x:v>
      </x:c>
      <x:c r="F326" s="9" t="str">
        <x:v>New proposal</x:v>
      </x:c>
      <x:c r="G326" s="9" t="inlineStr">
        <x:is>
          <x:t xml:space="preserve">Empty antenna sheaths proposed as small hollow hard-part blanks. Their form suggests sleeves or fitted covers, subject to source anatomy, condition and useful dimensions.</x:t>
        </x:is>
      </x:c>
      <x:c r="H326" s="9" t="str">
        <x:v>None</x:v>
      </x:c>
      <x:c r="I326" s="9" t="str">
        <x:v>Gathered raw/salvage cargo: Legger or local storage; policy TBD</x:v>
      </x:c>
      <x:c r="J326" s="13"/>
      <x:c r="K326" s="15"/>
      <x:c r="L326" s="9" t="str">
        <x:v>Hollow hard outer sections from selected antenna-bearing fauna</x:v>
      </x:c>
      <x:c r="M326" s="9" t="str">
        <x:v>Trim candidate small housings or protective sleeves; no recipe or yield authored.</x:v>
      </x:c>
      <x:c r="N326" s="9" t="str">
        <x:v>Not implemented</x:v>
      </x:c>
      <x:c r="O326" s="9" t="str">
        <x:v>Exact species, hollowness and strength require design; no live sensory capability carried with the scrap.</x:v>
      </x:c>
      <x:c r="P326" s="17"/>
      <x:c r="Q326" s="17"/>
      <x:c r="R326" s="17"/>
      <x:c r="S326" s="17"/>
      <x:c r="T326" s="17"/>
      <x:c r="U326" s="9" t="str">
        <x:v>New raw-material proposal; collection, processing grade, mass, trade value and host compatibility undecided. Existing broad resources are reused rather than replaced.</x:v>
      </x:c>
      <x:c r="V326" s="11"/>
      <x:c r="W326" s="9" t="str">
        <x:v>Local brainstorming from author request for grounded raw materials October 14, 2026. These candidates are not claims retrieved from the lore repository.</x:v>
      </x:c>
      <x:c r="X326" s="4" t="str">
        <x:v>Raw material</x:v>
      </x:c>
      <x:c r="Y326" s="4" t="str">
        <x:v>Raw</x:v>
      </x:c>
      <x:c r="Z326" s="4" t="str">
        <x:v>Fauna</x:v>
      </x:c>
      <x:c r="AA326" s="4" t="str">
        <x:v>Fabrication</x:v>
      </x:c>
      <x:c r="AB326" s="4" t="str">
        <x:v>Faunal hard tissue</x:v>
      </x:c>
      <x:c r="AC326" s="4" t="str">
        <x:v>Solid piece</x:v>
      </x:c>
      <x:c r="AD326" s="4" t="str">
        <x:v>Proposal</x:v>
      </x:c>
      <x:c r="AE326" s="4" t="str">
        <x:f>LOWER(A326&amp;"; "&amp;B326&amp;"; "&amp;D326&amp;"; "&amp;E326&amp;"; "&amp;X326&amp;"; "&amp;Y326&amp;"; "&amp;Z326&amp;"; "&amp;AA326&amp;"; "&amp;AB326&amp;"; "&amp;AC326&amp;"; "&amp;AD326&amp;"; "&amp;V326&amp;"; "&amp;C326&amp;"; "&amp;AH326&amp;"; "&amp;AI326)</x:f>
        <x:v>proposal.raw.antenna_sheath; empty antenna sheaths; biological resources; faunal hard-part feedstock; raw material; raw; fauna; fabrication; faunal hard tissue; solid piece; proposal; ; t0; not applicable; material</x:v>
      </x:c>
      <x:c r="AF326" s="4" t="str">
        <x:v>Specific raw form and candidate uses are proposals; no automatic biological function, chemistry, deposit or crafting capability. Lore category review: Resources -&gt; Biological resources. Classification only; original item status and tier retained.</x:v>
      </x:c>
      <x:c r="AG326" s="4" t="str">
        <x:v>Raw gathered/recovered craft input under the author T0 framework. This does not imply a naturally occurring pure metal.</x:v>
      </x:c>
      <x:c r="AH326" s="4" t="str">
        <x:v>Not applicable</x:v>
      </x:c>
      <x:c r="AI326" s="4" t="str">
        <x:v>Material</x:v>
      </x:c>
      <x:c r="AJ326" s="4" t="n">
        <x:f>COUNTIFS('Material routes'!$D$6:$D$2205,A326,'Material routes'!$C$6:$C$2205,"Output")</x:f>
        <x:v>0</x:v>
      </x:c>
      <x:c r="AK326" s="4" t="n">
        <x:f>SUM(COUNTIFS('Material routes'!$D$6:$D$2205,A326,'Material routes'!$C$6:$C$2205,"Ingredient candidate"),COUNTIFS('Material routes'!$D$6:$D$2205,A326,'Material routes'!$C$6:$C$2205,"Consumed input"),COUNTIFS('Material routes'!$D$6:$D$2205,A326,'Material routes'!$C$6:$C$2205,"Contained input"),COUNTIFS('Material routes'!$D$6:$D$2205,A326,'Material routes'!$C$6:$C$2205,"Transform input"))</x:f>
        <x:v>0</x:v>
      </x:c>
      <x:c r="AL326" s="4" t="n">
        <x:f>COUNTIFS('Material routes'!$D$6:$D$2205,A326,'Material routes'!$C$6:$C$2205,"Tool candidate")</x:f>
        <x:v>0</x:v>
      </x:c>
      <x:c r="AM326" s="4" t="str">
        <x:f>IF(AJ326&gt;0,"Route listed; review status/completeness",IF(C326="T0","Raw entry feed; no production route","No production route listed"))</x:f>
        <x:v>Raw entry feed; no production route</x:v>
      </x:c>
      <x:c r="AN326" s="14" t="n">
        <x:f>IF(C326="T0",0,IF(C326="T1",1,IF(C326="T2",2,IF(C326="T3",3,IF(C326="T4",4,IF(C326="Unassigned",98,99))))))</x:f>
        <x:v>0</x:v>
      </x:c>
      <x:c r="AZ326"/>
      <x:c r="BA326"/>
      <x:c r="BB326"/>
      <x:c r="BC326"/>
      <x:c r="BD326"/>
      <x:c r="BE326"/>
      <x:c r="BF326"/>
      <x:c r="BG326"/>
      <x:c r="BH326"/>
      <x:c r="BI326"/>
      <x:c r="BJ326"/>
      <x:c r="BK326"/>
      <x:c r="BL326"/>
      <x:c r="BM326"/>
      <x:c r="BN326"/>
      <x:c r="BO326"/>
      <x:c r="BP326"/>
      <x:c r="BQ326"/>
      <x:c r="BR326"/>
      <x:c r="BS326"/>
      <x:c r="BT326"/>
      <x:c r="BU326"/>
      <x:c r="BV326"/>
      <x:c r="BW326"/>
      <x:c r="BX326"/>
      <x:c r="BY326"/>
      <x:c r="BZ326"/>
      <x:c r="CA326"/>
      <x:c r="CB326"/>
      <x:c r="CC326"/>
    </x:row>
    <x:row r="327" ht="110" customHeight="1">
      <x:c r="A327" s="9" t="str">
        <x:v>proposal.raw.wing_ribs</x:v>
      </x:c>
      <x:c r="B327" s="9" t="str">
        <x:v>Insectoid wing ribs</x:v>
      </x:c>
      <x:c r="C327" s="4" t="str">
        <x:v>T0</x:v>
      </x:c>
      <x:c r="D327" s="9" t="str">
        <x:v>Biological resources</x:v>
      </x:c>
      <x:c r="E327" s="9" t="str">
        <x:v>Faunal hard-part feedstock</x:v>
      </x:c>
      <x:c r="F327" s="9" t="str">
        <x:v>New proposal</x:v>
      </x:c>
      <x:c r="G327" s="9" t="inlineStr">
        <x:is>
          <x:t xml:space="preserve">Rigid insectoid wing supports proposed as slender fabrication blanks. Their existing shape may reduce shaping work for a matched part, but species, size and load-bearing suitability remain open.</x:t>
        </x:is>
      </x:c>
      <x:c r="H327" s="9" t="str">
        <x:v>None</x:v>
      </x:c>
      <x:c r="I327" s="9" t="str">
        <x:v>Gathered raw/salvage cargo: Legger or local storage; policy TBD</x:v>
      </x:c>
      <x:c r="J327" s="13"/>
      <x:c r="K327" s="15"/>
      <x:c r="L327" s="9" t="str">
        <x:v>Supporting rib pieces separated from suitable insectoid wings</x:v>
      </x:c>
      <x:c r="M327" s="9" t="str">
        <x:v>Select small strut or frame candidates; no recipe or yield authored.</x:v>
      </x:c>
      <x:c r="N327" s="9" t="str">
        <x:v>Not implemented</x:v>
      </x:c>
      <x:c r="O327" s="9" t="str">
        <x:v>Separate from existing delicate inner-wing membranes. Usable length and structural grade are not established.</x:v>
      </x:c>
      <x:c r="P327" s="17"/>
      <x:c r="Q327" s="17"/>
      <x:c r="R327" s="17"/>
      <x:c r="S327" s="17"/>
      <x:c r="T327" s="17"/>
      <x:c r="U327" s="9" t="str">
        <x:v>New raw-material proposal; collection, processing grade, mass, trade value and host compatibility undecided. Existing broad resources are reused rather than replaced.</x:v>
      </x:c>
      <x:c r="V327" s="11" t="str">
        <x:v>equipment fabrication</x:v>
      </x:c>
      <x:c r="W327" s="9" t="str">
        <x:v>Local brainstorming from author request for grounded raw materials October 14, 2026. These candidates are not claims retrieved from the lore repository.</x:v>
      </x:c>
      <x:c r="X327" s="4" t="str">
        <x:v>Raw material</x:v>
      </x:c>
      <x:c r="Y327" s="4" t="str">
        <x:v>Raw</x:v>
      </x:c>
      <x:c r="Z327" s="4" t="str">
        <x:v>Fauna</x:v>
      </x:c>
      <x:c r="AA327" s="4" t="str">
        <x:v>Fabrication</x:v>
      </x:c>
      <x:c r="AB327" s="4" t="str">
        <x:v>Faunal hard tissue</x:v>
      </x:c>
      <x:c r="AC327" s="4" t="str">
        <x:v>Solid piece</x:v>
      </x:c>
      <x:c r="AD327" s="4" t="str">
        <x:v>Proposal</x:v>
      </x:c>
      <x:c r="AE327" s="4" t="str">
        <x:f>LOWER(A327&amp;"; "&amp;B327&amp;"; "&amp;D327&amp;"; "&amp;E327&amp;"; "&amp;X327&amp;"; "&amp;Y327&amp;"; "&amp;Z327&amp;"; "&amp;AA327&amp;"; "&amp;AB327&amp;"; "&amp;AC327&amp;"; "&amp;AD327&amp;"; "&amp;V327&amp;"; "&amp;C327&amp;"; "&amp;AH327&amp;"; "&amp;AI327)</x:f>
        <x:v>proposal.raw.wing_ribs; insectoid wing ribs; biological resources; faunal hard-part feedstock; raw material; raw; fauna; fabrication; faunal hard tissue; solid piece; proposal; equipment fabrication; t0; not applicable; material</x:v>
      </x:c>
      <x:c r="AF327" s="4" t="str">
        <x:v>Specific raw form and candidate uses are proposals; no automatic biological function, chemistry, deposit or crafting capability. Lore category review: Resources -&gt; Biological resources. Classification only; original item status and tier retained.</x:v>
      </x:c>
      <x:c r="AG327" s="4" t="str">
        <x:v>Raw gathered/recovered craft input under the author T0 framework. This does not imply a naturally occurring pure metal.</x:v>
      </x:c>
      <x:c r="AH327" s="4" t="str">
        <x:v>Not applicable</x:v>
      </x:c>
      <x:c r="AI327" s="4" t="str">
        <x:v>Material</x:v>
      </x:c>
      <x:c r="AJ327" s="4" t="n">
        <x:f>COUNTIFS('Material routes'!$D$6:$D$2205,A327,'Material routes'!$C$6:$C$2205,"Output")</x:f>
        <x:v>0</x:v>
      </x:c>
      <x:c r="AK327" s="4" t="n">
        <x:f>SUM(COUNTIFS('Material routes'!$D$6:$D$2205,A327,'Material routes'!$C$6:$C$2205,"Ingredient candidate"),COUNTIFS('Material routes'!$D$6:$D$2205,A327,'Material routes'!$C$6:$C$2205,"Consumed input"),COUNTIFS('Material routes'!$D$6:$D$2205,A327,'Material routes'!$C$6:$C$2205,"Contained input"),COUNTIFS('Material routes'!$D$6:$D$2205,A327,'Material routes'!$C$6:$C$2205,"Transform input"))</x:f>
        <x:v>1</x:v>
      </x:c>
      <x:c r="AL327" s="4" t="n">
        <x:f>COUNTIFS('Material routes'!$D$6:$D$2205,A327,'Material routes'!$C$6:$C$2205,"Tool candidate")</x:f>
        <x:v>0</x:v>
      </x:c>
      <x:c r="AM327" s="4" t="str">
        <x:f>IF(AJ327&gt;0,"Route listed; review status/completeness",IF(C327="T0","Raw entry feed; no production route","No production route listed"))</x:f>
        <x:v>Raw entry feed; no production route</x:v>
      </x:c>
      <x:c r="AN327" s="14" t="n">
        <x:f>IF(C327="T0",0,IF(C327="T1",1,IF(C327="T2",2,IF(C327="T3",3,IF(C327="T4",4,IF(C327="Unassigned",98,99))))))</x:f>
        <x:v>0</x:v>
      </x:c>
      <x:c r="AZ327"/>
      <x:c r="BA327"/>
      <x:c r="BB327"/>
      <x:c r="BC327"/>
      <x:c r="BD327"/>
      <x:c r="BE327"/>
      <x:c r="BF327"/>
      <x:c r="BG327"/>
      <x:c r="BH327"/>
      <x:c r="BI327"/>
      <x:c r="BJ327"/>
      <x:c r="BK327"/>
      <x:c r="BL327"/>
      <x:c r="BM327"/>
      <x:c r="BN327"/>
      <x:c r="BO327"/>
      <x:c r="BP327"/>
      <x:c r="BQ327"/>
      <x:c r="BR327"/>
      <x:c r="BS327"/>
      <x:c r="BT327"/>
      <x:c r="BU327"/>
      <x:c r="BV327"/>
      <x:c r="BW327"/>
      <x:c r="BX327"/>
      <x:c r="BY327"/>
      <x:c r="BZ327"/>
      <x:c r="CA327"/>
      <x:c r="CB327"/>
      <x:c r="CC327"/>
    </x:row>
    <x:row r="328" ht="110" customHeight="1">
      <x:c r="A328" s="9" t="str">
        <x:v>proposal.raw.ceramic_shards</x:v>
      </x:c>
      <x:c r="B328" s="9" t="str">
        <x:v>Broken ceramic shards</x:v>
      </x:c>
      <x:c r="C328" s="4" t="str">
        <x:v>T0</x:v>
      </x:c>
      <x:c r="D328" s="9" t="inlineStr">
        <x:is>
          <x:t xml:space="preserve">Salvage</x:t>
        </x:is>
      </x:c>
      <x:c r="E328" s="9" t="str">
        <x:v>Salvaged feedstock</x:v>
      </x:c>
      <x:c r="F328" s="9" t="str">
        <x:v>New proposal</x:v>
      </x:c>
      <x:c r="G328" s="9" t="inlineStr">
        <x:is>
          <x:t xml:space="preserve">Broken ceramic pieces collected as secondary mineral feed. Sorting separates useful fragments for possible ceramic processing or material recovery; a broken vessel is not restored by collecting its shards.</x:t>
        </x:is>
      </x:c>
      <x:c r="H328" s="9" t="str">
        <x:v>None</x:v>
      </x:c>
      <x:c r="I328" s="9" t="str">
        <x:v>Gathered raw/salvage cargo: Legger or local storage; policy TBD</x:v>
      </x:c>
      <x:c r="J328" s="13"/>
      <x:c r="K328" s="15"/>
      <x:c r="L328" s="9" t="str">
        <x:v>Discarded vessels, tiles and identified ceramic parts</x:v>
      </x:c>
      <x:c r="M328" s="9" t="str">
        <x:v>Sort and crush suitable shards into existing ceramic grit/grog; no recipe or yield authored.</x:v>
      </x:c>
      <x:c r="N328" s="9" t="str">
        <x:v>Not implemented</x:v>
      </x:c>
      <x:c r="O328" s="9" t="str">
        <x:v>Unknown coatings and residues can disqualify pieces. Unprocessed shards differ from prepared crushed grog.</x:v>
      </x:c>
      <x:c r="P328" s="17"/>
      <x:c r="Q328" s="17"/>
      <x:c r="R328" s="17"/>
      <x:c r="S328" s="17"/>
      <x:c r="T328" s="17"/>
      <x:c r="U328" s="9" t="str">
        <x:v>New raw-material proposal; collection, processing grade, mass, trade value and host compatibility undecided. Existing broad resources are reused rather than replaced.</x:v>
      </x:c>
      <x:c r="V328" s="11"/>
      <x:c r="W328" s="9" t="str">
        <x:v>Local brainstorming from author request for grounded raw materials October 14, 2026. These candidates are not claims retrieved from the lore repository.</x:v>
      </x:c>
      <x:c r="X328" s="4" t="str">
        <x:v>Raw material</x:v>
      </x:c>
      <x:c r="Y328" s="4" t="str">
        <x:v>Recovered material</x:v>
      </x:c>
      <x:c r="Z328" s="4" t="str">
        <x:v>Industrial salvage</x:v>
      </x:c>
      <x:c r="AA328" s="4" t="str">
        <x:v>Glass and ceramics</x:v>
      </x:c>
      <x:c r="AB328" s="4" t="str">
        <x:v>Ceramic</x:v>
      </x:c>
      <x:c r="AC328" s="4" t="str">
        <x:v>Solid piece</x:v>
      </x:c>
      <x:c r="AD328" s="4" t="str">
        <x:v>Proposal</x:v>
      </x:c>
      <x:c r="AE328" s="4" t="str">
        <x:f>LOWER(A328&amp;"; "&amp;B328&amp;"; "&amp;D328&amp;"; "&amp;E328&amp;"; "&amp;X328&amp;"; "&amp;Y328&amp;"; "&amp;Z328&amp;"; "&amp;AA328&amp;"; "&amp;AB328&amp;"; "&amp;AC328&amp;"; "&amp;AD328&amp;"; "&amp;V328&amp;"; "&amp;C328&amp;"; "&amp;AH328&amp;"; "&amp;AI328)</x:f>
        <x:v>proposal.raw.ceramic_shards; broken ceramic shards; salvage; salvaged feedstock; raw material; recovered material; industrial salvage; glass and ceramics; ceramic; solid piece; proposal; ; t0; not applicable; material</x:v>
      </x:c>
      <x:c r="AF328" s="4" t="str">
        <x:v>Specific raw form and candidate uses are proposals; no automatic biological function, chemistry, deposit or crafting capability. Lore category review: Resources -&gt; Salvage feedstock. Classification only; original item status and tier retained.</x:v>
      </x:c>
      <x:c r="AG328" s="4" t="str">
        <x:v>Raw gathered/recovered craft input under the author T0 framework. This does not imply a naturally occurring pure metal.</x:v>
      </x:c>
      <x:c r="AH328" s="4" t="str">
        <x:v>Not applicable</x:v>
      </x:c>
      <x:c r="AI328" s="4" t="str">
        <x:v>Material</x:v>
      </x:c>
      <x:c r="AJ328" s="4" t="n">
        <x:f>COUNTIFS('Material routes'!$D$6:$D$2205,A328,'Material routes'!$C$6:$C$2205,"Output")</x:f>
        <x:v>0</x:v>
      </x:c>
      <x:c r="AK328" s="4" t="n">
        <x:f>SUM(COUNTIFS('Material routes'!$D$6:$D$2205,A328,'Material routes'!$C$6:$C$2205,"Ingredient candidate"),COUNTIFS('Material routes'!$D$6:$D$2205,A328,'Material routes'!$C$6:$C$2205,"Consumed input"),COUNTIFS('Material routes'!$D$6:$D$2205,A328,'Material routes'!$C$6:$C$2205,"Contained input"),COUNTIFS('Material routes'!$D$6:$D$2205,A328,'Material routes'!$C$6:$C$2205,"Transform input"))</x:f>
        <x:v>1</x:v>
      </x:c>
      <x:c r="AL328" s="4" t="n">
        <x:f>COUNTIFS('Material routes'!$D$6:$D$2205,A328,'Material routes'!$C$6:$C$2205,"Tool candidate")</x:f>
        <x:v>0</x:v>
      </x:c>
      <x:c r="AM328" s="4" t="str">
        <x:f>IF(AJ328&gt;0,"Route listed; review status/completeness",IF(C328="T0","Raw entry feed; no production route","No production route listed"))</x:f>
        <x:v>Raw entry feed; no production route</x:v>
      </x:c>
      <x:c r="AN328" s="14" t="n">
        <x:f>IF(C328="T0",0,IF(C328="T1",1,IF(C328="T2",2,IF(C328="T3",3,IF(C328="T4",4,IF(C328="Unassigned",98,99))))))</x:f>
        <x:v>0</x:v>
      </x:c>
      <x:c r="AZ328"/>
      <x:c r="BA328"/>
      <x:c r="BB328"/>
      <x:c r="BC328"/>
      <x:c r="BD328"/>
      <x:c r="BE328"/>
      <x:c r="BF328"/>
      <x:c r="BG328"/>
      <x:c r="BH328"/>
      <x:c r="BI328"/>
      <x:c r="BJ328"/>
      <x:c r="BK328"/>
      <x:c r="BL328"/>
      <x:c r="BM328"/>
      <x:c r="BN328"/>
      <x:c r="BO328"/>
      <x:c r="BP328"/>
      <x:c r="BQ328"/>
      <x:c r="BR328"/>
      <x:c r="BS328"/>
      <x:c r="BT328"/>
      <x:c r="BU328"/>
      <x:c r="BV328"/>
      <x:c r="BW328"/>
      <x:c r="BX328"/>
      <x:c r="BY328"/>
      <x:c r="BZ328"/>
      <x:c r="CA328"/>
      <x:c r="CB328"/>
      <x:c r="CC328"/>
    </x:row>
    <x:row r="329" ht="110" customHeight="1">
      <x:c r="A329" s="9" t="str">
        <x:v>proposal.raw.glass_shards</x:v>
      </x:c>
      <x:c r="B329" s="9" t="str">
        <x:v>Broken glass pieces</x:v>
      </x:c>
      <x:c r="C329" s="4" t="str">
        <x:v>T0</x:v>
      </x:c>
      <x:c r="D329" s="9" t="inlineStr">
        <x:is>
          <x:t xml:space="preserve">Salvage</x:t>
        </x:is>
      </x:c>
      <x:c r="E329" s="9" t="str">
        <x:v>Salvaged feedstock</x:v>
      </x:c>
      <x:c r="F329" s="9" t="str">
        <x:v>New proposal</x:v>
      </x:c>
      <x:c r="G329" s="9" t="inlineStr">
        <x:is>
          <x:t xml:space="preserve">Broken glass pieces collected for selection and possible glassworking feed. Color, composition and contamination must be checked before pieces can be combined into a controlled remelt batch.</x:t>
        </x:is>
      </x:c>
      <x:c r="H329" s="9" t="str">
        <x:v>None</x:v>
      </x:c>
      <x:c r="I329" s="9" t="str">
        <x:v>Gathered raw/salvage cargo: Legger or local storage; policy TBD</x:v>
      </x:c>
      <x:c r="J329" s="13"/>
      <x:c r="K329" s="15"/>
      <x:c r="L329" s="9" t="str">
        <x:v>Broken identified glass containers or panes</x:v>
      </x:c>
      <x:c r="M329" s="9" t="str">
        <x:v>Sort compatible glass feed for a future remelting route; no recipe or yield authored.</x:v>
      </x:c>
      <x:c r="N329" s="9" t="str">
        <x:v>Not implemented</x:v>
      </x:c>
      <x:c r="O329" s="9" t="str">
        <x:v>Mixed glass, dirt and chemical contamination need identification; no guaranteed clear-glass or optical output.</x:v>
      </x:c>
      <x:c r="P329" s="17"/>
      <x:c r="Q329" s="17"/>
      <x:c r="R329" s="17"/>
      <x:c r="S329" s="17"/>
      <x:c r="T329" s="17"/>
      <x:c r="U329" s="9" t="str">
        <x:v>New raw-material proposal; collection, processing grade, mass, trade value and host compatibility undecided. Existing broad resources are reused rather than replaced.</x:v>
      </x:c>
      <x:c r="V329" s="11"/>
      <x:c r="W329" s="9" t="str">
        <x:v>Local brainstorming from author request for grounded raw materials October 14, 2026. These candidates are not claims retrieved from the lore repository.</x:v>
      </x:c>
      <x:c r="X329" s="4" t="str">
        <x:v>Raw material</x:v>
      </x:c>
      <x:c r="Y329" s="4" t="str">
        <x:v>Recovered material</x:v>
      </x:c>
      <x:c r="Z329" s="4" t="str">
        <x:v>Industrial salvage</x:v>
      </x:c>
      <x:c r="AA329" s="4" t="str">
        <x:v>Glass and ceramics</x:v>
      </x:c>
      <x:c r="AB329" s="4" t="str">
        <x:v>Glass</x:v>
      </x:c>
      <x:c r="AC329" s="4" t="str">
        <x:v>Solid piece</x:v>
      </x:c>
      <x:c r="AD329" s="4" t="str">
        <x:v>Proposal</x:v>
      </x:c>
      <x:c r="AE329" s="4" t="str">
        <x:f>LOWER(A329&amp;"; "&amp;B329&amp;"; "&amp;D329&amp;"; "&amp;E329&amp;"; "&amp;X329&amp;"; "&amp;Y329&amp;"; "&amp;Z329&amp;"; "&amp;AA329&amp;"; "&amp;AB329&amp;"; "&amp;AC329&amp;"; "&amp;AD329&amp;"; "&amp;V329&amp;"; "&amp;C329&amp;"; "&amp;AH329&amp;"; "&amp;AI329)</x:f>
        <x:v>proposal.raw.glass_shards; broken glass pieces; salvage; salvaged feedstock; raw material; recovered material; industrial salvage; glass and ceramics; glass; solid piece; proposal; ; t0; not applicable; material</x:v>
      </x:c>
      <x:c r="AF329" s="4" t="str">
        <x:v>Specific raw form and candidate uses are proposals; no automatic biological function, chemistry, deposit or crafting capability. Lore category review: Resources -&gt; Salvage feedstock. Classification only; original item status and tier retained.</x:v>
      </x:c>
      <x:c r="AG329" s="4" t="str">
        <x:v>Raw gathered/recovered craft input under the author T0 framework. This does not imply a naturally occurring pure metal.</x:v>
      </x:c>
      <x:c r="AH329" s="4" t="str">
        <x:v>Not applicable</x:v>
      </x:c>
      <x:c r="AI329" s="4" t="str">
        <x:v>Material</x:v>
      </x:c>
      <x:c r="AJ329" s="4" t="n">
        <x:f>COUNTIFS('Material routes'!$D$6:$D$2205,A329,'Material routes'!$C$6:$C$2205,"Output")</x:f>
        <x:v>0</x:v>
      </x:c>
      <x:c r="AK329" s="4" t="n">
        <x:f>SUM(COUNTIFS('Material routes'!$D$6:$D$2205,A329,'Material routes'!$C$6:$C$2205,"Ingredient candidate"),COUNTIFS('Material routes'!$D$6:$D$2205,A329,'Material routes'!$C$6:$C$2205,"Consumed input"),COUNTIFS('Material routes'!$D$6:$D$2205,A329,'Material routes'!$C$6:$C$2205,"Contained input"),COUNTIFS('Material routes'!$D$6:$D$2205,A329,'Material routes'!$C$6:$C$2205,"Transform input"))</x:f>
        <x:v>1</x:v>
      </x:c>
      <x:c r="AL329" s="4" t="n">
        <x:f>COUNTIFS('Material routes'!$D$6:$D$2205,A329,'Material routes'!$C$6:$C$2205,"Tool candidate")</x:f>
        <x:v>0</x:v>
      </x:c>
      <x:c r="AM329" s="4" t="str">
        <x:f>IF(AJ329&gt;0,"Route listed; review status/completeness",IF(C329="T0","Raw entry feed; no production route","No production route listed"))</x:f>
        <x:v>Raw entry feed; no production route</x:v>
      </x:c>
      <x:c r="AN329" s="14" t="n">
        <x:f>IF(C329="T0",0,IF(C329="T1",1,IF(C329="T2",2,IF(C329="T3",3,IF(C329="T4",4,IF(C329="Unassigned",98,99))))))</x:f>
        <x:v>0</x:v>
      </x:c>
      <x:c r="AZ329"/>
      <x:c r="BA329"/>
      <x:c r="BB329"/>
      <x:c r="BC329"/>
      <x:c r="BD329"/>
      <x:c r="BE329"/>
      <x:c r="BF329"/>
      <x:c r="BG329"/>
      <x:c r="BH329"/>
      <x:c r="BI329"/>
      <x:c r="BJ329"/>
      <x:c r="BK329"/>
      <x:c r="BL329"/>
      <x:c r="BM329"/>
      <x:c r="BN329"/>
      <x:c r="BO329"/>
      <x:c r="BP329"/>
      <x:c r="BQ329"/>
      <x:c r="BR329"/>
      <x:c r="BS329"/>
      <x:c r="BT329"/>
      <x:c r="BU329"/>
      <x:c r="BV329"/>
      <x:c r="BW329"/>
      <x:c r="BX329"/>
      <x:c r="BY329"/>
      <x:c r="BZ329"/>
      <x:c r="CA329"/>
      <x:c r="CB329"/>
      <x:c r="CC329"/>
    </x:row>
    <x:row r="330" ht="110" customHeight="1">
      <x:c r="A330" s="9" t="str">
        <x:v>proposal.raw.spring_strips</x:v>
      </x:c>
      <x:c r="B330" s="9" t="str">
        <x:v>Salvaged spring-metal strips</x:v>
      </x:c>
      <x:c r="C330" s="4" t="str">
        <x:v>T0</x:v>
      </x:c>
      <x:c r="D330" s="9" t="inlineStr">
        <x:is>
          <x:t xml:space="preserve">Salvage</x:t>
        </x:is>
      </x:c>
      <x:c r="E330" s="9" t="str">
        <x:v>Salvaged feedstock</x:v>
      </x:c>
      <x:c r="F330" s="9" t="str">
        <x:v>New proposal</x:v>
      </x:c>
      <x:c r="G330" s="9" t="inlineStr">
        <x:is>
          <x:t xml:space="preserve">Strips of recovered spring metal proposed for small resilient fittings. Surviving spring behavior must be checked before reuse; damaged lengths may instead be recovered as metal feed.</x:t>
        </x:is>
      </x:c>
      <x:c r="H330" s="9" t="str">
        <x:v>None</x:v>
      </x:c>
      <x:c r="I330" s="9" t="str">
        <x:v>Gathered raw/salvage cargo: Legger or local storage; policy TBD</x:v>
      </x:c>
      <x:c r="J330" s="13"/>
      <x:c r="K330" s="15"/>
      <x:c r="L330" s="9" t="str">
        <x:v>Strips recovered from discarded spring assemblies</x:v>
      </x:c>
      <x:c r="M330" s="9" t="str">
        <x:v>Select suitable strips for a matched catch or spring-part blank; no recipe or yield authored.</x:v>
      </x:c>
      <x:c r="N330" s="9" t="str">
        <x:v>Not implemented</x:v>
      </x:c>
      <x:c r="O330" s="9" t="str">
        <x:v>Metal identity, fatigue and retained spring behavior unresolved; salvage does not grant production of spring alloys.</x:v>
      </x:c>
      <x:c r="P330" s="17"/>
      <x:c r="Q330" s="17"/>
      <x:c r="R330" s="17"/>
      <x:c r="S330" s="17"/>
      <x:c r="T330" s="17"/>
      <x:c r="U330" s="9" t="str">
        <x:v>New raw-material proposal; collection, processing grade, mass, trade value and host compatibility undecided. Existing broad resources are reused rather than replaced.</x:v>
      </x:c>
      <x:c r="V330" s="11" t="str">
        <x:v>equipment repair</x:v>
      </x:c>
      <x:c r="W330" s="9" t="str">
        <x:v>Local brainstorming from author request for grounded raw materials October 14, 2026. These candidates are not claims retrieved from the lore repository.</x:v>
      </x:c>
      <x:c r="X330" s="4" t="str">
        <x:v>Raw material</x:v>
      </x:c>
      <x:c r="Y330" s="4" t="str">
        <x:v>Recovered material</x:v>
      </x:c>
      <x:c r="Z330" s="4" t="str">
        <x:v>Industrial salvage</x:v>
      </x:c>
      <x:c r="AA330" s="4" t="str">
        <x:v>Equipment fabrication</x:v>
      </x:c>
      <x:c r="AB330" s="4" t="str">
        <x:v>Metal</x:v>
      </x:c>
      <x:c r="AC330" s="4" t="str">
        <x:v>Strip</x:v>
      </x:c>
      <x:c r="AD330" s="4" t="str">
        <x:v>Proposal</x:v>
      </x:c>
      <x:c r="AE330" s="4" t="str">
        <x:f>LOWER(A330&amp;"; "&amp;B330&amp;"; "&amp;D330&amp;"; "&amp;E330&amp;"; "&amp;X330&amp;"; "&amp;Y330&amp;"; "&amp;Z330&amp;"; "&amp;AA330&amp;"; "&amp;AB330&amp;"; "&amp;AC330&amp;"; "&amp;AD330&amp;"; "&amp;V330&amp;"; "&amp;C330&amp;"; "&amp;AH330&amp;"; "&amp;AI330)</x:f>
        <x:v>proposal.raw.spring_strips; salvaged spring-metal strips; salvage; salvaged feedstock; raw material; recovered material; industrial salvage; equipment fabrication; metal; strip; proposal; equipment repair; t0; not applicable; material</x:v>
      </x:c>
      <x:c r="AF330" s="4" t="str">
        <x:v>Specific raw form and candidate uses are proposals; no automatic biological function, chemistry, deposit or crafting capability. Lore category review: Resources -&gt; Salvage feedstock. Classification only; original item status and tier retained.</x:v>
      </x:c>
      <x:c r="AG330" s="4" t="str">
        <x:v>Raw gathered/recovered craft input under the author T0 framework. This does not imply a naturally occurring pure metal.</x:v>
      </x:c>
      <x:c r="AH330" s="4" t="str">
        <x:v>Not applicable</x:v>
      </x:c>
      <x:c r="AI330" s="4" t="str">
        <x:v>Material</x:v>
      </x:c>
      <x:c r="AJ330" s="4" t="n">
        <x:f>COUNTIFS('Material routes'!$D$6:$D$2205,A330,'Material routes'!$C$6:$C$2205,"Output")</x:f>
        <x:v>0</x:v>
      </x:c>
      <x:c r="AK330" s="4" t="n">
        <x:f>SUM(COUNTIFS('Material routes'!$D$6:$D$2205,A330,'Material routes'!$C$6:$C$2205,"Ingredient candidate"),COUNTIFS('Material routes'!$D$6:$D$2205,A330,'Material routes'!$C$6:$C$2205,"Consumed input"),COUNTIFS('Material routes'!$D$6:$D$2205,A330,'Material routes'!$C$6:$C$2205,"Contained input"),COUNTIFS('Material routes'!$D$6:$D$2205,A330,'Material routes'!$C$6:$C$2205,"Transform input"))</x:f>
        <x:v>0</x:v>
      </x:c>
      <x:c r="AL330" s="4" t="n">
        <x:f>COUNTIFS('Material routes'!$D$6:$D$2205,A330,'Material routes'!$C$6:$C$2205,"Tool candidate")</x:f>
        <x:v>0</x:v>
      </x:c>
      <x:c r="AM330" s="4" t="str">
        <x:f>IF(AJ330&gt;0,"Route listed; review status/completeness",IF(C330="T0","Raw entry feed; no production route","No production route listed"))</x:f>
        <x:v>Raw entry feed; no production route</x:v>
      </x:c>
      <x:c r="AN330" s="14" t="n">
        <x:f>IF(C330="T0",0,IF(C330="T1",1,IF(C330="T2",2,IF(C330="T3",3,IF(C330="T4",4,IF(C330="Unassigned",98,99))))))</x:f>
        <x:v>0</x:v>
      </x:c>
      <x:c r="AZ330"/>
      <x:c r="BA330"/>
      <x:c r="BB330"/>
      <x:c r="BC330"/>
      <x:c r="BD330"/>
      <x:c r="BE330"/>
      <x:c r="BF330"/>
      <x:c r="BG330"/>
      <x:c r="BH330"/>
      <x:c r="BI330"/>
      <x:c r="BJ330"/>
      <x:c r="BK330"/>
      <x:c r="BL330"/>
      <x:c r="BM330"/>
      <x:c r="BN330"/>
      <x:c r="BO330"/>
      <x:c r="BP330"/>
      <x:c r="BQ330"/>
      <x:c r="BR330"/>
      <x:c r="BS330"/>
      <x:c r="BT330"/>
      <x:c r="BU330"/>
      <x:c r="BV330"/>
      <x:c r="BW330"/>
      <x:c r="BX330"/>
      <x:c r="BY330"/>
      <x:c r="BZ330"/>
      <x:c r="CA330"/>
      <x:c r="CB330"/>
      <x:c r="CC330"/>
    </x:row>
    <x:row r="331" ht="110" customHeight="1">
      <x:c r="A331" s="9" t="str">
        <x:v>proposal.raw.metal_cable</x:v>
      </x:c>
      <x:c r="B331" s="9" t="str">
        <x:v>Salvaged metal cable</x:v>
      </x:c>
      <x:c r="C331" s="4" t="str">
        <x:v>T0</x:v>
      </x:c>
      <x:c r="D331" s="9" t="inlineStr">
        <x:is>
          <x:t xml:space="preserve">Salvage</x:t>
        </x:is>
      </x:c>
      <x:c r="E331" s="9" t="str">
        <x:v>Salvaged feedstock</x:v>
      </x:c>
      <x:c r="F331" s="9" t="str">
        <x:v>New proposal</x:v>
      </x:c>
      <x:c r="G331" s="9" t="inlineStr">
        <x:is>
          <x:t xml:space="preserve">Lengths of recovered metal cable proposed for tensioned connections and bindings. Fraying, corrosion, end fittings and load suitability determine whether a length can be reused.</x:t>
        </x:is>
      </x:c>
      <x:c r="H331" s="9" t="str">
        <x:v>None</x:v>
      </x:c>
      <x:c r="I331" s="9" t="str">
        <x:v>Gathered raw/salvage cargo: Legger or local storage; policy TBD</x:v>
      </x:c>
      <x:c r="J331" s="13"/>
      <x:c r="K331" s="15"/>
      <x:c r="L331" s="9" t="str">
        <x:v>Recovered stranded metal lengths from machinery or structures</x:v>
      </x:c>
      <x:c r="M331" s="9" t="str">
        <x:v>Sort, shorten and fit appropriate recovered cable; no recipe or yield authored.</x:v>
      </x:c>
      <x:c r="N331" s="9" t="str">
        <x:v>Not implemented</x:v>
      </x:c>
      <x:c r="O331" s="9" t="str">
        <x:v>Corrosion, broken strands, endpoints and usable load remain undefined. Reuse existing wire-bundle item for electrical wire.</x:v>
      </x:c>
      <x:c r="P331" s="17"/>
      <x:c r="Q331" s="17"/>
      <x:c r="R331" s="17"/>
      <x:c r="S331" s="17"/>
      <x:c r="T331" s="17"/>
      <x:c r="U331" s="9" t="str">
        <x:v>New raw-material proposal; collection, processing grade, mass, trade value and host compatibility undecided. Existing broad resources are reused rather than replaced.</x:v>
      </x:c>
      <x:c r="V331" s="11" t="str">
        <x:v>equipment mounting</x:v>
      </x:c>
      <x:c r="W331" s="9" t="str">
        <x:v>Local brainstorming from author request for grounded raw materials October 14, 2026. These candidates are not claims retrieved from the lore repository.</x:v>
      </x:c>
      <x:c r="X331" s="4" t="str">
        <x:v>Raw material</x:v>
      </x:c>
      <x:c r="Y331" s="4" t="str">
        <x:v>Recovered material</x:v>
      </x:c>
      <x:c r="Z331" s="4" t="str">
        <x:v>Industrial salvage</x:v>
      </x:c>
      <x:c r="AA331" s="4" t="str">
        <x:v>Binding and construction</x:v>
      </x:c>
      <x:c r="AB331" s="4" t="str">
        <x:v>Metal</x:v>
      </x:c>
      <x:c r="AC331" s="4" t="str">
        <x:v>Cord</x:v>
      </x:c>
      <x:c r="AD331" s="4" t="str">
        <x:v>Proposal</x:v>
      </x:c>
      <x:c r="AE331" s="4" t="str">
        <x:f>LOWER(A331&amp;"; "&amp;B331&amp;"; "&amp;D331&amp;"; "&amp;E331&amp;"; "&amp;X331&amp;"; "&amp;Y331&amp;"; "&amp;Z331&amp;"; "&amp;AA331&amp;"; "&amp;AB331&amp;"; "&amp;AC331&amp;"; "&amp;AD331&amp;"; "&amp;V331&amp;"; "&amp;C331&amp;"; "&amp;AH331&amp;"; "&amp;AI331)</x:f>
        <x:v>proposal.raw.metal_cable; salvaged metal cable; salvage; salvaged feedstock; raw material; recovered material; industrial salvage; binding and construction; metal; cord; proposal; equipment mounting; t0; not applicable; material</x:v>
      </x:c>
      <x:c r="AF331" s="4" t="str">
        <x:v>Specific raw form and candidate uses are proposals; no automatic biological function, chemistry, deposit or crafting capability. Lore category review: Resources -&gt; Salvage feedstock. Classification only; original item status and tier retained.</x:v>
      </x:c>
      <x:c r="AG331" s="4" t="str">
        <x:v>Raw gathered/recovered craft input under the author T0 framework. This does not imply a naturally occurring pure metal.</x:v>
      </x:c>
      <x:c r="AH331" s="4" t="str">
        <x:v>Not applicable</x:v>
      </x:c>
      <x:c r="AI331" s="4" t="str">
        <x:v>Material</x:v>
      </x:c>
      <x:c r="AJ331" s="4" t="n">
        <x:f>COUNTIFS('Material routes'!$D$6:$D$2205,A331,'Material routes'!$C$6:$C$2205,"Output")</x:f>
        <x:v>0</x:v>
      </x:c>
      <x:c r="AK331" s="4" t="n">
        <x:f>SUM(COUNTIFS('Material routes'!$D$6:$D$2205,A331,'Material routes'!$C$6:$C$2205,"Ingredient candidate"),COUNTIFS('Material routes'!$D$6:$D$2205,A331,'Material routes'!$C$6:$C$2205,"Consumed input"),COUNTIFS('Material routes'!$D$6:$D$2205,A331,'Material routes'!$C$6:$C$2205,"Contained input"),COUNTIFS('Material routes'!$D$6:$D$2205,A331,'Material routes'!$C$6:$C$2205,"Transform input"))</x:f>
        <x:v>1</x:v>
      </x:c>
      <x:c r="AL331" s="4" t="n">
        <x:f>COUNTIFS('Material routes'!$D$6:$D$2205,A331,'Material routes'!$C$6:$C$2205,"Tool candidate")</x:f>
        <x:v>0</x:v>
      </x:c>
      <x:c r="AM331" s="4" t="str">
        <x:f>IF(AJ331&gt;0,"Route listed; review status/completeness",IF(C331="T0","Raw entry feed; no production route","No production route listed"))</x:f>
        <x:v>Raw entry feed; no production route</x:v>
      </x:c>
      <x:c r="AN331" s="14" t="n">
        <x:f>IF(C331="T0",0,IF(C331="T1",1,IF(C331="T2",2,IF(C331="T3",3,IF(C331="T4",4,IF(C331="Unassigned",98,99))))))</x:f>
        <x:v>0</x:v>
      </x:c>
      <x:c r="AZ331"/>
      <x:c r="BA331"/>
      <x:c r="BB331"/>
      <x:c r="BC331"/>
      <x:c r="BD331"/>
      <x:c r="BE331"/>
      <x:c r="BF331"/>
      <x:c r="BG331"/>
      <x:c r="BH331"/>
      <x:c r="BI331"/>
      <x:c r="BJ331"/>
      <x:c r="BK331"/>
      <x:c r="BL331"/>
      <x:c r="BM331"/>
      <x:c r="BN331"/>
      <x:c r="BO331"/>
      <x:c r="BP331"/>
      <x:c r="BQ331"/>
      <x:c r="BR331"/>
      <x:c r="BS331"/>
      <x:c r="BT331"/>
      <x:c r="BU331"/>
      <x:c r="BV331"/>
      <x:c r="BW331"/>
      <x:c r="BX331"/>
      <x:c r="BY331"/>
      <x:c r="BZ331"/>
      <x:c r="CA331"/>
      <x:c r="CB331"/>
      <x:c r="CC331"/>
    </x:row>
    <x:row r="332" ht="110" customHeight="1">
      <x:c r="A332" s="9" t="str">
        <x:v>proposal.raw.metal_mesh</x:v>
      </x:c>
      <x:c r="B332" s="9" t="str">
        <x:v>Metal mesh scrap</x:v>
      </x:c>
      <x:c r="C332" s="4" t="str">
        <x:v>T0</x:v>
      </x:c>
      <x:c r="D332" s="9" t="inlineStr">
        <x:is>
          <x:t xml:space="preserve">Salvage</x:t>
        </x:is>
      </x:c>
      <x:c r="E332" s="9" t="str">
        <x:v>Salvaged feedstock</x:v>
      </x:c>
      <x:c r="F332" s="9" t="str">
        <x:v>New proposal</x:v>
      </x:c>
      <x:c r="G332" s="9" t="inlineStr">
        <x:is>
          <x:t xml:space="preserve">Open metal mesh recovered as scrap. It offers candidate screening, retaining or reinforcement material where its aperture, alloy and remaining condition suit the intended assembly.</x:t>
        </x:is>
      </x:c>
      <x:c r="H332" s="9" t="str">
        <x:v>None</x:v>
      </x:c>
      <x:c r="I332" s="9" t="str">
        <x:v>Gathered raw/salvage cargo: Legger or local storage; policy TBD</x:v>
      </x:c>
      <x:c r="J332" s="13"/>
      <x:c r="K332" s="15"/>
      <x:c r="L332" s="9" t="str">
        <x:v>Damaged screens, grilles and industrial mesh</x:v>
      </x:c>
      <x:c r="M332" s="9" t="str">
        <x:v>Cut candidate guards, coarse screens or dry-sorting inserts; no recipe or yield authored.</x:v>
      </x:c>
      <x:c r="N332" s="9" t="str">
        <x:v>Not implemented</x:v>
      </x:c>
      <x:c r="O332" s="9" t="str">
        <x:v>Mesh size, soundness and cleanliness must match the use; no automatic fine filtration or food-contact grade.</x:v>
      </x:c>
      <x:c r="P332" s="17"/>
      <x:c r="Q332" s="17"/>
      <x:c r="R332" s="17"/>
      <x:c r="S332" s="17"/>
      <x:c r="T332" s="17"/>
      <x:c r="U332" s="9" t="str">
        <x:v>New raw-material proposal; collection, processing grade, mass, trade value and host compatibility undecided. Existing broad resources are reused rather than replaced.</x:v>
      </x:c>
      <x:c r="V332" s="11" t="str">
        <x:v>protection</x:v>
      </x:c>
      <x:c r="W332" s="9" t="str">
        <x:v>Local brainstorming from author request for grounded raw materials October 14, 2026. These candidates are not claims retrieved from the lore repository.</x:v>
      </x:c>
      <x:c r="X332" s="4" t="str">
        <x:v>Raw material</x:v>
      </x:c>
      <x:c r="Y332" s="4" t="str">
        <x:v>Recovered material</x:v>
      </x:c>
      <x:c r="Z332" s="4" t="str">
        <x:v>Industrial salvage</x:v>
      </x:c>
      <x:c r="AA332" s="4" t="str">
        <x:v>Fabrication</x:v>
      </x:c>
      <x:c r="AB332" s="4" t="str">
        <x:v>Metal</x:v>
      </x:c>
      <x:c r="AC332" s="4" t="str">
        <x:v>Sheet</x:v>
      </x:c>
      <x:c r="AD332" s="4" t="str">
        <x:v>Proposal</x:v>
      </x:c>
      <x:c r="AE332" s="4" t="str">
        <x:f>LOWER(A332&amp;"; "&amp;B332&amp;"; "&amp;D332&amp;"; "&amp;E332&amp;"; "&amp;X332&amp;"; "&amp;Y332&amp;"; "&amp;Z332&amp;"; "&amp;AA332&amp;"; "&amp;AB332&amp;"; "&amp;AC332&amp;"; "&amp;AD332&amp;"; "&amp;V332&amp;"; "&amp;C332&amp;"; "&amp;AH332&amp;"; "&amp;AI332)</x:f>
        <x:v>proposal.raw.metal_mesh; metal mesh scrap; salvage; salvaged feedstock; raw material; recovered material; industrial salvage; fabrication; metal; sheet; proposal; protection; t0; not applicable; material</x:v>
      </x:c>
      <x:c r="AF332" s="4" t="str">
        <x:v>Specific raw form and candidate uses are proposals; no automatic biological function, chemistry, deposit or crafting capability. Lore category review: Resources -&gt; Salvage feedstock. Classification only; original item status and tier retained.</x:v>
      </x:c>
      <x:c r="AG332" s="4" t="str">
        <x:v>Raw gathered/recovered craft input under the author T0 framework. This does not imply a naturally occurring pure metal.</x:v>
      </x:c>
      <x:c r="AH332" s="4" t="str">
        <x:v>Not applicable</x:v>
      </x:c>
      <x:c r="AI332" s="4" t="str">
        <x:v>Material</x:v>
      </x:c>
      <x:c r="AJ332" s="4" t="n">
        <x:f>COUNTIFS('Material routes'!$D$6:$D$2205,A332,'Material routes'!$C$6:$C$2205,"Output")</x:f>
        <x:v>0</x:v>
      </x:c>
      <x:c r="AK332" s="4" t="n">
        <x:f>SUM(COUNTIFS('Material routes'!$D$6:$D$2205,A332,'Material routes'!$C$6:$C$2205,"Ingredient candidate"),COUNTIFS('Material routes'!$D$6:$D$2205,A332,'Material routes'!$C$6:$C$2205,"Consumed input"),COUNTIFS('Material routes'!$D$6:$D$2205,A332,'Material routes'!$C$6:$C$2205,"Contained input"),COUNTIFS('Material routes'!$D$6:$D$2205,A332,'Material routes'!$C$6:$C$2205,"Transform input"))</x:f>
        <x:v>0</x:v>
      </x:c>
      <x:c r="AL332" s="4" t="n">
        <x:f>COUNTIFS('Material routes'!$D$6:$D$2205,A332,'Material routes'!$C$6:$C$2205,"Tool candidate")</x:f>
        <x:v>0</x:v>
      </x:c>
      <x:c r="AM332" s="4" t="str">
        <x:f>IF(AJ332&gt;0,"Route listed; review status/completeness",IF(C332="T0","Raw entry feed; no production route","No production route listed"))</x:f>
        <x:v>Raw entry feed; no production route</x:v>
      </x:c>
      <x:c r="AN332" s="14" t="n">
        <x:f>IF(C332="T0",0,IF(C332="T1",1,IF(C332="T2",2,IF(C332="T3",3,IF(C332="T4",4,IF(C332="Unassigned",98,99))))))</x:f>
        <x:v>0</x:v>
      </x:c>
      <x:c r="AZ332"/>
      <x:c r="BA332"/>
      <x:c r="BB332"/>
      <x:c r="BC332"/>
      <x:c r="BD332"/>
      <x:c r="BE332"/>
      <x:c r="BF332"/>
      <x:c r="BG332"/>
      <x:c r="BH332"/>
      <x:c r="BI332"/>
      <x:c r="BJ332"/>
      <x:c r="BK332"/>
      <x:c r="BL332"/>
      <x:c r="BM332"/>
      <x:c r="BN332"/>
      <x:c r="BO332"/>
      <x:c r="BP332"/>
      <x:c r="BQ332"/>
      <x:c r="BR332"/>
      <x:c r="BS332"/>
      <x:c r="BT332"/>
      <x:c r="BU332"/>
      <x:c r="BV332"/>
      <x:c r="BW332"/>
      <x:c r="BX332"/>
      <x:c r="BY332"/>
      <x:c r="BZ332"/>
      <x:c r="CA332"/>
      <x:c r="CB332"/>
      <x:c r="CC332"/>
    </x:row>
    <x:row r="333" ht="110" customHeight="1">
      <x:c r="A333" s="9"/>
      <x:c r="B333" s="9"/>
      <x:c r="C333" s="4"/>
      <x:c r="D333" s="9"/>
      <x:c r="E333" s="9"/>
      <x:c r="F333" s="9"/>
      <x:c r="G333" s="9"/>
      <x:c r="H333" s="9"/>
      <x:c r="I333" s="9"/>
      <x:c r="J333" s="13"/>
      <x:c r="K333" s="15"/>
      <x:c r="L333" s="9"/>
      <x:c r="M333" s="9"/>
      <x:c r="N333" s="9"/>
      <x:c r="O333" s="9"/>
      <x:c r="P333" s="17"/>
      <x:c r="Q333" s="17"/>
      <x:c r="R333" s="17"/>
      <x:c r="S333" s="17"/>
      <x:c r="T333" s="17"/>
      <x:c r="U333" s="9"/>
      <x:c r="V333" s="11"/>
      <x:c r="W333" s="9"/>
      <x:c r="X333" s="4"/>
      <x:c r="Y333" s="4"/>
      <x:c r="Z333" s="4"/>
      <x:c r="AA333" s="4"/>
      <x:c r="AB333" s="4"/>
      <x:c r="AC333" s="4"/>
      <x:c r="AD333" s="4"/>
      <x:c r="AE333" s="4"/>
      <x:c r="AF333" s="4"/>
      <x:c r="AG333" s="4"/>
      <x:c r="AH333" s="4"/>
      <x:c r="AI333" s="4"/>
      <x:c r="AJ333" s="4"/>
      <x:c r="AK333" s="4"/>
      <x:c r="AL333" s="4"/>
      <x:c r="AM333" s="4"/>
      <x:c r="AN333" s="14"/>
      <x:c r="AZ333"/>
      <x:c r="BA333"/>
      <x:c r="BB333"/>
      <x:c r="BC333"/>
      <x:c r="BD333"/>
      <x:c r="BE333"/>
      <x:c r="BF333"/>
      <x:c r="BG333"/>
      <x:c r="BH333"/>
      <x:c r="BI333"/>
      <x:c r="BJ333"/>
      <x:c r="BK333"/>
      <x:c r="BL333"/>
      <x:c r="BM333"/>
      <x:c r="BN333"/>
      <x:c r="BO333"/>
      <x:c r="BP333"/>
      <x:c r="BQ333"/>
      <x:c r="BR333"/>
      <x:c r="BS333"/>
      <x:c r="BT333"/>
      <x:c r="BU333"/>
      <x:c r="BV333"/>
      <x:c r="BW333"/>
      <x:c r="BX333"/>
      <x:c r="BY333"/>
      <x:c r="BZ333"/>
      <x:c r="CA333"/>
      <x:c r="CB333"/>
      <x:c r="CC333"/>
    </x:row>
    <x:row r="334" ht="110" customHeight="1">
      <x:c r="A334" s="9" t="str">
        <x:v>proposal.raw.spent_refractory</x:v>
      </x:c>
      <x:c r="B334" s="9" t="str">
        <x:v>Spent refractory chunks</x:v>
      </x:c>
      <x:c r="C334" s="4" t="str">
        <x:v>T0</x:v>
      </x:c>
      <x:c r="D334" s="9" t="inlineStr">
        <x:is>
          <x:t xml:space="preserve">Salvage</x:t>
        </x:is>
      </x:c>
      <x:c r="E334" s="9" t="str">
        <x:v>Salvaged feedstock</x:v>
      </x:c>
      <x:c r="F334" s="9" t="str">
        <x:v>New proposal</x:v>
      </x:c>
      <x:c r="G334" s="9" t="inlineStr">
        <x:is>
          <x:t xml:space="preserve">Chunks of used heat-resistant lining recovered from prior hot-work equipment. They are candidate mineral feed for further preparation; contamination and heat damage prevent assuming the original refractory performance.</x:t>
        </x:is>
      </x:c>
      <x:c r="H334" s="9" t="str">
        <x:v>None</x:v>
      </x:c>
      <x:c r="I334" s="9" t="str">
        <x:v>Gathered raw/salvage cargo: Legger or local storage; policy TBD</x:v>
      </x:c>
      <x:c r="J334" s="13"/>
      <x:c r="K334" s="15"/>
      <x:c r="L334" s="9" t="str">
        <x:v>Broken identified furnace/kiln lining pieces</x:v>
      </x:c>
      <x:c r="M334" s="9" t="str">
        <x:v>Grade salvage as a possible body/fill input or selected repair piece; no recipe or yield authored.</x:v>
      </x:c>
      <x:c r="N334" s="9" t="str">
        <x:v>Not implemented</x:v>
      </x:c>
      <x:c r="O334" s="9" t="str">
        <x:v>Heat history and contamination matter; original heat-service performance is not automatically retained.</x:v>
      </x:c>
      <x:c r="P334" s="17"/>
      <x:c r="Q334" s="17"/>
      <x:c r="R334" s="17"/>
      <x:c r="S334" s="17"/>
      <x:c r="T334" s="17"/>
      <x:c r="U334" s="9" t="str">
        <x:v>New raw-material proposal; collection, processing grade, mass, trade value and host compatibility undecided. Existing broad resources are reused rather than replaced.</x:v>
      </x:c>
      <x:c r="V334" s="11" t="str">
        <x:v>equipment repair</x:v>
      </x:c>
      <x:c r="W334" s="9" t="str">
        <x:v>Local brainstorming from author request for grounded raw materials October 14, 2026. These candidates are not claims retrieved from the lore repository.</x:v>
      </x:c>
      <x:c r="X334" s="4" t="str">
        <x:v>Raw material</x:v>
      </x:c>
      <x:c r="Y334" s="4" t="str">
        <x:v>Recovered material</x:v>
      </x:c>
      <x:c r="Z334" s="4" t="str">
        <x:v>Industrial salvage</x:v>
      </x:c>
      <x:c r="AA334" s="4" t="str">
        <x:v>Glass and ceramics</x:v>
      </x:c>
      <x:c r="AB334" s="4" t="str">
        <x:v>Ceramic</x:v>
      </x:c>
      <x:c r="AC334" s="4" t="str">
        <x:v>Solid piece</x:v>
      </x:c>
      <x:c r="AD334" s="4" t="str">
        <x:v>Proposal</x:v>
      </x:c>
      <x:c r="AE334" s="4" t="str">
        <x:f>LOWER(A334&amp;"; "&amp;B334&amp;"; "&amp;D334&amp;"; "&amp;E334&amp;"; "&amp;X334&amp;"; "&amp;Y334&amp;"; "&amp;Z334&amp;"; "&amp;AA334&amp;"; "&amp;AB334&amp;"; "&amp;AC334&amp;"; "&amp;AD334&amp;"; "&amp;V334&amp;"; "&amp;C334&amp;"; "&amp;AH334&amp;"; "&amp;AI334)</x:f>
        <x:v>proposal.raw.spent_refractory; spent refractory chunks; salvage; salvaged feedstock; raw material; recovered material; industrial salvage; glass and ceramics; ceramic; solid piece; proposal; equipment repair; t0; not applicable; material</x:v>
      </x:c>
      <x:c r="AF334" s="4" t="str">
        <x:v>Specific raw form and candidate uses are proposals; no automatic biological function, chemistry, deposit or crafting capability. Lore category review: Resources -&gt; Salvage feedstock. Classification only; original item status and tier retained.</x:v>
      </x:c>
      <x:c r="AG334" s="4" t="str">
        <x:v>Raw gathered/recovered craft input under the author T0 framework. This does not imply a naturally occurring pure metal.</x:v>
      </x:c>
      <x:c r="AH334" s="4" t="str">
        <x:v>Not applicable</x:v>
      </x:c>
      <x:c r="AI334" s="4" t="str">
        <x:v>Material</x:v>
      </x:c>
      <x:c r="AJ334" s="4" t="n">
        <x:f>COUNTIFS('Material routes'!$D$6:$D$2205,A334,'Material routes'!$C$6:$C$2205,"Output")</x:f>
        <x:v>0</x:v>
      </x:c>
      <x:c r="AK334" s="4" t="n">
        <x:f>SUM(COUNTIFS('Material routes'!$D$6:$D$2205,A334,'Material routes'!$C$6:$C$2205,"Ingredient candidate"),COUNTIFS('Material routes'!$D$6:$D$2205,A334,'Material routes'!$C$6:$C$2205,"Consumed input"),COUNTIFS('Material routes'!$D$6:$D$2205,A334,'Material routes'!$C$6:$C$2205,"Contained input"),COUNTIFS('Material routes'!$D$6:$D$2205,A334,'Material routes'!$C$6:$C$2205,"Transform input"))</x:f>
        <x:v>0</x:v>
      </x:c>
      <x:c r="AL334" s="4" t="n">
        <x:f>COUNTIFS('Material routes'!$D$6:$D$2205,A334,'Material routes'!$C$6:$C$2205,"Tool candidate")</x:f>
        <x:v>0</x:v>
      </x:c>
      <x:c r="AM334" s="4" t="str">
        <x:f>IF(AJ334&gt;0,"Route listed; review status/completeness",IF(C334="T0","Raw entry feed; no production route","No production route listed"))</x:f>
        <x:v>Raw entry feed; no production route</x:v>
      </x:c>
      <x:c r="AN334" s="14" t="n">
        <x:f>IF(C334="T0",0,IF(C334="T1",1,IF(C334="T2",2,IF(C334="T3",3,IF(C334="T4",4,IF(C334="Unassigned",98,99))))))</x:f>
        <x:v>0</x:v>
      </x:c>
      <x:c r="AZ334"/>
      <x:c r="BA334"/>
      <x:c r="BB334"/>
      <x:c r="BC334"/>
      <x:c r="BD334"/>
      <x:c r="BE334"/>
      <x:c r="BF334"/>
      <x:c r="BG334"/>
      <x:c r="BH334"/>
      <x:c r="BI334"/>
      <x:c r="BJ334"/>
      <x:c r="BK334"/>
      <x:c r="BL334"/>
      <x:c r="BM334"/>
      <x:c r="BN334"/>
      <x:c r="BO334"/>
      <x:c r="BP334"/>
      <x:c r="BQ334"/>
      <x:c r="BR334"/>
      <x:c r="BS334"/>
      <x:c r="BT334"/>
      <x:c r="BU334"/>
      <x:c r="BV334"/>
      <x:c r="BW334"/>
      <x:c r="BX334"/>
      <x:c r="BY334"/>
      <x:c r="BZ334"/>
      <x:c r="CA334"/>
      <x:c r="CB334"/>
      <x:c r="CC334"/>
    </x:row>
    <x:row r="335" ht="110" customHeight="1">
      <x:c r="A335" s="9"/>
      <x:c r="B335" s="9"/>
      <x:c r="C335" s="4"/>
      <x:c r="D335" s="9"/>
      <x:c r="E335" s="9"/>
      <x:c r="F335" s="9"/>
      <x:c r="G335" s="9"/>
      <x:c r="H335" s="9"/>
      <x:c r="I335" s="9"/>
      <x:c r="J335" s="13"/>
      <x:c r="K335" s="15"/>
      <x:c r="L335" s="9"/>
      <x:c r="M335" s="9"/>
      <x:c r="N335" s="9"/>
      <x:c r="O335" s="9"/>
      <x:c r="P335" s="17"/>
      <x:c r="Q335" s="17"/>
      <x:c r="R335" s="17"/>
      <x:c r="S335" s="17"/>
      <x:c r="T335" s="17"/>
      <x:c r="U335" s="9"/>
      <x:c r="V335" s="11"/>
      <x:c r="W335" s="9"/>
      <x:c r="X335" s="4"/>
      <x:c r="Y335" s="4"/>
      <x:c r="Z335" s="4"/>
      <x:c r="AA335" s="4"/>
      <x:c r="AB335" s="4"/>
      <x:c r="AC335" s="4"/>
      <x:c r="AD335" s="4"/>
      <x:c r="AE335" s="4"/>
      <x:c r="AF335" s="4"/>
      <x:c r="AG335" s="4"/>
      <x:c r="AH335" s="4"/>
      <x:c r="AI335" s="4"/>
      <x:c r="AJ335" s="4"/>
      <x:c r="AK335" s="4"/>
      <x:c r="AL335" s="4"/>
      <x:c r="AM335" s="4"/>
      <x:c r="AN335" s="14"/>
      <x:c r="AZ335"/>
      <x:c r="BA335"/>
      <x:c r="BB335"/>
      <x:c r="BC335"/>
      <x:c r="BD335"/>
      <x:c r="BE335"/>
      <x:c r="BF335"/>
      <x:c r="BG335"/>
      <x:c r="BH335"/>
      <x:c r="BI335"/>
      <x:c r="BJ335"/>
      <x:c r="BK335"/>
      <x:c r="BL335"/>
      <x:c r="BM335"/>
      <x:c r="BN335"/>
      <x:c r="BO335"/>
      <x:c r="BP335"/>
      <x:c r="BQ335"/>
      <x:c r="BR335"/>
      <x:c r="BS335"/>
      <x:c r="BT335"/>
      <x:c r="BU335"/>
      <x:c r="BV335"/>
      <x:c r="BW335"/>
      <x:c r="BX335"/>
      <x:c r="BY335"/>
      <x:c r="BZ335"/>
      <x:c r="CA335"/>
      <x:c r="CB335"/>
      <x:c r="CC335"/>
    </x:row>
    <x:row r="336" ht="110" customHeight="1">
      <x:c r="A336" s="9" t="str">
        <x:v>proposal.raw.obsidian</x:v>
      </x:c>
      <x:c r="B336" s="9" t="str">
        <x:v>Obsidian chunks</x:v>
      </x:c>
      <x:c r="C336" s="4" t="str">
        <x:v>T0</x:v>
      </x:c>
      <x:c r="D336" s="9" t="str">
        <x:v>Mineral resources</x:v>
      </x:c>
      <x:c r="E336" s="9" t="str">
        <x:v>Stone feedstock</x:v>
      </x:c>
      <x:c r="F336" s="9" t="str">
        <x:v>New proposal</x:v>
      </x:c>
      <x:c r="G336" s="9" t="inlineStr">
        <x:is>
          <x:t xml:space="preserve">Chunks of volcanic glass proposed as hard cutting and scraping blanks. Selection and controlled shaping could produce a useful edge, while brittleness and a suitable mounting remain constraints.</x:t>
        </x:is>
      </x:c>
      <x:c r="H336" s="9" t="str">
        <x:v>None</x:v>
      </x:c>
      <x:c r="I336" s="9" t="str">
        <x:v>Gathered raw/salvage cargo: Legger or local storage; policy TBD</x:v>
      </x:c>
      <x:c r="J336" s="13"/>
      <x:c r="K336" s="15"/>
      <x:c r="L336" s="9" t="str">
        <x:v>Dark glassy rock pieces from proposed ancient volcanic deposits</x:v>
      </x:c>
      <x:c r="M336" s="9" t="str">
        <x:v>Select candidate cutting-edge or small inset blanks; no recipe or yield authored.</x:v>
      </x:c>
      <x:c r="N336" s="9" t="str">
        <x:v>Not implemented</x:v>
      </x:c>
      <x:c r="O336" s="9" t="str">
        <x:v>Deposit occurrence, working method, edge durability and handling remain design questions.</x:v>
      </x:c>
      <x:c r="P336" s="17"/>
      <x:c r="Q336" s="17"/>
      <x:c r="R336" s="17"/>
      <x:c r="S336" s="17"/>
      <x:c r="T336" s="17"/>
      <x:c r="U336" s="9" t="str">
        <x:v>New raw-material proposal; collection, processing grade, mass, trade value and host compatibility undecided. Existing broad resources are reused rather than replaced.</x:v>
      </x:c>
      <x:c r="V336" s="11"/>
      <x:c r="W336" s="9" t="str">
        <x:v>Local brainstorming from author request for grounded raw materials October 14, 2026. These candidates are not claims retrieved from the lore repository.</x:v>
      </x:c>
      <x:c r="X336" s="4" t="str">
        <x:v>Raw material</x:v>
      </x:c>
      <x:c r="Y336" s="4" t="str">
        <x:v>Raw</x:v>
      </x:c>
      <x:c r="Z336" s="4" t="str">
        <x:v>Geological</x:v>
      </x:c>
      <x:c r="AA336" s="4" t="str">
        <x:v>Tool fabrication</x:v>
      </x:c>
      <x:c r="AB336" s="4" t="str">
        <x:v>Mineral</x:v>
      </x:c>
      <x:c r="AC336" s="4" t="str">
        <x:v>Rock</x:v>
      </x:c>
      <x:c r="AD336" s="4" t="str">
        <x:v>Proposal</x:v>
      </x:c>
      <x:c r="AE336" s="4" t="str">
        <x:f>LOWER(A336&amp;"; "&amp;B336&amp;"; "&amp;D336&amp;"; "&amp;E336&amp;"; "&amp;X336&amp;"; "&amp;Y336&amp;"; "&amp;Z336&amp;"; "&amp;AA336&amp;"; "&amp;AB336&amp;"; "&amp;AC336&amp;"; "&amp;AD336&amp;"; "&amp;V336&amp;"; "&amp;C336&amp;"; "&amp;AH336&amp;"; "&amp;AI336)</x:f>
        <x:v>proposal.raw.obsidian; obsidian chunks; mineral resources; stone feedstock; raw material; raw; geological; tool fabrication; mineral; rock; proposal; ; t0; not applicable; material</x:v>
      </x:c>
      <x:c r="AF336" s="4" t="str">
        <x:v>Specific raw form and candidate uses are proposals; no automatic biological function, chemistry, deposit or crafting capability. Lore category review: Resources -&gt; Mineral resources. Classification only; original item status and tier retained.</x:v>
      </x:c>
      <x:c r="AG336" s="4" t="str">
        <x:v>Raw gathered/recovered craft input under the author T0 framework. This does not imply a naturally occurring pure metal.</x:v>
      </x:c>
      <x:c r="AH336" s="4" t="str">
        <x:v>Not applicable</x:v>
      </x:c>
      <x:c r="AI336" s="4" t="str">
        <x:v>Material</x:v>
      </x:c>
      <x:c r="AJ336" s="4" t="n">
        <x:f>COUNTIFS('Material routes'!$D$6:$D$2205,A336,'Material routes'!$C$6:$C$2205,"Output")</x:f>
        <x:v>0</x:v>
      </x:c>
      <x:c r="AK336" s="4" t="n">
        <x:f>SUM(COUNTIFS('Material routes'!$D$6:$D$2205,A336,'Material routes'!$C$6:$C$2205,"Ingredient candidate"),COUNTIFS('Material routes'!$D$6:$D$2205,A336,'Material routes'!$C$6:$C$2205,"Consumed input"),COUNTIFS('Material routes'!$D$6:$D$2205,A336,'Material routes'!$C$6:$C$2205,"Contained input"),COUNTIFS('Material routes'!$D$6:$D$2205,A336,'Material routes'!$C$6:$C$2205,"Transform input"))</x:f>
        <x:v>0</x:v>
      </x:c>
      <x:c r="AL336" s="4" t="n">
        <x:f>COUNTIFS('Material routes'!$D$6:$D$2205,A336,'Material routes'!$C$6:$C$2205,"Tool candidate")</x:f>
        <x:v>0</x:v>
      </x:c>
      <x:c r="AM336" s="4" t="str">
        <x:f>IF(AJ336&gt;0,"Route listed; review status/completeness",IF(C336="T0","Raw entry feed; no production route","No production route listed"))</x:f>
        <x:v>Raw entry feed; no production route</x:v>
      </x:c>
      <x:c r="AN336" s="14" t="n">
        <x:f>IF(C336="T0",0,IF(C336="T1",1,IF(C336="T2",2,IF(C336="T3",3,IF(C336="T4",4,IF(C336="Unassigned",98,99))))))</x:f>
        <x:v>0</x:v>
      </x:c>
      <x:c r="AZ336"/>
      <x:c r="BA336"/>
      <x:c r="BB336"/>
      <x:c r="BC336"/>
      <x:c r="BD336"/>
      <x:c r="BE336"/>
      <x:c r="BF336"/>
      <x:c r="BG336"/>
      <x:c r="BH336"/>
      <x:c r="BI336"/>
      <x:c r="BJ336"/>
      <x:c r="BK336"/>
      <x:c r="BL336"/>
      <x:c r="BM336"/>
      <x:c r="BN336"/>
      <x:c r="BO336"/>
      <x:c r="BP336"/>
      <x:c r="BQ336"/>
      <x:c r="BR336"/>
      <x:c r="BS336"/>
      <x:c r="BT336"/>
      <x:c r="BU336"/>
      <x:c r="BV336"/>
      <x:c r="BW336"/>
      <x:c r="BX336"/>
      <x:c r="BY336"/>
      <x:c r="BZ336"/>
      <x:c r="CA336"/>
      <x:c r="CB336"/>
      <x:c r="CC336"/>
    </x:row>
    <x:row r="337" ht="110" customHeight="1">
      <x:c r="A337" s="9" t="str">
        <x:v>proposal.raw.emery</x:v>
      </x:c>
      <x:c r="B337" s="9" t="str">
        <x:v>Emery-bearing lumps</x:v>
      </x:c>
      <x:c r="C337" s="4" t="str">
        <x:v>T0</x:v>
      </x:c>
      <x:c r="D337" s="9" t="str">
        <x:v>Mineral resources</x:v>
      </x:c>
      <x:c r="E337" s="9" t="str">
        <x:v>Stone feedstock</x:v>
      </x:c>
      <x:c r="F337" s="9" t="str">
        <x:v>New proposal</x:v>
      </x:c>
      <x:c r="G337" s="9" t="inlineStr">
        <x:is>
          <x:t xml:space="preserve">Mineral lumps containing candidate abrasive grains. Crushing and grading would prepare a finishing feed; usable hardness, contamination and grain distribution require qualification.</x:t>
        </x:is>
      </x:c>
      <x:c r="H337" s="9" t="str">
        <x:v>None</x:v>
      </x:c>
      <x:c r="I337" s="9" t="str">
        <x:v>Gathered raw/salvage cargo: Legger or local storage; policy TBD</x:v>
      </x:c>
      <x:c r="J337" s="13"/>
      <x:c r="K337" s="15"/>
      <x:c r="L337" s="9" t="str">
        <x:v>Rough dark abrasive-bearing stone lumps</x:v>
      </x:c>
      <x:c r="M337" s="9" t="str">
        <x:v>Grade candidate grinding or polishing feed; no recipe or yield authored.</x:v>
      </x:c>
      <x:c r="N337" s="9" t="str">
        <x:v>Not implemented</x:v>
      </x:c>
      <x:c r="O337" s="9" t="str">
        <x:v>A specific abrasive mineral input proposal; no accepted geology or universal abrasive grade.</x:v>
      </x:c>
      <x:c r="P337" s="17"/>
      <x:c r="Q337" s="17"/>
      <x:c r="R337" s="17"/>
      <x:c r="S337" s="17"/>
      <x:c r="T337" s="17"/>
      <x:c r="U337" s="9" t="str">
        <x:v>New raw-material proposal; collection, processing grade, mass, trade value and host compatibility undecided. Existing broad resources are reused rather than replaced.</x:v>
      </x:c>
      <x:c r="V337" s="11"/>
      <x:c r="W337" s="9" t="str">
        <x:v>Local brainstorming from author request for grounded raw materials October 14, 2026. These candidates are not claims retrieved from the lore repository.</x:v>
      </x:c>
      <x:c r="X337" s="4" t="str">
        <x:v>Raw material</x:v>
      </x:c>
      <x:c r="Y337" s="4" t="str">
        <x:v>Raw</x:v>
      </x:c>
      <x:c r="Z337" s="4" t="str">
        <x:v>Geological</x:v>
      </x:c>
      <x:c r="AA337" s="4" t="str">
        <x:v>Surface finishing</x:v>
      </x:c>
      <x:c r="AB337" s="4" t="str">
        <x:v>Mineral</x:v>
      </x:c>
      <x:c r="AC337" s="4" t="str">
        <x:v>Rock</x:v>
      </x:c>
      <x:c r="AD337" s="4" t="str">
        <x:v>Proposal</x:v>
      </x:c>
      <x:c r="AE337" s="4" t="str">
        <x:f>LOWER(A337&amp;"; "&amp;B337&amp;"; "&amp;D337&amp;"; "&amp;E337&amp;"; "&amp;X337&amp;"; "&amp;Y337&amp;"; "&amp;Z337&amp;"; "&amp;AA337&amp;"; "&amp;AB337&amp;"; "&amp;AC337&amp;"; "&amp;AD337&amp;"; "&amp;V337&amp;"; "&amp;C337&amp;"; "&amp;AH337&amp;"; "&amp;AI337)</x:f>
        <x:v>proposal.raw.emery; emery-bearing lumps; mineral resources; stone feedstock; raw material; raw; geological; surface finishing; mineral; rock; proposal; ; t0; not applicable; material</x:v>
      </x:c>
      <x:c r="AF337" s="4" t="str">
        <x:v>Specific raw form and candidate uses are proposals; no automatic biological function, chemistry, deposit or crafting capability. Lore category review: Resources -&gt; Mineral resources. Classification only; original item status and tier retained.</x:v>
      </x:c>
      <x:c r="AG337" s="4" t="str">
        <x:v>Raw gathered/recovered craft input under the author T0 framework. This does not imply a naturally occurring pure metal.</x:v>
      </x:c>
      <x:c r="AH337" s="4" t="str">
        <x:v>Not applicable</x:v>
      </x:c>
      <x:c r="AI337" s="4" t="str">
        <x:v>Material</x:v>
      </x:c>
      <x:c r="AJ337" s="4" t="n">
        <x:f>COUNTIFS('Material routes'!$D$6:$D$2205,A337,'Material routes'!$C$6:$C$2205,"Output")</x:f>
        <x:v>0</x:v>
      </x:c>
      <x:c r="AK337" s="4" t="n">
        <x:f>SUM(COUNTIFS('Material routes'!$D$6:$D$2205,A337,'Material routes'!$C$6:$C$2205,"Ingredient candidate"),COUNTIFS('Material routes'!$D$6:$D$2205,A337,'Material routes'!$C$6:$C$2205,"Consumed input"),COUNTIFS('Material routes'!$D$6:$D$2205,A337,'Material routes'!$C$6:$C$2205,"Contained input"),COUNTIFS('Material routes'!$D$6:$D$2205,A337,'Material routes'!$C$6:$C$2205,"Transform input"))</x:f>
        <x:v>1</x:v>
      </x:c>
      <x:c r="AL337" s="4" t="n">
        <x:f>COUNTIFS('Material routes'!$D$6:$D$2205,A337,'Material routes'!$C$6:$C$2205,"Tool candidate")</x:f>
        <x:v>0</x:v>
      </x:c>
      <x:c r="AM337" s="4" t="str">
        <x:f>IF(AJ337&gt;0,"Route listed; review status/completeness",IF(C337="T0","Raw entry feed; no production route","No production route listed"))</x:f>
        <x:v>Raw entry feed; no production route</x:v>
      </x:c>
      <x:c r="AN337" s="14" t="n">
        <x:f>IF(C337="T0",0,IF(C337="T1",1,IF(C337="T2",2,IF(C337="T3",3,IF(C337="T4",4,IF(C337="Unassigned",98,99))))))</x:f>
        <x:v>0</x:v>
      </x:c>
      <x:c r="AZ337"/>
      <x:c r="BA337"/>
      <x:c r="BB337"/>
      <x:c r="BC337"/>
      <x:c r="BD337"/>
      <x:c r="BE337"/>
      <x:c r="BF337"/>
      <x:c r="BG337"/>
      <x:c r="BH337"/>
      <x:c r="BI337"/>
      <x:c r="BJ337"/>
      <x:c r="BK337"/>
      <x:c r="BL337"/>
      <x:c r="BM337"/>
      <x:c r="BN337"/>
      <x:c r="BO337"/>
      <x:c r="BP337"/>
      <x:c r="BQ337"/>
      <x:c r="BR337"/>
      <x:c r="BS337"/>
      <x:c r="BT337"/>
      <x:c r="BU337"/>
      <x:c r="BV337"/>
      <x:c r="BW337"/>
      <x:c r="BX337"/>
      <x:c r="BY337"/>
      <x:c r="BZ337"/>
      <x:c r="CA337"/>
      <x:c r="CB337"/>
      <x:c r="CC337"/>
    </x:row>
    <x:row r="338" ht="110" customHeight="1">
      <x:c r="A338" s="9" t="str">
        <x:v>proposal.raw.barite</x:v>
      </x:c>
      <x:c r="B338" s="9" t="str">
        <x:v>Dense barite lumps</x:v>
      </x:c>
      <x:c r="C338" s="4" t="str">
        <x:v>T0</x:v>
      </x:c>
      <x:c r="D338" s="9" t="str">
        <x:v>Mineral resources</x:v>
      </x:c>
      <x:c r="E338" s="9" t="str">
        <x:v>Stone feedstock</x:v>
      </x:c>
      <x:c r="F338" s="9" t="str">
        <x:v>New proposal</x:v>
      </x:c>
      <x:c r="G338" s="9" t="inlineStr">
        <x:is>
          <x:t xml:space="preserve">Dense mineral lumps proposed as a specialist fabrication feed. Their weight and mineral content offer a material-design starting point, with processing and the actual application still unresolved.</x:t>
        </x:is>
      </x:c>
      <x:c r="H338" s="9" t="str">
        <x:v>None</x:v>
      </x:c>
      <x:c r="I338" s="9" t="str">
        <x:v>Gathered raw/salvage cargo: Legger or local storage; policy TBD</x:v>
      </x:c>
      <x:c r="J338" s="13"/>
      <x:c r="K338" s="15"/>
      <x:c r="L338" s="9" t="str">
        <x:v>Heavy pale mineral chunks from suitable seams</x:v>
      </x:c>
      <x:c r="M338" s="9" t="str">
        <x:v>Select possible counterweights or dense filler feed; no recipe or yield authored.</x:v>
      </x:c>
      <x:c r="N338" s="9" t="str">
        <x:v>Not implemented</x:v>
      </x:c>
      <x:c r="O338" s="9" t="str">
        <x:v>Proposed mineral type; exact density, purity and safe service are not assigned.</x:v>
      </x:c>
      <x:c r="P338" s="17"/>
      <x:c r="Q338" s="17"/>
      <x:c r="R338" s="17"/>
      <x:c r="S338" s="17"/>
      <x:c r="T338" s="17"/>
      <x:c r="U338" s="9" t="str">
        <x:v>New raw-material proposal; collection, processing grade, mass, trade value and host compatibility undecided. Existing broad resources are reused rather than replaced.</x:v>
      </x:c>
      <x:c r="V338" s="11"/>
      <x:c r="W338" s="9" t="str">
        <x:v>Local brainstorming from author request for grounded raw materials October 14, 2026. These candidates are not claims retrieved from the lore repository.</x:v>
      </x:c>
      <x:c r="X338" s="4" t="str">
        <x:v>Raw material</x:v>
      </x:c>
      <x:c r="Y338" s="4" t="str">
        <x:v>Raw</x:v>
      </x:c>
      <x:c r="Z338" s="4" t="str">
        <x:v>Geological</x:v>
      </x:c>
      <x:c r="AA338" s="4" t="str">
        <x:v>Fabrication</x:v>
      </x:c>
      <x:c r="AB338" s="4" t="str">
        <x:v>Mineral</x:v>
      </x:c>
      <x:c r="AC338" s="4" t="str">
        <x:v>Rock</x:v>
      </x:c>
      <x:c r="AD338" s="4" t="str">
        <x:v>Proposal</x:v>
      </x:c>
      <x:c r="AE338" s="4" t="str">
        <x:f>LOWER(A338&amp;"; "&amp;B338&amp;"; "&amp;D338&amp;"; "&amp;E338&amp;"; "&amp;X338&amp;"; "&amp;Y338&amp;"; "&amp;Z338&amp;"; "&amp;AA338&amp;"; "&amp;AB338&amp;"; "&amp;AC338&amp;"; "&amp;AD338&amp;"; "&amp;V338&amp;"; "&amp;C338&amp;"; "&amp;AH338&amp;"; "&amp;AI338)</x:f>
        <x:v>proposal.raw.barite; dense barite lumps; mineral resources; stone feedstock; raw material; raw; geological; fabrication; mineral; rock; proposal; ; t0; not applicable; material</x:v>
      </x:c>
      <x:c r="AF338" s="4" t="str">
        <x:v>Specific raw form and candidate uses are proposals; no automatic biological function, chemistry, deposit or crafting capability. Lore category review: Resources -&gt; Mineral resources. Classification only; original item status and tier retained.</x:v>
      </x:c>
      <x:c r="AG338" s="4" t="str">
        <x:v>Raw gathered/recovered craft input under the author T0 framework. This does not imply a naturally occurring pure metal.</x:v>
      </x:c>
      <x:c r="AH338" s="4" t="str">
        <x:v>Not applicable</x:v>
      </x:c>
      <x:c r="AI338" s="4" t="str">
        <x:v>Material</x:v>
      </x:c>
      <x:c r="AJ338" s="4" t="n">
        <x:f>COUNTIFS('Material routes'!$D$6:$D$2205,A338,'Material routes'!$C$6:$C$2205,"Output")</x:f>
        <x:v>0</x:v>
      </x:c>
      <x:c r="AK338" s="4" t="n">
        <x:f>SUM(COUNTIFS('Material routes'!$D$6:$D$2205,A338,'Material routes'!$C$6:$C$2205,"Ingredient candidate"),COUNTIFS('Material routes'!$D$6:$D$2205,A338,'Material routes'!$C$6:$C$2205,"Consumed input"),COUNTIFS('Material routes'!$D$6:$D$2205,A338,'Material routes'!$C$6:$C$2205,"Contained input"),COUNTIFS('Material routes'!$D$6:$D$2205,A338,'Material routes'!$C$6:$C$2205,"Transform input"))</x:f>
        <x:v>1</x:v>
      </x:c>
      <x:c r="AL338" s="4" t="n">
        <x:f>COUNTIFS('Material routes'!$D$6:$D$2205,A338,'Material routes'!$C$6:$C$2205,"Tool candidate")</x:f>
        <x:v>0</x:v>
      </x:c>
      <x:c r="AM338" s="4" t="str">
        <x:f>IF(AJ338&gt;0,"Route listed; review status/completeness",IF(C338="T0","Raw entry feed; no production route","No production route listed"))</x:f>
        <x:v>Raw entry feed; no production route</x:v>
      </x:c>
      <x:c r="AN338" s="14" t="n">
        <x:f>IF(C338="T0",0,IF(C338="T1",1,IF(C338="T2",2,IF(C338="T3",3,IF(C338="T4",4,IF(C338="Unassigned",98,99))))))</x:f>
        <x:v>0</x:v>
      </x:c>
      <x:c r="AZ338"/>
      <x:c r="BA338"/>
      <x:c r="BB338"/>
      <x:c r="BC338"/>
      <x:c r="BD338"/>
      <x:c r="BE338"/>
      <x:c r="BF338"/>
      <x:c r="BG338"/>
      <x:c r="BH338"/>
      <x:c r="BI338"/>
      <x:c r="BJ338"/>
      <x:c r="BK338"/>
      <x:c r="BL338"/>
      <x:c r="BM338"/>
      <x:c r="BN338"/>
      <x:c r="BO338"/>
      <x:c r="BP338"/>
      <x:c r="BQ338"/>
      <x:c r="BR338"/>
      <x:c r="BS338"/>
      <x:c r="BT338"/>
      <x:c r="BU338"/>
      <x:c r="BV338"/>
      <x:c r="BW338"/>
      <x:c r="BX338"/>
      <x:c r="BY338"/>
      <x:c r="BZ338"/>
      <x:c r="CA338"/>
      <x:c r="CB338"/>
      <x:c r="CC338"/>
    </x:row>
    <x:row r="339" ht="110" customHeight="1">
      <x:c r="A339" s="9" t="str">
        <x:v>proposal.raw.grinding_pebbles</x:v>
      </x:c>
      <x:c r="B339" s="9" t="str">
        <x:v>Rounded grinding stones</x:v>
      </x:c>
      <x:c r="C339" s="4" t="str">
        <x:v>T0</x:v>
      </x:c>
      <x:c r="D339" s="9" t="inlineStr">
        <x:is>
          <x:t xml:space="preserve">Salvage</x:t>
        </x:is>
      </x:c>
      <x:c r="E339" s="9" t="str">
        <x:v>Stone feedstock</x:v>
      </x:c>
      <x:c r="F339" s="9" t="str">
        <x:v>New proposal</x:v>
      </x:c>
      <x:c r="G339" s="9" t="inlineStr">
        <x:is>
          <x:t xml:space="preserve">Rounded stones selected as candidate crushing or grinding media. Their hard surfaces could reduce other materials mechanically, provided wear, contamination and the matching vessel are addressed.</x:t>
        </x:is>
      </x:c>
      <x:c r="H339" s="9" t="str">
        <x:v>None</x:v>
      </x:c>
      <x:c r="I339" s="9" t="str">
        <x:v>Gathered raw/salvage cargo: Legger or local storage; policy TBD</x:v>
      </x:c>
      <x:c r="J339" s="13"/>
      <x:c r="K339" s="15"/>
      <x:c r="L339" s="9" t="str">
        <x:v>Naturally rounded hard stones preserved in ancient deposits or shaped by long wear</x:v>
      </x:c>
      <x:c r="M339" s="9" t="str">
        <x:v>Select candidate hand-grinding stones or processing media; no recipe or yield authored.</x:v>
      </x:c>
      <x:c r="N339" s="9" t="str">
        <x:v>Not implemented</x:v>
      </x:c>
      <x:c r="O339" s="9" t="str">
        <x:v>Natural shape is not a finished pestle or food-contact qualification. No active water erosion assumed.</x:v>
      </x:c>
      <x:c r="P339" s="17"/>
      <x:c r="Q339" s="17"/>
      <x:c r="R339" s="17"/>
      <x:c r="S339" s="17"/>
      <x:c r="T339" s="17"/>
      <x:c r="U339" s="9" t="str">
        <x:v>New raw-material proposal; collection, processing grade, mass, trade value and host compatibility undecided. Existing broad resources are reused rather than replaced.</x:v>
      </x:c>
      <x:c r="V339" s="11" t="str">
        <x:v>food preparation</x:v>
      </x:c>
      <x:c r="W339" s="9" t="str">
        <x:v>Local brainstorming from author request for grounded raw materials October 14, 2026. These candidates are not claims retrieved from the lore repository.</x:v>
      </x:c>
      <x:c r="X339" s="4" t="str">
        <x:v>Raw material</x:v>
      </x:c>
      <x:c r="Y339" s="4" t="str">
        <x:v>Raw</x:v>
      </x:c>
      <x:c r="Z339" s="4" t="str">
        <x:v>Geological</x:v>
      </x:c>
      <x:c r="AA339" s="4" t="str">
        <x:v>Chemical processing</x:v>
      </x:c>
      <x:c r="AB339" s="4" t="str">
        <x:v>Mineral</x:v>
      </x:c>
      <x:c r="AC339" s="4" t="str">
        <x:v>Rock</x:v>
      </x:c>
      <x:c r="AD339" s="4" t="str">
        <x:v>Proposal</x:v>
      </x:c>
      <x:c r="AE339" s="4" t="str">
        <x:f>LOWER(A339&amp;"; "&amp;B339&amp;"; "&amp;D339&amp;"; "&amp;E339&amp;"; "&amp;X339&amp;"; "&amp;Y339&amp;"; "&amp;Z339&amp;"; "&amp;AA339&amp;"; "&amp;AB339&amp;"; "&amp;AC339&amp;"; "&amp;AD339&amp;"; "&amp;V339&amp;"; "&amp;C339&amp;"; "&amp;AH339&amp;"; "&amp;AI339)</x:f>
        <x:v>proposal.raw.grinding_pebbles; rounded grinding stones; salvage; stone feedstock; raw material; raw; geological; chemical processing; mineral; rock; proposal; food preparation; t0; not applicable; material</x:v>
      </x:c>
      <x:c r="AF339" s="4" t="str">
        <x:v>Specific raw form and candidate uses are proposals; no automatic biological function, chemistry, deposit or crafting capability. Lore category review: Resources -&gt; Mineral resources. Classification only; original item status and tier retained.</x:v>
      </x:c>
      <x:c r="AG339" s="4" t="str">
        <x:v>Raw gathered/recovered craft input under the author T0 framework. This does not imply a naturally occurring pure metal.</x:v>
      </x:c>
      <x:c r="AH339" s="4" t="str">
        <x:v>Not applicable</x:v>
      </x:c>
      <x:c r="AI339" s="4" t="str">
        <x:v>Material</x:v>
      </x:c>
      <x:c r="AJ339" s="4" t="n">
        <x:f>COUNTIFS('Material routes'!$D$6:$D$2205,A339,'Material routes'!$C$6:$C$2205,"Output")</x:f>
        <x:v>0</x:v>
      </x:c>
      <x:c r="AK339" s="4" t="n">
        <x:f>SUM(COUNTIFS('Material routes'!$D$6:$D$2205,A339,'Material routes'!$C$6:$C$2205,"Ingredient candidate"),COUNTIFS('Material routes'!$D$6:$D$2205,A339,'Material routes'!$C$6:$C$2205,"Consumed input"),COUNTIFS('Material routes'!$D$6:$D$2205,A339,'Material routes'!$C$6:$C$2205,"Contained input"),COUNTIFS('Material routes'!$D$6:$D$2205,A339,'Material routes'!$C$6:$C$2205,"Transform input"))</x:f>
        <x:v>1</x:v>
      </x:c>
      <x:c r="AL339" s="4" t="n">
        <x:f>COUNTIFS('Material routes'!$D$6:$D$2205,A339,'Material routes'!$C$6:$C$2205,"Tool candidate")</x:f>
        <x:v>0</x:v>
      </x:c>
      <x:c r="AM339" s="4" t="str">
        <x:f>IF(AJ339&gt;0,"Route listed; review status/completeness",IF(C339="T0","Raw entry feed; no production route","No production route listed"))</x:f>
        <x:v>Raw entry feed; no production route</x:v>
      </x:c>
      <x:c r="AN339" s="14" t="n">
        <x:f>IF(C339="T0",0,IF(C339="T1",1,IF(C339="T2",2,IF(C339="T3",3,IF(C339="T4",4,IF(C339="Unassigned",98,99))))))</x:f>
        <x:v>0</x:v>
      </x:c>
      <x:c r="AZ339"/>
      <x:c r="BA339"/>
      <x:c r="BB339"/>
      <x:c r="BC339"/>
      <x:c r="BD339"/>
      <x:c r="BE339"/>
      <x:c r="BF339"/>
      <x:c r="BG339"/>
      <x:c r="BH339"/>
      <x:c r="BI339"/>
      <x:c r="BJ339"/>
      <x:c r="BK339"/>
      <x:c r="BL339"/>
      <x:c r="BM339"/>
      <x:c r="BN339"/>
      <x:c r="BO339"/>
      <x:c r="BP339"/>
      <x:c r="BQ339"/>
      <x:c r="BR339"/>
      <x:c r="BS339"/>
      <x:c r="BT339"/>
      <x:c r="BU339"/>
      <x:c r="BV339"/>
      <x:c r="BW339"/>
      <x:c r="BX339"/>
      <x:c r="BY339"/>
      <x:c r="BZ339"/>
      <x:c r="CA339"/>
      <x:c r="CB339"/>
      <x:c r="CC339"/>
    </x:row>
    <x:row r="340" ht="110" customHeight="1">
      <x:c r="A340" s="9"/>
      <x:c r="B340" s="9"/>
      <x:c r="C340" s="4"/>
      <x:c r="D340" s="9"/>
      <x:c r="E340" s="9"/>
      <x:c r="F340" s="9"/>
      <x:c r="G340" s="9"/>
      <x:c r="H340" s="9"/>
      <x:c r="I340" s="9"/>
      <x:c r="J340" s="13"/>
      <x:c r="K340" s="15"/>
      <x:c r="L340" s="9"/>
      <x:c r="M340" s="9"/>
      <x:c r="N340" s="9"/>
      <x:c r="O340" s="9"/>
      <x:c r="P340" s="17"/>
      <x:c r="Q340" s="17"/>
      <x:c r="R340" s="17"/>
      <x:c r="S340" s="17"/>
      <x:c r="T340" s="17"/>
      <x:c r="U340" s="9"/>
      <x:c r="V340" s="11"/>
      <x:c r="W340" s="9"/>
      <x:c r="X340" s="4"/>
      <x:c r="Y340" s="4"/>
      <x:c r="Z340" s="4"/>
      <x:c r="AA340" s="4"/>
      <x:c r="AB340" s="4"/>
      <x:c r="AC340" s="4"/>
      <x:c r="AD340" s="4"/>
      <x:c r="AE340" s="4"/>
      <x:c r="AF340" s="4"/>
      <x:c r="AG340" s="4"/>
      <x:c r="AH340" s="4"/>
      <x:c r="AI340" s="4"/>
      <x:c r="AJ340" s="4"/>
      <x:c r="AK340" s="4"/>
      <x:c r="AL340" s="4"/>
      <x:c r="AM340" s="4"/>
      <x:c r="AN340" s="14"/>
      <x:c r="AZ340"/>
      <x:c r="BA340"/>
      <x:c r="BB340"/>
      <x:c r="BC340"/>
      <x:c r="BD340"/>
      <x:c r="BE340"/>
      <x:c r="BF340"/>
      <x:c r="BG340"/>
      <x:c r="BH340"/>
      <x:c r="BI340"/>
      <x:c r="BJ340"/>
      <x:c r="BK340"/>
      <x:c r="BL340"/>
      <x:c r="BM340"/>
      <x:c r="BN340"/>
      <x:c r="BO340"/>
      <x:c r="BP340"/>
      <x:c r="BQ340"/>
      <x:c r="BR340"/>
      <x:c r="BS340"/>
      <x:c r="BT340"/>
      <x:c r="BU340"/>
      <x:c r="BV340"/>
      <x:c r="BW340"/>
      <x:c r="BX340"/>
      <x:c r="BY340"/>
      <x:c r="BZ340"/>
      <x:c r="CA340"/>
      <x:c r="CB340"/>
      <x:c r="CC340"/>
    </x:row>
    <x:row r="341" ht="110" customHeight="1">
      <x:c r="A341" s="9" t="str">
        <x:v>proposal.raw.horn_core</x:v>
      </x:c>
      <x:c r="B341" s="9" t="str">
        <x:v>Fauna horn cores</x:v>
      </x:c>
      <x:c r="C341" s="4" t="str">
        <x:v>T0</x:v>
      </x:c>
      <x:c r="D341" s="9" t="str">
        <x:v>Biological resources</x:v>
      </x:c>
      <x:c r="E341" s="9" t="str">
        <x:v>Faunal hard-part feedstock</x:v>
      </x:c>
      <x:c r="F341" s="9" t="str">
        <x:v>New proposal</x:v>
      </x:c>
      <x:c r="G341" s="9" t="inlineStr">
        <x:is>
          <x:t xml:space="preserve">Hard faunal horn cores proposed as shaped blanks for tools or fittings. The retained form may support a useful working piece, but anatomy, preparation and service limits remain unverified.</x:t>
        </x:is>
      </x:c>
      <x:c r="H341" s="9" t="str">
        <x:v>None</x:v>
      </x:c>
      <x:c r="I341" s="9" t="str">
        <x:v>Gathered raw/salvage cargo: Legger or local storage; policy TBD</x:v>
      </x:c>
      <x:c r="J341" s="13"/>
      <x:c r="K341" s="15"/>
      <x:c r="L341" s="9" t="str">
        <x:v>Hard internal horn pieces from selected horn-bearing fauna</x:v>
      </x:c>
      <x:c r="M341" s="9" t="str">
        <x:v>Shape candidate handles, spacers or tool blanks; no recipe or yield authored.</x:v>
      </x:c>
      <x:c r="N341" s="9" t="str">
        <x:v>Not implemented</x:v>
      </x:c>
      <x:c r="O341" s="9" t="str">
        <x:v>Horn anatomy and composition remain species proposals; no conventional bone or keratin assumption.</x:v>
      </x:c>
      <x:c r="P341" s="17"/>
      <x:c r="Q341" s="17"/>
      <x:c r="R341" s="17"/>
      <x:c r="S341" s="17"/>
      <x:c r="T341" s="17"/>
      <x:c r="U341" s="9" t="str">
        <x:v>New raw-material proposal; collection, processing grade, mass, trade value and host compatibility undecided. Existing broad resources are reused rather than replaced.</x:v>
      </x:c>
      <x:c r="V341" s="11"/>
      <x:c r="W341" s="9" t="str">
        <x:v>Local brainstorming from author request for grounded raw materials October 14, 2026. These candidates are not claims retrieved from the lore repository.</x:v>
      </x:c>
      <x:c r="X341" s="4" t="str">
        <x:v>Raw material</x:v>
      </x:c>
      <x:c r="Y341" s="4" t="str">
        <x:v>Raw</x:v>
      </x:c>
      <x:c r="Z341" s="4" t="str">
        <x:v>Fauna</x:v>
      </x:c>
      <x:c r="AA341" s="4" t="str">
        <x:v>Tool fabrication</x:v>
      </x:c>
      <x:c r="AB341" s="4" t="str">
        <x:v>Faunal hard tissue</x:v>
      </x:c>
      <x:c r="AC341" s="4" t="str">
        <x:v>Solid piece</x:v>
      </x:c>
      <x:c r="AD341" s="4" t="str">
        <x:v>Proposal</x:v>
      </x:c>
      <x:c r="AE341" s="4" t="str">
        <x:f>LOWER(A341&amp;"; "&amp;B341&amp;"; "&amp;D341&amp;"; "&amp;E341&amp;"; "&amp;X341&amp;"; "&amp;Y341&amp;"; "&amp;Z341&amp;"; "&amp;AA341&amp;"; "&amp;AB341&amp;"; "&amp;AC341&amp;"; "&amp;AD341&amp;"; "&amp;V341&amp;"; "&amp;C341&amp;"; "&amp;AH341&amp;"; "&amp;AI341)</x:f>
        <x:v>proposal.raw.horn_core; fauna horn cores; biological resources; faunal hard-part feedstock; raw material; raw; fauna; tool fabrication; faunal hard tissue; solid piece; proposal; ; t0; not applicable; material</x:v>
      </x:c>
      <x:c r="AF341" s="4" t="str">
        <x:v>Specific raw form and candidate uses are proposals; no automatic biological function, chemistry, deposit or crafting capability. Lore category review: Resources -&gt; Biological resources. Classification only; original item status and tier retained.</x:v>
      </x:c>
      <x:c r="AG341" s="4" t="str">
        <x:v>Raw gathered/recovered craft input under the author T0 framework. This does not imply a naturally occurring pure metal.</x:v>
      </x:c>
      <x:c r="AH341" s="4" t="str">
        <x:v>Not applicable</x:v>
      </x:c>
      <x:c r="AI341" s="4" t="str">
        <x:v>Material</x:v>
      </x:c>
      <x:c r="AJ341" s="4" t="n">
        <x:f>COUNTIFS('Material routes'!$D$6:$D$2205,A341,'Material routes'!$C$6:$C$2205,"Output")</x:f>
        <x:v>0</x:v>
      </x:c>
      <x:c r="AK341" s="4" t="n">
        <x:f>SUM(COUNTIFS('Material routes'!$D$6:$D$2205,A341,'Material routes'!$C$6:$C$2205,"Ingredient candidate"),COUNTIFS('Material routes'!$D$6:$D$2205,A341,'Material routes'!$C$6:$C$2205,"Consumed input"),COUNTIFS('Material routes'!$D$6:$D$2205,A341,'Material routes'!$C$6:$C$2205,"Contained input"),COUNTIFS('Material routes'!$D$6:$D$2205,A341,'Material routes'!$C$6:$C$2205,"Transform input"))</x:f>
        <x:v>2</x:v>
      </x:c>
      <x:c r="AL341" s="4" t="n">
        <x:f>COUNTIFS('Material routes'!$D$6:$D$2205,A341,'Material routes'!$C$6:$C$2205,"Tool candidate")</x:f>
        <x:v>0</x:v>
      </x:c>
      <x:c r="AM341" s="4" t="str">
        <x:f>IF(AJ341&gt;0,"Route listed; review status/completeness",IF(C341="T0","Raw entry feed; no production route","No production route listed"))</x:f>
        <x:v>Raw entry feed; no production route</x:v>
      </x:c>
      <x:c r="AN341" s="14" t="n">
        <x:f>IF(C341="T0",0,IF(C341="T1",1,IF(C341="T2",2,IF(C341="T3",3,IF(C341="T4",4,IF(C341="Unassigned",98,99))))))</x:f>
        <x:v>0</x:v>
      </x:c>
      <x:c r="AZ341"/>
      <x:c r="BA341"/>
      <x:c r="BB341"/>
      <x:c r="BC341"/>
      <x:c r="BD341"/>
      <x:c r="BE341"/>
      <x:c r="BF341"/>
      <x:c r="BG341"/>
      <x:c r="BH341"/>
      <x:c r="BI341"/>
      <x:c r="BJ341"/>
      <x:c r="BK341"/>
      <x:c r="BL341"/>
      <x:c r="BM341"/>
      <x:c r="BN341"/>
      <x:c r="BO341"/>
      <x:c r="BP341"/>
      <x:c r="BQ341"/>
      <x:c r="BR341"/>
      <x:c r="BS341"/>
      <x:c r="BT341"/>
      <x:c r="BU341"/>
      <x:c r="BV341"/>
      <x:c r="BW341"/>
      <x:c r="BX341"/>
      <x:c r="BY341"/>
      <x:c r="BZ341"/>
      <x:c r="CA341"/>
      <x:c r="CB341"/>
      <x:c r="CC341"/>
    </x:row>
    <x:row r="342" ht="110" customHeight="1">
      <x:c r="A342" s="9" t="str">
        <x:v>proposal.raw.tail_rings</x:v>
      </x:c>
      <x:c r="B342" s="9" t="str">
        <x:v>Fauna tail rings</x:v>
      </x:c>
      <x:c r="C342" s="4" t="str">
        <x:v>T0</x:v>
      </x:c>
      <x:c r="D342" s="9" t="str">
        <x:v>Biological resources</x:v>
      </x:c>
      <x:c r="E342" s="9" t="str">
        <x:v>Faunal hard-part feedstock</x:v>
      </x:c>
      <x:c r="F342" s="9" t="str">
        <x:v>New proposal</x:v>
      </x:c>
      <x:c r="G342" s="9" t="inlineStr">
        <x:is>
          <x:t xml:space="preserve">Hard rings from a proposed faunal tail anatomy. Their curved sections are candidates for protective fabrication after inspection; source anatomy, sizing and protective performance remain open.</x:t>
        </x:is>
      </x:c>
      <x:c r="H342" s="9" t="str">
        <x:v>None</x:v>
      </x:c>
      <x:c r="I342" s="9" t="str">
        <x:v>Gathered raw/salvage cargo: Legger or local storage; policy TBD</x:v>
      </x:c>
      <x:c r="J342" s="13"/>
      <x:c r="K342" s="15"/>
      <x:c r="L342" s="9" t="str">
        <x:v>Separate curved hard segments from suitable armored tails</x:v>
      </x:c>
      <x:c r="M342" s="9" t="str">
        <x:v>Select candidate curved covers or small guards; no recipe or yield authored.</x:v>
      </x:c>
      <x:c r="N342" s="9" t="str">
        <x:v>Not implemented</x:v>
      </x:c>
      <x:c r="O342" s="9" t="str">
        <x:v>Species, joining and protective performance unresolved; not a complete armor item.</x:v>
      </x:c>
      <x:c r="P342" s="17"/>
      <x:c r="Q342" s="17"/>
      <x:c r="R342" s="17"/>
      <x:c r="S342" s="17"/>
      <x:c r="T342" s="17"/>
      <x:c r="U342" s="9" t="str">
        <x:v>New raw-material proposal; collection, processing grade, mass, trade value and host compatibility undecided. Existing broad resources are reused rather than replaced.</x:v>
      </x:c>
      <x:c r="V342" s="11" t="str">
        <x:v>fabrication</x:v>
      </x:c>
      <x:c r="W342" s="9" t="str">
        <x:v>Local brainstorming from author request for grounded raw materials October 14, 2026. These candidates are not claims retrieved from the lore repository.</x:v>
      </x:c>
      <x:c r="X342" s="4" t="str">
        <x:v>Raw material</x:v>
      </x:c>
      <x:c r="Y342" s="4" t="str">
        <x:v>Raw</x:v>
      </x:c>
      <x:c r="Z342" s="4" t="str">
        <x:v>Fauna</x:v>
      </x:c>
      <x:c r="AA342" s="4" t="str">
        <x:v>Protective fabrication</x:v>
      </x:c>
      <x:c r="AB342" s="4" t="str">
        <x:v>Faunal hard tissue</x:v>
      </x:c>
      <x:c r="AC342" s="4" t="str">
        <x:v>Shell plate</x:v>
      </x:c>
      <x:c r="AD342" s="4" t="str">
        <x:v>Proposal</x:v>
      </x:c>
      <x:c r="AE342" s="4" t="str">
        <x:f>LOWER(A342&amp;"; "&amp;B342&amp;"; "&amp;D342&amp;"; "&amp;E342&amp;"; "&amp;X342&amp;"; "&amp;Y342&amp;"; "&amp;Z342&amp;"; "&amp;AA342&amp;"; "&amp;AB342&amp;"; "&amp;AC342&amp;"; "&amp;AD342&amp;"; "&amp;V342&amp;"; "&amp;C342&amp;"; "&amp;AH342&amp;"; "&amp;AI342)</x:f>
        <x:v>proposal.raw.tail_rings; fauna tail rings; biological resources; faunal hard-part feedstock; raw material; raw; fauna; protective fabrication; faunal hard tissue; shell plate; proposal; fabrication; t0; not applicable; material</x:v>
      </x:c>
      <x:c r="AF342" s="4" t="str">
        <x:v>Specific raw form and candidate uses are proposals; no automatic biological function, chemistry, deposit or crafting capability. Lore category review: Resources -&gt; Biological resources. Classification only; original item status and tier retained.</x:v>
      </x:c>
      <x:c r="AG342" s="4" t="str">
        <x:v>Raw gathered/recovered craft input under the author T0 framework. This does not imply a naturally occurring pure metal.</x:v>
      </x:c>
      <x:c r="AH342" s="4" t="str">
        <x:v>Not applicable</x:v>
      </x:c>
      <x:c r="AI342" s="4" t="str">
        <x:v>Material</x:v>
      </x:c>
      <x:c r="AJ342" s="4" t="n">
        <x:f>COUNTIFS('Material routes'!$D$6:$D$2205,A342,'Material routes'!$C$6:$C$2205,"Output")</x:f>
        <x:v>0</x:v>
      </x:c>
      <x:c r="AK342" s="4" t="n">
        <x:f>SUM(COUNTIFS('Material routes'!$D$6:$D$2205,A342,'Material routes'!$C$6:$C$2205,"Ingredient candidate"),COUNTIFS('Material routes'!$D$6:$D$2205,A342,'Material routes'!$C$6:$C$2205,"Consumed input"),COUNTIFS('Material routes'!$D$6:$D$2205,A342,'Material routes'!$C$6:$C$2205,"Contained input"),COUNTIFS('Material routes'!$D$6:$D$2205,A342,'Material routes'!$C$6:$C$2205,"Transform input"))</x:f>
        <x:v>0</x:v>
      </x:c>
      <x:c r="AL342" s="4" t="n">
        <x:f>COUNTIFS('Material routes'!$D$6:$D$2205,A342,'Material routes'!$C$6:$C$2205,"Tool candidate")</x:f>
        <x:v>0</x:v>
      </x:c>
      <x:c r="AM342" s="4" t="str">
        <x:f>IF(AJ342&gt;0,"Route listed; review status/completeness",IF(C342="T0","Raw entry feed; no production route","No production route listed"))</x:f>
        <x:v>Raw entry feed; no production route</x:v>
      </x:c>
      <x:c r="AN342" s="14" t="n">
        <x:f>IF(C342="T0",0,IF(C342="T1",1,IF(C342="T2",2,IF(C342="T3",3,IF(C342="T4",4,IF(C342="Unassigned",98,99))))))</x:f>
        <x:v>0</x:v>
      </x:c>
      <x:c r="AZ342"/>
      <x:c r="BA342"/>
      <x:c r="BB342"/>
      <x:c r="BC342"/>
      <x:c r="BD342"/>
      <x:c r="BE342"/>
      <x:c r="BF342"/>
      <x:c r="BG342"/>
      <x:c r="BH342"/>
      <x:c r="BI342"/>
      <x:c r="BJ342"/>
      <x:c r="BK342"/>
      <x:c r="BL342"/>
      <x:c r="BM342"/>
      <x:c r="BN342"/>
      <x:c r="BO342"/>
      <x:c r="BP342"/>
      <x:c r="BQ342"/>
      <x:c r="BR342"/>
      <x:c r="BS342"/>
      <x:c r="BT342"/>
      <x:c r="BU342"/>
      <x:c r="BV342"/>
      <x:c r="BW342"/>
      <x:c r="BX342"/>
      <x:c r="BY342"/>
      <x:c r="BZ342"/>
      <x:c r="CA342"/>
      <x:c r="CB342"/>
      <x:c r="CC342"/>
    </x:row>
    <x:row r="343" ht="110" customHeight="1">
      <x:c r="A343" s="9" t="str">
        <x:v>proposal.raw.socket_cups</x:v>
      </x:c>
      <x:c r="B343" s="9" t="str">
        <x:v>Fauna joint-socket cups</x:v>
      </x:c>
      <x:c r="C343" s="4" t="str">
        <x:v>T0</x:v>
      </x:c>
      <x:c r="D343" s="9" t="str">
        <x:v>Biological resources</x:v>
      </x:c>
      <x:c r="E343" s="9" t="str">
        <x:v>Faunal hard-part feedstock</x:v>
      </x:c>
      <x:c r="F343" s="9" t="str">
        <x:v>New proposal</x:v>
      </x:c>
      <x:c r="G343" s="9" t="inlineStr">
        <x:is>
          <x:t xml:space="preserve">Cup-shaped faunal joint parts proposed as small fabrication blanks. Their existing concave form suggests fitted supports or housings, subject to source anatomy, sizing and material suitability.</x:t>
        </x:is>
      </x:c>
      <x:c r="H343" s="9" t="str">
        <x:v>None</x:v>
      </x:c>
      <x:c r="I343" s="9" t="str">
        <x:v>Gathered raw/salvage cargo: Legger or local storage; policy TBD</x:v>
      </x:c>
      <x:c r="J343" s="13"/>
      <x:c r="K343" s="15"/>
      <x:c r="L343" s="9" t="str">
        <x:v>Concave hard pieces recovered from selected joint structures</x:v>
      </x:c>
      <x:c r="M343" s="9" t="str">
        <x:v>Prepare candidate mold faces or small protective housings; no recipe or yield authored.</x:v>
      </x:c>
      <x:c r="N343" s="9" t="str">
        <x:v>Not implemented</x:v>
      </x:c>
      <x:c r="O343" s="9" t="str">
        <x:v>Separate hard shell geometry from existing joint fluid/membrane resources; not automatically food-safe.</x:v>
      </x:c>
      <x:c r="P343" s="17"/>
      <x:c r="Q343" s="17"/>
      <x:c r="R343" s="17"/>
      <x:c r="S343" s="17"/>
      <x:c r="T343" s="17"/>
      <x:c r="U343" s="9" t="str">
        <x:v>New raw-material proposal; collection, processing grade, mass, trade value and host compatibility undecided. Existing broad resources are reused rather than replaced.</x:v>
      </x:c>
      <x:c r="V343" s="11"/>
      <x:c r="W343" s="9" t="str">
        <x:v>Local brainstorming from author request for grounded raw materials October 14, 2026. These candidates are not claims retrieved from the lore repository.</x:v>
      </x:c>
      <x:c r="X343" s="4" t="str">
        <x:v>Raw material</x:v>
      </x:c>
      <x:c r="Y343" s="4" t="str">
        <x:v>Raw</x:v>
      </x:c>
      <x:c r="Z343" s="4" t="str">
        <x:v>Fauna</x:v>
      </x:c>
      <x:c r="AA343" s="4" t="str">
        <x:v>Fabrication</x:v>
      </x:c>
      <x:c r="AB343" s="4" t="str">
        <x:v>Faunal hard tissue</x:v>
      </x:c>
      <x:c r="AC343" s="4" t="str">
        <x:v>Solid piece</x:v>
      </x:c>
      <x:c r="AD343" s="4" t="str">
        <x:v>Proposal</x:v>
      </x:c>
      <x:c r="AE343" s="4" t="str">
        <x:f>LOWER(A343&amp;"; "&amp;B343&amp;"; "&amp;D343&amp;"; "&amp;E343&amp;"; "&amp;X343&amp;"; "&amp;Y343&amp;"; "&amp;Z343&amp;"; "&amp;AA343&amp;"; "&amp;AB343&amp;"; "&amp;AC343&amp;"; "&amp;AD343&amp;"; "&amp;V343&amp;"; "&amp;C343&amp;"; "&amp;AH343&amp;"; "&amp;AI343)</x:f>
        <x:v>proposal.raw.socket_cups; fauna joint-socket cups; biological resources; faunal hard-part feedstock; raw material; raw; fauna; fabrication; faunal hard tissue; solid piece; proposal; ; t0; not applicable; material</x:v>
      </x:c>
      <x:c r="AF343" s="4" t="str">
        <x:v>Specific raw form and candidate uses are proposals; no automatic biological function, chemistry, deposit or crafting capability. Lore category review: Resources -&gt; Biological resources. Classification only; original item status and tier retained.</x:v>
      </x:c>
      <x:c r="AG343" s="4" t="str">
        <x:v>Raw gathered/recovered craft input under the author T0 framework. This does not imply a naturally occurring pure metal.</x:v>
      </x:c>
      <x:c r="AH343" s="4" t="str">
        <x:v>Not applicable</x:v>
      </x:c>
      <x:c r="AI343" s="4" t="str">
        <x:v>Material</x:v>
      </x:c>
      <x:c r="AJ343" s="4" t="n">
        <x:f>COUNTIFS('Material routes'!$D$6:$D$2205,A343,'Material routes'!$C$6:$C$2205,"Output")</x:f>
        <x:v>0</x:v>
      </x:c>
      <x:c r="AK343" s="4" t="n">
        <x:f>SUM(COUNTIFS('Material routes'!$D$6:$D$2205,A343,'Material routes'!$C$6:$C$2205,"Ingredient candidate"),COUNTIFS('Material routes'!$D$6:$D$2205,A343,'Material routes'!$C$6:$C$2205,"Consumed input"),COUNTIFS('Material routes'!$D$6:$D$2205,A343,'Material routes'!$C$6:$C$2205,"Contained input"),COUNTIFS('Material routes'!$D$6:$D$2205,A343,'Material routes'!$C$6:$C$2205,"Transform input"))</x:f>
        <x:v>0</x:v>
      </x:c>
      <x:c r="AL343" s="4" t="n">
        <x:f>COUNTIFS('Material routes'!$D$6:$D$2205,A343,'Material routes'!$C$6:$C$2205,"Tool candidate")</x:f>
        <x:v>0</x:v>
      </x:c>
      <x:c r="AM343" s="4" t="str">
        <x:f>IF(AJ343&gt;0,"Route listed; review status/completeness",IF(C343="T0","Raw entry feed; no production route","No production route listed"))</x:f>
        <x:v>Raw entry feed; no production route</x:v>
      </x:c>
      <x:c r="AN343" s="14" t="n">
        <x:f>IF(C343="T0",0,IF(C343="T1",1,IF(C343="T2",2,IF(C343="T3",3,IF(C343="T4",4,IF(C343="Unassigned",98,99))))))</x:f>
        <x:v>0</x:v>
      </x:c>
      <x:c r="AZ343"/>
      <x:c r="BA343"/>
      <x:c r="BB343"/>
      <x:c r="BC343"/>
      <x:c r="BD343"/>
      <x:c r="BE343"/>
      <x:c r="BF343"/>
      <x:c r="BG343"/>
      <x:c r="BH343"/>
      <x:c r="BI343"/>
      <x:c r="BJ343"/>
      <x:c r="BK343"/>
      <x:c r="BL343"/>
      <x:c r="BM343"/>
      <x:c r="BN343"/>
      <x:c r="BO343"/>
      <x:c r="BP343"/>
      <x:c r="BQ343"/>
      <x:c r="BR343"/>
      <x:c r="BS343"/>
      <x:c r="BT343"/>
      <x:c r="BU343"/>
      <x:c r="BV343"/>
      <x:c r="BW343"/>
      <x:c r="BX343"/>
      <x:c r="BY343"/>
      <x:c r="BZ343"/>
      <x:c r="CA343"/>
      <x:c r="CB343"/>
      <x:c r="CC343"/>
    </x:row>
    <x:row r="344" ht="110" customHeight="1">
      <x:c r="A344" s="9" t="str">
        <x:v>proposal.raw.eye_lenses</x:v>
      </x:c>
      <x:c r="B344" s="9" t="str">
        <x:v>Fauna eye lenses</x:v>
      </x:c>
      <x:c r="C344" s="4" t="str">
        <x:v>T0</x:v>
      </x:c>
      <x:c r="D344" s="9" t="str">
        <x:v>Biological resources</x:v>
      </x:c>
      <x:c r="E344" s="9" t="str">
        <x:v>Faunal hard-part feedstock</x:v>
      </x:c>
      <x:c r="F344" s="9" t="str">
        <x:v>New proposal</x:v>
      </x:c>
      <x:c r="G344" s="9" t="inlineStr">
        <x:is>
          <x:t xml:space="preserve">Recovered faunal eye lenses proposed for optical-material investigation. Their clarity and form must be evaluated before any useful viewing element or optical correction is claimed.</x:t>
        </x:is>
      </x:c>
      <x:c r="H344" s="9" t="str">
        <x:v>None</x:v>
      </x:c>
      <x:c r="I344" s="9" t="str">
        <x:v>Gathered raw/salvage cargo: Legger or local storage; policy TBD</x:v>
      </x:c>
      <x:c r="J344" s="13"/>
      <x:c r="K344" s="15"/>
      <x:c r="L344" s="9" t="str">
        <x:v>Intact optical-looking structures from selected fauna eyes</x:v>
      </x:c>
      <x:c r="M344" s="9" t="str">
        <x:v>Inspect candidate viewing inserts or optical-material research feed; no recipe or yield authored.</x:v>
      </x:c>
      <x:c r="N344" s="9" t="str">
        <x:v>Not implemented</x:v>
      </x:c>
      <x:c r="O344" s="9" t="str">
        <x:v>Clarity, stability, extraction yield and optical usefulness TBD; does not make spectacles common or grant a new sensor.</x:v>
      </x:c>
      <x:c r="P344" s="17"/>
      <x:c r="Q344" s="17"/>
      <x:c r="R344" s="17"/>
      <x:c r="S344" s="17"/>
      <x:c r="T344" s="17"/>
      <x:c r="U344" s="9" t="str">
        <x:v>New raw-material proposal; collection, processing grade, mass, trade value and host compatibility undecided. Existing broad resources are reused rather than replaced.</x:v>
      </x:c>
      <x:c r="V344" s="11"/>
      <x:c r="W344" s="9" t="str">
        <x:v>Local brainstorming from author request for grounded raw materials October 14, 2026. These candidates are not claims retrieved from the lore repository.</x:v>
      </x:c>
      <x:c r="X344" s="4" t="str">
        <x:v>Raw material</x:v>
      </x:c>
      <x:c r="Y344" s="4" t="str">
        <x:v>Raw</x:v>
      </x:c>
      <x:c r="Z344" s="4" t="str">
        <x:v>Fauna</x:v>
      </x:c>
      <x:c r="AA344" s="4" t="str">
        <x:v>Vision</x:v>
      </x:c>
      <x:c r="AB344" s="4" t="str">
        <x:v>Faunal tissue</x:v>
      </x:c>
      <x:c r="AC344" s="4" t="str">
        <x:v>Solid piece</x:v>
      </x:c>
      <x:c r="AD344" s="4" t="str">
        <x:v>Proposal</x:v>
      </x:c>
      <x:c r="AE344" s="4" t="str">
        <x:f>LOWER(A344&amp;"; "&amp;B344&amp;"; "&amp;D344&amp;"; "&amp;E344&amp;"; "&amp;X344&amp;"; "&amp;Y344&amp;"; "&amp;Z344&amp;"; "&amp;AA344&amp;"; "&amp;AB344&amp;"; "&amp;AC344&amp;"; "&amp;AD344&amp;"; "&amp;V344&amp;"; "&amp;C344&amp;"; "&amp;AH344&amp;"; "&amp;AI344)</x:f>
        <x:v>proposal.raw.eye_lenses; fauna eye lenses; biological resources; faunal hard-part feedstock; raw material; raw; fauna; vision; faunal tissue; solid piece; proposal; ; t0; not applicable; material</x:v>
      </x:c>
      <x:c r="AF344" s="4" t="str">
        <x:v>Specific raw form and candidate uses are proposals; no automatic biological function, chemistry, deposit or crafting capability. Lore category review: Resources -&gt; Biological resources. Classification only; original item status and tier retained.</x:v>
      </x:c>
      <x:c r="AG344" s="4" t="str">
        <x:v>Raw gathered/recovered craft input under the author T0 framework. This does not imply a naturally occurring pure metal.</x:v>
      </x:c>
      <x:c r="AH344" s="4" t="str">
        <x:v>Not applicable</x:v>
      </x:c>
      <x:c r="AI344" s="4" t="str">
        <x:v>Material</x:v>
      </x:c>
      <x:c r="AJ344" s="4" t="n">
        <x:f>COUNTIFS('Material routes'!$D$6:$D$2205,A344,'Material routes'!$C$6:$C$2205,"Output")</x:f>
        <x:v>0</x:v>
      </x:c>
      <x:c r="AK344" s="4" t="n">
        <x:f>SUM(COUNTIFS('Material routes'!$D$6:$D$2205,A344,'Material routes'!$C$6:$C$2205,"Ingredient candidate"),COUNTIFS('Material routes'!$D$6:$D$2205,A344,'Material routes'!$C$6:$C$2205,"Consumed input"),COUNTIFS('Material routes'!$D$6:$D$2205,A344,'Material routes'!$C$6:$C$2205,"Contained input"),COUNTIFS('Material routes'!$D$6:$D$2205,A344,'Material routes'!$C$6:$C$2205,"Transform input"))</x:f>
        <x:v>0</x:v>
      </x:c>
      <x:c r="AL344" s="4" t="n">
        <x:f>COUNTIFS('Material routes'!$D$6:$D$2205,A344,'Material routes'!$C$6:$C$2205,"Tool candidate")</x:f>
        <x:v>0</x:v>
      </x:c>
      <x:c r="AM344" s="4" t="str">
        <x:f>IF(AJ344&gt;0,"Route listed; review status/completeness",IF(C344="T0","Raw entry feed; no production route","No production route listed"))</x:f>
        <x:v>Raw entry feed; no production route</x:v>
      </x:c>
      <x:c r="AN344" s="14" t="n">
        <x:f>IF(C344="T0",0,IF(C344="T1",1,IF(C344="T2",2,IF(C344="T3",3,IF(C344="T4",4,IF(C344="Unassigned",98,99))))))</x:f>
        <x:v>0</x:v>
      </x:c>
      <x:c r="AZ344"/>
      <x:c r="BA344"/>
      <x:c r="BB344"/>
      <x:c r="BC344"/>
      <x:c r="BD344"/>
      <x:c r="BE344"/>
      <x:c r="BF344"/>
      <x:c r="BG344"/>
      <x:c r="BH344"/>
      <x:c r="BI344"/>
      <x:c r="BJ344"/>
      <x:c r="BK344"/>
      <x:c r="BL344"/>
      <x:c r="BM344"/>
      <x:c r="BN344"/>
      <x:c r="BO344"/>
      <x:c r="BP344"/>
      <x:c r="BQ344"/>
      <x:c r="BR344"/>
      <x:c r="BS344"/>
      <x:c r="BT344"/>
      <x:c r="BU344"/>
      <x:c r="BV344"/>
      <x:c r="BW344"/>
      <x:c r="BX344"/>
      <x:c r="BY344"/>
      <x:c r="BZ344"/>
      <x:c r="CA344"/>
      <x:c r="CB344"/>
      <x:c r="CC344"/>
    </x:row>
    <x:row r="345" ht="110" customHeight="1">
      <x:c r="A345" s="9" t="str">
        <x:v>proposal.raw.filter_plates</x:v>
      </x:c>
      <x:c r="B345" s="9" t="str">
        <x:v>Fauna breathing-filter plates</x:v>
      </x:c>
      <x:c r="C345" s="4" t="str">
        <x:v>T0</x:v>
      </x:c>
      <x:c r="D345" s="9" t="str">
        <x:v>Biological resources</x:v>
      </x:c>
      <x:c r="E345" s="9" t="str">
        <x:v>Faunal hard-part feedstock</x:v>
      </x:c>
      <x:c r="F345" s="9" t="str">
        <x:v>New proposal</x:v>
      </x:c>
      <x:c r="G345" s="9" t="inlineStr">
        <x:is>
          <x:t xml:space="preserve">Faunal breathing-filter plates proposed as structured material for dust-exclusion research. Their biological role does not establish safe human filtration or a rated equipment filter.</x:t>
        </x:is>
      </x:c>
      <x:c r="H345" s="9" t="str">
        <x:v>None</x:v>
      </x:c>
      <x:c r="I345" s="9" t="str">
        <x:v>Gathered raw/salvage cargo: Legger or local storage; policy TBD</x:v>
      </x:c>
      <x:c r="J345" s="13"/>
      <x:c r="K345" s="15"/>
      <x:c r="L345" s="9" t="str">
        <x:v>Porous-looking hard plates from a proposed compatible respiratory anatomy</x:v>
      </x:c>
      <x:c r="M345" s="9" t="str">
        <x:v>Inspect possible coarse dust-screen or pattern-forming material; no recipe or yield authored.</x:v>
      </x:c>
      <x:c r="N345" s="9" t="str">
        <x:v>Not implemented</x:v>
      </x:c>
      <x:c r="O345" s="9" t="str">
        <x:v>Respiratory anatomy is a proposal. Detached plates are not certified breathing filters and retain no automatic biological function.</x:v>
      </x:c>
      <x:c r="P345" s="17"/>
      <x:c r="Q345" s="17"/>
      <x:c r="R345" s="17"/>
      <x:c r="S345" s="17"/>
      <x:c r="T345" s="17"/>
      <x:c r="U345" s="9" t="str">
        <x:v>New raw-material proposal; collection, processing grade, mass, trade value and host compatibility undecided. Existing broad resources are reused rather than replaced.</x:v>
      </x:c>
      <x:c r="V345" s="11"/>
      <x:c r="W345" s="9" t="str">
        <x:v>Local brainstorming from author request for grounded raw materials October 14, 2026. These candidates are not claims retrieved from the lore repository.</x:v>
      </x:c>
      <x:c r="X345" s="4" t="str">
        <x:v>Raw material</x:v>
      </x:c>
      <x:c r="Y345" s="4" t="str">
        <x:v>Raw</x:v>
      </x:c>
      <x:c r="Z345" s="4" t="str">
        <x:v>Fauna</x:v>
      </x:c>
      <x:c r="AA345" s="4" t="str">
        <x:v>Dust exclusion</x:v>
      </x:c>
      <x:c r="AB345" s="4" t="str">
        <x:v>Faunal hard tissue</x:v>
      </x:c>
      <x:c r="AC345" s="4" t="str">
        <x:v>Panel</x:v>
      </x:c>
      <x:c r="AD345" s="4" t="str">
        <x:v>Proposal</x:v>
      </x:c>
      <x:c r="AE345" s="4" t="str">
        <x:f>LOWER(A345&amp;"; "&amp;B345&amp;"; "&amp;D345&amp;"; "&amp;E345&amp;"; "&amp;X345&amp;"; "&amp;Y345&amp;"; "&amp;Z345&amp;"; "&amp;AA345&amp;"; "&amp;AB345&amp;"; "&amp;AC345&amp;"; "&amp;AD345&amp;"; "&amp;V345&amp;"; "&amp;C345&amp;"; "&amp;AH345&amp;"; "&amp;AI345)</x:f>
        <x:v>proposal.raw.filter_plates; fauna breathing-filter plates; biological resources; faunal hard-part feedstock; raw material; raw; fauna; dust exclusion; faunal hard tissue; panel; proposal; ; t0; not applicable; material</x:v>
      </x:c>
      <x:c r="AF345" s="4" t="str">
        <x:v>Specific raw form and candidate uses are proposals; no automatic biological function, chemistry, deposit or crafting capability. Lore category review: Resources -&gt; Biological resources. Classification only; original item status and tier retained.</x:v>
      </x:c>
      <x:c r="AG345" s="4" t="str">
        <x:v>Raw gathered/recovered craft input under the author T0 framework. This does not imply a naturally occurring pure metal.</x:v>
      </x:c>
      <x:c r="AH345" s="4" t="str">
        <x:v>Not applicable</x:v>
      </x:c>
      <x:c r="AI345" s="4" t="str">
        <x:v>Material</x:v>
      </x:c>
      <x:c r="AJ345" s="4" t="n">
        <x:f>COUNTIFS('Material routes'!$D$6:$D$2205,A345,'Material routes'!$C$6:$C$2205,"Output")</x:f>
        <x:v>0</x:v>
      </x:c>
      <x:c r="AK345" s="4" t="n">
        <x:f>SUM(COUNTIFS('Material routes'!$D$6:$D$2205,A345,'Material routes'!$C$6:$C$2205,"Ingredient candidate"),COUNTIFS('Material routes'!$D$6:$D$2205,A345,'Material routes'!$C$6:$C$2205,"Consumed input"),COUNTIFS('Material routes'!$D$6:$D$2205,A345,'Material routes'!$C$6:$C$2205,"Contained input"),COUNTIFS('Material routes'!$D$6:$D$2205,A345,'Material routes'!$C$6:$C$2205,"Transform input"))</x:f>
        <x:v>0</x:v>
      </x:c>
      <x:c r="AL345" s="4" t="n">
        <x:f>COUNTIFS('Material routes'!$D$6:$D$2205,A345,'Material routes'!$C$6:$C$2205,"Tool candidate")</x:f>
        <x:v>0</x:v>
      </x:c>
      <x:c r="AM345" s="4" t="str">
        <x:f>IF(AJ345&gt;0,"Route listed; review status/completeness",IF(C345="T0","Raw entry feed; no production route","No production route listed"))</x:f>
        <x:v>Raw entry feed; no production route</x:v>
      </x:c>
      <x:c r="AN345" s="14" t="n">
        <x:f>IF(C345="T0",0,IF(C345="T1",1,IF(C345="T2",2,IF(C345="T3",3,IF(C345="T4",4,IF(C345="Unassigned",98,99))))))</x:f>
        <x:v>0</x:v>
      </x:c>
      <x:c r="AZ345"/>
      <x:c r="BA345"/>
      <x:c r="BB345"/>
      <x:c r="BC345"/>
      <x:c r="BD345"/>
      <x:c r="BE345"/>
      <x:c r="BF345"/>
      <x:c r="BG345"/>
      <x:c r="BH345"/>
      <x:c r="BI345"/>
      <x:c r="BJ345"/>
      <x:c r="BK345"/>
      <x:c r="BL345"/>
      <x:c r="BM345"/>
      <x:c r="BN345"/>
      <x:c r="BO345"/>
      <x:c r="BP345"/>
      <x:c r="BQ345"/>
      <x:c r="BR345"/>
      <x:c r="BS345"/>
      <x:c r="BT345"/>
      <x:c r="BU345"/>
      <x:c r="BV345"/>
      <x:c r="BW345"/>
      <x:c r="BX345"/>
      <x:c r="BY345"/>
      <x:c r="BZ345"/>
      <x:c r="CA345"/>
      <x:c r="CB345"/>
      <x:c r="CC345"/>
    </x:row>
    <x:row r="346" ht="110" customHeight="1">
      <x:c r="A346" s="9" t="str">
        <x:v>proposal.raw.droppings</x:v>
      </x:c>
      <x:c r="B346" s="9" t="str">
        <x:v>Dried mineral-rich fauna droppings</x:v>
      </x:c>
      <x:c r="C346" s="4" t="str">
        <x:v>T0</x:v>
      </x:c>
      <x:c r="D346" s="9" t="str">
        <x:v>Biological resources</x:v>
      </x:c>
      <x:c r="E346" s="9" t="str">
        <x:v>Faunal waste feedstock</x:v>
      </x:c>
      <x:c r="F346" s="9" t="str">
        <x:v>New proposal</x:v>
      </x:c>
      <x:c r="G346" s="9" t="inlineStr">
        <x:is>
          <x:t xml:space="preserve">Dried mineral-rich faunal waste proposed for controlled material investigation. Recoverable fractions may have industrial uses, but contamination, composition and safe handling require study; it is not food.</x:t>
        </x:is>
      </x:c>
      <x:c r="H346" s="9" t="str">
        <x:v>None</x:v>
      </x:c>
      <x:c r="I346" s="9" t="str">
        <x:v>Gathered raw/salvage cargo: Legger or local storage; policy TBD</x:v>
      </x:c>
      <x:c r="J346" s="13"/>
      <x:c r="K346" s="15"/>
      <x:c r="L346" s="9" t="str">
        <x:v>Solid dried waste from suitable mineral-feeding fauna</x:v>
      </x:c>
      <x:c r="M346" s="9" t="str">
        <x:v>Sort possible mineral-recovery feed in a dedicated industrial process; no recipe or yield authored.</x:v>
      </x:c>
      <x:c r="N346" s="9" t="str">
        <x:v>Not implemented</x:v>
      </x:c>
      <x:c r="O346" s="9" t="str">
        <x:v>Composition, contamination and useful yield unresolved; not food, clean pigment, fertilizer or automatically valuable ore.</x:v>
      </x:c>
      <x:c r="P346" s="17"/>
      <x:c r="Q346" s="17"/>
      <x:c r="R346" s="17"/>
      <x:c r="S346" s="17"/>
      <x:c r="T346" s="17"/>
      <x:c r="U346" s="9" t="str">
        <x:v>New raw-material proposal; collection, processing grade, mass, trade value and host compatibility undecided. Existing broad resources are reused rather than replaced.</x:v>
      </x:c>
      <x:c r="V346" s="11"/>
      <x:c r="W346" s="9" t="str">
        <x:v>Local brainstorming from author request for grounded raw materials October 14, 2026. These candidates are not claims retrieved from the lore repository.</x:v>
      </x:c>
      <x:c r="X346" s="4" t="str">
        <x:v>Raw material</x:v>
      </x:c>
      <x:c r="Y346" s="4" t="str">
        <x:v>Raw</x:v>
      </x:c>
      <x:c r="Z346" s="4" t="str">
        <x:v>Fauna</x:v>
      </x:c>
      <x:c r="AA346" s="4" t="str">
        <x:v>Chemical processing</x:v>
      </x:c>
      <x:c r="AB346" s="4" t="str">
        <x:v>Mixed / unresolved</x:v>
      </x:c>
      <x:c r="AC346" s="4" t="str">
        <x:v>Solid piece</x:v>
      </x:c>
      <x:c r="AD346" s="4" t="str">
        <x:v>Proposal</x:v>
      </x:c>
      <x:c r="AE346" s="4" t="str">
        <x:f>LOWER(A346&amp;"; "&amp;B346&amp;"; "&amp;D346&amp;"; "&amp;E346&amp;"; "&amp;X346&amp;"; "&amp;Y346&amp;"; "&amp;Z346&amp;"; "&amp;AA346&amp;"; "&amp;AB346&amp;"; "&amp;AC346&amp;"; "&amp;AD346&amp;"; "&amp;V346&amp;"; "&amp;C346&amp;"; "&amp;AH346&amp;"; "&amp;AI346)</x:f>
        <x:v>proposal.raw.droppings; dried mineral-rich fauna droppings; biological resources; faunal waste feedstock; raw material; raw; fauna; chemical processing; mixed / unresolved; solid piece; proposal; ; t0; not applicable; material</x:v>
      </x:c>
      <x:c r="AF346" s="4" t="str">
        <x:v>Specific raw form and candidate uses are proposals; no automatic biological function, chemistry, deposit or crafting capability. Lore category review: Resources -&gt; Biological resources. Classification only; original item status and tier retained.</x:v>
      </x:c>
      <x:c r="AG346" s="4" t="str">
        <x:v>Raw gathered/recovered craft input under the author T0 framework. This does not imply a naturally occurring pure metal.</x:v>
      </x:c>
      <x:c r="AH346" s="4" t="str">
        <x:v>Not applicable</x:v>
      </x:c>
      <x:c r="AI346" s="4" t="str">
        <x:v>Material</x:v>
      </x:c>
      <x:c r="AJ346" s="4" t="n">
        <x:f>COUNTIFS('Material routes'!$D$6:$D$2205,A346,'Material routes'!$C$6:$C$2205,"Output")</x:f>
        <x:v>0</x:v>
      </x:c>
      <x:c r="AK346" s="4" t="n">
        <x:f>SUM(COUNTIFS('Material routes'!$D$6:$D$2205,A346,'Material routes'!$C$6:$C$2205,"Ingredient candidate"),COUNTIFS('Material routes'!$D$6:$D$2205,A346,'Material routes'!$C$6:$C$2205,"Consumed input"),COUNTIFS('Material routes'!$D$6:$D$2205,A346,'Material routes'!$C$6:$C$2205,"Contained input"),COUNTIFS('Material routes'!$D$6:$D$2205,A346,'Material routes'!$C$6:$C$2205,"Transform input"))</x:f>
        <x:v>0</x:v>
      </x:c>
      <x:c r="AL346" s="4" t="n">
        <x:f>COUNTIFS('Material routes'!$D$6:$D$2205,A346,'Material routes'!$C$6:$C$2205,"Tool candidate")</x:f>
        <x:v>0</x:v>
      </x:c>
      <x:c r="AM346" s="4" t="str">
        <x:f>IF(AJ346&gt;0,"Route listed; review status/completeness",IF(C346="T0","Raw entry feed; no production route","No production route listed"))</x:f>
        <x:v>Raw entry feed; no production route</x:v>
      </x:c>
      <x:c r="AN346" s="14" t="n">
        <x:f>IF(C346="T0",0,IF(C346="T1",1,IF(C346="T2",2,IF(C346="T3",3,IF(C346="T4",4,IF(C346="Unassigned",98,99))))))</x:f>
        <x:v>0</x:v>
      </x:c>
      <x:c r="AZ346"/>
      <x:c r="BA346"/>
      <x:c r="BB346"/>
      <x:c r="BC346"/>
      <x:c r="BD346"/>
      <x:c r="BE346"/>
      <x:c r="BF346"/>
      <x:c r="BG346"/>
      <x:c r="BH346"/>
      <x:c r="BI346"/>
      <x:c r="BJ346"/>
      <x:c r="BK346"/>
      <x:c r="BL346"/>
      <x:c r="BM346"/>
      <x:c r="BN346"/>
      <x:c r="BO346"/>
      <x:c r="BP346"/>
      <x:c r="BQ346"/>
      <x:c r="BR346"/>
      <x:c r="BS346"/>
      <x:c r="BT346"/>
      <x:c r="BU346"/>
      <x:c r="BV346"/>
      <x:c r="BW346"/>
      <x:c r="BX346"/>
      <x:c r="BY346"/>
      <x:c r="BZ346"/>
      <x:c r="CA346"/>
      <x:c r="CB346"/>
      <x:c r="CC346"/>
    </x:row>
    <x:row r="347" ht="110" customHeight="1">
      <x:c r="A347" s="9" t="str">
        <x:v>proposal.raw.chain</x:v>
      </x:c>
      <x:c r="B347" s="9" t="str">
        <x:v>Rusted chain lengths</x:v>
      </x:c>
      <x:c r="C347" s="4" t="str">
        <x:v>T0</x:v>
      </x:c>
      <x:c r="D347" s="9" t="inlineStr">
        <x:is>
          <x:t xml:space="preserve">Salvage</x:t>
        </x:is>
      </x:c>
      <x:c r="E347" s="9" t="str">
        <x:v>Salvaged feedstock</x:v>
      </x:c>
      <x:c r="F347" s="9" t="str">
        <x:v>New proposal</x:v>
      </x:c>
      <x:c r="G347" s="9" t="inlineStr">
        <x:is>
          <x:t xml:space="preserve">Corroded lengths of linked metal chain recovered for possible restraint, connection or metal recovery. Each link’s condition and the end attachments must be checked before a load-bearing use is considered.</x:t>
        </x:is>
      </x:c>
      <x:c r="H347" s="9" t="str">
        <x:v>None</x:v>
      </x:c>
      <x:c r="I347" s="9" t="str">
        <x:v>Gathered raw/salvage cargo: Legger or local storage; policy TBD</x:v>
      </x:c>
      <x:c r="J347" s="13"/>
      <x:c r="K347" s="15"/>
      <x:c r="L347" s="9" t="str">
        <x:v>Lengths of old linked chain recovered from machinery or structures</x:v>
      </x:c>
      <x:c r="M347" s="9" t="str">
        <x:v>Inspect and cut usable links or retain as metal feed; no recipe or yield authored.</x:v>
      </x:c>
      <x:c r="N347" s="9" t="str">
        <x:v>Not implemented</x:v>
      </x:c>
      <x:c r="O347" s="9" t="str">
        <x:v>Corrosion and link condition determine any reuse; no load rating or generic lifting capability.</x:v>
      </x:c>
      <x:c r="P347" s="17"/>
      <x:c r="Q347" s="17"/>
      <x:c r="R347" s="17"/>
      <x:c r="S347" s="17"/>
      <x:c r="T347" s="17"/>
      <x:c r="U347" s="9" t="str">
        <x:v>New raw-material proposal; collection, processing grade, mass, trade value and host compatibility undecided. Existing broad resources are reused rather than replaced.</x:v>
      </x:c>
      <x:c r="V347" s="11" t="str">
        <x:v>equipment mounting</x:v>
      </x:c>
      <x:c r="W347" s="9" t="str">
        <x:v>Local brainstorming from author request for grounded raw materials October 14, 2026. These candidates are not claims retrieved from the lore repository.</x:v>
      </x:c>
      <x:c r="X347" s="4" t="str">
        <x:v>Raw material</x:v>
      </x:c>
      <x:c r="Y347" s="4" t="str">
        <x:v>Recovered material</x:v>
      </x:c>
      <x:c r="Z347" s="4" t="str">
        <x:v>Industrial salvage</x:v>
      </x:c>
      <x:c r="AA347" s="4" t="str">
        <x:v>Binding and construction</x:v>
      </x:c>
      <x:c r="AB347" s="4" t="str">
        <x:v>Metal</x:v>
      </x:c>
      <x:c r="AC347" s="4" t="str">
        <x:v>Assembly</x:v>
      </x:c>
      <x:c r="AD347" s="4" t="str">
        <x:v>Proposal</x:v>
      </x:c>
      <x:c r="AE347" s="4" t="str">
        <x:f>LOWER(A347&amp;"; "&amp;B347&amp;"; "&amp;D347&amp;"; "&amp;E347&amp;"; "&amp;X347&amp;"; "&amp;Y347&amp;"; "&amp;Z347&amp;"; "&amp;AA347&amp;"; "&amp;AB347&amp;"; "&amp;AC347&amp;"; "&amp;AD347&amp;"; "&amp;V347&amp;"; "&amp;C347&amp;"; "&amp;AH347&amp;"; "&amp;AI347)</x:f>
        <x:v>proposal.raw.chain; rusted chain lengths; salvage; salvaged feedstock; raw material; recovered material; industrial salvage; binding and construction; metal; assembly; proposal; equipment mounting; t0; not applicable; material</x:v>
      </x:c>
      <x:c r="AF347" s="4" t="str">
        <x:v>Specific raw form and candidate uses are proposals; no automatic biological function, chemistry, deposit or crafting capability. Lore category review: Resources -&gt; Salvage feedstock. Classification only; original item status and tier retained.</x:v>
      </x:c>
      <x:c r="AG347" s="4" t="str">
        <x:v>Raw gathered/recovered craft input under the author T0 framework. This does not imply a naturally occurring pure metal.</x:v>
      </x:c>
      <x:c r="AH347" s="4" t="str">
        <x:v>Not applicable</x:v>
      </x:c>
      <x:c r="AI347" s="4" t="str">
        <x:v>Material</x:v>
      </x:c>
      <x:c r="AJ347" s="4" t="n">
        <x:f>COUNTIFS('Material routes'!$D$6:$D$2205,A347,'Material routes'!$C$6:$C$2205,"Output")</x:f>
        <x:v>0</x:v>
      </x:c>
      <x:c r="AK347" s="4" t="n">
        <x:f>SUM(COUNTIFS('Material routes'!$D$6:$D$2205,A347,'Material routes'!$C$6:$C$2205,"Ingredient candidate"),COUNTIFS('Material routes'!$D$6:$D$2205,A347,'Material routes'!$C$6:$C$2205,"Consumed input"),COUNTIFS('Material routes'!$D$6:$D$2205,A347,'Material routes'!$C$6:$C$2205,"Contained input"),COUNTIFS('Material routes'!$D$6:$D$2205,A347,'Material routes'!$C$6:$C$2205,"Transform input"))</x:f>
        <x:v>0</x:v>
      </x:c>
      <x:c r="AL347" s="4" t="n">
        <x:f>COUNTIFS('Material routes'!$D$6:$D$2205,A347,'Material routes'!$C$6:$C$2205,"Tool candidate")</x:f>
        <x:v>0</x:v>
      </x:c>
      <x:c r="AM347" s="4" t="str">
        <x:f>IF(AJ347&gt;0,"Route listed; review status/completeness",IF(C347="T0","Raw entry feed; no production route","No production route listed"))</x:f>
        <x:v>Raw entry feed; no production route</x:v>
      </x:c>
      <x:c r="AN347" s="14" t="n">
        <x:f>IF(C347="T0",0,IF(C347="T1",1,IF(C347="T2",2,IF(C347="T3",3,IF(C347="T4",4,IF(C347="Unassigned",98,99))))))</x:f>
        <x:v>0</x:v>
      </x:c>
      <x:c r="AZ347"/>
      <x:c r="BA347"/>
      <x:c r="BB347"/>
      <x:c r="BC347"/>
      <x:c r="BD347"/>
      <x:c r="BE347"/>
      <x:c r="BF347"/>
      <x:c r="BG347"/>
      <x:c r="BH347"/>
      <x:c r="BI347"/>
      <x:c r="BJ347"/>
      <x:c r="BK347"/>
      <x:c r="BL347"/>
      <x:c r="BM347"/>
      <x:c r="BN347"/>
      <x:c r="BO347"/>
      <x:c r="BP347"/>
      <x:c r="BQ347"/>
      <x:c r="BR347"/>
      <x:c r="BS347"/>
      <x:c r="BT347"/>
      <x:c r="BU347"/>
      <x:c r="BV347"/>
      <x:c r="BW347"/>
      <x:c r="BX347"/>
      <x:c r="BY347"/>
      <x:c r="BZ347"/>
      <x:c r="CA347"/>
      <x:c r="CB347"/>
      <x:c r="CC347"/>
    </x:row>
    <x:row r="348" ht="110" customHeight="1">
      <x:c r="A348" s="9" t="str">
        <x:v>proposal.raw.brass_scrap</x:v>
      </x:c>
      <x:c r="B348" s="9" t="str">
        <x:v>Salvaged brass fragments</x:v>
      </x:c>
      <x:c r="C348" s="4" t="str">
        <x:v>T0</x:v>
      </x:c>
      <x:c r="D348" s="9" t="inlineStr">
        <x:is>
          <x:t xml:space="preserve">Salvage</x:t>
        </x:is>
      </x:c>
      <x:c r="E348" s="9" t="str">
        <x:v>Salvaged feedstock</x:v>
      </x:c>
      <x:c r="F348" s="9" t="str">
        <x:v>New proposal</x:v>
      </x:c>
      <x:c r="G348" s="9" t="inlineStr">
        <x:is>
          <x:t xml:space="preserve">Mixed brass fragments recovered as possible alloy feed. Sorting and inspection are needed before they can enter a controlled reclaiming process; fragment recovery does not establish a specific alloy grade.</x:t>
        </x:is>
      </x:c>
      <x:c r="H348" s="9" t="str">
        <x:v>None</x:v>
      </x:c>
      <x:c r="I348" s="9" t="str">
        <x:v>Gathered raw/salvage cargo: Legger or local storage; policy TBD</x:v>
      </x:c>
      <x:c r="J348" s="13"/>
      <x:c r="K348" s="15"/>
      <x:c r="L348" s="9" t="str">
        <x:v>Identifiable yellow-metal scrap from old fittings</x:v>
      </x:c>
      <x:c r="M348" s="9" t="str">
        <x:v>Sort candidate alloy feed or small fitting blanks; no recipe or yield authored.</x:v>
      </x:c>
      <x:c r="N348" s="9" t="str">
        <x:v>Not implemented</x:v>
      </x:c>
      <x:c r="O348" s="9" t="str">
        <x:v>Brass is a proposed recovered material, not a new manufacturing capability or currency denomination.</x:v>
      </x:c>
      <x:c r="P348" s="17"/>
      <x:c r="Q348" s="17"/>
      <x:c r="R348" s="17"/>
      <x:c r="S348" s="17"/>
      <x:c r="T348" s="17"/>
      <x:c r="U348" s="9" t="str">
        <x:v>New raw-material proposal; collection, processing grade, mass, trade value and host compatibility undecided. Existing broad resources are reused rather than replaced.</x:v>
      </x:c>
      <x:c r="V348" s="11"/>
      <x:c r="W348" s="9" t="str">
        <x:v>Local brainstorming from author request for grounded raw materials October 14, 2026. These candidates are not claims retrieved from the lore repository.</x:v>
      </x:c>
      <x:c r="X348" s="4" t="str">
        <x:v>Raw material</x:v>
      </x:c>
      <x:c r="Y348" s="4" t="str">
        <x:v>Recovered material</x:v>
      </x:c>
      <x:c r="Z348" s="4" t="str">
        <x:v>Industrial salvage</x:v>
      </x:c>
      <x:c r="AA348" s="4" t="str">
        <x:v>Metal refining</x:v>
      </x:c>
      <x:c r="AB348" s="4" t="str">
        <x:v>Metal</x:v>
      </x:c>
      <x:c r="AC348" s="4" t="str">
        <x:v>Solid piece</x:v>
      </x:c>
      <x:c r="AD348" s="4" t="str">
        <x:v>Proposal</x:v>
      </x:c>
      <x:c r="AE348" s="4" t="str">
        <x:f>LOWER(A348&amp;"; "&amp;B348&amp;"; "&amp;D348&amp;"; "&amp;E348&amp;"; "&amp;X348&amp;"; "&amp;Y348&amp;"; "&amp;Z348&amp;"; "&amp;AA348&amp;"; "&amp;AB348&amp;"; "&amp;AC348&amp;"; "&amp;AD348&amp;"; "&amp;V348&amp;"; "&amp;C348&amp;"; "&amp;AH348&amp;"; "&amp;AI348)</x:f>
        <x:v>proposal.raw.brass_scrap; salvaged brass fragments; salvage; salvaged feedstock; raw material; recovered material; industrial salvage; metal refining; metal; solid piece; proposal; ; t0; not applicable; material</x:v>
      </x:c>
      <x:c r="AF348" s="4" t="str">
        <x:v>Specific raw form and candidate uses are proposals; no automatic biological function, chemistry, deposit or crafting capability. Lore category review: Resources -&gt; Salvage feedstock. Classification only; original item status and tier retained.</x:v>
      </x:c>
      <x:c r="AG348" s="4" t="str">
        <x:v>Raw gathered/recovered craft input under the author T0 framework. This does not imply a naturally occurring pure metal.</x:v>
      </x:c>
      <x:c r="AH348" s="4" t="str">
        <x:v>Not applicable</x:v>
      </x:c>
      <x:c r="AI348" s="4" t="str">
        <x:v>Material</x:v>
      </x:c>
      <x:c r="AJ348" s="4" t="n">
        <x:f>COUNTIFS('Material routes'!$D$6:$D$2205,A348,'Material routes'!$C$6:$C$2205,"Output")</x:f>
        <x:v>0</x:v>
      </x:c>
      <x:c r="AK348" s="4" t="n">
        <x:f>SUM(COUNTIFS('Material routes'!$D$6:$D$2205,A348,'Material routes'!$C$6:$C$2205,"Ingredient candidate"),COUNTIFS('Material routes'!$D$6:$D$2205,A348,'Material routes'!$C$6:$C$2205,"Consumed input"),COUNTIFS('Material routes'!$D$6:$D$2205,A348,'Material routes'!$C$6:$C$2205,"Contained input"),COUNTIFS('Material routes'!$D$6:$D$2205,A348,'Material routes'!$C$6:$C$2205,"Transform input"))</x:f>
        <x:v>1</x:v>
      </x:c>
      <x:c r="AL348" s="4" t="n">
        <x:f>COUNTIFS('Material routes'!$D$6:$D$2205,A348,'Material routes'!$C$6:$C$2205,"Tool candidate")</x:f>
        <x:v>0</x:v>
      </x:c>
      <x:c r="AM348" s="4" t="str">
        <x:f>IF(AJ348&gt;0,"Route listed; review status/completeness",IF(C348="T0","Raw entry feed; no production route","No production route listed"))</x:f>
        <x:v>Raw entry feed; no production route</x:v>
      </x:c>
      <x:c r="AN348" s="14" t="n">
        <x:f>IF(C348="T0",0,IF(C348="T1",1,IF(C348="T2",2,IF(C348="T3",3,IF(C348="T4",4,IF(C348="Unassigned",98,99))))))</x:f>
        <x:v>0</x:v>
      </x:c>
      <x:c r="AZ348"/>
      <x:c r="BA348"/>
      <x:c r="BB348"/>
      <x:c r="BC348"/>
      <x:c r="BD348"/>
      <x:c r="BE348"/>
      <x:c r="BF348"/>
      <x:c r="BG348"/>
      <x:c r="BH348"/>
      <x:c r="BI348"/>
      <x:c r="BJ348"/>
      <x:c r="BK348"/>
      <x:c r="BL348"/>
      <x:c r="BM348"/>
      <x:c r="BN348"/>
      <x:c r="BO348"/>
      <x:c r="BP348"/>
      <x:c r="BQ348"/>
      <x:c r="BR348"/>
      <x:c r="BS348"/>
      <x:c r="BT348"/>
      <x:c r="BU348"/>
      <x:c r="BV348"/>
      <x:c r="BW348"/>
      <x:c r="BX348"/>
      <x:c r="BY348"/>
      <x:c r="BZ348"/>
      <x:c r="CA348"/>
      <x:c r="CB348"/>
      <x:c r="CC348"/>
    </x:row>
    <x:row r="349" ht="110" customHeight="1">
      <x:c r="A349" s="9" t="str">
        <x:v>proposal.raw.bronze_scrap</x:v>
      </x:c>
      <x:c r="B349" s="9" t="str">
        <x:v>Salvaged bronze fragments</x:v>
      </x:c>
      <x:c r="C349" s="4" t="str">
        <x:v>T0</x:v>
      </x:c>
      <x:c r="D349" s="9" t="inlineStr">
        <x:is>
          <x:t xml:space="preserve">Salvage</x:t>
        </x:is>
      </x:c>
      <x:c r="E349" s="9" t="str">
        <x:v>Salvaged feedstock</x:v>
      </x:c>
      <x:c r="F349" s="9" t="str">
        <x:v>New proposal</x:v>
      </x:c>
      <x:c r="G349" s="9" t="inlineStr">
        <x:is>
          <x:t xml:space="preserve">Mixed bronze fragments recovered as possible alloy feed. Sorting separates candidate metal from contamination and incompatible pieces before any proposed refining or reuse.</x:t>
        </x:is>
      </x:c>
      <x:c r="H349" s="9" t="str">
        <x:v>None</x:v>
      </x:c>
      <x:c r="I349" s="9" t="str">
        <x:v>Gathered raw/salvage cargo: Legger or local storage; policy TBD</x:v>
      </x:c>
      <x:c r="J349" s="13"/>
      <x:c r="K349" s="15"/>
      <x:c r="L349" s="9" t="str">
        <x:v>Identifiable bronze-like scrap from old components</x:v>
      </x:c>
      <x:c r="M349" s="9" t="str">
        <x:v>Sort candidate alloy feed or compatible repair-stock blanks; no recipe or yield authored.</x:v>
      </x:c>
      <x:c r="N349" s="9" t="str">
        <x:v>Not implemented</x:v>
      </x:c>
      <x:c r="O349" s="9" t="str">
        <x:v>Alloy identity and properties need qualification; no automatic compatibility with iron or ancient parts.</x:v>
      </x:c>
      <x:c r="P349" s="17"/>
      <x:c r="Q349" s="17"/>
      <x:c r="R349" s="17"/>
      <x:c r="S349" s="17"/>
      <x:c r="T349" s="17"/>
      <x:c r="U349" s="9" t="str">
        <x:v>New raw-material proposal; collection, processing grade, mass, trade value and host compatibility undecided. Existing broad resources are reused rather than replaced.</x:v>
      </x:c>
      <x:c r="V349" s="11"/>
      <x:c r="W349" s="9" t="str">
        <x:v>Local brainstorming from author request for grounded raw materials October 14, 2026. These candidates are not claims retrieved from the lore repository.</x:v>
      </x:c>
      <x:c r="X349" s="4" t="str">
        <x:v>Raw material</x:v>
      </x:c>
      <x:c r="Y349" s="4" t="str">
        <x:v>Recovered material</x:v>
      </x:c>
      <x:c r="Z349" s="4" t="str">
        <x:v>Industrial salvage</x:v>
      </x:c>
      <x:c r="AA349" s="4" t="str">
        <x:v>Metal refining</x:v>
      </x:c>
      <x:c r="AB349" s="4" t="str">
        <x:v>Metal</x:v>
      </x:c>
      <x:c r="AC349" s="4" t="str">
        <x:v>Solid piece</x:v>
      </x:c>
      <x:c r="AD349" s="4" t="str">
        <x:v>Proposal</x:v>
      </x:c>
      <x:c r="AE349" s="4" t="str">
        <x:f>LOWER(A349&amp;"; "&amp;B349&amp;"; "&amp;D349&amp;"; "&amp;E349&amp;"; "&amp;X349&amp;"; "&amp;Y349&amp;"; "&amp;Z349&amp;"; "&amp;AA349&amp;"; "&amp;AB349&amp;"; "&amp;AC349&amp;"; "&amp;AD349&amp;"; "&amp;V349&amp;"; "&amp;C349&amp;"; "&amp;AH349&amp;"; "&amp;AI349)</x:f>
        <x:v>proposal.raw.bronze_scrap; salvaged bronze fragments; salvage; salvaged feedstock; raw material; recovered material; industrial salvage; metal refining; metal; solid piece; proposal; ; t0; not applicable; material</x:v>
      </x:c>
      <x:c r="AF349" s="4" t="str">
        <x:v>Specific raw form and candidate uses are proposals; no automatic biological function, chemistry, deposit or crafting capability. Lore category review: Resources -&gt; Salvage feedstock. Classification only; original item status and tier retained.</x:v>
      </x:c>
      <x:c r="AG349" s="4" t="str">
        <x:v>Raw gathered/recovered craft input under the author T0 framework. This does not imply a naturally occurring pure metal.</x:v>
      </x:c>
      <x:c r="AH349" s="4" t="str">
        <x:v>Not applicable</x:v>
      </x:c>
      <x:c r="AI349" s="4" t="str">
        <x:v>Material</x:v>
      </x:c>
      <x:c r="AJ349" s="4" t="n">
        <x:f>COUNTIFS('Material routes'!$D$6:$D$2205,A349,'Material routes'!$C$6:$C$2205,"Output")</x:f>
        <x:v>0</x:v>
      </x:c>
      <x:c r="AK349" s="4" t="n">
        <x:f>SUM(COUNTIFS('Material routes'!$D$6:$D$2205,A349,'Material routes'!$C$6:$C$2205,"Ingredient candidate"),COUNTIFS('Material routes'!$D$6:$D$2205,A349,'Material routes'!$C$6:$C$2205,"Consumed input"),COUNTIFS('Material routes'!$D$6:$D$2205,A349,'Material routes'!$C$6:$C$2205,"Contained input"),COUNTIFS('Material routes'!$D$6:$D$2205,A349,'Material routes'!$C$6:$C$2205,"Transform input"))</x:f>
        <x:v>1</x:v>
      </x:c>
      <x:c r="AL349" s="4" t="n">
        <x:f>COUNTIFS('Material routes'!$D$6:$D$2205,A349,'Material routes'!$C$6:$C$2205,"Tool candidate")</x:f>
        <x:v>0</x:v>
      </x:c>
      <x:c r="AM349" s="4" t="str">
        <x:f>IF(AJ349&gt;0,"Route listed; review status/completeness",IF(C349="T0","Raw entry feed; no production route","No production route listed"))</x:f>
        <x:v>Raw entry feed; no production route</x:v>
      </x:c>
      <x:c r="AN349" s="14" t="n">
        <x:f>IF(C349="T0",0,IF(C349="T1",1,IF(C349="T2",2,IF(C349="T3",3,IF(C349="T4",4,IF(C349="Unassigned",98,99))))))</x:f>
        <x:v>0</x:v>
      </x:c>
      <x:c r="AZ349"/>
      <x:c r="BA349"/>
      <x:c r="BB349"/>
      <x:c r="BC349"/>
      <x:c r="BD349"/>
      <x:c r="BE349"/>
      <x:c r="BF349"/>
      <x:c r="BG349"/>
      <x:c r="BH349"/>
      <x:c r="BI349"/>
      <x:c r="BJ349"/>
      <x:c r="BK349"/>
      <x:c r="BL349"/>
      <x:c r="BM349"/>
      <x:c r="BN349"/>
      <x:c r="BO349"/>
      <x:c r="BP349"/>
      <x:c r="BQ349"/>
      <x:c r="BR349"/>
      <x:c r="BS349"/>
      <x:c r="BT349"/>
      <x:c r="BU349"/>
      <x:c r="BV349"/>
      <x:c r="BW349"/>
      <x:c r="BX349"/>
      <x:c r="BY349"/>
      <x:c r="BZ349"/>
      <x:c r="CA349"/>
      <x:c r="CB349"/>
      <x:c r="CC349"/>
    </x:row>
    <x:row r="350" ht="110" customHeight="1">
      <x:c r="A350" s="9" t="str">
        <x:v>proposal.raw.hinge_halves</x:v>
      </x:c>
      <x:c r="B350" s="9" t="str">
        <x:v>Discarded hinge halves</x:v>
      </x:c>
      <x:c r="C350" s="4" t="str">
        <x:v>T0</x:v>
      </x:c>
      <x:c r="D350" s="9" t="inlineStr">
        <x:is>
          <x:t xml:space="preserve">Salvage</x:t>
        </x:is>
      </x:c>
      <x:c r="E350" s="9" t="str">
        <x:v>Salvaged feedstock</x:v>
      </x:c>
      <x:c r="F350" s="9" t="str">
        <x:v>New proposal</x:v>
      </x:c>
      <x:c r="G350" s="9" t="inlineStr">
        <x:is>
          <x:t xml:space="preserve">Discarded halves of metal hinges, retained as possible fittings or metal feed. A reusable hinge requires a matching half, pin and suitable attachment geometry; an isolated half is not a complete mechanism.</x:t>
        </x:is>
      </x:c>
      <x:c r="H350" s="9" t="str">
        <x:v>None</x:v>
      </x:c>
      <x:c r="I350" s="9" t="str">
        <x:v>Gathered raw/salvage cargo: Legger or local storage; policy TBD</x:v>
      </x:c>
      <x:c r="J350" s="13"/>
      <x:c r="K350" s="15"/>
      <x:c r="L350" s="9" t="str">
        <x:v>Separated metal leaves from damaged hinges</x:v>
      </x:c>
      <x:c r="M350" s="9" t="str">
        <x:v>Recover usable geometry or metal feed for small mechanisms; no recipe or yield authored.</x:v>
      </x:c>
      <x:c r="N350" s="9" t="str">
        <x:v>Not implemented</x:v>
      </x:c>
      <x:c r="O350" s="9" t="str">
        <x:v>Not the finished Legger hinge plate or guard hinge; fit and remaining service life unresolved.</x:v>
      </x:c>
      <x:c r="P350" s="17"/>
      <x:c r="Q350" s="17"/>
      <x:c r="R350" s="17"/>
      <x:c r="S350" s="17"/>
      <x:c r="T350" s="17"/>
      <x:c r="U350" s="9" t="str">
        <x:v>New raw-material proposal; collection, processing grade, mass, trade value and host compatibility undecided. Existing broad resources are reused rather than replaced.</x:v>
      </x:c>
      <x:c r="V350" s="11" t="str">
        <x:v>equipment repair</x:v>
      </x:c>
      <x:c r="W350" s="9" t="str">
        <x:v>Local brainstorming from author request for grounded raw materials October 14, 2026. These candidates are not claims retrieved from the lore repository.</x:v>
      </x:c>
      <x:c r="X350" s="4" t="str">
        <x:v>Raw material</x:v>
      </x:c>
      <x:c r="Y350" s="4" t="str">
        <x:v>Recovered material</x:v>
      </x:c>
      <x:c r="Z350" s="4" t="str">
        <x:v>Industrial salvage</x:v>
      </x:c>
      <x:c r="AA350" s="4" t="str">
        <x:v>Equipment fabrication</x:v>
      </x:c>
      <x:c r="AB350" s="4" t="str">
        <x:v>Metal</x:v>
      </x:c>
      <x:c r="AC350" s="4" t="str">
        <x:v>Solid part</x:v>
      </x:c>
      <x:c r="AD350" s="4" t="str">
        <x:v>Proposal</x:v>
      </x:c>
      <x:c r="AE350" s="4" t="str">
        <x:f>LOWER(A350&amp;"; "&amp;B350&amp;"; "&amp;D350&amp;"; "&amp;E350&amp;"; "&amp;X350&amp;"; "&amp;Y350&amp;"; "&amp;Z350&amp;"; "&amp;AA350&amp;"; "&amp;AB350&amp;"; "&amp;AC350&amp;"; "&amp;AD350&amp;"; "&amp;V350&amp;"; "&amp;C350&amp;"; "&amp;AH350&amp;"; "&amp;AI350)</x:f>
        <x:v>proposal.raw.hinge_halves; discarded hinge halves; salvage; salvaged feedstock; raw material; recovered material; industrial salvage; equipment fabrication; metal; solid part; proposal; equipment repair; t0; not applicable; material</x:v>
      </x:c>
      <x:c r="AF350" s="4" t="str">
        <x:v>Specific raw form and candidate uses are proposals; no automatic biological function, chemistry, deposit or crafting capability. Lore category review: Resources -&gt; Salvage feedstock. Classification only; original item status and tier retained.</x:v>
      </x:c>
      <x:c r="AG350" s="4" t="str">
        <x:v>Raw gathered/recovered craft input under the author T0 framework. This does not imply a naturally occurring pure metal.</x:v>
      </x:c>
      <x:c r="AH350" s="4" t="str">
        <x:v>Not applicable</x:v>
      </x:c>
      <x:c r="AI350" s="4" t="str">
        <x:v>Material</x:v>
      </x:c>
      <x:c r="AJ350" s="4" t="n">
        <x:f>COUNTIFS('Material routes'!$D$6:$D$2205,A350,'Material routes'!$C$6:$C$2205,"Output")</x:f>
        <x:v>0</x:v>
      </x:c>
      <x:c r="AK350" s="4" t="n">
        <x:f>SUM(COUNTIFS('Material routes'!$D$6:$D$2205,A350,'Material routes'!$C$6:$C$2205,"Ingredient candidate"),COUNTIFS('Material routes'!$D$6:$D$2205,A350,'Material routes'!$C$6:$C$2205,"Consumed input"),COUNTIFS('Material routes'!$D$6:$D$2205,A350,'Material routes'!$C$6:$C$2205,"Contained input"),COUNTIFS('Material routes'!$D$6:$D$2205,A350,'Material routes'!$C$6:$C$2205,"Transform input"))</x:f>
        <x:v>0</x:v>
      </x:c>
      <x:c r="AL350" s="4" t="n">
        <x:f>COUNTIFS('Material routes'!$D$6:$D$2205,A350,'Material routes'!$C$6:$C$2205,"Tool candidate")</x:f>
        <x:v>0</x:v>
      </x:c>
      <x:c r="AM350" s="4" t="str">
        <x:f>IF(AJ350&gt;0,"Route listed; review status/completeness",IF(C350="T0","Raw entry feed; no production route","No production route listed"))</x:f>
        <x:v>Raw entry feed; no production route</x:v>
      </x:c>
      <x:c r="AN350" s="14" t="n">
        <x:f>IF(C350="T0",0,IF(C350="T1",1,IF(C350="T2",2,IF(C350="T3",3,IF(C350="T4",4,IF(C350="Unassigned",98,99))))))</x:f>
        <x:v>0</x:v>
      </x:c>
      <x:c r="AZ350"/>
      <x:c r="BA350"/>
      <x:c r="BB350"/>
      <x:c r="BC350"/>
      <x:c r="BD350"/>
      <x:c r="BE350"/>
      <x:c r="BF350"/>
      <x:c r="BG350"/>
      <x:c r="BH350"/>
      <x:c r="BI350"/>
      <x:c r="BJ350"/>
      <x:c r="BK350"/>
      <x:c r="BL350"/>
      <x:c r="BM350"/>
      <x:c r="BN350"/>
      <x:c r="BO350"/>
      <x:c r="BP350"/>
      <x:c r="BQ350"/>
      <x:c r="BR350"/>
      <x:c r="BS350"/>
      <x:c r="BT350"/>
      <x:c r="BU350"/>
      <x:c r="BV350"/>
      <x:c r="BW350"/>
      <x:c r="BX350"/>
      <x:c r="BY350"/>
      <x:c r="BZ350"/>
      <x:c r="CA350"/>
      <x:c r="CB350"/>
      <x:c r="CC350"/>
    </x:row>
    <x:row r="351" ht="110" customHeight="1">
      <x:c r="A351" s="9" t="str">
        <x:v>proposal.raw.hoop_bands</x:v>
      </x:c>
      <x:c r="B351" s="9" t="str">
        <x:v>Salvaged metal hoop bands</x:v>
      </x:c>
      <x:c r="C351" s="4" t="str">
        <x:v>T0</x:v>
      </x:c>
      <x:c r="D351" s="9" t="inlineStr">
        <x:is>
          <x:t xml:space="preserve">Salvage</x:t>
        </x:is>
      </x:c>
      <x:c r="E351" s="9" t="str">
        <x:v>Salvaged feedstock</x:v>
      </x:c>
      <x:c r="F351" s="9" t="str">
        <x:v>New proposal</x:v>
      </x:c>
      <x:c r="G351" s="9" t="inlineStr">
        <x:is>
          <x:t xml:space="preserve">Recovered metal bands formed into curved or ring-like sections. They are candidates for retaining or mounting parts after their dimensions, joints and condition have been checked.</x:t>
        </x:is>
      </x:c>
      <x:c r="H351" s="9" t="str">
        <x:v>None</x:v>
      </x:c>
      <x:c r="I351" s="9" t="str">
        <x:v>Gathered raw/salvage cargo: Legger or local storage; policy TBD</x:v>
      </x:c>
      <x:c r="J351" s="13"/>
      <x:c r="K351" s="15"/>
      <x:c r="L351" s="9" t="str">
        <x:v>Curved metal bands from discarded vessels and assemblies</x:v>
      </x:c>
      <x:c r="M351" s="9" t="str">
        <x:v>Trim candidate retaining bands or shaped-stock feed; no recipe or yield authored.</x:v>
      </x:c>
      <x:c r="N351" s="9" t="str">
        <x:v>Not implemented</x:v>
      </x:c>
      <x:c r="O351" s="9" t="str">
        <x:v>Diameter, material and fatigue matter; not automatically a pressure-vessel clamp.</x:v>
      </x:c>
      <x:c r="P351" s="17"/>
      <x:c r="Q351" s="17"/>
      <x:c r="R351" s="17"/>
      <x:c r="S351" s="17"/>
      <x:c r="T351" s="17"/>
      <x:c r="U351" s="9" t="str">
        <x:v>New raw-material proposal; collection, processing grade, mass, trade value and host compatibility undecided. Existing broad resources are reused rather than replaced.</x:v>
      </x:c>
      <x:c r="V351" s="11" t="str">
        <x:v>fabrication</x:v>
      </x:c>
      <x:c r="W351" s="9" t="str">
        <x:v>Local brainstorming from author request for grounded raw materials October 14, 2026. These candidates are not claims retrieved from the lore repository.</x:v>
      </x:c>
      <x:c r="X351" s="4" t="str">
        <x:v>Raw material</x:v>
      </x:c>
      <x:c r="Y351" s="4" t="str">
        <x:v>Recovered material</x:v>
      </x:c>
      <x:c r="Z351" s="4" t="str">
        <x:v>Industrial salvage</x:v>
      </x:c>
      <x:c r="AA351" s="4" t="str">
        <x:v>Equipment mounting</x:v>
      </x:c>
      <x:c r="AB351" s="4" t="str">
        <x:v>Metal</x:v>
      </x:c>
      <x:c r="AC351" s="4" t="str">
        <x:v>Strip</x:v>
      </x:c>
      <x:c r="AD351" s="4" t="str">
        <x:v>Proposal</x:v>
      </x:c>
      <x:c r="AE351" s="4" t="str">
        <x:f>LOWER(A351&amp;"; "&amp;B351&amp;"; "&amp;D351&amp;"; "&amp;E351&amp;"; "&amp;X351&amp;"; "&amp;Y351&amp;"; "&amp;Z351&amp;"; "&amp;AA351&amp;"; "&amp;AB351&amp;"; "&amp;AC351&amp;"; "&amp;AD351&amp;"; "&amp;V351&amp;"; "&amp;C351&amp;"; "&amp;AH351&amp;"; "&amp;AI351)</x:f>
        <x:v>proposal.raw.hoop_bands; salvaged metal hoop bands; salvage; salvaged feedstock; raw material; recovered material; industrial salvage; equipment mounting; metal; strip; proposal; fabrication; t0; not applicable; material</x:v>
      </x:c>
      <x:c r="AF351" s="4" t="str">
        <x:v>Specific raw form and candidate uses are proposals; no automatic biological function, chemistry, deposit or crafting capability. Lore category review: Resources -&gt; Salvage feedstock. Classification only; original item status and tier retained.</x:v>
      </x:c>
      <x:c r="AG351" s="4" t="str">
        <x:v>Raw gathered/recovered craft input under the author T0 framework. This does not imply a naturally occurring pure metal.</x:v>
      </x:c>
      <x:c r="AH351" s="4" t="str">
        <x:v>Not applicable</x:v>
      </x:c>
      <x:c r="AI351" s="4" t="str">
        <x:v>Material</x:v>
      </x:c>
      <x:c r="AJ351" s="4" t="n">
        <x:f>COUNTIFS('Material routes'!$D$6:$D$2205,A351,'Material routes'!$C$6:$C$2205,"Output")</x:f>
        <x:v>0</x:v>
      </x:c>
      <x:c r="AK351" s="4" t="n">
        <x:f>SUM(COUNTIFS('Material routes'!$D$6:$D$2205,A351,'Material routes'!$C$6:$C$2205,"Ingredient candidate"),COUNTIFS('Material routes'!$D$6:$D$2205,A351,'Material routes'!$C$6:$C$2205,"Consumed input"),COUNTIFS('Material routes'!$D$6:$D$2205,A351,'Material routes'!$C$6:$C$2205,"Contained input"),COUNTIFS('Material routes'!$D$6:$D$2205,A351,'Material routes'!$C$6:$C$2205,"Transform input"))</x:f>
        <x:v>0</x:v>
      </x:c>
      <x:c r="AL351" s="4" t="n">
        <x:f>COUNTIFS('Material routes'!$D$6:$D$2205,A351,'Material routes'!$C$6:$C$2205,"Tool candidate")</x:f>
        <x:v>0</x:v>
      </x:c>
      <x:c r="AM351" s="4" t="str">
        <x:f>IF(AJ351&gt;0,"Route listed; review status/completeness",IF(C351="T0","Raw entry feed; no production route","No production route listed"))</x:f>
        <x:v>Raw entry feed; no production route</x:v>
      </x:c>
      <x:c r="AN351" s="14" t="n">
        <x:f>IF(C351="T0",0,IF(C351="T1",1,IF(C351="T2",2,IF(C351="T3",3,IF(C351="T4",4,IF(C351="Unassigned",98,99))))))</x:f>
        <x:v>0</x:v>
      </x:c>
      <x:c r="AZ351"/>
      <x:c r="BA351"/>
      <x:c r="BB351"/>
      <x:c r="BC351"/>
      <x:c r="BD351"/>
      <x:c r="BE351"/>
      <x:c r="BF351"/>
      <x:c r="BG351"/>
      <x:c r="BH351"/>
      <x:c r="BI351"/>
      <x:c r="BJ351"/>
      <x:c r="BK351"/>
      <x:c r="BL351"/>
      <x:c r="BM351"/>
      <x:c r="BN351"/>
      <x:c r="BO351"/>
      <x:c r="BP351"/>
      <x:c r="BQ351"/>
      <x:c r="BR351"/>
      <x:c r="BS351"/>
      <x:c r="BT351"/>
      <x:c r="BU351"/>
      <x:c r="BV351"/>
      <x:c r="BW351"/>
      <x:c r="BX351"/>
      <x:c r="BY351"/>
      <x:c r="BZ351"/>
      <x:c r="CA351"/>
      <x:c r="CB351"/>
      <x:c r="CC351"/>
    </x:row>
    <x:row r="352" ht="110" customHeight="1">
      <x:c r="A352" s="9" t="str">
        <x:v>proposal.raw.pipe_sections</x:v>
      </x:c>
      <x:c r="B352" s="9" t="str">
        <x:v>Old metal pipe sections</x:v>
      </x:c>
      <x:c r="C352" s="4" t="str">
        <x:v>T0</x:v>
      </x:c>
      <x:c r="D352" s="9" t="inlineStr">
        <x:is>
          <x:t xml:space="preserve">Salvage</x:t>
        </x:is>
      </x:c>
      <x:c r="E352" s="9" t="str">
        <x:v>Salvaged feedstock</x:v>
      </x:c>
      <x:c r="F352" s="9" t="str">
        <x:v>New proposal</x:v>
      </x:c>
      <x:c r="G352" s="9" t="inlineStr">
        <x:is>
          <x:t xml:space="preserve">Sections of old metal pipe recovered as hollow stock. Their bore and wall form suggest sleeves, supports or other fabrication blanks, while corrosion and unknown service history limit direct reuse.</x:t>
        </x:is>
      </x:c>
      <x:c r="H352" s="9" t="str">
        <x:v>None</x:v>
      </x:c>
      <x:c r="I352" s="9" t="str">
        <x:v>Gathered raw/salvage cargo: Legger or local storage; policy TBD</x:v>
      </x:c>
      <x:c r="J352" s="13"/>
      <x:c r="K352" s="15"/>
      <x:c r="L352" s="9" t="str">
        <x:v>Short recovered metal tube lengths</x:v>
      </x:c>
      <x:c r="M352" s="9" t="str">
        <x:v>Select candidate sleeves, housings or raw metal feed; no recipe or yield authored.</x:v>
      </x:c>
      <x:c r="N352" s="9" t="str">
        <x:v>Not implemented</x:v>
      </x:c>
      <x:c r="O352" s="9" t="str">
        <x:v>Contents history, corrosion and service grade TBD; no assumed leak-tight liquid or pressure service.</x:v>
      </x:c>
      <x:c r="P352" s="17"/>
      <x:c r="Q352" s="17"/>
      <x:c r="R352" s="17"/>
      <x:c r="S352" s="17"/>
      <x:c r="T352" s="17"/>
      <x:c r="U352" s="9" t="str">
        <x:v>New raw-material proposal; collection, processing grade, mass, trade value and host compatibility undecided. Existing broad resources are reused rather than replaced.</x:v>
      </x:c>
      <x:c r="V352" s="11"/>
      <x:c r="W352" s="9" t="str">
        <x:v>Local brainstorming from author request for grounded raw materials October 14, 2026. These candidates are not claims retrieved from the lore repository.</x:v>
      </x:c>
      <x:c r="X352" s="4" t="str">
        <x:v>Raw material</x:v>
      </x:c>
      <x:c r="Y352" s="4" t="str">
        <x:v>Recovered material</x:v>
      </x:c>
      <x:c r="Z352" s="4" t="str">
        <x:v>Industrial salvage</x:v>
      </x:c>
      <x:c r="AA352" s="4" t="str">
        <x:v>Fabrication</x:v>
      </x:c>
      <x:c r="AB352" s="4" t="str">
        <x:v>Metal</x:v>
      </x:c>
      <x:c r="AC352" s="4" t="str">
        <x:v>Solid piece</x:v>
      </x:c>
      <x:c r="AD352" s="4" t="str">
        <x:v>Proposal</x:v>
      </x:c>
      <x:c r="AE352" s="4" t="str">
        <x:f>LOWER(A352&amp;"; "&amp;B352&amp;"; "&amp;D352&amp;"; "&amp;E352&amp;"; "&amp;X352&amp;"; "&amp;Y352&amp;"; "&amp;Z352&amp;"; "&amp;AA352&amp;"; "&amp;AB352&amp;"; "&amp;AC352&amp;"; "&amp;AD352&amp;"; "&amp;V352&amp;"; "&amp;C352&amp;"; "&amp;AH352&amp;"; "&amp;AI352)</x:f>
        <x:v>proposal.raw.pipe_sections; old metal pipe sections; salvage; salvaged feedstock; raw material; recovered material; industrial salvage; fabrication; metal; solid piece; proposal; ; t0; not applicable; material</x:v>
      </x:c>
      <x:c r="AF352" s="4" t="str">
        <x:v>Specific raw form and candidate uses are proposals; no automatic biological function, chemistry, deposit or crafting capability. Lore category review: Resources -&gt; Salvage feedstock. Classification only; original item status and tier retained.</x:v>
      </x:c>
      <x:c r="AG352" s="4" t="str">
        <x:v>Raw gathered/recovered craft input under the author T0 framework. This does not imply a naturally occurring pure metal.</x:v>
      </x:c>
      <x:c r="AH352" s="4" t="str">
        <x:v>Not applicable</x:v>
      </x:c>
      <x:c r="AI352" s="4" t="str">
        <x:v>Material</x:v>
      </x:c>
      <x:c r="AJ352" s="4" t="n">
        <x:f>COUNTIFS('Material routes'!$D$6:$D$2205,A352,'Material routes'!$C$6:$C$2205,"Output")</x:f>
        <x:v>0</x:v>
      </x:c>
      <x:c r="AK352" s="4" t="n">
        <x:f>SUM(COUNTIFS('Material routes'!$D$6:$D$2205,A352,'Material routes'!$C$6:$C$2205,"Ingredient candidate"),COUNTIFS('Material routes'!$D$6:$D$2205,A352,'Material routes'!$C$6:$C$2205,"Consumed input"),COUNTIFS('Material routes'!$D$6:$D$2205,A352,'Material routes'!$C$6:$C$2205,"Contained input"),COUNTIFS('Material routes'!$D$6:$D$2205,A352,'Material routes'!$C$6:$C$2205,"Transform input"))</x:f>
        <x:v>0</x:v>
      </x:c>
      <x:c r="AL352" s="4" t="n">
        <x:f>COUNTIFS('Material routes'!$D$6:$D$2205,A352,'Material routes'!$C$6:$C$2205,"Tool candidate")</x:f>
        <x:v>0</x:v>
      </x:c>
      <x:c r="AM352" s="4" t="str">
        <x:f>IF(AJ352&gt;0,"Route listed; review status/completeness",IF(C352="T0","Raw entry feed; no production route","No production route listed"))</x:f>
        <x:v>Raw entry feed; no production route</x:v>
      </x:c>
      <x:c r="AN352" s="14" t="n">
        <x:f>IF(C352="T0",0,IF(C352="T1",1,IF(C352="T2",2,IF(C352="T3",3,IF(C352="T4",4,IF(C352="Unassigned",98,99))))))</x:f>
        <x:v>0</x:v>
      </x:c>
      <x:c r="AZ352"/>
      <x:c r="BA352"/>
      <x:c r="BB352"/>
      <x:c r="BC352"/>
      <x:c r="BD352"/>
      <x:c r="BE352"/>
      <x:c r="BF352"/>
      <x:c r="BG352"/>
      <x:c r="BH352"/>
      <x:c r="BI352"/>
      <x:c r="BJ352"/>
      <x:c r="BK352"/>
      <x:c r="BL352"/>
      <x:c r="BM352"/>
      <x:c r="BN352"/>
      <x:c r="BO352"/>
      <x:c r="BP352"/>
      <x:c r="BQ352"/>
      <x:c r="BR352"/>
      <x:c r="BS352"/>
      <x:c r="BT352"/>
      <x:c r="BU352"/>
      <x:c r="BV352"/>
      <x:c r="BW352"/>
      <x:c r="BX352"/>
      <x:c r="BY352"/>
      <x:c r="BZ352"/>
      <x:c r="CA352"/>
      <x:c r="CB352"/>
      <x:c r="CC352"/>
    </x:row>
    <x:row r="353" ht="110" customHeight="1">
      <x:c r="A353" s="9" t="str">
        <x:v>proposal.raw.coated_sheet</x:v>
      </x:c>
      <x:c r="B353" s="9" t="str">
        <x:v>Coated sheet-metal scrap</x:v>
      </x:c>
      <x:c r="C353" s="4" t="str">
        <x:v>T0</x:v>
      </x:c>
      <x:c r="D353" s="9" t="inlineStr">
        <x:is>
          <x:t xml:space="preserve">Salvage</x:t>
        </x:is>
      </x:c>
      <x:c r="E353" s="9" t="str">
        <x:v>Salvaged feedstock</x:v>
      </x:c>
      <x:c r="F353" s="9" t="str">
        <x:v>New proposal</x:v>
      </x:c>
      <x:c r="G353" s="9" t="inlineStr">
        <x:is>
          <x:t xml:space="preserve">Scraps of sheet metal retaining an unknown surface coating. The flat material is candidate fabrication or reclaiming feed; the coating must be identified before heating, bonding or surface treatment.</x:t>
        </x:is>
      </x:c>
      <x:c r="H353" s="9" t="str">
        <x:v>None</x:v>
      </x:c>
      <x:c r="I353" s="9" t="str">
        <x:v>Gathered raw/salvage cargo: Legger or local storage; policy TBD</x:v>
      </x:c>
      <x:c r="J353" s="13"/>
      <x:c r="K353" s="15"/>
      <x:c r="L353" s="9" t="str">
        <x:v>Thin coated metal from damaged panels or containers</x:v>
      </x:c>
      <x:c r="M353" s="9" t="str">
        <x:v>Sort and qualify sheet stock for selected small parts; no recipe or yield authored.</x:v>
      </x:c>
      <x:c r="N353" s="9" t="str">
        <x:v>Not implemented</x:v>
      </x:c>
      <x:c r="O353" s="9" t="str">
        <x:v>Coating identity and residues unresolved; not automatically food-safe or suitable to heat.</x:v>
      </x:c>
      <x:c r="P353" s="17"/>
      <x:c r="Q353" s="17"/>
      <x:c r="R353" s="17"/>
      <x:c r="S353" s="17"/>
      <x:c r="T353" s="17"/>
      <x:c r="U353" s="9" t="str">
        <x:v>New raw-material proposal; collection, processing grade, mass, trade value and host compatibility undecided. Existing broad resources are reused rather than replaced.</x:v>
      </x:c>
      <x:c r="V353" s="11"/>
      <x:c r="W353" s="9" t="str">
        <x:v>Local brainstorming from author request for grounded raw materials October 14, 2026. These candidates are not claims retrieved from the lore repository.</x:v>
      </x:c>
      <x:c r="X353" s="4" t="str">
        <x:v>Raw material</x:v>
      </x:c>
      <x:c r="Y353" s="4" t="str">
        <x:v>Recovered material</x:v>
      </x:c>
      <x:c r="Z353" s="4" t="str">
        <x:v>Industrial salvage</x:v>
      </x:c>
      <x:c r="AA353" s="4" t="str">
        <x:v>Fabrication</x:v>
      </x:c>
      <x:c r="AB353" s="4" t="str">
        <x:v>Metal</x:v>
      </x:c>
      <x:c r="AC353" s="4" t="str">
        <x:v>Sheet</x:v>
      </x:c>
      <x:c r="AD353" s="4" t="str">
        <x:v>Proposal</x:v>
      </x:c>
      <x:c r="AE353" s="4" t="str">
        <x:f>LOWER(A353&amp;"; "&amp;B353&amp;"; "&amp;D353&amp;"; "&amp;E353&amp;"; "&amp;X353&amp;"; "&amp;Y353&amp;"; "&amp;Z353&amp;"; "&amp;AA353&amp;"; "&amp;AB353&amp;"; "&amp;AC353&amp;"; "&amp;AD353&amp;"; "&amp;V353&amp;"; "&amp;C353&amp;"; "&amp;AH353&amp;"; "&amp;AI353)</x:f>
        <x:v>proposal.raw.coated_sheet; coated sheet-metal scrap; salvage; salvaged feedstock; raw material; recovered material; industrial salvage; fabrication; metal; sheet; proposal; ; t0; not applicable; material</x:v>
      </x:c>
      <x:c r="AF353" s="4" t="str">
        <x:v>Specific raw form and candidate uses are proposals; no automatic biological function, chemistry, deposit or crafting capability. Lore category review: Resources -&gt; Salvage feedstock. Classification only; original item status and tier retained.</x:v>
      </x:c>
      <x:c r="AG353" s="4" t="str">
        <x:v>Raw gathered/recovered craft input under the author T0 framework. This does not imply a naturally occurring pure metal.</x:v>
      </x:c>
      <x:c r="AH353" s="4" t="str">
        <x:v>Not applicable</x:v>
      </x:c>
      <x:c r="AI353" s="4" t="str">
        <x:v>Material</x:v>
      </x:c>
      <x:c r="AJ353" s="4" t="n">
        <x:f>COUNTIFS('Material routes'!$D$6:$D$2205,A353,'Material routes'!$C$6:$C$2205,"Output")</x:f>
        <x:v>0</x:v>
      </x:c>
      <x:c r="AK353" s="4" t="n">
        <x:f>SUM(COUNTIFS('Material routes'!$D$6:$D$2205,A353,'Material routes'!$C$6:$C$2205,"Ingredient candidate"),COUNTIFS('Material routes'!$D$6:$D$2205,A353,'Material routes'!$C$6:$C$2205,"Consumed input"),COUNTIFS('Material routes'!$D$6:$D$2205,A353,'Material routes'!$C$6:$C$2205,"Contained input"),COUNTIFS('Material routes'!$D$6:$D$2205,A353,'Material routes'!$C$6:$C$2205,"Transform input"))</x:f>
        <x:v>0</x:v>
      </x:c>
      <x:c r="AL353" s="4" t="n">
        <x:f>COUNTIFS('Material routes'!$D$6:$D$2205,A353,'Material routes'!$C$6:$C$2205,"Tool candidate")</x:f>
        <x:v>0</x:v>
      </x:c>
      <x:c r="AM353" s="4" t="str">
        <x:f>IF(AJ353&gt;0,"Route listed; review status/completeness",IF(C353="T0","Raw entry feed; no production route","No production route listed"))</x:f>
        <x:v>Raw entry feed; no production route</x:v>
      </x:c>
      <x:c r="AN353" s="14" t="n">
        <x:f>IF(C353="T0",0,IF(C353="T1",1,IF(C353="T2",2,IF(C353="T3",3,IF(C353="T4",4,IF(C353="Unassigned",98,99))))))</x:f>
        <x:v>0</x:v>
      </x:c>
      <x:c r="AZ353"/>
      <x:c r="BA353"/>
      <x:c r="BB353"/>
      <x:c r="BC353"/>
      <x:c r="BD353"/>
      <x:c r="BE353"/>
      <x:c r="BF353"/>
      <x:c r="BG353"/>
      <x:c r="BH353"/>
      <x:c r="BI353"/>
      <x:c r="BJ353"/>
      <x:c r="BK353"/>
      <x:c r="BL353"/>
      <x:c r="BM353"/>
      <x:c r="BN353"/>
      <x:c r="BO353"/>
      <x:c r="BP353"/>
      <x:c r="BQ353"/>
      <x:c r="BR353"/>
      <x:c r="BS353"/>
      <x:c r="BT353"/>
      <x:c r="BU353"/>
      <x:c r="BV353"/>
      <x:c r="BW353"/>
      <x:c r="BX353"/>
      <x:c r="BY353"/>
      <x:c r="BZ353"/>
      <x:c r="CA353"/>
      <x:c r="CB353"/>
      <x:c r="CC353"/>
    </x:row>
    <x:row r="354" ht="110" customHeight="1">
      <x:c r="A354" s="9" t="str">
        <x:v>proposal.raw.bent_fasteners</x:v>
      </x:c>
      <x:c r="B354" s="9" t="str">
        <x:v>Bent nails and rivets</x:v>
      </x:c>
      <x:c r="C354" s="4" t="str">
        <x:v>T0</x:v>
      </x:c>
      <x:c r="D354" s="9" t="inlineStr">
        <x:is>
          <x:t xml:space="preserve">Salvage</x:t>
        </x:is>
      </x:c>
      <x:c r="E354" s="9" t="str">
        <x:v>Salvaged feedstock</x:v>
      </x:c>
      <x:c r="F354" s="9" t="str">
        <x:v>New proposal</x:v>
      </x:c>
      <x:c r="G354" s="9" t="inlineStr">
        <x:is>
          <x:t xml:space="preserve">Bent nails and rivets recovered as small metal scrap. Some pieces may offer recoverable metal, but deformation prevents assuming that they remain suitable fasteners.</x:t>
        </x:is>
      </x:c>
      <x:c r="H354" s="9" t="str">
        <x:v>None</x:v>
      </x:c>
      <x:c r="I354" s="9" t="str">
        <x:v>Gathered raw/salvage cargo: Legger or local storage; policy TBD</x:v>
      </x:c>
      <x:c r="J354" s="13"/>
      <x:c r="K354" s="15"/>
      <x:c r="L354" s="9" t="str">
        <x:v>Damaged fasteners removed from scrap assemblies</x:v>
      </x:c>
      <x:c r="M354" s="9" t="str">
        <x:v>Sort as metal feed or assess selected reworking candidates; no recipe or yield authored.</x:v>
      </x:c>
      <x:c r="N354" s="9" t="str">
        <x:v>Not implemented</x:v>
      </x:c>
      <x:c r="O354" s="9" t="str">
        <x:v>Different from a matched service fastener pack; damaged fasteners are not ready replacements.</x:v>
      </x:c>
      <x:c r="P354" s="17"/>
      <x:c r="Q354" s="17"/>
      <x:c r="R354" s="17"/>
      <x:c r="S354" s="17"/>
      <x:c r="T354" s="17"/>
      <x:c r="U354" s="9" t="str">
        <x:v>New raw-material proposal; collection, processing grade, mass, trade value and host compatibility undecided. Existing broad resources are reused rather than replaced.</x:v>
      </x:c>
      <x:c r="V354" s="11" t="str">
        <x:v>equipment fabrication</x:v>
      </x:c>
      <x:c r="W354" s="9" t="str">
        <x:v>Local brainstorming from author request for grounded raw materials October 14, 2026. These candidates are not claims retrieved from the lore repository.</x:v>
      </x:c>
      <x:c r="X354" s="4" t="str">
        <x:v>Raw material</x:v>
      </x:c>
      <x:c r="Y354" s="4" t="str">
        <x:v>Recovered material</x:v>
      </x:c>
      <x:c r="Z354" s="4" t="str">
        <x:v>Industrial salvage</x:v>
      </x:c>
      <x:c r="AA354" s="4" t="str">
        <x:v>Metal refining</x:v>
      </x:c>
      <x:c r="AB354" s="4" t="str">
        <x:v>Metal</x:v>
      </x:c>
      <x:c r="AC354" s="4" t="str">
        <x:v>Solid piece</x:v>
      </x:c>
      <x:c r="AD354" s="4" t="str">
        <x:v>Proposal</x:v>
      </x:c>
      <x:c r="AE354" s="4" t="str">
        <x:f>LOWER(A354&amp;"; "&amp;B354&amp;"; "&amp;D354&amp;"; "&amp;E354&amp;"; "&amp;X354&amp;"; "&amp;Y354&amp;"; "&amp;Z354&amp;"; "&amp;AA354&amp;"; "&amp;AB354&amp;"; "&amp;AC354&amp;"; "&amp;AD354&amp;"; "&amp;V354&amp;"; "&amp;C354&amp;"; "&amp;AH354&amp;"; "&amp;AI354)</x:f>
        <x:v>proposal.raw.bent_fasteners; bent nails and rivets; salvage; salvaged feedstock; raw material; recovered material; industrial salvage; metal refining; metal; solid piece; proposal; equipment fabrication; t0; not applicable; material</x:v>
      </x:c>
      <x:c r="AF354" s="4" t="str">
        <x:v>Specific raw form and candidate uses are proposals; no automatic biological function, chemistry, deposit or crafting capability. Lore category review: Resources -&gt; Salvage feedstock. Classification only; original item status and tier retained.</x:v>
      </x:c>
      <x:c r="AG354" s="4" t="str">
        <x:v>Raw gathered/recovered craft input under the author T0 framework. This does not imply a naturally occurring pure metal.</x:v>
      </x:c>
      <x:c r="AH354" s="4" t="str">
        <x:v>Not applicable</x:v>
      </x:c>
      <x:c r="AI354" s="4" t="str">
        <x:v>Material</x:v>
      </x:c>
      <x:c r="AJ354" s="4" t="n">
        <x:f>COUNTIFS('Material routes'!$D$6:$D$2205,A354,'Material routes'!$C$6:$C$2205,"Output")</x:f>
        <x:v>0</x:v>
      </x:c>
      <x:c r="AK354" s="4" t="n">
        <x:f>SUM(COUNTIFS('Material routes'!$D$6:$D$2205,A354,'Material routes'!$C$6:$C$2205,"Ingredient candidate"),COUNTIFS('Material routes'!$D$6:$D$2205,A354,'Material routes'!$C$6:$C$2205,"Consumed input"),COUNTIFS('Material routes'!$D$6:$D$2205,A354,'Material routes'!$C$6:$C$2205,"Contained input"),COUNTIFS('Material routes'!$D$6:$D$2205,A354,'Material routes'!$C$6:$C$2205,"Transform input"))</x:f>
        <x:v>0</x:v>
      </x:c>
      <x:c r="AL354" s="4" t="n">
        <x:f>COUNTIFS('Material routes'!$D$6:$D$2205,A354,'Material routes'!$C$6:$C$2205,"Tool candidate")</x:f>
        <x:v>0</x:v>
      </x:c>
      <x:c r="AM354" s="4" t="str">
        <x:f>IF(AJ354&gt;0,"Route listed; review status/completeness",IF(C354="T0","Raw entry feed; no production route","No production route listed"))</x:f>
        <x:v>Raw entry feed; no production route</x:v>
      </x:c>
      <x:c r="AN354" s="14" t="n">
        <x:f>IF(C354="T0",0,IF(C354="T1",1,IF(C354="T2",2,IF(C354="T3",3,IF(C354="T4",4,IF(C354="Unassigned",98,99))))))</x:f>
        <x:v>0</x:v>
      </x:c>
      <x:c r="AZ354"/>
      <x:c r="BA354"/>
      <x:c r="BB354"/>
      <x:c r="BC354"/>
      <x:c r="BD354"/>
      <x:c r="BE354"/>
      <x:c r="BF354"/>
      <x:c r="BG354"/>
      <x:c r="BH354"/>
      <x:c r="BI354"/>
      <x:c r="BJ354"/>
      <x:c r="BK354"/>
      <x:c r="BL354"/>
      <x:c r="BM354"/>
      <x:c r="BN354"/>
      <x:c r="BO354"/>
      <x:c r="BP354"/>
      <x:c r="BQ354"/>
      <x:c r="BR354"/>
      <x:c r="BS354"/>
      <x:c r="BT354"/>
      <x:c r="BU354"/>
      <x:c r="BV354"/>
      <x:c r="BW354"/>
      <x:c r="BX354"/>
      <x:c r="BY354"/>
      <x:c r="BZ354"/>
      <x:c r="CA354"/>
      <x:c r="CB354"/>
      <x:c r="CC354"/>
    </x:row>
    <x:row r="355" ht="110" customHeight="1">
      <x:c r="A355" s="9" t="str">
        <x:v>proposal.raw.furnace_ash</x:v>
      </x:c>
      <x:c r="B355" s="9" t="str">
        <x:v>Coarse furnace ash</x:v>
      </x:c>
      <x:c r="C355" s="4" t="str">
        <x:v>T0</x:v>
      </x:c>
      <x:c r="D355" s="9" t="inlineStr">
        <x:is>
          <x:t xml:space="preserve">Salvage</x:t>
        </x:is>
      </x:c>
      <x:c r="E355" s="9" t="str">
        <x:v>Salvaged feedstock</x:v>
      </x:c>
      <x:c r="F355" s="9" t="str">
        <x:v>New proposal</x:v>
      </x:c>
      <x:c r="G355" s="9" t="inlineStr">
        <x:is>
          <x:t xml:space="preserve">Coarse residue from a furnace or other controlled hot-work process. It is a candidate source of mineral fractions for investigation, with composition, contamination and useful recovery methods unresolved.</x:t>
        </x:is>
      </x:c>
      <x:c r="H355" s="9" t="str">
        <x:v>None</x:v>
      </x:c>
      <x:c r="I355" s="9" t="str">
        <x:v>Gathered raw/salvage cargo: Legger or local storage; policy TBD</x:v>
      </x:c>
      <x:c r="J355" s="13"/>
      <x:c r="K355" s="15"/>
      <x:c r="L355" s="9" t="str">
        <x:v>Fine solid residue from identified furnace/fuel sites</x:v>
      </x:c>
      <x:c r="M355" s="9" t="str">
        <x:v>Assess candidate mineral residue streams after sorting; no recipe or yield authored.</x:v>
      </x:c>
      <x:c r="N355" s="9" t="str">
        <x:v>Not implemented</x:v>
      </x:c>
      <x:c r="O355" s="9" t="str">
        <x:v>Plant-free fuel sources remain controlling. Not Arc/Airborne Dust; composition, contamination and reuse are unresolved.</x:v>
      </x:c>
      <x:c r="P355" s="17"/>
      <x:c r="Q355" s="17"/>
      <x:c r="R355" s="17"/>
      <x:c r="S355" s="17"/>
      <x:c r="T355" s="17"/>
      <x:c r="U355" s="9" t="str">
        <x:v>New raw-material proposal; collection, processing grade, mass, trade value and host compatibility undecided. Existing broad resources are reused rather than replaced.</x:v>
      </x:c>
      <x:c r="V355" s="11"/>
      <x:c r="W355" s="9" t="str">
        <x:v>Local brainstorming from author request for grounded raw materials October 14, 2026. These candidates are not claims retrieved from the lore repository.</x:v>
      </x:c>
      <x:c r="X355" s="4" t="str">
        <x:v>Raw material</x:v>
      </x:c>
      <x:c r="Y355" s="4" t="str">
        <x:v>Recovered material</x:v>
      </x:c>
      <x:c r="Z355" s="4" t="str">
        <x:v>Industrial salvage</x:v>
      </x:c>
      <x:c r="AA355" s="4" t="str">
        <x:v>Chemical processing</x:v>
      </x:c>
      <x:c r="AB355" s="4" t="str">
        <x:v>Mixed / unresolved</x:v>
      </x:c>
      <x:c r="AC355" s="4" t="str">
        <x:v>Particles</x:v>
      </x:c>
      <x:c r="AD355" s="4" t="str">
        <x:v>Proposal</x:v>
      </x:c>
      <x:c r="AE355" s="4" t="str">
        <x:f>LOWER(A355&amp;"; "&amp;B355&amp;"; "&amp;D355&amp;"; "&amp;E355&amp;"; "&amp;X355&amp;"; "&amp;Y355&amp;"; "&amp;Z355&amp;"; "&amp;AA355&amp;"; "&amp;AB355&amp;"; "&amp;AC355&amp;"; "&amp;AD355&amp;"; "&amp;V355&amp;"; "&amp;C355&amp;"; "&amp;AH355&amp;"; "&amp;AI355)</x:f>
        <x:v>proposal.raw.furnace_ash; coarse furnace ash; salvage; salvaged feedstock; raw material; recovered material; industrial salvage; chemical processing; mixed / unresolved; particles; proposal; ; t0; not applicable; material</x:v>
      </x:c>
      <x:c r="AF355" s="4" t="str">
        <x:v>Specific raw form and candidate uses are proposals; no automatic biological function, chemistry, deposit or crafting capability. Lore category review: Resources -&gt; Salvage feedstock. Classification only; original item status and tier retained.</x:v>
      </x:c>
      <x:c r="AG355" s="4" t="str">
        <x:v>Raw gathered/recovered craft input under the author T0 framework. This does not imply a naturally occurring pure metal.</x:v>
      </x:c>
      <x:c r="AH355" s="4" t="str">
        <x:v>Not applicable</x:v>
      </x:c>
      <x:c r="AI355" s="4" t="str">
        <x:v>Material</x:v>
      </x:c>
      <x:c r="AJ355" s="4" t="n">
        <x:f>COUNTIFS('Material routes'!$D$6:$D$2205,A355,'Material routes'!$C$6:$C$2205,"Output")</x:f>
        <x:v>0</x:v>
      </x:c>
      <x:c r="AK355" s="4" t="n">
        <x:f>SUM(COUNTIFS('Material routes'!$D$6:$D$2205,A355,'Material routes'!$C$6:$C$2205,"Ingredient candidate"),COUNTIFS('Material routes'!$D$6:$D$2205,A355,'Material routes'!$C$6:$C$2205,"Consumed input"),COUNTIFS('Material routes'!$D$6:$D$2205,A355,'Material routes'!$C$6:$C$2205,"Contained input"),COUNTIFS('Material routes'!$D$6:$D$2205,A355,'Material routes'!$C$6:$C$2205,"Transform input"))</x:f>
        <x:v>0</x:v>
      </x:c>
      <x:c r="AL355" s="4" t="n">
        <x:f>COUNTIFS('Material routes'!$D$6:$D$2205,A355,'Material routes'!$C$6:$C$2205,"Tool candidate")</x:f>
        <x:v>0</x:v>
      </x:c>
      <x:c r="AM355" s="4" t="str">
        <x:f>IF(AJ355&gt;0,"Route listed; review status/completeness",IF(C355="T0","Raw entry feed; no production route","No production route listed"))</x:f>
        <x:v>Raw entry feed; no production route</x:v>
      </x:c>
      <x:c r="AN355" s="14" t="n">
        <x:f>IF(C355="T0",0,IF(C355="T1",1,IF(C355="T2",2,IF(C355="T3",3,IF(C355="T4",4,IF(C355="Unassigned",98,99))))))</x:f>
        <x:v>0</x:v>
      </x:c>
      <x:c r="AZ355"/>
      <x:c r="BA355"/>
      <x:c r="BB355"/>
      <x:c r="BC355"/>
      <x:c r="BD355"/>
      <x:c r="BE355"/>
      <x:c r="BF355"/>
      <x:c r="BG355"/>
      <x:c r="BH355"/>
      <x:c r="BI355"/>
      <x:c r="BJ355"/>
      <x:c r="BK355"/>
      <x:c r="BL355"/>
      <x:c r="BM355"/>
      <x:c r="BN355"/>
      <x:c r="BO355"/>
      <x:c r="BP355"/>
      <x:c r="BQ355"/>
      <x:c r="BR355"/>
      <x:c r="BS355"/>
      <x:c r="BT355"/>
      <x:c r="BU355"/>
      <x:c r="BV355"/>
      <x:c r="BW355"/>
      <x:c r="BX355"/>
      <x:c r="BY355"/>
      <x:c r="BZ355"/>
      <x:c r="CA355"/>
      <x:c r="CB355"/>
      <x:c r="CC355"/>
    </x:row>
    <x:row r="356" ht="110" customHeight="1">
      <x:c r="A356" s="9" t="str">
        <x:v>proposal.raw.abrasive_fragments</x:v>
      </x:c>
      <x:c r="B356" s="9" t="str">
        <x:v>Broken abrasive-wheel fragments</x:v>
      </x:c>
      <x:c r="C356" s="4" t="str">
        <x:v>T0</x:v>
      </x:c>
      <x:c r="D356" s="9" t="inlineStr">
        <x:is>
          <x:t xml:space="preserve">Salvage</x:t>
        </x:is>
      </x:c>
      <x:c r="E356" s="9" t="str">
        <x:v>Salvaged feedstock</x:v>
      </x:c>
      <x:c r="F356" s="9" t="str">
        <x:v>New proposal</x:v>
      </x:c>
      <x:c r="G356" s="9" t="inlineStr">
        <x:is>
          <x:t xml:space="preserve">Fragments of a broken abrasive wheel, retained as possible finishing feed. Useful grains or small working surfaces may remain, but damaged pieces are not a safe replacement for an intact rotating wheel.</x:t>
        </x:is>
      </x:c>
      <x:c r="H356" s="9" t="str">
        <x:v>None</x:v>
      </x:c>
      <x:c r="I356" s="9" t="str">
        <x:v>Gathered raw/salvage cargo: Legger or local storage; policy TBD</x:v>
      </x:c>
      <x:c r="J356" s="13"/>
      <x:c r="K356" s="15"/>
      <x:c r="L356" s="9" t="str">
        <x:v>Fragments from identifiable worn workshop grinding tools</x:v>
      </x:c>
      <x:c r="M356" s="9" t="str">
        <x:v>Select possible hand-finishing pieces or qualified recovered grit; no recipe or yield authored.</x:v>
      </x:c>
      <x:c r="N356" s="9" t="str">
        <x:v>Not implemented</x:v>
      </x:c>
      <x:c r="O356" s="9" t="str">
        <x:v>Abrasive/binder identity and condition need review; not a replacement powered wheel.</x:v>
      </x:c>
      <x:c r="P356" s="17"/>
      <x:c r="Q356" s="17"/>
      <x:c r="R356" s="17"/>
      <x:c r="S356" s="17"/>
      <x:c r="T356" s="17"/>
      <x:c r="U356" s="9" t="str">
        <x:v>New raw-material proposal; collection, processing grade, mass, trade value and host compatibility undecided. Existing broad resources are reused rather than replaced.</x:v>
      </x:c>
      <x:c r="V356" s="11"/>
      <x:c r="W356" s="9" t="str">
        <x:v>Local brainstorming from author request for grounded raw materials October 14, 2026. These candidates are not claims retrieved from the lore repository.</x:v>
      </x:c>
      <x:c r="X356" s="4" t="str">
        <x:v>Raw material</x:v>
      </x:c>
      <x:c r="Y356" s="4" t="str">
        <x:v>Recovered material</x:v>
      </x:c>
      <x:c r="Z356" s="4" t="str">
        <x:v>Industrial salvage</x:v>
      </x:c>
      <x:c r="AA356" s="4" t="str">
        <x:v>Surface finishing</x:v>
      </x:c>
      <x:c r="AB356" s="4" t="str">
        <x:v>Mixed / unresolved</x:v>
      </x:c>
      <x:c r="AC356" s="4" t="str">
        <x:v>Solid piece</x:v>
      </x:c>
      <x:c r="AD356" s="4" t="str">
        <x:v>Proposal</x:v>
      </x:c>
      <x:c r="AE356" s="4" t="str">
        <x:f>LOWER(A356&amp;"; "&amp;B356&amp;"; "&amp;D356&amp;"; "&amp;E356&amp;"; "&amp;X356&amp;"; "&amp;Y356&amp;"; "&amp;Z356&amp;"; "&amp;AA356&amp;"; "&amp;AB356&amp;"; "&amp;AC356&amp;"; "&amp;AD356&amp;"; "&amp;V356&amp;"; "&amp;C356&amp;"; "&amp;AH356&amp;"; "&amp;AI356)</x:f>
        <x:v>proposal.raw.abrasive_fragments; broken abrasive-wheel fragments; salvage; salvaged feedstock; raw material; recovered material; industrial salvage; surface finishing; mixed / unresolved; solid piece; proposal; ; t0; not applicable; material</x:v>
      </x:c>
      <x:c r="AF356" s="4" t="str">
        <x:v>Specific raw form and candidate uses are proposals; no automatic biological function, chemistry, deposit or crafting capability. Lore category review: Resources -&gt; Salvage feedstock. Classification only; original item status and tier retained.</x:v>
      </x:c>
      <x:c r="AG356" s="4" t="str">
        <x:v>Raw gathered/recovered craft input under the author T0 framework. This does not imply a naturally occurring pure metal.</x:v>
      </x:c>
      <x:c r="AH356" s="4" t="str">
        <x:v>Not applicable</x:v>
      </x:c>
      <x:c r="AI356" s="4" t="str">
        <x:v>Material</x:v>
      </x:c>
      <x:c r="AJ356" s="4" t="n">
        <x:f>COUNTIFS('Material routes'!$D$6:$D$2205,A356,'Material routes'!$C$6:$C$2205,"Output")</x:f>
        <x:v>0</x:v>
      </x:c>
      <x:c r="AK356" s="4" t="n">
        <x:f>SUM(COUNTIFS('Material routes'!$D$6:$D$2205,A356,'Material routes'!$C$6:$C$2205,"Ingredient candidate"),COUNTIFS('Material routes'!$D$6:$D$2205,A356,'Material routes'!$C$6:$C$2205,"Consumed input"),COUNTIFS('Material routes'!$D$6:$D$2205,A356,'Material routes'!$C$6:$C$2205,"Contained input"),COUNTIFS('Material routes'!$D$6:$D$2205,A356,'Material routes'!$C$6:$C$2205,"Transform input"))</x:f>
        <x:v>0</x:v>
      </x:c>
      <x:c r="AL356" s="4" t="n">
        <x:f>COUNTIFS('Material routes'!$D$6:$D$2205,A356,'Material routes'!$C$6:$C$2205,"Tool candidate")</x:f>
        <x:v>0</x:v>
      </x:c>
      <x:c r="AM356" s="4" t="str">
        <x:f>IF(AJ356&gt;0,"Route listed; review status/completeness",IF(C356="T0","Raw entry feed; no production route","No production route listed"))</x:f>
        <x:v>Raw entry feed; no production route</x:v>
      </x:c>
      <x:c r="AN356" s="14" t="n">
        <x:f>IF(C356="T0",0,IF(C356="T1",1,IF(C356="T2",2,IF(C356="T3",3,IF(C356="T4",4,IF(C356="Unassigned",98,99))))))</x:f>
        <x:v>0</x:v>
      </x:c>
      <x:c r="AZ356"/>
      <x:c r="BA356"/>
      <x:c r="BB356"/>
      <x:c r="BC356"/>
      <x:c r="BD356"/>
      <x:c r="BE356"/>
      <x:c r="BF356"/>
      <x:c r="BG356"/>
      <x:c r="BH356"/>
      <x:c r="BI356"/>
      <x:c r="BJ356"/>
      <x:c r="BK356"/>
      <x:c r="BL356"/>
      <x:c r="BM356"/>
      <x:c r="BN356"/>
      <x:c r="BO356"/>
      <x:c r="BP356"/>
      <x:c r="BQ356"/>
      <x:c r="BR356"/>
      <x:c r="BS356"/>
      <x:c r="BT356"/>
      <x:c r="BU356"/>
      <x:c r="BV356"/>
      <x:c r="BW356"/>
      <x:c r="BX356"/>
      <x:c r="BY356"/>
      <x:c r="BZ356"/>
      <x:c r="CA356"/>
      <x:c r="CB356"/>
      <x:c r="CC356"/>
    </x:row>
    <x:row r="357" ht="110" customHeight="1">
      <x:c r="A357" s="9" t="str">
        <x:v>proposal.raw.magnet_fragments</x:v>
      </x:c>
      <x:c r="B357" s="9" t="str">
        <x:v>Broken magnet fragments</x:v>
      </x:c>
      <x:c r="C357" s="4" t="str">
        <x:v>T0</x:v>
      </x:c>
      <x:c r="D357" s="9" t="inlineStr">
        <x:is>
          <x:t xml:space="preserve">Salvage</x:t>
        </x:is>
      </x:c>
      <x:c r="E357" s="9" t="str">
        <x:v>Salvaged feedstock</x:v>
      </x:c>
      <x:c r="F357" s="9" t="str">
        <x:v>New proposal</x:v>
      </x:c>
      <x:c r="G357" s="9" t="inlineStr">
        <x:is>
          <x:t xml:space="preserve">Broken pieces of magnetic material recovered from equipment. Remaining magnetism and mechanical condition must be checked before use in small holding or collection tools.</x:t>
        </x:is>
      </x:c>
      <x:c r="H357" s="9" t="str">
        <x:v>None</x:v>
      </x:c>
      <x:c r="I357" s="9" t="str">
        <x:v>Gathered raw/salvage cargo: Legger or local storage; policy TBD</x:v>
      </x:c>
      <x:c r="J357" s="13"/>
      <x:c r="K357" s="15"/>
      <x:c r="L357" s="9" t="str">
        <x:v>Fragments from identifiable damaged magnetic assemblies</x:v>
      </x:c>
      <x:c r="M357" s="9" t="str">
        <x:v>Inspect possible small work-holding pieces or material research feed; no recipe or yield authored.</x:v>
      </x:c>
      <x:c r="N357" s="9" t="str">
        <x:v>Not implemented</x:v>
      </x:c>
      <x:c r="O357" s="9" t="str">
        <x:v>Retained magnetism, strength and composition TBD; distinct from a complete field-magnet tool.</x:v>
      </x:c>
      <x:c r="P357" s="17"/>
      <x:c r="Q357" s="17"/>
      <x:c r="R357" s="17"/>
      <x:c r="S357" s="17"/>
      <x:c r="T357" s="17"/>
      <x:c r="U357" s="9" t="str">
        <x:v>New raw-material proposal; collection, processing grade, mass, trade value and host compatibility undecided. Existing broad resources are reused rather than replaced.</x:v>
      </x:c>
      <x:c r="V357" s="11" t="str">
        <x:v>work holding</x:v>
      </x:c>
      <x:c r="W357" s="9" t="str">
        <x:v>Local brainstorming from author request for grounded raw materials October 14, 2026. These candidates are not claims retrieved from the lore repository.</x:v>
      </x:c>
      <x:c r="X357" s="4" t="str">
        <x:v>Raw material</x:v>
      </x:c>
      <x:c r="Y357" s="4" t="str">
        <x:v>Recovered material</x:v>
      </x:c>
      <x:c r="Z357" s="4" t="str">
        <x:v>Industrial salvage</x:v>
      </x:c>
      <x:c r="AA357" s="4" t="str">
        <x:v>Magnetic tools</x:v>
      </x:c>
      <x:c r="AB357" s="4" t="str">
        <x:v>Mixed / unresolved</x:v>
      </x:c>
      <x:c r="AC357" s="4" t="str">
        <x:v>Solid piece</x:v>
      </x:c>
      <x:c r="AD357" s="4" t="str">
        <x:v>Proposal</x:v>
      </x:c>
      <x:c r="AE357" s="4" t="str">
        <x:f>LOWER(A357&amp;"; "&amp;B357&amp;"; "&amp;D357&amp;"; "&amp;E357&amp;"; "&amp;X357&amp;"; "&amp;Y357&amp;"; "&amp;Z357&amp;"; "&amp;AA357&amp;"; "&amp;AB357&amp;"; "&amp;AC357&amp;"; "&amp;AD357&amp;"; "&amp;V357&amp;"; "&amp;C357&amp;"; "&amp;AH357&amp;"; "&amp;AI357)</x:f>
        <x:v>proposal.raw.magnet_fragments; broken magnet fragments; salvage; salvaged feedstock; raw material; recovered material; industrial salvage; magnetic tools; mixed / unresolved; solid piece; proposal; work holding; t0; not applicable; material</x:v>
      </x:c>
      <x:c r="AF357" s="4" t="str">
        <x:v>Specific raw form and candidate uses are proposals; no automatic biological function, chemistry, deposit or crafting capability. Lore category review: Resources -&gt; Salvage feedstock. Classification only; original item status and tier retained.</x:v>
      </x:c>
      <x:c r="AG357" s="4" t="str">
        <x:v>Raw gathered/recovered craft input under the author T0 framework. This does not imply a naturally occurring pure metal.</x:v>
      </x:c>
      <x:c r="AH357" s="4" t="str">
        <x:v>Not applicable</x:v>
      </x:c>
      <x:c r="AI357" s="4" t="str">
        <x:v>Material</x:v>
      </x:c>
      <x:c r="AJ357" s="4" t="n">
        <x:f>COUNTIFS('Material routes'!$D$6:$D$2205,A357,'Material routes'!$C$6:$C$2205,"Output")</x:f>
        <x:v>0</x:v>
      </x:c>
      <x:c r="AK357" s="4" t="n">
        <x:f>SUM(COUNTIFS('Material routes'!$D$6:$D$2205,A357,'Material routes'!$C$6:$C$2205,"Ingredient candidate"),COUNTIFS('Material routes'!$D$6:$D$2205,A357,'Material routes'!$C$6:$C$2205,"Consumed input"),COUNTIFS('Material routes'!$D$6:$D$2205,A357,'Material routes'!$C$6:$C$2205,"Contained input"),COUNTIFS('Material routes'!$D$6:$D$2205,A357,'Material routes'!$C$6:$C$2205,"Transform input"))</x:f>
        <x:v>1</x:v>
      </x:c>
      <x:c r="AL357" s="4" t="n">
        <x:f>COUNTIFS('Material routes'!$D$6:$D$2205,A357,'Material routes'!$C$6:$C$2205,"Tool candidate")</x:f>
        <x:v>0</x:v>
      </x:c>
      <x:c r="AM357" s="4" t="str">
        <x:f>IF(AJ357&gt;0,"Route listed; review status/completeness",IF(C357="T0","Raw entry feed; no production route","No production route listed"))</x:f>
        <x:v>Raw entry feed; no production route</x:v>
      </x:c>
      <x:c r="AN357" s="14" t="n">
        <x:f>IF(C357="T0",0,IF(C357="T1",1,IF(C357="T2",2,IF(C357="T3",3,IF(C357="T4",4,IF(C357="Unassigned",98,99))))))</x:f>
        <x:v>0</x:v>
      </x:c>
      <x:c r="AZ357"/>
      <x:c r="BA357"/>
      <x:c r="BB357"/>
      <x:c r="BC357"/>
      <x:c r="BD357"/>
      <x:c r="BE357"/>
      <x:c r="BF357"/>
      <x:c r="BG357"/>
      <x:c r="BH357"/>
      <x:c r="BI357"/>
      <x:c r="BJ357"/>
      <x:c r="BK357"/>
      <x:c r="BL357"/>
      <x:c r="BM357"/>
      <x:c r="BN357"/>
      <x:c r="BO357"/>
      <x:c r="BP357"/>
      <x:c r="BQ357"/>
      <x:c r="BR357"/>
      <x:c r="BS357"/>
      <x:c r="BT357"/>
      <x:c r="BU357"/>
      <x:c r="BV357"/>
      <x:c r="BW357"/>
      <x:c r="BX357"/>
      <x:c r="BY357"/>
      <x:c r="BZ357"/>
      <x:c r="CA357"/>
      <x:c r="CB357"/>
      <x:c r="CC357"/>
    </x:row>
    <x:row r="358" ht="110" customHeight="1">
      <x:c r="A358" s="9" t="str">
        <x:v>proposal.raw.punching_offcuts</x:v>
      </x:c>
      <x:c r="B358" s="9" t="str">
        <x:v>Metal punching offcuts</x:v>
      </x:c>
      <x:c r="C358" s="4" t="str">
        <x:v>T0</x:v>
      </x:c>
      <x:c r="D358" s="9" t="inlineStr">
        <x:is>
          <x:t xml:space="preserve">Salvage</x:t>
        </x:is>
      </x:c>
      <x:c r="E358" s="9" t="str">
        <x:v>Salvaged feedstock</x:v>
      </x:c>
      <x:c r="F358" s="9" t="str">
        <x:v>New proposal</x:v>
      </x:c>
      <x:c r="G358" s="9" t="inlineStr">
        <x:is>
          <x:t xml:space="preserve">Small metal pieces left by punching operations. They offer shaped fabrication blanks or reclaimable metal depending on size, alloy and condition, without counting as finished fittings.</x:t>
        </x:is>
      </x:c>
      <x:c r="H358" s="9" t="str">
        <x:v>None</x:v>
      </x:c>
      <x:c r="I358" s="9" t="str">
        <x:v>Gathered raw/salvage cargo: Legger or local storage; policy TBD</x:v>
      </x:c>
      <x:c r="J358" s="13"/>
      <x:c r="K358" s="15"/>
      <x:c r="L358" s="9" t="str">
        <x:v>Small discs and shaped remnants from metalworking waste</x:v>
      </x:c>
      <x:c r="M358" s="9" t="str">
        <x:v>Sort candidate washer or tiny-part blanks; no recipe or yield authored.</x:v>
      </x:c>
      <x:c r="N358" s="9" t="str">
        <x:v>Not implemented</x:v>
      </x:c>
      <x:c r="O358" s="9" t="str">
        <x:v>Raw offcuts do not establish standard fastener sizes or currency tokens; grade and dimensions remain undefined.</x:v>
      </x:c>
      <x:c r="P358" s="17"/>
      <x:c r="Q358" s="17"/>
      <x:c r="R358" s="17"/>
      <x:c r="S358" s="17"/>
      <x:c r="T358" s="17"/>
      <x:c r="U358" s="9" t="str">
        <x:v>New raw-material proposal; collection, processing grade, mass, trade value and host compatibility undecided. Existing broad resources are reused rather than replaced.</x:v>
      </x:c>
      <x:c r="V358" s="11"/>
      <x:c r="W358" s="9" t="str">
        <x:v>Local brainstorming from author request for grounded raw materials October 14, 2026. These candidates are not claims retrieved from the lore repository.</x:v>
      </x:c>
      <x:c r="X358" s="4" t="str">
        <x:v>Raw material</x:v>
      </x:c>
      <x:c r="Y358" s="4" t="str">
        <x:v>Recovered material</x:v>
      </x:c>
      <x:c r="Z358" s="4" t="str">
        <x:v>Industrial salvage</x:v>
      </x:c>
      <x:c r="AA358" s="4" t="str">
        <x:v>Equipment fabrication</x:v>
      </x:c>
      <x:c r="AB358" s="4" t="str">
        <x:v>Metal</x:v>
      </x:c>
      <x:c r="AC358" s="4" t="str">
        <x:v>Solid piece</x:v>
      </x:c>
      <x:c r="AD358" s="4" t="str">
        <x:v>Proposal</x:v>
      </x:c>
      <x:c r="AE358" s="4" t="str">
        <x:f>LOWER(A358&amp;"; "&amp;B358&amp;"; "&amp;D358&amp;"; "&amp;E358&amp;"; "&amp;X358&amp;"; "&amp;Y358&amp;"; "&amp;Z358&amp;"; "&amp;AA358&amp;"; "&amp;AB358&amp;"; "&amp;AC358&amp;"; "&amp;AD358&amp;"; "&amp;V358&amp;"; "&amp;C358&amp;"; "&amp;AH358&amp;"; "&amp;AI358)</x:f>
        <x:v>proposal.raw.punching_offcuts; metal punching offcuts; salvage; salvaged feedstock; raw material; recovered material; industrial salvage; equipment fabrication; metal; solid piece; proposal; ; t0; not applicable; material</x:v>
      </x:c>
      <x:c r="AF358" s="4" t="str">
        <x:v>Specific raw form and candidate uses are proposals; no automatic biological function, chemistry, deposit or crafting capability. Lore category review: Resources -&gt; Salvage feedstock. Classification only; original item status and tier retained.</x:v>
      </x:c>
      <x:c r="AG358" s="4" t="str">
        <x:v>Raw gathered/recovered craft input under the author T0 framework. This does not imply a naturally occurring pure metal.</x:v>
      </x:c>
      <x:c r="AH358" s="4" t="str">
        <x:v>Not applicable</x:v>
      </x:c>
      <x:c r="AI358" s="4" t="str">
        <x:v>Material</x:v>
      </x:c>
      <x:c r="AJ358" s="4" t="n">
        <x:f>COUNTIFS('Material routes'!$D$6:$D$2205,A358,'Material routes'!$C$6:$C$2205,"Output")</x:f>
        <x:v>0</x:v>
      </x:c>
      <x:c r="AK358" s="4" t="n">
        <x:f>SUM(COUNTIFS('Material routes'!$D$6:$D$2205,A358,'Material routes'!$C$6:$C$2205,"Ingredient candidate"),COUNTIFS('Material routes'!$D$6:$D$2205,A358,'Material routes'!$C$6:$C$2205,"Consumed input"),COUNTIFS('Material routes'!$D$6:$D$2205,A358,'Material routes'!$C$6:$C$2205,"Contained input"),COUNTIFS('Material routes'!$D$6:$D$2205,A358,'Material routes'!$C$6:$C$2205,"Transform input"))</x:f>
        <x:v>0</x:v>
      </x:c>
      <x:c r="AL358" s="4" t="n">
        <x:f>COUNTIFS('Material routes'!$D$6:$D$2205,A358,'Material routes'!$C$6:$C$2205,"Tool candidate")</x:f>
        <x:v>0</x:v>
      </x:c>
      <x:c r="AM358" s="4" t="str">
        <x:f>IF(AJ358&gt;0,"Route listed; review status/completeness",IF(C358="T0","Raw entry feed; no production route","No production route listed"))</x:f>
        <x:v>Raw entry feed; no production route</x:v>
      </x:c>
      <x:c r="AN358" s="14" t="n">
        <x:f>IF(C358="T0",0,IF(C358="T1",1,IF(C358="T2",2,IF(C358="T3",3,IF(C358="T4",4,IF(C358="Unassigned",98,99))))))</x:f>
        <x:v>0</x:v>
      </x:c>
      <x:c r="AZ358"/>
      <x:c r="BA358"/>
      <x:c r="BB358"/>
      <x:c r="BC358"/>
      <x:c r="BD358"/>
      <x:c r="BE358"/>
      <x:c r="BF358"/>
      <x:c r="BG358"/>
      <x:c r="BH358"/>
      <x:c r="BI358"/>
      <x:c r="BJ358"/>
      <x:c r="BK358"/>
      <x:c r="BL358"/>
      <x:c r="BM358"/>
      <x:c r="BN358"/>
      <x:c r="BO358"/>
      <x:c r="BP358"/>
      <x:c r="BQ358"/>
      <x:c r="BR358"/>
      <x:c r="BS358"/>
      <x:c r="BT358"/>
      <x:c r="BU358"/>
      <x:c r="BV358"/>
      <x:c r="BW358"/>
      <x:c r="BX358"/>
      <x:c r="BY358"/>
      <x:c r="BZ358"/>
      <x:c r="CA358"/>
      <x:c r="CB358"/>
      <x:c r="CC358"/>
    </x:row>
    <x:row r="359" ht="115" customHeight="1">
      <x:c r="A359" s="9" t="str">
        <x:v>proposal.t1.iron_bloom</x:v>
      </x:c>
      <x:c r="B359" s="9" t="str">
        <x:v>Smelted iron bloom</x:v>
      </x:c>
      <x:c r="C359" s="4" t="str">
        <x:v>T1</x:v>
      </x:c>
      <x:c r="D359" s="9" t="str">
        <x:v>Manufactured stock</x:v>
      </x:c>
      <x:c r="E359" s="9" t="str">
        <x:v>Tier 1 material concept</x:v>
      </x:c>
      <x:c r="F359" s="9" t="str">
        <x:v>New proposal</x:v>
      </x:c>
      <x:c r="G359" s="9" t="inlineStr">
        <x:is>
          <x:t xml:space="preserve">Prepared metal stock in the form of smelted iron bloom, intended as an input to further making or assembly. It is intended to enter a controlled metal-preparation or refining process; the feed material is distinct from the usable metal eventually produced.</x:t>
        </x:is>
      </x:c>
      <x:c r="H359" s="9" t="str">
        <x:v>None</x:v>
      </x:c>
      <x:c r="I359" s="9" t="str">
        <x:v>Material cargo / workshop storage; policy TBD</x:v>
      </x:c>
      <x:c r="J359" s="13"/>
      <x:c r="K359" s="15"/>
      <x:c r="L359" s="9" t="str">
        <x:v>Process a selected T0 raw/salvage input; candidate input resource.ironstone_ore</x:v>
      </x:c>
      <x:c r="M359" s="9" t="str">
        <x:v>Sort/reduce raw iron-rich feed into a first metal mass in a specialist furnace.</x:v>
      </x:c>
      <x:c r="N359" s="9" t="str">
        <x:v>Not implemented</x:v>
      </x:c>
      <x:c r="O359" s="9" t="str">
        <x:v>Furnace/fuel/draft craft follows source atmosphere constraints. This is not forged finished stock.</x:v>
      </x:c>
      <x:c r="P359" s="17"/>
      <x:c r="Q359" s="17"/>
      <x:c r="R359" s="17"/>
      <x:c r="S359" s="17"/>
      <x:c r="T359" s="17"/>
      <x:c r="U359" s="9" t="str">
        <x:v>Tier is manufacturing lineage, not rarity, value, quality or number of hand operations. Routes are partial ingredient proposals, not authored recipes.</x:v>
      </x:c>
      <x:c r="V359" s="11" t="str">
        <x:v>fabrication</x:v>
      </x:c>
      <x:c r="W359" s="9" t="str">
        <x:v>New game T1 proposal aligned to source draft/proposal https://github.com/sleepyseamonster/Arc-Dust/blob/f6f98515c005dc3c73cccd9cbc031691745740c6/02-Arc-Dust-Worldbuilding/world/materials/industrial-material-palette.md; source does not approve this game recipe.</x:v>
      </x:c>
      <x:c r="X359" s="4" t="str">
        <x:v>Processed material</x:v>
      </x:c>
      <x:c r="Y359" s="4" t="str">
        <x:v>Processed intermediate</x:v>
      </x:c>
      <x:c r="Z359" s="4" t="str">
        <x:v>Geological</x:v>
      </x:c>
      <x:c r="AA359" s="4" t="str">
        <x:v>Metal refining</x:v>
      </x:c>
      <x:c r="AB359" s="4" t="str">
        <x:v>Metal</x:v>
      </x:c>
      <x:c r="AC359" s="4" t="str">
        <x:v>Solid piece</x:v>
      </x:c>
      <x:c r="AD359" s="4" t="str">
        <x:v>Proposal</x:v>
      </x:c>
      <x:c r="AE359" s="4" t="str">
        <x:f>LOWER(A359&amp;"; "&amp;B359&amp;"; "&amp;D359&amp;"; "&amp;E359&amp;"; "&amp;X359&amp;"; "&amp;Y359&amp;"; "&amp;Z359&amp;"; "&amp;AA359&amp;"; "&amp;AB359&amp;"; "&amp;AC359&amp;"; "&amp;AD359&amp;"; "&amp;V359&amp;"; "&amp;C359&amp;"; "&amp;AH359&amp;"; "&amp;AI359)</x:f>
        <x:v>proposal.t1.iron_bloom; smelted iron bloom; manufactured stock; tier 1 material concept; processed material; processed intermediate; geological; metal refining; metal; solid piece; proposal; fabrication; t1; not applicable; material</x:v>
      </x:c>
      <x:c r="AF359" s="4" t="str">
        <x:v>First-stage refinement proposal. Source material/cultural records remain proposal-stage. Lore category review: Resources -&gt; Manufactured stock. Classification only; original item status and tier retained.</x:v>
      </x:c>
      <x:c r="AG359" s="4" t="str">
        <x:v>Proposed game manufacturing tier from the candidate routes. Integrated operations may contain many work steps.</x:v>
      </x:c>
      <x:c r="AH359" s="4" t="str">
        <x:v>Not applicable</x:v>
      </x:c>
      <x:c r="AI359" s="4" t="str">
        <x:v>Material</x:v>
      </x:c>
      <x:c r="AJ359" s="4" t="n">
        <x:f>COUNTIFS('Material routes'!$D$6:$D$2205,A359,'Material routes'!$C$6:$C$2205,"Output")</x:f>
        <x:v>1</x:v>
      </x:c>
      <x:c r="AK359" s="4" t="n">
        <x:f>SUM(COUNTIFS('Material routes'!$D$6:$D$2205,A359,'Material routes'!$C$6:$C$2205,"Ingredient candidate"),COUNTIFS('Material routes'!$D$6:$D$2205,A359,'Material routes'!$C$6:$C$2205,"Consumed input"),COUNTIFS('Material routes'!$D$6:$D$2205,A359,'Material routes'!$C$6:$C$2205,"Contained input"),COUNTIFS('Material routes'!$D$6:$D$2205,A359,'Material routes'!$C$6:$C$2205,"Transform input"))</x:f>
        <x:v>5</x:v>
      </x:c>
      <x:c r="AL359" s="4" t="n">
        <x:f>COUNTIFS('Material routes'!$D$6:$D$2205,A359,'Material routes'!$C$6:$C$2205,"Tool candidate")</x:f>
        <x:v>0</x:v>
      </x:c>
      <x:c r="AM359" s="4" t="str">
        <x:f>IF(AJ359&gt;0,"Route listed; review status/completeness",IF(C359="T0","Raw entry feed; no production route","No production route listed"))</x:f>
        <x:v>Route listed; review status/completeness</x:v>
      </x:c>
      <x:c r="AN359" s="14" t="n">
        <x:f>IF(C359="T0",0,IF(C359="T1",1,IF(C359="T2",2,IF(C359="T3",3,IF(C359="T4",4,IF(C359="Unassigned",98,99))))))</x:f>
        <x:v>1</x:v>
      </x:c>
      <x:c r="AZ359"/>
      <x:c r="BA359"/>
      <x:c r="BB359"/>
      <x:c r="BC359"/>
      <x:c r="BD359"/>
      <x:c r="BE359"/>
      <x:c r="BF359"/>
      <x:c r="BG359"/>
      <x:c r="BH359"/>
      <x:c r="BI359"/>
      <x:c r="BJ359"/>
      <x:c r="BK359"/>
      <x:c r="BL359"/>
      <x:c r="BM359"/>
      <x:c r="BN359"/>
      <x:c r="BO359"/>
      <x:c r="BP359"/>
      <x:c r="BQ359"/>
      <x:c r="BR359"/>
      <x:c r="BS359"/>
      <x:c r="BT359"/>
      <x:c r="BU359"/>
      <x:c r="BV359"/>
      <x:c r="BW359"/>
      <x:c r="BX359"/>
      <x:c r="BY359"/>
      <x:c r="BZ359"/>
      <x:c r="CA359"/>
      <x:c r="CB359"/>
      <x:c r="CC359"/>
    </x:row>
    <x:row r="360" ht="115" customHeight="1">
      <x:c r="A360" s="9" t="str">
        <x:v>proposal.t1.copper_cake</x:v>
      </x:c>
      <x:c r="B360" s="9" t="str">
        <x:v>Refined copper cake</x:v>
      </x:c>
      <x:c r="C360" s="4" t="str">
        <x:v>T1</x:v>
      </x:c>
      <x:c r="D360" s="9" t="str">
        <x:v>Manufactured stock</x:v>
      </x:c>
      <x:c r="E360" s="9" t="str">
        <x:v>Tier 1 material concept</x:v>
      </x:c>
      <x:c r="F360" s="9" t="str">
        <x:v>New proposal</x:v>
      </x:c>
      <x:c r="G360" s="9" t="inlineStr">
        <x:is>
          <x:t xml:space="preserve">Prepared metal stock in the form of refined copper cake, intended as an input to further making or assembly. It is intended to form part of a continuous conducting path, with section, joints and protection matched to the receiving circuit.</x:t>
        </x:is>
      </x:c>
      <x:c r="H360" s="9" t="str">
        <x:v>None</x:v>
      </x:c>
      <x:c r="I360" s="9" t="str">
        <x:v>Material cargo / workshop storage; policy TBD</x:v>
      </x:c>
      <x:c r="J360" s="13"/>
      <x:c r="K360" s="15"/>
      <x:c r="L360" s="9" t="str">
        <x:v>Process a selected T0 raw/salvage input; candidate input proposal.natural.raw_copper</x:v>
      </x:c>
      <x:c r="M360" s="9" t="str">
        <x:v>Select and refine unworked copper into a qualified first metal batch.</x:v>
      </x:c>
      <x:c r="N360" s="9" t="str">
        <x:v>Not implemented</x:v>
      </x:c>
      <x:c r="O360" s="9" t="str">
        <x:v>Purity, process and conductor quality unresolved; scarce conductor context remains.</x:v>
      </x:c>
      <x:c r="P360" s="17"/>
      <x:c r="Q360" s="17"/>
      <x:c r="R360" s="17"/>
      <x:c r="S360" s="17"/>
      <x:c r="T360" s="17"/>
      <x:c r="U360" s="9" t="str">
        <x:v>Tier is manufacturing lineage, not rarity, value, quality or number of hand operations. Routes are partial ingredient proposals, not authored recipes.</x:v>
      </x:c>
      <x:c r="V360" s="11" t="str">
        <x:v>fabrication</x:v>
      </x:c>
      <x:c r="W360" s="9" t="str">
        <x:v>New game T1 proposal aligned to source draft/proposal https://github.com/sleepyseamonster/Arc-Dust/blob/f6f98515c005dc3c73cccd9cbc031691745740c6/02-Arc-Dust-Worldbuilding/world/materials/industrial-material-palette.md; source does not approve this game recipe.</x:v>
      </x:c>
      <x:c r="X360" s="4" t="str">
        <x:v>Processed material</x:v>
      </x:c>
      <x:c r="Y360" s="4" t="str">
        <x:v>Processed intermediate</x:v>
      </x:c>
      <x:c r="Z360" s="4" t="str">
        <x:v>Geological</x:v>
      </x:c>
      <x:c r="AA360" s="4" t="str">
        <x:v>Electrical conduction</x:v>
      </x:c>
      <x:c r="AB360" s="4" t="str">
        <x:v>Metal</x:v>
      </x:c>
      <x:c r="AC360" s="4" t="str">
        <x:v>Solid piece</x:v>
      </x:c>
      <x:c r="AD360" s="4" t="str">
        <x:v>Proposal</x:v>
      </x:c>
      <x:c r="AE360" s="4" t="str">
        <x:f>LOWER(A360&amp;"; "&amp;B360&amp;"; "&amp;D360&amp;"; "&amp;E360&amp;"; "&amp;X360&amp;"; "&amp;Y360&amp;"; "&amp;Z360&amp;"; "&amp;AA360&amp;"; "&amp;AB360&amp;"; "&amp;AC360&amp;"; "&amp;AD360&amp;"; "&amp;V360&amp;"; "&amp;C360&amp;"; "&amp;AH360&amp;"; "&amp;AI360)</x:f>
        <x:v>proposal.t1.copper_cake; refined copper cake; manufactured stock; tier 1 material concept; processed material; processed intermediate; geological; electrical conduction; metal; solid piece; proposal; fabrication; t1; not applicable; material</x:v>
      </x:c>
      <x:c r="AF360" s="4" t="str">
        <x:v>First-stage refinement proposal. Source material/cultural records remain proposal-stage. Lore category review: Resources -&gt; Manufactured stock. Classification only; original item status and tier retained.</x:v>
      </x:c>
      <x:c r="AG360" s="4" t="str">
        <x:v>Proposed game manufacturing tier from the candidate routes. Integrated operations may contain many work steps.</x:v>
      </x:c>
      <x:c r="AH360" s="4" t="str">
        <x:v>Not applicable</x:v>
      </x:c>
      <x:c r="AI360" s="4" t="str">
        <x:v>Material</x:v>
      </x:c>
      <x:c r="AJ360" s="4" t="n">
        <x:f>COUNTIFS('Material routes'!$D$6:$D$2205,A360,'Material routes'!$C$6:$C$2205,"Output")</x:f>
        <x:v>1</x:v>
      </x:c>
      <x:c r="AK360" s="4" t="n">
        <x:f>SUM(COUNTIFS('Material routes'!$D$6:$D$2205,A360,'Material routes'!$C$6:$C$2205,"Ingredient candidate"),COUNTIFS('Material routes'!$D$6:$D$2205,A360,'Material routes'!$C$6:$C$2205,"Consumed input"),COUNTIFS('Material routes'!$D$6:$D$2205,A360,'Material routes'!$C$6:$C$2205,"Contained input"),COUNTIFS('Material routes'!$D$6:$D$2205,A360,'Material routes'!$C$6:$C$2205,"Transform input"))</x:f>
        <x:v>3</x:v>
      </x:c>
      <x:c r="AL360" s="4" t="n">
        <x:f>COUNTIFS('Material routes'!$D$6:$D$2205,A360,'Material routes'!$C$6:$C$2205,"Tool candidate")</x:f>
        <x:v>0</x:v>
      </x:c>
      <x:c r="AM360" s="4" t="str">
        <x:f>IF(AJ360&gt;0,"Route listed; review status/completeness",IF(C360="T0","Raw entry feed; no production route","No production route listed"))</x:f>
        <x:v>Route listed; review status/completeness</x:v>
      </x:c>
      <x:c r="AN360" s="14" t="n">
        <x:f>IF(C360="T0",0,IF(C360="T1",1,IF(C360="T2",2,IF(C360="T3",3,IF(C360="T4",4,IF(C360="Unassigned",98,99))))))</x:f>
        <x:v>1</x:v>
      </x:c>
      <x:c r="AZ360"/>
      <x:c r="BA360"/>
      <x:c r="BB360"/>
      <x:c r="BC360"/>
      <x:c r="BD360"/>
      <x:c r="BE360"/>
      <x:c r="BF360"/>
      <x:c r="BG360"/>
      <x:c r="BH360"/>
      <x:c r="BI360"/>
      <x:c r="BJ360"/>
      <x:c r="BK360"/>
      <x:c r="BL360"/>
      <x:c r="BM360"/>
      <x:c r="BN360"/>
      <x:c r="BO360"/>
      <x:c r="BP360"/>
      <x:c r="BQ360"/>
      <x:c r="BR360"/>
      <x:c r="BS360"/>
      <x:c r="BT360"/>
      <x:c r="BU360"/>
      <x:c r="BV360"/>
      <x:c r="BW360"/>
      <x:c r="BX360"/>
      <x:c r="BY360"/>
      <x:c r="BZ360"/>
      <x:c r="CA360"/>
      <x:c r="CB360"/>
      <x:c r="CC360"/>
    </x:row>
    <x:row r="361" ht="115" customHeight="1">
      <x:c r="A361" s="9" t="str">
        <x:v>proposal.t1.brass_billet</x:v>
      </x:c>
      <x:c r="B361" s="9" t="str">
        <x:v>Reclaimed brass billet</x:v>
      </x:c>
      <x:c r="C361" s="4" t="str">
        <x:v>T1</x:v>
      </x:c>
      <x:c r="D361" s="9" t="str">
        <x:v>Manufactured stock</x:v>
      </x:c>
      <x:c r="E361" s="9" t="str">
        <x:v>Tier 1 material concept</x:v>
      </x:c>
      <x:c r="F361" s="9" t="str">
        <x:v>New proposal</x:v>
      </x:c>
      <x:c r="G361" s="9" t="inlineStr">
        <x:is>
          <x:t xml:space="preserve">Prepared metal stock in the form of reclaimed brass billet, intended as an input to further making or assembly. It provides candidate material or a shaped starting piece for making other objects, with the final form set by the receiving design.</x:t>
        </x:is>
      </x:c>
      <x:c r="H361" s="9" t="str">
        <x:v>None</x:v>
      </x:c>
      <x:c r="I361" s="9" t="str">
        <x:v>Material cargo / workshop storage; policy TBD</x:v>
      </x:c>
      <x:c r="J361" s="13"/>
      <x:c r="K361" s="15"/>
      <x:c r="L361" s="9" t="str">
        <x:v>Process a selected T0 raw/salvage input; candidate input proposal.raw.brass_scrap</x:v>
      </x:c>
      <x:c r="M361" s="9" t="str">
        <x:v>Sort identified brass scrap and recover a first usable metal billet.</x:v>
      </x:c>
      <x:c r="N361" s="9" t="str">
        <x:v>Not implemented</x:v>
      </x:c>
      <x:c r="O361" s="9" t="str">
        <x:v>Salvage alloy proposal, not proof of new brass production or a currency tier.</x:v>
      </x:c>
      <x:c r="P361" s="17"/>
      <x:c r="Q361" s="17"/>
      <x:c r="R361" s="17"/>
      <x:c r="S361" s="17"/>
      <x:c r="T361" s="17"/>
      <x:c r="U361" s="9" t="str">
        <x:v>Tier is manufacturing lineage, not rarity, value, quality or number of hand operations. Routes are partial ingredient proposals, not authored recipes.</x:v>
      </x:c>
      <x:c r="V361" s="11"/>
      <x:c r="W361" s="9" t="str">
        <x:v>New game T1 proposal aligned to source draft/proposal https://github.com/sleepyseamonster/Arc-Dust/blob/f6f98515c005dc3c73cccd9cbc031691745740c6/02-Arc-Dust-Worldbuilding/world/materials/industrial-material-palette.md; source does not approve this game recipe.</x:v>
      </x:c>
      <x:c r="X361" s="4" t="str">
        <x:v>Processed material</x:v>
      </x:c>
      <x:c r="Y361" s="4" t="str">
        <x:v>Processed intermediate</x:v>
      </x:c>
      <x:c r="Z361" s="4" t="str">
        <x:v>Industrial salvage</x:v>
      </x:c>
      <x:c r="AA361" s="4" t="str">
        <x:v>Fabrication</x:v>
      </x:c>
      <x:c r="AB361" s="4" t="str">
        <x:v>Metal</x:v>
      </x:c>
      <x:c r="AC361" s="4" t="str">
        <x:v>Solid piece</x:v>
      </x:c>
      <x:c r="AD361" s="4" t="str">
        <x:v>Proposal</x:v>
      </x:c>
      <x:c r="AE361" s="4" t="str">
        <x:f>LOWER(A361&amp;"; "&amp;B361&amp;"; "&amp;D361&amp;"; "&amp;E361&amp;"; "&amp;X361&amp;"; "&amp;Y361&amp;"; "&amp;Z361&amp;"; "&amp;AA361&amp;"; "&amp;AB361&amp;"; "&amp;AC361&amp;"; "&amp;AD361&amp;"; "&amp;V361&amp;"; "&amp;C361&amp;"; "&amp;AH361&amp;"; "&amp;AI361)</x:f>
        <x:v>proposal.t1.brass_billet; reclaimed brass billet; manufactured stock; tier 1 material concept; processed material; processed intermediate; industrial salvage; fabrication; metal; solid piece; proposal; ; t1; not applicable; material</x:v>
      </x:c>
      <x:c r="AF361" s="4" t="str">
        <x:v>First-stage refinement proposal. Source material/cultural records remain proposal-stage. Lore category review: Resources -&gt; Manufactured stock. Classification only; original item status and tier retained.</x:v>
      </x:c>
      <x:c r="AG361" s="4" t="str">
        <x:v>Proposed game manufacturing tier from the candidate routes. Integrated operations may contain many work steps.</x:v>
      </x:c>
      <x:c r="AH361" s="4" t="str">
        <x:v>Not applicable</x:v>
      </x:c>
      <x:c r="AI361" s="4" t="str">
        <x:v>Material</x:v>
      </x:c>
      <x:c r="AJ361" s="4" t="n">
        <x:f>COUNTIFS('Material routes'!$D$6:$D$2205,A361,'Material routes'!$C$6:$C$2205,"Output")</x:f>
        <x:v>1</x:v>
      </x:c>
      <x:c r="AK361" s="4" t="n">
        <x:f>SUM(COUNTIFS('Material routes'!$D$6:$D$2205,A361,'Material routes'!$C$6:$C$2205,"Ingredient candidate"),COUNTIFS('Material routes'!$D$6:$D$2205,A361,'Material routes'!$C$6:$C$2205,"Consumed input"),COUNTIFS('Material routes'!$D$6:$D$2205,A361,'Material routes'!$C$6:$C$2205,"Contained input"),COUNTIFS('Material routes'!$D$6:$D$2205,A361,'Material routes'!$C$6:$C$2205,"Transform input"))</x:f>
        <x:v>0</x:v>
      </x:c>
      <x:c r="AL361" s="4" t="n">
        <x:f>COUNTIFS('Material routes'!$D$6:$D$2205,A361,'Material routes'!$C$6:$C$2205,"Tool candidate")</x:f>
        <x:v>0</x:v>
      </x:c>
      <x:c r="AM361" s="4" t="str">
        <x:f>IF(AJ361&gt;0,"Route listed; review status/completeness",IF(C361="T0","Raw entry feed; no production route","No production route listed"))</x:f>
        <x:v>Route listed; review status/completeness</x:v>
      </x:c>
      <x:c r="AN361" s="14" t="n">
        <x:f>IF(C361="T0",0,IF(C361="T1",1,IF(C361="T2",2,IF(C361="T3",3,IF(C361="T4",4,IF(C361="Unassigned",98,99))))))</x:f>
        <x:v>1</x:v>
      </x:c>
      <x:c r="AZ361"/>
      <x:c r="BA361"/>
      <x:c r="BB361"/>
      <x:c r="BC361"/>
      <x:c r="BD361"/>
      <x:c r="BE361"/>
      <x:c r="BF361"/>
      <x:c r="BG361"/>
      <x:c r="BH361"/>
      <x:c r="BI361"/>
      <x:c r="BJ361"/>
      <x:c r="BK361"/>
      <x:c r="BL361"/>
      <x:c r="BM361"/>
      <x:c r="BN361"/>
      <x:c r="BO361"/>
      <x:c r="BP361"/>
      <x:c r="BQ361"/>
      <x:c r="BR361"/>
      <x:c r="BS361"/>
      <x:c r="BT361"/>
      <x:c r="BU361"/>
      <x:c r="BV361"/>
      <x:c r="BW361"/>
      <x:c r="BX361"/>
      <x:c r="BY361"/>
      <x:c r="BZ361"/>
      <x:c r="CA361"/>
      <x:c r="CB361"/>
      <x:c r="CC361"/>
    </x:row>
    <x:row r="362" ht="115" customHeight="1">
      <x:c r="A362" s="9" t="str">
        <x:v>proposal.t1.bronze_billet</x:v>
      </x:c>
      <x:c r="B362" s="9" t="str">
        <x:v>Reclaimed bronze billet</x:v>
      </x:c>
      <x:c r="C362" s="4" t="str">
        <x:v>T1</x:v>
      </x:c>
      <x:c r="D362" s="9" t="str">
        <x:v>Manufactured stock</x:v>
      </x:c>
      <x:c r="E362" s="9" t="str">
        <x:v>Tier 1 material concept</x:v>
      </x:c>
      <x:c r="F362" s="9" t="str">
        <x:v>New proposal</x:v>
      </x:c>
      <x:c r="G362" s="9" t="inlineStr">
        <x:is>
          <x:t xml:space="preserve">Prepared metal stock in the form of reclaimed bronze billet, intended as an input to further making or assembly. It provides candidate material or a shaped starting piece for making other objects, with the final form set by the receiving design.</x:t>
        </x:is>
      </x:c>
      <x:c r="H362" s="9" t="str">
        <x:v>None</x:v>
      </x:c>
      <x:c r="I362" s="9" t="str">
        <x:v>Material cargo / workshop storage; policy TBD</x:v>
      </x:c>
      <x:c r="J362" s="13"/>
      <x:c r="K362" s="15"/>
      <x:c r="L362" s="9" t="str">
        <x:v>Process a selected T0 raw/salvage input; candidate input proposal.raw.bronze_scrap</x:v>
      </x:c>
      <x:c r="M362" s="9" t="str">
        <x:v>Sort identified bronze scrap and recover a first usable metal billet.</x:v>
      </x:c>
      <x:c r="N362" s="9" t="str">
        <x:v>Not implemented</x:v>
      </x:c>
      <x:c r="O362" s="9" t="str">
        <x:v>Composition, yield and workability require design; no universal alloy substitution.</x:v>
      </x:c>
      <x:c r="P362" s="17"/>
      <x:c r="Q362" s="17"/>
      <x:c r="R362" s="17"/>
      <x:c r="S362" s="17"/>
      <x:c r="T362" s="17"/>
      <x:c r="U362" s="9" t="str">
        <x:v>Tier is manufacturing lineage, not rarity, value, quality or number of hand operations. Routes are partial ingredient proposals, not authored recipes.</x:v>
      </x:c>
      <x:c r="V362" s="11"/>
      <x:c r="W362" s="9" t="str">
        <x:v>New game T1 proposal aligned to source draft/proposal https://github.com/sleepyseamonster/Arc-Dust/blob/f6f98515c005dc3c73cccd9cbc031691745740c6/02-Arc-Dust-Worldbuilding/world/materials/industrial-material-palette.md; source does not approve this game recipe.</x:v>
      </x:c>
      <x:c r="X362" s="4" t="str">
        <x:v>Processed material</x:v>
      </x:c>
      <x:c r="Y362" s="4" t="str">
        <x:v>Processed intermediate</x:v>
      </x:c>
      <x:c r="Z362" s="4" t="str">
        <x:v>Industrial salvage</x:v>
      </x:c>
      <x:c r="AA362" s="4" t="str">
        <x:v>Fabrication</x:v>
      </x:c>
      <x:c r="AB362" s="4" t="str">
        <x:v>Metal</x:v>
      </x:c>
      <x:c r="AC362" s="4" t="str">
        <x:v>Solid piece</x:v>
      </x:c>
      <x:c r="AD362" s="4" t="str">
        <x:v>Proposal</x:v>
      </x:c>
      <x:c r="AE362" s="4" t="str">
        <x:f>LOWER(A362&amp;"; "&amp;B362&amp;"; "&amp;D362&amp;"; "&amp;E362&amp;"; "&amp;X362&amp;"; "&amp;Y362&amp;"; "&amp;Z362&amp;"; "&amp;AA362&amp;"; "&amp;AB362&amp;"; "&amp;AC362&amp;"; "&amp;AD362&amp;"; "&amp;V362&amp;"; "&amp;C362&amp;"; "&amp;AH362&amp;"; "&amp;AI362)</x:f>
        <x:v>proposal.t1.bronze_billet; reclaimed bronze billet; manufactured stock; tier 1 material concept; processed material; processed intermediate; industrial salvage; fabrication; metal; solid piece; proposal; ; t1; not applicable; material</x:v>
      </x:c>
      <x:c r="AF362" s="4" t="str">
        <x:v>First-stage refinement proposal. Source material/cultural records remain proposal-stage. Lore category review: Resources -&gt; Manufactured stock. Classification only; original item status and tier retained.</x:v>
      </x:c>
      <x:c r="AG362" s="4" t="str">
        <x:v>Proposed game manufacturing tier from the candidate routes. Integrated operations may contain many work steps.</x:v>
      </x:c>
      <x:c r="AH362" s="4" t="str">
        <x:v>Not applicable</x:v>
      </x:c>
      <x:c r="AI362" s="4" t="str">
        <x:v>Material</x:v>
      </x:c>
      <x:c r="AJ362" s="4" t="n">
        <x:f>COUNTIFS('Material routes'!$D$6:$D$2205,A362,'Material routes'!$C$6:$C$2205,"Output")</x:f>
        <x:v>1</x:v>
      </x:c>
      <x:c r="AK362" s="4" t="n">
        <x:f>SUM(COUNTIFS('Material routes'!$D$6:$D$2205,A362,'Material routes'!$C$6:$C$2205,"Ingredient candidate"),COUNTIFS('Material routes'!$D$6:$D$2205,A362,'Material routes'!$C$6:$C$2205,"Consumed input"),COUNTIFS('Material routes'!$D$6:$D$2205,A362,'Material routes'!$C$6:$C$2205,"Contained input"),COUNTIFS('Material routes'!$D$6:$D$2205,A362,'Material routes'!$C$6:$C$2205,"Transform input"))</x:f>
        <x:v>4</x:v>
      </x:c>
      <x:c r="AL362" s="4" t="n">
        <x:f>COUNTIFS('Material routes'!$D$6:$D$2205,A362,'Material routes'!$C$6:$C$2205,"Tool candidate")</x:f>
        <x:v>0</x:v>
      </x:c>
      <x:c r="AM362" s="4" t="str">
        <x:f>IF(AJ362&gt;0,"Route listed; review status/completeness",IF(C362="T0","Raw entry feed; no production route","No production route listed"))</x:f>
        <x:v>Route listed; review status/completeness</x:v>
      </x:c>
      <x:c r="AN362" s="14" t="n">
        <x:f>IF(C362="T0",0,IF(C362="T1",1,IF(C362="T2",2,IF(C362="T3",3,IF(C362="T4",4,IF(C362="Unassigned",98,99))))))</x:f>
        <x:v>1</x:v>
      </x:c>
      <x:c r="AZ362"/>
      <x:c r="BA362"/>
      <x:c r="BB362"/>
      <x:c r="BC362"/>
      <x:c r="BD362"/>
      <x:c r="BE362"/>
      <x:c r="BF362"/>
      <x:c r="BG362"/>
      <x:c r="BH362"/>
      <x:c r="BI362"/>
      <x:c r="BJ362"/>
      <x:c r="BK362"/>
      <x:c r="BL362"/>
      <x:c r="BM362"/>
      <x:c r="BN362"/>
      <x:c r="BO362"/>
      <x:c r="BP362"/>
      <x:c r="BQ362"/>
      <x:c r="BR362"/>
      <x:c r="BS362"/>
      <x:c r="BT362"/>
      <x:c r="BU362"/>
      <x:c r="BV362"/>
      <x:c r="BW362"/>
      <x:c r="BX362"/>
      <x:c r="BY362"/>
      <x:c r="BZ362"/>
      <x:c r="CA362"/>
      <x:c r="CB362"/>
      <x:c r="CC362"/>
    </x:row>
    <x:row r="363" ht="115" customHeight="1">
      <x:c r="A363" s="9" t="str">
        <x:v>proposal.t1.opaque_glass</x:v>
      </x:c>
      <x:c r="B363" s="9" t="str">
        <x:v>Opaque mineral-glass stock</x:v>
      </x:c>
      <x:c r="C363" s="4" t="str">
        <x:v>T1</x:v>
      </x:c>
      <x:c r="D363" s="9" t="str">
        <x:v>Manufactured stock</x:v>
      </x:c>
      <x:c r="E363" s="9" t="str">
        <x:v>Tier 1 material concept</x:v>
      </x:c>
      <x:c r="F363" s="9" t="str">
        <x:v>New proposal</x:v>
      </x:c>
      <x:c r="G363" s="9" t="inlineStr">
        <x:is>
          <x:t xml:space="preserve">Prepared glass stock in the form of opaque mineral-glass stock, intended as an input to further making or assembly. It is intended for a matched glassworking or ceramic process, with composition, forming and controlled heat determining the useful result.</x:t>
        </x:is>
      </x:c>
      <x:c r="H363" s="9" t="str">
        <x:v>None</x:v>
      </x:c>
      <x:c r="I363" s="9" t="str">
        <x:v>Material cargo / workshop storage; policy TBD</x:v>
      </x:c>
      <x:c r="J363" s="13"/>
      <x:c r="K363" s="15"/>
      <x:c r="L363" s="9" t="str">
        <x:v>Process a selected T0 raw/salvage input; candidate input proposal.natural.silica</x:v>
      </x:c>
      <x:c r="M363" s="9" t="str">
        <x:v>Use qualified raw silicate/mineral inputs in a first integrated melt and cooling batch.</x:v>
      </x:c>
      <x:c r="N363" s="9" t="str">
        <x:v>Not implemented</x:v>
      </x:c>
      <x:c r="O363" s="9" t="str">
        <x:v>Colored opaque glass is source-aligned. Actual additives, furnace recipe and material performance TBD.</x:v>
      </x:c>
      <x:c r="P363" s="17"/>
      <x:c r="Q363" s="17"/>
      <x:c r="R363" s="17"/>
      <x:c r="S363" s="17"/>
      <x:c r="T363" s="17"/>
      <x:c r="U363" s="9" t="str">
        <x:v>Tier is manufacturing lineage, not rarity, value, quality or number of hand operations. Routes are partial ingredient proposals, not authored recipes.</x:v>
      </x:c>
      <x:c r="V363" s="11" t="str">
        <x:v>fabrication</x:v>
      </x:c>
      <x:c r="W363" s="9" t="str">
        <x:v>New game T1 proposal aligned to source draft/proposal https://github.com/sleepyseamonster/Arc-Dust/blob/f6f98515c005dc3c73cccd9cbc031691745740c6/02-Arc-Dust-Worldbuilding/world/materials/glass.md; source does not approve this game recipe.</x:v>
      </x:c>
      <x:c r="X363" s="4" t="str">
        <x:v>Processed material</x:v>
      </x:c>
      <x:c r="Y363" s="4" t="str">
        <x:v>Processed intermediate</x:v>
      </x:c>
      <x:c r="Z363" s="4" t="str">
        <x:v>Geological</x:v>
      </x:c>
      <x:c r="AA363" s="4" t="str">
        <x:v>Glass and ceramics</x:v>
      </x:c>
      <x:c r="AB363" s="4" t="str">
        <x:v>Glass</x:v>
      </x:c>
      <x:c r="AC363" s="4" t="str">
        <x:v>Solid piece</x:v>
      </x:c>
      <x:c r="AD363" s="4" t="str">
        <x:v>Proposal</x:v>
      </x:c>
      <x:c r="AE363" s="4" t="str">
        <x:f>LOWER(A363&amp;"; "&amp;B363&amp;"; "&amp;D363&amp;"; "&amp;E363&amp;"; "&amp;X363&amp;"; "&amp;Y363&amp;"; "&amp;Z363&amp;"; "&amp;AA363&amp;"; "&amp;AB363&amp;"; "&amp;AC363&amp;"; "&amp;AD363&amp;"; "&amp;V363&amp;"; "&amp;C363&amp;"; "&amp;AH363&amp;"; "&amp;AI363)</x:f>
        <x:v>proposal.t1.opaque_glass; opaque mineral-glass stock; manufactured stock; tier 1 material concept; processed material; processed intermediate; geological; glass and ceramics; glass; solid piece; proposal; fabrication; t1; not applicable; material</x:v>
      </x:c>
      <x:c r="AF363" s="4" t="str">
        <x:v>First-stage refinement proposal. Source material/cultural records remain proposal-stage. Lore category review: Resources -&gt; Manufactured stock. Classification only; original item status and tier retained.</x:v>
      </x:c>
      <x:c r="AG363" s="4" t="str">
        <x:v>Proposed game manufacturing tier from the candidate routes. Integrated operations may contain many work steps.</x:v>
      </x:c>
      <x:c r="AH363" s="4" t="str">
        <x:v>Not applicable</x:v>
      </x:c>
      <x:c r="AI363" s="4" t="str">
        <x:v>Material</x:v>
      </x:c>
      <x:c r="AJ363" s="4" t="n">
        <x:f>COUNTIFS('Material routes'!$D$6:$D$2205,A363,'Material routes'!$C$6:$C$2205,"Output")</x:f>
        <x:v>1</x:v>
      </x:c>
      <x:c r="AK363" s="4" t="n">
        <x:f>SUM(COUNTIFS('Material routes'!$D$6:$D$2205,A363,'Material routes'!$C$6:$C$2205,"Ingredient candidate"),COUNTIFS('Material routes'!$D$6:$D$2205,A363,'Material routes'!$C$6:$C$2205,"Consumed input"),COUNTIFS('Material routes'!$D$6:$D$2205,A363,'Material routes'!$C$6:$C$2205,"Contained input"),COUNTIFS('Material routes'!$D$6:$D$2205,A363,'Material routes'!$C$6:$C$2205,"Transform input"))</x:f>
        <x:v>2</x:v>
      </x:c>
      <x:c r="AL363" s="4" t="n">
        <x:f>COUNTIFS('Material routes'!$D$6:$D$2205,A363,'Material routes'!$C$6:$C$2205,"Tool candidate")</x:f>
        <x:v>0</x:v>
      </x:c>
      <x:c r="AM363" s="4" t="str">
        <x:f>IF(AJ363&gt;0,"Route listed; review status/completeness",IF(C363="T0","Raw entry feed; no production route","No production route listed"))</x:f>
        <x:v>Route listed; review status/completeness</x:v>
      </x:c>
      <x:c r="AN363" s="14" t="n">
        <x:f>IF(C363="T0",0,IF(C363="T1",1,IF(C363="T2",2,IF(C363="T3",3,IF(C363="T4",4,IF(C363="Unassigned",98,99))))))</x:f>
        <x:v>1</x:v>
      </x:c>
      <x:c r="AZ363"/>
      <x:c r="BA363"/>
      <x:c r="BB363"/>
      <x:c r="BC363"/>
      <x:c r="BD363"/>
      <x:c r="BE363"/>
      <x:c r="BF363"/>
      <x:c r="BG363"/>
      <x:c r="BH363"/>
      <x:c r="BI363"/>
      <x:c r="BJ363"/>
      <x:c r="BK363"/>
      <x:c r="BL363"/>
      <x:c r="BM363"/>
      <x:c r="BN363"/>
      <x:c r="BO363"/>
      <x:c r="BP363"/>
      <x:c r="BQ363"/>
      <x:c r="BR363"/>
      <x:c r="BS363"/>
      <x:c r="BT363"/>
      <x:c r="BU363"/>
      <x:c r="BV363"/>
      <x:c r="BW363"/>
      <x:c r="BX363"/>
      <x:c r="BY363"/>
      <x:c r="BZ363"/>
      <x:c r="CA363"/>
      <x:c r="CB363"/>
      <x:c r="CC363"/>
    </x:row>
    <x:row r="364" ht="115" customHeight="1">
      <x:c r="A364" s="9" t="str">
        <x:v>proposal.t1.clear_glass_blank</x:v>
      </x:c>
      <x:c r="B364" s="9" t="str">
        <x:v>Rough clear-glass blank</x:v>
      </x:c>
      <x:c r="C364" s="4" t="str">
        <x:v>T1</x:v>
      </x:c>
      <x:c r="D364" s="9" t="str">
        <x:v>Manufactured stock</x:v>
      </x:c>
      <x:c r="E364" s="9" t="str">
        <x:v>Tier 1 material concept</x:v>
      </x:c>
      <x:c r="F364" s="9" t="str">
        <x:v>New proposal</x:v>
      </x:c>
      <x:c r="G364" s="9" t="inlineStr">
        <x:is>
          <x:t xml:space="preserve">Prepared glass stock in the form of rough clear-glass blank, intended as an input to further making or assembly. It supports looking at or examining a workpiece, with the useful view determined by its optical and mechanical arrangement.</x:t>
        </x:is>
      </x:c>
      <x:c r="H364" s="9" t="str">
        <x:v>None</x:v>
      </x:c>
      <x:c r="I364" s="9" t="str">
        <x:v>Material cargo / workshop storage; policy TBD</x:v>
      </x:c>
      <x:c r="J364" s="13"/>
      <x:c r="K364" s="15"/>
      <x:c r="L364" s="9" t="str">
        <x:v>Process a selected T0 raw/salvage input; candidate input proposal.natural.silica</x:v>
      </x:c>
      <x:c r="M364" s="9" t="str">
        <x:v>Select exceptional clean raw silicate for a specialist first clear-glass batch.</x:v>
      </x:c>
      <x:c r="N364" s="9" t="str">
        <x:v>Not implemented</x:v>
      </x:c>
      <x:c r="O364" s="9" t="str">
        <x:v>A costly conditional T1 route, not common glass or a finished lens. If purified T1 feed is required, this route must move to T2.</x:v>
      </x:c>
      <x:c r="P364" s="17"/>
      <x:c r="Q364" s="17"/>
      <x:c r="R364" s="17"/>
      <x:c r="S364" s="17"/>
      <x:c r="T364" s="17"/>
      <x:c r="U364" s="9" t="str">
        <x:v>Tier is manufacturing lineage, not rarity, value, quality or number of hand operations. Routes are partial ingredient proposals, not authored recipes.</x:v>
      </x:c>
      <x:c r="V364" s="11" t="str">
        <x:v>glass and ceramics</x:v>
      </x:c>
      <x:c r="W364" s="9" t="str">
        <x:v>New game T1 proposal aligned to source draft/proposal https://github.com/sleepyseamonster/Arc-Dust/blob/f6f98515c005dc3c73cccd9cbc031691745740c6/02-Arc-Dust-Worldbuilding/world/materials/glass.md; source does not approve this game recipe.</x:v>
      </x:c>
      <x:c r="X364" s="4" t="str">
        <x:v>Processed material</x:v>
      </x:c>
      <x:c r="Y364" s="4" t="str">
        <x:v>Processed intermediate</x:v>
      </x:c>
      <x:c r="Z364" s="4" t="str">
        <x:v>Geological</x:v>
      </x:c>
      <x:c r="AA364" s="4" t="str">
        <x:v>Inspection</x:v>
      </x:c>
      <x:c r="AB364" s="4" t="str">
        <x:v>Glass</x:v>
      </x:c>
      <x:c r="AC364" s="4" t="str">
        <x:v>Solid piece</x:v>
      </x:c>
      <x:c r="AD364" s="4" t="str">
        <x:v>Proposal</x:v>
      </x:c>
      <x:c r="AE364" s="4" t="str">
        <x:f>LOWER(A364&amp;"; "&amp;B364&amp;"; "&amp;D364&amp;"; "&amp;E364&amp;"; "&amp;X364&amp;"; "&amp;Y364&amp;"; "&amp;Z364&amp;"; "&amp;AA364&amp;"; "&amp;AB364&amp;"; "&amp;AC364&amp;"; "&amp;AD364&amp;"; "&amp;V364&amp;"; "&amp;C364&amp;"; "&amp;AH364&amp;"; "&amp;AI364)</x:f>
        <x:v>proposal.t1.clear_glass_blank; rough clear-glass blank; manufactured stock; tier 1 material concept; processed material; processed intermediate; geological; inspection; glass; solid piece; proposal; glass and ceramics; t1; not applicable; material</x:v>
      </x:c>
      <x:c r="AF364" s="4" t="str">
        <x:v>First-stage refinement proposal. Source material/cultural records remain proposal-stage. Lore category review: Resources -&gt; Manufactured stock. Classification only; original item status and tier retained.</x:v>
      </x:c>
      <x:c r="AG364" s="4" t="str">
        <x:v>Proposed game manufacturing tier from the candidate routes. Integrated operations may contain many work steps.</x:v>
      </x:c>
      <x:c r="AH364" s="4" t="str">
        <x:v>Not applicable</x:v>
      </x:c>
      <x:c r="AI364" s="4" t="str">
        <x:v>Material</x:v>
      </x:c>
      <x:c r="AJ364" s="4" t="n">
        <x:f>COUNTIFS('Material routes'!$D$6:$D$2205,A364,'Material routes'!$C$6:$C$2205,"Output")</x:f>
        <x:v>1</x:v>
      </x:c>
      <x:c r="AK364" s="4" t="n">
        <x:f>SUM(COUNTIFS('Material routes'!$D$6:$D$2205,A364,'Material routes'!$C$6:$C$2205,"Ingredient candidate"),COUNTIFS('Material routes'!$D$6:$D$2205,A364,'Material routes'!$C$6:$C$2205,"Consumed input"),COUNTIFS('Material routes'!$D$6:$D$2205,A364,'Material routes'!$C$6:$C$2205,"Contained input"),COUNTIFS('Material routes'!$D$6:$D$2205,A364,'Material routes'!$C$6:$C$2205,"Transform input"))</x:f>
        <x:v>6</x:v>
      </x:c>
      <x:c r="AL364" s="4" t="n">
        <x:f>COUNTIFS('Material routes'!$D$6:$D$2205,A364,'Material routes'!$C$6:$C$2205,"Tool candidate")</x:f>
        <x:v>0</x:v>
      </x:c>
      <x:c r="AM364" s="4" t="str">
        <x:f>IF(AJ364&gt;0,"Route listed; review status/completeness",IF(C364="T0","Raw entry feed; no production route","No production route listed"))</x:f>
        <x:v>Route listed; review status/completeness</x:v>
      </x:c>
      <x:c r="AN364" s="14" t="n">
        <x:f>IF(C364="T0",0,IF(C364="T1",1,IF(C364="T2",2,IF(C364="T3",3,IF(C364="T4",4,IF(C364="Unassigned",98,99))))))</x:f>
        <x:v>1</x:v>
      </x:c>
      <x:c r="AZ364"/>
      <x:c r="BA364"/>
      <x:c r="BB364"/>
      <x:c r="BC364"/>
      <x:c r="BD364"/>
      <x:c r="BE364"/>
      <x:c r="BF364"/>
      <x:c r="BG364"/>
      <x:c r="BH364"/>
      <x:c r="BI364"/>
      <x:c r="BJ364"/>
      <x:c r="BK364"/>
      <x:c r="BL364"/>
      <x:c r="BM364"/>
      <x:c r="BN364"/>
      <x:c r="BO364"/>
      <x:c r="BP364"/>
      <x:c r="BQ364"/>
      <x:c r="BR364"/>
      <x:c r="BS364"/>
      <x:c r="BT364"/>
      <x:c r="BU364"/>
      <x:c r="BV364"/>
      <x:c r="BW364"/>
      <x:c r="BX364"/>
      <x:c r="BY364"/>
      <x:c r="BZ364"/>
      <x:c r="CA364"/>
      <x:c r="CB364"/>
      <x:c r="CC364"/>
    </x:row>
    <x:row r="365" ht="115" customHeight="1">
      <x:c r="A365" s="9" t="str">
        <x:v>proposal.t1.dressed_stone</x:v>
      </x:c>
      <x:c r="B365" s="9" t="str">
        <x:v>Dressed building-stone stock</x:v>
      </x:c>
      <x:c r="C365" s="4" t="str">
        <x:v>T1</x:v>
      </x:c>
      <x:c r="D365" s="9" t="str">
        <x:v>Manufactured stock</x:v>
      </x:c>
      <x:c r="E365" s="9" t="str">
        <x:v>Tier 1 material concept</x:v>
      </x:c>
      <x:c r="F365" s="9" t="str">
        <x:v>New proposal</x:v>
      </x:c>
      <x:c r="G365" s="9" t="inlineStr">
        <x:is>
          <x:t xml:space="preserve">Prepared mineral stock in the form of dressed building-stone stock, intended as an input to further making or assembly. It is intended to join, reinforce or support other parts, with the bond or fastening chosen for the materials and loads involved.</x:t>
        </x:is>
      </x:c>
      <x:c r="H365" s="9" t="str">
        <x:v>None</x:v>
      </x:c>
      <x:c r="I365" s="9" t="str">
        <x:v>Material cargo / workshop storage; policy TBD</x:v>
      </x:c>
      <x:c r="J365" s="13"/>
      <x:c r="K365" s="15"/>
      <x:c r="L365" s="9" t="str">
        <x:v>Process a selected T0 raw/salvage input; candidate input [removed item]</x:v>
      </x:c>
      <x:c r="M365" s="9" t="str">
        <x:v>Select, dress and size raw blocks into reusable building stock.</x:v>
      </x:c>
      <x:c r="N365" s="9" t="str">
        <x:v>Not implemented</x:v>
      </x:c>
      <x:c r="O365" s="9" t="str">
        <x:v>Stone type, geometry and service grade are independent of crafting tier.</x:v>
      </x:c>
      <x:c r="P365" s="17"/>
      <x:c r="Q365" s="17"/>
      <x:c r="R365" s="17"/>
      <x:c r="S365" s="17"/>
      <x:c r="T365" s="17"/>
      <x:c r="U365" s="9" t="str">
        <x:v>Tier is manufacturing lineage, not rarity, value, quality or number of hand operations. Routes are partial ingredient proposals, not authored recipes.</x:v>
      </x:c>
      <x:c r="V365" s="11" t="str">
        <x:v>fabrication</x:v>
      </x:c>
      <x:c r="W365" s="9" t="str">
        <x:v>New game T1 proposal aligned to source draft/proposal https://github.com/sleepyseamonster/Arc-Dust/blob/f6f98515c005dc3c73cccd9cbc031691745740c6/02-Arc-Dust-Worldbuilding/world/materials/industrial-material-palette.md; source does not approve this game recipe.</x:v>
      </x:c>
      <x:c r="X365" s="4" t="str">
        <x:v>Processed material</x:v>
      </x:c>
      <x:c r="Y365" s="4" t="str">
        <x:v>Processed intermediate</x:v>
      </x:c>
      <x:c r="Z365" s="4" t="str">
        <x:v>Geological</x:v>
      </x:c>
      <x:c r="AA365" s="4" t="str">
        <x:v>Binding and construction</x:v>
      </x:c>
      <x:c r="AB365" s="4" t="str">
        <x:v>Mineral</x:v>
      </x:c>
      <x:c r="AC365" s="4" t="str">
        <x:v>Solid piece</x:v>
      </x:c>
      <x:c r="AD365" s="4" t="str">
        <x:v>Proposal</x:v>
      </x:c>
      <x:c r="AE365" s="4" t="str">
        <x:f>LOWER(A365&amp;"; "&amp;B365&amp;"; "&amp;D365&amp;"; "&amp;E365&amp;"; "&amp;X365&amp;"; "&amp;Y365&amp;"; "&amp;Z365&amp;"; "&amp;AA365&amp;"; "&amp;AB365&amp;"; "&amp;AC365&amp;"; "&amp;AD365&amp;"; "&amp;V365&amp;"; "&amp;C365&amp;"; "&amp;AH365&amp;"; "&amp;AI365)</x:f>
        <x:v>proposal.t1.dressed_stone; dressed building-stone stock; manufactured stock; tier 1 material concept; processed material; processed intermediate; geological; binding and construction; mineral; solid piece; proposal; fabrication; t1; not applicable; material</x:v>
      </x:c>
      <x:c r="AF365" s="4" t="str">
        <x:v>First-stage refinement proposal. Source material/cultural records remain proposal-stage. Lore category review: Resources -&gt; Manufactured stock. Classification only; original item status and tier retained.</x:v>
      </x:c>
      <x:c r="AG365" s="4" t="str">
        <x:v>Proposed game manufacturing tier from the candidate routes. Integrated operations may contain many work steps.</x:v>
      </x:c>
      <x:c r="AH365" s="4" t="str">
        <x:v>Not applicable</x:v>
      </x:c>
      <x:c r="AI365" s="4" t="str">
        <x:v>Material</x:v>
      </x:c>
      <x:c r="AJ365" s="4" t="n">
        <x:f>COUNTIFS('Material routes'!$D$6:$D$2205,A365,'Material routes'!$C$6:$C$2205,"Output")</x:f>
        <x:v>1</x:v>
      </x:c>
      <x:c r="AK365" s="4" t="n">
        <x:f>SUM(COUNTIFS('Material routes'!$D$6:$D$2205,A365,'Material routes'!$C$6:$C$2205,"Ingredient candidate"),COUNTIFS('Material routes'!$D$6:$D$2205,A365,'Material routes'!$C$6:$C$2205,"Consumed input"),COUNTIFS('Material routes'!$D$6:$D$2205,A365,'Material routes'!$C$6:$C$2205,"Contained input"),COUNTIFS('Material routes'!$D$6:$D$2205,A365,'Material routes'!$C$6:$C$2205,"Transform input"))</x:f>
        <x:v>5</x:v>
      </x:c>
      <x:c r="AL365" s="4" t="n">
        <x:f>COUNTIFS('Material routes'!$D$6:$D$2205,A365,'Material routes'!$C$6:$C$2205,"Tool candidate")</x:f>
        <x:v>0</x:v>
      </x:c>
      <x:c r="AM365" s="4" t="str">
        <x:f>IF(AJ365&gt;0,"Route listed; review status/completeness",IF(C365="T0","Raw entry feed; no production route","No production route listed"))</x:f>
        <x:v>Route listed; review status/completeness</x:v>
      </x:c>
      <x:c r="AN365" s="14" t="n">
        <x:f>IF(C365="T0",0,IF(C365="T1",1,IF(C365="T2",2,IF(C365="T3",3,IF(C365="T4",4,IF(C365="Unassigned",98,99))))))</x:f>
        <x:v>1</x:v>
      </x:c>
      <x:c r="AZ365"/>
      <x:c r="BA365"/>
      <x:c r="BB365"/>
      <x:c r="BC365"/>
      <x:c r="BD365"/>
      <x:c r="BE365"/>
      <x:c r="BF365"/>
      <x:c r="BG365"/>
      <x:c r="BH365"/>
      <x:c r="BI365"/>
      <x:c r="BJ365"/>
      <x:c r="BK365"/>
      <x:c r="BL365"/>
      <x:c r="BM365"/>
      <x:c r="BN365"/>
      <x:c r="BO365"/>
      <x:c r="BP365"/>
      <x:c r="BQ365"/>
      <x:c r="BR365"/>
      <x:c r="BS365"/>
      <x:c r="BT365"/>
      <x:c r="BU365"/>
      <x:c r="BV365"/>
      <x:c r="BW365"/>
      <x:c r="BX365"/>
      <x:c r="BY365"/>
      <x:c r="BZ365"/>
      <x:c r="CA365"/>
      <x:c r="CB365"/>
      <x:c r="CC365"/>
    </x:row>
    <x:row r="366" ht="115" customHeight="1">
      <x:c r="A366" s="9" t="str">
        <x:v>proposal.t1.resonant_blank</x:v>
      </x:c>
      <x:c r="B366" s="9" t="str">
        <x:v>Selected resonant-stone blank</x:v>
      </x:c>
      <x:c r="C366" s="4" t="str">
        <x:v>T1</x:v>
      </x:c>
      <x:c r="D366" s="9" t="str">
        <x:v>Manufactured stock</x:v>
      </x:c>
      <x:c r="E366" s="9" t="str">
        <x:v>Tier 1 material concept</x:v>
      </x:c>
      <x:c r="F366" s="9" t="str">
        <x:v>New proposal</x:v>
      </x:c>
      <x:c r="G366" s="9" t="inlineStr">
        <x:is>
          <x:t xml:space="preserve">Prepared mineral stock in the form of selected resonant-stone blank, intended as an input to further making or assembly. Its recorded physical form is intended to produce, control or support sound in a musical instrument; tuning and playable dimensions remain open.</x:t>
        </x:is>
      </x:c>
      <x:c r="H366" s="9" t="str">
        <x:v>None</x:v>
      </x:c>
      <x:c r="I366" s="9" t="str">
        <x:v>Material cargo / workshop storage; policy TBD</x:v>
      </x:c>
      <x:c r="J366" s="13"/>
      <x:c r="K366" s="15"/>
      <x:c r="L366" s="9" t="str">
        <x:v>Process a selected T0 raw/salvage input; candidate input [removed item]</x:v>
      </x:c>
      <x:c r="M366" s="9" t="str">
        <x:v>Select and rough-shape candidate stone blanks for later instrument tuning.</x:v>
      </x:c>
      <x:c r="N366" s="9" t="str">
        <x:v>Not implemented</x:v>
      </x:c>
      <x:c r="O366" s="9" t="str">
        <x:v>Source supports tuned stone craft, not this mineral selection. Resonance qualification is open; no Caller ability granted.</x:v>
      </x:c>
      <x:c r="P366" s="17"/>
      <x:c r="Q366" s="17"/>
      <x:c r="R366" s="17"/>
      <x:c r="S366" s="17"/>
      <x:c r="T366" s="17"/>
      <x:c r="U366" s="9" t="str">
        <x:v>Tier is manufacturing lineage, not rarity, value, quality or number of hand operations. Routes are partial ingredient proposals, not authored recipes.</x:v>
      </x:c>
      <x:c r="V366" s="11" t="str">
        <x:v>fabrication</x:v>
      </x:c>
      <x:c r="W366" s="9" t="str">
        <x:v>New game T1 proposal aligned to source draft/proposal https://github.com/sleepyseamonster/Arc-Dust/blob/f6f98515c005dc3c73cccd9cbc031691745740c6/02-Arc-Dust-Worldbuilding/world/peoples/resonance-callers.md; source does not approve this game recipe.</x:v>
      </x:c>
      <x:c r="X366" s="4" t="str">
        <x:v>Processed material</x:v>
      </x:c>
      <x:c r="Y366" s="4" t="str">
        <x:v>Processed intermediate</x:v>
      </x:c>
      <x:c r="Z366" s="4" t="str">
        <x:v>Geological</x:v>
      </x:c>
      <x:c r="AA366" s="4" t="str">
        <x:v>Music</x:v>
      </x:c>
      <x:c r="AB366" s="4" t="str">
        <x:v>Mineral</x:v>
      </x:c>
      <x:c r="AC366" s="4" t="str">
        <x:v>Solid piece</x:v>
      </x:c>
      <x:c r="AD366" s="4" t="str">
        <x:v>Proposal</x:v>
      </x:c>
      <x:c r="AE366" s="4" t="str">
        <x:f>LOWER(A366&amp;"; "&amp;B366&amp;"; "&amp;D366&amp;"; "&amp;E366&amp;"; "&amp;X366&amp;"; "&amp;Y366&amp;"; "&amp;Z366&amp;"; "&amp;AA366&amp;"; "&amp;AB366&amp;"; "&amp;AC366&amp;"; "&amp;AD366&amp;"; "&amp;V366&amp;"; "&amp;C366&amp;"; "&amp;AH366&amp;"; "&amp;AI366)</x:f>
        <x:v>proposal.t1.resonant_blank; selected resonant-stone blank; manufactured stock; tier 1 material concept; processed material; processed intermediate; geological; music; mineral; solid piece; proposal; fabrication; t1; not applicable; material</x:v>
      </x:c>
      <x:c r="AF366" s="4" t="str">
        <x:v>First-stage refinement proposal. Source material/cultural records remain proposal-stage. Lore category review: Resources -&gt; Manufactured stock. Classification only; original item status and tier retained.</x:v>
      </x:c>
      <x:c r="AG366" s="4" t="str">
        <x:v>Proposed game manufacturing tier from the candidate routes. Integrated operations may contain many work steps.</x:v>
      </x:c>
      <x:c r="AH366" s="4" t="str">
        <x:v>Not applicable</x:v>
      </x:c>
      <x:c r="AI366" s="4" t="str">
        <x:v>Material</x:v>
      </x:c>
      <x:c r="AJ366" s="4" t="n">
        <x:f>COUNTIFS('Material routes'!$D$6:$D$2205,A366,'Material routes'!$C$6:$C$2205,"Output")</x:f>
        <x:v>1</x:v>
      </x:c>
      <x:c r="AK366" s="4" t="n">
        <x:f>SUM(COUNTIFS('Material routes'!$D$6:$D$2205,A366,'Material routes'!$C$6:$C$2205,"Ingredient candidate"),COUNTIFS('Material routes'!$D$6:$D$2205,A366,'Material routes'!$C$6:$C$2205,"Consumed input"),COUNTIFS('Material routes'!$D$6:$D$2205,A366,'Material routes'!$C$6:$C$2205,"Contained input"),COUNTIFS('Material routes'!$D$6:$D$2205,A366,'Material routes'!$C$6:$C$2205,"Transform input"))</x:f>
        <x:v>1</x:v>
      </x:c>
      <x:c r="AL366" s="4" t="n">
        <x:f>COUNTIFS('Material routes'!$D$6:$D$2205,A366,'Material routes'!$C$6:$C$2205,"Tool candidate")</x:f>
        <x:v>0</x:v>
      </x:c>
      <x:c r="AM366" s="4" t="str">
        <x:f>IF(AJ366&gt;0,"Route listed; review status/completeness",IF(C366="T0","Raw entry feed; no production route","No production route listed"))</x:f>
        <x:v>Route listed; review status/completeness</x:v>
      </x:c>
      <x:c r="AN366" s="14" t="n">
        <x:f>IF(C366="T0",0,IF(C366="T1",1,IF(C366="T2",2,IF(C366="T3",3,IF(C366="T4",4,IF(C366="Unassigned",98,99))))))</x:f>
        <x:v>1</x:v>
      </x:c>
      <x:c r="AZ366"/>
      <x:c r="BA366"/>
      <x:c r="BB366"/>
      <x:c r="BC366"/>
      <x:c r="BD366"/>
      <x:c r="BE366"/>
      <x:c r="BF366"/>
      <x:c r="BG366"/>
      <x:c r="BH366"/>
      <x:c r="BI366"/>
      <x:c r="BJ366"/>
      <x:c r="BK366"/>
      <x:c r="BL366"/>
      <x:c r="BM366"/>
      <x:c r="BN366"/>
      <x:c r="BO366"/>
      <x:c r="BP366"/>
      <x:c r="BQ366"/>
      <x:c r="BR366"/>
      <x:c r="BS366"/>
      <x:c r="BT366"/>
      <x:c r="BU366"/>
      <x:c r="BV366"/>
      <x:c r="BW366"/>
      <x:c r="BX366"/>
      <x:c r="BY366"/>
      <x:c r="BZ366"/>
      <x:c r="CA366"/>
      <x:c r="CB366"/>
      <x:c r="CC366"/>
    </x:row>
    <x:row r="367" ht="115" customHeight="1">
      <x:c r="A367" s="9" t="str">
        <x:v>proposal.t1.pigment_powder</x:v>
      </x:c>
      <x:c r="B367" s="9" t="str">
        <x:v>Prepared mineral pigment powder</x:v>
      </x:c>
      <x:c r="C367" s="4" t="str">
        <x:v>T1</x:v>
      </x:c>
      <x:c r="D367" s="9" t="str">
        <x:v>Manufactured stock</x:v>
      </x:c>
      <x:c r="E367" s="9" t="str">
        <x:v>Tier 1 material concept</x:v>
      </x:c>
      <x:c r="F367" s="9" t="str">
        <x:v>New proposal</x:v>
      </x:c>
      <x:c r="G367" s="9" t="inlineStr">
        <x:is>
          <x:t xml:space="preserve">Prepared mineral stock in the form of prepared mineral pigment powder, intended as an input to further making or assembly. It supplies a visible ornamental surface or detail, with its placement and cultural meaning left to the receiving object’s design.</x:t>
        </x:is>
      </x:c>
      <x:c r="H367" s="9" t="str">
        <x:v>None</x:v>
      </x:c>
      <x:c r="I367" s="9" t="str">
        <x:v>Material cargo / workshop storage; policy TBD</x:v>
      </x:c>
      <x:c r="J367" s="13"/>
      <x:c r="K367" s="15"/>
      <x:c r="L367" s="9" t="str">
        <x:v>Process a selected T0 raw/salvage input; candidate input [removed item]</x:v>
      </x:c>
      <x:c r="M367" s="9" t="str">
        <x:v>Sort and grind a chosen raw color-bearing feed.</x:v>
      </x:c>
      <x:c r="N367" s="9" t="str">
        <x:v>Not implemented</x:v>
      </x:c>
      <x:c r="O367" s="9" t="str">
        <x:v>A first industrial colorant, not prepared paint or food color. Carrier formulation is a later material stage.</x:v>
      </x:c>
      <x:c r="P367" s="17"/>
      <x:c r="Q367" s="17"/>
      <x:c r="R367" s="17"/>
      <x:c r="S367" s="17"/>
      <x:c r="T367" s="17"/>
      <x:c r="U367" s="9" t="str">
        <x:v>Tier is manufacturing lineage, not rarity, value, quality or number of hand operations. Routes are partial ingredient proposals, not authored recipes.</x:v>
      </x:c>
      <x:c r="V367" s="11" t="str">
        <x:v>writing and records</x:v>
      </x:c>
      <x:c r="W367" s="9" t="str">
        <x:v>New game T1 proposal aligned to source draft/proposal https://github.com/sleepyseamonster/Arc-Dust/blob/f6f98515c005dc3c73cccd9cbc031691745740c6/02-Arc-Dust-Worldbuilding/world/materials/chemical-processing-agents.md; source does not approve this game recipe.</x:v>
      </x:c>
      <x:c r="X367" s="4" t="str">
        <x:v>Processed material</x:v>
      </x:c>
      <x:c r="Y367" s="4" t="str">
        <x:v>Processed intermediate</x:v>
      </x:c>
      <x:c r="Z367" s="4" t="str">
        <x:v>Geological</x:v>
      </x:c>
      <x:c r="AA367" s="4" t="str">
        <x:v>Decoration</x:v>
      </x:c>
      <x:c r="AB367" s="4" t="str">
        <x:v>Mineral</x:v>
      </x:c>
      <x:c r="AC367" s="4" t="str">
        <x:v>Particles</x:v>
      </x:c>
      <x:c r="AD367" s="4" t="str">
        <x:v>Proposal</x:v>
      </x:c>
      <x:c r="AE367" s="4" t="str">
        <x:f>LOWER(A367&amp;"; "&amp;B367&amp;"; "&amp;D367&amp;"; "&amp;E367&amp;"; "&amp;X367&amp;"; "&amp;Y367&amp;"; "&amp;Z367&amp;"; "&amp;AA367&amp;"; "&amp;AB367&amp;"; "&amp;AC367&amp;"; "&amp;AD367&amp;"; "&amp;V367&amp;"; "&amp;C367&amp;"; "&amp;AH367&amp;"; "&amp;AI367)</x:f>
        <x:v>proposal.t1.pigment_powder; prepared mineral pigment powder; manufactured stock; tier 1 material concept; processed material; processed intermediate; geological; decoration; mineral; particles; proposal; writing and records; t1; not applicable; material</x:v>
      </x:c>
      <x:c r="AF367" s="4" t="str">
        <x:v>First-stage refinement proposal. Source material/cultural records remain proposal-stage. Lore category review: Resources -&gt; Manufactured stock. Classification only; original item status and tier retained.</x:v>
      </x:c>
      <x:c r="AG367" s="4" t="str">
        <x:v>Proposed game manufacturing tier from the candidate routes. Integrated operations may contain many work steps.</x:v>
      </x:c>
      <x:c r="AH367" s="4" t="str">
        <x:v>Not applicable</x:v>
      </x:c>
      <x:c r="AI367" s="4" t="str">
        <x:v>Material</x:v>
      </x:c>
      <x:c r="AJ367" s="4" t="n">
        <x:f>COUNTIFS('Material routes'!$D$6:$D$2205,A367,'Material routes'!$C$6:$C$2205,"Output")</x:f>
        <x:v>1</x:v>
      </x:c>
      <x:c r="AK367" s="4" t="n">
        <x:f>SUM(COUNTIFS('Material routes'!$D$6:$D$2205,A367,'Material routes'!$C$6:$C$2205,"Ingredient candidate"),COUNTIFS('Material routes'!$D$6:$D$2205,A367,'Material routes'!$C$6:$C$2205,"Consumed input"),COUNTIFS('Material routes'!$D$6:$D$2205,A367,'Material routes'!$C$6:$C$2205,"Contained input"),COUNTIFS('Material routes'!$D$6:$D$2205,A367,'Material routes'!$C$6:$C$2205,"Transform input"))</x:f>
        <x:v>23</x:v>
      </x:c>
      <x:c r="AL367" s="4" t="n">
        <x:f>COUNTIFS('Material routes'!$D$6:$D$2205,A367,'Material routes'!$C$6:$C$2205,"Tool candidate")</x:f>
        <x:v>0</x:v>
      </x:c>
      <x:c r="AM367" s="4" t="str">
        <x:f>IF(AJ367&gt;0,"Route listed; review status/completeness",IF(C367="T0","Raw entry feed; no production route","No production route listed"))</x:f>
        <x:v>Route listed; review status/completeness</x:v>
      </x:c>
      <x:c r="AN367" s="14" t="n">
        <x:f>IF(C367="T0",0,IF(C367="T1",1,IF(C367="T2",2,IF(C367="T3",3,IF(C367="T4",4,IF(C367="Unassigned",98,99))))))</x:f>
        <x:v>1</x:v>
      </x:c>
      <x:c r="AZ367"/>
      <x:c r="BA367"/>
      <x:c r="BB367"/>
      <x:c r="BC367"/>
      <x:c r="BD367"/>
      <x:c r="BE367"/>
      <x:c r="BF367"/>
      <x:c r="BG367"/>
      <x:c r="BH367"/>
      <x:c r="BI367"/>
      <x:c r="BJ367"/>
      <x:c r="BK367"/>
      <x:c r="BL367"/>
      <x:c r="BM367"/>
      <x:c r="BN367"/>
      <x:c r="BO367"/>
      <x:c r="BP367"/>
      <x:c r="BQ367"/>
      <x:c r="BR367"/>
      <x:c r="BS367"/>
      <x:c r="BT367"/>
      <x:c r="BU367"/>
      <x:c r="BV367"/>
      <x:c r="BW367"/>
      <x:c r="BX367"/>
      <x:c r="BY367"/>
      <x:c r="BZ367"/>
      <x:c r="CA367"/>
      <x:c r="CB367"/>
      <x:c r="CC367"/>
    </x:row>
    <x:row r="368" ht="115" customHeight="1">
      <x:c r="A368" s="9" t="str">
        <x:v>proposal.t1.mineral_filler</x:v>
      </x:c>
      <x:c r="B368" s="9" t="str">
        <x:v>Graded mineral filler</x:v>
      </x:c>
      <x:c r="C368" s="4" t="str">
        <x:v>T1</x:v>
      </x:c>
      <x:c r="D368" s="9" t="str">
        <x:v>Manufactured stock</x:v>
      </x:c>
      <x:c r="E368" s="9" t="str">
        <x:v>Tier 1 material concept</x:v>
      </x:c>
      <x:c r="F368" s="9" t="str">
        <x:v>New proposal</x:v>
      </x:c>
      <x:c r="G368" s="9" t="inlineStr">
        <x:is>
          <x:t xml:space="preserve">Prepared mineral stock in the form of graded mineral filler, intended as an input to further making or assembly. It is intended to join, reinforce or support other parts, with the bond or fastening chosen for the materials and loads involved.</x:t>
        </x:is>
      </x:c>
      <x:c r="H368" s="9" t="str">
        <x:v>None</x:v>
      </x:c>
      <x:c r="I368" s="9" t="str">
        <x:v>Material cargo / workshop storage; policy TBD</x:v>
      </x:c>
      <x:c r="J368" s="13"/>
      <x:c r="K368" s="15"/>
      <x:c r="L368" s="9" t="str">
        <x:v>Process a selected T0 raw/salvage input; candidate input proposal.raw.barite</x:v>
      </x:c>
      <x:c r="M368" s="9" t="str">
        <x:v>Select and grade raw mineral feed into a defined filler fraction.</x:v>
      </x:c>
      <x:c r="N368" s="9" t="str">
        <x:v>Not implemented</x:v>
      </x:c>
      <x:c r="O368" s="9" t="str">
        <x:v>Feed composition and usefulness must be qualified; not universal clean aggregate.</x:v>
      </x:c>
      <x:c r="P368" s="17"/>
      <x:c r="Q368" s="17"/>
      <x:c r="R368" s="17"/>
      <x:c r="S368" s="17"/>
      <x:c r="T368" s="17"/>
      <x:c r="U368" s="9" t="str">
        <x:v>Tier is manufacturing lineage, not rarity, value, quality or number of hand operations. Routes are partial ingredient proposals, not authored recipes.</x:v>
      </x:c>
      <x:c r="V368" s="11" t="str">
        <x:v>fabrication</x:v>
      </x:c>
      <x:c r="W368" s="9" t="str">
        <x:v>New game T1 proposal aligned to source draft/proposal https://github.com/sleepyseamonster/Arc-Dust/blob/f6f98515c005dc3c73cccd9cbc031691745740c6/02-Arc-Dust-Worldbuilding/world/materials/chemical-processing-agents.md; source does not approve this game recipe.</x:v>
      </x:c>
      <x:c r="X368" s="4" t="str">
        <x:v>Processed material</x:v>
      </x:c>
      <x:c r="Y368" s="4" t="str">
        <x:v>Processed intermediate</x:v>
      </x:c>
      <x:c r="Z368" s="4" t="str">
        <x:v>Geological</x:v>
      </x:c>
      <x:c r="AA368" s="4" t="str">
        <x:v>Binding and construction</x:v>
      </x:c>
      <x:c r="AB368" s="4" t="str">
        <x:v>Mineral</x:v>
      </x:c>
      <x:c r="AC368" s="4" t="str">
        <x:v>Particles</x:v>
      </x:c>
      <x:c r="AD368" s="4" t="str">
        <x:v>Proposal</x:v>
      </x:c>
      <x:c r="AE368" s="4" t="str">
        <x:f>LOWER(A368&amp;"; "&amp;B368&amp;"; "&amp;D368&amp;"; "&amp;E368&amp;"; "&amp;X368&amp;"; "&amp;Y368&amp;"; "&amp;Z368&amp;"; "&amp;AA368&amp;"; "&amp;AB368&amp;"; "&amp;AC368&amp;"; "&amp;AD368&amp;"; "&amp;V368&amp;"; "&amp;C368&amp;"; "&amp;AH368&amp;"; "&amp;AI368)</x:f>
        <x:v>proposal.t1.mineral_filler; graded mineral filler; manufactured stock; tier 1 material concept; processed material; processed intermediate; geological; binding and construction; mineral; particles; proposal; fabrication; t1; not applicable; material</x:v>
      </x:c>
      <x:c r="AF368" s="4" t="str">
        <x:v>First-stage refinement proposal. Source material/cultural records remain proposal-stage. Lore category review: Resources -&gt; Manufactured stock. Classification only; original item status and tier retained.</x:v>
      </x:c>
      <x:c r="AG368" s="4" t="str">
        <x:v>Proposed game manufacturing tier from the candidate routes. Integrated operations may contain many work steps.</x:v>
      </x:c>
      <x:c r="AH368" s="4" t="str">
        <x:v>Not applicable</x:v>
      </x:c>
      <x:c r="AI368" s="4" t="str">
        <x:v>Material</x:v>
      </x:c>
      <x:c r="AJ368" s="4" t="n">
        <x:f>COUNTIFS('Material routes'!$D$6:$D$2205,A368,'Material routes'!$C$6:$C$2205,"Output")</x:f>
        <x:v>1</x:v>
      </x:c>
      <x:c r="AK368" s="4" t="n">
        <x:f>SUM(COUNTIFS('Material routes'!$D$6:$D$2205,A368,'Material routes'!$C$6:$C$2205,"Ingredient candidate"),COUNTIFS('Material routes'!$D$6:$D$2205,A368,'Material routes'!$C$6:$C$2205,"Consumed input"),COUNTIFS('Material routes'!$D$6:$D$2205,A368,'Material routes'!$C$6:$C$2205,"Contained input"),COUNTIFS('Material routes'!$D$6:$D$2205,A368,'Material routes'!$C$6:$C$2205,"Transform input"))</x:f>
        <x:v>6</x:v>
      </x:c>
      <x:c r="AL368" s="4" t="n">
        <x:f>COUNTIFS('Material routes'!$D$6:$D$2205,A368,'Material routes'!$C$6:$C$2205,"Tool candidate")</x:f>
        <x:v>0</x:v>
      </x:c>
      <x:c r="AM368" s="4" t="str">
        <x:f>IF(AJ368&gt;0,"Route listed; review status/completeness",IF(C368="T0","Raw entry feed; no production route","No production route listed"))</x:f>
        <x:v>Route listed; review status/completeness</x:v>
      </x:c>
      <x:c r="AN368" s="14" t="n">
        <x:f>IF(C368="T0",0,IF(C368="T1",1,IF(C368="T2",2,IF(C368="T3",3,IF(C368="T4",4,IF(C368="Unassigned",98,99))))))</x:f>
        <x:v>1</x:v>
      </x:c>
      <x:c r="AZ368"/>
      <x:c r="BA368"/>
      <x:c r="BB368"/>
      <x:c r="BC368"/>
      <x:c r="BD368"/>
      <x:c r="BE368"/>
      <x:c r="BF368"/>
      <x:c r="BG368"/>
      <x:c r="BH368"/>
      <x:c r="BI368"/>
      <x:c r="BJ368"/>
      <x:c r="BK368"/>
      <x:c r="BL368"/>
      <x:c r="BM368"/>
      <x:c r="BN368"/>
      <x:c r="BO368"/>
      <x:c r="BP368"/>
      <x:c r="BQ368"/>
      <x:c r="BR368"/>
      <x:c r="BS368"/>
      <x:c r="BT368"/>
      <x:c r="BU368"/>
      <x:c r="BV368"/>
      <x:c r="BW368"/>
      <x:c r="BX368"/>
      <x:c r="BY368"/>
      <x:c r="BZ368"/>
      <x:c r="CA368"/>
      <x:c r="CB368"/>
      <x:c r="CC368"/>
    </x:row>
    <x:row r="369" ht="115" customHeight="1">
      <x:c r="A369" s="9" t="str">
        <x:v>proposal.t1.glass_feed</x:v>
      </x:c>
      <x:c r="B369" s="9" t="str">
        <x:v>Sorted glass remelt feed</x:v>
      </x:c>
      <x:c r="C369" s="4" t="str">
        <x:v>T1</x:v>
      </x:c>
      <x:c r="D369" s="9" t="str">
        <x:v>Manufactured stock</x:v>
      </x:c>
      <x:c r="E369" s="9" t="str">
        <x:v>Tier 1 material concept</x:v>
      </x:c>
      <x:c r="F369" s="9" t="str">
        <x:v>New proposal</x:v>
      </x:c>
      <x:c r="G369" s="9" t="inlineStr">
        <x:is>
          <x:t xml:space="preserve">Prepared glass stock in the form of sorted glass remelt feed, intended as an input to further making or assembly. It is intended for a matched glassworking or ceramic process, with composition, forming and controlled heat determining the useful result.</x:t>
        </x:is>
      </x:c>
      <x:c r="H369" s="9" t="str">
        <x:v>None</x:v>
      </x:c>
      <x:c r="I369" s="9" t="str">
        <x:v>Material cargo / workshop storage; policy TBD</x:v>
      </x:c>
      <x:c r="J369" s="13"/>
      <x:c r="K369" s="15"/>
      <x:c r="L369" s="9" t="str">
        <x:v>Process a selected T0 raw/salvage input; candidate input proposal.raw.glass_shards</x:v>
      </x:c>
      <x:c r="M369" s="9" t="str">
        <x:v>Identify, segregate and prepare recovered glass for a compatible later melt.</x:v>
      </x:c>
      <x:c r="N369" s="9" t="str">
        <x:v>Not implemented</x:v>
      </x:c>
      <x:c r="O369" s="9" t="str">
        <x:v>This is a salvage-preparation branch. Glass made from this T1 feed would be T2, not a second T1 transformation.</x:v>
      </x:c>
      <x:c r="P369" s="17"/>
      <x:c r="Q369" s="17"/>
      <x:c r="R369" s="17"/>
      <x:c r="S369" s="17"/>
      <x:c r="T369" s="17"/>
      <x:c r="U369" s="9" t="str">
        <x:v>Tier is manufacturing lineage, not rarity, value, quality or number of hand operations. Routes are partial ingredient proposals, not authored recipes.</x:v>
      </x:c>
      <x:c r="V369" s="11"/>
      <x:c r="W369" s="9" t="str">
        <x:v>New game T1 proposal aligned to source draft/proposal https://github.com/sleepyseamonster/Arc-Dust/blob/f6f98515c005dc3c73cccd9cbc031691745740c6/02-Arc-Dust-Worldbuilding/world/materials/glass.md; source does not approve this game recipe.</x:v>
      </x:c>
      <x:c r="X369" s="4" t="str">
        <x:v>Processed material</x:v>
      </x:c>
      <x:c r="Y369" s="4" t="str">
        <x:v>Processed intermediate</x:v>
      </x:c>
      <x:c r="Z369" s="4" t="str">
        <x:v>Industrial salvage</x:v>
      </x:c>
      <x:c r="AA369" s="4" t="str">
        <x:v>Glass and ceramics</x:v>
      </x:c>
      <x:c r="AB369" s="4" t="str">
        <x:v>Glass</x:v>
      </x:c>
      <x:c r="AC369" s="4" t="str">
        <x:v>Particles</x:v>
      </x:c>
      <x:c r="AD369" s="4" t="str">
        <x:v>Proposal</x:v>
      </x:c>
      <x:c r="AE369" s="4" t="str">
        <x:f>LOWER(A369&amp;"; "&amp;B369&amp;"; "&amp;D369&amp;"; "&amp;E369&amp;"; "&amp;X369&amp;"; "&amp;Y369&amp;"; "&amp;Z369&amp;"; "&amp;AA369&amp;"; "&amp;AB369&amp;"; "&amp;AC369&amp;"; "&amp;AD369&amp;"; "&amp;V369&amp;"; "&amp;C369&amp;"; "&amp;AH369&amp;"; "&amp;AI369)</x:f>
        <x:v>proposal.t1.glass_feed; sorted glass remelt feed; manufactured stock; tier 1 material concept; processed material; processed intermediate; industrial salvage; glass and ceramics; glass; particles; proposal; ; t1; not applicable; material</x:v>
      </x:c>
      <x:c r="AF369" s="4" t="str">
        <x:v>First-stage refinement proposal. Source material/cultural records remain proposal-stage. Lore category review: Resources -&gt; Manufactured stock. Classification only; original item status and tier retained.</x:v>
      </x:c>
      <x:c r="AG369" s="4" t="str">
        <x:v>Proposed game manufacturing tier from the candidate routes. Integrated operations may contain many work steps.</x:v>
      </x:c>
      <x:c r="AH369" s="4" t="str">
        <x:v>Not applicable</x:v>
      </x:c>
      <x:c r="AI369" s="4" t="str">
        <x:v>Material</x:v>
      </x:c>
      <x:c r="AJ369" s="4" t="n">
        <x:f>COUNTIFS('Material routes'!$D$6:$D$2205,A369,'Material routes'!$C$6:$C$2205,"Output")</x:f>
        <x:v>1</x:v>
      </x:c>
      <x:c r="AK369" s="4" t="n">
        <x:f>SUM(COUNTIFS('Material routes'!$D$6:$D$2205,A369,'Material routes'!$C$6:$C$2205,"Ingredient candidate"),COUNTIFS('Material routes'!$D$6:$D$2205,A369,'Material routes'!$C$6:$C$2205,"Consumed input"),COUNTIFS('Material routes'!$D$6:$D$2205,A369,'Material routes'!$C$6:$C$2205,"Contained input"),COUNTIFS('Material routes'!$D$6:$D$2205,A369,'Material routes'!$C$6:$C$2205,"Transform input"))</x:f>
        <x:v>0</x:v>
      </x:c>
      <x:c r="AL369" s="4" t="n">
        <x:f>COUNTIFS('Material routes'!$D$6:$D$2205,A369,'Material routes'!$C$6:$C$2205,"Tool candidate")</x:f>
        <x:v>0</x:v>
      </x:c>
      <x:c r="AM369" s="4" t="str">
        <x:f>IF(AJ369&gt;0,"Route listed; review status/completeness",IF(C369="T0","Raw entry feed; no production route","No production route listed"))</x:f>
        <x:v>Route listed; review status/completeness</x:v>
      </x:c>
      <x:c r="AN369" s="14" t="n">
        <x:f>IF(C369="T0",0,IF(C369="T1",1,IF(C369="T2",2,IF(C369="T3",3,IF(C369="T4",4,IF(C369="Unassigned",98,99))))))</x:f>
        <x:v>1</x:v>
      </x:c>
      <x:c r="AZ369"/>
      <x:c r="BA369"/>
      <x:c r="BB369"/>
      <x:c r="BC369"/>
      <x:c r="BD369"/>
      <x:c r="BE369"/>
      <x:c r="BF369"/>
      <x:c r="BG369"/>
      <x:c r="BH369"/>
      <x:c r="BI369"/>
      <x:c r="BJ369"/>
      <x:c r="BK369"/>
      <x:c r="BL369"/>
      <x:c r="BM369"/>
      <x:c r="BN369"/>
      <x:c r="BO369"/>
      <x:c r="BP369"/>
      <x:c r="BQ369"/>
      <x:c r="BR369"/>
      <x:c r="BS369"/>
      <x:c r="BT369"/>
      <x:c r="BU369"/>
      <x:c r="BV369"/>
      <x:c r="BW369"/>
      <x:c r="BX369"/>
      <x:c r="BY369"/>
      <x:c r="BZ369"/>
      <x:c r="CA369"/>
      <x:c r="CB369"/>
      <x:c r="CC369"/>
    </x:row>
    <x:row r="370" ht="115" customHeight="1">
      <x:c r="A370" s="9" t="str">
        <x:v>proposal.t1.mica_flakes</x:v>
      </x:c>
      <x:c r="B370" s="9" t="str">
        <x:v>Separated mica flake grade</x:v>
      </x:c>
      <x:c r="C370" s="4" t="str">
        <x:v>T1</x:v>
      </x:c>
      <x:c r="D370" s="9" t="str">
        <x:v>Manufactured stock</x:v>
      </x:c>
      <x:c r="E370" s="9" t="str">
        <x:v>Tier 1 material concept</x:v>
      </x:c>
      <x:c r="F370" s="9" t="str">
        <x:v>New proposal</x:v>
      </x:c>
      <x:c r="G370" s="9" t="inlineStr">
        <x:is>
          <x:t xml:space="preserve">Prepared mineral stock in the form of separated mica flake grade, intended as an input to further making or assembly. It provides candidate material or a shaped starting piece for making other objects, with the final form set by the receiving design.</x:t>
        </x:is>
      </x:c>
      <x:c r="H370" s="9" t="str">
        <x:v>None</x:v>
      </x:c>
      <x:c r="I370" s="9" t="str">
        <x:v>Material cargo / workshop storage; policy TBD</x:v>
      </x:c>
      <x:c r="J370" s="13"/>
      <x:c r="K370" s="15"/>
      <x:c r="L370" s="9" t="str">
        <x:v>Process a selected T0 raw/salvage input; candidate input proposal.natural.mica</x:v>
      </x:c>
      <x:c r="M370" s="9" t="str">
        <x:v>Split and grade selected raw mica into flake feed.</x:v>
      </x:c>
      <x:c r="N370" s="9" t="str">
        <x:v>Not implemented</x:v>
      </x:c>
      <x:c r="O370" s="9" t="str">
        <x:v>Composition and target composite/finish remain open; no electrical rating assigned.</x:v>
      </x:c>
      <x:c r="P370" s="17"/>
      <x:c r="Q370" s="17"/>
      <x:c r="R370" s="17"/>
      <x:c r="S370" s="17"/>
      <x:c r="T370" s="17"/>
      <x:c r="U370" s="9" t="str">
        <x:v>Tier is manufacturing lineage, not rarity, value, quality or number of hand operations. Routes are partial ingredient proposals, not authored recipes.</x:v>
      </x:c>
      <x:c r="V370" s="11" t="str">
        <x:v>decoration</x:v>
      </x:c>
      <x:c r="W370" s="9" t="str">
        <x:v>New game T1 proposal aligned to source draft/proposal https://github.com/sleepyseamonster/Arc-Dust/blob/f6f98515c005dc3c73cccd9cbc031691745740c6/02-Arc-Dust-Worldbuilding/world/materials/industrial-material-palette.md; source does not approve this game recipe.</x:v>
      </x:c>
      <x:c r="X370" s="4" t="str">
        <x:v>Processed material</x:v>
      </x:c>
      <x:c r="Y370" s="4" t="str">
        <x:v>Processed intermediate</x:v>
      </x:c>
      <x:c r="Z370" s="4" t="str">
        <x:v>Geological</x:v>
      </x:c>
      <x:c r="AA370" s="4" t="str">
        <x:v>Fabrication</x:v>
      </x:c>
      <x:c r="AB370" s="4" t="str">
        <x:v>Mineral</x:v>
      </x:c>
      <x:c r="AC370" s="4" t="str">
        <x:v>Particles</x:v>
      </x:c>
      <x:c r="AD370" s="4" t="str">
        <x:v>Proposal</x:v>
      </x:c>
      <x:c r="AE370" s="4" t="str">
        <x:f>LOWER(A370&amp;"; "&amp;B370&amp;"; "&amp;D370&amp;"; "&amp;E370&amp;"; "&amp;X370&amp;"; "&amp;Y370&amp;"; "&amp;Z370&amp;"; "&amp;AA370&amp;"; "&amp;AB370&amp;"; "&amp;AC370&amp;"; "&amp;AD370&amp;"; "&amp;V370&amp;"; "&amp;C370&amp;"; "&amp;AH370&amp;"; "&amp;AI370)</x:f>
        <x:v>proposal.t1.mica_flakes; separated mica flake grade; manufactured stock; tier 1 material concept; processed material; processed intermediate; geological; fabrication; mineral; particles; proposal; decoration; t1; not applicable; material</x:v>
      </x:c>
      <x:c r="AF370" s="4" t="str">
        <x:v>First-stage refinement proposal. Source material/cultural records remain proposal-stage. Lore category review: Resources -&gt; Manufactured stock. Classification only; original item status and tier retained.</x:v>
      </x:c>
      <x:c r="AG370" s="4" t="str">
        <x:v>Proposed game manufacturing tier from the candidate routes. Integrated operations may contain many work steps.</x:v>
      </x:c>
      <x:c r="AH370" s="4" t="str">
        <x:v>Not applicable</x:v>
      </x:c>
      <x:c r="AI370" s="4" t="str">
        <x:v>Material</x:v>
      </x:c>
      <x:c r="AJ370" s="4" t="n">
        <x:f>COUNTIFS('Material routes'!$D$6:$D$2205,A370,'Material routes'!$C$6:$C$2205,"Output")</x:f>
        <x:v>1</x:v>
      </x:c>
      <x:c r="AK370" s="4" t="n">
        <x:f>SUM(COUNTIFS('Material routes'!$D$6:$D$2205,A370,'Material routes'!$C$6:$C$2205,"Ingredient candidate"),COUNTIFS('Material routes'!$D$6:$D$2205,A370,'Material routes'!$C$6:$C$2205,"Consumed input"),COUNTIFS('Material routes'!$D$6:$D$2205,A370,'Material routes'!$C$6:$C$2205,"Contained input"),COUNTIFS('Material routes'!$D$6:$D$2205,A370,'Material routes'!$C$6:$C$2205,"Transform input"))</x:f>
        <x:v>2</x:v>
      </x:c>
      <x:c r="AL370" s="4" t="n">
        <x:f>COUNTIFS('Material routes'!$D$6:$D$2205,A370,'Material routes'!$C$6:$C$2205,"Tool candidate")</x:f>
        <x:v>0</x:v>
      </x:c>
      <x:c r="AM370" s="4" t="str">
        <x:f>IF(AJ370&gt;0,"Route listed; review status/completeness",IF(C370="T0","Raw entry feed; no production route","No production route listed"))</x:f>
        <x:v>Route listed; review status/completeness</x:v>
      </x:c>
      <x:c r="AN370" s="14" t="n">
        <x:f>IF(C370="T0",0,IF(C370="T1",1,IF(C370="T2",2,IF(C370="T3",3,IF(C370="T4",4,IF(C370="Unassigned",98,99))))))</x:f>
        <x:v>1</x:v>
      </x:c>
      <x:c r="AZ370"/>
      <x:c r="BA370"/>
      <x:c r="BB370"/>
      <x:c r="BC370"/>
      <x:c r="BD370"/>
      <x:c r="BE370"/>
      <x:c r="BF370"/>
      <x:c r="BG370"/>
      <x:c r="BH370"/>
      <x:c r="BI370"/>
      <x:c r="BJ370"/>
      <x:c r="BK370"/>
      <x:c r="BL370"/>
      <x:c r="BM370"/>
      <x:c r="BN370"/>
      <x:c r="BO370"/>
      <x:c r="BP370"/>
      <x:c r="BQ370"/>
      <x:c r="BR370"/>
      <x:c r="BS370"/>
      <x:c r="BT370"/>
      <x:c r="BU370"/>
      <x:c r="BV370"/>
      <x:c r="BW370"/>
      <x:c r="BX370"/>
      <x:c r="BY370"/>
      <x:c r="BZ370"/>
      <x:c r="CA370"/>
      <x:c r="CB370"/>
      <x:c r="CC370"/>
    </x:row>
    <x:row r="371" ht="115" customHeight="1">
      <x:c r="A371" s="9" t="str">
        <x:v>proposal.t1.husk_pulp</x:v>
      </x:c>
      <x:c r="B371" s="9" t="str">
        <x:v>Prepared husk-fiber pulp</x:v>
      </x:c>
      <x:c r="C371" s="4" t="str">
        <x:v>T1</x:v>
      </x:c>
      <x:c r="D371" s="9" t="str">
        <x:v>Manufactured stock</x:v>
      </x:c>
      <x:c r="E371" s="9" t="str">
        <x:v>Tier 1 material concept</x:v>
      </x:c>
      <x:c r="F371" s="9" t="str">
        <x:v>New proposal</x:v>
      </x:c>
      <x:c r="G371" s="9" t="inlineStr">
        <x:is>
          <x:t xml:space="preserve">Prepared husk fiber stock in the form of prepared husk-fiber pulp, intended as an input to further making or assembly. It supplies candidate fibers or prepared feed for husk-based paper, which must still be processed and formed into a usable sheet.</x:t>
        </x:is>
      </x:c>
      <x:c r="H371" s="9" t="str">
        <x:v>None</x:v>
      </x:c>
      <x:c r="I371" s="9" t="str">
        <x:v>Material cargo / workshop storage; policy TBD</x:v>
      </x:c>
      <x:c r="J371" s="13"/>
      <x:c r="K371" s="15"/>
      <x:c r="L371" s="9" t="str">
        <x:v>Process a selected T0 raw/salvage input; candidate input proposal.bio.chitin_fibers</x:v>
      </x:c>
      <x:c r="M371" s="9" t="str">
        <x:v>Separate and condition scraped husk fiber into a first paper-making feed.</x:v>
      </x:c>
      <x:c r="N371" s="9" t="str">
        <x:v>Not implemented</x:v>
      </x:c>
      <x:c r="O371" s="9" t="str">
        <x:v>No free-water slurry assumed. Contained carrier or dry preparation remains undecided.</x:v>
      </x:c>
      <x:c r="P371" s="17"/>
      <x:c r="Q371" s="17"/>
      <x:c r="R371" s="17"/>
      <x:c r="S371" s="17"/>
      <x:c r="T371" s="17"/>
      <x:c r="U371" s="9" t="str">
        <x:v>Tier is manufacturing lineage, not rarity, value, quality or number of hand operations. Routes are partial ingredient proposals, not authored recipes.</x:v>
      </x:c>
      <x:c r="V371" s="11" t="str">
        <x:v>textile processing</x:v>
      </x:c>
      <x:c r="W371" s="9" t="str">
        <x:v>New game T1 proposal aligned to source draft/proposal https://github.com/sleepyseamonster/Arc-Dust/blob/f6f98515c005dc3c73cccd9cbc031691745740c6/02-Arc-Dust-Worldbuilding/world/materials/chitin.md; source does not approve this game recipe.</x:v>
      </x:c>
      <x:c r="X371" s="4" t="str">
        <x:v>Processed material</x:v>
      </x:c>
      <x:c r="Y371" s="4" t="str">
        <x:v>Processed intermediate</x:v>
      </x:c>
      <x:c r="Z371" s="4" t="str">
        <x:v>Fauna</x:v>
      </x:c>
      <x:c r="AA371" s="4" t="str">
        <x:v>Paper making</x:v>
      </x:c>
      <x:c r="AB371" s="4" t="str">
        <x:v>Husk fiber</x:v>
      </x:c>
      <x:c r="AC371" s="4" t="str">
        <x:v>Unresolved</x:v>
      </x:c>
      <x:c r="AD371" s="4" t="str">
        <x:v>Proposal</x:v>
      </x:c>
      <x:c r="AE371" s="4" t="str">
        <x:f>LOWER(A371&amp;"; "&amp;B371&amp;"; "&amp;D371&amp;"; "&amp;E371&amp;"; "&amp;X371&amp;"; "&amp;Y371&amp;"; "&amp;Z371&amp;"; "&amp;AA371&amp;"; "&amp;AB371&amp;"; "&amp;AC371&amp;"; "&amp;AD371&amp;"; "&amp;V371&amp;"; "&amp;C371&amp;"; "&amp;AH371&amp;"; "&amp;AI371)</x:f>
        <x:v>proposal.t1.husk_pulp; prepared husk-fiber pulp; manufactured stock; tier 1 material concept; processed material; processed intermediate; fauna; paper making; husk fiber; unresolved; proposal; textile processing; t1; not applicable; material</x:v>
      </x:c>
      <x:c r="AF371" s="4" t="str">
        <x:v>First-stage refinement proposal. Source material/cultural records remain proposal-stage. Lore category review: Resources -&gt; Manufactured stock. Classification only; original item status and tier retained.</x:v>
      </x:c>
      <x:c r="AG371" s="4" t="str">
        <x:v>Proposed game manufacturing tier from the candidate routes. Integrated operations may contain many work steps.</x:v>
      </x:c>
      <x:c r="AH371" s="4" t="str">
        <x:v>Not applicable</x:v>
      </x:c>
      <x:c r="AI371" s="4" t="str">
        <x:v>Material</x:v>
      </x:c>
      <x:c r="AJ371" s="4" t="n">
        <x:f>COUNTIFS('Material routes'!$D$6:$D$2205,A371,'Material routes'!$C$6:$C$2205,"Output")</x:f>
        <x:v>1</x:v>
      </x:c>
      <x:c r="AK371" s="4" t="n">
        <x:f>SUM(COUNTIFS('Material routes'!$D$6:$D$2205,A371,'Material routes'!$C$6:$C$2205,"Ingredient candidate"),COUNTIFS('Material routes'!$D$6:$D$2205,A371,'Material routes'!$C$6:$C$2205,"Consumed input"),COUNTIFS('Material routes'!$D$6:$D$2205,A371,'Material routes'!$C$6:$C$2205,"Contained input"),COUNTIFS('Material routes'!$D$6:$D$2205,A371,'Material routes'!$C$6:$C$2205,"Transform input"))</x:f>
        <x:v>2</x:v>
      </x:c>
      <x:c r="AL371" s="4" t="n">
        <x:f>COUNTIFS('Material routes'!$D$6:$D$2205,A371,'Material routes'!$C$6:$C$2205,"Tool candidate")</x:f>
        <x:v>0</x:v>
      </x:c>
      <x:c r="AM371" s="4" t="str">
        <x:f>IF(AJ371&gt;0,"Route listed; review status/completeness",IF(C371="T0","Raw entry feed; no production route","No production route listed"))</x:f>
        <x:v>Route listed; review status/completeness</x:v>
      </x:c>
      <x:c r="AN371" s="14" t="n">
        <x:f>IF(C371="T0",0,IF(C371="T1",1,IF(C371="T2",2,IF(C371="T3",3,IF(C371="T4",4,IF(C371="Unassigned",98,99))))))</x:f>
        <x:v>1</x:v>
      </x:c>
      <x:c r="AZ371"/>
      <x:c r="BA371"/>
      <x:c r="BB371"/>
      <x:c r="BC371"/>
      <x:c r="BD371"/>
      <x:c r="BE371"/>
      <x:c r="BF371"/>
      <x:c r="BG371"/>
      <x:c r="BH371"/>
      <x:c r="BI371"/>
      <x:c r="BJ371"/>
      <x:c r="BK371"/>
      <x:c r="BL371"/>
      <x:c r="BM371"/>
      <x:c r="BN371"/>
      <x:c r="BO371"/>
      <x:c r="BP371"/>
      <x:c r="BQ371"/>
      <x:c r="BR371"/>
      <x:c r="BS371"/>
      <x:c r="BT371"/>
      <x:c r="BU371"/>
      <x:c r="BV371"/>
      <x:c r="BW371"/>
      <x:c r="BX371"/>
      <x:c r="BY371"/>
      <x:c r="BZ371"/>
      <x:c r="CA371"/>
      <x:c r="CB371"/>
      <x:c r="CC371"/>
    </x:row>
    <x:row r="372" ht="115" customHeight="1">
      <x:c r="A372" s="9" t="str">
        <x:v>proposal.t1.bristle_bundle</x:v>
      </x:c>
      <x:c r="B372" s="9" t="str">
        <x:v>Clean graded bristle bundles</x:v>
      </x:c>
      <x:c r="C372" s="4" t="str">
        <x:v>T1</x:v>
      </x:c>
      <x:c r="D372" s="9" t="str">
        <x:v>Manufactured stock</x:v>
      </x:c>
      <x:c r="E372" s="9" t="str">
        <x:v>Tier 1 material concept</x:v>
      </x:c>
      <x:c r="F372" s="9" t="str">
        <x:v>New proposal</x:v>
      </x:c>
      <x:c r="G372" s="9" t="inlineStr">
        <x:is>
          <x:t xml:space="preserve">Prepared faunal fiber stock in the form of clean graded bristle bundles, intended as an input to further making or assembly. It is intended to obstruct grit at an opening or moving interface. Its fit and wear must be qualified before any exclusion or filtration performance is assigned.</x:t>
        </x:is>
      </x:c>
      <x:c r="H372" s="9" t="str">
        <x:v>None</x:v>
      </x:c>
      <x:c r="I372" s="9" t="str">
        <x:v>Material cargo / workshop storage; policy TBD</x:v>
      </x:c>
      <x:c r="J372" s="13"/>
      <x:c r="K372" s="15"/>
      <x:c r="L372" s="9" t="str">
        <x:v>Process a selected T0 raw/salvage input; candidate input proposal.bio.bristles</x:v>
      </x:c>
      <x:c r="M372" s="9" t="str">
        <x:v>Sort and prepare a selected bristle batch.</x:v>
      </x:c>
      <x:c r="N372" s="9" t="str">
        <x:v>Not implemented</x:v>
      </x:c>
      <x:c r="O372" s="9" t="str">
        <x:v>Cleaning method and residue qualification unresolved; not ordinary spun cloth or a finished brush.</x:v>
      </x:c>
      <x:c r="P372" s="17"/>
      <x:c r="Q372" s="17"/>
      <x:c r="R372" s="17"/>
      <x:c r="S372" s="17"/>
      <x:c r="T372" s="17"/>
      <x:c r="U372" s="9" t="str">
        <x:v>Tier is manufacturing lineage, not rarity, value, quality or number of hand operations. Routes are partial ingredient proposals, not authored recipes.</x:v>
      </x:c>
      <x:c r="V372" s="11"/>
      <x:c r="W372" s="9" t="str">
        <x:v>New game T1 proposal aligned to source draft/proposal https://github.com/sleepyseamonster/Arc-Dust/blob/f6f98515c005dc3c73cccd9cbc031691745740c6/02-Arc-Dust-Worldbuilding/world/materials/chitin.md; source does not approve this game recipe.</x:v>
      </x:c>
      <x:c r="X372" s="4" t="str">
        <x:v>Processed material</x:v>
      </x:c>
      <x:c r="Y372" s="4" t="str">
        <x:v>Processed intermediate</x:v>
      </x:c>
      <x:c r="Z372" s="4" t="str">
        <x:v>Fauna</x:v>
      </x:c>
      <x:c r="AA372" s="4" t="str">
        <x:v>Dust exclusion</x:v>
      </x:c>
      <x:c r="AB372" s="4" t="str">
        <x:v>Faunal fiber</x:v>
      </x:c>
      <x:c r="AC372" s="4" t="str">
        <x:v>Bundle</x:v>
      </x:c>
      <x:c r="AD372" s="4" t="str">
        <x:v>Proposal</x:v>
      </x:c>
      <x:c r="AE372" s="4" t="str">
        <x:f>LOWER(A372&amp;"; "&amp;B372&amp;"; "&amp;D372&amp;"; "&amp;E372&amp;"; "&amp;X372&amp;"; "&amp;Y372&amp;"; "&amp;Z372&amp;"; "&amp;AA372&amp;"; "&amp;AB372&amp;"; "&amp;AC372&amp;"; "&amp;AD372&amp;"; "&amp;V372&amp;"; "&amp;C372&amp;"; "&amp;AH372&amp;"; "&amp;AI372)</x:f>
        <x:v>proposal.t1.bristle_bundle; clean graded bristle bundles; manufactured stock; tier 1 material concept; processed material; processed intermediate; fauna; dust exclusion; faunal fiber; bundle; proposal; ; t1; not applicable; material</x:v>
      </x:c>
      <x:c r="AF372" s="4" t="str">
        <x:v>First-stage refinement proposal. Source material/cultural records remain proposal-stage. Lore category review: Resources -&gt; Manufactured stock. Classification only; original item status and tier retained.</x:v>
      </x:c>
      <x:c r="AG372" s="4" t="str">
        <x:v>Proposed game manufacturing tier from the candidate routes. Integrated operations may contain many work steps.</x:v>
      </x:c>
      <x:c r="AH372" s="4" t="str">
        <x:v>Not applicable</x:v>
      </x:c>
      <x:c r="AI372" s="4" t="str">
        <x:v>Material</x:v>
      </x:c>
      <x:c r="AJ372" s="4" t="n">
        <x:f>COUNTIFS('Material routes'!$D$6:$D$2205,A372,'Material routes'!$C$6:$C$2205,"Output")</x:f>
        <x:v>1</x:v>
      </x:c>
      <x:c r="AK372" s="4" t="n">
        <x:f>SUM(COUNTIFS('Material routes'!$D$6:$D$2205,A372,'Material routes'!$C$6:$C$2205,"Ingredient candidate"),COUNTIFS('Material routes'!$D$6:$D$2205,A372,'Material routes'!$C$6:$C$2205,"Consumed input"),COUNTIFS('Material routes'!$D$6:$D$2205,A372,'Material routes'!$C$6:$C$2205,"Contained input"),COUNTIFS('Material routes'!$D$6:$D$2205,A372,'Material routes'!$C$6:$C$2205,"Transform input"))</x:f>
        <x:v>1</x:v>
      </x:c>
      <x:c r="AL372" s="4" t="n">
        <x:f>COUNTIFS('Material routes'!$D$6:$D$2205,A372,'Material routes'!$C$6:$C$2205,"Tool candidate")</x:f>
        <x:v>0</x:v>
      </x:c>
      <x:c r="AM372" s="4" t="str">
        <x:f>IF(AJ372&gt;0,"Route listed; review status/completeness",IF(C372="T0","Raw entry feed; no production route","No production route listed"))</x:f>
        <x:v>Route listed; review status/completeness</x:v>
      </x:c>
      <x:c r="AN372" s="14" t="n">
        <x:f>IF(C372="T0",0,IF(C372="T1",1,IF(C372="T2",2,IF(C372="T3",3,IF(C372="T4",4,IF(C372="Unassigned",98,99))))))</x:f>
        <x:v>1</x:v>
      </x:c>
      <x:c r="AZ372"/>
      <x:c r="BA372"/>
      <x:c r="BB372"/>
      <x:c r="BC372"/>
      <x:c r="BD372"/>
      <x:c r="BE372"/>
      <x:c r="BF372"/>
      <x:c r="BG372"/>
      <x:c r="BH372"/>
      <x:c r="BI372"/>
      <x:c r="BJ372"/>
      <x:c r="BK372"/>
      <x:c r="BL372"/>
      <x:c r="BM372"/>
      <x:c r="BN372"/>
      <x:c r="BO372"/>
      <x:c r="BP372"/>
      <x:c r="BQ372"/>
      <x:c r="BR372"/>
      <x:c r="BS372"/>
      <x:c r="BT372"/>
      <x:c r="BU372"/>
      <x:c r="BV372"/>
      <x:c r="BW372"/>
      <x:c r="BX372"/>
      <x:c r="BY372"/>
      <x:c r="BZ372"/>
      <x:c r="CA372"/>
      <x:c r="CB372"/>
      <x:c r="CC372"/>
    </x:row>
    <x:row r="373" ht="115" customHeight="1">
      <x:c r="A373" s="9" t="str">
        <x:v>proposal.t1.shell_lamina</x:v>
      </x:c>
      <x:c r="B373" s="9" t="str">
        <x:v>Separated shell lamina stock</x:v>
      </x:c>
      <x:c r="C373" s="4" t="str">
        <x:v>T1</x:v>
      </x:c>
      <x:c r="D373" s="9" t="str">
        <x:v>Manufactured stock</x:v>
      </x:c>
      <x:c r="E373" s="9" t="str">
        <x:v>Tier 1 material concept</x:v>
      </x:c>
      <x:c r="F373" s="9" t="str">
        <x:v>New proposal</x:v>
      </x:c>
      <x:c r="G373" s="9" t="inlineStr">
        <x:is>
          <x:t xml:space="preserve">Prepared shell / chitin stock in the form of separated shell lamina stock, intended as an input to further making or assembly. It provides candidate stock for a protective assembly, with coverage, joining and backing still determining the finished protection.</x:t>
        </x:is>
      </x:c>
      <x:c r="H373" s="9" t="str">
        <x:v>None</x:v>
      </x:c>
      <x:c r="I373" s="9" t="str">
        <x:v>Material cargo / workshop storage; policy TBD</x:v>
      </x:c>
      <x:c r="J373" s="13"/>
      <x:c r="K373" s="15"/>
      <x:c r="L373" s="9" t="str">
        <x:v>Process a selected T0 raw/salvage input; candidate input proposal.bio.shell</x:v>
      </x:c>
      <x:c r="M373" s="9" t="str">
        <x:v>Separate and prepare selected shell layers as first sheet stock.</x:v>
      </x:c>
      <x:c r="N373" s="9" t="str">
        <x:v>Not implemented</x:v>
      </x:c>
      <x:c r="O373" s="9" t="str">
        <x:v>The no-cloth rule and species-specific material limits control. A single lamina is not a bonded laminate.</x:v>
      </x:c>
      <x:c r="P373" s="17"/>
      <x:c r="Q373" s="17"/>
      <x:c r="R373" s="17"/>
      <x:c r="S373" s="17"/>
      <x:c r="T373" s="17"/>
      <x:c r="U373" s="9" t="str">
        <x:v>Tier is manufacturing lineage, not rarity, value, quality or number of hand operations. Routes are partial ingredient proposals, not authored recipes.</x:v>
      </x:c>
      <x:c r="V373" s="11" t="str">
        <x:v>fabrication</x:v>
      </x:c>
      <x:c r="W373" s="9" t="str">
        <x:v>New game T1 proposal aligned to source draft/proposal https://github.com/sleepyseamonster/Arc-Dust/blob/f6f98515c005dc3c73cccd9cbc031691745740c6/02-Arc-Dust-Worldbuilding/world/materials/chitin.md; source does not approve this game recipe.</x:v>
      </x:c>
      <x:c r="X373" s="4" t="str">
        <x:v>Processed material</x:v>
      </x:c>
      <x:c r="Y373" s="4" t="str">
        <x:v>Processed intermediate</x:v>
      </x:c>
      <x:c r="Z373" s="4" t="str">
        <x:v>Fauna</x:v>
      </x:c>
      <x:c r="AA373" s="4" t="str">
        <x:v>Protective fabrication</x:v>
      </x:c>
      <x:c r="AB373" s="4" t="str">
        <x:v>Shell / chitin</x:v>
      </x:c>
      <x:c r="AC373" s="4" t="str">
        <x:v>Sheet</x:v>
      </x:c>
      <x:c r="AD373" s="4" t="str">
        <x:v>Proposal</x:v>
      </x:c>
      <x:c r="AE373" s="4" t="str">
        <x:f>LOWER(A373&amp;"; "&amp;B373&amp;"; "&amp;D373&amp;"; "&amp;E373&amp;"; "&amp;X373&amp;"; "&amp;Y373&amp;"; "&amp;Z373&amp;"; "&amp;AA373&amp;"; "&amp;AB373&amp;"; "&amp;AC373&amp;"; "&amp;AD373&amp;"; "&amp;V373&amp;"; "&amp;C373&amp;"; "&amp;AH373&amp;"; "&amp;AI373)</x:f>
        <x:v>proposal.t1.shell_lamina; separated shell lamina stock; manufactured stock; tier 1 material concept; processed material; processed intermediate; fauna; protective fabrication; shell / chitin; sheet; proposal; fabrication; t1; not applicable; material</x:v>
      </x:c>
      <x:c r="AF373" s="4" t="str">
        <x:v>First-stage refinement proposal. Source material/cultural records remain proposal-stage. Lore category review: Resources -&gt; Manufactured stock. Classification only; original item status and tier retained.</x:v>
      </x:c>
      <x:c r="AG373" s="4" t="str">
        <x:v>Proposed game manufacturing tier from the candidate routes. Integrated operations may contain many work steps.</x:v>
      </x:c>
      <x:c r="AH373" s="4" t="str">
        <x:v>Not applicable</x:v>
      </x:c>
      <x:c r="AI373" s="4" t="str">
        <x:v>Material</x:v>
      </x:c>
      <x:c r="AJ373" s="4" t="n">
        <x:f>COUNTIFS('Material routes'!$D$6:$D$2205,A373,'Material routes'!$C$6:$C$2205,"Output")</x:f>
        <x:v>1</x:v>
      </x:c>
      <x:c r="AK373" s="4" t="n">
        <x:f>SUM(COUNTIFS('Material routes'!$D$6:$D$2205,A373,'Material routes'!$C$6:$C$2205,"Ingredient candidate"),COUNTIFS('Material routes'!$D$6:$D$2205,A373,'Material routes'!$C$6:$C$2205,"Consumed input"),COUNTIFS('Material routes'!$D$6:$D$2205,A373,'Material routes'!$C$6:$C$2205,"Contained input"),COUNTIFS('Material routes'!$D$6:$D$2205,A373,'Material routes'!$C$6:$C$2205,"Transform input"))</x:f>
        <x:v>15</x:v>
      </x:c>
      <x:c r="AL373" s="4" t="n">
        <x:f>COUNTIFS('Material routes'!$D$6:$D$2205,A373,'Material routes'!$C$6:$C$2205,"Tool candidate")</x:f>
        <x:v>0</x:v>
      </x:c>
      <x:c r="AM373" s="4" t="str">
        <x:f>IF(AJ373&gt;0,"Route listed; review status/completeness",IF(C373="T0","Raw entry feed; no production route","No production route listed"))</x:f>
        <x:v>Route listed; review status/completeness</x:v>
      </x:c>
      <x:c r="AN373" s="14" t="n">
        <x:f>IF(C373="T0",0,IF(C373="T1",1,IF(C373="T2",2,IF(C373="T3",3,IF(C373="T4",4,IF(C373="Unassigned",98,99))))))</x:f>
        <x:v>1</x:v>
      </x:c>
      <x:c r="AZ373"/>
      <x:c r="BA373"/>
      <x:c r="BB373"/>
      <x:c r="BC373"/>
      <x:c r="BD373"/>
      <x:c r="BE373"/>
      <x:c r="BF373"/>
      <x:c r="BG373"/>
      <x:c r="BH373"/>
      <x:c r="BI373"/>
      <x:c r="BJ373"/>
      <x:c r="BK373"/>
      <x:c r="BL373"/>
      <x:c r="BM373"/>
      <x:c r="BN373"/>
      <x:c r="BO373"/>
      <x:c r="BP373"/>
      <x:c r="BQ373"/>
      <x:c r="BR373"/>
      <x:c r="BS373"/>
      <x:c r="BT373"/>
      <x:c r="BU373"/>
      <x:c r="BV373"/>
      <x:c r="BW373"/>
      <x:c r="BX373"/>
      <x:c r="BY373"/>
      <x:c r="BZ373"/>
      <x:c r="CA373"/>
      <x:c r="CB373"/>
      <x:c r="CC373"/>
    </x:row>
    <x:row r="374" ht="115" customHeight="1">
      <x:c r="A374" s="9" t="str">
        <x:v>proposal.t1.hardpart_blank</x:v>
      </x:c>
      <x:c r="B374" s="9" t="str">
        <x:v>Shaped fauna hard-part blanks</x:v>
      </x:c>
      <x:c r="C374" s="4" t="str">
        <x:v>T1</x:v>
      </x:c>
      <x:c r="D374" s="9" t="str">
        <x:v>Manufactured stock</x:v>
      </x:c>
      <x:c r="E374" s="9" t="str">
        <x:v>Tier 1 material concept</x:v>
      </x:c>
      <x:c r="F374" s="9" t="str">
        <x:v>New proposal</x:v>
      </x:c>
      <x:c r="G374" s="9" t="inlineStr">
        <x:is>
          <x:t xml:space="preserve">Prepared faunal hard tissue stock in the form of shaped fauna hard-part blanks, intended as an input to further making or assembly. It supplies a candidate working blank, edge or fitted part for a tool; shaping and mounting depend on the intended job.</x:t>
        </x:is>
      </x:c>
      <x:c r="H374" s="9" t="str">
        <x:v>None</x:v>
      </x:c>
      <x:c r="I374" s="9" t="str">
        <x:v>Material cargo / workshop storage; policy TBD</x:v>
      </x:c>
      <x:c r="J374" s="13"/>
      <x:c r="K374" s="15"/>
      <x:c r="L374" s="9" t="str">
        <x:v>Process a selected T0 raw/salvage input; candidate input proposal.raw.horn_core</x:v>
      </x:c>
      <x:c r="M374" s="9" t="str">
        <x:v>Select and rough-shape usable horn/core hard tissue into tool-stock blanks.</x:v>
      </x:c>
      <x:c r="N374" s="9" t="str">
        <x:v>Not implemented</x:v>
      </x:c>
      <x:c r="O374" s="9" t="str">
        <x:v>Source supports shaped hard fauna parts; horn composition and lineage remain game proposals.</x:v>
      </x:c>
      <x:c r="P374" s="17"/>
      <x:c r="Q374" s="17"/>
      <x:c r="R374" s="17"/>
      <x:c r="S374" s="17"/>
      <x:c r="T374" s="17"/>
      <x:c r="U374" s="9" t="str">
        <x:v>Tier is manufacturing lineage, not rarity, value, quality or number of hand operations. Routes are partial ingredient proposals, not authored recipes.</x:v>
      </x:c>
      <x:c r="V374" s="11"/>
      <x:c r="W374" s="9" t="str">
        <x:v>New game T1 proposal aligned to source draft/proposal https://github.com/sleepyseamonster/Arc-Dust/blob/f6f98515c005dc3c73cccd9cbc031691745740c6/02-Arc-Dust-Worldbuilding/world/materials/chitin.md; source does not approve this game recipe.</x:v>
      </x:c>
      <x:c r="X374" s="4" t="str">
        <x:v>Processed material</x:v>
      </x:c>
      <x:c r="Y374" s="4" t="str">
        <x:v>Processed intermediate</x:v>
      </x:c>
      <x:c r="Z374" s="4" t="str">
        <x:v>Fauna</x:v>
      </x:c>
      <x:c r="AA374" s="4" t="str">
        <x:v>Tool fabrication</x:v>
      </x:c>
      <x:c r="AB374" s="4" t="str">
        <x:v>Faunal hard tissue</x:v>
      </x:c>
      <x:c r="AC374" s="4" t="str">
        <x:v>Solid piece</x:v>
      </x:c>
      <x:c r="AD374" s="4" t="str">
        <x:v>Proposal</x:v>
      </x:c>
      <x:c r="AE374" s="4" t="str">
        <x:f>LOWER(A374&amp;"; "&amp;B374&amp;"; "&amp;D374&amp;"; "&amp;E374&amp;"; "&amp;X374&amp;"; "&amp;Y374&amp;"; "&amp;Z374&amp;"; "&amp;AA374&amp;"; "&amp;AB374&amp;"; "&amp;AC374&amp;"; "&amp;AD374&amp;"; "&amp;V374&amp;"; "&amp;C374&amp;"; "&amp;AH374&amp;"; "&amp;AI374)</x:f>
        <x:v>proposal.t1.hardpart_blank; shaped fauna hard-part blanks; manufactured stock; tier 1 material concept; processed material; processed intermediate; fauna; tool fabrication; faunal hard tissue; solid piece; proposal; ; t1; not applicable; material</x:v>
      </x:c>
      <x:c r="AF374" s="4" t="str">
        <x:v>First-stage refinement proposal. Source material/cultural records remain proposal-stage. Lore category review: Resources -&gt; Manufactured stock. Classification only; original item status and tier retained.</x:v>
      </x:c>
      <x:c r="AG374" s="4" t="str">
        <x:v>Proposed game manufacturing tier from the candidate routes. Integrated operations may contain many work steps.</x:v>
      </x:c>
      <x:c r="AH374" s="4" t="str">
        <x:v>Not applicable</x:v>
      </x:c>
      <x:c r="AI374" s="4" t="str">
        <x:v>Material</x:v>
      </x:c>
      <x:c r="AJ374" s="4" t="n">
        <x:f>COUNTIFS('Material routes'!$D$6:$D$2205,A374,'Material routes'!$C$6:$C$2205,"Output")</x:f>
        <x:v>1</x:v>
      </x:c>
      <x:c r="AK374" s="4" t="n">
        <x:f>SUM(COUNTIFS('Material routes'!$D$6:$D$2205,A374,'Material routes'!$C$6:$C$2205,"Ingredient candidate"),COUNTIFS('Material routes'!$D$6:$D$2205,A374,'Material routes'!$C$6:$C$2205,"Consumed input"),COUNTIFS('Material routes'!$D$6:$D$2205,A374,'Material routes'!$C$6:$C$2205,"Contained input"),COUNTIFS('Material routes'!$D$6:$D$2205,A374,'Material routes'!$C$6:$C$2205,"Transform input"))</x:f>
        <x:v>17</x:v>
      </x:c>
      <x:c r="AL374" s="4" t="n">
        <x:f>COUNTIFS('Material routes'!$D$6:$D$2205,A374,'Material routes'!$C$6:$C$2205,"Tool candidate")</x:f>
        <x:v>0</x:v>
      </x:c>
      <x:c r="AM374" s="4" t="str">
        <x:f>IF(AJ374&gt;0,"Route listed; review status/completeness",IF(C374="T0","Raw entry feed; no production route","No production route listed"))</x:f>
        <x:v>Route listed; review status/completeness</x:v>
      </x:c>
      <x:c r="AN374" s="14" t="n">
        <x:f>IF(C374="T0",0,IF(C374="T1",1,IF(C374="T2",2,IF(C374="T3",3,IF(C374="T4",4,IF(C374="Unassigned",98,99))))))</x:f>
        <x:v>1</x:v>
      </x:c>
      <x:c r="AZ374"/>
      <x:c r="BA374"/>
      <x:c r="BB374"/>
      <x:c r="BC374"/>
      <x:c r="BD374"/>
      <x:c r="BE374"/>
      <x:c r="BF374"/>
      <x:c r="BG374"/>
      <x:c r="BH374"/>
      <x:c r="BI374"/>
      <x:c r="BJ374"/>
      <x:c r="BK374"/>
      <x:c r="BL374"/>
      <x:c r="BM374"/>
      <x:c r="BN374"/>
      <x:c r="BO374"/>
      <x:c r="BP374"/>
      <x:c r="BQ374"/>
      <x:c r="BR374"/>
      <x:c r="BS374"/>
      <x:c r="BT374"/>
      <x:c r="BU374"/>
      <x:c r="BV374"/>
      <x:c r="BW374"/>
      <x:c r="BX374"/>
      <x:c r="BY374"/>
      <x:c r="BZ374"/>
      <x:c r="CA374"/>
      <x:c r="CB374"/>
      <x:c r="CC374"/>
    </x:row>
    <x:row r="375" ht="115" customHeight="1">
      <x:c r="A375" s="9" t="str">
        <x:v>proposal.t1.process_salts</x:v>
      </x:c>
      <x:c r="B375" s="9" t="str">
        <x:v>Graded process salts</x:v>
      </x:c>
      <x:c r="C375" s="4" t="str">
        <x:v>T1</x:v>
      </x:c>
      <x:c r="D375" s="9" t="str">
        <x:v>Manufactured stock</x:v>
      </x:c>
      <x:c r="E375" s="9" t="str">
        <x:v>Tier 1 material concept</x:v>
      </x:c>
      <x:c r="F375" s="9" t="str">
        <x:v>New proposal</x:v>
      </x:c>
      <x:c r="G375" s="9" t="inlineStr">
        <x:is>
          <x:t xml:space="preserve">Prepared mineral stock in the form of graded process salts, intended as an input to further making or assembly. It is a candidate industrial input or process aid. Its composition, containment and compatible treatment must be established; usefulness does not imply edibility.</x:t>
        </x:is>
      </x:c>
      <x:c r="H375" s="9" t="str">
        <x:v>None</x:v>
      </x:c>
      <x:c r="I375" s="9" t="str">
        <x:v>Material cargo / workshop storage; policy TBD</x:v>
      </x:c>
      <x:c r="J375" s="13"/>
      <x:c r="K375" s="15"/>
      <x:c r="L375" s="9" t="str">
        <x:v>Process a selected T0 raw/salvage input; candidate input proposal.natural.salts</x:v>
      </x:c>
      <x:c r="M375" s="9" t="str">
        <x:v>Identify and segregate a specific raw salt fraction for workshop use.</x:v>
      </x:c>
      <x:c r="N375" s="9" t="str">
        <x:v>Not implemented</x:v>
      </x:c>
      <x:c r="O375" s="9" t="str">
        <x:v>No universal reagent, potable solution or food salt inferred; containment and exact chemistry TBD.</x:v>
      </x:c>
      <x:c r="P375" s="17"/>
      <x:c r="Q375" s="17"/>
      <x:c r="R375" s="17"/>
      <x:c r="S375" s="17"/>
      <x:c r="T375" s="17"/>
      <x:c r="U375" s="9" t="str">
        <x:v>Tier is manufacturing lineage, not rarity, value, quality or number of hand operations. Routes are partial ingredient proposals, not authored recipes.</x:v>
      </x:c>
      <x:c r="V375" s="11"/>
      <x:c r="W375" s="9" t="str">
        <x:v>New game T1 proposal aligned to source draft/proposal https://github.com/sleepyseamonster/Arc-Dust/blob/f6f98515c005dc3c73cccd9cbc031691745740c6/02-Arc-Dust-Worldbuilding/world/materials/chemical-processing-agents.md; source does not approve this game recipe.</x:v>
      </x:c>
      <x:c r="X375" s="4" t="str">
        <x:v>Processed material</x:v>
      </x:c>
      <x:c r="Y375" s="4" t="str">
        <x:v>Processed intermediate</x:v>
      </x:c>
      <x:c r="Z375" s="4" t="str">
        <x:v>Geological</x:v>
      </x:c>
      <x:c r="AA375" s="4" t="str">
        <x:v>Chemical processing</x:v>
      </x:c>
      <x:c r="AB375" s="4" t="str">
        <x:v>Mineral</x:v>
      </x:c>
      <x:c r="AC375" s="4" t="str">
        <x:v>Particles</x:v>
      </x:c>
      <x:c r="AD375" s="4" t="str">
        <x:v>Proposal</x:v>
      </x:c>
      <x:c r="AE375" s="4" t="str">
        <x:f>LOWER(A375&amp;"; "&amp;B375&amp;"; "&amp;D375&amp;"; "&amp;E375&amp;"; "&amp;X375&amp;"; "&amp;Y375&amp;"; "&amp;Z375&amp;"; "&amp;AA375&amp;"; "&amp;AB375&amp;"; "&amp;AC375&amp;"; "&amp;AD375&amp;"; "&amp;V375&amp;"; "&amp;C375&amp;"; "&amp;AH375&amp;"; "&amp;AI375)</x:f>
        <x:v>proposal.t1.process_salts; graded process salts; manufactured stock; tier 1 material concept; processed material; processed intermediate; geological; chemical processing; mineral; particles; proposal; ; t1; not applicable; material</x:v>
      </x:c>
      <x:c r="AF375" s="4" t="str">
        <x:v>First-stage refinement proposal. Source material/cultural records remain proposal-stage. Lore category review: Resources -&gt; Manufactured stock. Classification only; original item status and tier retained.</x:v>
      </x:c>
      <x:c r="AG375" s="4" t="str">
        <x:v>Proposed game manufacturing tier from the candidate routes. Integrated operations may contain many work steps.</x:v>
      </x:c>
      <x:c r="AH375" s="4" t="str">
        <x:v>Not applicable</x:v>
      </x:c>
      <x:c r="AI375" s="4" t="str">
        <x:v>Material</x:v>
      </x:c>
      <x:c r="AJ375" s="4" t="n">
        <x:f>COUNTIFS('Material routes'!$D$6:$D$2205,A375,'Material routes'!$C$6:$C$2205,"Output")</x:f>
        <x:v>1</x:v>
      </x:c>
      <x:c r="AK375" s="4" t="n">
        <x:f>SUM(COUNTIFS('Material routes'!$D$6:$D$2205,A375,'Material routes'!$C$6:$C$2205,"Ingredient candidate"),COUNTIFS('Material routes'!$D$6:$D$2205,A375,'Material routes'!$C$6:$C$2205,"Consumed input"),COUNTIFS('Material routes'!$D$6:$D$2205,A375,'Material routes'!$C$6:$C$2205,"Contained input"),COUNTIFS('Material routes'!$D$6:$D$2205,A375,'Material routes'!$C$6:$C$2205,"Transform input"))</x:f>
        <x:v>5</x:v>
      </x:c>
      <x:c r="AL375" s="4" t="n">
        <x:f>COUNTIFS('Material routes'!$D$6:$D$2205,A375,'Material routes'!$C$6:$C$2205,"Tool candidate")</x:f>
        <x:v>0</x:v>
      </x:c>
      <x:c r="AM375" s="4" t="str">
        <x:f>IF(AJ375&gt;0,"Route listed; review status/completeness",IF(C375="T0","Raw entry feed; no production route","No production route listed"))</x:f>
        <x:v>Route listed; review status/completeness</x:v>
      </x:c>
      <x:c r="AN375" s="14" t="n">
        <x:f>IF(C375="T0",0,IF(C375="T1",1,IF(C375="T2",2,IF(C375="T3",3,IF(C375="T4",4,IF(C375="Unassigned",98,99))))))</x:f>
        <x:v>1</x:v>
      </x:c>
      <x:c r="AZ375"/>
      <x:c r="BA375"/>
      <x:c r="BB375"/>
      <x:c r="BC375"/>
      <x:c r="BD375"/>
      <x:c r="BE375"/>
      <x:c r="BF375"/>
      <x:c r="BG375"/>
      <x:c r="BH375"/>
      <x:c r="BI375"/>
      <x:c r="BJ375"/>
      <x:c r="BK375"/>
      <x:c r="BL375"/>
      <x:c r="BM375"/>
      <x:c r="BN375"/>
      <x:c r="BO375"/>
      <x:c r="BP375"/>
      <x:c r="BQ375"/>
      <x:c r="BR375"/>
      <x:c r="BS375"/>
      <x:c r="BT375"/>
      <x:c r="BU375"/>
      <x:c r="BV375"/>
      <x:c r="BW375"/>
      <x:c r="BX375"/>
      <x:c r="BY375"/>
      <x:c r="BZ375"/>
      <x:c r="CA375"/>
      <x:c r="CB375"/>
      <x:c r="CC375"/>
    </x:row>
    <x:row r="376" ht="115" customHeight="1">
      <x:c r="A376" s="9" t="str">
        <x:v>proposal.t1.faunal_carrier</x:v>
      </x:c>
      <x:c r="B376" s="9" t="str">
        <x:v>Selected faunal carrier fraction</x:v>
      </x:c>
      <x:c r="C376" s="4" t="str">
        <x:v>T1</x:v>
      </x:c>
      <x:c r="D376" s="9" t="inlineStr">
        <x:is>
          <x:t xml:space="preserve">Crafting components</x:t>
        </x:is>
      </x:c>
      <x:c r="E376" s="9" t="str">
        <x:v>Tier 1 material concept</x:v>
      </x:c>
      <x:c r="F376" s="9" t="str">
        <x:v>New proposal</x:v>
      </x:c>
      <x:c r="G376" s="9" t="inlineStr">
        <x:is>
          <x:t xml:space="preserve">Selected faunal carrier fraction, prepared as a fitted part or intermediate for a larger assembly. It is a candidate industrial input or process aid. Its composition, containment and compatible treatment must be established; usefulness does not imply edibility.</x:t>
        </x:is>
      </x:c>
      <x:c r="H376" s="9" t="str">
        <x:v>None</x:v>
      </x:c>
      <x:c r="I376" s="9" t="str">
        <x:v>Material cargo / workshop storage; policy TBD</x:v>
      </x:c>
      <x:c r="J376" s="13"/>
      <x:c r="K376" s="15"/>
      <x:c r="L376" s="9" t="str">
        <x:v>Process a selected T0 raw/salvage input; candidate input proposal.bio.liquid_material</x:v>
      </x:c>
      <x:c r="M376" s="9" t="str">
        <x:v>Separate a candidate contained faunal liquid for controlled coating/material application.</x:v>
      </x:c>
      <x:c r="N376" s="9" t="str">
        <x:v>Not implemented</x:v>
      </x:c>
      <x:c r="O376" s="9" t="str">
        <x:v>Distinct service grade from lubricant base. This is an industrial carrier, not edible oil or an automatically benign solvent.</x:v>
      </x:c>
      <x:c r="P376" s="17"/>
      <x:c r="Q376" s="17"/>
      <x:c r="R376" s="17"/>
      <x:c r="S376" s="17"/>
      <x:c r="T376" s="17"/>
      <x:c r="U376" s="9" t="str">
        <x:v>Tier is manufacturing lineage, not rarity, value, quality or number of hand operations. Routes are partial ingredient proposals, not authored recipes.</x:v>
      </x:c>
      <x:c r="V376" s="11" t="str">
        <x:v>surface finishing</x:v>
      </x:c>
      <x:c r="W376" s="9" t="str">
        <x:v>New game T1 proposal aligned to source draft/proposal https://github.com/sleepyseamonster/Arc-Dust/blob/f6f98515c005dc3c73cccd9cbc031691745740c6/02-Arc-Dust-Worldbuilding/world/materials/chemical-processing-agents.md; source does not approve this game recipe.</x:v>
      </x:c>
      <x:c r="X376" s="4" t="str">
        <x:v>Chemical material</x:v>
      </x:c>
      <x:c r="Y376" s="4" t="str">
        <x:v>Processed intermediate</x:v>
      </x:c>
      <x:c r="Z376" s="4" t="str">
        <x:v>Fauna</x:v>
      </x:c>
      <x:c r="AA376" s="4" t="str">
        <x:v>Chemical processing</x:v>
      </x:c>
      <x:c r="AB376" s="4" t="str">
        <x:v>Biological chemical</x:v>
      </x:c>
      <x:c r="AC376" s="4" t="str">
        <x:v>Liquid</x:v>
      </x:c>
      <x:c r="AD376" s="4" t="str">
        <x:v>Proposal</x:v>
      </x:c>
      <x:c r="AE376" s="4" t="str">
        <x:f>LOWER(A376&amp;"; "&amp;B376&amp;"; "&amp;D376&amp;"; "&amp;E376&amp;"; "&amp;X376&amp;"; "&amp;Y376&amp;"; "&amp;Z376&amp;"; "&amp;AA376&amp;"; "&amp;AB376&amp;"; "&amp;AC376&amp;"; "&amp;AD376&amp;"; "&amp;V376&amp;"; "&amp;C376&amp;"; "&amp;AH376&amp;"; "&amp;AI376)</x:f>
        <x:v>proposal.t1.faunal_carrier; selected faunal carrier fraction; crafting components; tier 1 material concept; chemical material; processed intermediate; fauna; chemical processing; biological chemical; liquid; proposal; surface finishing; t1; not applicable; material</x:v>
      </x:c>
      <x:c r="AF376"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6" s="4" t="str">
        <x:v>Proposed game manufacturing tier from the candidate routes. Integrated operations may contain many work steps.</x:v>
      </x:c>
      <x:c r="AH376" s="4" t="str">
        <x:v>Not applicable</x:v>
      </x:c>
      <x:c r="AI376" s="4" t="str">
        <x:v>Material</x:v>
      </x:c>
      <x:c r="AJ376" s="4" t="n">
        <x:f>COUNTIFS('Material routes'!$D$6:$D$2205,A376,'Material routes'!$C$6:$C$2205,"Output")</x:f>
        <x:v>1</x:v>
      </x:c>
      <x:c r="AK376" s="4" t="n">
        <x:f>SUM(COUNTIFS('Material routes'!$D$6:$D$2205,A376,'Material routes'!$C$6:$C$2205,"Ingredient candidate"),COUNTIFS('Material routes'!$D$6:$D$2205,A376,'Material routes'!$C$6:$C$2205,"Consumed input"),COUNTIFS('Material routes'!$D$6:$D$2205,A376,'Material routes'!$C$6:$C$2205,"Contained input"),COUNTIFS('Material routes'!$D$6:$D$2205,A376,'Material routes'!$C$6:$C$2205,"Transform input"))</x:f>
        <x:v>15</x:v>
      </x:c>
      <x:c r="AL376" s="4" t="n">
        <x:f>COUNTIFS('Material routes'!$D$6:$D$2205,A376,'Material routes'!$C$6:$C$2205,"Tool candidate")</x:f>
        <x:v>0</x:v>
      </x:c>
      <x:c r="AM376" s="4" t="str">
        <x:f>IF(AJ376&gt;0,"Route listed; review status/completeness",IF(C376="T0","Raw entry feed; no production route","No production route listed"))</x:f>
        <x:v>Route listed; review status/completeness</x:v>
      </x:c>
      <x:c r="AN376" s="14" t="n">
        <x:f>IF(C376="T0",0,IF(C376="T1",1,IF(C376="T2",2,IF(C376="T3",3,IF(C376="T4",4,IF(C376="Unassigned",98,99))))))</x:f>
        <x:v>1</x:v>
      </x:c>
      <x:c r="AZ376"/>
      <x:c r="BA376"/>
      <x:c r="BB376"/>
      <x:c r="BC376"/>
      <x:c r="BD376"/>
      <x:c r="BE376"/>
      <x:c r="BF376"/>
      <x:c r="BG376"/>
      <x:c r="BH376"/>
      <x:c r="BI376"/>
      <x:c r="BJ376"/>
      <x:c r="BK376"/>
      <x:c r="BL376"/>
      <x:c r="BM376"/>
      <x:c r="BN376"/>
      <x:c r="BO376"/>
      <x:c r="BP376"/>
      <x:c r="BQ376"/>
      <x:c r="BR376"/>
      <x:c r="BS376"/>
      <x:c r="BT376"/>
      <x:c r="BU376"/>
      <x:c r="BV376"/>
      <x:c r="BW376"/>
      <x:c r="BX376"/>
      <x:c r="BY376"/>
      <x:c r="BZ376"/>
      <x:c r="CA376"/>
      <x:c r="CB376"/>
      <x:c r="CC376"/>
    </x:row>
    <x:row r="377" ht="115" customHeight="1">
      <x:c r="A377" s="9" t="str">
        <x:v>proposal.t1.shell_adhesive</x:v>
      </x:c>
      <x:c r="B377" s="9" t="str">
        <x:v>Prepared shell-binding adhesive</x:v>
      </x:c>
      <x:c r="C377" s="4" t="str">
        <x:v>T1</x:v>
      </x:c>
      <x:c r="D377" s="9" t="inlineStr">
        <x:is>
          <x:t xml:space="preserve">Crafting components</x:t>
        </x:is>
      </x:c>
      <x:c r="E377" s="9" t="str">
        <x:v>Tier 1 material concept</x:v>
      </x:c>
      <x:c r="F377" s="9" t="str">
        <x:v>New proposal</x:v>
      </x:c>
      <x:c r="G377" s="9" t="inlineStr">
        <x:is>
          <x:t xml:space="preserve">Prepared shell-binding adhesive, prepared as a fitted part or intermediate for a larger assembly. It is intended to join, reinforce or support other parts, with the bond or fastening chosen for the materials and loads involved.</x:t>
        </x:is>
      </x:c>
      <x:c r="H377" s="9" t="str">
        <x:v>None</x:v>
      </x:c>
      <x:c r="I377" s="9" t="str">
        <x:v>Material cargo / workshop storage; policy TBD</x:v>
      </x:c>
      <x:c r="J377" s="13"/>
      <x:c r="K377" s="15"/>
      <x:c r="L377" s="9" t="str">
        <x:v>Process a selected T0 raw/salvage input; candidate input proposal.chemical.shell_binder</x:v>
      </x:c>
      <x:c r="M377" s="9" t="str">
        <x:v>Qualify and prepare a selected raw shell-binding secretion.</x:v>
      </x:c>
      <x:c r="N377" s="9" t="str">
        <x:v>Not implemented</x:v>
      </x:c>
      <x:c r="O377" s="9" t="str">
        <x:v>Cure behavior, compatibility and toxicity remain design questions. Not interchangeable with seal lubricant.</x:v>
      </x:c>
      <x:c r="P377" s="17"/>
      <x:c r="Q377" s="17"/>
      <x:c r="R377" s="17"/>
      <x:c r="S377" s="17"/>
      <x:c r="T377" s="17"/>
      <x:c r="U377" s="9" t="str">
        <x:v>Tier is manufacturing lineage, not rarity, value, quality or number of hand operations. Routes are partial ingredient proposals, not authored recipes.</x:v>
      </x:c>
      <x:c r="V377" s="11" t="str">
        <x:v>protective fabrication</x:v>
      </x:c>
      <x:c r="W377" s="9" t="str">
        <x:v>New game T1 proposal aligned to source draft/proposal https://github.com/sleepyseamonster/Arc-Dust/blob/f6f98515c005dc3c73cccd9cbc031691745740c6/02-Arc-Dust-Worldbuilding/world/materials/chemical-processing-agents.md; source does not approve this game recipe.</x:v>
      </x:c>
      <x:c r="X377" s="4" t="str">
        <x:v>Chemical material</x:v>
      </x:c>
      <x:c r="Y377" s="4" t="str">
        <x:v>Processed intermediate</x:v>
      </x:c>
      <x:c r="Z377" s="4" t="str">
        <x:v>Fauna</x:v>
      </x:c>
      <x:c r="AA377" s="4" t="str">
        <x:v>Binding and construction</x:v>
      </x:c>
      <x:c r="AB377" s="4" t="str">
        <x:v>Biological chemical</x:v>
      </x:c>
      <x:c r="AC377" s="4" t="str">
        <x:v>Unresolved</x:v>
      </x:c>
      <x:c r="AD377" s="4" t="str">
        <x:v>Proposal</x:v>
      </x:c>
      <x:c r="AE377" s="4" t="str">
        <x:f>LOWER(A377&amp;"; "&amp;B377&amp;"; "&amp;D377&amp;"; "&amp;E377&amp;"; "&amp;X377&amp;"; "&amp;Y377&amp;"; "&amp;Z377&amp;"; "&amp;AA377&amp;"; "&amp;AB377&amp;"; "&amp;AC377&amp;"; "&amp;AD377&amp;"; "&amp;V377&amp;"; "&amp;C377&amp;"; "&amp;AH377&amp;"; "&amp;AI377)</x:f>
        <x:v>proposal.t1.shell_adhesive; prepared shell-binding adhesive; crafting components; tier 1 material concept; chemical material; processed intermediate; fauna; binding and construction; biological chemical; unresolved; proposal; protective fabrication; t1; not applicable; material</x:v>
      </x:c>
      <x:c r="AF377"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7" s="4" t="str">
        <x:v>Proposed game manufacturing tier from the candidate routes. Integrated operations may contain many work steps.</x:v>
      </x:c>
      <x:c r="AH377" s="4" t="str">
        <x:v>Not applicable</x:v>
      </x:c>
      <x:c r="AI377" s="4" t="str">
        <x:v>Material</x:v>
      </x:c>
      <x:c r="AJ377" s="4" t="n">
        <x:f>COUNTIFS('Material routes'!$D$6:$D$2205,A377,'Material routes'!$C$6:$C$2205,"Output")</x:f>
        <x:v>1</x:v>
      </x:c>
      <x:c r="AK377" s="4" t="n">
        <x:f>SUM(COUNTIFS('Material routes'!$D$6:$D$2205,A377,'Material routes'!$C$6:$C$2205,"Ingredient candidate"),COUNTIFS('Material routes'!$D$6:$D$2205,A377,'Material routes'!$C$6:$C$2205,"Consumed input"),COUNTIFS('Material routes'!$D$6:$D$2205,A377,'Material routes'!$C$6:$C$2205,"Contained input"),COUNTIFS('Material routes'!$D$6:$D$2205,A377,'Material routes'!$C$6:$C$2205,"Transform input"))</x:f>
        <x:v>10</x:v>
      </x:c>
      <x:c r="AL377" s="4" t="n">
        <x:f>COUNTIFS('Material routes'!$D$6:$D$2205,A377,'Material routes'!$C$6:$C$2205,"Tool candidate")</x:f>
        <x:v>0</x:v>
      </x:c>
      <x:c r="AM377" s="4" t="str">
        <x:f>IF(AJ377&gt;0,"Route listed; review status/completeness",IF(C377="T0","Raw entry feed; no production route","No production route listed"))</x:f>
        <x:v>Route listed; review status/completeness</x:v>
      </x:c>
      <x:c r="AN377" s="14" t="n">
        <x:f>IF(C377="T0",0,IF(C377="T1",1,IF(C377="T2",2,IF(C377="T3",3,IF(C377="T4",4,IF(C377="Unassigned",98,99))))))</x:f>
        <x:v>1</x:v>
      </x:c>
      <x:c r="AZ377"/>
      <x:c r="BA377"/>
      <x:c r="BB377"/>
      <x:c r="BC377"/>
      <x:c r="BD377"/>
      <x:c r="BE377"/>
      <x:c r="BF377"/>
      <x:c r="BG377"/>
      <x:c r="BH377"/>
      <x:c r="BI377"/>
      <x:c r="BJ377"/>
      <x:c r="BK377"/>
      <x:c r="BL377"/>
      <x:c r="BM377"/>
      <x:c r="BN377"/>
      <x:c r="BO377"/>
      <x:c r="BP377"/>
      <x:c r="BQ377"/>
      <x:c r="BR377"/>
      <x:c r="BS377"/>
      <x:c r="BT377"/>
      <x:c r="BU377"/>
      <x:c r="BV377"/>
      <x:c r="BW377"/>
      <x:c r="BX377"/>
      <x:c r="BY377"/>
      <x:c r="BZ377"/>
      <x:c r="CA377"/>
      <x:c r="CB377"/>
      <x:c r="CC377"/>
    </x:row>
    <x:row r="378" ht="115" customHeight="1">
      <x:c r="A378" s="9" t="str">
        <x:v>proposal.t1.clot_seal</x:v>
      </x:c>
      <x:c r="B378" s="9" t="str">
        <x:v>Prepared clot-seal compound</x:v>
      </x:c>
      <x:c r="C378" s="4" t="str">
        <x:v>T1</x:v>
      </x:c>
      <x:c r="D378" s="9" t="inlineStr">
        <x:is>
          <x:t xml:space="preserve">Crafting components</x:t>
        </x:is>
      </x:c>
      <x:c r="E378" s="9" t="str">
        <x:v>Tier 1 material concept</x:v>
      </x:c>
      <x:c r="F378" s="9" t="str">
        <x:v>New proposal</x:v>
      </x:c>
      <x:c r="G378" s="9" t="inlineStr">
        <x:is>
          <x:t xml:space="preserve">Prepared clot-seal compound, prepared as a fitted part or intermediate for a larger assembly. It supports replacement, refitting or maintenance of a compatible item; ownership alone does not restore the equipment’s condition.</x:t>
        </x:is>
      </x:c>
      <x:c r="H378" s="9" t="str">
        <x:v>None</x:v>
      </x:c>
      <x:c r="I378" s="9" t="str">
        <x:v>Material cargo / workshop storage; policy TBD</x:v>
      </x:c>
      <x:c r="J378" s="13"/>
      <x:c r="K378" s="15"/>
      <x:c r="L378" s="9" t="str">
        <x:v>Process a selected T0 raw/salvage input; candidate input proposal.chemical.clotting_compound</x:v>
      </x:c>
      <x:c r="M378" s="9" t="str">
        <x:v>Separate and prepare a selected raw hard-setting secretion for a bounded patching service.</x:v>
      </x:c>
      <x:c r="N378" s="9" t="str">
        <x:v>Not implemented</x:v>
      </x:c>
      <x:c r="O378" s="9" t="str">
        <x:v>Source material chemistry is a proposal. It does not certify a pressure seal or survival-canister repair.</x:v>
      </x:c>
      <x:c r="P378" s="17"/>
      <x:c r="Q378" s="17"/>
      <x:c r="R378" s="17"/>
      <x:c r="S378" s="17"/>
      <x:c r="T378" s="17"/>
      <x:c r="U378" s="9" t="str">
        <x:v>Tier is manufacturing lineage, not rarity, value, quality or number of hand operations. Routes are partial ingredient proposals, not authored recipes.</x:v>
      </x:c>
      <x:c r="V378" s="11" t="str">
        <x:v>sealing</x:v>
      </x:c>
      <x:c r="W378" s="9" t="str">
        <x:v>New game T1 proposal aligned to source draft/proposal https://github.com/sleepyseamonster/Arc-Dust/blob/f6f98515c005dc3c73cccd9cbc031691745740c6/02-Arc-Dust-Worldbuilding/world/materials/chemical-processing-agents.md; source does not approve this game recipe.</x:v>
      </x:c>
      <x:c r="X378" s="4" t="str">
        <x:v>Chemical material</x:v>
      </x:c>
      <x:c r="Y378" s="4" t="str">
        <x:v>Processed intermediate</x:v>
      </x:c>
      <x:c r="Z378" s="4" t="str">
        <x:v>Fauna</x:v>
      </x:c>
      <x:c r="AA378" s="4" t="str">
        <x:v>Equipment repair</x:v>
      </x:c>
      <x:c r="AB378" s="4" t="str">
        <x:v>Biological chemical</x:v>
      </x:c>
      <x:c r="AC378" s="4" t="str">
        <x:v>Unresolved</x:v>
      </x:c>
      <x:c r="AD378" s="4" t="str">
        <x:v>Proposal</x:v>
      </x:c>
      <x:c r="AE378" s="4" t="str">
        <x:f>LOWER(A378&amp;"; "&amp;B378&amp;"; "&amp;D378&amp;"; "&amp;E378&amp;"; "&amp;X378&amp;"; "&amp;Y378&amp;"; "&amp;Z378&amp;"; "&amp;AA378&amp;"; "&amp;AB378&amp;"; "&amp;AC378&amp;"; "&amp;AD378&amp;"; "&amp;V378&amp;"; "&amp;C378&amp;"; "&amp;AH378&amp;"; "&amp;AI378)</x:f>
        <x:v>proposal.t1.clot_seal; prepared clot-seal compound; crafting components; tier 1 material concept; chemical material; processed intermediate; fauna; equipment repair; biological chemical; unresolved; proposal; sealing; t1; not applicable; material</x:v>
      </x:c>
      <x:c r="AF378"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8" s="4" t="str">
        <x:v>Proposed game manufacturing tier from the candidate routes. Integrated operations may contain many work steps.</x:v>
      </x:c>
      <x:c r="AH378" s="4" t="str">
        <x:v>Not applicable</x:v>
      </x:c>
      <x:c r="AI378" s="4" t="str">
        <x:v>Material</x:v>
      </x:c>
      <x:c r="AJ378" s="4" t="n">
        <x:f>COUNTIFS('Material routes'!$D$6:$D$2205,A378,'Material routes'!$C$6:$C$2205,"Output")</x:f>
        <x:v>1</x:v>
      </x:c>
      <x:c r="AK378" s="4" t="n">
        <x:f>SUM(COUNTIFS('Material routes'!$D$6:$D$2205,A378,'Material routes'!$C$6:$C$2205,"Ingredient candidate"),COUNTIFS('Material routes'!$D$6:$D$2205,A378,'Material routes'!$C$6:$C$2205,"Consumed input"),COUNTIFS('Material routes'!$D$6:$D$2205,A378,'Material routes'!$C$6:$C$2205,"Contained input"),COUNTIFS('Material routes'!$D$6:$D$2205,A378,'Material routes'!$C$6:$C$2205,"Transform input"))</x:f>
        <x:v>2</x:v>
      </x:c>
      <x:c r="AL378" s="4" t="n">
        <x:f>COUNTIFS('Material routes'!$D$6:$D$2205,A378,'Material routes'!$C$6:$C$2205,"Tool candidate")</x:f>
        <x:v>0</x:v>
      </x:c>
      <x:c r="AM378" s="4" t="str">
        <x:f>IF(AJ378&gt;0,"Route listed; review status/completeness",IF(C378="T0","Raw entry feed; no production route","No production route listed"))</x:f>
        <x:v>Route listed; review status/completeness</x:v>
      </x:c>
      <x:c r="AN378" s="14" t="n">
        <x:f>IF(C378="T0",0,IF(C378="T1",1,IF(C378="T2",2,IF(C378="T3",3,IF(C378="T4",4,IF(C378="Unassigned",98,99))))))</x:f>
        <x:v>1</x:v>
      </x:c>
      <x:c r="AZ378"/>
      <x:c r="BA378"/>
      <x:c r="BB378"/>
      <x:c r="BC378"/>
      <x:c r="BD378"/>
      <x:c r="BE378"/>
      <x:c r="BF378"/>
      <x:c r="BG378"/>
      <x:c r="BH378"/>
      <x:c r="BI378"/>
      <x:c r="BJ378"/>
      <x:c r="BK378"/>
      <x:c r="BL378"/>
      <x:c r="BM378"/>
      <x:c r="BN378"/>
      <x:c r="BO378"/>
      <x:c r="BP378"/>
      <x:c r="BQ378"/>
      <x:c r="BR378"/>
      <x:c r="BS378"/>
      <x:c r="BT378"/>
      <x:c r="BU378"/>
      <x:c r="BV378"/>
      <x:c r="BW378"/>
      <x:c r="BX378"/>
      <x:c r="BY378"/>
      <x:c r="BZ378"/>
      <x:c r="CA378"/>
      <x:c r="CB378"/>
      <x:c r="CC378"/>
    </x:row>
    <x:row r="379" ht="115" customHeight="1">
      <x:c r="A379" s="9" t="str">
        <x:v>proposal.t1.gem_preform</x:v>
      </x:c>
      <x:c r="B379" s="9" t="str">
        <x:v>Cut gemstone preform</x:v>
      </x:c>
      <x:c r="C379" s="4" t="str">
        <x:v>T1</x:v>
      </x:c>
      <x:c r="D379" s="9" t="str">
        <x:v>Manufactured stock</x:v>
      </x:c>
      <x:c r="E379" s="9" t="str">
        <x:v>Tier 1 material concept</x:v>
      </x:c>
      <x:c r="F379" s="9" t="str">
        <x:v>New proposal</x:v>
      </x:c>
      <x:c r="G379" s="9" t="inlineStr">
        <x:is>
          <x:t xml:space="preserve">Prepared gemstone stock in the form of cut gemstone preform, intended as an input to further making or assembly. It supplies a visible ornamental surface or detail, with its placement and cultural meaning left to the receiving object’s design.</x:t>
        </x:is>
      </x:c>
      <x:c r="H379" s="9" t="str">
        <x:v>None</x:v>
      </x:c>
      <x:c r="I379" s="9" t="str">
        <x:v>Material cargo / workshop storage; policy TBD</x:v>
      </x:c>
      <x:c r="J379" s="13"/>
      <x:c r="K379" s="15"/>
      <x:c r="L379" s="9" t="str">
        <x:v>Process a selected T0 raw/salvage input; candidate input proposal.gem.garnet</x:v>
      </x:c>
      <x:c r="M379" s="9" t="str">
        <x:v>Select and rough-cut a raw-gem interpretation of the existing gemstone family.</x:v>
      </x:c>
      <x:c r="N379" s="9" t="str">
        <x:v>Not implemented</x:v>
      </x:c>
      <x:c r="O379" s="9" t="str">
        <x:v>Gem entries have unresolved cut state; this T0 input reading is explicitly provisional. Fine polish/setting is a later craft decision.</x:v>
      </x:c>
      <x:c r="P379" s="17"/>
      <x:c r="Q379" s="17"/>
      <x:c r="R379" s="17"/>
      <x:c r="S379" s="17"/>
      <x:c r="T379" s="17"/>
      <x:c r="U379" s="9" t="str">
        <x:v>Tier is manufacturing lineage, not rarity, value, quality or number of hand operations. Routes are partial ingredient proposals, not authored recipes.</x:v>
      </x:c>
      <x:c r="V379" s="11"/>
      <x:c r="W379" s="9" t="str">
        <x:v>New game T1 proposal aligned to source draft/proposal https://github.com/sleepyseamonster/Arc-Dust/blob/f6f98515c005dc3c73cccd9cbc031691745740c6/02-Arc-Dust-Worldbuilding/world/materials/canyon-depth-geology.md; source does not approve this game recipe.</x:v>
      </x:c>
      <x:c r="X379" s="4" t="str">
        <x:v>Processed material</x:v>
      </x:c>
      <x:c r="Y379" s="4" t="str">
        <x:v>Processed intermediate</x:v>
      </x:c>
      <x:c r="Z379" s="4" t="str">
        <x:v>Geological</x:v>
      </x:c>
      <x:c r="AA379" s="4" t="str">
        <x:v>Decoration</x:v>
      </x:c>
      <x:c r="AB379" s="4" t="str">
        <x:v>Gemstone</x:v>
      </x:c>
      <x:c r="AC379" s="4" t="str">
        <x:v>Solid piece</x:v>
      </x:c>
      <x:c r="AD379" s="4" t="str">
        <x:v>Proposal</x:v>
      </x:c>
      <x:c r="AE379" s="4" t="str">
        <x:f>LOWER(A379&amp;"; "&amp;B379&amp;"; "&amp;D379&amp;"; "&amp;E379&amp;"; "&amp;X379&amp;"; "&amp;Y379&amp;"; "&amp;Z379&amp;"; "&amp;AA379&amp;"; "&amp;AB379&amp;"; "&amp;AC379&amp;"; "&amp;AD379&amp;"; "&amp;V379&amp;"; "&amp;C379&amp;"; "&amp;AH379&amp;"; "&amp;AI379)</x:f>
        <x:v>proposal.t1.gem_preform; cut gemstone preform; manufactured stock; tier 1 material concept; processed material; processed intermediate; geological; decoration; gemstone; solid piece; proposal; ; t1; not applicable; material</x:v>
      </x:c>
      <x:c r="AF379" s="4" t="str">
        <x:v>First-stage refinement proposal. Source material/cultural records remain proposal-stage. Lore category review: Resources -&gt; Manufactured stock. Classification only; original item status and tier retained.</x:v>
      </x:c>
      <x:c r="AG379" s="4" t="str">
        <x:v>Proposed game manufacturing tier from the candidate routes. Integrated operations may contain many work steps.</x:v>
      </x:c>
      <x:c r="AH379" s="4" t="str">
        <x:v>Not applicable</x:v>
      </x:c>
      <x:c r="AI379" s="4" t="str">
        <x:v>Material</x:v>
      </x:c>
      <x:c r="AJ379" s="4" t="n">
        <x:f>COUNTIFS('Material routes'!$D$6:$D$2205,A379,'Material routes'!$C$6:$C$2205,"Output")</x:f>
        <x:v>1</x:v>
      </x:c>
      <x:c r="AK379" s="4" t="n">
        <x:f>SUM(COUNTIFS('Material routes'!$D$6:$D$2205,A379,'Material routes'!$C$6:$C$2205,"Ingredient candidate"),COUNTIFS('Material routes'!$D$6:$D$2205,A379,'Material routes'!$C$6:$C$2205,"Consumed input"),COUNTIFS('Material routes'!$D$6:$D$2205,A379,'Material routes'!$C$6:$C$2205,"Contained input"),COUNTIFS('Material routes'!$D$6:$D$2205,A379,'Material routes'!$C$6:$C$2205,"Transform input"))</x:f>
        <x:v>1</x:v>
      </x:c>
      <x:c r="AL379" s="4" t="n">
        <x:f>COUNTIFS('Material routes'!$D$6:$D$2205,A379,'Material routes'!$C$6:$C$2205,"Tool candidate")</x:f>
        <x:v>0</x:v>
      </x:c>
      <x:c r="AM379" s="4" t="str">
        <x:f>IF(AJ379&gt;0,"Route listed; review status/completeness",IF(C379="T0","Raw entry feed; no production route","No production route listed"))</x:f>
        <x:v>Route listed; review status/completeness</x:v>
      </x:c>
      <x:c r="AN379" s="14" t="n">
        <x:f>IF(C379="T0",0,IF(C379="T1",1,IF(C379="T2",2,IF(C379="T3",3,IF(C379="T4",4,IF(C379="Unassigned",98,99))))))</x:f>
        <x:v>1</x:v>
      </x:c>
      <x:c r="AZ379"/>
      <x:c r="BA379"/>
      <x:c r="BB379"/>
      <x:c r="BC379"/>
      <x:c r="BD379"/>
      <x:c r="BE379"/>
      <x:c r="BF379"/>
      <x:c r="BG379"/>
      <x:c r="BH379"/>
      <x:c r="BI379"/>
      <x:c r="BJ379"/>
      <x:c r="BK379"/>
      <x:c r="BL379"/>
      <x:c r="BM379"/>
      <x:c r="BN379"/>
      <x:c r="BO379"/>
      <x:c r="BP379"/>
      <x:c r="BQ379"/>
      <x:c r="BR379"/>
      <x:c r="BS379"/>
      <x:c r="BT379"/>
      <x:c r="BU379"/>
      <x:c r="BV379"/>
      <x:c r="BW379"/>
      <x:c r="BX379"/>
      <x:c r="BY379"/>
      <x:c r="BZ379"/>
      <x:c r="CA379"/>
      <x:c r="CB379"/>
      <x:c r="CC379"/>
    </x:row>
    <x:row r="380" ht="115" customHeight="1">
      <x:c r="A380" s="9" t="str">
        <x:v>proposal.t1.gem_chips</x:v>
      </x:c>
      <x:c r="B380" s="9" t="str">
        <x:v>Graded stone inlay chips</x:v>
      </x:c>
      <x:c r="C380" s="4" t="str">
        <x:v>T1</x:v>
      </x:c>
      <x:c r="D380" s="9" t="str">
        <x:v>Manufactured stock</x:v>
      </x:c>
      <x:c r="E380" s="9" t="str">
        <x:v>Tier 1 material concept</x:v>
      </x:c>
      <x:c r="F380" s="9" t="str">
        <x:v>New proposal</x:v>
      </x:c>
      <x:c r="G380" s="9" t="inlineStr">
        <x:is>
          <x:t xml:space="preserve">Prepared gemstone stock in the form of graded stone inlay chips, intended as an input to further making or assembly. It supplies a visible ornamental surface or detail, with its placement and cultural meaning left to the receiving object’s design.</x:t>
        </x:is>
      </x:c>
      <x:c r="H380" s="9" t="str">
        <x:v>None</x:v>
      </x:c>
      <x:c r="I380" s="9" t="str">
        <x:v>Material cargo / workshop storage; policy TBD</x:v>
      </x:c>
      <x:c r="J380" s="13"/>
      <x:c r="K380" s="15"/>
      <x:c r="L380" s="9" t="str">
        <x:v>Process a selected T0 raw/salvage input; candidate input proposal.gem.clear_quartz</x:v>
      </x:c>
      <x:c r="M380" s="9" t="str">
        <x:v>Select and size raw crystal offcuts for decorative setting work.</x:v>
      </x:c>
      <x:c r="N380" s="9" t="str">
        <x:v>Not implemented</x:v>
      </x:c>
      <x:c r="O380" s="9" t="str">
        <x:v>Cut-state interpretation is provisional; no named nation or universal gemstone demand is established.</x:v>
      </x:c>
      <x:c r="P380" s="17"/>
      <x:c r="Q380" s="17"/>
      <x:c r="R380" s="17"/>
      <x:c r="S380" s="17"/>
      <x:c r="T380" s="17"/>
      <x:c r="U380" s="9" t="str">
        <x:v>Tier is manufacturing lineage, not rarity, value, quality or number of hand operations. Routes are partial ingredient proposals, not authored recipes.</x:v>
      </x:c>
      <x:c r="V380" s="11"/>
      <x:c r="W380" s="9" t="str">
        <x:v>New game T1 proposal aligned to source draft/proposal https://github.com/sleepyseamonster/Arc-Dust/blob/f6f98515c005dc3c73cccd9cbc031691745740c6/02-Arc-Dust-Worldbuilding/world/materials/canyon-depth-geology.md; source does not approve this game recipe.</x:v>
      </x:c>
      <x:c r="X380" s="4" t="str">
        <x:v>Processed material</x:v>
      </x:c>
      <x:c r="Y380" s="4" t="str">
        <x:v>Processed intermediate</x:v>
      </x:c>
      <x:c r="Z380" s="4" t="str">
        <x:v>Geological</x:v>
      </x:c>
      <x:c r="AA380" s="4" t="str">
        <x:v>Decoration</x:v>
      </x:c>
      <x:c r="AB380" s="4" t="str">
        <x:v>Gemstone</x:v>
      </x:c>
      <x:c r="AC380" s="4" t="str">
        <x:v>Particles</x:v>
      </x:c>
      <x:c r="AD380" s="4" t="str">
        <x:v>Proposal</x:v>
      </x:c>
      <x:c r="AE380" s="4" t="str">
        <x:f>LOWER(A380&amp;"; "&amp;B380&amp;"; "&amp;D380&amp;"; "&amp;E380&amp;"; "&amp;X380&amp;"; "&amp;Y380&amp;"; "&amp;Z380&amp;"; "&amp;AA380&amp;"; "&amp;AB380&amp;"; "&amp;AC380&amp;"; "&amp;AD380&amp;"; "&amp;V380&amp;"; "&amp;C380&amp;"; "&amp;AH380&amp;"; "&amp;AI380)</x:f>
        <x:v>proposal.t1.gem_chips; graded stone inlay chips; manufactured stock; tier 1 material concept; processed material; processed intermediate; geological; decoration; gemstone; particles; proposal; ; t1; not applicable; material</x:v>
      </x:c>
      <x:c r="AF380" s="4" t="str">
        <x:v>First-stage refinement proposal. Source material/cultural records remain proposal-stage. Lore category review: Resources -&gt; Manufactured stock. Classification only; original item status and tier retained.</x:v>
      </x:c>
      <x:c r="AG380" s="4" t="str">
        <x:v>Proposed game manufacturing tier from the candidate routes. Integrated operations may contain many work steps.</x:v>
      </x:c>
      <x:c r="AH380" s="4" t="str">
        <x:v>Not applicable</x:v>
      </x:c>
      <x:c r="AI380" s="4" t="str">
        <x:v>Material</x:v>
      </x:c>
      <x:c r="AJ380" s="4" t="n">
        <x:f>COUNTIFS('Material routes'!$D$6:$D$2205,A380,'Material routes'!$C$6:$C$2205,"Output")</x:f>
        <x:v>1</x:v>
      </x:c>
      <x:c r="AK380" s="4" t="n">
        <x:f>SUM(COUNTIFS('Material routes'!$D$6:$D$2205,A380,'Material routes'!$C$6:$C$2205,"Ingredient candidate"),COUNTIFS('Material routes'!$D$6:$D$2205,A380,'Material routes'!$C$6:$C$2205,"Consumed input"),COUNTIFS('Material routes'!$D$6:$D$2205,A380,'Material routes'!$C$6:$C$2205,"Contained input"),COUNTIFS('Material routes'!$D$6:$D$2205,A380,'Material routes'!$C$6:$C$2205,"Transform input"))</x:f>
        <x:v>1</x:v>
      </x:c>
      <x:c r="AL380" s="4" t="n">
        <x:f>COUNTIFS('Material routes'!$D$6:$D$2205,A380,'Material routes'!$C$6:$C$2205,"Tool candidate")</x:f>
        <x:v>0</x:v>
      </x:c>
      <x:c r="AM380" s="4" t="str">
        <x:f>IF(AJ380&gt;0,"Route listed; review status/completeness",IF(C380="T0","Raw entry feed; no production route","No production route listed"))</x:f>
        <x:v>Route listed; review status/completeness</x:v>
      </x:c>
      <x:c r="AN380" s="14" t="n">
        <x:f>IF(C380="T0",0,IF(C380="T1",1,IF(C380="T2",2,IF(C380="T3",3,IF(C380="T4",4,IF(C380="Unassigned",98,99))))))</x:f>
        <x:v>1</x:v>
      </x:c>
      <x:c r="AZ380"/>
      <x:c r="BA380"/>
      <x:c r="BB380"/>
      <x:c r="BC380"/>
      <x:c r="BD380"/>
      <x:c r="BE380"/>
      <x:c r="BF380"/>
      <x:c r="BG380"/>
      <x:c r="BH380"/>
      <x:c r="BI380"/>
      <x:c r="BJ380"/>
      <x:c r="BK380"/>
      <x:c r="BL380"/>
      <x:c r="BM380"/>
      <x:c r="BN380"/>
      <x:c r="BO380"/>
      <x:c r="BP380"/>
      <x:c r="BQ380"/>
      <x:c r="BR380"/>
      <x:c r="BS380"/>
      <x:c r="BT380"/>
      <x:c r="BU380"/>
      <x:c r="BV380"/>
      <x:c r="BW380"/>
      <x:c r="BX380"/>
      <x:c r="BY380"/>
      <x:c r="BZ380"/>
      <x:c r="CA380"/>
      <x:c r="CB380"/>
      <x:c r="CC380"/>
    </x:row>
    <x:row r="381" ht="115" customHeight="1">
      <x:c r="A381" s="9" t="str">
        <x:v>proposal.t1.shell_inlay</x:v>
      </x:c>
      <x:c r="B381" s="9" t="str">
        <x:v>Burnished shell inlay scales</x:v>
      </x:c>
      <x:c r="C381" s="4" t="str">
        <x:v>T1</x:v>
      </x:c>
      <x:c r="D381" s="9" t="str">
        <x:v>Manufactured stock</x:v>
      </x:c>
      <x:c r="E381" s="9" t="str">
        <x:v>Tier 1 material concept</x:v>
      </x:c>
      <x:c r="F381" s="9" t="str">
        <x:v>New proposal</x:v>
      </x:c>
      <x:c r="G381" s="9" t="inlineStr">
        <x:is>
          <x:t xml:space="preserve">Prepared shell / chitin stock in the form of burnished shell inlay scales, intended as an input to further making or assembly. It supplies a visible ornamental surface or detail, with its placement and cultural meaning left to the receiving object’s design.</x:t>
        </x:is>
      </x:c>
      <x:c r="H381" s="9" t="str">
        <x:v>None</x:v>
      </x:c>
      <x:c r="I381" s="9" t="str">
        <x:v>Material cargo / workshop storage; policy TBD</x:v>
      </x:c>
      <x:c r="J381" s="13"/>
      <x:c r="K381" s="15"/>
      <x:c r="L381" s="9" t="str">
        <x:v>Process a selected T0 raw/salvage input; candidate input proposal.bio.shell</x:v>
      </x:c>
      <x:c r="M381" s="9" t="str">
        <x:v>Select and prepare small shell surfaces for decorative inlay stock.</x:v>
      </x:c>
      <x:c r="N381" s="9" t="str">
        <x:v>Not implemented</x:v>
      </x:c>
      <x:c r="O381" s="9" t="str">
        <x:v>Selected material and skilled finish can carry value without making all raw shell expensive.</x:v>
      </x:c>
      <x:c r="P381" s="17"/>
      <x:c r="Q381" s="17"/>
      <x:c r="R381" s="17"/>
      <x:c r="S381" s="17"/>
      <x:c r="T381" s="17"/>
      <x:c r="U381" s="9" t="str">
        <x:v>Tier is manufacturing lineage, not rarity, value, quality or number of hand operations. Routes are partial ingredient proposals, not authored recipes.</x:v>
      </x:c>
      <x:c r="V381" s="11"/>
      <x:c r="W381" s="9" t="str">
        <x:v>New game T1 proposal aligned to source draft/proposal https://github.com/sleepyseamonster/Arc-Dust/blob/f6f98515c005dc3c73cccd9cbc031691745740c6/02-Arc-Dust-Worldbuilding/world/economy/canister-identity.md; source does not approve this game recipe.</x:v>
      </x:c>
      <x:c r="X381" s="4" t="str">
        <x:v>Processed material</x:v>
      </x:c>
      <x:c r="Y381" s="4" t="str">
        <x:v>Processed intermediate</x:v>
      </x:c>
      <x:c r="Z381" s="4" t="str">
        <x:v>Fauna</x:v>
      </x:c>
      <x:c r="AA381" s="4" t="str">
        <x:v>Decoration</x:v>
      </x:c>
      <x:c r="AB381" s="4" t="str">
        <x:v>Shell / chitin</x:v>
      </x:c>
      <x:c r="AC381" s="4" t="str">
        <x:v>Sheet</x:v>
      </x:c>
      <x:c r="AD381" s="4" t="str">
        <x:v>Proposal</x:v>
      </x:c>
      <x:c r="AE381" s="4" t="str">
        <x:f>LOWER(A381&amp;"; "&amp;B381&amp;"; "&amp;D381&amp;"; "&amp;E381&amp;"; "&amp;X381&amp;"; "&amp;Y381&amp;"; "&amp;Z381&amp;"; "&amp;AA381&amp;"; "&amp;AB381&amp;"; "&amp;AC381&amp;"; "&amp;AD381&amp;"; "&amp;V381&amp;"; "&amp;C381&amp;"; "&amp;AH381&amp;"; "&amp;AI381)</x:f>
        <x:v>proposal.t1.shell_inlay; burnished shell inlay scales; manufactured stock; tier 1 material concept; processed material; processed intermediate; fauna; decoration; shell / chitin; sheet; proposal; ; t1; not applicable; material</x:v>
      </x:c>
      <x:c r="AF381" s="4" t="str">
        <x:v>First-stage refinement proposal. Source material/cultural records remain proposal-stage. Lore category review: Resources -&gt; Manufactured stock. Classification only; original item status and tier retained.</x:v>
      </x:c>
      <x:c r="AG381" s="4" t="str">
        <x:v>Proposed game manufacturing tier from the candidate routes. Integrated operations may contain many work steps.</x:v>
      </x:c>
      <x:c r="AH381" s="4" t="str">
        <x:v>Not applicable</x:v>
      </x:c>
      <x:c r="AI381" s="4" t="str">
        <x:v>Material</x:v>
      </x:c>
      <x:c r="AJ381" s="4" t="n">
        <x:f>COUNTIFS('Material routes'!$D$6:$D$2205,A381,'Material routes'!$C$6:$C$2205,"Output")</x:f>
        <x:v>1</x:v>
      </x:c>
      <x:c r="AK381" s="4" t="n">
        <x:f>SUM(COUNTIFS('Material routes'!$D$6:$D$2205,A381,'Material routes'!$C$6:$C$2205,"Ingredient candidate"),COUNTIFS('Material routes'!$D$6:$D$2205,A381,'Material routes'!$C$6:$C$2205,"Consumed input"),COUNTIFS('Material routes'!$D$6:$D$2205,A381,'Material routes'!$C$6:$C$2205,"Contained input"),COUNTIFS('Material routes'!$D$6:$D$2205,A381,'Material routes'!$C$6:$C$2205,"Transform input"))</x:f>
        <x:v>2</x:v>
      </x:c>
      <x:c r="AL381" s="4" t="n">
        <x:f>COUNTIFS('Material routes'!$D$6:$D$2205,A381,'Material routes'!$C$6:$C$2205,"Tool candidate")</x:f>
        <x:v>0</x:v>
      </x:c>
      <x:c r="AM381" s="4" t="str">
        <x:f>IF(AJ381&gt;0,"Route listed; review status/completeness",IF(C381="T0","Raw entry feed; no production route","No production route listed"))</x:f>
        <x:v>Route listed; review status/completeness</x:v>
      </x:c>
      <x:c r="AN381" s="14" t="n">
        <x:f>IF(C381="T0",0,IF(C381="T1",1,IF(C381="T2",2,IF(C381="T3",3,IF(C381="T4",4,IF(C381="Unassigned",98,99))))))</x:f>
        <x:v>1</x:v>
      </x:c>
      <x:c r="AZ381"/>
      <x:c r="BA381"/>
      <x:c r="BB381"/>
      <x:c r="BC381"/>
      <x:c r="BD381"/>
      <x:c r="BE381"/>
      <x:c r="BF381"/>
      <x:c r="BG381"/>
      <x:c r="BH381"/>
      <x:c r="BI381"/>
      <x:c r="BJ381"/>
      <x:c r="BK381"/>
      <x:c r="BL381"/>
      <x:c r="BM381"/>
      <x:c r="BN381"/>
      <x:c r="BO381"/>
      <x:c r="BP381"/>
      <x:c r="BQ381"/>
      <x:c r="BR381"/>
      <x:c r="BS381"/>
      <x:c r="BT381"/>
      <x:c r="BU381"/>
      <x:c r="BV381"/>
      <x:c r="BW381"/>
      <x:c r="BX381"/>
      <x:c r="BY381"/>
      <x:c r="BZ381"/>
      <x:c r="CA381"/>
      <x:c r="CB381"/>
      <x:c r="CC381"/>
    </x:row>
    <x:row r="382" ht="115" customHeight="1">
      <x:c r="A382" s="9" t="str">
        <x:v>proposal.t1.mica_window</x:v>
      </x:c>
      <x:c r="B382" s="9" t="str">
        <x:v>Sized mica viewing sheet</x:v>
      </x:c>
      <x:c r="C382" s="4" t="str">
        <x:v>T1</x:v>
      </x:c>
      <x:c r="D382" s="9" t="str">
        <x:v>Manufactured stock</x:v>
      </x:c>
      <x:c r="E382" s="9" t="str">
        <x:v>Tier 1 material concept</x:v>
      </x:c>
      <x:c r="F382" s="9" t="str">
        <x:v>New proposal</x:v>
      </x:c>
      <x:c r="G382" s="9" t="inlineStr">
        <x:is>
          <x:t xml:space="preserve">Prepared mineral stock in the form of sized mica viewing sheet, intended as an input to further making or assembly. It supports looking at or examining a workpiece, with the useful view determined by its optical and mechanical arrangement.</x:t>
        </x:is>
      </x:c>
      <x:c r="H382" s="9" t="str">
        <x:v>None</x:v>
      </x:c>
      <x:c r="I382" s="9" t="str">
        <x:v>Material cargo / workshop storage; policy TBD</x:v>
      </x:c>
      <x:c r="J382" s="13"/>
      <x:c r="K382" s="15"/>
      <x:c r="L382" s="9" t="str">
        <x:v>Process a selected T0 raw/salvage input; candidate input proposal.natural.mica</x:v>
      </x:c>
      <x:c r="M382" s="9" t="str">
        <x:v>Split, select and size a suitable raw sheet for a proposed viewing/cover insert.</x:v>
      </x:c>
      <x:c r="N382" s="9" t="str">
        <x:v>Not implemented</x:v>
      </x:c>
      <x:c r="O382" s="9" t="str">
        <x:v>Optical, thermal and electrical performance remain unqualified; not a substitute for precision glass lenses.</x:v>
      </x:c>
      <x:c r="P382" s="17"/>
      <x:c r="Q382" s="17"/>
      <x:c r="R382" s="17"/>
      <x:c r="S382" s="17"/>
      <x:c r="T382" s="17"/>
      <x:c r="U382" s="9" t="str">
        <x:v>Tier is manufacturing lineage, not rarity, value, quality or number of hand operations. Routes are partial ingredient proposals, not authored recipes.</x:v>
      </x:c>
      <x:c r="V382" s="11" t="str">
        <x:v>fabrication</x:v>
      </x:c>
      <x:c r="W382" s="9" t="str">
        <x:v>New game T1 proposal aligned to source draft/proposal https://github.com/sleepyseamonster/Arc-Dust/blob/f6f98515c005dc3c73cccd9cbc031691745740c6/02-Arc-Dust-Worldbuilding/world/materials/industrial-material-palette.md; source does not approve this game recipe.</x:v>
      </x:c>
      <x:c r="X382" s="4" t="str">
        <x:v>Processed material</x:v>
      </x:c>
      <x:c r="Y382" s="4" t="str">
        <x:v>Processed intermediate</x:v>
      </x:c>
      <x:c r="Z382" s="4" t="str">
        <x:v>Geological</x:v>
      </x:c>
      <x:c r="AA382" s="4" t="str">
        <x:v>Inspection</x:v>
      </x:c>
      <x:c r="AB382" s="4" t="str">
        <x:v>Mineral</x:v>
      </x:c>
      <x:c r="AC382" s="4" t="str">
        <x:v>Sheet</x:v>
      </x:c>
      <x:c r="AD382" s="4" t="str">
        <x:v>Proposal</x:v>
      </x:c>
      <x:c r="AE382" s="4" t="str">
        <x:f>LOWER(A382&amp;"; "&amp;B382&amp;"; "&amp;D382&amp;"; "&amp;E382&amp;"; "&amp;X382&amp;"; "&amp;Y382&amp;"; "&amp;Z382&amp;"; "&amp;AA382&amp;"; "&amp;AB382&amp;"; "&amp;AC382&amp;"; "&amp;AD382&amp;"; "&amp;V382&amp;"; "&amp;C382&amp;"; "&amp;AH382&amp;"; "&amp;AI382)</x:f>
        <x:v>proposal.t1.mica_window; sized mica viewing sheet; manufactured stock; tier 1 material concept; processed material; processed intermediate; geological; inspection; mineral; sheet; proposal; fabrication; t1; not applicable; material</x:v>
      </x:c>
      <x:c r="AF382" s="4" t="str">
        <x:v>First-stage refinement proposal. Source material/cultural records remain proposal-stage. Lore category review: Resources -&gt; Manufactured stock. Classification only; original item status and tier retained.</x:v>
      </x:c>
      <x:c r="AG382" s="4" t="str">
        <x:v>Proposed game manufacturing tier from the candidate routes. Integrated operations may contain many work steps.</x:v>
      </x:c>
      <x:c r="AH382" s="4" t="str">
        <x:v>Not applicable</x:v>
      </x:c>
      <x:c r="AI382" s="4" t="str">
        <x:v>Material</x:v>
      </x:c>
      <x:c r="AJ382" s="4" t="n">
        <x:f>COUNTIFS('Material routes'!$D$6:$D$2205,A382,'Material routes'!$C$6:$C$2205,"Output")</x:f>
        <x:v>1</x:v>
      </x:c>
      <x:c r="AK382" s="4" t="n">
        <x:f>SUM(COUNTIFS('Material routes'!$D$6:$D$2205,A382,'Material routes'!$C$6:$C$2205,"Ingredient candidate"),COUNTIFS('Material routes'!$D$6:$D$2205,A382,'Material routes'!$C$6:$C$2205,"Consumed input"),COUNTIFS('Material routes'!$D$6:$D$2205,A382,'Material routes'!$C$6:$C$2205,"Contained input"),COUNTIFS('Material routes'!$D$6:$D$2205,A382,'Material routes'!$C$6:$C$2205,"Transform input"))</x:f>
        <x:v>4</x:v>
      </x:c>
      <x:c r="AL382" s="4" t="n">
        <x:f>COUNTIFS('Material routes'!$D$6:$D$2205,A382,'Material routes'!$C$6:$C$2205,"Tool candidate")</x:f>
        <x:v>0</x:v>
      </x:c>
      <x:c r="AM382" s="4" t="str">
        <x:f>IF(AJ382&gt;0,"Route listed; review status/completeness",IF(C382="T0","Raw entry feed; no production route","No production route listed"))</x:f>
        <x:v>Route listed; review status/completeness</x:v>
      </x:c>
      <x:c r="AN382" s="14" t="n">
        <x:f>IF(C382="T0",0,IF(C382="T1",1,IF(C382="T2",2,IF(C382="T3",3,IF(C382="T4",4,IF(C382="Unassigned",98,99))))))</x:f>
        <x:v>1</x:v>
      </x:c>
      <x:c r="AZ382"/>
      <x:c r="BA382"/>
      <x:c r="BB382"/>
      <x:c r="BC382"/>
      <x:c r="BD382"/>
      <x:c r="BE382"/>
      <x:c r="BF382"/>
      <x:c r="BG382"/>
      <x:c r="BH382"/>
      <x:c r="BI382"/>
      <x:c r="BJ382"/>
      <x:c r="BK382"/>
      <x:c r="BL382"/>
      <x:c r="BM382"/>
      <x:c r="BN382"/>
      <x:c r="BO382"/>
      <x:c r="BP382"/>
      <x:c r="BQ382"/>
      <x:c r="BR382"/>
      <x:c r="BS382"/>
      <x:c r="BT382"/>
      <x:c r="BU382"/>
      <x:c r="BV382"/>
      <x:c r="BW382"/>
      <x:c r="BX382"/>
      <x:c r="BY382"/>
      <x:c r="BZ382"/>
      <x:c r="CA382"/>
      <x:c r="CB382"/>
      <x:c r="CC382"/>
    </x:row>
    <x:row r="383" ht="115" customHeight="1">
      <x:c r="A383" s="9" t="str">
        <x:v>author.communication.crude_two_way_radio</x:v>
      </x:c>
      <x:c r="B383" s="9" t="str">
        <x:v>Crude two-way radio</x:v>
      </x:c>
      <x:c r="C383" s="4" t="str">
        <x:v>Not applicable</x:v>
      </x:c>
      <x:c r="D383" s="9" t="inlineStr">
        <x:is>
          <x:t xml:space="preserve">Tools</x:t>
        </x:is>
      </x:c>
      <x:c r="E383" s="9" t="str">
        <x:v>Communication equipment</x:v>
      </x:c>
      <x:c r="F383" s="9" t="str">
        <x:v>Author-directed concept</x:v>
      </x:c>
      <x:c r="G383" s="9" t="inlineStr">
        <x:is>
          <x:t xml:space="preserve">Two-way radio communication. It is proposed for a matched radio assembly, with detection, transduction, power and performance dependent on further design and qualification.</x:t>
        </x:is>
      </x:c>
      <x:c r="H383" s="9" t="str">
        <x:v>Unresolved</x:v>
      </x:c>
      <x:c r="I383" s="9" t="str">
        <x:v>Carriage and mounting unresolved</x:v>
      </x:c>
      <x:c r="J383" s="13"/>
      <x:c r="K383" s="15"/>
      <x:c r="L383" s="9" t="str">
        <x:v>Reverse-engineered from machine technology; acquisition unresolved</x:v>
      </x:c>
      <x:c r="M383" s="9" t="str">
        <x:v>Manufacturing process and required materials unresolved</x:v>
      </x:c>
      <x:c r="N383" s="9" t="str">
        <x:v>Lore item family; not implemented</x:v>
      </x:c>
      <x:c r="O383" s="9" t="str">
        <x:v>No range, power source, reliability, channel or transmission behavior defined</x:v>
      </x:c>
      <x:c r="P383" s="17"/>
      <x:c r="Q383" s="17"/>
      <x:c r="R383" s="17"/>
      <x:c r="S383" s="17"/>
      <x:c r="T383" s="17"/>
      <x:c r="U383" s="9" t="str">
        <x:v>Construction, ingredient tiers, controls, availability and setting-specific signal behavior remain open</x:v>
      </x:c>
      <x:c r="V383" s="11" t="str">
        <x:v>radio; transceiver; two way; machine-tech communications</x:v>
      </x:c>
      <x:c r="W383" s="9" t="str">
        <x:v>Direct author direction, October 14, 2026; Docs/WORLD_BASIS.md#machine-derived-communications</x:v>
      </x:c>
      <x:c r="X383" s="4" t="str">
        <x:v>Tool</x:v>
      </x:c>
      <x:c r="Y383" s="4" t="str">
        <x:v>Finished item</x:v>
      </x:c>
      <x:c r="Z383" s="4" t="str">
        <x:v>Manufactured / unresolved</x:v>
      </x:c>
      <x:c r="AA383" s="4" t="str">
        <x:v>Radio communication</x:v>
      </x:c>
      <x:c r="AB383" s="4" t="str">
        <x:v>Mixed / unresolved</x:v>
      </x:c>
      <x:c r="AC383" s="4" t="str">
        <x:v>Assembly</x:v>
      </x:c>
      <x:c r="AD383" s="4" t="str">
        <x:v>Author direction</x:v>
      </x:c>
      <x:c r="AE383" s="4" t="str">
        <x:f>LOWER(A383&amp;"; "&amp;B383&amp;"; "&amp;D383&amp;"; "&amp;E383&amp;"; "&amp;X383&amp;"; "&amp;Y383&amp;"; "&amp;Z383&amp;"; "&amp;AA383&amp;"; "&amp;AB383&amp;"; "&amp;AC383&amp;"; "&amp;AD383&amp;"; "&amp;V383&amp;"; "&amp;C383&amp;"; "&amp;AH383&amp;"; "&amp;AI383)</x:f>
        <x:v>author.communication.crude_two_way_radio; crude two-way radio; tools; communication equipment; tool; finished item; manufactured / unresolved; radio communication; mixed / unresolved; assembly; author direction; radio; transceiver; two way; machine-tech communications; not applicable; unassigned; finished item</x:v>
      </x:c>
      <x:c r="AF383" s="4" t="inlineStr">
        <x:is>
          <x:t xml:space="preserve">Existence and machine-tech reverse-engineering origin are author direction. Physical construction and performance remain undefined. October 15 equipment split: Accessories. General clothing, eyewear, carried personal reserves, carriers and supporting utility gear; no new equipment slots or effects.</x:t>
        </x:is>
      </x:c>
      <x:c r="AG383" s="4" t="str">
        <x:v>Finished endpoint; material tier is not applicable. Input tiers belong to the chosen recipe.</x:v>
      </x:c>
      <x:c r="AH383" s="4" t="str">
        <x:v>Unassigned</x:v>
      </x:c>
      <x:c r="AI383" s="4" t="str">
        <x:v>Finished item</x:v>
      </x:c>
      <x:c r="AJ383" s="4" t="n">
        <x:f>COUNTIFS('Material routes'!$D$6:$D$2205,A383,'Material routes'!$C$6:$C$2205,"Output")</x:f>
        <x:v>1</x:v>
      </x:c>
      <x:c r="AK383" s="4" t="n">
        <x:f>SUM(COUNTIFS('Material routes'!$D$6:$D$2205,A383,'Material routes'!$C$6:$C$2205,"Ingredient candidate"),COUNTIFS('Material routes'!$D$6:$D$2205,A383,'Material routes'!$C$6:$C$2205,"Consumed input"),COUNTIFS('Material routes'!$D$6:$D$2205,A383,'Material routes'!$C$6:$C$2205,"Contained input"),COUNTIFS('Material routes'!$D$6:$D$2205,A383,'Material routes'!$C$6:$C$2205,"Transform input"))</x:f>
        <x:v>0</x:v>
      </x:c>
      <x:c r="AL383" s="4" t="n">
        <x:f>COUNTIFS('Material routes'!$D$6:$D$2205,A383,'Material routes'!$C$6:$C$2205,"Tool candidate")</x:f>
        <x:v>0</x:v>
      </x:c>
      <x:c r="AM383" s="4" t="str">
        <x:f>IF(AJ383&gt;0,"Route listed; review status/completeness",IF(C383="T0","Raw entry feed; no production route","No production route listed"))</x:f>
        <x:v>Route listed; review status/completeness</x:v>
      </x:c>
      <x:c r="AN383" s="14" t="n">
        <x:f>IF(C383="T0",0,IF(C383="T1",1,IF(C383="T2",2,IF(C383="T3",3,IF(C383="T4",4,IF(C383="Unassigned",98,99))))))</x:f>
        <x:v>99</x:v>
      </x:c>
      <x:c r="AZ383"/>
      <x:c r="BA383"/>
      <x:c r="BB383"/>
      <x:c r="BC383"/>
      <x:c r="BD383"/>
      <x:c r="BE383"/>
      <x:c r="BF383"/>
      <x:c r="BG383"/>
      <x:c r="BH383"/>
      <x:c r="BI383"/>
      <x:c r="BJ383"/>
      <x:c r="BK383"/>
      <x:c r="BL383"/>
      <x:c r="BM383"/>
      <x:c r="BN383"/>
      <x:c r="BO383"/>
      <x:c r="BP383"/>
      <x:c r="BQ383"/>
      <x:c r="BR383"/>
      <x:c r="BS383"/>
      <x:c r="BT383"/>
      <x:c r="BU383"/>
      <x:c r="BV383"/>
      <x:c r="BW383"/>
      <x:c r="BX383"/>
      <x:c r="BY383"/>
      <x:c r="BZ383"/>
      <x:c r="CA383"/>
      <x:c r="CB383"/>
      <x:c r="CC383"/>
    </x:row>
    <x:row r="384" ht="115" customHeight="1">
      <x:c r="A384" s="9" t="str">
        <x:v>author.ancient.laser_sword</x:v>
      </x:c>
      <x:c r="B384" s="9" t="str">
        <x:v>Laser sword</x:v>
      </x:c>
      <x:c r="C384" s="4" t="str">
        <x:v>Not applicable</x:v>
      </x:c>
      <x:c r="D384" s="9" t="str">
        <x:v>Weapons</x:v>
      </x:c>
      <x:c r="E384" s="9" t="str">
        <x:v>Energy melee weapon</x:v>
      </x:c>
      <x:c r="F384" s="9" t="str">
        <x:v>Author-directed concept</x:v>
      </x:c>
      <x:c r="G384" s="9" t="inlineStr">
        <x:is>
          <x:t xml:space="preserve">Ancient laser-sword weapon family. It is intended for the recorded weapon role and compatible ammunition or energy feed. Damage, range, handling and operating requirements remain unassigned.</x:t>
        </x:is>
      </x:c>
      <x:c r="H384" s="9" t="str">
        <x:v>Unresolved</x:v>
      </x:c>
      <x:c r="I384" s="9" t="str">
        <x:v>Carriage, mounting and compatible equipment unresolved</x:v>
      </x:c>
      <x:c r="J384" s="13"/>
      <x:c r="K384" s="15"/>
      <x:c r="L384" s="9" t="str">
        <x:v>Ancient machine technology; recovery and access unresolved</x:v>
      </x:c>
      <x:c r="M384" s="9" t="str">
        <x:v>Some machine technology is reverse engineered into crude Iron Age machinery. Which of these families has a working reproduction remains unassigned.</x:v>
      </x:c>
      <x:c r="N384" s="9" t="str">
        <x:v>Lore item family; not implemented</x:v>
      </x:c>
      <x:c r="O384" s="9" t="str">
        <x:v>Mechanism, energy or propulsion supply, ammunition compatibility, effectiveness and operating limits remain open</x:v>
      </x:c>
      <x:c r="P384" s="17"/>
      <x:c r="Q384" s="17"/>
      <x:c r="R384" s="17"/>
      <x:c r="S384" s="17"/>
      <x:c r="T384" s="17"/>
      <x:c r="U384" s="9" t="str">
        <x:v>No reverse-engineered variant, recipe, manufacturing tier, specification or combat statistic established.</x:v>
      </x:c>
      <x:c r="V384" s="11" t="str">
        <x:v>laser blade; laser sword; ancient machine weapon</x:v>
      </x:c>
      <x:c r="W384" s="9" t="str">
        <x:v>Direct author direction, October 14, 2026; Docs/WORLD_BASIS.md#ancient-weapons-and-reverse-engineered-machinery</x:v>
      </x:c>
      <x:c r="X384" s="4" t="str">
        <x:v>Weapon</x:v>
      </x:c>
      <x:c r="Y384" s="4" t="str">
        <x:v>Finished item</x:v>
      </x:c>
      <x:c r="Z384" s="4" t="str">
        <x:v>Ancient technology</x:v>
      </x:c>
      <x:c r="AA384" s="4" t="str">
        <x:v>Offensive combat</x:v>
      </x:c>
      <x:c r="AB384" s="4" t="str">
        <x:v>Mixed / unresolved</x:v>
      </x:c>
      <x:c r="AC384" s="4" t="str">
        <x:v>Assembly</x:v>
      </x:c>
      <x:c r="AD384" s="4" t="str">
        <x:v>Author direction</x:v>
      </x:c>
      <x:c r="AE384" s="4" t="str">
        <x:f>LOWER(A384&amp;"; "&amp;B384&amp;"; "&amp;D384&amp;"; "&amp;E384&amp;"; "&amp;X384&amp;"; "&amp;Y384&amp;"; "&amp;Z384&amp;"; "&amp;AA384&amp;"; "&amp;AB384&amp;"; "&amp;AC384&amp;"; "&amp;AD384&amp;"; "&amp;V384&amp;"; "&amp;C384&amp;"; "&amp;AH384&amp;"; "&amp;AI384)</x:f>
        <x:v>author.ancient.laser_sword; laser sword; weapons; energy melee weapon; weapon; finished item; ancient technology; offensive combat; mixed / unresolved; assembly; author direction; laser blade; laser sword; ancient machine weapon; not applicable; unassigned; finished item</x:v>
      </x:c>
      <x:c r="AF384" s="4" t="str">
        <x:v>Ancient machine-tech family is author direction. Reverse-engineered examples exist in the broader technology tradition; specific reproducible families remain open.</x:v>
      </x:c>
      <x:c r="AG384" s="4" t="str">
        <x:v>Finished endpoint; material tier is not applicable. Input tiers belong to the chosen recipe.</x:v>
      </x:c>
      <x:c r="AH384" s="4" t="str">
        <x:v>Unassigned</x:v>
      </x:c>
      <x:c r="AI384" s="4" t="str">
        <x:v>Finished item</x:v>
      </x:c>
      <x:c r="AJ384" s="4" t="n">
        <x:f>COUNTIFS('Material routes'!$D$6:$D$2205,A384,'Material routes'!$C$6:$C$2205,"Output")</x:f>
        <x:v>0</x:v>
      </x:c>
      <x:c r="AK384" s="4" t="n">
        <x:f>SUM(COUNTIFS('Material routes'!$D$6:$D$2205,A384,'Material routes'!$C$6:$C$2205,"Ingredient candidate"),COUNTIFS('Material routes'!$D$6:$D$2205,A384,'Material routes'!$C$6:$C$2205,"Consumed input"),COUNTIFS('Material routes'!$D$6:$D$2205,A384,'Material routes'!$C$6:$C$2205,"Contained input"),COUNTIFS('Material routes'!$D$6:$D$2205,A384,'Material routes'!$C$6:$C$2205,"Transform input"))</x:f>
        <x:v>0</x:v>
      </x:c>
      <x:c r="AL384" s="4" t="n">
        <x:f>COUNTIFS('Material routes'!$D$6:$D$2205,A384,'Material routes'!$C$6:$C$2205,"Tool candidate")</x:f>
        <x:v>0</x:v>
      </x:c>
      <x:c r="AM384" s="4" t="str">
        <x:f>IF(AJ384&gt;0,"Route listed; review status/completeness",IF(C384="T0","Raw entry feed; no production route","No production route listed"))</x:f>
        <x:v>No production route listed</x:v>
      </x:c>
      <x:c r="AN384" s="14" t="n">
        <x:f>IF(C384="T0",0,IF(C384="T1",1,IF(C384="T2",2,IF(C384="T3",3,IF(C384="T4",4,IF(C384="Unassigned",98,99))))))</x:f>
        <x:v>99</x:v>
      </x:c>
      <x:c r="AZ384"/>
      <x:c r="BA384"/>
      <x:c r="BB384"/>
      <x:c r="BC384"/>
      <x:c r="BD384"/>
      <x:c r="BE384"/>
      <x:c r="BF384"/>
      <x:c r="BG384"/>
      <x:c r="BH384"/>
      <x:c r="BI384"/>
      <x:c r="BJ384"/>
      <x:c r="BK384"/>
      <x:c r="BL384"/>
      <x:c r="BM384"/>
      <x:c r="BN384"/>
      <x:c r="BO384"/>
      <x:c r="BP384"/>
      <x:c r="BQ384"/>
      <x:c r="BR384"/>
      <x:c r="BS384"/>
      <x:c r="BT384"/>
      <x:c r="BU384"/>
      <x:c r="BV384"/>
      <x:c r="BW384"/>
      <x:c r="BX384"/>
      <x:c r="BY384"/>
      <x:c r="BZ384"/>
      <x:c r="CA384"/>
      <x:c r="CB384"/>
      <x:c r="CC384"/>
    </x:row>
    <x:row r="385" ht="115" customHeight="1">
      <x:c r="A385" s="9" t="str">
        <x:v>author.ancient.laser_blaster</x:v>
      </x:c>
      <x:c r="B385" s="9" t="str">
        <x:v>Laser blaster</x:v>
      </x:c>
      <x:c r="C385" s="4" t="str">
        <x:v>Not applicable</x:v>
      </x:c>
      <x:c r="D385" s="9" t="str">
        <x:v>Weapons</x:v>
      </x:c>
      <x:c r="E385" s="9" t="str">
        <x:v>Energy ranged weapon</x:v>
      </x:c>
      <x:c r="F385" s="9" t="str">
        <x:v>Author-directed concept</x:v>
      </x:c>
      <x:c r="G385" s="9" t="inlineStr">
        <x:is>
          <x:t xml:space="preserve">Ancient laser-blaster weapon family. It is intended for the recorded weapon role and compatible ammunition or energy feed. Damage, range, handling and operating requirements remain unassigned.</x:t>
        </x:is>
      </x:c>
      <x:c r="H385" s="9" t="str">
        <x:v>Unresolved</x:v>
      </x:c>
      <x:c r="I385" s="9" t="str">
        <x:v>Carriage, mounting and compatible equipment unresolved</x:v>
      </x:c>
      <x:c r="J385" s="13"/>
      <x:c r="K385" s="15"/>
      <x:c r="L385" s="9" t="str">
        <x:v>Ancient machine technology; recovery and access unresolved</x:v>
      </x:c>
      <x:c r="M385" s="9" t="str">
        <x:v>Some machine technology is reverse engineered into crude Iron Age machinery. Which of these families has a working reproduction remains unassigned.</x:v>
      </x:c>
      <x:c r="N385" s="9" t="str">
        <x:v>Lore item family; not implemented</x:v>
      </x:c>
      <x:c r="O385" s="9" t="str">
        <x:v>Mechanism, energy or propulsion supply, ammunition compatibility, effectiveness and operating limits remain open</x:v>
      </x:c>
      <x:c r="P385" s="17"/>
      <x:c r="Q385" s="17"/>
      <x:c r="R385" s="17"/>
      <x:c r="S385" s="17"/>
      <x:c r="T385" s="17"/>
      <x:c r="U385" s="9" t="str">
        <x:v>No reverse-engineered variant, recipe, manufacturing tier, specification or combat statistic established.</x:v>
      </x:c>
      <x:c r="V385" s="11" t="str">
        <x:v>laser gun; blaster; ancient machine weapon</x:v>
      </x:c>
      <x:c r="W385" s="9" t="str">
        <x:v>Direct author direction, October 14, 2026; Docs/WORLD_BASIS.md#ancient-weapons-and-reverse-engineered-machinery</x:v>
      </x:c>
      <x:c r="X385" s="4" t="str">
        <x:v>Weapon</x:v>
      </x:c>
      <x:c r="Y385" s="4" t="str">
        <x:v>Finished item</x:v>
      </x:c>
      <x:c r="Z385" s="4" t="str">
        <x:v>Ancient technology</x:v>
      </x:c>
      <x:c r="AA385" s="4" t="str">
        <x:v>Offensive combat</x:v>
      </x:c>
      <x:c r="AB385" s="4" t="str">
        <x:v>Mixed / unresolved</x:v>
      </x:c>
      <x:c r="AC385" s="4" t="str">
        <x:v>Assembly</x:v>
      </x:c>
      <x:c r="AD385" s="4" t="str">
        <x:v>Author direction</x:v>
      </x:c>
      <x:c r="AE385" s="4" t="str">
        <x:f>LOWER(A385&amp;"; "&amp;B385&amp;"; "&amp;D385&amp;"; "&amp;E385&amp;"; "&amp;X385&amp;"; "&amp;Y385&amp;"; "&amp;Z385&amp;"; "&amp;AA385&amp;"; "&amp;AB385&amp;"; "&amp;AC385&amp;"; "&amp;AD385&amp;"; "&amp;V385&amp;"; "&amp;C385&amp;"; "&amp;AH385&amp;"; "&amp;AI385)</x:f>
        <x:v>author.ancient.laser_blaster; laser blaster; weapons; energy ranged weapon; weapon; finished item; ancient technology; offensive combat; mixed / unresolved; assembly; author direction; laser gun; blaster; ancient machine weapon; not applicable; unassigned; finished item</x:v>
      </x:c>
      <x:c r="AF385" s="4" t="str">
        <x:v>Ancient machine-tech family is author direction. Reverse-engineered examples exist in the broader technology tradition; specific reproducible families remain open.</x:v>
      </x:c>
      <x:c r="AG385" s="4" t="str">
        <x:v>Finished endpoint; material tier is not applicable. Input tiers belong to the chosen recipe.</x:v>
      </x:c>
      <x:c r="AH385" s="4" t="str">
        <x:v>Unassigned</x:v>
      </x:c>
      <x:c r="AI385" s="4" t="str">
        <x:v>Finished item</x:v>
      </x:c>
      <x:c r="AJ385" s="4" t="n">
        <x:f>COUNTIFS('Material routes'!$D$6:$D$2205,A385,'Material routes'!$C$6:$C$2205,"Output")</x:f>
        <x:v>0</x:v>
      </x:c>
      <x:c r="AK385" s="4" t="n">
        <x:f>SUM(COUNTIFS('Material routes'!$D$6:$D$2205,A385,'Material routes'!$C$6:$C$2205,"Ingredient candidate"),COUNTIFS('Material routes'!$D$6:$D$2205,A385,'Material routes'!$C$6:$C$2205,"Consumed input"),COUNTIFS('Material routes'!$D$6:$D$2205,A385,'Material routes'!$C$6:$C$2205,"Contained input"),COUNTIFS('Material routes'!$D$6:$D$2205,A385,'Material routes'!$C$6:$C$2205,"Transform input"))</x:f>
        <x:v>0</x:v>
      </x:c>
      <x:c r="AL385" s="4" t="n">
        <x:f>COUNTIFS('Material routes'!$D$6:$D$2205,A385,'Material routes'!$C$6:$C$2205,"Tool candidate")</x:f>
        <x:v>0</x:v>
      </x:c>
      <x:c r="AM385" s="4" t="str">
        <x:f>IF(AJ385&gt;0,"Route listed; review status/completeness",IF(C385="T0","Raw entry feed; no production route","No production route listed"))</x:f>
        <x:v>No production route listed</x:v>
      </x:c>
      <x:c r="AN385" s="14" t="n">
        <x:f>IF(C385="T0",0,IF(C385="T1",1,IF(C385="T2",2,IF(C385="T3",3,IF(C385="T4",4,IF(C385="Unassigned",98,99))))))</x:f>
        <x:v>99</x:v>
      </x:c>
      <x:c r="AZ385"/>
      <x:c r="BA385"/>
      <x:c r="BB385"/>
      <x:c r="BC385"/>
      <x:c r="BD385"/>
      <x:c r="BE385"/>
      <x:c r="BF385"/>
      <x:c r="BG385"/>
      <x:c r="BH385"/>
      <x:c r="BI385"/>
      <x:c r="BJ385"/>
      <x:c r="BK385"/>
      <x:c r="BL385"/>
      <x:c r="BM385"/>
      <x:c r="BN385"/>
      <x:c r="BO385"/>
      <x:c r="BP385"/>
      <x:c r="BQ385"/>
      <x:c r="BR385"/>
      <x:c r="BS385"/>
      <x:c r="BT385"/>
      <x:c r="BU385"/>
      <x:c r="BV385"/>
      <x:c r="BW385"/>
      <x:c r="BX385"/>
      <x:c r="BY385"/>
      <x:c r="BZ385"/>
      <x:c r="CA385"/>
      <x:c r="CB385"/>
      <x:c r="CC385"/>
    </x:row>
    <x:row r="386" ht="115" customHeight="1">
      <x:c r="A386" s="9" t="str">
        <x:v>author.ancient.rocket</x:v>
      </x:c>
      <x:c r="B386" s="9" t="str">
        <x:v>Rocket</x:v>
      </x:c>
      <x:c r="C386" s="4" t="str">
        <x:v>Not applicable</x:v>
      </x:c>
      <x:c r="D386" s="9" t="inlineStr">
        <x:is>
          <x:t xml:space="preserve">Ammunition</x:t>
        </x:is>
      </x:c>
      <x:c r="E386" s="9" t="str">
        <x:v>Rocket ammunition</x:v>
      </x:c>
      <x:c r="F386" s="9" t="str">
        <x:v>Author-directed concept</x:v>
      </x:c>
      <x:c r="G386" s="9" t="inlineStr">
        <x:is>
          <x:t xml:space="preserve">Ancient rocket projectile/ammunition family. It is intended for the recorded weapon role and compatible ammunition or energy feed. Damage, range, handling and operating requirements remain unassigned.</x:t>
        </x:is>
      </x:c>
      <x:c r="H386" s="9" t="str">
        <x:v>Unresolved</x:v>
      </x:c>
      <x:c r="I386" s="9" t="str">
        <x:v>Carriage, mounting and compatible equipment unresolved</x:v>
      </x:c>
      <x:c r="J386" s="13"/>
      <x:c r="K386" s="15"/>
      <x:c r="L386" s="9" t="str">
        <x:v>Ancient machine technology; recovery and access unresolved</x:v>
      </x:c>
      <x:c r="M386" s="9" t="str">
        <x:v>Some machine technology is reverse engineered into crude Iron Age machinery. Which of these families has a working reproduction remains unassigned.</x:v>
      </x:c>
      <x:c r="N386" s="9" t="str">
        <x:v>Lore item family; not implemented</x:v>
      </x:c>
      <x:c r="O386" s="9" t="str">
        <x:v>Mechanism, energy or propulsion supply, ammunition compatibility, effectiveness and operating limits remain open</x:v>
      </x:c>
      <x:c r="P386" s="17"/>
      <x:c r="Q386" s="17"/>
      <x:c r="R386" s="17"/>
      <x:c r="S386" s="17"/>
      <x:c r="T386" s="17"/>
      <x:c r="U386" s="9" t="str">
        <x:v>No reverse-engineered variant, recipe, manufacturing tier, specification or combat statistic established.</x:v>
      </x:c>
      <x:c r="V386" s="11" t="str">
        <x:v>rocket; projectile; ancient machine ammunition</x:v>
      </x:c>
      <x:c r="W386" s="9" t="str">
        <x:v>Direct author direction, October 14, 2026; Docs/WORLD_BASIS.md#ancient-weapons-and-reverse-engineered-machinery</x:v>
      </x:c>
      <x:c r="X386" s="4" t="str">
        <x:v>Ammunition</x:v>
      </x:c>
      <x:c r="Y386" s="4" t="str">
        <x:v>Finished item</x:v>
      </x:c>
      <x:c r="Z386" s="4" t="str">
        <x:v>Ancient technology</x:v>
      </x:c>
      <x:c r="AA386" s="4" t="str">
        <x:v>Offensive combat</x:v>
      </x:c>
      <x:c r="AB386" s="4" t="str">
        <x:v>Mixed / unresolved</x:v>
      </x:c>
      <x:c r="AC386" s="4" t="str">
        <x:v>Assembly</x:v>
      </x:c>
      <x:c r="AD386" s="4" t="str">
        <x:v>Author direction</x:v>
      </x:c>
      <x:c r="AE386" s="4" t="str">
        <x:f>LOWER(A386&amp;"; "&amp;B386&amp;"; "&amp;D386&amp;"; "&amp;E386&amp;"; "&amp;X386&amp;"; "&amp;Y386&amp;"; "&amp;Z386&amp;"; "&amp;AA386&amp;"; "&amp;AB386&amp;"; "&amp;AC386&amp;"; "&amp;AD386&amp;"; "&amp;V386&amp;"; "&amp;C386&amp;"; "&amp;AH386&amp;"; "&amp;AI386)</x:f>
        <x:v>author.ancient.rocket; rocket; ammunition; rocket ammunition; ammunition; finished item; ancient technology; offensive combat; mixed / unresolved; assembly; author direction; rocket; projectile; ancient machine ammunition; not applicable; unassigned; finished item</x:v>
      </x:c>
      <x:c r="AF386" s="4" t="inlineStr">
        <x:is>
          <x:t xml:space="preserve">Ancient machine-tech family is author direction. Reverse-engineered examples exist in the broader technology tradition; specific reproducible families remain open.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386" s="4" t="str">
        <x:v>Finished endpoint; material tier is not applicable. Input tiers belong to the chosen recipe.</x:v>
      </x:c>
      <x:c r="AH386" s="4" t="str">
        <x:v>Unassigned</x:v>
      </x:c>
      <x:c r="AI386" s="4" t="str">
        <x:v>Finished item</x:v>
      </x:c>
      <x:c r="AJ386" s="4" t="n">
        <x:f>COUNTIFS('Material routes'!$D$6:$D$2205,A386,'Material routes'!$C$6:$C$2205,"Output")</x:f>
        <x:v>0</x:v>
      </x:c>
      <x:c r="AK386" s="4" t="n">
        <x:f>SUM(COUNTIFS('Material routes'!$D$6:$D$2205,A386,'Material routes'!$C$6:$C$2205,"Ingredient candidate"),COUNTIFS('Material routes'!$D$6:$D$2205,A386,'Material routes'!$C$6:$C$2205,"Consumed input"),COUNTIFS('Material routes'!$D$6:$D$2205,A386,'Material routes'!$C$6:$C$2205,"Contained input"),COUNTIFS('Material routes'!$D$6:$D$2205,A386,'Material routes'!$C$6:$C$2205,"Transform input"))</x:f>
        <x:v>0</x:v>
      </x:c>
      <x:c r="AL386" s="4" t="n">
        <x:f>COUNTIFS('Material routes'!$D$6:$D$2205,A386,'Material routes'!$C$6:$C$2205,"Tool candidate")</x:f>
        <x:v>0</x:v>
      </x:c>
      <x:c r="AM386" s="4" t="str">
        <x:f>IF(AJ386&gt;0,"Route listed; review status/completeness",IF(C386="T0","Raw entry feed; no production route","No production route listed"))</x:f>
        <x:v>No production route listed</x:v>
      </x:c>
      <x:c r="AN386" s="14" t="n">
        <x:f>IF(C386="T0",0,IF(C386="T1",1,IF(C386="T2",2,IF(C386="T3",3,IF(C386="T4",4,IF(C386="Unassigned",98,99))))))</x:f>
        <x:v>99</x:v>
      </x:c>
      <x:c r="AZ386"/>
      <x:c r="BA386"/>
      <x:c r="BB386"/>
      <x:c r="BC386"/>
      <x:c r="BD386"/>
      <x:c r="BE386"/>
      <x:c r="BF386"/>
      <x:c r="BG386"/>
      <x:c r="BH386"/>
      <x:c r="BI386"/>
      <x:c r="BJ386"/>
      <x:c r="BK386"/>
      <x:c r="BL386"/>
      <x:c r="BM386"/>
      <x:c r="BN386"/>
      <x:c r="BO386"/>
      <x:c r="BP386"/>
      <x:c r="BQ386"/>
      <x:c r="BR386"/>
      <x:c r="BS386"/>
      <x:c r="BT386"/>
      <x:c r="BU386"/>
      <x:c r="BV386"/>
      <x:c r="BW386"/>
      <x:c r="BX386"/>
      <x:c r="BY386"/>
      <x:c r="BZ386"/>
      <x:c r="CA386"/>
      <x:c r="CB386"/>
      <x:c r="CC386"/>
    </x:row>
    <x:row r="387" ht="115" customHeight="1">
      <x:c r="A387" s="9" t="str">
        <x:v>author.ancient.rocket_launcher</x:v>
      </x:c>
      <x:c r="B387" s="9" t="str">
        <x:v>Rocket launcher</x:v>
      </x:c>
      <x:c r="C387" s="4" t="str">
        <x:v>Not applicable</x:v>
      </x:c>
      <x:c r="D387" s="9" t="str">
        <x:v>Weapons</x:v>
      </x:c>
      <x:c r="E387" s="9" t="str">
        <x:v>Rocket-launching weapon</x:v>
      </x:c>
      <x:c r="F387" s="9" t="str">
        <x:v>Author-directed concept</x:v>
      </x:c>
      <x:c r="G387" s="9" t="inlineStr">
        <x:is>
          <x:t xml:space="preserve">Ancient rocket-launcher weapon family. It is intended for the recorded weapon role and compatible ammunition or energy feed. Damage, range, handling and operating requirements remain unassigned.</x:t>
        </x:is>
      </x:c>
      <x:c r="H387" s="9" t="str">
        <x:v>Unresolved</x:v>
      </x:c>
      <x:c r="I387" s="9" t="str">
        <x:v>Carriage, mounting and compatible equipment unresolved</x:v>
      </x:c>
      <x:c r="J387" s="13"/>
      <x:c r="K387" s="15"/>
      <x:c r="L387" s="9" t="str">
        <x:v>Ancient machine technology; recovery and access unresolved</x:v>
      </x:c>
      <x:c r="M387" s="9" t="str">
        <x:v>Some machine technology is reverse engineered into crude Iron Age machinery. Which of these families has a working reproduction remains unassigned.</x:v>
      </x:c>
      <x:c r="N387" s="9" t="str">
        <x:v>Lore item family; not implemented</x:v>
      </x:c>
      <x:c r="O387" s="9" t="str">
        <x:v>Mechanism, energy or propulsion supply, ammunition compatibility, effectiveness and operating limits remain open</x:v>
      </x:c>
      <x:c r="P387" s="17"/>
      <x:c r="Q387" s="17"/>
      <x:c r="R387" s="17"/>
      <x:c r="S387" s="17"/>
      <x:c r="T387" s="17"/>
      <x:c r="U387" s="9" t="str">
        <x:v>No reverse-engineered variant, recipe, manufacturing tier, specification or combat statistic established.</x:v>
      </x:c>
      <x:c r="V387" s="11" t="str">
        <x:v>rocket launcher; launcher; ancient machine weapon</x:v>
      </x:c>
      <x:c r="W387" s="9" t="str">
        <x:v>Direct author direction, October 14, 2026; Docs/WORLD_BASIS.md#ancient-weapons-and-reverse-engineered-machinery</x:v>
      </x:c>
      <x:c r="X387" s="4" t="str">
        <x:v>Weapon</x:v>
      </x:c>
      <x:c r="Y387" s="4" t="str">
        <x:v>Finished item</x:v>
      </x:c>
      <x:c r="Z387" s="4" t="str">
        <x:v>Ancient technology</x:v>
      </x:c>
      <x:c r="AA387" s="4" t="str">
        <x:v>Offensive combat</x:v>
      </x:c>
      <x:c r="AB387" s="4" t="str">
        <x:v>Mixed / unresolved</x:v>
      </x:c>
      <x:c r="AC387" s="4" t="str">
        <x:v>Assembly</x:v>
      </x:c>
      <x:c r="AD387" s="4" t="str">
        <x:v>Author direction</x:v>
      </x:c>
      <x:c r="AE387" s="4" t="str">
        <x:f>LOWER(A387&amp;"; "&amp;B387&amp;"; "&amp;D387&amp;"; "&amp;E387&amp;"; "&amp;X387&amp;"; "&amp;Y387&amp;"; "&amp;Z387&amp;"; "&amp;AA387&amp;"; "&amp;AB387&amp;"; "&amp;AC387&amp;"; "&amp;AD387&amp;"; "&amp;V387&amp;"; "&amp;C387&amp;"; "&amp;AH387&amp;"; "&amp;AI387)</x:f>
        <x:v>author.ancient.rocket_launcher; rocket launcher; weapons; rocket-launching weapon; weapon; finished item; ancient technology; offensive combat; mixed / unresolved; assembly; author direction; rocket launcher; launcher; ancient machine weapon; not applicable; unassigned; finished item</x:v>
      </x:c>
      <x:c r="AF387" s="4" t="str">
        <x:v>Ancient machine-tech family is author direction. Reverse-engineered examples exist in the broader technology tradition; specific reproducible families remain open.</x:v>
      </x:c>
      <x:c r="AG387" s="4" t="str">
        <x:v>Finished endpoint; material tier is not applicable. Input tiers belong to the chosen recipe.</x:v>
      </x:c>
      <x:c r="AH387" s="4" t="str">
        <x:v>Unassigned</x:v>
      </x:c>
      <x:c r="AI387" s="4" t="str">
        <x:v>Finished item</x:v>
      </x:c>
      <x:c r="AJ387" s="4" t="n">
        <x:f>COUNTIFS('Material routes'!$D$6:$D$2205,A387,'Material routes'!$C$6:$C$2205,"Output")</x:f>
        <x:v>0</x:v>
      </x:c>
      <x:c r="AK387" s="4" t="n">
        <x:f>SUM(COUNTIFS('Material routes'!$D$6:$D$2205,A387,'Material routes'!$C$6:$C$2205,"Ingredient candidate"),COUNTIFS('Material routes'!$D$6:$D$2205,A387,'Material routes'!$C$6:$C$2205,"Consumed input"),COUNTIFS('Material routes'!$D$6:$D$2205,A387,'Material routes'!$C$6:$C$2205,"Contained input"),COUNTIFS('Material routes'!$D$6:$D$2205,A387,'Material routes'!$C$6:$C$2205,"Transform input"))</x:f>
        <x:v>0</x:v>
      </x:c>
      <x:c r="AL387" s="4" t="n">
        <x:f>COUNTIFS('Material routes'!$D$6:$D$2205,A387,'Material routes'!$C$6:$C$2205,"Tool candidate")</x:f>
        <x:v>0</x:v>
      </x:c>
      <x:c r="AM387" s="4" t="str">
        <x:f>IF(AJ387&gt;0,"Route listed; review status/completeness",IF(C387="T0","Raw entry feed; no production route","No production route listed"))</x:f>
        <x:v>No production route listed</x:v>
      </x:c>
      <x:c r="AN387" s="14" t="n">
        <x:f>IF(C387="T0",0,IF(C387="T1",1,IF(C387="T2",2,IF(C387="T3",3,IF(C387="T4",4,IF(C387="Unassigned",98,99))))))</x:f>
        <x:v>99</x:v>
      </x:c>
      <x:c r="AZ387"/>
      <x:c r="BA387"/>
      <x:c r="BB387"/>
      <x:c r="BC387"/>
      <x:c r="BD387"/>
      <x:c r="BE387"/>
      <x:c r="BF387"/>
      <x:c r="BG387"/>
      <x:c r="BH387"/>
      <x:c r="BI387"/>
      <x:c r="BJ387"/>
      <x:c r="BK387"/>
      <x:c r="BL387"/>
      <x:c r="BM387"/>
      <x:c r="BN387"/>
      <x:c r="BO387"/>
      <x:c r="BP387"/>
      <x:c r="BQ387"/>
      <x:c r="BR387"/>
      <x:c r="BS387"/>
      <x:c r="BT387"/>
      <x:c r="BU387"/>
      <x:c r="BV387"/>
      <x:c r="BW387"/>
      <x:c r="BX387"/>
      <x:c r="BY387"/>
      <x:c r="BZ387"/>
      <x:c r="CA387"/>
      <x:c r="CB387"/>
      <x:c r="CC387"/>
    </x:row>
    <x:row r="388" ht="115" customHeight="1">
      <x:c r="A388" s="9"/>
      <x:c r="B388" s="9"/>
      <x:c r="C388" s="4"/>
      <x:c r="D388" s="9"/>
      <x:c r="E388" s="9"/>
      <x:c r="F388" s="9"/>
      <x:c r="G388" s="9"/>
      <x:c r="H388" s="9"/>
      <x:c r="I388" s="9"/>
      <x:c r="J388" s="13"/>
      <x:c r="K388" s="15"/>
      <x:c r="L388" s="9"/>
      <x:c r="M388" s="9"/>
      <x:c r="N388" s="9"/>
      <x:c r="O388" s="9"/>
      <x:c r="P388" s="17"/>
      <x:c r="Q388" s="17"/>
      <x:c r="R388" s="17"/>
      <x:c r="S388" s="17"/>
      <x:c r="T388" s="17"/>
      <x:c r="U388" s="9"/>
      <x:c r="V388" s="11"/>
      <x:c r="W388" s="9"/>
      <x:c r="X388" s="4"/>
      <x:c r="Y388" s="4"/>
      <x:c r="Z388" s="4"/>
      <x:c r="AA388" s="4"/>
      <x:c r="AB388" s="4"/>
      <x:c r="AC388" s="4"/>
      <x:c r="AD388" s="4"/>
      <x:c r="AE388" s="4"/>
      <x:c r="AF388" s="4"/>
      <x:c r="AG388" s="4"/>
      <x:c r="AH388" s="4"/>
      <x:c r="AI388" s="4"/>
      <x:c r="AJ388" s="4"/>
      <x:c r="AK388" s="4"/>
      <x:c r="AL388" s="4"/>
      <x:c r="AM388" s="4"/>
      <x:c r="AN388" s="14"/>
      <x:c r="AZ388"/>
      <x:c r="BA388"/>
      <x:c r="BB388"/>
      <x:c r="BC388"/>
      <x:c r="BD388"/>
      <x:c r="BE388"/>
      <x:c r="BF388"/>
      <x:c r="BG388"/>
      <x:c r="BH388"/>
      <x:c r="BI388"/>
      <x:c r="BJ388"/>
      <x:c r="BK388"/>
      <x:c r="BL388"/>
      <x:c r="BM388"/>
      <x:c r="BN388"/>
      <x:c r="BO388"/>
      <x:c r="BP388"/>
      <x:c r="BQ388"/>
      <x:c r="BR388"/>
      <x:c r="BS388"/>
      <x:c r="BT388"/>
      <x:c r="BU388"/>
      <x:c r="BV388"/>
      <x:c r="BW388"/>
      <x:c r="BX388"/>
      <x:c r="BY388"/>
      <x:c r="BZ388"/>
      <x:c r="CA388"/>
      <x:c r="CB388"/>
      <x:c r="CC388"/>
    </x:row>
    <x:row r="389" ht="115" customHeight="1">
      <x:c r="A389" s="9" t="str">
        <x:v>author.electrical.magnetic_inhibitor</x:v>
      </x:c>
      <x:c r="B389" s="9" t="str">
        <x:v>Magnetic field inhibitor</x:v>
      </x:c>
      <x:c r="C389" s="4" t="str">
        <x:v>Not applicable</x:v>
      </x:c>
      <x:c r="D389" s="9" t="inlineStr">
        <x:is>
          <x:t xml:space="preserve">Tools</x:t>
        </x:is>
      </x:c>
      <x:c r="E389" s="9" t="str">
        <x:v>Magnetic field-control device</x:v>
      </x:c>
      <x:c r="F389" s="9" t="str">
        <x:v>Author-directed concept</x:v>
      </x:c>
      <x:c r="G389" s="9" t="inlineStr">
        <x:is>
          <x:t xml:space="preserve">Inhibit a magnetic field; distinction from disruption remains a design question. It belongs to the proposed field-control equipment family; mechanism, affected targets, power supply and useful field behavior remain unresolved.</x:t>
        </x:is>
      </x:c>
      <x:c r="H389" s="9" t="str">
        <x:v>Unresolved</x:v>
      </x:c>
      <x:c r="I389" s="9" t="str">
        <x:v>Carriage, mounting or fit unresolved</x:v>
      </x:c>
      <x:c r="J389" s="13"/>
      <x:c r="K389" s="15"/>
      <x:c r="L389" s="9" t="str">
        <x:v>Ancient, reverse-engineered or contemporary origin not yet assigned</x:v>
      </x:c>
      <x:c r="M389" s="9" t="str">
        <x:v>Inputs, process, energy supply and construction unresolved</x:v>
      </x:c>
      <x:c r="N389" s="9" t="str">
        <x:v>Lore/design item family; not implemented</x:v>
      </x:c>
      <x:c r="O389" s="9" t="str">
        <x:v>Field strength, range, coupling, power, targets and operating limits unresolved</x:v>
      </x:c>
      <x:c r="P389" s="17"/>
      <x:c r="Q389" s="17"/>
      <x:c r="R389" s="17"/>
      <x:c r="S389" s="17"/>
      <x:c r="T389" s="17"/>
      <x:c r="U389" s="9" t="str">
        <x:v>Specific effects, stats, rarity, crafting tiers and recipes remain undefined. Disruptor/inhibitor distinction remains open where applicable.</x:v>
      </x:c>
      <x:c r="V389" s="11" t="str">
        <x:v>magnetic inhibitor; magnetic suppression</x:v>
      </x:c>
      <x:c r="W389" s="9" t="str">
        <x:v>Direct author direction, October 14, 2026; Docs/WORLD_BASIS.md#field-control-and-electrical-protection</x:v>
      </x:c>
      <x:c r="X389" s="4" t="str">
        <x:v>Tool</x:v>
      </x:c>
      <x:c r="Y389" s="4" t="str">
        <x:v>Finished item</x:v>
      </x:c>
      <x:c r="Z389" s="4" t="str">
        <x:v>Manufactured / unresolved</x:v>
      </x:c>
      <x:c r="AA389" s="4" t="str">
        <x:v>Magnetic field control</x:v>
      </x:c>
      <x:c r="AB389" s="4" t="str">
        <x:v>Mixed / unresolved</x:v>
      </x:c>
      <x:c r="AC389" s="4" t="str">
        <x:v>Assembly</x:v>
      </x:c>
      <x:c r="AD389" s="4" t="str">
        <x:v>Author direction</x:v>
      </x:c>
      <x:c r="AE389" s="4" t="str">
        <x:f>LOWER(A389&amp;"; "&amp;B389&amp;"; "&amp;D389&amp;"; "&amp;E389&amp;"; "&amp;X389&amp;"; "&amp;Y389&amp;"; "&amp;Z389&amp;"; "&amp;AA389&amp;"; "&amp;AB389&amp;"; "&amp;AC389&amp;"; "&amp;AD389&amp;"; "&amp;V389&amp;"; "&amp;C389&amp;"; "&amp;AH389&amp;"; "&amp;AI389)</x:f>
        <x:v>author.electrical.magnetic_inhibitor; magnetic field inhibitor; tools; magnetic field-control device; tool; finished item; manufactured / unresolved; magnetic field control; mixed / unresolved; assembly; author direction; magnetic inhibitor; magnetic suppression; not applicable; unassigned; finished item</x:v>
      </x:c>
      <x:c r="AF389"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89" s="4" t="str">
        <x:v>Finished endpoint; material tier is not applicable. Input tiers belong to the chosen recipe.</x:v>
      </x:c>
      <x:c r="AH389" s="4" t="str">
        <x:v>Unassigned</x:v>
      </x:c>
      <x:c r="AI389" s="4" t="str">
        <x:v>Finished item</x:v>
      </x:c>
      <x:c r="AJ389" s="4" t="n">
        <x:f>COUNTIFS('Material routes'!$D$6:$D$2205,A389,'Material routes'!$C$6:$C$2205,"Output")</x:f>
        <x:v>1</x:v>
      </x:c>
      <x:c r="AK389" s="4" t="n">
        <x:f>SUM(COUNTIFS('Material routes'!$D$6:$D$2205,A389,'Material routes'!$C$6:$C$2205,"Ingredient candidate"),COUNTIFS('Material routes'!$D$6:$D$2205,A389,'Material routes'!$C$6:$C$2205,"Consumed input"),COUNTIFS('Material routes'!$D$6:$D$2205,A389,'Material routes'!$C$6:$C$2205,"Contained input"),COUNTIFS('Material routes'!$D$6:$D$2205,A389,'Material routes'!$C$6:$C$2205,"Transform input"))</x:f>
        <x:v>0</x:v>
      </x:c>
      <x:c r="AL389" s="4" t="n">
        <x:f>COUNTIFS('Material routes'!$D$6:$D$2205,A389,'Material routes'!$C$6:$C$2205,"Tool candidate")</x:f>
        <x:v>0</x:v>
      </x:c>
      <x:c r="AM389" s="4" t="str">
        <x:f>IF(AJ389&gt;0,"Route listed; review status/completeness",IF(C389="T0","Raw entry feed; no production route","No production route listed"))</x:f>
        <x:v>Route listed; review status/completeness</x:v>
      </x:c>
      <x:c r="AN389" s="14" t="n">
        <x:f>IF(C389="T0",0,IF(C389="T1",1,IF(C389="T2",2,IF(C389="T3",3,IF(C389="T4",4,IF(C389="Unassigned",98,99))))))</x:f>
        <x:v>99</x:v>
      </x:c>
      <x:c r="AZ389"/>
      <x:c r="BA389"/>
      <x:c r="BB389"/>
      <x:c r="BC389"/>
      <x:c r="BD389"/>
      <x:c r="BE389"/>
      <x:c r="BF389"/>
      <x:c r="BG389"/>
      <x:c r="BH389"/>
      <x:c r="BI389"/>
      <x:c r="BJ389"/>
      <x:c r="BK389"/>
      <x:c r="BL389"/>
      <x:c r="BM389"/>
      <x:c r="BN389"/>
      <x:c r="BO389"/>
      <x:c r="BP389"/>
      <x:c r="BQ389"/>
      <x:c r="BR389"/>
      <x:c r="BS389"/>
      <x:c r="BT389"/>
      <x:c r="BU389"/>
      <x:c r="BV389"/>
      <x:c r="BW389"/>
      <x:c r="BX389"/>
      <x:c r="BY389"/>
      <x:c r="BZ389"/>
      <x:c r="CA389"/>
      <x:c r="CB389"/>
      <x:c r="CC389"/>
    </x:row>
    <x:row r="390" ht="115" customHeight="1">
      <x:c r="A390" s="9" t="str">
        <x:v>author.electrical.magnetic_enhancer</x:v>
      </x:c>
      <x:c r="B390" s="9" t="str">
        <x:v>Magnetic field enhancer</x:v>
      </x:c>
      <x:c r="C390" s="4" t="str">
        <x:v>Not applicable</x:v>
      </x:c>
      <x:c r="D390" s="9" t="inlineStr">
        <x:is>
          <x:t xml:space="preserve">Tools</x:t>
        </x:is>
      </x:c>
      <x:c r="E390" s="9" t="str">
        <x:v>Magnetic field-control device</x:v>
      </x:c>
      <x:c r="F390" s="9" t="str">
        <x:v>Author-directed concept</x:v>
      </x:c>
      <x:c r="G390" s="9" t="inlineStr">
        <x:is>
          <x:t xml:space="preserve">Enhance a magnetic field; source, extent and useful applications unresolved. It belongs to the proposed field-control equipment family; mechanism, affected targets, power supply and useful field behavior remain unresolved.</x:t>
        </x:is>
      </x:c>
      <x:c r="H390" s="9" t="str">
        <x:v>Unresolved</x:v>
      </x:c>
      <x:c r="I390" s="9" t="str">
        <x:v>Carriage, mounting or fit unresolved</x:v>
      </x:c>
      <x:c r="J390" s="13"/>
      <x:c r="K390" s="15"/>
      <x:c r="L390" s="9" t="str">
        <x:v>Ancient, reverse-engineered or contemporary origin not yet assigned</x:v>
      </x:c>
      <x:c r="M390" s="9" t="str">
        <x:v>Inputs, process, energy supply and construction unresolved</x:v>
      </x:c>
      <x:c r="N390" s="9" t="str">
        <x:v>Lore/design item family; not implemented</x:v>
      </x:c>
      <x:c r="O390" s="9" t="str">
        <x:v>Field strength, range, coupling, power, targets and operating limits unresolved</x:v>
      </x:c>
      <x:c r="P390" s="17"/>
      <x:c r="Q390" s="17"/>
      <x:c r="R390" s="17"/>
      <x:c r="S390" s="17"/>
      <x:c r="T390" s="17"/>
      <x:c r="U390" s="9" t="str">
        <x:v>Specific effects, stats, rarity, crafting tiers and recipes remain undefined. Disruptor/inhibitor distinction remains open where applicable.</x:v>
      </x:c>
      <x:c r="V390" s="11" t="str">
        <x:v>magnetic enhancer; field amplification</x:v>
      </x:c>
      <x:c r="W390" s="9" t="str">
        <x:v>Direct author direction, October 14, 2026; Docs/WORLD_BASIS.md#field-control-and-electrical-protection</x:v>
      </x:c>
      <x:c r="X390" s="4" t="str">
        <x:v>Tool</x:v>
      </x:c>
      <x:c r="Y390" s="4" t="str">
        <x:v>Finished item</x:v>
      </x:c>
      <x:c r="Z390" s="4" t="str">
        <x:v>Manufactured / unresolved</x:v>
      </x:c>
      <x:c r="AA390" s="4" t="str">
        <x:v>Magnetic field control</x:v>
      </x:c>
      <x:c r="AB390" s="4" t="str">
        <x:v>Mixed / unresolved</x:v>
      </x:c>
      <x:c r="AC390" s="4" t="str">
        <x:v>Assembly</x:v>
      </x:c>
      <x:c r="AD390" s="4" t="str">
        <x:v>Author direction</x:v>
      </x:c>
      <x:c r="AE390" s="4" t="str">
        <x:f>LOWER(A390&amp;"; "&amp;B390&amp;"; "&amp;D390&amp;"; "&amp;E390&amp;"; "&amp;X390&amp;"; "&amp;Y390&amp;"; "&amp;Z390&amp;"; "&amp;AA390&amp;"; "&amp;AB390&amp;"; "&amp;AC390&amp;"; "&amp;AD390&amp;"; "&amp;V390&amp;"; "&amp;C390&amp;"; "&amp;AH390&amp;"; "&amp;AI390)</x:f>
        <x:v>author.electrical.magnetic_enhancer; magnetic field enhancer; tools; magnetic field-control device; tool; finished item; manufactured / unresolved; magnetic field control; mixed / unresolved; assembly; author direction; magnetic enhancer; field amplification; not applicable; unassigned; finished item</x:v>
      </x:c>
      <x:c r="AF390"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0" s="4" t="str">
        <x:v>Finished endpoint; material tier is not applicable. Input tiers belong to the chosen recipe.</x:v>
      </x:c>
      <x:c r="AH390" s="4" t="str">
        <x:v>Unassigned</x:v>
      </x:c>
      <x:c r="AI390" s="4" t="str">
        <x:v>Finished item</x:v>
      </x:c>
      <x:c r="AJ390" s="4" t="n">
        <x:f>COUNTIFS('Material routes'!$D$6:$D$2205,A390,'Material routes'!$C$6:$C$2205,"Output")</x:f>
        <x:v>1</x:v>
      </x:c>
      <x:c r="AK390" s="4" t="n">
        <x:f>SUM(COUNTIFS('Material routes'!$D$6:$D$2205,A390,'Material routes'!$C$6:$C$2205,"Ingredient candidate"),COUNTIFS('Material routes'!$D$6:$D$2205,A390,'Material routes'!$C$6:$C$2205,"Consumed input"),COUNTIFS('Material routes'!$D$6:$D$2205,A390,'Material routes'!$C$6:$C$2205,"Contained input"),COUNTIFS('Material routes'!$D$6:$D$2205,A390,'Material routes'!$C$6:$C$2205,"Transform input"))</x:f>
        <x:v>0</x:v>
      </x:c>
      <x:c r="AL390" s="4" t="n">
        <x:f>COUNTIFS('Material routes'!$D$6:$D$2205,A390,'Material routes'!$C$6:$C$2205,"Tool candidate")</x:f>
        <x:v>0</x:v>
      </x:c>
      <x:c r="AM390" s="4" t="str">
        <x:f>IF(AJ390&gt;0,"Route listed; review status/completeness",IF(C390="T0","Raw entry feed; no production route","No production route listed"))</x:f>
        <x:v>Route listed; review status/completeness</x:v>
      </x:c>
      <x:c r="AN390" s="14" t="n">
        <x:f>IF(C390="T0",0,IF(C390="T1",1,IF(C390="T2",2,IF(C390="T3",3,IF(C390="T4",4,IF(C390="Unassigned",98,99))))))</x:f>
        <x:v>99</x:v>
      </x:c>
      <x:c r="AZ390"/>
      <x:c r="BA390"/>
      <x:c r="BB390"/>
      <x:c r="BC390"/>
      <x:c r="BD390"/>
      <x:c r="BE390"/>
      <x:c r="BF390"/>
      <x:c r="BG390"/>
      <x:c r="BH390"/>
      <x:c r="BI390"/>
      <x:c r="BJ390"/>
      <x:c r="BK390"/>
      <x:c r="BL390"/>
      <x:c r="BM390"/>
      <x:c r="BN390"/>
      <x:c r="BO390"/>
      <x:c r="BP390"/>
      <x:c r="BQ390"/>
      <x:c r="BR390"/>
      <x:c r="BS390"/>
      <x:c r="BT390"/>
      <x:c r="BU390"/>
      <x:c r="BV390"/>
      <x:c r="BW390"/>
      <x:c r="BX390"/>
      <x:c r="BY390"/>
      <x:c r="BZ390"/>
      <x:c r="CA390"/>
      <x:c r="CB390"/>
      <x:c r="CC390"/>
    </x:row>
    <x:row r="391" ht="115" customHeight="1">
      <x:c r="A391" s="9" t="str">
        <x:v>author.electrical.static_enhancer</x:v>
      </x:c>
      <x:c r="B391" s="9" t="str">
        <x:v>Static-electricity field enhancer</x:v>
      </x:c>
      <x:c r="C391" s="4" t="str">
        <x:v>Not applicable</x:v>
      </x:c>
      <x:c r="D391" s="9" t="inlineStr">
        <x:is>
          <x:t xml:space="preserve">Tools</x:t>
        </x:is>
      </x:c>
      <x:c r="E391" s="9" t="str">
        <x:v>Static field-control device</x:v>
      </x:c>
      <x:c r="F391" s="9" t="str">
        <x:v>Author-directed concept</x:v>
      </x:c>
      <x:c r="G391" s="9" t="inlineStr">
        <x:is>
          <x:t xml:space="preserve">Enhance a static-electricity field; operating mechanism unresolved. It is intended to manage static charge in a designed arrangement, with the charge path, power and atmospheric behavior still requiring qualification.</x:t>
        </x:is>
      </x:c>
      <x:c r="H391" s="9" t="str">
        <x:v>Unresolved</x:v>
      </x:c>
      <x:c r="I391" s="9" t="str">
        <x:v>Carriage, mounting or fit unresolved</x:v>
      </x:c>
      <x:c r="J391" s="13"/>
      <x:c r="K391" s="15"/>
      <x:c r="L391" s="9" t="str">
        <x:v>Ancient, reverse-engineered or contemporary origin not yet assigned</x:v>
      </x:c>
      <x:c r="M391" s="9" t="str">
        <x:v>Inputs, process, energy supply and construction unresolved</x:v>
      </x:c>
      <x:c r="N391" s="9" t="str">
        <x:v>Lore/design item family; not implemented</x:v>
      </x:c>
      <x:c r="O391" s="9" t="str">
        <x:v>Field strength, range, coupling, power, targets and operating limits unresolved</x:v>
      </x:c>
      <x:c r="P391" s="17"/>
      <x:c r="Q391" s="17"/>
      <x:c r="R391" s="17"/>
      <x:c r="S391" s="17"/>
      <x:c r="T391" s="17"/>
      <x:c r="U391" s="9" t="str">
        <x:v>Specific effects, stats, rarity, crafting tiers and recipes remain undefined. Disruptor/inhibitor distinction remains open where applicable.</x:v>
      </x:c>
      <x:c r="V391" s="11" t="str">
        <x:v>static field enhancer; electrostatic enhancer</x:v>
      </x:c>
      <x:c r="W391" s="9" t="str">
        <x:v>Direct author direction, October 14, 2026; Docs/WORLD_BASIS.md#field-control-and-electrical-protection</x:v>
      </x:c>
      <x:c r="X391" s="4" t="str">
        <x:v>Tool</x:v>
      </x:c>
      <x:c r="Y391" s="4" t="str">
        <x:v>Finished item</x:v>
      </x:c>
      <x:c r="Z391" s="4" t="str">
        <x:v>Manufactured / unresolved</x:v>
      </x:c>
      <x:c r="AA391" s="4" t="str">
        <x:v>Static management</x:v>
      </x:c>
      <x:c r="AB391" s="4" t="str">
        <x:v>Mixed / unresolved</x:v>
      </x:c>
      <x:c r="AC391" s="4" t="str">
        <x:v>Assembly</x:v>
      </x:c>
      <x:c r="AD391" s="4" t="str">
        <x:v>Author direction</x:v>
      </x:c>
      <x:c r="AE391" s="4" t="str">
        <x:f>LOWER(A391&amp;"; "&amp;B391&amp;"; "&amp;D391&amp;"; "&amp;E391&amp;"; "&amp;X391&amp;"; "&amp;Y391&amp;"; "&amp;Z391&amp;"; "&amp;AA391&amp;"; "&amp;AB391&amp;"; "&amp;AC391&amp;"; "&amp;AD391&amp;"; "&amp;V391&amp;"; "&amp;C391&amp;"; "&amp;AH391&amp;"; "&amp;AI391)</x:f>
        <x:v>author.electrical.static_enhancer; static-electricity field enhancer; tools; static field-control device; tool; finished item; manufactured / unresolved; static management; mixed / unresolved; assembly; author direction; static field enhancer; electrostatic enhancer; not applicable; unassigned; finished item</x:v>
      </x:c>
      <x:c r="AF391"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1" s="4" t="str">
        <x:v>Finished endpoint; material tier is not applicable. Input tiers belong to the chosen recipe.</x:v>
      </x:c>
      <x:c r="AH391" s="4" t="str">
        <x:v>Unassigned</x:v>
      </x:c>
      <x:c r="AI391" s="4" t="str">
        <x:v>Finished item</x:v>
      </x:c>
      <x:c r="AJ391" s="4" t="n">
        <x:f>COUNTIFS('Material routes'!$D$6:$D$2205,A391,'Material routes'!$C$6:$C$2205,"Output")</x:f>
        <x:v>1</x:v>
      </x:c>
      <x:c r="AK391" s="4" t="n">
        <x:f>SUM(COUNTIFS('Material routes'!$D$6:$D$2205,A391,'Material routes'!$C$6:$C$2205,"Ingredient candidate"),COUNTIFS('Material routes'!$D$6:$D$2205,A391,'Material routes'!$C$6:$C$2205,"Consumed input"),COUNTIFS('Material routes'!$D$6:$D$2205,A391,'Material routes'!$C$6:$C$2205,"Contained input"),COUNTIFS('Material routes'!$D$6:$D$2205,A391,'Material routes'!$C$6:$C$2205,"Transform input"))</x:f>
        <x:v>0</x:v>
      </x:c>
      <x:c r="AL391" s="4" t="n">
        <x:f>COUNTIFS('Material routes'!$D$6:$D$2205,A391,'Material routes'!$C$6:$C$2205,"Tool candidate")</x:f>
        <x:v>0</x:v>
      </x:c>
      <x:c r="AM391" s="4" t="str">
        <x:f>IF(AJ391&gt;0,"Route listed; review status/completeness",IF(C391="T0","Raw entry feed; no production route","No production route listed"))</x:f>
        <x:v>Route listed; review status/completeness</x:v>
      </x:c>
      <x:c r="AN391" s="14" t="n">
        <x:f>IF(C391="T0",0,IF(C391="T1",1,IF(C391="T2",2,IF(C391="T3",3,IF(C391="T4",4,IF(C391="Unassigned",98,99))))))</x:f>
        <x:v>99</x:v>
      </x:c>
      <x:c r="AZ391"/>
      <x:c r="BA391"/>
      <x:c r="BB391"/>
      <x:c r="BC391"/>
      <x:c r="BD391"/>
      <x:c r="BE391"/>
      <x:c r="BF391"/>
      <x:c r="BG391"/>
      <x:c r="BH391"/>
      <x:c r="BI391"/>
      <x:c r="BJ391"/>
      <x:c r="BK391"/>
      <x:c r="BL391"/>
      <x:c r="BM391"/>
      <x:c r="BN391"/>
      <x:c r="BO391"/>
      <x:c r="BP391"/>
      <x:c r="BQ391"/>
      <x:c r="BR391"/>
      <x:c r="BS391"/>
      <x:c r="BT391"/>
      <x:c r="BU391"/>
      <x:c r="BV391"/>
      <x:c r="BW391"/>
      <x:c r="BX391"/>
      <x:c r="BY391"/>
      <x:c r="BZ391"/>
      <x:c r="CA391"/>
      <x:c r="CB391"/>
      <x:c r="CC391"/>
    </x:row>
    <x:row r="392" ht="115" customHeight="1">
      <x:c r="A392" s="9" t="str">
        <x:v>author.electrical.static_disruptor</x:v>
      </x:c>
      <x:c r="B392" s="9" t="str">
        <x:v>Static-electricity field disruptor</x:v>
      </x:c>
      <x:c r="C392" s="4" t="str">
        <x:v>Not applicable</x:v>
      </x:c>
      <x:c r="D392" s="9" t="inlineStr">
        <x:is>
          <x:t xml:space="preserve">Tools</x:t>
        </x:is>
      </x:c>
      <x:c r="E392" s="9" t="str">
        <x:v>Static field-control device</x:v>
      </x:c>
      <x:c r="F392" s="9" t="str">
        <x:v>Author-directed concept</x:v>
      </x:c>
      <x:c r="G392" s="9" t="inlineStr">
        <x:is>
          <x:t xml:space="preserve">Disrupt a static-electricity field; operating mechanism unresolved. It is intended to manage static charge in a designed arrangement, with the charge path, power and atmospheric behavior still requiring qualification.</x:t>
        </x:is>
      </x:c>
      <x:c r="H392" s="9" t="str">
        <x:v>Unresolved</x:v>
      </x:c>
      <x:c r="I392" s="9" t="str">
        <x:v>Carriage, mounting or fit unresolved</x:v>
      </x:c>
      <x:c r="J392" s="13"/>
      <x:c r="K392" s="15"/>
      <x:c r="L392" s="9" t="str">
        <x:v>Ancient, reverse-engineered or contemporary origin not yet assigned</x:v>
      </x:c>
      <x:c r="M392" s="9" t="str">
        <x:v>Inputs, process, energy supply and construction unresolved</x:v>
      </x:c>
      <x:c r="N392" s="9" t="str">
        <x:v>Lore/design item family; not implemented</x:v>
      </x:c>
      <x:c r="O392" s="9" t="str">
        <x:v>Field strength, range, coupling, power, targets and operating limits unresolved</x:v>
      </x:c>
      <x:c r="P392" s="17"/>
      <x:c r="Q392" s="17"/>
      <x:c r="R392" s="17"/>
      <x:c r="S392" s="17"/>
      <x:c r="T392" s="17"/>
      <x:c r="U392" s="9" t="str">
        <x:v>Specific effects, stats, rarity, crafting tiers and recipes remain undefined. Disruptor/inhibitor distinction remains open where applicable.</x:v>
      </x:c>
      <x:c r="V392" s="11" t="str">
        <x:v>static field disruptor; electrostatic disruption</x:v>
      </x:c>
      <x:c r="W392" s="9" t="str">
        <x:v>Direct author direction, October 14, 2026; Docs/WORLD_BASIS.md#field-control-and-electrical-protection</x:v>
      </x:c>
      <x:c r="X392" s="4" t="str">
        <x:v>Tool</x:v>
      </x:c>
      <x:c r="Y392" s="4" t="str">
        <x:v>Finished item</x:v>
      </x:c>
      <x:c r="Z392" s="4" t="str">
        <x:v>Manufactured / unresolved</x:v>
      </x:c>
      <x:c r="AA392" s="4" t="str">
        <x:v>Static management</x:v>
      </x:c>
      <x:c r="AB392" s="4" t="str">
        <x:v>Mixed / unresolved</x:v>
      </x:c>
      <x:c r="AC392" s="4" t="str">
        <x:v>Assembly</x:v>
      </x:c>
      <x:c r="AD392" s="4" t="str">
        <x:v>Author direction</x:v>
      </x:c>
      <x:c r="AE392" s="4" t="str">
        <x:f>LOWER(A392&amp;"; "&amp;B392&amp;"; "&amp;D392&amp;"; "&amp;E392&amp;"; "&amp;X392&amp;"; "&amp;Y392&amp;"; "&amp;Z392&amp;"; "&amp;AA392&amp;"; "&amp;AB392&amp;"; "&amp;AC392&amp;"; "&amp;AD392&amp;"; "&amp;V392&amp;"; "&amp;C392&amp;"; "&amp;AH392&amp;"; "&amp;AI392)</x:f>
        <x:v>author.electrical.static_disruptor; static-electricity field disruptor; tools; static field-control device; tool; finished item; manufactured / unresolved; static management; mixed / unresolved; assembly; author direction; static field disruptor; electrostatic disruption; not applicable; unassigned; finished item</x:v>
      </x:c>
      <x:c r="AF392"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2" s="4" t="str">
        <x:v>Finished endpoint; material tier is not applicable. Input tiers belong to the chosen recipe.</x:v>
      </x:c>
      <x:c r="AH392" s="4" t="str">
        <x:v>Unassigned</x:v>
      </x:c>
      <x:c r="AI392" s="4" t="str">
        <x:v>Finished item</x:v>
      </x:c>
      <x:c r="AJ392" s="4" t="n">
        <x:f>COUNTIFS('Material routes'!$D$6:$D$2205,A392,'Material routes'!$C$6:$C$2205,"Output")</x:f>
        <x:v>1</x:v>
      </x:c>
      <x:c r="AK392" s="4" t="n">
        <x:f>SUM(COUNTIFS('Material routes'!$D$6:$D$2205,A392,'Material routes'!$C$6:$C$2205,"Ingredient candidate"),COUNTIFS('Material routes'!$D$6:$D$2205,A392,'Material routes'!$C$6:$C$2205,"Consumed input"),COUNTIFS('Material routes'!$D$6:$D$2205,A392,'Material routes'!$C$6:$C$2205,"Contained input"),COUNTIFS('Material routes'!$D$6:$D$2205,A392,'Material routes'!$C$6:$C$2205,"Transform input"))</x:f>
        <x:v>0</x:v>
      </x:c>
      <x:c r="AL392" s="4" t="n">
        <x:f>COUNTIFS('Material routes'!$D$6:$D$2205,A392,'Material routes'!$C$6:$C$2205,"Tool candidate")</x:f>
        <x:v>0</x:v>
      </x:c>
      <x:c r="AM392" s="4" t="str">
        <x:f>IF(AJ392&gt;0,"Route listed; review status/completeness",IF(C392="T0","Raw entry feed; no production route","No production route listed"))</x:f>
        <x:v>Route listed; review status/completeness</x:v>
      </x:c>
      <x:c r="AN392" s="14" t="n">
        <x:f>IF(C392="T0",0,IF(C392="T1",1,IF(C392="T2",2,IF(C392="T3",3,IF(C392="T4",4,IF(C392="Unassigned",98,99))))))</x:f>
        <x:v>99</x:v>
      </x:c>
      <x:c r="AZ392"/>
      <x:c r="BA392"/>
      <x:c r="BB392"/>
      <x:c r="BC392"/>
      <x:c r="BD392"/>
      <x:c r="BE392"/>
      <x:c r="BF392"/>
      <x:c r="BG392"/>
      <x:c r="BH392"/>
      <x:c r="BI392"/>
      <x:c r="BJ392"/>
      <x:c r="BK392"/>
      <x:c r="BL392"/>
      <x:c r="BM392"/>
      <x:c r="BN392"/>
      <x:c r="BO392"/>
      <x:c r="BP392"/>
      <x:c r="BQ392"/>
      <x:c r="BR392"/>
      <x:c r="BS392"/>
      <x:c r="BT392"/>
      <x:c r="BU392"/>
      <x:c r="BV392"/>
      <x:c r="BW392"/>
      <x:c r="BX392"/>
      <x:c r="BY392"/>
      <x:c r="BZ392"/>
      <x:c r="CA392"/>
      <x:c r="CB392"/>
      <x:c r="CC392"/>
    </x:row>
    <x:row r="393" ht="115" customHeight="1">
      <x:c r="A393" s="9" t="str">
        <x:v>author.electrical.arc_ray_gun</x:v>
      </x:c>
      <x:c r="B393" s="9" t="str">
        <x:v>Arc ray gun</x:v>
      </x:c>
      <x:c r="C393" s="4" t="str">
        <x:v>Not applicable</x:v>
      </x:c>
      <x:c r="D393" s="9" t="str">
        <x:v>Weapons</x:v>
      </x:c>
      <x:c r="E393" s="9" t="str">
        <x:v>Electrical-discharge ranged weapon</x:v>
      </x:c>
      <x:c r="F393" s="9" t="str">
        <x:v>Author-directed concept</x:v>
      </x:c>
      <x:c r="G393" s="9" t="inlineStr">
        <x:is>
          <x:t xml:space="preserve">Lightning-blaster weapon family, distinct from the laser-blaster family. It is intended for the recorded weapon role and compatible ammunition or energy feed. Damage, range, handling and operating requirements remain unassigned.</x:t>
        </x:is>
      </x:c>
      <x:c r="H393" s="9" t="str">
        <x:v>Unresolved</x:v>
      </x:c>
      <x:c r="I393" s="9" t="str">
        <x:v>Carriage, mounting or fit unresolved</x:v>
      </x:c>
      <x:c r="J393" s="13"/>
      <x:c r="K393" s="15"/>
      <x:c r="L393" s="9" t="str">
        <x:v>Ancient, reverse-engineered or contemporary origin not yet assigned</x:v>
      </x:c>
      <x:c r="M393" s="9" t="str">
        <x:v>Inputs, process, energy supply and construction unresolved</x:v>
      </x:c>
      <x:c r="N393" s="9" t="str">
        <x:v>Lore/design item family; not implemented</x:v>
      </x:c>
      <x:c r="O393" s="9" t="str">
        <x:v>Field strength, range, coupling, power, targets and operating limits unresolved</x:v>
      </x:c>
      <x:c r="P393" s="17"/>
      <x:c r="Q393" s="17"/>
      <x:c r="R393" s="17"/>
      <x:c r="S393" s="17"/>
      <x:c r="T393" s="17"/>
      <x:c r="U393" s="9" t="str">
        <x:v>Specific effects, stats, rarity, crafting tiers and recipes remain undefined. Disruptor/inhibitor distinction remains open where applicable.</x:v>
      </x:c>
      <x:c r="V393" s="11" t="str">
        <x:v>lightning blaster; arc gun; arc ray gun; lightning gun</x:v>
      </x:c>
      <x:c r="W393" s="9" t="str">
        <x:v>Direct author direction, October 14, 2026; Docs/WORLD_BASIS.md#field-control-and-electrical-protection</x:v>
      </x:c>
      <x:c r="X393" s="4" t="str">
        <x:v>Weapon</x:v>
      </x:c>
      <x:c r="Y393" s="4" t="str">
        <x:v>Finished item</x:v>
      </x:c>
      <x:c r="Z393" s="4" t="str">
        <x:v>Manufactured / unresolved</x:v>
      </x:c>
      <x:c r="AA393" s="4" t="str">
        <x:v>Offensive combat</x:v>
      </x:c>
      <x:c r="AB393" s="4" t="str">
        <x:v>Mixed / unresolved</x:v>
      </x:c>
      <x:c r="AC393" s="4" t="str">
        <x:v>Assembly</x:v>
      </x:c>
      <x:c r="AD393" s="4" t="str">
        <x:v>Author direction</x:v>
      </x:c>
      <x:c r="AE393" s="4" t="str">
        <x:f>LOWER(A393&amp;"; "&amp;B393&amp;"; "&amp;D393&amp;"; "&amp;E393&amp;"; "&amp;X393&amp;"; "&amp;Y393&amp;"; "&amp;Z393&amp;"; "&amp;AA393&amp;"; "&amp;AB393&amp;"; "&amp;AC393&amp;"; "&amp;AD393&amp;"; "&amp;V393&amp;"; "&amp;C393&amp;"; "&amp;AH393&amp;"; "&amp;AI393)</x:f>
        <x:v>author.electrical.arc_ray_gun; arc ray gun; weapons; electrical-discharge ranged weapon; weapon; finished item; manufactured / unresolved; offensive combat; mixed / unresolved; assembly; author direction; lightning blaster; arc gun; arc ray gun; lightning gun; not applicable; unassigned; finished item</x:v>
      </x:c>
      <x:c r="AF393" s="4" t="str">
        <x:v>Existence and intended function are author direction; construction and technical origin remain unassigned.</x:v>
      </x:c>
      <x:c r="AG393" s="4" t="str">
        <x:v>Finished endpoint; material tier is not applicable. Input tiers belong to the chosen recipe.</x:v>
      </x:c>
      <x:c r="AH393" s="4" t="str">
        <x:v>Unassigned</x:v>
      </x:c>
      <x:c r="AI393" s="4" t="str">
        <x:v>Finished item</x:v>
      </x:c>
      <x:c r="AJ393" s="4" t="n">
        <x:f>COUNTIFS('Material routes'!$D$6:$D$2205,A393,'Material routes'!$C$6:$C$2205,"Output")</x:f>
        <x:v>1</x:v>
      </x:c>
      <x:c r="AK393" s="4" t="n">
        <x:f>SUM(COUNTIFS('Material routes'!$D$6:$D$2205,A393,'Material routes'!$C$6:$C$2205,"Ingredient candidate"),COUNTIFS('Material routes'!$D$6:$D$2205,A393,'Material routes'!$C$6:$C$2205,"Consumed input"),COUNTIFS('Material routes'!$D$6:$D$2205,A393,'Material routes'!$C$6:$C$2205,"Contained input"),COUNTIFS('Material routes'!$D$6:$D$2205,A393,'Material routes'!$C$6:$C$2205,"Transform input"))</x:f>
        <x:v>0</x:v>
      </x:c>
      <x:c r="AL393" s="4" t="n">
        <x:f>COUNTIFS('Material routes'!$D$6:$D$2205,A393,'Material routes'!$C$6:$C$2205,"Tool candidate")</x:f>
        <x:v>0</x:v>
      </x:c>
      <x:c r="AM393" s="4" t="str">
        <x:f>IF(AJ393&gt;0,"Route listed; review status/completeness",IF(C393="T0","Raw entry feed; no production route","No production route listed"))</x:f>
        <x:v>Route listed; review status/completeness</x:v>
      </x:c>
      <x:c r="AN393" s="14" t="n">
        <x:f>IF(C393="T0",0,IF(C393="T1",1,IF(C393="T2",2,IF(C393="T3",3,IF(C393="T4",4,IF(C393="Unassigned",98,99))))))</x:f>
        <x:v>99</x:v>
      </x:c>
      <x:c r="AZ393"/>
      <x:c r="BA393"/>
      <x:c r="BB393"/>
      <x:c r="BC393"/>
      <x:c r="BD393"/>
      <x:c r="BE393"/>
      <x:c r="BF393"/>
      <x:c r="BG393"/>
      <x:c r="BH393"/>
      <x:c r="BI393"/>
      <x:c r="BJ393"/>
      <x:c r="BK393"/>
      <x:c r="BL393"/>
      <x:c r="BM393"/>
      <x:c r="BN393"/>
      <x:c r="BO393"/>
      <x:c r="BP393"/>
      <x:c r="BQ393"/>
      <x:c r="BR393"/>
      <x:c r="BS393"/>
      <x:c r="BT393"/>
      <x:c r="BU393"/>
      <x:c r="BV393"/>
      <x:c r="BW393"/>
      <x:c r="BX393"/>
      <x:c r="BY393"/>
      <x:c r="BZ393"/>
      <x:c r="CA393"/>
      <x:c r="CB393"/>
      <x:c r="CC393"/>
    </x:row>
    <x:row r="394" ht="170" customHeight="1">
      <x:c r="A394" s="9" t="str">
        <x:v>author.electrical.insulation_stock</x:v>
      </x:c>
      <x:c r="B394" s="9" t="str">
        <x:v>Prepared electrical insulation stock</x:v>
      </x:c>
      <x:c r="C394" s="4" t="str">
        <x:v>T3</x:v>
      </x:c>
      <x:c r="D394" s="9" t="str">
        <x:v>Manufactured stock</x:v>
      </x:c>
      <x:c r="E394" s="9" t="str">
        <x:v>Electrical insulation material</x:v>
      </x:c>
      <x:c r="F394" s="9" t="str">
        <x:v>Author-directed concept</x:v>
      </x:c>
      <x:c r="G394" s="9" t="str">
        <x:v>Prepared insulating material family for electrical equipment and protective wear; composition unresolved.</x:v>
      </x:c>
      <x:c r="H394" s="9" t="str">
        <x:v>None</x:v>
      </x:c>
      <x:c r="I394" s="9" t="str">
        <x:v>Carriage, mounting or fit unresolved</x:v>
      </x:c>
      <x:c r="J394" s="13"/>
      <x:c r="K394" s="15"/>
      <x:c r="L394" s="9" t="str">
        <x:v>Ancient, reverse-engineered or contemporary origin not yet assigned</x:v>
      </x:c>
      <x:c r="M394" s="9" t="str">
        <x:v>Inputs, process, energy supply and construction unresolved</x:v>
      </x:c>
      <x:c r="N394" s="9" t="str">
        <x:v>Lore/design item family; not implemented</x:v>
      </x:c>
      <x:c r="O394" s="9" t="str">
        <x:v>Composition, preparation and service qualification unresolved; existing ceramic/secretion/grease concepts remain candidate materials.</x:v>
      </x:c>
      <x:c r="P394" s="17"/>
      <x:c r="Q394" s="17"/>
      <x:c r="R394" s="17"/>
      <x:c r="S394" s="17"/>
      <x:c r="T394" s="17"/>
      <x:c r="U394" s="9" t="str">
        <x:v>Specific effects, stats, rarity, crafting tiers and recipes remain undefined. Disruptor/inhibitor distinction remains open where applicable.</x:v>
      </x:c>
      <x:c r="V394" s="11" t="str">
        <x:v>insulating material; insulated material; electrical insulation stock</x:v>
      </x:c>
      <x:c r="W394" s="9" t="str">
        <x:v>Direct author direction, October 14, 2026; Docs/WORLD_BASIS.md#field-control-and-electrical-protection</x:v>
      </x:c>
      <x:c r="X394" s="4" t="str">
        <x:v>Processed material</x:v>
      </x:c>
      <x:c r="Y394" s="4" t="str">
        <x:v>Processed intermediate</x:v>
      </x:c>
      <x:c r="Z394" s="4" t="str">
        <x:v>Manufactured / unresolved</x:v>
      </x:c>
      <x:c r="AA394" s="4" t="str">
        <x:v>Electrical insulation</x:v>
      </x:c>
      <x:c r="AB394" s="4" t="str">
        <x:v>Mixed / unresolved</x:v>
      </x:c>
      <x:c r="AC394" s="4" t="str">
        <x:v>Unresolved</x:v>
      </x:c>
      <x:c r="AD394" s="4" t="str">
        <x:v>Author direction</x:v>
      </x:c>
      <x:c r="AE394" s="4" t="str">
        <x:f>LOWER(A394&amp;"; "&amp;B394&amp;"; "&amp;D394&amp;"; "&amp;E394&amp;"; "&amp;X394&amp;"; "&amp;Y394&amp;"; "&amp;Z394&amp;"; "&amp;AA394&amp;"; "&amp;AB394&amp;"; "&amp;AC394&amp;"; "&amp;AD394&amp;"; "&amp;V394&amp;"; "&amp;C394&amp;"; "&amp;AH394&amp;"; "&amp;AI394)</x:f>
        <x:v>author.electrical.insulation_stock; prepared electrical insulation stock; manufactured stock; electrical insulation material; processed material; processed intermediate; manufactured / unresolved; electrical insulation; mixed / unresolved; unresolved; author direction; insulating material; insulated material; electrical insulation stock; t3; not applicable; material</x:v>
      </x:c>
      <x:c r="AF394" s="4" t="str">
        <x:v>Existence and intended function are author direction; construction and technical origin remain unassigned. Lore category review: Resources -&gt; Manufactured stock. Classification only; original item status and tier retained.</x:v>
      </x:c>
      <x:c r="AG394" s="4" t="str">
        <x:v>October 15 proposed tier review: 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AH394" s="4" t="str">
        <x:v>Not applicable</x:v>
      </x:c>
      <x:c r="AI394" s="4" t="str">
        <x:v>Material</x:v>
      </x:c>
      <x:c r="AJ394" s="4" t="n">
        <x:f>COUNTIFS('Material routes'!$D$6:$D$2205,A394,'Material routes'!$C$6:$C$2205,"Output")</x:f>
        <x:v>2</x:v>
      </x:c>
      <x:c r="AK394" s="4" t="n">
        <x:f>SUM(COUNTIFS('Material routes'!$D$6:$D$2205,A394,'Material routes'!$C$6:$C$2205,"Ingredient candidate"),COUNTIFS('Material routes'!$D$6:$D$2205,A394,'Material routes'!$C$6:$C$2205,"Consumed input"),COUNTIFS('Material routes'!$D$6:$D$2205,A394,'Material routes'!$C$6:$C$2205,"Contained input"),COUNTIFS('Material routes'!$D$6:$D$2205,A394,'Material routes'!$C$6:$C$2205,"Transform input"))</x:f>
        <x:v>6</x:v>
      </x:c>
      <x:c r="AL394" s="4" t="n">
        <x:f>COUNTIFS('Material routes'!$D$6:$D$2205,A394,'Material routes'!$C$6:$C$2205,"Tool candidate")</x:f>
        <x:v>0</x:v>
      </x:c>
      <x:c r="AM394" s="4" t="str">
        <x:f>IF(AJ394&gt;0,"Route listed; review status/completeness",IF(C394="T0","Raw entry feed; no production route","No production route listed"))</x:f>
        <x:v>Route listed; review status/completeness</x:v>
      </x:c>
      <x:c r="AN394" s="14" t="n">
        <x:f>IF(C394="T0",0,IF(C394="T1",1,IF(C394="T2",2,IF(C394="T3",3,IF(C394="T4",4,IF(C394="Unassigned",98,99))))))</x:f>
        <x:v>3</x:v>
      </x:c>
      <x:c r="AZ394"/>
      <x:c r="BA394"/>
      <x:c r="BB394"/>
      <x:c r="BC394"/>
      <x:c r="BD394"/>
      <x:c r="BE394"/>
      <x:c r="BF394"/>
      <x:c r="BG394"/>
      <x:c r="BH394"/>
      <x:c r="BI394"/>
      <x:c r="BJ394"/>
      <x:c r="BK394"/>
      <x:c r="BL394"/>
      <x:c r="BM394"/>
      <x:c r="BN394"/>
      <x:c r="BO394"/>
      <x:c r="BP394"/>
      <x:c r="BQ394"/>
      <x:c r="BR394"/>
      <x:c r="BS394"/>
      <x:c r="BT394"/>
      <x:c r="BU394"/>
      <x:c r="BV394"/>
      <x:c r="BW394"/>
      <x:c r="BX394"/>
      <x:c r="BY394"/>
      <x:c r="BZ394"/>
      <x:c r="CA394"/>
      <x:c r="CB394"/>
      <x:c r="CC394"/>
    </x:row>
    <x:row r="395" ht="115" customHeight="1">
      <x:c r="A395" s="9" t="str">
        <x:v>author.electrical.insulated_suit</x:v>
      </x:c>
      <x:c r="B395" s="9" t="inlineStr">
        <x:is>
          <x:t xml:space="preserve">Electrical insulating jacket</x:t>
        </x:is>
      </x:c>
      <x:c r="C395" s="4" t="inlineStr">
        <x:is>
          <x:t xml:space="preserve">T3</x:t>
        </x:is>
      </x:c>
      <x:c r="D395" s="9" t="inlineStr">
        <x:is>
          <x:t xml:space="preserve">Clothing</x:t>
        </x:is>
      </x:c>
      <x:c r="E395" s="9" t="inlineStr">
        <x:is>
          <x:t xml:space="preserve">Electrical insulating clothing / top</x:t>
        </x:is>
      </x:c>
      <x:c r="F395" s="9" t="inlineStr">
        <x:is>
          <x:t xml:space="preserve">Author-directed concept</x:t>
        </x:is>
      </x:c>
      <x:c r="G395" s="9" t="inlineStr">
        <x:is>
          <x:t xml:space="preserve">Electrical insulating clothing family: one separately listed jacket. One upper-body garment; no trousers, gloves, footwear or headwear included. Overlapping qualified husk/hide-derived insulating layers, guarded joins and rigid shell spacers. Specific dielectric materials and service limits remain unresolved. Functions and performance remain proposals.</x:t>
        </x:is>
      </x:c>
      <x:c r="H395" s="9" t="inlineStr">
        <x:is>
          <x:t xml:space="preserve">Torso / fit unresolved</x:t>
        </x:is>
      </x:c>
      <x:c r="I395" s="9" t="inlineStr">
        <x:is>
          <x:t xml:space="preserve">Booter-worn garment concept; fit, packing and canister clearance unresolved.</x:t>
        </x:is>
      </x:c>
      <x:c r="J395" s="13" t="inlineStr">
        <x:is>
          <x:t xml:space="preserve"/>
        </x:is>
      </x:c>
      <x:c r="K395" s="15" t="inlineStr">
        <x:is>
          <x:t xml:space="preserve"/>
        </x:is>
      </x:c>
      <x:c r="L395" s="9" t="inlineStr">
        <x:is>
          <x:t xml:space="preserve">Proposed garment craft or trade; availability and price unresolved.</x:t>
        </x:is>
      </x:c>
      <x:c r="M395" s="9" t="inlineStr">
        <x:is>
          <x:t xml:space="preserve">Candidate construction from qualified stock and compatible joining parts. No full-set recipe, quantities, yield or crafting time assigned.</x:t>
        </x:is>
      </x:c>
      <x:c r="N395" s="9" t="inlineStr">
        <x:is>
          <x:t xml:space="preserve">Not implemented</x:t>
        </x:is>
      </x:c>
      <x:c r="O395"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5" s="17" t="inlineStr">
        <x:is>
          <x:t xml:space="preserve"/>
        </x:is>
      </x:c>
      <x:c r="Q395" s="17" t="inlineStr">
        <x:is>
          <x:t xml:space="preserve"/>
        </x:is>
      </x:c>
      <x:c r="R395" s="17" t="inlineStr">
        <x:is>
          <x:t xml:space="preserve"/>
        </x:is>
      </x:c>
      <x:c r="S395" s="17" t="inlineStr">
        <x:is>
          <x:t xml:space="preserve"/>
        </x:is>
      </x:c>
      <x:c r="T395" s="17" t="inlineStr">
        <x:is>
          <x:t xml:space="preserve"/>
        </x:is>
      </x:c>
      <x:c r="U395" s="9" t="inlineStr">
        <x:is>
          <x:t xml:space="preserve">One upper-body garment; no trousers, gloves, footwear or headwear included. Appearance: Overlapping qualified husk/hide-derived insulating layers, guarded joins and rigid shell spacers. Specific dielectric materials and service limits remain unresolved. Joining, sizing, service life and useful performance require design.</x:t>
        </x:is>
      </x:c>
      <x:c r="V395" s="11" t="inlineStr">
        <x:is>
          <x:t xml:space="preserve">insulated clothing; electrical insulating clothing family; top; separate garment</x:t>
        </x:is>
      </x:c>
      <x:c r="W395"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5" s="4" t="inlineStr">
        <x:is>
          <x:t xml:space="preserve">Wearable</x:t>
        </x:is>
      </x:c>
      <x:c r="Y395" s="4" t="inlineStr">
        <x:is>
          <x:t xml:space="preserve">Finished item</x:t>
        </x:is>
      </x:c>
      <x:c r="Z395" s="4" t="inlineStr">
        <x:is>
          <x:t xml:space="preserve">Manufactured / unresolved</x:t>
        </x:is>
      </x:c>
      <x:c r="AA395" s="4" t="inlineStr">
        <x:is>
          <x:t xml:space="preserve">Electrical insulation</x:t>
        </x:is>
      </x:c>
      <x:c r="AB395" s="4" t="inlineStr">
        <x:is>
          <x:t xml:space="preserve">Mixed / unresolved</x:t>
        </x:is>
      </x:c>
      <x:c r="AC395" s="4" t="inlineStr">
        <x:is>
          <x:t xml:space="preserve">Assembly</x:t>
        </x:is>
      </x:c>
      <x:c r="AD395" s="4" t="inlineStr">
        <x:is>
          <x:t xml:space="preserve">Proposal</x:t>
        </x:is>
      </x:c>
      <x:c r="AE395" s="4" t="str">
        <x:f>LOWER(A395&amp;"; "&amp;B395&amp;"; "&amp;D395&amp;"; "&amp;E395&amp;"; "&amp;X395&amp;"; "&amp;Y395&amp;"; "&amp;Z395&amp;"; "&amp;AA395&amp;"; "&amp;AB395&amp;"; "&amp;AC395&amp;"; "&amp;AD395&amp;"; "&amp;V395&amp;"; "&amp;C395&amp;"; "&amp;AH395&amp;"; "&amp;AI395)</x:f>
        <x:v>author.electrical.insulated_suit; electrical insulating jacket; clothing; electrical insulating clothing / top; wearable; finished item; manufactured / unresolved; electrical insulation; mixed / unresolved; assembly; proposal; insulated clothing; electrical insulating clothing family; top; separate garment; t3; t2; finished item</x:v>
      </x:c>
      <x:c r="AF395" s="4" t="inlineStr">
        <x:is>
          <x:t xml:space="preserve">Independently listed clothing piece. Family membership is an organizational grouping, not another counted inventory item or a set bonus.</x:t>
        </x:is>
      </x:c>
      <x:c r="AG395" s="4" t="inlineStr">
        <x:is>
          <x:t xml:space="preserve">Proposed T3 garment assembly using T2 inputs. Quantities, stock qualification and recipe remain unresolved.</x:t>
        </x:is>
      </x:c>
      <x:c r="AH395" s="4" t="inlineStr">
        <x:is>
          <x:t xml:space="preserve">T2</x:t>
        </x:is>
      </x:c>
      <x:c r="AI395" s="4" t="inlineStr">
        <x:is>
          <x:t xml:space="preserve">Finished item</x:t>
        </x:is>
      </x:c>
      <x:c r="AJ395" s="4" t="n">
        <x:f>COUNTIFS('Material routes'!$D$6:$D$2205,A395,'Material routes'!$C$6:$C$2205,"Output")</x:f>
        <x:v>1</x:v>
      </x:c>
      <x:c r="AK395" s="4" t="n">
        <x:f>SUM(COUNTIFS('Material routes'!$D$6:$D$2205,A395,'Material routes'!$C$6:$C$2205,"Ingredient candidate"),COUNTIFS('Material routes'!$D$6:$D$2205,A395,'Material routes'!$C$6:$C$2205,"Consumed input"),COUNTIFS('Material routes'!$D$6:$D$2205,A395,'Material routes'!$C$6:$C$2205,"Contained input"),COUNTIFS('Material routes'!$D$6:$D$2205,A395,'Material routes'!$C$6:$C$2205,"Transform input"))</x:f>
        <x:v>0</x:v>
      </x:c>
      <x:c r="AL395" s="4" t="n">
        <x:f>COUNTIFS('Material routes'!$D$6:$D$2205,A395,'Material routes'!$C$6:$C$2205,"Tool candidate")</x:f>
        <x:v>0</x:v>
      </x:c>
      <x:c r="AM395" s="4" t="str">
        <x:f>IF(AJ395&gt;0,"Route listed; review status/completeness",IF(C395="T0","Raw entry feed; no production route","No production route listed"))</x:f>
        <x:v>Route listed; review status/completeness</x:v>
      </x:c>
      <x:c r="AN395" s="14">
        <x:f>IF(C395="T0",0,IF(C395="T1",1,IF(C395="T2",2,IF(C395="T3",3,IF(C395="T4",4,IF(C395="Unassigned",98,99))))))</x:f>
        <x:v>3</x:v>
      </x:c>
      <x:c r="AZ395"/>
      <x:c r="BA395"/>
      <x:c r="BB395"/>
      <x:c r="BC395"/>
      <x:c r="BD395"/>
      <x:c r="BE395"/>
      <x:c r="BF395"/>
      <x:c r="BG395"/>
      <x:c r="BH395"/>
      <x:c r="BI395"/>
      <x:c r="BJ395"/>
      <x:c r="BK395"/>
      <x:c r="BL395"/>
      <x:c r="BM395"/>
      <x:c r="BN395"/>
      <x:c r="BO395"/>
      <x:c r="BP395"/>
      <x:c r="BQ395"/>
      <x:c r="BR395"/>
      <x:c r="BS395"/>
      <x:c r="BT395"/>
      <x:c r="BU395"/>
      <x:c r="BV395"/>
      <x:c r="BW395"/>
      <x:c r="BX395"/>
      <x:c r="BY395"/>
      <x:c r="BZ395"/>
      <x:c r="CA395"/>
      <x:c r="CB395"/>
      <x:c r="CC395"/>
    </x:row>
    <x:row r="396" ht="115" customHeight="1">
      <x:c r="A396" s="9" t="str">
        <x:v>author.electrical.insulated_gloves</x:v>
      </x:c>
      <x:c r="B396" s="9" t="inlineStr">
        <x:is>
          <x:t xml:space="preserve">Electrical insulating gloves</x:t>
        </x:is>
      </x:c>
      <x:c r="C396" s="4" t="inlineStr">
        <x:is>
          <x:t xml:space="preserve">T3</x:t>
        </x:is>
      </x:c>
      <x:c r="D396" s="9" t="inlineStr">
        <x:is>
          <x:t xml:space="preserve">Clothing</x:t>
        </x:is>
      </x:c>
      <x:c r="E396" s="9" t="inlineStr">
        <x:is>
          <x:t xml:space="preserve">Electrical insulating clothing / gloves</x:t>
        </x:is>
      </x:c>
      <x:c r="F396" s="9" t="inlineStr">
        <x:is>
          <x:t xml:space="preserve">Author-directed concept</x:t>
        </x:is>
      </x:c>
      <x:c r="G396" s="9" t="inlineStr">
        <x:is>
          <x:t xml:space="preserve">Electrical insulating clothing family: one separately listed gloves. One matched pair of hand coverings; sleeves and upper-body garment remain separate. Overlapping qualified husk/hide-derived insulating layers, guarded joins and rigid shell spacers. Specific dielectric materials and service limits remain unresolved. Functions and performance remain proposals.</x:t>
        </x:is>
      </x:c>
      <x:c r="H396" s="9" t="inlineStr">
        <x:is>
          <x:t xml:space="preserve">Hands / fit unresolved</x:t>
        </x:is>
      </x:c>
      <x:c r="I396" s="9" t="inlineStr">
        <x:is>
          <x:t xml:space="preserve">Booter-worn garment concept; fit, packing and canister clearance unresolved.</x:t>
        </x:is>
      </x:c>
      <x:c r="J396" s="13" t="inlineStr">
        <x:is>
          <x:t xml:space="preserve"/>
        </x:is>
      </x:c>
      <x:c r="K396" s="15" t="inlineStr">
        <x:is>
          <x:t xml:space="preserve"/>
        </x:is>
      </x:c>
      <x:c r="L396" s="9" t="inlineStr">
        <x:is>
          <x:t xml:space="preserve">Proposed garment craft or trade; availability and price unresolved.</x:t>
        </x:is>
      </x:c>
      <x:c r="M396" s="9" t="inlineStr">
        <x:is>
          <x:t xml:space="preserve">Candidate construction from qualified stock and compatible joining parts. No full-set recipe, quantities, yield or crafting time assigned.</x:t>
        </x:is>
      </x:c>
      <x:c r="N396" s="9" t="inlineStr">
        <x:is>
          <x:t xml:space="preserve">Not implemented</x:t>
        </x:is>
      </x:c>
      <x:c r="O396"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6" s="17" t="inlineStr">
        <x:is>
          <x:t xml:space="preserve"/>
        </x:is>
      </x:c>
      <x:c r="Q396" s="17" t="inlineStr">
        <x:is>
          <x:t xml:space="preserve"/>
        </x:is>
      </x:c>
      <x:c r="R396" s="17" t="inlineStr">
        <x:is>
          <x:t xml:space="preserve"/>
        </x:is>
      </x:c>
      <x:c r="S396" s="17" t="inlineStr">
        <x:is>
          <x:t xml:space="preserve"/>
        </x:is>
      </x:c>
      <x:c r="T396" s="17" t="inlineStr">
        <x:is>
          <x:t xml:space="preserve"/>
        </x:is>
      </x:c>
      <x:c r="U396" s="9" t="inlineStr">
        <x:is>
          <x:t xml:space="preserve">One matched pair of hand coverings; sleeves and upper-body garment remain separate. Appearance: Overlapping qualified husk/hide-derived insulating layers, guarded joins and rigid shell spacers. Specific dielectric materials and service limits remain unresolved. Joining, sizing, service life and useful performance require design.</x:t>
        </x:is>
      </x:c>
      <x:c r="V396" s="11" t="inlineStr">
        <x:is>
          <x:t xml:space="preserve">insulated clothing; electrical insulating clothing family; gloves; separate garment</x:t>
        </x:is>
      </x:c>
      <x:c r="W396"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6" s="4" t="inlineStr">
        <x:is>
          <x:t xml:space="preserve">Wearable</x:t>
        </x:is>
      </x:c>
      <x:c r="Y396" s="4" t="inlineStr">
        <x:is>
          <x:t xml:space="preserve">Finished item</x:t>
        </x:is>
      </x:c>
      <x:c r="Z396" s="4" t="inlineStr">
        <x:is>
          <x:t xml:space="preserve">Manufactured / unresolved</x:t>
        </x:is>
      </x:c>
      <x:c r="AA396" s="4" t="inlineStr">
        <x:is>
          <x:t xml:space="preserve">Electrical insulation</x:t>
        </x:is>
      </x:c>
      <x:c r="AB396" s="4" t="inlineStr">
        <x:is>
          <x:t xml:space="preserve">Mixed / unresolved</x:t>
        </x:is>
      </x:c>
      <x:c r="AC396" s="4" t="inlineStr">
        <x:is>
          <x:t xml:space="preserve">Assembly</x:t>
        </x:is>
      </x:c>
      <x:c r="AD396" s="4" t="inlineStr">
        <x:is>
          <x:t xml:space="preserve">Proposal</x:t>
        </x:is>
      </x:c>
      <x:c r="AE396" s="4" t="str">
        <x:f>LOWER(A396&amp;"; "&amp;B396&amp;"; "&amp;D396&amp;"; "&amp;E396&amp;"; "&amp;X396&amp;"; "&amp;Y396&amp;"; "&amp;Z396&amp;"; "&amp;AA396&amp;"; "&amp;AB396&amp;"; "&amp;AC396&amp;"; "&amp;AD396&amp;"; "&amp;V396&amp;"; "&amp;C396&amp;"; "&amp;AH396&amp;"; "&amp;AI396)</x:f>
        <x:v>author.electrical.insulated_gloves; electrical insulating gloves; clothing; electrical insulating clothing / gloves; wearable; finished item; manufactured / unresolved; electrical insulation; mixed / unresolved; assembly; proposal; insulated clothing; electrical insulating clothing family; gloves; separate garment; t3; t2; finished item</x:v>
      </x:c>
      <x:c r="AF396" s="4" t="inlineStr">
        <x:is>
          <x:t xml:space="preserve">Independently listed clothing piece. Family membership is an organizational grouping, not another counted inventory item or a set bonus.</x:t>
        </x:is>
      </x:c>
      <x:c r="AG396" s="4" t="inlineStr">
        <x:is>
          <x:t xml:space="preserve">Proposed T3 garment assembly using T2 inputs. Quantities, stock qualification and recipe remain unresolved.</x:t>
        </x:is>
      </x:c>
      <x:c r="AH396" s="4" t="inlineStr">
        <x:is>
          <x:t xml:space="preserve">T2</x:t>
        </x:is>
      </x:c>
      <x:c r="AI396" s="4" t="inlineStr">
        <x:is>
          <x:t xml:space="preserve">Finished item</x:t>
        </x:is>
      </x:c>
      <x:c r="AJ396" s="4" t="n">
        <x:f>COUNTIFS('Material routes'!$D$6:$D$2205,A396,'Material routes'!$C$6:$C$2205,"Output")</x:f>
        <x:v>1</x:v>
      </x:c>
      <x:c r="AK396" s="4" t="n">
        <x:f>SUM(COUNTIFS('Material routes'!$D$6:$D$2205,A396,'Material routes'!$C$6:$C$2205,"Ingredient candidate"),COUNTIFS('Material routes'!$D$6:$D$2205,A396,'Material routes'!$C$6:$C$2205,"Consumed input"),COUNTIFS('Material routes'!$D$6:$D$2205,A396,'Material routes'!$C$6:$C$2205,"Contained input"),COUNTIFS('Material routes'!$D$6:$D$2205,A396,'Material routes'!$C$6:$C$2205,"Transform input"))</x:f>
        <x:v>0</x:v>
      </x:c>
      <x:c r="AL396" s="4" t="n">
        <x:f>COUNTIFS('Material routes'!$D$6:$D$2205,A396,'Material routes'!$C$6:$C$2205,"Tool candidate")</x:f>
        <x:v>0</x:v>
      </x:c>
      <x:c r="AM396" s="4" t="str">
        <x:f>IF(AJ396&gt;0,"Route listed; review status/completeness",IF(C396="T0","Raw entry feed; no production route","No production route listed"))</x:f>
        <x:v>Route listed; review status/completeness</x:v>
      </x:c>
      <x:c r="AN396" s="14">
        <x:f>IF(C396="T0",0,IF(C396="T1",1,IF(C396="T2",2,IF(C396="T3",3,IF(C396="T4",4,IF(C396="Unassigned",98,99))))))</x:f>
        <x:v>3</x:v>
      </x:c>
      <x:c r="AZ396"/>
      <x:c r="BA396"/>
      <x:c r="BB396"/>
      <x:c r="BC396"/>
      <x:c r="BD396"/>
      <x:c r="BE396"/>
      <x:c r="BF396"/>
      <x:c r="BG396"/>
      <x:c r="BH396"/>
      <x:c r="BI396"/>
      <x:c r="BJ396"/>
      <x:c r="BK396"/>
      <x:c r="BL396"/>
      <x:c r="BM396"/>
      <x:c r="BN396"/>
      <x:c r="BO396"/>
      <x:c r="BP396"/>
      <x:c r="BQ396"/>
      <x:c r="BR396"/>
      <x:c r="BS396"/>
      <x:c r="BT396"/>
      <x:c r="BU396"/>
      <x:c r="BV396"/>
      <x:c r="BW396"/>
      <x:c r="BX396"/>
      <x:c r="BY396"/>
      <x:c r="BZ396"/>
      <x:c r="CA396"/>
      <x:c r="CB396"/>
      <x:c r="CC396"/>
    </x:row>
    <x:row r="397" ht="115" customHeight="1">
      <x:c r="A397" s="9" t="str">
        <x:v>author.electrical.insulated_boots</x:v>
      </x:c>
      <x:c r="B397" s="9" t="inlineStr">
        <x:is>
          <x:t xml:space="preserve">Electrical insulating boots</x:t>
        </x:is>
      </x:c>
      <x:c r="C397" s="4" t="inlineStr">
        <x:is>
          <x:t xml:space="preserve">T3</x:t>
        </x:is>
      </x:c>
      <x:c r="D397" s="9" t="inlineStr">
        <x:is>
          <x:t xml:space="preserve">Clothing</x:t>
        </x:is>
      </x:c>
      <x:c r="E397" s="9" t="inlineStr">
        <x:is>
          <x:t xml:space="preserve">Electrical insulating clothing / boots</x:t>
        </x:is>
      </x:c>
      <x:c r="F397" s="9" t="inlineStr">
        <x:is>
          <x:t xml:space="preserve">Author-directed concept</x:t>
        </x:is>
      </x:c>
      <x:c r="G397" s="9" t="inlineStr">
        <x:is>
          <x:t xml:space="preserve">Electrical insulating clothing family: one separately listed boots. One matched pair of footwear; no leggings or trousers included. Overlapping qualified husk/hide-derived insulating layers, guarded joins and rigid shell spacers. Specific dielectric materials and service limits remain unresolved. Functions and performance remain proposals.</x:t>
        </x:is>
      </x:c>
      <x:c r="H397" s="9" t="inlineStr">
        <x:is>
          <x:t xml:space="preserve">Feet / fit unresolved</x:t>
        </x:is>
      </x:c>
      <x:c r="I397" s="9" t="inlineStr">
        <x:is>
          <x:t xml:space="preserve">Booter-worn garment concept; fit, packing and canister clearance unresolved.</x:t>
        </x:is>
      </x:c>
      <x:c r="J397" s="13" t="inlineStr">
        <x:is>
          <x:t xml:space="preserve"/>
        </x:is>
      </x:c>
      <x:c r="K397" s="15" t="inlineStr">
        <x:is>
          <x:t xml:space="preserve"/>
        </x:is>
      </x:c>
      <x:c r="L397" s="9" t="inlineStr">
        <x:is>
          <x:t xml:space="preserve">Proposed garment craft or trade; availability and price unresolved.</x:t>
        </x:is>
      </x:c>
      <x:c r="M397" s="9" t="inlineStr">
        <x:is>
          <x:t xml:space="preserve">Candidate construction from qualified stock and compatible joining parts. No full-set recipe, quantities, yield or crafting time assigned.</x:t>
        </x:is>
      </x:c>
      <x:c r="N397" s="9" t="inlineStr">
        <x:is>
          <x:t xml:space="preserve">Not implemented</x:t>
        </x:is>
      </x:c>
      <x:c r="O397"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7" s="17" t="inlineStr">
        <x:is>
          <x:t xml:space="preserve"/>
        </x:is>
      </x:c>
      <x:c r="Q397" s="17" t="inlineStr">
        <x:is>
          <x:t xml:space="preserve"/>
        </x:is>
      </x:c>
      <x:c r="R397" s="17" t="inlineStr">
        <x:is>
          <x:t xml:space="preserve"/>
        </x:is>
      </x:c>
      <x:c r="S397" s="17" t="inlineStr">
        <x:is>
          <x:t xml:space="preserve"/>
        </x:is>
      </x:c>
      <x:c r="T397" s="17" t="inlineStr">
        <x:is>
          <x:t xml:space="preserve"/>
        </x:is>
      </x:c>
      <x:c r="U397" s="9" t="inlineStr">
        <x:is>
          <x:t xml:space="preserve">One matched pair of footwear; no leggings or trousers included. Appearance: Overlapping qualified husk/hide-derived insulating layers, guarded joins and rigid shell spacers. Specific dielectric materials and service limits remain unresolved. Joining, sizing, service life and useful performance require design.</x:t>
        </x:is>
      </x:c>
      <x:c r="V397" s="11" t="inlineStr">
        <x:is>
          <x:t xml:space="preserve">insulated clothing; electrical insulating clothing family; boots; separate garment</x:t>
        </x:is>
      </x:c>
      <x:c r="W397"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7" s="4" t="inlineStr">
        <x:is>
          <x:t xml:space="preserve">Wearable</x:t>
        </x:is>
      </x:c>
      <x:c r="Y397" s="4" t="inlineStr">
        <x:is>
          <x:t xml:space="preserve">Finished item</x:t>
        </x:is>
      </x:c>
      <x:c r="Z397" s="4" t="inlineStr">
        <x:is>
          <x:t xml:space="preserve">Manufactured / unresolved</x:t>
        </x:is>
      </x:c>
      <x:c r="AA397" s="4" t="inlineStr">
        <x:is>
          <x:t xml:space="preserve">Electrical insulation</x:t>
        </x:is>
      </x:c>
      <x:c r="AB397" s="4" t="inlineStr">
        <x:is>
          <x:t xml:space="preserve">Mixed / unresolved</x:t>
        </x:is>
      </x:c>
      <x:c r="AC397" s="4" t="inlineStr">
        <x:is>
          <x:t xml:space="preserve">Assembly</x:t>
        </x:is>
      </x:c>
      <x:c r="AD397" s="4" t="inlineStr">
        <x:is>
          <x:t xml:space="preserve">Proposal</x:t>
        </x:is>
      </x:c>
      <x:c r="AE397" s="4" t="str">
        <x:f>LOWER(A397&amp;"; "&amp;B397&amp;"; "&amp;D397&amp;"; "&amp;E397&amp;"; "&amp;X397&amp;"; "&amp;Y397&amp;"; "&amp;Z397&amp;"; "&amp;AA397&amp;"; "&amp;AB397&amp;"; "&amp;AC397&amp;"; "&amp;AD397&amp;"; "&amp;V397&amp;"; "&amp;C397&amp;"; "&amp;AH397&amp;"; "&amp;AI397)</x:f>
        <x:v>author.electrical.insulated_boots; electrical insulating boots; clothing; electrical insulating clothing / boots; wearable; finished item; manufactured / unresolved; electrical insulation; mixed / unresolved; assembly; proposal; insulated clothing; electrical insulating clothing family; boots; separate garment; t3; t2; finished item</x:v>
      </x:c>
      <x:c r="AF397" s="4" t="inlineStr">
        <x:is>
          <x:t xml:space="preserve">Independently listed clothing piece. Family membership is an organizational grouping, not another counted inventory item or a set bonus.</x:t>
        </x:is>
      </x:c>
      <x:c r="AG397" s="4" t="inlineStr">
        <x:is>
          <x:t xml:space="preserve">Proposed T3 garment assembly using T2 inputs. Quantities, stock qualification and recipe remain unresolved.</x:t>
        </x:is>
      </x:c>
      <x:c r="AH397" s="4" t="inlineStr">
        <x:is>
          <x:t xml:space="preserve">T2</x:t>
        </x:is>
      </x:c>
      <x:c r="AI397" s="4" t="inlineStr">
        <x:is>
          <x:t xml:space="preserve">Finished item</x:t>
        </x:is>
      </x:c>
      <x:c r="AJ397" s="4" t="n">
        <x:f>COUNTIFS('Material routes'!$D$6:$D$2205,A397,'Material routes'!$C$6:$C$2205,"Output")</x:f>
        <x:v>1</x:v>
      </x:c>
      <x:c r="AK397" s="4" t="n">
        <x:f>SUM(COUNTIFS('Material routes'!$D$6:$D$2205,A397,'Material routes'!$C$6:$C$2205,"Ingredient candidate"),COUNTIFS('Material routes'!$D$6:$D$2205,A397,'Material routes'!$C$6:$C$2205,"Consumed input"),COUNTIFS('Material routes'!$D$6:$D$2205,A397,'Material routes'!$C$6:$C$2205,"Contained input"),COUNTIFS('Material routes'!$D$6:$D$2205,A397,'Material routes'!$C$6:$C$2205,"Transform input"))</x:f>
        <x:v>0</x:v>
      </x:c>
      <x:c r="AL397" s="4" t="n">
        <x:f>COUNTIFS('Material routes'!$D$6:$D$2205,A397,'Material routes'!$C$6:$C$2205,"Tool candidate")</x:f>
        <x:v>0</x:v>
      </x:c>
      <x:c r="AM397" s="4" t="str">
        <x:f>IF(AJ397&gt;0,"Route listed; review status/completeness",IF(C397="T0","Raw entry feed; no production route","No production route listed"))</x:f>
        <x:v>Route listed; review status/completeness</x:v>
      </x:c>
      <x:c r="AN397" s="14">
        <x:f>IF(C397="T0",0,IF(C397="T1",1,IF(C397="T2",2,IF(C397="T3",3,IF(C397="T4",4,IF(C397="Unassigned",98,99))))))</x:f>
        <x:v>3</x:v>
      </x:c>
      <x:c r="AZ397"/>
      <x:c r="BA397"/>
      <x:c r="BB397"/>
      <x:c r="BC397"/>
      <x:c r="BD397"/>
      <x:c r="BE397"/>
      <x:c r="BF397"/>
      <x:c r="BG397"/>
      <x:c r="BH397"/>
      <x:c r="BI397"/>
      <x:c r="BJ397"/>
      <x:c r="BK397"/>
      <x:c r="BL397"/>
      <x:c r="BM397"/>
      <x:c r="BN397"/>
      <x:c r="BO397"/>
      <x:c r="BP397"/>
      <x:c r="BQ397"/>
      <x:c r="BR397"/>
      <x:c r="BS397"/>
      <x:c r="BT397"/>
      <x:c r="BU397"/>
      <x:c r="BV397"/>
      <x:c r="BW397"/>
      <x:c r="BX397"/>
      <x:c r="BY397"/>
      <x:c r="BZ397"/>
      <x:c r="CA397"/>
      <x:c r="CB397"/>
      <x:c r="CC397"/>
    </x:row>
    <x:row r="398" ht="115" customHeight="1">
      <x:c r="A398" s="9" t="str">
        <x:v>author.forging.hammer</x:v>
      </x:c>
      <x:c r="B398" s="9" t="str">
        <x:v>Forging hammer</x:v>
      </x:c>
      <x:c r="C398" s="4" t="str">
        <x:v>Not applicable</x:v>
      </x:c>
      <x:c r="D398" s="9" t="inlineStr">
        <x:is>
          <x:t xml:space="preserve">Salvage</x:t>
        </x:is>
      </x:c>
      <x:c r="E398" s="9" t="str">
        <x:v>Hand forging tool</x:v>
      </x:c>
      <x:c r="F398" s="9" t="str">
        <x:v>Author-directed concept</x:v>
      </x:c>
      <x:c r="G398" s="9" t="inlineStr">
        <x:is>
          <x:t xml:space="preserve">Hand hammer for shaping metal during forging. It supports a controlled metalworking operation; the workpiece, heat source and suitable supporting tools must be established for the process.</x:t>
        </x:is>
      </x:c>
      <x:c r="H398" s="9" t="str">
        <x:v>None / workshop tool</x:v>
      </x:c>
      <x:c r="I398" s="9" t="str">
        <x:v>Transport, placement and workshop handling unresolved</x:v>
      </x:c>
      <x:c r="J398" s="13"/>
      <x:c r="K398" s="15"/>
      <x:c r="L398" s="9" t="str">
        <x:v>Manufacture or workshop acquisition unresolved</x:v>
      </x:c>
      <x:c r="M398" s="9" t="str">
        <x:v>Tool materials, construction and ingredient tiers unresolved</x:v>
      </x:c>
      <x:c r="N398" s="9" t="str">
        <x:v>Design item concept; not implemented</x:v>
      </x:c>
      <x:c r="O398" s="9" t="str">
        <x:v>Working material, service temperature, wear and suitability remain undefined; no wood handles or cloth accessories assumed.</x:v>
      </x:c>
      <x:c r="P398" s="17"/>
      <x:c r="Q398" s="17"/>
      <x:c r="R398" s="17"/>
      <x:c r="S398" s="17"/>
      <x:c r="T398" s="17"/>
      <x:c r="U398" s="9" t="str">
        <x:v>No stats, recipe, cost, dimensions or station requirement established. Fixed/mobile workshop use remains open.</x:v>
      </x:c>
      <x:c r="V398" s="11" t="str">
        <x:v>smithing hammer; blacksmith hammer; forge hammer</x:v>
      </x:c>
      <x:c r="W398" s="9" t="str">
        <x:v>Direct author direction, October 14, 2026; Docs/WORLD_BASIS.md#forging-and-workshop-tooling</x:v>
      </x:c>
      <x:c r="X398" s="4" t="str">
        <x:v>Tool</x:v>
      </x:c>
      <x:c r="Y398" s="4" t="str">
        <x:v>Finished item</x:v>
      </x:c>
      <x:c r="Z398" s="4" t="str">
        <x:v>Manufactured / unresolved</x:v>
      </x:c>
      <x:c r="AA398" s="4" t="str">
        <x:v>Metal forging</x:v>
      </x:c>
      <x:c r="AB398" s="4" t="str">
        <x:v>Mixed / unresolved</x:v>
      </x:c>
      <x:c r="AC398" s="4" t="str">
        <x:v>Assembly</x:v>
      </x:c>
      <x:c r="AD398" s="4" t="str">
        <x:v>Author direction</x:v>
      </x:c>
      <x:c r="AE398" s="4" t="str">
        <x:f>LOWER(A398&amp;"; "&amp;B398&amp;"; "&amp;D398&amp;"; "&amp;E398&amp;"; "&amp;X398&amp;"; "&amp;Y398&amp;"; "&amp;Z398&amp;"; "&amp;AA398&amp;"; "&amp;AB398&amp;"; "&amp;AC398&amp;"; "&amp;AD398&amp;"; "&amp;V398&amp;"; "&amp;C398&amp;"; "&amp;AH398&amp;"; "&amp;AI398)</x:f>
        <x:v>author.forging.hammer; forging hammer; salvage; hand forging tool; tool; finished item; manufactured / unresolved; metal forging; mixed / unresolved; assembly; author direction; smithing hammer; blacksmith hammer; forge hammer; not applicable; t2; finished item</x:v>
      </x:c>
      <x:c r="AF398" s="4" t="inlineStr">
        <x:is>
          <x:t xml:space="preserve">Forging hammers and anvils explicitly requested by the author; detailed construction unresolved.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398" s="4" t="str">
        <x:v>Finished endpoint; material tier is not applicable. Input tiers belong to the chosen recipe.</x:v>
      </x:c>
      <x:c r="AH398" s="4" t="str">
        <x:v>T2</x:v>
      </x:c>
      <x:c r="AI398" s="4" t="str">
        <x:v>Finished item</x:v>
      </x:c>
      <x:c r="AJ398" s="4" t="n">
        <x:f>COUNTIFS('Material routes'!$D$6:$D$2205,A398,'Material routes'!$C$6:$C$2205,"Output")</x:f>
        <x:v>1</x:v>
      </x:c>
      <x:c r="AK398" s="4" t="n">
        <x:f>SUM(COUNTIFS('Material routes'!$D$6:$D$2205,A398,'Material routes'!$C$6:$C$2205,"Ingredient candidate"),COUNTIFS('Material routes'!$D$6:$D$2205,A398,'Material routes'!$C$6:$C$2205,"Consumed input"),COUNTIFS('Material routes'!$D$6:$D$2205,A398,'Material routes'!$C$6:$C$2205,"Contained input"),COUNTIFS('Material routes'!$D$6:$D$2205,A398,'Material routes'!$C$6:$C$2205,"Transform input"))</x:f>
        <x:v>0</x:v>
      </x:c>
      <x:c r="AL398" s="4" t="n">
        <x:f>COUNTIFS('Material routes'!$D$6:$D$2205,A398,'Material routes'!$C$6:$C$2205,"Tool candidate")</x:f>
        <x:v>0</x:v>
      </x:c>
      <x:c r="AM398" s="4" t="str">
        <x:f>IF(AJ398&gt;0,"Route listed; review status/completeness",IF(C398="T0","Raw entry feed; no production route","No production route listed"))</x:f>
        <x:v>Route listed; review status/completeness</x:v>
      </x:c>
      <x:c r="AN398" s="14" t="n">
        <x:f>IF(C398="T0",0,IF(C398="T1",1,IF(C398="T2",2,IF(C398="T3",3,IF(C398="T4",4,IF(C398="Unassigned",98,99))))))</x:f>
        <x:v>99</x:v>
      </x:c>
      <x:c r="AZ398"/>
      <x:c r="BA398"/>
      <x:c r="BB398"/>
      <x:c r="BC398"/>
      <x:c r="BD398"/>
      <x:c r="BE398"/>
      <x:c r="BF398"/>
      <x:c r="BG398"/>
      <x:c r="BH398"/>
      <x:c r="BI398"/>
      <x:c r="BJ398"/>
      <x:c r="BK398"/>
      <x:c r="BL398"/>
      <x:c r="BM398"/>
      <x:c r="BN398"/>
      <x:c r="BO398"/>
      <x:c r="BP398"/>
      <x:c r="BQ398"/>
      <x:c r="BR398"/>
      <x:c r="BS398"/>
      <x:c r="BT398"/>
      <x:c r="BU398"/>
      <x:c r="BV398"/>
      <x:c r="BW398"/>
      <x:c r="BX398"/>
      <x:c r="BY398"/>
      <x:c r="BZ398"/>
      <x:c r="CA398"/>
      <x:c r="CB398"/>
      <x:c r="CC398"/>
    </x:row>
    <x:row r="399" ht="115" customHeight="1">
      <x:c r="A399" s="9"/>
      <x:c r="B399" s="9"/>
      <x:c r="C399" s="4"/>
      <x:c r="D399" s="9"/>
      <x:c r="E399" s="9"/>
      <x:c r="F399" s="9"/>
      <x:c r="G399" s="9"/>
      <x:c r="H399" s="9"/>
      <x:c r="I399" s="9"/>
      <x:c r="J399" s="13"/>
      <x:c r="M399" s="9"/>
      <x:c r="N399" s="9"/>
      <x:c r="O399" s="9"/>
      <x:c r="P399" s="17"/>
      <x:c r="V399" s="11"/>
      <x:c r="W399" s="9"/>
      <x:c r="X399" s="4"/>
      <x:c r="Y399" s="4"/>
      <x:c r="Z399" s="4"/>
      <x:c r="AA399" s="4"/>
      <x:c r="AB399" s="4"/>
      <x:c r="AC399" s="4"/>
      <x:c r="AD399" s="4"/>
      <x:c r="AE399" s="4"/>
      <x:c r="AF399" s="4"/>
      <x:c r="AG399" s="4"/>
      <x:c r="AH399" s="4"/>
      <x:c r="AI399" s="4"/>
      <x:c r="AJ399" s="4"/>
      <x:c r="AK399" s="4"/>
      <x:c r="AL399" s="4"/>
      <x:c r="AM399" s="4"/>
      <x:c r="AN399" s="14"/>
      <x:c r="AZ399"/>
      <x:c r="BA399"/>
      <x:c r="BB399"/>
      <x:c r="BC399"/>
      <x:c r="BD399"/>
      <x:c r="BE399"/>
      <x:c r="BF399"/>
      <x:c r="BG399"/>
      <x:c r="BH399"/>
      <x:c r="BI399"/>
      <x:c r="BJ399"/>
      <x:c r="BK399"/>
      <x:c r="BL399"/>
      <x:c r="BM399"/>
      <x:c r="BN399"/>
      <x:c r="BO399"/>
      <x:c r="BP399"/>
      <x:c r="BQ399"/>
      <x:c r="BR399"/>
      <x:c r="BS399"/>
      <x:c r="BT399"/>
      <x:c r="BU399"/>
      <x:c r="BV399"/>
      <x:c r="BW399"/>
      <x:c r="BX399"/>
      <x:c r="BY399"/>
      <x:c r="BZ399"/>
      <x:c r="CA399"/>
      <x:c r="CB399"/>
      <x:c r="CC399"/>
    </x:row>
    <x:row r="400" ht="115" customHeight="1">
      <x:c r="A400" s="9" t="str">
        <x:v>proposal.forging.tongs</x:v>
      </x:c>
      <x:c r="B400" s="9" t="str">
        <x:v>Smithing tongs</x:v>
      </x:c>
      <x:c r="C400" s="4" t="str">
        <x:v>Not applicable</x:v>
      </x:c>
      <x:c r="D400" s="9" t="inlineStr">
        <x:is>
          <x:t xml:space="preserve">Salvage</x:t>
        </x:is>
      </x:c>
      <x:c r="E400" s="9" t="str">
        <x:v>Hot-work holding tool</x:v>
      </x:c>
      <x:c r="F400" s="9" t="str">
        <x:v>New proposal</x:v>
      </x:c>
      <x:c r="G400" s="9" t="str">
        <x:v>Proposed tool for gripping workshop stock during hot metalwork; separate from existing cooking tongs.</x:v>
      </x:c>
      <x:c r="H400" s="9" t="str">
        <x:v>None / workshop tool</x:v>
      </x:c>
      <x:c r="I400" s="9" t="str">
        <x:v>Transport, placement and workshop handling unresolved</x:v>
      </x:c>
      <x:c r="J400" s="13"/>
      <x:c r="K400" s="15"/>
      <x:c r="L400" s="9" t="str">
        <x:v>Manufacture or workshop acquisition unresolved</x:v>
      </x:c>
      <x:c r="M400" s="9" t="str">
        <x:v>Tool materials, construction and ingredient tiers unresolved</x:v>
      </x:c>
      <x:c r="N400" s="9" t="str">
        <x:v>Design item concept; not implemented</x:v>
      </x:c>
      <x:c r="O400" s="9" t="str">
        <x:v>Working material, service temperature, wear and suitability remain undefined; no wood handles or cloth accessories assumed.</x:v>
      </x:c>
      <x:c r="P400" s="17"/>
      <x:c r="Q400" s="17"/>
      <x:c r="R400" s="17"/>
      <x:c r="S400" s="17"/>
      <x:c r="T400" s="17"/>
      <x:c r="U400" s="9" t="str">
        <x:v>No stats, recipe, cost, dimensions or station requirement established. Fixed/mobile workshop use remains open.</x:v>
      </x:c>
      <x:c r="V400" s="11" t="str">
        <x:v>forge tongs; blacksmith tongs; hot-work tongs</x:v>
      </x:c>
      <x:c r="W400" s="9" t="str">
        <x:v>New supporting-tool brainstorming under the author forging-tool direction; Docs/WORLD_BASIS.md#forging-and-workshop-tooling</x:v>
      </x:c>
      <x:c r="X400" s="4" t="str">
        <x:v>Tool</x:v>
      </x:c>
      <x:c r="Y400" s="4" t="str">
        <x:v>Finished item</x:v>
      </x:c>
      <x:c r="Z400" s="4" t="str">
        <x:v>Manufactured / unresolved</x:v>
      </x:c>
      <x:c r="AA400" s="4" t="str">
        <x:v>Work holding</x:v>
      </x:c>
      <x:c r="AB400" s="4" t="str">
        <x:v>Mixed / unresolved</x:v>
      </x:c>
      <x:c r="AC400" s="4" t="str">
        <x:v>Assembly</x:v>
      </x:c>
      <x:c r="AD400" s="4" t="str">
        <x:v>Proposal</x:v>
      </x:c>
      <x:c r="AE400" s="4" t="str">
        <x:f>LOWER(A400&amp;"; "&amp;B400&amp;"; "&amp;D400&amp;"; "&amp;E400&amp;"; "&amp;X400&amp;"; "&amp;Y400&amp;"; "&amp;Z400&amp;"; "&amp;AA400&amp;"; "&amp;AB400&amp;"; "&amp;AC400&amp;"; "&amp;AD400&amp;"; "&amp;V400&amp;"; "&amp;C400&amp;"; "&amp;AH400&amp;"; "&amp;AI400)</x:f>
        <x:v>proposal.forging.tongs; smithing tongs; salvage; hot-work holding tool; tool; finished item; manufactured / unresolved; work holding; mixed / unresolved; assembly; proposal; forge tongs; blacksmith tongs; hot-work tongs; not applicable; t3; finished item</x:v>
      </x:c>
      <x:c r="AF400"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0" s="4" t="str">
        <x:v>Finished endpoint; material tier is not applicable. Input tiers belong to the chosen recipe.</x:v>
      </x:c>
      <x:c r="AH400" s="4" t="str">
        <x:v>T3</x:v>
      </x:c>
      <x:c r="AI400" s="4" t="str">
        <x:v>Finished item</x:v>
      </x:c>
      <x:c r="AJ400" s="4" t="n">
        <x:f>COUNTIFS('Material routes'!$D$6:$D$2205,A400,'Material routes'!$C$6:$C$2205,"Output")</x:f>
        <x:v>1</x:v>
      </x:c>
      <x:c r="AK400" s="4" t="n">
        <x:f>SUM(COUNTIFS('Material routes'!$D$6:$D$2205,A400,'Material routes'!$C$6:$C$2205,"Ingredient candidate"),COUNTIFS('Material routes'!$D$6:$D$2205,A400,'Material routes'!$C$6:$C$2205,"Consumed input"),COUNTIFS('Material routes'!$D$6:$D$2205,A400,'Material routes'!$C$6:$C$2205,"Contained input"),COUNTIFS('Material routes'!$D$6:$D$2205,A400,'Material routes'!$C$6:$C$2205,"Transform input"))</x:f>
        <x:v>0</x:v>
      </x:c>
      <x:c r="AL400" s="4" t="n">
        <x:f>COUNTIFS('Material routes'!$D$6:$D$2205,A400,'Material routes'!$C$6:$C$2205,"Tool candidate")</x:f>
        <x:v>0</x:v>
      </x:c>
      <x:c r="AM400" s="4" t="str">
        <x:f>IF(AJ400&gt;0,"Route listed; review status/completeness",IF(C400="T0","Raw entry feed; no production route","No production route listed"))</x:f>
        <x:v>Route listed; review status/completeness</x:v>
      </x:c>
      <x:c r="AN400" s="14" t="n">
        <x:f>IF(C400="T0",0,IF(C400="T1",1,IF(C400="T2",2,IF(C400="T3",3,IF(C400="T4",4,IF(C400="Unassigned",98,99))))))</x:f>
        <x:v>99</x:v>
      </x:c>
      <x:c r="AZ400"/>
      <x:c r="BA400"/>
      <x:c r="BB400"/>
      <x:c r="BC400"/>
      <x:c r="BD400"/>
      <x:c r="BE400"/>
      <x:c r="BF400"/>
      <x:c r="BG400"/>
      <x:c r="BH400"/>
      <x:c r="BI400"/>
      <x:c r="BJ400"/>
      <x:c r="BK400"/>
      <x:c r="BL400"/>
      <x:c r="BM400"/>
      <x:c r="BN400"/>
      <x:c r="BO400"/>
      <x:c r="BP400"/>
      <x:c r="BQ400"/>
      <x:c r="BR400"/>
      <x:c r="BS400"/>
      <x:c r="BT400"/>
      <x:c r="BU400"/>
      <x:c r="BV400"/>
      <x:c r="BW400"/>
      <x:c r="BX400"/>
      <x:c r="BY400"/>
      <x:c r="BZ400"/>
      <x:c r="CA400"/>
      <x:c r="CB400"/>
      <x:c r="CC400"/>
    </x:row>
    <x:row r="401" ht="115" customHeight="1">
      <x:c r="A401" s="9" t="str">
        <x:v>proposal.forging.sledge</x:v>
      </x:c>
      <x:c r="B401" s="9" t="str">
        <x:v>Forging sledge</x:v>
      </x:c>
      <x:c r="C401" s="4" t="str">
        <x:v>Not applicable</x:v>
      </x:c>
      <x:c r="D401" s="9" t="inlineStr">
        <x:is>
          <x:t xml:space="preserve">Salvage</x:t>
        </x:is>
      </x:c>
      <x:c r="E401" s="9" t="str">
        <x:v>Hand forging tool</x:v>
      </x:c>
      <x:c r="F401" s="9" t="str">
        <x:v>New proposal</x:v>
      </x:c>
      <x:c r="G401" s="9" t="inlineStr">
        <x:is>
          <x:t xml:space="preserve">Proposed heavier striking tool for larger stock or assisted hammering. It supports a controlled metalworking operation; the workpiece, heat source and suitable supporting tools must be established for the process.</x:t>
        </x:is>
      </x:c>
      <x:c r="H401" s="9" t="str">
        <x:v>None / workshop tool</x:v>
      </x:c>
      <x:c r="I401" s="9" t="str">
        <x:v>Transport, placement and workshop handling unresolved</x:v>
      </x:c>
      <x:c r="J401" s="13"/>
      <x:c r="K401" s="15"/>
      <x:c r="L401" s="9" t="str">
        <x:v>Manufacture or workshop acquisition unresolved</x:v>
      </x:c>
      <x:c r="M401" s="9" t="str">
        <x:v>Tool materials, construction and ingredient tiers unresolved</x:v>
      </x:c>
      <x:c r="N401" s="9" t="str">
        <x:v>Design item concept; not implemented</x:v>
      </x:c>
      <x:c r="O401" s="9" t="str">
        <x:v>Working material, service temperature, wear and suitability remain undefined; no wood handles or cloth accessories assumed.</x:v>
      </x:c>
      <x:c r="P401" s="17"/>
      <x:c r="Q401" s="17"/>
      <x:c r="R401" s="17"/>
      <x:c r="S401" s="17"/>
      <x:c r="T401" s="17"/>
      <x:c r="U401" s="9" t="str">
        <x:v>No stats, recipe, cost, dimensions or station requirement established. Fixed/mobile workshop use remains open.</x:v>
      </x:c>
      <x:c r="V401" s="11" t="str">
        <x:v>sledgehammer; striking hammer; forging sledge</x:v>
      </x:c>
      <x:c r="W401" s="9" t="str">
        <x:v>New supporting-tool brainstorming under the author forging-tool direction; Docs/WORLD_BASIS.md#forging-and-workshop-tooling</x:v>
      </x:c>
      <x:c r="X401" s="4" t="str">
        <x:v>Tool</x:v>
      </x:c>
      <x:c r="Y401" s="4" t="str">
        <x:v>Finished item</x:v>
      </x:c>
      <x:c r="Z401" s="4" t="str">
        <x:v>Manufactured / unresolved</x:v>
      </x:c>
      <x:c r="AA401" s="4" t="str">
        <x:v>Metal forging</x:v>
      </x:c>
      <x:c r="AB401" s="4" t="str">
        <x:v>Mixed / unresolved</x:v>
      </x:c>
      <x:c r="AC401" s="4" t="str">
        <x:v>Assembly</x:v>
      </x:c>
      <x:c r="AD401" s="4" t="str">
        <x:v>Proposal</x:v>
      </x:c>
      <x:c r="AE401" s="4" t="str">
        <x:f>LOWER(A401&amp;"; "&amp;B401&amp;"; "&amp;D401&amp;"; "&amp;E401&amp;"; "&amp;X401&amp;"; "&amp;Y401&amp;"; "&amp;Z401&amp;"; "&amp;AA401&amp;"; "&amp;AB401&amp;"; "&amp;AC401&amp;"; "&amp;AD401&amp;"; "&amp;V401&amp;"; "&amp;C401&amp;"; "&amp;AH401&amp;"; "&amp;AI401)</x:f>
        <x:v>proposal.forging.sledge; forging sledge; salvage; hand forging tool; tool; finished item; manufactured / unresolved; metal forging; mixed / unresolved; assembly; proposal; sledgehammer; striking hammer; forging sledge; not applicable; t3; finished item</x:v>
      </x:c>
      <x:c r="AF401"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1" s="4" t="str">
        <x:v>Finished endpoint; material tier is not applicable. Input tiers belong to the chosen recipe.</x:v>
      </x:c>
      <x:c r="AH401" s="4" t="str">
        <x:v>T3</x:v>
      </x:c>
      <x:c r="AI401" s="4" t="str">
        <x:v>Finished item</x:v>
      </x:c>
      <x:c r="AJ401" s="4" t="n">
        <x:f>COUNTIFS('Material routes'!$D$6:$D$2205,A401,'Material routes'!$C$6:$C$2205,"Output")</x:f>
        <x:v>1</x:v>
      </x:c>
      <x:c r="AK401" s="4" t="n">
        <x:f>SUM(COUNTIFS('Material routes'!$D$6:$D$2205,A401,'Material routes'!$C$6:$C$2205,"Ingredient candidate"),COUNTIFS('Material routes'!$D$6:$D$2205,A401,'Material routes'!$C$6:$C$2205,"Consumed input"),COUNTIFS('Material routes'!$D$6:$D$2205,A401,'Material routes'!$C$6:$C$2205,"Contained input"),COUNTIFS('Material routes'!$D$6:$D$2205,A401,'Material routes'!$C$6:$C$2205,"Transform input"))</x:f>
        <x:v>0</x:v>
      </x:c>
      <x:c r="AL401" s="4" t="n">
        <x:f>COUNTIFS('Material routes'!$D$6:$D$2205,A401,'Material routes'!$C$6:$C$2205,"Tool candidate")</x:f>
        <x:v>0</x:v>
      </x:c>
      <x:c r="AM401" s="4" t="str">
        <x:f>IF(AJ401&gt;0,"Route listed; review status/completeness",IF(C401="T0","Raw entry feed; no production route","No production route listed"))</x:f>
        <x:v>Route listed; review status/completeness</x:v>
      </x:c>
      <x:c r="AN401" s="14" t="n">
        <x:f>IF(C401="T0",0,IF(C401="T1",1,IF(C401="T2",2,IF(C401="T3",3,IF(C401="T4",4,IF(C401="Unassigned",98,99))))))</x:f>
        <x:v>99</x:v>
      </x:c>
      <x:c r="AZ401"/>
      <x:c r="BA401"/>
      <x:c r="BB401"/>
      <x:c r="BC401"/>
      <x:c r="BD401"/>
      <x:c r="BE401"/>
      <x:c r="BF401"/>
      <x:c r="BG401"/>
      <x:c r="BH401"/>
      <x:c r="BI401"/>
      <x:c r="BJ401"/>
      <x:c r="BK401"/>
      <x:c r="BL401"/>
      <x:c r="BM401"/>
      <x:c r="BN401"/>
      <x:c r="BO401"/>
      <x:c r="BP401"/>
      <x:c r="BQ401"/>
      <x:c r="BR401"/>
      <x:c r="BS401"/>
      <x:c r="BT401"/>
      <x:c r="BU401"/>
      <x:c r="BV401"/>
      <x:c r="BW401"/>
      <x:c r="BX401"/>
      <x:c r="BY401"/>
      <x:c r="BZ401"/>
      <x:c r="CA401"/>
      <x:c r="CB401"/>
      <x:c r="CC401"/>
    </x:row>
    <x:row r="402" ht="115" customHeight="1">
      <x:c r="A402" s="9" t="str">
        <x:v>proposal.forging.hot_cut</x:v>
      </x:c>
      <x:c r="B402" s="9" t="str">
        <x:v>Hot-cut chisel</x:v>
      </x:c>
      <x:c r="C402" s="4" t="str">
        <x:v>Not applicable</x:v>
      </x:c>
      <x:c r="D402" s="9" t="inlineStr">
        <x:is>
          <x:t xml:space="preserve">Salvage</x:t>
        </x:is>
      </x:c>
      <x:c r="E402" s="9" t="str">
        <x:v>Metal cutting tool</x:v>
      </x:c>
      <x:c r="F402" s="9" t="str">
        <x:v>New proposal</x:v>
      </x:c>
      <x:c r="G402" s="9" t="inlineStr">
        <x:is>
          <x:t xml:space="preserve">Proposed cutting tool for hot metal stock. It supports a controlled metalworking operation; the workpiece, heat source and suitable supporting tools must be established for the process.</x:t>
        </x:is>
      </x:c>
      <x:c r="H402" s="9" t="str">
        <x:v>None / workshop tool</x:v>
      </x:c>
      <x:c r="I402" s="9" t="str">
        <x:v>Transport, placement and workshop handling unresolved</x:v>
      </x:c>
      <x:c r="J402" s="13"/>
      <x:c r="K402" s="15"/>
      <x:c r="L402" s="9" t="str">
        <x:v>Manufacture or workshop acquisition unresolved</x:v>
      </x:c>
      <x:c r="M402" s="9" t="str">
        <x:v>Tool materials, construction and ingredient tiers unresolved</x:v>
      </x:c>
      <x:c r="N402" s="9" t="str">
        <x:v>Design item concept; not implemented</x:v>
      </x:c>
      <x:c r="O402" s="9" t="str">
        <x:v>Working material, service temperature, wear and suitability remain undefined; no wood handles or cloth accessories assumed.</x:v>
      </x:c>
      <x:c r="P402" s="17"/>
      <x:c r="Q402" s="17"/>
      <x:c r="R402" s="17"/>
      <x:c r="S402" s="17"/>
      <x:c r="T402" s="17"/>
      <x:c r="U402" s="9" t="str">
        <x:v>No stats, recipe, cost, dimensions or station requirement established. Fixed/mobile workshop use remains open.</x:v>
      </x:c>
      <x:c r="V402" s="11" t="str">
        <x:v>hot chisel; hot cut; forging chisel</x:v>
      </x:c>
      <x:c r="W402" s="9" t="str">
        <x:v>New supporting-tool brainstorming under the author forging-tool direction; Docs/WORLD_BASIS.md#forging-and-workshop-tooling</x:v>
      </x:c>
      <x:c r="X402" s="4" t="str">
        <x:v>Tool</x:v>
      </x:c>
      <x:c r="Y402" s="4" t="str">
        <x:v>Finished item</x:v>
      </x:c>
      <x:c r="Z402" s="4" t="str">
        <x:v>Manufactured / unresolved</x:v>
      </x:c>
      <x:c r="AA402" s="4" t="str">
        <x:v>Metal forging</x:v>
      </x:c>
      <x:c r="AB402" s="4" t="str">
        <x:v>Mixed / unresolved</x:v>
      </x:c>
      <x:c r="AC402" s="4" t="str">
        <x:v>Assembly</x:v>
      </x:c>
      <x:c r="AD402" s="4" t="str">
        <x:v>Proposal</x:v>
      </x:c>
      <x:c r="AE402" s="4" t="str">
        <x:f>LOWER(A402&amp;"; "&amp;B402&amp;"; "&amp;D402&amp;"; "&amp;E402&amp;"; "&amp;X402&amp;"; "&amp;Y402&amp;"; "&amp;Z402&amp;"; "&amp;AA402&amp;"; "&amp;AB402&amp;"; "&amp;AC402&amp;"; "&amp;AD402&amp;"; "&amp;V402&amp;"; "&amp;C402&amp;"; "&amp;AH402&amp;"; "&amp;AI402)</x:f>
        <x:v>proposal.forging.hot_cut; hot-cut chisel; salvage; metal cutting tool; tool; finished item; manufactured / unresolved; metal forging; mixed / unresolved; assembly; proposal; hot chisel; hot cut; forging chisel; not applicable; t2; finished item</x:v>
      </x:c>
      <x:c r="AF402"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2" s="4" t="str">
        <x:v>Finished endpoint; material tier is not applicable. Input tiers belong to the chosen recipe.</x:v>
      </x:c>
      <x:c r="AH402" s="4" t="str">
        <x:v>T2</x:v>
      </x:c>
      <x:c r="AI402" s="4" t="str">
        <x:v>Finished item</x:v>
      </x:c>
      <x:c r="AJ402" s="4" t="n">
        <x:f>COUNTIFS('Material routes'!$D$6:$D$2205,A402,'Material routes'!$C$6:$C$2205,"Output")</x:f>
        <x:v>1</x:v>
      </x:c>
      <x:c r="AK402" s="4" t="n">
        <x:f>SUM(COUNTIFS('Material routes'!$D$6:$D$2205,A402,'Material routes'!$C$6:$C$2205,"Ingredient candidate"),COUNTIFS('Material routes'!$D$6:$D$2205,A402,'Material routes'!$C$6:$C$2205,"Consumed input"),COUNTIFS('Material routes'!$D$6:$D$2205,A402,'Material routes'!$C$6:$C$2205,"Contained input"),COUNTIFS('Material routes'!$D$6:$D$2205,A402,'Material routes'!$C$6:$C$2205,"Transform input"))</x:f>
        <x:v>0</x:v>
      </x:c>
      <x:c r="AL402" s="4" t="n">
        <x:f>COUNTIFS('Material routes'!$D$6:$D$2205,A402,'Material routes'!$C$6:$C$2205,"Tool candidate")</x:f>
        <x:v>0</x:v>
      </x:c>
      <x:c r="AM402" s="4" t="str">
        <x:f>IF(AJ402&gt;0,"Route listed; review status/completeness",IF(C402="T0","Raw entry feed; no production route","No production route listed"))</x:f>
        <x:v>Route listed; review status/completeness</x:v>
      </x:c>
      <x:c r="AN402" s="14" t="n">
        <x:f>IF(C402="T0",0,IF(C402="T1",1,IF(C402="T2",2,IF(C402="T3",3,IF(C402="T4",4,IF(C402="Unassigned",98,99))))))</x:f>
        <x:v>99</x:v>
      </x:c>
      <x:c r="AZ402"/>
      <x:c r="BA402"/>
      <x:c r="BB402"/>
      <x:c r="BC402"/>
      <x:c r="BD402"/>
      <x:c r="BE402"/>
      <x:c r="BF402"/>
      <x:c r="BG402"/>
      <x:c r="BH402"/>
      <x:c r="BI402"/>
      <x:c r="BJ402"/>
      <x:c r="BK402"/>
      <x:c r="BL402"/>
      <x:c r="BM402"/>
      <x:c r="BN402"/>
      <x:c r="BO402"/>
      <x:c r="BP402"/>
      <x:c r="BQ402"/>
      <x:c r="BR402"/>
      <x:c r="BS402"/>
      <x:c r="BT402"/>
      <x:c r="BU402"/>
      <x:c r="BV402"/>
      <x:c r="BW402"/>
      <x:c r="BX402"/>
      <x:c r="BY402"/>
      <x:c r="BZ402"/>
      <x:c r="CA402"/>
      <x:c r="CB402"/>
      <x:c r="CC402"/>
    </x:row>
    <x:row r="403" ht="115" customHeight="1">
      <x:c r="A403" s="9" t="str">
        <x:v>proposal.forging.punch</x:v>
      </x:c>
      <x:c r="B403" s="9" t="str">
        <x:v>Forging punch</x:v>
      </x:c>
      <x:c r="C403" s="4" t="str">
        <x:v>Not applicable</x:v>
      </x:c>
      <x:c r="D403" s="9" t="inlineStr">
        <x:is>
          <x:t xml:space="preserve">Salvage</x:t>
        </x:is>
      </x:c>
      <x:c r="E403" s="9" t="str">
        <x:v>Metal piercing tool</x:v>
      </x:c>
      <x:c r="F403" s="9" t="str">
        <x:v>New proposal</x:v>
      </x:c>
      <x:c r="G403" s="9" t="inlineStr">
        <x:is>
          <x:t xml:space="preserve">Proposed piercing tool for holes in workable metal stock. It supports a controlled metalworking operation; the workpiece, heat source and suitable supporting tools must be established for the process.</x:t>
        </x:is>
      </x:c>
      <x:c r="H403" s="9" t="str">
        <x:v>None / workshop tool</x:v>
      </x:c>
      <x:c r="I403" s="9" t="str">
        <x:v>Transport, placement and workshop handling unresolved</x:v>
      </x:c>
      <x:c r="J403" s="13"/>
      <x:c r="K403" s="15"/>
      <x:c r="L403" s="9" t="str">
        <x:v>Manufacture or workshop acquisition unresolved</x:v>
      </x:c>
      <x:c r="M403" s="9" t="str">
        <x:v>Tool materials, construction and ingredient tiers unresolved</x:v>
      </x:c>
      <x:c r="N403" s="9" t="str">
        <x:v>Design item concept; not implemented</x:v>
      </x:c>
      <x:c r="O403" s="9" t="str">
        <x:v>Working material, service temperature, wear and suitability remain undefined; no wood handles or cloth accessories assumed.</x:v>
      </x:c>
      <x:c r="P403" s="17"/>
      <x:c r="Q403" s="17"/>
      <x:c r="R403" s="17"/>
      <x:c r="S403" s="17"/>
      <x:c r="T403" s="17"/>
      <x:c r="U403" s="9" t="str">
        <x:v>No stats, recipe, cost, dimensions or station requirement established. Fixed/mobile workshop use remains open.</x:v>
      </x:c>
      <x:c r="V403" s="11" t="str">
        <x:v>smithing punch; hot punch; metal punch</x:v>
      </x:c>
      <x:c r="W403" s="9" t="str">
        <x:v>New supporting-tool brainstorming under the author forging-tool direction; Docs/WORLD_BASIS.md#forging-and-workshop-tooling</x:v>
      </x:c>
      <x:c r="X403" s="4" t="str">
        <x:v>Tool</x:v>
      </x:c>
      <x:c r="Y403" s="4" t="str">
        <x:v>Finished item</x:v>
      </x:c>
      <x:c r="Z403" s="4" t="str">
        <x:v>Manufactured / unresolved</x:v>
      </x:c>
      <x:c r="AA403" s="4" t="str">
        <x:v>Metal forging</x:v>
      </x:c>
      <x:c r="AB403" s="4" t="str">
        <x:v>Mixed / unresolved</x:v>
      </x:c>
      <x:c r="AC403" s="4" t="str">
        <x:v>Assembly</x:v>
      </x:c>
      <x:c r="AD403" s="4" t="str">
        <x:v>Proposal</x:v>
      </x:c>
      <x:c r="AE403" s="4" t="str">
        <x:f>LOWER(A403&amp;"; "&amp;B403&amp;"; "&amp;D403&amp;"; "&amp;E403&amp;"; "&amp;X403&amp;"; "&amp;Y403&amp;"; "&amp;Z403&amp;"; "&amp;AA403&amp;"; "&amp;AB403&amp;"; "&amp;AC403&amp;"; "&amp;AD403&amp;"; "&amp;V403&amp;"; "&amp;C403&amp;"; "&amp;AH403&amp;"; "&amp;AI403)</x:f>
        <x:v>proposal.forging.punch; forging punch; salvage; metal piercing tool; tool; finished item; manufactured / unresolved; metal forging; mixed / unresolved; assembly; proposal; smithing punch; hot punch; metal punch; not applicable; t2; finished item</x:v>
      </x:c>
      <x:c r="AF403"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3" s="4" t="str">
        <x:v>Finished endpoint; material tier is not applicable. Input tiers belong to the chosen recipe.</x:v>
      </x:c>
      <x:c r="AH403" s="4" t="str">
        <x:v>T2</x:v>
      </x:c>
      <x:c r="AI403" s="4" t="str">
        <x:v>Finished item</x:v>
      </x:c>
      <x:c r="AJ403" s="4" t="n">
        <x:f>COUNTIFS('Material routes'!$D$6:$D$2205,A403,'Material routes'!$C$6:$C$2205,"Output")</x:f>
        <x:v>1</x:v>
      </x:c>
      <x:c r="AK403" s="4" t="n">
        <x:f>SUM(COUNTIFS('Material routes'!$D$6:$D$2205,A403,'Material routes'!$C$6:$C$2205,"Ingredient candidate"),COUNTIFS('Material routes'!$D$6:$D$2205,A403,'Material routes'!$C$6:$C$2205,"Consumed input"),COUNTIFS('Material routes'!$D$6:$D$2205,A403,'Material routes'!$C$6:$C$2205,"Contained input"),COUNTIFS('Material routes'!$D$6:$D$2205,A403,'Material routes'!$C$6:$C$2205,"Transform input"))</x:f>
        <x:v>0</x:v>
      </x:c>
      <x:c r="AL403" s="4" t="n">
        <x:f>COUNTIFS('Material routes'!$D$6:$D$2205,A403,'Material routes'!$C$6:$C$2205,"Tool candidate")</x:f>
        <x:v>0</x:v>
      </x:c>
      <x:c r="AM403" s="4" t="str">
        <x:f>IF(AJ403&gt;0,"Route listed; review status/completeness",IF(C403="T0","Raw entry feed; no production route","No production route listed"))</x:f>
        <x:v>Route listed; review status/completeness</x:v>
      </x:c>
      <x:c r="AN403" s="14" t="n">
        <x:f>IF(C403="T0",0,IF(C403="T1",1,IF(C403="T2",2,IF(C403="T3",3,IF(C403="T4",4,IF(C403="Unassigned",98,99))))))</x:f>
        <x:v>99</x:v>
      </x:c>
      <x:c r="AZ403"/>
      <x:c r="BA403"/>
      <x:c r="BB403"/>
      <x:c r="BC403"/>
      <x:c r="BD403"/>
      <x:c r="BE403"/>
      <x:c r="BF403"/>
      <x:c r="BG403"/>
      <x:c r="BH403"/>
      <x:c r="BI403"/>
      <x:c r="BJ403"/>
      <x:c r="BK403"/>
      <x:c r="BL403"/>
      <x:c r="BM403"/>
      <x:c r="BN403"/>
      <x:c r="BO403"/>
      <x:c r="BP403"/>
      <x:c r="BQ403"/>
      <x:c r="BR403"/>
      <x:c r="BS403"/>
      <x:c r="BT403"/>
      <x:c r="BU403"/>
      <x:c r="BV403"/>
      <x:c r="BW403"/>
      <x:c r="BX403"/>
      <x:c r="BY403"/>
      <x:c r="BZ403"/>
      <x:c r="CA403"/>
      <x:c r="CB403"/>
      <x:c r="CC403"/>
    </x:row>
    <x:row r="404" ht="115" customHeight="1">
      <x:c r="A404" s="9" t="str">
        <x:v>proposal.forging.drift</x:v>
      </x:c>
      <x:c r="B404" s="9" t="str">
        <x:v>Forming drift</x:v>
      </x:c>
      <x:c r="C404" s="4" t="str">
        <x:v>Not applicable</x:v>
      </x:c>
      <x:c r="D404" s="9" t="inlineStr">
        <x:is>
          <x:t xml:space="preserve">Salvage</x:t>
        </x:is>
      </x:c>
      <x:c r="E404" s="9" t="str">
        <x:v>Metal shaping tool</x:v>
      </x:c>
      <x:c r="F404" s="9" t="str">
        <x:v>New proposal</x:v>
      </x:c>
      <x:c r="G404" s="9" t="inlineStr">
        <x:is>
          <x:t xml:space="preserve">Proposed tool for shaping or sizing a previously opened hole. It supports a controlled metalworking operation; the workpiece, heat source and suitable supporting tools must be established for the process.</x:t>
        </x:is>
      </x:c>
      <x:c r="H404" s="9" t="str">
        <x:v>None / workshop tool</x:v>
      </x:c>
      <x:c r="I404" s="9" t="str">
        <x:v>Transport, placement and workshop handling unresolved</x:v>
      </x:c>
      <x:c r="J404" s="13"/>
      <x:c r="K404" s="15"/>
      <x:c r="L404" s="9" t="str">
        <x:v>Manufacture or workshop acquisition unresolved</x:v>
      </x:c>
      <x:c r="M404" s="9" t="str">
        <x:v>Tool materials, construction and ingredient tiers unresolved</x:v>
      </x:c>
      <x:c r="N404" s="9" t="str">
        <x:v>Design item concept; not implemented</x:v>
      </x:c>
      <x:c r="O404" s="9" t="str">
        <x:v>Working material, service temperature, wear and suitability remain undefined; no wood handles or cloth accessories assumed.</x:v>
      </x:c>
      <x:c r="P404" s="17"/>
      <x:c r="Q404" s="17"/>
      <x:c r="R404" s="17"/>
      <x:c r="S404" s="17"/>
      <x:c r="T404" s="17"/>
      <x:c r="U404" s="9" t="str">
        <x:v>No stats, recipe, cost, dimensions or station requirement established. Fixed/mobile workshop use remains open.</x:v>
      </x:c>
      <x:c r="V404" s="11" t="str">
        <x:v>smithing drift; forging drift; hole forming tool</x:v>
      </x:c>
      <x:c r="W404" s="9" t="str">
        <x:v>New supporting-tool brainstorming under the author forging-tool direction; Docs/WORLD_BASIS.md#forging-and-workshop-tooling</x:v>
      </x:c>
      <x:c r="X404" s="4" t="str">
        <x:v>Tool</x:v>
      </x:c>
      <x:c r="Y404" s="4" t="str">
        <x:v>Finished item</x:v>
      </x:c>
      <x:c r="Z404" s="4" t="str">
        <x:v>Manufactured / unresolved</x:v>
      </x:c>
      <x:c r="AA404" s="4" t="str">
        <x:v>Metal forging</x:v>
      </x:c>
      <x:c r="AB404" s="4" t="str">
        <x:v>Mixed / unresolved</x:v>
      </x:c>
      <x:c r="AC404" s="4" t="str">
        <x:v>Assembly</x:v>
      </x:c>
      <x:c r="AD404" s="4" t="str">
        <x:v>Proposal</x:v>
      </x:c>
      <x:c r="AE404" s="4" t="str">
        <x:f>LOWER(A404&amp;"; "&amp;B404&amp;"; "&amp;D404&amp;"; "&amp;E404&amp;"; "&amp;X404&amp;"; "&amp;Y404&amp;"; "&amp;Z404&amp;"; "&amp;AA404&amp;"; "&amp;AB404&amp;"; "&amp;AC404&amp;"; "&amp;AD404&amp;"; "&amp;V404&amp;"; "&amp;C404&amp;"; "&amp;AH404&amp;"; "&amp;AI404)</x:f>
        <x:v>proposal.forging.drift; forming drift; salvage; metal shaping tool; tool; finished item; manufactured / unresolved; metal forging; mixed / unresolved; assembly; proposal; smithing drift; forging drift; hole forming tool; not applicable; t2; finished item</x:v>
      </x:c>
      <x:c r="AF404"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4" s="4" t="str">
        <x:v>Finished endpoint; material tier is not applicable. Input tiers belong to the chosen recipe.</x:v>
      </x:c>
      <x:c r="AH404" s="4" t="str">
        <x:v>T2</x:v>
      </x:c>
      <x:c r="AI404" s="4" t="str">
        <x:v>Finished item</x:v>
      </x:c>
      <x:c r="AJ404" s="4" t="n">
        <x:f>COUNTIFS('Material routes'!$D$6:$D$2205,A404,'Material routes'!$C$6:$C$2205,"Output")</x:f>
        <x:v>1</x:v>
      </x:c>
      <x:c r="AK404" s="4" t="n">
        <x:f>SUM(COUNTIFS('Material routes'!$D$6:$D$2205,A404,'Material routes'!$C$6:$C$2205,"Ingredient candidate"),COUNTIFS('Material routes'!$D$6:$D$2205,A404,'Material routes'!$C$6:$C$2205,"Consumed input"),COUNTIFS('Material routes'!$D$6:$D$2205,A404,'Material routes'!$C$6:$C$2205,"Contained input"),COUNTIFS('Material routes'!$D$6:$D$2205,A404,'Material routes'!$C$6:$C$2205,"Transform input"))</x:f>
        <x:v>0</x:v>
      </x:c>
      <x:c r="AL404" s="4" t="n">
        <x:f>COUNTIFS('Material routes'!$D$6:$D$2205,A404,'Material routes'!$C$6:$C$2205,"Tool candidate")</x:f>
        <x:v>0</x:v>
      </x:c>
      <x:c r="AM404" s="4" t="str">
        <x:f>IF(AJ404&gt;0,"Route listed; review status/completeness",IF(C404="T0","Raw entry feed; no production route","No production route listed"))</x:f>
        <x:v>Route listed; review status/completeness</x:v>
      </x:c>
      <x:c r="AN404" s="14" t="n">
        <x:f>IF(C404="T0",0,IF(C404="T1",1,IF(C404="T2",2,IF(C404="T3",3,IF(C404="T4",4,IF(C404="Unassigned",98,99))))))</x:f>
        <x:v>99</x:v>
      </x:c>
      <x:c r="AZ404"/>
      <x:c r="BA404"/>
      <x:c r="BB404"/>
      <x:c r="BC404"/>
      <x:c r="BD404"/>
      <x:c r="BE404"/>
      <x:c r="BF404"/>
      <x:c r="BG404"/>
      <x:c r="BH404"/>
      <x:c r="BI404"/>
      <x:c r="BJ404"/>
      <x:c r="BK404"/>
      <x:c r="BL404"/>
      <x:c r="BM404"/>
      <x:c r="BN404"/>
      <x:c r="BO404"/>
      <x:c r="BP404"/>
      <x:c r="BQ404"/>
      <x:c r="BR404"/>
      <x:c r="BS404"/>
      <x:c r="BT404"/>
      <x:c r="BU404"/>
      <x:c r="BV404"/>
      <x:c r="BW404"/>
      <x:c r="BX404"/>
      <x:c r="BY404"/>
      <x:c r="BZ404"/>
      <x:c r="CA404"/>
      <x:c r="CB404"/>
      <x:c r="CC404"/>
    </x:row>
    <x:row r="405" ht="115" customHeight="1">
      <x:c r="A405" s="9" t="str">
        <x:v>proposal.forging.swage_block</x:v>
      </x:c>
      <x:c r="B405" s="9" t="str">
        <x:v>Swage block</x:v>
      </x:c>
      <x:c r="C405" s="4" t="str">
        <x:v>Not applicable</x:v>
      </x:c>
      <x:c r="D405" s="9" t="inlineStr">
        <x:is>
          <x:t xml:space="preserve">Salvage</x:t>
        </x:is>
      </x:c>
      <x:c r="E405" s="9" t="str">
        <x:v>Workshop forming fixture</x:v>
      </x:c>
      <x:c r="F405" s="9" t="str">
        <x:v>New proposal</x:v>
      </x:c>
      <x:c r="G405" s="9" t="inlineStr">
        <x:is>
          <x:t xml:space="preserve">Proposed shaped support block for working repeated sections or contours. It supports a controlled metalworking operation; the workpiece, heat source and suitable supporting tools must be established for the process.</x:t>
        </x:is>
      </x:c>
      <x:c r="H405" s="9" t="str">
        <x:v>None / workshop tool</x:v>
      </x:c>
      <x:c r="I405" s="9" t="str">
        <x:v>Transport, placement and workshop handling unresolved</x:v>
      </x:c>
      <x:c r="J405" s="13"/>
      <x:c r="K405" s="15"/>
      <x:c r="L405" s="9" t="str">
        <x:v>Manufacture or workshop acquisition unresolved</x:v>
      </x:c>
      <x:c r="M405" s="9" t="str">
        <x:v>Tool materials, construction and ingredient tiers unresolved</x:v>
      </x:c>
      <x:c r="N405" s="9" t="str">
        <x:v>Design item concept; not implemented</x:v>
      </x:c>
      <x:c r="O405" s="9" t="str">
        <x:v>Working material, service temperature, wear and suitability remain undefined; no wood handles or cloth accessories assumed.</x:v>
      </x:c>
      <x:c r="P405" s="17"/>
      <x:c r="Q405" s="17"/>
      <x:c r="R405" s="17"/>
      <x:c r="S405" s="17"/>
      <x:c r="T405" s="17"/>
      <x:c r="U405" s="9" t="str">
        <x:v>No stats, recipe, cost, dimensions or station requirement established. Fixed/mobile workshop use remains open.</x:v>
      </x:c>
      <x:c r="V405" s="11" t="str">
        <x:v>forming block; smithing swage; swage block</x:v>
      </x:c>
      <x:c r="W405" s="9" t="str">
        <x:v>New supporting-tool brainstorming under the author forging-tool direction; Docs/WORLD_BASIS.md#forging-and-workshop-tooling</x:v>
      </x:c>
      <x:c r="X405" s="4" t="str">
        <x:v>Tool</x:v>
      </x:c>
      <x:c r="Y405" s="4" t="str">
        <x:v>Finished item</x:v>
      </x:c>
      <x:c r="Z405" s="4" t="str">
        <x:v>Manufactured / unresolved</x:v>
      </x:c>
      <x:c r="AA405" s="4" t="str">
        <x:v>Metal forging</x:v>
      </x:c>
      <x:c r="AB405" s="4" t="str">
        <x:v>Mixed / unresolved</x:v>
      </x:c>
      <x:c r="AC405" s="4" t="str">
        <x:v>Assembly</x:v>
      </x:c>
      <x:c r="AD405" s="4" t="str">
        <x:v>Proposal</x:v>
      </x:c>
      <x:c r="AE405" s="4" t="str">
        <x:f>LOWER(A405&amp;"; "&amp;B405&amp;"; "&amp;D405&amp;"; "&amp;E405&amp;"; "&amp;X405&amp;"; "&amp;Y405&amp;"; "&amp;Z405&amp;"; "&amp;AA405&amp;"; "&amp;AB405&amp;"; "&amp;AC405&amp;"; "&amp;AD405&amp;"; "&amp;V405&amp;"; "&amp;C405&amp;"; "&amp;AH405&amp;"; "&amp;AI405)</x:f>
        <x:v>proposal.forging.swage_block; swage block; salvage; workshop forming fixture; tool; finished item; manufactured / unresolved; metal forging; mixed / unresolved; assembly; proposal; forming block; smithing swage; swage block; not applicable; t2; finished item</x:v>
      </x:c>
      <x:c r="AF405"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5" s="4" t="str">
        <x:v>Finished endpoint; material tier is not applicable. Input tiers belong to the chosen recipe.</x:v>
      </x:c>
      <x:c r="AH405" s="4" t="str">
        <x:v>T2</x:v>
      </x:c>
      <x:c r="AI405" s="4" t="str">
        <x:v>Finished item</x:v>
      </x:c>
      <x:c r="AJ405" s="4" t="n">
        <x:f>COUNTIFS('Material routes'!$D$6:$D$2205,A405,'Material routes'!$C$6:$C$2205,"Output")</x:f>
        <x:v>1</x:v>
      </x:c>
      <x:c r="AK405" s="4" t="n">
        <x:f>SUM(COUNTIFS('Material routes'!$D$6:$D$2205,A405,'Material routes'!$C$6:$C$2205,"Ingredient candidate"),COUNTIFS('Material routes'!$D$6:$D$2205,A405,'Material routes'!$C$6:$C$2205,"Consumed input"),COUNTIFS('Material routes'!$D$6:$D$2205,A405,'Material routes'!$C$6:$C$2205,"Contained input"),COUNTIFS('Material routes'!$D$6:$D$2205,A405,'Material routes'!$C$6:$C$2205,"Transform input"))</x:f>
        <x:v>0</x:v>
      </x:c>
      <x:c r="AL405" s="4" t="n">
        <x:f>COUNTIFS('Material routes'!$D$6:$D$2205,A405,'Material routes'!$C$6:$C$2205,"Tool candidate")</x:f>
        <x:v>0</x:v>
      </x:c>
      <x:c r="AM405" s="4" t="str">
        <x:f>IF(AJ405&gt;0,"Route listed; review status/completeness",IF(C405="T0","Raw entry feed; no production route","No production route listed"))</x:f>
        <x:v>Route listed; review status/completeness</x:v>
      </x:c>
      <x:c r="AN405" s="14" t="n">
        <x:f>IF(C405="T0",0,IF(C405="T1",1,IF(C405="T2",2,IF(C405="T3",3,IF(C405="T4",4,IF(C405="Unassigned",98,99))))))</x:f>
        <x:v>99</x:v>
      </x:c>
      <x:c r="AZ405"/>
      <x:c r="BA405"/>
      <x:c r="BB405"/>
      <x:c r="BC405"/>
      <x:c r="BD405"/>
      <x:c r="BE405"/>
      <x:c r="BF405"/>
      <x:c r="BG405"/>
      <x:c r="BH405"/>
      <x:c r="BI405"/>
      <x:c r="BJ405"/>
      <x:c r="BK405"/>
      <x:c r="BL405"/>
      <x:c r="BM405"/>
      <x:c r="BN405"/>
      <x:c r="BO405"/>
      <x:c r="BP405"/>
      <x:c r="BQ405"/>
      <x:c r="BR405"/>
      <x:c r="BS405"/>
      <x:c r="BT405"/>
      <x:c r="BU405"/>
      <x:c r="BV405"/>
      <x:c r="BW405"/>
      <x:c r="BX405"/>
      <x:c r="BY405"/>
      <x:c r="BZ405"/>
      <x:c r="CA405"/>
      <x:c r="CB405"/>
      <x:c r="CC405"/>
    </x:row>
    <x:row r="406" ht="115" customHeight="1">
      <x:c r="A406" s="9" t="str">
        <x:v>proposal.forging.file</x:v>
      </x:c>
      <x:c r="B406" s="9" t="str">
        <x:v>Metalworking file</x:v>
      </x:c>
      <x:c r="C406" s="4" t="str">
        <x:v>Not applicable</x:v>
      </x:c>
      <x:c r="D406" s="9" t="inlineStr">
        <x:is>
          <x:t xml:space="preserve">Salvage</x:t>
        </x:is>
      </x:c>
      <x:c r="E406" s="9" t="str">
        <x:v>Metal finishing tool</x:v>
      </x:c>
      <x:c r="F406" s="9" t="str">
        <x:v>New proposal</x:v>
      </x:c>
      <x:c r="G406" s="9" t="inlineStr">
        <x:is>
          <x:t xml:space="preserve">Proposed hand tool for controlled fitting and surface finishing of metal parts. It is intended to prepare or change a workpiece’s surface before a later fitting, coating or use; the treatment must suit that material.</x:t>
        </x:is>
      </x:c>
      <x:c r="H406" s="9" t="str">
        <x:v>None / workshop tool</x:v>
      </x:c>
      <x:c r="I406" s="9" t="str">
        <x:v>Transport, placement and workshop handling unresolved</x:v>
      </x:c>
      <x:c r="J406" s="13"/>
      <x:c r="K406" s="15"/>
      <x:c r="L406" s="9" t="str">
        <x:v>Manufacture or workshop acquisition unresolved</x:v>
      </x:c>
      <x:c r="M406" s="9" t="str">
        <x:v>Tool materials, construction and ingredient tiers unresolved</x:v>
      </x:c>
      <x:c r="N406" s="9" t="str">
        <x:v>Design item concept; not implemented</x:v>
      </x:c>
      <x:c r="O406" s="9" t="str">
        <x:v>Working material, service temperature, wear and suitability remain undefined; no wood handles or cloth accessories assumed.</x:v>
      </x:c>
      <x:c r="P406" s="17"/>
      <x:c r="Q406" s="17"/>
      <x:c r="R406" s="17"/>
      <x:c r="S406" s="17"/>
      <x:c r="T406" s="17"/>
      <x:c r="U406" s="9" t="str">
        <x:v>No stats, recipe, cost, dimensions or station requirement established. Fixed/mobile workshop use remains open.</x:v>
      </x:c>
      <x:c r="V406" s="11" t="str">
        <x:v>metal file; smithing file; finishing file</x:v>
      </x:c>
      <x:c r="W406" s="9" t="str">
        <x:v>New supporting-tool brainstorming under the author forging-tool direction; Docs/WORLD_BASIS.md#forging-and-workshop-tooling</x:v>
      </x:c>
      <x:c r="X406" s="4" t="str">
        <x:v>Tool</x:v>
      </x:c>
      <x:c r="Y406" s="4" t="str">
        <x:v>Finished item</x:v>
      </x:c>
      <x:c r="Z406" s="4" t="str">
        <x:v>Manufactured / unresolved</x:v>
      </x:c>
      <x:c r="AA406" s="4" t="str">
        <x:v>Surface finishing</x:v>
      </x:c>
      <x:c r="AB406" s="4" t="str">
        <x:v>Mixed / unresolved</x:v>
      </x:c>
      <x:c r="AC406" s="4" t="str">
        <x:v>Assembly</x:v>
      </x:c>
      <x:c r="AD406" s="4" t="str">
        <x:v>Proposal</x:v>
      </x:c>
      <x:c r="AE406" s="4" t="str">
        <x:f>LOWER(A406&amp;"; "&amp;B406&amp;"; "&amp;D406&amp;"; "&amp;E406&amp;"; "&amp;X406&amp;"; "&amp;Y406&amp;"; "&amp;Z406&amp;"; "&amp;AA406&amp;"; "&amp;AB406&amp;"; "&amp;AC406&amp;"; "&amp;AD406&amp;"; "&amp;V406&amp;"; "&amp;C406&amp;"; "&amp;AH406&amp;"; "&amp;AI406)</x:f>
        <x:v>proposal.forging.file; metalworking file; salvage; metal finishing tool; tool; finished item; manufactured / unresolved; surface finishing; mixed / unresolved; assembly; proposal; metal file; smithing file; finishing file; not applicable; t3; finished item</x:v>
      </x:c>
      <x:c r="AF406"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6" s="4" t="str">
        <x:v>Finished endpoint; material tier is not applicable. Input tiers belong to the chosen recipe.</x:v>
      </x:c>
      <x:c r="AH406" s="4" t="str">
        <x:v>T3</x:v>
      </x:c>
      <x:c r="AI406" s="4" t="str">
        <x:v>Finished item</x:v>
      </x:c>
      <x:c r="AJ406" s="4" t="n">
        <x:f>COUNTIFS('Material routes'!$D$6:$D$2205,A406,'Material routes'!$C$6:$C$2205,"Output")</x:f>
        <x:v>1</x:v>
      </x:c>
      <x:c r="AK406" s="4" t="n">
        <x:f>SUM(COUNTIFS('Material routes'!$D$6:$D$2205,A406,'Material routes'!$C$6:$C$2205,"Ingredient candidate"),COUNTIFS('Material routes'!$D$6:$D$2205,A406,'Material routes'!$C$6:$C$2205,"Consumed input"),COUNTIFS('Material routes'!$D$6:$D$2205,A406,'Material routes'!$C$6:$C$2205,"Contained input"),COUNTIFS('Material routes'!$D$6:$D$2205,A406,'Material routes'!$C$6:$C$2205,"Transform input"))</x:f>
        <x:v>0</x:v>
      </x:c>
      <x:c r="AL406" s="4" t="n">
        <x:f>COUNTIFS('Material routes'!$D$6:$D$2205,A406,'Material routes'!$C$6:$C$2205,"Tool candidate")</x:f>
        <x:v>5</x:v>
      </x:c>
      <x:c r="AM406" s="4" t="str">
        <x:f>IF(AJ406&gt;0,"Route listed; review status/completeness",IF(C406="T0","Raw entry feed; no production route","No production route listed"))</x:f>
        <x:v>Route listed; review status/completeness</x:v>
      </x:c>
      <x:c r="AN406" s="14" t="n">
        <x:f>IF(C406="T0",0,IF(C406="T1",1,IF(C406="T2",2,IF(C406="T3",3,IF(C406="T4",4,IF(C406="Unassigned",98,99))))))</x:f>
        <x:v>99</x:v>
      </x:c>
      <x:c r="AZ406"/>
      <x:c r="BA406"/>
      <x:c r="BB406"/>
      <x:c r="BC406"/>
      <x:c r="BD406"/>
      <x:c r="BE406"/>
      <x:c r="BF406"/>
      <x:c r="BG406"/>
      <x:c r="BH406"/>
      <x:c r="BI406"/>
      <x:c r="BJ406"/>
      <x:c r="BK406"/>
      <x:c r="BL406"/>
      <x:c r="BM406"/>
      <x:c r="BN406"/>
      <x:c r="BO406"/>
      <x:c r="BP406"/>
      <x:c r="BQ406"/>
      <x:c r="BR406"/>
      <x:c r="BS406"/>
      <x:c r="BT406"/>
      <x:c r="BU406"/>
      <x:c r="BV406"/>
      <x:c r="BW406"/>
      <x:c r="BX406"/>
      <x:c r="BY406"/>
      <x:c r="BZ406"/>
      <x:c r="CA406"/>
      <x:c r="CB406"/>
      <x:c r="CC406"/>
    </x:row>
    <x:row r="407" ht="115" customHeight="1">
      <x:c r="A407" s="9" t="str">
        <x:v>proposal.forging.hearth</x:v>
      </x:c>
      <x:c r="B407" s="9" t="str">
        <x:v>Forge hearth</x:v>
      </x:c>
      <x:c r="C407" s="4" t="str">
        <x:v>Not applicable</x:v>
      </x:c>
      <x:c r="D407" s="9" t="inlineStr">
        <x:is>
          <x:t xml:space="preserve">Crafting stations</x:t>
        </x:is>
      </x:c>
      <x:c r="E407" s="9" t="str">
        <x:v>Workshop heating equipment</x:v>
      </x:c>
      <x:c r="F407" s="9" t="str">
        <x:v>New proposal</x:v>
      </x:c>
      <x:c r="G407" s="9" t="inlineStr">
        <x:is>
          <x:t xml:space="preserve">Proposed bounded workshop heat source for bringing metal to a workable state. It supports a controlled metalworking operation; the workpiece, heat source and suitable supporting tools must be established for the process.</x:t>
        </x:is>
      </x:c>
      <x:c r="H407" s="9" t="str">
        <x:v>None / workshop tool</x:v>
      </x:c>
      <x:c r="I407" s="9" t="str">
        <x:v>Transport, placement and workshop handling unresolved</x:v>
      </x:c>
      <x:c r="J407" s="13"/>
      <x:c r="K407" s="15"/>
      <x:c r="L407" s="9" t="str">
        <x:v>Manufacture or workshop acquisition unresolved</x:v>
      </x:c>
      <x:c r="M407" s="9" t="str">
        <x:v>Tool materials, construction and ingredient tiers unresolved</x:v>
      </x:c>
      <x:c r="N407" s="9" t="str">
        <x:v>Design item concept; not implemented</x:v>
      </x:c>
      <x:c r="O407" s="9" t="str">
        <x:v>Heat source, fuel/energy, atmosphere and draft requirements must follow world fire rules; no ordinary open-air furnace assumed.</x:v>
      </x:c>
      <x:c r="P407" s="17"/>
      <x:c r="Q407" s="17"/>
      <x:c r="R407" s="17"/>
      <x:c r="S407" s="17"/>
      <x:c r="T407" s="17"/>
      <x:c r="U407" s="9" t="str">
        <x:v>No stats, recipe, cost, dimensions or station requirement established. Fixed/mobile workshop use remains open.</x:v>
      </x:c>
      <x:c r="V407" s="11" t="str">
        <x:v>smithing forge; forge hearth; forging furnace</x:v>
      </x:c>
      <x:c r="W407" s="9" t="str">
        <x:v>New supporting-tool brainstorming under the author forging-tool direction; Docs/WORLD_BASIS.md#forging-and-workshop-tooling</x:v>
      </x:c>
      <x:c r="X407" s="4" t="str">
        <x:v>Machine</x:v>
      </x:c>
      <x:c r="Y407" s="4" t="str">
        <x:v>Finished item</x:v>
      </x:c>
      <x:c r="Z407" s="4" t="str">
        <x:v>Manufactured / unresolved</x:v>
      </x:c>
      <x:c r="AA407" s="4" t="str">
        <x:v>Metal forging</x:v>
      </x:c>
      <x:c r="AB407" s="4" t="str">
        <x:v>Mixed / unresolved</x:v>
      </x:c>
      <x:c r="AC407" s="4" t="str">
        <x:v>Assembly</x:v>
      </x:c>
      <x:c r="AD407" s="4" t="str">
        <x:v>Proposal</x:v>
      </x:c>
      <x:c r="AE407" s="4" t="str">
        <x:f>LOWER(A407&amp;"; "&amp;B407&amp;"; "&amp;D407&amp;"; "&amp;E407&amp;"; "&amp;X407&amp;"; "&amp;Y407&amp;"; "&amp;Z407&amp;"; "&amp;AA407&amp;"; "&amp;AB407&amp;"; "&amp;AC407&amp;"; "&amp;AD407&amp;"; "&amp;V407&amp;"; "&amp;C407&amp;"; "&amp;AH407&amp;"; "&amp;AI407)</x:f>
        <x:v>proposal.forging.hearth; forge hearth; crafting stations; workshop heating equipment; machine; finished item; manufactured / unresolved; metal forging; mixed / unresolved; assembly; proposal; smithing forge; forge hearth; forging furnace; not applicable; t3; finished item</x:v>
      </x:c>
      <x:c r="AF407"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7" s="4" t="str">
        <x:v>Finished endpoint; material tier is not applicable. Input tiers belong to the chosen recipe.</x:v>
      </x:c>
      <x:c r="AH407" s="4" t="str">
        <x:v>T3</x:v>
      </x:c>
      <x:c r="AI407" s="4" t="str">
        <x:v>Finished item</x:v>
      </x:c>
      <x:c r="AJ407" s="4" t="n">
        <x:f>COUNTIFS('Material routes'!$D$6:$D$2205,A407,'Material routes'!$C$6:$C$2205,"Output")</x:f>
        <x:v>1</x:v>
      </x:c>
      <x:c r="AK407" s="4" t="n">
        <x:f>SUM(COUNTIFS('Material routes'!$D$6:$D$2205,A407,'Material routes'!$C$6:$C$2205,"Ingredient candidate"),COUNTIFS('Material routes'!$D$6:$D$2205,A407,'Material routes'!$C$6:$C$2205,"Consumed input"),COUNTIFS('Material routes'!$D$6:$D$2205,A407,'Material routes'!$C$6:$C$2205,"Contained input"),COUNTIFS('Material routes'!$D$6:$D$2205,A407,'Material routes'!$C$6:$C$2205,"Transform input"))</x:f>
        <x:v>0</x:v>
      </x:c>
      <x:c r="AL407" s="4" t="n">
        <x:f>COUNTIFS('Material routes'!$D$6:$D$2205,A407,'Material routes'!$C$6:$C$2205,"Tool candidate")</x:f>
        <x:v>1</x:v>
      </x:c>
      <x:c r="AM407" s="4" t="str">
        <x:f>IF(AJ407&gt;0,"Route listed; review status/completeness",IF(C407="T0","Raw entry feed; no production route","No production route listed"))</x:f>
        <x:v>Route listed; review status/completeness</x:v>
      </x:c>
      <x:c r="AN407" s="14" t="n">
        <x:f>IF(C407="T0",0,IF(C407="T1",1,IF(C407="T2",2,IF(C407="T3",3,IF(C407="T4",4,IF(C407="Unassigned",98,99))))))</x:f>
        <x:v>99</x:v>
      </x:c>
      <x:c r="AZ407"/>
      <x:c r="BA407"/>
      <x:c r="BB407"/>
      <x:c r="BC407"/>
      <x:c r="BD407"/>
      <x:c r="BE407"/>
      <x:c r="BF407"/>
      <x:c r="BG407"/>
      <x:c r="BH407"/>
      <x:c r="BI407"/>
      <x:c r="BJ407"/>
      <x:c r="BK407"/>
      <x:c r="BL407"/>
      <x:c r="BM407"/>
      <x:c r="BN407"/>
      <x:c r="BO407"/>
      <x:c r="BP407"/>
      <x:c r="BQ407"/>
      <x:c r="BR407"/>
      <x:c r="BS407"/>
      <x:c r="BT407"/>
      <x:c r="BU407"/>
      <x:c r="BV407"/>
      <x:c r="BW407"/>
      <x:c r="BX407"/>
      <x:c r="BY407"/>
      <x:c r="BZ407"/>
      <x:c r="CA407"/>
      <x:c r="CB407"/>
      <x:c r="CC407"/>
    </x:row>
    <x:row r="408" ht="115" customHeight="1">
      <x:c r="A408" s="9" t="str">
        <x:v>author.metallurgy.steel_stock</x:v>
      </x:c>
      <x:c r="B408" s="9" t="str">
        <x:v>Steel stock</x:v>
      </x:c>
      <x:c r="C408" s="4" t="str">
        <x:v>T2</x:v>
      </x:c>
      <x:c r="D408" s="9" t="str">
        <x:v>Manufactured stock</x:v>
      </x:c>
      <x:c r="E408" s="9" t="str">
        <x:v>Steel material</x:v>
      </x:c>
      <x:c r="F408" s="9" t="str">
        <x:v>Author-directed concept</x:v>
      </x:c>
      <x:c r="G408" s="9" t="inlineStr">
        <x:is>
          <x:t xml:space="preserve">Manufactured steel stock for later fabrication. It provides candidate material or a shaped starting piece for making other objects, with the final form set by the receiving design.</x:t>
        </x:is>
      </x:c>
      <x:c r="H408" s="9" t="str">
        <x:v>None</x:v>
      </x:c>
      <x:c r="I408" s="9" t="str">
        <x:v>Workshop or cargo stock; forms unresolved</x:v>
      </x:c>
      <x:c r="J408" s="13"/>
      <x:c r="K408" s="15"/>
      <x:c r="L408" s="9" t="str">
        <x:v>Contemporary steelmaking capability; production and access details unresolved</x:v>
      </x:c>
      <x:c r="M408" s="9" t="str">
        <x:v>Fairly advanced steelmaking is author direction. Specific feedstocks, refining routes, alloying and heat treatment remain open.</x:v>
      </x:c>
      <x:c r="N408" s="9" t="str">
        <x:v>Material family; not implemented</x:v>
      </x:c>
      <x:c r="O408" s="9" t="str">
        <x:v>No particular steel grade, composition, performance, abundance or manufacturing recipe established</x:v>
      </x:c>
      <x:c r="P408" s="17"/>
      <x:c r="Q408" s="17"/>
      <x:c r="R408" s="17"/>
      <x:c r="S408" s="17"/>
      <x:c r="T408" s="17"/>
      <x:c r="U408" s="9" t="str">
        <x:v>Select material grades and production routes before assigning tiers, costs, yield or properties.</x:v>
      </x:c>
      <x:c r="V408" s="11" t="str">
        <x:v>steel; steelmaking; advanced metallurgy; refined steel</x:v>
      </x:c>
      <x:c r="W408" s="9" t="str">
        <x:v>Direct author direction, October 14, 2026; Docs/WORLD_BASIS.md#forging-and-workshop-tooling</x:v>
      </x:c>
      <x:c r="X408" s="4" t="str">
        <x:v>Processed material</x:v>
      </x:c>
      <x:c r="Y408" s="4" t="str">
        <x:v>Processed intermediate</x:v>
      </x:c>
      <x:c r="Z408" s="4" t="str">
        <x:v>Manufactured / unresolved</x:v>
      </x:c>
      <x:c r="AA408" s="4" t="str">
        <x:v>Fabrication</x:v>
      </x:c>
      <x:c r="AB408" s="4" t="str">
        <x:v>Metal</x:v>
      </x:c>
      <x:c r="AC408" s="4" t="str">
        <x:v>Unresolved</x:v>
      </x:c>
      <x:c r="AD408" s="4" t="str">
        <x:v>Author direction</x:v>
      </x:c>
      <x:c r="AE408" s="4" t="str">
        <x:f>LOWER(A408&amp;"; "&amp;B408&amp;"; "&amp;D408&amp;"; "&amp;E408&amp;"; "&amp;X408&amp;"; "&amp;Y408&amp;"; "&amp;Z408&amp;"; "&amp;AA408&amp;"; "&amp;AB408&amp;"; "&amp;AC408&amp;"; "&amp;AD408&amp;"; "&amp;V408&amp;"; "&amp;C408&amp;"; "&amp;AH408&amp;"; "&amp;AI408)</x:f>
        <x:v>author.metallurgy.steel_stock; steel stock; manufactured stock; steel material; processed material; processed intermediate; manufactured / unresolved; fabrication; metal; unresolved; author direction; steel; steelmaking; advanced metallurgy; refined steel; t2; not applicable; material</x:v>
      </x:c>
      <x:c r="AF408" s="4" t="str">
        <x:v>Fairly advanced contemporary steelmaking is established; this does not establish specific modern alloy grades or ancient-material reproduction. Lore category review: Resources -&gt; Manufactured stock. Classification only; original item status and tier retained.</x:v>
      </x:c>
      <x:c r="AG408" s="4" t="str">
        <x:v>Proposed October 15 tier/recipe for the existing item family; not a change to its original item-design status. Existing author-directed steel family reused. Tier/inputs are proposed; carbon control, process, qualified grade and heat treatment remain open.</x:v>
      </x:c>
      <x:c r="AH408" s="4" t="str">
        <x:v>Not applicable</x:v>
      </x:c>
      <x:c r="AI408" s="4" t="str">
        <x:v>Material</x:v>
      </x:c>
      <x:c r="AJ408" s="4" t="n">
        <x:f>COUNTIFS('Material routes'!$D$6:$D$2205,A408,'Material routes'!$C$6:$C$2205,"Output")</x:f>
        <x:v>1</x:v>
      </x:c>
      <x:c r="AK408" s="4" t="n">
        <x:f>SUM(COUNTIFS('Material routes'!$D$6:$D$2205,A408,'Material routes'!$C$6:$C$2205,"Ingredient candidate"),COUNTIFS('Material routes'!$D$6:$D$2205,A408,'Material routes'!$C$6:$C$2205,"Consumed input"),COUNTIFS('Material routes'!$D$6:$D$2205,A408,'Material routes'!$C$6:$C$2205,"Contained input"),COUNTIFS('Material routes'!$D$6:$D$2205,A408,'Material routes'!$C$6:$C$2205,"Transform input"))</x:f>
        <x:v>127</x:v>
      </x:c>
      <x:c r="AL408" s="4" t="n">
        <x:f>COUNTIFS('Material routes'!$D$6:$D$2205,A408,'Material routes'!$C$6:$C$2205,"Tool candidate")</x:f>
        <x:v>0</x:v>
      </x:c>
      <x:c r="AM408" s="4" t="str">
        <x:f>IF(AJ408&gt;0,"Route listed; review status/completeness",IF(C408="T0","Raw entry feed; no production route","No production route listed"))</x:f>
        <x:v>Route listed; review status/completeness</x:v>
      </x:c>
      <x:c r="AN408" s="14" t="n">
        <x:f>IF(C408="T0",0,IF(C408="T1",1,IF(C408="T2",2,IF(C408="T3",3,IF(C408="T4",4,IF(C408="Unassigned",98,99))))))</x:f>
        <x:v>2</x:v>
      </x:c>
      <x:c r="AZ408"/>
      <x:c r="BA408"/>
      <x:c r="BB408"/>
      <x:c r="BC408"/>
      <x:c r="BD408"/>
      <x:c r="BE408"/>
      <x:c r="BF408"/>
      <x:c r="BG408"/>
      <x:c r="BH408"/>
      <x:c r="BI408"/>
      <x:c r="BJ408"/>
      <x:c r="BK408"/>
      <x:c r="BL408"/>
      <x:c r="BM408"/>
      <x:c r="BN408"/>
      <x:c r="BO408"/>
      <x:c r="BP408"/>
      <x:c r="BQ408"/>
      <x:c r="BR408"/>
      <x:c r="BS408"/>
      <x:c r="BT408"/>
      <x:c r="BU408"/>
      <x:c r="BV408"/>
      <x:c r="BW408"/>
      <x:c r="BX408"/>
      <x:c r="BY408"/>
      <x:c r="BZ408"/>
      <x:c r="CA408"/>
      <x:c r="CB408"/>
      <x:c r="CC408"/>
    </x:row>
    <x:row r="409" ht="115" customHeight="1">
      <x:c r="A409" s="9"/>
      <x:c r="B409" s="9"/>
      <x:c r="C409" s="4"/>
      <x:c r="D409" s="9"/>
      <x:c r="E409" s="9"/>
      <x:c r="F409" s="9"/>
      <x:c r="G409" s="9"/>
      <x:c r="H409" s="9"/>
      <x:c r="I409" s="9"/>
      <x:c r="J409" s="13"/>
      <x:c r="M409" s="9"/>
      <x:c r="N409" s="9"/>
      <x:c r="O409" s="9"/>
      <x:c r="P409" s="17"/>
      <x:c r="V409" s="11"/>
      <x:c r="W409" s="9"/>
      <x:c r="X409" s="4"/>
      <x:c r="Y409" s="4"/>
      <x:c r="Z409" s="4"/>
      <x:c r="AA409" s="4"/>
      <x:c r="AB409" s="4"/>
      <x:c r="AC409" s="4"/>
      <x:c r="AD409" s="4"/>
      <x:c r="AE409" s="4"/>
      <x:c r="AF409" s="4"/>
      <x:c r="AG409" s="4"/>
      <x:c r="AH409" s="4"/>
      <x:c r="AI409" s="4"/>
      <x:c r="AJ409" s="4"/>
      <x:c r="AK409" s="4"/>
      <x:c r="AL409" s="4"/>
      <x:c r="AM409" s="4"/>
      <x:c r="AN409" s="14"/>
      <x:c r="AZ409"/>
      <x:c r="BA409"/>
      <x:c r="BB409"/>
      <x:c r="BC409"/>
      <x:c r="BD409"/>
      <x:c r="BE409"/>
      <x:c r="BF409"/>
      <x:c r="BG409"/>
      <x:c r="BH409"/>
      <x:c r="BI409"/>
      <x:c r="BJ409"/>
      <x:c r="BK409"/>
      <x:c r="BL409"/>
      <x:c r="BM409"/>
      <x:c r="BN409"/>
      <x:c r="BO409"/>
      <x:c r="BP409"/>
      <x:c r="BQ409"/>
      <x:c r="BR409"/>
      <x:c r="BS409"/>
      <x:c r="BT409"/>
      <x:c r="BU409"/>
      <x:c r="BV409"/>
      <x:c r="BW409"/>
      <x:c r="BX409"/>
      <x:c r="BY409"/>
      <x:c r="BZ409"/>
      <x:c r="CA409"/>
      <x:c r="CB409"/>
      <x:c r="CC409"/>
    </x:row>
    <x:row r="410" ht="115" customHeight="1">
      <x:c r="A410" s="9"/>
      <x:c r="B410" s="9"/>
      <x:c r="C410" s="4"/>
      <x:c r="D410" s="9"/>
      <x:c r="E410" s="9"/>
      <x:c r="F410" s="9"/>
      <x:c r="G410" s="9"/>
      <x:c r="H410" s="9"/>
      <x:c r="I410" s="9"/>
      <x:c r="J410" s="13"/>
      <x:c r="M410" s="9"/>
      <x:c r="N410" s="9"/>
      <x:c r="O410" s="9"/>
      <x:c r="P410" s="17"/>
      <x:c r="V410" s="11"/>
      <x:c r="W410" s="9"/>
      <x:c r="X410" s="4"/>
      <x:c r="Y410" s="4"/>
      <x:c r="Z410" s="4"/>
      <x:c r="AA410" s="4"/>
      <x:c r="AB410" s="4"/>
      <x:c r="AC410" s="4"/>
      <x:c r="AD410" s="4"/>
      <x:c r="AE410" s="4"/>
      <x:c r="AF410" s="4"/>
      <x:c r="AG410" s="4"/>
      <x:c r="AH410" s="4"/>
      <x:c r="AI410" s="4"/>
      <x:c r="AJ410" s="4"/>
      <x:c r="AK410" s="4"/>
      <x:c r="AL410" s="4"/>
      <x:c r="AM410" s="4"/>
      <x:c r="AN410" s="14"/>
      <x:c r="AZ410"/>
      <x:c r="BA410"/>
      <x:c r="BB410"/>
      <x:c r="BC410"/>
      <x:c r="BD410"/>
      <x:c r="BE410"/>
      <x:c r="BF410"/>
      <x:c r="BG410"/>
      <x:c r="BH410"/>
      <x:c r="BI410"/>
      <x:c r="BJ410"/>
      <x:c r="BK410"/>
      <x:c r="BL410"/>
      <x:c r="BM410"/>
      <x:c r="BN410"/>
      <x:c r="BO410"/>
      <x:c r="BP410"/>
      <x:c r="BQ410"/>
      <x:c r="BR410"/>
      <x:c r="BS410"/>
      <x:c r="BT410"/>
      <x:c r="BU410"/>
      <x:c r="BV410"/>
      <x:c r="BW410"/>
      <x:c r="BX410"/>
      <x:c r="BY410"/>
      <x:c r="BZ410"/>
      <x:c r="CA410"/>
      <x:c r="CB410"/>
      <x:c r="CC410"/>
    </x:row>
    <x:row r="411" ht="115" customHeight="1">
      <x:c r="A411" s="9" t="str">
        <x:v>author.corrosion.advanced_remover</x:v>
      </x:c>
      <x:c r="B411" s="9" t="str">
        <x:v>Advanced rust-removal compound</x:v>
      </x:c>
      <x:c r="C411" s="4" t="str">
        <x:v>T2</x:v>
      </x:c>
      <x:c r="D411" s="9" t="inlineStr">
        <x:is>
          <x:t xml:space="preserve">Crafting components</x:t>
        </x:is>
      </x:c>
      <x:c r="E411" s="9" t="str">
        <x:v>Metal surface-treatment material</x:v>
      </x:c>
      <x:c r="F411" s="9" t="str">
        <x:v>Author-directed concept</x:v>
      </x:c>
      <x:c r="G411" s="9" t="inlineStr">
        <x:is>
          <x:t xml:space="preserve">Advanced de-rusting material intended to remove corrosion products from iron/steel. It is intended to prepare or change a workpiece’s surface before a later fitting, coating or use; the treatment must suit that material.</x:t>
        </x:is>
      </x:c>
      <x:c r="H411" s="9" t="str">
        <x:v>None</x:v>
      </x:c>
      <x:c r="I411" s="9" t="str">
        <x:v>Contained workshop material; physical form and carrier unresolved</x:v>
      </x:c>
      <x:c r="J411" s="13"/>
      <x:c r="K411" s="15"/>
      <x:c r="L411" s="9" t="str">
        <x:v>Workshop manufacture or trade; inputs unresolved</x:v>
      </x:c>
      <x:c r="M411" s="9" t="str">
        <x:v>Mineral/faunal chemistry is a possible game direction, not an accepted formulation. Composition, carrier and material tier remain open.</x:v>
      </x:c>
      <x:c r="N411" s="9" t="str">
        <x:v>Material concept; not implemented</x:v>
      </x:c>
      <x:c r="O411" s="9" t="str">
        <x:v>Removal, conversion and prevention are distinct functions. Substrate compatibility, residues and effects on existing finishes remain undefined.</x:v>
      </x:c>
      <x:c r="P411" s="17"/>
      <x:c r="Q411" s="17"/>
      <x:c r="R411" s="17"/>
      <x:c r="S411" s="17"/>
      <x:c r="T411" s="17"/>
      <x:c r="U411" s="9" t="str">
        <x:v>No exact reagent, free-water bath, plant extract, numeric effect or restoration of lost metal is established.</x:v>
      </x:c>
      <x:c r="V411" s="11" t="str">
        <x:v>derusting; de-rusting; rust remover; oxide removal compound</x:v>
      </x:c>
      <x:c r="W411" s="9" t="str">
        <x:v>Direct author direction, October 14, 2026. Docs/WORLD_BASIS.md#metal-corrosion-and-surface-treatment; real-world function reference only: https://www.canada.ca/en/conservation-institute/services/care-objects/metals/basic-care-iron.html . Reference methods are not game recipes.</x:v>
      </x:c>
      <x:c r="X411" s="4" t="str">
        <x:v>Chemical material</x:v>
      </x:c>
      <x:c r="Y411" s="4" t="str">
        <x:v>Processed intermediate</x:v>
      </x:c>
      <x:c r="Z411" s="4" t="str">
        <x:v>Manufactured / unresolved</x:v>
      </x:c>
      <x:c r="AA411" s="4" t="str">
        <x:v>Surface finishing</x:v>
      </x:c>
      <x:c r="AB411" s="4" t="str">
        <x:v>Mixed / unresolved</x:v>
      </x:c>
      <x:c r="AC411" s="4" t="str">
        <x:v>Unresolved</x:v>
      </x:c>
      <x:c r="AD411" s="4" t="str">
        <x:v>Author direction</x:v>
      </x:c>
      <x:c r="AE411" s="4" t="str">
        <x:f>LOWER(A411&amp;"; "&amp;B411&amp;"; "&amp;D411&amp;"; "&amp;E411&amp;"; "&amp;X411&amp;"; "&amp;Y411&amp;"; "&amp;Z411&amp;"; "&amp;AA411&amp;"; "&amp;AB411&amp;"; "&amp;AC411&amp;"; "&amp;AD411&amp;"; "&amp;V411&amp;"; "&amp;C411&amp;"; "&amp;AH411&amp;"; "&amp;AI411)</x:f>
        <x:v>author.corrosion.advanced_remover; advanced rust-removal compound; crafting components; metal surface-treatment material; chemical material; processed intermediate; manufactured / unresolved; surface finishing; mixed / unresolved; unresolved; author direction; derusting; de-rusting; rust remover; oxide removal compound; t2; not applicable; material</x:v>
      </x:c>
      <x:c r="AF411" s="4" t="inlineStr">
        <x:is>
          <x:t xml:space="preserve">Advanced de-rusting material family is author direction; formulation and performance are not specified.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1" s="4" t="str">
        <x:v>Proposed October 15 tier/recipe for the existing item family; not a change to its original item-design status. Existing author-directed family reused. Ingredient roles are hypotheses; no formula, universal metal selectivity or restoration of missing metal.</x:v>
      </x:c>
      <x:c r="AH411" s="4" t="str">
        <x:v>Not applicable</x:v>
      </x:c>
      <x:c r="AI411" s="4" t="str">
        <x:v>Material</x:v>
      </x:c>
      <x:c r="AJ411" s="4" t="n">
        <x:f>COUNTIFS('Material routes'!$D$6:$D$2205,A411,'Material routes'!$C$6:$C$2205,"Output")</x:f>
        <x:v>2</x:v>
      </x:c>
      <x:c r="AK411" s="4" t="n">
        <x:f>SUM(COUNTIFS('Material routes'!$D$6:$D$2205,A411,'Material routes'!$C$6:$C$2205,"Ingredient candidate"),COUNTIFS('Material routes'!$D$6:$D$2205,A411,'Material routes'!$C$6:$C$2205,"Consumed input"),COUNTIFS('Material routes'!$D$6:$D$2205,A411,'Material routes'!$C$6:$C$2205,"Contained input"),COUNTIFS('Material routes'!$D$6:$D$2205,A411,'Material routes'!$C$6:$C$2205,"Transform input"))</x:f>
        <x:v>0</x:v>
      </x:c>
      <x:c r="AL411" s="4" t="n">
        <x:f>COUNTIFS('Material routes'!$D$6:$D$2205,A411,'Material routes'!$C$6:$C$2205,"Tool candidate")</x:f>
        <x:v>0</x:v>
      </x:c>
      <x:c r="AM411" s="4" t="str">
        <x:f>IF(AJ411&gt;0,"Route listed; review status/completeness",IF(C411="T0","Raw entry feed; no production route","No production route listed"))</x:f>
        <x:v>Route listed; review status/completeness</x:v>
      </x:c>
      <x:c r="AN411" s="14" t="n">
        <x:f>IF(C411="T0",0,IF(C411="T1",1,IF(C411="T2",2,IF(C411="T3",3,IF(C411="T4",4,IF(C411="Unassigned",98,99))))))</x:f>
        <x:v>2</x:v>
      </x:c>
      <x:c r="AZ411"/>
      <x:c r="BA411"/>
      <x:c r="BB411"/>
      <x:c r="BC411"/>
      <x:c r="BD411"/>
      <x:c r="BE411"/>
      <x:c r="BF411"/>
      <x:c r="BG411"/>
      <x:c r="BH411"/>
      <x:c r="BI411"/>
      <x:c r="BJ411"/>
      <x:c r="BK411"/>
      <x:c r="BL411"/>
      <x:c r="BM411"/>
      <x:c r="BN411"/>
      <x:c r="BO411"/>
      <x:c r="BP411"/>
      <x:c r="BQ411"/>
      <x:c r="BR411"/>
      <x:c r="BS411"/>
      <x:c r="BT411"/>
      <x:c r="BU411"/>
      <x:c r="BV411"/>
      <x:c r="BW411"/>
      <x:c r="BX411"/>
      <x:c r="BY411"/>
      <x:c r="BZ411"/>
      <x:c r="CA411"/>
      <x:c r="CB411"/>
      <x:c r="CC411"/>
    </x:row>
    <x:row r="412" ht="170" customHeight="1">
      <x:c r="A412" s="9" t="str">
        <x:v>proposal.corrosion.converter</x:v>
      </x:c>
      <x:c r="B412" s="9" t="str">
        <x:v>Rust-conversion treatment</x:v>
      </x:c>
      <x:c r="C412" s="4" t="str">
        <x:v>T2</x:v>
      </x:c>
      <x:c r="D412" s="9" t="inlineStr">
        <x:is>
          <x:t xml:space="preserve">Crafting components</x:t>
        </x:is>
      </x:c>
      <x:c r="E412" s="9" t="str">
        <x:v>Metal surface-treatment material</x:v>
      </x:c>
      <x:c r="F412" s="9" t="str">
        <x:v>New proposal</x:v>
      </x:c>
      <x:c r="G412" s="9" t="str">
        <x:v>Candidate treatment that changes selected residual rust into an adherent conversion layer rather than removing it.</x:v>
      </x:c>
      <x:c r="H412" s="9" t="str">
        <x:v>None</x:v>
      </x:c>
      <x:c r="I412" s="9" t="str">
        <x:v>Contained workshop material; physical form and carrier unresolved</x:v>
      </x:c>
      <x:c r="J412" s="13"/>
      <x:c r="K412" s="15"/>
      <x:c r="L412" s="9" t="str">
        <x:v>Workshop manufacture or trade; inputs unresolved</x:v>
      </x:c>
      <x:c r="M412" s="9" t="str">
        <x:v>Mineral/faunal chemistry is a possible game direction, not an accepted formulation. Composition, carrier and material tier remain open.</x:v>
      </x:c>
      <x:c r="N412" s="9" t="str">
        <x:v>Material concept; not implemented</x:v>
      </x:c>
      <x:c r="O412" s="9" t="str">
        <x:v>Removal, conversion and prevention are distinct functions. Substrate compatibility, residues and effects on existing finishes remain undefined.</x:v>
      </x:c>
      <x:c r="P412" s="17"/>
      <x:c r="Q412" s="17"/>
      <x:c r="R412" s="17"/>
      <x:c r="S412" s="17"/>
      <x:c r="T412" s="17"/>
      <x:c r="U412" s="9" t="str">
        <x:v>No exact reagent, free-water bath, plant extract, numeric effect or restoration of lost metal is established.</x:v>
      </x:c>
      <x:c r="V412" s="11" t="str">
        <x:v>rust converter; conversion treatment; oxide conversion</x:v>
      </x:c>
      <x:c r="W412" s="9" t="str">
        <x:v>New game proposal. Docs/WORLD_BASIS.md#metal-corrosion-and-surface-treatment; real-world function reference only: https://www.canada.ca/en/conservation-institute/services/conservation-preservation-publications/canadian-conservation-institute-notes/tannic-acid-rusted-iron-artifacts.html . Reference methods are not game recipes.</x:v>
      </x:c>
      <x:c r="X412" s="4" t="str">
        <x:v>Chemical material</x:v>
      </x:c>
      <x:c r="Y412" s="4" t="str">
        <x:v>Processed intermediate</x:v>
      </x:c>
      <x:c r="Z412" s="4" t="str">
        <x:v>Manufactured / unresolved</x:v>
      </x:c>
      <x:c r="AA412" s="4" t="str">
        <x:v>Surface finishing</x:v>
      </x:c>
      <x:c r="AB412" s="4" t="str">
        <x:v>Mixed / unresolved</x:v>
      </x:c>
      <x:c r="AC412" s="4" t="str">
        <x:v>Unresolved</x:v>
      </x:c>
      <x:c r="AD412" s="4" t="str">
        <x:v>Proposal</x:v>
      </x:c>
      <x:c r="AE412" s="4" t="str">
        <x:f>LOWER(A412&amp;"; "&amp;B412&amp;"; "&amp;D412&amp;"; "&amp;E412&amp;"; "&amp;X412&amp;"; "&amp;Y412&amp;"; "&amp;Z412&amp;"; "&amp;AA412&amp;"; "&amp;AB412&amp;"; "&amp;AC412&amp;"; "&amp;AD412&amp;"; "&amp;V412&amp;"; "&amp;C412&amp;"; "&amp;AH412&amp;"; "&amp;AI412)</x:f>
        <x:v>proposal.corrosion.converter; rust-conversion treatment; crafting components; metal surface-treatment material; chemical material; processed intermediate; manufactured / unresolved; surface finishing; mixed / unresolved; unresolved; proposal; rust converter; conversion treatment; oxide conversion; t2; not applicable; material</x:v>
      </x:c>
      <x:c r="AF412" s="4" t="inlineStr">
        <x:is>
          <x:t xml:space="preserve">Supporting surface-treatment proposal informed by real-world distinctions; not separately accepted game canon.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2" s="4" t="str">
        <x:v>October 15 proposed tier review: 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AH412" s="4" t="str">
        <x:v>Not applicable</x:v>
      </x:c>
      <x:c r="AI412" s="4" t="str">
        <x:v>Material</x:v>
      </x:c>
      <x:c r="AJ412" s="4" t="n">
        <x:f>COUNTIFS('Material routes'!$D$6:$D$2205,A412,'Material routes'!$C$6:$C$2205,"Output")</x:f>
        <x:v>1</x:v>
      </x:c>
      <x:c r="AK412" s="4" t="n">
        <x:f>SUM(COUNTIFS('Material routes'!$D$6:$D$2205,A412,'Material routes'!$C$6:$C$2205,"Ingredient candidate"),COUNTIFS('Material routes'!$D$6:$D$2205,A412,'Material routes'!$C$6:$C$2205,"Consumed input"),COUNTIFS('Material routes'!$D$6:$D$2205,A412,'Material routes'!$C$6:$C$2205,"Contained input"),COUNTIFS('Material routes'!$D$6:$D$2205,A412,'Material routes'!$C$6:$C$2205,"Transform input"))</x:f>
        <x:v>0</x:v>
      </x:c>
      <x:c r="AL412" s="4" t="n">
        <x:f>COUNTIFS('Material routes'!$D$6:$D$2205,A412,'Material routes'!$C$6:$C$2205,"Tool candidate")</x:f>
        <x:v>0</x:v>
      </x:c>
      <x:c r="AM412" s="4" t="str">
        <x:f>IF(AJ412&gt;0,"Route listed; review status/completeness",IF(C412="T0","Raw entry feed; no production route","No production route listed"))</x:f>
        <x:v>Route listed; review status/completeness</x:v>
      </x:c>
      <x:c r="AN412" s="14" t="n">
        <x:f>IF(C412="T0",0,IF(C412="T1",1,IF(C412="T2",2,IF(C412="T3",3,IF(C412="T4",4,IF(C412="Unassigned",98,99))))))</x:f>
        <x:v>2</x:v>
      </x:c>
      <x:c r="AZ412"/>
      <x:c r="BA412"/>
      <x:c r="BB412"/>
      <x:c r="BC412"/>
      <x:c r="BD412"/>
      <x:c r="BE412"/>
      <x:c r="BF412"/>
      <x:c r="BG412"/>
      <x:c r="BH412"/>
      <x:c r="BI412"/>
      <x:c r="BJ412"/>
      <x:c r="BK412"/>
      <x:c r="BL412"/>
      <x:c r="BM412"/>
      <x:c r="BN412"/>
      <x:c r="BO412"/>
      <x:c r="BP412"/>
      <x:c r="BQ412"/>
      <x:c r="BR412"/>
      <x:c r="BS412"/>
      <x:c r="BT412"/>
      <x:c r="BU412"/>
      <x:c r="BV412"/>
      <x:c r="BW412"/>
      <x:c r="BX412"/>
      <x:c r="BY412"/>
      <x:c r="BZ412"/>
      <x:c r="CA412"/>
      <x:c r="CB412"/>
      <x:c r="CC412"/>
    </x:row>
    <x:row r="413" ht="170" customHeight="1">
      <x:c r="A413" s="9" t="str">
        <x:v>proposal.corrosion.inhibitor</x:v>
      </x:c>
      <x:c r="B413" s="9" t="str">
        <x:v>Corrosion-inhibiting finish</x:v>
      </x:c>
      <x:c r="C413" s="4" t="str">
        <x:v>T2</x:v>
      </x:c>
      <x:c r="D413" s="9" t="inlineStr">
        <x:is>
          <x:t xml:space="preserve">Crafting components</x:t>
        </x:is>
      </x:c>
      <x:c r="E413" s="9" t="str">
        <x:v>Metal surface-treatment material</x:v>
      </x:c>
      <x:c r="F413" s="9" t="str">
        <x:v>New proposal</x:v>
      </x:c>
      <x:c r="G413" s="9" t="inlineStr">
        <x:is>
          <x:t xml:space="preserve">Candidate finish intended to slow renewed corrosion after appropriate surface preparation. It is intended to prepare or change a workpiece’s surface before a later fitting, coating or use; the treatment must suit that material.</x:t>
        </x:is>
      </x:c>
      <x:c r="H413" s="9" t="str">
        <x:v>None</x:v>
      </x:c>
      <x:c r="I413" s="9" t="str">
        <x:v>Contained workshop material; physical form and carrier unresolved</x:v>
      </x:c>
      <x:c r="J413" s="13"/>
      <x:c r="K413" s="15"/>
      <x:c r="L413" s="9" t="str">
        <x:v>Workshop manufacture or trade; inputs unresolved</x:v>
      </x:c>
      <x:c r="M413" s="9" t="str">
        <x:v>Mineral/faunal chemistry is a possible game direction, not an accepted formulation. Composition, carrier and material tier remain open.</x:v>
      </x:c>
      <x:c r="N413" s="9" t="str">
        <x:v>Material concept; not implemented</x:v>
      </x:c>
      <x:c r="O413" s="9" t="str">
        <x:v>Removal, conversion and prevention are distinct functions. Substrate compatibility, residues and effects on existing finishes remain undefined.</x:v>
      </x:c>
      <x:c r="P413" s="17"/>
      <x:c r="Q413" s="17"/>
      <x:c r="R413" s="17"/>
      <x:c r="S413" s="17"/>
      <x:c r="T413" s="17"/>
      <x:c r="U413" s="9" t="str">
        <x:v>No exact reagent, free-water bath, plant extract, numeric effect or restoration of lost metal is established.</x:v>
      </x:c>
      <x:c r="V413" s="11" t="str">
        <x:v>rust prevention; corrosion inhibitor; protective finish</x:v>
      </x:c>
      <x:c r="W413" s="9" t="str">
        <x:v>New game proposal. Docs/WORLD_BASIS.md#metal-corrosion-and-surface-treatment; real-world function reference only: https://www.canada.ca/en/conservation-institute/services/care-objects/metals/basic-care-iron.html . Reference methods are not game recipes.</x:v>
      </x:c>
      <x:c r="X413" s="4" t="str">
        <x:v>Chemical material</x:v>
      </x:c>
      <x:c r="Y413" s="4" t="str">
        <x:v>Processed intermediate</x:v>
      </x:c>
      <x:c r="Z413" s="4" t="str">
        <x:v>Manufactured / unresolved</x:v>
      </x:c>
      <x:c r="AA413" s="4" t="str">
        <x:v>Surface finishing</x:v>
      </x:c>
      <x:c r="AB413" s="4" t="str">
        <x:v>Mixed / unresolved</x:v>
      </x:c>
      <x:c r="AC413" s="4" t="str">
        <x:v>Unresolved</x:v>
      </x:c>
      <x:c r="AD413" s="4" t="str">
        <x:v>Proposal</x:v>
      </x:c>
      <x:c r="AE413" s="4" t="str">
        <x:f>LOWER(A413&amp;"; "&amp;B413&amp;"; "&amp;D413&amp;"; "&amp;E413&amp;"; "&amp;X413&amp;"; "&amp;Y413&amp;"; "&amp;Z413&amp;"; "&amp;AA413&amp;"; "&amp;AB413&amp;"; "&amp;AC413&amp;"; "&amp;AD413&amp;"; "&amp;V413&amp;"; "&amp;C413&amp;"; "&amp;AH413&amp;"; "&amp;AI413)</x:f>
        <x:v>proposal.corrosion.inhibitor; corrosion-inhibiting finish; crafting components; metal surface-treatment material; chemical material; processed intermediate; manufactured / unresolved; surface finishing; mixed / unresolved; unresolved; proposal; rust prevention; corrosion inhibitor; protective finish; t2; not applicable; material</x:v>
      </x:c>
      <x:c r="AF413" s="4" t="inlineStr">
        <x:is>
          <x:t xml:space="preserve">Supporting surface-treatment proposal informed by real-world distinctions; not separately accepted game canon.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3" s="4" t="str">
        <x:v>October 15 proposed tier review: 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AH413" s="4" t="str">
        <x:v>Not applicable</x:v>
      </x:c>
      <x:c r="AI413" s="4" t="str">
        <x:v>Material</x:v>
      </x:c>
      <x:c r="AJ413" s="4" t="n">
        <x:f>COUNTIFS('Material routes'!$D$6:$D$2205,A413,'Material routes'!$C$6:$C$2205,"Output")</x:f>
        <x:v>1</x:v>
      </x:c>
      <x:c r="AK413" s="4" t="n">
        <x:f>SUM(COUNTIFS('Material routes'!$D$6:$D$2205,A413,'Material routes'!$C$6:$C$2205,"Ingredient candidate"),COUNTIFS('Material routes'!$D$6:$D$2205,A413,'Material routes'!$C$6:$C$2205,"Consumed input"),COUNTIFS('Material routes'!$D$6:$D$2205,A413,'Material routes'!$C$6:$C$2205,"Contained input"),COUNTIFS('Material routes'!$D$6:$D$2205,A413,'Material routes'!$C$6:$C$2205,"Transform input"))</x:f>
        <x:v>0</x:v>
      </x:c>
      <x:c r="AL413" s="4" t="n">
        <x:f>COUNTIFS('Material routes'!$D$6:$D$2205,A413,'Material routes'!$C$6:$C$2205,"Tool candidate")</x:f>
        <x:v>0</x:v>
      </x:c>
      <x:c r="AM413" s="4" t="str">
        <x:f>IF(AJ413&gt;0,"Route listed; review status/completeness",IF(C413="T0","Raw entry feed; no production route","No production route listed"))</x:f>
        <x:v>Route listed; review status/completeness</x:v>
      </x:c>
      <x:c r="AN413" s="14" t="n">
        <x:f>IF(C413="T0",0,IF(C413="T1",1,IF(C413="T2",2,IF(C413="T3",3,IF(C413="T4",4,IF(C413="Unassigned",98,99))))))</x:f>
        <x:v>2</x:v>
      </x:c>
      <x:c r="AZ413"/>
      <x:c r="BA413"/>
      <x:c r="BB413"/>
      <x:c r="BC413"/>
      <x:c r="BD413"/>
      <x:c r="BE413"/>
      <x:c r="BF413"/>
      <x:c r="BG413"/>
      <x:c r="BH413"/>
      <x:c r="BI413"/>
      <x:c r="BJ413"/>
      <x:c r="BK413"/>
      <x:c r="BL413"/>
      <x:c r="BM413"/>
      <x:c r="BN413"/>
      <x:c r="BO413"/>
      <x:c r="BP413"/>
      <x:c r="BQ413"/>
      <x:c r="BR413"/>
      <x:c r="BS413"/>
      <x:c r="BT413"/>
      <x:c r="BU413"/>
      <x:c r="BV413"/>
      <x:c r="BW413"/>
      <x:c r="BX413"/>
      <x:c r="BY413"/>
      <x:c r="BZ413"/>
      <x:c r="CA413"/>
      <x:c r="CB413"/>
      <x:c r="CC413"/>
    </x:row>
    <x:row r="414" ht="115" customHeight="1">
      <x:c r="A414" s="9" t="str">
        <x:v>proposal.branch.elastic_secretion</x:v>
      </x:c>
      <x:c r="B414" s="9" t="str">
        <x:v>Elastic-joint secretion</x:v>
      </x:c>
      <x:c r="C414" s="4" t="str">
        <x:v>T0</x:v>
      </x:c>
      <x:c r="D414" s="9" t="str">
        <x:v>Biological resources</x:v>
      </x:c>
      <x:c r="E414" s="9" t="str">
        <x:v>Raw faunal chemical proposal</x:v>
      </x:c>
      <x:c r="F414" s="9" t="str">
        <x:v>New proposal</x:v>
      </x:c>
      <x:c r="G414" s="9" t="inlineStr">
        <x:is>
          <x:t xml:space="preserve">Elastic-joint secretion, retained as a candidate material for chemical processing. It is a candidate industrial input or process aid. Its composition, containment and compatible treatment must be established; usefulness does not imply edibility.</x:t>
        </x:is>
      </x:c>
      <x:c r="H414" s="9" t="str">
        <x:v>None</x:v>
      </x:c>
      <x:c r="I414" s="9" t="str">
        <x:v>Workshop / cargo material; handling and storage unresolved</x:v>
      </x:c>
      <x:c r="J414" s="13"/>
      <x:c r="K414" s="15"/>
      <x:c r="L414" s="9" t="str">
        <x:v>Hypothetical fauna extraction; source species unresolved</x:v>
      </x:c>
      <x:c r="M414" s="9" t="str">
        <x:v>Gather a hypothetical resilient secretion from selected fauna joint structures.</x:v>
      </x:c>
      <x:c r="N414" s="9" t="str">
        <x:v>Not implemented</x:v>
      </x:c>
      <x:c r="O414" s="9" t="str">
        <x:v>New anatomy/material proposal. No conventional fat, plant rubber, drinkability or universal species yield implied.</x:v>
      </x:c>
      <x:c r="P414" s="17"/>
      <x:c r="Q414" s="17"/>
      <x:c r="R414" s="17"/>
      <x:c r="S414" s="17"/>
      <x:c r="T414" s="17"/>
      <x:c r="U414" s="9" t="str">
        <x:v>New October 15 brainstorming. Tier is conditional on the incomplete ingredient list; no quantities, performance ratings or installed crafting behavior assigned.</x:v>
      </x:c>
      <x:c r="V414" s="11" t="str">
        <x:v>elastic-joint secretion; t0; refined stock; chemical processing</x:v>
      </x:c>
      <x:c r="W414" s="9" t="str">
        <x:v>New game proposal, October 15, 2026; current author request and Docs/WORLD_BASIS.md material/refinement rules. Not a retrieved source-canon claim.</x:v>
      </x:c>
      <x:c r="X414" s="4" t="str">
        <x:v>Chemical material</x:v>
      </x:c>
      <x:c r="Y414" s="4" t="str">
        <x:v>Extracted material</x:v>
      </x:c>
      <x:c r="Z414" s="4" t="str">
        <x:v>Fauna</x:v>
      </x:c>
      <x:c r="AA414" s="4" t="str">
        <x:v>Chemical processing</x:v>
      </x:c>
      <x:c r="AB414" s="4" t="str">
        <x:v>Biological chemical</x:v>
      </x:c>
      <x:c r="AC414" s="4" t="str">
        <x:v>Liquid</x:v>
      </x:c>
      <x:c r="AD414" s="4" t="str">
        <x:v>Proposal</x:v>
      </x:c>
      <x:c r="AE414" s="4" t="str">
        <x:f>LOWER(A414&amp;"; "&amp;B414&amp;"; "&amp;D414&amp;"; "&amp;E414&amp;"; "&amp;X414&amp;"; "&amp;Y414&amp;"; "&amp;Z414&amp;"; "&amp;AA414&amp;"; "&amp;AB414&amp;"; "&amp;AC414&amp;"; "&amp;AD414&amp;"; "&amp;V414&amp;"; "&amp;C414&amp;"; "&amp;AH414&amp;"; "&amp;AI414)</x:f>
        <x:v>proposal.branch.elastic_secretion; elastic-joint secretion; biological resources; raw faunal chemical proposal; chemical material; extracted material; fauna; chemical processing; biological chemical; liquid; proposal; elastic-joint secretion; t0; refined stock; chemical processing; t0; not applicable; material</x:v>
      </x:c>
      <x:c r="AF414" s="4" t="str">
        <x:v>New material-tree proposal; intended application and material behavior require qualification. Lore category review: Resources -&gt; Biological resources. Classification only; original item status and tier retained.</x:v>
      </x:c>
      <x:c r="AG414" s="4" t="str">
        <x:v>Proposed tier: new raw entry feed.</x:v>
      </x:c>
      <x:c r="AH414" s="4" t="str">
        <x:v>Not applicable</x:v>
      </x:c>
      <x:c r="AI414" s="4" t="str">
        <x:v>Material</x:v>
      </x:c>
      <x:c r="AJ414" s="4" t="n">
        <x:f>COUNTIFS('Material routes'!$D$6:$D$2205,A414,'Material routes'!$C$6:$C$2205,"Output")</x:f>
        <x:v>0</x:v>
      </x:c>
      <x:c r="AK414" s="4" t="n">
        <x:f>SUM(COUNTIFS('Material routes'!$D$6:$D$2205,A414,'Material routes'!$C$6:$C$2205,"Ingredient candidate"),COUNTIFS('Material routes'!$D$6:$D$2205,A414,'Material routes'!$C$6:$C$2205,"Consumed input"),COUNTIFS('Material routes'!$D$6:$D$2205,A414,'Material routes'!$C$6:$C$2205,"Contained input"),COUNTIFS('Material routes'!$D$6:$D$2205,A414,'Material routes'!$C$6:$C$2205,"Transform input"))</x:f>
        <x:v>1</x:v>
      </x:c>
      <x:c r="AL414" s="4" t="n">
        <x:f>COUNTIFS('Material routes'!$D$6:$D$2205,A414,'Material routes'!$C$6:$C$2205,"Tool candidate")</x:f>
        <x:v>0</x:v>
      </x:c>
      <x:c r="AM414" s="4" t="str">
        <x:f>IF(AJ414&gt;0,"Route listed; review status/completeness",IF(C414="T0","Raw entry feed; no production route","No production route listed"))</x:f>
        <x:v>Raw entry feed; no production route</x:v>
      </x:c>
      <x:c r="AN414" s="14" t="n">
        <x:f>IF(C414="T0",0,IF(C414="T1",1,IF(C414="T2",2,IF(C414="T3",3,IF(C414="T4",4,IF(C414="Unassigned",98,99))))))</x:f>
        <x:v>0</x:v>
      </x:c>
      <x:c r="AZ414"/>
      <x:c r="BA414"/>
      <x:c r="BB414"/>
      <x:c r="BC414"/>
      <x:c r="BD414"/>
      <x:c r="BE414"/>
      <x:c r="BF414"/>
      <x:c r="BG414"/>
      <x:c r="BH414"/>
      <x:c r="BI414"/>
      <x:c r="BJ414"/>
      <x:c r="BK414"/>
      <x:c r="BL414"/>
      <x:c r="BM414"/>
      <x:c r="BN414"/>
      <x:c r="BO414"/>
      <x:c r="BP414"/>
      <x:c r="BQ414"/>
      <x:c r="BR414"/>
      <x:c r="BS414"/>
      <x:c r="BT414"/>
      <x:c r="BU414"/>
      <x:c r="BV414"/>
      <x:c r="BW414"/>
      <x:c r="BX414"/>
      <x:c r="BY414"/>
      <x:c r="BZ414"/>
      <x:c r="CA414"/>
      <x:c r="CB414"/>
      <x:c r="CC414"/>
    </x:row>
    <x:row r="415" ht="115" customHeight="1">
      <x:c r="A415" s="9" t="str">
        <x:v>proposal.branch.flux</x:v>
      </x:c>
      <x:c r="B415" s="9" t="str">
        <x:v>Prepared metallurgical flux</x:v>
      </x:c>
      <x:c r="C415" s="4" t="str">
        <x:v>T1</x:v>
      </x:c>
      <x:c r="D415" s="9" t="inlineStr">
        <x:is>
          <x:t xml:space="preserve">Crafting components</x:t>
        </x:is>
      </x:c>
      <x:c r="E415" s="9" t="str">
        <x:v>T1 material / component proposal</x:v>
      </x:c>
      <x:c r="F415" s="9" t="str">
        <x:v>New proposal</x:v>
      </x:c>
      <x:c r="G415" s="9" t="inlineStr">
        <x:is>
          <x:t xml:space="preserve">Prepared metallurgical flux, prepared as a fitted part or intermediate for a larger assembly. It is intended to enter a controlled metal-preparation or refining process; the feed material is distinct from the usable metal eventually produced.</x:t>
        </x:is>
      </x:c>
      <x:c r="H415" s="9" t="str">
        <x:v>None</x:v>
      </x:c>
      <x:c r="I415" s="9" t="str">
        <x:v>Workshop / cargo material; handling and storage unresolved</x:v>
      </x:c>
      <x:c r="J415" s="13"/>
      <x:c r="K415" s="15"/>
      <x:c r="L415" s="9" t="str">
        <x:v>Process candidate lower-tier feed; see linked recipe</x:v>
      </x:c>
      <x:c r="M415" s="9" t="str">
        <x:v>Select and prepare a workshop flux candidate from raw mineral feed.</x:v>
      </x:c>
      <x:c r="N415" s="9" t="str">
        <x:v>Not implemented</x:v>
      </x:c>
      <x:c r="O415" s="9" t="str">
        <x:v>Composition, furnace compatibility and atmosphere-dependent process remain open.</x:v>
      </x:c>
      <x:c r="P415" s="17"/>
      <x:c r="Q415" s="17"/>
      <x:c r="R415" s="17"/>
      <x:c r="S415" s="17"/>
      <x:c r="T415" s="17"/>
      <x:c r="U415" s="9" t="str">
        <x:v>New October 15 brainstorming. Tier is conditional on the incomplete ingredient list; no quantities, performance ratings or installed crafting behavior assigned.</x:v>
      </x:c>
      <x:c r="V415" s="11" t="str">
        <x:v>prepared metallurgical flux; t1; refined stock; metal refining</x:v>
      </x:c>
      <x:c r="W415" s="9" t="str">
        <x:v>New game proposal, October 15, 2026; current author request and Docs/WORLD_BASIS.md material/refinement rules. Not a retrieved source-canon claim.</x:v>
      </x:c>
      <x:c r="X415" s="4" t="str">
        <x:v>Processed material</x:v>
      </x:c>
      <x:c r="Y415" s="4" t="str">
        <x:v>Processed intermediate</x:v>
      </x:c>
      <x:c r="Z415" s="4" t="str">
        <x:v>Manufactured / unresolved</x:v>
      </x:c>
      <x:c r="AA415" s="4" t="str">
        <x:v>Metal refining</x:v>
      </x:c>
      <x:c r="AB415" s="4" t="str">
        <x:v>Mineral</x:v>
      </x:c>
      <x:c r="AC415" s="4" t="str">
        <x:v>Particles</x:v>
      </x:c>
      <x:c r="AD415" s="4" t="str">
        <x:v>Proposal</x:v>
      </x:c>
      <x:c r="AE415" s="4" t="str">
        <x:f>LOWER(A415&amp;"; "&amp;B415&amp;"; "&amp;D415&amp;"; "&amp;E415&amp;"; "&amp;X415&amp;"; "&amp;Y415&amp;"; "&amp;Z415&amp;"; "&amp;AA415&amp;"; "&amp;AB415&amp;"; "&amp;AC415&amp;"; "&amp;AD415&amp;"; "&amp;V415&amp;"; "&amp;C415&amp;"; "&amp;AH415&amp;"; "&amp;AI415)</x:f>
        <x:v>proposal.branch.flux; prepared metallurgical flux; crafting components; t1 material / component proposal; processed material; processed intermediate; manufactured / unresolved; metal refining; mineral; particles; proposal; prepared metallurgical flux; t1; refined stock; metal refining; t1; not applicable; material</x:v>
      </x:c>
      <x:c r="AF415"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5" s="4" t="str">
        <x:v>Proposed tier: one above the highest listed material input; further ingredients may change the tier.</x:v>
      </x:c>
      <x:c r="AH415" s="4" t="str">
        <x:v>Not applicable</x:v>
      </x:c>
      <x:c r="AI415" s="4" t="str">
        <x:v>Material</x:v>
      </x:c>
      <x:c r="AJ415" s="4" t="n">
        <x:f>COUNTIFS('Material routes'!$D$6:$D$2205,A415,'Material routes'!$C$6:$C$2205,"Output")</x:f>
        <x:v>1</x:v>
      </x:c>
      <x:c r="AK415" s="4" t="n">
        <x:f>SUM(COUNTIFS('Material routes'!$D$6:$D$2205,A415,'Material routes'!$C$6:$C$2205,"Ingredient candidate"),COUNTIFS('Material routes'!$D$6:$D$2205,A415,'Material routes'!$C$6:$C$2205,"Consumed input"),COUNTIFS('Material routes'!$D$6:$D$2205,A415,'Material routes'!$C$6:$C$2205,"Contained input"),COUNTIFS('Material routes'!$D$6:$D$2205,A415,'Material routes'!$C$6:$C$2205,"Transform input"))</x:f>
        <x:v>5</x:v>
      </x:c>
      <x:c r="AL415" s="4" t="n">
        <x:f>COUNTIFS('Material routes'!$D$6:$D$2205,A415,'Material routes'!$C$6:$C$2205,"Tool candidate")</x:f>
        <x:v>0</x:v>
      </x:c>
      <x:c r="AM415" s="4" t="str">
        <x:f>IF(AJ415&gt;0,"Route listed; review status/completeness",IF(C415="T0","Raw entry feed; no production route","No production route listed"))</x:f>
        <x:v>Route listed; review status/completeness</x:v>
      </x:c>
      <x:c r="AN415" s="14" t="n">
        <x:f>IF(C415="T0",0,IF(C415="T1",1,IF(C415="T2",2,IF(C415="T3",3,IF(C415="T4",4,IF(C415="Unassigned",98,99))))))</x:f>
        <x:v>1</x:v>
      </x:c>
      <x:c r="AZ415"/>
      <x:c r="BA415"/>
      <x:c r="BB415"/>
      <x:c r="BC415"/>
      <x:c r="BD415"/>
      <x:c r="BE415"/>
      <x:c r="BF415"/>
      <x:c r="BG415"/>
      <x:c r="BH415"/>
      <x:c r="BI415"/>
      <x:c r="BJ415"/>
      <x:c r="BK415"/>
      <x:c r="BL415"/>
      <x:c r="BM415"/>
      <x:c r="BN415"/>
      <x:c r="BO415"/>
      <x:c r="BP415"/>
      <x:c r="BQ415"/>
      <x:c r="BR415"/>
      <x:c r="BS415"/>
      <x:c r="BT415"/>
      <x:c r="BU415"/>
      <x:c r="BV415"/>
      <x:c r="BW415"/>
      <x:c r="BX415"/>
      <x:c r="BY415"/>
      <x:c r="BZ415"/>
      <x:c r="CA415"/>
      <x:c r="CB415"/>
      <x:c r="CC415"/>
    </x:row>
    <x:row r="416" ht="115" customHeight="1">
      <x:c r="A416" s="9" t="str">
        <x:v>proposal.branch.refractory_feed</x:v>
      </x:c>
      <x:c r="B416" s="9" t="str">
        <x:v>Graded refractory mineral feed</x:v>
      </x:c>
      <x:c r="C416" s="4" t="str">
        <x:v>T1</x:v>
      </x:c>
      <x:c r="D416" s="9" t="str">
        <x:v>Manufactured stock</x:v>
      </x:c>
      <x:c r="E416" s="9" t="str">
        <x:v>T1 material / component proposal</x:v>
      </x:c>
      <x:c r="F416" s="9" t="str">
        <x:v>New proposal</x:v>
      </x:c>
      <x:c r="G416" s="9" t="inlineStr">
        <x:is>
          <x:t xml:space="preserve">Prepared mineral stock in the form of graded refractory mineral feed, intended as an input to further making or assembly. It is intended for a matched glassworking or ceramic process, with composition, forming and controlled heat determining the useful result.</x:t>
        </x:is>
      </x:c>
      <x:c r="H416" s="9" t="str">
        <x:v>None</x:v>
      </x:c>
      <x:c r="I416" s="9" t="str">
        <x:v>Workshop / cargo material; handling and storage unresolved</x:v>
      </x:c>
      <x:c r="J416" s="13"/>
      <x:c r="K416" s="15"/>
      <x:c r="L416" s="9" t="str">
        <x:v>Process candidate lower-tier feed; see linked recipe</x:v>
      </x:c>
      <x:c r="M416" s="9" t="str">
        <x:v>Select and grade a candidate heat-service mineral fraction.</x:v>
      </x:c>
      <x:c r="N416" s="9" t="str">
        <x:v>Not implemented</x:v>
      </x:c>
      <x:c r="O416" s="9" t="str">
        <x:v>No temperature rating or universally suitable alumina composition assigned.</x:v>
      </x:c>
      <x:c r="P416" s="17"/>
      <x:c r="Q416" s="17"/>
      <x:c r="R416" s="17"/>
      <x:c r="S416" s="17"/>
      <x:c r="T416" s="17"/>
      <x:c r="U416" s="9" t="str">
        <x:v>New October 15 brainstorming. Tier is conditional on the incomplete ingredient list; no quantities, performance ratings or installed crafting behavior assigned.</x:v>
      </x:c>
      <x:c r="V416" s="11" t="str">
        <x:v>graded refractory mineral feed; t1; refined stock; glass and ceramics</x:v>
      </x:c>
      <x:c r="W416" s="9" t="str">
        <x:v>New game proposal, October 15, 2026; current author request and Docs/WORLD_BASIS.md material/refinement rules. Not a retrieved source-canon claim.</x:v>
      </x:c>
      <x:c r="X416" s="4" t="str">
        <x:v>Processed material</x:v>
      </x:c>
      <x:c r="Y416" s="4" t="str">
        <x:v>Processed intermediate</x:v>
      </x:c>
      <x:c r="Z416" s="4" t="str">
        <x:v>Manufactured / unresolved</x:v>
      </x:c>
      <x:c r="AA416" s="4" t="str">
        <x:v>Glass and ceramics</x:v>
      </x:c>
      <x:c r="AB416" s="4" t="str">
        <x:v>Mineral</x:v>
      </x:c>
      <x:c r="AC416" s="4" t="str">
        <x:v>Particles</x:v>
      </x:c>
      <x:c r="AD416" s="4" t="str">
        <x:v>Proposal</x:v>
      </x:c>
      <x:c r="AE416" s="4" t="str">
        <x:f>LOWER(A416&amp;"; "&amp;B416&amp;"; "&amp;D416&amp;"; "&amp;E416&amp;"; "&amp;X416&amp;"; "&amp;Y416&amp;"; "&amp;Z416&amp;"; "&amp;AA416&amp;"; "&amp;AB416&amp;"; "&amp;AC416&amp;"; "&amp;AD416&amp;"; "&amp;V416&amp;"; "&amp;C416&amp;"; "&amp;AH416&amp;"; "&amp;AI416)</x:f>
        <x:v>proposal.branch.refractory_feed; graded refractory mineral feed; manufactured stock; t1 material / component proposal; processed material; processed intermediate; manufactured / unresolved; glass and ceramics; mineral; particles; proposal; graded refractory mineral feed; t1; refined stock; glass and ceramics; t1; not applicable; material</x:v>
      </x:c>
      <x:c r="AF416" s="4" t="str">
        <x:v>New material-tree proposal; intended application and material behavior require qualification. Lore category review: Resources -&gt; Manufactured stock. Classification only; original item status and tier retained.</x:v>
      </x:c>
      <x:c r="AG416" s="4" t="str">
        <x:v>Proposed tier: one above the highest listed material input; further ingredients may change the tier.</x:v>
      </x:c>
      <x:c r="AH416" s="4" t="str">
        <x:v>Not applicable</x:v>
      </x:c>
      <x:c r="AI416" s="4" t="str">
        <x:v>Material</x:v>
      </x:c>
      <x:c r="AJ416" s="4" t="n">
        <x:f>COUNTIFS('Material routes'!$D$6:$D$2205,A416,'Material routes'!$C$6:$C$2205,"Output")</x:f>
        <x:v>1</x:v>
      </x:c>
      <x:c r="AK416" s="4" t="n">
        <x:f>SUM(COUNTIFS('Material routes'!$D$6:$D$2205,A416,'Material routes'!$C$6:$C$2205,"Ingredient candidate"),COUNTIFS('Material routes'!$D$6:$D$2205,A416,'Material routes'!$C$6:$C$2205,"Consumed input"),COUNTIFS('Material routes'!$D$6:$D$2205,A416,'Material routes'!$C$6:$C$2205,"Contained input"),COUNTIFS('Material routes'!$D$6:$D$2205,A416,'Material routes'!$C$6:$C$2205,"Transform input"))</x:f>
        <x:v>1</x:v>
      </x:c>
      <x:c r="AL416" s="4" t="n">
        <x:f>COUNTIFS('Material routes'!$D$6:$D$2205,A416,'Material routes'!$C$6:$C$2205,"Tool candidate")</x:f>
        <x:v>0</x:v>
      </x:c>
      <x:c r="AM416" s="4" t="str">
        <x:f>IF(AJ416&gt;0,"Route listed; review status/completeness",IF(C416="T0","Raw entry feed; no production route","No production route listed"))</x:f>
        <x:v>Route listed; review status/completeness</x:v>
      </x:c>
      <x:c r="AN416" s="14" t="n">
        <x:f>IF(C416="T0",0,IF(C416="T1",1,IF(C416="T2",2,IF(C416="T3",3,IF(C416="T4",4,IF(C416="Unassigned",98,99))))))</x:f>
        <x:v>1</x:v>
      </x:c>
      <x:c r="AZ416"/>
      <x:c r="BA416"/>
      <x:c r="BB416"/>
      <x:c r="BC416"/>
      <x:c r="BD416"/>
      <x:c r="BE416"/>
      <x:c r="BF416"/>
      <x:c r="BG416"/>
      <x:c r="BH416"/>
      <x:c r="BI416"/>
      <x:c r="BJ416"/>
      <x:c r="BK416"/>
      <x:c r="BL416"/>
      <x:c r="BM416"/>
      <x:c r="BN416"/>
      <x:c r="BO416"/>
      <x:c r="BP416"/>
      <x:c r="BQ416"/>
      <x:c r="BR416"/>
      <x:c r="BS416"/>
      <x:c r="BT416"/>
      <x:c r="BU416"/>
      <x:c r="BV416"/>
      <x:c r="BW416"/>
      <x:c r="BX416"/>
      <x:c r="BY416"/>
      <x:c r="BZ416"/>
      <x:c r="CA416"/>
      <x:c r="CB416"/>
      <x:c r="CC416"/>
    </x:row>
    <x:row r="417" ht="115" customHeight="1">
      <x:c r="A417" s="9" t="str">
        <x:v>proposal.branch.manganese_feed</x:v>
      </x:c>
      <x:c r="B417" s="9" t="str">
        <x:v>Manganese-bearing alloy feed</x:v>
      </x:c>
      <x:c r="C417" s="4" t="str">
        <x:v>T1</x:v>
      </x:c>
      <x:c r="D417" s="9" t="str">
        <x:v>Manufactured stock</x:v>
      </x:c>
      <x:c r="E417" s="9" t="str">
        <x:v>T1 material / component proposal</x:v>
      </x:c>
      <x:c r="F417" s="9" t="str">
        <x:v>New proposal</x:v>
      </x:c>
      <x:c r="G417" s="9" t="inlineStr">
        <x:is>
          <x:t xml:space="preserve">Prepared mineral stock in the form of manganese-bearing alloy feed, intended as an input to further making or assembly. It is intended to enter a controlled metal-preparation or refining process; the feed material is distinct from the usable metal eventually produced.</x:t>
        </x:is>
      </x:c>
      <x:c r="H417" s="9" t="str">
        <x:v>None</x:v>
      </x:c>
      <x:c r="I417" s="9" t="str">
        <x:v>Workshop / cargo material; handling and storage unresolved</x:v>
      </x:c>
      <x:c r="J417" s="13"/>
      <x:c r="K417" s="15"/>
      <x:c r="L417" s="9" t="str">
        <x:v>Process candidate lower-tier feed; see linked recipe</x:v>
      </x:c>
      <x:c r="M417" s="9" t="str">
        <x:v>Concentrate a selected manganese-bearing fraction as a later alloying feed.</x:v>
      </x:c>
      <x:c r="N417" s="9" t="str">
        <x:v>Not implemented</x:v>
      </x:c>
      <x:c r="O417" s="9" t="str">
        <x:v>Concentration is not yet finished alloying metal; extraction chemistry and contaminants unresolved.</x:v>
      </x:c>
      <x:c r="P417" s="17"/>
      <x:c r="Q417" s="17"/>
      <x:c r="R417" s="17"/>
      <x:c r="S417" s="17"/>
      <x:c r="T417" s="17"/>
      <x:c r="U417" s="9" t="str">
        <x:v>New October 15 brainstorming. Tier is conditional on the incomplete ingredient list; no quantities, performance ratings or installed crafting behavior assigned.</x:v>
      </x:c>
      <x:c r="V417" s="11" t="str">
        <x:v>manganese-bearing alloy feed; t1; refined stock; metal refining</x:v>
      </x:c>
      <x:c r="W417" s="9" t="str">
        <x:v>New game proposal, October 15, 2026; current author request and Docs/WORLD_BASIS.md material/refinement rules. Not a retrieved source-canon claim.</x:v>
      </x:c>
      <x:c r="X417" s="4" t="str">
        <x:v>Processed material</x:v>
      </x:c>
      <x:c r="Y417" s="4" t="str">
        <x:v>Processed intermediate</x:v>
      </x:c>
      <x:c r="Z417" s="4" t="str">
        <x:v>Manufactured / unresolved</x:v>
      </x:c>
      <x:c r="AA417" s="4" t="str">
        <x:v>Metal refining</x:v>
      </x:c>
      <x:c r="AB417" s="4" t="str">
        <x:v>Mineral</x:v>
      </x:c>
      <x:c r="AC417" s="4" t="str">
        <x:v>Particles</x:v>
      </x:c>
      <x:c r="AD417" s="4" t="str">
        <x:v>Proposal</x:v>
      </x:c>
      <x:c r="AE417" s="4" t="str">
        <x:f>LOWER(A417&amp;"; "&amp;B417&amp;"; "&amp;D417&amp;"; "&amp;E417&amp;"; "&amp;X417&amp;"; "&amp;Y417&amp;"; "&amp;Z417&amp;"; "&amp;AA417&amp;"; "&amp;AB417&amp;"; "&amp;AC417&amp;"; "&amp;AD417&amp;"; "&amp;V417&amp;"; "&amp;C417&amp;"; "&amp;AH417&amp;"; "&amp;AI417)</x:f>
        <x:v>proposal.branch.manganese_feed; manganese-bearing alloy feed; manufactured stock; t1 material / component proposal; processed material; processed intermediate; manufactured / unresolved; metal refining; mineral; particles; proposal; manganese-bearing alloy feed; t1; refined stock; metal refining; t1; not applicable; material</x:v>
      </x:c>
      <x:c r="AF417" s="4" t="str">
        <x:v>New material-tree proposal; intended application and material behavior require qualification. Lore category review: Resources -&gt; Manufactured stock. Classification only; original item status and tier retained.</x:v>
      </x:c>
      <x:c r="AG417" s="4" t="str">
        <x:v>Proposed tier: one above the highest listed material input; further ingredients may change the tier.</x:v>
      </x:c>
      <x:c r="AH417" s="4" t="str">
        <x:v>Not applicable</x:v>
      </x:c>
      <x:c r="AI417" s="4" t="str">
        <x:v>Material</x:v>
      </x:c>
      <x:c r="AJ417" s="4" t="n">
        <x:f>COUNTIFS('Material routes'!$D$6:$D$2205,A417,'Material routes'!$C$6:$C$2205,"Output")</x:f>
        <x:v>1</x:v>
      </x:c>
      <x:c r="AK417" s="4" t="n">
        <x:f>SUM(COUNTIFS('Material routes'!$D$6:$D$2205,A417,'Material routes'!$C$6:$C$2205,"Ingredient candidate"),COUNTIFS('Material routes'!$D$6:$D$2205,A417,'Material routes'!$C$6:$C$2205,"Consumed input"),COUNTIFS('Material routes'!$D$6:$D$2205,A417,'Material routes'!$C$6:$C$2205,"Contained input"),COUNTIFS('Material routes'!$D$6:$D$2205,A417,'Material routes'!$C$6:$C$2205,"Transform input"))</x:f>
        <x:v>2</x:v>
      </x:c>
      <x:c r="AL417" s="4" t="n">
        <x:f>COUNTIFS('Material routes'!$D$6:$D$2205,A417,'Material routes'!$C$6:$C$2205,"Tool candidate")</x:f>
        <x:v>0</x:v>
      </x:c>
      <x:c r="AM417" s="4" t="str">
        <x:f>IF(AJ417&gt;0,"Route listed; review status/completeness",IF(C417="T0","Raw entry feed; no production route","No production route listed"))</x:f>
        <x:v>Route listed; review status/completeness</x:v>
      </x:c>
      <x:c r="AN417" s="14" t="n">
        <x:f>IF(C417="T0",0,IF(C417="T1",1,IF(C417="T2",2,IF(C417="T3",3,IF(C417="T4",4,IF(C417="Unassigned",98,99))))))</x:f>
        <x:v>1</x:v>
      </x:c>
      <x:c r="AZ417"/>
      <x:c r="BA417"/>
      <x:c r="BB417"/>
      <x:c r="BC417"/>
      <x:c r="BD417"/>
      <x:c r="BE417"/>
      <x:c r="BF417"/>
      <x:c r="BG417"/>
      <x:c r="BH417"/>
      <x:c r="BI417"/>
      <x:c r="BJ417"/>
      <x:c r="BK417"/>
      <x:c r="BL417"/>
      <x:c r="BM417"/>
      <x:c r="BN417"/>
      <x:c r="BO417"/>
      <x:c r="BP417"/>
      <x:c r="BQ417"/>
      <x:c r="BR417"/>
      <x:c r="BS417"/>
      <x:c r="BT417"/>
      <x:c r="BU417"/>
      <x:c r="BV417"/>
      <x:c r="BW417"/>
      <x:c r="BX417"/>
      <x:c r="BY417"/>
      <x:c r="BZ417"/>
      <x:c r="CA417"/>
      <x:c r="CB417"/>
      <x:c r="CC417"/>
    </x:row>
    <x:row r="418" ht="115" customHeight="1">
      <x:c r="A418" s="9" t="str">
        <x:v>proposal.branch.flex_binder</x:v>
      </x:c>
      <x:c r="B418" s="9" t="str">
        <x:v>Prepared flexible faunal binder</x:v>
      </x:c>
      <x:c r="C418" s="4" t="str">
        <x:v>T1</x:v>
      </x:c>
      <x:c r="D418" s="9" t="inlineStr">
        <x:is>
          <x:t xml:space="preserve">Crafting components</x:t>
        </x:is>
      </x:c>
      <x:c r="E418" s="9" t="str">
        <x:v>T1 material / component proposal</x:v>
      </x:c>
      <x:c r="F418" s="9" t="str">
        <x:v>New proposal</x:v>
      </x:c>
      <x:c r="G418" s="9" t="inlineStr">
        <x:is>
          <x:t xml:space="preserve">Prepared flexible faunal binder, prepared as a fitted part or intermediate for a larger assembly. It is intended to join, reinforce or support other parts, with the bond or fastening chosen for the materials and loads involved.</x:t>
        </x:is>
      </x:c>
      <x:c r="H418" s="9" t="str">
        <x:v>None</x:v>
      </x:c>
      <x:c r="I418" s="9" t="str">
        <x:v>Workshop / cargo material; handling and storage unresolved</x:v>
      </x:c>
      <x:c r="J418" s="13"/>
      <x:c r="K418" s="15"/>
      <x:c r="L418" s="9" t="str">
        <x:v>Process candidate lower-tier feed; see linked recipe</x:v>
      </x:c>
      <x:c r="M418" s="9" t="str">
        <x:v>Condition a selected elastic-secretion fraction for further bonding formulations.</x:v>
      </x:c>
      <x:c r="N418" s="9" t="str">
        <x:v>Not implemented</x:v>
      </x:c>
      <x:c r="O418" s="9" t="str">
        <x:v>Hypothetical adhesive behavior, toxicity, flexibility and cure remain unqualified; not lubricant thickener.</x:v>
      </x:c>
      <x:c r="P418" s="17"/>
      <x:c r="Q418" s="17"/>
      <x:c r="R418" s="17"/>
      <x:c r="S418" s="17"/>
      <x:c r="T418" s="17"/>
      <x:c r="U418" s="9" t="str">
        <x:v>New October 15 brainstorming. Tier is conditional on the incomplete ingredient list; no quantities, performance ratings or installed crafting behavior assigned.</x:v>
      </x:c>
      <x:c r="V418" s="11" t="str">
        <x:v>prepared flexible faunal binder; t1; refined stock; binding and construction</x:v>
      </x:c>
      <x:c r="W418" s="9" t="str">
        <x:v>New game proposal, October 15, 2026; current author request and Docs/WORLD_BASIS.md material/refinement rules. Not a retrieved source-canon claim.</x:v>
      </x:c>
      <x:c r="X418" s="4" t="str">
        <x:v>Chemical material</x:v>
      </x:c>
      <x:c r="Y418" s="4" t="str">
        <x:v>Processed intermediate</x:v>
      </x:c>
      <x:c r="Z418" s="4" t="str">
        <x:v>Manufactured / unresolved</x:v>
      </x:c>
      <x:c r="AA418" s="4" t="str">
        <x:v>Binding and construction</x:v>
      </x:c>
      <x:c r="AB418" s="4" t="str">
        <x:v>Biological chemical</x:v>
      </x:c>
      <x:c r="AC418" s="4" t="str">
        <x:v>Unresolved</x:v>
      </x:c>
      <x:c r="AD418" s="4" t="str">
        <x:v>Proposal</x:v>
      </x:c>
      <x:c r="AE418" s="4" t="str">
        <x:f>LOWER(A418&amp;"; "&amp;B418&amp;"; "&amp;D418&amp;"; "&amp;E418&amp;"; "&amp;X418&amp;"; "&amp;Y418&amp;"; "&amp;Z418&amp;"; "&amp;AA418&amp;"; "&amp;AB418&amp;"; "&amp;AC418&amp;"; "&amp;AD418&amp;"; "&amp;V418&amp;"; "&amp;C418&amp;"; "&amp;AH418&amp;"; "&amp;AI418)</x:f>
        <x:v>proposal.branch.flex_binder; prepared flexible faunal binder; crafting components; t1 material / component proposal; chemical material; processed intermediate; manufactured / unresolved; binding and construction; biological chemical; unresolved; proposal; prepared flexible faunal binder; t1; refined stock; binding and construction; t1; not applicable; material</x:v>
      </x:c>
      <x:c r="AF418"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8" s="4" t="str">
        <x:v>Proposed tier: one above the highest listed material input; further ingredients may change the tier.</x:v>
      </x:c>
      <x:c r="AH418" s="4" t="str">
        <x:v>Not applicable</x:v>
      </x:c>
      <x:c r="AI418" s="4" t="str">
        <x:v>Material</x:v>
      </x:c>
      <x:c r="AJ418" s="4" t="n">
        <x:f>COUNTIFS('Material routes'!$D$6:$D$2205,A418,'Material routes'!$C$6:$C$2205,"Output")</x:f>
        <x:v>1</x:v>
      </x:c>
      <x:c r="AK418" s="4" t="n">
        <x:f>SUM(COUNTIFS('Material routes'!$D$6:$D$2205,A418,'Material routes'!$C$6:$C$2205,"Ingredient candidate"),COUNTIFS('Material routes'!$D$6:$D$2205,A418,'Material routes'!$C$6:$C$2205,"Consumed input"),COUNTIFS('Material routes'!$D$6:$D$2205,A418,'Material routes'!$C$6:$C$2205,"Contained input"),COUNTIFS('Material routes'!$D$6:$D$2205,A418,'Material routes'!$C$6:$C$2205,"Transform input"))</x:f>
        <x:v>5</x:v>
      </x:c>
      <x:c r="AL418" s="4" t="n">
        <x:f>COUNTIFS('Material routes'!$D$6:$D$2205,A418,'Material routes'!$C$6:$C$2205,"Tool candidate")</x:f>
        <x:v>0</x:v>
      </x:c>
      <x:c r="AM418" s="4" t="str">
        <x:f>IF(AJ418&gt;0,"Route listed; review status/completeness",IF(C418="T0","Raw entry feed; no production route","No production route listed"))</x:f>
        <x:v>Route listed; review status/completeness</x:v>
      </x:c>
      <x:c r="AN418" s="14" t="n">
        <x:f>IF(C418="T0",0,IF(C418="T1",1,IF(C418="T2",2,IF(C418="T3",3,IF(C418="T4",4,IF(C418="Unassigned",98,99))))))</x:f>
        <x:v>1</x:v>
      </x:c>
      <x:c r="AZ418"/>
      <x:c r="BA418"/>
      <x:c r="BB418"/>
      <x:c r="BC418"/>
      <x:c r="BD418"/>
      <x:c r="BE418"/>
      <x:c r="BF418"/>
      <x:c r="BG418"/>
      <x:c r="BH418"/>
      <x:c r="BI418"/>
      <x:c r="BJ418"/>
      <x:c r="BK418"/>
      <x:c r="BL418"/>
      <x:c r="BM418"/>
      <x:c r="BN418"/>
      <x:c r="BO418"/>
      <x:c r="BP418"/>
      <x:c r="BQ418"/>
      <x:c r="BR418"/>
      <x:c r="BS418"/>
      <x:c r="BT418"/>
      <x:c r="BU418"/>
      <x:c r="BV418"/>
      <x:c r="BW418"/>
      <x:c r="BX418"/>
      <x:c r="BY418"/>
      <x:c r="BZ418"/>
      <x:c r="CA418"/>
      <x:c r="CB418"/>
      <x:c r="CC418"/>
    </x:row>
    <x:row r="419" ht="115" customHeight="1">
      <x:c r="A419" s="9" t="str">
        <x:v>proposal.branch.etchant</x:v>
      </x:c>
      <x:c r="B419" s="9" t="str">
        <x:v>Conditioned faunal etchant</x:v>
      </x:c>
      <x:c r="C419" s="4" t="str">
        <x:v>T1</x:v>
      </x:c>
      <x:c r="D419" s="9" t="inlineStr">
        <x:is>
          <x:t xml:space="preserve">Crafting components</x:t>
        </x:is>
      </x:c>
      <x:c r="E419" s="9" t="str">
        <x:v>T1 material / component proposal</x:v>
      </x:c>
      <x:c r="F419" s="9" t="str">
        <x:v>New proposal</x:v>
      </x:c>
      <x:c r="G419" s="9" t="inlineStr">
        <x:is>
          <x:t xml:space="preserve">Conditioned faunal etchant, prepared as a fitted part or intermediate for a larger assembly. It is intended to prepare or change a workpiece’s surface before a later fitting, coating or use; the treatment must suit that material.</x:t>
        </x:is>
      </x:c>
      <x:c r="H419" s="9" t="str">
        <x:v>None</x:v>
      </x:c>
      <x:c r="I419" s="9" t="str">
        <x:v>Workshop / cargo material; handling and storage unresolved</x:v>
      </x:c>
      <x:c r="J419" s="13"/>
      <x:c r="K419" s="15"/>
      <x:c r="L419" s="9" t="str">
        <x:v>Process candidate lower-tier feed; see linked recipe</x:v>
      </x:c>
      <x:c r="M419" s="9" t="str">
        <x:v>Separate and condition a selected digestive-fluid fraction for workshop research.</x:v>
      </x:c>
      <x:c r="N419" s="9" t="str">
        <x:v>Not implemented</x:v>
      </x:c>
      <x:c r="O419" s="9" t="str">
        <x:v>No exact acid, concentration, metal selectivity or safe application method established.</x:v>
      </x:c>
      <x:c r="P419" s="17"/>
      <x:c r="Q419" s="17"/>
      <x:c r="R419" s="17"/>
      <x:c r="S419" s="17"/>
      <x:c r="T419" s="17"/>
      <x:c r="U419" s="9" t="str">
        <x:v>New October 15 brainstorming. Tier is conditional on the incomplete ingredient list; no quantities, performance ratings or installed crafting behavior assigned.</x:v>
      </x:c>
      <x:c r="V419" s="11" t="str">
        <x:v>conditioned faunal etchant; t1; refined stock; surface finishing</x:v>
      </x:c>
      <x:c r="W419" s="9" t="str">
        <x:v>New game proposal, October 15, 2026; current author request and Docs/WORLD_BASIS.md material/refinement rules. Not a retrieved source-canon claim.</x:v>
      </x:c>
      <x:c r="X419" s="4" t="str">
        <x:v>Chemical material</x:v>
      </x:c>
      <x:c r="Y419" s="4" t="str">
        <x:v>Processed intermediate</x:v>
      </x:c>
      <x:c r="Z419" s="4" t="str">
        <x:v>Manufactured / unresolved</x:v>
      </x:c>
      <x:c r="AA419" s="4" t="str">
        <x:v>Surface finishing</x:v>
      </x:c>
      <x:c r="AB419" s="4" t="str">
        <x:v>Biological chemical</x:v>
      </x:c>
      <x:c r="AC419" s="4" t="str">
        <x:v>Unresolved</x:v>
      </x:c>
      <x:c r="AD419" s="4" t="str">
        <x:v>Proposal</x:v>
      </x:c>
      <x:c r="AE419" s="4" t="str">
        <x:f>LOWER(A419&amp;"; "&amp;B419&amp;"; "&amp;D419&amp;"; "&amp;E419&amp;"; "&amp;X419&amp;"; "&amp;Y419&amp;"; "&amp;Z419&amp;"; "&amp;AA419&amp;"; "&amp;AB419&amp;"; "&amp;AC419&amp;"; "&amp;AD419&amp;"; "&amp;V419&amp;"; "&amp;C419&amp;"; "&amp;AH419&amp;"; "&amp;AI419)</x:f>
        <x:v>proposal.branch.etchant; conditioned faunal etchant; crafting components; t1 material / component proposal; chemical material; processed intermediate; manufactured / unresolved; surface finishing; biological chemical; unresolved; proposal; conditioned faunal etchant; t1; refined stock; surface finishing; t1; not applicable; material</x:v>
      </x:c>
      <x:c r="AF419"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9" s="4" t="str">
        <x:v>Proposed tier: one above the highest listed material input; further ingredients may change the tier.</x:v>
      </x:c>
      <x:c r="AH419" s="4" t="str">
        <x:v>Not applicable</x:v>
      </x:c>
      <x:c r="AI419" s="4" t="str">
        <x:v>Material</x:v>
      </x:c>
      <x:c r="AJ419" s="4" t="n">
        <x:f>COUNTIFS('Material routes'!$D$6:$D$2205,A419,'Material routes'!$C$6:$C$2205,"Output")</x:f>
        <x:v>1</x:v>
      </x:c>
      <x:c r="AK419" s="4" t="n">
        <x:f>SUM(COUNTIFS('Material routes'!$D$6:$D$2205,A419,'Material routes'!$C$6:$C$2205,"Ingredient candidate"),COUNTIFS('Material routes'!$D$6:$D$2205,A419,'Material routes'!$C$6:$C$2205,"Consumed input"),COUNTIFS('Material routes'!$D$6:$D$2205,A419,'Material routes'!$C$6:$C$2205,"Contained input"),COUNTIFS('Material routes'!$D$6:$D$2205,A419,'Material routes'!$C$6:$C$2205,"Transform input"))</x:f>
        <x:v>1</x:v>
      </x:c>
      <x:c r="AL419" s="4" t="n">
        <x:f>COUNTIFS('Material routes'!$D$6:$D$2205,A419,'Material routes'!$C$6:$C$2205,"Tool candidate")</x:f>
        <x:v>0</x:v>
      </x:c>
      <x:c r="AM419" s="4" t="str">
        <x:f>IF(AJ419&gt;0,"Route listed; review status/completeness",IF(C419="T0","Raw entry feed; no production route","No production route listed"))</x:f>
        <x:v>Route listed; review status/completeness</x:v>
      </x:c>
      <x:c r="AN419" s="14" t="n">
        <x:f>IF(C419="T0",0,IF(C419="T1",1,IF(C419="T2",2,IF(C419="T3",3,IF(C419="T4",4,IF(C419="Unassigned",98,99))))))</x:f>
        <x:v>1</x:v>
      </x:c>
      <x:c r="AZ419"/>
      <x:c r="BA419"/>
      <x:c r="BB419"/>
      <x:c r="BC419"/>
      <x:c r="BD419"/>
      <x:c r="BE419"/>
      <x:c r="BF419"/>
      <x:c r="BG419"/>
      <x:c r="BH419"/>
      <x:c r="BI419"/>
      <x:c r="BJ419"/>
      <x:c r="BK419"/>
      <x:c r="BL419"/>
      <x:c r="BM419"/>
      <x:c r="BN419"/>
      <x:c r="BO419"/>
      <x:c r="BP419"/>
      <x:c r="BQ419"/>
      <x:c r="BR419"/>
      <x:c r="BS419"/>
      <x:c r="BT419"/>
      <x:c r="BU419"/>
      <x:c r="BV419"/>
      <x:c r="BW419"/>
      <x:c r="BX419"/>
      <x:c r="BY419"/>
      <x:c r="BZ419"/>
      <x:c r="CA419"/>
      <x:c r="CB419"/>
      <x:c r="CC419"/>
    </x:row>
    <x:row r="420" ht="115" customHeight="1">
      <x:c r="A420" s="9" t="str">
        <x:v>proposal.branch.alloy_addition</x:v>
      </x:c>
      <x:c r="B420" s="9" t="str">
        <x:v>Prepared manganese alloying stock</x:v>
      </x:c>
      <x:c r="C420" s="4" t="str">
        <x:v>T2</x:v>
      </x:c>
      <x:c r="D420" s="9" t="str">
        <x:v>Manufactured stock</x:v>
      </x:c>
      <x:c r="E420" s="9" t="str">
        <x:v>T2 material / component proposal</x:v>
      </x:c>
      <x:c r="F420" s="9" t="str">
        <x:v>New proposal</x:v>
      </x:c>
      <x:c r="G420" s="9" t="inlineStr">
        <x:is>
          <x:t xml:space="preserve">Prepared metal stock in the form of prepared manganese alloying stock, intended as an input to further making or assembly. It is intended to enter a controlled metal-preparation or refining process; the feed material is distinct from the usable metal eventually produced.</x:t>
        </x:is>
      </x:c>
      <x:c r="H420" s="9" t="str">
        <x:v>None</x:v>
      </x:c>
      <x:c r="I420" s="9" t="str">
        <x:v>Workshop / cargo material; handling and storage unresolved</x:v>
      </x:c>
      <x:c r="J420" s="13"/>
      <x:c r="K420" s="15"/>
      <x:c r="L420" s="9" t="str">
        <x:v>Process candidate lower-tier feed; see linked recipe</x:v>
      </x:c>
      <x:c r="M420" s="9" t="str">
        <x:v>Explore specialist extraction/preparation of an identified alloying charge.</x:v>
      </x:c>
      <x:c r="N420" s="9" t="str">
        <x:v>Not implemented</x:v>
      </x:c>
      <x:c r="O420" s="9" t="str">
        <x:v>Not every manganese mineral can be directly added to steel. Actual form, purity and furnace route remain research questions.</x:v>
      </x:c>
      <x:c r="P420" s="17"/>
      <x:c r="Q420" s="17"/>
      <x:c r="R420" s="17"/>
      <x:c r="S420" s="17"/>
      <x:c r="T420" s="17"/>
      <x:c r="U420" s="9" t="str">
        <x:v>New October 15 brainstorming. Tier is conditional on the incomplete ingredient list; no quantities, performance ratings or installed crafting behavior assigned.</x:v>
      </x:c>
      <x:c r="V420" s="11" t="str">
        <x:v>prepared manganese alloying stock; t2; refined stock; metal refining</x:v>
      </x:c>
      <x:c r="W420" s="9" t="str">
        <x:v>New game proposal, October 15, 2026; current author request and Docs/WORLD_BASIS.md material/refinement rules. Not a retrieved source-canon claim.</x:v>
      </x:c>
      <x:c r="X420" s="4" t="str">
        <x:v>Processed material</x:v>
      </x:c>
      <x:c r="Y420" s="4" t="str">
        <x:v>Processed intermediate</x:v>
      </x:c>
      <x:c r="Z420" s="4" t="str">
        <x:v>Manufactured / unresolved</x:v>
      </x:c>
      <x:c r="AA420" s="4" t="str">
        <x:v>Metal refining</x:v>
      </x:c>
      <x:c r="AB420" s="4" t="str">
        <x:v>Metal</x:v>
      </x:c>
      <x:c r="AC420" s="4" t="str">
        <x:v>Solid piece</x:v>
      </x:c>
      <x:c r="AD420" s="4" t="str">
        <x:v>Proposal</x:v>
      </x:c>
      <x:c r="AE420" s="4" t="str">
        <x:f>LOWER(A420&amp;"; "&amp;B420&amp;"; "&amp;D420&amp;"; "&amp;E420&amp;"; "&amp;X420&amp;"; "&amp;Y420&amp;"; "&amp;Z420&amp;"; "&amp;AA420&amp;"; "&amp;AB420&amp;"; "&amp;AC420&amp;"; "&amp;AD420&amp;"; "&amp;V420&amp;"; "&amp;C420&amp;"; "&amp;AH420&amp;"; "&amp;AI420)</x:f>
        <x:v>proposal.branch.alloy_addition; prepared manganese alloying stock; manufactured stock; t2 material / component proposal; processed material; processed intermediate; manufactured / unresolved; metal refining; metal; solid piece; proposal; prepared manganese alloying stock; t2; refined stock; metal refining; t2; not applicable; material</x:v>
      </x:c>
      <x:c r="AF420" s="4" t="str">
        <x:v>New material-tree proposal; intended application and material behavior require qualification. Lore category review: Resources -&gt; Manufactured stock. Classification only; original item status and tier retained.</x:v>
      </x:c>
      <x:c r="AG420" s="4" t="str">
        <x:v>Proposed tier: one above the highest listed material input; further ingredients may change the tier.</x:v>
      </x:c>
      <x:c r="AH420" s="4" t="str">
        <x:v>Not applicable</x:v>
      </x:c>
      <x:c r="AI420" s="4" t="str">
        <x:v>Material</x:v>
      </x:c>
      <x:c r="AJ420" s="4" t="n">
        <x:f>COUNTIFS('Material routes'!$D$6:$D$2205,A420,'Material routes'!$C$6:$C$2205,"Output")</x:f>
        <x:v>1</x:v>
      </x:c>
      <x:c r="AK420" s="4" t="n">
        <x:f>SUM(COUNTIFS('Material routes'!$D$6:$D$2205,A420,'Material routes'!$C$6:$C$2205,"Ingredient candidate"),COUNTIFS('Material routes'!$D$6:$D$2205,A420,'Material routes'!$C$6:$C$2205,"Consumed input"),COUNTIFS('Material routes'!$D$6:$D$2205,A420,'Material routes'!$C$6:$C$2205,"Contained input"),COUNTIFS('Material routes'!$D$6:$D$2205,A420,'Material routes'!$C$6:$C$2205,"Transform input"))</x:f>
        <x:v>2</x:v>
      </x:c>
      <x:c r="AL420" s="4" t="n">
        <x:f>COUNTIFS('Material routes'!$D$6:$D$2205,A420,'Material routes'!$C$6:$C$2205,"Tool candidate")</x:f>
        <x:v>0</x:v>
      </x:c>
      <x:c r="AM420" s="4" t="str">
        <x:f>IF(AJ420&gt;0,"Route listed; review status/completeness",IF(C420="T0","Raw entry feed; no production route","No production route listed"))</x:f>
        <x:v>Route listed; review status/completeness</x:v>
      </x:c>
      <x:c r="AN420" s="14" t="n">
        <x:f>IF(C420="T0",0,IF(C420="T1",1,IF(C420="T2",2,IF(C420="T3",3,IF(C420="T4",4,IF(C420="Unassigned",98,99))))))</x:f>
        <x:v>2</x:v>
      </x:c>
      <x:c r="AZ420"/>
      <x:c r="BA420"/>
      <x:c r="BB420"/>
      <x:c r="BC420"/>
      <x:c r="BD420"/>
      <x:c r="BE420"/>
      <x:c r="BF420"/>
      <x:c r="BG420"/>
      <x:c r="BH420"/>
      <x:c r="BI420"/>
      <x:c r="BJ420"/>
      <x:c r="BK420"/>
      <x:c r="BL420"/>
      <x:c r="BM420"/>
      <x:c r="BN420"/>
      <x:c r="BO420"/>
      <x:c r="BP420"/>
      <x:c r="BQ420"/>
      <x:c r="BR420"/>
      <x:c r="BS420"/>
      <x:c r="BT420"/>
      <x:c r="BU420"/>
      <x:c r="BV420"/>
      <x:c r="BW420"/>
      <x:c r="BX420"/>
      <x:c r="BY420"/>
      <x:c r="BZ420"/>
      <x:c r="CA420"/>
      <x:c r="CB420"/>
      <x:c r="CC420"/>
    </x:row>
    <x:row r="421" ht="115" customHeight="1">
      <x:c r="A421" s="9" t="str">
        <x:v>proposal.branch.drawn_copper</x:v>
      </x:c>
      <x:c r="B421" s="9" t="str">
        <x:v>Drawn copper stock</x:v>
      </x:c>
      <x:c r="C421" s="4" t="str">
        <x:v>T2</x:v>
      </x:c>
      <x:c r="D421" s="9" t="str">
        <x:v>Manufactured stock</x:v>
      </x:c>
      <x:c r="E421" s="9" t="str">
        <x:v>T2 material / component proposal</x:v>
      </x:c>
      <x:c r="F421" s="9" t="str">
        <x:v>New proposal</x:v>
      </x:c>
      <x:c r="G421" s="9" t="inlineStr">
        <x:is>
          <x:t xml:space="preserve">Prepared metal stock in the form of drawn copper stock, intended as an input to further making or assembly. It is intended to form part of a continuous conducting path, with section, joints and protection matched to the receiving circuit.</x:t>
        </x:is>
      </x:c>
      <x:c r="H421" s="9" t="str">
        <x:v>None</x:v>
      </x:c>
      <x:c r="I421" s="9" t="str">
        <x:v>Workshop / cargo material; handling and storage unresolved</x:v>
      </x:c>
      <x:c r="J421" s="13"/>
      <x:c r="K421" s="15"/>
      <x:c r="L421" s="9" t="str">
        <x:v>Process candidate lower-tier feed; see linked recipe</x:v>
      </x:c>
      <x:c r="M421" s="9" t="str">
        <x:v>Draw and finish a qualified copper batch into conductor stock.</x:v>
      </x:c>
      <x:c r="N421" s="9" t="str">
        <x:v>Not implemented</x:v>
      </x:c>
      <x:c r="O421" s="9" t="str">
        <x:v>Geometry, purity, current capacity and service grade remain undefined.</x:v>
      </x:c>
      <x:c r="P421" s="17"/>
      <x:c r="Q421" s="17"/>
      <x:c r="R421" s="17"/>
      <x:c r="S421" s="17"/>
      <x:c r="T421" s="17"/>
      <x:c r="U421" s="9" t="str">
        <x:v>New October 15 brainstorming. Tier is conditional on the incomplete ingredient list; no quantities, performance ratings or installed crafting behavior assigned.</x:v>
      </x:c>
      <x:c r="V421" s="11" t="str">
        <x:v>drawn copper stock; t2; refined stock; electrical conduction</x:v>
      </x:c>
      <x:c r="W421" s="9" t="str">
        <x:v>New game proposal, October 15, 2026; current author request and Docs/WORLD_BASIS.md material/refinement rules. Not a retrieved source-canon claim.</x:v>
      </x:c>
      <x:c r="X421" s="4" t="str">
        <x:v>Processed material</x:v>
      </x:c>
      <x:c r="Y421" s="4" t="str">
        <x:v>Processed intermediate</x:v>
      </x:c>
      <x:c r="Z421" s="4" t="str">
        <x:v>Manufactured / unresolved</x:v>
      </x:c>
      <x:c r="AA421" s="4" t="str">
        <x:v>Electrical conduction</x:v>
      </x:c>
      <x:c r="AB421" s="4" t="str">
        <x:v>Metal</x:v>
      </x:c>
      <x:c r="AC421" s="4" t="str">
        <x:v>Cord</x:v>
      </x:c>
      <x:c r="AD421" s="4" t="str">
        <x:v>Proposal</x:v>
      </x:c>
      <x:c r="AE421" s="4" t="str">
        <x:f>LOWER(A421&amp;"; "&amp;B421&amp;"; "&amp;D421&amp;"; "&amp;E421&amp;"; "&amp;X421&amp;"; "&amp;Y421&amp;"; "&amp;Z421&amp;"; "&amp;AA421&amp;"; "&amp;AB421&amp;"; "&amp;AC421&amp;"; "&amp;AD421&amp;"; "&amp;V421&amp;"; "&amp;C421&amp;"; "&amp;AH421&amp;"; "&amp;AI421)</x:f>
        <x:v>proposal.branch.drawn_copper; drawn copper stock; manufactured stock; t2 material / component proposal; processed material; processed intermediate; manufactured / unresolved; electrical conduction; metal; cord; proposal; drawn copper stock; t2; refined stock; electrical conduction; t2; not applicable; material</x:v>
      </x:c>
      <x:c r="AF421" s="4" t="str">
        <x:v>New material-tree proposal; intended application and material behavior require qualification. Lore category review: Resources -&gt; Manufactured stock. Classification only; original item status and tier retained.</x:v>
      </x:c>
      <x:c r="AG421" s="4" t="str">
        <x:v>Proposed tier: one above the highest listed material input; further ingredients may change the tier.</x:v>
      </x:c>
      <x:c r="AH421" s="4" t="str">
        <x:v>Not applicable</x:v>
      </x:c>
      <x:c r="AI421" s="4" t="str">
        <x:v>Material</x:v>
      </x:c>
      <x:c r="AJ421" s="4" t="n">
        <x:f>COUNTIFS('Material routes'!$D$6:$D$2205,A421,'Material routes'!$C$6:$C$2205,"Output")</x:f>
        <x:v>1</x:v>
      </x:c>
      <x:c r="AK421" s="4" t="n">
        <x:f>SUM(COUNTIFS('Material routes'!$D$6:$D$2205,A421,'Material routes'!$C$6:$C$2205,"Ingredient candidate"),COUNTIFS('Material routes'!$D$6:$D$2205,A421,'Material routes'!$C$6:$C$2205,"Consumed input"),COUNTIFS('Material routes'!$D$6:$D$2205,A421,'Material routes'!$C$6:$C$2205,"Contained input"),COUNTIFS('Material routes'!$D$6:$D$2205,A421,'Material routes'!$C$6:$C$2205,"Transform input"))</x:f>
        <x:v>10</x:v>
      </x:c>
      <x:c r="AL421" s="4" t="n">
        <x:f>COUNTIFS('Material routes'!$D$6:$D$2205,A421,'Material routes'!$C$6:$C$2205,"Tool candidate")</x:f>
        <x:v>0</x:v>
      </x:c>
      <x:c r="AM421" s="4" t="str">
        <x:f>IF(AJ421&gt;0,"Route listed; review status/completeness",IF(C421="T0","Raw entry feed; no production route","No production route listed"))</x:f>
        <x:v>Route listed; review status/completeness</x:v>
      </x:c>
      <x:c r="AN421" s="14" t="n">
        <x:f>IF(C421="T0",0,IF(C421="T1",1,IF(C421="T2",2,IF(C421="T3",3,IF(C421="T4",4,IF(C421="Unassigned",98,99))))))</x:f>
        <x:v>2</x:v>
      </x:c>
      <x:c r="AZ421"/>
      <x:c r="BA421"/>
      <x:c r="BB421"/>
      <x:c r="BC421"/>
      <x:c r="BD421"/>
      <x:c r="BE421"/>
      <x:c r="BF421"/>
      <x:c r="BG421"/>
      <x:c r="BH421"/>
      <x:c r="BI421"/>
      <x:c r="BJ421"/>
      <x:c r="BK421"/>
      <x:c r="BL421"/>
      <x:c r="BM421"/>
      <x:c r="BN421"/>
      <x:c r="BO421"/>
      <x:c r="BP421"/>
      <x:c r="BQ421"/>
      <x:c r="BR421"/>
      <x:c r="BS421"/>
      <x:c r="BT421"/>
      <x:c r="BU421"/>
      <x:c r="BV421"/>
      <x:c r="BW421"/>
      <x:c r="BX421"/>
      <x:c r="BY421"/>
      <x:c r="BZ421"/>
      <x:c r="CA421"/>
      <x:c r="CB421"/>
      <x:c r="CC421"/>
    </x:row>
    <x:row r="422" ht="115" customHeight="1">
      <x:c r="A422" s="9" t="str">
        <x:v>proposal.branch.bearing_bronze</x:v>
      </x:c>
      <x:c r="B422" s="9" t="str">
        <x:v>Prepared bronze bearing stock</x:v>
      </x:c>
      <x:c r="C422" s="4" t="str">
        <x:v>T2</x:v>
      </x:c>
      <x:c r="D422" s="9" t="str">
        <x:v>Manufactured stock</x:v>
      </x:c>
      <x:c r="E422" s="9" t="str">
        <x:v>T2 material / component proposal</x:v>
      </x:c>
      <x:c r="F422" s="9" t="str">
        <x:v>New proposal</x:v>
      </x:c>
      <x:c r="G422" s="9" t="inlineStr">
        <x:is>
          <x:t xml:space="preserve">Prepared metal stock in the form of prepared bronze bearing stock, intended as an input to further making or assembly. It is intended to replace, support or service a matching machine part; useful fit depends on the host mechanism.</x:t>
        </x:is>
      </x:c>
      <x:c r="H422" s="9" t="str">
        <x:v>None</x:v>
      </x:c>
      <x:c r="I422" s="9" t="str">
        <x:v>Workshop / cargo material; handling and storage unresolved</x:v>
      </x:c>
      <x:c r="J422" s="13"/>
      <x:c r="K422" s="15"/>
      <x:c r="L422" s="9" t="str">
        <x:v>Process candidate lower-tier feed; see linked recipe</x:v>
      </x:c>
      <x:c r="M422" s="9" t="str">
        <x:v>Prepare identified bronze billet as machinable bearing stock.</x:v>
      </x:c>
      <x:c r="N422" s="9" t="str">
        <x:v>Not implemented</x:v>
      </x:c>
      <x:c r="O422" s="9" t="str">
        <x:v>Composition, machining, fit and bearing performance unresolved; not a finished universal bushing.</x:v>
      </x:c>
      <x:c r="P422" s="17"/>
      <x:c r="Q422" s="17"/>
      <x:c r="R422" s="17"/>
      <x:c r="S422" s="17"/>
      <x:c r="T422" s="17"/>
      <x:c r="U422" s="9" t="str">
        <x:v>New October 15 brainstorming. Tier is conditional on the incomplete ingredient list; no quantities, performance ratings or installed crafting behavior assigned.</x:v>
      </x:c>
      <x:c r="V422" s="11" t="str">
        <x:v>prepared bronze bearing stock; t2; refined stock; machinery repair</x:v>
      </x:c>
      <x:c r="W422" s="9" t="str">
        <x:v>New game proposal, October 15, 2026; current author request and Docs/WORLD_BASIS.md material/refinement rules. Not a retrieved source-canon claim.</x:v>
      </x:c>
      <x:c r="X422" s="4" t="str">
        <x:v>Processed material</x:v>
      </x:c>
      <x:c r="Y422" s="4" t="str">
        <x:v>Processed intermediate</x:v>
      </x:c>
      <x:c r="Z422" s="4" t="str">
        <x:v>Manufactured / unresolved</x:v>
      </x:c>
      <x:c r="AA422" s="4" t="str">
        <x:v>Machinery repair</x:v>
      </x:c>
      <x:c r="AB422" s="4" t="str">
        <x:v>Metal</x:v>
      </x:c>
      <x:c r="AC422" s="4" t="str">
        <x:v>Solid part</x:v>
      </x:c>
      <x:c r="AD422" s="4" t="str">
        <x:v>Proposal</x:v>
      </x:c>
      <x:c r="AE422" s="4" t="str">
        <x:f>LOWER(A422&amp;"; "&amp;B422&amp;"; "&amp;D422&amp;"; "&amp;E422&amp;"; "&amp;X422&amp;"; "&amp;Y422&amp;"; "&amp;Z422&amp;"; "&amp;AA422&amp;"; "&amp;AB422&amp;"; "&amp;AC422&amp;"; "&amp;AD422&amp;"; "&amp;V422&amp;"; "&amp;C422&amp;"; "&amp;AH422&amp;"; "&amp;AI422)</x:f>
        <x:v>proposal.branch.bearing_bronze; prepared bronze bearing stock; manufactured stock; t2 material / component proposal; processed material; processed intermediate; manufactured / unresolved; machinery repair; metal; solid part; proposal; prepared bronze bearing stock; t2; refined stock; machinery repair; t2; not applicable; material</x:v>
      </x:c>
      <x:c r="AF422" s="4" t="str">
        <x:v>New material-tree proposal; intended application and material behavior require qualification. Lore category review: Resources -&gt; Manufactured stock. Classification only; original item status and tier retained.</x:v>
      </x:c>
      <x:c r="AG422" s="4" t="str">
        <x:v>Proposed tier: one above the highest listed material input; further ingredients may change the tier.</x:v>
      </x:c>
      <x:c r="AH422" s="4" t="str">
        <x:v>Not applicable</x:v>
      </x:c>
      <x:c r="AI422" s="4" t="str">
        <x:v>Material</x:v>
      </x:c>
      <x:c r="AJ422" s="4" t="n">
        <x:f>COUNTIFS('Material routes'!$D$6:$D$2205,A422,'Material routes'!$C$6:$C$2205,"Output")</x:f>
        <x:v>1</x:v>
      </x:c>
      <x:c r="AK422" s="4" t="n">
        <x:f>SUM(COUNTIFS('Material routes'!$D$6:$D$2205,A422,'Material routes'!$C$6:$C$2205,"Ingredient candidate"),COUNTIFS('Material routes'!$D$6:$D$2205,A422,'Material routes'!$C$6:$C$2205,"Consumed input"),COUNTIFS('Material routes'!$D$6:$D$2205,A422,'Material routes'!$C$6:$C$2205,"Contained input"),COUNTIFS('Material routes'!$D$6:$D$2205,A422,'Material routes'!$C$6:$C$2205,"Transform input"))</x:f>
        <x:v>24</x:v>
      </x:c>
      <x:c r="AL422" s="4" t="n">
        <x:f>COUNTIFS('Material routes'!$D$6:$D$2205,A422,'Material routes'!$C$6:$C$2205,"Tool candidate")</x:f>
        <x:v>0</x:v>
      </x:c>
      <x:c r="AM422" s="4" t="str">
        <x:f>IF(AJ422&gt;0,"Route listed; review status/completeness",IF(C422="T0","Raw entry feed; no production route","No production route listed"))</x:f>
        <x:v>Route listed; review status/completeness</x:v>
      </x:c>
      <x:c r="AN422" s="14" t="n">
        <x:f>IF(C422="T0",0,IF(C422="T1",1,IF(C422="T2",2,IF(C422="T3",3,IF(C422="T4",4,IF(C422="Unassigned",98,99))))))</x:f>
        <x:v>2</x:v>
      </x:c>
      <x:c r="AZ422"/>
      <x:c r="BA422"/>
      <x:c r="BB422"/>
      <x:c r="BC422"/>
      <x:c r="BD422"/>
      <x:c r="BE422"/>
      <x:c r="BF422"/>
      <x:c r="BG422"/>
      <x:c r="BH422"/>
      <x:c r="BI422"/>
      <x:c r="BJ422"/>
      <x:c r="BK422"/>
      <x:c r="BL422"/>
      <x:c r="BM422"/>
      <x:c r="BN422"/>
      <x:c r="BO422"/>
      <x:c r="BP422"/>
      <x:c r="BQ422"/>
      <x:c r="BR422"/>
      <x:c r="BS422"/>
      <x:c r="BT422"/>
      <x:c r="BU422"/>
      <x:c r="BV422"/>
      <x:c r="BW422"/>
      <x:c r="BX422"/>
      <x:c r="BY422"/>
      <x:c r="BZ422"/>
      <x:c r="CA422"/>
      <x:c r="CB422"/>
      <x:c r="CC422"/>
    </x:row>
    <x:row r="423" ht="115" customHeight="1">
      <x:c r="A423" s="9" t="str">
        <x:v>proposal.branch.refractory_ceramic</x:v>
      </x:c>
      <x:c r="B423" s="9" t="str">
        <x:v>Refractory ceramic stock</x:v>
      </x:c>
      <x:c r="C423" s="4" t="str">
        <x:v>T2</x:v>
      </x:c>
      <x:c r="D423" s="9" t="str">
        <x:v>Manufactured stock</x:v>
      </x:c>
      <x:c r="E423" s="9" t="str">
        <x:v>T2 material / component proposal</x:v>
      </x:c>
      <x:c r="F423" s="9" t="str">
        <x:v>New proposal</x:v>
      </x:c>
      <x:c r="G423" s="9" t="inlineStr">
        <x:is>
          <x:t xml:space="preserve">Prepared ceramic stock in the form of refractory ceramic stock, intended as an input to further making or assembly. It is intended to contain, separate or manage heat in a controlled hot-work arrangement, with service conditions matched to its material.</x:t>
        </x:is>
      </x:c>
      <x:c r="H423" s="9" t="str">
        <x:v>None</x:v>
      </x:c>
      <x:c r="I423" s="9" t="str">
        <x:v>Workshop / cargo material; handling and storage unresolved</x:v>
      </x:c>
      <x:c r="J423" s="13"/>
      <x:c r="K423" s="15"/>
      <x:c r="L423" s="9" t="str">
        <x:v>Process candidate lower-tier feed; see linked recipe</x:v>
      </x:c>
      <x:c r="M423" s="9" t="str">
        <x:v>Explore a selected refractory body and forming/firing route.</x:v>
      </x:c>
      <x:c r="N423" s="9" t="str">
        <x:v>Not implemented</x:v>
      </x:c>
      <x:c r="O423" s="9" t="str">
        <x:v>Binder compatibility, firing atmosphere, thermal shock and temperature limits require design; no free-water mix assumed.</x:v>
      </x:c>
      <x:c r="P423" s="17"/>
      <x:c r="Q423" s="17"/>
      <x:c r="R423" s="17"/>
      <x:c r="S423" s="17"/>
      <x:c r="T423" s="17"/>
      <x:c r="U423" s="9" t="str">
        <x:v>New October 15 brainstorming. Tier is conditional on the incomplete ingredient list; no quantities, performance ratings or installed crafting behavior assigned.</x:v>
      </x:c>
      <x:c r="V423" s="11" t="str">
        <x:v>refractory ceramic stock; t2; refined stock; fire management</x:v>
      </x:c>
      <x:c r="W423" s="9" t="str">
        <x:v>New game proposal, October 15, 2026; current author request and Docs/WORLD_BASIS.md material/refinement rules. Not a retrieved source-canon claim.</x:v>
      </x:c>
      <x:c r="X423" s="4" t="str">
        <x:v>Processed material</x:v>
      </x:c>
      <x:c r="Y423" s="4" t="str">
        <x:v>Processed intermediate</x:v>
      </x:c>
      <x:c r="Z423" s="4" t="str">
        <x:v>Manufactured / unresolved</x:v>
      </x:c>
      <x:c r="AA423" s="4" t="str">
        <x:v>Fire management</x:v>
      </x:c>
      <x:c r="AB423" s="4" t="str">
        <x:v>Ceramic</x:v>
      </x:c>
      <x:c r="AC423" s="4" t="str">
        <x:v>Solid part</x:v>
      </x:c>
      <x:c r="AD423" s="4" t="str">
        <x:v>Proposal</x:v>
      </x:c>
      <x:c r="AE423" s="4" t="str">
        <x:f>LOWER(A423&amp;"; "&amp;B423&amp;"; "&amp;D423&amp;"; "&amp;E423&amp;"; "&amp;X423&amp;"; "&amp;Y423&amp;"; "&amp;Z423&amp;"; "&amp;AA423&amp;"; "&amp;AB423&amp;"; "&amp;AC423&amp;"; "&amp;AD423&amp;"; "&amp;V423&amp;"; "&amp;C423&amp;"; "&amp;AH423&amp;"; "&amp;AI423)</x:f>
        <x:v>proposal.branch.refractory_ceramic; refractory ceramic stock; manufactured stock; t2 material / component proposal; processed material; processed intermediate; manufactured / unresolved; fire management; ceramic; solid part; proposal; refractory ceramic stock; t2; refined stock; fire management; t2; not applicable; material</x:v>
      </x:c>
      <x:c r="AF423" s="4" t="str">
        <x:v>New material-tree proposal; intended application and material behavior require qualification. Lore category review: Resources -&gt; Manufactured stock. Classification only; original item status and tier retained.</x:v>
      </x:c>
      <x:c r="AG423" s="4" t="str">
        <x:v>Proposed tier: one above the highest listed material input; further ingredients may change the tier.</x:v>
      </x:c>
      <x:c r="AH423" s="4" t="str">
        <x:v>Not applicable</x:v>
      </x:c>
      <x:c r="AI423" s="4" t="str">
        <x:v>Material</x:v>
      </x:c>
      <x:c r="AJ423" s="4" t="n">
        <x:f>COUNTIFS('Material routes'!$D$6:$D$2205,A423,'Material routes'!$C$6:$C$2205,"Output")</x:f>
        <x:v>1</x:v>
      </x:c>
      <x:c r="AK423" s="4" t="n">
        <x:f>SUM(COUNTIFS('Material routes'!$D$6:$D$2205,A423,'Material routes'!$C$6:$C$2205,"Ingredient candidate"),COUNTIFS('Material routes'!$D$6:$D$2205,A423,'Material routes'!$C$6:$C$2205,"Consumed input"),COUNTIFS('Material routes'!$D$6:$D$2205,A423,'Material routes'!$C$6:$C$2205,"Contained input"),COUNTIFS('Material routes'!$D$6:$D$2205,A423,'Material routes'!$C$6:$C$2205,"Transform input"))</x:f>
        <x:v>16</x:v>
      </x:c>
      <x:c r="AL423" s="4" t="n">
        <x:f>COUNTIFS('Material routes'!$D$6:$D$2205,A423,'Material routes'!$C$6:$C$2205,"Tool candidate")</x:f>
        <x:v>0</x:v>
      </x:c>
      <x:c r="AM423" s="4" t="str">
        <x:f>IF(AJ423&gt;0,"Route listed; review status/completeness",IF(C423="T0","Raw entry feed; no production route","No production route listed"))</x:f>
        <x:v>Route listed; review status/completeness</x:v>
      </x:c>
      <x:c r="AN423" s="14" t="n">
        <x:f>IF(C423="T0",0,IF(C423="T1",1,IF(C423="T2",2,IF(C423="T3",3,IF(C423="T4",4,IF(C423="Unassigned",98,99))))))</x:f>
        <x:v>2</x:v>
      </x:c>
      <x:c r="AZ423"/>
      <x:c r="BA423"/>
      <x:c r="BB423"/>
      <x:c r="BC423"/>
      <x:c r="BD423"/>
      <x:c r="BE423"/>
      <x:c r="BF423"/>
      <x:c r="BG423"/>
      <x:c r="BH423"/>
      <x:c r="BI423"/>
      <x:c r="BJ423"/>
      <x:c r="BK423"/>
      <x:c r="BL423"/>
      <x:c r="BM423"/>
      <x:c r="BN423"/>
      <x:c r="BO423"/>
      <x:c r="BP423"/>
      <x:c r="BQ423"/>
      <x:c r="BR423"/>
      <x:c r="BS423"/>
      <x:c r="BT423"/>
      <x:c r="BU423"/>
      <x:c r="BV423"/>
      <x:c r="BW423"/>
      <x:c r="BX423"/>
      <x:c r="BY423"/>
      <x:c r="BZ423"/>
      <x:c r="CA423"/>
      <x:c r="CB423"/>
      <x:c r="CC423"/>
    </x:row>
    <x:row r="424" ht="115" customHeight="1">
      <x:c r="A424" s="9" t="str">
        <x:v>proposal.branch.opaque_sheet</x:v>
      </x:c>
      <x:c r="B424" s="9" t="str">
        <x:v>Formed opaque glass sheet</x:v>
      </x:c>
      <x:c r="C424" s="4" t="str">
        <x:v>T2</x:v>
      </x:c>
      <x:c r="D424" s="9" t="str">
        <x:v>Manufactured stock</x:v>
      </x:c>
      <x:c r="E424" s="9" t="str">
        <x:v>T2 material / component proposal</x:v>
      </x:c>
      <x:c r="F424" s="9" t="str">
        <x:v>New proposal</x:v>
      </x:c>
      <x:c r="G424" s="9" t="inlineStr">
        <x:is>
          <x:t xml:space="preserve">Prepared glass stock in the form of formed opaque glass sheet, intended as an input to further making or assembly. It is intended for a matched glassworking or ceramic process, with composition, forming and controlled heat determining the useful result.</x:t>
        </x:is>
      </x:c>
      <x:c r="H424" s="9" t="str">
        <x:v>None</x:v>
      </x:c>
      <x:c r="I424" s="9" t="str">
        <x:v>Workshop / cargo material; handling and storage unresolved</x:v>
      </x:c>
      <x:c r="J424" s="13"/>
      <x:c r="K424" s="15"/>
      <x:c r="L424" s="9" t="str">
        <x:v>Process candidate lower-tier feed; see linked recipe</x:v>
      </x:c>
      <x:c r="M424" s="9" t="str">
        <x:v>Form and finish first glass stock into usable sheet feed.</x:v>
      </x:c>
      <x:c r="N424" s="9" t="str">
        <x:v>Not implemented</x:v>
      </x:c>
      <x:c r="O424" s="9" t="str">
        <x:v>Dimensions, impact behavior, forming equipment and annealing process remain open.</x:v>
      </x:c>
      <x:c r="P424" s="17"/>
      <x:c r="Q424" s="17"/>
      <x:c r="R424" s="17"/>
      <x:c r="S424" s="17"/>
      <x:c r="T424" s="17"/>
      <x:c r="U424" s="9" t="str">
        <x:v>New October 15 brainstorming. Tier is conditional on the incomplete ingredient list; no quantities, performance ratings or installed crafting behavior assigned.</x:v>
      </x:c>
      <x:c r="V424" s="11" t="str">
        <x:v>formed opaque glass sheet; t2; refined stock; glass and ceramics</x:v>
      </x:c>
      <x:c r="W424" s="9" t="str">
        <x:v>New game proposal, October 15, 2026; current author request and Docs/WORLD_BASIS.md material/refinement rules. Not a retrieved source-canon claim.</x:v>
      </x:c>
      <x:c r="X424" s="4" t="str">
        <x:v>Processed material</x:v>
      </x:c>
      <x:c r="Y424" s="4" t="str">
        <x:v>Processed intermediate</x:v>
      </x:c>
      <x:c r="Z424" s="4" t="str">
        <x:v>Manufactured / unresolved</x:v>
      </x:c>
      <x:c r="AA424" s="4" t="str">
        <x:v>Glass and ceramics</x:v>
      </x:c>
      <x:c r="AB424" s="4" t="str">
        <x:v>Glass</x:v>
      </x:c>
      <x:c r="AC424" s="4" t="str">
        <x:v>Sheet</x:v>
      </x:c>
      <x:c r="AD424" s="4" t="str">
        <x:v>Proposal</x:v>
      </x:c>
      <x:c r="AE424" s="4" t="str">
        <x:f>LOWER(A424&amp;"; "&amp;B424&amp;"; "&amp;D424&amp;"; "&amp;E424&amp;"; "&amp;X424&amp;"; "&amp;Y424&amp;"; "&amp;Z424&amp;"; "&amp;AA424&amp;"; "&amp;AB424&amp;"; "&amp;AC424&amp;"; "&amp;AD424&amp;"; "&amp;V424&amp;"; "&amp;C424&amp;"; "&amp;AH424&amp;"; "&amp;AI424)</x:f>
        <x:v>proposal.branch.opaque_sheet; formed opaque glass sheet; manufactured stock; t2 material / component proposal; processed material; processed intermediate; manufactured / unresolved; glass and ceramics; glass; sheet; proposal; formed opaque glass sheet; t2; refined stock; glass and ceramics; t2; not applicable; material</x:v>
      </x:c>
      <x:c r="AF424" s="4" t="str">
        <x:v>New material-tree proposal; intended application and material behavior require qualification. Lore category review: Resources -&gt; Manufactured stock. Classification only; original item status and tier retained.</x:v>
      </x:c>
      <x:c r="AG424" s="4" t="str">
        <x:v>Proposed tier: one above the highest listed material input; further ingredients may change the tier.</x:v>
      </x:c>
      <x:c r="AH424" s="4" t="str">
        <x:v>Not applicable</x:v>
      </x:c>
      <x:c r="AI424" s="4" t="str">
        <x:v>Material</x:v>
      </x:c>
      <x:c r="AJ424" s="4" t="n">
        <x:f>COUNTIFS('Material routes'!$D$6:$D$2205,A424,'Material routes'!$C$6:$C$2205,"Output")</x:f>
        <x:v>1</x:v>
      </x:c>
      <x:c r="AK424" s="4" t="n">
        <x:f>SUM(COUNTIFS('Material routes'!$D$6:$D$2205,A424,'Material routes'!$C$6:$C$2205,"Ingredient candidate"),COUNTIFS('Material routes'!$D$6:$D$2205,A424,'Material routes'!$C$6:$C$2205,"Consumed input"),COUNTIFS('Material routes'!$D$6:$D$2205,A424,'Material routes'!$C$6:$C$2205,"Contained input"),COUNTIFS('Material routes'!$D$6:$D$2205,A424,'Material routes'!$C$6:$C$2205,"Transform input"))</x:f>
        <x:v>1</x:v>
      </x:c>
      <x:c r="AL424" s="4" t="n">
        <x:f>COUNTIFS('Material routes'!$D$6:$D$2205,A424,'Material routes'!$C$6:$C$2205,"Tool candidate")</x:f>
        <x:v>0</x:v>
      </x:c>
      <x:c r="AM424" s="4" t="str">
        <x:f>IF(AJ424&gt;0,"Route listed; review status/completeness",IF(C424="T0","Raw entry feed; no production route","No production route listed"))</x:f>
        <x:v>Route listed; review status/completeness</x:v>
      </x:c>
      <x:c r="AN424" s="14" t="n">
        <x:f>IF(C424="T0",0,IF(C424="T1",1,IF(C424="T2",2,IF(C424="T3",3,IF(C424="T4",4,IF(C424="Unassigned",98,99))))))</x:f>
        <x:v>2</x:v>
      </x:c>
      <x:c r="AZ424"/>
      <x:c r="BA424"/>
      <x:c r="BB424"/>
      <x:c r="BC424"/>
      <x:c r="BD424"/>
      <x:c r="BE424"/>
      <x:c r="BF424"/>
      <x:c r="BG424"/>
      <x:c r="BH424"/>
      <x:c r="BI424"/>
      <x:c r="BJ424"/>
      <x:c r="BK424"/>
      <x:c r="BL424"/>
      <x:c r="BM424"/>
      <x:c r="BN424"/>
      <x:c r="BO424"/>
      <x:c r="BP424"/>
      <x:c r="BQ424"/>
      <x:c r="BR424"/>
      <x:c r="BS424"/>
      <x:c r="BT424"/>
      <x:c r="BU424"/>
      <x:c r="BV424"/>
      <x:c r="BW424"/>
      <x:c r="BX424"/>
      <x:c r="BY424"/>
      <x:c r="BZ424"/>
      <x:c r="CA424"/>
      <x:c r="CB424"/>
      <x:c r="CC424"/>
    </x:row>
    <x:row r="425" ht="115" customHeight="1">
      <x:c r="A425" s="9" t="str">
        <x:v>proposal.branch.viewing_glass</x:v>
      </x:c>
      <x:c r="B425" s="9" t="str">
        <x:v>Selected viewing-glass stock</x:v>
      </x:c>
      <x:c r="C425" s="4" t="str">
        <x:v>T2</x:v>
      </x:c>
      <x:c r="D425" s="9" t="str">
        <x:v>Manufactured stock</x:v>
      </x:c>
      <x:c r="E425" s="9" t="str">
        <x:v>T2 material / component proposal</x:v>
      </x:c>
      <x:c r="F425" s="9" t="str">
        <x:v>New proposal</x:v>
      </x:c>
      <x:c r="G425" s="9" t="inlineStr">
        <x:is>
          <x:t xml:space="preserve">Prepared glass stock in the form of selected viewing-glass stock, intended as an input to further making or assembly. It supports the positioning or preparation of a viewing element. Useful clarity, alignment or correction must be established for the actual optics.</x:t>
        </x:is>
      </x:c>
      <x:c r="H425" s="9" t="str">
        <x:v>None</x:v>
      </x:c>
      <x:c r="I425" s="9" t="str">
        <x:v>Workshop / cargo material; handling and storage unresolved</x:v>
      </x:c>
      <x:c r="J425" s="13"/>
      <x:c r="K425" s="15"/>
      <x:c r="L425" s="9" t="str">
        <x:v>Process candidate lower-tier feed; see linked recipe</x:v>
      </x:c>
      <x:c r="M425" s="9" t="str">
        <x:v>Select and prepare clear blanks for later precision work.</x:v>
      </x:c>
      <x:c r="N425" s="9" t="str">
        <x:v>Not implemented</x:v>
      </x:c>
      <x:c r="O425" s="9" t="str">
        <x:v>A specialist candidate stock, not finished spectacles or proof of optical-grade purity.</x:v>
      </x:c>
      <x:c r="P425" s="17"/>
      <x:c r="Q425" s="17"/>
      <x:c r="R425" s="17"/>
      <x:c r="S425" s="17"/>
      <x:c r="T425" s="17"/>
      <x:c r="U425" s="9" t="str">
        <x:v>New October 15 brainstorming. Tier is conditional on the incomplete ingredient list; no quantities, performance ratings or installed crafting behavior assigned.</x:v>
      </x:c>
      <x:c r="V425" s="11" t="str">
        <x:v>selected viewing-glass stock; t2; refined stock; vision</x:v>
      </x:c>
      <x:c r="W425" s="9" t="str">
        <x:v>New game proposal, October 15, 2026; current author request and Docs/WORLD_BASIS.md material/refinement rules. Not a retrieved source-canon claim.</x:v>
      </x:c>
      <x:c r="X425" s="4" t="str">
        <x:v>Processed material</x:v>
      </x:c>
      <x:c r="Y425" s="4" t="str">
        <x:v>Processed intermediate</x:v>
      </x:c>
      <x:c r="Z425" s="4" t="str">
        <x:v>Manufactured / unresolved</x:v>
      </x:c>
      <x:c r="AA425" s="4" t="str">
        <x:v>Vision</x:v>
      </x:c>
      <x:c r="AB425" s="4" t="str">
        <x:v>Glass</x:v>
      </x:c>
      <x:c r="AC425" s="4" t="str">
        <x:v>Solid piece</x:v>
      </x:c>
      <x:c r="AD425" s="4" t="str">
        <x:v>Proposal</x:v>
      </x:c>
      <x:c r="AE425" s="4" t="str">
        <x:f>LOWER(A425&amp;"; "&amp;B425&amp;"; "&amp;D425&amp;"; "&amp;E425&amp;"; "&amp;X425&amp;"; "&amp;Y425&amp;"; "&amp;Z425&amp;"; "&amp;AA425&amp;"; "&amp;AB425&amp;"; "&amp;AC425&amp;"; "&amp;AD425&amp;"; "&amp;V425&amp;"; "&amp;C425&amp;"; "&amp;AH425&amp;"; "&amp;AI425)</x:f>
        <x:v>proposal.branch.viewing_glass; selected viewing-glass stock; manufactured stock; t2 material / component proposal; processed material; processed intermediate; manufactured / unresolved; vision; glass; solid piece; proposal; selected viewing-glass stock; t2; refined stock; vision; t2; not applicable; material</x:v>
      </x:c>
      <x:c r="AF425" s="4" t="str">
        <x:v>New material-tree proposal; intended application and material behavior require qualification. Lore category review: Resources -&gt; Manufactured stock. Classification only; original item status and tier retained.</x:v>
      </x:c>
      <x:c r="AG425" s="4" t="str">
        <x:v>Proposed tier: one above the highest listed material input; further ingredients may change the tier.</x:v>
      </x:c>
      <x:c r="AH425" s="4" t="str">
        <x:v>Not applicable</x:v>
      </x:c>
      <x:c r="AI425" s="4" t="str">
        <x:v>Material</x:v>
      </x:c>
      <x:c r="AJ425" s="4" t="n">
        <x:f>COUNTIFS('Material routes'!$D$6:$D$2205,A425,'Material routes'!$C$6:$C$2205,"Output")</x:f>
        <x:v>1</x:v>
      </x:c>
      <x:c r="AK425" s="4" t="n">
        <x:f>SUM(COUNTIFS('Material routes'!$D$6:$D$2205,A425,'Material routes'!$C$6:$C$2205,"Ingredient candidate"),COUNTIFS('Material routes'!$D$6:$D$2205,A425,'Material routes'!$C$6:$C$2205,"Consumed input"),COUNTIFS('Material routes'!$D$6:$D$2205,A425,'Material routes'!$C$6:$C$2205,"Contained input"),COUNTIFS('Material routes'!$D$6:$D$2205,A425,'Material routes'!$C$6:$C$2205,"Transform input"))</x:f>
        <x:v>3</x:v>
      </x:c>
      <x:c r="AL425" s="4" t="n">
        <x:f>COUNTIFS('Material routes'!$D$6:$D$2205,A425,'Material routes'!$C$6:$C$2205,"Tool candidate")</x:f>
        <x:v>0</x:v>
      </x:c>
      <x:c r="AM425" s="4" t="str">
        <x:f>IF(AJ425&gt;0,"Route listed; review status/completeness",IF(C425="T0","Raw entry feed; no production route","No production route listed"))</x:f>
        <x:v>Route listed; review status/completeness</x:v>
      </x:c>
      <x:c r="AN425" s="14" t="n">
        <x:f>IF(C425="T0",0,IF(C425="T1",1,IF(C425="T2",2,IF(C425="T3",3,IF(C425="T4",4,IF(C425="Unassigned",98,99))))))</x:f>
        <x:v>2</x:v>
      </x:c>
      <x:c r="AZ425"/>
      <x:c r="BA425"/>
      <x:c r="BB425"/>
      <x:c r="BC425"/>
      <x:c r="BD425"/>
      <x:c r="BE425"/>
      <x:c r="BF425"/>
      <x:c r="BG425"/>
      <x:c r="BH425"/>
      <x:c r="BI425"/>
      <x:c r="BJ425"/>
      <x:c r="BK425"/>
      <x:c r="BL425"/>
      <x:c r="BM425"/>
      <x:c r="BN425"/>
      <x:c r="BO425"/>
      <x:c r="BP425"/>
      <x:c r="BQ425"/>
      <x:c r="BR425"/>
      <x:c r="BS425"/>
      <x:c r="BT425"/>
      <x:c r="BU425"/>
      <x:c r="BV425"/>
      <x:c r="BW425"/>
      <x:c r="BX425"/>
      <x:c r="BY425"/>
      <x:c r="BZ425"/>
      <x:c r="CA425"/>
      <x:c r="CB425"/>
      <x:c r="CC425"/>
    </x:row>
    <x:row r="426" ht="115" customHeight="1">
      <x:c r="A426" s="9" t="str">
        <x:v>proposal.branch.husk_sheet</x:v>
      </x:c>
      <x:c r="B426" s="9" t="str">
        <x:v>Bonded husk sheet</x:v>
      </x:c>
      <x:c r="C426" s="4" t="str">
        <x:v>T2</x:v>
      </x:c>
      <x:c r="D426" s="9" t="str">
        <x:v>Manufactured stock</x:v>
      </x:c>
      <x:c r="E426" s="9" t="str">
        <x:v>T2 material / component proposal</x:v>
      </x:c>
      <x:c r="F426" s="9" t="str">
        <x:v>New proposal</x:v>
      </x:c>
      <x:c r="G426" s="9" t="inlineStr">
        <x:is>
          <x:t xml:space="preserve">Prepared husk fiber stock in the form of bonded husk sheet, intended as an input to further making or assembly. It supplies a candidate fastening, panel or material for clothing; cutting, joining and fit remain part of the finished garment’s design.</x:t>
        </x:is>
      </x:c>
      <x:c r="H426" s="9" t="str">
        <x:v>None</x:v>
      </x:c>
      <x:c r="I426" s="9" t="str">
        <x:v>Workshop / cargo material; handling and storage unresolved</x:v>
      </x:c>
      <x:c r="J426" s="13"/>
      <x:c r="K426" s="15"/>
      <x:c r="L426" s="9" t="str">
        <x:v>Process candidate lower-tier feed; see linked recipe</x:v>
      </x:c>
      <x:c r="M426" s="9" t="str">
        <x:v>Explore difficult bonding/pressing of prepared husk material.</x:v>
      </x:c>
      <x:c r="N426" s="9" t="str">
        <x:v>Not implemented</x:v>
      </x:c>
      <x:c r="O426" s="9" t="str">
        <x:v>Not ordinary cloth. Flexibility, adhesive compatibility, very high labor and large feed requirements remain open.</x:v>
      </x:c>
      <x:c r="P426" s="17"/>
      <x:c r="Q426" s="17"/>
      <x:c r="R426" s="17"/>
      <x:c r="S426" s="17"/>
      <x:c r="T426" s="17"/>
      <x:c r="U426" s="9" t="str">
        <x:v>New October 15 brainstorming. Tier is conditional on the incomplete ingredient list; no quantities, performance ratings or installed crafting behavior assigned.</x:v>
      </x:c>
      <x:c r="V426" s="11" t="str">
        <x:v>bonded husk sheet; t2; refined stock; clothing fabrication</x:v>
      </x:c>
      <x:c r="W426" s="9" t="str">
        <x:v>New game proposal, October 15, 2026; current author request and Docs/WORLD_BASIS.md material/refinement rules. Not a retrieved source-canon claim.</x:v>
      </x:c>
      <x:c r="X426" s="4" t="str">
        <x:v>Processed material</x:v>
      </x:c>
      <x:c r="Y426" s="4" t="str">
        <x:v>Processed intermediate</x:v>
      </x:c>
      <x:c r="Z426" s="4" t="str">
        <x:v>Manufactured / unresolved</x:v>
      </x:c>
      <x:c r="AA426" s="4" t="str">
        <x:v>Clothing fabrication</x:v>
      </x:c>
      <x:c r="AB426" s="4" t="str">
        <x:v>Husk fiber</x:v>
      </x:c>
      <x:c r="AC426" s="4" t="str">
        <x:v>Sheet</x:v>
      </x:c>
      <x:c r="AD426" s="4" t="str">
        <x:v>Proposal</x:v>
      </x:c>
      <x:c r="AE426" s="4" t="str">
        <x:f>LOWER(A426&amp;"; "&amp;B426&amp;"; "&amp;D426&amp;"; "&amp;E426&amp;"; "&amp;X426&amp;"; "&amp;Y426&amp;"; "&amp;Z426&amp;"; "&amp;AA426&amp;"; "&amp;AB426&amp;"; "&amp;AC426&amp;"; "&amp;AD426&amp;"; "&amp;V426&amp;"; "&amp;C426&amp;"; "&amp;AH426&amp;"; "&amp;AI426)</x:f>
        <x:v>proposal.branch.husk_sheet; bonded husk sheet; manufactured stock; t2 material / component proposal; processed material; processed intermediate; manufactured / unresolved; clothing fabrication; husk fiber; sheet; proposal; bonded husk sheet; t2; refined stock; clothing fabrication; t2; not applicable; material</x:v>
      </x:c>
      <x:c r="AF426" s="4" t="str">
        <x:v>New material-tree proposal; intended application and material behavior require qualification. Lore category review: Resources -&gt; Manufactured stock. Classification only; original item status and tier retained.</x:v>
      </x:c>
      <x:c r="AG426" s="4" t="str">
        <x:v>Proposed tier: one above the highest listed material input; further ingredients may change the tier.</x:v>
      </x:c>
      <x:c r="AH426" s="4" t="str">
        <x:v>Not applicable</x:v>
      </x:c>
      <x:c r="AI426" s="4" t="str">
        <x:v>Material</x:v>
      </x:c>
      <x:c r="AJ426" s="4" t="n">
        <x:f>COUNTIFS('Material routes'!$D$6:$D$2205,A426,'Material routes'!$C$6:$C$2205,"Output")</x:f>
        <x:v>1</x:v>
      </x:c>
      <x:c r="AK426" s="4" t="n">
        <x:f>SUM(COUNTIFS('Material routes'!$D$6:$D$2205,A426,'Material routes'!$C$6:$C$2205,"Ingredient candidate"),COUNTIFS('Material routes'!$D$6:$D$2205,A426,'Material routes'!$C$6:$C$2205,"Consumed input"),COUNTIFS('Material routes'!$D$6:$D$2205,A426,'Material routes'!$C$6:$C$2205,"Contained input"),COUNTIFS('Material routes'!$D$6:$D$2205,A426,'Material routes'!$C$6:$C$2205,"Transform input"))</x:f>
        <x:v>10</x:v>
      </x:c>
      <x:c r="AL426" s="4" t="n">
        <x:f>COUNTIFS('Material routes'!$D$6:$D$2205,A426,'Material routes'!$C$6:$C$2205,"Tool candidate")</x:f>
        <x:v>0</x:v>
      </x:c>
      <x:c r="AM426" s="4" t="str">
        <x:f>IF(AJ426&gt;0,"Route listed; review status/completeness",IF(C426="T0","Raw entry feed; no production route","No production route listed"))</x:f>
        <x:v>Route listed; review status/completeness</x:v>
      </x:c>
      <x:c r="AN426" s="14" t="n">
        <x:f>IF(C426="T0",0,IF(C426="T1",1,IF(C426="T2",2,IF(C426="T3",3,IF(C426="T4",4,IF(C426="Unassigned",98,99))))))</x:f>
        <x:v>2</x:v>
      </x:c>
      <x:c r="AZ426"/>
      <x:c r="BA426"/>
      <x:c r="BB426"/>
      <x:c r="BC426"/>
      <x:c r="BD426"/>
      <x:c r="BE426"/>
      <x:c r="BF426"/>
      <x:c r="BG426"/>
      <x:c r="BH426"/>
      <x:c r="BI426"/>
      <x:c r="BJ426"/>
      <x:c r="BK426"/>
      <x:c r="BL426"/>
      <x:c r="BM426"/>
      <x:c r="BN426"/>
      <x:c r="BO426"/>
      <x:c r="BP426"/>
      <x:c r="BQ426"/>
      <x:c r="BR426"/>
      <x:c r="BS426"/>
      <x:c r="BT426"/>
      <x:c r="BU426"/>
      <x:c r="BV426"/>
      <x:c r="BW426"/>
      <x:c r="BX426"/>
      <x:c r="BY426"/>
      <x:c r="BZ426"/>
      <x:c r="CA426"/>
      <x:c r="CB426"/>
      <x:c r="CC426"/>
    </x:row>
    <x:row r="427" ht="115" customHeight="1">
      <x:c r="A427" s="9" t="str">
        <x:v>proposal.branch.wing_membrane</x:v>
      </x:c>
      <x:c r="B427" s="9" t="str">
        <x:v>Reinforced wing membrane</x:v>
      </x:c>
      <x:c r="C427" s="4" t="str">
        <x:v>T2</x:v>
      </x:c>
      <x:c r="D427" s="9" t="str">
        <x:v>Manufactured stock</x:v>
      </x:c>
      <x:c r="E427" s="9" t="str">
        <x:v>T2 material / component proposal</x:v>
      </x:c>
      <x:c r="F427" s="9" t="str">
        <x:v>New proposal</x:v>
      </x:c>
      <x:c r="G427" s="9" t="inlineStr">
        <x:is>
          <x:t xml:space="preserve">Prepared wing membrane stock in the form of reinforced wing membrane, intended as an input to further making or assembly. It is intended to transmit wind force through a fitted sail or wing arrangement, with the support structure and control method designed together.</x:t>
        </x:is>
      </x:c>
      <x:c r="H427" s="9" t="str">
        <x:v>None</x:v>
      </x:c>
      <x:c r="I427" s="9" t="str">
        <x:v>Workshop / cargo material; handling and storage unresolved</x:v>
      </x:c>
      <x:c r="J427" s="13"/>
      <x:c r="K427" s="15"/>
      <x:c r="L427" s="9" t="str">
        <x:v>Process candidate lower-tier feed; see linked recipe</x:v>
      </x:c>
      <x:c r="M427" s="9" t="str">
        <x:v>Explore edge reinforcement and joining of prepared wing panels.</x:v>
      </x:c>
      <x:c r="N427" s="9" t="str">
        <x:v>Not implemented</x:v>
      </x:c>
      <x:c r="O427" s="9" t="str">
        <x:v>Delicate species-specific material; no universal sail strength, flexibility or weather resistance established.</x:v>
      </x:c>
      <x:c r="P427" s="17"/>
      <x:c r="Q427" s="17"/>
      <x:c r="R427" s="17"/>
      <x:c r="S427" s="17"/>
      <x:c r="T427" s="17"/>
      <x:c r="U427" s="9" t="str">
        <x:v>New October 15 brainstorming. Tier is conditional on the incomplete ingredient list; no quantities, performance ratings or installed crafting behavior assigned.</x:v>
      </x:c>
      <x:c r="V427" s="11" t="str">
        <x:v>reinforced wing membrane; t2; refined stock; wind propulsion</x:v>
      </x:c>
      <x:c r="W427" s="9" t="str">
        <x:v>New game proposal, October 15, 2026; current author request and Docs/WORLD_BASIS.md material/refinement rules. Not a retrieved source-canon claim.</x:v>
      </x:c>
      <x:c r="X427" s="4" t="str">
        <x:v>Processed material</x:v>
      </x:c>
      <x:c r="Y427" s="4" t="str">
        <x:v>Processed intermediate</x:v>
      </x:c>
      <x:c r="Z427" s="4" t="str">
        <x:v>Manufactured / unresolved</x:v>
      </x:c>
      <x:c r="AA427" s="4" t="str">
        <x:v>Wind propulsion</x:v>
      </x:c>
      <x:c r="AB427" s="4" t="str">
        <x:v>Wing membrane</x:v>
      </x:c>
      <x:c r="AC427" s="4" t="str">
        <x:v>Membrane</x:v>
      </x:c>
      <x:c r="AD427" s="4" t="str">
        <x:v>Proposal</x:v>
      </x:c>
      <x:c r="AE427" s="4" t="str">
        <x:f>LOWER(A427&amp;"; "&amp;B427&amp;"; "&amp;D427&amp;"; "&amp;E427&amp;"; "&amp;X427&amp;"; "&amp;Y427&amp;"; "&amp;Z427&amp;"; "&amp;AA427&amp;"; "&amp;AB427&amp;"; "&amp;AC427&amp;"; "&amp;AD427&amp;"; "&amp;V427&amp;"; "&amp;C427&amp;"; "&amp;AH427&amp;"; "&amp;AI427)</x:f>
        <x:v>proposal.branch.wing_membrane; reinforced wing membrane; manufactured stock; t2 material / component proposal; processed material; processed intermediate; manufactured / unresolved; wind propulsion; wing membrane; membrane; proposal; reinforced wing membrane; t2; refined stock; wind propulsion; t2; not applicable; material</x:v>
      </x:c>
      <x:c r="AF427" s="4" t="str">
        <x:v>New material-tree proposal; intended application and material behavior require qualification. Lore category review: Resources -&gt; Manufactured stock. Classification only; original item status and tier retained.</x:v>
      </x:c>
      <x:c r="AG427" s="4" t="str">
        <x:v>Proposed tier: one above the highest listed material input; further ingredients may change the tier.</x:v>
      </x:c>
      <x:c r="AH427" s="4" t="str">
        <x:v>Not applicable</x:v>
      </x:c>
      <x:c r="AI427" s="4" t="str">
        <x:v>Material</x:v>
      </x:c>
      <x:c r="AJ427" s="4" t="n">
        <x:f>COUNTIFS('Material routes'!$D$6:$D$2205,A427,'Material routes'!$C$6:$C$2205,"Output")</x:f>
        <x:v>1</x:v>
      </x:c>
      <x:c r="AK427" s="4" t="n">
        <x:f>SUM(COUNTIFS('Material routes'!$D$6:$D$2205,A427,'Material routes'!$C$6:$C$2205,"Ingredient candidate"),COUNTIFS('Material routes'!$D$6:$D$2205,A427,'Material routes'!$C$6:$C$2205,"Consumed input"),COUNTIFS('Material routes'!$D$6:$D$2205,A427,'Material routes'!$C$6:$C$2205,"Contained input"),COUNTIFS('Material routes'!$D$6:$D$2205,A427,'Material routes'!$C$6:$C$2205,"Transform input"))</x:f>
        <x:v>4</x:v>
      </x:c>
      <x:c r="AL427" s="4" t="n">
        <x:f>COUNTIFS('Material routes'!$D$6:$D$2205,A427,'Material routes'!$C$6:$C$2205,"Tool candidate")</x:f>
        <x:v>0</x:v>
      </x:c>
      <x:c r="AM427" s="4" t="str">
        <x:f>IF(AJ427&gt;0,"Route listed; review status/completeness",IF(C427="T0","Raw entry feed; no production route","No production route listed"))</x:f>
        <x:v>Route listed; review status/completeness</x:v>
      </x:c>
      <x:c r="AN427" s="14" t="n">
        <x:f>IF(C427="T0",0,IF(C427="T1",1,IF(C427="T2",2,IF(C427="T3",3,IF(C427="T4",4,IF(C427="Unassigned",98,99))))))</x:f>
        <x:v>2</x:v>
      </x:c>
      <x:c r="AZ427"/>
      <x:c r="BA427"/>
      <x:c r="BB427"/>
      <x:c r="BC427"/>
      <x:c r="BD427"/>
      <x:c r="BE427"/>
      <x:c r="BF427"/>
      <x:c r="BG427"/>
      <x:c r="BH427"/>
      <x:c r="BI427"/>
      <x:c r="BJ427"/>
      <x:c r="BK427"/>
      <x:c r="BL427"/>
      <x:c r="BM427"/>
      <x:c r="BN427"/>
      <x:c r="BO427"/>
      <x:c r="BP427"/>
      <x:c r="BQ427"/>
      <x:c r="BR427"/>
      <x:c r="BS427"/>
      <x:c r="BT427"/>
      <x:c r="BU427"/>
      <x:c r="BV427"/>
      <x:c r="BW427"/>
      <x:c r="BX427"/>
      <x:c r="BY427"/>
      <x:c r="BZ427"/>
      <x:c r="CA427"/>
      <x:c r="CB427"/>
      <x:c r="CC427"/>
    </x:row>
    <x:row r="428" ht="115" customHeight="1">
      <x:c r="A428" s="9" t="str">
        <x:v>proposal.branch.filled_seal</x:v>
      </x:c>
      <x:c r="B428" s="9" t="str">
        <x:v>Filled faunal seal compound</x:v>
      </x:c>
      <x:c r="C428" s="4" t="str">
        <x:v>T2</x:v>
      </x:c>
      <x:c r="D428" s="9" t="inlineStr">
        <x:is>
          <x:t xml:space="preserve">Crafting components</x:t>
        </x:is>
      </x:c>
      <x:c r="E428" s="9" t="str">
        <x:v>T2 material / component proposal</x:v>
      </x:c>
      <x:c r="F428" s="9" t="str">
        <x:v>New proposal</x:v>
      </x:c>
      <x:c r="G428" s="9" t="inlineStr">
        <x:is>
          <x:t xml:space="preserve">Filled faunal seal compound, prepared as a fitted part or intermediate for a larger assembly. It is intended to close a selected joint or patch an interface. Contents compatibility, movement and service conditions must be checked before a seal is relied on.</x:t>
        </x:is>
      </x:c>
      <x:c r="H428" s="9" t="str">
        <x:v>None</x:v>
      </x:c>
      <x:c r="I428" s="9" t="str">
        <x:v>Workshop / cargo material; handling and storage unresolved</x:v>
      </x:c>
      <x:c r="J428" s="13"/>
      <x:c r="K428" s="15"/>
      <x:c r="L428" s="9" t="str">
        <x:v>Process candidate lower-tier feed; see linked recipe</x:v>
      </x:c>
      <x:c r="M428" s="9" t="str">
        <x:v>Explore a bounded patch/seal formulation from prepared secretion and graded filler.</x:v>
      </x:c>
      <x:c r="N428" s="9" t="str">
        <x:v>Not implemented</x:v>
      </x:c>
      <x:c r="O428" s="9" t="str">
        <x:v>Not pressure-qualified canister sealant; cure, adhesion, cracking and compatibility remain open.</x:v>
      </x:c>
      <x:c r="P428" s="17"/>
      <x:c r="Q428" s="17"/>
      <x:c r="R428" s="17"/>
      <x:c r="S428" s="17"/>
      <x:c r="T428" s="17"/>
      <x:c r="U428" s="9" t="str">
        <x:v>New October 15 brainstorming. Tier is conditional on the incomplete ingredient list; no quantities, performance ratings or installed crafting behavior assigned.</x:v>
      </x:c>
      <x:c r="V428" s="11" t="str">
        <x:v>filled faunal seal compound; t2; refined stock; sealing</x:v>
      </x:c>
      <x:c r="W428" s="9" t="str">
        <x:v>New game proposal, October 15, 2026; current author request and Docs/WORLD_BASIS.md material/refinement rules. Not a retrieved source-canon claim.</x:v>
      </x:c>
      <x:c r="X428" s="4" t="str">
        <x:v>Chemical material</x:v>
      </x:c>
      <x:c r="Y428" s="4" t="str">
        <x:v>Processed intermediate</x:v>
      </x:c>
      <x:c r="Z428" s="4" t="str">
        <x:v>Manufactured / unresolved</x:v>
      </x:c>
      <x:c r="AA428" s="4" t="str">
        <x:v>Sealing</x:v>
      </x:c>
      <x:c r="AB428" s="4" t="str">
        <x:v>Biological chemical</x:v>
      </x:c>
      <x:c r="AC428" s="4" t="str">
        <x:v>Unresolved</x:v>
      </x:c>
      <x:c r="AD428" s="4" t="str">
        <x:v>Proposal</x:v>
      </x:c>
      <x:c r="AE428" s="4" t="str">
        <x:f>LOWER(A428&amp;"; "&amp;B428&amp;"; "&amp;D428&amp;"; "&amp;E428&amp;"; "&amp;X428&amp;"; "&amp;Y428&amp;"; "&amp;Z428&amp;"; "&amp;AA428&amp;"; "&amp;AB428&amp;"; "&amp;AC428&amp;"; "&amp;AD428&amp;"; "&amp;V428&amp;"; "&amp;C428&amp;"; "&amp;AH428&amp;"; "&amp;AI428)</x:f>
        <x:v>proposal.branch.filled_seal; filled faunal seal compound; crafting components; t2 material / component proposal; chemical material; processed intermediate; manufactured / unresolved; sealing; biological chemical; unresolved; proposal; filled faunal seal compound; t2; refined stock; sealing; t2; not applicable; material</x:v>
      </x:c>
      <x:c r="AF428"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28" s="4" t="str">
        <x:v>Proposed tier: one above the highest listed material input; further ingredients may change the tier.</x:v>
      </x:c>
      <x:c r="AH428" s="4" t="str">
        <x:v>Not applicable</x:v>
      </x:c>
      <x:c r="AI428" s="4" t="str">
        <x:v>Material</x:v>
      </x:c>
      <x:c r="AJ428" s="4" t="n">
        <x:f>COUNTIFS('Material routes'!$D$6:$D$2205,A428,'Material routes'!$C$6:$C$2205,"Output")</x:f>
        <x:v>1</x:v>
      </x:c>
      <x:c r="AK428" s="4" t="n">
        <x:f>SUM(COUNTIFS('Material routes'!$D$6:$D$2205,A428,'Material routes'!$C$6:$C$2205,"Ingredient candidate"),COUNTIFS('Material routes'!$D$6:$D$2205,A428,'Material routes'!$C$6:$C$2205,"Consumed input"),COUNTIFS('Material routes'!$D$6:$D$2205,A428,'Material routes'!$C$6:$C$2205,"Contained input"),COUNTIFS('Material routes'!$D$6:$D$2205,A428,'Material routes'!$C$6:$C$2205,"Transform input"))</x:f>
        <x:v>9</x:v>
      </x:c>
      <x:c r="AL428" s="4" t="n">
        <x:f>COUNTIFS('Material routes'!$D$6:$D$2205,A428,'Material routes'!$C$6:$C$2205,"Tool candidate")</x:f>
        <x:v>0</x:v>
      </x:c>
      <x:c r="AM428" s="4" t="str">
        <x:f>IF(AJ428&gt;0,"Route listed; review status/completeness",IF(C428="T0","Raw entry feed; no production route","No production route listed"))</x:f>
        <x:v>Route listed; review status/completeness</x:v>
      </x:c>
      <x:c r="AN428" s="14" t="n">
        <x:f>IF(C428="T0",0,IF(C428="T1",1,IF(C428="T2",2,IF(C428="T3",3,IF(C428="T4",4,IF(C428="Unassigned",98,99))))))</x:f>
        <x:v>2</x:v>
      </x:c>
      <x:c r="AZ428"/>
      <x:c r="BA428"/>
      <x:c r="BB428"/>
      <x:c r="BC428"/>
      <x:c r="BD428"/>
      <x:c r="BE428"/>
      <x:c r="BF428"/>
      <x:c r="BG428"/>
      <x:c r="BH428"/>
      <x:c r="BI428"/>
      <x:c r="BJ428"/>
      <x:c r="BK428"/>
      <x:c r="BL428"/>
      <x:c r="BM428"/>
      <x:c r="BN428"/>
      <x:c r="BO428"/>
      <x:c r="BP428"/>
      <x:c r="BQ428"/>
      <x:c r="BR428"/>
      <x:c r="BS428"/>
      <x:c r="BT428"/>
      <x:c r="BU428"/>
      <x:c r="BV428"/>
      <x:c r="BW428"/>
      <x:c r="BX428"/>
      <x:c r="BY428"/>
      <x:c r="BZ428"/>
      <x:c r="CA428"/>
      <x:c r="CB428"/>
      <x:c r="CC428"/>
    </x:row>
    <x:row r="429" ht="115" customHeight="1">
      <x:c r="A429" s="9" t="str">
        <x:v>proposal.branch.flex_bond</x:v>
      </x:c>
      <x:c r="B429" s="9" t="str">
        <x:v>Flexible membrane-bonding compound</x:v>
      </x:c>
      <x:c r="C429" s="4" t="str">
        <x:v>T2</x:v>
      </x:c>
      <x:c r="D429" s="9" t="inlineStr">
        <x:is>
          <x:t xml:space="preserve">Crafting components</x:t>
        </x:is>
      </x:c>
      <x:c r="E429" s="9" t="str">
        <x:v>T2 material / component proposal</x:v>
      </x:c>
      <x:c r="F429" s="9" t="str">
        <x:v>New proposal</x:v>
      </x:c>
      <x:c r="G429" s="9" t="inlineStr">
        <x:is>
          <x:t xml:space="preserve">Flexible membrane-bonding compound, prepared as a fitted part or intermediate for a larger assembly. It is intended to join, reinforce or support other parts, with the bond or fastening chosen for the materials and loads involved.</x:t>
        </x:is>
      </x:c>
      <x:c r="H429" s="9" t="str">
        <x:v>None</x:v>
      </x:c>
      <x:c r="I429" s="9" t="str">
        <x:v>Workshop / cargo material; handling and storage unresolved</x:v>
      </x:c>
      <x:c r="J429" s="13"/>
      <x:c r="K429" s="15"/>
      <x:c r="L429" s="9" t="str">
        <x:v>Process candidate lower-tier feed; see linked recipe</x:v>
      </x:c>
      <x:c r="M429" s="9" t="str">
        <x:v>Explore a controlled membrane-bond formulation.</x:v>
      </x:c>
      <x:c r="N429" s="9" t="str">
        <x:v>Not implemented</x:v>
      </x:c>
      <x:c r="O429" s="9" t="str">
        <x:v>Carrier interaction, flexibility, toxicity and aging unresolved; not guaranteed rubber or synthetic polymer.</x:v>
      </x:c>
      <x:c r="P429" s="17"/>
      <x:c r="Q429" s="17"/>
      <x:c r="R429" s="17"/>
      <x:c r="S429" s="17"/>
      <x:c r="T429" s="17"/>
      <x:c r="U429" s="9" t="str">
        <x:v>New October 15 brainstorming. Tier is conditional on the incomplete ingredient list; no quantities, performance ratings or installed crafting behavior assigned.</x:v>
      </x:c>
      <x:c r="V429" s="11" t="str">
        <x:v>flexible membrane-bonding compound; t2; refined stock; binding and construction</x:v>
      </x:c>
      <x:c r="W429" s="9" t="str">
        <x:v>New game proposal, October 15, 2026; current author request and Docs/WORLD_BASIS.md material/refinement rules. Not a retrieved source-canon claim.</x:v>
      </x:c>
      <x:c r="X429" s="4" t="str">
        <x:v>Chemical material</x:v>
      </x:c>
      <x:c r="Y429" s="4" t="str">
        <x:v>Processed intermediate</x:v>
      </x:c>
      <x:c r="Z429" s="4" t="str">
        <x:v>Manufactured / unresolved</x:v>
      </x:c>
      <x:c r="AA429" s="4" t="str">
        <x:v>Binding and construction</x:v>
      </x:c>
      <x:c r="AB429" s="4" t="str">
        <x:v>Biological chemical</x:v>
      </x:c>
      <x:c r="AC429" s="4" t="str">
        <x:v>Unresolved</x:v>
      </x:c>
      <x:c r="AD429" s="4" t="str">
        <x:v>Proposal</x:v>
      </x:c>
      <x:c r="AE429" s="4" t="str">
        <x:f>LOWER(A429&amp;"; "&amp;B429&amp;"; "&amp;D429&amp;"; "&amp;E429&amp;"; "&amp;X429&amp;"; "&amp;Y429&amp;"; "&amp;Z429&amp;"; "&amp;AA429&amp;"; "&amp;AB429&amp;"; "&amp;AC429&amp;"; "&amp;AD429&amp;"; "&amp;V429&amp;"; "&amp;C429&amp;"; "&amp;AH429&amp;"; "&amp;AI429)</x:f>
        <x:v>proposal.branch.flex_bond; flexible membrane-bonding compound; crafting components; t2 material / component proposal; chemical material; processed intermediate; manufactured / unresolved; binding and construction; biological chemical; unresolved; proposal; flexible membrane-bonding compound; t2; refined stock; binding and construction; t2; not applicable; material</x:v>
      </x:c>
      <x:c r="AF429"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29" s="4" t="str">
        <x:v>Proposed tier: one above the highest listed material input; further ingredients may change the tier.</x:v>
      </x:c>
      <x:c r="AH429" s="4" t="str">
        <x:v>Not applicable</x:v>
      </x:c>
      <x:c r="AI429" s="4" t="str">
        <x:v>Material</x:v>
      </x:c>
      <x:c r="AJ429" s="4" t="n">
        <x:f>COUNTIFS('Material routes'!$D$6:$D$2205,A429,'Material routes'!$C$6:$C$2205,"Output")</x:f>
        <x:v>1</x:v>
      </x:c>
      <x:c r="AK429" s="4" t="n">
        <x:f>SUM(COUNTIFS('Material routes'!$D$6:$D$2205,A429,'Material routes'!$C$6:$C$2205,"Ingredient candidate"),COUNTIFS('Material routes'!$D$6:$D$2205,A429,'Material routes'!$C$6:$C$2205,"Consumed input"),COUNTIFS('Material routes'!$D$6:$D$2205,A429,'Material routes'!$C$6:$C$2205,"Contained input"),COUNTIFS('Material routes'!$D$6:$D$2205,A429,'Material routes'!$C$6:$C$2205,"Transform input"))</x:f>
        <x:v>13</x:v>
      </x:c>
      <x:c r="AL429" s="4" t="n">
        <x:f>COUNTIFS('Material routes'!$D$6:$D$2205,A429,'Material routes'!$C$6:$C$2205,"Tool candidate")</x:f>
        <x:v>0</x:v>
      </x:c>
      <x:c r="AM429" s="4" t="str">
        <x:f>IF(AJ429&gt;0,"Route listed; review status/completeness",IF(C429="T0","Raw entry feed; no production route","No production route listed"))</x:f>
        <x:v>Route listed; review status/completeness</x:v>
      </x:c>
      <x:c r="AN429" s="14" t="n">
        <x:f>IF(C429="T0",0,IF(C429="T1",1,IF(C429="T2",2,IF(C429="T3",3,IF(C429="T4",4,IF(C429="Unassigned",98,99))))))</x:f>
        <x:v>2</x:v>
      </x:c>
      <x:c r="AZ429"/>
      <x:c r="BA429"/>
      <x:c r="BB429"/>
      <x:c r="BC429"/>
      <x:c r="BD429"/>
      <x:c r="BE429"/>
      <x:c r="BF429"/>
      <x:c r="BG429"/>
      <x:c r="BH429"/>
      <x:c r="BI429"/>
      <x:c r="BJ429"/>
      <x:c r="BK429"/>
      <x:c r="BL429"/>
      <x:c r="BM429"/>
      <x:c r="BN429"/>
      <x:c r="BO429"/>
      <x:c r="BP429"/>
      <x:c r="BQ429"/>
      <x:c r="BR429"/>
      <x:c r="BS429"/>
      <x:c r="BT429"/>
      <x:c r="BU429"/>
      <x:c r="BV429"/>
      <x:c r="BW429"/>
      <x:c r="BX429"/>
      <x:c r="BY429"/>
      <x:c r="BZ429"/>
      <x:c r="CA429"/>
      <x:c r="CB429"/>
      <x:c r="CC429"/>
    </x:row>
    <x:row r="430" ht="115" customHeight="1">
      <x:c r="A430" s="9" t="str">
        <x:v>proposal.branch.pigment_coating</x:v>
      </x:c>
      <x:c r="B430" s="9" t="str">
        <x:v>Mineral pigment coating</x:v>
      </x:c>
      <x:c r="C430" s="4" t="str">
        <x:v>T2</x:v>
      </x:c>
      <x:c r="D430" s="9" t="str">
        <x:v>Manufactured stock</x:v>
      </x:c>
      <x:c r="E430" s="9" t="str">
        <x:v>T2 material / component proposal</x:v>
      </x:c>
      <x:c r="F430" s="9" t="str">
        <x:v>New proposal</x:v>
      </x:c>
      <x:c r="G430" s="9" t="inlineStr">
        <x:is>
          <x:t xml:space="preserve">Prepared biological and mineral mixture stock in the form of mineral pigment coating, intended as an input to further making or assembly. It supplies a visible ornamental surface or detail, with its placement and cultural meaning left to the receiving object’s design.</x:t>
        </x:is>
      </x:c>
      <x:c r="H430" s="9" t="str">
        <x:v>None</x:v>
      </x:c>
      <x:c r="I430" s="9" t="str">
        <x:v>Workshop / cargo material; handling and storage unresolved</x:v>
      </x:c>
      <x:c r="J430" s="13"/>
      <x:c r="K430" s="15"/>
      <x:c r="L430" s="9" t="str">
        <x:v>Process candidate lower-tier feed; see linked recipe</x:v>
      </x:c>
      <x:c r="M430" s="9" t="str">
        <x:v>Explore an applied colorant using selected mineral pigment and a contained faunal carrier.</x:v>
      </x:c>
      <x:c r="N430" s="9" t="str">
        <x:v>Not implemented</x:v>
      </x:c>
      <x:c r="O430" s="9" t="str">
        <x:v>No food use, universal adhesion or conventional paint chemistry inferred.</x:v>
      </x:c>
      <x:c r="P430" s="17"/>
      <x:c r="Q430" s="17"/>
      <x:c r="R430" s="17"/>
      <x:c r="S430" s="17"/>
      <x:c r="T430" s="17"/>
      <x:c r="U430" s="9" t="str">
        <x:v>New October 15 brainstorming. Tier is conditional on the incomplete ingredient list; no quantities, performance ratings or installed crafting behavior assigned.</x:v>
      </x:c>
      <x:c r="V430" s="11" t="str">
        <x:v>mineral pigment coating; t2; refined stock; decoration</x:v>
      </x:c>
      <x:c r="W430" s="9" t="str">
        <x:v>New game proposal, October 15, 2026; current author request and Docs/WORLD_BASIS.md material/refinement rules. Not a retrieved source-canon claim.</x:v>
      </x:c>
      <x:c r="X430" s="4" t="str">
        <x:v>Processed material</x:v>
      </x:c>
      <x:c r="Y430" s="4" t="str">
        <x:v>Processed intermediate</x:v>
      </x:c>
      <x:c r="Z430" s="4" t="str">
        <x:v>Manufactured / unresolved</x:v>
      </x:c>
      <x:c r="AA430" s="4" t="str">
        <x:v>Decoration</x:v>
      </x:c>
      <x:c r="AB430" s="4" t="str">
        <x:v>Biological and mineral mixture</x:v>
      </x:c>
      <x:c r="AC430" s="4" t="str">
        <x:v>Unresolved</x:v>
      </x:c>
      <x:c r="AD430" s="4" t="str">
        <x:v>Proposal</x:v>
      </x:c>
      <x:c r="AE430" s="4" t="str">
        <x:f>LOWER(A430&amp;"; "&amp;B430&amp;"; "&amp;D430&amp;"; "&amp;E430&amp;"; "&amp;X430&amp;"; "&amp;Y430&amp;"; "&amp;Z430&amp;"; "&amp;AA430&amp;"; "&amp;AB430&amp;"; "&amp;AC430&amp;"; "&amp;AD430&amp;"; "&amp;V430&amp;"; "&amp;C430&amp;"; "&amp;AH430&amp;"; "&amp;AI430)</x:f>
        <x:v>proposal.branch.pigment_coating; mineral pigment coating; manufactured stock; t2 material / component proposal; processed material; processed intermediate; manufactured / unresolved; decoration; biological and mineral mixture; unresolved; proposal; mineral pigment coating; t2; refined stock; decoration; t2; not applicable; material</x:v>
      </x:c>
      <x:c r="AF430" s="4" t="str">
        <x:v>New material-tree proposal; intended application and material behavior require qualification. Lore category review: Resources -&gt; Manufactured stock. Classification only; original item status and tier retained.</x:v>
      </x:c>
      <x:c r="AG430" s="4" t="str">
        <x:v>Proposed tier: one above the highest listed material input; further ingredients may change the tier.</x:v>
      </x:c>
      <x:c r="AH430" s="4" t="str">
        <x:v>Not applicable</x:v>
      </x:c>
      <x:c r="AI430" s="4" t="str">
        <x:v>Material</x:v>
      </x:c>
      <x:c r="AJ430" s="4" t="n">
        <x:f>COUNTIFS('Material routes'!$D$6:$D$2205,A430,'Material routes'!$C$6:$C$2205,"Output")</x:f>
        <x:v>1</x:v>
      </x:c>
      <x:c r="AK430" s="4" t="n">
        <x:f>SUM(COUNTIFS('Material routes'!$D$6:$D$2205,A430,'Material routes'!$C$6:$C$2205,"Ingredient candidate"),COUNTIFS('Material routes'!$D$6:$D$2205,A430,'Material routes'!$C$6:$C$2205,"Consumed input"),COUNTIFS('Material routes'!$D$6:$D$2205,A430,'Material routes'!$C$6:$C$2205,"Contained input"),COUNTIFS('Material routes'!$D$6:$D$2205,A430,'Material routes'!$C$6:$C$2205,"Transform input"))</x:f>
        <x:v>2</x:v>
      </x:c>
      <x:c r="AL430" s="4" t="n">
        <x:f>COUNTIFS('Material routes'!$D$6:$D$2205,A430,'Material routes'!$C$6:$C$2205,"Tool candidate")</x:f>
        <x:v>0</x:v>
      </x:c>
      <x:c r="AM430" s="4" t="str">
        <x:f>IF(AJ430&gt;0,"Route listed; review status/completeness",IF(C430="T0","Raw entry feed; no production route","No production route listed"))</x:f>
        <x:v>Route listed; review status/completeness</x:v>
      </x:c>
      <x:c r="AN430" s="14" t="n">
        <x:f>IF(C430="T0",0,IF(C430="T1",1,IF(C430="T2",2,IF(C430="T3",3,IF(C430="T4",4,IF(C430="Unassigned",98,99))))))</x:f>
        <x:v>2</x:v>
      </x:c>
      <x:c r="AZ430"/>
      <x:c r="BA430"/>
      <x:c r="BB430"/>
      <x:c r="BC430"/>
      <x:c r="BD430"/>
      <x:c r="BE430"/>
      <x:c r="BF430"/>
      <x:c r="BG430"/>
      <x:c r="BH430"/>
      <x:c r="BI430"/>
      <x:c r="BJ430"/>
      <x:c r="BK430"/>
      <x:c r="BL430"/>
      <x:c r="BM430"/>
      <x:c r="BN430"/>
      <x:c r="BO430"/>
      <x:c r="BP430"/>
      <x:c r="BQ430"/>
      <x:c r="BR430"/>
      <x:c r="BS430"/>
      <x:c r="BT430"/>
      <x:c r="BU430"/>
      <x:c r="BV430"/>
      <x:c r="BW430"/>
      <x:c r="BX430"/>
      <x:c r="BY430"/>
      <x:c r="BZ430"/>
      <x:c r="CA430"/>
      <x:c r="CB430"/>
      <x:c r="CC430"/>
    </x:row>
    <x:row r="431" ht="115" customHeight="1">
      <x:c r="A431" s="9" t="str">
        <x:v>proposal.branch.filled_binder</x:v>
      </x:c>
      <x:c r="B431" s="9" t="str">
        <x:v>Filled shell-binding compound</x:v>
      </x:c>
      <x:c r="C431" s="4" t="str">
        <x:v>T2</x:v>
      </x:c>
      <x:c r="D431" s="9" t="inlineStr">
        <x:is>
          <x:t xml:space="preserve">Crafting components</x:t>
        </x:is>
      </x:c>
      <x:c r="E431" s="9" t="str">
        <x:v>T2 material / component proposal</x:v>
      </x:c>
      <x:c r="F431" s="9" t="str">
        <x:v>New proposal</x:v>
      </x:c>
      <x:c r="G431" s="9" t="inlineStr">
        <x:is>
          <x:t xml:space="preserve">Filled shell-binding compound, prepared as a fitted part or intermediate for a larger assembly. It is intended to join, reinforce or support other parts, with the bond or fastening chosen for the materials and loads involved.</x:t>
        </x:is>
      </x:c>
      <x:c r="H431" s="9" t="str">
        <x:v>None</x:v>
      </x:c>
      <x:c r="I431" s="9" t="str">
        <x:v>Workshop / cargo material; handling and storage unresolved</x:v>
      </x:c>
      <x:c r="J431" s="13"/>
      <x:c r="K431" s="15"/>
      <x:c r="L431" s="9" t="str">
        <x:v>Process candidate lower-tier feed; see linked recipe</x:v>
      </x:c>
      <x:c r="M431" s="9" t="str">
        <x:v>Explore a controlled filled adhesive batch for later composite stock.</x:v>
      </x:c>
      <x:c r="N431" s="9" t="str">
        <x:v>Not implemented</x:v>
      </x:c>
      <x:c r="O431" s="9" t="str">
        <x:v>Bond strength, heat tolerance and service compatibility need qualification. Distinct from lubricant thickening and seal conditioning.</x:v>
      </x:c>
      <x:c r="P431" s="17"/>
      <x:c r="Q431" s="17"/>
      <x:c r="R431" s="17"/>
      <x:c r="S431" s="17"/>
      <x:c r="T431" s="17"/>
      <x:c r="U431" s="9" t="str">
        <x:v>New October 15 brainstorming. Tier is conditional on the incomplete ingredient list; no quantities, performance ratings or installed crafting behavior assigned.</x:v>
      </x:c>
      <x:c r="V431" s="11" t="str">
        <x:v>filled shell-binding compound; t2; refined stock; binding and construction</x:v>
      </x:c>
      <x:c r="W431" s="9" t="str">
        <x:v>New game proposal, October 15, 2026; current author request and Docs/WORLD_BASIS.md material/refinement rules. Not a retrieved source-canon claim.</x:v>
      </x:c>
      <x:c r="X431" s="4" t="str">
        <x:v>Chemical material</x:v>
      </x:c>
      <x:c r="Y431" s="4" t="str">
        <x:v>Processed intermediate</x:v>
      </x:c>
      <x:c r="Z431" s="4" t="str">
        <x:v>Manufactured / unresolved</x:v>
      </x:c>
      <x:c r="AA431" s="4" t="str">
        <x:v>Binding and construction</x:v>
      </x:c>
      <x:c r="AB431" s="4" t="str">
        <x:v>Biological chemical</x:v>
      </x:c>
      <x:c r="AC431" s="4" t="str">
        <x:v>Unresolved</x:v>
      </x:c>
      <x:c r="AD431" s="4" t="str">
        <x:v>Proposal</x:v>
      </x:c>
      <x:c r="AE431" s="4" t="str">
        <x:f>LOWER(A431&amp;"; "&amp;B431&amp;"; "&amp;D431&amp;"; "&amp;E431&amp;"; "&amp;X431&amp;"; "&amp;Y431&amp;"; "&amp;Z431&amp;"; "&amp;AA431&amp;"; "&amp;AB431&amp;"; "&amp;AC431&amp;"; "&amp;AD431&amp;"; "&amp;V431&amp;"; "&amp;C431&amp;"; "&amp;AH431&amp;"; "&amp;AI431)</x:f>
        <x:v>proposal.branch.filled_binder; filled shell-binding compound; crafting components; t2 material / component proposal; chemical material; processed intermediate; manufactured / unresolved; binding and construction; biological chemical; unresolved; proposal; filled shell-binding compound; t2; refined stock; binding and construction; t2; not applicable; material</x:v>
      </x:c>
      <x:c r="AF431"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31" s="4" t="str">
        <x:v>Proposed tier: one above the highest listed material input; further ingredients may change the tier.</x:v>
      </x:c>
      <x:c r="AH431" s="4" t="str">
        <x:v>Not applicable</x:v>
      </x:c>
      <x:c r="AI431" s="4" t="str">
        <x:v>Material</x:v>
      </x:c>
      <x:c r="AJ431" s="4" t="n">
        <x:f>COUNTIFS('Material routes'!$D$6:$D$2205,A431,'Material routes'!$C$6:$C$2205,"Output")</x:f>
        <x:v>2</x:v>
      </x:c>
      <x:c r="AK431" s="4" t="n">
        <x:f>SUM(COUNTIFS('Material routes'!$D$6:$D$2205,A431,'Material routes'!$C$6:$C$2205,"Ingredient candidate"),COUNTIFS('Material routes'!$D$6:$D$2205,A431,'Material routes'!$C$6:$C$2205,"Consumed input"),COUNTIFS('Material routes'!$D$6:$D$2205,A431,'Material routes'!$C$6:$C$2205,"Contained input"),COUNTIFS('Material routes'!$D$6:$D$2205,A431,'Material routes'!$C$6:$C$2205,"Transform input"))</x:f>
        <x:v>9</x:v>
      </x:c>
      <x:c r="AL431" s="4" t="n">
        <x:f>COUNTIFS('Material routes'!$D$6:$D$2205,A431,'Material routes'!$C$6:$C$2205,"Tool candidate")</x:f>
        <x:v>0</x:v>
      </x:c>
      <x:c r="AM431" s="4" t="str">
        <x:f>IF(AJ431&gt;0,"Route listed; review status/completeness",IF(C431="T0","Raw entry feed; no production route","No production route listed"))</x:f>
        <x:v>Route listed; review status/completeness</x:v>
      </x:c>
      <x:c r="AN431" s="14" t="n">
        <x:f>IF(C431="T0",0,IF(C431="T1",1,IF(C431="T2",2,IF(C431="T3",3,IF(C431="T4",4,IF(C431="Unassigned",98,99))))))</x:f>
        <x:v>2</x:v>
      </x:c>
      <x:c r="AZ431"/>
      <x:c r="BA431"/>
      <x:c r="BB431"/>
      <x:c r="BC431"/>
      <x:c r="BD431"/>
      <x:c r="BE431"/>
      <x:c r="BF431"/>
      <x:c r="BG431"/>
      <x:c r="BH431"/>
      <x:c r="BI431"/>
      <x:c r="BJ431"/>
      <x:c r="BK431"/>
      <x:c r="BL431"/>
      <x:c r="BM431"/>
      <x:c r="BN431"/>
      <x:c r="BO431"/>
      <x:c r="BP431"/>
      <x:c r="BQ431"/>
      <x:c r="BR431"/>
      <x:c r="BS431"/>
      <x:c r="BT431"/>
      <x:c r="BU431"/>
      <x:c r="BV431"/>
      <x:c r="BW431"/>
      <x:c r="BX431"/>
      <x:c r="BY431"/>
      <x:c r="BZ431"/>
      <x:c r="CA431"/>
      <x:c r="CB431"/>
      <x:c r="CC431"/>
    </x:row>
    <x:row r="432" ht="115" customHeight="1">
      <x:c r="A432" s="9" t="str">
        <x:v>proposal.branch.mica_sheet</x:v>
      </x:c>
      <x:c r="B432" s="9" t="str">
        <x:v>Mica composite sheet</x:v>
      </x:c>
      <x:c r="C432" s="4" t="str">
        <x:v>T2</x:v>
      </x:c>
      <x:c r="D432" s="9" t="str">
        <x:v>Manufactured stock</x:v>
      </x:c>
      <x:c r="E432" s="9" t="str">
        <x:v>T2 material / component proposal</x:v>
      </x:c>
      <x:c r="F432" s="9" t="str">
        <x:v>New proposal</x:v>
      </x:c>
      <x:c r="G432" s="9" t="inlineStr">
        <x:is>
          <x:t xml:space="preserve">Prepared mixed / unresolved stock in the form of mica composite sheet, intended as an input to further making or assembly. It is intended to separate conductive parts or support them without a direct conducting path. No voltage or thermal rating follows from that proposed role.</x:t>
        </x:is>
      </x:c>
      <x:c r="H432" s="9" t="str">
        <x:v>None</x:v>
      </x:c>
      <x:c r="I432" s="9" t="str">
        <x:v>Workshop / cargo material; handling and storage unresolved</x:v>
      </x:c>
      <x:c r="J432" s="13"/>
      <x:c r="K432" s="15"/>
      <x:c r="L432" s="9" t="str">
        <x:v>Process candidate lower-tier feed; see linked recipe</x:v>
      </x:c>
      <x:c r="M432" s="9" t="str">
        <x:v>Explore binding selected mineral flakes into sheet stock.</x:v>
      </x:c>
      <x:c r="N432" s="9" t="str">
        <x:v>Not implemented</x:v>
      </x:c>
      <x:c r="O432" s="9" t="str">
        <x:v>Insulation is an intended application, not a proven voltage/thermal rating; binder may limit service.</x:v>
      </x:c>
      <x:c r="P432" s="17"/>
      <x:c r="Q432" s="17"/>
      <x:c r="R432" s="17"/>
      <x:c r="S432" s="17"/>
      <x:c r="T432" s="17"/>
      <x:c r="U432" s="9" t="str">
        <x:v>New October 15 brainstorming. Tier is conditional on the incomplete ingredient list; no quantities, performance ratings or installed crafting behavior assigned.</x:v>
      </x:c>
      <x:c r="V432" s="11" t="str">
        <x:v>mica composite sheet; t2; refined stock; electrical insulation</x:v>
      </x:c>
      <x:c r="W432" s="9" t="str">
        <x:v>New game proposal, October 15, 2026; current author request and Docs/WORLD_BASIS.md material/refinement rules. Not a retrieved source-canon claim.</x:v>
      </x:c>
      <x:c r="X432" s="4" t="str">
        <x:v>Processed material</x:v>
      </x:c>
      <x:c r="Y432" s="4" t="str">
        <x:v>Processed intermediate</x:v>
      </x:c>
      <x:c r="Z432" s="4" t="str">
        <x:v>Manufactured / unresolved</x:v>
      </x:c>
      <x:c r="AA432" s="4" t="str">
        <x:v>Electrical insulation</x:v>
      </x:c>
      <x:c r="AB432" s="4" t="str">
        <x:v>Mixed / unresolved</x:v>
      </x:c>
      <x:c r="AC432" s="4" t="str">
        <x:v>Sheet</x:v>
      </x:c>
      <x:c r="AD432" s="4" t="str">
        <x:v>Proposal</x:v>
      </x:c>
      <x:c r="AE432" s="4" t="str">
        <x:f>LOWER(A432&amp;"; "&amp;B432&amp;"; "&amp;D432&amp;"; "&amp;E432&amp;"; "&amp;X432&amp;"; "&amp;Y432&amp;"; "&amp;Z432&amp;"; "&amp;AA432&amp;"; "&amp;AB432&amp;"; "&amp;AC432&amp;"; "&amp;AD432&amp;"; "&amp;V432&amp;"; "&amp;C432&amp;"; "&amp;AH432&amp;"; "&amp;AI432)</x:f>
        <x:v>proposal.branch.mica_sheet; mica composite sheet; manufactured stock; t2 material / component proposal; processed material; processed intermediate; manufactured / unresolved; electrical insulation; mixed / unresolved; sheet; proposal; mica composite sheet; t2; refined stock; electrical insulation; t2; not applicable; material</x:v>
      </x:c>
      <x:c r="AF432" s="4" t="str">
        <x:v>New material-tree proposal; intended application and material behavior require qualification. Lore category review: Resources -&gt; Manufactured stock. Classification only; original item status and tier retained.</x:v>
      </x:c>
      <x:c r="AG432" s="4" t="str">
        <x:v>Proposed tier: one above the highest listed material input; further ingredients may change the tier.</x:v>
      </x:c>
      <x:c r="AH432" s="4" t="str">
        <x:v>Not applicable</x:v>
      </x:c>
      <x:c r="AI432" s="4" t="str">
        <x:v>Material</x:v>
      </x:c>
      <x:c r="AJ432" s="4" t="n">
        <x:f>COUNTIFS('Material routes'!$D$6:$D$2205,A432,'Material routes'!$C$6:$C$2205,"Output")</x:f>
        <x:v>1</x:v>
      </x:c>
      <x:c r="AK432" s="4" t="n">
        <x:f>SUM(COUNTIFS('Material routes'!$D$6:$D$2205,A432,'Material routes'!$C$6:$C$2205,"Ingredient candidate"),COUNTIFS('Material routes'!$D$6:$D$2205,A432,'Material routes'!$C$6:$C$2205,"Consumed input"),COUNTIFS('Material routes'!$D$6:$D$2205,A432,'Material routes'!$C$6:$C$2205,"Contained input"),COUNTIFS('Material routes'!$D$6:$D$2205,A432,'Material routes'!$C$6:$C$2205,"Transform input"))</x:f>
        <x:v>7</x:v>
      </x:c>
      <x:c r="AL432" s="4" t="n">
        <x:f>COUNTIFS('Material routes'!$D$6:$D$2205,A432,'Material routes'!$C$6:$C$2205,"Tool candidate")</x:f>
        <x:v>0</x:v>
      </x:c>
      <x:c r="AM432" s="4" t="str">
        <x:f>IF(AJ432&gt;0,"Route listed; review status/completeness",IF(C432="T0","Raw entry feed; no production route","No production route listed"))</x:f>
        <x:v>Route listed; review status/completeness</x:v>
      </x:c>
      <x:c r="AN432" s="14" t="n">
        <x:f>IF(C432="T0",0,IF(C432="T1",1,IF(C432="T2",2,IF(C432="T3",3,IF(C432="T4",4,IF(C432="Unassigned",98,99))))))</x:f>
        <x:v>2</x:v>
      </x:c>
      <x:c r="AZ432"/>
      <x:c r="BA432"/>
      <x:c r="BB432"/>
      <x:c r="BC432"/>
      <x:c r="BD432"/>
      <x:c r="BE432"/>
      <x:c r="BF432"/>
      <x:c r="BG432"/>
      <x:c r="BH432"/>
      <x:c r="BI432"/>
      <x:c r="BJ432"/>
      <x:c r="BK432"/>
      <x:c r="BL432"/>
      <x:c r="BM432"/>
      <x:c r="BN432"/>
      <x:c r="BO432"/>
      <x:c r="BP432"/>
      <x:c r="BQ432"/>
      <x:c r="BR432"/>
      <x:c r="BS432"/>
      <x:c r="BT432"/>
      <x:c r="BU432"/>
      <x:c r="BV432"/>
      <x:c r="BW432"/>
      <x:c r="BX432"/>
      <x:c r="BY432"/>
      <x:c r="BZ432"/>
      <x:c r="CA432"/>
      <x:c r="CB432"/>
      <x:c r="CC432"/>
    </x:row>
    <x:row r="433" ht="115" customHeight="1">
      <x:c r="A433" s="9" t="str">
        <x:v>proposal.branch.tuned_stone</x:v>
      </x:c>
      <x:c r="B433" s="9" t="str">
        <x:v>Tuned stone stock</x:v>
      </x:c>
      <x:c r="C433" s="4" t="str">
        <x:v>T2</x:v>
      </x:c>
      <x:c r="D433" s="9" t="str">
        <x:v>Manufactured stock</x:v>
      </x:c>
      <x:c r="E433" s="9" t="str">
        <x:v>T2 material / component proposal</x:v>
      </x:c>
      <x:c r="F433" s="9" t="str">
        <x:v>New proposal</x:v>
      </x:c>
      <x:c r="G433" s="9" t="inlineStr">
        <x:is>
          <x:t xml:space="preserve">Prepared mineral stock in the form of tuned stone stock, intended as an input to further making or assembly. Its recorded physical form is intended to produce, control or support sound in a musical instrument; tuning and playable dimensions remain open.</x:t>
        </x:is>
      </x:c>
      <x:c r="H433" s="9" t="str">
        <x:v>None</x:v>
      </x:c>
      <x:c r="I433" s="9" t="str">
        <x:v>Workshop / cargo material; handling and storage unresolved</x:v>
      </x:c>
      <x:c r="J433" s="13"/>
      <x:c r="K433" s="15"/>
      <x:c r="L433" s="9" t="str">
        <x:v>Process candidate lower-tier feed; see linked recipe</x:v>
      </x:c>
      <x:c r="M433" s="9" t="str">
        <x:v>Select and tune candidate stone stock for instrument-making.</x:v>
      </x:c>
      <x:c r="N433" s="9" t="str">
        <x:v>Not implemented</x:v>
      </x:c>
      <x:c r="O433" s="9" t="str">
        <x:v>No automatic Caller abilities or power amplification; mineral selection, tuning and finished instrument design remain open.</x:v>
      </x:c>
      <x:c r="P433" s="17"/>
      <x:c r="Q433" s="17"/>
      <x:c r="R433" s="17"/>
      <x:c r="S433" s="17"/>
      <x:c r="T433" s="17"/>
      <x:c r="U433" s="9" t="str">
        <x:v>New October 15 brainstorming. Tier is conditional on the incomplete ingredient list; no quantities, performance ratings or installed crafting behavior assigned.</x:v>
      </x:c>
      <x:c r="V433" s="11" t="str">
        <x:v>tuned stone stock; t2; refined stock; music</x:v>
      </x:c>
      <x:c r="W433" s="9" t="str">
        <x:v>New game proposal, October 15, 2026; current author request and Docs/WORLD_BASIS.md material/refinement rules. Not a retrieved source-canon claim.</x:v>
      </x:c>
      <x:c r="X433" s="4" t="str">
        <x:v>Processed material</x:v>
      </x:c>
      <x:c r="Y433" s="4" t="str">
        <x:v>Processed intermediate</x:v>
      </x:c>
      <x:c r="Z433" s="4" t="str">
        <x:v>Manufactured / unresolved</x:v>
      </x:c>
      <x:c r="AA433" s="4" t="str">
        <x:v>Music</x:v>
      </x:c>
      <x:c r="AB433" s="4" t="str">
        <x:v>Mineral</x:v>
      </x:c>
      <x:c r="AC433" s="4" t="str">
        <x:v>Solid piece</x:v>
      </x:c>
      <x:c r="AD433" s="4" t="str">
        <x:v>Proposal</x:v>
      </x:c>
      <x:c r="AE433" s="4" t="str">
        <x:f>LOWER(A433&amp;"; "&amp;B433&amp;"; "&amp;D433&amp;"; "&amp;E433&amp;"; "&amp;X433&amp;"; "&amp;Y433&amp;"; "&amp;Z433&amp;"; "&amp;AA433&amp;"; "&amp;AB433&amp;"; "&amp;AC433&amp;"; "&amp;AD433&amp;"; "&amp;V433&amp;"; "&amp;C433&amp;"; "&amp;AH433&amp;"; "&amp;AI433)</x:f>
        <x:v>proposal.branch.tuned_stone; tuned stone stock; manufactured stock; t2 material / component proposal; processed material; processed intermediate; manufactured / unresolved; music; mineral; solid piece; proposal; tuned stone stock; t2; refined stock; music; t2; not applicable; material</x:v>
      </x:c>
      <x:c r="AF433" s="4" t="str">
        <x:v>New material-tree proposal; intended application and material behavior require qualification. Lore category review: Resources -&gt; Manufactured stock. Classification only; original item status and tier retained.</x:v>
      </x:c>
      <x:c r="AG433" s="4" t="str">
        <x:v>Proposed tier: one above the highest listed material input; further ingredients may change the tier.</x:v>
      </x:c>
      <x:c r="AH433" s="4" t="str">
        <x:v>Not applicable</x:v>
      </x:c>
      <x:c r="AI433" s="4" t="str">
        <x:v>Material</x:v>
      </x:c>
      <x:c r="AJ433" s="4" t="n">
        <x:f>COUNTIFS('Material routes'!$D$6:$D$2205,A433,'Material routes'!$C$6:$C$2205,"Output")</x:f>
        <x:v>1</x:v>
      </x:c>
      <x:c r="AK433" s="4" t="n">
        <x:f>SUM(COUNTIFS('Material routes'!$D$6:$D$2205,A433,'Material routes'!$C$6:$C$2205,"Ingredient candidate"),COUNTIFS('Material routes'!$D$6:$D$2205,A433,'Material routes'!$C$6:$C$2205,"Consumed input"),COUNTIFS('Material routes'!$D$6:$D$2205,A433,'Material routes'!$C$6:$C$2205,"Contained input"),COUNTIFS('Material routes'!$D$6:$D$2205,A433,'Material routes'!$C$6:$C$2205,"Transform input"))</x:f>
        <x:v>2</x:v>
      </x:c>
      <x:c r="AL433" s="4" t="n">
        <x:f>COUNTIFS('Material routes'!$D$6:$D$2205,A433,'Material routes'!$C$6:$C$2205,"Tool candidate")</x:f>
        <x:v>0</x:v>
      </x:c>
      <x:c r="AM433" s="4" t="str">
        <x:f>IF(AJ433&gt;0,"Route listed; review status/completeness",IF(C433="T0","Raw entry feed; no production route","No production route listed"))</x:f>
        <x:v>Route listed; review status/completeness</x:v>
      </x:c>
      <x:c r="AN433" s="14" t="n">
        <x:f>IF(C433="T0",0,IF(C433="T1",1,IF(C433="T2",2,IF(C433="T3",3,IF(C433="T4",4,IF(C433="Unassigned",98,99))))))</x:f>
        <x:v>2</x:v>
      </x:c>
      <x:c r="AZ433"/>
      <x:c r="BA433"/>
      <x:c r="BB433"/>
      <x:c r="BC433"/>
      <x:c r="BD433"/>
      <x:c r="BE433"/>
      <x:c r="BF433"/>
      <x:c r="BG433"/>
      <x:c r="BH433"/>
      <x:c r="BI433"/>
      <x:c r="BJ433"/>
      <x:c r="BK433"/>
      <x:c r="BL433"/>
      <x:c r="BM433"/>
      <x:c r="BN433"/>
      <x:c r="BO433"/>
      <x:c r="BP433"/>
      <x:c r="BQ433"/>
      <x:c r="BR433"/>
      <x:c r="BS433"/>
      <x:c r="BT433"/>
      <x:c r="BU433"/>
      <x:c r="BV433"/>
      <x:c r="BW433"/>
      <x:c r="BX433"/>
      <x:c r="BY433"/>
      <x:c r="BZ433"/>
      <x:c r="CA433"/>
      <x:c r="CB433"/>
      <x:c r="CC433"/>
    </x:row>
    <x:row r="434" ht="115" customHeight="1">
      <x:c r="A434" s="9" t="str">
        <x:v>proposal.branch.polished_gem</x:v>
      </x:c>
      <x:c r="B434" s="9" t="str">
        <x:v>Polished gemstone blanks</x:v>
      </x:c>
      <x:c r="C434" s="4" t="str">
        <x:v>T2</x:v>
      </x:c>
      <x:c r="D434" s="9" t="str">
        <x:v>Manufactured stock</x:v>
      </x:c>
      <x:c r="E434" s="9" t="str">
        <x:v>T2 material / component proposal</x:v>
      </x:c>
      <x:c r="F434" s="9" t="str">
        <x:v>New proposal</x:v>
      </x:c>
      <x:c r="G434" s="9" t="inlineStr">
        <x:is>
          <x:t xml:space="preserve">Prepared gemstone stock in the form of polished gemstone blanks, intended as an input to further making or assembly. It supplies a visible ornamental surface or detail, with its placement and cultural meaning left to the receiving object’s design.</x:t>
        </x:is>
      </x:c>
      <x:c r="H434" s="9" t="str">
        <x:v>None</x:v>
      </x:c>
      <x:c r="I434" s="9" t="str">
        <x:v>Workshop / cargo material; handling and storage unresolved</x:v>
      </x:c>
      <x:c r="J434" s="13"/>
      <x:c r="K434" s="15"/>
      <x:c r="L434" s="9" t="str">
        <x:v>Process candidate lower-tier feed; see linked recipe</x:v>
      </x:c>
      <x:c r="M434" s="9" t="str">
        <x:v>Finish selected gemstone preforms as setting-ready stock.</x:v>
      </x:c>
      <x:c r="N434" s="9" t="str">
        <x:v>Not implemented</x:v>
      </x:c>
      <x:c r="O434" s="9" t="str">
        <x:v>No invented national preference, gemstone power or guaranteed precision-optical use.</x:v>
      </x:c>
      <x:c r="P434" s="17"/>
      <x:c r="Q434" s="17"/>
      <x:c r="R434" s="17"/>
      <x:c r="S434" s="17"/>
      <x:c r="T434" s="17"/>
      <x:c r="U434" s="9" t="str">
        <x:v>New October 15 brainstorming. Tier is conditional on the incomplete ingredient list; no quantities, performance ratings or installed crafting behavior assigned.</x:v>
      </x:c>
      <x:c r="V434" s="11" t="str">
        <x:v>polished gemstone blanks; t2; refined stock; decoration</x:v>
      </x:c>
      <x:c r="W434" s="9" t="str">
        <x:v>New game proposal, October 15, 2026; current author request and Docs/WORLD_BASIS.md material/refinement rules. Not a retrieved source-canon claim.</x:v>
      </x:c>
      <x:c r="X434" s="4" t="str">
        <x:v>Processed material</x:v>
      </x:c>
      <x:c r="Y434" s="4" t="str">
        <x:v>Processed intermediate</x:v>
      </x:c>
      <x:c r="Z434" s="4" t="str">
        <x:v>Manufactured / unresolved</x:v>
      </x:c>
      <x:c r="AA434" s="4" t="str">
        <x:v>Decoration</x:v>
      </x:c>
      <x:c r="AB434" s="4" t="str">
        <x:v>Gemstone</x:v>
      </x:c>
      <x:c r="AC434" s="4" t="str">
        <x:v>Solid piece</x:v>
      </x:c>
      <x:c r="AD434" s="4" t="str">
        <x:v>Proposal</x:v>
      </x:c>
      <x:c r="AE434" s="4" t="str">
        <x:f>LOWER(A434&amp;"; "&amp;B434&amp;"; "&amp;D434&amp;"; "&amp;E434&amp;"; "&amp;X434&amp;"; "&amp;Y434&amp;"; "&amp;Z434&amp;"; "&amp;AA434&amp;"; "&amp;AB434&amp;"; "&amp;AC434&amp;"; "&amp;AD434&amp;"; "&amp;V434&amp;"; "&amp;C434&amp;"; "&amp;AH434&amp;"; "&amp;AI434)</x:f>
        <x:v>proposal.branch.polished_gem; polished gemstone blanks; manufactured stock; t2 material / component proposal; processed material; processed intermediate; manufactured / unresolved; decoration; gemstone; solid piece; proposal; polished gemstone blanks; t2; refined stock; decoration; t2; not applicable; material</x:v>
      </x:c>
      <x:c r="AF434" s="4" t="str">
        <x:v>New material-tree proposal; intended application and material behavior require qualification. Lore category review: Resources -&gt; Manufactured stock. Classification only; original item status and tier retained.</x:v>
      </x:c>
      <x:c r="AG434" s="4" t="str">
        <x:v>Proposed tier: one above the highest listed material input; further ingredients may change the tier.</x:v>
      </x:c>
      <x:c r="AH434" s="4" t="str">
        <x:v>Not applicable</x:v>
      </x:c>
      <x:c r="AI434" s="4" t="str">
        <x:v>Material</x:v>
      </x:c>
      <x:c r="AJ434" s="4" t="n">
        <x:f>COUNTIFS('Material routes'!$D$6:$D$2205,A434,'Material routes'!$C$6:$C$2205,"Output")</x:f>
        <x:v>1</x:v>
      </x:c>
      <x:c r="AK434" s="4" t="n">
        <x:f>SUM(COUNTIFS('Material routes'!$D$6:$D$2205,A434,'Material routes'!$C$6:$C$2205,"Ingredient candidate"),COUNTIFS('Material routes'!$D$6:$D$2205,A434,'Material routes'!$C$6:$C$2205,"Consumed input"),COUNTIFS('Material routes'!$D$6:$D$2205,A434,'Material routes'!$C$6:$C$2205,"Contained input"),COUNTIFS('Material routes'!$D$6:$D$2205,A434,'Material routes'!$C$6:$C$2205,"Transform input"))</x:f>
        <x:v>5</x:v>
      </x:c>
      <x:c r="AL434" s="4" t="n">
        <x:f>COUNTIFS('Material routes'!$D$6:$D$2205,A434,'Material routes'!$C$6:$C$2205,"Tool candidate")</x:f>
        <x:v>0</x:v>
      </x:c>
      <x:c r="AM434" s="4" t="str">
        <x:f>IF(AJ434&gt;0,"Route listed; review status/completeness",IF(C434="T0","Raw entry feed; no production route","No production route listed"))</x:f>
        <x:v>Route listed; review status/completeness</x:v>
      </x:c>
      <x:c r="AN434" s="14" t="n">
        <x:f>IF(C434="T0",0,IF(C434="T1",1,IF(C434="T2",2,IF(C434="T3",3,IF(C434="T4",4,IF(C434="Unassigned",98,99))))))</x:f>
        <x:v>2</x:v>
      </x:c>
      <x:c r="AZ434"/>
      <x:c r="BA434"/>
      <x:c r="BB434"/>
      <x:c r="BC434"/>
      <x:c r="BD434"/>
      <x:c r="BE434"/>
      <x:c r="BF434"/>
      <x:c r="BG434"/>
      <x:c r="BH434"/>
      <x:c r="BI434"/>
      <x:c r="BJ434"/>
      <x:c r="BK434"/>
      <x:c r="BL434"/>
      <x:c r="BM434"/>
      <x:c r="BN434"/>
      <x:c r="BO434"/>
      <x:c r="BP434"/>
      <x:c r="BQ434"/>
      <x:c r="BR434"/>
      <x:c r="BS434"/>
      <x:c r="BT434"/>
      <x:c r="BU434"/>
      <x:c r="BV434"/>
      <x:c r="BW434"/>
      <x:c r="BX434"/>
      <x:c r="BY434"/>
      <x:c r="BZ434"/>
      <x:c r="CA434"/>
      <x:c r="CB434"/>
      <x:c r="CC434"/>
    </x:row>
    <x:row r="435" ht="115" customHeight="1">
      <x:c r="A435" s="9" t="str">
        <x:v>proposal.branch.steel_shell</x:v>
      </x:c>
      <x:c r="B435" s="9" t="str">
        <x:v>Steel-faced shell composite</x:v>
      </x:c>
      <x:c r="C435" s="4" t="str">
        <x:v>T3</x:v>
      </x:c>
      <x:c r="D435" s="9" t="str">
        <x:v>Manufactured stock</x:v>
      </x:c>
      <x:c r="E435" s="9" t="str">
        <x:v>T3 material / component proposal</x:v>
      </x:c>
      <x:c r="F435" s="9" t="str">
        <x:v>New proposal</x:v>
      </x:c>
      <x:c r="G435" s="9" t="inlineStr">
        <x:is>
          <x:t xml:space="preserve">Prepared mixed / unresolved stock in the form of steel-faced shell composite, intended as an input to further making or assembly. It provides candidate stock for a protective assembly, with coverage, joining and backing still determining the finished protection.</x:t>
        </x:is>
      </x:c>
      <x:c r="H435" s="9" t="str">
        <x:v>None</x:v>
      </x:c>
      <x:c r="I435" s="9" t="str">
        <x:v>Workshop / cargo material; handling and storage unresolved</x:v>
      </x:c>
      <x:c r="J435" s="13"/>
      <x:c r="K435" s="15"/>
      <x:c r="L435" s="9" t="str">
        <x:v>Process candidate lower-tier feed; see linked recipe</x:v>
      </x:c>
      <x:c r="M435" s="9" t="str">
        <x:v>Explore joining selected steel facing to prepared shell laminate.</x:v>
      </x:c>
      <x:c r="N435" s="9" t="str">
        <x:v>Not implemented</x:v>
      </x:c>
      <x:c r="O435" s="9" t="str">
        <x:v>Bonding, weight, flex and impact behavior unresolved; no ballistic or universal armor rating.</x:v>
      </x:c>
      <x:c r="P435" s="17"/>
      <x:c r="Q435" s="17"/>
      <x:c r="R435" s="17"/>
      <x:c r="S435" s="17"/>
      <x:c r="T435" s="17"/>
      <x:c r="U435" s="9" t="str">
        <x:v>New October 15 brainstorming. Tier is conditional on the incomplete ingredient list; no quantities, performance ratings or installed crafting behavior assigned.</x:v>
      </x:c>
      <x:c r="V435" s="11" t="str">
        <x:v>steel-faced shell composite; t3; refined stock; protective fabrication</x:v>
      </x:c>
      <x:c r="W435" s="9" t="str">
        <x:v>New game proposal, October 15, 2026; current author request and Docs/WORLD_BASIS.md material/refinement rules. Not a retrieved source-canon claim.</x:v>
      </x:c>
      <x:c r="X435" s="4" t="str">
        <x:v>Processed material</x:v>
      </x:c>
      <x:c r="Y435" s="4" t="str">
        <x:v>Processed intermediate</x:v>
      </x:c>
      <x:c r="Z435" s="4" t="str">
        <x:v>Manufactured / unresolved</x:v>
      </x:c>
      <x:c r="AA435" s="4" t="str">
        <x:v>Protective fabrication</x:v>
      </x:c>
      <x:c r="AB435" s="4" t="str">
        <x:v>Mixed / unresolved</x:v>
      </x:c>
      <x:c r="AC435" s="4" t="str">
        <x:v>Sheet</x:v>
      </x:c>
      <x:c r="AD435" s="4" t="str">
        <x:v>Proposal</x:v>
      </x:c>
      <x:c r="AE435" s="4" t="str">
        <x:f>LOWER(A435&amp;"; "&amp;B435&amp;"; "&amp;D435&amp;"; "&amp;E435&amp;"; "&amp;X435&amp;"; "&amp;Y435&amp;"; "&amp;Z435&amp;"; "&amp;AA435&amp;"; "&amp;AB435&amp;"; "&amp;AC435&amp;"; "&amp;AD435&amp;"; "&amp;V435&amp;"; "&amp;C435&amp;"; "&amp;AH435&amp;"; "&amp;AI435)</x:f>
        <x:v>proposal.branch.steel_shell; steel-faced shell composite; manufactured stock; t3 material / component proposal; processed material; processed intermediate; manufactured / unresolved; protective fabrication; mixed / unresolved; sheet; proposal; steel-faced shell composite; t3; refined stock; protective fabrication; t3; not applicable; material</x:v>
      </x:c>
      <x:c r="AF435" s="4" t="str">
        <x:v>New material-tree proposal; intended application and material behavior require qualification. Lore category review: Resources -&gt; Manufactured stock. Classification only; original item status and tier retained.</x:v>
      </x:c>
      <x:c r="AG435" s="4" t="str">
        <x:v>Proposed tier: one above the highest listed material input; further ingredients may change the tier.</x:v>
      </x:c>
      <x:c r="AH435" s="4" t="str">
        <x:v>Not applicable</x:v>
      </x:c>
      <x:c r="AI435" s="4" t="str">
        <x:v>Material</x:v>
      </x:c>
      <x:c r="AJ435" s="4" t="n">
        <x:f>COUNTIFS('Material routes'!$D$6:$D$2205,A435,'Material routes'!$C$6:$C$2205,"Output")</x:f>
        <x:v>1</x:v>
      </x:c>
      <x:c r="AK435" s="4" t="n">
        <x:f>SUM(COUNTIFS('Material routes'!$D$6:$D$2205,A435,'Material routes'!$C$6:$C$2205,"Ingredient candidate"),COUNTIFS('Material routes'!$D$6:$D$2205,A435,'Material routes'!$C$6:$C$2205,"Consumed input"),COUNTIFS('Material routes'!$D$6:$D$2205,A435,'Material routes'!$C$6:$C$2205,"Contained input"),COUNTIFS('Material routes'!$D$6:$D$2205,A435,'Material routes'!$C$6:$C$2205,"Transform input"))</x:f>
        <x:v>3</x:v>
      </x:c>
      <x:c r="AL435" s="4" t="n">
        <x:f>COUNTIFS('Material routes'!$D$6:$D$2205,A435,'Material routes'!$C$6:$C$2205,"Tool candidate")</x:f>
        <x:v>0</x:v>
      </x:c>
      <x:c r="AM435" s="4" t="str">
        <x:f>IF(AJ435&gt;0,"Route listed; review status/completeness",IF(C435="T0","Raw entry feed; no production route","No production route listed"))</x:f>
        <x:v>Route listed; review status/completeness</x:v>
      </x:c>
      <x:c r="AN435" s="14" t="n">
        <x:f>IF(C435="T0",0,IF(C435="T1",1,IF(C435="T2",2,IF(C435="T3",3,IF(C435="T4",4,IF(C435="Unassigned",98,99))))))</x:f>
        <x:v>3</x:v>
      </x:c>
      <x:c r="AZ435"/>
      <x:c r="BA435"/>
      <x:c r="BB435"/>
      <x:c r="BC435"/>
      <x:c r="BD435"/>
      <x:c r="BE435"/>
      <x:c r="BF435"/>
      <x:c r="BG435"/>
      <x:c r="BH435"/>
      <x:c r="BI435"/>
      <x:c r="BJ435"/>
      <x:c r="BK435"/>
      <x:c r="BL435"/>
      <x:c r="BM435"/>
      <x:c r="BN435"/>
      <x:c r="BO435"/>
      <x:c r="BP435"/>
      <x:c r="BQ435"/>
      <x:c r="BR435"/>
      <x:c r="BS435"/>
      <x:c r="BT435"/>
      <x:c r="BU435"/>
      <x:c r="BV435"/>
      <x:c r="BW435"/>
      <x:c r="BX435"/>
      <x:c r="BY435"/>
      <x:c r="BZ435"/>
      <x:c r="CA435"/>
      <x:c r="CB435"/>
      <x:c r="CC435"/>
    </x:row>
    <x:row r="436" ht="115" customHeight="1">
      <x:c r="A436" s="9" t="str">
        <x:v>proposal.branch.spring_steel</x:v>
      </x:c>
      <x:c r="B436" s="9" t="str">
        <x:v>Spring-grade steel stock</x:v>
      </x:c>
      <x:c r="C436" s="4" t="str">
        <x:v>T3</x:v>
      </x:c>
      <x:c r="D436" s="9" t="str">
        <x:v>Manufactured stock</x:v>
      </x:c>
      <x:c r="E436" s="9" t="str">
        <x:v>T3 material / component proposal</x:v>
      </x:c>
      <x:c r="F436" s="9" t="str">
        <x:v>New proposal</x:v>
      </x:c>
      <x:c r="G436" s="9" t="inlineStr">
        <x:is>
          <x:t xml:space="preserve">Prepared metal stock in the form of spring-grade steel stock, intended as an input to further making or assembly. It is intended to replace, support or service a matching machine part; useful fit depends on the host mechanism.</x:t>
        </x:is>
      </x:c>
      <x:c r="H436" s="9" t="str">
        <x:v>None</x:v>
      </x:c>
      <x:c r="I436" s="9" t="str">
        <x:v>Workshop / cargo material; handling and storage unresolved</x:v>
      </x:c>
      <x:c r="J436" s="13"/>
      <x:c r="K436" s="15"/>
      <x:c r="L436" s="9" t="str">
        <x:v>Process candidate lower-tier feed; see linked recipe</x:v>
      </x:c>
      <x:c r="M436" s="9" t="str">
        <x:v>Explore an identified alloy/heat-treatment route for spring-service stock.</x:v>
      </x:c>
      <x:c r="N436" s="9" t="str">
        <x:v>Not implemented</x:v>
      </x:c>
      <x:c r="O436" s="9" t="str">
        <x:v>A candidate grade, not proof any steel springs reliably. No free-water quench; chemistry, treatment, fatigue and dimensions remain open.</x:v>
      </x:c>
      <x:c r="P436" s="17"/>
      <x:c r="Q436" s="17"/>
      <x:c r="R436" s="17"/>
      <x:c r="S436" s="17"/>
      <x:c r="T436" s="17"/>
      <x:c r="U436" s="9" t="str">
        <x:v>New October 15 brainstorming. Tier is conditional on the incomplete ingredient list; no quantities, performance ratings or installed crafting behavior assigned.</x:v>
      </x:c>
      <x:c r="V436" s="11" t="str">
        <x:v>spring-grade steel stock; t3; refined stock; machinery repair</x:v>
      </x:c>
      <x:c r="W436" s="9" t="str">
        <x:v>New game proposal, October 15, 2026; current author request and Docs/WORLD_BASIS.md material/refinement rules. Not a retrieved source-canon claim.</x:v>
      </x:c>
      <x:c r="X436" s="4" t="str">
        <x:v>Processed material</x:v>
      </x:c>
      <x:c r="Y436" s="4" t="str">
        <x:v>Processed intermediate</x:v>
      </x:c>
      <x:c r="Z436" s="4" t="str">
        <x:v>Manufactured / unresolved</x:v>
      </x:c>
      <x:c r="AA436" s="4" t="str">
        <x:v>Machinery repair</x:v>
      </x:c>
      <x:c r="AB436" s="4" t="str">
        <x:v>Metal</x:v>
      </x:c>
      <x:c r="AC436" s="4" t="str">
        <x:v>Solid part</x:v>
      </x:c>
      <x:c r="AD436" s="4" t="str">
        <x:v>Proposal</x:v>
      </x:c>
      <x:c r="AE436" s="4" t="str">
        <x:f>LOWER(A436&amp;"; "&amp;B436&amp;"; "&amp;D436&amp;"; "&amp;E436&amp;"; "&amp;X436&amp;"; "&amp;Y436&amp;"; "&amp;Z436&amp;"; "&amp;AA436&amp;"; "&amp;AB436&amp;"; "&amp;AC436&amp;"; "&amp;AD436&amp;"; "&amp;V436&amp;"; "&amp;C436&amp;"; "&amp;AH436&amp;"; "&amp;AI436)</x:f>
        <x:v>proposal.branch.spring_steel; spring-grade steel stock; manufactured stock; t3 material / component proposal; processed material; processed intermediate; manufactured / unresolved; machinery repair; metal; solid part; proposal; spring-grade steel stock; t3; refined stock; machinery repair; t3; not applicable; material</x:v>
      </x:c>
      <x:c r="AF436" s="4" t="str">
        <x:v>New material-tree proposal; intended application and material behavior require qualification. Lore category review: Resources -&gt; Manufactured stock. Classification only; original item status and tier retained.</x:v>
      </x:c>
      <x:c r="AG436" s="4" t="str">
        <x:v>Proposed tier: one above the highest listed material input; further ingredients may change the tier.</x:v>
      </x:c>
      <x:c r="AH436" s="4" t="str">
        <x:v>Not applicable</x:v>
      </x:c>
      <x:c r="AI436" s="4" t="str">
        <x:v>Material</x:v>
      </x:c>
      <x:c r="AJ436" s="4" t="n">
        <x:f>COUNTIFS('Material routes'!$D$6:$D$2205,A436,'Material routes'!$C$6:$C$2205,"Output")</x:f>
        <x:v>1</x:v>
      </x:c>
      <x:c r="AK436" s="4" t="n">
        <x:f>SUM(COUNTIFS('Material routes'!$D$6:$D$2205,A436,'Material routes'!$C$6:$C$2205,"Ingredient candidate"),COUNTIFS('Material routes'!$D$6:$D$2205,A436,'Material routes'!$C$6:$C$2205,"Consumed input"),COUNTIFS('Material routes'!$D$6:$D$2205,A436,'Material routes'!$C$6:$C$2205,"Contained input"),COUNTIFS('Material routes'!$D$6:$D$2205,A436,'Material routes'!$C$6:$C$2205,"Transform input"))</x:f>
        <x:v>29</x:v>
      </x:c>
      <x:c r="AL436" s="4" t="n">
        <x:f>COUNTIFS('Material routes'!$D$6:$D$2205,A436,'Material routes'!$C$6:$C$2205,"Tool candidate")</x:f>
        <x:v>0</x:v>
      </x:c>
      <x:c r="AM436" s="4" t="str">
        <x:f>IF(AJ436&gt;0,"Route listed; review status/completeness",IF(C436="T0","Raw entry feed; no production route","No production route listed"))</x:f>
        <x:v>Route listed; review status/completeness</x:v>
      </x:c>
      <x:c r="AN436" s="14" t="n">
        <x:f>IF(C436="T0",0,IF(C436="T1",1,IF(C436="T2",2,IF(C436="T3",3,IF(C436="T4",4,IF(C436="Unassigned",98,99))))))</x:f>
        <x:v>3</x:v>
      </x:c>
      <x:c r="AZ436"/>
      <x:c r="BA436"/>
      <x:c r="BB436"/>
      <x:c r="BC436"/>
      <x:c r="BD436"/>
      <x:c r="BE436"/>
      <x:c r="BF436"/>
      <x:c r="BG436"/>
      <x:c r="BH436"/>
      <x:c r="BI436"/>
      <x:c r="BJ436"/>
      <x:c r="BK436"/>
      <x:c r="BL436"/>
      <x:c r="BM436"/>
      <x:c r="BN436"/>
      <x:c r="BO436"/>
      <x:c r="BP436"/>
      <x:c r="BQ436"/>
      <x:c r="BR436"/>
      <x:c r="BS436"/>
      <x:c r="BT436"/>
      <x:c r="BU436"/>
      <x:c r="BV436"/>
      <x:c r="BW436"/>
      <x:c r="BX436"/>
      <x:c r="BY436"/>
      <x:c r="BZ436"/>
      <x:c r="CA436"/>
      <x:c r="CB436"/>
      <x:c r="CC436"/>
    </x:row>
    <x:row r="437" ht="115" customHeight="1">
      <x:c r="A437" s="9" t="str">
        <x:v>proposal.branch.insulated_conductor</x:v>
      </x:c>
      <x:c r="B437" s="9" t="str">
        <x:v>Insulated conductor stock</x:v>
      </x:c>
      <x:c r="C437" s="4" t="str">
        <x:v>T3</x:v>
      </x:c>
      <x:c r="D437" s="9" t="str">
        <x:v>Manufactured stock</x:v>
      </x:c>
      <x:c r="E437" s="9" t="str">
        <x:v>T3 material / component proposal</x:v>
      </x:c>
      <x:c r="F437" s="9" t="str">
        <x:v>New proposal</x:v>
      </x:c>
      <x:c r="G437" s="9" t="inlineStr">
        <x:is>
          <x:t xml:space="preserve">Prepared mixed / unresolved stock in the form of insulated conductor stock, intended as an input to further making or assembly. It is intended to form part of a continuous conducting path, with section, joints and protection matched to the receiving circuit.</x:t>
        </x:is>
      </x:c>
      <x:c r="H437" s="9" t="str">
        <x:v>None</x:v>
      </x:c>
      <x:c r="I437" s="9" t="str">
        <x:v>Workshop / cargo material; handling and storage unresolved</x:v>
      </x:c>
      <x:c r="J437" s="13"/>
      <x:c r="K437" s="15"/>
      <x:c r="L437" s="9" t="str">
        <x:v>Process candidate lower-tier feed; see linked recipe</x:v>
      </x:c>
      <x:c r="M437" s="9" t="str">
        <x:v>Explore assembled conductor stock with separately prepared insulating layers.</x:v>
      </x:c>
      <x:c r="N437" s="9" t="str">
        <x:v>Not implemented</x:v>
      </x:c>
      <x:c r="O437" s="9" t="str">
        <x:v>Layer arrangement, joints, leakage and electrical service limits unresolved. No cloth/rubber default or high-voltage certification.</x:v>
      </x:c>
      <x:c r="P437" s="17"/>
      <x:c r="Q437" s="17"/>
      <x:c r="R437" s="17"/>
      <x:c r="S437" s="17"/>
      <x:c r="T437" s="17"/>
      <x:c r="U437" s="9" t="str">
        <x:v>New October 15 brainstorming. Tier is conditional on the incomplete ingredient list; no quantities, performance ratings or installed crafting behavior assigned.</x:v>
      </x:c>
      <x:c r="V437" s="11" t="str">
        <x:v>insulated conductor stock; t3; refined stock; electrical conduction</x:v>
      </x:c>
      <x:c r="W437" s="9" t="str">
        <x:v>New game proposal, October 15, 2026; current author request and Docs/WORLD_BASIS.md material/refinement rules. Not a retrieved source-canon claim.</x:v>
      </x:c>
      <x:c r="X437" s="4" t="str">
        <x:v>Processed material</x:v>
      </x:c>
      <x:c r="Y437" s="4" t="str">
        <x:v>Processed intermediate</x:v>
      </x:c>
      <x:c r="Z437" s="4" t="str">
        <x:v>Manufactured / unresolved</x:v>
      </x:c>
      <x:c r="AA437" s="4" t="str">
        <x:v>Electrical conduction</x:v>
      </x:c>
      <x:c r="AB437" s="4" t="str">
        <x:v>Mixed / unresolved</x:v>
      </x:c>
      <x:c r="AC437" s="4" t="str">
        <x:v>Cord</x:v>
      </x:c>
      <x:c r="AD437" s="4" t="str">
        <x:v>Proposal</x:v>
      </x:c>
      <x:c r="AE437" s="4" t="str">
        <x:f>LOWER(A437&amp;"; "&amp;B437&amp;"; "&amp;D437&amp;"; "&amp;E437&amp;"; "&amp;X437&amp;"; "&amp;Y437&amp;"; "&amp;Z437&amp;"; "&amp;AA437&amp;"; "&amp;AB437&amp;"; "&amp;AC437&amp;"; "&amp;AD437&amp;"; "&amp;V437&amp;"; "&amp;C437&amp;"; "&amp;AH437&amp;"; "&amp;AI437)</x:f>
        <x:v>proposal.branch.insulated_conductor; insulated conductor stock; manufactured stock; t3 material / component proposal; processed material; processed intermediate; manufactured / unresolved; electrical conduction; mixed / unresolved; cord; proposal; insulated conductor stock; t3; refined stock; electrical conduction; t3; not applicable; material</x:v>
      </x:c>
      <x:c r="AF437" s="4" t="str">
        <x:v>New material-tree proposal; intended application and material behavior require qualification. Lore category review: Resources -&gt; Manufactured stock. Classification only; original item status and tier retained.</x:v>
      </x:c>
      <x:c r="AG437" s="4" t="str">
        <x:v>Proposed tier: one above the highest listed material input; further ingredients may change the tier.</x:v>
      </x:c>
      <x:c r="AH437" s="4" t="str">
        <x:v>Not applicable</x:v>
      </x:c>
      <x:c r="AI437" s="4" t="str">
        <x:v>Material</x:v>
      </x:c>
      <x:c r="AJ437" s="4" t="n">
        <x:f>COUNTIFS('Material routes'!$D$6:$D$2205,A437,'Material routes'!$C$6:$C$2205,"Output")</x:f>
        <x:v>1</x:v>
      </x:c>
      <x:c r="AK437" s="4" t="n">
        <x:f>SUM(COUNTIFS('Material routes'!$D$6:$D$2205,A437,'Material routes'!$C$6:$C$2205,"Ingredient candidate"),COUNTIFS('Material routes'!$D$6:$D$2205,A437,'Material routes'!$C$6:$C$2205,"Consumed input"),COUNTIFS('Material routes'!$D$6:$D$2205,A437,'Material routes'!$C$6:$C$2205,"Contained input"),COUNTIFS('Material routes'!$D$6:$D$2205,A437,'Material routes'!$C$6:$C$2205,"Transform input"))</x:f>
        <x:v>4</x:v>
      </x:c>
      <x:c r="AL437" s="4" t="n">
        <x:f>COUNTIFS('Material routes'!$D$6:$D$2205,A437,'Material routes'!$C$6:$C$2205,"Tool candidate")</x:f>
        <x:v>0</x:v>
      </x:c>
      <x:c r="AM437" s="4" t="str">
        <x:f>IF(AJ437&gt;0,"Route listed; review status/completeness",IF(C437="T0","Raw entry feed; no production route","No production route listed"))</x:f>
        <x:v>Route listed; review status/completeness</x:v>
      </x:c>
      <x:c r="AN437" s="14" t="n">
        <x:f>IF(C437="T0",0,IF(C437="T1",1,IF(C437="T2",2,IF(C437="T3",3,IF(C437="T4",4,IF(C437="Unassigned",98,99))))))</x:f>
        <x:v>3</x:v>
      </x:c>
      <x:c r="AZ437"/>
      <x:c r="BA437"/>
      <x:c r="BB437"/>
      <x:c r="BC437"/>
      <x:c r="BD437"/>
      <x:c r="BE437"/>
      <x:c r="BF437"/>
      <x:c r="BG437"/>
      <x:c r="BH437"/>
      <x:c r="BI437"/>
      <x:c r="BJ437"/>
      <x:c r="BK437"/>
      <x:c r="BL437"/>
      <x:c r="BM437"/>
      <x:c r="BN437"/>
      <x:c r="BO437"/>
      <x:c r="BP437"/>
      <x:c r="BQ437"/>
      <x:c r="BR437"/>
      <x:c r="BS437"/>
      <x:c r="BT437"/>
      <x:c r="BU437"/>
      <x:c r="BV437"/>
      <x:c r="BW437"/>
      <x:c r="BX437"/>
      <x:c r="BY437"/>
      <x:c r="BZ437"/>
      <x:c r="CA437"/>
      <x:c r="CB437"/>
      <x:c r="CC437"/>
    </x:row>
    <x:row r="438" ht="115" customHeight="1">
      <x:c r="A438" s="9" t="str">
        <x:v>proposal.branch.ceramic_shell</x:v>
      </x:c>
      <x:c r="B438" s="9" t="str">
        <x:v>Bonded ceramic-shell composite</x:v>
      </x:c>
      <x:c r="C438" s="4" t="str">
        <x:v>T3</x:v>
      </x:c>
      <x:c r="D438" s="9" t="str">
        <x:v>Manufactured stock</x:v>
      </x:c>
      <x:c r="E438" s="9" t="str">
        <x:v>T3 material / component proposal</x:v>
      </x:c>
      <x:c r="F438" s="9" t="str">
        <x:v>New proposal</x:v>
      </x:c>
      <x:c r="G438" s="9" t="inlineStr">
        <x:is>
          <x:t xml:space="preserve">Prepared mixed / unresolved stock in the form of bonded ceramic-shell composite, intended as an input to further making or assembly. It provides candidate stock for a protective assembly, with coverage, joining and backing still determining the finished protection.</x:t>
        </x:is>
      </x:c>
      <x:c r="H438" s="9" t="str">
        <x:v>None</x:v>
      </x:c>
      <x:c r="I438" s="9" t="str">
        <x:v>Workshop / cargo material; handling and storage unresolved</x:v>
      </x:c>
      <x:c r="J438" s="13"/>
      <x:c r="K438" s="15"/>
      <x:c r="L438" s="9" t="str">
        <x:v>Process candidate lower-tier feed; see linked recipe</x:v>
      </x:c>
      <x:c r="M438" s="9" t="str">
        <x:v>Explore compatible ceramic and shell stock as a bonded composite.</x:v>
      </x:c>
      <x:c r="N438" s="9" t="str">
        <x:v>Not implemented</x:v>
      </x:c>
      <x:c r="O438" s="9" t="str">
        <x:v>Not automatically both armor and an electrical barrier. Thermal/impact behavior and interfaces require qualification.</x:v>
      </x:c>
      <x:c r="P438" s="17"/>
      <x:c r="Q438" s="17"/>
      <x:c r="R438" s="17"/>
      <x:c r="S438" s="17"/>
      <x:c r="T438" s="17"/>
      <x:c r="U438" s="9" t="str">
        <x:v>New October 15 brainstorming. Tier is conditional on the incomplete ingredient list; no quantities, performance ratings or installed crafting behavior assigned.</x:v>
      </x:c>
      <x:c r="V438" s="11" t="str">
        <x:v>bonded ceramic-shell composite; t3; refined stock; protective fabrication</x:v>
      </x:c>
      <x:c r="W438" s="9" t="str">
        <x:v>New game proposal, October 15, 2026; current author request and Docs/WORLD_BASIS.md material/refinement rules. Not a retrieved source-canon claim.</x:v>
      </x:c>
      <x:c r="X438" s="4" t="str">
        <x:v>Processed material</x:v>
      </x:c>
      <x:c r="Y438" s="4" t="str">
        <x:v>Processed intermediate</x:v>
      </x:c>
      <x:c r="Z438" s="4" t="str">
        <x:v>Manufactured / unresolved</x:v>
      </x:c>
      <x:c r="AA438" s="4" t="str">
        <x:v>Protective fabrication</x:v>
      </x:c>
      <x:c r="AB438" s="4" t="str">
        <x:v>Mixed / unresolved</x:v>
      </x:c>
      <x:c r="AC438" s="4" t="str">
        <x:v>Panel</x:v>
      </x:c>
      <x:c r="AD438" s="4" t="str">
        <x:v>Proposal</x:v>
      </x:c>
      <x:c r="AE438" s="4" t="str">
        <x:f>LOWER(A438&amp;"; "&amp;B438&amp;"; "&amp;D438&amp;"; "&amp;E438&amp;"; "&amp;X438&amp;"; "&amp;Y438&amp;"; "&amp;Z438&amp;"; "&amp;AA438&amp;"; "&amp;AB438&amp;"; "&amp;AC438&amp;"; "&amp;AD438&amp;"; "&amp;V438&amp;"; "&amp;C438&amp;"; "&amp;AH438&amp;"; "&amp;AI438)</x:f>
        <x:v>proposal.branch.ceramic_shell; bonded ceramic-shell composite; manufactured stock; t3 material / component proposal; processed material; processed intermediate; manufactured / unresolved; protective fabrication; mixed / unresolved; panel; proposal; bonded ceramic-shell composite; t3; refined stock; protective fabrication; t3; not applicable; material</x:v>
      </x:c>
      <x:c r="AF438" s="4" t="str">
        <x:v>New material-tree proposal; intended application and material behavior require qualification. Lore category review: Resources -&gt; Manufactured stock. Classification only; original item status and tier retained.</x:v>
      </x:c>
      <x:c r="AG438" s="4" t="str">
        <x:v>Proposed tier: one above the highest listed material input; further ingredients may change the tier.</x:v>
      </x:c>
      <x:c r="AH438" s="4" t="str">
        <x:v>Not applicable</x:v>
      </x:c>
      <x:c r="AI438" s="4" t="str">
        <x:v>Material</x:v>
      </x:c>
      <x:c r="AJ438" s="4" t="n">
        <x:f>COUNTIFS('Material routes'!$D$6:$D$2205,A438,'Material routes'!$C$6:$C$2205,"Output")</x:f>
        <x:v>1</x:v>
      </x:c>
      <x:c r="AK438" s="4" t="n">
        <x:f>SUM(COUNTIFS('Material routes'!$D$6:$D$2205,A438,'Material routes'!$C$6:$C$2205,"Ingredient candidate"),COUNTIFS('Material routes'!$D$6:$D$2205,A438,'Material routes'!$C$6:$C$2205,"Consumed input"),COUNTIFS('Material routes'!$D$6:$D$2205,A438,'Material routes'!$C$6:$C$2205,"Contained input"),COUNTIFS('Material routes'!$D$6:$D$2205,A438,'Material routes'!$C$6:$C$2205,"Transform input"))</x:f>
        <x:v>5</x:v>
      </x:c>
      <x:c r="AL438" s="4" t="n">
        <x:f>COUNTIFS('Material routes'!$D$6:$D$2205,A438,'Material routes'!$C$6:$C$2205,"Tool candidate")</x:f>
        <x:v>0</x:v>
      </x:c>
      <x:c r="AM438" s="4" t="str">
        <x:f>IF(AJ438&gt;0,"Route listed; review status/completeness",IF(C438="T0","Raw entry feed; no production route","No production route listed"))</x:f>
        <x:v>Route listed; review status/completeness</x:v>
      </x:c>
      <x:c r="AN438" s="14" t="n">
        <x:f>IF(C438="T0",0,IF(C438="T1",1,IF(C438="T2",2,IF(C438="T3",3,IF(C438="T4",4,IF(C438="Unassigned",98,99))))))</x:f>
        <x:v>3</x:v>
      </x:c>
      <x:c r="AZ438"/>
      <x:c r="BA438"/>
      <x:c r="BB438"/>
      <x:c r="BC438"/>
      <x:c r="BD438"/>
      <x:c r="BE438"/>
      <x:c r="BF438"/>
      <x:c r="BG438"/>
      <x:c r="BH438"/>
      <x:c r="BI438"/>
      <x:c r="BJ438"/>
      <x:c r="BK438"/>
      <x:c r="BL438"/>
      <x:c r="BM438"/>
      <x:c r="BN438"/>
      <x:c r="BO438"/>
      <x:c r="BP438"/>
      <x:c r="BQ438"/>
      <x:c r="BR438"/>
      <x:c r="BS438"/>
      <x:c r="BT438"/>
      <x:c r="BU438"/>
      <x:c r="BV438"/>
      <x:c r="BW438"/>
      <x:c r="BX438"/>
      <x:c r="BY438"/>
      <x:c r="BZ438"/>
      <x:c r="CA438"/>
      <x:c r="CB438"/>
      <x:c r="CC438"/>
    </x:row>
    <x:row r="439" ht="115" customHeight="1">
      <x:c r="A439" s="9" t="str">
        <x:v>proposal.branch.optical_glass</x:v>
      </x:c>
      <x:c r="B439" s="9" t="str">
        <x:v>Ground optical glass stock</x:v>
      </x:c>
      <x:c r="C439" s="4" t="str">
        <x:v>T3</x:v>
      </x:c>
      <x:c r="D439" s="9" t="str">
        <x:v>Manufactured stock</x:v>
      </x:c>
      <x:c r="E439" s="9" t="str">
        <x:v>T3 material / component proposal</x:v>
      </x:c>
      <x:c r="F439" s="9" t="str">
        <x:v>New proposal</x:v>
      </x:c>
      <x:c r="G439" s="9" t="inlineStr">
        <x:is>
          <x:t xml:space="preserve">Prepared glass stock in the form of ground optical glass stock, intended as an input to further making or assembly. It supports the positioning or preparation of a viewing element. Useful clarity, alignment or correction must be established for the actual optics.</x:t>
        </x:is>
      </x:c>
      <x:c r="H439" s="9" t="str">
        <x:v>None</x:v>
      </x:c>
      <x:c r="I439" s="9" t="str">
        <x:v>Workshop / cargo material; handling and storage unresolved</x:v>
      </x:c>
      <x:c r="J439" s="13"/>
      <x:c r="K439" s="15"/>
      <x:c r="L439" s="9" t="str">
        <x:v>Process candidate lower-tier feed; see linked recipe</x:v>
      </x:c>
      <x:c r="M439" s="9" t="str">
        <x:v>Explore grinding, finishing and selection of candidate optical stock.</x:v>
      </x:c>
      <x:c r="N439" s="9" t="str">
        <x:v>Not implemented</x:v>
      </x:c>
      <x:c r="O439" s="9" t="str">
        <x:v>T1 abrasive is a lower-tier ingredient beside T2 viewing stock. Figure, defects, calibration and actual optical capability remain open.</x:v>
      </x:c>
      <x:c r="P439" s="17"/>
      <x:c r="Q439" s="17"/>
      <x:c r="R439" s="17"/>
      <x:c r="S439" s="17"/>
      <x:c r="T439" s="17"/>
      <x:c r="U439" s="9" t="str">
        <x:v>New October 15 brainstorming. Tier is conditional on the incomplete ingredient list; no quantities, performance ratings or installed crafting behavior assigned.</x:v>
      </x:c>
      <x:c r="V439" s="11" t="str">
        <x:v>ground optical glass stock; t3; refined stock; vision</x:v>
      </x:c>
      <x:c r="W439" s="9" t="str">
        <x:v>New game proposal, October 15, 2026; current author request and Docs/WORLD_BASIS.md material/refinement rules. Not a retrieved source-canon claim.</x:v>
      </x:c>
      <x:c r="X439" s="4" t="str">
        <x:v>Processed material</x:v>
      </x:c>
      <x:c r="Y439" s="4" t="str">
        <x:v>Processed intermediate</x:v>
      </x:c>
      <x:c r="Z439" s="4" t="str">
        <x:v>Manufactured / unresolved</x:v>
      </x:c>
      <x:c r="AA439" s="4" t="str">
        <x:v>Vision</x:v>
      </x:c>
      <x:c r="AB439" s="4" t="str">
        <x:v>Glass</x:v>
      </x:c>
      <x:c r="AC439" s="4" t="str">
        <x:v>Solid piece</x:v>
      </x:c>
      <x:c r="AD439" s="4" t="str">
        <x:v>Proposal</x:v>
      </x:c>
      <x:c r="AE439" s="4" t="str">
        <x:f>LOWER(A439&amp;"; "&amp;B439&amp;"; "&amp;D439&amp;"; "&amp;E439&amp;"; "&amp;X439&amp;"; "&amp;Y439&amp;"; "&amp;Z439&amp;"; "&amp;AA439&amp;"; "&amp;AB439&amp;"; "&amp;AC439&amp;"; "&amp;AD439&amp;"; "&amp;V439&amp;"; "&amp;C439&amp;"; "&amp;AH439&amp;"; "&amp;AI439)</x:f>
        <x:v>proposal.branch.optical_glass; ground optical glass stock; manufactured stock; t3 material / component proposal; processed material; processed intermediate; manufactured / unresolved; vision; glass; solid piece; proposal; ground optical glass stock; t3; refined stock; vision; t3; not applicable; material</x:v>
      </x:c>
      <x:c r="AF439" s="4" t="str">
        <x:v>New material-tree proposal; intended application and material behavior require qualification. Lore category review: Resources -&gt; Manufactured stock. Classification only; original item status and tier retained.</x:v>
      </x:c>
      <x:c r="AG439" s="4" t="str">
        <x:v>Proposed tier: one above the highest listed material input; further ingredients may change the tier.</x:v>
      </x:c>
      <x:c r="AH439" s="4" t="str">
        <x:v>Not applicable</x:v>
      </x:c>
      <x:c r="AI439" s="4" t="str">
        <x:v>Material</x:v>
      </x:c>
      <x:c r="AJ439" s="4" t="n">
        <x:f>COUNTIFS('Material routes'!$D$6:$D$2205,A439,'Material routes'!$C$6:$C$2205,"Output")</x:f>
        <x:v>1</x:v>
      </x:c>
      <x:c r="AK439" s="4" t="n">
        <x:f>SUM(COUNTIFS('Material routes'!$D$6:$D$2205,A439,'Material routes'!$C$6:$C$2205,"Ingredient candidate"),COUNTIFS('Material routes'!$D$6:$D$2205,A439,'Material routes'!$C$6:$C$2205,"Consumed input"),COUNTIFS('Material routes'!$D$6:$D$2205,A439,'Material routes'!$C$6:$C$2205,"Contained input"),COUNTIFS('Material routes'!$D$6:$D$2205,A439,'Material routes'!$C$6:$C$2205,"Transform input"))</x:f>
        <x:v>3</x:v>
      </x:c>
      <x:c r="AL439" s="4" t="n">
        <x:f>COUNTIFS('Material routes'!$D$6:$D$2205,A439,'Material routes'!$C$6:$C$2205,"Tool candidate")</x:f>
        <x:v>0</x:v>
      </x:c>
      <x:c r="AM439" s="4" t="str">
        <x:f>IF(AJ439&gt;0,"Route listed; review status/completeness",IF(C439="T0","Raw entry feed; no production route","No production route listed"))</x:f>
        <x:v>Route listed; review status/completeness</x:v>
      </x:c>
      <x:c r="AN439" s="14" t="n">
        <x:f>IF(C439="T0",0,IF(C439="T1",1,IF(C439="T2",2,IF(C439="T3",3,IF(C439="T4",4,IF(C439="Unassigned",98,99))))))</x:f>
        <x:v>3</x:v>
      </x:c>
      <x:c r="AZ439"/>
      <x:c r="BA439"/>
      <x:c r="BB439"/>
      <x:c r="BC439"/>
      <x:c r="BD439"/>
      <x:c r="BE439"/>
      <x:c r="BF439"/>
      <x:c r="BG439"/>
      <x:c r="BH439"/>
      <x:c r="BI439"/>
      <x:c r="BJ439"/>
      <x:c r="BK439"/>
      <x:c r="BL439"/>
      <x:c r="BM439"/>
      <x:c r="BN439"/>
      <x:c r="BO439"/>
      <x:c r="BP439"/>
      <x:c r="BQ439"/>
      <x:c r="BR439"/>
      <x:c r="BS439"/>
      <x:c r="BT439"/>
      <x:c r="BU439"/>
      <x:c r="BV439"/>
      <x:c r="BW439"/>
      <x:c r="BX439"/>
      <x:c r="BY439"/>
      <x:c r="BZ439"/>
      <x:c r="CA439"/>
      <x:c r="CB439"/>
      <x:c r="CC439"/>
    </x:row>
    <x:row r="440" ht="115" customHeight="1">
      <x:c r="A440" s="9" t="str">
        <x:v>proposal.branch.husk_composite</x:v>
      </x:c>
      <x:c r="B440" s="9" t="str">
        <x:v>Layered husk composite stock</x:v>
      </x:c>
      <x:c r="C440" s="4" t="str">
        <x:v>T3</x:v>
      </x:c>
      <x:c r="D440" s="9" t="str">
        <x:v>Manufactured stock</x:v>
      </x:c>
      <x:c r="E440" s="9" t="str">
        <x:v>T3 material / component proposal</x:v>
      </x:c>
      <x:c r="F440" s="9" t="str">
        <x:v>New proposal</x:v>
      </x:c>
      <x:c r="G440" s="9" t="inlineStr">
        <x:is>
          <x:t xml:space="preserve">Prepared husk fiber stock in the form of layered husk composite stock, intended as an input to further making or assembly. It is intended to join, reinforce or support other parts, with the bond or fastening chosen for the materials and loads involved.</x:t>
        </x:is>
      </x:c>
      <x:c r="H440" s="9" t="str">
        <x:v>None</x:v>
      </x:c>
      <x:c r="I440" s="9" t="str">
        <x:v>Workshop / cargo material; handling and storage unresolved</x:v>
      </x:c>
      <x:c r="J440" s="13"/>
      <x:c r="K440" s="15"/>
      <x:c r="L440" s="9" t="str">
        <x:v>Process candidate lower-tier feed; see linked recipe</x:v>
      </x:c>
      <x:c r="M440" s="9" t="str">
        <x:v>Explore layering prepared husk stock for casings and stiffened parts.</x:v>
      </x:c>
      <x:c r="N440" s="9" t="str">
        <x:v>Not implemented</x:v>
      </x:c>
      <x:c r="O440" s="9" t="str">
        <x:v>Scarce difficult processing, not abundant ordinary cloth. Layer quality and structural performance unresolved.</x:v>
      </x:c>
      <x:c r="P440" s="17"/>
      <x:c r="Q440" s="17"/>
      <x:c r="R440" s="17"/>
      <x:c r="S440" s="17"/>
      <x:c r="T440" s="17"/>
      <x:c r="U440" s="9" t="str">
        <x:v>New October 15 brainstorming. Tier is conditional on the incomplete ingredient list; no quantities, performance ratings or installed crafting behavior assigned.</x:v>
      </x:c>
      <x:c r="V440" s="11" t="str">
        <x:v>layered husk composite stock; t3; refined stock; binding and construction</x:v>
      </x:c>
      <x:c r="W440" s="9" t="str">
        <x:v>New game proposal, October 15, 2026; current author request and Docs/WORLD_BASIS.md material/refinement rules. Not a retrieved source-canon claim.</x:v>
      </x:c>
      <x:c r="X440" s="4" t="str">
        <x:v>Processed material</x:v>
      </x:c>
      <x:c r="Y440" s="4" t="str">
        <x:v>Processed intermediate</x:v>
      </x:c>
      <x:c r="Z440" s="4" t="str">
        <x:v>Manufactured / unresolved</x:v>
      </x:c>
      <x:c r="AA440" s="4" t="str">
        <x:v>Binding and construction</x:v>
      </x:c>
      <x:c r="AB440" s="4" t="str">
        <x:v>Husk fiber</x:v>
      </x:c>
      <x:c r="AC440" s="4" t="str">
        <x:v>Sheet</x:v>
      </x:c>
      <x:c r="AD440" s="4" t="str">
        <x:v>Proposal</x:v>
      </x:c>
      <x:c r="AE440" s="4" t="str">
        <x:f>LOWER(A440&amp;"; "&amp;B440&amp;"; "&amp;D440&amp;"; "&amp;E440&amp;"; "&amp;X440&amp;"; "&amp;Y440&amp;"; "&amp;Z440&amp;"; "&amp;AA440&amp;"; "&amp;AB440&amp;"; "&amp;AC440&amp;"; "&amp;AD440&amp;"; "&amp;V440&amp;"; "&amp;C440&amp;"; "&amp;AH440&amp;"; "&amp;AI440)</x:f>
        <x:v>proposal.branch.husk_composite; layered husk composite stock; manufactured stock; t3 material / component proposal; processed material; processed intermediate; manufactured / unresolved; binding and construction; husk fiber; sheet; proposal; layered husk composite stock; t3; refined stock; binding and construction; t3; not applicable; material</x:v>
      </x:c>
      <x:c r="AF440" s="4" t="str">
        <x:v>New material-tree proposal; intended application and material behavior require qualification. Lore category review: Resources -&gt; Manufactured stock. Classification only; original item status and tier retained.</x:v>
      </x:c>
      <x:c r="AG440" s="4" t="str">
        <x:v>Proposed tier: one above the highest listed material input; further ingredients may change the tier.</x:v>
      </x:c>
      <x:c r="AH440" s="4" t="str">
        <x:v>Not applicable</x:v>
      </x:c>
      <x:c r="AI440" s="4" t="str">
        <x:v>Material</x:v>
      </x:c>
      <x:c r="AJ440" s="4" t="n">
        <x:f>COUNTIFS('Material routes'!$D$6:$D$2205,A440,'Material routes'!$C$6:$C$2205,"Output")</x:f>
        <x:v>1</x:v>
      </x:c>
      <x:c r="AK440" s="4" t="n">
        <x:f>SUM(COUNTIFS('Material routes'!$D$6:$D$2205,A440,'Material routes'!$C$6:$C$2205,"Ingredient candidate"),COUNTIFS('Material routes'!$D$6:$D$2205,A440,'Material routes'!$C$6:$C$2205,"Consumed input"),COUNTIFS('Material routes'!$D$6:$D$2205,A440,'Material routes'!$C$6:$C$2205,"Contained input"),COUNTIFS('Material routes'!$D$6:$D$2205,A440,'Material routes'!$C$6:$C$2205,"Transform input"))</x:f>
        <x:v>12</x:v>
      </x:c>
      <x:c r="AL440" s="4" t="n">
        <x:f>COUNTIFS('Material routes'!$D$6:$D$2205,A440,'Material routes'!$C$6:$C$2205,"Tool candidate")</x:f>
        <x:v>0</x:v>
      </x:c>
      <x:c r="AM440" s="4" t="str">
        <x:f>IF(AJ440&gt;0,"Route listed; review status/completeness",IF(C440="T0","Raw entry feed; no production route","No production route listed"))</x:f>
        <x:v>Route listed; review status/completeness</x:v>
      </x:c>
      <x:c r="AN440" s="14" t="n">
        <x:f>IF(C440="T0",0,IF(C440="T1",1,IF(C440="T2",2,IF(C440="T3",3,IF(C440="T4",4,IF(C440="Unassigned",98,99))))))</x:f>
        <x:v>3</x:v>
      </x:c>
      <x:c r="AZ440"/>
      <x:c r="BA440"/>
      <x:c r="BB440"/>
      <x:c r="BC440"/>
      <x:c r="BD440"/>
      <x:c r="BE440"/>
      <x:c r="BF440"/>
      <x:c r="BG440"/>
      <x:c r="BH440"/>
      <x:c r="BI440"/>
      <x:c r="BJ440"/>
      <x:c r="BK440"/>
      <x:c r="BL440"/>
      <x:c r="BM440"/>
      <x:c r="BN440"/>
      <x:c r="BO440"/>
      <x:c r="BP440"/>
      <x:c r="BQ440"/>
      <x:c r="BR440"/>
      <x:c r="BS440"/>
      <x:c r="BT440"/>
      <x:c r="BU440"/>
      <x:c r="BV440"/>
      <x:c r="BW440"/>
      <x:c r="BX440"/>
      <x:c r="BY440"/>
      <x:c r="BZ440"/>
      <x:c r="CA440"/>
      <x:c r="CB440"/>
      <x:c r="CC440"/>
    </x:row>
    <x:row r="441" ht="115" customHeight="1">
      <x:c r="A441" s="9" t="str">
        <x:v>proposal.branch.sealing_sheet</x:v>
      </x:c>
      <x:c r="B441" s="9" t="str">
        <x:v>Reinforced sealing sheet</x:v>
      </x:c>
      <x:c r="C441" s="4" t="str">
        <x:v>T3</x:v>
      </x:c>
      <x:c r="D441" s="9" t="str">
        <x:v>Manufactured stock</x:v>
      </x:c>
      <x:c r="E441" s="9" t="str">
        <x:v>T3 material / component proposal</x:v>
      </x:c>
      <x:c r="F441" s="9" t="str">
        <x:v>New proposal</x:v>
      </x:c>
      <x:c r="G441" s="9" t="inlineStr">
        <x:is>
          <x:t xml:space="preserve">Prepared mixed / unresolved stock in the form of reinforced sealing sheet, intended as an input to further making or assembly. It is intended to close a selected joint or patch an interface. Contents compatibility, movement and service conditions must be checked before a seal is relied on.</x:t>
        </x:is>
      </x:c>
      <x:c r="H441" s="9" t="str">
        <x:v>None</x:v>
      </x:c>
      <x:c r="I441" s="9" t="str">
        <x:v>Workshop / cargo material; handling and storage unresolved</x:v>
      </x:c>
      <x:c r="J441" s="13"/>
      <x:c r="K441" s="15"/>
      <x:c r="L441" s="9" t="str">
        <x:v>Process candidate lower-tier feed; see linked recipe</x:v>
      </x:c>
      <x:c r="M441" s="9" t="str">
        <x:v>Explore a bounded reinforced sealing stock.</x:v>
      </x:c>
      <x:c r="N441" s="9" t="str">
        <x:v>Not implemented</x:v>
      </x:c>
      <x:c r="O441" s="9" t="str">
        <x:v>Service compatibility, flexibility, leak behavior and pressure limits are not assigned.</x:v>
      </x:c>
      <x:c r="P441" s="17"/>
      <x:c r="Q441" s="17"/>
      <x:c r="R441" s="17"/>
      <x:c r="S441" s="17"/>
      <x:c r="T441" s="17"/>
      <x:c r="U441" s="9" t="str">
        <x:v>New October 15 brainstorming. Tier is conditional on the incomplete ingredient list; no quantities, performance ratings or installed crafting behavior assigned.</x:v>
      </x:c>
      <x:c r="V441" s="11" t="str">
        <x:v>reinforced sealing sheet; t3; refined stock; sealing</x:v>
      </x:c>
      <x:c r="W441" s="9" t="str">
        <x:v>New game proposal, October 15, 2026; current author request and Docs/WORLD_BASIS.md material/refinement rules. Not a retrieved source-canon claim.</x:v>
      </x:c>
      <x:c r="X441" s="4" t="str">
        <x:v>Processed material</x:v>
      </x:c>
      <x:c r="Y441" s="4" t="str">
        <x:v>Processed intermediate</x:v>
      </x:c>
      <x:c r="Z441" s="4" t="str">
        <x:v>Manufactured / unresolved</x:v>
      </x:c>
      <x:c r="AA441" s="4" t="str">
        <x:v>Sealing</x:v>
      </x:c>
      <x:c r="AB441" s="4" t="str">
        <x:v>Mixed / unresolved</x:v>
      </x:c>
      <x:c r="AC441" s="4" t="str">
        <x:v>Sheet</x:v>
      </x:c>
      <x:c r="AD441" s="4" t="str">
        <x:v>Proposal</x:v>
      </x:c>
      <x:c r="AE441" s="4" t="str">
        <x:f>LOWER(A441&amp;"; "&amp;B441&amp;"; "&amp;D441&amp;"; "&amp;E441&amp;"; "&amp;X441&amp;"; "&amp;Y441&amp;"; "&amp;Z441&amp;"; "&amp;AA441&amp;"; "&amp;AB441&amp;"; "&amp;AC441&amp;"; "&amp;AD441&amp;"; "&amp;V441&amp;"; "&amp;C441&amp;"; "&amp;AH441&amp;"; "&amp;AI441)</x:f>
        <x:v>proposal.branch.sealing_sheet; reinforced sealing sheet; manufactured stock; t3 material / component proposal; processed material; processed intermediate; manufactured / unresolved; sealing; mixed / unresolved; sheet; proposal; reinforced sealing sheet; t3; refined stock; sealing; t3; not applicable; material</x:v>
      </x:c>
      <x:c r="AF441" s="4" t="str">
        <x:v>New material-tree proposal; intended application and material behavior require qualification. Lore category review: Resources -&gt; Manufactured stock. Classification only; original item status and tier retained.</x:v>
      </x:c>
      <x:c r="AG441" s="4" t="str">
        <x:v>Proposed tier: one above the highest listed material input; further ingredients may change the tier.</x:v>
      </x:c>
      <x:c r="AH441" s="4" t="str">
        <x:v>Not applicable</x:v>
      </x:c>
      <x:c r="AI441" s="4" t="str">
        <x:v>Material</x:v>
      </x:c>
      <x:c r="AJ441" s="4" t="n">
        <x:f>COUNTIFS('Material routes'!$D$6:$D$2205,A441,'Material routes'!$C$6:$C$2205,"Output")</x:f>
        <x:v>1</x:v>
      </x:c>
      <x:c r="AK441" s="4" t="n">
        <x:f>SUM(COUNTIFS('Material routes'!$D$6:$D$2205,A441,'Material routes'!$C$6:$C$2205,"Ingredient candidate"),COUNTIFS('Material routes'!$D$6:$D$2205,A441,'Material routes'!$C$6:$C$2205,"Consumed input"),COUNTIFS('Material routes'!$D$6:$D$2205,A441,'Material routes'!$C$6:$C$2205,"Contained input"),COUNTIFS('Material routes'!$D$6:$D$2205,A441,'Material routes'!$C$6:$C$2205,"Transform input"))</x:f>
        <x:v>11</x:v>
      </x:c>
      <x:c r="AL441" s="4" t="n">
        <x:f>COUNTIFS('Material routes'!$D$6:$D$2205,A441,'Material routes'!$C$6:$C$2205,"Tool candidate")</x:f>
        <x:v>0</x:v>
      </x:c>
      <x:c r="AM441" s="4" t="str">
        <x:f>IF(AJ441&gt;0,"Route listed; review status/completeness",IF(C441="T0","Raw entry feed; no production route","No production route listed"))</x:f>
        <x:v>Route listed; review status/completeness</x:v>
      </x:c>
      <x:c r="AN441" s="14" t="n">
        <x:f>IF(C441="T0",0,IF(C441="T1",1,IF(C441="T2",2,IF(C441="T3",3,IF(C441="T4",4,IF(C441="Unassigned",98,99))))))</x:f>
        <x:v>3</x:v>
      </x:c>
      <x:c r="AZ441"/>
      <x:c r="BA441"/>
      <x:c r="BB441"/>
      <x:c r="BC441"/>
      <x:c r="BD441"/>
      <x:c r="BE441"/>
      <x:c r="BF441"/>
      <x:c r="BG441"/>
      <x:c r="BH441"/>
      <x:c r="BI441"/>
      <x:c r="BJ441"/>
      <x:c r="BK441"/>
      <x:c r="BL441"/>
      <x:c r="BM441"/>
      <x:c r="BN441"/>
      <x:c r="BO441"/>
      <x:c r="BP441"/>
      <x:c r="BQ441"/>
      <x:c r="BR441"/>
      <x:c r="BS441"/>
      <x:c r="BT441"/>
      <x:c r="BU441"/>
      <x:c r="BV441"/>
      <x:c r="BW441"/>
      <x:c r="BX441"/>
      <x:c r="BY441"/>
      <x:c r="BZ441"/>
      <x:c r="CA441"/>
      <x:c r="CB441"/>
      <x:c r="CC441"/>
    </x:row>
    <x:row r="442" ht="115" customHeight="1">
      <x:c r="A442" s="9" t="str">
        <x:v>proposal.branch.decorative_husk</x:v>
      </x:c>
      <x:c r="B442" s="9" t="str">
        <x:v>Finished decorative husk stock</x:v>
      </x:c>
      <x:c r="C442" s="4" t="str">
        <x:v>T3</x:v>
      </x:c>
      <x:c r="D442" s="9" t="str">
        <x:v>Manufactured stock</x:v>
      </x:c>
      <x:c r="E442" s="9" t="str">
        <x:v>T3 material / component proposal</x:v>
      </x:c>
      <x:c r="F442" s="9" t="str">
        <x:v>New proposal</x:v>
      </x:c>
      <x:c r="G442" s="9" t="inlineStr">
        <x:is>
          <x:t xml:space="preserve">Prepared husk fiber stock in the form of finished decorative husk stock, intended as an input to further making or assembly. It supplies a visible ornamental surface or detail, with its placement and cultural meaning left to the receiving object’s design.</x:t>
        </x:is>
      </x:c>
      <x:c r="H442" s="9" t="str">
        <x:v>None</x:v>
      </x:c>
      <x:c r="I442" s="9" t="str">
        <x:v>Workshop / cargo material; handling and storage unresolved</x:v>
      </x:c>
      <x:c r="J442" s="13"/>
      <x:c r="K442" s="15"/>
      <x:c r="L442" s="9" t="str">
        <x:v>Process candidate lower-tier feed; see linked recipe</x:v>
      </x:c>
      <x:c r="M442" s="9" t="str">
        <x:v>Explore premium finished paper/husk stock for later records, trim and display objects.</x:v>
      </x:c>
      <x:c r="N442" s="9" t="str">
        <x:v>Not implemented</x:v>
      </x:c>
      <x:c r="O442" s="9" t="str">
        <x:v>Material stock, not a finished ritual document or ordinary fabric. Finish labor/provenance may matter more than tier alone.</x:v>
      </x:c>
      <x:c r="P442" s="17"/>
      <x:c r="Q442" s="17"/>
      <x:c r="R442" s="17"/>
      <x:c r="S442" s="17"/>
      <x:c r="T442" s="17"/>
      <x:c r="U442" s="9" t="str">
        <x:v>New October 15 brainstorming. Tier is conditional on the incomplete ingredient list; no quantities, performance ratings or installed crafting behavior assigned.</x:v>
      </x:c>
      <x:c r="V442" s="11" t="str">
        <x:v>finished decorative husk stock; t3; refined stock; decoration</x:v>
      </x:c>
      <x:c r="W442" s="9" t="str">
        <x:v>New game proposal, October 15, 2026; current author request and Docs/WORLD_BASIS.md material/refinement rules. Not a retrieved source-canon claim.</x:v>
      </x:c>
      <x:c r="X442" s="4" t="str">
        <x:v>Processed material</x:v>
      </x:c>
      <x:c r="Y442" s="4" t="str">
        <x:v>Processed intermediate</x:v>
      </x:c>
      <x:c r="Z442" s="4" t="str">
        <x:v>Manufactured / unresolved</x:v>
      </x:c>
      <x:c r="AA442" s="4" t="str">
        <x:v>Decoration</x:v>
      </x:c>
      <x:c r="AB442" s="4" t="str">
        <x:v>Husk fiber</x:v>
      </x:c>
      <x:c r="AC442" s="4" t="str">
        <x:v>Sheet</x:v>
      </x:c>
      <x:c r="AD442" s="4" t="str">
        <x:v>Proposal</x:v>
      </x:c>
      <x:c r="AE442" s="4" t="str">
        <x:f>LOWER(A442&amp;"; "&amp;B442&amp;"; "&amp;D442&amp;"; "&amp;E442&amp;"; "&amp;X442&amp;"; "&amp;Y442&amp;"; "&amp;Z442&amp;"; "&amp;AA442&amp;"; "&amp;AB442&amp;"; "&amp;AC442&amp;"; "&amp;AD442&amp;"; "&amp;V442&amp;"; "&amp;C442&amp;"; "&amp;AH442&amp;"; "&amp;AI442)</x:f>
        <x:v>proposal.branch.decorative_husk; finished decorative husk stock; manufactured stock; t3 material / component proposal; processed material; processed intermediate; manufactured / unresolved; decoration; husk fiber; sheet; proposal; finished decorative husk stock; t3; refined stock; decoration; t3; not applicable; material</x:v>
      </x:c>
      <x:c r="AF442" s="4" t="str">
        <x:v>New material-tree proposal; intended application and material behavior require qualification. Lore category review: Resources -&gt; Manufactured stock. Classification only; original item status and tier retained.</x:v>
      </x:c>
      <x:c r="AG442" s="4" t="str">
        <x:v>Proposed tier: one above the highest listed material input; further ingredients may change the tier.</x:v>
      </x:c>
      <x:c r="AH442" s="4" t="str">
        <x:v>Not applicable</x:v>
      </x:c>
      <x:c r="AI442" s="4" t="str">
        <x:v>Material</x:v>
      </x:c>
      <x:c r="AJ442" s="4" t="n">
        <x:f>COUNTIFS('Material routes'!$D$6:$D$2205,A442,'Material routes'!$C$6:$C$2205,"Output")</x:f>
        <x:v>1</x:v>
      </x:c>
      <x:c r="AK442" s="4" t="n">
        <x:f>SUM(COUNTIFS('Material routes'!$D$6:$D$2205,A442,'Material routes'!$C$6:$C$2205,"Ingredient candidate"),COUNTIFS('Material routes'!$D$6:$D$2205,A442,'Material routes'!$C$6:$C$2205,"Consumed input"),COUNTIFS('Material routes'!$D$6:$D$2205,A442,'Material routes'!$C$6:$C$2205,"Contained input"),COUNTIFS('Material routes'!$D$6:$D$2205,A442,'Material routes'!$C$6:$C$2205,"Transform input"))</x:f>
        <x:v>3</x:v>
      </x:c>
      <x:c r="AL442" s="4" t="n">
        <x:f>COUNTIFS('Material routes'!$D$6:$D$2205,A442,'Material routes'!$C$6:$C$2205,"Tool candidate")</x:f>
        <x:v>0</x:v>
      </x:c>
      <x:c r="AM442" s="4" t="str">
        <x:f>IF(AJ442&gt;0,"Route listed; review status/completeness",IF(C442="T0","Raw entry feed; no production route","No production route listed"))</x:f>
        <x:v>Route listed; review status/completeness</x:v>
      </x:c>
      <x:c r="AN442" s="14" t="n">
        <x:f>IF(C442="T0",0,IF(C442="T1",1,IF(C442="T2",2,IF(C442="T3",3,IF(C442="T4",4,IF(C442="Unassigned",98,99))))))</x:f>
        <x:v>3</x:v>
      </x:c>
      <x:c r="AZ442"/>
      <x:c r="BA442"/>
      <x:c r="BB442"/>
      <x:c r="BC442"/>
      <x:c r="BD442"/>
      <x:c r="BE442"/>
      <x:c r="BF442"/>
      <x:c r="BG442"/>
      <x:c r="BH442"/>
      <x:c r="BI442"/>
      <x:c r="BJ442"/>
      <x:c r="BK442"/>
      <x:c r="BL442"/>
      <x:c r="BM442"/>
      <x:c r="BN442"/>
      <x:c r="BO442"/>
      <x:c r="BP442"/>
      <x:c r="BQ442"/>
      <x:c r="BR442"/>
      <x:c r="BS442"/>
      <x:c r="BT442"/>
      <x:c r="BU442"/>
      <x:c r="BV442"/>
      <x:c r="BW442"/>
      <x:c r="BX442"/>
      <x:c r="BY442"/>
      <x:c r="BZ442"/>
      <x:c r="CA442"/>
      <x:c r="CB442"/>
      <x:c r="CC442"/>
    </x:row>
    <x:row r="443" ht="115" customHeight="1">
      <x:c r="A443" s="9" t="str">
        <x:v>proposal.branch.protective_stock</x:v>
      </x:c>
      <x:c r="B443" s="9" t="str">
        <x:v>Layered protective composite stock</x:v>
      </x:c>
      <x:c r="C443" s="4" t="str">
        <x:v>T4</x:v>
      </x:c>
      <x:c r="D443" s="9" t="str">
        <x:v>Manufactured stock</x:v>
      </x:c>
      <x:c r="E443" s="9" t="str">
        <x:v>T4 material / component proposal</x:v>
      </x:c>
      <x:c r="F443" s="9" t="str">
        <x:v>New proposal</x:v>
      </x:c>
      <x:c r="G443" s="9" t="inlineStr">
        <x:is>
          <x:t xml:space="preserve">Prepared mixed / unresolved stock in the form of layered protective composite stock, intended as an input to further making or assembly. It provides candidate stock for a protective assembly, with coverage, joining and backing still determining the finished protection.</x:t>
        </x:is>
      </x:c>
      <x:c r="H443" s="9" t="str">
        <x:v>None</x:v>
      </x:c>
      <x:c r="I443" s="9" t="str">
        <x:v>Workshop / cargo material; handling and storage unresolved</x:v>
      </x:c>
      <x:c r="J443" s="13"/>
      <x:c r="K443" s="15"/>
      <x:c r="L443" s="9" t="str">
        <x:v>Process candidate lower-tier feed; see linked recipe</x:v>
      </x:c>
      <x:c r="M443" s="9" t="str">
        <x:v>Explore a purpose-layered stock for later fitted protection.</x:v>
      </x:c>
      <x:c r="N443" s="9" t="str">
        <x:v>Not implemented</x:v>
      </x:c>
      <x:c r="O443" s="9" t="str">
        <x:v>A multi-material candidate, not ancient plasteel/nanocarbon or a certified ballistic material.</x:v>
      </x:c>
      <x:c r="P443" s="17"/>
      <x:c r="Q443" s="17"/>
      <x:c r="R443" s="17"/>
      <x:c r="S443" s="17"/>
      <x:c r="T443" s="17"/>
      <x:c r="U443" s="9" t="str">
        <x:v>New October 15 brainstorming. Tier is conditional on the incomplete ingredient list; no quantities, performance ratings or installed crafting behavior assigned.</x:v>
      </x:c>
      <x:c r="V443" s="11" t="str">
        <x:v>layered protective composite stock; t4; refined stock; protective fabrication</x:v>
      </x:c>
      <x:c r="W443" s="9" t="str">
        <x:v>New game proposal, October 15, 2026; current author request and Docs/WORLD_BASIS.md material/refinement rules. Not a retrieved source-canon claim.</x:v>
      </x:c>
      <x:c r="X443" s="4" t="str">
        <x:v>Processed material</x:v>
      </x:c>
      <x:c r="Y443" s="4" t="str">
        <x:v>Processed intermediate</x:v>
      </x:c>
      <x:c r="Z443" s="4" t="str">
        <x:v>Manufactured / unresolved</x:v>
      </x:c>
      <x:c r="AA443" s="4" t="str">
        <x:v>Protective fabrication</x:v>
      </x:c>
      <x:c r="AB443" s="4" t="str">
        <x:v>Mixed / unresolved</x:v>
      </x:c>
      <x:c r="AC443" s="4" t="str">
        <x:v>Panel</x:v>
      </x:c>
      <x:c r="AD443" s="4" t="str">
        <x:v>Proposal</x:v>
      </x:c>
      <x:c r="AE443" s="4" t="str">
        <x:f>LOWER(A443&amp;"; "&amp;B443&amp;"; "&amp;D443&amp;"; "&amp;E443&amp;"; "&amp;X443&amp;"; "&amp;Y443&amp;"; "&amp;Z443&amp;"; "&amp;AA443&amp;"; "&amp;AB443&amp;"; "&amp;AC443&amp;"; "&amp;AD443&amp;"; "&amp;V443&amp;"; "&amp;C443&amp;"; "&amp;AH443&amp;"; "&amp;AI443)</x:f>
        <x:v>proposal.branch.protective_stock; layered protective composite stock; manufactured stock; t4 material / component proposal; processed material; processed intermediate; manufactured / unresolved; protective fabrication; mixed / unresolved; panel; proposal; layered protective composite stock; t4; refined stock; protective fabrication; t4; not applicable; material</x:v>
      </x:c>
      <x:c r="AF443" s="4" t="str">
        <x:v>New material-tree proposal; intended application and material behavior require qualification. Lore category review: Resources -&gt; Manufactured stock. Classification only; original item status and tier retained.</x:v>
      </x:c>
      <x:c r="AG443" s="4" t="str">
        <x:v>Proposed tier: one above the highest listed material input; further ingredients may change the tier.</x:v>
      </x:c>
      <x:c r="AH443" s="4" t="str">
        <x:v>Not applicable</x:v>
      </x:c>
      <x:c r="AI443" s="4" t="str">
        <x:v>Material</x:v>
      </x:c>
      <x:c r="AJ443" s="4" t="n">
        <x:f>COUNTIFS('Material routes'!$D$6:$D$2205,A443,'Material routes'!$C$6:$C$2205,"Output")</x:f>
        <x:v>1</x:v>
      </x:c>
      <x:c r="AK443" s="4" t="n">
        <x:f>SUM(COUNTIFS('Material routes'!$D$6:$D$2205,A443,'Material routes'!$C$6:$C$2205,"Ingredient candidate"),COUNTIFS('Material routes'!$D$6:$D$2205,A443,'Material routes'!$C$6:$C$2205,"Consumed input"),COUNTIFS('Material routes'!$D$6:$D$2205,A443,'Material routes'!$C$6:$C$2205,"Contained input"),COUNTIFS('Material routes'!$D$6:$D$2205,A443,'Material routes'!$C$6:$C$2205,"Transform input"))</x:f>
        <x:v>2</x:v>
      </x:c>
      <x:c r="AL443" s="4" t="n">
        <x:f>COUNTIFS('Material routes'!$D$6:$D$2205,A443,'Material routes'!$C$6:$C$2205,"Tool candidate")</x:f>
        <x:v>0</x:v>
      </x:c>
      <x:c r="AM443" s="4" t="str">
        <x:f>IF(AJ443&gt;0,"Route listed; review status/completeness",IF(C443="T0","Raw entry feed; no production route","No production route listed"))</x:f>
        <x:v>Route listed; review status/completeness</x:v>
      </x:c>
      <x:c r="AN443" s="14" t="n">
        <x:f>IF(C443="T0",0,IF(C443="T1",1,IF(C443="T2",2,IF(C443="T3",3,IF(C443="T4",4,IF(C443="Unassigned",98,99))))))</x:f>
        <x:v>4</x:v>
      </x:c>
      <x:c r="AZ443"/>
      <x:c r="BA443"/>
      <x:c r="BB443"/>
      <x:c r="BC443"/>
      <x:c r="BD443"/>
      <x:c r="BE443"/>
      <x:c r="BF443"/>
      <x:c r="BG443"/>
      <x:c r="BH443"/>
      <x:c r="BI443"/>
      <x:c r="BJ443"/>
      <x:c r="BK443"/>
      <x:c r="BL443"/>
      <x:c r="BM443"/>
      <x:c r="BN443"/>
      <x:c r="BO443"/>
      <x:c r="BP443"/>
      <x:c r="BQ443"/>
      <x:c r="BR443"/>
      <x:c r="BS443"/>
      <x:c r="BT443"/>
      <x:c r="BU443"/>
      <x:c r="BV443"/>
      <x:c r="BW443"/>
      <x:c r="BX443"/>
      <x:c r="BY443"/>
      <x:c r="BZ443"/>
      <x:c r="CA443"/>
      <x:c r="CB443"/>
      <x:c r="CC443"/>
    </x:row>
    <x:row r="444" ht="115" customHeight="1">
      <x:c r="A444" s="9" t="str">
        <x:v>proposal.branch.encapsulated_conductor</x:v>
      </x:c>
      <x:c r="B444" s="9" t="str">
        <x:v>Encapsulated conductor stock</x:v>
      </x:c>
      <x:c r="C444" s="4" t="str">
        <x:v>T4</x:v>
      </x:c>
      <x:c r="D444" s="9" t="str">
        <x:v>Manufactured stock</x:v>
      </x:c>
      <x:c r="E444" s="9" t="str">
        <x:v>T4 material / component proposal</x:v>
      </x:c>
      <x:c r="F444" s="9" t="str">
        <x:v>New proposal</x:v>
      </x:c>
      <x:c r="G444" s="9" t="inlineStr">
        <x:is>
          <x:t xml:space="preserve">Prepared mixed / unresolved stock in the form of encapsulated conductor stock, intended as an input to further making or assembly. It is intended to form part of a continuous conducting path, with section, joints and protection matched to the receiving circuit.</x:t>
        </x:is>
      </x:c>
      <x:c r="H444" s="9" t="str">
        <x:v>None</x:v>
      </x:c>
      <x:c r="I444" s="9" t="str">
        <x:v>Workshop / cargo material; handling and storage unresolved</x:v>
      </x:c>
      <x:c r="J444" s="13"/>
      <x:c r="K444" s="15"/>
      <x:c r="L444" s="9" t="str">
        <x:v>Process candidate lower-tier feed; see linked recipe</x:v>
      </x:c>
      <x:c r="M444" s="9" t="str">
        <x:v>Explore enclosed conductor runs and interfaces using qualified stock.</x:v>
      </x:c>
      <x:c r="N444" s="9" t="str">
        <x:v>Not implemented</x:v>
      </x:c>
      <x:c r="O444" s="9" t="str">
        <x:v>No voltage, arc tolerance, immunity, power generation or field-enhancement capability inferred.</x:v>
      </x:c>
      <x:c r="P444" s="17"/>
      <x:c r="Q444" s="17"/>
      <x:c r="R444" s="17"/>
      <x:c r="S444" s="17"/>
      <x:c r="T444" s="17"/>
      <x:c r="U444" s="9" t="str">
        <x:v>New October 15 brainstorming. Tier is conditional on the incomplete ingredient list; no quantities, performance ratings or installed crafting behavior assigned.</x:v>
      </x:c>
      <x:c r="V444" s="11" t="str">
        <x:v>encapsulated conductor stock; t4; refined stock; electrical conduction</x:v>
      </x:c>
      <x:c r="W444" s="9" t="str">
        <x:v>New game proposal, October 15, 2026; current author request and Docs/WORLD_BASIS.md material/refinement rules. Not a retrieved source-canon claim.</x:v>
      </x:c>
      <x:c r="X444" s="4" t="str">
        <x:v>Processed material</x:v>
      </x:c>
      <x:c r="Y444" s="4" t="str">
        <x:v>Processed intermediate</x:v>
      </x:c>
      <x:c r="Z444" s="4" t="str">
        <x:v>Manufactured / unresolved</x:v>
      </x:c>
      <x:c r="AA444" s="4" t="str">
        <x:v>Electrical conduction</x:v>
      </x:c>
      <x:c r="AB444" s="4" t="str">
        <x:v>Mixed / unresolved</x:v>
      </x:c>
      <x:c r="AC444" s="4" t="str">
        <x:v>Assembly</x:v>
      </x:c>
      <x:c r="AD444" s="4" t="str">
        <x:v>Proposal</x:v>
      </x:c>
      <x:c r="AE444" s="4" t="str">
        <x:f>LOWER(A444&amp;"; "&amp;B444&amp;"; "&amp;D444&amp;"; "&amp;E444&amp;"; "&amp;X444&amp;"; "&amp;Y444&amp;"; "&amp;Z444&amp;"; "&amp;AA444&amp;"; "&amp;AB444&amp;"; "&amp;AC444&amp;"; "&amp;AD444&amp;"; "&amp;V444&amp;"; "&amp;C444&amp;"; "&amp;AH444&amp;"; "&amp;AI444)</x:f>
        <x:v>proposal.branch.encapsulated_conductor; encapsulated conductor stock; manufactured stock; t4 material / component proposal; processed material; processed intermediate; manufactured / unresolved; electrical conduction; mixed / unresolved; assembly; proposal; encapsulated conductor stock; t4; refined stock; electrical conduction; t4; not applicable; material</x:v>
      </x:c>
      <x:c r="AF444" s="4" t="str">
        <x:v>New material-tree proposal; intended application and material behavior require qualification. Lore category review: Resources -&gt; Manufactured stock. Classification only; original item status and tier retained.</x:v>
      </x:c>
      <x:c r="AG444" s="4" t="str">
        <x:v>Proposed tier: one above the highest listed material input; further ingredients may change the tier.</x:v>
      </x:c>
      <x:c r="AH444" s="4" t="str">
        <x:v>Not applicable</x:v>
      </x:c>
      <x:c r="AI444" s="4" t="str">
        <x:v>Material</x:v>
      </x:c>
      <x:c r="AJ444" s="4" t="n">
        <x:f>COUNTIFS('Material routes'!$D$6:$D$2205,A444,'Material routes'!$C$6:$C$2205,"Output")</x:f>
        <x:v>1</x:v>
      </x:c>
      <x:c r="AK444" s="4" t="n">
        <x:f>SUM(COUNTIFS('Material routes'!$D$6:$D$2205,A444,'Material routes'!$C$6:$C$2205,"Ingredient candidate"),COUNTIFS('Material routes'!$D$6:$D$2205,A444,'Material routes'!$C$6:$C$2205,"Consumed input"),COUNTIFS('Material routes'!$D$6:$D$2205,A444,'Material routes'!$C$6:$C$2205,"Contained input"),COUNTIFS('Material routes'!$D$6:$D$2205,A444,'Material routes'!$C$6:$C$2205,"Transform input"))</x:f>
        <x:v>0</x:v>
      </x:c>
      <x:c r="AL444" s="4" t="n">
        <x:f>COUNTIFS('Material routes'!$D$6:$D$2205,A444,'Material routes'!$C$6:$C$2205,"Tool candidate")</x:f>
        <x:v>0</x:v>
      </x:c>
      <x:c r="AM444" s="4" t="str">
        <x:f>IF(AJ444&gt;0,"Route listed; review status/completeness",IF(C444="T0","Raw entry feed; no production route","No production route listed"))</x:f>
        <x:v>Route listed; review status/completeness</x:v>
      </x:c>
      <x:c r="AN444" s="14" t="n">
        <x:f>IF(C444="T0",0,IF(C444="T1",1,IF(C444="T2",2,IF(C444="T3",3,IF(C444="T4",4,IF(C444="Unassigned",98,99))))))</x:f>
        <x:v>4</x:v>
      </x:c>
      <x:c r="AZ444"/>
      <x:c r="BA444"/>
      <x:c r="BB444"/>
      <x:c r="BC444"/>
      <x:c r="BD444"/>
      <x:c r="BE444"/>
      <x:c r="BF444"/>
      <x:c r="BG444"/>
      <x:c r="BH444"/>
      <x:c r="BI444"/>
      <x:c r="BJ444"/>
      <x:c r="BK444"/>
      <x:c r="BL444"/>
      <x:c r="BM444"/>
      <x:c r="BN444"/>
      <x:c r="BO444"/>
      <x:c r="BP444"/>
      <x:c r="BQ444"/>
      <x:c r="BR444"/>
      <x:c r="BS444"/>
      <x:c r="BT444"/>
      <x:c r="BU444"/>
      <x:c r="BV444"/>
      <x:c r="BW444"/>
      <x:c r="BX444"/>
      <x:c r="BY444"/>
      <x:c r="BZ444"/>
      <x:c r="CA444"/>
      <x:c r="CB444"/>
      <x:c r="CC444"/>
    </x:row>
    <x:row r="445" ht="115" customHeight="1">
      <x:c r="A445" s="9" t="str">
        <x:v>proposal.branch.optical_module</x:v>
      </x:c>
      <x:c r="B445" s="9" t="str">
        <x:v>Aligned optical subassembly</x:v>
      </x:c>
      <x:c r="C445" s="4" t="str">
        <x:v>T4</x:v>
      </x:c>
      <x:c r="D445" s="9" t="str">
        <x:v>Crafting components</x:v>
      </x:c>
      <x:c r="E445" s="9" t="str">
        <x:v>T4 material / component proposal</x:v>
      </x:c>
      <x:c r="F445" s="9" t="str">
        <x:v>New proposal</x:v>
      </x:c>
      <x:c r="G445" s="9" t="inlineStr">
        <x:is>
          <x:t xml:space="preserve">Intermediate component for later equipment: vision. It supports the positioning or preparation of a viewing element. Useful clarity, alignment or correction must be established for the actual optics.</x:t>
        </x:is>
      </x:c>
      <x:c r="H445" s="9" t="str">
        <x:v>None</x:v>
      </x:c>
      <x:c r="I445" s="9" t="str">
        <x:v>Workshop / cargo material; handling and storage unresolved</x:v>
      </x:c>
      <x:c r="J445" s="13"/>
      <x:c r="K445" s="15"/>
      <x:c r="L445" s="9" t="str">
        <x:v>Process candidate lower-tier feed; see linked recipe</x:v>
      </x:c>
      <x:c r="M445" s="9" t="str">
        <x:v>Explore a serviceable aligned viewing/instrument subassembly.</x:v>
      </x:c>
      <x:c r="N445" s="9" t="str">
        <x:v>Not implemented</x:v>
      </x:c>
      <x:c r="O445" s="9" t="str">
        <x:v>A crafting component, not a finished spectacle, laser weapon or reproduced ancient optical machine.</x:v>
      </x:c>
      <x:c r="P445" s="17"/>
      <x:c r="Q445" s="17"/>
      <x:c r="R445" s="17"/>
      <x:c r="S445" s="17"/>
      <x:c r="T445" s="17"/>
      <x:c r="U445" s="9" t="str">
        <x:v>New October 15 brainstorming. Tier is conditional on the incomplete ingredient list; no quantities, performance ratings or installed crafting behavior assigned.</x:v>
      </x:c>
      <x:c r="V445" s="11" t="str">
        <x:v>aligned optical subassembly; t4; refined stock; vision</x:v>
      </x:c>
      <x:c r="W445" s="9" t="str">
        <x:v>New game proposal, October 15, 2026; current author request and Docs/WORLD_BASIS.md material/refinement rules. Not a retrieved source-canon claim.</x:v>
      </x:c>
      <x:c r="X445" s="4" t="str">
        <x:v>Crafting component</x:v>
      </x:c>
      <x:c r="Y445" s="4" t="str">
        <x:v>Processed intermediate</x:v>
      </x:c>
      <x:c r="Z445" s="4" t="str">
        <x:v>Manufactured / unresolved</x:v>
      </x:c>
      <x:c r="AA445" s="4" t="str">
        <x:v>Vision</x:v>
      </x:c>
      <x:c r="AB445" s="4" t="str">
        <x:v>Mixed / unresolved</x:v>
      </x:c>
      <x:c r="AC445" s="4" t="str">
        <x:v>Assembly</x:v>
      </x:c>
      <x:c r="AD445" s="4" t="str">
        <x:v>Proposal</x:v>
      </x:c>
      <x:c r="AE445" s="4" t="str">
        <x:f>LOWER(A445&amp;"; "&amp;B445&amp;"; "&amp;D445&amp;"; "&amp;E445&amp;"; "&amp;X445&amp;"; "&amp;Y445&amp;"; "&amp;Z445&amp;"; "&amp;AA445&amp;"; "&amp;AB445&amp;"; "&amp;AC445&amp;"; "&amp;AD445&amp;"; "&amp;V445&amp;"; "&amp;C445&amp;"; "&amp;AH445&amp;"; "&amp;AI445)</x:f>
        <x:v>proposal.branch.optical_module; aligned optical subassembly; crafting components; t4 material / component proposal; crafting component; processed intermediate; manufactured / unresolved; vision; mixed / unresolved; assembly; proposal; aligned optical subassembly; t4; refined stock; vision; t4; not applicable; component</x:v>
      </x:c>
      <x:c r="AF445" s="4" t="str">
        <x:v>New material-tree proposal; intended application and material behavior require qualification.</x:v>
      </x:c>
      <x:c r="AG445" s="4" t="str">
        <x:v>Proposed tier: one above the highest listed material input; further ingredients may change the tier.</x:v>
      </x:c>
      <x:c r="AH445" s="4" t="str">
        <x:v>Not applicable</x:v>
      </x:c>
      <x:c r="AI445" s="4" t="str">
        <x:v>Component</x:v>
      </x:c>
      <x:c r="AJ445" s="4" t="n">
        <x:f>COUNTIFS('Material routes'!$D$6:$D$2205,A445,'Material routes'!$C$6:$C$2205,"Output")</x:f>
        <x:v>1</x:v>
      </x:c>
      <x:c r="AK445" s="4" t="n">
        <x:f>SUM(COUNTIFS('Material routes'!$D$6:$D$2205,A445,'Material routes'!$C$6:$C$2205,"Ingredient candidate"),COUNTIFS('Material routes'!$D$6:$D$2205,A445,'Material routes'!$C$6:$C$2205,"Consumed input"),COUNTIFS('Material routes'!$D$6:$D$2205,A445,'Material routes'!$C$6:$C$2205,"Contained input"),COUNTIFS('Material routes'!$D$6:$D$2205,A445,'Material routes'!$C$6:$C$2205,"Transform input"))</x:f>
        <x:v>0</x:v>
      </x:c>
      <x:c r="AL445" s="4" t="n">
        <x:f>COUNTIFS('Material routes'!$D$6:$D$2205,A445,'Material routes'!$C$6:$C$2205,"Tool candidate")</x:f>
        <x:v>0</x:v>
      </x:c>
      <x:c r="AM445" s="4" t="str">
        <x:f>IF(AJ445&gt;0,"Route listed; review status/completeness",IF(C445="T0","Raw entry feed; no production route","No production route listed"))</x:f>
        <x:v>Route listed; review status/completeness</x:v>
      </x:c>
      <x:c r="AN445" s="14" t="n">
        <x:f>IF(C445="T0",0,IF(C445="T1",1,IF(C445="T2",2,IF(C445="T3",3,IF(C445="T4",4,IF(C445="Unassigned",98,99))))))</x:f>
        <x:v>4</x:v>
      </x:c>
      <x:c r="AZ445"/>
      <x:c r="BA445"/>
      <x:c r="BB445"/>
      <x:c r="BC445"/>
      <x:c r="BD445"/>
      <x:c r="BE445"/>
      <x:c r="BF445"/>
      <x:c r="BG445"/>
      <x:c r="BH445"/>
      <x:c r="BI445"/>
      <x:c r="BJ445"/>
      <x:c r="BK445"/>
      <x:c r="BL445"/>
      <x:c r="BM445"/>
      <x:c r="BN445"/>
      <x:c r="BO445"/>
      <x:c r="BP445"/>
      <x:c r="BQ445"/>
      <x:c r="BR445"/>
      <x:c r="BS445"/>
      <x:c r="BT445"/>
      <x:c r="BU445"/>
      <x:c r="BV445"/>
      <x:c r="BW445"/>
      <x:c r="BX445"/>
      <x:c r="BY445"/>
      <x:c r="BZ445"/>
      <x:c r="CA445"/>
      <x:c r="CB445"/>
      <x:c r="CC445"/>
    </x:row>
    <x:row r="446" ht="115" customHeight="1">
      <x:c r="A446" s="9" t="str">
        <x:v>proposal.branch.sealed_casing</x:v>
      </x:c>
      <x:c r="B446" s="9" t="str">
        <x:v>Sealed composite casing stock</x:v>
      </x:c>
      <x:c r="C446" s="4" t="str">
        <x:v>T4</x:v>
      </x:c>
      <x:c r="D446" s="9" t="str">
        <x:v>Manufactured stock</x:v>
      </x:c>
      <x:c r="E446" s="9" t="str">
        <x:v>T4 material / component proposal</x:v>
      </x:c>
      <x:c r="F446" s="9" t="str">
        <x:v>New proposal</x:v>
      </x:c>
      <x:c r="G446" s="9" t="inlineStr">
        <x:is>
          <x:t xml:space="preserve">Prepared mixed / unresolved stock in the form of sealed composite casing stock, intended as an input to further making or assembly. It provides a candidate part for constructing equipment; matching interfaces and final assembly are still required.</x:t>
        </x:is>
      </x:c>
      <x:c r="H446" s="9" t="str">
        <x:v>None</x:v>
      </x:c>
      <x:c r="I446" s="9" t="str">
        <x:v>Workshop / cargo material; handling and storage unresolved</x:v>
      </x:c>
      <x:c r="J446" s="13"/>
      <x:c r="K446" s="15"/>
      <x:c r="L446" s="9" t="str">
        <x:v>Process candidate lower-tier feed; see linked recipe</x:v>
      </x:c>
      <x:c r="M446" s="9" t="str">
        <x:v>Explore a composite enclosure blank for later fitted equipment.</x:v>
      </x:c>
      <x:c r="N446" s="9" t="str">
        <x:v>Not implemented</x:v>
      </x:c>
      <x:c r="O446" s="9" t="str">
        <x:v>Seal, dust, impact and chemical compatibility remain unqualified; no finished container or pressure certification.</x:v>
      </x:c>
      <x:c r="P446" s="17"/>
      <x:c r="Q446" s="17"/>
      <x:c r="R446" s="17"/>
      <x:c r="S446" s="17"/>
      <x:c r="T446" s="17"/>
      <x:c r="U446" s="9" t="str">
        <x:v>New October 15 brainstorming. Tier is conditional on the incomplete ingredient list; no quantities, performance ratings or installed crafting behavior assigned.</x:v>
      </x:c>
      <x:c r="V446" s="11" t="str">
        <x:v>sealed composite casing stock; t4; refined stock; equipment fabrication</x:v>
      </x:c>
      <x:c r="W446" s="9" t="str">
        <x:v>New game proposal, October 15, 2026; current author request and Docs/WORLD_BASIS.md material/refinement rules. Not a retrieved source-canon claim.</x:v>
      </x:c>
      <x:c r="X446" s="4" t="str">
        <x:v>Processed material</x:v>
      </x:c>
      <x:c r="Y446" s="4" t="str">
        <x:v>Processed intermediate</x:v>
      </x:c>
      <x:c r="Z446" s="4" t="str">
        <x:v>Manufactured / unresolved</x:v>
      </x:c>
      <x:c r="AA446" s="4" t="str">
        <x:v>Equipment fabrication</x:v>
      </x:c>
      <x:c r="AB446" s="4" t="str">
        <x:v>Mixed / unresolved</x:v>
      </x:c>
      <x:c r="AC446" s="4" t="str">
        <x:v>Assembly</x:v>
      </x:c>
      <x:c r="AD446" s="4" t="str">
        <x:v>Proposal</x:v>
      </x:c>
      <x:c r="AE446" s="4" t="str">
        <x:f>LOWER(A446&amp;"; "&amp;B446&amp;"; "&amp;D446&amp;"; "&amp;E446&amp;"; "&amp;X446&amp;"; "&amp;Y446&amp;"; "&amp;Z446&amp;"; "&amp;AA446&amp;"; "&amp;AB446&amp;"; "&amp;AC446&amp;"; "&amp;AD446&amp;"; "&amp;V446&amp;"; "&amp;C446&amp;"; "&amp;AH446&amp;"; "&amp;AI446)</x:f>
        <x:v>proposal.branch.sealed_casing; sealed composite casing stock; manufactured stock; t4 material / component proposal; processed material; processed intermediate; manufactured / unresolved; equipment fabrication; mixed / unresolved; assembly; proposal; sealed composite casing stock; t4; refined stock; equipment fabrication; t4; not applicable; material</x:v>
      </x:c>
      <x:c r="AF446" s="4" t="str">
        <x:v>New material-tree proposal; intended application and material behavior require qualification. Lore category review: Resources -&gt; Manufactured stock. Classification only; original item status and tier retained.</x:v>
      </x:c>
      <x:c r="AG446" s="4" t="str">
        <x:v>Proposed tier: one above the highest listed material input; further ingredients may change the tier.</x:v>
      </x:c>
      <x:c r="AH446" s="4" t="str">
        <x:v>Not applicable</x:v>
      </x:c>
      <x:c r="AI446" s="4" t="str">
        <x:v>Material</x:v>
      </x:c>
      <x:c r="AJ446" s="4" t="n">
        <x:f>COUNTIFS('Material routes'!$D$6:$D$2205,A446,'Material routes'!$C$6:$C$2205,"Output")</x:f>
        <x:v>1</x:v>
      </x:c>
      <x:c r="AK446" s="4" t="n">
        <x:f>SUM(COUNTIFS('Material routes'!$D$6:$D$2205,A446,'Material routes'!$C$6:$C$2205,"Ingredient candidate"),COUNTIFS('Material routes'!$D$6:$D$2205,A446,'Material routes'!$C$6:$C$2205,"Consumed input"),COUNTIFS('Material routes'!$D$6:$D$2205,A446,'Material routes'!$C$6:$C$2205,"Contained input"),COUNTIFS('Material routes'!$D$6:$D$2205,A446,'Material routes'!$C$6:$C$2205,"Transform input"))</x:f>
        <x:v>0</x:v>
      </x:c>
      <x:c r="AL446" s="4" t="n">
        <x:f>COUNTIFS('Material routes'!$D$6:$D$2205,A446,'Material routes'!$C$6:$C$2205,"Tool candidate")</x:f>
        <x:v>0</x:v>
      </x:c>
      <x:c r="AM446" s="4" t="str">
        <x:f>IF(AJ446&gt;0,"Route listed; review status/completeness",IF(C446="T0","Raw entry feed; no production route","No production route listed"))</x:f>
        <x:v>Route listed; review status/completeness</x:v>
      </x:c>
      <x:c r="AN446" s="14" t="n">
        <x:f>IF(C446="T0",0,IF(C446="T1",1,IF(C446="T2",2,IF(C446="T3",3,IF(C446="T4",4,IF(C446="Unassigned",98,99))))))</x:f>
        <x:v>4</x:v>
      </x:c>
      <x:c r="AZ446"/>
      <x:c r="BA446"/>
      <x:c r="BB446"/>
      <x:c r="BC446"/>
      <x:c r="BD446"/>
      <x:c r="BE446"/>
      <x:c r="BF446"/>
      <x:c r="BG446"/>
      <x:c r="BH446"/>
      <x:c r="BI446"/>
      <x:c r="BJ446"/>
      <x:c r="BK446"/>
      <x:c r="BL446"/>
      <x:c r="BM446"/>
      <x:c r="BN446"/>
      <x:c r="BO446"/>
      <x:c r="BP446"/>
      <x:c r="BQ446"/>
      <x:c r="BR446"/>
      <x:c r="BS446"/>
      <x:c r="BT446"/>
      <x:c r="BU446"/>
      <x:c r="BV446"/>
      <x:c r="BW446"/>
      <x:c r="BX446"/>
      <x:c r="BY446"/>
      <x:c r="BZ446"/>
      <x:c r="CA446"/>
      <x:c r="CB446"/>
      <x:c r="CC446"/>
    </x:row>
    <x:row r="447" ht="115" customHeight="1">
      <x:c r="A447" s="9" t="str">
        <x:v>proposal.branch.spring_pack</x:v>
      </x:c>
      <x:c r="B447" s="9" t="str">
        <x:v>Preloaded spring subassembly</x:v>
      </x:c>
      <x:c r="C447" s="4" t="str">
        <x:v>T4</x:v>
      </x:c>
      <x:c r="D447" s="9" t="str">
        <x:v>Crafting components</x:v>
      </x:c>
      <x:c r="E447" s="9" t="str">
        <x:v>T4 material / component proposal</x:v>
      </x:c>
      <x:c r="F447" s="9" t="str">
        <x:v>New proposal</x:v>
      </x:c>
      <x:c r="G447" s="9" t="inlineStr">
        <x:is>
          <x:t xml:space="preserve">Intermediate component for later equipment: machinery repair. It is intended to replace, support or service a matching machine part; useful fit depends on the host mechanism.</x:t>
        </x:is>
      </x:c>
      <x:c r="H447" s="9" t="str">
        <x:v>None</x:v>
      </x:c>
      <x:c r="I447" s="9" t="str">
        <x:v>Workshop / cargo material; handling and storage unresolved</x:v>
      </x:c>
      <x:c r="J447" s="13"/>
      <x:c r="K447" s="15"/>
      <x:c r="L447" s="9" t="str">
        <x:v>Process candidate lower-tier feed; see linked recipe</x:v>
      </x:c>
      <x:c r="M447" s="9" t="str">
        <x:v>Explore matched spring elements as a later machine component.</x:v>
      </x:c>
      <x:c r="N447" s="9" t="str">
        <x:v>Not implemented</x:v>
      </x:c>
      <x:c r="O447" s="9" t="str">
        <x:v>Preload, fatigue, lubrication, geometry and actual Legger/vehicle compatibility remain undefined.</x:v>
      </x:c>
      <x:c r="P447" s="17"/>
      <x:c r="Q447" s="17"/>
      <x:c r="R447" s="17"/>
      <x:c r="S447" s="17"/>
      <x:c r="T447" s="17"/>
      <x:c r="U447" s="9" t="str">
        <x:v>New October 15 brainstorming. Tier is conditional on the incomplete ingredient list; no quantities, performance ratings or installed crafting behavior assigned.</x:v>
      </x:c>
      <x:c r="V447" s="11" t="str">
        <x:v>preloaded spring subassembly; t4; refined stock; machinery repair</x:v>
      </x:c>
      <x:c r="W447" s="9" t="str">
        <x:v>New game proposal, October 15, 2026; current author request and Docs/WORLD_BASIS.md material/refinement rules. Not a retrieved source-canon claim.</x:v>
      </x:c>
      <x:c r="X447" s="4" t="str">
        <x:v>Crafting component</x:v>
      </x:c>
      <x:c r="Y447" s="4" t="str">
        <x:v>Processed intermediate</x:v>
      </x:c>
      <x:c r="Z447" s="4" t="str">
        <x:v>Manufactured / unresolved</x:v>
      </x:c>
      <x:c r="AA447" s="4" t="str">
        <x:v>Machinery repair</x:v>
      </x:c>
      <x:c r="AB447" s="4" t="str">
        <x:v>Mixed / unresolved</x:v>
      </x:c>
      <x:c r="AC447" s="4" t="str">
        <x:v>Assembly</x:v>
      </x:c>
      <x:c r="AD447" s="4" t="str">
        <x:v>Proposal</x:v>
      </x:c>
      <x:c r="AE447" s="4" t="str">
        <x:f>LOWER(A447&amp;"; "&amp;B447&amp;"; "&amp;D447&amp;"; "&amp;E447&amp;"; "&amp;X447&amp;"; "&amp;Y447&amp;"; "&amp;Z447&amp;"; "&amp;AA447&amp;"; "&amp;AB447&amp;"; "&amp;AC447&amp;"; "&amp;AD447&amp;"; "&amp;V447&amp;"; "&amp;C447&amp;"; "&amp;AH447&amp;"; "&amp;AI447)</x:f>
        <x:v>proposal.branch.spring_pack; preloaded spring subassembly; crafting components; t4 material / component proposal; crafting component; processed intermediate; manufactured / unresolved; machinery repair; mixed / unresolved; assembly; proposal; preloaded spring subassembly; t4; refined stock; machinery repair; t4; not applicable; component</x:v>
      </x:c>
      <x:c r="AF447" s="4" t="str">
        <x:v>New material-tree proposal; intended application and material behavior require qualification.</x:v>
      </x:c>
      <x:c r="AG447" s="4" t="str">
        <x:v>Proposed tier: one above the highest listed material input; further ingredients may change the tier.</x:v>
      </x:c>
      <x:c r="AH447" s="4" t="str">
        <x:v>Not applicable</x:v>
      </x:c>
      <x:c r="AI447" s="4" t="str">
        <x:v>Component</x:v>
      </x:c>
      <x:c r="AJ447" s="4" t="n">
        <x:f>COUNTIFS('Material routes'!$D$6:$D$2205,A447,'Material routes'!$C$6:$C$2205,"Output")</x:f>
        <x:v>1</x:v>
      </x:c>
      <x:c r="AK447" s="4" t="n">
        <x:f>SUM(COUNTIFS('Material routes'!$D$6:$D$2205,A447,'Material routes'!$C$6:$C$2205,"Ingredient candidate"),COUNTIFS('Material routes'!$D$6:$D$2205,A447,'Material routes'!$C$6:$C$2205,"Consumed input"),COUNTIFS('Material routes'!$D$6:$D$2205,A447,'Material routes'!$C$6:$C$2205,"Contained input"),COUNTIFS('Material routes'!$D$6:$D$2205,A447,'Material routes'!$C$6:$C$2205,"Transform input"))</x:f>
        <x:v>0</x:v>
      </x:c>
      <x:c r="AL447" s="4" t="n">
        <x:f>COUNTIFS('Material routes'!$D$6:$D$2205,A447,'Material routes'!$C$6:$C$2205,"Tool candidate")</x:f>
        <x:v>0</x:v>
      </x:c>
      <x:c r="AM447" s="4" t="str">
        <x:f>IF(AJ447&gt;0,"Route listed; review status/completeness",IF(C447="T0","Raw entry feed; no production route","No production route listed"))</x:f>
        <x:v>Route listed; review status/completeness</x:v>
      </x:c>
      <x:c r="AN447" s="14" t="n">
        <x:f>IF(C447="T0",0,IF(C447="T1",1,IF(C447="T2",2,IF(C447="T3",3,IF(C447="T4",4,IF(C447="Unassigned",98,99))))))</x:f>
        <x:v>4</x:v>
      </x:c>
      <x:c r="AZ447"/>
      <x:c r="BA447"/>
      <x:c r="BB447"/>
      <x:c r="BC447"/>
      <x:c r="BD447"/>
      <x:c r="BE447"/>
      <x:c r="BF447"/>
      <x:c r="BG447"/>
      <x:c r="BH447"/>
      <x:c r="BI447"/>
      <x:c r="BJ447"/>
      <x:c r="BK447"/>
      <x:c r="BL447"/>
      <x:c r="BM447"/>
      <x:c r="BN447"/>
      <x:c r="BO447"/>
      <x:c r="BP447"/>
      <x:c r="BQ447"/>
      <x:c r="BR447"/>
      <x:c r="BS447"/>
      <x:c r="BT447"/>
      <x:c r="BU447"/>
      <x:c r="BV447"/>
      <x:c r="BW447"/>
      <x:c r="BX447"/>
      <x:c r="BY447"/>
      <x:c r="BZ447"/>
      <x:c r="CA447"/>
      <x:c r="CB447"/>
      <x:c r="CC447"/>
    </x:row>
    <x:row r="448" ht="115" customHeight="1">
      <x:c r="A448" s="9" t="str">
        <x:v>proposal.t3.gear_blank</x:v>
      </x:c>
      <x:c r="B448" s="9" t="str">
        <x:v>Heat-treated steel gear blanks</x:v>
      </x:c>
      <x:c r="C448" s="4" t="str">
        <x:v>T3</x:v>
      </x:c>
      <x:c r="D448" s="9" t="str">
        <x:v>Crafting components</x:v>
      </x:c>
      <x:c r="E448" s="9" t="str">
        <x:v>T3 specialist stock / component proposal</x:v>
      </x:c>
      <x:c r="F448" s="9" t="str">
        <x:v>New proposal</x:v>
      </x:c>
      <x:c r="G448" s="9" t="str">
        <x:v>Prepared intermediate for machinery repair. T4 opportunity: Matched drive subassembly; tooth form, load, bearings and fit still needed.</x:v>
      </x:c>
      <x:c r="H448" s="9" t="str">
        <x:v>None</x:v>
      </x:c>
      <x:c r="I448" s="9" t="str">
        <x:v>Workshop / cargo stock; storage and handling unresolved</x:v>
      </x:c>
      <x:c r="J448" s="13"/>
      <x:c r="K448" s="15"/>
      <x:c r="L448" s="9" t="str">
        <x:v>Manufacture from listed T2 feedstocks; see linked recipe</x:v>
      </x:c>
      <x:c r="M448" s="9" t="str">
        <x:v>Shape and heat-treat selected steel blanks for later tooth cutting; treatment medium and furnace conditions unresolved.</x:v>
      </x:c>
      <x:c r="N448" s="9" t="str">
        <x:v>Not implemented</x:v>
      </x:c>
      <x:c r="O448" s="9" t="str">
        <x:v>Partial proposal; quantities, tools, process conditions, yields and performance remain open. Matched drive subassembly; tooth form, load, bearings and fit still needed.</x:v>
      </x:c>
      <x:c r="P448" s="17"/>
      <x:c r="Q448" s="17"/>
      <x:c r="R448" s="17"/>
      <x:c r="S448" s="17"/>
      <x:c r="T448" s="17"/>
      <x:c r="U448" s="9" t="str">
        <x:v>T3 stock can also feed a finished item directly; no mandatory T4 step. Future assembly is a planning idea, not an added T4 recipe.</x:v>
      </x:c>
      <x:c r="V448" s="11" t="str">
        <x:v>heat-treated steel gear blanks; tier three; machinery repair</x:v>
      </x:c>
      <x:c r="W448" s="9" t="str">
        <x:v>New October 15 game brainstorming; current author request and Docs/WORLD_BASIS.md. Not retrieved source canon.</x:v>
      </x:c>
      <x:c r="X448" s="4" t="str">
        <x:v>Crafting component</x:v>
      </x:c>
      <x:c r="Y448" s="4" t="str">
        <x:v>Processed intermediate</x:v>
      </x:c>
      <x:c r="Z448" s="4" t="str">
        <x:v>Manufactured / unresolved</x:v>
      </x:c>
      <x:c r="AA448" s="4" t="str">
        <x:v>Machinery repair</x:v>
      </x:c>
      <x:c r="AB448" s="4" t="str">
        <x:v>Metal</x:v>
      </x:c>
      <x:c r="AC448" s="4" t="str">
        <x:v>Solid part</x:v>
      </x:c>
      <x:c r="AD448" s="4" t="str">
        <x:v>Proposal</x:v>
      </x:c>
      <x:c r="AE448" s="4" t="str">
        <x:f>LOWER(A448&amp;"; "&amp;B448&amp;"; "&amp;D448&amp;"; "&amp;E448&amp;"; "&amp;X448&amp;"; "&amp;Y448&amp;"; "&amp;Z448&amp;"; "&amp;AA448&amp;"; "&amp;AB448&amp;"; "&amp;AC448&amp;"; "&amp;AD448&amp;"; "&amp;V448&amp;"; "&amp;C448&amp;"; "&amp;AH448&amp;"; "&amp;AI448)</x:f>
        <x:v>proposal.t3.gear_blank; heat-treated steel gear blanks; crafting components; t3 specialist stock / component proposal; crafting component; processed intermediate; manufactured / unresolved; machinery repair; metal; solid part; proposal; heat-treated steel gear blanks; tier three; machinery repair; t3; not applicable; component</x:v>
      </x:c>
      <x:c r="AF448" s="4" t="str">
        <x:v>New intended workshop role; actual performance requires qualification.</x:v>
      </x:c>
      <x:c r="AG448" s="4" t="str">
        <x:v>Proposed T3: one stage above highest listed T2 ingredient; partial recipe may change.</x:v>
      </x:c>
      <x:c r="AH448" s="4" t="str">
        <x:v>Not applicable</x:v>
      </x:c>
      <x:c r="AI448" s="4" t="str">
        <x:v>Component</x:v>
      </x:c>
      <x:c r="AJ448" s="4" t="n">
        <x:f>COUNTIFS('Material routes'!$D$6:$D$2205,A448,'Material routes'!$C$6:$C$2205,"Output")</x:f>
        <x:v>1</x:v>
      </x:c>
      <x:c r="AK448" s="4" t="n">
        <x:f>SUM(COUNTIFS('Material routes'!$D$6:$D$2205,A448,'Material routes'!$C$6:$C$2205,"Ingredient candidate"),COUNTIFS('Material routes'!$D$6:$D$2205,A448,'Material routes'!$C$6:$C$2205,"Consumed input"),COUNTIFS('Material routes'!$D$6:$D$2205,A448,'Material routes'!$C$6:$C$2205,"Contained input"),COUNTIFS('Material routes'!$D$6:$D$2205,A448,'Material routes'!$C$6:$C$2205,"Transform input"))</x:f>
        <x:v>4</x:v>
      </x:c>
      <x:c r="AL448" s="4" t="n">
        <x:f>COUNTIFS('Material routes'!$D$6:$D$2205,A448,'Material routes'!$C$6:$C$2205,"Tool candidate")</x:f>
        <x:v>0</x:v>
      </x:c>
      <x:c r="AM448" s="4" t="str">
        <x:f>IF(AJ448&gt;0,"Route listed; review status/completeness",IF(C448="T0","Raw entry feed; no production route","No production route listed"))</x:f>
        <x:v>Route listed; review status/completeness</x:v>
      </x:c>
      <x:c r="AN448" s="14" t="n">
        <x:f>IF(C448="T0",0,IF(C448="T1",1,IF(C448="T2",2,IF(C448="T3",3,IF(C448="T4",4,IF(C448="Unassigned",98,99))))))</x:f>
        <x:v>3</x:v>
      </x:c>
      <x:c r="AZ448"/>
      <x:c r="BA448"/>
      <x:c r="BB448"/>
      <x:c r="BC448"/>
      <x:c r="BD448"/>
      <x:c r="BE448"/>
      <x:c r="BF448"/>
      <x:c r="BG448"/>
      <x:c r="BH448"/>
      <x:c r="BI448"/>
      <x:c r="BJ448"/>
      <x:c r="BK448"/>
      <x:c r="BL448"/>
      <x:c r="BM448"/>
      <x:c r="BN448"/>
      <x:c r="BO448"/>
      <x:c r="BP448"/>
      <x:c r="BQ448"/>
      <x:c r="BR448"/>
      <x:c r="BS448"/>
      <x:c r="BT448"/>
      <x:c r="BU448"/>
      <x:c r="BV448"/>
      <x:c r="BW448"/>
      <x:c r="BX448"/>
      <x:c r="BY448"/>
      <x:c r="BZ448"/>
      <x:c r="CA448"/>
      <x:c r="CB448"/>
      <x:c r="CC448"/>
    </x:row>
    <x:row r="449" ht="115" customHeight="1">
      <x:c r="A449" s="9" t="str">
        <x:v>proposal.t3.bearing_blank</x:v>
      </x:c>
      <x:c r="B449" s="9" t="str">
        <x:v>Lapped bronze bearing blanks</x:v>
      </x:c>
      <x:c r="C449" s="4" t="str">
        <x:v>T3</x:v>
      </x:c>
      <x:c r="D449" s="9" t="str">
        <x:v>Crafting components</x:v>
      </x:c>
      <x:c r="E449" s="9" t="str">
        <x:v>T3 specialist stock / component proposal</x:v>
      </x:c>
      <x:c r="F449" s="9" t="str">
        <x:v>New proposal</x:v>
      </x:c>
      <x:c r="G449" s="9" t="str">
        <x:v>Prepared intermediate for machinery repair. T4 opportunity: Matched bearing cartridge for a dirtboard hub or machine joint; these require separate sizes.</x:v>
      </x:c>
      <x:c r="H449" s="9" t="str">
        <x:v>None</x:v>
      </x:c>
      <x:c r="I449" s="9" t="str">
        <x:v>Workshop / cargo stock; storage and handling unresolved</x:v>
      </x:c>
      <x:c r="J449" s="13"/>
      <x:c r="K449" s="15"/>
      <x:c r="L449" s="9" t="str">
        <x:v>Manufacture from listed T2 feedstocks; see linked recipe</x:v>
      </x:c>
      <x:c r="M449" s="9" t="str">
        <x:v>Machine and finish identified bearing stock; mating surfaces and lubrication require design.</x:v>
      </x:c>
      <x:c r="N449" s="9" t="str">
        <x:v>Not implemented</x:v>
      </x:c>
      <x:c r="O449" s="9" t="str">
        <x:v>Partial proposal; quantities, tools, process conditions, yields and performance remain open. Matched bearing cartridge for a dirtboard hub or machine joint; these require separate sizes.</x:v>
      </x:c>
      <x:c r="P449" s="17"/>
      <x:c r="Q449" s="17"/>
      <x:c r="R449" s="17"/>
      <x:c r="S449" s="17"/>
      <x:c r="T449" s="17"/>
      <x:c r="U449" s="9" t="str">
        <x:v>T3 stock can also feed a finished item directly; no mandatory T4 step. Future assembly is a planning idea, not an added T4 recipe.</x:v>
      </x:c>
      <x:c r="V449" s="11" t="str">
        <x:v>lapped bronze bearing blanks; tier three; machinery repair</x:v>
      </x:c>
      <x:c r="W449" s="9" t="str">
        <x:v>New October 15 game brainstorming; current author request and Docs/WORLD_BASIS.md. Not retrieved source canon.</x:v>
      </x:c>
      <x:c r="X449" s="4" t="str">
        <x:v>Crafting component</x:v>
      </x:c>
      <x:c r="Y449" s="4" t="str">
        <x:v>Processed intermediate</x:v>
      </x:c>
      <x:c r="Z449" s="4" t="str">
        <x:v>Manufactured / unresolved</x:v>
      </x:c>
      <x:c r="AA449" s="4" t="str">
        <x:v>Machinery repair</x:v>
      </x:c>
      <x:c r="AB449" s="4" t="str">
        <x:v>Metal</x:v>
      </x:c>
      <x:c r="AC449" s="4" t="str">
        <x:v>Solid part</x:v>
      </x:c>
      <x:c r="AD449" s="4" t="str">
        <x:v>Proposal</x:v>
      </x:c>
      <x:c r="AE449" s="4" t="str">
        <x:f>LOWER(A449&amp;"; "&amp;B449&amp;"; "&amp;D449&amp;"; "&amp;E449&amp;"; "&amp;X449&amp;"; "&amp;Y449&amp;"; "&amp;Z449&amp;"; "&amp;AA449&amp;"; "&amp;AB449&amp;"; "&amp;AC449&amp;"; "&amp;AD449&amp;"; "&amp;V449&amp;"; "&amp;C449&amp;"; "&amp;AH449&amp;"; "&amp;AI449)</x:f>
        <x:v>proposal.t3.bearing_blank; lapped bronze bearing blanks; crafting components; t3 specialist stock / component proposal; crafting component; processed intermediate; manufactured / unresolved; machinery repair; metal; solid part; proposal; lapped bronze bearing blanks; tier three; machinery repair; t3; not applicable; component</x:v>
      </x:c>
      <x:c r="AF449" s="4" t="str">
        <x:v>New intended workshop role; actual performance requires qualification.</x:v>
      </x:c>
      <x:c r="AG449" s="4" t="str">
        <x:v>Proposed T3: one stage above highest listed T2 ingredient; partial recipe may change.</x:v>
      </x:c>
      <x:c r="AH449" s="4" t="str">
        <x:v>Not applicable</x:v>
      </x:c>
      <x:c r="AI449" s="4" t="str">
        <x:v>Component</x:v>
      </x:c>
      <x:c r="AJ449" s="4" t="n">
        <x:f>COUNTIFS('Material routes'!$D$6:$D$2205,A449,'Material routes'!$C$6:$C$2205,"Output")</x:f>
        <x:v>1</x:v>
      </x:c>
      <x:c r="AK449" s="4" t="n">
        <x:f>SUM(COUNTIFS('Material routes'!$D$6:$D$2205,A449,'Material routes'!$C$6:$C$2205,"Ingredient candidate"),COUNTIFS('Material routes'!$D$6:$D$2205,A449,'Material routes'!$C$6:$C$2205,"Consumed input"),COUNTIFS('Material routes'!$D$6:$D$2205,A449,'Material routes'!$C$6:$C$2205,"Contained input"),COUNTIFS('Material routes'!$D$6:$D$2205,A449,'Material routes'!$C$6:$C$2205,"Transform input"))</x:f>
        <x:v>9</x:v>
      </x:c>
      <x:c r="AL449" s="4" t="n">
        <x:f>COUNTIFS('Material routes'!$D$6:$D$2205,A449,'Material routes'!$C$6:$C$2205,"Tool candidate")</x:f>
        <x:v>0</x:v>
      </x:c>
      <x:c r="AM449" s="4" t="str">
        <x:f>IF(AJ449&gt;0,"Route listed; review status/completeness",IF(C449="T0","Raw entry feed; no production route","No production route listed"))</x:f>
        <x:v>Route listed; review status/completeness</x:v>
      </x:c>
      <x:c r="AN449" s="14" t="n">
        <x:f>IF(C449="T0",0,IF(C449="T1",1,IF(C449="T2",2,IF(C449="T3",3,IF(C449="T4",4,IF(C449="Unassigned",98,99))))))</x:f>
        <x:v>3</x:v>
      </x:c>
      <x:c r="AZ449"/>
      <x:c r="BA449"/>
      <x:c r="BB449"/>
      <x:c r="BC449"/>
      <x:c r="BD449"/>
      <x:c r="BE449"/>
      <x:c r="BF449"/>
      <x:c r="BG449"/>
      <x:c r="BH449"/>
      <x:c r="BI449"/>
      <x:c r="BJ449"/>
      <x:c r="BK449"/>
      <x:c r="BL449"/>
      <x:c r="BM449"/>
      <x:c r="BN449"/>
      <x:c r="BO449"/>
      <x:c r="BP449"/>
      <x:c r="BQ449"/>
      <x:c r="BR449"/>
      <x:c r="BS449"/>
      <x:c r="BT449"/>
      <x:c r="BU449"/>
      <x:c r="BV449"/>
      <x:c r="BW449"/>
      <x:c r="BX449"/>
      <x:c r="BY449"/>
      <x:c r="BZ449"/>
      <x:c r="CA449"/>
      <x:c r="CB449"/>
      <x:c r="CC449"/>
    </x:row>
    <x:row r="450" ht="115" customHeight="1">
      <x:c r="A450" s="9" t="str">
        <x:v>proposal.t3.precision_tube</x:v>
      </x:c>
      <x:c r="B450" s="9" t="str">
        <x:v>Drawn steel tube stock</x:v>
      </x:c>
      <x:c r="C450" s="4" t="str">
        <x:v>T3</x:v>
      </x:c>
      <x:c r="D450" s="9" t="str">
        <x:v>Manufactured stock</x:v>
      </x:c>
      <x:c r="E450" s="9" t="str">
        <x:v>T3 specialist stock / component proposal</x:v>
      </x:c>
      <x:c r="F450" s="9" t="str">
        <x:v>New proposal</x:v>
      </x:c>
      <x:c r="G450" s="9" t="str">
        <x:v>Prepared intermediate for fabrication. T4 opportunity: Sail-spar joint or valve-body subassembly; pressure and structural services need different qualification.</x:v>
      </x:c>
      <x:c r="H450" s="9" t="str">
        <x:v>None</x:v>
      </x:c>
      <x:c r="I450" s="9" t="str">
        <x:v>Workshop / cargo stock; storage and handling unresolved</x:v>
      </x:c>
      <x:c r="J450" s="13"/>
      <x:c r="K450" s="15"/>
      <x:c r="L450" s="9" t="str">
        <x:v>Manufacture from listed T2 feedstocks; see linked recipe</x:v>
      </x:c>
      <x:c r="M450" s="9" t="str">
        <x:v>Form and finish tube stock using selected tooling and service lubricant; seam route and dimensions unresolved.</x:v>
      </x:c>
      <x:c r="N450" s="9" t="str">
        <x:v>Not implemented</x:v>
      </x:c>
      <x:c r="O450" s="9" t="str">
        <x:v>Partial proposal; quantities, tools, process conditions, yields and performance remain open. Sail-spar joint or valve-body subassembly; pressure and structural services need different qualification.</x:v>
      </x:c>
      <x:c r="P450" s="17"/>
      <x:c r="Q450" s="17"/>
      <x:c r="R450" s="17"/>
      <x:c r="S450" s="17"/>
      <x:c r="T450" s="17"/>
      <x:c r="U450" s="9" t="str">
        <x:v>T3 stock can also feed a finished item directly; no mandatory T4 step. Future assembly is a planning idea, not an added T4 recipe.</x:v>
      </x:c>
      <x:c r="V450" s="11" t="str">
        <x:v>drawn steel tube stock; tier three; fabrication</x:v>
      </x:c>
      <x:c r="W450" s="9" t="str">
        <x:v>New October 15 game brainstorming; current author request and Docs/WORLD_BASIS.md. Not retrieved source canon.</x:v>
      </x:c>
      <x:c r="X450" s="4" t="str">
        <x:v>Processed material</x:v>
      </x:c>
      <x:c r="Y450" s="4" t="str">
        <x:v>Processed intermediate</x:v>
      </x:c>
      <x:c r="Z450" s="4" t="str">
        <x:v>Manufactured / unresolved</x:v>
      </x:c>
      <x:c r="AA450" s="4" t="str">
        <x:v>Fabrication</x:v>
      </x:c>
      <x:c r="AB450" s="4" t="str">
        <x:v>Metal</x:v>
      </x:c>
      <x:c r="AC450" s="4" t="str">
        <x:v>Solid part</x:v>
      </x:c>
      <x:c r="AD450" s="4" t="str">
        <x:v>Proposal</x:v>
      </x:c>
      <x:c r="AE450" s="4" t="str">
        <x:f>LOWER(A450&amp;"; "&amp;B450&amp;"; "&amp;D450&amp;"; "&amp;E450&amp;"; "&amp;X450&amp;"; "&amp;Y450&amp;"; "&amp;Z450&amp;"; "&amp;AA450&amp;"; "&amp;AB450&amp;"; "&amp;AC450&amp;"; "&amp;AD450&amp;"; "&amp;V450&amp;"; "&amp;C450&amp;"; "&amp;AH450&amp;"; "&amp;AI450)</x:f>
        <x:v>proposal.t3.precision_tube; drawn steel tube stock; manufactured stock; t3 specialist stock / component proposal; processed material; processed intermediate; manufactured / unresolved; fabrication; metal; solid part; proposal; drawn steel tube stock; tier three; fabrication; t3; not applicable; material</x:v>
      </x:c>
      <x:c r="AF450" s="4" t="str">
        <x:v>New intended workshop role; actual performance requires qualification. Lore category review: Resources -&gt; Manufactured stock. Classification only; original item status and tier retained.</x:v>
      </x:c>
      <x:c r="AG450" s="4" t="str">
        <x:v>Proposed T3: one stage above highest listed T2 ingredient; partial recipe may change.</x:v>
      </x:c>
      <x:c r="AH450" s="4" t="str">
        <x:v>Not applicable</x:v>
      </x:c>
      <x:c r="AI450" s="4" t="str">
        <x:v>Material</x:v>
      </x:c>
      <x:c r="AJ450" s="4" t="n">
        <x:f>COUNTIFS('Material routes'!$D$6:$D$2205,A450,'Material routes'!$C$6:$C$2205,"Output")</x:f>
        <x:v>1</x:v>
      </x:c>
      <x:c r="AK450" s="4" t="n">
        <x:f>SUM(COUNTIFS('Material routes'!$D$6:$D$2205,A450,'Material routes'!$C$6:$C$2205,"Ingredient candidate"),COUNTIFS('Material routes'!$D$6:$D$2205,A450,'Material routes'!$C$6:$C$2205,"Consumed input"),COUNTIFS('Material routes'!$D$6:$D$2205,A450,'Material routes'!$C$6:$C$2205,"Contained input"),COUNTIFS('Material routes'!$D$6:$D$2205,A450,'Material routes'!$C$6:$C$2205,"Transform input"))</x:f>
        <x:v>25</x:v>
      </x:c>
      <x:c r="AL450" s="4" t="n">
        <x:f>COUNTIFS('Material routes'!$D$6:$D$2205,A450,'Material routes'!$C$6:$C$2205,"Tool candidate")</x:f>
        <x:v>0</x:v>
      </x:c>
      <x:c r="AM450" s="4" t="str">
        <x:f>IF(AJ450&gt;0,"Route listed; review status/completeness",IF(C450="T0","Raw entry feed; no production route","No production route listed"))</x:f>
        <x:v>Route listed; review status/completeness</x:v>
      </x:c>
      <x:c r="AN450" s="14" t="n">
        <x:f>IF(C450="T0",0,IF(C450="T1",1,IF(C450="T2",2,IF(C450="T3",3,IF(C450="T4",4,IF(C450="Unassigned",98,99))))))</x:f>
        <x:v>3</x:v>
      </x:c>
      <x:c r="AZ450"/>
      <x:c r="BA450"/>
      <x:c r="BB450"/>
      <x:c r="BC450"/>
      <x:c r="BD450"/>
      <x:c r="BE450"/>
      <x:c r="BF450"/>
      <x:c r="BG450"/>
      <x:c r="BH450"/>
      <x:c r="BI450"/>
      <x:c r="BJ450"/>
      <x:c r="BK450"/>
      <x:c r="BL450"/>
      <x:c r="BM450"/>
      <x:c r="BN450"/>
      <x:c r="BO450"/>
      <x:c r="BP450"/>
      <x:c r="BQ450"/>
      <x:c r="BR450"/>
      <x:c r="BS450"/>
      <x:c r="BT450"/>
      <x:c r="BU450"/>
      <x:c r="BV450"/>
      <x:c r="BW450"/>
      <x:c r="BX450"/>
      <x:c r="BY450"/>
      <x:c r="BZ450"/>
      <x:c r="CA450"/>
      <x:c r="CB450"/>
      <x:c r="CC450"/>
    </x:row>
    <x:row r="451" ht="115" customHeight="1">
      <x:c r="A451" s="9" t="str">
        <x:v>proposal.t3.grounding_braid</x:v>
      </x:c>
      <x:c r="B451" s="9" t="str">
        <x:v>Braided copper grounding stock</x:v>
      </x:c>
      <x:c r="C451" s="4" t="str">
        <x:v>T3</x:v>
      </x:c>
      <x:c r="D451" s="9" t="str">
        <x:v>Manufactured stock</x:v>
      </x:c>
      <x:c r="E451" s="9" t="str">
        <x:v>T3 specialist stock / component proposal</x:v>
      </x:c>
      <x:c r="F451" s="9" t="str">
        <x:v>New proposal</x:v>
      </x:c>
      <x:c r="G451" s="9" t="str">
        <x:v>Prepared intermediate for electrical conduction. T4 opportunity: Grounding lead subassembly with fitted terminals; grounding never implies insulation or storm immunity.</x:v>
      </x:c>
      <x:c r="H451" s="9" t="str">
        <x:v>None</x:v>
      </x:c>
      <x:c r="I451" s="9" t="str">
        <x:v>Workshop / cargo stock; storage and handling unresolved</x:v>
      </x:c>
      <x:c r="J451" s="13"/>
      <x:c r="K451" s="15"/>
      <x:c r="L451" s="9" t="str">
        <x:v>Manufacture from listed T2 feedstocks; see linked recipe</x:v>
      </x:c>
      <x:c r="M451" s="9" t="str">
        <x:v>Combine and braid drawn copper strands; strand production and terminal attachment remain open.</x:v>
      </x:c>
      <x:c r="N451" s="9" t="str">
        <x:v>Not implemented</x:v>
      </x:c>
      <x:c r="O451" s="9" t="str">
        <x:v>Partial proposal; quantities, tools, process conditions, yields and performance remain open. Grounding lead subassembly with fitted terminals; grounding never implies insulation or storm immunity.</x:v>
      </x:c>
      <x:c r="P451" s="17"/>
      <x:c r="Q451" s="17"/>
      <x:c r="R451" s="17"/>
      <x:c r="S451" s="17"/>
      <x:c r="T451" s="17"/>
      <x:c r="U451" s="9" t="str">
        <x:v>T3 stock can also feed a finished item directly; no mandatory T4 step. Future assembly is a planning idea, not an added T4 recipe.</x:v>
      </x:c>
      <x:c r="V451" s="11" t="str">
        <x:v>braided copper grounding stock; tier three; electrical conduction</x:v>
      </x:c>
      <x:c r="W451" s="9" t="str">
        <x:v>New October 15 game brainstorming; current author request and Docs/WORLD_BASIS.md. Not retrieved source canon.</x:v>
      </x:c>
      <x:c r="X451" s="4" t="str">
        <x:v>Processed material</x:v>
      </x:c>
      <x:c r="Y451" s="4" t="str">
        <x:v>Processed intermediate</x:v>
      </x:c>
      <x:c r="Z451" s="4" t="str">
        <x:v>Manufactured / unresolved</x:v>
      </x:c>
      <x:c r="AA451" s="4" t="str">
        <x:v>Electrical conduction</x:v>
      </x:c>
      <x:c r="AB451" s="4" t="str">
        <x:v>Metal</x:v>
      </x:c>
      <x:c r="AC451" s="4" t="str">
        <x:v>Cord</x:v>
      </x:c>
      <x:c r="AD451" s="4" t="str">
        <x:v>Proposal</x:v>
      </x:c>
      <x:c r="AE451" s="4" t="str">
        <x:f>LOWER(A451&amp;"; "&amp;B451&amp;"; "&amp;D451&amp;"; "&amp;E451&amp;"; "&amp;X451&amp;"; "&amp;Y451&amp;"; "&amp;Z451&amp;"; "&amp;AA451&amp;"; "&amp;AB451&amp;"; "&amp;AC451&amp;"; "&amp;AD451&amp;"; "&amp;V451&amp;"; "&amp;C451&amp;"; "&amp;AH451&amp;"; "&amp;AI451)</x:f>
        <x:v>proposal.t3.grounding_braid; braided copper grounding stock; manufactured stock; t3 specialist stock / component proposal; processed material; processed intermediate; manufactured / unresolved; electrical conduction; metal; cord; proposal; braided copper grounding stock; tier three; electrical conduction; t3; not applicable; material</x:v>
      </x:c>
      <x:c r="AF451" s="4" t="str">
        <x:v>New intended workshop role; actual performance requires qualification. Lore category review: Resources -&gt; Manufactured stock. Classification only; original item status and tier retained.</x:v>
      </x:c>
      <x:c r="AG451" s="4" t="str">
        <x:v>Proposed T3: one stage above highest listed T2 ingredient; partial recipe may change.</x:v>
      </x:c>
      <x:c r="AH451" s="4" t="str">
        <x:v>Not applicable</x:v>
      </x:c>
      <x:c r="AI451" s="4" t="str">
        <x:v>Material</x:v>
      </x:c>
      <x:c r="AJ451" s="4" t="n">
        <x:f>COUNTIFS('Material routes'!$D$6:$D$2205,A451,'Material routes'!$C$6:$C$2205,"Output")</x:f>
        <x:v>1</x:v>
      </x:c>
      <x:c r="AK451" s="4" t="n">
        <x:f>SUM(COUNTIFS('Material routes'!$D$6:$D$2205,A451,'Material routes'!$C$6:$C$2205,"Ingredient candidate"),COUNTIFS('Material routes'!$D$6:$D$2205,A451,'Material routes'!$C$6:$C$2205,"Consumed input"),COUNTIFS('Material routes'!$D$6:$D$2205,A451,'Material routes'!$C$6:$C$2205,"Contained input"),COUNTIFS('Material routes'!$D$6:$D$2205,A451,'Material routes'!$C$6:$C$2205,"Transform input"))</x:f>
        <x:v>1</x:v>
      </x:c>
      <x:c r="AL451" s="4" t="n">
        <x:f>COUNTIFS('Material routes'!$D$6:$D$2205,A451,'Material routes'!$C$6:$C$2205,"Tool candidate")</x:f>
        <x:v>0</x:v>
      </x:c>
      <x:c r="AM451" s="4" t="str">
        <x:f>IF(AJ451&gt;0,"Route listed; review status/completeness",IF(C451="T0","Raw entry feed; no production route","No production route listed"))</x:f>
        <x:v>Route listed; review status/completeness</x:v>
      </x:c>
      <x:c r="AN451" s="14" t="n">
        <x:f>IF(C451="T0",0,IF(C451="T1",1,IF(C451="T2",2,IF(C451="T3",3,IF(C451="T4",4,IF(C451="Unassigned",98,99))))))</x:f>
        <x:v>3</x:v>
      </x:c>
      <x:c r="AZ451"/>
      <x:c r="BA451"/>
      <x:c r="BB451"/>
      <x:c r="BC451"/>
      <x:c r="BD451"/>
      <x:c r="BE451"/>
      <x:c r="BF451"/>
      <x:c r="BG451"/>
      <x:c r="BH451"/>
      <x:c r="BI451"/>
      <x:c r="BJ451"/>
      <x:c r="BK451"/>
      <x:c r="BL451"/>
      <x:c r="BM451"/>
      <x:c r="BN451"/>
      <x:c r="BO451"/>
      <x:c r="BP451"/>
      <x:c r="BQ451"/>
      <x:c r="BR451"/>
      <x:c r="BS451"/>
      <x:c r="BT451"/>
      <x:c r="BU451"/>
      <x:c r="BV451"/>
      <x:c r="BW451"/>
      <x:c r="BX451"/>
      <x:c r="BY451"/>
      <x:c r="BZ451"/>
      <x:c r="CA451"/>
      <x:c r="CB451"/>
      <x:c r="CC451"/>
    </x:row>
    <x:row r="452" ht="115" customHeight="1">
      <x:c r="A452" s="9" t="str">
        <x:v>proposal.t3.wound_coil</x:v>
      </x:c>
      <x:c r="B452" s="9" t="str">
        <x:v>Wound copper coil blanks</x:v>
      </x:c>
      <x:c r="C452" s="4" t="str">
        <x:v>T3</x:v>
      </x:c>
      <x:c r="D452" s="9" t="str">
        <x:v>Crafting components</x:v>
      </x:c>
      <x:c r="E452" s="9" t="str">
        <x:v>T3 specialist stock / component proposal</x:v>
      </x:c>
      <x:c r="F452" s="9" t="str">
        <x:v>New proposal</x:v>
      </x:c>
      <x:c r="G452" s="9" t="str">
        <x:v>Prepared intermediate for electrical conduction. T4 opportunity: Radio tuning or magnetic-device subassembly; winding purpose, insulation, power and control are still needed.</x:v>
      </x:c>
      <x:c r="H452" s="9" t="str">
        <x:v>None</x:v>
      </x:c>
      <x:c r="I452" s="9" t="str">
        <x:v>Workshop / cargo stock; storage and handling unresolved</x:v>
      </x:c>
      <x:c r="J452" s="13"/>
      <x:c r="K452" s="15"/>
      <x:c r="L452" s="9" t="str">
        <x:v>Manufacture from listed T2 feedstocks; see linked recipe</x:v>
      </x:c>
      <x:c r="M452" s="9" t="str">
        <x:v>Form copper windings around selected ceramic supports; wire isolation and electrical design unresolved.</x:v>
      </x:c>
      <x:c r="N452" s="9" t="str">
        <x:v>Not implemented</x:v>
      </x:c>
      <x:c r="O452" s="9" t="str">
        <x:v>Partial proposal; quantities, tools, process conditions, yields and performance remain open. Radio tuning or magnetic-device subassembly; winding purpose, insulation, power and control are still needed.</x:v>
      </x:c>
      <x:c r="P452" s="17"/>
      <x:c r="Q452" s="17"/>
      <x:c r="R452" s="17"/>
      <x:c r="S452" s="17"/>
      <x:c r="T452" s="17"/>
      <x:c r="U452" s="9" t="str">
        <x:v>T3 stock can also feed a finished item directly; no mandatory T4 step. Future assembly is a planning idea, not an added T4 recipe.</x:v>
      </x:c>
      <x:c r="V452" s="11" t="str">
        <x:v>wound copper coil blanks; tier three; electrical conduction</x:v>
      </x:c>
      <x:c r="W452" s="9" t="str">
        <x:v>New October 15 game brainstorming; current author request and Docs/WORLD_BASIS.md. Not retrieved source canon.</x:v>
      </x:c>
      <x:c r="X452" s="4" t="str">
        <x:v>Crafting component</x:v>
      </x:c>
      <x:c r="Y452" s="4" t="str">
        <x:v>Processed intermediate</x:v>
      </x:c>
      <x:c r="Z452" s="4" t="str">
        <x:v>Manufactured / unresolved</x:v>
      </x:c>
      <x:c r="AA452" s="4" t="str">
        <x:v>Electrical conduction</x:v>
      </x:c>
      <x:c r="AB452" s="4" t="str">
        <x:v>Metal</x:v>
      </x:c>
      <x:c r="AC452" s="4" t="str">
        <x:v>Assembly</x:v>
      </x:c>
      <x:c r="AD452" s="4" t="str">
        <x:v>Proposal</x:v>
      </x:c>
      <x:c r="AE452" s="4" t="str">
        <x:f>LOWER(A452&amp;"; "&amp;B452&amp;"; "&amp;D452&amp;"; "&amp;E452&amp;"; "&amp;X452&amp;"; "&amp;Y452&amp;"; "&amp;Z452&amp;"; "&amp;AA452&amp;"; "&amp;AB452&amp;"; "&amp;AC452&amp;"; "&amp;AD452&amp;"; "&amp;V452&amp;"; "&amp;C452&amp;"; "&amp;AH452&amp;"; "&amp;AI452)</x:f>
        <x:v>proposal.t3.wound_coil; wound copper coil blanks; crafting components; t3 specialist stock / component proposal; crafting component; processed intermediate; manufactured / unresolved; electrical conduction; metal; assembly; proposal; wound copper coil blanks; tier three; electrical conduction; t3; not applicable; component</x:v>
      </x:c>
      <x:c r="AF452" s="4" t="str">
        <x:v>New intended workshop role; actual performance requires qualification.</x:v>
      </x:c>
      <x:c r="AG452" s="4" t="str">
        <x:v>Proposed T3: one stage above highest listed T2 ingredient; partial recipe may change.</x:v>
      </x:c>
      <x:c r="AH452" s="4" t="str">
        <x:v>Not applicable</x:v>
      </x:c>
      <x:c r="AI452" s="4" t="str">
        <x:v>Component</x:v>
      </x:c>
      <x:c r="AJ452" s="4" t="n">
        <x:f>COUNTIFS('Material routes'!$D$6:$D$2205,A452,'Material routes'!$C$6:$C$2205,"Output")</x:f>
        <x:v>1</x:v>
      </x:c>
      <x:c r="AK452" s="4" t="n">
        <x:f>SUM(COUNTIFS('Material routes'!$D$6:$D$2205,A452,'Material routes'!$C$6:$C$2205,"Ingredient candidate"),COUNTIFS('Material routes'!$D$6:$D$2205,A452,'Material routes'!$C$6:$C$2205,"Consumed input"),COUNTIFS('Material routes'!$D$6:$D$2205,A452,'Material routes'!$C$6:$C$2205,"Contained input"),COUNTIFS('Material routes'!$D$6:$D$2205,A452,'Material routes'!$C$6:$C$2205,"Transform input"))</x:f>
        <x:v>2</x:v>
      </x:c>
      <x:c r="AL452" s="4" t="n">
        <x:f>COUNTIFS('Material routes'!$D$6:$D$2205,A452,'Material routes'!$C$6:$C$2205,"Tool candidate")</x:f>
        <x:v>0</x:v>
      </x:c>
      <x:c r="AM452" s="4" t="str">
        <x:f>IF(AJ452&gt;0,"Route listed; review status/completeness",IF(C452="T0","Raw entry feed; no production route","No production route listed"))</x:f>
        <x:v>Route listed; review status/completeness</x:v>
      </x:c>
      <x:c r="AN452" s="14" t="n">
        <x:f>IF(C452="T0",0,IF(C452="T1",1,IF(C452="T2",2,IF(C452="T3",3,IF(C452="T4",4,IF(C452="Unassigned",98,99))))))</x:f>
        <x:v>3</x:v>
      </x:c>
      <x:c r="AZ452"/>
      <x:c r="BA452"/>
      <x:c r="BB452"/>
      <x:c r="BC452"/>
      <x:c r="BD452"/>
      <x:c r="BE452"/>
      <x:c r="BF452"/>
      <x:c r="BG452"/>
      <x:c r="BH452"/>
      <x:c r="BI452"/>
      <x:c r="BJ452"/>
      <x:c r="BK452"/>
      <x:c r="BL452"/>
      <x:c r="BM452"/>
      <x:c r="BN452"/>
      <x:c r="BO452"/>
      <x:c r="BP452"/>
      <x:c r="BQ452"/>
      <x:c r="BR452"/>
      <x:c r="BS452"/>
      <x:c r="BT452"/>
      <x:c r="BU452"/>
      <x:c r="BV452"/>
      <x:c r="BW452"/>
      <x:c r="BX452"/>
      <x:c r="BY452"/>
      <x:c r="BZ452"/>
      <x:c r="CA452"/>
      <x:c r="CB452"/>
      <x:c r="CC452"/>
    </x:row>
    <x:row r="453" ht="115" customHeight="1">
      <x:c r="A453" s="9" t="str">
        <x:v>proposal.t3.copper_mesh</x:v>
      </x:c>
      <x:c r="B453" s="9" t="str">
        <x:v>Woven copper mesh stock</x:v>
      </x:c>
      <x:c r="C453" s="4" t="str">
        <x:v>T3</x:v>
      </x:c>
      <x:c r="D453" s="9" t="str">
        <x:v>Manufactured stock</x:v>
      </x:c>
      <x:c r="E453" s="9" t="str">
        <x:v>T3 specialist stock / component proposal</x:v>
      </x:c>
      <x:c r="F453" s="9" t="str">
        <x:v>New proposal</x:v>
      </x:c>
      <x:c r="G453" s="9" t="str">
        <x:v>Prepared intermediate for electrical conduction. T4 opportunity: Screened radio enclosure insert; shielding behavior, joints and frequency range unresolved.</x:v>
      </x:c>
      <x:c r="H453" s="9" t="str">
        <x:v>None</x:v>
      </x:c>
      <x:c r="I453" s="9" t="str">
        <x:v>Workshop / cargo stock; storage and handling unresolved</x:v>
      </x:c>
      <x:c r="J453" s="13"/>
      <x:c r="K453" s="15"/>
      <x:c r="L453" s="9" t="str">
        <x:v>Manufacture from listed T2 feedstocks; see linked recipe</x:v>
      </x:c>
      <x:c r="M453" s="9" t="str">
        <x:v>Interlace metal strands into mesh stock; this is metal mesh rather than textile cloth.</x:v>
      </x:c>
      <x:c r="N453" s="9" t="str">
        <x:v>Not implemented</x:v>
      </x:c>
      <x:c r="O453" s="9" t="str">
        <x:v>Partial proposal; quantities, tools, process conditions, yields and performance remain open. Screened radio enclosure insert; shielding behavior, joints and frequency range unresolved.</x:v>
      </x:c>
      <x:c r="P453" s="17"/>
      <x:c r="Q453" s="17"/>
      <x:c r="R453" s="17"/>
      <x:c r="S453" s="17"/>
      <x:c r="T453" s="17"/>
      <x:c r="U453" s="9" t="str">
        <x:v>T3 stock can also feed a finished item directly; no mandatory T4 step. Future assembly is a planning idea, not an added T4 recipe.</x:v>
      </x:c>
      <x:c r="V453" s="11" t="str">
        <x:v>woven copper mesh stock; tier three; electrical conduction</x:v>
      </x:c>
      <x:c r="W453" s="9" t="str">
        <x:v>New October 15 game brainstorming; current author request and Docs/WORLD_BASIS.md. Not retrieved source canon.</x:v>
      </x:c>
      <x:c r="X453" s="4" t="str">
        <x:v>Processed material</x:v>
      </x:c>
      <x:c r="Y453" s="4" t="str">
        <x:v>Processed intermediate</x:v>
      </x:c>
      <x:c r="Z453" s="4" t="str">
        <x:v>Manufactured / unresolved</x:v>
      </x:c>
      <x:c r="AA453" s="4" t="str">
        <x:v>Electrical conduction</x:v>
      </x:c>
      <x:c r="AB453" s="4" t="str">
        <x:v>Metal</x:v>
      </x:c>
      <x:c r="AC453" s="4" t="str">
        <x:v>Sheet</x:v>
      </x:c>
      <x:c r="AD453" s="4" t="str">
        <x:v>Proposal</x:v>
      </x:c>
      <x:c r="AE453" s="4" t="str">
        <x:f>LOWER(A453&amp;"; "&amp;B453&amp;"; "&amp;D453&amp;"; "&amp;E453&amp;"; "&amp;X453&amp;"; "&amp;Y453&amp;"; "&amp;Z453&amp;"; "&amp;AA453&amp;"; "&amp;AB453&amp;"; "&amp;AC453&amp;"; "&amp;AD453&amp;"; "&amp;V453&amp;"; "&amp;C453&amp;"; "&amp;AH453&amp;"; "&amp;AI453)</x:f>
        <x:v>proposal.t3.copper_mesh; woven copper mesh stock; manufactured stock; t3 specialist stock / component proposal; processed material; processed intermediate; manufactured / unresolved; electrical conduction; metal; sheet; proposal; woven copper mesh stock; tier three; electrical conduction; t3; not applicable; material</x:v>
      </x:c>
      <x:c r="AF453" s="4" t="str">
        <x:v>New intended workshop role; actual performance requires qualification. Lore category review: Resources -&gt; Manufactured stock. Classification only; original item status and tier retained.</x:v>
      </x:c>
      <x:c r="AG453" s="4" t="str">
        <x:v>Proposed T3: one stage above highest listed T2 ingredient; partial recipe may change.</x:v>
      </x:c>
      <x:c r="AH453" s="4" t="str">
        <x:v>Not applicable</x:v>
      </x:c>
      <x:c r="AI453" s="4" t="str">
        <x:v>Material</x:v>
      </x:c>
      <x:c r="AJ453" s="4" t="n">
        <x:f>COUNTIFS('Material routes'!$D$6:$D$2205,A453,'Material routes'!$C$6:$C$2205,"Output")</x:f>
        <x:v>1</x:v>
      </x:c>
      <x:c r="AK453" s="4" t="n">
        <x:f>SUM(COUNTIFS('Material routes'!$D$6:$D$2205,A453,'Material routes'!$C$6:$C$2205,"Ingredient candidate"),COUNTIFS('Material routes'!$D$6:$D$2205,A453,'Material routes'!$C$6:$C$2205,"Consumed input"),COUNTIFS('Material routes'!$D$6:$D$2205,A453,'Material routes'!$C$6:$C$2205,"Contained input"),COUNTIFS('Material routes'!$D$6:$D$2205,A453,'Material routes'!$C$6:$C$2205,"Transform input"))</x:f>
        <x:v>1</x:v>
      </x:c>
      <x:c r="AL453" s="4" t="n">
        <x:f>COUNTIFS('Material routes'!$D$6:$D$2205,A453,'Material routes'!$C$6:$C$2205,"Tool candidate")</x:f>
        <x:v>0</x:v>
      </x:c>
      <x:c r="AM453" s="4" t="str">
        <x:f>IF(AJ453&gt;0,"Route listed; review status/completeness",IF(C453="T0","Raw entry feed; no production route","No production route listed"))</x:f>
        <x:v>Route listed; review status/completeness</x:v>
      </x:c>
      <x:c r="AN453" s="14" t="n">
        <x:f>IF(C453="T0",0,IF(C453="T1",1,IF(C453="T2",2,IF(C453="T3",3,IF(C453="T4",4,IF(C453="Unassigned",98,99))))))</x:f>
        <x:v>3</x:v>
      </x:c>
      <x:c r="AZ453"/>
      <x:c r="BA453"/>
      <x:c r="BB453"/>
      <x:c r="BC453"/>
      <x:c r="BD453"/>
      <x:c r="BE453"/>
      <x:c r="BF453"/>
      <x:c r="BG453"/>
      <x:c r="BH453"/>
      <x:c r="BI453"/>
      <x:c r="BJ453"/>
      <x:c r="BK453"/>
      <x:c r="BL453"/>
      <x:c r="BM453"/>
      <x:c r="BN453"/>
      <x:c r="BO453"/>
      <x:c r="BP453"/>
      <x:c r="BQ453"/>
      <x:c r="BR453"/>
      <x:c r="BS453"/>
      <x:c r="BT453"/>
      <x:c r="BU453"/>
      <x:c r="BV453"/>
      <x:c r="BW453"/>
      <x:c r="BX453"/>
      <x:c r="BY453"/>
      <x:c r="BZ453"/>
      <x:c r="CA453"/>
      <x:c r="CB453"/>
      <x:c r="CC453"/>
    </x:row>
    <x:row r="454" ht="115" customHeight="1">
      <x:c r="A454" s="9" t="str">
        <x:v>proposal.t3.contact_mount</x:v>
      </x:c>
      <x:c r="B454" s="9" t="str">
        <x:v>Fitted ceramic contact mounts</x:v>
      </x:c>
      <x:c r="C454" s="4" t="str">
        <x:v>T3</x:v>
      </x:c>
      <x:c r="D454" s="9" t="str">
        <x:v>Crafting components</x:v>
      </x:c>
      <x:c r="E454" s="9" t="str">
        <x:v>T3 specialist stock / component proposal</x:v>
      </x:c>
      <x:c r="F454" s="9" t="str">
        <x:v>New proposal</x:v>
      </x:c>
      <x:c r="G454" s="9" t="str">
        <x:v>Prepared intermediate for electrical insulation. T4 opportunity: Serviceable contact-block subassembly for radios or field equipment; no voltage rating assigned.</x:v>
      </x:c>
      <x:c r="H454" s="9" t="str">
        <x:v>None</x:v>
      </x:c>
      <x:c r="I454" s="9" t="str">
        <x:v>Workshop / cargo stock; storage and handling unresolved</x:v>
      </x:c>
      <x:c r="J454" s="13"/>
      <x:c r="K454" s="15"/>
      <x:c r="L454" s="9" t="str">
        <x:v>Manufacture from listed T2 feedstocks; see linked recipe</x:v>
      </x:c>
      <x:c r="M454" s="9" t="str">
        <x:v>Shape ceramic mounts with retained copper contacts; spacing, attachment and service limits unresolved.</x:v>
      </x:c>
      <x:c r="N454" s="9" t="str">
        <x:v>Not implemented</x:v>
      </x:c>
      <x:c r="O454" s="9" t="str">
        <x:v>Partial proposal; quantities, tools, process conditions, yields and performance remain open. Serviceable contact-block subassembly for radios or field equipment; no voltage rating assigned.</x:v>
      </x:c>
      <x:c r="P454" s="17"/>
      <x:c r="Q454" s="17"/>
      <x:c r="R454" s="17"/>
      <x:c r="S454" s="17"/>
      <x:c r="T454" s="17"/>
      <x:c r="U454" s="9" t="str">
        <x:v>T3 stock can also feed a finished item directly; no mandatory T4 step. Future assembly is a planning idea, not an added T4 recipe.</x:v>
      </x:c>
      <x:c r="V454" s="11" t="str">
        <x:v>fitted ceramic contact mounts; tier three; electrical insulation</x:v>
      </x:c>
      <x:c r="W454" s="9" t="str">
        <x:v>New October 15 game brainstorming; current author request and Docs/WORLD_BASIS.md. Not retrieved source canon.</x:v>
      </x:c>
      <x:c r="X454" s="4" t="str">
        <x:v>Crafting component</x:v>
      </x:c>
      <x:c r="Y454" s="4" t="str">
        <x:v>Processed intermediate</x:v>
      </x:c>
      <x:c r="Z454" s="4" t="str">
        <x:v>Manufactured / unresolved</x:v>
      </x:c>
      <x:c r="AA454" s="4" t="str">
        <x:v>Electrical insulation</x:v>
      </x:c>
      <x:c r="AB454" s="4" t="str">
        <x:v>Mixed / unresolved</x:v>
      </x:c>
      <x:c r="AC454" s="4" t="str">
        <x:v>Solid part</x:v>
      </x:c>
      <x:c r="AD454" s="4" t="str">
        <x:v>Proposal</x:v>
      </x:c>
      <x:c r="AE454" s="4" t="str">
        <x:f>LOWER(A454&amp;"; "&amp;B454&amp;"; "&amp;D454&amp;"; "&amp;E454&amp;"; "&amp;X454&amp;"; "&amp;Y454&amp;"; "&amp;Z454&amp;"; "&amp;AA454&amp;"; "&amp;AB454&amp;"; "&amp;AC454&amp;"; "&amp;AD454&amp;"; "&amp;V454&amp;"; "&amp;C454&amp;"; "&amp;AH454&amp;"; "&amp;AI454)</x:f>
        <x:v>proposal.t3.contact_mount; fitted ceramic contact mounts; crafting components; t3 specialist stock / component proposal; crafting component; processed intermediate; manufactured / unresolved; electrical insulation; mixed / unresolved; solid part; proposal; fitted ceramic contact mounts; tier three; electrical insulation; t3; not applicable; component</x:v>
      </x:c>
      <x:c r="AF454" s="4" t="str">
        <x:v>New intended workshop role; actual performance requires qualification.</x:v>
      </x:c>
      <x:c r="AG454" s="4" t="str">
        <x:v>Proposed T3: one stage above highest listed T2 ingredient; partial recipe may change.</x:v>
      </x:c>
      <x:c r="AH454" s="4" t="str">
        <x:v>Not applicable</x:v>
      </x:c>
      <x:c r="AI454" s="4" t="str">
        <x:v>Component</x:v>
      </x:c>
      <x:c r="AJ454" s="4" t="n">
        <x:f>COUNTIFS('Material routes'!$D$6:$D$2205,A454,'Material routes'!$C$6:$C$2205,"Output")</x:f>
        <x:v>1</x:v>
      </x:c>
      <x:c r="AK454" s="4" t="n">
        <x:f>SUM(COUNTIFS('Material routes'!$D$6:$D$2205,A454,'Material routes'!$C$6:$C$2205,"Ingredient candidate"),COUNTIFS('Material routes'!$D$6:$D$2205,A454,'Material routes'!$C$6:$C$2205,"Consumed input"),COUNTIFS('Material routes'!$D$6:$D$2205,A454,'Material routes'!$C$6:$C$2205,"Contained input"),COUNTIFS('Material routes'!$D$6:$D$2205,A454,'Material routes'!$C$6:$C$2205,"Transform input"))</x:f>
        <x:v>5</x:v>
      </x:c>
      <x:c r="AL454" s="4" t="n">
        <x:f>COUNTIFS('Material routes'!$D$6:$D$2205,A454,'Material routes'!$C$6:$C$2205,"Tool candidate")</x:f>
        <x:v>0</x:v>
      </x:c>
      <x:c r="AM454" s="4" t="str">
        <x:f>IF(AJ454&gt;0,"Route listed; review status/completeness",IF(C454="T0","Raw entry feed; no production route","No production route listed"))</x:f>
        <x:v>Route listed; review status/completeness</x:v>
      </x:c>
      <x:c r="AN454" s="14" t="n">
        <x:f>IF(C454="T0",0,IF(C454="T1",1,IF(C454="T2",2,IF(C454="T3",3,IF(C454="T4",4,IF(C454="Unassigned",98,99))))))</x:f>
        <x:v>3</x:v>
      </x:c>
      <x:c r="AZ454"/>
      <x:c r="BA454"/>
      <x:c r="BB454"/>
      <x:c r="BC454"/>
      <x:c r="BD454"/>
      <x:c r="BE454"/>
      <x:c r="BF454"/>
      <x:c r="BG454"/>
      <x:c r="BH454"/>
      <x:c r="BI454"/>
      <x:c r="BJ454"/>
      <x:c r="BK454"/>
      <x:c r="BL454"/>
      <x:c r="BM454"/>
      <x:c r="BN454"/>
      <x:c r="BO454"/>
      <x:c r="BP454"/>
      <x:c r="BQ454"/>
      <x:c r="BR454"/>
      <x:c r="BS454"/>
      <x:c r="BT454"/>
      <x:c r="BU454"/>
      <x:c r="BV454"/>
      <x:c r="BW454"/>
      <x:c r="BX454"/>
      <x:c r="BY454"/>
      <x:c r="BZ454"/>
      <x:c r="CA454"/>
      <x:c r="CB454"/>
      <x:c r="CC454"/>
    </x:row>
    <x:row r="455" ht="115" customHeight="1">
      <x:c r="A455" s="9" t="str">
        <x:v>proposal.t3.feedthrough_blank</x:v>
      </x:c>
      <x:c r="B455" s="9" t="str">
        <x:v>Ceramic-metal feedthrough blanks</x:v>
      </x:c>
      <x:c r="C455" s="4" t="str">
        <x:v>T3</x:v>
      </x:c>
      <x:c r="D455" s="9" t="str">
        <x:v>Crafting components</x:v>
      </x:c>
      <x:c r="E455" s="9" t="str">
        <x:v>T3 specialist stock / component proposal</x:v>
      </x:c>
      <x:c r="F455" s="9" t="str">
        <x:v>New proposal</x:v>
      </x:c>
      <x:c r="G455" s="9" t="str">
        <x:v>Prepared intermediate for electrical insulation. T4 opportunity: Sealed electrical interface subassembly; expansion mismatch, leakage and chemical compatibility are unresolved.</x:v>
      </x:c>
      <x:c r="H455" s="9" t="str">
        <x:v>None</x:v>
      </x:c>
      <x:c r="I455" s="9" t="str">
        <x:v>Workshop / cargo stock; storage and handling unresolved</x:v>
      </x:c>
      <x:c r="J455" s="13"/>
      <x:c r="K455" s="15"/>
      <x:c r="L455" s="9" t="str">
        <x:v>Manufacture from listed T2 feedstocks; see linked recipe</x:v>
      </x:c>
      <x:c r="M455" s="9" t="str">
        <x:v>Explore a conductor pass-through retained in ceramic and selected sealing stock.</x:v>
      </x:c>
      <x:c r="N455" s="9" t="str">
        <x:v>Not implemented</x:v>
      </x:c>
      <x:c r="O455" s="9" t="str">
        <x:v>Partial proposal; quantities, tools, process conditions, yields and performance remain open. Sealed electrical interface subassembly; expansion mismatch, leakage and chemical compatibility are unresolved.</x:v>
      </x:c>
      <x:c r="P455" s="17"/>
      <x:c r="Q455" s="17"/>
      <x:c r="R455" s="17"/>
      <x:c r="S455" s="17"/>
      <x:c r="T455" s="17"/>
      <x:c r="U455" s="9" t="str">
        <x:v>T3 stock can also feed a finished item directly; no mandatory T4 step. Future assembly is a planning idea, not an added T4 recipe.</x:v>
      </x:c>
      <x:c r="V455" s="11" t="str">
        <x:v>ceramic-metal feedthrough blanks; tier three; electrical insulation</x:v>
      </x:c>
      <x:c r="W455" s="9" t="str">
        <x:v>New October 15 game brainstorming; current author request and Docs/WORLD_BASIS.md. Not retrieved source canon.</x:v>
      </x:c>
      <x:c r="X455" s="4" t="str">
        <x:v>Crafting component</x:v>
      </x:c>
      <x:c r="Y455" s="4" t="str">
        <x:v>Processed intermediate</x:v>
      </x:c>
      <x:c r="Z455" s="4" t="str">
        <x:v>Manufactured / unresolved</x:v>
      </x:c>
      <x:c r="AA455" s="4" t="str">
        <x:v>Electrical insulation</x:v>
      </x:c>
      <x:c r="AB455" s="4" t="str">
        <x:v>Mixed / unresolved</x:v>
      </x:c>
      <x:c r="AC455" s="4" t="str">
        <x:v>Solid part</x:v>
      </x:c>
      <x:c r="AD455" s="4" t="str">
        <x:v>Proposal</x:v>
      </x:c>
      <x:c r="AE455" s="4" t="str">
        <x:f>LOWER(A455&amp;"; "&amp;B455&amp;"; "&amp;D455&amp;"; "&amp;E455&amp;"; "&amp;X455&amp;"; "&amp;Y455&amp;"; "&amp;Z455&amp;"; "&amp;AA455&amp;"; "&amp;AB455&amp;"; "&amp;AC455&amp;"; "&amp;AD455&amp;"; "&amp;V455&amp;"; "&amp;C455&amp;"; "&amp;AH455&amp;"; "&amp;AI455)</x:f>
        <x:v>proposal.t3.feedthrough_blank; ceramic-metal feedthrough blanks; crafting components; t3 specialist stock / component proposal; crafting component; processed intermediate; manufactured / unresolved; electrical insulation; mixed / unresolved; solid part; proposal; ceramic-metal feedthrough blanks; tier three; electrical insulation; t3; not applicable; component</x:v>
      </x:c>
      <x:c r="AF455" s="4" t="str">
        <x:v>New intended workshop role; actual performance requires qualification.</x:v>
      </x:c>
      <x:c r="AG455" s="4" t="str">
        <x:v>Proposed T3: one stage above highest listed T2 ingredient; partial recipe may change.</x:v>
      </x:c>
      <x:c r="AH455" s="4" t="str">
        <x:v>Not applicable</x:v>
      </x:c>
      <x:c r="AI455" s="4" t="str">
        <x:v>Component</x:v>
      </x:c>
      <x:c r="AJ455" s="4" t="n">
        <x:f>COUNTIFS('Material routes'!$D$6:$D$2205,A455,'Material routes'!$C$6:$C$2205,"Output")</x:f>
        <x:v>1</x:v>
      </x:c>
      <x:c r="AK455" s="4" t="n">
        <x:f>SUM(COUNTIFS('Material routes'!$D$6:$D$2205,A455,'Material routes'!$C$6:$C$2205,"Ingredient candidate"),COUNTIFS('Material routes'!$D$6:$D$2205,A455,'Material routes'!$C$6:$C$2205,"Consumed input"),COUNTIFS('Material routes'!$D$6:$D$2205,A455,'Material routes'!$C$6:$C$2205,"Contained input"),COUNTIFS('Material routes'!$D$6:$D$2205,A455,'Material routes'!$C$6:$C$2205,"Transform input"))</x:f>
        <x:v>2</x:v>
      </x:c>
      <x:c r="AL455" s="4" t="n">
        <x:f>COUNTIFS('Material routes'!$D$6:$D$2205,A455,'Material routes'!$C$6:$C$2205,"Tool candidate")</x:f>
        <x:v>0</x:v>
      </x:c>
      <x:c r="AM455" s="4" t="str">
        <x:f>IF(AJ455&gt;0,"Route listed; review status/completeness",IF(C455="T0","Raw entry feed; no production route","No production route listed"))</x:f>
        <x:v>Route listed; review status/completeness</x:v>
      </x:c>
      <x:c r="AN455" s="14" t="n">
        <x:f>IF(C455="T0",0,IF(C455="T1",1,IF(C455="T2",2,IF(C455="T3",3,IF(C455="T4",4,IF(C455="Unassigned",98,99))))))</x:f>
        <x:v>3</x:v>
      </x:c>
      <x:c r="AZ455"/>
      <x:c r="BA455"/>
      <x:c r="BB455"/>
      <x:c r="BC455"/>
      <x:c r="BD455"/>
      <x:c r="BE455"/>
      <x:c r="BF455"/>
      <x:c r="BG455"/>
      <x:c r="BH455"/>
      <x:c r="BI455"/>
      <x:c r="BJ455"/>
      <x:c r="BK455"/>
      <x:c r="BL455"/>
      <x:c r="BM455"/>
      <x:c r="BN455"/>
      <x:c r="BO455"/>
      <x:c r="BP455"/>
      <x:c r="BQ455"/>
      <x:c r="BR455"/>
      <x:c r="BS455"/>
      <x:c r="BT455"/>
      <x:c r="BU455"/>
      <x:c r="BV455"/>
      <x:c r="BW455"/>
      <x:c r="BX455"/>
      <x:c r="BY455"/>
      <x:c r="BZ455"/>
      <x:c r="CA455"/>
      <x:c r="CB455"/>
      <x:c r="CC455"/>
    </x:row>
    <x:row r="456" ht="115" customHeight="1">
      <x:c r="A456" s="9" t="str">
        <x:v>proposal.t3.spacer_set</x:v>
      </x:c>
      <x:c r="B456" s="9" t="str">
        <x:v>Matched ceramic spacer sets</x:v>
      </x:c>
      <x:c r="C456" s="4" t="str">
        <x:v>T3</x:v>
      </x:c>
      <x:c r="D456" s="9" t="str">
        <x:v>Crafting components</x:v>
      </x:c>
      <x:c r="E456" s="9" t="str">
        <x:v>T3 specialist stock / component proposal</x:v>
      </x:c>
      <x:c r="F456" s="9" t="str">
        <x:v>New proposal</x:v>
      </x:c>
      <x:c r="G456" s="9" t="str">
        <x:v>Prepared intermediate for electrical insulation. T4 opportunity: Fitted insulating support subassembly; dimensions and actual clearance requirements remain open.</x:v>
      </x:c>
      <x:c r="H456" s="9" t="str">
        <x:v>None</x:v>
      </x:c>
      <x:c r="I456" s="9" t="str">
        <x:v>Workshop / cargo stock; storage and handling unresolved</x:v>
      </x:c>
      <x:c r="J456" s="13"/>
      <x:c r="K456" s="15"/>
      <x:c r="L456" s="9" t="str">
        <x:v>Manufacture from listed T2 feedstocks; see linked recipe</x:v>
      </x:c>
      <x:c r="M456" s="9" t="str">
        <x:v>Finish and select compatible spacers as a matched intermediate set.</x:v>
      </x:c>
      <x:c r="N456" s="9" t="str">
        <x:v>Not implemented</x:v>
      </x:c>
      <x:c r="O456" s="9" t="str">
        <x:v>Partial proposal; quantities, tools, process conditions, yields and performance remain open. Fitted insulating support subassembly; dimensions and actual clearance requirements remain open.</x:v>
      </x:c>
      <x:c r="P456" s="17"/>
      <x:c r="Q456" s="17"/>
      <x:c r="R456" s="17"/>
      <x:c r="S456" s="17"/>
      <x:c r="T456" s="17"/>
      <x:c r="U456" s="9" t="str">
        <x:v>T3 stock can also feed a finished item directly; no mandatory T4 step. Future assembly is a planning idea, not an added T4 recipe.</x:v>
      </x:c>
      <x:c r="V456" s="11" t="str">
        <x:v>matched ceramic spacer sets; tier three; electrical insulation</x:v>
      </x:c>
      <x:c r="W456" s="9" t="str">
        <x:v>New October 15 game brainstorming; current author request and Docs/WORLD_BASIS.md. Not retrieved source canon.</x:v>
      </x:c>
      <x:c r="X456" s="4" t="str">
        <x:v>Crafting component</x:v>
      </x:c>
      <x:c r="Y456" s="4" t="str">
        <x:v>Processed intermediate</x:v>
      </x:c>
      <x:c r="Z456" s="4" t="str">
        <x:v>Manufactured / unresolved</x:v>
      </x:c>
      <x:c r="AA456" s="4" t="str">
        <x:v>Electrical insulation</x:v>
      </x:c>
      <x:c r="AB456" s="4" t="str">
        <x:v>Ceramic</x:v>
      </x:c>
      <x:c r="AC456" s="4" t="str">
        <x:v>Assembly</x:v>
      </x:c>
      <x:c r="AD456" s="4" t="str">
        <x:v>Proposal</x:v>
      </x:c>
      <x:c r="AE456" s="4" t="str">
        <x:f>LOWER(A456&amp;"; "&amp;B456&amp;"; "&amp;D456&amp;"; "&amp;E456&amp;"; "&amp;X456&amp;"; "&amp;Y456&amp;"; "&amp;Z456&amp;"; "&amp;AA456&amp;"; "&amp;AB456&amp;"; "&amp;AC456&amp;"; "&amp;AD456&amp;"; "&amp;V456&amp;"; "&amp;C456&amp;"; "&amp;AH456&amp;"; "&amp;AI456)</x:f>
        <x:v>proposal.t3.spacer_set; matched ceramic spacer sets; crafting components; t3 specialist stock / component proposal; crafting component; processed intermediate; manufactured / unresolved; electrical insulation; ceramic; assembly; proposal; matched ceramic spacer sets; tier three; electrical insulation; t3; not applicable; component</x:v>
      </x:c>
      <x:c r="AF456" s="4" t="str">
        <x:v>New intended workshop role; actual performance requires qualification.</x:v>
      </x:c>
      <x:c r="AG456" s="4" t="str">
        <x:v>Proposed T3: one stage above highest listed T2 ingredient; partial recipe may change.</x:v>
      </x:c>
      <x:c r="AH456" s="4" t="str">
        <x:v>Not applicable</x:v>
      </x:c>
      <x:c r="AI456" s="4" t="str">
        <x:v>Component</x:v>
      </x:c>
      <x:c r="AJ456" s="4" t="n">
        <x:f>COUNTIFS('Material routes'!$D$6:$D$2205,A456,'Material routes'!$C$6:$C$2205,"Output")</x:f>
        <x:v>1</x:v>
      </x:c>
      <x:c r="AK456" s="4" t="n">
        <x:f>SUM(COUNTIFS('Material routes'!$D$6:$D$2205,A456,'Material routes'!$C$6:$C$2205,"Ingredient candidate"),COUNTIFS('Material routes'!$D$6:$D$2205,A456,'Material routes'!$C$6:$C$2205,"Consumed input"),COUNTIFS('Material routes'!$D$6:$D$2205,A456,'Material routes'!$C$6:$C$2205,"Contained input"),COUNTIFS('Material routes'!$D$6:$D$2205,A456,'Material routes'!$C$6:$C$2205,"Transform input"))</x:f>
        <x:v>4</x:v>
      </x:c>
      <x:c r="AL456" s="4" t="n">
        <x:f>COUNTIFS('Material routes'!$D$6:$D$2205,A456,'Material routes'!$C$6:$C$2205,"Tool candidate")</x:f>
        <x:v>0</x:v>
      </x:c>
      <x:c r="AM456" s="4" t="str">
        <x:f>IF(AJ456&gt;0,"Route listed; review status/completeness",IF(C456="T0","Raw entry feed; no production route","No production route listed"))</x:f>
        <x:v>Route listed; review status/completeness</x:v>
      </x:c>
      <x:c r="AN456" s="14" t="n">
        <x:f>IF(C456="T0",0,IF(C456="T1",1,IF(C456="T2",2,IF(C456="T3",3,IF(C456="T4",4,IF(C456="Unassigned",98,99))))))</x:f>
        <x:v>3</x:v>
      </x:c>
      <x:c r="AZ456"/>
      <x:c r="BA456"/>
      <x:c r="BB456"/>
      <x:c r="BC456"/>
      <x:c r="BD456"/>
      <x:c r="BE456"/>
      <x:c r="BF456"/>
      <x:c r="BG456"/>
      <x:c r="BH456"/>
      <x:c r="BI456"/>
      <x:c r="BJ456"/>
      <x:c r="BK456"/>
      <x:c r="BL456"/>
      <x:c r="BM456"/>
      <x:c r="BN456"/>
      <x:c r="BO456"/>
      <x:c r="BP456"/>
      <x:c r="BQ456"/>
      <x:c r="BR456"/>
      <x:c r="BS456"/>
      <x:c r="BT456"/>
      <x:c r="BU456"/>
      <x:c r="BV456"/>
      <x:c r="BW456"/>
      <x:c r="BX456"/>
      <x:c r="BY456"/>
      <x:c r="BZ456"/>
      <x:c r="CA456"/>
      <x:c r="CB456"/>
      <x:c r="CC456"/>
    </x:row>
    <x:row r="457" ht="115" customHeight="1">
      <x:c r="A457" s="9" t="str">
        <x:v>proposal.t3.reflector_stock</x:v>
      </x:c>
      <x:c r="B457" s="9" t="str">
        <x:v>Polished copper reflector blanks</x:v>
      </x:c>
      <x:c r="C457" s="4" t="str">
        <x:v>T3</x:v>
      </x:c>
      <x:c r="D457" s="9" t="str">
        <x:v>Manufactured stock</x:v>
      </x:c>
      <x:c r="E457" s="9" t="str">
        <x:v>T3 specialist stock / component proposal</x:v>
      </x:c>
      <x:c r="F457" s="9" t="str">
        <x:v>New proposal</x:v>
      </x:c>
      <x:c r="G457" s="9" t="str">
        <x:v>Prepared intermediate for vision. T4 opportunity: Aligned optical subassembly using the existing optical branch; reflection quality remains a proposal.</x:v>
      </x:c>
      <x:c r="H457" s="9" t="str">
        <x:v>None</x:v>
      </x:c>
      <x:c r="I457" s="9" t="str">
        <x:v>Workshop / cargo stock; storage and handling unresolved</x:v>
      </x:c>
      <x:c r="J457" s="13"/>
      <x:c r="K457" s="15"/>
      <x:c r="L457" s="9" t="str">
        <x:v>Manufacture from listed T2 feedstocks; see linked recipe</x:v>
      </x:c>
      <x:c r="M457" s="9" t="str">
        <x:v>Form and finish selected copper surfaces for reflective inserts; finish, shape and degradation unresolved.</x:v>
      </x:c>
      <x:c r="N457" s="9" t="str">
        <x:v>Not implemented</x:v>
      </x:c>
      <x:c r="O457" s="9" t="str">
        <x:v>Partial proposal; quantities, tools, process conditions, yields and performance remain open. Aligned optical subassembly using the existing optical branch; reflection quality remains a proposal.</x:v>
      </x:c>
      <x:c r="P457" s="17"/>
      <x:c r="Q457" s="17"/>
      <x:c r="R457" s="17"/>
      <x:c r="S457" s="17"/>
      <x:c r="T457" s="17"/>
      <x:c r="U457" s="9" t="str">
        <x:v>T3 stock can also feed a finished item directly; no mandatory T4 step. Future assembly is a planning idea, not an added T4 recipe.</x:v>
      </x:c>
      <x:c r="V457" s="11" t="str">
        <x:v>polished copper reflector blanks; tier three; vision</x:v>
      </x:c>
      <x:c r="W457" s="9" t="str">
        <x:v>New October 15 game brainstorming; current author request and Docs/WORLD_BASIS.md. Not retrieved source canon.</x:v>
      </x:c>
      <x:c r="X457" s="4" t="str">
        <x:v>Processed material</x:v>
      </x:c>
      <x:c r="Y457" s="4" t="str">
        <x:v>Processed intermediate</x:v>
      </x:c>
      <x:c r="Z457" s="4" t="str">
        <x:v>Manufactured / unresolved</x:v>
      </x:c>
      <x:c r="AA457" s="4" t="str">
        <x:v>Vision</x:v>
      </x:c>
      <x:c r="AB457" s="4" t="str">
        <x:v>Metal</x:v>
      </x:c>
      <x:c r="AC457" s="4" t="str">
        <x:v>Solid piece</x:v>
      </x:c>
      <x:c r="AD457" s="4" t="str">
        <x:v>Proposal</x:v>
      </x:c>
      <x:c r="AE457" s="4" t="str">
        <x:f>LOWER(A457&amp;"; "&amp;B457&amp;"; "&amp;D457&amp;"; "&amp;E457&amp;"; "&amp;X457&amp;"; "&amp;Y457&amp;"; "&amp;Z457&amp;"; "&amp;AA457&amp;"; "&amp;AB457&amp;"; "&amp;AC457&amp;"; "&amp;AD457&amp;"; "&amp;V457&amp;"; "&amp;C457&amp;"; "&amp;AH457&amp;"; "&amp;AI457)</x:f>
        <x:v>proposal.t3.reflector_stock; polished copper reflector blanks; manufactured stock; t3 specialist stock / component proposal; processed material; processed intermediate; manufactured / unresolved; vision; metal; solid piece; proposal; polished copper reflector blanks; tier three; vision; t3; not applicable; material</x:v>
      </x:c>
      <x:c r="AF457" s="4" t="str">
        <x:v>New intended workshop role; actual performance requires qualification. Lore category review: Resources -&gt; Manufactured stock. Classification only; original item status and tier retained.</x:v>
      </x:c>
      <x:c r="AG457" s="4" t="str">
        <x:v>Proposed T3: one stage above highest listed T2 ingredient; partial recipe may change.</x:v>
      </x:c>
      <x:c r="AH457" s="4" t="str">
        <x:v>Not applicable</x:v>
      </x:c>
      <x:c r="AI457" s="4" t="str">
        <x:v>Material</x:v>
      </x:c>
      <x:c r="AJ457" s="4" t="n">
        <x:f>COUNTIFS('Material routes'!$D$6:$D$2205,A457,'Material routes'!$C$6:$C$2205,"Output")</x:f>
        <x:v>1</x:v>
      </x:c>
      <x:c r="AK457" s="4" t="n">
        <x:f>SUM(COUNTIFS('Material routes'!$D$6:$D$2205,A457,'Material routes'!$C$6:$C$2205,"Ingredient candidate"),COUNTIFS('Material routes'!$D$6:$D$2205,A457,'Material routes'!$C$6:$C$2205,"Consumed input"),COUNTIFS('Material routes'!$D$6:$D$2205,A457,'Material routes'!$C$6:$C$2205,"Contained input"),COUNTIFS('Material routes'!$D$6:$D$2205,A457,'Material routes'!$C$6:$C$2205,"Transform input"))</x:f>
        <x:v>0</x:v>
      </x:c>
      <x:c r="AL457" s="4" t="n">
        <x:f>COUNTIFS('Material routes'!$D$6:$D$2205,A457,'Material routes'!$C$6:$C$2205,"Tool candidate")</x:f>
        <x:v>0</x:v>
      </x:c>
      <x:c r="AM457" s="4" t="str">
        <x:f>IF(AJ457&gt;0,"Route listed; review status/completeness",IF(C457="T0","Raw entry feed; no production route","No production route listed"))</x:f>
        <x:v>Route listed; review status/completeness</x:v>
      </x:c>
      <x:c r="AN457" s="14" t="n">
        <x:f>IF(C457="T0",0,IF(C457="T1",1,IF(C457="T2",2,IF(C457="T3",3,IF(C457="T4",4,IF(C457="Unassigned",98,99))))))</x:f>
        <x:v>3</x:v>
      </x:c>
      <x:c r="AZ457"/>
      <x:c r="BA457"/>
      <x:c r="BB457"/>
      <x:c r="BC457"/>
      <x:c r="BD457"/>
      <x:c r="BE457"/>
      <x:c r="BF457"/>
      <x:c r="BG457"/>
      <x:c r="BH457"/>
      <x:c r="BI457"/>
      <x:c r="BJ457"/>
      <x:c r="BK457"/>
      <x:c r="BL457"/>
      <x:c r="BM457"/>
      <x:c r="BN457"/>
      <x:c r="BO457"/>
      <x:c r="BP457"/>
      <x:c r="BQ457"/>
      <x:c r="BR457"/>
      <x:c r="BS457"/>
      <x:c r="BT457"/>
      <x:c r="BU457"/>
      <x:c r="BV457"/>
      <x:c r="BW457"/>
      <x:c r="BX457"/>
      <x:c r="BY457"/>
      <x:c r="BZ457"/>
      <x:c r="CA457"/>
      <x:c r="CB457"/>
      <x:c r="CC457"/>
    </x:row>
    <x:row r="458" ht="115" customHeight="1">
      <x:c r="A458" s="9" t="str">
        <x:v>proposal.t3.packing_stock</x:v>
      </x:c>
      <x:c r="B458" s="9" t="str">
        <x:v>Husk-reinforced packing stock</x:v>
      </x:c>
      <x:c r="C458" s="4" t="str">
        <x:v>T3</x:v>
      </x:c>
      <x:c r="D458" s="9" t="str">
        <x:v>Manufactured stock</x:v>
      </x:c>
      <x:c r="E458" s="9" t="str">
        <x:v>T3 specialist stock / component proposal</x:v>
      </x:c>
      <x:c r="F458" s="9" t="str">
        <x:v>New proposal</x:v>
      </x:c>
      <x:c r="G458" s="9" t="str">
        <x:v>Prepared intermediate for sealing. T4 opportunity: Dust-exclusion gland subassembly; this is not automatically a pressure seal or a canister-safe material.</x:v>
      </x:c>
      <x:c r="H458" s="9" t="str">
        <x:v>None</x:v>
      </x:c>
      <x:c r="I458" s="9" t="str">
        <x:v>Workshop / cargo stock; storage and handling unresolved</x:v>
      </x:c>
      <x:c r="J458" s="13"/>
      <x:c r="K458" s="15"/>
      <x:c r="L458" s="9" t="str">
        <x:v>Manufacture from listed T2 feedstocks; see linked recipe</x:v>
      </x:c>
      <x:c r="M458" s="9" t="str">
        <x:v>Prepare narrow reinforced packing stock from difficult husk and sealing materials.</x:v>
      </x:c>
      <x:c r="N458" s="9" t="str">
        <x:v>Not implemented</x:v>
      </x:c>
      <x:c r="O458" s="9" t="str">
        <x:v>Partial proposal; quantities, tools, process conditions, yields and performance remain open. Dust-exclusion gland subassembly; this is not automatically a pressure seal or a canister-safe material.</x:v>
      </x:c>
      <x:c r="P458" s="17"/>
      <x:c r="Q458" s="17"/>
      <x:c r="R458" s="17"/>
      <x:c r="S458" s="17"/>
      <x:c r="T458" s="17"/>
      <x:c r="U458" s="9" t="str">
        <x:v>T3 stock can also feed a finished item directly; no mandatory T4 step. Future assembly is a planning idea, not an added T4 recipe.</x:v>
      </x:c>
      <x:c r="V458" s="11" t="str">
        <x:v>husk-reinforced packing stock; tier three; sealing</x:v>
      </x:c>
      <x:c r="W458" s="9" t="str">
        <x:v>New October 15 game brainstorming; current author request and Docs/WORLD_BASIS.md. Not retrieved source canon.</x:v>
      </x:c>
      <x:c r="X458" s="4" t="str">
        <x:v>Processed material</x:v>
      </x:c>
      <x:c r="Y458" s="4" t="str">
        <x:v>Processed intermediate</x:v>
      </x:c>
      <x:c r="Z458" s="4" t="str">
        <x:v>Manufactured / unresolved</x:v>
      </x:c>
      <x:c r="AA458" s="4" t="str">
        <x:v>Sealing</x:v>
      </x:c>
      <x:c r="AB458" s="4" t="str">
        <x:v>Mixed / unresolved</x:v>
      </x:c>
      <x:c r="AC458" s="4" t="str">
        <x:v>Cord</x:v>
      </x:c>
      <x:c r="AD458" s="4" t="str">
        <x:v>Proposal</x:v>
      </x:c>
      <x:c r="AE458" s="4" t="str">
        <x:f>LOWER(A458&amp;"; "&amp;B458&amp;"; "&amp;D458&amp;"; "&amp;E458&amp;"; "&amp;X458&amp;"; "&amp;Y458&amp;"; "&amp;Z458&amp;"; "&amp;AA458&amp;"; "&amp;AB458&amp;"; "&amp;AC458&amp;"; "&amp;AD458&amp;"; "&amp;V458&amp;"; "&amp;C458&amp;"; "&amp;AH458&amp;"; "&amp;AI458)</x:f>
        <x:v>proposal.t3.packing_stock; husk-reinforced packing stock; manufactured stock; t3 specialist stock / component proposal; processed material; processed intermediate; manufactured / unresolved; sealing; mixed / unresolved; cord; proposal; husk-reinforced packing stock; tier three; sealing; t3; not applicable; material</x:v>
      </x:c>
      <x:c r="AF458" s="4" t="str">
        <x:v>New intended workshop role; actual performance requires qualification. Lore category review: Resources -&gt; Manufactured stock. Classification only; original item status and tier retained.</x:v>
      </x:c>
      <x:c r="AG458" s="4" t="str">
        <x:v>Proposed T3: one stage above highest listed T2 ingredient; partial recipe may change.</x:v>
      </x:c>
      <x:c r="AH458" s="4" t="str">
        <x:v>Not applicable</x:v>
      </x:c>
      <x:c r="AI458" s="4" t="str">
        <x:v>Material</x:v>
      </x:c>
      <x:c r="AJ458" s="4" t="n">
        <x:f>COUNTIFS('Material routes'!$D$6:$D$2205,A458,'Material routes'!$C$6:$C$2205,"Output")</x:f>
        <x:v>1</x:v>
      </x:c>
      <x:c r="AK458" s="4" t="n">
        <x:f>SUM(COUNTIFS('Material routes'!$D$6:$D$2205,A458,'Material routes'!$C$6:$C$2205,"Ingredient candidate"),COUNTIFS('Material routes'!$D$6:$D$2205,A458,'Material routes'!$C$6:$C$2205,"Consumed input"),COUNTIFS('Material routes'!$D$6:$D$2205,A458,'Material routes'!$C$6:$C$2205,"Contained input"),COUNTIFS('Material routes'!$D$6:$D$2205,A458,'Material routes'!$C$6:$C$2205,"Transform input"))</x:f>
        <x:v>21</x:v>
      </x:c>
      <x:c r="AL458" s="4" t="n">
        <x:f>COUNTIFS('Material routes'!$D$6:$D$2205,A458,'Material routes'!$C$6:$C$2205,"Tool candidate")</x:f>
        <x:v>0</x:v>
      </x:c>
      <x:c r="AM458" s="4" t="str">
        <x:f>IF(AJ458&gt;0,"Route listed; review status/completeness",IF(C458="T0","Raw entry feed; no production route","No production route listed"))</x:f>
        <x:v>Route listed; review status/completeness</x:v>
      </x:c>
      <x:c r="AN458" s="14" t="n">
        <x:f>IF(C458="T0",0,IF(C458="T1",1,IF(C458="T2",2,IF(C458="T3",3,IF(C458="T4",4,IF(C458="Unassigned",98,99))))))</x:f>
        <x:v>3</x:v>
      </x:c>
      <x:c r="AZ458"/>
      <x:c r="BA458"/>
      <x:c r="BB458"/>
      <x:c r="BC458"/>
      <x:c r="BD458"/>
      <x:c r="BE458"/>
      <x:c r="BF458"/>
      <x:c r="BG458"/>
      <x:c r="BH458"/>
      <x:c r="BI458"/>
      <x:c r="BJ458"/>
      <x:c r="BK458"/>
      <x:c r="BL458"/>
      <x:c r="BM458"/>
      <x:c r="BN458"/>
      <x:c r="BO458"/>
      <x:c r="BP458"/>
      <x:c r="BQ458"/>
      <x:c r="BR458"/>
      <x:c r="BS458"/>
      <x:c r="BT458"/>
      <x:c r="BU458"/>
      <x:c r="BV458"/>
      <x:c r="BW458"/>
      <x:c r="BX458"/>
      <x:c r="BY458"/>
      <x:c r="BZ458"/>
      <x:c r="CA458"/>
      <x:c r="CB458"/>
      <x:c r="CC458"/>
    </x:row>
    <x:row r="459" ht="115" customHeight="1">
      <x:c r="A459" s="9" t="str">
        <x:v>proposal.t3.service_grease</x:v>
      </x:c>
      <x:c r="B459" s="9" t="str">
        <x:v>Conditioned mechanism-service grease</x:v>
      </x:c>
      <x:c r="C459" s="4" t="str">
        <x:v>T3</x:v>
      </x:c>
      <x:c r="D459" s="9" t="inlineStr">
        <x:is>
          <x:t xml:space="preserve">Crafting components</x:t>
        </x:is>
      </x:c>
      <x:c r="E459" s="9" t="str">
        <x:v>T3 specialist stock / component proposal</x:v>
      </x:c>
      <x:c r="F459" s="9" t="str">
        <x:v>New proposal</x:v>
      </x:c>
      <x:c r="G459" s="9" t="str">
        <x:v>Prepared intermediate for lubrication. T4 opportunity: Service-lubricated bearing cartridge; viscosity, contamination, toxicity and compatibility remain unqualified.</x:v>
      </x:c>
      <x:c r="H459" s="9" t="str">
        <x:v>None</x:v>
      </x:c>
      <x:c r="I459" s="9" t="str">
        <x:v>Workshop / cargo stock; storage and handling unresolved</x:v>
      </x:c>
      <x:c r="J459" s="13"/>
      <x:c r="K459" s="15"/>
      <x:c r="L459" s="9" t="str">
        <x:v>Manufacture from listed T2 feedstocks; see linked recipe</x:v>
      </x:c>
      <x:c r="M459" s="9" t="str">
        <x:v>Explore controlled conditioning and blending of compatible prepared lubricant fractions.</x:v>
      </x:c>
      <x:c r="N459" s="9" t="str">
        <x:v>Not implemented</x:v>
      </x:c>
      <x:c r="O459" s="9" t="str">
        <x:v>Partial proposal; quantities, tools, process conditions, yields and performance remain open. Service-lubricated bearing cartridge; viscosity, contamination, toxicity and compatibility remain unqualified.</x:v>
      </x:c>
      <x:c r="P459" s="17"/>
      <x:c r="Q459" s="17"/>
      <x:c r="R459" s="17"/>
      <x:c r="S459" s="17"/>
      <x:c r="T459" s="17"/>
      <x:c r="U459" s="9" t="str">
        <x:v>T3 stock can also feed a finished item directly; no mandatory T4 step. Future assembly is a planning idea, not an added T4 recipe.</x:v>
      </x:c>
      <x:c r="V459" s="11" t="str">
        <x:v>conditioned mechanism-service grease; tier three; lubrication</x:v>
      </x:c>
      <x:c r="W459" s="9" t="str">
        <x:v>New October 15 game brainstorming; current author request and Docs/WORLD_BASIS.md. Not retrieved source canon.</x:v>
      </x:c>
      <x:c r="X459" s="4" t="str">
        <x:v>Chemical material</x:v>
      </x:c>
      <x:c r="Y459" s="4" t="str">
        <x:v>Processed intermediate</x:v>
      </x:c>
      <x:c r="Z459" s="4" t="str">
        <x:v>Manufactured / unresolved</x:v>
      </x:c>
      <x:c r="AA459" s="4" t="str">
        <x:v>Lubrication</x:v>
      </x:c>
      <x:c r="AB459" s="4" t="str">
        <x:v>Biological chemical</x:v>
      </x:c>
      <x:c r="AC459" s="4" t="str">
        <x:v>Paste</x:v>
      </x:c>
      <x:c r="AD459" s="4" t="str">
        <x:v>Proposal</x:v>
      </x:c>
      <x:c r="AE459" s="4" t="str">
        <x:f>LOWER(A459&amp;"; "&amp;B459&amp;"; "&amp;D459&amp;"; "&amp;E459&amp;"; "&amp;X459&amp;"; "&amp;Y459&amp;"; "&amp;Z459&amp;"; "&amp;AA459&amp;"; "&amp;AB459&amp;"; "&amp;AC459&amp;"; "&amp;AD459&amp;"; "&amp;V459&amp;"; "&amp;C459&amp;"; "&amp;AH459&amp;"; "&amp;AI459)</x:f>
        <x:v>proposal.t3.service_grease; conditioned mechanism-service grease; crafting components; t3 specialist stock / component proposal; chemical material; processed intermediate; manufactured / unresolved; lubrication; biological chemical; paste; proposal; conditioned mechanism-service grease; tier three; lubrication; t3; not applicable; material</x:v>
      </x:c>
      <x:c r="AF459" s="4" t="inlineStr">
        <x:is>
          <x:t xml:space="preserve">New intended workshop role; actual performance requires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59" s="4" t="str">
        <x:v>Proposed T3: one stage above highest listed T2 ingredient; partial recipe may change.</x:v>
      </x:c>
      <x:c r="AH459" s="4" t="str">
        <x:v>Not applicable</x:v>
      </x:c>
      <x:c r="AI459" s="4" t="str">
        <x:v>Material</x:v>
      </x:c>
      <x:c r="AJ459" s="4" t="n">
        <x:f>COUNTIFS('Material routes'!$D$6:$D$2205,A459,'Material routes'!$C$6:$C$2205,"Output")</x:f>
        <x:v>1</x:v>
      </x:c>
      <x:c r="AK459" s="4" t="n">
        <x:f>SUM(COUNTIFS('Material routes'!$D$6:$D$2205,A459,'Material routes'!$C$6:$C$2205,"Ingredient candidate"),COUNTIFS('Material routes'!$D$6:$D$2205,A459,'Material routes'!$C$6:$C$2205,"Consumed input"),COUNTIFS('Material routes'!$D$6:$D$2205,A459,'Material routes'!$C$6:$C$2205,"Contained input"),COUNTIFS('Material routes'!$D$6:$D$2205,A459,'Material routes'!$C$6:$C$2205,"Transform input"))</x:f>
        <x:v>6</x:v>
      </x:c>
      <x:c r="AL459" s="4" t="n">
        <x:f>COUNTIFS('Material routes'!$D$6:$D$2205,A459,'Material routes'!$C$6:$C$2205,"Tool candidate")</x:f>
        <x:v>0</x:v>
      </x:c>
      <x:c r="AM459" s="4" t="str">
        <x:f>IF(AJ459&gt;0,"Route listed; review status/completeness",IF(C459="T0","Raw entry feed; no production route","No production route listed"))</x:f>
        <x:v>Route listed; review status/completeness</x:v>
      </x:c>
      <x:c r="AN459" s="14" t="n">
        <x:f>IF(C459="T0",0,IF(C459="T1",1,IF(C459="T2",2,IF(C459="T3",3,IF(C459="T4",4,IF(C459="Unassigned",98,99))))))</x:f>
        <x:v>3</x:v>
      </x:c>
      <x:c r="AZ459"/>
      <x:c r="BA459"/>
      <x:c r="BB459"/>
      <x:c r="BC459"/>
      <x:c r="BD459"/>
      <x:c r="BE459"/>
      <x:c r="BF459"/>
      <x:c r="BG459"/>
      <x:c r="BH459"/>
      <x:c r="BI459"/>
      <x:c r="BJ459"/>
      <x:c r="BK459"/>
      <x:c r="BL459"/>
      <x:c r="BM459"/>
      <x:c r="BN459"/>
      <x:c r="BO459"/>
      <x:c r="BP459"/>
      <x:c r="BQ459"/>
      <x:c r="BR459"/>
      <x:c r="BS459"/>
      <x:c r="BT459"/>
      <x:c r="BU459"/>
      <x:c r="BV459"/>
      <x:c r="BW459"/>
      <x:c r="BX459"/>
      <x:c r="BY459"/>
      <x:c r="BZ459"/>
      <x:c r="CA459"/>
      <x:c r="CB459"/>
      <x:c r="CC459"/>
    </x:row>
    <x:row r="460" ht="115" customHeight="1">
      <x:c r="A460" s="9" t="str">
        <x:v>proposal.t3.wing_seam</x:v>
      </x:c>
      <x:c r="B460" s="9" t="str">
        <x:v>Bonded wing-seam reinforcement strips</x:v>
      </x:c>
      <x:c r="C460" s="4" t="str">
        <x:v>T3</x:v>
      </x:c>
      <x:c r="D460" s="9" t="str">
        <x:v>Manufactured stock</x:v>
      </x:c>
      <x:c r="E460" s="9" t="str">
        <x:v>T3 specialist stock / component proposal</x:v>
      </x:c>
      <x:c r="F460" s="9" t="str">
        <x:v>New proposal</x:v>
      </x:c>
      <x:c r="G460" s="9" t="str">
        <x:v>Prepared intermediate for wind propulsion. T4 opportunity: Jointed sail-panel subassembly; attachment geometry and wind loads remain to be designed.</x:v>
      </x:c>
      <x:c r="H460" s="9" t="str">
        <x:v>None</x:v>
      </x:c>
      <x:c r="I460" s="9" t="str">
        <x:v>Workshop / cargo stock; storage and handling unresolved</x:v>
      </x:c>
      <x:c r="J460" s="13"/>
      <x:c r="K460" s="15"/>
      <x:c r="L460" s="9" t="str">
        <x:v>Manufacture from listed T2 feedstocks; see linked recipe</x:v>
      </x:c>
      <x:c r="M460" s="9" t="str">
        <x:v>Join and finish reinforced wing edges as seam stock; peel, tear and flex behavior unresolved.</x:v>
      </x:c>
      <x:c r="N460" s="9" t="str">
        <x:v>Not implemented</x:v>
      </x:c>
      <x:c r="O460" s="9" t="str">
        <x:v>Partial proposal; quantities, tools, process conditions, yields and performance remain open. Jointed sail-panel subassembly; attachment geometry and wind loads remain to be designed.</x:v>
      </x:c>
      <x:c r="P460" s="17"/>
      <x:c r="Q460" s="17"/>
      <x:c r="R460" s="17"/>
      <x:c r="S460" s="17"/>
      <x:c r="T460" s="17"/>
      <x:c r="U460" s="9" t="str">
        <x:v>T3 stock can also feed a finished item directly; no mandatory T4 step. Future assembly is a planning idea, not an added T4 recipe.</x:v>
      </x:c>
      <x:c r="V460" s="11" t="str">
        <x:v>bonded wing-seam reinforcement strips; tier three; wind propulsion</x:v>
      </x:c>
      <x:c r="W460" s="9" t="str">
        <x:v>New October 15 game brainstorming; current author request and Docs/WORLD_BASIS.md. Not retrieved source canon.</x:v>
      </x:c>
      <x:c r="X460" s="4" t="str">
        <x:v>Processed material</x:v>
      </x:c>
      <x:c r="Y460" s="4" t="str">
        <x:v>Processed intermediate</x:v>
      </x:c>
      <x:c r="Z460" s="4" t="str">
        <x:v>Manufactured / unresolved</x:v>
      </x:c>
      <x:c r="AA460" s="4" t="str">
        <x:v>Wind propulsion</x:v>
      </x:c>
      <x:c r="AB460" s="4" t="str">
        <x:v>Wing membrane</x:v>
      </x:c>
      <x:c r="AC460" s="4" t="str">
        <x:v>Membrane</x:v>
      </x:c>
      <x:c r="AD460" s="4" t="str">
        <x:v>Proposal</x:v>
      </x:c>
      <x:c r="AE460" s="4" t="str">
        <x:f>LOWER(A460&amp;"; "&amp;B460&amp;"; "&amp;D460&amp;"; "&amp;E460&amp;"; "&amp;X460&amp;"; "&amp;Y460&amp;"; "&amp;Z460&amp;"; "&amp;AA460&amp;"; "&amp;AB460&amp;"; "&amp;AC460&amp;"; "&amp;AD460&amp;"; "&amp;V460&amp;"; "&amp;C460&amp;"; "&amp;AH460&amp;"; "&amp;AI460)</x:f>
        <x:v>proposal.t3.wing_seam; bonded wing-seam reinforcement strips; manufactured stock; t3 specialist stock / component proposal; processed material; processed intermediate; manufactured / unresolved; wind propulsion; wing membrane; membrane; proposal; bonded wing-seam reinforcement strips; tier three; wind propulsion; t3; not applicable; material</x:v>
      </x:c>
      <x:c r="AF460" s="4" t="str">
        <x:v>New intended workshop role; actual performance requires qualification. Lore category review: Resources -&gt; Manufactured stock. Classification only; original item status and tier retained.</x:v>
      </x:c>
      <x:c r="AG460" s="4" t="str">
        <x:v>Proposed T3: one stage above highest listed T2 ingredient; partial recipe may change.</x:v>
      </x:c>
      <x:c r="AH460" s="4" t="str">
        <x:v>Not applicable</x:v>
      </x:c>
      <x:c r="AI460" s="4" t="str">
        <x:v>Material</x:v>
      </x:c>
      <x:c r="AJ460" s="4" t="n">
        <x:f>COUNTIFS('Material routes'!$D$6:$D$2205,A460,'Material routes'!$C$6:$C$2205,"Output")</x:f>
        <x:v>1</x:v>
      </x:c>
      <x:c r="AK460" s="4" t="n">
        <x:f>SUM(COUNTIFS('Material routes'!$D$6:$D$2205,A460,'Material routes'!$C$6:$C$2205,"Ingredient candidate"),COUNTIFS('Material routes'!$D$6:$D$2205,A460,'Material routes'!$C$6:$C$2205,"Consumed input"),COUNTIFS('Material routes'!$D$6:$D$2205,A460,'Material routes'!$C$6:$C$2205,"Contained input"),COUNTIFS('Material routes'!$D$6:$D$2205,A460,'Material routes'!$C$6:$C$2205,"Transform input"))</x:f>
        <x:v>2</x:v>
      </x:c>
      <x:c r="AL460" s="4" t="n">
        <x:f>COUNTIFS('Material routes'!$D$6:$D$2205,A460,'Material routes'!$C$6:$C$2205,"Tool candidate")</x:f>
        <x:v>0</x:v>
      </x:c>
      <x:c r="AM460" s="4" t="str">
        <x:f>IF(AJ460&gt;0,"Route listed; review status/completeness",IF(C460="T0","Raw entry feed; no production route","No production route listed"))</x:f>
        <x:v>Route listed; review status/completeness</x:v>
      </x:c>
      <x:c r="AN460" s="14" t="n">
        <x:f>IF(C460="T0",0,IF(C460="T1",1,IF(C460="T2",2,IF(C460="T3",3,IF(C460="T4",4,IF(C460="Unassigned",98,99))))))</x:f>
        <x:v>3</x:v>
      </x:c>
      <x:c r="AZ460"/>
      <x:c r="BA460"/>
      <x:c r="BB460"/>
      <x:c r="BC460"/>
      <x:c r="BD460"/>
      <x:c r="BE460"/>
      <x:c r="BF460"/>
      <x:c r="BG460"/>
      <x:c r="BH460"/>
      <x:c r="BI460"/>
      <x:c r="BJ460"/>
      <x:c r="BK460"/>
      <x:c r="BL460"/>
      <x:c r="BM460"/>
      <x:c r="BN460"/>
      <x:c r="BO460"/>
      <x:c r="BP460"/>
      <x:c r="BQ460"/>
      <x:c r="BR460"/>
      <x:c r="BS460"/>
      <x:c r="BT460"/>
      <x:c r="BU460"/>
      <x:c r="BV460"/>
      <x:c r="BW460"/>
      <x:c r="BX460"/>
      <x:c r="BY460"/>
      <x:c r="BZ460"/>
      <x:c r="CA460"/>
      <x:c r="CB460"/>
      <x:c r="CC460"/>
    </x:row>
    <x:row r="461" ht="115" customHeight="1">
      <x:c r="A461" s="9" t="str">
        <x:v>proposal.t3.sail_panel_set</x:v>
      </x:c>
      <x:c r="B461" s="9" t="str">
        <x:v>Matched folding wing-panel sets</x:v>
      </x:c>
      <x:c r="C461" s="4" t="str">
        <x:v>T3</x:v>
      </x:c>
      <x:c r="D461" s="9" t="str">
        <x:v>Crafting components</x:v>
      </x:c>
      <x:c r="E461" s="9" t="str">
        <x:v>T3 specialist stock / component proposal</x:v>
      </x:c>
      <x:c r="F461" s="9" t="str">
        <x:v>New proposal</x:v>
      </x:c>
      <x:c r="G461" s="9" t="str">
        <x:v>Prepared intermediate for wind propulsion. T4 opportunity: Collapsible sail subassembly; a finished simple sail may stop here rather than require T4.</x:v>
      </x:c>
      <x:c r="H461" s="9" t="str">
        <x:v>None</x:v>
      </x:c>
      <x:c r="I461" s="9" t="str">
        <x:v>Workshop / cargo stock; storage and handling unresolved</x:v>
      </x:c>
      <x:c r="J461" s="13"/>
      <x:c r="K461" s="15"/>
      <x:c r="L461" s="9" t="str">
        <x:v>Manufacture from listed T2 feedstocks; see linked recipe</x:v>
      </x:c>
      <x:c r="M461" s="9" t="str">
        <x:v>Prepare matched wing panels with small metal hinge or attachment inserts; fold design unresolved.</x:v>
      </x:c>
      <x:c r="N461" s="9" t="str">
        <x:v>Not implemented</x:v>
      </x:c>
      <x:c r="O461" s="9" t="str">
        <x:v>Partial proposal; quantities, tools, process conditions, yields and performance remain open. Collapsible sail subassembly; a finished simple sail may stop here rather than require T4.</x:v>
      </x:c>
      <x:c r="P461" s="17"/>
      <x:c r="Q461" s="17"/>
      <x:c r="R461" s="17"/>
      <x:c r="S461" s="17"/>
      <x:c r="T461" s="17"/>
      <x:c r="U461" s="9" t="str">
        <x:v>T3 stock can also feed a finished item directly; no mandatory T4 step. Future assembly is a planning idea, not an added T4 recipe.</x:v>
      </x:c>
      <x:c r="V461" s="11" t="str">
        <x:v>matched folding wing-panel sets; tier three; wind propulsion</x:v>
      </x:c>
      <x:c r="W461" s="9" t="str">
        <x:v>New October 15 game brainstorming; current author request and Docs/WORLD_BASIS.md. Not retrieved source canon.</x:v>
      </x:c>
      <x:c r="X461" s="4" t="str">
        <x:v>Crafting component</x:v>
      </x:c>
      <x:c r="Y461" s="4" t="str">
        <x:v>Processed intermediate</x:v>
      </x:c>
      <x:c r="Z461" s="4" t="str">
        <x:v>Manufactured / unresolved</x:v>
      </x:c>
      <x:c r="AA461" s="4" t="str">
        <x:v>Wind propulsion</x:v>
      </x:c>
      <x:c r="AB461" s="4" t="str">
        <x:v>Wing membrane</x:v>
      </x:c>
      <x:c r="AC461" s="4" t="str">
        <x:v>Assembly</x:v>
      </x:c>
      <x:c r="AD461" s="4" t="str">
        <x:v>Proposal</x:v>
      </x:c>
      <x:c r="AE461" s="4" t="str">
        <x:f>LOWER(A461&amp;"; "&amp;B461&amp;"; "&amp;D461&amp;"; "&amp;E461&amp;"; "&amp;X461&amp;"; "&amp;Y461&amp;"; "&amp;Z461&amp;"; "&amp;AA461&amp;"; "&amp;AB461&amp;"; "&amp;AC461&amp;"; "&amp;AD461&amp;"; "&amp;V461&amp;"; "&amp;C461&amp;"; "&amp;AH461&amp;"; "&amp;AI461)</x:f>
        <x:v>proposal.t3.sail_panel_set; matched folding wing-panel sets; crafting components; t3 specialist stock / component proposal; crafting component; processed intermediate; manufactured / unresolved; wind propulsion; wing membrane; assembly; proposal; matched folding wing-panel sets; tier three; wind propulsion; t3; not applicable; component</x:v>
      </x:c>
      <x:c r="AF461" s="4" t="str">
        <x:v>New intended workshop role; actual performance requires qualification.</x:v>
      </x:c>
      <x:c r="AG461" s="4" t="str">
        <x:v>Proposed T3: one stage above highest listed T2 ingredient; partial recipe may change.</x:v>
      </x:c>
      <x:c r="AH461" s="4" t="str">
        <x:v>Not applicable</x:v>
      </x:c>
      <x:c r="AI461" s="4" t="str">
        <x:v>Component</x:v>
      </x:c>
      <x:c r="AJ461" s="4" t="n">
        <x:f>COUNTIFS('Material routes'!$D$6:$D$2205,A461,'Material routes'!$C$6:$C$2205,"Output")</x:f>
        <x:v>1</x:v>
      </x:c>
      <x:c r="AK461" s="4" t="n">
        <x:f>SUM(COUNTIFS('Material routes'!$D$6:$D$2205,A461,'Material routes'!$C$6:$C$2205,"Ingredient candidate"),COUNTIFS('Material routes'!$D$6:$D$2205,A461,'Material routes'!$C$6:$C$2205,"Consumed input"),COUNTIFS('Material routes'!$D$6:$D$2205,A461,'Material routes'!$C$6:$C$2205,"Contained input"),COUNTIFS('Material routes'!$D$6:$D$2205,A461,'Material routes'!$C$6:$C$2205,"Transform input"))</x:f>
        <x:v>1</x:v>
      </x:c>
      <x:c r="AL461" s="4" t="n">
        <x:f>COUNTIFS('Material routes'!$D$6:$D$2205,A461,'Material routes'!$C$6:$C$2205,"Tool candidate")</x:f>
        <x:v>0</x:v>
      </x:c>
      <x:c r="AM461" s="4" t="str">
        <x:f>IF(AJ461&gt;0,"Route listed; review status/completeness",IF(C461="T0","Raw entry feed; no production route","No production route listed"))</x:f>
        <x:v>Route listed; review status/completeness</x:v>
      </x:c>
      <x:c r="AN461" s="14" t="n">
        <x:f>IF(C461="T0",0,IF(C461="T1",1,IF(C461="T2",2,IF(C461="T3",3,IF(C461="T4",4,IF(C461="Unassigned",98,99))))))</x:f>
        <x:v>3</x:v>
      </x:c>
      <x:c r="AZ461"/>
      <x:c r="BA461"/>
      <x:c r="BB461"/>
      <x:c r="BC461"/>
      <x:c r="BD461"/>
      <x:c r="BE461"/>
      <x:c r="BF461"/>
      <x:c r="BG461"/>
      <x:c r="BH461"/>
      <x:c r="BI461"/>
      <x:c r="BJ461"/>
      <x:c r="BK461"/>
      <x:c r="BL461"/>
      <x:c r="BM461"/>
      <x:c r="BN461"/>
      <x:c r="BO461"/>
      <x:c r="BP461"/>
      <x:c r="BQ461"/>
      <x:c r="BR461"/>
      <x:c r="BS461"/>
      <x:c r="BT461"/>
      <x:c r="BU461"/>
      <x:c r="BV461"/>
      <x:c r="BW461"/>
      <x:c r="BX461"/>
      <x:c r="BY461"/>
      <x:c r="BZ461"/>
      <x:c r="CA461"/>
      <x:c r="CB461"/>
      <x:c r="CC461"/>
    </x:row>
    <x:row r="462" ht="115" customHeight="1">
      <x:c r="A462" s="9" t="str">
        <x:v>proposal.t3.husk_joint</x:v>
      </x:c>
      <x:c r="B462" s="9" t="str">
        <x:v>Flexible husk joint strips</x:v>
      </x:c>
      <x:c r="C462" s="4" t="str">
        <x:v>T3</x:v>
      </x:c>
      <x:c r="D462" s="9" t="str">
        <x:v>Manufactured stock</x:v>
      </x:c>
      <x:c r="E462" s="9" t="str">
        <x:v>T3 specialist stock / component proposal</x:v>
      </x:c>
      <x:c r="F462" s="9" t="str">
        <x:v>New proposal</x:v>
      </x:c>
      <x:c r="G462" s="9" t="str">
        <x:v>Prepared intermediate for binding and construction. T4 opportunity: Articulated casing subassembly; no ordinary cloth, cheap textile supply or guaranteed fatigue life.</x:v>
      </x:c>
      <x:c r="H462" s="9" t="str">
        <x:v>None</x:v>
      </x:c>
      <x:c r="I462" s="9" t="str">
        <x:v>Workshop / cargo stock; storage and handling unresolved</x:v>
      </x:c>
      <x:c r="J462" s="13"/>
      <x:c r="K462" s="15"/>
      <x:c r="L462" s="9" t="str">
        <x:v>Manufacture from listed T2 feedstocks; see linked recipe</x:v>
      </x:c>
      <x:c r="M462" s="9" t="str">
        <x:v>Layer narrow joint strips for fitted covers; high feed demand, labor and flexibility remain unresolved.</x:v>
      </x:c>
      <x:c r="N462" s="9" t="str">
        <x:v>Not implemented</x:v>
      </x:c>
      <x:c r="O462" s="9" t="str">
        <x:v>Partial proposal; quantities, tools, process conditions, yields and performance remain open. Articulated casing subassembly; no ordinary cloth, cheap textile supply or guaranteed fatigue life.</x:v>
      </x:c>
      <x:c r="P462" s="17"/>
      <x:c r="Q462" s="17"/>
      <x:c r="R462" s="17"/>
      <x:c r="S462" s="17"/>
      <x:c r="T462" s="17"/>
      <x:c r="U462" s="9" t="str">
        <x:v>T3 stock can also feed a finished item directly; no mandatory T4 step. Future assembly is a planning idea, not an added T4 recipe.</x:v>
      </x:c>
      <x:c r="V462" s="11" t="str">
        <x:v>flexible husk joint strips; tier three; binding and construction</x:v>
      </x:c>
      <x:c r="W462" s="9" t="str">
        <x:v>New October 15 game brainstorming; current author request and Docs/WORLD_BASIS.md. Not retrieved source canon.</x:v>
      </x:c>
      <x:c r="X462" s="4" t="str">
        <x:v>Processed material</x:v>
      </x:c>
      <x:c r="Y462" s="4" t="str">
        <x:v>Processed intermediate</x:v>
      </x:c>
      <x:c r="Z462" s="4" t="str">
        <x:v>Manufactured / unresolved</x:v>
      </x:c>
      <x:c r="AA462" s="4" t="str">
        <x:v>Binding and construction</x:v>
      </x:c>
      <x:c r="AB462" s="4" t="str">
        <x:v>Husk fiber</x:v>
      </x:c>
      <x:c r="AC462" s="4" t="str">
        <x:v>Sheet</x:v>
      </x:c>
      <x:c r="AD462" s="4" t="str">
        <x:v>Proposal</x:v>
      </x:c>
      <x:c r="AE462" s="4" t="str">
        <x:f>LOWER(A462&amp;"; "&amp;B462&amp;"; "&amp;D462&amp;"; "&amp;E462&amp;"; "&amp;X462&amp;"; "&amp;Y462&amp;"; "&amp;Z462&amp;"; "&amp;AA462&amp;"; "&amp;AB462&amp;"; "&amp;AC462&amp;"; "&amp;AD462&amp;"; "&amp;V462&amp;"; "&amp;C462&amp;"; "&amp;AH462&amp;"; "&amp;AI462)</x:f>
        <x:v>proposal.t3.husk_joint; flexible husk joint strips; manufactured stock; t3 specialist stock / component proposal; processed material; processed intermediate; manufactured / unresolved; binding and construction; husk fiber; sheet; proposal; flexible husk joint strips; tier three; binding and construction; t3; not applicable; material</x:v>
      </x:c>
      <x:c r="AF462" s="4" t="str">
        <x:v>New intended workshop role; actual performance requires qualification. Lore category review: Resources -&gt; Manufactured stock. Classification only; original item status and tier retained.</x:v>
      </x:c>
      <x:c r="AG462" s="4" t="str">
        <x:v>Proposed T3: one stage above highest listed T2 ingredient; partial recipe may change.</x:v>
      </x:c>
      <x:c r="AH462" s="4" t="str">
        <x:v>Not applicable</x:v>
      </x:c>
      <x:c r="AI462" s="4" t="str">
        <x:v>Material</x:v>
      </x:c>
      <x:c r="AJ462" s="4" t="n">
        <x:f>COUNTIFS('Material routes'!$D$6:$D$2205,A462,'Material routes'!$C$6:$C$2205,"Output")</x:f>
        <x:v>1</x:v>
      </x:c>
      <x:c r="AK462" s="4" t="n">
        <x:f>SUM(COUNTIFS('Material routes'!$D$6:$D$2205,A462,'Material routes'!$C$6:$C$2205,"Ingredient candidate"),COUNTIFS('Material routes'!$D$6:$D$2205,A462,'Material routes'!$C$6:$C$2205,"Consumed input"),COUNTIFS('Material routes'!$D$6:$D$2205,A462,'Material routes'!$C$6:$C$2205,"Contained input"),COUNTIFS('Material routes'!$D$6:$D$2205,A462,'Material routes'!$C$6:$C$2205,"Transform input"))</x:f>
        <x:v>1</x:v>
      </x:c>
      <x:c r="AL462" s="4" t="n">
        <x:f>COUNTIFS('Material routes'!$D$6:$D$2205,A462,'Material routes'!$C$6:$C$2205,"Tool candidate")</x:f>
        <x:v>0</x:v>
      </x:c>
      <x:c r="AM462" s="4" t="str">
        <x:f>IF(AJ462&gt;0,"Route listed; review status/completeness",IF(C462="T0","Raw entry feed; no production route","No production route listed"))</x:f>
        <x:v>Route listed; review status/completeness</x:v>
      </x:c>
      <x:c r="AN462" s="14" t="n">
        <x:f>IF(C462="T0",0,IF(C462="T1",1,IF(C462="T2",2,IF(C462="T3",3,IF(C462="T4",4,IF(C462="Unassigned",98,99))))))</x:f>
        <x:v>3</x:v>
      </x:c>
      <x:c r="AZ462"/>
      <x:c r="BA462"/>
      <x:c r="BB462"/>
      <x:c r="BC462"/>
      <x:c r="BD462"/>
      <x:c r="BE462"/>
      <x:c r="BF462"/>
      <x:c r="BG462"/>
      <x:c r="BH462"/>
      <x:c r="BI462"/>
      <x:c r="BJ462"/>
      <x:c r="BK462"/>
      <x:c r="BL462"/>
      <x:c r="BM462"/>
      <x:c r="BN462"/>
      <x:c r="BO462"/>
      <x:c r="BP462"/>
      <x:c r="BQ462"/>
      <x:c r="BR462"/>
      <x:c r="BS462"/>
      <x:c r="BT462"/>
      <x:c r="BU462"/>
      <x:c r="BV462"/>
      <x:c r="BW462"/>
      <x:c r="BX462"/>
      <x:c r="BY462"/>
      <x:c r="BZ462"/>
      <x:c r="CA462"/>
      <x:c r="CB462"/>
      <x:c r="CC462"/>
    </x:row>
    <x:row r="463" ht="115" customHeight="1">
      <x:c r="A463" s="9" t="str">
        <x:v>proposal.t3.abrasive_stock</x:v>
      </x:c>
      <x:c r="B463" s="9" t="str">
        <x:v>Bonded abrasive-faced stock</x:v>
      </x:c>
      <x:c r="C463" s="4" t="str">
        <x:v>T3</x:v>
      </x:c>
      <x:c r="D463" s="9" t="str">
        <x:v>Manufactured stock</x:v>
      </x:c>
      <x:c r="E463" s="9" t="str">
        <x:v>T3 specialist stock / component proposal</x:v>
      </x:c>
      <x:c r="F463" s="9" t="str">
        <x:v>New proposal</x:v>
      </x:c>
      <x:c r="G463" s="9" t="str">
        <x:v>Prepared intermediate for surface finishing. T4 opportunity: Matched finishing-tool head; workshop tools are reusable prerequisites in other recipes, not consumed tier inputs.</x:v>
      </x:c>
      <x:c r="H463" s="9" t="str">
        <x:v>None</x:v>
      </x:c>
      <x:c r="I463" s="9" t="str">
        <x:v>Workshop / cargo stock; storage and handling unresolved</x:v>
      </x:c>
      <x:c r="J463" s="13"/>
      <x:c r="K463" s="15"/>
      <x:c r="L463" s="9" t="str">
        <x:v>Manufacture from listed T2 feedstocks; see linked recipe</x:v>
      </x:c>
      <x:c r="M463" s="9" t="str">
        <x:v>Explore a prepared abrasive-bearing face on selected backing stock; retention and grit selection unresolved.</x:v>
      </x:c>
      <x:c r="N463" s="9" t="str">
        <x:v>Not implemented</x:v>
      </x:c>
      <x:c r="O463" s="9" t="str">
        <x:v>Partial proposal; quantities, tools, process conditions, yields and performance remain open. Matched finishing-tool head; workshop tools are reusable prerequisites in other recipes, not consumed tier inputs.</x:v>
      </x:c>
      <x:c r="P463" s="17"/>
      <x:c r="Q463" s="17"/>
      <x:c r="R463" s="17"/>
      <x:c r="S463" s="17"/>
      <x:c r="T463" s="17"/>
      <x:c r="U463" s="9" t="str">
        <x:v>T3 stock can also feed a finished item directly; no mandatory T4 step. Future assembly is a planning idea, not an added T4 recipe.</x:v>
      </x:c>
      <x:c r="V463" s="11" t="str">
        <x:v>bonded abrasive-faced stock; tier three; surface finishing</x:v>
      </x:c>
      <x:c r="W463" s="9" t="str">
        <x:v>New October 15 game brainstorming; current author request and Docs/WORLD_BASIS.md. Not retrieved source canon.</x:v>
      </x:c>
      <x:c r="X463" s="4" t="str">
        <x:v>Processed material</x:v>
      </x:c>
      <x:c r="Y463" s="4" t="str">
        <x:v>Processed intermediate</x:v>
      </x:c>
      <x:c r="Z463" s="4" t="str">
        <x:v>Manufactured / unresolved</x:v>
      </x:c>
      <x:c r="AA463" s="4" t="str">
        <x:v>Surface finishing</x:v>
      </x:c>
      <x:c r="AB463" s="4" t="str">
        <x:v>Mixed / unresolved</x:v>
      </x:c>
      <x:c r="AC463" s="4" t="str">
        <x:v>Solid part</x:v>
      </x:c>
      <x:c r="AD463" s="4" t="str">
        <x:v>Proposal</x:v>
      </x:c>
      <x:c r="AE463" s="4" t="str">
        <x:f>LOWER(A463&amp;"; "&amp;B463&amp;"; "&amp;D463&amp;"; "&amp;E463&amp;"; "&amp;X463&amp;"; "&amp;Y463&amp;"; "&amp;Z463&amp;"; "&amp;AA463&amp;"; "&amp;AB463&amp;"; "&amp;AC463&amp;"; "&amp;AD463&amp;"; "&amp;V463&amp;"; "&amp;C463&amp;"; "&amp;AH463&amp;"; "&amp;AI463)</x:f>
        <x:v>proposal.t3.abrasive_stock; bonded abrasive-faced stock; manufactured stock; t3 specialist stock / component proposal; processed material; processed intermediate; manufactured / unresolved; surface finishing; mixed / unresolved; solid part; proposal; bonded abrasive-faced stock; tier three; surface finishing; t3; not applicable; material</x:v>
      </x:c>
      <x:c r="AF463" s="4" t="str">
        <x:v>New intended workshop role; actual performance requires qualification. Lore category review: Resources -&gt; Manufactured stock. Classification only; original item status and tier retained.</x:v>
      </x:c>
      <x:c r="AG463" s="4" t="str">
        <x:v>Proposed T3: one stage above highest listed T2 ingredient; partial recipe may change.</x:v>
      </x:c>
      <x:c r="AH463" s="4" t="str">
        <x:v>Not applicable</x:v>
      </x:c>
      <x:c r="AI463" s="4" t="str">
        <x:v>Material</x:v>
      </x:c>
      <x:c r="AJ463" s="4" t="n">
        <x:f>COUNTIFS('Material routes'!$D$6:$D$2205,A463,'Material routes'!$C$6:$C$2205,"Output")</x:f>
        <x:v>1</x:v>
      </x:c>
      <x:c r="AK463" s="4" t="n">
        <x:f>SUM(COUNTIFS('Material routes'!$D$6:$D$2205,A463,'Material routes'!$C$6:$C$2205,"Ingredient candidate"),COUNTIFS('Material routes'!$D$6:$D$2205,A463,'Material routes'!$C$6:$C$2205,"Consumed input"),COUNTIFS('Material routes'!$D$6:$D$2205,A463,'Material routes'!$C$6:$C$2205,"Contained input"),COUNTIFS('Material routes'!$D$6:$D$2205,A463,'Material routes'!$C$6:$C$2205,"Transform input"))</x:f>
        <x:v>1</x:v>
      </x:c>
      <x:c r="AL463" s="4" t="n">
        <x:f>COUNTIFS('Material routes'!$D$6:$D$2205,A463,'Material routes'!$C$6:$C$2205,"Tool candidate")</x:f>
        <x:v>0</x:v>
      </x:c>
      <x:c r="AM463" s="4" t="str">
        <x:f>IF(AJ463&gt;0,"Route listed; review status/completeness",IF(C463="T0","Raw entry feed; no production route","No production route listed"))</x:f>
        <x:v>Route listed; review status/completeness</x:v>
      </x:c>
      <x:c r="AN463" s="14" t="n">
        <x:f>IF(C463="T0",0,IF(C463="T1",1,IF(C463="T2",2,IF(C463="T3",3,IF(C463="T4",4,IF(C463="Unassigned",98,99))))))</x:f>
        <x:v>3</x:v>
      </x:c>
      <x:c r="AZ463"/>
      <x:c r="BA463"/>
      <x:c r="BB463"/>
      <x:c r="BC463"/>
      <x:c r="BD463"/>
      <x:c r="BE463"/>
      <x:c r="BF463"/>
      <x:c r="BG463"/>
      <x:c r="BH463"/>
      <x:c r="BI463"/>
      <x:c r="BJ463"/>
      <x:c r="BK463"/>
      <x:c r="BL463"/>
      <x:c r="BM463"/>
      <x:c r="BN463"/>
      <x:c r="BO463"/>
      <x:c r="BP463"/>
      <x:c r="BQ463"/>
      <x:c r="BR463"/>
      <x:c r="BS463"/>
      <x:c r="BT463"/>
      <x:c r="BU463"/>
      <x:c r="BV463"/>
      <x:c r="BW463"/>
      <x:c r="BX463"/>
      <x:c r="BY463"/>
      <x:c r="BZ463"/>
      <x:c r="CA463"/>
      <x:c r="CB463"/>
      <x:c r="CC463"/>
    </x:row>
    <x:row r="464" ht="115" customHeight="1">
      <x:c r="A464" s="9" t="str">
        <x:v>proposal.t3.inlay_stock</x:v>
      </x:c>
      <x:c r="B464" s="9" t="str">
        <x:v>Gem-inlaid metal panel blanks</x:v>
      </x:c>
      <x:c r="C464" s="4" t="str">
        <x:v>T3</x:v>
      </x:c>
      <x:c r="D464" s="9" t="str">
        <x:v>Manufactured stock</x:v>
      </x:c>
      <x:c r="E464" s="9" t="str">
        <x:v>T3 specialist stock / component proposal</x:v>
      </x:c>
      <x:c r="F464" s="9" t="str">
        <x:v>New proposal</x:v>
      </x:c>
      <x:c r="G464" s="9" t="str">
        <x:v>Prepared intermediate for decoration. T4 opportunity: Fitted ceremonial or civic display subassembly; no invented national preference or automatic gemstone power.</x:v>
      </x:c>
      <x:c r="H464" s="9" t="str">
        <x:v>None</x:v>
      </x:c>
      <x:c r="I464" s="9" t="str">
        <x:v>Workshop / cargo stock; storage and handling unresolved</x:v>
      </x:c>
      <x:c r="J464" s="13"/>
      <x:c r="K464" s="15"/>
      <x:c r="L464" s="9" t="str">
        <x:v>Manufacture from listed T2 feedstocks; see linked recipe</x:v>
      </x:c>
      <x:c r="M464" s="9" t="str">
        <x:v>Prepare setting and backing stock with selected gemstone inserts; value depends on material and labor.</x:v>
      </x:c>
      <x:c r="N464" s="9" t="str">
        <x:v>Not implemented</x:v>
      </x:c>
      <x:c r="O464" s="9" t="str">
        <x:v>Partial proposal; quantities, tools, process conditions, yields and performance remain open. Fitted ceremonial or civic display subassembly; no invented national preference or automatic gemstone power.</x:v>
      </x:c>
      <x:c r="P464" s="17"/>
      <x:c r="Q464" s="17"/>
      <x:c r="R464" s="17"/>
      <x:c r="S464" s="17"/>
      <x:c r="T464" s="17"/>
      <x:c r="U464" s="9" t="str">
        <x:v>T3 stock can also feed a finished item directly; no mandatory T4 step. Future assembly is a planning idea, not an added T4 recipe.</x:v>
      </x:c>
      <x:c r="V464" s="11" t="str">
        <x:v>gem-inlaid metal panel blanks; tier three; decoration</x:v>
      </x:c>
      <x:c r="W464" s="9" t="str">
        <x:v>New October 15 game brainstorming; current author request and Docs/WORLD_BASIS.md. Not retrieved source canon.</x:v>
      </x:c>
      <x:c r="X464" s="4" t="str">
        <x:v>Processed material</x:v>
      </x:c>
      <x:c r="Y464" s="4" t="str">
        <x:v>Processed intermediate</x:v>
      </x:c>
      <x:c r="Z464" s="4" t="str">
        <x:v>Manufactured / unresolved</x:v>
      </x:c>
      <x:c r="AA464" s="4" t="str">
        <x:v>Decoration</x:v>
      </x:c>
      <x:c r="AB464" s="4" t="str">
        <x:v>Mixed / unresolved</x:v>
      </x:c>
      <x:c r="AC464" s="4" t="str">
        <x:v>Panel</x:v>
      </x:c>
      <x:c r="AD464" s="4" t="str">
        <x:v>Proposal</x:v>
      </x:c>
      <x:c r="AE464" s="4" t="str">
        <x:f>LOWER(A464&amp;"; "&amp;B464&amp;"; "&amp;D464&amp;"; "&amp;E464&amp;"; "&amp;X464&amp;"; "&amp;Y464&amp;"; "&amp;Z464&amp;"; "&amp;AA464&amp;"; "&amp;AB464&amp;"; "&amp;AC464&amp;"; "&amp;AD464&amp;"; "&amp;V464&amp;"; "&amp;C464&amp;"; "&amp;AH464&amp;"; "&amp;AI464)</x:f>
        <x:v>proposal.t3.inlay_stock; gem-inlaid metal panel blanks; manufactured stock; t3 specialist stock / component proposal; processed material; processed intermediate; manufactured / unresolved; decoration; mixed / unresolved; panel; proposal; gem-inlaid metal panel blanks; tier three; decoration; t3; not applicable; material</x:v>
      </x:c>
      <x:c r="AF464" s="4" t="str">
        <x:v>New intended workshop role; actual performance requires qualification. Lore category review: Resources -&gt; Manufactured stock. Classification only; original item status and tier retained.</x:v>
      </x:c>
      <x:c r="AG464" s="4" t="str">
        <x:v>Proposed T3: one stage above highest listed T2 ingredient; partial recipe may change.</x:v>
      </x:c>
      <x:c r="AH464" s="4" t="str">
        <x:v>Not applicable</x:v>
      </x:c>
      <x:c r="AI464" s="4" t="str">
        <x:v>Material</x:v>
      </x:c>
      <x:c r="AJ464" s="4" t="n">
        <x:f>COUNTIFS('Material routes'!$D$6:$D$2205,A464,'Material routes'!$C$6:$C$2205,"Output")</x:f>
        <x:v>1</x:v>
      </x:c>
      <x:c r="AK464" s="4" t="n">
        <x:f>SUM(COUNTIFS('Material routes'!$D$6:$D$2205,A464,'Material routes'!$C$6:$C$2205,"Ingredient candidate"),COUNTIFS('Material routes'!$D$6:$D$2205,A464,'Material routes'!$C$6:$C$2205,"Consumed input"),COUNTIFS('Material routes'!$D$6:$D$2205,A464,'Material routes'!$C$6:$C$2205,"Contained input"),COUNTIFS('Material routes'!$D$6:$D$2205,A464,'Material routes'!$C$6:$C$2205,"Transform input"))</x:f>
        <x:v>1</x:v>
      </x:c>
      <x:c r="AL464" s="4" t="n">
        <x:f>COUNTIFS('Material routes'!$D$6:$D$2205,A464,'Material routes'!$C$6:$C$2205,"Tool candidate")</x:f>
        <x:v>0</x:v>
      </x:c>
      <x:c r="AM464" s="4" t="str">
        <x:f>IF(AJ464&gt;0,"Route listed; review status/completeness",IF(C464="T0","Raw entry feed; no production route","No production route listed"))</x:f>
        <x:v>Route listed; review status/completeness</x:v>
      </x:c>
      <x:c r="AN464" s="14" t="n">
        <x:f>IF(C464="T0",0,IF(C464="T1",1,IF(C464="T2",2,IF(C464="T3",3,IF(C464="T4",4,IF(C464="Unassigned",98,99))))))</x:f>
        <x:v>3</x:v>
      </x:c>
      <x:c r="AZ464"/>
      <x:c r="BA464"/>
      <x:c r="BB464"/>
      <x:c r="BC464"/>
      <x:c r="BD464"/>
      <x:c r="BE464"/>
      <x:c r="BF464"/>
      <x:c r="BG464"/>
      <x:c r="BH464"/>
      <x:c r="BI464"/>
      <x:c r="BJ464"/>
      <x:c r="BK464"/>
      <x:c r="BL464"/>
      <x:c r="BM464"/>
      <x:c r="BN464"/>
      <x:c r="BO464"/>
      <x:c r="BP464"/>
      <x:c r="BQ464"/>
      <x:c r="BR464"/>
      <x:c r="BS464"/>
      <x:c r="BT464"/>
      <x:c r="BU464"/>
      <x:c r="BV464"/>
      <x:c r="BW464"/>
      <x:c r="BX464"/>
      <x:c r="BY464"/>
      <x:c r="BZ464"/>
      <x:c r="CA464"/>
      <x:c r="CB464"/>
      <x:c r="CC464"/>
    </x:row>
    <x:row r="465" ht="115" customHeight="1">
      <x:c r="A465" s="9" t="str">
        <x:v>proposal.t3.tuned_insert</x:v>
      </x:c>
      <x:c r="B465" s="9" t="str">
        <x:v>Mounted tuned-stone inserts</x:v>
      </x:c>
      <x:c r="C465" s="4" t="str">
        <x:v>T3</x:v>
      </x:c>
      <x:c r="D465" s="9" t="str">
        <x:v>Crafting components</x:v>
      </x:c>
      <x:c r="E465" s="9" t="str">
        <x:v>T3 specialist stock / component proposal</x:v>
      </x:c>
      <x:c r="F465" s="9" t="str">
        <x:v>New proposal</x:v>
      </x:c>
      <x:c r="G465" s="9" t="str">
        <x:v>Prepared intermediate for music. T4 opportunity: Matched acoustic instrument subassembly; no magical enhancement or Caller ability is assigned.</x:v>
      </x:c>
      <x:c r="H465" s="9" t="str">
        <x:v>None</x:v>
      </x:c>
      <x:c r="I465" s="9" t="str">
        <x:v>Workshop / cargo stock; storage and handling unresolved</x:v>
      </x:c>
      <x:c r="J465" s="13"/>
      <x:c r="K465" s="15"/>
      <x:c r="L465" s="9" t="str">
        <x:v>Manufacture from listed T2 feedstocks; see linked recipe</x:v>
      </x:c>
      <x:c r="M465" s="9" t="str">
        <x:v>Fit selected tuned stone to a mechanical mounting blank; mounting may alter its response.</x:v>
      </x:c>
      <x:c r="N465" s="9" t="str">
        <x:v>Not implemented</x:v>
      </x:c>
      <x:c r="O465" s="9" t="str">
        <x:v>Partial proposal; quantities, tools, process conditions, yields and performance remain open. Matched acoustic instrument subassembly; no magical enhancement or Caller ability is assigned.</x:v>
      </x:c>
      <x:c r="P465" s="17"/>
      <x:c r="Q465" s="17"/>
      <x:c r="R465" s="17"/>
      <x:c r="S465" s="17"/>
      <x:c r="T465" s="17"/>
      <x:c r="U465" s="9" t="str">
        <x:v>T3 stock can also feed a finished item directly; no mandatory T4 step. Future assembly is a planning idea, not an added T4 recipe.</x:v>
      </x:c>
      <x:c r="V465" s="11" t="str">
        <x:v>mounted tuned-stone inserts; tier three; music</x:v>
      </x:c>
      <x:c r="W465" s="9" t="str">
        <x:v>New October 15 game brainstorming; current author request and Docs/WORLD_BASIS.md. Not retrieved source canon.</x:v>
      </x:c>
      <x:c r="X465" s="4" t="str">
        <x:v>Crafting component</x:v>
      </x:c>
      <x:c r="Y465" s="4" t="str">
        <x:v>Processed intermediate</x:v>
      </x:c>
      <x:c r="Z465" s="4" t="str">
        <x:v>Manufactured / unresolved</x:v>
      </x:c>
      <x:c r="AA465" s="4" t="str">
        <x:v>Music</x:v>
      </x:c>
      <x:c r="AB465" s="4" t="str">
        <x:v>Mixed / unresolved</x:v>
      </x:c>
      <x:c r="AC465" s="4" t="str">
        <x:v>Solid part</x:v>
      </x:c>
      <x:c r="AD465" s="4" t="str">
        <x:v>Proposal</x:v>
      </x:c>
      <x:c r="AE465" s="4" t="str">
        <x:f>LOWER(A465&amp;"; "&amp;B465&amp;"; "&amp;D465&amp;"; "&amp;E465&amp;"; "&amp;X465&amp;"; "&amp;Y465&amp;"; "&amp;Z465&amp;"; "&amp;AA465&amp;"; "&amp;AB465&amp;"; "&amp;AC465&amp;"; "&amp;AD465&amp;"; "&amp;V465&amp;"; "&amp;C465&amp;"; "&amp;AH465&amp;"; "&amp;AI465)</x:f>
        <x:v>proposal.t3.tuned_insert; mounted tuned-stone inserts; crafting components; t3 specialist stock / component proposal; crafting component; processed intermediate; manufactured / unresolved; music; mixed / unresolved; solid part; proposal; mounted tuned-stone inserts; tier three; music; t3; not applicable; component</x:v>
      </x:c>
      <x:c r="AF465" s="4" t="str">
        <x:v>New intended workshop role; actual performance requires qualification.</x:v>
      </x:c>
      <x:c r="AG465" s="4" t="str">
        <x:v>Proposed T3: one stage above highest listed T2 ingredient; partial recipe may change.</x:v>
      </x:c>
      <x:c r="AH465" s="4" t="str">
        <x:v>Not applicable</x:v>
      </x:c>
      <x:c r="AI465" s="4" t="str">
        <x:v>Component</x:v>
      </x:c>
      <x:c r="AJ465" s="4" t="n">
        <x:f>COUNTIFS('Material routes'!$D$6:$D$2205,A465,'Material routes'!$C$6:$C$2205,"Output")</x:f>
        <x:v>1</x:v>
      </x:c>
      <x:c r="AK465" s="4" t="n">
        <x:f>SUM(COUNTIFS('Material routes'!$D$6:$D$2205,A465,'Material routes'!$C$6:$C$2205,"Ingredient candidate"),COUNTIFS('Material routes'!$D$6:$D$2205,A465,'Material routes'!$C$6:$C$2205,"Consumed input"),COUNTIFS('Material routes'!$D$6:$D$2205,A465,'Material routes'!$C$6:$C$2205,"Contained input"),COUNTIFS('Material routes'!$D$6:$D$2205,A465,'Material routes'!$C$6:$C$2205,"Transform input"))</x:f>
        <x:v>1</x:v>
      </x:c>
      <x:c r="AL465" s="4" t="n">
        <x:f>COUNTIFS('Material routes'!$D$6:$D$2205,A465,'Material routes'!$C$6:$C$2205,"Tool candidate")</x:f>
        <x:v>0</x:v>
      </x:c>
      <x:c r="AM465" s="4" t="str">
        <x:f>IF(AJ465&gt;0,"Route listed; review status/completeness",IF(C465="T0","Raw entry feed; no production route","No production route listed"))</x:f>
        <x:v>Route listed; review status/completeness</x:v>
      </x:c>
      <x:c r="AN465" s="14" t="n">
        <x:f>IF(C465="T0",0,IF(C465="T1",1,IF(C465="T2",2,IF(C465="T3",3,IF(C465="T4",4,IF(C465="Unassigned",98,99))))))</x:f>
        <x:v>3</x:v>
      </x:c>
      <x:c r="AZ465"/>
      <x:c r="BA465"/>
      <x:c r="BB465"/>
      <x:c r="BC465"/>
      <x:c r="BD465"/>
      <x:c r="BE465"/>
      <x:c r="BF465"/>
      <x:c r="BG465"/>
      <x:c r="BH465"/>
      <x:c r="BI465"/>
      <x:c r="BJ465"/>
      <x:c r="BK465"/>
      <x:c r="BL465"/>
      <x:c r="BM465"/>
      <x:c r="BN465"/>
      <x:c r="BO465"/>
      <x:c r="BP465"/>
      <x:c r="BQ465"/>
      <x:c r="BR465"/>
      <x:c r="BS465"/>
      <x:c r="BT465"/>
      <x:c r="BU465"/>
      <x:c r="BV465"/>
      <x:c r="BW465"/>
      <x:c r="BX465"/>
      <x:c r="BY465"/>
      <x:c r="BZ465"/>
      <x:c r="CA465"/>
      <x:c r="CB465"/>
      <x:c r="CC465"/>
    </x:row>
    <x:row r="466" ht="115" customHeight="1">
      <x:c r="A466" s="9" t="str">
        <x:v>proposal.t3.hinged_shell</x:v>
      </x:c>
      <x:c r="B466" s="9" t="str">
        <x:v>Hinged shell-panel sets</x:v>
      </x:c>
      <x:c r="C466" s="4" t="str">
        <x:v>T3</x:v>
      </x:c>
      <x:c r="D466" s="9" t="str">
        <x:v>Crafting components</x:v>
      </x:c>
      <x:c r="E466" s="9" t="str">
        <x:v>T3 specialist stock / component proposal</x:v>
      </x:c>
      <x:c r="F466" s="9" t="str">
        <x:v>New proposal</x:v>
      </x:c>
      <x:c r="G466" s="9" t="str">
        <x:v>Prepared intermediate for protective fabrication. T4 opportunity: Articulated guard subassembly for later armor or machine covers; no ballistic rating or universal fit.</x:v>
      </x:c>
      <x:c r="H466" s="9" t="str">
        <x:v>None</x:v>
      </x:c>
      <x:c r="I466" s="9" t="str">
        <x:v>Workshop / cargo stock; storage and handling unresolved</x:v>
      </x:c>
      <x:c r="J466" s="13"/>
      <x:c r="K466" s="15"/>
      <x:c r="L466" s="9" t="str">
        <x:v>Manufacture from listed T2 feedstocks; see linked recipe</x:v>
      </x:c>
      <x:c r="M466" s="9" t="str">
        <x:v>Fit prepared shell panels with matched hinge seats; geometry, movement and durability unresolved.</x:v>
      </x:c>
      <x:c r="N466" s="9" t="str">
        <x:v>Not implemented</x:v>
      </x:c>
      <x:c r="O466" s="9" t="str">
        <x:v>Partial proposal; quantities, tools, process conditions, yields and performance remain open. Articulated guard subassembly for later armor or machine covers; no ballistic rating or universal fit.</x:v>
      </x:c>
      <x:c r="P466" s="17"/>
      <x:c r="Q466" s="17"/>
      <x:c r="R466" s="17"/>
      <x:c r="S466" s="17"/>
      <x:c r="T466" s="17"/>
      <x:c r="U466" s="9" t="str">
        <x:v>T3 stock can also feed a finished item directly; no mandatory T4 step. Future assembly is a planning idea, not an added T4 recipe.</x:v>
      </x:c>
      <x:c r="V466" s="11" t="str">
        <x:v>hinged shell-panel sets; tier three; protective fabrication</x:v>
      </x:c>
      <x:c r="W466" s="9" t="str">
        <x:v>New October 15 game brainstorming; current author request and Docs/WORLD_BASIS.md. Not retrieved source canon.</x:v>
      </x:c>
      <x:c r="X466" s="4" t="str">
        <x:v>Crafting component</x:v>
      </x:c>
      <x:c r="Y466" s="4" t="str">
        <x:v>Processed intermediate</x:v>
      </x:c>
      <x:c r="Z466" s="4" t="str">
        <x:v>Manufactured / unresolved</x:v>
      </x:c>
      <x:c r="AA466" s="4" t="str">
        <x:v>Protective fabrication</x:v>
      </x:c>
      <x:c r="AB466" s="4" t="str">
        <x:v>Mixed / unresolved</x:v>
      </x:c>
      <x:c r="AC466" s="4" t="str">
        <x:v>Assembly</x:v>
      </x:c>
      <x:c r="AD466" s="4" t="str">
        <x:v>Proposal</x:v>
      </x:c>
      <x:c r="AE466" s="4" t="str">
        <x:f>LOWER(A466&amp;"; "&amp;B466&amp;"; "&amp;D466&amp;"; "&amp;E466&amp;"; "&amp;X466&amp;"; "&amp;Y466&amp;"; "&amp;Z466&amp;"; "&amp;AA466&amp;"; "&amp;AB466&amp;"; "&amp;AC466&amp;"; "&amp;AD466&amp;"; "&amp;V466&amp;"; "&amp;C466&amp;"; "&amp;AH466&amp;"; "&amp;AI466)</x:f>
        <x:v>proposal.t3.hinged_shell; hinged shell-panel sets; crafting components; t3 specialist stock / component proposal; crafting component; processed intermediate; manufactured / unresolved; protective fabrication; mixed / unresolved; assembly; proposal; hinged shell-panel sets; tier three; protective fabrication; t3; not applicable; component</x:v>
      </x:c>
      <x:c r="AF466" s="4" t="str">
        <x:v>New intended workshop role; actual performance requires qualification.</x:v>
      </x:c>
      <x:c r="AG466" s="4" t="str">
        <x:v>Proposed T3: one stage above highest listed T2 ingredient; partial recipe may change.</x:v>
      </x:c>
      <x:c r="AH466" s="4" t="str">
        <x:v>Not applicable</x:v>
      </x:c>
      <x:c r="AI466" s="4" t="str">
        <x:v>Component</x:v>
      </x:c>
      <x:c r="AJ466" s="4" t="n">
        <x:f>COUNTIFS('Material routes'!$D$6:$D$2205,A466,'Material routes'!$C$6:$C$2205,"Output")</x:f>
        <x:v>1</x:v>
      </x:c>
      <x:c r="AK466" s="4" t="n">
        <x:f>SUM(COUNTIFS('Material routes'!$D$6:$D$2205,A466,'Material routes'!$C$6:$C$2205,"Ingredient candidate"),COUNTIFS('Material routes'!$D$6:$D$2205,A466,'Material routes'!$C$6:$C$2205,"Consumed input"),COUNTIFS('Material routes'!$D$6:$D$2205,A466,'Material routes'!$C$6:$C$2205,"Contained input"),COUNTIFS('Material routes'!$D$6:$D$2205,A466,'Material routes'!$C$6:$C$2205,"Transform input"))</x:f>
        <x:v>3</x:v>
      </x:c>
      <x:c r="AL466" s="4" t="n">
        <x:f>COUNTIFS('Material routes'!$D$6:$D$2205,A466,'Material routes'!$C$6:$C$2205,"Tool candidate")</x:f>
        <x:v>0</x:v>
      </x:c>
      <x:c r="AM466" s="4" t="str">
        <x:f>IF(AJ466&gt;0,"Route listed; review status/completeness",IF(C466="T0","Raw entry feed; no production route","No production route listed"))</x:f>
        <x:v>Route listed; review status/completeness</x:v>
      </x:c>
      <x:c r="AN466" s="14" t="n">
        <x:f>IF(C466="T0",0,IF(C466="T1",1,IF(C466="T2",2,IF(C466="T3",3,IF(C466="T4",4,IF(C466="Unassigned",98,99))))))</x:f>
        <x:v>3</x:v>
      </x:c>
      <x:c r="AZ466"/>
      <x:c r="BA466"/>
      <x:c r="BB466"/>
      <x:c r="BC466"/>
      <x:c r="BD466"/>
      <x:c r="BE466"/>
      <x:c r="BF466"/>
      <x:c r="BG466"/>
      <x:c r="BH466"/>
      <x:c r="BI466"/>
      <x:c r="BJ466"/>
      <x:c r="BK466"/>
      <x:c r="BL466"/>
      <x:c r="BM466"/>
      <x:c r="BN466"/>
      <x:c r="BO466"/>
      <x:c r="BP466"/>
      <x:c r="BQ466"/>
      <x:c r="BR466"/>
      <x:c r="BS466"/>
      <x:c r="BT466"/>
      <x:c r="BU466"/>
      <x:c r="BV466"/>
      <x:c r="BW466"/>
      <x:c r="BX466"/>
      <x:c r="BY466"/>
      <x:c r="BZ466"/>
      <x:c r="CA466"/>
      <x:c r="CB466"/>
      <x:c r="CC466"/>
    </x:row>
    <x:row r="467" ht="115" customHeight="1">
      <x:c r="A467" s="9" t="str">
        <x:v>proposal.t3.lining_stock</x:v>
      </x:c>
      <x:c r="B467" s="9" t="str">
        <x:v>Bonded glass-ceramic lining stock</x:v>
      </x:c>
      <x:c r="C467" s="4" t="str">
        <x:v>T3</x:v>
      </x:c>
      <x:c r="D467" s="9" t="str">
        <x:v>Manufactured stock</x:v>
      </x:c>
      <x:c r="E467" s="9" t="str">
        <x:v>T3 specialist stock / component proposal</x:v>
      </x:c>
      <x:c r="F467" s="9" t="str">
        <x:v>New proposal</x:v>
      </x:c>
      <x:c r="G467" s="9" t="str">
        <x:v>Prepared intermediate for chemical processing. T4 opportunity: Fitted chemical-vessel insert subassembly; not every faunal liquid is compatible and thermal service is separate.</x:v>
      </x:c>
      <x:c r="H467" s="9" t="str">
        <x:v>None</x:v>
      </x:c>
      <x:c r="I467" s="9" t="str">
        <x:v>Workshop / cargo stock; storage and handling unresolved</x:v>
      </x:c>
      <x:c r="J467" s="13"/>
      <x:c r="K467" s="15"/>
      <x:c r="L467" s="9" t="str">
        <x:v>Manufacture from listed T2 feedstocks; see linked recipe</x:v>
      </x:c>
      <x:c r="M467" s="9" t="str">
        <x:v>Explore supported glass-facing stock for selected vessel interiors; joints and chemical service need qualification.</x:v>
      </x:c>
      <x:c r="N467" s="9" t="str">
        <x:v>Not implemented</x:v>
      </x:c>
      <x:c r="O467" s="9" t="str">
        <x:v>Partial proposal; quantities, tools, process conditions, yields and performance remain open. Fitted chemical-vessel insert subassembly; not every faunal liquid is compatible and thermal service is separate.</x:v>
      </x:c>
      <x:c r="P467" s="17"/>
      <x:c r="Q467" s="17"/>
      <x:c r="R467" s="17"/>
      <x:c r="S467" s="17"/>
      <x:c r="T467" s="17"/>
      <x:c r="U467" s="9" t="str">
        <x:v>T3 stock can also feed a finished item directly; no mandatory T4 step. Future assembly is a planning idea, not an added T4 recipe.</x:v>
      </x:c>
      <x:c r="V467" s="11" t="str">
        <x:v>bonded glass-ceramic lining stock; tier three; chemical processing</x:v>
      </x:c>
      <x:c r="W467" s="9" t="str">
        <x:v>New October 15 game brainstorming; current author request and Docs/WORLD_BASIS.md. Not retrieved source canon.</x:v>
      </x:c>
      <x:c r="X467" s="4" t="str">
        <x:v>Processed material</x:v>
      </x:c>
      <x:c r="Y467" s="4" t="str">
        <x:v>Processed intermediate</x:v>
      </x:c>
      <x:c r="Z467" s="4" t="str">
        <x:v>Manufactured / unresolved</x:v>
      </x:c>
      <x:c r="AA467" s="4" t="str">
        <x:v>Chemical processing</x:v>
      </x:c>
      <x:c r="AB467" s="4" t="str">
        <x:v>Mixed / unresolved</x:v>
      </x:c>
      <x:c r="AC467" s="4" t="str">
        <x:v>Panel</x:v>
      </x:c>
      <x:c r="AD467" s="4" t="str">
        <x:v>Proposal</x:v>
      </x:c>
      <x:c r="AE467" s="4" t="str">
        <x:f>LOWER(A467&amp;"; "&amp;B467&amp;"; "&amp;D467&amp;"; "&amp;E467&amp;"; "&amp;X467&amp;"; "&amp;Y467&amp;"; "&amp;Z467&amp;"; "&amp;AA467&amp;"; "&amp;AB467&amp;"; "&amp;AC467&amp;"; "&amp;AD467&amp;"; "&amp;V467&amp;"; "&amp;C467&amp;"; "&amp;AH467&amp;"; "&amp;AI467)</x:f>
        <x:v>proposal.t3.lining_stock; bonded glass-ceramic lining stock; manufactured stock; t3 specialist stock / component proposal; processed material; processed intermediate; manufactured / unresolved; chemical processing; mixed / unresolved; panel; proposal; bonded glass-ceramic lining stock; tier three; chemical processing; t3; not applicable; material</x:v>
      </x:c>
      <x:c r="AF467" s="4" t="str">
        <x:v>New intended workshop role; actual performance requires qualification. Lore category review: Resources -&gt; Manufactured stock. Classification only; original item status and tier retained.</x:v>
      </x:c>
      <x:c r="AG467" s="4" t="str">
        <x:v>Proposed T3: one stage above highest listed T2 ingredient; partial recipe may change.</x:v>
      </x:c>
      <x:c r="AH467" s="4" t="str">
        <x:v>Not applicable</x:v>
      </x:c>
      <x:c r="AI467" s="4" t="str">
        <x:v>Material</x:v>
      </x:c>
      <x:c r="AJ467" s="4" t="n">
        <x:f>COUNTIFS('Material routes'!$D$6:$D$2205,A467,'Material routes'!$C$6:$C$2205,"Output")</x:f>
        <x:v>1</x:v>
      </x:c>
      <x:c r="AK467" s="4" t="n">
        <x:f>SUM(COUNTIFS('Material routes'!$D$6:$D$2205,A467,'Material routes'!$C$6:$C$2205,"Ingredient candidate"),COUNTIFS('Material routes'!$D$6:$D$2205,A467,'Material routes'!$C$6:$C$2205,"Consumed input"),COUNTIFS('Material routes'!$D$6:$D$2205,A467,'Material routes'!$C$6:$C$2205,"Contained input"),COUNTIFS('Material routes'!$D$6:$D$2205,A467,'Material routes'!$C$6:$C$2205,"Transform input"))</x:f>
        <x:v>1</x:v>
      </x:c>
      <x:c r="AL467" s="4" t="n">
        <x:f>COUNTIFS('Material routes'!$D$6:$D$2205,A467,'Material routes'!$C$6:$C$2205,"Tool candidate")</x:f>
        <x:v>0</x:v>
      </x:c>
      <x:c r="AM467" s="4" t="str">
        <x:f>IF(AJ467&gt;0,"Route listed; review status/completeness",IF(C467="T0","Raw entry feed; no production route","No production route listed"))</x:f>
        <x:v>Route listed; review status/completeness</x:v>
      </x:c>
      <x:c r="AN467" s="14" t="n">
        <x:f>IF(C467="T0",0,IF(C467="T1",1,IF(C467="T2",2,IF(C467="T3",3,IF(C467="T4",4,IF(C467="Unassigned",98,99))))))</x:f>
        <x:v>3</x:v>
      </x:c>
      <x:c r="AZ467"/>
      <x:c r="BA467"/>
      <x:c r="BB467"/>
      <x:c r="BC467"/>
      <x:c r="BD467"/>
      <x:c r="BE467"/>
      <x:c r="BF467"/>
      <x:c r="BG467"/>
      <x:c r="BH467"/>
      <x:c r="BI467"/>
      <x:c r="BJ467"/>
      <x:c r="BK467"/>
      <x:c r="BL467"/>
      <x:c r="BM467"/>
      <x:c r="BN467"/>
      <x:c r="BO467"/>
      <x:c r="BP467"/>
      <x:c r="BQ467"/>
      <x:c r="BR467"/>
      <x:c r="BS467"/>
      <x:c r="BT467"/>
      <x:c r="BU467"/>
      <x:c r="BV467"/>
      <x:c r="BW467"/>
      <x:c r="BX467"/>
      <x:c r="BY467"/>
      <x:c r="BZ467"/>
      <x:c r="CA467"/>
      <x:c r="CB467"/>
      <x:c r="CC467"/>
    </x:row>
    <x:row r="468" ht="115" customHeight="1">
      <x:c r="A468" s="9" t="str">
        <x:v>proposal.t4.drive_cassette</x:v>
      </x:c>
      <x:c r="B468" s="9" t="str">
        <x:v>Matched mechanical drive cassette</x:v>
      </x:c>
      <x:c r="C468" s="4" t="str">
        <x:v>T4</x:v>
      </x:c>
      <x:c r="D468" s="9" t="str">
        <x:v>Crafting components</x:v>
      </x:c>
      <x:c r="E468" s="9" t="str">
        <x:v>T4 specialist stock / component proposal</x:v>
      </x:c>
      <x:c r="F468" s="9" t="str">
        <x:v>New proposal</x:v>
      </x:c>
      <x:c r="G468" s="9" t="str">
        <x:v>Prepared intermediate for machinery repair. Intended downstream use: Legger mechanisms or city machinery; each requires its own fit, load and power source.</x:v>
      </x:c>
      <x:c r="H468" s="9" t="str">
        <x:v>None</x:v>
      </x:c>
      <x:c r="I468" s="9" t="str">
        <x:v>Workshop / cargo stock; storage and handling unresolved</x:v>
      </x:c>
      <x:c r="J468" s="13"/>
      <x:c r="K468" s="15"/>
      <x:c r="L468" s="9" t="str">
        <x:v>Manufacture from listed T3 and lower-tier feedstocks; see linked recipe</x:v>
      </x:c>
      <x:c r="M468" s="9" t="str">
        <x:v>Fit candidate gears, bearings and shaft housing as a replaceable intermediate drive module; ratios, machining and interfaces remain open.</x:v>
      </x:c>
      <x:c r="N468" s="9" t="str">
        <x:v>Not implemented</x:v>
      </x:c>
      <x:c r="O468" s="9" t="str">
        <x:v>Partial proposal; quantities, tools, process conditions, yields and performance remain open. Legger mechanisms or city machinery; each requires its own fit, load and power source.</x:v>
      </x:c>
      <x:c r="P468" s="17"/>
      <x:c r="Q468" s="17"/>
      <x:c r="R468" s="17"/>
      <x:c r="S468" s="17"/>
      <x:c r="T468" s="17"/>
      <x:c r="U468" s="9" t="str">
        <x:v>T4 is the final planned refinement tier. This remains intermediate stock or a component; fitted finished products are classified separately.</x:v>
      </x:c>
      <x:c r="V468" s="11" t="str">
        <x:v>matched mechanical drive cassette; tier four; machinery repair</x:v>
      </x:c>
      <x:c r="W468" s="9" t="str">
        <x:v>New October 15 game brainstorming; current author request and Docs/WORLD_BASIS.md. Not retrieved source canon.</x:v>
      </x:c>
      <x:c r="X468" s="4" t="str">
        <x:v>Crafting component</x:v>
      </x:c>
      <x:c r="Y468" s="4" t="str">
        <x:v>Processed intermediate</x:v>
      </x:c>
      <x:c r="Z468" s="4" t="str">
        <x:v>Manufactured / unresolved</x:v>
      </x:c>
      <x:c r="AA468" s="4" t="str">
        <x:v>Machinery repair</x:v>
      </x:c>
      <x:c r="AB468" s="4" t="str">
        <x:v>Mixed / unresolved</x:v>
      </x:c>
      <x:c r="AC468" s="4" t="str">
        <x:v>Assembly</x:v>
      </x:c>
      <x:c r="AD468" s="4" t="str">
        <x:v>Proposal</x:v>
      </x:c>
      <x:c r="AE468" s="4" t="str">
        <x:f>LOWER(A468&amp;"; "&amp;B468&amp;"; "&amp;D468&amp;"; "&amp;E468&amp;"; "&amp;X468&amp;"; "&amp;Y468&amp;"; "&amp;Z468&amp;"; "&amp;AA468&amp;"; "&amp;AB468&amp;"; "&amp;AC468&amp;"; "&amp;AD468&amp;"; "&amp;V468&amp;"; "&amp;C468&amp;"; "&amp;AH468&amp;"; "&amp;AI468)</x:f>
        <x:v>proposal.t4.drive_cassette; matched mechanical drive cassette; crafting components; t4 specialist stock / component proposal; crafting component; processed intermediate; manufactured / unresolved; machinery repair; mixed / unresolved; assembly; proposal; matched mechanical drive cassette; tier four; machinery repair; t4; not applicable; component</x:v>
      </x:c>
      <x:c r="AF468" s="4" t="str">
        <x:v>New intended workshop role; actual performance requires qualification.</x:v>
      </x:c>
      <x:c r="AG468" s="4" t="str">
        <x:v>Proposed T4: one stage above highest listed T3 ingredient; partial recipe may change.</x:v>
      </x:c>
      <x:c r="AH468" s="4" t="str">
        <x:v>Not applicable</x:v>
      </x:c>
      <x:c r="AI468" s="4" t="str">
        <x:v>Component</x:v>
      </x:c>
      <x:c r="AJ468" s="4" t="n">
        <x:f>COUNTIFS('Material routes'!$D$6:$D$2205,A468,'Material routes'!$C$6:$C$2205,"Output")</x:f>
        <x:v>1</x:v>
      </x:c>
      <x:c r="AK468" s="4" t="n">
        <x:f>SUM(COUNTIFS('Material routes'!$D$6:$D$2205,A468,'Material routes'!$C$6:$C$2205,"Ingredient candidate"),COUNTIFS('Material routes'!$D$6:$D$2205,A468,'Material routes'!$C$6:$C$2205,"Consumed input"),COUNTIFS('Material routes'!$D$6:$D$2205,A468,'Material routes'!$C$6:$C$2205,"Contained input"),COUNTIFS('Material routes'!$D$6:$D$2205,A468,'Material routes'!$C$6:$C$2205,"Transform input"))</x:f>
        <x:v>2</x:v>
      </x:c>
      <x:c r="AL468" s="4" t="n">
        <x:f>COUNTIFS('Material routes'!$D$6:$D$2205,A468,'Material routes'!$C$6:$C$2205,"Tool candidate")</x:f>
        <x:v>0</x:v>
      </x:c>
      <x:c r="AM468" s="4" t="str">
        <x:f>IF(AJ468&gt;0,"Route listed; review status/completeness",IF(C468="T0","Raw entry feed; no production route","No production route listed"))</x:f>
        <x:v>Route listed; review status/completeness</x:v>
      </x:c>
      <x:c r="AN468" s="14" t="n">
        <x:f>IF(C468="T0",0,IF(C468="T1",1,IF(C468="T2",2,IF(C468="T3",3,IF(C468="T4",4,IF(C468="Unassigned",98,99))))))</x:f>
        <x:v>4</x:v>
      </x:c>
      <x:c r="AZ468"/>
      <x:c r="BA468"/>
      <x:c r="BB468"/>
      <x:c r="BC468"/>
      <x:c r="BD468"/>
      <x:c r="BE468"/>
      <x:c r="BF468"/>
      <x:c r="BG468"/>
      <x:c r="BH468"/>
      <x:c r="BI468"/>
      <x:c r="BJ468"/>
      <x:c r="BK468"/>
      <x:c r="BL468"/>
      <x:c r="BM468"/>
      <x:c r="BN468"/>
      <x:c r="BO468"/>
      <x:c r="BP468"/>
      <x:c r="BQ468"/>
      <x:c r="BR468"/>
      <x:c r="BS468"/>
      <x:c r="BT468"/>
      <x:c r="BU468"/>
      <x:c r="BV468"/>
      <x:c r="BW468"/>
      <x:c r="BX468"/>
      <x:c r="BY468"/>
      <x:c r="BZ468"/>
      <x:c r="CA468"/>
      <x:c r="CB468"/>
      <x:c r="CC468"/>
    </x:row>
    <x:row r="469" ht="115" customHeight="1">
      <x:c r="A469" s="9" t="str">
        <x:v>proposal.t4.bearing_cartridge</x:v>
      </x:c>
      <x:c r="B469" s="9" t="str">
        <x:v>Dust-excluding bearing cartridge</x:v>
      </x:c>
      <x:c r="C469" s="4" t="str">
        <x:v>T4</x:v>
      </x:c>
      <x:c r="D469" s="9" t="str">
        <x:v>Crafting components</x:v>
      </x:c>
      <x:c r="E469" s="9" t="str">
        <x:v>T4 specialist stock / component proposal</x:v>
      </x:c>
      <x:c r="F469" s="9" t="str">
        <x:v>New proposal</x:v>
      </x:c>
      <x:c r="G469" s="9" t="str">
        <x:v>Prepared intermediate for machinery repair. Intended downstream use: Machine joints, wheel assemblies and wind devices; no universal cartridge dimensions.</x:v>
      </x:c>
      <x:c r="H469" s="9" t="str">
        <x:v>None</x:v>
      </x:c>
      <x:c r="I469" s="9" t="str">
        <x:v>Workshop / cargo stock; storage and handling unresolved</x:v>
      </x:c>
      <x:c r="J469" s="13"/>
      <x:c r="K469" s="15"/>
      <x:c r="L469" s="9" t="str">
        <x:v>Manufacture from listed T3 and lower-tier feedstocks; see linked recipe</x:v>
      </x:c>
      <x:c r="M469" s="9" t="str">
        <x:v>Match bearing, housing, packing and lubricant; exclusion and friction behavior require qualification.</x:v>
      </x:c>
      <x:c r="N469" s="9" t="str">
        <x:v>Not implemented</x:v>
      </x:c>
      <x:c r="O469" s="9" t="str">
        <x:v>Partial proposal; quantities, tools, process conditions, yields and performance remain open. Machine joints, wheel assemblies and wind devices; no universal cartridge dimensions.</x:v>
      </x:c>
      <x:c r="P469" s="17"/>
      <x:c r="Q469" s="17"/>
      <x:c r="R469" s="17"/>
      <x:c r="S469" s="17"/>
      <x:c r="T469" s="17"/>
      <x:c r="U469" s="9" t="str">
        <x:v>T4 is the final planned refinement tier. This remains intermediate stock or a component; fitted finished products are classified separately.</x:v>
      </x:c>
      <x:c r="V469" s="11" t="str">
        <x:v>dust-excluding bearing cartridge; tier four; machinery repair</x:v>
      </x:c>
      <x:c r="W469" s="9" t="str">
        <x:v>New October 15 game brainstorming; current author request and Docs/WORLD_BASIS.md. Not retrieved source canon.</x:v>
      </x:c>
      <x:c r="X469" s="4" t="str">
        <x:v>Crafting component</x:v>
      </x:c>
      <x:c r="Y469" s="4" t="str">
        <x:v>Processed intermediate</x:v>
      </x:c>
      <x:c r="Z469" s="4" t="str">
        <x:v>Manufactured / unresolved</x:v>
      </x:c>
      <x:c r="AA469" s="4" t="str">
        <x:v>Machinery repair</x:v>
      </x:c>
      <x:c r="AB469" s="4" t="str">
        <x:v>Mixed / unresolved</x:v>
      </x:c>
      <x:c r="AC469" s="4" t="str">
        <x:v>Assembly</x:v>
      </x:c>
      <x:c r="AD469" s="4" t="str">
        <x:v>Proposal</x:v>
      </x:c>
      <x:c r="AE469" s="4" t="str">
        <x:f>LOWER(A469&amp;"; "&amp;B469&amp;"; "&amp;D469&amp;"; "&amp;E469&amp;"; "&amp;X469&amp;"; "&amp;Y469&amp;"; "&amp;Z469&amp;"; "&amp;AA469&amp;"; "&amp;AB469&amp;"; "&amp;AC469&amp;"; "&amp;AD469&amp;"; "&amp;V469&amp;"; "&amp;C469&amp;"; "&amp;AH469&amp;"; "&amp;AI469)</x:f>
        <x:v>proposal.t4.bearing_cartridge; dust-excluding bearing cartridge; crafting components; t4 specialist stock / component proposal; crafting component; processed intermediate; manufactured / unresolved; machinery repair; mixed / unresolved; assembly; proposal; dust-excluding bearing cartridge; tier four; machinery repair; t4; not applicable; component</x:v>
      </x:c>
      <x:c r="AF469" s="4" t="str">
        <x:v>New intended workshop role; actual performance requires qualification.</x:v>
      </x:c>
      <x:c r="AG469" s="4" t="str">
        <x:v>Proposed T4: one stage above highest listed T3 ingredient; partial recipe may change.</x:v>
      </x:c>
      <x:c r="AH469" s="4" t="str">
        <x:v>Not applicable</x:v>
      </x:c>
      <x:c r="AI469" s="4" t="str">
        <x:v>Component</x:v>
      </x:c>
      <x:c r="AJ469" s="4" t="n">
        <x:f>COUNTIFS('Material routes'!$D$6:$D$2205,A469,'Material routes'!$C$6:$C$2205,"Output")</x:f>
        <x:v>1</x:v>
      </x:c>
      <x:c r="AK469" s="4" t="n">
        <x:f>SUM(COUNTIFS('Material routes'!$D$6:$D$2205,A469,'Material routes'!$C$6:$C$2205,"Ingredient candidate"),COUNTIFS('Material routes'!$D$6:$D$2205,A469,'Material routes'!$C$6:$C$2205,"Consumed input"),COUNTIFS('Material routes'!$D$6:$D$2205,A469,'Material routes'!$C$6:$C$2205,"Contained input"),COUNTIFS('Material routes'!$D$6:$D$2205,A469,'Material routes'!$C$6:$C$2205,"Transform input"))</x:f>
        <x:v>0</x:v>
      </x:c>
      <x:c r="AL469" s="4" t="n">
        <x:f>COUNTIFS('Material routes'!$D$6:$D$2205,A469,'Material routes'!$C$6:$C$2205,"Tool candidate")</x:f>
        <x:v>0</x:v>
      </x:c>
      <x:c r="AM469" s="4" t="str">
        <x:f>IF(AJ469&gt;0,"Route listed; review status/completeness",IF(C469="T0","Raw entry feed; no production route","No production route listed"))</x:f>
        <x:v>Route listed; review status/completeness</x:v>
      </x:c>
      <x:c r="AN469" s="14" t="n">
        <x:f>IF(C469="T0",0,IF(C469="T1",1,IF(C469="T2",2,IF(C469="T3",3,IF(C469="T4",4,IF(C469="Unassigned",98,99))))))</x:f>
        <x:v>4</x:v>
      </x:c>
      <x:c r="AZ469"/>
      <x:c r="BA469"/>
      <x:c r="BB469"/>
      <x:c r="BC469"/>
      <x:c r="BD469"/>
      <x:c r="BE469"/>
      <x:c r="BF469"/>
      <x:c r="BG469"/>
      <x:c r="BH469"/>
      <x:c r="BI469"/>
      <x:c r="BJ469"/>
      <x:c r="BK469"/>
      <x:c r="BL469"/>
      <x:c r="BM469"/>
      <x:c r="BN469"/>
      <x:c r="BO469"/>
      <x:c r="BP469"/>
      <x:c r="BQ469"/>
      <x:c r="BR469"/>
      <x:c r="BS469"/>
      <x:c r="BT469"/>
      <x:c r="BU469"/>
      <x:c r="BV469"/>
      <x:c r="BW469"/>
      <x:c r="BX469"/>
      <x:c r="BY469"/>
      <x:c r="BZ469"/>
      <x:c r="CA469"/>
      <x:c r="CB469"/>
      <x:c r="CC469"/>
    </x:row>
    <x:row r="470" ht="115" customHeight="1">
      <x:c r="A470" s="9" t="str">
        <x:v>proposal.t4.grounding_harness</x:v>
      </x:c>
      <x:c r="B470" s="9" t="str">
        <x:v>Terminated grounding harness</x:v>
      </x:c>
      <x:c r="C470" s="4" t="str">
        <x:v>T4</x:v>
      </x:c>
      <x:c r="D470" s="9" t="str">
        <x:v>Crafting components</x:v>
      </x:c>
      <x:c r="E470" s="9" t="str">
        <x:v>T4 specialist stock / component proposal</x:v>
      </x:c>
      <x:c r="F470" s="9" t="str">
        <x:v>New proposal</x:v>
      </x:c>
      <x:c r="G470" s="9" t="str">
        <x:v>Prepared intermediate for electrical conduction. Intended downstream use: Booter grounding equipment or stationary apparatus; effective ground contact remains a separate requirement.</x:v>
      </x:c>
      <x:c r="H470" s="9" t="str">
        <x:v>None</x:v>
      </x:c>
      <x:c r="I470" s="9" t="str">
        <x:v>Workshop / cargo stock; storage and handling unresolved</x:v>
      </x:c>
      <x:c r="J470" s="13"/>
      <x:c r="K470" s="15"/>
      <x:c r="L470" s="9" t="str">
        <x:v>Manufacture from listed T3 and lower-tier feedstocks; see linked recipe</x:v>
      </x:c>
      <x:c r="M470" s="9" t="str">
        <x:v>Attach qualified terminals, retention and strain relief to prepared grounding stock.</x:v>
      </x:c>
      <x:c r="N470" s="9" t="str">
        <x:v>Not implemented</x:v>
      </x:c>
      <x:c r="O470" s="9" t="str">
        <x:v>Partial proposal; quantities, tools, process conditions, yields and performance remain open. Booter grounding equipment or stationary apparatus; effective ground contact remains a separate requirement.</x:v>
      </x:c>
      <x:c r="P470" s="17"/>
      <x:c r="Q470" s="17"/>
      <x:c r="R470" s="17"/>
      <x:c r="S470" s="17"/>
      <x:c r="T470" s="17"/>
      <x:c r="U470" s="9" t="str">
        <x:v>T4 is the final planned refinement tier. This remains intermediate stock or a component; fitted finished products are classified separately.</x:v>
      </x:c>
      <x:c r="V470" s="11" t="str">
        <x:v>terminated grounding harness; tier four; electrical conduction</x:v>
      </x:c>
      <x:c r="W470" s="9" t="str">
        <x:v>New October 15 game brainstorming; current author request and Docs/WORLD_BASIS.md. Not retrieved source canon.</x:v>
      </x:c>
      <x:c r="X470" s="4" t="str">
        <x:v>Crafting component</x:v>
      </x:c>
      <x:c r="Y470" s="4" t="str">
        <x:v>Processed intermediate</x:v>
      </x:c>
      <x:c r="Z470" s="4" t="str">
        <x:v>Manufactured / unresolved</x:v>
      </x:c>
      <x:c r="AA470" s="4" t="str">
        <x:v>Electrical conduction</x:v>
      </x:c>
      <x:c r="AB470" s="4" t="str">
        <x:v>Mixed / unresolved</x:v>
      </x:c>
      <x:c r="AC470" s="4" t="str">
        <x:v>Assembly</x:v>
      </x:c>
      <x:c r="AD470" s="4" t="str">
        <x:v>Proposal</x:v>
      </x:c>
      <x:c r="AE470" s="4" t="str">
        <x:f>LOWER(A470&amp;"; "&amp;B470&amp;"; "&amp;D470&amp;"; "&amp;E470&amp;"; "&amp;X470&amp;"; "&amp;Y470&amp;"; "&amp;Z470&amp;"; "&amp;AA470&amp;"; "&amp;AB470&amp;"; "&amp;AC470&amp;"; "&amp;AD470&amp;"; "&amp;V470&amp;"; "&amp;C470&amp;"; "&amp;AH470&amp;"; "&amp;AI470)</x:f>
        <x:v>proposal.t4.grounding_harness; terminated grounding harness; crafting components; t4 specialist stock / component proposal; crafting component; processed intermediate; manufactured / unresolved; electrical conduction; mixed / unresolved; assembly; proposal; terminated grounding harness; tier four; electrical conduction; t4; not applicable; component</x:v>
      </x:c>
      <x:c r="AF470" s="4" t="str">
        <x:v>New intended workshop role; actual performance requires qualification.</x:v>
      </x:c>
      <x:c r="AG470" s="4" t="str">
        <x:v>Proposed T4: one stage above highest listed T3 ingredient; partial recipe may change.</x:v>
      </x:c>
      <x:c r="AH470" s="4" t="str">
        <x:v>Not applicable</x:v>
      </x:c>
      <x:c r="AI470" s="4" t="str">
        <x:v>Component</x:v>
      </x:c>
      <x:c r="AJ470" s="4" t="n">
        <x:f>COUNTIFS('Material routes'!$D$6:$D$2205,A470,'Material routes'!$C$6:$C$2205,"Output")</x:f>
        <x:v>1</x:v>
      </x:c>
      <x:c r="AK470" s="4" t="n">
        <x:f>SUM(COUNTIFS('Material routes'!$D$6:$D$2205,A470,'Material routes'!$C$6:$C$2205,"Ingredient candidate"),COUNTIFS('Material routes'!$D$6:$D$2205,A470,'Material routes'!$C$6:$C$2205,"Consumed input"),COUNTIFS('Material routes'!$D$6:$D$2205,A470,'Material routes'!$C$6:$C$2205,"Contained input"),COUNTIFS('Material routes'!$D$6:$D$2205,A470,'Material routes'!$C$6:$C$2205,"Transform input"))</x:f>
        <x:v>5</x:v>
      </x:c>
      <x:c r="AL470" s="4" t="n">
        <x:f>COUNTIFS('Material routes'!$D$6:$D$2205,A470,'Material routes'!$C$6:$C$2205,"Tool candidate")</x:f>
        <x:v>0</x:v>
      </x:c>
      <x:c r="AM470" s="4" t="str">
        <x:f>IF(AJ470&gt;0,"Route listed; review status/completeness",IF(C470="T0","Raw entry feed; no production route","No production route listed"))</x:f>
        <x:v>Route listed; review status/completeness</x:v>
      </x:c>
      <x:c r="AN470" s="14" t="n">
        <x:f>IF(C470="T0",0,IF(C470="T1",1,IF(C470="T2",2,IF(C470="T3",3,IF(C470="T4",4,IF(C470="Unassigned",98,99))))))</x:f>
        <x:v>4</x:v>
      </x:c>
      <x:c r="AZ470"/>
      <x:c r="BA470"/>
      <x:c r="BB470"/>
      <x:c r="BC470"/>
      <x:c r="BD470"/>
      <x:c r="BE470"/>
      <x:c r="BF470"/>
      <x:c r="BG470"/>
      <x:c r="BH470"/>
      <x:c r="BI470"/>
      <x:c r="BJ470"/>
      <x:c r="BK470"/>
      <x:c r="BL470"/>
      <x:c r="BM470"/>
      <x:c r="BN470"/>
      <x:c r="BO470"/>
      <x:c r="BP470"/>
      <x:c r="BQ470"/>
      <x:c r="BR470"/>
      <x:c r="BS470"/>
      <x:c r="BT470"/>
      <x:c r="BU470"/>
      <x:c r="BV470"/>
      <x:c r="BW470"/>
      <x:c r="BX470"/>
      <x:c r="BY470"/>
      <x:c r="BZ470"/>
      <x:c r="CA470"/>
      <x:c r="CB470"/>
      <x:c r="CC470"/>
    </x:row>
    <x:row r="471" ht="115" customHeight="1">
      <x:c r="A471" s="9" t="str">
        <x:v>proposal.t4.insulated_winding</x:v>
      </x:c>
      <x:c r="B471" s="9" t="str">
        <x:v>Insulated winding subassembly</x:v>
      </x:c>
      <x:c r="C471" s="4" t="str">
        <x:v>T4</x:v>
      </x:c>
      <x:c r="D471" s="9" t="str">
        <x:v>Crafting components</x:v>
      </x:c>
      <x:c r="E471" s="9" t="str">
        <x:v>T4 specialist stock / component proposal</x:v>
      </x:c>
      <x:c r="F471" s="9" t="str">
        <x:v>New proposal</x:v>
      </x:c>
      <x:c r="G471" s="9" t="str">
        <x:v>Prepared intermediate for electrical conduction. Intended downstream use: Radio or magnetic-device components after circuit-specific design; no generator or field effect is supplied by the winding alone.</x:v>
      </x:c>
      <x:c r="H471" s="9" t="str">
        <x:v>None</x:v>
      </x:c>
      <x:c r="I471" s="9" t="str">
        <x:v>Workshop / cargo stock; storage and handling unresolved</x:v>
      </x:c>
      <x:c r="J471" s="13"/>
      <x:c r="K471" s="15"/>
      <x:c r="L471" s="9" t="str">
        <x:v>Manufacture from listed T3 and lower-tier feedstocks; see linked recipe</x:v>
      </x:c>
      <x:c r="M471" s="9" t="str">
        <x:v>Explore a fitted winding, insulated leads and spacing supports; turn isolation, heat and electrical service remain unresolved.</x:v>
      </x:c>
      <x:c r="N471" s="9" t="str">
        <x:v>Not implemented</x:v>
      </x:c>
      <x:c r="O471" s="9" t="str">
        <x:v>Partial proposal; quantities, tools, process conditions, yields and performance remain open. Radio or magnetic-device components after circuit-specific design; no generator or field effect is supplied by the winding alone.</x:v>
      </x:c>
      <x:c r="P471" s="17"/>
      <x:c r="Q471" s="17"/>
      <x:c r="R471" s="17"/>
      <x:c r="S471" s="17"/>
      <x:c r="T471" s="17"/>
      <x:c r="U471" s="9" t="str">
        <x:v>T4 is the final planned refinement tier. This remains intermediate stock or a component; fitted finished products are classified separately.</x:v>
      </x:c>
      <x:c r="V471" s="11" t="str">
        <x:v>insulated winding subassembly; tier four; electrical conduction</x:v>
      </x:c>
      <x:c r="W471" s="9" t="str">
        <x:v>New October 15 game brainstorming; current author request and Docs/WORLD_BASIS.md. Not retrieved source canon.</x:v>
      </x:c>
      <x:c r="X471" s="4" t="str">
        <x:v>Crafting component</x:v>
      </x:c>
      <x:c r="Y471" s="4" t="str">
        <x:v>Processed intermediate</x:v>
      </x:c>
      <x:c r="Z471" s="4" t="str">
        <x:v>Manufactured / unresolved</x:v>
      </x:c>
      <x:c r="AA471" s="4" t="str">
        <x:v>Electrical conduction</x:v>
      </x:c>
      <x:c r="AB471" s="4" t="str">
        <x:v>Mixed / unresolved</x:v>
      </x:c>
      <x:c r="AC471" s="4" t="str">
        <x:v>Assembly</x:v>
      </x:c>
      <x:c r="AD471" s="4" t="str">
        <x:v>Proposal</x:v>
      </x:c>
      <x:c r="AE471" s="4" t="str">
        <x:f>LOWER(A471&amp;"; "&amp;B471&amp;"; "&amp;D471&amp;"; "&amp;E471&amp;"; "&amp;X471&amp;"; "&amp;Y471&amp;"; "&amp;Z471&amp;"; "&amp;AA471&amp;"; "&amp;AB471&amp;"; "&amp;AC471&amp;"; "&amp;AD471&amp;"; "&amp;V471&amp;"; "&amp;C471&amp;"; "&amp;AH471&amp;"; "&amp;AI471)</x:f>
        <x:v>proposal.t4.insulated_winding; insulated winding subassembly; crafting components; t4 specialist stock / component proposal; crafting component; processed intermediate; manufactured / unresolved; electrical conduction; mixed / unresolved; assembly; proposal; insulated winding subassembly; tier four; electrical conduction; t4; not applicable; component</x:v>
      </x:c>
      <x:c r="AF471" s="4" t="str">
        <x:v>New intended workshop role; actual performance requires qualification.</x:v>
      </x:c>
      <x:c r="AG471" s="4" t="str">
        <x:v>Proposed T4: one stage above highest listed T3 ingredient; partial recipe may change.</x:v>
      </x:c>
      <x:c r="AH471" s="4" t="str">
        <x:v>Not applicable</x:v>
      </x:c>
      <x:c r="AI471" s="4" t="str">
        <x:v>Component</x:v>
      </x:c>
      <x:c r="AJ471" s="4" t="n">
        <x:f>COUNTIFS('Material routes'!$D$6:$D$2205,A471,'Material routes'!$C$6:$C$2205,"Output")</x:f>
        <x:v>2</x:v>
      </x:c>
      <x:c r="AK471" s="4" t="n">
        <x:f>SUM(COUNTIFS('Material routes'!$D$6:$D$2205,A471,'Material routes'!$C$6:$C$2205,"Ingredient candidate"),COUNTIFS('Material routes'!$D$6:$D$2205,A471,'Material routes'!$C$6:$C$2205,"Consumed input"),COUNTIFS('Material routes'!$D$6:$D$2205,A471,'Material routes'!$C$6:$C$2205,"Contained input"),COUNTIFS('Material routes'!$D$6:$D$2205,A471,'Material routes'!$C$6:$C$2205,"Transform input"))</x:f>
        <x:v>4</x:v>
      </x:c>
      <x:c r="AL471" s="4" t="n">
        <x:f>COUNTIFS('Material routes'!$D$6:$D$2205,A471,'Material routes'!$C$6:$C$2205,"Tool candidate")</x:f>
        <x:v>0</x:v>
      </x:c>
      <x:c r="AM471" s="4" t="str">
        <x:f>IF(AJ471&gt;0,"Route listed; review status/completeness",IF(C471="T0","Raw entry feed; no production route","No production route listed"))</x:f>
        <x:v>Route listed; review status/completeness</x:v>
      </x:c>
      <x:c r="AN471" s="14" t="n">
        <x:f>IF(C471="T0",0,IF(C471="T1",1,IF(C471="T2",2,IF(C471="T3",3,IF(C471="T4",4,IF(C471="Unassigned",98,99))))))</x:f>
        <x:v>4</x:v>
      </x:c>
      <x:c r="AZ471"/>
      <x:c r="BA471"/>
      <x:c r="BB471"/>
      <x:c r="BC471"/>
      <x:c r="BD471"/>
      <x:c r="BE471"/>
      <x:c r="BF471"/>
      <x:c r="BG471"/>
      <x:c r="BH471"/>
      <x:c r="BI471"/>
      <x:c r="BJ471"/>
      <x:c r="BK471"/>
      <x:c r="BL471"/>
      <x:c r="BM471"/>
      <x:c r="BN471"/>
      <x:c r="BO471"/>
      <x:c r="BP471"/>
      <x:c r="BQ471"/>
      <x:c r="BR471"/>
      <x:c r="BS471"/>
      <x:c r="BT471"/>
      <x:c r="BU471"/>
      <x:c r="BV471"/>
      <x:c r="BW471"/>
      <x:c r="BX471"/>
      <x:c r="BY471"/>
      <x:c r="BZ471"/>
      <x:c r="CA471"/>
      <x:c r="CB471"/>
      <x:c r="CC471"/>
    </x:row>
    <x:row r="472" ht="115" customHeight="1">
      <x:c r="A472" s="9" t="str">
        <x:v>proposal.t4.radio_tuning</x:v>
      </x:c>
      <x:c r="B472" s="9" t="str">
        <x:v>Radio tuning support block</x:v>
      </x:c>
      <x:c r="C472" s="4" t="str">
        <x:v>T4</x:v>
      </x:c>
      <x:c r="D472" s="9" t="str">
        <x:v>Crafting components</x:v>
      </x:c>
      <x:c r="E472" s="9" t="str">
        <x:v>T4 specialist stock / component proposal</x:v>
      </x:c>
      <x:c r="F472" s="9" t="str">
        <x:v>New proposal</x:v>
      </x:c>
      <x:c r="G472" s="9" t="str">
        <x:v>Prepared intermediate for equipment fabrication. Intended downstream use: Crude reverse-engineered two-way radio; transmitter, receiver, power and antenna remain separate unresolved requirements.</x:v>
      </x:c>
      <x:c r="H472" s="9" t="str">
        <x:v>None</x:v>
      </x:c>
      <x:c r="I472" s="9" t="str">
        <x:v>Workshop / cargo stock; storage and handling unresolved</x:v>
      </x:c>
      <x:c r="J472" s="13"/>
      <x:c r="K472" s="15"/>
      <x:c r="L472" s="9" t="str">
        <x:v>Manufacture from listed T3 and lower-tier feedstocks; see linked recipe</x:v>
      </x:c>
      <x:c r="M472" s="9" t="str">
        <x:v>Fit candidate coil and contact supports for an adjustable radio circuit; tuning elements and circuit design are still missing.</x:v>
      </x:c>
      <x:c r="N472" s="9" t="str">
        <x:v>Not implemented</x:v>
      </x:c>
      <x:c r="O472" s="9" t="str">
        <x:v>Partial proposal; quantities, tools, process conditions, yields and performance remain open. Crude reverse-engineered two-way radio; transmitter, receiver, power and antenna remain separate unresolved requirements.</x:v>
      </x:c>
      <x:c r="P472" s="17"/>
      <x:c r="Q472" s="17"/>
      <x:c r="R472" s="17"/>
      <x:c r="S472" s="17"/>
      <x:c r="T472" s="17"/>
      <x:c r="U472" s="9" t="str">
        <x:v>T4 is the final planned refinement tier. This remains intermediate stock or a component; fitted finished products are classified separately.</x:v>
      </x:c>
      <x:c r="V472" s="11" t="str">
        <x:v>radio tuning support block; tier four; equipment fabrication</x:v>
      </x:c>
      <x:c r="W472" s="9" t="str">
        <x:v>New October 15 game brainstorming; current author request and Docs/WORLD_BASIS.md. Not retrieved source canon.</x:v>
      </x:c>
      <x:c r="X472" s="4" t="str">
        <x:v>Crafting component</x:v>
      </x:c>
      <x:c r="Y472" s="4" t="str">
        <x:v>Processed intermediate</x:v>
      </x:c>
      <x:c r="Z472" s="4" t="str">
        <x:v>Manufactured / unresolved</x:v>
      </x:c>
      <x:c r="AA472" s="4" t="str">
        <x:v>Equipment fabrication</x:v>
      </x:c>
      <x:c r="AB472" s="4" t="str">
        <x:v>Mixed / unresolved</x:v>
      </x:c>
      <x:c r="AC472" s="4" t="str">
        <x:v>Assembly</x:v>
      </x:c>
      <x:c r="AD472" s="4" t="str">
        <x:v>Proposal</x:v>
      </x:c>
      <x:c r="AE472" s="4" t="str">
        <x:f>LOWER(A472&amp;"; "&amp;B472&amp;"; "&amp;D472&amp;"; "&amp;E472&amp;"; "&amp;X472&amp;"; "&amp;Y472&amp;"; "&amp;Z472&amp;"; "&amp;AA472&amp;"; "&amp;AB472&amp;"; "&amp;AC472&amp;"; "&amp;AD472&amp;"; "&amp;V472&amp;"; "&amp;C472&amp;"; "&amp;AH472&amp;"; "&amp;AI472)</x:f>
        <x:v>proposal.t4.radio_tuning; radio tuning support block; crafting components; t4 specialist stock / component proposal; crafting component; processed intermediate; manufactured / unresolved; equipment fabrication; mixed / unresolved; assembly; proposal; radio tuning support block; tier four; equipment fabrication; t4; not applicable; component</x:v>
      </x:c>
      <x:c r="AF472" s="4" t="str">
        <x:v>New intended workshop role; actual performance requires qualification.</x:v>
      </x:c>
      <x:c r="AG472" s="4" t="str">
        <x:v>Proposed T4: one stage above highest listed T3 ingredient; partial recipe may change.</x:v>
      </x:c>
      <x:c r="AH472" s="4" t="str">
        <x:v>Not applicable</x:v>
      </x:c>
      <x:c r="AI472" s="4" t="str">
        <x:v>Component</x:v>
      </x:c>
      <x:c r="AJ472" s="4" t="n">
        <x:f>COUNTIFS('Material routes'!$D$6:$D$2205,A472,'Material routes'!$C$6:$C$2205,"Output")</x:f>
        <x:v>1</x:v>
      </x:c>
      <x:c r="AK472" s="4" t="n">
        <x:f>SUM(COUNTIFS('Material routes'!$D$6:$D$2205,A472,'Material routes'!$C$6:$C$2205,"Ingredient candidate"),COUNTIFS('Material routes'!$D$6:$D$2205,A472,'Material routes'!$C$6:$C$2205,"Consumed input"),COUNTIFS('Material routes'!$D$6:$D$2205,A472,'Material routes'!$C$6:$C$2205,"Contained input"),COUNTIFS('Material routes'!$D$6:$D$2205,A472,'Material routes'!$C$6:$C$2205,"Transform input"))</x:f>
        <x:v>1</x:v>
      </x:c>
      <x:c r="AL472" s="4" t="n">
        <x:f>COUNTIFS('Material routes'!$D$6:$D$2205,A472,'Material routes'!$C$6:$C$2205,"Tool candidate")</x:f>
        <x:v>0</x:v>
      </x:c>
      <x:c r="AM472" s="4" t="str">
        <x:f>IF(AJ472&gt;0,"Route listed; review status/completeness",IF(C472="T0","Raw entry feed; no production route","No production route listed"))</x:f>
        <x:v>Route listed; review status/completeness</x:v>
      </x:c>
      <x:c r="AN472" s="14" t="n">
        <x:f>IF(C472="T0",0,IF(C472="T1",1,IF(C472="T2",2,IF(C472="T3",3,IF(C472="T4",4,IF(C472="Unassigned",98,99))))))</x:f>
        <x:v>4</x:v>
      </x:c>
      <x:c r="AZ472"/>
      <x:c r="BA472"/>
      <x:c r="BB472"/>
      <x:c r="BC472"/>
      <x:c r="BD472"/>
      <x:c r="BE472"/>
      <x:c r="BF472"/>
      <x:c r="BG472"/>
      <x:c r="BH472"/>
      <x:c r="BI472"/>
      <x:c r="BJ472"/>
      <x:c r="BK472"/>
      <x:c r="BL472"/>
      <x:c r="BM472"/>
      <x:c r="BN472"/>
      <x:c r="BO472"/>
      <x:c r="BP472"/>
      <x:c r="BQ472"/>
      <x:c r="BR472"/>
      <x:c r="BS472"/>
      <x:c r="BT472"/>
      <x:c r="BU472"/>
      <x:c r="BV472"/>
      <x:c r="BW472"/>
      <x:c r="BX472"/>
      <x:c r="BY472"/>
      <x:c r="BZ472"/>
      <x:c r="CA472"/>
      <x:c r="CB472"/>
      <x:c r="CC472"/>
    </x:row>
    <x:row r="473" ht="115" customHeight="1">
      <x:c r="A473" s="9" t="str">
        <x:v>proposal.t4.screened_chassis</x:v>
      </x:c>
      <x:c r="B473" s="9" t="str">
        <x:v>Screened radio chassis insert</x:v>
      </x:c>
      <x:c r="C473" s="4" t="str">
        <x:v>T4</x:v>
      </x:c>
      <x:c r="D473" s="9" t="str">
        <x:v>Crafting components</x:v>
      </x:c>
      <x:c r="E473" s="9" t="str">
        <x:v>T4 specialist stock / component proposal</x:v>
      </x:c>
      <x:c r="F473" s="9" t="str">
        <x:v>New proposal</x:v>
      </x:c>
      <x:c r="G473" s="9" t="str">
        <x:v>Prepared intermediate for equipment fabrication. Intended downstream use: Radio casing or instrument enclosure; screening effectiveness and charged-atmosphere behavior remain open.</x:v>
      </x:c>
      <x:c r="H473" s="9" t="str">
        <x:v>None</x:v>
      </x:c>
      <x:c r="I473" s="9" t="str">
        <x:v>Workshop / cargo stock; storage and handling unresolved</x:v>
      </x:c>
      <x:c r="J473" s="13"/>
      <x:c r="K473" s="15"/>
      <x:c r="L473" s="9" t="str">
        <x:v>Manufacture from listed T3 and lower-tier feedstocks; see linked recipe</x:v>
      </x:c>
      <x:c r="M473" s="9" t="str">
        <x:v>Fit mesh and isolated mounting points to a supported enclosure insert; seams, ventilation and grounding require design.</x:v>
      </x:c>
      <x:c r="N473" s="9" t="str">
        <x:v>Not implemented</x:v>
      </x:c>
      <x:c r="O473" s="9" t="str">
        <x:v>Partial proposal; quantities, tools, process conditions, yields and performance remain open. Radio casing or instrument enclosure; screening effectiveness and charged-atmosphere behavior remain open.</x:v>
      </x:c>
      <x:c r="P473" s="17"/>
      <x:c r="Q473" s="17"/>
      <x:c r="R473" s="17"/>
      <x:c r="S473" s="17"/>
      <x:c r="T473" s="17"/>
      <x:c r="U473" s="9" t="str">
        <x:v>T4 is the final planned refinement tier. This remains intermediate stock or a component; fitted finished products are classified separately.</x:v>
      </x:c>
      <x:c r="V473" s="11" t="str">
        <x:v>screened radio chassis insert; tier four; equipment fabrication</x:v>
      </x:c>
      <x:c r="W473" s="9" t="str">
        <x:v>New October 15 game brainstorming; current author request and Docs/WORLD_BASIS.md. Not retrieved source canon.</x:v>
      </x:c>
      <x:c r="X473" s="4" t="str">
        <x:v>Crafting component</x:v>
      </x:c>
      <x:c r="Y473" s="4" t="str">
        <x:v>Processed intermediate</x:v>
      </x:c>
      <x:c r="Z473" s="4" t="str">
        <x:v>Manufactured / unresolved</x:v>
      </x:c>
      <x:c r="AA473" s="4" t="str">
        <x:v>Equipment fabrication</x:v>
      </x:c>
      <x:c r="AB473" s="4" t="str">
        <x:v>Mixed / unresolved</x:v>
      </x:c>
      <x:c r="AC473" s="4" t="str">
        <x:v>Assembly</x:v>
      </x:c>
      <x:c r="AD473" s="4" t="str">
        <x:v>Proposal</x:v>
      </x:c>
      <x:c r="AE473" s="4" t="str">
        <x:f>LOWER(A473&amp;"; "&amp;B473&amp;"; "&amp;D473&amp;"; "&amp;E473&amp;"; "&amp;X473&amp;"; "&amp;Y473&amp;"; "&amp;Z473&amp;"; "&amp;AA473&amp;"; "&amp;AB473&amp;"; "&amp;AC473&amp;"; "&amp;AD473&amp;"; "&amp;V473&amp;"; "&amp;C473&amp;"; "&amp;AH473&amp;"; "&amp;AI473)</x:f>
        <x:v>proposal.t4.screened_chassis; screened radio chassis insert; crafting components; t4 specialist stock / component proposal; crafting component; processed intermediate; manufactured / unresolved; equipment fabrication; mixed / unresolved; assembly; proposal; screened radio chassis insert; tier four; equipment fabrication; t4; not applicable; component</x:v>
      </x:c>
      <x:c r="AF473" s="4" t="str">
        <x:v>New intended workshop role; actual performance requires qualification.</x:v>
      </x:c>
      <x:c r="AG473" s="4" t="str">
        <x:v>Proposed T4: one stage above highest listed T3 ingredient; partial recipe may change.</x:v>
      </x:c>
      <x:c r="AH473" s="4" t="str">
        <x:v>Not applicable</x:v>
      </x:c>
      <x:c r="AI473" s="4" t="str">
        <x:v>Component</x:v>
      </x:c>
      <x:c r="AJ473" s="4" t="n">
        <x:f>COUNTIFS('Material routes'!$D$6:$D$2205,A473,'Material routes'!$C$6:$C$2205,"Output")</x:f>
        <x:v>1</x:v>
      </x:c>
      <x:c r="AK473" s="4" t="n">
        <x:f>SUM(COUNTIFS('Material routes'!$D$6:$D$2205,A473,'Material routes'!$C$6:$C$2205,"Ingredient candidate"),COUNTIFS('Material routes'!$D$6:$D$2205,A473,'Material routes'!$C$6:$C$2205,"Consumed input"),COUNTIFS('Material routes'!$D$6:$D$2205,A473,'Material routes'!$C$6:$C$2205,"Contained input"),COUNTIFS('Material routes'!$D$6:$D$2205,A473,'Material routes'!$C$6:$C$2205,"Transform input"))</x:f>
        <x:v>1</x:v>
      </x:c>
      <x:c r="AL473" s="4" t="n">
        <x:f>COUNTIFS('Material routes'!$D$6:$D$2205,A473,'Material routes'!$C$6:$C$2205,"Tool candidate")</x:f>
        <x:v>0</x:v>
      </x:c>
      <x:c r="AM473" s="4" t="str">
        <x:f>IF(AJ473&gt;0,"Route listed; review status/completeness",IF(C473="T0","Raw entry feed; no production route","No production route listed"))</x:f>
        <x:v>Route listed; review status/completeness</x:v>
      </x:c>
      <x:c r="AN473" s="14" t="n">
        <x:f>IF(C473="T0",0,IF(C473="T1",1,IF(C473="T2",2,IF(C473="T3",3,IF(C473="T4",4,IF(C473="Unassigned",98,99))))))</x:f>
        <x:v>4</x:v>
      </x:c>
      <x:c r="AZ473"/>
      <x:c r="BA473"/>
      <x:c r="BB473"/>
      <x:c r="BC473"/>
      <x:c r="BD473"/>
      <x:c r="BE473"/>
      <x:c r="BF473"/>
      <x:c r="BG473"/>
      <x:c r="BH473"/>
      <x:c r="BI473"/>
      <x:c r="BJ473"/>
      <x:c r="BK473"/>
      <x:c r="BL473"/>
      <x:c r="BM473"/>
      <x:c r="BN473"/>
      <x:c r="BO473"/>
      <x:c r="BP473"/>
      <x:c r="BQ473"/>
      <x:c r="BR473"/>
      <x:c r="BS473"/>
      <x:c r="BT473"/>
      <x:c r="BU473"/>
      <x:c r="BV473"/>
      <x:c r="BW473"/>
      <x:c r="BX473"/>
      <x:c r="BY473"/>
      <x:c r="BZ473"/>
      <x:c r="CA473"/>
      <x:c r="CB473"/>
      <x:c r="CC473"/>
    </x:row>
    <x:row r="474" ht="115" customHeight="1">
      <x:c r="A474" s="9" t="str">
        <x:v>proposal.t4.electrical_bulkhead</x:v>
      </x:c>
      <x:c r="B474" s="9" t="str">
        <x:v>Sealed electrical bulkhead insert</x:v>
      </x:c>
      <x:c r="C474" s="4" t="str">
        <x:v>T4</x:v>
      </x:c>
      <x:c r="D474" s="9" t="str">
        <x:v>Crafting components</x:v>
      </x:c>
      <x:c r="E474" s="9" t="str">
        <x:v>T4 specialist stock / component proposal</x:v>
      </x:c>
      <x:c r="F474" s="9" t="str">
        <x:v>New proposal</x:v>
      </x:c>
      <x:c r="G474" s="9" t="str">
        <x:v>Prepared intermediate for electrical insulation. Intended downstream use: Field equipment and sealed instruments; leakage, thermal mismatch and chemical compatibility remain unresolved.</x:v>
      </x:c>
      <x:c r="H474" s="9" t="str">
        <x:v>None</x:v>
      </x:c>
      <x:c r="I474" s="9" t="str">
        <x:v>Workshop / cargo stock; storage and handling unresolved</x:v>
      </x:c>
      <x:c r="J474" s="13"/>
      <x:c r="K474" s="15"/>
      <x:c r="L474" s="9" t="str">
        <x:v>Manufacture from listed T3 and lower-tier feedstocks; see linked recipe</x:v>
      </x:c>
      <x:c r="M474" s="9" t="str">
        <x:v>Match retained feedthroughs and sealing faces as an equipment-wall insert.</x:v>
      </x:c>
      <x:c r="N474" s="9" t="str">
        <x:v>Not implemented</x:v>
      </x:c>
      <x:c r="O474" s="9" t="str">
        <x:v>Partial proposal; quantities, tools, process conditions, yields and performance remain open. Field equipment and sealed instruments; leakage, thermal mismatch and chemical compatibility remain unresolved.</x:v>
      </x:c>
      <x:c r="P474" s="17"/>
      <x:c r="Q474" s="17"/>
      <x:c r="R474" s="17"/>
      <x:c r="S474" s="17"/>
      <x:c r="T474" s="17"/>
      <x:c r="U474" s="9" t="str">
        <x:v>T4 is the final planned refinement tier. This remains intermediate stock or a component; fitted finished products are classified separately.</x:v>
      </x:c>
      <x:c r="V474" s="11" t="str">
        <x:v>sealed electrical bulkhead insert; tier four; electrical insulation</x:v>
      </x:c>
      <x:c r="W474" s="9" t="str">
        <x:v>New October 15 game brainstorming; current author request and Docs/WORLD_BASIS.md. Not retrieved source canon.</x:v>
      </x:c>
      <x:c r="X474" s="4" t="str">
        <x:v>Crafting component</x:v>
      </x:c>
      <x:c r="Y474" s="4" t="str">
        <x:v>Processed intermediate</x:v>
      </x:c>
      <x:c r="Z474" s="4" t="str">
        <x:v>Manufactured / unresolved</x:v>
      </x:c>
      <x:c r="AA474" s="4" t="str">
        <x:v>Electrical insulation</x:v>
      </x:c>
      <x:c r="AB474" s="4" t="str">
        <x:v>Mixed / unresolved</x:v>
      </x:c>
      <x:c r="AC474" s="4" t="str">
        <x:v>Assembly</x:v>
      </x:c>
      <x:c r="AD474" s="4" t="str">
        <x:v>Proposal</x:v>
      </x:c>
      <x:c r="AE474" s="4" t="str">
        <x:f>LOWER(A474&amp;"; "&amp;B474&amp;"; "&amp;D474&amp;"; "&amp;E474&amp;"; "&amp;X474&amp;"; "&amp;Y474&amp;"; "&amp;Z474&amp;"; "&amp;AA474&amp;"; "&amp;AB474&amp;"; "&amp;AC474&amp;"; "&amp;AD474&amp;"; "&amp;V474&amp;"; "&amp;C474&amp;"; "&amp;AH474&amp;"; "&amp;AI474)</x:f>
        <x:v>proposal.t4.electrical_bulkhead; sealed electrical bulkhead insert; crafting components; t4 specialist stock / component proposal; crafting component; processed intermediate; manufactured / unresolved; electrical insulation; mixed / unresolved; assembly; proposal; sealed electrical bulkhead insert; tier four; electrical insulation; t4; not applicable; component</x:v>
      </x:c>
      <x:c r="AF474" s="4" t="str">
        <x:v>New intended workshop role; actual performance requires qualification.</x:v>
      </x:c>
      <x:c r="AG474" s="4" t="str">
        <x:v>Proposed T4: one stage above highest listed T3 ingredient; partial recipe may change.</x:v>
      </x:c>
      <x:c r="AH474" s="4" t="str">
        <x:v>Not applicable</x:v>
      </x:c>
      <x:c r="AI474" s="4" t="str">
        <x:v>Component</x:v>
      </x:c>
      <x:c r="AJ474" s="4" t="n">
        <x:f>COUNTIFS('Material routes'!$D$6:$D$2205,A474,'Material routes'!$C$6:$C$2205,"Output")</x:f>
        <x:v>1</x:v>
      </x:c>
      <x:c r="AK474" s="4" t="n">
        <x:f>SUM(COUNTIFS('Material routes'!$D$6:$D$2205,A474,'Material routes'!$C$6:$C$2205,"Ingredient candidate"),COUNTIFS('Material routes'!$D$6:$D$2205,A474,'Material routes'!$C$6:$C$2205,"Consumed input"),COUNTIFS('Material routes'!$D$6:$D$2205,A474,'Material routes'!$C$6:$C$2205,"Contained input"),COUNTIFS('Material routes'!$D$6:$D$2205,A474,'Material routes'!$C$6:$C$2205,"Transform input"))</x:f>
        <x:v>0</x:v>
      </x:c>
      <x:c r="AL474" s="4" t="n">
        <x:f>COUNTIFS('Material routes'!$D$6:$D$2205,A474,'Material routes'!$C$6:$C$2205,"Tool candidate")</x:f>
        <x:v>0</x:v>
      </x:c>
      <x:c r="AM474" s="4" t="str">
        <x:f>IF(AJ474&gt;0,"Route listed; review status/completeness",IF(C474="T0","Raw entry feed; no production route","No production route listed"))</x:f>
        <x:v>Route listed; review status/completeness</x:v>
      </x:c>
      <x:c r="AN474" s="14" t="n">
        <x:f>IF(C474="T0",0,IF(C474="T1",1,IF(C474="T2",2,IF(C474="T3",3,IF(C474="T4",4,IF(C474="Unassigned",98,99))))))</x:f>
        <x:v>4</x:v>
      </x:c>
      <x:c r="AZ474"/>
      <x:c r="BA474"/>
      <x:c r="BB474"/>
      <x:c r="BC474"/>
      <x:c r="BD474"/>
      <x:c r="BE474"/>
      <x:c r="BF474"/>
      <x:c r="BG474"/>
      <x:c r="BH474"/>
      <x:c r="BI474"/>
      <x:c r="BJ474"/>
      <x:c r="BK474"/>
      <x:c r="BL474"/>
      <x:c r="BM474"/>
      <x:c r="BN474"/>
      <x:c r="BO474"/>
      <x:c r="BP474"/>
      <x:c r="BQ474"/>
      <x:c r="BR474"/>
      <x:c r="BS474"/>
      <x:c r="BT474"/>
      <x:c r="BU474"/>
      <x:c r="BV474"/>
      <x:c r="BW474"/>
      <x:c r="BX474"/>
      <x:c r="BY474"/>
      <x:c r="BZ474"/>
      <x:c r="CA474"/>
      <x:c r="CB474"/>
      <x:c r="CC474"/>
    </x:row>
    <x:row r="475" ht="115" customHeight="1">
      <x:c r="A475" s="9" t="str">
        <x:v>proposal.t4.contact_block</x:v>
      </x:c>
      <x:c r="B475" s="9" t="str">
        <x:v>Serviceable insulated contact block</x:v>
      </x:c>
      <x:c r="C475" s="4" t="str">
        <x:v>T4</x:v>
      </x:c>
      <x:c r="D475" s="9" t="str">
        <x:v>Crafting components</x:v>
      </x:c>
      <x:c r="E475" s="9" t="str">
        <x:v>T4 specialist stock / component proposal</x:v>
      </x:c>
      <x:c r="F475" s="9" t="str">
        <x:v>New proposal</x:v>
      </x:c>
      <x:c r="G475" s="9" t="str">
        <x:v>Prepared intermediate for electrical insulation. Intended downstream use: Radio, instrument and machine wiring; contact layout, arcing and voltage limits require service-specific design.</x:v>
      </x:c>
      <x:c r="H475" s="9" t="str">
        <x:v>None</x:v>
      </x:c>
      <x:c r="I475" s="9" t="str">
        <x:v>Workshop / cargo stock; storage and handling unresolved</x:v>
      </x:c>
      <x:c r="J475" s="13"/>
      <x:c r="K475" s="15"/>
      <x:c r="L475" s="9" t="str">
        <x:v>Manufacture from listed T3 and lower-tier feedstocks; see linked recipe</x:v>
      </x:c>
      <x:c r="M475" s="9" t="str">
        <x:v>Fit a replaceable contact block with prepared spacing pieces and lead interfaces.</x:v>
      </x:c>
      <x:c r="N475" s="9" t="str">
        <x:v>Not implemented</x:v>
      </x:c>
      <x:c r="O475" s="9" t="str">
        <x:v>Partial proposal; quantities, tools, process conditions, yields and performance remain open. Radio, instrument and machine wiring; contact layout, arcing and voltage limits require service-specific design.</x:v>
      </x:c>
      <x:c r="P475" s="17"/>
      <x:c r="Q475" s="17"/>
      <x:c r="R475" s="17"/>
      <x:c r="S475" s="17"/>
      <x:c r="T475" s="17"/>
      <x:c r="U475" s="9" t="str">
        <x:v>T4 is the final planned refinement tier. This remains intermediate stock or a component; fitted finished products are classified separately.</x:v>
      </x:c>
      <x:c r="V475" s="11" t="str">
        <x:v>serviceable insulated contact block; tier four; electrical insulation</x:v>
      </x:c>
      <x:c r="W475" s="9" t="str">
        <x:v>New October 15 game brainstorming; current author request and Docs/WORLD_BASIS.md. Not retrieved source canon.</x:v>
      </x:c>
      <x:c r="X475" s="4" t="str">
        <x:v>Crafting component</x:v>
      </x:c>
      <x:c r="Y475" s="4" t="str">
        <x:v>Processed intermediate</x:v>
      </x:c>
      <x:c r="Z475" s="4" t="str">
        <x:v>Manufactured / unresolved</x:v>
      </x:c>
      <x:c r="AA475" s="4" t="str">
        <x:v>Electrical insulation</x:v>
      </x:c>
      <x:c r="AB475" s="4" t="str">
        <x:v>Mixed / unresolved</x:v>
      </x:c>
      <x:c r="AC475" s="4" t="str">
        <x:v>Assembly</x:v>
      </x:c>
      <x:c r="AD475" s="4" t="str">
        <x:v>Proposal</x:v>
      </x:c>
      <x:c r="AE475" s="4" t="str">
        <x:f>LOWER(A475&amp;"; "&amp;B475&amp;"; "&amp;D475&amp;"; "&amp;E475&amp;"; "&amp;X475&amp;"; "&amp;Y475&amp;"; "&amp;Z475&amp;"; "&amp;AA475&amp;"; "&amp;AB475&amp;"; "&amp;AC475&amp;"; "&amp;AD475&amp;"; "&amp;V475&amp;"; "&amp;C475&amp;"; "&amp;AH475&amp;"; "&amp;AI475)</x:f>
        <x:v>proposal.t4.contact_block; serviceable insulated contact block; crafting components; t4 specialist stock / component proposal; crafting component; processed intermediate; manufactured / unresolved; electrical insulation; mixed / unresolved; assembly; proposal; serviceable insulated contact block; tier four; electrical insulation; t4; not applicable; component</x:v>
      </x:c>
      <x:c r="AF475" s="4" t="str">
        <x:v>New intended workshop role; actual performance requires qualification.</x:v>
      </x:c>
      <x:c r="AG475" s="4" t="str">
        <x:v>Proposed T4: one stage above highest listed T3 ingredient; partial recipe may change.</x:v>
      </x:c>
      <x:c r="AH475" s="4" t="str">
        <x:v>Not applicable</x:v>
      </x:c>
      <x:c r="AI475" s="4" t="str">
        <x:v>Component</x:v>
      </x:c>
      <x:c r="AJ475" s="4" t="n">
        <x:f>COUNTIFS('Material routes'!$D$6:$D$2205,A475,'Material routes'!$C$6:$C$2205,"Output")</x:f>
        <x:v>1</x:v>
      </x:c>
      <x:c r="AK475" s="4" t="n">
        <x:f>SUM(COUNTIFS('Material routes'!$D$6:$D$2205,A475,'Material routes'!$C$6:$C$2205,"Ingredient candidate"),COUNTIFS('Material routes'!$D$6:$D$2205,A475,'Material routes'!$C$6:$C$2205,"Consumed input"),COUNTIFS('Material routes'!$D$6:$D$2205,A475,'Material routes'!$C$6:$C$2205,"Contained input"),COUNTIFS('Material routes'!$D$6:$D$2205,A475,'Material routes'!$C$6:$C$2205,"Transform input"))</x:f>
        <x:v>12</x:v>
      </x:c>
      <x:c r="AL475" s="4" t="n">
        <x:f>COUNTIFS('Material routes'!$D$6:$D$2205,A475,'Material routes'!$C$6:$C$2205,"Tool candidate")</x:f>
        <x:v>0</x:v>
      </x:c>
      <x:c r="AM475" s="4" t="str">
        <x:f>IF(AJ475&gt;0,"Route listed; review status/completeness",IF(C475="T0","Raw entry feed; no production route","No production route listed"))</x:f>
        <x:v>Route listed; review status/completeness</x:v>
      </x:c>
      <x:c r="AN475" s="14" t="n">
        <x:f>IF(C475="T0",0,IF(C475="T1",1,IF(C475="T2",2,IF(C475="T3",3,IF(C475="T4",4,IF(C475="Unassigned",98,99))))))</x:f>
        <x:v>4</x:v>
      </x:c>
      <x:c r="AZ475"/>
      <x:c r="BA475"/>
      <x:c r="BB475"/>
      <x:c r="BC475"/>
      <x:c r="BD475"/>
      <x:c r="BE475"/>
      <x:c r="BF475"/>
      <x:c r="BG475"/>
      <x:c r="BH475"/>
      <x:c r="BI475"/>
      <x:c r="BJ475"/>
      <x:c r="BK475"/>
      <x:c r="BL475"/>
      <x:c r="BM475"/>
      <x:c r="BN475"/>
      <x:c r="BO475"/>
      <x:c r="BP475"/>
      <x:c r="BQ475"/>
      <x:c r="BR475"/>
      <x:c r="BS475"/>
      <x:c r="BT475"/>
      <x:c r="BU475"/>
      <x:c r="BV475"/>
      <x:c r="BW475"/>
      <x:c r="BX475"/>
      <x:c r="BY475"/>
      <x:c r="BZ475"/>
      <x:c r="CA475"/>
      <x:c r="CB475"/>
      <x:c r="CC475"/>
    </x:row>
    <x:row r="476" ht="115" customHeight="1">
      <x:c r="A476" s="9" t="str">
        <x:v>proposal.t4.articulated_guard</x:v>
      </x:c>
      <x:c r="B476" s="9" t="str">
        <x:v>Articulated guard-panel subassembly</x:v>
      </x:c>
      <x:c r="C476" s="4" t="str">
        <x:v>T4</x:v>
      </x:c>
      <x:c r="D476" s="9" t="str">
        <x:v>Crafting components</x:v>
      </x:c>
      <x:c r="E476" s="9" t="str">
        <x:v>T4 specialist stock / component proposal</x:v>
      </x:c>
      <x:c r="F476" s="9" t="str">
        <x:v>New proposal</x:v>
      </x:c>
      <x:c r="G476" s="9" t="str">
        <x:v>Prepared intermediate for protective fabrication. Intended downstream use: Fitted armor, shields or Legger covers; geometry, weight and impact performance remain open.</x:v>
      </x:c>
      <x:c r="H476" s="9" t="str">
        <x:v>None</x:v>
      </x:c>
      <x:c r="I476" s="9" t="str">
        <x:v>Workshop / cargo stock; storage and handling unresolved</x:v>
      </x:c>
      <x:c r="J476" s="13"/>
      <x:c r="K476" s="15"/>
      <x:c r="L476" s="9" t="str">
        <x:v>Manufacture from listed T3 and lower-tier feedstocks; see linked recipe</x:v>
      </x:c>
      <x:c r="M476" s="9" t="str">
        <x:v>Fit panel faces, hinge returns and service points as a replaceable protection module.</x:v>
      </x:c>
      <x:c r="N476" s="9" t="str">
        <x:v>Not implemented</x:v>
      </x:c>
      <x:c r="O476" s="9" t="str">
        <x:v>Partial proposal; quantities, tools, process conditions, yields and performance remain open. Fitted armor, shields or Legger covers; geometry, weight and impact performance remain open.</x:v>
      </x:c>
      <x:c r="P476" s="17"/>
      <x:c r="Q476" s="17"/>
      <x:c r="R476" s="17"/>
      <x:c r="S476" s="17"/>
      <x:c r="T476" s="17"/>
      <x:c r="U476" s="9" t="str">
        <x:v>T4 is the final planned refinement tier. This remains intermediate stock or a component; fitted finished products are classified separately.</x:v>
      </x:c>
      <x:c r="V476" s="11" t="str">
        <x:v>articulated guard-panel subassembly; tier four; protective fabrication</x:v>
      </x:c>
      <x:c r="W476" s="9" t="str">
        <x:v>New October 15 game brainstorming; current author request and Docs/WORLD_BASIS.md. Not retrieved source canon.</x:v>
      </x:c>
      <x:c r="X476" s="4" t="str">
        <x:v>Crafting component</x:v>
      </x:c>
      <x:c r="Y476" s="4" t="str">
        <x:v>Processed intermediate</x:v>
      </x:c>
      <x:c r="Z476" s="4" t="str">
        <x:v>Manufactured / unresolved</x:v>
      </x:c>
      <x:c r="AA476" s="4" t="str">
        <x:v>Protective fabrication</x:v>
      </x:c>
      <x:c r="AB476" s="4" t="str">
        <x:v>Mixed / unresolved</x:v>
      </x:c>
      <x:c r="AC476" s="4" t="str">
        <x:v>Assembly</x:v>
      </x:c>
      <x:c r="AD476" s="4" t="str">
        <x:v>Proposal</x:v>
      </x:c>
      <x:c r="AE476" s="4" t="str">
        <x:f>LOWER(A476&amp;"; "&amp;B476&amp;"; "&amp;D476&amp;"; "&amp;E476&amp;"; "&amp;X476&amp;"; "&amp;Y476&amp;"; "&amp;Z476&amp;"; "&amp;AA476&amp;"; "&amp;AB476&amp;"; "&amp;AC476&amp;"; "&amp;AD476&amp;"; "&amp;V476&amp;"; "&amp;C476&amp;"; "&amp;AH476&amp;"; "&amp;AI476)</x:f>
        <x:v>proposal.t4.articulated_guard; articulated guard-panel subassembly; crafting components; t4 specialist stock / component proposal; crafting component; processed intermediate; manufactured / unresolved; protective fabrication; mixed / unresolved; assembly; proposal; articulated guard-panel subassembly; tier four; protective fabrication; t4; not applicable; component</x:v>
      </x:c>
      <x:c r="AF476" s="4" t="str">
        <x:v>New intended workshop role; actual performance requires qualification.</x:v>
      </x:c>
      <x:c r="AG476" s="4" t="str">
        <x:v>Proposed T4: one stage above highest listed T3 ingredient; partial recipe may change.</x:v>
      </x:c>
      <x:c r="AH476" s="4" t="str">
        <x:v>Not applicable</x:v>
      </x:c>
      <x:c r="AI476" s="4" t="str">
        <x:v>Component</x:v>
      </x:c>
      <x:c r="AJ476" s="4" t="n">
        <x:f>COUNTIFS('Material routes'!$D$6:$D$2205,A476,'Material routes'!$C$6:$C$2205,"Output")</x:f>
        <x:v>1</x:v>
      </x:c>
      <x:c r="AK476" s="4" t="n">
        <x:f>SUM(COUNTIFS('Material routes'!$D$6:$D$2205,A476,'Material routes'!$C$6:$C$2205,"Ingredient candidate"),COUNTIFS('Material routes'!$D$6:$D$2205,A476,'Material routes'!$C$6:$C$2205,"Consumed input"),COUNTIFS('Material routes'!$D$6:$D$2205,A476,'Material routes'!$C$6:$C$2205,"Contained input"),COUNTIFS('Material routes'!$D$6:$D$2205,A476,'Material routes'!$C$6:$C$2205,"Transform input"))</x:f>
        <x:v>0</x:v>
      </x:c>
      <x:c r="AL476" s="4" t="n">
        <x:f>COUNTIFS('Material routes'!$D$6:$D$2205,A476,'Material routes'!$C$6:$C$2205,"Tool candidate")</x:f>
        <x:v>0</x:v>
      </x:c>
      <x:c r="AM476" s="4" t="str">
        <x:f>IF(AJ476&gt;0,"Route listed; review status/completeness",IF(C476="T0","Raw entry feed; no production route","No production route listed"))</x:f>
        <x:v>Route listed; review status/completeness</x:v>
      </x:c>
      <x:c r="AN476" s="14" t="n">
        <x:f>IF(C476="T0",0,IF(C476="T1",1,IF(C476="T2",2,IF(C476="T3",3,IF(C476="T4",4,IF(C476="Unassigned",98,99))))))</x:f>
        <x:v>4</x:v>
      </x:c>
      <x:c r="AZ476"/>
      <x:c r="BA476"/>
      <x:c r="BB476"/>
      <x:c r="BC476"/>
      <x:c r="BD476"/>
      <x:c r="BE476"/>
      <x:c r="BF476"/>
      <x:c r="BG476"/>
      <x:c r="BH476"/>
      <x:c r="BI476"/>
      <x:c r="BJ476"/>
      <x:c r="BK476"/>
      <x:c r="BL476"/>
      <x:c r="BM476"/>
      <x:c r="BN476"/>
      <x:c r="BO476"/>
      <x:c r="BP476"/>
      <x:c r="BQ476"/>
      <x:c r="BR476"/>
      <x:c r="BS476"/>
      <x:c r="BT476"/>
      <x:c r="BU476"/>
      <x:c r="BV476"/>
      <x:c r="BW476"/>
      <x:c r="BX476"/>
      <x:c r="BY476"/>
      <x:c r="BZ476"/>
      <x:c r="CA476"/>
      <x:c r="CB476"/>
      <x:c r="CC476"/>
    </x:row>
    <x:row r="477" ht="115" customHeight="1">
      <x:c r="A477" s="9" t="str">
        <x:v>proposal.t4.valve_core</x:v>
      </x:c>
      <x:c r="B477" s="9" t="str">
        <x:v>Fitted canister valve-core assembly</x:v>
      </x:c>
      <x:c r="C477" s="4" t="str">
        <x:v>T4</x:v>
      </x:c>
      <x:c r="D477" s="9" t="str">
        <x:v>Crafting components</x:v>
      </x:c>
      <x:c r="E477" s="9" t="str">
        <x:v>T4 specialist stock / component proposal</x:v>
      </x:c>
      <x:c r="F477" s="9" t="str">
        <x:v>New proposal</x:v>
      </x:c>
      <x:c r="G477" s="9" t="str">
        <x:v>Prepared intermediate for sealing. Intended downstream use: A selected canister-service family; Phagia contact, industrial chemicals and pressure service need separate compatibility decisions.</x:v>
      </x:c>
      <x:c r="H477" s="9" t="str">
        <x:v>None</x:v>
      </x:c>
      <x:c r="I477" s="9" t="str">
        <x:v>Workshop / cargo stock; storage and handling unresolved</x:v>
      </x:c>
      <x:c r="J477" s="13"/>
      <x:c r="K477" s="15"/>
      <x:c r="L477" s="9" t="str">
        <x:v>Manufacture from listed T3 and lower-tier feedstocks; see linked recipe</x:v>
      </x:c>
      <x:c r="M477" s="9" t="str">
        <x:v>Explore matched valve-body, moving interface and packing components; full internal part geometry is unresolved.</x:v>
      </x:c>
      <x:c r="N477" s="9" t="str">
        <x:v>Not implemented</x:v>
      </x:c>
      <x:c r="O477" s="9" t="str">
        <x:v>Partial proposal; quantities, tools, process conditions, yields and performance remain open. A selected canister-service family; Phagia contact, industrial chemicals and pressure service need separate compatibility decisions.</x:v>
      </x:c>
      <x:c r="P477" s="17"/>
      <x:c r="Q477" s="17"/>
      <x:c r="R477" s="17"/>
      <x:c r="S477" s="17"/>
      <x:c r="T477" s="17"/>
      <x:c r="U477" s="9" t="str">
        <x:v>T4 is the final planned refinement tier. This remains intermediate stock or a component; fitted finished products are classified separately.</x:v>
      </x:c>
      <x:c r="V477" s="11" t="str">
        <x:v>fitted canister valve-core assembly; tier four; sealing</x:v>
      </x:c>
      <x:c r="W477" s="9" t="str">
        <x:v>New October 15 game brainstorming; current author request and Docs/WORLD_BASIS.md. Not retrieved source canon.</x:v>
      </x:c>
      <x:c r="X477" s="4" t="str">
        <x:v>Crafting component</x:v>
      </x:c>
      <x:c r="Y477" s="4" t="str">
        <x:v>Processed intermediate</x:v>
      </x:c>
      <x:c r="Z477" s="4" t="str">
        <x:v>Manufactured / unresolved</x:v>
      </x:c>
      <x:c r="AA477" s="4" t="str">
        <x:v>Sealing</x:v>
      </x:c>
      <x:c r="AB477" s="4" t="str">
        <x:v>Mixed / unresolved</x:v>
      </x:c>
      <x:c r="AC477" s="4" t="str">
        <x:v>Assembly</x:v>
      </x:c>
      <x:c r="AD477" s="4" t="str">
        <x:v>Proposal</x:v>
      </x:c>
      <x:c r="AE477" s="4" t="str">
        <x:f>LOWER(A477&amp;"; "&amp;B477&amp;"; "&amp;D477&amp;"; "&amp;E477&amp;"; "&amp;X477&amp;"; "&amp;Y477&amp;"; "&amp;Z477&amp;"; "&amp;AA477&amp;"; "&amp;AB477&amp;"; "&amp;AC477&amp;"; "&amp;AD477&amp;"; "&amp;V477&amp;"; "&amp;C477&amp;"; "&amp;AH477&amp;"; "&amp;AI477)</x:f>
        <x:v>proposal.t4.valve_core; fitted canister valve-core assembly; crafting components; t4 specialist stock / component proposal; crafting component; processed intermediate; manufactured / unresolved; sealing; mixed / unresolved; assembly; proposal; fitted canister valve-core assembly; tier four; sealing; t4; not applicable; component</x:v>
      </x:c>
      <x:c r="AF477" s="4" t="str">
        <x:v>New intended workshop role; actual performance requires qualification.</x:v>
      </x:c>
      <x:c r="AG477" s="4" t="str">
        <x:v>Proposed T4: one stage above highest listed T3 ingredient; partial recipe may change.</x:v>
      </x:c>
      <x:c r="AH477" s="4" t="str">
        <x:v>Not applicable</x:v>
      </x:c>
      <x:c r="AI477" s="4" t="str">
        <x:v>Component</x:v>
      </x:c>
      <x:c r="AJ477" s="4" t="n">
        <x:f>COUNTIFS('Material routes'!$D$6:$D$2205,A477,'Material routes'!$C$6:$C$2205,"Output")</x:f>
        <x:v>1</x:v>
      </x:c>
      <x:c r="AK477" s="4" t="n">
        <x:f>SUM(COUNTIFS('Material routes'!$D$6:$D$2205,A477,'Material routes'!$C$6:$C$2205,"Ingredient candidate"),COUNTIFS('Material routes'!$D$6:$D$2205,A477,'Material routes'!$C$6:$C$2205,"Consumed input"),COUNTIFS('Material routes'!$D$6:$D$2205,A477,'Material routes'!$C$6:$C$2205,"Contained input"),COUNTIFS('Material routes'!$D$6:$D$2205,A477,'Material routes'!$C$6:$C$2205,"Transform input"))</x:f>
        <x:v>0</x:v>
      </x:c>
      <x:c r="AL477" s="4" t="n">
        <x:f>COUNTIFS('Material routes'!$D$6:$D$2205,A477,'Material routes'!$C$6:$C$2205,"Tool candidate")</x:f>
        <x:v>0</x:v>
      </x:c>
      <x:c r="AM477" s="4" t="str">
        <x:f>IF(AJ477&gt;0,"Route listed; review status/completeness",IF(C477="T0","Raw entry feed; no production route","No production route listed"))</x:f>
        <x:v>Route listed; review status/completeness</x:v>
      </x:c>
      <x:c r="AN477" s="14" t="n">
        <x:f>IF(C477="T0",0,IF(C477="T1",1,IF(C477="T2",2,IF(C477="T3",3,IF(C477="T4",4,IF(C477="Unassigned",98,99))))))</x:f>
        <x:v>4</x:v>
      </x:c>
      <x:c r="AZ477"/>
      <x:c r="BA477"/>
      <x:c r="BB477"/>
      <x:c r="BC477"/>
      <x:c r="BD477"/>
      <x:c r="BE477"/>
      <x:c r="BF477"/>
      <x:c r="BG477"/>
      <x:c r="BH477"/>
      <x:c r="BI477"/>
      <x:c r="BJ477"/>
      <x:c r="BK477"/>
      <x:c r="BL477"/>
      <x:c r="BM477"/>
      <x:c r="BN477"/>
      <x:c r="BO477"/>
      <x:c r="BP477"/>
      <x:c r="BQ477"/>
      <x:c r="BR477"/>
      <x:c r="BS477"/>
      <x:c r="BT477"/>
      <x:c r="BU477"/>
      <x:c r="BV477"/>
      <x:c r="BW477"/>
      <x:c r="BX477"/>
      <x:c r="BY477"/>
      <x:c r="BZ477"/>
      <x:c r="CA477"/>
      <x:c r="CB477"/>
      <x:c r="CC477"/>
    </x:row>
    <x:row r="478" ht="115" customHeight="1">
      <x:c r="A478" s="9" t="str">
        <x:v>proposal.t4.seal_carrier</x:v>
      </x:c>
      <x:c r="B478" s="9" t="str">
        <x:v>Replaceable seal-carrier assembly</x:v>
      </x:c>
      <x:c r="C478" s="4" t="str">
        <x:v>T4</x:v>
      </x:c>
      <x:c r="D478" s="9" t="str">
        <x:v>Crafting components</x:v>
      </x:c>
      <x:c r="E478" s="9" t="str">
        <x:v>T4 specialist stock / component proposal</x:v>
      </x:c>
      <x:c r="F478" s="9" t="str">
        <x:v>New proposal</x:v>
      </x:c>
      <x:c r="G478" s="9" t="str">
        <x:v>Prepared intermediate for sealing. Intended downstream use: Canister or equipment joint after selecting a specific service; no universal seal or pressure qualification.</x:v>
      </x:c>
      <x:c r="H478" s="9" t="str">
        <x:v>None</x:v>
      </x:c>
      <x:c r="I478" s="9" t="str">
        <x:v>Workshop / cargo stock; storage and handling unresolved</x:v>
      </x:c>
      <x:c r="J478" s="13"/>
      <x:c r="K478" s="15"/>
      <x:c r="L478" s="9" t="str">
        <x:v>Manufacture from listed T3 and lower-tier feedstocks; see linked recipe</x:v>
      </x:c>
      <x:c r="M478" s="9" t="str">
        <x:v>Fit retained sealing stock and a mechanical carrier as a replaceable interface component.</x:v>
      </x:c>
      <x:c r="N478" s="9" t="str">
        <x:v>Not implemented</x:v>
      </x:c>
      <x:c r="O478" s="9" t="str">
        <x:v>Partial proposal; quantities, tools, process conditions, yields and performance remain open. Canister or equipment joint after selecting a specific service; no universal seal or pressure qualification.</x:v>
      </x:c>
      <x:c r="P478" s="17"/>
      <x:c r="Q478" s="17"/>
      <x:c r="R478" s="17"/>
      <x:c r="S478" s="17"/>
      <x:c r="T478" s="17"/>
      <x:c r="U478" s="9" t="str">
        <x:v>T4 is the final planned refinement tier. This remains intermediate stock or a component; fitted finished products are classified separately.</x:v>
      </x:c>
      <x:c r="V478" s="11" t="str">
        <x:v>replaceable seal-carrier assembly; tier four; sealing</x:v>
      </x:c>
      <x:c r="W478" s="9" t="str">
        <x:v>New October 15 game brainstorming; current author request and Docs/WORLD_BASIS.md. Not retrieved source canon.</x:v>
      </x:c>
      <x:c r="X478" s="4" t="str">
        <x:v>Crafting component</x:v>
      </x:c>
      <x:c r="Y478" s="4" t="str">
        <x:v>Processed intermediate</x:v>
      </x:c>
      <x:c r="Z478" s="4" t="str">
        <x:v>Manufactured / unresolved</x:v>
      </x:c>
      <x:c r="AA478" s="4" t="str">
        <x:v>Sealing</x:v>
      </x:c>
      <x:c r="AB478" s="4" t="str">
        <x:v>Mixed / unresolved</x:v>
      </x:c>
      <x:c r="AC478" s="4" t="str">
        <x:v>Assembly</x:v>
      </x:c>
      <x:c r="AD478" s="4" t="str">
        <x:v>Proposal</x:v>
      </x:c>
      <x:c r="AE478" s="4" t="str">
        <x:f>LOWER(A478&amp;"; "&amp;B478&amp;"; "&amp;D478&amp;"; "&amp;E478&amp;"; "&amp;X478&amp;"; "&amp;Y478&amp;"; "&amp;Z478&amp;"; "&amp;AA478&amp;"; "&amp;AB478&amp;"; "&amp;AC478&amp;"; "&amp;AD478&amp;"; "&amp;V478&amp;"; "&amp;C478&amp;"; "&amp;AH478&amp;"; "&amp;AI478)</x:f>
        <x:v>proposal.t4.seal_carrier; replaceable seal-carrier assembly; crafting components; t4 specialist stock / component proposal; crafting component; processed intermediate; manufactured / unresolved; sealing; mixed / unresolved; assembly; proposal; replaceable seal-carrier assembly; tier four; sealing; t4; not applicable; component</x:v>
      </x:c>
      <x:c r="AF478" s="4" t="str">
        <x:v>New intended workshop role; actual performance requires qualification.</x:v>
      </x:c>
      <x:c r="AG478" s="4" t="str">
        <x:v>Proposed T4: one stage above highest listed T3 ingredient; partial recipe may change.</x:v>
      </x:c>
      <x:c r="AH478" s="4" t="str">
        <x:v>Not applicable</x:v>
      </x:c>
      <x:c r="AI478" s="4" t="str">
        <x:v>Component</x:v>
      </x:c>
      <x:c r="AJ478" s="4" t="n">
        <x:f>COUNTIFS('Material routes'!$D$6:$D$2205,A478,'Material routes'!$C$6:$C$2205,"Output")</x:f>
        <x:v>1</x:v>
      </x:c>
      <x:c r="AK478" s="4" t="n">
        <x:f>SUM(COUNTIFS('Material routes'!$D$6:$D$2205,A478,'Material routes'!$C$6:$C$2205,"Ingredient candidate"),COUNTIFS('Material routes'!$D$6:$D$2205,A478,'Material routes'!$C$6:$C$2205,"Consumed input"),COUNTIFS('Material routes'!$D$6:$D$2205,A478,'Material routes'!$C$6:$C$2205,"Contained input"),COUNTIFS('Material routes'!$D$6:$D$2205,A478,'Material routes'!$C$6:$C$2205,"Transform input"))</x:f>
        <x:v>0</x:v>
      </x:c>
      <x:c r="AL478" s="4" t="n">
        <x:f>COUNTIFS('Material routes'!$D$6:$D$2205,A478,'Material routes'!$C$6:$C$2205,"Tool candidate")</x:f>
        <x:v>0</x:v>
      </x:c>
      <x:c r="AM478" s="4" t="str">
        <x:f>IF(AJ478&gt;0,"Route listed; review status/completeness",IF(C478="T0","Raw entry feed; no production route","No production route listed"))</x:f>
        <x:v>Route listed; review status/completeness</x:v>
      </x:c>
      <x:c r="AN478" s="14" t="n">
        <x:f>IF(C478="T0",0,IF(C478="T1",1,IF(C478="T2",2,IF(C478="T3",3,IF(C478="T4",4,IF(C478="Unassigned",98,99))))))</x:f>
        <x:v>4</x:v>
      </x:c>
      <x:c r="AZ478"/>
      <x:c r="BA478"/>
      <x:c r="BB478"/>
      <x:c r="BC478"/>
      <x:c r="BD478"/>
      <x:c r="BE478"/>
      <x:c r="BF478"/>
      <x:c r="BG478"/>
      <x:c r="BH478"/>
      <x:c r="BI478"/>
      <x:c r="BJ478"/>
      <x:c r="BK478"/>
      <x:c r="BL478"/>
      <x:c r="BM478"/>
      <x:c r="BN478"/>
      <x:c r="BO478"/>
      <x:c r="BP478"/>
      <x:c r="BQ478"/>
      <x:c r="BR478"/>
      <x:c r="BS478"/>
      <x:c r="BT478"/>
      <x:c r="BU478"/>
      <x:c r="BV478"/>
      <x:c r="BW478"/>
      <x:c r="BX478"/>
      <x:c r="BY478"/>
      <x:c r="BZ478"/>
      <x:c r="CA478"/>
      <x:c r="CB478"/>
      <x:c r="CC478"/>
    </x:row>
    <x:row r="479" ht="115" customHeight="1">
      <x:c r="A479" s="9" t="str">
        <x:v>proposal.t4.spar_joint</x:v>
      </x:c>
      <x:c r="B479" s="9" t="str">
        <x:v>Collapsible sail-spar joint kit</x:v>
      </x:c>
      <x:c r="C479" s="4" t="str">
        <x:v>T4</x:v>
      </x:c>
      <x:c r="D479" s="9" t="inlineStr">
        <x:is>
          <x:t xml:space="preserve">Salvage</x:t>
        </x:is>
      </x:c>
      <x:c r="E479" s="9" t="str">
        <x:v>T4 specialist stock / component proposal</x:v>
      </x:c>
      <x:c r="F479" s="9" t="str">
        <x:v>New proposal</x:v>
      </x:c>
      <x:c r="G479" s="9" t="str">
        <x:v>Prepared intermediate for wind propulsion. Intended downstream use: Booter handheld sail frame; usable span, wind load and carry form still require design.</x:v>
      </x:c>
      <x:c r="H479" s="9" t="str">
        <x:v>None</x:v>
      </x:c>
      <x:c r="I479" s="9" t="str">
        <x:v>Workshop / cargo stock; storage and handling unresolved</x:v>
      </x:c>
      <x:c r="J479" s="13"/>
      <x:c r="K479" s="15"/>
      <x:c r="L479" s="9" t="str">
        <x:v>Manufacture from listed T3 and lower-tier feedstocks; see linked recipe</x:v>
      </x:c>
      <x:c r="M479" s="9" t="str">
        <x:v>Match telescoping or folding joint parts and retainers; selected geometry, locking and wear remain open.</x:v>
      </x:c>
      <x:c r="N479" s="9" t="str">
        <x:v>Not implemented</x:v>
      </x:c>
      <x:c r="O479" s="9" t="str">
        <x:v>Partial proposal; quantities, tools, process conditions, yields and performance remain open. Booter handheld sail frame; usable span, wind load and carry form still require design.</x:v>
      </x:c>
      <x:c r="P479" s="17"/>
      <x:c r="Q479" s="17"/>
      <x:c r="R479" s="17"/>
      <x:c r="S479" s="17"/>
      <x:c r="T479" s="17"/>
      <x:c r="U479" s="9" t="str">
        <x:v>T4 is the final planned refinement tier. This remains intermediate stock or a component; fitted finished products are classified separately.</x:v>
      </x:c>
      <x:c r="V479" s="11" t="str">
        <x:v>collapsible sail-spar joint kit; tier four; wind propulsion</x:v>
      </x:c>
      <x:c r="W479" s="9" t="str">
        <x:v>New October 15 game brainstorming; current author request and Docs/WORLD_BASIS.md. Not retrieved source canon.</x:v>
      </x:c>
      <x:c r="X479" s="4" t="str">
        <x:v>Crafting component</x:v>
      </x:c>
      <x:c r="Y479" s="4" t="str">
        <x:v>Processed intermediate</x:v>
      </x:c>
      <x:c r="Z479" s="4" t="str">
        <x:v>Manufactured / unresolved</x:v>
      </x:c>
      <x:c r="AA479" s="4" t="str">
        <x:v>Wind propulsion</x:v>
      </x:c>
      <x:c r="AB479" s="4" t="str">
        <x:v>Mixed / unresolved</x:v>
      </x:c>
      <x:c r="AC479" s="4" t="str">
        <x:v>Assembly</x:v>
      </x:c>
      <x:c r="AD479" s="4" t="str">
        <x:v>Proposal</x:v>
      </x:c>
      <x:c r="AE479" s="4" t="str">
        <x:f>LOWER(A479&amp;"; "&amp;B479&amp;"; "&amp;D479&amp;"; "&amp;E479&amp;"; "&amp;X479&amp;"; "&amp;Y479&amp;"; "&amp;Z479&amp;"; "&amp;AA479&amp;"; "&amp;AB479&amp;"; "&amp;AC479&amp;"; "&amp;AD479&amp;"; "&amp;V479&amp;"; "&amp;C479&amp;"; "&amp;AH479&amp;"; "&amp;AI479)</x:f>
        <x:v>proposal.t4.spar_joint; collapsible sail-spar joint kit; salvage; t4 specialist stock / component proposal; crafting component; processed intermediate; manufactured / unresolved; wind propulsion; mixed / unresolved; assembly; proposal; collapsible sail-spar joint kit; tier four; wind propulsion; t4; not applicable; component</x:v>
      </x:c>
      <x:c r="AF479" s="4" t="inlineStr">
        <x:is>
          <x:t xml:space="preserve">New intended workshop role; actual performance requires qualification.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479" s="4" t="str">
        <x:v>Proposed T4: one stage above highest listed T3 ingredient; partial recipe may change.</x:v>
      </x:c>
      <x:c r="AH479" s="4" t="str">
        <x:v>Not applicable</x:v>
      </x:c>
      <x:c r="AI479" s="4" t="str">
        <x:v>Component</x:v>
      </x:c>
      <x:c r="AJ479" s="4" t="n">
        <x:f>COUNTIFS('Material routes'!$D$6:$D$2205,A479,'Material routes'!$C$6:$C$2205,"Output")</x:f>
        <x:v>1</x:v>
      </x:c>
      <x:c r="AK479" s="4" t="n">
        <x:f>SUM(COUNTIFS('Material routes'!$D$6:$D$2205,A479,'Material routes'!$C$6:$C$2205,"Ingredient candidate"),COUNTIFS('Material routes'!$D$6:$D$2205,A479,'Material routes'!$C$6:$C$2205,"Consumed input"),COUNTIFS('Material routes'!$D$6:$D$2205,A479,'Material routes'!$C$6:$C$2205,"Contained input"),COUNTIFS('Material routes'!$D$6:$D$2205,A479,'Material routes'!$C$6:$C$2205,"Transform input"))</x:f>
        <x:v>0</x:v>
      </x:c>
      <x:c r="AL479" s="4" t="n">
        <x:f>COUNTIFS('Material routes'!$D$6:$D$2205,A479,'Material routes'!$C$6:$C$2205,"Tool candidate")</x:f>
        <x:v>0</x:v>
      </x:c>
      <x:c r="AM479" s="4" t="str">
        <x:f>IF(AJ479&gt;0,"Route listed; review status/completeness",IF(C479="T0","Raw entry feed; no production route","No production route listed"))</x:f>
        <x:v>Route listed; review status/completeness</x:v>
      </x:c>
      <x:c r="AN479" s="14" t="n">
        <x:f>IF(C479="T0",0,IF(C479="T1",1,IF(C479="T2",2,IF(C479="T3",3,IF(C479="T4",4,IF(C479="Unassigned",98,99))))))</x:f>
        <x:v>4</x:v>
      </x:c>
      <x:c r="AZ479"/>
      <x:c r="BA479"/>
      <x:c r="BB479"/>
      <x:c r="BC479"/>
      <x:c r="BD479"/>
      <x:c r="BE479"/>
      <x:c r="BF479"/>
      <x:c r="BG479"/>
      <x:c r="BH479"/>
      <x:c r="BI479"/>
      <x:c r="BJ479"/>
      <x:c r="BK479"/>
      <x:c r="BL479"/>
      <x:c r="BM479"/>
      <x:c r="BN479"/>
      <x:c r="BO479"/>
      <x:c r="BP479"/>
      <x:c r="BQ479"/>
      <x:c r="BR479"/>
      <x:c r="BS479"/>
      <x:c r="BT479"/>
      <x:c r="BU479"/>
      <x:c r="BV479"/>
      <x:c r="BW479"/>
      <x:c r="BX479"/>
      <x:c r="BY479"/>
      <x:c r="BZ479"/>
      <x:c r="CA479"/>
      <x:c r="CB479"/>
      <x:c r="CC479"/>
    </x:row>
    <x:row r="480" ht="115" customHeight="1">
      <x:c r="A480" s="9" t="str">
        <x:v>proposal.t4.joined_wing_panels</x:v>
      </x:c>
      <x:c r="B480" s="9" t="str">
        <x:v>Joined folding wing-panel assembly</x:v>
      </x:c>
      <x:c r="C480" s="4" t="str">
        <x:v>T4</x:v>
      </x:c>
      <x:c r="D480" s="9" t="str">
        <x:v>Crafting components</x:v>
      </x:c>
      <x:c r="E480" s="9" t="str">
        <x:v>T4 specialist stock / component proposal</x:v>
      </x:c>
      <x:c r="F480" s="9" t="str">
        <x:v>New proposal</x:v>
      </x:c>
      <x:c r="G480" s="9" t="str">
        <x:v>Prepared intermediate for wind propulsion. Intended downstream use: A larger or more elaborate sail/shade; a simpler finished sail can use earlier-tier stock.</x:v>
      </x:c>
      <x:c r="H480" s="9" t="str">
        <x:v>None</x:v>
      </x:c>
      <x:c r="I480" s="9" t="str">
        <x:v>Workshop / cargo stock; storage and handling unresolved</x:v>
      </x:c>
      <x:c r="J480" s="13"/>
      <x:c r="K480" s="15"/>
      <x:c r="L480" s="9" t="str">
        <x:v>Manufacture from listed T3 and lower-tier feedstocks; see linked recipe</x:v>
      </x:c>
      <x:c r="M480" s="9" t="str">
        <x:v>Join matched folding panels with prepared seam and joint stock.</x:v>
      </x:c>
      <x:c r="N480" s="9" t="str">
        <x:v>Not implemented</x:v>
      </x:c>
      <x:c r="O480" s="9" t="str">
        <x:v>Partial proposal; quantities, tools, process conditions, yields and performance remain open. A larger or more elaborate sail/shade; a simpler finished sail can use earlier-tier stock.</x:v>
      </x:c>
      <x:c r="P480" s="17"/>
      <x:c r="Q480" s="17"/>
      <x:c r="R480" s="17"/>
      <x:c r="S480" s="17"/>
      <x:c r="T480" s="17"/>
      <x:c r="U480" s="9" t="str">
        <x:v>T4 is the final planned refinement tier. This remains intermediate stock or a component; fitted finished products are classified separately.</x:v>
      </x:c>
      <x:c r="V480" s="11" t="str">
        <x:v>joined folding wing-panel assembly; tier four; wind propulsion</x:v>
      </x:c>
      <x:c r="W480" s="9" t="str">
        <x:v>New October 15 game brainstorming; current author request and Docs/WORLD_BASIS.md. Not retrieved source canon.</x:v>
      </x:c>
      <x:c r="X480" s="4" t="str">
        <x:v>Crafting component</x:v>
      </x:c>
      <x:c r="Y480" s="4" t="str">
        <x:v>Processed intermediate</x:v>
      </x:c>
      <x:c r="Z480" s="4" t="str">
        <x:v>Manufactured / unresolved</x:v>
      </x:c>
      <x:c r="AA480" s="4" t="str">
        <x:v>Wind propulsion</x:v>
      </x:c>
      <x:c r="AB480" s="4" t="str">
        <x:v>Mixed / unresolved</x:v>
      </x:c>
      <x:c r="AC480" s="4" t="str">
        <x:v>Assembly</x:v>
      </x:c>
      <x:c r="AD480" s="4" t="str">
        <x:v>Proposal</x:v>
      </x:c>
      <x:c r="AE480" s="4" t="str">
        <x:f>LOWER(A480&amp;"; "&amp;B480&amp;"; "&amp;D480&amp;"; "&amp;E480&amp;"; "&amp;X480&amp;"; "&amp;Y480&amp;"; "&amp;Z480&amp;"; "&amp;AA480&amp;"; "&amp;AB480&amp;"; "&amp;AC480&amp;"; "&amp;AD480&amp;"; "&amp;V480&amp;"; "&amp;C480&amp;"; "&amp;AH480&amp;"; "&amp;AI480)</x:f>
        <x:v>proposal.t4.joined_wing_panels; joined folding wing-panel assembly; crafting components; t4 specialist stock / component proposal; crafting component; processed intermediate; manufactured / unresolved; wind propulsion; mixed / unresolved; assembly; proposal; joined folding wing-panel assembly; tier four; wind propulsion; t4; not applicable; component</x:v>
      </x:c>
      <x:c r="AF480" s="4" t="str">
        <x:v>New intended workshop role; actual performance requires qualification.</x:v>
      </x:c>
      <x:c r="AG480" s="4" t="str">
        <x:v>Proposed T4: one stage above highest listed T3 ingredient; partial recipe may change.</x:v>
      </x:c>
      <x:c r="AH480" s="4" t="str">
        <x:v>Not applicable</x:v>
      </x:c>
      <x:c r="AI480" s="4" t="str">
        <x:v>Component</x:v>
      </x:c>
      <x:c r="AJ480" s="4" t="n">
        <x:f>COUNTIFS('Material routes'!$D$6:$D$2205,A480,'Material routes'!$C$6:$C$2205,"Output")</x:f>
        <x:v>1</x:v>
      </x:c>
      <x:c r="AK480" s="4" t="n">
        <x:f>SUM(COUNTIFS('Material routes'!$D$6:$D$2205,A480,'Material routes'!$C$6:$C$2205,"Ingredient candidate"),COUNTIFS('Material routes'!$D$6:$D$2205,A480,'Material routes'!$C$6:$C$2205,"Consumed input"),COUNTIFS('Material routes'!$D$6:$D$2205,A480,'Material routes'!$C$6:$C$2205,"Contained input"),COUNTIFS('Material routes'!$D$6:$D$2205,A480,'Material routes'!$C$6:$C$2205,"Transform input"))</x:f>
        <x:v>1</x:v>
      </x:c>
      <x:c r="AL480" s="4" t="n">
        <x:f>COUNTIFS('Material routes'!$D$6:$D$2205,A480,'Material routes'!$C$6:$C$2205,"Tool candidate")</x:f>
        <x:v>0</x:v>
      </x:c>
      <x:c r="AM480" s="4" t="str">
        <x:f>IF(AJ480&gt;0,"Route listed; review status/completeness",IF(C480="T0","Raw entry feed; no production route","No production route listed"))</x:f>
        <x:v>Route listed; review status/completeness</x:v>
      </x:c>
      <x:c r="AN480" s="14" t="n">
        <x:f>IF(C480="T0",0,IF(C480="T1",1,IF(C480="T2",2,IF(C480="T3",3,IF(C480="T4",4,IF(C480="Unassigned",98,99))))))</x:f>
        <x:v>4</x:v>
      </x:c>
      <x:c r="AZ480"/>
      <x:c r="BA480"/>
      <x:c r="BB480"/>
      <x:c r="BC480"/>
      <x:c r="BD480"/>
      <x:c r="BE480"/>
      <x:c r="BF480"/>
      <x:c r="BG480"/>
      <x:c r="BH480"/>
      <x:c r="BI480"/>
      <x:c r="BJ480"/>
      <x:c r="BK480"/>
      <x:c r="BL480"/>
      <x:c r="BM480"/>
      <x:c r="BN480"/>
      <x:c r="BO480"/>
      <x:c r="BP480"/>
      <x:c r="BQ480"/>
      <x:c r="BR480"/>
      <x:c r="BS480"/>
      <x:c r="BT480"/>
      <x:c r="BU480"/>
      <x:c r="BV480"/>
      <x:c r="BW480"/>
      <x:c r="BX480"/>
      <x:c r="BY480"/>
      <x:c r="BZ480"/>
      <x:c r="CA480"/>
      <x:c r="CB480"/>
      <x:c r="CC480"/>
    </x:row>
    <x:row r="481" ht="115" customHeight="1">
      <x:c r="A481" s="9" t="str">
        <x:v>proposal.t4.turbine_hub</x:v>
      </x:c>
      <x:c r="B481" s="9" t="str">
        <x:v>Matched wind-turbine hub core</x:v>
      </x:c>
      <x:c r="C481" s="4" t="str">
        <x:v>T4</x:v>
      </x:c>
      <x:c r="D481" s="9" t="str">
        <x:v>Crafting components</x:v>
      </x:c>
      <x:c r="E481" s="9" t="str">
        <x:v>T4 specialist stock / component proposal</x:v>
      </x:c>
      <x:c r="F481" s="9" t="str">
        <x:v>New proposal</x:v>
      </x:c>
      <x:c r="G481" s="9" t="str">
        <x:v>Prepared intermediate for machinery repair. Intended downstream use: Salvage-built wind turbine; rotor, tower, anchoring and mechanical or electrical conversion remain separate.</x:v>
      </x:c>
      <x:c r="H481" s="9" t="str">
        <x:v>None</x:v>
      </x:c>
      <x:c r="I481" s="9" t="str">
        <x:v>Workshop / cargo stock; storage and handling unresolved</x:v>
      </x:c>
      <x:c r="J481" s="13"/>
      <x:c r="K481" s="15"/>
      <x:c r="L481" s="9" t="str">
        <x:v>Manufacture from listed T3 and lower-tier feedstocks; see linked recipe</x:v>
      </x:c>
      <x:c r="M481" s="9" t="str">
        <x:v>Explore a stationary rotor hub with a matched mechanical interface; distinct fit from a generic drive cassette.</x:v>
      </x:c>
      <x:c r="N481" s="9" t="str">
        <x:v>Not implemented</x:v>
      </x:c>
      <x:c r="O481" s="9" t="str">
        <x:v>Partial proposal; quantities, tools, process conditions, yields and performance remain open. Salvage-built wind turbine; rotor, tower, anchoring and mechanical or electrical conversion remain separate.</x:v>
      </x:c>
      <x:c r="P481" s="17"/>
      <x:c r="Q481" s="17"/>
      <x:c r="R481" s="17"/>
      <x:c r="S481" s="17"/>
      <x:c r="T481" s="17"/>
      <x:c r="U481" s="9" t="str">
        <x:v>T4 is the final planned refinement tier. This remains intermediate stock or a component; fitted finished products are classified separately.</x:v>
      </x:c>
      <x:c r="V481" s="11" t="str">
        <x:v>matched wind-turbine hub core; tier four; machinery repair</x:v>
      </x:c>
      <x:c r="W481" s="9" t="str">
        <x:v>New October 15 game brainstorming; current author request and Docs/WORLD_BASIS.md. Not retrieved source canon.</x:v>
      </x:c>
      <x:c r="X481" s="4" t="str">
        <x:v>Crafting component</x:v>
      </x:c>
      <x:c r="Y481" s="4" t="str">
        <x:v>Processed intermediate</x:v>
      </x:c>
      <x:c r="Z481" s="4" t="str">
        <x:v>Manufactured / unresolved</x:v>
      </x:c>
      <x:c r="AA481" s="4" t="str">
        <x:v>Machinery repair</x:v>
      </x:c>
      <x:c r="AB481" s="4" t="str">
        <x:v>Mixed / unresolved</x:v>
      </x:c>
      <x:c r="AC481" s="4" t="str">
        <x:v>Assembly</x:v>
      </x:c>
      <x:c r="AD481" s="4" t="str">
        <x:v>Proposal</x:v>
      </x:c>
      <x:c r="AE481" s="4" t="str">
        <x:f>LOWER(A481&amp;"; "&amp;B481&amp;"; "&amp;D481&amp;"; "&amp;E481&amp;"; "&amp;X481&amp;"; "&amp;Y481&amp;"; "&amp;Z481&amp;"; "&amp;AA481&amp;"; "&amp;AB481&amp;"; "&amp;AC481&amp;"; "&amp;AD481&amp;"; "&amp;V481&amp;"; "&amp;C481&amp;"; "&amp;AH481&amp;"; "&amp;AI481)</x:f>
        <x:v>proposal.t4.turbine_hub; matched wind-turbine hub core; crafting components; t4 specialist stock / component proposal; crafting component; processed intermediate; manufactured / unresolved; machinery repair; mixed / unresolved; assembly; proposal; matched wind-turbine hub core; tier four; machinery repair; t4; not applicable; component</x:v>
      </x:c>
      <x:c r="AF481" s="4" t="str">
        <x:v>New intended workshop role; actual performance requires qualification.</x:v>
      </x:c>
      <x:c r="AG481" s="4" t="str">
        <x:v>Proposed T4: one stage above highest listed T3 ingredient; partial recipe may change.</x:v>
      </x:c>
      <x:c r="AH481" s="4" t="str">
        <x:v>Not applicable</x:v>
      </x:c>
      <x:c r="AI481" s="4" t="str">
        <x:v>Component</x:v>
      </x:c>
      <x:c r="AJ481" s="4" t="n">
        <x:f>COUNTIFS('Material routes'!$D$6:$D$2205,A481,'Material routes'!$C$6:$C$2205,"Output")</x:f>
        <x:v>1</x:v>
      </x:c>
      <x:c r="AK481" s="4" t="n">
        <x:f>SUM(COUNTIFS('Material routes'!$D$6:$D$2205,A481,'Material routes'!$C$6:$C$2205,"Ingredient candidate"),COUNTIFS('Material routes'!$D$6:$D$2205,A481,'Material routes'!$C$6:$C$2205,"Consumed input"),COUNTIFS('Material routes'!$D$6:$D$2205,A481,'Material routes'!$C$6:$C$2205,"Contained input"),COUNTIFS('Material routes'!$D$6:$D$2205,A481,'Material routes'!$C$6:$C$2205,"Transform input"))</x:f>
        <x:v>1</x:v>
      </x:c>
      <x:c r="AL481" s="4" t="n">
        <x:f>COUNTIFS('Material routes'!$D$6:$D$2205,A481,'Material routes'!$C$6:$C$2205,"Tool candidate")</x:f>
        <x:v>0</x:v>
      </x:c>
      <x:c r="AM481" s="4" t="str">
        <x:f>IF(AJ481&gt;0,"Route listed; review status/completeness",IF(C481="T0","Raw entry feed; no production route","No production route listed"))</x:f>
        <x:v>Route listed; review status/completeness</x:v>
      </x:c>
      <x:c r="AN481" s="14" t="n">
        <x:f>IF(C481="T0",0,IF(C481="T1",1,IF(C481="T2",2,IF(C481="T3",3,IF(C481="T4",4,IF(C481="Unassigned",98,99))))))</x:f>
        <x:v>4</x:v>
      </x:c>
      <x:c r="AZ481"/>
      <x:c r="BA481"/>
      <x:c r="BB481"/>
      <x:c r="BC481"/>
      <x:c r="BD481"/>
      <x:c r="BE481"/>
      <x:c r="BF481"/>
      <x:c r="BG481"/>
      <x:c r="BH481"/>
      <x:c r="BI481"/>
      <x:c r="BJ481"/>
      <x:c r="BK481"/>
      <x:c r="BL481"/>
      <x:c r="BM481"/>
      <x:c r="BN481"/>
      <x:c r="BO481"/>
      <x:c r="BP481"/>
      <x:c r="BQ481"/>
      <x:c r="BR481"/>
      <x:c r="BS481"/>
      <x:c r="BT481"/>
      <x:c r="BU481"/>
      <x:c r="BV481"/>
      <x:c r="BW481"/>
      <x:c r="BX481"/>
      <x:c r="BY481"/>
      <x:c r="BZ481"/>
      <x:c r="CA481"/>
      <x:c r="CB481"/>
      <x:c r="CC481"/>
    </x:row>
    <x:row r="482" ht="115" customHeight="1">
      <x:c r="A482" s="9" t="str">
        <x:v>proposal.t4.wheel_hub</x:v>
      </x:c>
      <x:c r="B482" s="9" t="str">
        <x:v>Dirtboard wheel-hub core</x:v>
      </x:c>
      <x:c r="C482" s="4" t="str">
        <x:v>T4</x:v>
      </x:c>
      <x:c r="D482" s="9" t="inlineStr">
        <x:is>
          <x:t xml:space="preserve">Salvage</x:t>
        </x:is>
      </x:c>
      <x:c r="E482" s="9" t="str">
        <x:v>T4 specialist stock / component proposal</x:v>
      </x:c>
      <x:c r="F482" s="9" t="str">
        <x:v>New proposal</x:v>
      </x:c>
      <x:c r="G482" s="9" t="str">
        <x:v>Prepared intermediate for machinery repair. Intended downstream use: Booter four-wheel dirtboard; this is one intermediate wheel component, not a finished board.</x:v>
      </x:c>
      <x:c r="H482" s="9" t="str">
        <x:v>None</x:v>
      </x:c>
      <x:c r="I482" s="9" t="str">
        <x:v>Workshop / cargo stock; storage and handling unresolved</x:v>
      </x:c>
      <x:c r="J482" s="13"/>
      <x:c r="K482" s="15"/>
      <x:c r="L482" s="9" t="str">
        <x:v>Manufacture from listed T3 and lower-tier feedstocks; see linked recipe</x:v>
      </x:c>
      <x:c r="M482" s="9" t="str">
        <x:v>Fit a retained bearing and axle interface for a dirtboard wheel; wheel body, grip surface and dimensions remain open.</x:v>
      </x:c>
      <x:c r="N482" s="9" t="str">
        <x:v>Not implemented</x:v>
      </x:c>
      <x:c r="O482" s="9" t="str">
        <x:v>Partial proposal; quantities, tools, process conditions, yields and performance remain open. Booter four-wheel dirtboard; this is one intermediate wheel component, not a finished board.</x:v>
      </x:c>
      <x:c r="P482" s="17"/>
      <x:c r="Q482" s="17"/>
      <x:c r="R482" s="17"/>
      <x:c r="S482" s="17"/>
      <x:c r="T482" s="17"/>
      <x:c r="U482" s="9" t="str">
        <x:v>T4 is the final planned refinement tier. This remains intermediate stock or a component; fitted finished products are classified separately.</x:v>
      </x:c>
      <x:c r="V482" s="11" t="str">
        <x:v>dirtboard wheel-hub core; tier four; machinery repair</x:v>
      </x:c>
      <x:c r="W482" s="9" t="str">
        <x:v>New October 15 game brainstorming; current author request and Docs/WORLD_BASIS.md. Not retrieved source canon.</x:v>
      </x:c>
      <x:c r="X482" s="4" t="str">
        <x:v>Crafting component</x:v>
      </x:c>
      <x:c r="Y482" s="4" t="str">
        <x:v>Processed intermediate</x:v>
      </x:c>
      <x:c r="Z482" s="4" t="str">
        <x:v>Manufactured / unresolved</x:v>
      </x:c>
      <x:c r="AA482" s="4" t="str">
        <x:v>Machinery repair</x:v>
      </x:c>
      <x:c r="AB482" s="4" t="str">
        <x:v>Mixed / unresolved</x:v>
      </x:c>
      <x:c r="AC482" s="4" t="str">
        <x:v>Assembly</x:v>
      </x:c>
      <x:c r="AD482" s="4" t="str">
        <x:v>Proposal</x:v>
      </x:c>
      <x:c r="AE482" s="4" t="str">
        <x:f>LOWER(A482&amp;"; "&amp;B482&amp;"; "&amp;D482&amp;"; "&amp;E482&amp;"; "&amp;X482&amp;"; "&amp;Y482&amp;"; "&amp;Z482&amp;"; "&amp;AA482&amp;"; "&amp;AB482&amp;"; "&amp;AC482&amp;"; "&amp;AD482&amp;"; "&amp;V482&amp;"; "&amp;C482&amp;"; "&amp;AH482&amp;"; "&amp;AI482)</x:f>
        <x:v>proposal.t4.wheel_hub; dirtboard wheel-hub core; salvage; t4 specialist stock / component proposal; crafting component; processed intermediate; manufactured / unresolved; machinery repair; mixed / unresolved; assembly; proposal; dirtboard wheel-hub core; tier four; machinery repair; t4; not applicable; component</x:v>
      </x:c>
      <x:c r="AF482" s="4" t="inlineStr">
        <x:is>
          <x:t xml:space="preserve">New intended workshop role; actual performance requires qualification.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482" s="4" t="str">
        <x:v>Proposed T4: one stage above highest listed T3 ingredient; partial recipe may change.</x:v>
      </x:c>
      <x:c r="AH482" s="4" t="str">
        <x:v>Not applicable</x:v>
      </x:c>
      <x:c r="AI482" s="4" t="str">
        <x:v>Component</x:v>
      </x:c>
      <x:c r="AJ482" s="4" t="n">
        <x:f>COUNTIFS('Material routes'!$D$6:$D$2205,A482,'Material routes'!$C$6:$C$2205,"Output")</x:f>
        <x:v>1</x:v>
      </x:c>
      <x:c r="AK482" s="4" t="n">
        <x:f>SUM(COUNTIFS('Material routes'!$D$6:$D$2205,A482,'Material routes'!$C$6:$C$2205,"Ingredient candidate"),COUNTIFS('Material routes'!$D$6:$D$2205,A482,'Material routes'!$C$6:$C$2205,"Consumed input"),COUNTIFS('Material routes'!$D$6:$D$2205,A482,'Material routes'!$C$6:$C$2205,"Contained input"),COUNTIFS('Material routes'!$D$6:$D$2205,A482,'Material routes'!$C$6:$C$2205,"Transform input"))</x:f>
        <x:v>0</x:v>
      </x:c>
      <x:c r="AL482" s="4" t="n">
        <x:f>COUNTIFS('Material routes'!$D$6:$D$2205,A482,'Material routes'!$C$6:$C$2205,"Tool candidate")</x:f>
        <x:v>0</x:v>
      </x:c>
      <x:c r="AM482" s="4" t="str">
        <x:f>IF(AJ482&gt;0,"Route listed; review status/completeness",IF(C482="T0","Raw entry feed; no production route","No production route listed"))</x:f>
        <x:v>Route listed; review status/completeness</x:v>
      </x:c>
      <x:c r="AN482" s="14" t="n">
        <x:f>IF(C482="T0",0,IF(C482="T1",1,IF(C482="T2",2,IF(C482="T3",3,IF(C482="T4",4,IF(C482="Unassigned",98,99))))))</x:f>
        <x:v>4</x:v>
      </x:c>
      <x:c r="AZ482"/>
      <x:c r="BA482"/>
      <x:c r="BB482"/>
      <x:c r="BC482"/>
      <x:c r="BD482"/>
      <x:c r="BE482"/>
      <x:c r="BF482"/>
      <x:c r="BG482"/>
      <x:c r="BH482"/>
      <x:c r="BI482"/>
      <x:c r="BJ482"/>
      <x:c r="BK482"/>
      <x:c r="BL482"/>
      <x:c r="BM482"/>
      <x:c r="BN482"/>
      <x:c r="BO482"/>
      <x:c r="BP482"/>
      <x:c r="BQ482"/>
      <x:c r="BR482"/>
      <x:c r="BS482"/>
      <x:c r="BT482"/>
      <x:c r="BU482"/>
      <x:c r="BV482"/>
      <x:c r="BW482"/>
      <x:c r="BX482"/>
      <x:c r="BY482"/>
      <x:c r="BZ482"/>
      <x:c r="CA482"/>
      <x:c r="CB482"/>
      <x:c r="CC482"/>
    </x:row>
    <x:row r="483" ht="115" customHeight="1">
      <x:c r="A483" s="9" t="str">
        <x:v>proposal.t4.vessel_liner</x:v>
      </x:c>
      <x:c r="B483" s="9" t="str">
        <x:v>Fitted chemical-vessel liner insert</x:v>
      </x:c>
      <x:c r="C483" s="4" t="str">
        <x:v>T4</x:v>
      </x:c>
      <x:c r="D483" s="9" t="str">
        <x:v>Crafting components</x:v>
      </x:c>
      <x:c r="E483" s="9" t="str">
        <x:v>T4 specialist stock / component proposal</x:v>
      </x:c>
      <x:c r="F483" s="9" t="str">
        <x:v>New proposal</x:v>
      </x:c>
      <x:c r="G483" s="9" t="str">
        <x:v>Prepared intermediate for chemical processing. Intended downstream use: Selected fauna-liquid processing or storage equipment; toxicity, permeability, cleaning and chemical compatibility remain unresolved.</x:v>
      </x:c>
      <x:c r="H483" s="9" t="str">
        <x:v>None</x:v>
      </x:c>
      <x:c r="I483" s="9" t="str">
        <x:v>Workshop / cargo stock; storage and handling unresolved</x:v>
      </x:c>
      <x:c r="J483" s="13"/>
      <x:c r="K483" s="15"/>
      <x:c r="L483" s="9" t="str">
        <x:v>Manufacture from listed T3 and lower-tier feedstocks; see linked recipe</x:v>
      </x:c>
      <x:c r="M483" s="9" t="str">
        <x:v>Fit supported lining faces and retained joint stock to an identified vessel interior.</x:v>
      </x:c>
      <x:c r="N483" s="9" t="str">
        <x:v>Not implemented</x:v>
      </x:c>
      <x:c r="O483" s="9" t="str">
        <x:v>Partial proposal; quantities, tools, process conditions, yields and performance remain open. Selected fauna-liquid processing or storage equipment; toxicity, permeability, cleaning and chemical compatibility remain unresolved.</x:v>
      </x:c>
      <x:c r="P483" s="17"/>
      <x:c r="Q483" s="17"/>
      <x:c r="R483" s="17"/>
      <x:c r="S483" s="17"/>
      <x:c r="T483" s="17"/>
      <x:c r="U483" s="9" t="str">
        <x:v>T4 is the final planned refinement tier. This remains intermediate stock or a component; fitted finished products are classified separately.</x:v>
      </x:c>
      <x:c r="V483" s="11" t="str">
        <x:v>fitted chemical-vessel liner insert; tier four; chemical processing</x:v>
      </x:c>
      <x:c r="W483" s="9" t="str">
        <x:v>New October 15 game brainstorming; current author request and Docs/WORLD_BASIS.md. Not retrieved source canon.</x:v>
      </x:c>
      <x:c r="X483" s="4" t="str">
        <x:v>Crafting component</x:v>
      </x:c>
      <x:c r="Y483" s="4" t="str">
        <x:v>Processed intermediate</x:v>
      </x:c>
      <x:c r="Z483" s="4" t="str">
        <x:v>Manufactured / unresolved</x:v>
      </x:c>
      <x:c r="AA483" s="4" t="str">
        <x:v>Chemical processing</x:v>
      </x:c>
      <x:c r="AB483" s="4" t="str">
        <x:v>Mixed / unresolved</x:v>
      </x:c>
      <x:c r="AC483" s="4" t="str">
        <x:v>Assembly</x:v>
      </x:c>
      <x:c r="AD483" s="4" t="str">
        <x:v>Proposal</x:v>
      </x:c>
      <x:c r="AE483" s="4" t="str">
        <x:f>LOWER(A483&amp;"; "&amp;B483&amp;"; "&amp;D483&amp;"; "&amp;E483&amp;"; "&amp;X483&amp;"; "&amp;Y483&amp;"; "&amp;Z483&amp;"; "&amp;AA483&amp;"; "&amp;AB483&amp;"; "&amp;AC483&amp;"; "&amp;AD483&amp;"; "&amp;V483&amp;"; "&amp;C483&amp;"; "&amp;AH483&amp;"; "&amp;AI483)</x:f>
        <x:v>proposal.t4.vessel_liner; fitted chemical-vessel liner insert; crafting components; t4 specialist stock / component proposal; crafting component; processed intermediate; manufactured / unresolved; chemical processing; mixed / unresolved; assembly; proposal; fitted chemical-vessel liner insert; tier four; chemical processing; t4; not applicable; component</x:v>
      </x:c>
      <x:c r="AF483" s="4" t="str">
        <x:v>New intended workshop role; actual performance requires qualification.</x:v>
      </x:c>
      <x:c r="AG483" s="4" t="str">
        <x:v>Proposed T4: one stage above highest listed T3 ingredient; partial recipe may change.</x:v>
      </x:c>
      <x:c r="AH483" s="4" t="str">
        <x:v>Not applicable</x:v>
      </x:c>
      <x:c r="AI483" s="4" t="str">
        <x:v>Component</x:v>
      </x:c>
      <x:c r="AJ483" s="4" t="n">
        <x:f>COUNTIFS('Material routes'!$D$6:$D$2205,A483,'Material routes'!$C$6:$C$2205,"Output")</x:f>
        <x:v>1</x:v>
      </x:c>
      <x:c r="AK483" s="4" t="n">
        <x:f>SUM(COUNTIFS('Material routes'!$D$6:$D$2205,A483,'Material routes'!$C$6:$C$2205,"Ingredient candidate"),COUNTIFS('Material routes'!$D$6:$D$2205,A483,'Material routes'!$C$6:$C$2205,"Consumed input"),COUNTIFS('Material routes'!$D$6:$D$2205,A483,'Material routes'!$C$6:$C$2205,"Contained input"),COUNTIFS('Material routes'!$D$6:$D$2205,A483,'Material routes'!$C$6:$C$2205,"Transform input"))</x:f>
        <x:v>2</x:v>
      </x:c>
      <x:c r="AL483" s="4" t="n">
        <x:f>COUNTIFS('Material routes'!$D$6:$D$2205,A483,'Material routes'!$C$6:$C$2205,"Tool candidate")</x:f>
        <x:v>0</x:v>
      </x:c>
      <x:c r="AM483" s="4" t="str">
        <x:f>IF(AJ483&gt;0,"Route listed; review status/completeness",IF(C483="T0","Raw entry feed; no production route","No production route listed"))</x:f>
        <x:v>Route listed; review status/completeness</x:v>
      </x:c>
      <x:c r="AN483" s="14" t="n">
        <x:f>IF(C483="T0",0,IF(C483="T1",1,IF(C483="T2",2,IF(C483="T3",3,IF(C483="T4",4,IF(C483="Unassigned",98,99))))))</x:f>
        <x:v>4</x:v>
      </x:c>
      <x:c r="AZ483"/>
      <x:c r="BA483"/>
      <x:c r="BB483"/>
      <x:c r="BC483"/>
      <x:c r="BD483"/>
      <x:c r="BE483"/>
      <x:c r="BF483"/>
      <x:c r="BG483"/>
      <x:c r="BH483"/>
      <x:c r="BI483"/>
      <x:c r="BJ483"/>
      <x:c r="BK483"/>
      <x:c r="BL483"/>
      <x:c r="BM483"/>
      <x:c r="BN483"/>
      <x:c r="BO483"/>
      <x:c r="BP483"/>
      <x:c r="BQ483"/>
      <x:c r="BR483"/>
      <x:c r="BS483"/>
      <x:c r="BT483"/>
      <x:c r="BU483"/>
      <x:c r="BV483"/>
      <x:c r="BW483"/>
      <x:c r="BX483"/>
      <x:c r="BY483"/>
      <x:c r="BZ483"/>
      <x:c r="CA483"/>
      <x:c r="CB483"/>
      <x:c r="CC483"/>
    </x:row>
    <x:row r="484" ht="115" customHeight="1">
      <x:c r="A484" s="9" t="str">
        <x:v>proposal.t4.grinding_head</x:v>
      </x:c>
      <x:c r="B484" s="9" t="str">
        <x:v>Replaceable abrasive-head assembly</x:v>
      </x:c>
      <x:c r="C484" s="4" t="str">
        <x:v>T4</x:v>
      </x:c>
      <x:c r="D484" s="9" t="str">
        <x:v>Crafting components</x:v>
      </x:c>
      <x:c r="E484" s="9" t="str">
        <x:v>T4 specialist stock / component proposal</x:v>
      </x:c>
      <x:c r="F484" s="9" t="str">
        <x:v>New proposal</x:v>
      </x:c>
      <x:c r="G484" s="9" t="str">
        <x:v>Prepared intermediate for surface finishing. Intended downstream use: A finishing or grinding tool; drive, retention, grit shedding and intended work material need design.</x:v>
      </x:c>
      <x:c r="H484" s="9" t="str">
        <x:v>None</x:v>
      </x:c>
      <x:c r="I484" s="9" t="str">
        <x:v>Workshop / cargo stock; storage and handling unresolved</x:v>
      </x:c>
      <x:c r="J484" s="13"/>
      <x:c r="K484" s="15"/>
      <x:c r="L484" s="9" t="str">
        <x:v>Manufacture from listed T3 and lower-tier feedstocks; see linked recipe</x:v>
      </x:c>
      <x:c r="M484" s="9" t="str">
        <x:v>Fit abrasive-faced stock to a replaceable mechanically retained tool head.</x:v>
      </x:c>
      <x:c r="N484" s="9" t="str">
        <x:v>Not implemented</x:v>
      </x:c>
      <x:c r="O484" s="9" t="str">
        <x:v>Partial proposal; quantities, tools, process conditions, yields and performance remain open. A finishing or grinding tool; drive, retention, grit shedding and intended work material need design.</x:v>
      </x:c>
      <x:c r="P484" s="17"/>
      <x:c r="Q484" s="17"/>
      <x:c r="R484" s="17"/>
      <x:c r="S484" s="17"/>
      <x:c r="T484" s="17"/>
      <x:c r="U484" s="9" t="str">
        <x:v>T4 is the final planned refinement tier. This remains intermediate stock or a component; fitted finished products are classified separately.</x:v>
      </x:c>
      <x:c r="V484" s="11" t="str">
        <x:v>replaceable abrasive-head assembly; tier four; surface finishing</x:v>
      </x:c>
      <x:c r="W484" s="9" t="str">
        <x:v>New October 15 game brainstorming; current author request and Docs/WORLD_BASIS.md. Not retrieved source canon.</x:v>
      </x:c>
      <x:c r="X484" s="4" t="str">
        <x:v>Crafting component</x:v>
      </x:c>
      <x:c r="Y484" s="4" t="str">
        <x:v>Processed intermediate</x:v>
      </x:c>
      <x:c r="Z484" s="4" t="str">
        <x:v>Manufactured / unresolved</x:v>
      </x:c>
      <x:c r="AA484" s="4" t="str">
        <x:v>Surface finishing</x:v>
      </x:c>
      <x:c r="AB484" s="4" t="str">
        <x:v>Mixed / unresolved</x:v>
      </x:c>
      <x:c r="AC484" s="4" t="str">
        <x:v>Assembly</x:v>
      </x:c>
      <x:c r="AD484" s="4" t="str">
        <x:v>Proposal</x:v>
      </x:c>
      <x:c r="AE484" s="4" t="str">
        <x:f>LOWER(A484&amp;"; "&amp;B484&amp;"; "&amp;D484&amp;"; "&amp;E484&amp;"; "&amp;X484&amp;"; "&amp;Y484&amp;"; "&amp;Z484&amp;"; "&amp;AA484&amp;"; "&amp;AB484&amp;"; "&amp;AC484&amp;"; "&amp;AD484&amp;"; "&amp;V484&amp;"; "&amp;C484&amp;"; "&amp;AH484&amp;"; "&amp;AI484)</x:f>
        <x:v>proposal.t4.grinding_head; replaceable abrasive-head assembly; crafting components; t4 specialist stock / component proposal; crafting component; processed intermediate; manufactured / unresolved; surface finishing; mixed / unresolved; assembly; proposal; replaceable abrasive-head assembly; tier four; surface finishing; t4; not applicable; component</x:v>
      </x:c>
      <x:c r="AF484" s="4" t="str">
        <x:v>New intended workshop role; actual performance requires qualification.</x:v>
      </x:c>
      <x:c r="AG484" s="4" t="str">
        <x:v>Proposed T4: one stage above highest listed T3 ingredient; partial recipe may change.</x:v>
      </x:c>
      <x:c r="AH484" s="4" t="str">
        <x:v>Not applicable</x:v>
      </x:c>
      <x:c r="AI484" s="4" t="str">
        <x:v>Component</x:v>
      </x:c>
      <x:c r="AJ484" s="4" t="n">
        <x:f>COUNTIFS('Material routes'!$D$6:$D$2205,A484,'Material routes'!$C$6:$C$2205,"Output")</x:f>
        <x:v>1</x:v>
      </x:c>
      <x:c r="AK484" s="4" t="n">
        <x:f>SUM(COUNTIFS('Material routes'!$D$6:$D$2205,A484,'Material routes'!$C$6:$C$2205,"Ingredient candidate"),COUNTIFS('Material routes'!$D$6:$D$2205,A484,'Material routes'!$C$6:$C$2205,"Consumed input"),COUNTIFS('Material routes'!$D$6:$D$2205,A484,'Material routes'!$C$6:$C$2205,"Contained input"),COUNTIFS('Material routes'!$D$6:$D$2205,A484,'Material routes'!$C$6:$C$2205,"Transform input"))</x:f>
        <x:v>0</x:v>
      </x:c>
      <x:c r="AL484" s="4" t="n">
        <x:f>COUNTIFS('Material routes'!$D$6:$D$2205,A484,'Material routes'!$C$6:$C$2205,"Tool candidate")</x:f>
        <x:v>0</x:v>
      </x:c>
      <x:c r="AM484" s="4" t="str">
        <x:f>IF(AJ484&gt;0,"Route listed; review status/completeness",IF(C484="T0","Raw entry feed; no production route","No production route listed"))</x:f>
        <x:v>Route listed; review status/completeness</x:v>
      </x:c>
      <x:c r="AN484" s="14" t="n">
        <x:f>IF(C484="T0",0,IF(C484="T1",1,IF(C484="T2",2,IF(C484="T3",3,IF(C484="T4",4,IF(C484="Unassigned",98,99))))))</x:f>
        <x:v>4</x:v>
      </x:c>
      <x:c r="AZ484"/>
      <x:c r="BA484"/>
      <x:c r="BB484"/>
      <x:c r="BC484"/>
      <x:c r="BD484"/>
      <x:c r="BE484"/>
      <x:c r="BF484"/>
      <x:c r="BG484"/>
      <x:c r="BH484"/>
      <x:c r="BI484"/>
      <x:c r="BJ484"/>
      <x:c r="BK484"/>
      <x:c r="BL484"/>
      <x:c r="BM484"/>
      <x:c r="BN484"/>
      <x:c r="BO484"/>
      <x:c r="BP484"/>
      <x:c r="BQ484"/>
      <x:c r="BR484"/>
      <x:c r="BS484"/>
      <x:c r="BT484"/>
      <x:c r="BU484"/>
      <x:c r="BV484"/>
      <x:c r="BW484"/>
      <x:c r="BX484"/>
      <x:c r="BY484"/>
      <x:c r="BZ484"/>
      <x:c r="CA484"/>
      <x:c r="CB484"/>
      <x:c r="CC484"/>
    </x:row>
    <x:row r="485" ht="115" customHeight="1">
      <x:c r="A485" s="9" t="str">
        <x:v>proposal.t4.insulating_board</x:v>
      </x:c>
      <x:c r="B485" s="9" t="str">
        <x:v>Pressed mineral-husk insulating board</x:v>
      </x:c>
      <x:c r="C485" s="4" t="str">
        <x:v>T4</x:v>
      </x:c>
      <x:c r="D485" s="9" t="str">
        <x:v>Manufactured stock</x:v>
      </x:c>
      <x:c r="E485" s="9" t="str">
        <x:v>T4 specialist stock / component proposal</x:v>
      </x:c>
      <x:c r="F485" s="9" t="str">
        <x:v>New proposal</x:v>
      </x:c>
      <x:c r="G485" s="9" t="str">
        <x:v>Prepared intermediate for electrical insulation. Intended downstream use: Fitted enclosure barriers and insulating panels; no electrical, thermal or fire-resistance rating assigned.</x:v>
      </x:c>
      <x:c r="H485" s="9" t="str">
        <x:v>None</x:v>
      </x:c>
      <x:c r="I485" s="9" t="str">
        <x:v>Workshop / cargo stock; storage and handling unresolved</x:v>
      </x:c>
      <x:c r="J485" s="13"/>
      <x:c r="K485" s="15"/>
      <x:c r="L485" s="9" t="str">
        <x:v>Manufacture from listed T3 and lower-tier feedstocks; see linked recipe</x:v>
      </x:c>
      <x:c r="M485" s="9" t="str">
        <x:v>Explore pressing compatible prepared husk/mineral layers into supported barrier stock; layer arrangement and binder behavior remain open.</x:v>
      </x:c>
      <x:c r="N485" s="9" t="str">
        <x:v>Not implemented</x:v>
      </x:c>
      <x:c r="O485" s="9" t="str">
        <x:v>Partial proposal; quantities, tools, process conditions, yields and performance remain open. Fitted enclosure barriers and insulating panels; no electrical, thermal or fire-resistance rating assigned.</x:v>
      </x:c>
      <x:c r="P485" s="17"/>
      <x:c r="Q485" s="17"/>
      <x:c r="R485" s="17"/>
      <x:c r="S485" s="17"/>
      <x:c r="T485" s="17"/>
      <x:c r="U485" s="9" t="str">
        <x:v>T4 is the final planned refinement tier. This remains intermediate stock or a component; fitted finished products are classified separately.</x:v>
      </x:c>
      <x:c r="V485" s="11" t="str">
        <x:v>pressed mineral-husk insulating board; tier four; electrical insulation</x:v>
      </x:c>
      <x:c r="W485" s="9" t="str">
        <x:v>New October 15 game brainstorming; current author request and Docs/WORLD_BASIS.md. Not retrieved source canon.</x:v>
      </x:c>
      <x:c r="X485" s="4" t="str">
        <x:v>Processed material</x:v>
      </x:c>
      <x:c r="Y485" s="4" t="str">
        <x:v>Processed intermediate</x:v>
      </x:c>
      <x:c r="Z485" s="4" t="str">
        <x:v>Manufactured / unresolved</x:v>
      </x:c>
      <x:c r="AA485" s="4" t="str">
        <x:v>Electrical insulation</x:v>
      </x:c>
      <x:c r="AB485" s="4" t="str">
        <x:v>Mixed / unresolved</x:v>
      </x:c>
      <x:c r="AC485" s="4" t="str">
        <x:v>Panel</x:v>
      </x:c>
      <x:c r="AD485" s="4" t="str">
        <x:v>Proposal</x:v>
      </x:c>
      <x:c r="AE485" s="4" t="str">
        <x:f>LOWER(A485&amp;"; "&amp;B485&amp;"; "&amp;D485&amp;"; "&amp;E485&amp;"; "&amp;X485&amp;"; "&amp;Y485&amp;"; "&amp;Z485&amp;"; "&amp;AA485&amp;"; "&amp;AB485&amp;"; "&amp;AC485&amp;"; "&amp;AD485&amp;"; "&amp;V485&amp;"; "&amp;C485&amp;"; "&amp;AH485&amp;"; "&amp;AI485)</x:f>
        <x:v>proposal.t4.insulating_board; pressed mineral-husk insulating board; manufactured stock; t4 specialist stock / component proposal; processed material; processed intermediate; manufactured / unresolved; electrical insulation; mixed / unresolved; panel; proposal; pressed mineral-husk insulating board; tier four; electrical insulation; t4; not applicable; material</x:v>
      </x:c>
      <x:c r="AF485" s="4" t="str">
        <x:v>New intended workshop role; actual performance requires qualification. Lore category review: Resources -&gt; Manufactured stock. Classification only; original item status and tier retained.</x:v>
      </x:c>
      <x:c r="AG485" s="4" t="str">
        <x:v>Proposed T4: one stage above highest listed T3 ingredient; partial recipe may change.</x:v>
      </x:c>
      <x:c r="AH485" s="4" t="str">
        <x:v>Not applicable</x:v>
      </x:c>
      <x:c r="AI485" s="4" t="str">
        <x:v>Material</x:v>
      </x:c>
      <x:c r="AJ485" s="4" t="n">
        <x:f>COUNTIFS('Material routes'!$D$6:$D$2205,A485,'Material routes'!$C$6:$C$2205,"Output")</x:f>
        <x:v>1</x:v>
      </x:c>
      <x:c r="AK485" s="4" t="n">
        <x:f>SUM(COUNTIFS('Material routes'!$D$6:$D$2205,A485,'Material routes'!$C$6:$C$2205,"Ingredient candidate"),COUNTIFS('Material routes'!$D$6:$D$2205,A485,'Material routes'!$C$6:$C$2205,"Consumed input"),COUNTIFS('Material routes'!$D$6:$D$2205,A485,'Material routes'!$C$6:$C$2205,"Contained input"),COUNTIFS('Material routes'!$D$6:$D$2205,A485,'Material routes'!$C$6:$C$2205,"Transform input"))</x:f>
        <x:v>1</x:v>
      </x:c>
      <x:c r="AL485" s="4" t="n">
        <x:f>COUNTIFS('Material routes'!$D$6:$D$2205,A485,'Material routes'!$C$6:$C$2205,"Tool candidate")</x:f>
        <x:v>0</x:v>
      </x:c>
      <x:c r="AM485" s="4" t="str">
        <x:f>IF(AJ485&gt;0,"Route listed; review status/completeness",IF(C485="T0","Raw entry feed; no production route","No production route listed"))</x:f>
        <x:v>Route listed; review status/completeness</x:v>
      </x:c>
      <x:c r="AN485" s="14" t="n">
        <x:f>IF(C485="T0",0,IF(C485="T1",1,IF(C485="T2",2,IF(C485="T3",3,IF(C485="T4",4,IF(C485="Unassigned",98,99))))))</x:f>
        <x:v>4</x:v>
      </x:c>
      <x:c r="AZ485"/>
      <x:c r="BA485"/>
      <x:c r="BB485"/>
      <x:c r="BC485"/>
      <x:c r="BD485"/>
      <x:c r="BE485"/>
      <x:c r="BF485"/>
      <x:c r="BG485"/>
      <x:c r="BH485"/>
      <x:c r="BI485"/>
      <x:c r="BJ485"/>
      <x:c r="BK485"/>
      <x:c r="BL485"/>
      <x:c r="BM485"/>
      <x:c r="BN485"/>
      <x:c r="BO485"/>
      <x:c r="BP485"/>
      <x:c r="BQ485"/>
      <x:c r="BR485"/>
      <x:c r="BS485"/>
      <x:c r="BT485"/>
      <x:c r="BU485"/>
      <x:c r="BV485"/>
      <x:c r="BW485"/>
      <x:c r="BX485"/>
      <x:c r="BY485"/>
      <x:c r="BZ485"/>
      <x:c r="CA485"/>
      <x:c r="CB485"/>
      <x:c r="CC485"/>
    </x:row>
    <x:row r="486" ht="115" customHeight="1">
      <x:c r="A486" s="9" t="str">
        <x:v>proposal.t4.decorative_veneer</x:v>
      </x:c>
      <x:c r="B486" s="9" t="str">
        <x:v>Layered ceremonial inlay stock</x:v>
      </x:c>
      <x:c r="C486" s="4" t="str">
        <x:v>T4</x:v>
      </x:c>
      <x:c r="D486" s="9" t="str">
        <x:v>Manufactured stock</x:v>
      </x:c>
      <x:c r="E486" s="9" t="str">
        <x:v>T4 specialist stock / component proposal</x:v>
      </x:c>
      <x:c r="F486" s="9" t="str">
        <x:v>New proposal</x:v>
      </x:c>
      <x:c r="G486" s="9" t="str">
        <x:v>Prepared intermediate for decoration. Intended downstream use: Rare ceremonial trim, civic plates or costly dress fittings; no ordinary cloth or invented national preference.</x:v>
      </x:c>
      <x:c r="H486" s="9" t="str">
        <x:v>None</x:v>
      </x:c>
      <x:c r="I486" s="9" t="str">
        <x:v>Workshop / cargo stock; storage and handling unresolved</x:v>
      </x:c>
      <x:c r="J486" s="13"/>
      <x:c r="K486" s="15"/>
      <x:c r="L486" s="9" t="str">
        <x:v>Manufacture from listed T3 and lower-tier feedstocks; see linked recipe</x:v>
      </x:c>
      <x:c r="M486" s="9" t="str">
        <x:v>Prepare small fitted decorative sections combining supported inlay and difficult finished husk stock; intended geometry may be rigid.</x:v>
      </x:c>
      <x:c r="N486" s="9" t="str">
        <x:v>Not implemented</x:v>
      </x:c>
      <x:c r="O486" s="9" t="str">
        <x:v>Partial proposal; quantities, tools, process conditions, yields and performance remain open. Rare ceremonial trim, civic plates or costly dress fittings; no ordinary cloth or invented national preference.</x:v>
      </x:c>
      <x:c r="P486" s="17"/>
      <x:c r="Q486" s="17"/>
      <x:c r="R486" s="17"/>
      <x:c r="S486" s="17"/>
      <x:c r="T486" s="17"/>
      <x:c r="U486" s="9" t="str">
        <x:v>T4 is the final planned refinement tier. This remains intermediate stock or a component; fitted finished products are classified separately.</x:v>
      </x:c>
      <x:c r="V486" s="11" t="str">
        <x:v>layered ceremonial inlay stock; tier four; decoration</x:v>
      </x:c>
      <x:c r="W486" s="9" t="str">
        <x:v>New October 15 game brainstorming; current author request and Docs/WORLD_BASIS.md. Not retrieved source canon.</x:v>
      </x:c>
      <x:c r="X486" s="4" t="str">
        <x:v>Processed material</x:v>
      </x:c>
      <x:c r="Y486" s="4" t="str">
        <x:v>Processed intermediate</x:v>
      </x:c>
      <x:c r="Z486" s="4" t="str">
        <x:v>Manufactured / unresolved</x:v>
      </x:c>
      <x:c r="AA486" s="4" t="str">
        <x:v>Decoration</x:v>
      </x:c>
      <x:c r="AB486" s="4" t="str">
        <x:v>Mixed / unresolved</x:v>
      </x:c>
      <x:c r="AC486" s="4" t="str">
        <x:v>Sheet</x:v>
      </x:c>
      <x:c r="AD486" s="4" t="str">
        <x:v>Proposal</x:v>
      </x:c>
      <x:c r="AE486" s="4" t="str">
        <x:f>LOWER(A486&amp;"; "&amp;B486&amp;"; "&amp;D486&amp;"; "&amp;E486&amp;"; "&amp;X486&amp;"; "&amp;Y486&amp;"; "&amp;Z486&amp;"; "&amp;AA486&amp;"; "&amp;AB486&amp;"; "&amp;AC486&amp;"; "&amp;AD486&amp;"; "&amp;V486&amp;"; "&amp;C486&amp;"; "&amp;AH486&amp;"; "&amp;AI486)</x:f>
        <x:v>proposal.t4.decorative_veneer; layered ceremonial inlay stock; manufactured stock; t4 specialist stock / component proposal; processed material; processed intermediate; manufactured / unresolved; decoration; mixed / unresolved; sheet; proposal; layered ceremonial inlay stock; tier four; decoration; t4; not applicable; material</x:v>
      </x:c>
      <x:c r="AF486" s="4" t="str">
        <x:v>New intended workshop role; actual performance requires qualification. Lore category review: Resources -&gt; Manufactured stock. Classification only; original item status and tier retained.</x:v>
      </x:c>
      <x:c r="AG486" s="4" t="str">
        <x:v>Proposed T4: one stage above highest listed T3 ingredient; partial recipe may change.</x:v>
      </x:c>
      <x:c r="AH486" s="4" t="str">
        <x:v>Not applicable</x:v>
      </x:c>
      <x:c r="AI486" s="4" t="str">
        <x:v>Material</x:v>
      </x:c>
      <x:c r="AJ486" s="4" t="n">
        <x:f>COUNTIFS('Material routes'!$D$6:$D$2205,A486,'Material routes'!$C$6:$C$2205,"Output")</x:f>
        <x:v>1</x:v>
      </x:c>
      <x:c r="AK486" s="4" t="n">
        <x:f>SUM(COUNTIFS('Material routes'!$D$6:$D$2205,A486,'Material routes'!$C$6:$C$2205,"Ingredient candidate"),COUNTIFS('Material routes'!$D$6:$D$2205,A486,'Material routes'!$C$6:$C$2205,"Consumed input"),COUNTIFS('Material routes'!$D$6:$D$2205,A486,'Material routes'!$C$6:$C$2205,"Contained input"),COUNTIFS('Material routes'!$D$6:$D$2205,A486,'Material routes'!$C$6:$C$2205,"Transform input"))</x:f>
        <x:v>3</x:v>
      </x:c>
      <x:c r="AL486" s="4" t="n">
        <x:f>COUNTIFS('Material routes'!$D$6:$D$2205,A486,'Material routes'!$C$6:$C$2205,"Tool candidate")</x:f>
        <x:v>0</x:v>
      </x:c>
      <x:c r="AM486" s="4" t="str">
        <x:f>IF(AJ486&gt;0,"Route listed; review status/completeness",IF(C486="T0","Raw entry feed; no production route","No production route listed"))</x:f>
        <x:v>Route listed; review status/completeness</x:v>
      </x:c>
      <x:c r="AN486" s="14" t="n">
        <x:f>IF(C486="T0",0,IF(C486="T1",1,IF(C486="T2",2,IF(C486="T3",3,IF(C486="T4",4,IF(C486="Unassigned",98,99))))))</x:f>
        <x:v>4</x:v>
      </x:c>
      <x:c r="AZ486"/>
      <x:c r="BA486"/>
      <x:c r="BB486"/>
      <x:c r="BC486"/>
      <x:c r="BD486"/>
      <x:c r="BE486"/>
      <x:c r="BF486"/>
      <x:c r="BG486"/>
      <x:c r="BH486"/>
      <x:c r="BI486"/>
      <x:c r="BJ486"/>
      <x:c r="BK486"/>
      <x:c r="BL486"/>
      <x:c r="BM486"/>
      <x:c r="BN486"/>
      <x:c r="BO486"/>
      <x:c r="BP486"/>
      <x:c r="BQ486"/>
      <x:c r="BR486"/>
      <x:c r="BS486"/>
      <x:c r="BT486"/>
      <x:c r="BU486"/>
      <x:c r="BV486"/>
      <x:c r="BW486"/>
      <x:c r="BX486"/>
      <x:c r="BY486"/>
      <x:c r="BZ486"/>
      <x:c r="CA486"/>
      <x:c r="CB486"/>
      <x:c r="CC486"/>
    </x:row>
    <x:row r="487" ht="115" customHeight="1">
      <x:c r="A487" s="9" t="str">
        <x:v>proposal.t4.acoustic_cassette</x:v>
      </x:c>
      <x:c r="B487" s="9" t="str">
        <x:v>Matched stone-resonator cassette</x:v>
      </x:c>
      <x:c r="C487" s="4" t="str">
        <x:v>T4</x:v>
      </x:c>
      <x:c r="D487" s="9" t="str">
        <x:v>Crafting components</x:v>
      </x:c>
      <x:c r="E487" s="9" t="str">
        <x:v>T4 specialist stock / component proposal</x:v>
      </x:c>
      <x:c r="F487" s="9" t="str">
        <x:v>New proposal</x:v>
      </x:c>
      <x:c r="G487" s="9" t="str">
        <x:v>Prepared intermediate for music. Intended downstream use: A fitted acoustic instrument; mounting response and tuning remain open, with no assigned magical amplification.</x:v>
      </x:c>
      <x:c r="H487" s="9" t="str">
        <x:v>None</x:v>
      </x:c>
      <x:c r="I487" s="9" t="str">
        <x:v>Workshop / cargo stock; storage and handling unresolved</x:v>
      </x:c>
      <x:c r="J487" s="13"/>
      <x:c r="K487" s="15"/>
      <x:c r="L487" s="9" t="str">
        <x:v>Manufacture from listed T3 and lower-tier feedstocks; see linked recipe</x:v>
      </x:c>
      <x:c r="M487" s="9" t="str">
        <x:v>Match mounted tuned-stone pieces and mechanical supports as an instrument-making component.</x:v>
      </x:c>
      <x:c r="N487" s="9" t="str">
        <x:v>Not implemented</x:v>
      </x:c>
      <x:c r="O487" s="9" t="str">
        <x:v>Partial proposal; quantities, tools, process conditions, yields and performance remain open. A fitted acoustic instrument; mounting response and tuning remain open, with no assigned magical amplification.</x:v>
      </x:c>
      <x:c r="P487" s="17"/>
      <x:c r="Q487" s="17"/>
      <x:c r="R487" s="17"/>
      <x:c r="S487" s="17"/>
      <x:c r="T487" s="17"/>
      <x:c r="U487" s="9" t="str">
        <x:v>T4 is the final planned refinement tier. This remains intermediate stock or a component; fitted finished products are classified separately.</x:v>
      </x:c>
      <x:c r="V487" s="11" t="str">
        <x:v>matched stone-resonator cassette; tier four; music</x:v>
      </x:c>
      <x:c r="W487" s="9" t="str">
        <x:v>New October 15 game brainstorming; current author request and Docs/WORLD_BASIS.md. Not retrieved source canon.</x:v>
      </x:c>
      <x:c r="X487" s="4" t="str">
        <x:v>Crafting component</x:v>
      </x:c>
      <x:c r="Y487" s="4" t="str">
        <x:v>Processed intermediate</x:v>
      </x:c>
      <x:c r="Z487" s="4" t="str">
        <x:v>Manufactured / unresolved</x:v>
      </x:c>
      <x:c r="AA487" s="4" t="str">
        <x:v>Music</x:v>
      </x:c>
      <x:c r="AB487" s="4" t="str">
        <x:v>Mixed / unresolved</x:v>
      </x:c>
      <x:c r="AC487" s="4" t="str">
        <x:v>Assembly</x:v>
      </x:c>
      <x:c r="AD487" s="4" t="str">
        <x:v>Proposal</x:v>
      </x:c>
      <x:c r="AE487" s="4" t="str">
        <x:f>LOWER(A487&amp;"; "&amp;B487&amp;"; "&amp;D487&amp;"; "&amp;E487&amp;"; "&amp;X487&amp;"; "&amp;Y487&amp;"; "&amp;Z487&amp;"; "&amp;AA487&amp;"; "&amp;AB487&amp;"; "&amp;AC487&amp;"; "&amp;AD487&amp;"; "&amp;V487&amp;"; "&amp;C487&amp;"; "&amp;AH487&amp;"; "&amp;AI487)</x:f>
        <x:v>proposal.t4.acoustic_cassette; matched stone-resonator cassette; crafting components; t4 specialist stock / component proposal; crafting component; processed intermediate; manufactured / unresolved; music; mixed / unresolved; assembly; proposal; matched stone-resonator cassette; tier four; music; t4; not applicable; component</x:v>
      </x:c>
      <x:c r="AF487" s="4" t="str">
        <x:v>New intended workshop role; actual performance requires qualification.</x:v>
      </x:c>
      <x:c r="AG487" s="4" t="str">
        <x:v>Proposed T4: one stage above highest listed T3 ingredient; partial recipe may change.</x:v>
      </x:c>
      <x:c r="AH487" s="4" t="str">
        <x:v>Not applicable</x:v>
      </x:c>
      <x:c r="AI487" s="4" t="str">
        <x:v>Component</x:v>
      </x:c>
      <x:c r="AJ487" s="4" t="n">
        <x:f>COUNTIFS('Material routes'!$D$6:$D$2205,A487,'Material routes'!$C$6:$C$2205,"Output")</x:f>
        <x:v>1</x:v>
      </x:c>
      <x:c r="AK487" s="4" t="n">
        <x:f>SUM(COUNTIFS('Material routes'!$D$6:$D$2205,A487,'Material routes'!$C$6:$C$2205,"Ingredient candidate"),COUNTIFS('Material routes'!$D$6:$D$2205,A487,'Material routes'!$C$6:$C$2205,"Consumed input"),COUNTIFS('Material routes'!$D$6:$D$2205,A487,'Material routes'!$C$6:$C$2205,"Contained input"),COUNTIFS('Material routes'!$D$6:$D$2205,A487,'Material routes'!$C$6:$C$2205,"Transform input"))</x:f>
        <x:v>0</x:v>
      </x:c>
      <x:c r="AL487" s="4" t="n">
        <x:f>COUNTIFS('Material routes'!$D$6:$D$2205,A487,'Material routes'!$C$6:$C$2205,"Tool candidate")</x:f>
        <x:v>0</x:v>
      </x:c>
      <x:c r="AM487" s="4" t="str">
        <x:f>IF(AJ487&gt;0,"Route listed; review status/completeness",IF(C487="T0","Raw entry feed; no production route","No production route listed"))</x:f>
        <x:v>Route listed; review status/completeness</x:v>
      </x:c>
      <x:c r="AN487" s="14" t="n">
        <x:f>IF(C487="T0",0,IF(C487="T1",1,IF(C487="T2",2,IF(C487="T3",3,IF(C487="T4",4,IF(C487="Unassigned",98,99))))))</x:f>
        <x:v>4</x:v>
      </x:c>
      <x:c r="AZ487"/>
      <x:c r="BA487"/>
      <x:c r="BB487"/>
      <x:c r="BC487"/>
      <x:c r="BD487"/>
      <x:c r="BE487"/>
      <x:c r="BF487"/>
      <x:c r="BG487"/>
      <x:c r="BH487"/>
      <x:c r="BI487"/>
      <x:c r="BJ487"/>
      <x:c r="BK487"/>
      <x:c r="BL487"/>
      <x:c r="BM487"/>
      <x:c r="BN487"/>
      <x:c r="BO487"/>
      <x:c r="BP487"/>
      <x:c r="BQ487"/>
      <x:c r="BR487"/>
      <x:c r="BS487"/>
      <x:c r="BT487"/>
      <x:c r="BU487"/>
      <x:c r="BV487"/>
      <x:c r="BW487"/>
      <x:c r="BX487"/>
      <x:c r="BY487"/>
      <x:c r="BZ487"/>
      <x:c r="CA487"/>
      <x:c r="CB487"/>
      <x:c r="CC487"/>
    </x:row>
    <x:row r="488" ht="115" customHeight="1">
      <x:c r="A488" s="4" t="str">
        <x:v>proposal.review.oxide_reactive_fraction</x:v>
      </x:c>
      <x:c r="B488" s="4" t="str">
        <x:v>Selected oxide-reactive faunal fraction</x:v>
      </x:c>
      <x:c r="C488" s="4" t="str">
        <x:v>T1</x:v>
      </x:c>
      <x:c r="D488" s="4" t="inlineStr">
        <x:is>
          <x:t xml:space="preserve">Crafting components</x:t>
        </x:is>
      </x:c>
      <x:c r="E488" s="4" t="str">
        <x:v>Hypothetical chemical-processing precursor</x:v>
      </x:c>
      <x:c r="F488" s="4" t="str">
        <x:v>New proposal</x:v>
      </x:c>
      <x:c r="G488" s="4" t="inlineStr">
        <x:is>
          <x:t xml:space="preserve">Candidate precursor for oxide-conversion research. It is a candidate industrial input or process aid. Its composition, containment and compatible treatment must be established; usefulness does not imply edibility.</x:t>
        </x:is>
      </x:c>
      <x:c r="H488" s="4" t="str">
        <x:v>None</x:v>
      </x:c>
      <x:c r="I488" s="4" t="str">
        <x:v>Contained workshop chemical stock; compatibility unresolved</x:v>
      </x:c>
      <x:c r="J488" s="4"/>
      <x:c r="K488" s="4"/>
      <x:c r="L488" s="4" t="str">
        <x:v>Hypothetical selection from listed raw feeds</x:v>
      </x:c>
      <x:c r="M488" s="4" t="str">
        <x:v>Hypothetically select and condition a raw faunal fraction with graded mineral selection for oxide-conversion research; actual chemical identity and reaction remain unresolved.</x:v>
      </x:c>
      <x:c r="N488" s="4" t="str">
        <x:v>Not implemented</x:v>
      </x:c>
      <x:c r="O488" s="4" t="str">
        <x:v>New chemistry hypothesis, not an identified reagent or guaranteed oxide-conversion reaction. Quantities, yield and containment remain open.</x:v>
      </x:c>
      <x:c r="P488" s="4"/>
      <x:c r="Q488" s="4"/>
      <x:c r="R488" s="4"/>
      <x:c r="S488" s="4"/>
      <x:c r="T488" s="4"/>
      <x:c r="U488" s="4" t="str">
        <x:v>Introduced to make the missing chemical premise visible rather than treating a remover as a converter.</x:v>
      </x:c>
      <x:c r="V488" s="4" t="str">
        <x:v>oxide reactive; corrosion conversion; selected faunal fraction</x:v>
      </x:c>
      <x:c r="W488" s="4" t="str">
        <x:v>New October 15 tier-review proposal; user-authorized item audit and Docs/WORLD_BASIS.md. No source-canon or implemented-recipe claim.</x:v>
      </x:c>
      <x:c r="X488" s="4" t="str">
        <x:v>Chemical material</x:v>
      </x:c>
      <x:c r="Y488" s="4" t="str">
        <x:v>Processed intermediate</x:v>
      </x:c>
      <x:c r="Z488" s="4" t="str">
        <x:v>Manufactured / unresolved</x:v>
      </x:c>
      <x:c r="AA488" s="4" t="str">
        <x:v>Chemical processing</x:v>
      </x:c>
      <x:c r="AB488" s="4" t="str">
        <x:v>Biological chemical</x:v>
      </x:c>
      <x:c r="AC488" s="4" t="str">
        <x:v>Unresolved</x:v>
      </x:c>
      <x:c r="AD488" s="4" t="str">
        <x:v>Proposal</x:v>
      </x:c>
      <x:c r="AE488" s="4" t="str">
        <x:f>LOWER(A488&amp;"; "&amp;B488&amp;"; "&amp;D488&amp;"; "&amp;E488&amp;"; "&amp;X488&amp;"; "&amp;Y488&amp;"; "&amp;Z488&amp;"; "&amp;AA488&amp;"; "&amp;AB488&amp;"; "&amp;AC488&amp;"; "&amp;AD488&amp;"; "&amp;V488&amp;"; "&amp;C488&amp;"; "&amp;AH488&amp;"; "&amp;AI488)</x:f>
        <x:v>proposal.review.oxide_reactive_fraction; selected oxide-reactive faunal fraction; crafting components; hypothetical chemical-processing precursor; chemical material; processed intermediate; manufactured / unresolved; chemical processing; biological chemical; unresolved; proposal; oxide reactive; corrosion conversion; selected faunal fraction; t1; not applicable; material</x:v>
      </x:c>
      <x:c r="AF488" s="4" t="inlineStr">
        <x:is>
          <x:t xml:space="preserve">Explicit new hypothetical precursor; chemical identity remains unresolved.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88" s="4" t="str">
        <x:v>Proposed T1 from listed raw T0 inputs.</x:v>
      </x:c>
      <x:c r="AH488" s="4" t="str">
        <x:v>Not applicable</x:v>
      </x:c>
      <x:c r="AI488" s="4" t="str">
        <x:v>Material</x:v>
      </x:c>
      <x:c r="AJ488" s="4" t="n">
        <x:f>COUNTIFS('Material routes'!$D$6:$D$2205,A488,'Material routes'!$C$6:$C$2205,"Output")</x:f>
        <x:v>1</x:v>
      </x:c>
      <x:c r="AK488" s="4" t="n">
        <x:f>SUM(COUNTIFS('Material routes'!$D$6:$D$2205,A488,'Material routes'!$C$6:$C$2205,"Ingredient candidate"),COUNTIFS('Material routes'!$D$6:$D$2205,A488,'Material routes'!$C$6:$C$2205,"Consumed input"),COUNTIFS('Material routes'!$D$6:$D$2205,A488,'Material routes'!$C$6:$C$2205,"Contained input"),COUNTIFS('Material routes'!$D$6:$D$2205,A488,'Material routes'!$C$6:$C$2205,"Transform input"))</x:f>
        <x:v>1</x:v>
      </x:c>
      <x:c r="AL488" s="4" t="n">
        <x:f>COUNTIFS('Material routes'!$D$6:$D$2205,A488,'Material routes'!$C$6:$C$2205,"Tool candidate")</x:f>
        <x:v>0</x:v>
      </x:c>
      <x:c r="AM488" s="4" t="str">
        <x:f>IF(AJ488&gt;0,"Route listed; review status/completeness",IF(C488="T0","Raw entry feed; no production route","No production route listed"))</x:f>
        <x:v>Route listed; review status/completeness</x:v>
      </x:c>
      <x:c r="AN488" s="4" t="n">
        <x:f>IF(C488="T0",0,IF(C488="T1",1,IF(C488="T2",2,IF(C488="T3",3,IF(C488="T4",4,IF(C488="Unassigned",98,99))))))</x:f>
        <x:v>1</x:v>
      </x:c>
      <x:c r="AZ488"/>
      <x:c r="BA488"/>
      <x:c r="BB488"/>
      <x:c r="BC488"/>
      <x:c r="BD488"/>
      <x:c r="BE488"/>
      <x:c r="BF488"/>
      <x:c r="BG488"/>
      <x:c r="BH488"/>
      <x:c r="BI488"/>
      <x:c r="BJ488"/>
      <x:c r="BK488"/>
      <x:c r="BL488"/>
      <x:c r="BM488"/>
      <x:c r="BN488"/>
      <x:c r="BO488"/>
      <x:c r="BP488"/>
      <x:c r="BQ488"/>
      <x:c r="BR488"/>
      <x:c r="BS488"/>
      <x:c r="BT488"/>
      <x:c r="BU488"/>
      <x:c r="BV488"/>
      <x:c r="BW488"/>
      <x:c r="BX488"/>
      <x:c r="BY488"/>
      <x:c r="BZ488"/>
      <x:c r="CA488"/>
      <x:c r="CB488"/>
      <x:c r="CC488"/>
    </x:row>
    <x:row r="489" ht="115" customHeight="1">
      <x:c r="A489" s="4" t="str">
        <x:v>proposal.lore.young_growth</x:v>
      </x:c>
      <x:c r="B489" s="4" t="str">
        <x:v>Young surface Iron Growth fragments</x:v>
      </x:c>
      <x:c r="C489" s="4" t="str">
        <x:v>T0</x:v>
      </x:c>
      <x:c r="D489" s="4" t="str">
        <x:v>Mineral resources</x:v>
      </x:c>
      <x:c r="E489" s="4" t="str">
        <x:v>Iron Growth grade / preparation</x:v>
      </x:c>
      <x:c r="F489" s="4" t="str">
        <x:v>New proposal</x:v>
      </x:c>
      <x:c r="G489" s="4" t="inlineStr">
        <x:is>
          <x:t xml:space="preserve">Intended use: material analysis. Porous young material, not structural stock. It supports examination or comparison of a selected material, with sampling and a meaningful interpretation method still required.</x:t>
        </x:is>
      </x:c>
      <x:c r="H489" s="4" t="str">
        <x:v>None</x:v>
      </x:c>
      <x:c r="I489" s="4" t="str">
        <x:v>Contained or dry segregated feed; contamination and compatibility unresolved</x:v>
      </x:c>
      <x:c r="J489" s="4"/>
      <x:c r="K489" s="4"/>
      <x:c r="L489" s="4" t="str">
        <x:v>Gather/extract the identified source proposal; handling and yield unresolved</x:v>
      </x:c>
      <x:c r="M489" s="4" t="str">
        <x:v>Porous young material, not structural stock.</x:v>
      </x:c>
      <x:c r="N489" s="4" t="str">
        <x:v>Not implemented</x:v>
      </x:c>
      <x:c r="O489" s="4" t="str">
        <x:v>New game proposal from proposal-stage lore. Quantities, yields, tools, process conditions and performance remain open. No free environmental liquid or ordinary cloth.</x:v>
      </x:c>
      <x:c r="P489" s="4"/>
      <x:c r="Q489" s="4"/>
      <x:c r="R489" s="4"/>
      <x:c r="S489" s="4"/>
      <x:c r="T489" s="4"/>
      <x:c r="U489" s="4" t="str">
        <x:v>Source status does not establish game canon. Industrial Phagia fractions are separate from human food; ancient recovery does not imply reproduction.</x:v>
      </x:c>
      <x:c r="V489" s="4" t="str">
        <x:v>young surface iron growth fragments; material analysis; t0</x:v>
      </x:c>
      <x:c r="W489"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89" s="4" t="str">
        <x:v>Raw material</x:v>
      </x:c>
      <x:c r="Y489" s="4" t="str">
        <x:v>Raw</x:v>
      </x:c>
      <x:c r="Z489" s="4" t="str">
        <x:v>Geological</x:v>
      </x:c>
      <x:c r="AA489" s="4" t="str">
        <x:v>Material analysis</x:v>
      </x:c>
      <x:c r="AB489" s="4" t="str">
        <x:v>Iron Growth</x:v>
      </x:c>
      <x:c r="AC489" s="4" t="str">
        <x:v>Solid piece</x:v>
      </x:c>
      <x:c r="AD489" s="4" t="str">
        <x:v>Proposal</x:v>
      </x:c>
      <x:c r="AE489" s="4" t="str">
        <x:f>LOWER(A489&amp;"; "&amp;B489&amp;"; "&amp;D489&amp;"; "&amp;E489&amp;"; "&amp;X489&amp;"; "&amp;Y489&amp;"; "&amp;Z489&amp;"; "&amp;AA489&amp;"; "&amp;AB489&amp;"; "&amp;AC489&amp;"; "&amp;AD489&amp;"; "&amp;V489&amp;"; "&amp;C489&amp;"; "&amp;AH489&amp;"; "&amp;AI489)</x:f>
        <x:v>proposal.lore.young_growth; young surface iron growth fragments; mineral resources; iron growth grade / preparation; raw material; raw; geological; material analysis; iron growth; solid piece; proposal; young surface iron growth fragments; material analysis; t0; t0; not applicable; material</x:v>
      </x:c>
      <x:c r="AF489" s="4" t="str">
        <x:v>New source-informed working item; primary category follows the resource/processing/recovery split.</x:v>
      </x:c>
      <x:c r="AG489" s="4" t="str">
        <x:v>Proposed T0 within selected partial routes; source age/depth is not a tier.</x:v>
      </x:c>
      <x:c r="AH489" s="4" t="str">
        <x:v>Not applicable</x:v>
      </x:c>
      <x:c r="AI489" s="4" t="str">
        <x:v>Material</x:v>
      </x:c>
      <x:c r="AJ489" s="4" t="n">
        <x:f>COUNTIFS('Material routes'!$D$6:$D$2205,A489,'Material routes'!$C$6:$C$2205,"Output")</x:f>
        <x:v>0</x:v>
      </x:c>
      <x:c r="AK489" s="4" t="n">
        <x:f>SUM(COUNTIFS('Material routes'!$D$6:$D$2205,A489,'Material routes'!$C$6:$C$2205,"Ingredient candidate"),COUNTIFS('Material routes'!$D$6:$D$2205,A489,'Material routes'!$C$6:$C$2205,"Consumed input"),COUNTIFS('Material routes'!$D$6:$D$2205,A489,'Material routes'!$C$6:$C$2205,"Contained input"),COUNTIFS('Material routes'!$D$6:$D$2205,A489,'Material routes'!$C$6:$C$2205,"Transform input"))</x:f>
        <x:v>0</x:v>
      </x:c>
      <x:c r="AL489" s="4" t="n">
        <x:f>COUNTIFS('Material routes'!$D$6:$D$2205,A489,'Material routes'!$C$6:$C$2205,"Tool candidate")</x:f>
        <x:v>0</x:v>
      </x:c>
      <x:c r="AM489" s="4" t="str">
        <x:f>IF(AJ489&gt;0,"Route listed; review status/completeness",IF(C489="T0","Raw entry feed; no production route","No production route listed"))</x:f>
        <x:v>Raw entry feed; no production route</x:v>
      </x:c>
      <x:c r="AN489" s="4" t="n">
        <x:f>IF(C489="T0",0,IF(C489="T1",1,IF(C489="T2",2,IF(C489="T3",3,IF(C489="T4",4,IF(C489="Unassigned",98,99))))))</x:f>
        <x:v>0</x:v>
      </x:c>
      <x:c r="AZ489"/>
      <x:c r="BA489"/>
      <x:c r="BB489"/>
      <x:c r="BC489"/>
      <x:c r="BD489"/>
      <x:c r="BE489"/>
      <x:c r="BF489"/>
      <x:c r="BG489"/>
      <x:c r="BH489"/>
      <x:c r="BI489"/>
      <x:c r="BJ489"/>
      <x:c r="BK489"/>
      <x:c r="BL489"/>
      <x:c r="BM489"/>
      <x:c r="BN489"/>
      <x:c r="BO489"/>
      <x:c r="BP489"/>
      <x:c r="BQ489"/>
      <x:c r="BR489"/>
      <x:c r="BS489"/>
      <x:c r="BT489"/>
      <x:c r="BU489"/>
      <x:c r="BV489"/>
      <x:c r="BW489"/>
      <x:c r="BX489"/>
      <x:c r="BY489"/>
      <x:c r="BZ489"/>
      <x:c r="CA489"/>
      <x:c r="CB489"/>
      <x:c r="CC489"/>
    </x:row>
    <x:row r="490" ht="115" customHeight="1">
      <x:c r="A490" s="4" t="str">
        <x:v>proposal.lore.mature_growth</x:v>
      </x:c>
      <x:c r="B490" s="4" t="str">
        <x:v>Mature formation Iron Growth pieces</x:v>
      </x:c>
      <x:c r="C490" s="4" t="str">
        <x:v>T0</x:v>
      </x:c>
      <x:c r="D490" s="4" t="str">
        <x:v>Mineral resources</x:v>
      </x:c>
      <x:c r="E490" s="4" t="str">
        <x:v>Iron Growth grade / preparation</x:v>
      </x:c>
      <x:c r="F490" s="4" t="str">
        <x:v>New proposal</x:v>
      </x:c>
      <x:c r="G490" s="4" t="inlineStr">
        <x:is>
          <x:t xml:space="preserve">Intended use: material analysis. Selected commercial source grade; regional composition matters. It supports examination or comparison of a selected material, with sampling and a meaningful interpretation method still required.</x:t>
        </x:is>
      </x:c>
      <x:c r="H490" s="4" t="str">
        <x:v>None</x:v>
      </x:c>
      <x:c r="I490" s="4" t="str">
        <x:v>Contained or dry segregated feed; contamination and compatibility unresolved</x:v>
      </x:c>
      <x:c r="J490" s="4"/>
      <x:c r="K490" s="4"/>
      <x:c r="L490" s="4" t="str">
        <x:v>Gather/extract the identified source proposal; handling and yield unresolved</x:v>
      </x:c>
      <x:c r="M490" s="4" t="str">
        <x:v>Selected commercial source grade; regional composition matters.</x:v>
      </x:c>
      <x:c r="N490" s="4" t="str">
        <x:v>Not implemented</x:v>
      </x:c>
      <x:c r="O490" s="4" t="str">
        <x:v>New game proposal from proposal-stage lore. Quantities, yields, tools, process conditions and performance remain open. No free environmental liquid or ordinary cloth.</x:v>
      </x:c>
      <x:c r="P490" s="4"/>
      <x:c r="Q490" s="4"/>
      <x:c r="R490" s="4"/>
      <x:c r="S490" s="4"/>
      <x:c r="T490" s="4"/>
      <x:c r="U490" s="4" t="str">
        <x:v>Source status does not establish game canon. Industrial Phagia fractions are separate from human food; ancient recovery does not imply reproduction.</x:v>
      </x:c>
      <x:c r="V490" s="4" t="str">
        <x:v>mature formation iron growth pieces; material analysis; t0</x:v>
      </x:c>
      <x:c r="W49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0" s="4" t="str">
        <x:v>Raw material</x:v>
      </x:c>
      <x:c r="Y490" s="4" t="str">
        <x:v>Raw</x:v>
      </x:c>
      <x:c r="Z490" s="4" t="str">
        <x:v>Geological</x:v>
      </x:c>
      <x:c r="AA490" s="4" t="str">
        <x:v>Material analysis</x:v>
      </x:c>
      <x:c r="AB490" s="4" t="str">
        <x:v>Iron Growth</x:v>
      </x:c>
      <x:c r="AC490" s="4" t="str">
        <x:v>Solid piece</x:v>
      </x:c>
      <x:c r="AD490" s="4" t="str">
        <x:v>Proposal</x:v>
      </x:c>
      <x:c r="AE490" s="4" t="str">
        <x:f>LOWER(A490&amp;"; "&amp;B490&amp;"; "&amp;D490&amp;"; "&amp;E490&amp;"; "&amp;X490&amp;"; "&amp;Y490&amp;"; "&amp;Z490&amp;"; "&amp;AA490&amp;"; "&amp;AB490&amp;"; "&amp;AC490&amp;"; "&amp;AD490&amp;"; "&amp;V490&amp;"; "&amp;C490&amp;"; "&amp;AH490&amp;"; "&amp;AI490)</x:f>
        <x:v>proposal.lore.mature_growth; mature formation iron growth pieces; mineral resources; iron growth grade / preparation; raw material; raw; geological; material analysis; iron growth; solid piece; proposal; mature formation iron growth pieces; material analysis; t0; t0; not applicable; material</x:v>
      </x:c>
      <x:c r="AF490" s="4" t="str">
        <x:v>New source-informed working item; primary category follows the resource/processing/recovery split.</x:v>
      </x:c>
      <x:c r="AG490" s="4" t="str">
        <x:v>Proposed T0 within selected partial routes; source age/depth is not a tier.</x:v>
      </x:c>
      <x:c r="AH490" s="4" t="str">
        <x:v>Not applicable</x:v>
      </x:c>
      <x:c r="AI490" s="4" t="str">
        <x:v>Material</x:v>
      </x:c>
      <x:c r="AJ490" s="4" t="n">
        <x:f>COUNTIFS('Material routes'!$D$6:$D$2205,A490,'Material routes'!$C$6:$C$2205,"Output")</x:f>
        <x:v>0</x:v>
      </x:c>
      <x:c r="AK490" s="4" t="n">
        <x:f>SUM(COUNTIFS('Material routes'!$D$6:$D$2205,A490,'Material routes'!$C$6:$C$2205,"Ingredient candidate"),COUNTIFS('Material routes'!$D$6:$D$2205,A490,'Material routes'!$C$6:$C$2205,"Consumed input"),COUNTIFS('Material routes'!$D$6:$D$2205,A490,'Material routes'!$C$6:$C$2205,"Contained input"),COUNTIFS('Material routes'!$D$6:$D$2205,A490,'Material routes'!$C$6:$C$2205,"Transform input"))</x:f>
        <x:v>2</x:v>
      </x:c>
      <x:c r="AL490" s="4" t="n">
        <x:f>COUNTIFS('Material routes'!$D$6:$D$2205,A490,'Material routes'!$C$6:$C$2205,"Tool candidate")</x:f>
        <x:v>0</x:v>
      </x:c>
      <x:c r="AM490" s="4" t="str">
        <x:f>IF(AJ490&gt;0,"Route listed; review status/completeness",IF(C490="T0","Raw entry feed; no production route","No production route listed"))</x:f>
        <x:v>Raw entry feed; no production route</x:v>
      </x:c>
      <x:c r="AN490" s="4" t="n">
        <x:f>IF(C490="T0",0,IF(C490="T1",1,IF(C490="T2",2,IF(C490="T3",3,IF(C490="T4",4,IF(C490="Unassigned",98,99))))))</x:f>
        <x:v>0</x:v>
      </x:c>
      <x:c r="AZ490"/>
      <x:c r="BA490"/>
      <x:c r="BB490"/>
      <x:c r="BC490"/>
      <x:c r="BD490"/>
      <x:c r="BE490"/>
      <x:c r="BF490"/>
      <x:c r="BG490"/>
      <x:c r="BH490"/>
      <x:c r="BI490"/>
      <x:c r="BJ490"/>
      <x:c r="BK490"/>
      <x:c r="BL490"/>
      <x:c r="BM490"/>
      <x:c r="BN490"/>
      <x:c r="BO490"/>
      <x:c r="BP490"/>
      <x:c r="BQ490"/>
      <x:c r="BR490"/>
      <x:c r="BS490"/>
      <x:c r="BT490"/>
      <x:c r="BU490"/>
      <x:c r="BV490"/>
      <x:c r="BW490"/>
      <x:c r="BX490"/>
      <x:c r="BY490"/>
      <x:c r="BZ490"/>
      <x:c r="CA490"/>
      <x:c r="CB490"/>
      <x:c r="CC490"/>
    </x:row>
    <x:row r="491" ht="115" customHeight="1">
      <x:c r="A491" s="4" t="str">
        <x:v>proposal.lore.old_growth</x:v>
      </x:c>
      <x:c r="B491" s="4" t="str">
        <x:v>Old formation Iron Growth cores</x:v>
      </x:c>
      <x:c r="C491" s="4" t="str">
        <x:v>T0</x:v>
      </x:c>
      <x:c r="D491" s="4" t="str">
        <x:v>Mineral resources</x:v>
      </x:c>
      <x:c r="E491" s="4" t="str">
        <x:v>Iron Growth grade / preparation</x:v>
      </x:c>
      <x:c r="F491" s="4" t="str">
        <x:v>New proposal</x:v>
      </x:c>
      <x:c r="G491" s="4" t="inlineStr">
        <x:is>
          <x:t xml:space="preserve">Intended use: material analysis. Rare deep material; age and depth do not turn raw feed into T4. It supports examination or comparison of a selected material, with sampling and a meaningful interpretation method still required.</x:t>
        </x:is>
      </x:c>
      <x:c r="H491" s="4" t="str">
        <x:v>None</x:v>
      </x:c>
      <x:c r="I491" s="4" t="str">
        <x:v>Contained or dry segregated feed; contamination and compatibility unresolved</x:v>
      </x:c>
      <x:c r="J491" s="4"/>
      <x:c r="K491" s="4"/>
      <x:c r="L491" s="4" t="str">
        <x:v>Gather/extract the identified source proposal; handling and yield unresolved</x:v>
      </x:c>
      <x:c r="M491" s="4" t="str">
        <x:v>Rare deep material; age and depth do not turn raw feed into T4.</x:v>
      </x:c>
      <x:c r="N491" s="4" t="str">
        <x:v>Not implemented</x:v>
      </x:c>
      <x:c r="O491" s="4" t="str">
        <x:v>New game proposal from proposal-stage lore. Quantities, yields, tools, process conditions and performance remain open. No free environmental liquid or ordinary cloth.</x:v>
      </x:c>
      <x:c r="P491" s="4"/>
      <x:c r="Q491" s="4"/>
      <x:c r="R491" s="4"/>
      <x:c r="S491" s="4"/>
      <x:c r="T491" s="4"/>
      <x:c r="U491" s="4" t="str">
        <x:v>Source status does not establish game canon. Industrial Phagia fractions are separate from human food; ancient recovery does not imply reproduction.</x:v>
      </x:c>
      <x:c r="V491" s="4" t="str">
        <x:v>old formation iron growth cores; material analysis; t0</x:v>
      </x:c>
      <x:c r="W491"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1" s="4" t="str">
        <x:v>Raw material</x:v>
      </x:c>
      <x:c r="Y491" s="4" t="str">
        <x:v>Raw</x:v>
      </x:c>
      <x:c r="Z491" s="4" t="str">
        <x:v>Geological</x:v>
      </x:c>
      <x:c r="AA491" s="4" t="str">
        <x:v>Material analysis</x:v>
      </x:c>
      <x:c r="AB491" s="4" t="str">
        <x:v>Iron Growth</x:v>
      </x:c>
      <x:c r="AC491" s="4" t="str">
        <x:v>Solid piece</x:v>
      </x:c>
      <x:c r="AD491" s="4" t="str">
        <x:v>Proposal</x:v>
      </x:c>
      <x:c r="AE491" s="4" t="str">
        <x:f>LOWER(A491&amp;"; "&amp;B491&amp;"; "&amp;D491&amp;"; "&amp;E491&amp;"; "&amp;X491&amp;"; "&amp;Y491&amp;"; "&amp;Z491&amp;"; "&amp;AA491&amp;"; "&amp;AB491&amp;"; "&amp;AC491&amp;"; "&amp;AD491&amp;"; "&amp;V491&amp;"; "&amp;C491&amp;"; "&amp;AH491&amp;"; "&amp;AI491)</x:f>
        <x:v>proposal.lore.old_growth; old formation iron growth cores; mineral resources; iron growth grade / preparation; raw material; raw; geological; material analysis; iron growth; solid piece; proposal; old formation iron growth cores; material analysis; t0; t0; not applicable; material</x:v>
      </x:c>
      <x:c r="AF491" s="4" t="str">
        <x:v>New source-informed working item; primary category follows the resource/processing/recovery split.</x:v>
      </x:c>
      <x:c r="AG491" s="4" t="str">
        <x:v>Proposed T0 within selected partial routes; source age/depth is not a tier.</x:v>
      </x:c>
      <x:c r="AH491" s="4" t="str">
        <x:v>Not applicable</x:v>
      </x:c>
      <x:c r="AI491" s="4" t="str">
        <x:v>Material</x:v>
      </x:c>
      <x:c r="AJ491" s="4" t="n">
        <x:f>COUNTIFS('Material routes'!$D$6:$D$2205,A491,'Material routes'!$C$6:$C$2205,"Output")</x:f>
        <x:v>0</x:v>
      </x:c>
      <x:c r="AK491" s="4" t="n">
        <x:f>SUM(COUNTIFS('Material routes'!$D$6:$D$2205,A491,'Material routes'!$C$6:$C$2205,"Ingredient candidate"),COUNTIFS('Material routes'!$D$6:$D$2205,A491,'Material routes'!$C$6:$C$2205,"Consumed input"),COUNTIFS('Material routes'!$D$6:$D$2205,A491,'Material routes'!$C$6:$C$2205,"Contained input"),COUNTIFS('Material routes'!$D$6:$D$2205,A491,'Material routes'!$C$6:$C$2205,"Transform input"))</x:f>
        <x:v>0</x:v>
      </x:c>
      <x:c r="AL491" s="4" t="n">
        <x:f>COUNTIFS('Material routes'!$D$6:$D$2205,A491,'Material routes'!$C$6:$C$2205,"Tool candidate")</x:f>
        <x:v>0</x:v>
      </x:c>
      <x:c r="AM491" s="4" t="str">
        <x:f>IF(AJ491&gt;0,"Route listed; review status/completeness",IF(C491="T0","Raw entry feed; no production route","No production route listed"))</x:f>
        <x:v>Raw entry feed; no production route</x:v>
      </x:c>
      <x:c r="AN491" s="4" t="n">
        <x:f>IF(C491="T0",0,IF(C491="T1",1,IF(C491="T2",2,IF(C491="T3",3,IF(C491="T4",4,IF(C491="Unassigned",98,99))))))</x:f>
        <x:v>0</x:v>
      </x:c>
      <x:c r="AZ491"/>
      <x:c r="BA491"/>
      <x:c r="BB491"/>
      <x:c r="BC491"/>
      <x:c r="BD491"/>
      <x:c r="BE491"/>
      <x:c r="BF491"/>
      <x:c r="BG491"/>
      <x:c r="BH491"/>
      <x:c r="BI491"/>
      <x:c r="BJ491"/>
      <x:c r="BK491"/>
      <x:c r="BL491"/>
      <x:c r="BM491"/>
      <x:c r="BN491"/>
      <x:c r="BO491"/>
      <x:c r="BP491"/>
      <x:c r="BQ491"/>
      <x:c r="BR491"/>
      <x:c r="BS491"/>
      <x:c r="BT491"/>
      <x:c r="BU491"/>
      <x:c r="BV491"/>
      <x:c r="BW491"/>
      <x:c r="BX491"/>
      <x:c r="BY491"/>
      <x:c r="BZ491"/>
      <x:c r="CA491"/>
      <x:c r="CB491"/>
      <x:c r="CC491"/>
    </x:row>
    <x:row r="492" ht="115" customHeight="1">
      <x:c r="A492" s="4" t="str">
        <x:v>proposal.lore.ruin_growth</x:v>
      </x:c>
      <x:c r="B492" s="4" t="str">
        <x:v>Ruin-associated Iron Growth specimens</x:v>
      </x:c>
      <x:c r="C492" s="4" t="str">
        <x:v>T0</x:v>
      </x:c>
      <x:c r="D492" s="4" t="inlineStr">
        <x:is>
          <x:t xml:space="preserve">Salvage</x:t>
        </x:is>
      </x:c>
      <x:c r="E492" s="4" t="str">
        <x:v>Iron Growth grade / preparation</x:v>
      </x:c>
      <x:c r="F492" s="4" t="str">
        <x:v>New proposal</x:v>
      </x:c>
      <x:c r="G492" s="4" t="str">
        <x:v>Intended use: material analysis. Context-sensitive mineral Growth from ruins; neither ancient synthetic material nor a claim of special inherited powers.</x:v>
      </x:c>
      <x:c r="H492" s="4" t="str">
        <x:v>None</x:v>
      </x:c>
      <x:c r="I492" s="4" t="str">
        <x:v>Contained or dry segregated feed; contamination and compatibility unresolved</x:v>
      </x:c>
      <x:c r="J492" s="4"/>
      <x:c r="K492" s="4"/>
      <x:c r="L492" s="4" t="str">
        <x:v>Gather/extract the identified source proposal; handling and yield unresolved</x:v>
      </x:c>
      <x:c r="M492" s="4" t="str">
        <x:v>Context-sensitive mineral Growth from ruins; neither ancient synthetic material nor a claim of special inherited powers.</x:v>
      </x:c>
      <x:c r="N492" s="4" t="str">
        <x:v>Not implemented</x:v>
      </x:c>
      <x:c r="O492" s="4" t="str">
        <x:v>New game proposal from proposal-stage lore. Quantities, yields, tools, process conditions and performance remain open. No free environmental liquid or ordinary cloth.</x:v>
      </x:c>
      <x:c r="P492" s="4"/>
      <x:c r="Q492" s="4"/>
      <x:c r="R492" s="4"/>
      <x:c r="S492" s="4"/>
      <x:c r="T492" s="4"/>
      <x:c r="U492" s="4" t="str">
        <x:v>Source status does not establish game canon. Industrial Phagia fractions are separate from human food; ancient recovery does not imply reproduction.</x:v>
      </x:c>
      <x:c r="V492" s="4" t="str">
        <x:v>ruin-associated iron growth specimens; material analysis; t0</x:v>
      </x:c>
      <x:c r="W492"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2" s="4" t="str">
        <x:v>Raw material</x:v>
      </x:c>
      <x:c r="Y492" s="4" t="str">
        <x:v>Raw</x:v>
      </x:c>
      <x:c r="Z492" s="4" t="str">
        <x:v>Geological</x:v>
      </x:c>
      <x:c r="AA492" s="4" t="str">
        <x:v>Material analysis</x:v>
      </x:c>
      <x:c r="AB492" s="4" t="str">
        <x:v>Iron Growth</x:v>
      </x:c>
      <x:c r="AC492" s="4" t="str">
        <x:v>Solid piece</x:v>
      </x:c>
      <x:c r="AD492" s="4" t="str">
        <x:v>Proposal</x:v>
      </x:c>
      <x:c r="AE492" s="4" t="str">
        <x:f>LOWER(A492&amp;"; "&amp;B492&amp;"; "&amp;D492&amp;"; "&amp;E492&amp;"; "&amp;X492&amp;"; "&amp;Y492&amp;"; "&amp;Z492&amp;"; "&amp;AA492&amp;"; "&amp;AB492&amp;"; "&amp;AC492&amp;"; "&amp;AD492&amp;"; "&amp;V492&amp;"; "&amp;C492&amp;"; "&amp;AH492&amp;"; "&amp;AI492)</x:f>
        <x:v>proposal.lore.ruin_growth; ruin-associated iron growth specimens; salvage; iron growth grade / preparation; raw material; raw; geological; material analysis; iron growth; solid piece; proposal; ruin-associated iron growth specimens; material analysis; t0; t0; not applicable; material</x:v>
      </x:c>
      <x:c r="AF492" s="4" t="str">
        <x:v>New source-informed working item; primary category follows the resource/processing/recovery split.</x:v>
      </x:c>
      <x:c r="AG492" s="4" t="str">
        <x:v>Proposed T0 within selected partial routes; source age/depth is not a tier.</x:v>
      </x:c>
      <x:c r="AH492" s="4" t="str">
        <x:v>Not applicable</x:v>
      </x:c>
      <x:c r="AI492" s="4" t="str">
        <x:v>Material</x:v>
      </x:c>
      <x:c r="AJ492" s="4" t="n">
        <x:f>COUNTIFS('Material routes'!$D$6:$D$2205,A492,'Material routes'!$C$6:$C$2205,"Output")</x:f>
        <x:v>0</x:v>
      </x:c>
      <x:c r="AK492" s="4" t="n">
        <x:f>SUM(COUNTIFS('Material routes'!$D$6:$D$2205,A492,'Material routes'!$C$6:$C$2205,"Ingredient candidate"),COUNTIFS('Material routes'!$D$6:$D$2205,A492,'Material routes'!$C$6:$C$2205,"Consumed input"),COUNTIFS('Material routes'!$D$6:$D$2205,A492,'Material routes'!$C$6:$C$2205,"Contained input"),COUNTIFS('Material routes'!$D$6:$D$2205,A492,'Material routes'!$C$6:$C$2205,"Transform input"))</x:f>
        <x:v>0</x:v>
      </x:c>
      <x:c r="AL492" s="4" t="n">
        <x:f>COUNTIFS('Material routes'!$D$6:$D$2205,A492,'Material routes'!$C$6:$C$2205,"Tool candidate")</x:f>
        <x:v>0</x:v>
      </x:c>
      <x:c r="AM492" s="4" t="str">
        <x:f>IF(AJ492&gt;0,"Route listed; review status/completeness",IF(C492="T0","Raw entry feed; no production route","No production route listed"))</x:f>
        <x:v>Raw entry feed; no production route</x:v>
      </x:c>
      <x:c r="AN492" s="4" t="n">
        <x:f>IF(C492="T0",0,IF(C492="T1",1,IF(C492="T2",2,IF(C492="T3",3,IF(C492="T4",4,IF(C492="Unassigned",98,99))))))</x:f>
        <x:v>0</x:v>
      </x:c>
      <x:c r="AZ492"/>
      <x:c r="BA492"/>
      <x:c r="BB492"/>
      <x:c r="BC492"/>
      <x:c r="BD492"/>
      <x:c r="BE492"/>
      <x:c r="BF492"/>
      <x:c r="BG492"/>
      <x:c r="BH492"/>
      <x:c r="BI492"/>
      <x:c r="BJ492"/>
      <x:c r="BK492"/>
      <x:c r="BL492"/>
      <x:c r="BM492"/>
      <x:c r="BN492"/>
      <x:c r="BO492"/>
      <x:c r="BP492"/>
      <x:c r="BQ492"/>
      <x:c r="BR492"/>
      <x:c r="BS492"/>
      <x:c r="BT492"/>
      <x:c r="BU492"/>
      <x:c r="BV492"/>
      <x:c r="BW492"/>
      <x:c r="BX492"/>
      <x:c r="BY492"/>
      <x:c r="BZ492"/>
      <x:c r="CA492"/>
      <x:c r="CB492"/>
      <x:c r="CC492"/>
    </x:row>
    <x:row r="493" ht="115" customHeight="1">
      <x:c r="A493" s="4" t="str">
        <x:v>proposal.lore.assayed_growth</x:v>
      </x:c>
      <x:c r="B493" s="4" t="str">
        <x:v>Assayed Iron Growth feedstock</x:v>
      </x:c>
      <x:c r="C493" s="4" t="str">
        <x:v>T1</x:v>
      </x:c>
      <x:c r="D493" s="4" t="str">
        <x:v>Manufactured stock</x:v>
      </x:c>
      <x:c r="E493" s="4" t="str">
        <x:v>Iron Growth grade / preparation</x:v>
      </x:c>
      <x:c r="F493" s="4" t="str">
        <x:v>New proposal</x:v>
      </x:c>
      <x:c r="G493" s="4" t="str">
        <x:v>Intended use: metal refining. Select and prepare a composition-identified feed lot; analytical tools and acceptance limits remain unspecified.</x:v>
      </x:c>
      <x:c r="H493" s="4" t="str">
        <x:v>None</x:v>
      </x:c>
      <x:c r="I493" s="4" t="str">
        <x:v>Workshop / cargo item; storage and fit unresolved</x:v>
      </x:c>
      <x:c r="J493" s="4"/>
      <x:c r="K493" s="4"/>
      <x:c r="L493" s="4" t="str">
        <x:v>Prepare from linked candidate inputs</x:v>
      </x:c>
      <x:c r="M493" s="4" t="str">
        <x:v>Select and prepare a composition-identified feed lot; analytical tools and acceptance limits remain unspecified.</x:v>
      </x:c>
      <x:c r="N493" s="4" t="str">
        <x:v>Not implemented</x:v>
      </x:c>
      <x:c r="O493" s="4" t="str">
        <x:v>New game proposal from proposal-stage lore. Quantities, yields, tools, process conditions and performance remain open. No free environmental liquid or ordinary cloth.</x:v>
      </x:c>
      <x:c r="P493" s="4"/>
      <x:c r="Q493" s="4"/>
      <x:c r="R493" s="4"/>
      <x:c r="S493" s="4"/>
      <x:c r="T493" s="4"/>
      <x:c r="U493" s="4" t="str">
        <x:v>Source status does not establish game canon. Industrial Phagia fractions are separate from human food; ancient recovery does not imply reproduction.</x:v>
      </x:c>
      <x:c r="V493" s="4" t="str">
        <x:v>assayed iron growth feedstock; metal refining; t1</x:v>
      </x:c>
      <x:c r="W49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3" s="4" t="str">
        <x:v>Processed material</x:v>
      </x:c>
      <x:c r="Y493" s="4" t="str">
        <x:v>Processed intermediate</x:v>
      </x:c>
      <x:c r="Z493" s="4" t="str">
        <x:v>Manufactured / unresolved</x:v>
      </x:c>
      <x:c r="AA493" s="4" t="str">
        <x:v>Metal refining</x:v>
      </x:c>
      <x:c r="AB493" s="4" t="str">
        <x:v>Iron Growth</x:v>
      </x:c>
      <x:c r="AC493" s="4" t="str">
        <x:v>Solid piece</x:v>
      </x:c>
      <x:c r="AD493" s="4" t="str">
        <x:v>Proposal</x:v>
      </x:c>
      <x:c r="AE493" s="4" t="str">
        <x:f>LOWER(A493&amp;"; "&amp;B493&amp;"; "&amp;D493&amp;"; "&amp;E493&amp;"; "&amp;X493&amp;"; "&amp;Y493&amp;"; "&amp;Z493&amp;"; "&amp;AA493&amp;"; "&amp;AB493&amp;"; "&amp;AC493&amp;"; "&amp;AD493&amp;"; "&amp;V493&amp;"; "&amp;C493&amp;"; "&amp;AH493&amp;"; "&amp;AI493)</x:f>
        <x:v>proposal.lore.assayed_growth; assayed iron growth feedstock; manufactured stock; iron growth grade / preparation; processed material; processed intermediate; manufactured / unresolved; metal refining; iron growth; solid piece; proposal; assayed iron growth feedstock; metal refining; t1; t1; not applicable; material</x:v>
      </x:c>
      <x:c r="AF493" s="4" t="str">
        <x:v>New source-informed working item; primary category follows the resource/processing/recovery split.</x:v>
      </x:c>
      <x:c r="AG493" s="4" t="str">
        <x:v>Proposed T1 within selected partial routes; source age/depth is not a tier.</x:v>
      </x:c>
      <x:c r="AH493" s="4" t="str">
        <x:v>Not applicable</x:v>
      </x:c>
      <x:c r="AI493" s="4" t="str">
        <x:v>Material</x:v>
      </x:c>
      <x:c r="AJ493" s="4" t="n">
        <x:f>COUNTIFS('Material routes'!$D$6:$D$2205,A493,'Material routes'!$C$6:$C$2205,"Output")</x:f>
        <x:v>1</x:v>
      </x:c>
      <x:c r="AK493" s="4" t="n">
        <x:f>SUM(COUNTIFS('Material routes'!$D$6:$D$2205,A493,'Material routes'!$C$6:$C$2205,"Ingredient candidate"),COUNTIFS('Material routes'!$D$6:$D$2205,A493,'Material routes'!$C$6:$C$2205,"Consumed input"),COUNTIFS('Material routes'!$D$6:$D$2205,A493,'Material routes'!$C$6:$C$2205,"Contained input"),COUNTIFS('Material routes'!$D$6:$D$2205,A493,'Material routes'!$C$6:$C$2205,"Transform input"))</x:f>
        <x:v>1</x:v>
      </x:c>
      <x:c r="AL493" s="4" t="n">
        <x:f>COUNTIFS('Material routes'!$D$6:$D$2205,A493,'Material routes'!$C$6:$C$2205,"Tool candidate")</x:f>
        <x:v>0</x:v>
      </x:c>
      <x:c r="AM493" s="4" t="str">
        <x:f>IF(AJ493&gt;0,"Route listed; review status/completeness",IF(C493="T0","Raw entry feed; no production route","No production route listed"))</x:f>
        <x:v>Route listed; review status/completeness</x:v>
      </x:c>
      <x:c r="AN493" s="4" t="n">
        <x:f>IF(C493="T0",0,IF(C493="T1",1,IF(C493="T2",2,IF(C493="T3",3,IF(C493="T4",4,IF(C493="Unassigned",98,99))))))</x:f>
        <x:v>1</x:v>
      </x:c>
      <x:c r="AZ493"/>
      <x:c r="BA493"/>
      <x:c r="BB493"/>
      <x:c r="BC493"/>
      <x:c r="BD493"/>
      <x:c r="BE493"/>
      <x:c r="BF493"/>
      <x:c r="BG493"/>
      <x:c r="BH493"/>
      <x:c r="BI493"/>
      <x:c r="BJ493"/>
      <x:c r="BK493"/>
      <x:c r="BL493"/>
      <x:c r="BM493"/>
      <x:c r="BN493"/>
      <x:c r="BO493"/>
      <x:c r="BP493"/>
      <x:c r="BQ493"/>
      <x:c r="BR493"/>
      <x:c r="BS493"/>
      <x:c r="BT493"/>
      <x:c r="BU493"/>
      <x:c r="BV493"/>
      <x:c r="BW493"/>
      <x:c r="BX493"/>
      <x:c r="BY493"/>
      <x:c r="BZ493"/>
      <x:c r="CA493"/>
      <x:c r="CB493"/>
      <x:c r="CC493"/>
    </x:row>
    <x:row r="494" ht="115" customHeight="1">
      <x:c r="A494" s="4" t="str">
        <x:v>proposal.lore.growth_alloy</x:v>
      </x:c>
      <x:c r="B494" s="4" t="str">
        <x:v>Canister-grade Growth alloy stock</x:v>
      </x:c>
      <x:c r="C494" s="4" t="str">
        <x:v>T2</x:v>
      </x:c>
      <x:c r="D494" s="4" t="str">
        <x:v>Manufactured stock</x:v>
      </x:c>
      <x:c r="E494" s="4" t="str">
        <x:v>Iron Growth grade / preparation</x:v>
      </x:c>
      <x:c r="F494" s="4" t="str">
        <x:v>New proposal</x:v>
      </x:c>
      <x:c r="G494" s="4" t="str">
        <x:v>Intended use: fabrication. Explore a contemporary selected Growth-alloy grade from assayed feed; proposed additives, compatibility and service properties require qualification.</x:v>
      </x:c>
      <x:c r="H494" s="4" t="str">
        <x:v>None</x:v>
      </x:c>
      <x:c r="I494" s="4" t="str">
        <x:v>Workshop / cargo item; storage and fit unresolved</x:v>
      </x:c>
      <x:c r="J494" s="4"/>
      <x:c r="K494" s="4"/>
      <x:c r="L494" s="4" t="str">
        <x:v>Prepare from linked candidate inputs</x:v>
      </x:c>
      <x:c r="M494" s="4" t="str">
        <x:v>Explore a contemporary selected Growth-alloy grade from assayed feed; proposed additives, compatibility and service properties require qualification.</x:v>
      </x:c>
      <x:c r="N494" s="4" t="str">
        <x:v>Not implemented</x:v>
      </x:c>
      <x:c r="O494" s="4" t="str">
        <x:v>New game proposal from proposal-stage lore. Quantities, yields, tools, process conditions and performance remain open. No free environmental liquid or ordinary cloth.</x:v>
      </x:c>
      <x:c r="P494" s="4"/>
      <x:c r="Q494" s="4"/>
      <x:c r="R494" s="4"/>
      <x:c r="S494" s="4"/>
      <x:c r="T494" s="4"/>
      <x:c r="U494" s="4" t="str">
        <x:v>Source status does not establish game canon. Industrial Phagia fractions are separate from human food; ancient recovery does not imply reproduction.</x:v>
      </x:c>
      <x:c r="V494" s="4" t="str">
        <x:v>canister-grade growth alloy stock; fabrication; t2</x:v>
      </x:c>
      <x:c r="W49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4" s="4" t="str">
        <x:v>Processed material</x:v>
      </x:c>
      <x:c r="Y494" s="4" t="str">
        <x:v>Processed intermediate</x:v>
      </x:c>
      <x:c r="Z494" s="4" t="str">
        <x:v>Manufactured / unresolved</x:v>
      </x:c>
      <x:c r="AA494" s="4" t="str">
        <x:v>Fabrication</x:v>
      </x:c>
      <x:c r="AB494" s="4" t="str">
        <x:v>Iron Growth</x:v>
      </x:c>
      <x:c r="AC494" s="4" t="str">
        <x:v>Solid piece</x:v>
      </x:c>
      <x:c r="AD494" s="4" t="str">
        <x:v>Proposal</x:v>
      </x:c>
      <x:c r="AE494" s="4" t="str">
        <x:f>LOWER(A494&amp;"; "&amp;B494&amp;"; "&amp;D494&amp;"; "&amp;E494&amp;"; "&amp;X494&amp;"; "&amp;Y494&amp;"; "&amp;Z494&amp;"; "&amp;AA494&amp;"; "&amp;AB494&amp;"; "&amp;AC494&amp;"; "&amp;AD494&amp;"; "&amp;V494&amp;"; "&amp;C494&amp;"; "&amp;AH494&amp;"; "&amp;AI494)</x:f>
        <x:v>proposal.lore.growth_alloy; canister-grade growth alloy stock; manufactured stock; iron growth grade / preparation; processed material; processed intermediate; manufactured / unresolved; fabrication; iron growth; solid piece; proposal; canister-grade growth alloy stock; fabrication; t2; t2; not applicable; material</x:v>
      </x:c>
      <x:c r="AF494" s="4" t="str">
        <x:v>New source-informed working item; primary category follows the resource/processing/recovery split.</x:v>
      </x:c>
      <x:c r="AG494" s="4" t="str">
        <x:v>Proposed T2 within selected partial routes; source age/depth is not a tier.</x:v>
      </x:c>
      <x:c r="AH494" s="4" t="str">
        <x:v>Not applicable</x:v>
      </x:c>
      <x:c r="AI494" s="4" t="str">
        <x:v>Material</x:v>
      </x:c>
      <x:c r="AJ494" s="4" t="n">
        <x:f>COUNTIFS('Material routes'!$D$6:$D$2205,A494,'Material routes'!$C$6:$C$2205,"Output")</x:f>
        <x:v>1</x:v>
      </x:c>
      <x:c r="AK494" s="4" t="n">
        <x:f>SUM(COUNTIFS('Material routes'!$D$6:$D$2205,A494,'Material routes'!$C$6:$C$2205,"Ingredient candidate"),COUNTIFS('Material routes'!$D$6:$D$2205,A494,'Material routes'!$C$6:$C$2205,"Consumed input"),COUNTIFS('Material routes'!$D$6:$D$2205,A494,'Material routes'!$C$6:$C$2205,"Contained input"),COUNTIFS('Material routes'!$D$6:$D$2205,A494,'Material routes'!$C$6:$C$2205,"Transform input"))</x:f>
        <x:v>1</x:v>
      </x:c>
      <x:c r="AL494" s="4" t="n">
        <x:f>COUNTIFS('Material routes'!$D$6:$D$2205,A494,'Material routes'!$C$6:$C$2205,"Tool candidate")</x:f>
        <x:v>0</x:v>
      </x:c>
      <x:c r="AM494" s="4" t="str">
        <x:f>IF(AJ494&gt;0,"Route listed; review status/completeness",IF(C494="T0","Raw entry feed; no production route","No production route listed"))</x:f>
        <x:v>Route listed; review status/completeness</x:v>
      </x:c>
      <x:c r="AN494" s="4" t="n">
        <x:f>IF(C494="T0",0,IF(C494="T1",1,IF(C494="T2",2,IF(C494="T3",3,IF(C494="T4",4,IF(C494="Unassigned",98,99))))))</x:f>
        <x:v>2</x:v>
      </x:c>
      <x:c r="AZ494"/>
      <x:c r="BA494"/>
      <x:c r="BB494"/>
      <x:c r="BC494"/>
      <x:c r="BD494"/>
      <x:c r="BE494"/>
      <x:c r="BF494"/>
      <x:c r="BG494"/>
      <x:c r="BH494"/>
      <x:c r="BI494"/>
      <x:c r="BJ494"/>
      <x:c r="BK494"/>
      <x:c r="BL494"/>
      <x:c r="BM494"/>
      <x:c r="BN494"/>
      <x:c r="BO494"/>
      <x:c r="BP494"/>
      <x:c r="BQ494"/>
      <x:c r="BR494"/>
      <x:c r="BS494"/>
      <x:c r="BT494"/>
      <x:c r="BU494"/>
      <x:c r="BV494"/>
      <x:c r="BW494"/>
      <x:c r="BX494"/>
      <x:c r="BY494"/>
      <x:c r="BZ494"/>
      <x:c r="CA494"/>
      <x:c r="CB494"/>
      <x:c r="CC494"/>
    </x:row>
    <x:row r="495" ht="115" customHeight="1">
      <x:c r="A495" s="4" t="str">
        <x:v>proposal.lore.growth_seat_blank</x:v>
      </x:c>
      <x:c r="B495" s="4" t="str">
        <x:v>Growth-alloy seal-seat blanks</x:v>
      </x:c>
      <x:c r="C495" s="4" t="str">
        <x:v>T3</x:v>
      </x:c>
      <x:c r="D495" s="4" t="str">
        <x:v>Crafting components</x:v>
      </x:c>
      <x:c r="E495" s="4" t="str">
        <x:v>Iron Growth grade / preparation</x:v>
      </x:c>
      <x:c r="F495" s="4" t="str">
        <x:v>New proposal</x:v>
      </x:c>
      <x:c r="G495" s="4" t="str">
        <x:v>Intended use: sealing. Shape a selected alloy lot into matched-seat blanks; no universal canister or pressure rating.</x:v>
      </x:c>
      <x:c r="H495" s="4" t="str">
        <x:v>None</x:v>
      </x:c>
      <x:c r="I495" s="4" t="str">
        <x:v>Workshop / cargo item; storage and fit unresolved</x:v>
      </x:c>
      <x:c r="J495" s="4"/>
      <x:c r="K495" s="4"/>
      <x:c r="L495" s="4" t="str">
        <x:v>Prepare from linked candidate inputs</x:v>
      </x:c>
      <x:c r="M495" s="4" t="str">
        <x:v>Shape a selected alloy lot into matched-seat blanks; no universal canister or pressure rating.</x:v>
      </x:c>
      <x:c r="N495" s="4" t="str">
        <x:v>Not implemented</x:v>
      </x:c>
      <x:c r="O495" s="4" t="str">
        <x:v>New game proposal from proposal-stage lore. Quantities, yields, tools, process conditions and performance remain open. No free environmental liquid or ordinary cloth.</x:v>
      </x:c>
      <x:c r="P495" s="4"/>
      <x:c r="Q495" s="4"/>
      <x:c r="R495" s="4"/>
      <x:c r="S495" s="4"/>
      <x:c r="T495" s="4"/>
      <x:c r="U495" s="4" t="str">
        <x:v>Source status does not establish game canon. Industrial Phagia fractions are separate from human food; ancient recovery does not imply reproduction.</x:v>
      </x:c>
      <x:c r="V495" s="4" t="str">
        <x:v>growth-alloy seal-seat blanks; sealing; t3</x:v>
      </x:c>
      <x:c r="W49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5" s="4" t="str">
        <x:v>Crafting component</x:v>
      </x:c>
      <x:c r="Y495" s="4" t="str">
        <x:v>Processed intermediate</x:v>
      </x:c>
      <x:c r="Z495" s="4" t="str">
        <x:v>Manufactured / unresolved</x:v>
      </x:c>
      <x:c r="AA495" s="4" t="str">
        <x:v>Sealing</x:v>
      </x:c>
      <x:c r="AB495" s="4" t="str">
        <x:v>Iron Growth</x:v>
      </x:c>
      <x:c r="AC495" s="4" t="str">
        <x:v>Solid part</x:v>
      </x:c>
      <x:c r="AD495" s="4" t="str">
        <x:v>Proposal</x:v>
      </x:c>
      <x:c r="AE495" s="4" t="str">
        <x:f>LOWER(A495&amp;"; "&amp;B495&amp;"; "&amp;D495&amp;"; "&amp;E495&amp;"; "&amp;X495&amp;"; "&amp;Y495&amp;"; "&amp;Z495&amp;"; "&amp;AA495&amp;"; "&amp;AB495&amp;"; "&amp;AC495&amp;"; "&amp;AD495&amp;"; "&amp;V495&amp;"; "&amp;C495&amp;"; "&amp;AH495&amp;"; "&amp;AI495)</x:f>
        <x:v>proposal.lore.growth_seat_blank; growth-alloy seal-seat blanks; crafting components; iron growth grade / preparation; crafting component; processed intermediate; manufactured / unresolved; sealing; iron growth; solid part; proposal; growth-alloy seal-seat blanks; sealing; t3; t3; not applicable; component</x:v>
      </x:c>
      <x:c r="AF495" s="4" t="str">
        <x:v>New source-informed working item; primary category follows the resource/processing/recovery split.</x:v>
      </x:c>
      <x:c r="AG495" s="4" t="str">
        <x:v>Proposed T3 within selected partial routes; source age/depth is not a tier.</x:v>
      </x:c>
      <x:c r="AH495" s="4" t="str">
        <x:v>Not applicable</x:v>
      </x:c>
      <x:c r="AI495" s="4" t="str">
        <x:v>Component</x:v>
      </x:c>
      <x:c r="AJ495" s="4" t="n">
        <x:f>COUNTIFS('Material routes'!$D$6:$D$2205,A495,'Material routes'!$C$6:$C$2205,"Output")</x:f>
        <x:v>1</x:v>
      </x:c>
      <x:c r="AK495" s="4" t="n">
        <x:f>SUM(COUNTIFS('Material routes'!$D$6:$D$2205,A495,'Material routes'!$C$6:$C$2205,"Ingredient candidate"),COUNTIFS('Material routes'!$D$6:$D$2205,A495,'Material routes'!$C$6:$C$2205,"Consumed input"),COUNTIFS('Material routes'!$D$6:$D$2205,A495,'Material routes'!$C$6:$C$2205,"Contained input"),COUNTIFS('Material routes'!$D$6:$D$2205,A495,'Material routes'!$C$6:$C$2205,"Transform input"))</x:f>
        <x:v>1</x:v>
      </x:c>
      <x:c r="AL495" s="4" t="n">
        <x:f>COUNTIFS('Material routes'!$D$6:$D$2205,A495,'Material routes'!$C$6:$C$2205,"Tool candidate")</x:f>
        <x:v>0</x:v>
      </x:c>
      <x:c r="AM495" s="4" t="str">
        <x:f>IF(AJ495&gt;0,"Route listed; review status/completeness",IF(C495="T0","Raw entry feed; no production route","No production route listed"))</x:f>
        <x:v>Route listed; review status/completeness</x:v>
      </x:c>
      <x:c r="AN495" s="4" t="n">
        <x:f>IF(C495="T0",0,IF(C495="T1",1,IF(C495="T2",2,IF(C495="T3",3,IF(C495="T4",4,IF(C495="Unassigned",98,99))))))</x:f>
        <x:v>3</x:v>
      </x:c>
      <x:c r="AZ495"/>
      <x:c r="BA495"/>
      <x:c r="BB495"/>
      <x:c r="BC495"/>
      <x:c r="BD495"/>
      <x:c r="BE495"/>
      <x:c r="BF495"/>
      <x:c r="BG495"/>
      <x:c r="BH495"/>
      <x:c r="BI495"/>
      <x:c r="BJ495"/>
      <x:c r="BK495"/>
      <x:c r="BL495"/>
      <x:c r="BM495"/>
      <x:c r="BN495"/>
      <x:c r="BO495"/>
      <x:c r="BP495"/>
      <x:c r="BQ495"/>
      <x:c r="BR495"/>
      <x:c r="BS495"/>
      <x:c r="BT495"/>
      <x:c r="BU495"/>
      <x:c r="BV495"/>
      <x:c r="BW495"/>
      <x:c r="BX495"/>
      <x:c r="BY495"/>
      <x:c r="BZ495"/>
      <x:c r="CA495"/>
      <x:c r="CB495"/>
      <x:c r="CC495"/>
    </x:row>
    <x:row r="496" ht="115" customHeight="1">
      <x:c r="A496" s="4" t="str">
        <x:v>proposal.lore.growth_seat_assembly</x:v>
      </x:c>
      <x:c r="B496" s="4" t="str">
        <x:v>Matched Growth seal-seat assembly</x:v>
      </x:c>
      <x:c r="C496" s="4" t="str">
        <x:v>T4</x:v>
      </x:c>
      <x:c r="D496" s="4" t="str">
        <x:v>Crafting components</x:v>
      </x:c>
      <x:c r="E496" s="4" t="str">
        <x:v>Lore-informed stock / fitted part</x:v>
      </x:c>
      <x:c r="F496" s="4" t="str">
        <x:v>New proposal</x:v>
      </x:c>
      <x:c r="G496" s="4" t="str">
        <x:v>Intended use: sealing. Fit selected seat blanks, sealing stock and retention interfaces for an identified canister service.</x:v>
      </x:c>
      <x:c r="H496" s="4" t="str">
        <x:v>None</x:v>
      </x:c>
      <x:c r="I496" s="4" t="str">
        <x:v>Workshop / cargo item; storage and fit unresolved</x:v>
      </x:c>
      <x:c r="J496" s="4"/>
      <x:c r="K496" s="4"/>
      <x:c r="L496" s="4" t="str">
        <x:v>Prepare from linked candidate inputs</x:v>
      </x:c>
      <x:c r="M496" s="4" t="str">
        <x:v>Fit selected seat blanks, sealing stock and retention interfaces for an identified canister service.</x:v>
      </x:c>
      <x:c r="N496" s="4" t="str">
        <x:v>Not implemented</x:v>
      </x:c>
      <x:c r="O496" s="4" t="str">
        <x:v>New game proposal from proposal-stage lore. Quantities, yields, tools, process conditions and performance remain open. No free environmental liquid or ordinary cloth.</x:v>
      </x:c>
      <x:c r="P496" s="4"/>
      <x:c r="Q496" s="4"/>
      <x:c r="R496" s="4"/>
      <x:c r="S496" s="4"/>
      <x:c r="T496" s="4"/>
      <x:c r="U496" s="4" t="str">
        <x:v>Source status does not establish game canon. Industrial Phagia fractions are separate from human food; ancient recovery does not imply reproduction.</x:v>
      </x:c>
      <x:c r="V496" s="4" t="str">
        <x:v>matched growth seal-seat assembly; sealing; t4</x:v>
      </x:c>
      <x:c r="W49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6" s="4" t="str">
        <x:v>Crafting component</x:v>
      </x:c>
      <x:c r="Y496" s="4" t="str">
        <x:v>Processed intermediate</x:v>
      </x:c>
      <x:c r="Z496" s="4" t="str">
        <x:v>Manufactured / unresolved</x:v>
      </x:c>
      <x:c r="AA496" s="4" t="str">
        <x:v>Sealing</x:v>
      </x:c>
      <x:c r="AB496" s="4" t="str">
        <x:v>Mixed / unresolved</x:v>
      </x:c>
      <x:c r="AC496" s="4" t="str">
        <x:v>Assembly</x:v>
      </x:c>
      <x:c r="AD496" s="4" t="str">
        <x:v>Proposal</x:v>
      </x:c>
      <x:c r="AE496" s="4" t="str">
        <x:f>LOWER(A496&amp;"; "&amp;B496&amp;"; "&amp;D496&amp;"; "&amp;E496&amp;"; "&amp;X496&amp;"; "&amp;Y496&amp;"; "&amp;Z496&amp;"; "&amp;AA496&amp;"; "&amp;AB496&amp;"; "&amp;AC496&amp;"; "&amp;AD496&amp;"; "&amp;V496&amp;"; "&amp;C496&amp;"; "&amp;AH496&amp;"; "&amp;AI496)</x:f>
        <x:v>proposal.lore.growth_seat_assembly; matched growth seal-seat assembly; crafting components; lore-informed stock / fitted part; crafting component; processed intermediate; manufactured / unresolved; sealing; mixed / unresolved; assembly; proposal; matched growth seal-seat assembly; sealing; t4; t4; not applicable; component</x:v>
      </x:c>
      <x:c r="AF496" s="4" t="str">
        <x:v>New source-informed working item; primary category follows the resource/processing/recovery split.</x:v>
      </x:c>
      <x:c r="AG496" s="4" t="str">
        <x:v>Proposed T4 within selected partial routes; source age/depth is not a tier.</x:v>
      </x:c>
      <x:c r="AH496" s="4" t="str">
        <x:v>Not applicable</x:v>
      </x:c>
      <x:c r="AI496" s="4" t="str">
        <x:v>Component</x:v>
      </x:c>
      <x:c r="AJ496" s="4" t="n">
        <x:f>COUNTIFS('Material routes'!$D$6:$D$2205,A496,'Material routes'!$C$6:$C$2205,"Output")</x:f>
        <x:v>1</x:v>
      </x:c>
      <x:c r="AK496" s="4" t="n">
        <x:f>SUM(COUNTIFS('Material routes'!$D$6:$D$2205,A496,'Material routes'!$C$6:$C$2205,"Ingredient candidate"),COUNTIFS('Material routes'!$D$6:$D$2205,A496,'Material routes'!$C$6:$C$2205,"Consumed input"),COUNTIFS('Material routes'!$D$6:$D$2205,A496,'Material routes'!$C$6:$C$2205,"Contained input"),COUNTIFS('Material routes'!$D$6:$D$2205,A496,'Material routes'!$C$6:$C$2205,"Transform input"))</x:f>
        <x:v>0</x:v>
      </x:c>
      <x:c r="AL496" s="4" t="n">
        <x:f>COUNTIFS('Material routes'!$D$6:$D$2205,A496,'Material routes'!$C$6:$C$2205,"Tool candidate")</x:f>
        <x:v>0</x:v>
      </x:c>
      <x:c r="AM496" s="4" t="str">
        <x:f>IF(AJ496&gt;0,"Route listed; review status/completeness",IF(C496="T0","Raw entry feed; no production route","No production route listed"))</x:f>
        <x:v>Route listed; review status/completeness</x:v>
      </x:c>
      <x:c r="AN496" s="4" t="n">
        <x:f>IF(C496="T0",0,IF(C496="T1",1,IF(C496="T2",2,IF(C496="T3",3,IF(C496="T4",4,IF(C496="Unassigned",98,99))))))</x:f>
        <x:v>4</x:v>
      </x:c>
      <x:c r="AZ496"/>
      <x:c r="BA496"/>
      <x:c r="BB496"/>
      <x:c r="BC496"/>
      <x:c r="BD496"/>
      <x:c r="BE496"/>
      <x:c r="BF496"/>
      <x:c r="BG496"/>
      <x:c r="BH496"/>
      <x:c r="BI496"/>
      <x:c r="BJ496"/>
      <x:c r="BK496"/>
      <x:c r="BL496"/>
      <x:c r="BM496"/>
      <x:c r="BN496"/>
      <x:c r="BO496"/>
      <x:c r="BP496"/>
      <x:c r="BQ496"/>
      <x:c r="BR496"/>
      <x:c r="BS496"/>
      <x:c r="BT496"/>
      <x:c r="BU496"/>
      <x:c r="BV496"/>
      <x:c r="BW496"/>
      <x:c r="BX496"/>
      <x:c r="BY496"/>
      <x:c r="BZ496"/>
      <x:c r="CA496"/>
      <x:c r="CB496"/>
      <x:c r="CC496"/>
    </x:row>
    <x:row r="497" ht="115" customHeight="1">
      <x:c r="A497" s="4" t="str">
        <x:v>proposal.lore.alkaline_crust</x:v>
      </x:c>
      <x:c r="B497" s="4" t="str">
        <x:v>Alkaline mineral crust</x:v>
      </x:c>
      <x:c r="C497" s="4" t="str">
        <x:v>T0</x:v>
      </x:c>
      <x:c r="D497" s="4" t="str">
        <x:v>Mineral resources</x:v>
      </x:c>
      <x:c r="E497" s="4" t="str">
        <x:v>Lore-informed stock / fitted part</x:v>
      </x:c>
      <x:c r="F497" s="4" t="str">
        <x:v>New proposal</x:v>
      </x:c>
      <x:c r="G497" s="4" t="str">
        <x:v>Intended use: chemical processing. Gather dry alkaline-bearing geological feed; deposit identity and purity remain proposals.</x:v>
      </x:c>
      <x:c r="H497" s="4" t="str">
        <x:v>None</x:v>
      </x:c>
      <x:c r="I497" s="4" t="str">
        <x:v>Contained or dry segregated feed; contamination and compatibility unresolved</x:v>
      </x:c>
      <x:c r="J497" s="4"/>
      <x:c r="K497" s="4"/>
      <x:c r="L497" s="4" t="str">
        <x:v>Gather/extract the identified source proposal; handling and yield unresolved</x:v>
      </x:c>
      <x:c r="M497" s="4" t="str">
        <x:v>Gather dry alkaline-bearing geological feed; deposit identity and purity remain proposals.</x:v>
      </x:c>
      <x:c r="N497" s="4" t="str">
        <x:v>Not implemented</x:v>
      </x:c>
      <x:c r="O497" s="4" t="str">
        <x:v>New game proposal from proposal-stage lore. Quantities, yields, tools, process conditions and performance remain open. No free environmental liquid or ordinary cloth.</x:v>
      </x:c>
      <x:c r="P497" s="4"/>
      <x:c r="Q497" s="4"/>
      <x:c r="R497" s="4"/>
      <x:c r="S497" s="4"/>
      <x:c r="T497" s="4"/>
      <x:c r="U497" s="4" t="str">
        <x:v>Source status does not establish game canon. Industrial Phagia fractions are separate from human food; ancient recovery does not imply reproduction.</x:v>
      </x:c>
      <x:c r="V497" s="4" t="str">
        <x:v>alkaline mineral crust; chemical processing; t0</x:v>
      </x:c>
      <x:c r="W49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7" s="4" t="str">
        <x:v>Raw material</x:v>
      </x:c>
      <x:c r="Y497" s="4" t="str">
        <x:v>Raw</x:v>
      </x:c>
      <x:c r="Z497" s="4" t="str">
        <x:v>Geological</x:v>
      </x:c>
      <x:c r="AA497" s="4" t="str">
        <x:v>Chemical processing</x:v>
      </x:c>
      <x:c r="AB497" s="4" t="str">
        <x:v>Mineral</x:v>
      </x:c>
      <x:c r="AC497" s="4" t="str">
        <x:v>Rock</x:v>
      </x:c>
      <x:c r="AD497" s="4" t="str">
        <x:v>Proposal</x:v>
      </x:c>
      <x:c r="AE497" s="4" t="str">
        <x:f>LOWER(A497&amp;"; "&amp;B497&amp;"; "&amp;D497&amp;"; "&amp;E497&amp;"; "&amp;X497&amp;"; "&amp;Y497&amp;"; "&amp;Z497&amp;"; "&amp;AA497&amp;"; "&amp;AB497&amp;"; "&amp;AC497&amp;"; "&amp;AD497&amp;"; "&amp;V497&amp;"; "&amp;C497&amp;"; "&amp;AH497&amp;"; "&amp;AI497)</x:f>
        <x:v>proposal.lore.alkaline_crust; alkaline mineral crust; mineral resources; lore-informed stock / fitted part; raw material; raw; geological; chemical processing; mineral; rock; proposal; alkaline mineral crust; chemical processing; t0; t0; not applicable; material</x:v>
      </x:c>
      <x:c r="AF497" s="4" t="str">
        <x:v>New source-informed working item; primary category follows the resource/processing/recovery split.</x:v>
      </x:c>
      <x:c r="AG497" s="4" t="str">
        <x:v>Proposed T0 within selected partial routes; source age/depth is not a tier.</x:v>
      </x:c>
      <x:c r="AH497" s="4" t="str">
        <x:v>Not applicable</x:v>
      </x:c>
      <x:c r="AI497" s="4" t="str">
        <x:v>Material</x:v>
      </x:c>
      <x:c r="AJ497" s="4" t="n">
        <x:f>COUNTIFS('Material routes'!$D$6:$D$2205,A497,'Material routes'!$C$6:$C$2205,"Output")</x:f>
        <x:v>0</x:v>
      </x:c>
      <x:c r="AK497" s="4" t="n">
        <x:f>SUM(COUNTIFS('Material routes'!$D$6:$D$2205,A497,'Material routes'!$C$6:$C$2205,"Ingredient candidate"),COUNTIFS('Material routes'!$D$6:$D$2205,A497,'Material routes'!$C$6:$C$2205,"Consumed input"),COUNTIFS('Material routes'!$D$6:$D$2205,A497,'Material routes'!$C$6:$C$2205,"Contained input"),COUNTIFS('Material routes'!$D$6:$D$2205,A497,'Material routes'!$C$6:$C$2205,"Transform input"))</x:f>
        <x:v>1</x:v>
      </x:c>
      <x:c r="AL497" s="4" t="n">
        <x:f>COUNTIFS('Material routes'!$D$6:$D$2205,A497,'Material routes'!$C$6:$C$2205,"Tool candidate")</x:f>
        <x:v>0</x:v>
      </x:c>
      <x:c r="AM497" s="4" t="str">
        <x:f>IF(AJ497&gt;0,"Route listed; review status/completeness",IF(C497="T0","Raw entry feed; no production route","No production route listed"))</x:f>
        <x:v>Raw entry feed; no production route</x:v>
      </x:c>
      <x:c r="AN497" s="4" t="n">
        <x:f>IF(C497="T0",0,IF(C497="T1",1,IF(C497="T2",2,IF(C497="T3",3,IF(C497="T4",4,IF(C497="Unassigned",98,99))))))</x:f>
        <x:v>0</x:v>
      </x:c>
      <x:c r="AZ497"/>
      <x:c r="BA497"/>
      <x:c r="BB497"/>
      <x:c r="BC497"/>
      <x:c r="BD497"/>
      <x:c r="BE497"/>
      <x:c r="BF497"/>
      <x:c r="BG497"/>
      <x:c r="BH497"/>
      <x:c r="BI497"/>
      <x:c r="BJ497"/>
      <x:c r="BK497"/>
      <x:c r="BL497"/>
      <x:c r="BM497"/>
      <x:c r="BN497"/>
      <x:c r="BO497"/>
      <x:c r="BP497"/>
      <x:c r="BQ497"/>
      <x:c r="BR497"/>
      <x:c r="BS497"/>
      <x:c r="BT497"/>
      <x:c r="BU497"/>
      <x:c r="BV497"/>
      <x:c r="BW497"/>
      <x:c r="BX497"/>
      <x:c r="BY497"/>
      <x:c r="BZ497"/>
      <x:c r="CA497"/>
      <x:c r="CB497"/>
      <x:c r="CC497"/>
    </x:row>
    <x:row r="498" ht="115" customHeight="1">
      <x:c r="A498" s="4" t="str">
        <x:v>proposal.lore.alkali_concentrate</x:v>
      </x:c>
      <x:c r="B498" s="4" t="str">
        <x:v>Prepared alkaline mineral concentrate</x:v>
      </x:c>
      <x:c r="C498" s="4" t="str">
        <x:v>T1</x:v>
      </x:c>
      <x:c r="D498" s="4" t="inlineStr">
        <x:is>
          <x:t xml:space="preserve">Crafting components</x:t>
        </x:is>
      </x:c>
      <x:c r="E498" s="4" t="str">
        <x:v>Lore-informed stock / fitted part</x:v>
      </x:c>
      <x:c r="F498" s="4" t="str">
        <x:v>New proposal</x:v>
      </x:c>
      <x:c r="G498" s="4" t="str">
        <x:v>Intended use: chemical processing. Select and prepare a controlled alkaline process fraction; no exact compound or aqueous recipe assigned.</x:v>
      </x:c>
      <x:c r="H498" s="4" t="str">
        <x:v>None</x:v>
      </x:c>
      <x:c r="I498" s="4" t="str">
        <x:v>Contained or dry segregated feed; contamination and compatibility unresolved</x:v>
      </x:c>
      <x:c r="J498" s="4"/>
      <x:c r="K498" s="4"/>
      <x:c r="L498" s="4" t="str">
        <x:v>Prepare from linked candidate inputs</x:v>
      </x:c>
      <x:c r="M498" s="4" t="str">
        <x:v>Select and prepare a controlled alkaline process fraction; no exact compound or aqueous recipe assigned.</x:v>
      </x:c>
      <x:c r="N498" s="4" t="str">
        <x:v>Not implemented</x:v>
      </x:c>
      <x:c r="O498" s="4" t="str">
        <x:v>New game proposal from proposal-stage lore. Quantities, yields, tools, process conditions and performance remain open. No free environmental liquid or ordinary cloth.</x:v>
      </x:c>
      <x:c r="P498" s="4"/>
      <x:c r="Q498" s="4"/>
      <x:c r="R498" s="4"/>
      <x:c r="S498" s="4"/>
      <x:c r="T498" s="4"/>
      <x:c r="U498" s="4" t="str">
        <x:v>Source status does not establish game canon. Industrial Phagia fractions are separate from human food; ancient recovery does not imply reproduction.</x:v>
      </x:c>
      <x:c r="V498" s="4" t="str">
        <x:v>prepared alkaline mineral concentrate; chemical processing; t1</x:v>
      </x:c>
      <x:c r="W49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8" s="4" t="str">
        <x:v>Chemical material</x:v>
      </x:c>
      <x:c r="Y498" s="4" t="str">
        <x:v>Processed intermediate</x:v>
      </x:c>
      <x:c r="Z498" s="4" t="str">
        <x:v>Manufactured / unresolved</x:v>
      </x:c>
      <x:c r="AA498" s="4" t="str">
        <x:v>Chemical processing</x:v>
      </x:c>
      <x:c r="AB498" s="4" t="str">
        <x:v>Mineral</x:v>
      </x:c>
      <x:c r="AC498" s="4" t="str">
        <x:v>Particles</x:v>
      </x:c>
      <x:c r="AD498" s="4" t="str">
        <x:v>Proposal</x:v>
      </x:c>
      <x:c r="AE498" s="4" t="str">
        <x:f>LOWER(A498&amp;"; "&amp;B498&amp;"; "&amp;D498&amp;"; "&amp;E498&amp;"; "&amp;X498&amp;"; "&amp;Y498&amp;"; "&amp;Z498&amp;"; "&amp;AA498&amp;"; "&amp;AB498&amp;"; "&amp;AC498&amp;"; "&amp;AD498&amp;"; "&amp;V498&amp;"; "&amp;C498&amp;"; "&amp;AH498&amp;"; "&amp;AI498)</x:f>
        <x:v>proposal.lore.alkali_concentrate; prepared alkaline mineral concentrate; crafting components; lore-informed stock / fitted part; chemical material; processed intermediate; manufactured / unresolved; chemical processing; mineral; particles; proposal; prepared alkaline mineral concentrate; chemical processing; t1; t1; not applicable; material</x:v>
      </x:c>
      <x:c r="AF498"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498" s="4" t="str">
        <x:v>Proposed T1 within selected partial routes; source age/depth is not a tier.</x:v>
      </x:c>
      <x:c r="AH498" s="4" t="str">
        <x:v>Not applicable</x:v>
      </x:c>
      <x:c r="AI498" s="4" t="str">
        <x:v>Material</x:v>
      </x:c>
      <x:c r="AJ498" s="4" t="n">
        <x:f>COUNTIFS('Material routes'!$D$6:$D$2205,A498,'Material routes'!$C$6:$C$2205,"Output")</x:f>
        <x:v>1</x:v>
      </x:c>
      <x:c r="AK498" s="4" t="n">
        <x:f>SUM(COUNTIFS('Material routes'!$D$6:$D$2205,A498,'Material routes'!$C$6:$C$2205,"Ingredient candidate"),COUNTIFS('Material routes'!$D$6:$D$2205,A498,'Material routes'!$C$6:$C$2205,"Consumed input"),COUNTIFS('Material routes'!$D$6:$D$2205,A498,'Material routes'!$C$6:$C$2205,"Contained input"),COUNTIFS('Material routes'!$D$6:$D$2205,A498,'Material routes'!$C$6:$C$2205,"Transform input"))</x:f>
        <x:v>3</x:v>
      </x:c>
      <x:c r="AL498" s="4" t="n">
        <x:f>COUNTIFS('Material routes'!$D$6:$D$2205,A498,'Material routes'!$C$6:$C$2205,"Tool candidate")</x:f>
        <x:v>0</x:v>
      </x:c>
      <x:c r="AM498" s="4" t="str">
        <x:f>IF(AJ498&gt;0,"Route listed; review status/completeness",IF(C498="T0","Raw entry feed; no production route","No production route listed"))</x:f>
        <x:v>Route listed; review status/completeness</x:v>
      </x:c>
      <x:c r="AN498" s="4" t="n">
        <x:f>IF(C498="T0",0,IF(C498="T1",1,IF(C498="T2",2,IF(C498="T3",3,IF(C498="T4",4,IF(C498="Unassigned",98,99))))))</x:f>
        <x:v>1</x:v>
      </x:c>
      <x:c r="AZ498"/>
      <x:c r="BA498"/>
      <x:c r="BB498"/>
      <x:c r="BC498"/>
      <x:c r="BD498"/>
      <x:c r="BE498"/>
      <x:c r="BF498"/>
      <x:c r="BG498"/>
      <x:c r="BH498"/>
      <x:c r="BI498"/>
      <x:c r="BJ498"/>
      <x:c r="BK498"/>
      <x:c r="BL498"/>
      <x:c r="BM498"/>
      <x:c r="BN498"/>
      <x:c r="BO498"/>
      <x:c r="BP498"/>
      <x:c r="BQ498"/>
      <x:c r="BR498"/>
      <x:c r="BS498"/>
      <x:c r="BT498"/>
      <x:c r="BU498"/>
      <x:c r="BV498"/>
      <x:c r="BW498"/>
      <x:c r="BX498"/>
      <x:c r="BY498"/>
      <x:c r="BZ498"/>
      <x:c r="CA498"/>
      <x:c r="CB498"/>
      <x:c r="CC498"/>
    </x:row>
    <x:row r="499" ht="115" customHeight="1">
      <x:c r="A499" s="4" t="str">
        <x:v>proposal.lore.sulfur_charge</x:v>
      </x:c>
      <x:c r="B499" s="4" t="str">
        <x:v>Prepared sulfur process charge</x:v>
      </x:c>
      <x:c r="C499" s="4" t="str">
        <x:v>T1</x:v>
      </x:c>
      <x:c r="D499" s="4" t="inlineStr">
        <x:is>
          <x:t xml:space="preserve">Crafting components</x:t>
        </x:is>
      </x:c>
      <x:c r="E499" s="4" t="str">
        <x:v>Lore-informed stock / fitted part</x:v>
      </x:c>
      <x:c r="F499" s="4" t="str">
        <x:v>New proposal</x:v>
      </x:c>
      <x:c r="G499" s="4" t="str">
        <x:v>Intended use: chemical processing. Prepare a sulfur-bearing reagent feed for contained acid-processing research; conversion chemistry and equipment remain open. This is not a guaranteed ready acid.</x:v>
      </x:c>
      <x:c r="H499" s="4" t="str">
        <x:v>None</x:v>
      </x:c>
      <x:c r="I499" s="4" t="str">
        <x:v>Contained or dry segregated feed; contamination and compatibility unresolved</x:v>
      </x:c>
      <x:c r="J499" s="4"/>
      <x:c r="K499" s="4"/>
      <x:c r="L499" s="4" t="str">
        <x:v>Prepare from linked candidate inputs</x:v>
      </x:c>
      <x:c r="M499" s="4" t="str">
        <x:v>Prepare a sulfur-bearing reagent feed for contained acid-processing research; conversion chemistry and equipment remain open. This is not a guaranteed ready acid.</x:v>
      </x:c>
      <x:c r="N499" s="4" t="str">
        <x:v>Not implemented</x:v>
      </x:c>
      <x:c r="O499" s="4" t="str">
        <x:v>New game proposal from proposal-stage lore. Quantities, yields, tools, process conditions and performance remain open. No free environmental liquid or ordinary cloth.</x:v>
      </x:c>
      <x:c r="P499" s="4"/>
      <x:c r="Q499" s="4"/>
      <x:c r="R499" s="4"/>
      <x:c r="S499" s="4"/>
      <x:c r="T499" s="4"/>
      <x:c r="U499" s="4" t="str">
        <x:v>Source status does not establish game canon. Industrial Phagia fractions are separate from human food; ancient recovery does not imply reproduction.</x:v>
      </x:c>
      <x:c r="V499" s="4" t="str">
        <x:v>prepared sulfur process charge; chemical processing; t1</x:v>
      </x:c>
      <x:c r="W49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9" s="4" t="str">
        <x:v>Chemical material</x:v>
      </x:c>
      <x:c r="Y499" s="4" t="str">
        <x:v>Processed intermediate</x:v>
      </x:c>
      <x:c r="Z499" s="4" t="str">
        <x:v>Manufactured / unresolved</x:v>
      </x:c>
      <x:c r="AA499" s="4" t="str">
        <x:v>Chemical processing</x:v>
      </x:c>
      <x:c r="AB499" s="4" t="str">
        <x:v>Mineral</x:v>
      </x:c>
      <x:c r="AC499" s="4" t="str">
        <x:v>Particles</x:v>
      </x:c>
      <x:c r="AD499" s="4" t="str">
        <x:v>Proposal</x:v>
      </x:c>
      <x:c r="AE499" s="4" t="str">
        <x:f>LOWER(A499&amp;"; "&amp;B499&amp;"; "&amp;D499&amp;"; "&amp;E499&amp;"; "&amp;X499&amp;"; "&amp;Y499&amp;"; "&amp;Z499&amp;"; "&amp;AA499&amp;"; "&amp;AB499&amp;"; "&amp;AC499&amp;"; "&amp;AD499&amp;"; "&amp;V499&amp;"; "&amp;C499&amp;"; "&amp;AH499&amp;"; "&amp;AI499)</x:f>
        <x:v>proposal.lore.sulfur_charge; prepared sulfur process charge; crafting components; lore-informed stock / fitted part; chemical material; processed intermediate; manufactured / unresolved; chemical processing; mineral; particles; proposal; prepared sulfur process charge; chemical processing; t1; t1; not applicable; material</x:v>
      </x:c>
      <x:c r="AF499"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499" s="4" t="str">
        <x:v>Proposed T1 within selected partial routes; source age/depth is not a tier.</x:v>
      </x:c>
      <x:c r="AH499" s="4" t="str">
        <x:v>Not applicable</x:v>
      </x:c>
      <x:c r="AI499" s="4" t="str">
        <x:v>Material</x:v>
      </x:c>
      <x:c r="AJ499" s="4" t="n">
        <x:f>COUNTIFS('Material routes'!$D$6:$D$2205,A499,'Material routes'!$C$6:$C$2205,"Output")</x:f>
        <x:v>1</x:v>
      </x:c>
      <x:c r="AK499" s="4" t="n">
        <x:f>SUM(COUNTIFS('Material routes'!$D$6:$D$2205,A499,'Material routes'!$C$6:$C$2205,"Ingredient candidate"),COUNTIFS('Material routes'!$D$6:$D$2205,A499,'Material routes'!$C$6:$C$2205,"Consumed input"),COUNTIFS('Material routes'!$D$6:$D$2205,A499,'Material routes'!$C$6:$C$2205,"Contained input"),COUNTIFS('Material routes'!$D$6:$D$2205,A499,'Material routes'!$C$6:$C$2205,"Transform input"))</x:f>
        <x:v>1</x:v>
      </x:c>
      <x:c r="AL499" s="4" t="n">
        <x:f>COUNTIFS('Material routes'!$D$6:$D$2205,A499,'Material routes'!$C$6:$C$2205,"Tool candidate")</x:f>
        <x:v>0</x:v>
      </x:c>
      <x:c r="AM499" s="4" t="str">
        <x:f>IF(AJ499&gt;0,"Route listed; review status/completeness",IF(C499="T0","Raw entry feed; no production route","No production route listed"))</x:f>
        <x:v>Route listed; review status/completeness</x:v>
      </x:c>
      <x:c r="AN499" s="4" t="n">
        <x:f>IF(C499="T0",0,IF(C499="T1",1,IF(C499="T2",2,IF(C499="T3",3,IF(C499="T4",4,IF(C499="Unassigned",98,99))))))</x:f>
        <x:v>1</x:v>
      </x:c>
      <x:c r="AZ499"/>
      <x:c r="BA499"/>
      <x:c r="BB499"/>
      <x:c r="BC499"/>
      <x:c r="BD499"/>
      <x:c r="BE499"/>
      <x:c r="BF499"/>
      <x:c r="BG499"/>
      <x:c r="BH499"/>
      <x:c r="BI499"/>
      <x:c r="BJ499"/>
      <x:c r="BK499"/>
      <x:c r="BL499"/>
      <x:c r="BM499"/>
      <x:c r="BN499"/>
      <x:c r="BO499"/>
      <x:c r="BP499"/>
      <x:c r="BQ499"/>
      <x:c r="BR499"/>
      <x:c r="BS499"/>
      <x:c r="BT499"/>
      <x:c r="BU499"/>
      <x:c r="BV499"/>
      <x:c r="BW499"/>
      <x:c r="BX499"/>
      <x:c r="BY499"/>
      <x:c r="BZ499"/>
      <x:c r="CA499"/>
      <x:c r="CB499"/>
      <x:c r="CC499"/>
    </x:row>
    <x:row r="500" ht="115" customHeight="1">
      <x:c r="A500" s="4" t="str">
        <x:v>proposal.lore.phagia_byproduct</x:v>
      </x:c>
      <x:c r="B500" s="4" t="str">
        <x:v>Contained Phagia vat byproduct</x:v>
      </x:c>
      <x:c r="C500" s="4" t="str">
        <x:v>T0</x:v>
      </x:c>
      <x:c r="D500" s="4" t="str">
        <x:v>Biological resources</x:v>
      </x:c>
      <x:c r="E500" s="4" t="str">
        <x:v>Contained Phagia industrial fraction</x:v>
      </x:c>
      <x:c r="F500" s="4" t="str">
        <x:v>New proposal</x:v>
      </x:c>
      <x:c r="G500" s="4" t="str">
        <x:v>Intended use: chemical processing. Collect segregated industrial byproduct from managed containment; not drinking stock or environmental liquid.</x:v>
      </x:c>
      <x:c r="H500" s="4" t="str">
        <x:v>None</x:v>
      </x:c>
      <x:c r="I500" s="4" t="str">
        <x:v>Contained or dry segregated feed; contamination and compatibility unresolved</x:v>
      </x:c>
      <x:c r="J500" s="4"/>
      <x:c r="K500" s="4"/>
      <x:c r="L500" s="4" t="str">
        <x:v>Gather/extract the identified source proposal; handling and yield unresolved</x:v>
      </x:c>
      <x:c r="M500" s="4" t="str">
        <x:v>Collect segregated industrial byproduct from managed containment; not drinking stock or environmental liquid.</x:v>
      </x:c>
      <x:c r="N500" s="4" t="str">
        <x:v>Not implemented</x:v>
      </x:c>
      <x:c r="O500" s="4" t="str">
        <x:v>New game proposal from proposal-stage lore. Quantities, yields, tools, process conditions and performance remain open. No free environmental liquid or ordinary cloth.</x:v>
      </x:c>
      <x:c r="P500" s="4"/>
      <x:c r="Q500" s="4"/>
      <x:c r="R500" s="4"/>
      <x:c r="S500" s="4"/>
      <x:c r="T500" s="4"/>
      <x:c r="U500" s="4" t="str">
        <x:v>Source status does not establish game canon. Industrial Phagia fractions are separate from human food; ancient recovery does not imply reproduction.</x:v>
      </x:c>
      <x:c r="V500" s="4" t="str">
        <x:v>contained phagia vat byproduct; chemical processing; t0</x:v>
      </x:c>
      <x:c r="W50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0" s="4" t="str">
        <x:v>Raw material</x:v>
      </x:c>
      <x:c r="Y500" s="4" t="str">
        <x:v>Raw</x:v>
      </x:c>
      <x:c r="Z500" s="4" t="str">
        <x:v>Living culture</x:v>
      </x:c>
      <x:c r="AA500" s="4" t="str">
        <x:v>Chemical processing</x:v>
      </x:c>
      <x:c r="AB500" s="4" t="str">
        <x:v>Biological chemical</x:v>
      </x:c>
      <x:c r="AC500" s="4" t="str">
        <x:v>Unresolved</x:v>
      </x:c>
      <x:c r="AD500" s="4" t="str">
        <x:v>Proposal</x:v>
      </x:c>
      <x:c r="AE500" s="4" t="str">
        <x:f>LOWER(A500&amp;"; "&amp;B500&amp;"; "&amp;D500&amp;"; "&amp;E500&amp;"; "&amp;X500&amp;"; "&amp;Y500&amp;"; "&amp;Z500&amp;"; "&amp;AA500&amp;"; "&amp;AB500&amp;"; "&amp;AC500&amp;"; "&amp;AD500&amp;"; "&amp;V500&amp;"; "&amp;C500&amp;"; "&amp;AH500&amp;"; "&amp;AI500)</x:f>
        <x:v>proposal.lore.phagia_byproduct; contained phagia vat byproduct; biological resources; contained phagia industrial fraction; raw material; raw; living culture; chemical processing; biological chemical; unresolved; proposal; contained phagia vat byproduct; chemical processing; t0; t0; not applicable; material</x:v>
      </x:c>
      <x:c r="AF500" s="4" t="str">
        <x:v>New source-informed working item; primary category follows the resource/processing/recovery split.</x:v>
      </x:c>
      <x:c r="AG500" s="4" t="str">
        <x:v>Proposed T0 within selected partial routes; source age/depth is not a tier.</x:v>
      </x:c>
      <x:c r="AH500" s="4" t="str">
        <x:v>Not applicable</x:v>
      </x:c>
      <x:c r="AI500" s="4" t="str">
        <x:v>Material</x:v>
      </x:c>
      <x:c r="AJ500" s="4" t="n">
        <x:f>COUNTIFS('Material routes'!$D$6:$D$2205,A500,'Material routes'!$C$6:$C$2205,"Output")</x:f>
        <x:v>0</x:v>
      </x:c>
      <x:c r="AK500" s="4" t="n">
        <x:f>SUM(COUNTIFS('Material routes'!$D$6:$D$2205,A500,'Material routes'!$C$6:$C$2205,"Ingredient candidate"),COUNTIFS('Material routes'!$D$6:$D$2205,A500,'Material routes'!$C$6:$C$2205,"Consumed input"),COUNTIFS('Material routes'!$D$6:$D$2205,A500,'Material routes'!$C$6:$C$2205,"Contained input"),COUNTIFS('Material routes'!$D$6:$D$2205,A500,'Material routes'!$C$6:$C$2205,"Transform input"))</x:f>
        <x:v>3</x:v>
      </x:c>
      <x:c r="AL500" s="4" t="n">
        <x:f>COUNTIFS('Material routes'!$D$6:$D$2205,A500,'Material routes'!$C$6:$C$2205,"Tool candidate")</x:f>
        <x:v>0</x:v>
      </x:c>
      <x:c r="AM500" s="4" t="str">
        <x:f>IF(AJ500&gt;0,"Route listed; review status/completeness",IF(C500="T0","Raw entry feed; no production route","No production route listed"))</x:f>
        <x:v>Raw entry feed; no production route</x:v>
      </x:c>
      <x:c r="AN500" s="4" t="n">
        <x:f>IF(C500="T0",0,IF(C500="T1",1,IF(C500="T2",2,IF(C500="T3",3,IF(C500="T4",4,IF(C500="Unassigned",98,99))))))</x:f>
        <x:v>0</x:v>
      </x:c>
      <x:c r="AZ500"/>
      <x:c r="BA500"/>
      <x:c r="BB500"/>
      <x:c r="BC500"/>
      <x:c r="BD500"/>
      <x:c r="BE500"/>
      <x:c r="BF500"/>
      <x:c r="BG500"/>
      <x:c r="BH500"/>
      <x:c r="BI500"/>
      <x:c r="BJ500"/>
      <x:c r="BK500"/>
      <x:c r="BL500"/>
      <x:c r="BM500"/>
      <x:c r="BN500"/>
      <x:c r="BO500"/>
      <x:c r="BP500"/>
      <x:c r="BQ500"/>
      <x:c r="BR500"/>
      <x:c r="BS500"/>
      <x:c r="BT500"/>
      <x:c r="BU500"/>
      <x:c r="BV500"/>
      <x:c r="BW500"/>
      <x:c r="BX500"/>
      <x:c r="BY500"/>
      <x:c r="BZ500"/>
      <x:c r="CA500"/>
      <x:c r="CB500"/>
      <x:c r="CC500"/>
    </x:row>
    <x:row r="501" ht="115" customHeight="1">
      <x:c r="A501" s="4" t="str">
        <x:v>proposal.lore.phagia_enzyme</x:v>
      </x:c>
      <x:c r="B501" s="4" t="str">
        <x:v>Selected Phagia enzyme fraction</x:v>
      </x:c>
      <x:c r="C501" s="4" t="str">
        <x:v>T1</x:v>
      </x:c>
      <x:c r="D501" s="4" t="inlineStr">
        <x:is>
          <x:t xml:space="preserve">Crafting components</x:t>
        </x:is>
      </x:c>
      <x:c r="E501" s="4" t="str">
        <x:v>Contained Phagia industrial fraction</x:v>
      </x:c>
      <x:c r="F501" s="4" t="str">
        <x:v>New proposal</x:v>
      </x:c>
      <x:c r="G501" s="4" t="str">
        <x:v>Intended use: chemical processing. Select a candidate enzyme fraction for organic-material processing; actual activity, storage and usable life remain unresolved.</x:v>
      </x:c>
      <x:c r="H501" s="4" t="str">
        <x:v>None</x:v>
      </x:c>
      <x:c r="I501" s="4" t="str">
        <x:v>Contained or dry segregated feed; contamination and compatibility unresolved</x:v>
      </x:c>
      <x:c r="J501" s="4"/>
      <x:c r="K501" s="4"/>
      <x:c r="L501" s="4" t="str">
        <x:v>Prepare from linked candidate inputs</x:v>
      </x:c>
      <x:c r="M501" s="4" t="str">
        <x:v>Select a candidate enzyme fraction for organic-material processing; actual activity, storage and usable life remain unresolved.</x:v>
      </x:c>
      <x:c r="N501" s="4" t="str">
        <x:v>Not implemented</x:v>
      </x:c>
      <x:c r="O501" s="4" t="str">
        <x:v>New game proposal from proposal-stage lore. Quantities, yields, tools, process conditions and performance remain open. No free environmental liquid or ordinary cloth.</x:v>
      </x:c>
      <x:c r="P501" s="4"/>
      <x:c r="Q501" s="4"/>
      <x:c r="R501" s="4"/>
      <x:c r="S501" s="4"/>
      <x:c r="T501" s="4"/>
      <x:c r="U501" s="4" t="str">
        <x:v>Source status does not establish game canon. Industrial Phagia fractions are separate from human food; ancient recovery does not imply reproduction.</x:v>
      </x:c>
      <x:c r="V501" s="4" t="str">
        <x:v>selected phagia enzyme fraction; chemical processing; t1</x:v>
      </x:c>
      <x:c r="W50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1" s="4" t="str">
        <x:v>Chemical material</x:v>
      </x:c>
      <x:c r="Y501" s="4" t="str">
        <x:v>Processed intermediate</x:v>
      </x:c>
      <x:c r="Z501" s="4" t="str">
        <x:v>Living culture</x:v>
      </x:c>
      <x:c r="AA501" s="4" t="str">
        <x:v>Chemical processing</x:v>
      </x:c>
      <x:c r="AB501" s="4" t="str">
        <x:v>Biological chemical</x:v>
      </x:c>
      <x:c r="AC501" s="4" t="str">
        <x:v>Unresolved</x:v>
      </x:c>
      <x:c r="AD501" s="4" t="str">
        <x:v>Proposal</x:v>
      </x:c>
      <x:c r="AE501" s="4" t="str">
        <x:f>LOWER(A501&amp;"; "&amp;B501&amp;"; "&amp;D501&amp;"; "&amp;E501&amp;"; "&amp;X501&amp;"; "&amp;Y501&amp;"; "&amp;Z501&amp;"; "&amp;AA501&amp;"; "&amp;AB501&amp;"; "&amp;AC501&amp;"; "&amp;AD501&amp;"; "&amp;V501&amp;"; "&amp;C501&amp;"; "&amp;AH501&amp;"; "&amp;AI501)</x:f>
        <x:v>proposal.lore.phagia_enzyme; selected phagia enzyme fraction; crafting components; contained phagia industrial fraction; chemical material; processed intermediate; living culture; chemical processing; biological chemical; unresolved; proposal; selected phagia enzyme fraction; chemical processing; t1; t1; not applicable; material</x:v>
      </x:c>
      <x:c r="AF501"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1" s="4" t="str">
        <x:v>Proposed T1 within selected partial routes; source age/depth is not a tier.</x:v>
      </x:c>
      <x:c r="AH501" s="4" t="str">
        <x:v>Not applicable</x:v>
      </x:c>
      <x:c r="AI501" s="4" t="str">
        <x:v>Material</x:v>
      </x:c>
      <x:c r="AJ501" s="4" t="n">
        <x:f>COUNTIFS('Material routes'!$D$6:$D$2205,A501,'Material routes'!$C$6:$C$2205,"Output")</x:f>
        <x:v>1</x:v>
      </x:c>
      <x:c r="AK501" s="4" t="n">
        <x:f>SUM(COUNTIFS('Material routes'!$D$6:$D$2205,A501,'Material routes'!$C$6:$C$2205,"Ingredient candidate"),COUNTIFS('Material routes'!$D$6:$D$2205,A501,'Material routes'!$C$6:$C$2205,"Consumed input"),COUNTIFS('Material routes'!$D$6:$D$2205,A501,'Material routes'!$C$6:$C$2205,"Contained input"),COUNTIFS('Material routes'!$D$6:$D$2205,A501,'Material routes'!$C$6:$C$2205,"Transform input"))</x:f>
        <x:v>1</x:v>
      </x:c>
      <x:c r="AL501" s="4" t="n">
        <x:f>COUNTIFS('Material routes'!$D$6:$D$2205,A501,'Material routes'!$C$6:$C$2205,"Tool candidate")</x:f>
        <x:v>0</x:v>
      </x:c>
      <x:c r="AM501" s="4" t="str">
        <x:f>IF(AJ501&gt;0,"Route listed; review status/completeness",IF(C501="T0","Raw entry feed; no production route","No production route listed"))</x:f>
        <x:v>Route listed; review status/completeness</x:v>
      </x:c>
      <x:c r="AN501" s="4" t="n">
        <x:f>IF(C501="T0",0,IF(C501="T1",1,IF(C501="T2",2,IF(C501="T3",3,IF(C501="T4",4,IF(C501="Unassigned",98,99))))))</x:f>
        <x:v>1</x:v>
      </x:c>
      <x:c r="AZ501"/>
      <x:c r="BA501"/>
      <x:c r="BB501"/>
      <x:c r="BC501"/>
      <x:c r="BD501"/>
      <x:c r="BE501"/>
      <x:c r="BF501"/>
      <x:c r="BG501"/>
      <x:c r="BH501"/>
      <x:c r="BI501"/>
      <x:c r="BJ501"/>
      <x:c r="BK501"/>
      <x:c r="BL501"/>
      <x:c r="BM501"/>
      <x:c r="BN501"/>
      <x:c r="BO501"/>
      <x:c r="BP501"/>
      <x:c r="BQ501"/>
      <x:c r="BR501"/>
      <x:c r="BS501"/>
      <x:c r="BT501"/>
      <x:c r="BU501"/>
      <x:c r="BV501"/>
      <x:c r="BW501"/>
      <x:c r="BX501"/>
      <x:c r="BY501"/>
      <x:c r="BZ501"/>
      <x:c r="CA501"/>
      <x:c r="CB501"/>
      <x:c r="CC501"/>
    </x:row>
    <x:row r="502" ht="115" customHeight="1">
      <x:c r="A502" s="4" t="str">
        <x:v>proposal.lore.phagia_acid</x:v>
      </x:c>
      <x:c r="B502" s="4" t="str">
        <x:v>Selected Phagia mild-acid fraction</x:v>
      </x:c>
      <x:c r="C502" s="4" t="str">
        <x:v>T1</x:v>
      </x:c>
      <x:c r="D502" s="4" t="inlineStr">
        <x:is>
          <x:t xml:space="preserve">Crafting components</x:t>
        </x:is>
      </x:c>
      <x:c r="E502" s="4" t="str">
        <x:v>Contained Phagia industrial fraction</x:v>
      </x:c>
      <x:c r="F502" s="4" t="str">
        <x:v>New proposal</x:v>
      </x:c>
      <x:c r="G502" s="4" t="str">
        <x:v>Intended use: surface finishing. Separate an industrial acidic fraction from nutritional stock; identity, carrier and compatibility remain unqualified.</x:v>
      </x:c>
      <x:c r="H502" s="4" t="str">
        <x:v>None</x:v>
      </x:c>
      <x:c r="I502" s="4" t="str">
        <x:v>Contained or dry segregated feed; contamination and compatibility unresolved</x:v>
      </x:c>
      <x:c r="J502" s="4"/>
      <x:c r="K502" s="4"/>
      <x:c r="L502" s="4" t="str">
        <x:v>Prepare from linked candidate inputs</x:v>
      </x:c>
      <x:c r="M502" s="4" t="str">
        <x:v>Separate an industrial acidic fraction from nutritional stock; identity, carrier and compatibility remain unqualified.</x:v>
      </x:c>
      <x:c r="N502" s="4" t="str">
        <x:v>Not implemented</x:v>
      </x:c>
      <x:c r="O502" s="4" t="str">
        <x:v>New game proposal from proposal-stage lore. Quantities, yields, tools, process conditions and performance remain open. No free environmental liquid or ordinary cloth.</x:v>
      </x:c>
      <x:c r="P502" s="4"/>
      <x:c r="Q502" s="4"/>
      <x:c r="R502" s="4"/>
      <x:c r="S502" s="4"/>
      <x:c r="T502" s="4"/>
      <x:c r="U502" s="4" t="str">
        <x:v>Source status does not establish game canon. Industrial Phagia fractions are separate from human food; ancient recovery does not imply reproduction.</x:v>
      </x:c>
      <x:c r="V502" s="4" t="str">
        <x:v>selected phagia mild-acid fraction; surface finishing; t1</x:v>
      </x:c>
      <x:c r="W50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2" s="4" t="str">
        <x:v>Chemical material</x:v>
      </x:c>
      <x:c r="Y502" s="4" t="str">
        <x:v>Processed intermediate</x:v>
      </x:c>
      <x:c r="Z502" s="4" t="str">
        <x:v>Living culture</x:v>
      </x:c>
      <x:c r="AA502" s="4" t="str">
        <x:v>Surface finishing</x:v>
      </x:c>
      <x:c r="AB502" s="4" t="str">
        <x:v>Biological chemical</x:v>
      </x:c>
      <x:c r="AC502" s="4" t="str">
        <x:v>Unresolved</x:v>
      </x:c>
      <x:c r="AD502" s="4" t="str">
        <x:v>Proposal</x:v>
      </x:c>
      <x:c r="AE502" s="4" t="str">
        <x:f>LOWER(A502&amp;"; "&amp;B502&amp;"; "&amp;D502&amp;"; "&amp;E502&amp;"; "&amp;X502&amp;"; "&amp;Y502&amp;"; "&amp;Z502&amp;"; "&amp;AA502&amp;"; "&amp;AB502&amp;"; "&amp;AC502&amp;"; "&amp;AD502&amp;"; "&amp;V502&amp;"; "&amp;C502&amp;"; "&amp;AH502&amp;"; "&amp;AI502)</x:f>
        <x:v>proposal.lore.phagia_acid; selected phagia mild-acid fraction; crafting components; contained phagia industrial fraction; chemical material; processed intermediate; living culture; surface finishing; biological chemical; unresolved; proposal; selected phagia mild-acid fraction; surface finishing; t1; t1; not applicable; material</x:v>
      </x:c>
      <x:c r="AF502"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2" s="4" t="str">
        <x:v>Proposed T1 within selected partial routes; source age/depth is not a tier.</x:v>
      </x:c>
      <x:c r="AH502" s="4" t="str">
        <x:v>Not applicable</x:v>
      </x:c>
      <x:c r="AI502" s="4" t="str">
        <x:v>Material</x:v>
      </x:c>
      <x:c r="AJ502" s="4" t="n">
        <x:f>COUNTIFS('Material routes'!$D$6:$D$2205,A502,'Material routes'!$C$6:$C$2205,"Output")</x:f>
        <x:v>1</x:v>
      </x:c>
      <x:c r="AK502" s="4" t="n">
        <x:f>SUM(COUNTIFS('Material routes'!$D$6:$D$2205,A502,'Material routes'!$C$6:$C$2205,"Ingredient candidate"),COUNTIFS('Material routes'!$D$6:$D$2205,A502,'Material routes'!$C$6:$C$2205,"Consumed input"),COUNTIFS('Material routes'!$D$6:$D$2205,A502,'Material routes'!$C$6:$C$2205,"Contained input"),COUNTIFS('Material routes'!$D$6:$D$2205,A502,'Material routes'!$C$6:$C$2205,"Transform input"))</x:f>
        <x:v>0</x:v>
      </x:c>
      <x:c r="AL502" s="4" t="n">
        <x:f>COUNTIFS('Material routes'!$D$6:$D$2205,A502,'Material routes'!$C$6:$C$2205,"Tool candidate")</x:f>
        <x:v>0</x:v>
      </x:c>
      <x:c r="AM502" s="4" t="str">
        <x:f>IF(AJ502&gt;0,"Route listed; review status/completeness",IF(C502="T0","Raw entry feed; no production route","No production route listed"))</x:f>
        <x:v>Route listed; review status/completeness</x:v>
      </x:c>
      <x:c r="AN502" s="4" t="n">
        <x:f>IF(C502="T0",0,IF(C502="T1",1,IF(C502="T2",2,IF(C502="T3",3,IF(C502="T4",4,IF(C502="Unassigned",98,99))))))</x:f>
        <x:v>1</x:v>
      </x:c>
      <x:c r="AZ502"/>
      <x:c r="BA502"/>
      <x:c r="BB502"/>
      <x:c r="BC502"/>
      <x:c r="BD502"/>
      <x:c r="BE502"/>
      <x:c r="BF502"/>
      <x:c r="BG502"/>
      <x:c r="BH502"/>
      <x:c r="BI502"/>
      <x:c r="BJ502"/>
      <x:c r="BK502"/>
      <x:c r="BL502"/>
      <x:c r="BM502"/>
      <x:c r="BN502"/>
      <x:c r="BO502"/>
      <x:c r="BP502"/>
      <x:c r="BQ502"/>
      <x:c r="BR502"/>
      <x:c r="BS502"/>
      <x:c r="BT502"/>
      <x:c r="BU502"/>
      <x:c r="BV502"/>
      <x:c r="BW502"/>
      <x:c r="BX502"/>
      <x:c r="BY502"/>
      <x:c r="BZ502"/>
      <x:c r="CA502"/>
      <x:c r="CB502"/>
      <x:c r="CC502"/>
    </x:row>
    <x:row r="503" ht="115" customHeight="1">
      <x:c r="A503" s="4" t="str">
        <x:v>proposal.lore.phagia_adhesive</x:v>
      </x:c>
      <x:c r="B503" s="4" t="str">
        <x:v>Concentrated Phagia adhesive base</x:v>
      </x:c>
      <x:c r="C503" s="4" t="str">
        <x:v>T1</x:v>
      </x:c>
      <x:c r="D503" s="4" t="inlineStr">
        <x:is>
          <x:t xml:space="preserve">Crafting components</x:t>
        </x:is>
      </x:c>
      <x:c r="E503" s="4" t="str">
        <x:v>Contained Phagia industrial fraction</x:v>
      </x:c>
      <x:c r="F503" s="4" t="str">
        <x:v>New proposal</x:v>
      </x:c>
      <x:c r="G503" s="4" t="str">
        <x:v>Intended use: binding and construction. Select and concentrate a binding fraction as adhesive feed; distinct from shell-derived adhesive.</x:v>
      </x:c>
      <x:c r="H503" s="4" t="str">
        <x:v>None</x:v>
      </x:c>
      <x:c r="I503" s="4" t="str">
        <x:v>Contained or dry segregated feed; contamination and compatibility unresolved</x:v>
      </x:c>
      <x:c r="J503" s="4"/>
      <x:c r="K503" s="4"/>
      <x:c r="L503" s="4" t="str">
        <x:v>Prepare from linked candidate inputs</x:v>
      </x:c>
      <x:c r="M503" s="4" t="str">
        <x:v>Select and concentrate a binding fraction as adhesive feed; distinct from shell-derived adhesive.</x:v>
      </x:c>
      <x:c r="N503" s="4" t="str">
        <x:v>Not implemented</x:v>
      </x:c>
      <x:c r="O503" s="4" t="str">
        <x:v>New game proposal from proposal-stage lore. Quantities, yields, tools, process conditions and performance remain open. No free environmental liquid or ordinary cloth.</x:v>
      </x:c>
      <x:c r="P503" s="4"/>
      <x:c r="Q503" s="4"/>
      <x:c r="R503" s="4"/>
      <x:c r="S503" s="4"/>
      <x:c r="T503" s="4"/>
      <x:c r="U503" s="4" t="str">
        <x:v>Source status does not establish game canon. Industrial Phagia fractions are separate from human food; ancient recovery does not imply reproduction.</x:v>
      </x:c>
      <x:c r="V503" s="4" t="str">
        <x:v>concentrated phagia adhesive base; binding and construction; t1</x:v>
      </x:c>
      <x:c r="W50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3" s="4" t="str">
        <x:v>Chemical material</x:v>
      </x:c>
      <x:c r="Y503" s="4" t="str">
        <x:v>Processed intermediate</x:v>
      </x:c>
      <x:c r="Z503" s="4" t="str">
        <x:v>Living culture</x:v>
      </x:c>
      <x:c r="AA503" s="4" t="str">
        <x:v>Binding and construction</x:v>
      </x:c>
      <x:c r="AB503" s="4" t="str">
        <x:v>Biological chemical</x:v>
      </x:c>
      <x:c r="AC503" s="4" t="str">
        <x:v>Unresolved</x:v>
      </x:c>
      <x:c r="AD503" s="4" t="str">
        <x:v>Proposal</x:v>
      </x:c>
      <x:c r="AE503" s="4" t="str">
        <x:f>LOWER(A503&amp;"; "&amp;B503&amp;"; "&amp;D503&amp;"; "&amp;E503&amp;"; "&amp;X503&amp;"; "&amp;Y503&amp;"; "&amp;Z503&amp;"; "&amp;AA503&amp;"; "&amp;AB503&amp;"; "&amp;AC503&amp;"; "&amp;AD503&amp;"; "&amp;V503&amp;"; "&amp;C503&amp;"; "&amp;AH503&amp;"; "&amp;AI503)</x:f>
        <x:v>proposal.lore.phagia_adhesive; concentrated phagia adhesive base; crafting components; contained phagia industrial fraction; chemical material; processed intermediate; living culture; binding and construction; biological chemical; unresolved; proposal; concentrated phagia adhesive base; binding and construction; t1; t1; not applicable; material</x:v>
      </x:c>
      <x:c r="AF503"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3" s="4" t="str">
        <x:v>Proposed T1 within selected partial routes; source age/depth is not a tier.</x:v>
      </x:c>
      <x:c r="AH503" s="4" t="str">
        <x:v>Not applicable</x:v>
      </x:c>
      <x:c r="AI503" s="4" t="str">
        <x:v>Material</x:v>
      </x:c>
      <x:c r="AJ503" s="4" t="n">
        <x:f>COUNTIFS('Material routes'!$D$6:$D$2205,A503,'Material routes'!$C$6:$C$2205,"Output")</x:f>
        <x:v>1</x:v>
      </x:c>
      <x:c r="AK503" s="4" t="n">
        <x:f>SUM(COUNTIFS('Material routes'!$D$6:$D$2205,A503,'Material routes'!$C$6:$C$2205,"Ingredient candidate"),COUNTIFS('Material routes'!$D$6:$D$2205,A503,'Material routes'!$C$6:$C$2205,"Consumed input"),COUNTIFS('Material routes'!$D$6:$D$2205,A503,'Material routes'!$C$6:$C$2205,"Contained input"),COUNTIFS('Material routes'!$D$6:$D$2205,A503,'Material routes'!$C$6:$C$2205,"Transform input"))</x:f>
        <x:v>2</x:v>
      </x:c>
      <x:c r="AL503" s="4" t="n">
        <x:f>COUNTIFS('Material routes'!$D$6:$D$2205,A503,'Material routes'!$C$6:$C$2205,"Tool candidate")</x:f>
        <x:v>0</x:v>
      </x:c>
      <x:c r="AM503" s="4" t="str">
        <x:f>IF(AJ503&gt;0,"Route listed; review status/completeness",IF(C503="T0","Raw entry feed; no production route","No production route listed"))</x:f>
        <x:v>Route listed; review status/completeness</x:v>
      </x:c>
      <x:c r="AN503" s="4" t="n">
        <x:f>IF(C503="T0",0,IF(C503="T1",1,IF(C503="T2",2,IF(C503="T3",3,IF(C503="T4",4,IF(C503="Unassigned",98,99))))))</x:f>
        <x:v>1</x:v>
      </x:c>
      <x:c r="AZ503"/>
      <x:c r="BA503"/>
      <x:c r="BB503"/>
      <x:c r="BC503"/>
      <x:c r="BD503"/>
      <x:c r="BE503"/>
      <x:c r="BF503"/>
      <x:c r="BG503"/>
      <x:c r="BH503"/>
      <x:c r="BI503"/>
      <x:c r="BJ503"/>
      <x:c r="BK503"/>
      <x:c r="BL503"/>
      <x:c r="BM503"/>
      <x:c r="BN503"/>
      <x:c r="BO503"/>
      <x:c r="BP503"/>
      <x:c r="BQ503"/>
      <x:c r="BR503"/>
      <x:c r="BS503"/>
      <x:c r="BT503"/>
      <x:c r="BU503"/>
      <x:c r="BV503"/>
      <x:c r="BW503"/>
      <x:c r="BX503"/>
      <x:c r="BY503"/>
      <x:c r="BZ503"/>
      <x:c r="CA503"/>
      <x:c r="CB503"/>
      <x:c r="CC503"/>
    </x:row>
    <x:row r="504" ht="115" customHeight="1">
      <x:c r="A504" s="4" t="str">
        <x:v>proposal.lore.shell_cleaning_charge</x:v>
      </x:c>
      <x:c r="B504" s="4" t="str">
        <x:v>Chitin-cleaning process charge</x:v>
      </x:c>
      <x:c r="C504" s="4" t="str">
        <x:v>T2</x:v>
      </x:c>
      <x:c r="D504" s="4" t="inlineStr">
        <x:is>
          <x:t xml:space="preserve">Crafting components</x:t>
        </x:is>
      </x:c>
      <x:c r="E504" s="4" t="str">
        <x:v>Lore-informed stock / fitted part</x:v>
      </x:c>
      <x:c r="F504" s="4" t="str">
        <x:v>New proposal</x:v>
      </x:c>
      <x:c r="G504" s="4" t="str">
        <x:v>Intended use: chemical processing. Explore a contained shell-surface preparation charge; actual enzyme/alkali compatibility, sequence and medium remain open.</x:v>
      </x:c>
      <x:c r="H504" s="4" t="str">
        <x:v>None</x:v>
      </x:c>
      <x:c r="I504" s="4" t="str">
        <x:v>Contained or dry segregated feed; contamination and compatibility unresolved</x:v>
      </x:c>
      <x:c r="J504" s="4"/>
      <x:c r="K504" s="4"/>
      <x:c r="L504" s="4" t="str">
        <x:v>Prepare from linked candidate inputs</x:v>
      </x:c>
      <x:c r="M504" s="4" t="str">
        <x:v>Explore a contained shell-surface preparation charge; actual enzyme/alkali compatibility, sequence and medium remain open.</x:v>
      </x:c>
      <x:c r="N504" s="4" t="str">
        <x:v>Not implemented</x:v>
      </x:c>
      <x:c r="O504" s="4" t="str">
        <x:v>New game proposal from proposal-stage lore. Quantities, yields, tools, process conditions and performance remain open. No free environmental liquid or ordinary cloth.</x:v>
      </x:c>
      <x:c r="P504" s="4"/>
      <x:c r="Q504" s="4"/>
      <x:c r="R504" s="4"/>
      <x:c r="S504" s="4"/>
      <x:c r="T504" s="4"/>
      <x:c r="U504" s="4" t="str">
        <x:v>Source status does not establish game canon. Industrial Phagia fractions are separate from human food; ancient recovery does not imply reproduction.</x:v>
      </x:c>
      <x:c r="V504" s="4" t="str">
        <x:v>chitin-cleaning process charge; chemical processing; t2</x:v>
      </x:c>
      <x:c r="W50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4" s="4" t="str">
        <x:v>Chemical material</x:v>
      </x:c>
      <x:c r="Y504" s="4" t="str">
        <x:v>Processed intermediate</x:v>
      </x:c>
      <x:c r="Z504" s="4" t="str">
        <x:v>Manufactured / unresolved</x:v>
      </x:c>
      <x:c r="AA504" s="4" t="str">
        <x:v>Chemical processing</x:v>
      </x:c>
      <x:c r="AB504" s="4" t="str">
        <x:v>Biological and mineral mixture</x:v>
      </x:c>
      <x:c r="AC504" s="4" t="str">
        <x:v>Unresolved</x:v>
      </x:c>
      <x:c r="AD504" s="4" t="str">
        <x:v>Proposal</x:v>
      </x:c>
      <x:c r="AE504" s="4" t="str">
        <x:f>LOWER(A504&amp;"; "&amp;B504&amp;"; "&amp;D504&amp;"; "&amp;E504&amp;"; "&amp;X504&amp;"; "&amp;Y504&amp;"; "&amp;Z504&amp;"; "&amp;AA504&amp;"; "&amp;AB504&amp;"; "&amp;AC504&amp;"; "&amp;AD504&amp;"; "&amp;V504&amp;"; "&amp;C504&amp;"; "&amp;AH504&amp;"; "&amp;AI504)</x:f>
        <x:v>proposal.lore.shell_cleaning_charge; chitin-cleaning process charge; crafting components; lore-informed stock / fitted part; chemical material; processed intermediate; manufactured / unresolved; chemical processing; biological and mineral mixture; unresolved; proposal; chitin-cleaning process charge; chemical processing; t2; t2; not applicable; material</x:v>
      </x:c>
      <x:c r="AF504"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4" s="4" t="str">
        <x:v>Proposed T2 within selected partial routes; source age/depth is not a tier.</x:v>
      </x:c>
      <x:c r="AH504" s="4" t="str">
        <x:v>Not applicable</x:v>
      </x:c>
      <x:c r="AI504" s="4" t="str">
        <x:v>Material</x:v>
      </x:c>
      <x:c r="AJ504" s="4" t="n">
        <x:f>COUNTIFS('Material routes'!$D$6:$D$2205,A504,'Material routes'!$C$6:$C$2205,"Output")</x:f>
        <x:v>1</x:v>
      </x:c>
      <x:c r="AK504" s="4" t="n">
        <x:f>SUM(COUNTIFS('Material routes'!$D$6:$D$2205,A504,'Material routes'!$C$6:$C$2205,"Ingredient candidate"),COUNTIFS('Material routes'!$D$6:$D$2205,A504,'Material routes'!$C$6:$C$2205,"Consumed input"),COUNTIFS('Material routes'!$D$6:$D$2205,A504,'Material routes'!$C$6:$C$2205,"Contained input"),COUNTIFS('Material routes'!$D$6:$D$2205,A504,'Material routes'!$C$6:$C$2205,"Transform input"))</x:f>
        <x:v>0</x:v>
      </x:c>
      <x:c r="AL504" s="4" t="n">
        <x:f>COUNTIFS('Material routes'!$D$6:$D$2205,A504,'Material routes'!$C$6:$C$2205,"Tool candidate")</x:f>
        <x:v>0</x:v>
      </x:c>
      <x:c r="AM504" s="4" t="str">
        <x:f>IF(AJ504&gt;0,"Route listed; review status/completeness",IF(C504="T0","Raw entry feed; no production route","No production route listed"))</x:f>
        <x:v>Route listed; review status/completeness</x:v>
      </x:c>
      <x:c r="AN504" s="4" t="n">
        <x:f>IF(C504="T0",0,IF(C504="T1",1,IF(C504="T2",2,IF(C504="T3",3,IF(C504="T4",4,IF(C504="Unassigned",98,99))))))</x:f>
        <x:v>2</x:v>
      </x:c>
      <x:c r="AZ504"/>
      <x:c r="BA504"/>
      <x:c r="BB504"/>
      <x:c r="BC504"/>
      <x:c r="BD504"/>
      <x:c r="BE504"/>
      <x:c r="BF504"/>
      <x:c r="BG504"/>
      <x:c r="BH504"/>
      <x:c r="BI504"/>
      <x:c r="BJ504"/>
      <x:c r="BK504"/>
      <x:c r="BL504"/>
      <x:c r="BM504"/>
      <x:c r="BN504"/>
      <x:c r="BO504"/>
      <x:c r="BP504"/>
      <x:c r="BQ504"/>
      <x:c r="BR504"/>
      <x:c r="BS504"/>
      <x:c r="BT504"/>
      <x:c r="BU504"/>
      <x:c r="BV504"/>
      <x:c r="BW504"/>
      <x:c r="BX504"/>
      <x:c r="BY504"/>
      <x:c r="BZ504"/>
      <x:c r="CA504"/>
      <x:c r="CB504"/>
      <x:c r="CC504"/>
    </x:row>
    <x:row r="505" ht="115" customHeight="1">
      <x:c r="A505" s="4" t="str">
        <x:v>proposal.lore.chitin_binder_residue</x:v>
      </x:c>
      <x:c r="B505" s="4" t="str">
        <x:v>Concentrated chitin binder residue</x:v>
      </x:c>
      <x:c r="C505" s="4" t="str">
        <x:v>T2</x:v>
      </x:c>
      <x:c r="D505" s="4" t="inlineStr">
        <x:is>
          <x:t xml:space="preserve">Crafting components</x:t>
        </x:is>
      </x:c>
      <x:c r="E505" s="4" t="str">
        <x:v>Lore-informed stock / fitted part</x:v>
      </x:c>
      <x:c r="F505" s="4" t="str">
        <x:v>New proposal</x:v>
      </x:c>
      <x:c r="G505" s="4" t="str">
        <x:v>Intended use: binding and construction. Recover and concentrate a candidate binding residue during shell treatment; no free-water bath or guaranteed yield. A byproduct route is not a second free output.</x:v>
      </x:c>
      <x:c r="H505" s="4" t="str">
        <x:v>None</x:v>
      </x:c>
      <x:c r="I505" s="4" t="str">
        <x:v>Contained or dry segregated feed; contamination and compatibility unresolved</x:v>
      </x:c>
      <x:c r="J505" s="4"/>
      <x:c r="K505" s="4"/>
      <x:c r="L505" s="4" t="str">
        <x:v>Prepare from linked candidate inputs</x:v>
      </x:c>
      <x:c r="M505" s="4" t="str">
        <x:v>Recover and concentrate a candidate binding residue during shell treatment; no free-water bath or guaranteed yield. A byproduct route is not a second free output.</x:v>
      </x:c>
      <x:c r="N505" s="4" t="str">
        <x:v>Not implemented</x:v>
      </x:c>
      <x:c r="O505" s="4" t="str">
        <x:v>New game proposal from proposal-stage lore. Quantities, yields, tools, process conditions and performance remain open. No free environmental liquid or ordinary cloth.</x:v>
      </x:c>
      <x:c r="P505" s="4"/>
      <x:c r="Q505" s="4"/>
      <x:c r="R505" s="4"/>
      <x:c r="S505" s="4"/>
      <x:c r="T505" s="4"/>
      <x:c r="U505" s="4" t="str">
        <x:v>Source status does not establish game canon. Industrial Phagia fractions are separate from human food; ancient recovery does not imply reproduction.</x:v>
      </x:c>
      <x:c r="V505" s="4" t="str">
        <x:v>concentrated chitin binder residue; binding and construction; t2</x:v>
      </x:c>
      <x:c r="W505"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5" s="4" t="str">
        <x:v>Chemical material</x:v>
      </x:c>
      <x:c r="Y505" s="4" t="str">
        <x:v>Processed intermediate</x:v>
      </x:c>
      <x:c r="Z505" s="4" t="str">
        <x:v>Manufactured / unresolved</x:v>
      </x:c>
      <x:c r="AA505" s="4" t="str">
        <x:v>Binding and construction</x:v>
      </x:c>
      <x:c r="AB505" s="4" t="str">
        <x:v>Biological chemical</x:v>
      </x:c>
      <x:c r="AC505" s="4" t="str">
        <x:v>Unresolved</x:v>
      </x:c>
      <x:c r="AD505" s="4" t="str">
        <x:v>Proposal</x:v>
      </x:c>
      <x:c r="AE505" s="4" t="str">
        <x:f>LOWER(A505&amp;"; "&amp;B505&amp;"; "&amp;D505&amp;"; "&amp;E505&amp;"; "&amp;X505&amp;"; "&amp;Y505&amp;"; "&amp;Z505&amp;"; "&amp;AA505&amp;"; "&amp;AB505&amp;"; "&amp;AC505&amp;"; "&amp;AD505&amp;"; "&amp;V505&amp;"; "&amp;C505&amp;"; "&amp;AH505&amp;"; "&amp;AI505)</x:f>
        <x:v>proposal.lore.chitin_binder_residue; concentrated chitin binder residue; crafting components; lore-informed stock / fitted part; chemical material; processed intermediate; manufactured / unresolved; binding and construction; biological chemical; unresolved; proposal; concentrated chitin binder residue; binding and construction; t2; t2; not applicable; material</x:v>
      </x:c>
      <x:c r="AF505"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5" s="4" t="str">
        <x:v>Proposed T2 within selected partial routes; source age/depth is not a tier.</x:v>
      </x:c>
      <x:c r="AH505" s="4" t="str">
        <x:v>Not applicable</x:v>
      </x:c>
      <x:c r="AI505" s="4" t="str">
        <x:v>Material</x:v>
      </x:c>
      <x:c r="AJ505" s="4" t="n">
        <x:f>COUNTIFS('Material routes'!$D$6:$D$2205,A505,'Material routes'!$C$6:$C$2205,"Output")</x:f>
        <x:v>1</x:v>
      </x:c>
      <x:c r="AK505" s="4" t="n">
        <x:f>SUM(COUNTIFS('Material routes'!$D$6:$D$2205,A505,'Material routes'!$C$6:$C$2205,"Ingredient candidate"),COUNTIFS('Material routes'!$D$6:$D$2205,A505,'Material routes'!$C$6:$C$2205,"Consumed input"),COUNTIFS('Material routes'!$D$6:$D$2205,A505,'Material routes'!$C$6:$C$2205,"Contained input"),COUNTIFS('Material routes'!$D$6:$D$2205,A505,'Material routes'!$C$6:$C$2205,"Transform input"))</x:f>
        <x:v>1</x:v>
      </x:c>
      <x:c r="AL505" s="4" t="n">
        <x:f>COUNTIFS('Material routes'!$D$6:$D$2205,A505,'Material routes'!$C$6:$C$2205,"Tool candidate")</x:f>
        <x:v>0</x:v>
      </x:c>
      <x:c r="AM505" s="4" t="str">
        <x:f>IF(AJ505&gt;0,"Route listed; review status/completeness",IF(C505="T0","Raw entry feed; no production route","No production route listed"))</x:f>
        <x:v>Route listed; review status/completeness</x:v>
      </x:c>
      <x:c r="AN505" s="4" t="n">
        <x:f>IF(C505="T0",0,IF(C505="T1",1,IF(C505="T2",2,IF(C505="T3",3,IF(C505="T4",4,IF(C505="Unassigned",98,99))))))</x:f>
        <x:v>2</x:v>
      </x:c>
      <x:c r="AZ505"/>
      <x:c r="BA505"/>
      <x:c r="BB505"/>
      <x:c r="BC505"/>
      <x:c r="BD505"/>
      <x:c r="BE505"/>
      <x:c r="BF505"/>
      <x:c r="BG505"/>
      <x:c r="BH505"/>
      <x:c r="BI505"/>
      <x:c r="BJ505"/>
      <x:c r="BK505"/>
      <x:c r="BL505"/>
      <x:c r="BM505"/>
      <x:c r="BN505"/>
      <x:c r="BO505"/>
      <x:c r="BP505"/>
      <x:c r="BQ505"/>
      <x:c r="BR505"/>
      <x:c r="BS505"/>
      <x:c r="BT505"/>
      <x:c r="BU505"/>
      <x:c r="BV505"/>
      <x:c r="BW505"/>
      <x:c r="BX505"/>
      <x:c r="BY505"/>
      <x:c r="BZ505"/>
      <x:c r="CA505"/>
      <x:c r="CB505"/>
      <x:c r="CC505"/>
    </x:row>
    <x:row r="506" ht="115" customHeight="1">
      <x:c r="A506" s="4" t="str">
        <x:v>proposal.lore.membrane_bond</x:v>
      </x:c>
      <x:c r="B506" s="4" t="str">
        <x:v>Rendered membrane bonding stock</x:v>
      </x:c>
      <x:c r="C506" s="4" t="str">
        <x:v>T1</x:v>
      </x:c>
      <x:c r="D506" s="4" t="inlineStr">
        <x:is>
          <x:t xml:space="preserve">Crafting components</x:t>
        </x:is>
      </x:c>
      <x:c r="E506" s="4" t="str">
        <x:v>Lore-informed stock / fitted part</x:v>
      </x:c>
      <x:c r="F506" s="4" t="str">
        <x:v>New proposal</x:v>
      </x:c>
      <x:c r="G506" s="4" t="str">
        <x:v>Intended use: binding and construction. Explore contained thermal conditioning of selected membrane material into a mineral-bonding feed; temperature, medium and chemical behavior remain unresolved.</x:v>
      </x:c>
      <x:c r="H506" s="4" t="str">
        <x:v>None</x:v>
      </x:c>
      <x:c r="I506" s="4" t="str">
        <x:v>Contained or dry segregated feed; contamination and compatibility unresolved</x:v>
      </x:c>
      <x:c r="J506" s="4"/>
      <x:c r="K506" s="4"/>
      <x:c r="L506" s="4" t="str">
        <x:v>Prepare from linked candidate inputs</x:v>
      </x:c>
      <x:c r="M506" s="4" t="str">
        <x:v>Explore contained thermal conditioning of selected membrane material into a mineral-bonding feed; temperature, medium and chemical behavior remain unresolved.</x:v>
      </x:c>
      <x:c r="N506" s="4" t="str">
        <x:v>Not implemented</x:v>
      </x:c>
      <x:c r="O506" s="4" t="str">
        <x:v>New game proposal from proposal-stage lore. Quantities, yields, tools, process conditions and performance remain open. No free environmental liquid or ordinary cloth.</x:v>
      </x:c>
      <x:c r="P506" s="4"/>
      <x:c r="Q506" s="4"/>
      <x:c r="R506" s="4"/>
      <x:c r="S506" s="4"/>
      <x:c r="T506" s="4"/>
      <x:c r="U506" s="4" t="str">
        <x:v>Source status does not establish game canon. Industrial Phagia fractions are separate from human food; ancient recovery does not imply reproduction.</x:v>
      </x:c>
      <x:c r="V506" s="4" t="str">
        <x:v>rendered membrane bonding stock; binding and construction; t1</x:v>
      </x:c>
      <x:c r="W506"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6" s="4" t="str">
        <x:v>Chemical material</x:v>
      </x:c>
      <x:c r="Y506" s="4" t="str">
        <x:v>Processed intermediate</x:v>
      </x:c>
      <x:c r="Z506" s="4" t="str">
        <x:v>Manufactured / unresolved</x:v>
      </x:c>
      <x:c r="AA506" s="4" t="str">
        <x:v>Binding and construction</x:v>
      </x:c>
      <x:c r="AB506" s="4" t="str">
        <x:v>Biological chemical</x:v>
      </x:c>
      <x:c r="AC506" s="4" t="str">
        <x:v>Unresolved</x:v>
      </x:c>
      <x:c r="AD506" s="4" t="str">
        <x:v>Proposal</x:v>
      </x:c>
      <x:c r="AE506" s="4" t="str">
        <x:f>LOWER(A506&amp;"; "&amp;B506&amp;"; "&amp;D506&amp;"; "&amp;E506&amp;"; "&amp;X506&amp;"; "&amp;Y506&amp;"; "&amp;Z506&amp;"; "&amp;AA506&amp;"; "&amp;AB506&amp;"; "&amp;AC506&amp;"; "&amp;AD506&amp;"; "&amp;V506&amp;"; "&amp;C506&amp;"; "&amp;AH506&amp;"; "&amp;AI506)</x:f>
        <x:v>proposal.lore.membrane_bond; rendered membrane bonding stock; crafting components; lore-informed stock / fitted part; chemical material; processed intermediate; manufactured / unresolved; binding and construction; biological chemical; unresolved; proposal; rendered membrane bonding stock; binding and construction; t1; t1; not applicable; material</x:v>
      </x:c>
      <x:c r="AF506"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6" s="4" t="str">
        <x:v>Proposed T1 within selected partial routes; source age/depth is not a tier.</x:v>
      </x:c>
      <x:c r="AH506" s="4" t="str">
        <x:v>Not applicable</x:v>
      </x:c>
      <x:c r="AI506" s="4" t="str">
        <x:v>Material</x:v>
      </x:c>
      <x:c r="AJ506" s="4" t="n">
        <x:f>COUNTIFS('Material routes'!$D$6:$D$2205,A506,'Material routes'!$C$6:$C$2205,"Output")</x:f>
        <x:v>1</x:v>
      </x:c>
      <x:c r="AK506" s="4" t="n">
        <x:f>SUM(COUNTIFS('Material routes'!$D$6:$D$2205,A506,'Material routes'!$C$6:$C$2205,"Ingredient candidate"),COUNTIFS('Material routes'!$D$6:$D$2205,A506,'Material routes'!$C$6:$C$2205,"Consumed input"),COUNTIFS('Material routes'!$D$6:$D$2205,A506,'Material routes'!$C$6:$C$2205,"Contained input"),COUNTIFS('Material routes'!$D$6:$D$2205,A506,'Material routes'!$C$6:$C$2205,"Transform input"))</x:f>
        <x:v>0</x:v>
      </x:c>
      <x:c r="AL506" s="4" t="n">
        <x:f>COUNTIFS('Material routes'!$D$6:$D$2205,A506,'Material routes'!$C$6:$C$2205,"Tool candidate")</x:f>
        <x:v>0</x:v>
      </x:c>
      <x:c r="AM506" s="4" t="str">
        <x:f>IF(AJ506&gt;0,"Route listed; review status/completeness",IF(C506="T0","Raw entry feed; no production route","No production route listed"))</x:f>
        <x:v>Route listed; review status/completeness</x:v>
      </x:c>
      <x:c r="AN506" s="4" t="n">
        <x:f>IF(C506="T0",0,IF(C506="T1",1,IF(C506="T2",2,IF(C506="T3",3,IF(C506="T4",4,IF(C506="Unassigned",98,99))))))</x:f>
        <x:v>1</x:v>
      </x:c>
      <x:c r="AZ506"/>
      <x:c r="BA506"/>
      <x:c r="BB506"/>
      <x:c r="BC506"/>
      <x:c r="BD506"/>
      <x:c r="BE506"/>
      <x:c r="BF506"/>
      <x:c r="BG506"/>
      <x:c r="BH506"/>
      <x:c r="BI506"/>
      <x:c r="BJ506"/>
      <x:c r="BK506"/>
      <x:c r="BL506"/>
      <x:c r="BM506"/>
      <x:c r="BN506"/>
      <x:c r="BO506"/>
      <x:c r="BP506"/>
      <x:c r="BQ506"/>
      <x:c r="BR506"/>
      <x:c r="BS506"/>
      <x:c r="BT506"/>
      <x:c r="BU506"/>
      <x:c r="BV506"/>
      <x:c r="BW506"/>
      <x:c r="BX506"/>
      <x:c r="BY506"/>
      <x:c r="BZ506"/>
      <x:c r="CA506"/>
      <x:c r="CB506"/>
      <x:c r="CC506"/>
    </x:row>
    <x:row r="507" ht="115" customHeight="1">
      <x:c r="A507" s="4" t="str">
        <x:v>proposal.lore.ichor_sediment</x:v>
      </x:c>
      <x:c r="B507" s="4" t="str">
        <x:v>Separated ichor mineral sediment</x:v>
      </x:c>
      <x:c r="C507" s="4" t="str">
        <x:v>T1</x:v>
      </x:c>
      <x:c r="D507" s="4" t="inlineStr">
        <x:is>
          <x:t xml:space="preserve">Crafting components</x:t>
        </x:is>
      </x:c>
      <x:c r="E507" s="4" t="str">
        <x:v>Lore-informed stock / fitted part</x:v>
      </x:c>
      <x:c r="F507" s="4" t="str">
        <x:v>New proposal</x:v>
      </x:c>
      <x:c r="G507" s="4" t="str">
        <x:v>Intended use: chemical processing. Separate a mineral-bearing fraction inside a closed vessel; toxic residues and composition vary by species.</x:v>
      </x:c>
      <x:c r="H507" s="4" t="str">
        <x:v>None</x:v>
      </x:c>
      <x:c r="I507" s="4" t="str">
        <x:v>Contained or dry segregated feed; contamination and compatibility unresolved</x:v>
      </x:c>
      <x:c r="J507" s="4"/>
      <x:c r="K507" s="4"/>
      <x:c r="L507" s="4" t="str">
        <x:v>Prepare from linked candidate inputs</x:v>
      </x:c>
      <x:c r="M507" s="4" t="str">
        <x:v>Separate a mineral-bearing fraction inside a closed vessel; toxic residues and composition vary by species.</x:v>
      </x:c>
      <x:c r="N507" s="4" t="str">
        <x:v>Not implemented</x:v>
      </x:c>
      <x:c r="O507" s="4" t="str">
        <x:v>New game proposal from proposal-stage lore. Quantities, yields, tools, process conditions and performance remain open. No free environmental liquid or ordinary cloth.</x:v>
      </x:c>
      <x:c r="P507" s="4"/>
      <x:c r="Q507" s="4"/>
      <x:c r="R507" s="4"/>
      <x:c r="S507" s="4"/>
      <x:c r="T507" s="4"/>
      <x:c r="U507" s="4" t="str">
        <x:v>Source status does not establish game canon. Industrial Phagia fractions are separate from human food; ancient recovery does not imply reproduction.</x:v>
      </x:c>
      <x:c r="V507" s="4" t="str">
        <x:v>separated ichor mineral sediment; chemical processing; t1</x:v>
      </x:c>
      <x:c r="W507"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7" s="4" t="str">
        <x:v>Chemical material</x:v>
      </x:c>
      <x:c r="Y507" s="4" t="str">
        <x:v>Processed intermediate</x:v>
      </x:c>
      <x:c r="Z507" s="4" t="str">
        <x:v>Manufactured / unresolved</x:v>
      </x:c>
      <x:c r="AA507" s="4" t="str">
        <x:v>Chemical processing</x:v>
      </x:c>
      <x:c r="AB507" s="4" t="str">
        <x:v>Biological and mineral mixture</x:v>
      </x:c>
      <x:c r="AC507" s="4" t="str">
        <x:v>Particles</x:v>
      </x:c>
      <x:c r="AD507" s="4" t="str">
        <x:v>Proposal</x:v>
      </x:c>
      <x:c r="AE507" s="4" t="str">
        <x:f>LOWER(A507&amp;"; "&amp;B507&amp;"; "&amp;D507&amp;"; "&amp;E507&amp;"; "&amp;X507&amp;"; "&amp;Y507&amp;"; "&amp;Z507&amp;"; "&amp;AA507&amp;"; "&amp;AB507&amp;"; "&amp;AC507&amp;"; "&amp;AD507&amp;"; "&amp;V507&amp;"; "&amp;C507&amp;"; "&amp;AH507&amp;"; "&amp;AI507)</x:f>
        <x:v>proposal.lore.ichor_sediment; separated ichor mineral sediment; crafting components; lore-informed stock / fitted part; chemical material; processed intermediate; manufactured / unresolved; chemical processing; biological and mineral mixture; particles; proposal; separated ichor mineral sediment; chemical processing; t1; t1; not applicable; material</x:v>
      </x:c>
      <x:c r="AF507"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7" s="4" t="str">
        <x:v>Proposed T1 within selected partial routes; source age/depth is not a tier.</x:v>
      </x:c>
      <x:c r="AH507" s="4" t="str">
        <x:v>Not applicable</x:v>
      </x:c>
      <x:c r="AI507" s="4" t="str">
        <x:v>Material</x:v>
      </x:c>
      <x:c r="AJ507" s="4" t="n">
        <x:f>COUNTIFS('Material routes'!$D$6:$D$2205,A507,'Material routes'!$C$6:$C$2205,"Output")</x:f>
        <x:v>1</x:v>
      </x:c>
      <x:c r="AK507" s="4" t="n">
        <x:f>SUM(COUNTIFS('Material routes'!$D$6:$D$2205,A507,'Material routes'!$C$6:$C$2205,"Ingredient candidate"),COUNTIFS('Material routes'!$D$6:$D$2205,A507,'Material routes'!$C$6:$C$2205,"Consumed input"),COUNTIFS('Material routes'!$D$6:$D$2205,A507,'Material routes'!$C$6:$C$2205,"Contained input"),COUNTIFS('Material routes'!$D$6:$D$2205,A507,'Material routes'!$C$6:$C$2205,"Transform input"))</x:f>
        <x:v>0</x:v>
      </x:c>
      <x:c r="AL507" s="4" t="n">
        <x:f>COUNTIFS('Material routes'!$D$6:$D$2205,A507,'Material routes'!$C$6:$C$2205,"Tool candidate")</x:f>
        <x:v>0</x:v>
      </x:c>
      <x:c r="AM507" s="4" t="str">
        <x:f>IF(AJ507&gt;0,"Route listed; review status/completeness",IF(C507="T0","Raw entry feed; no production route","No production route listed"))</x:f>
        <x:v>Route listed; review status/completeness</x:v>
      </x:c>
      <x:c r="AN507" s="4" t="n">
        <x:f>IF(C507="T0",0,IF(C507="T1",1,IF(C507="T2",2,IF(C507="T3",3,IF(C507="T4",4,IF(C507="Unassigned",98,99))))))</x:f>
        <x:v>1</x:v>
      </x:c>
      <x:c r="AZ507"/>
      <x:c r="BA507"/>
      <x:c r="BB507"/>
      <x:c r="BC507"/>
      <x:c r="BD507"/>
      <x:c r="BE507"/>
      <x:c r="BF507"/>
      <x:c r="BG507"/>
      <x:c r="BH507"/>
      <x:c r="BI507"/>
      <x:c r="BJ507"/>
      <x:c r="BK507"/>
      <x:c r="BL507"/>
      <x:c r="BM507"/>
      <x:c r="BN507"/>
      <x:c r="BO507"/>
      <x:c r="BP507"/>
      <x:c r="BQ507"/>
      <x:c r="BR507"/>
      <x:c r="BS507"/>
      <x:c r="BT507"/>
      <x:c r="BU507"/>
      <x:c r="BV507"/>
      <x:c r="BW507"/>
      <x:c r="BX507"/>
      <x:c r="BY507"/>
      <x:c r="BZ507"/>
      <x:c r="CA507"/>
      <x:c r="CB507"/>
      <x:c r="CC507"/>
    </x:row>
    <x:row r="508" ht="115" customHeight="1">
      <x:c r="A508" s="4" t="str">
        <x:v>proposal.lore.electroactive_bundle</x:v>
      </x:c>
      <x:c r="B508" s="4" t="str">
        <x:v>Harvested electroactive fiber bundles</x:v>
      </x:c>
      <x:c r="C508" s="4" t="str">
        <x:v>T0</x:v>
      </x:c>
      <x:c r="D508" s="4" t="str">
        <x:v>Biological resources</x:v>
      </x:c>
      <x:c r="E508" s="4" t="str">
        <x:v>Lore-informed stock / fitted part</x:v>
      </x:c>
      <x:c r="F508" s="4" t="str">
        <x:v>New proposal</x:v>
      </x:c>
      <x:c r="G508" s="4" t="str">
        <x:v>Intended use: binding and construction. Selected harvested living-tissue feed; not mechanical cable and not proof of usable artificial muscle.</x:v>
      </x:c>
      <x:c r="H508" s="4" t="str">
        <x:v>None</x:v>
      </x:c>
      <x:c r="I508" s="4" t="str">
        <x:v>Contained or dry segregated feed; contamination and compatibility unresolved</x:v>
      </x:c>
      <x:c r="J508" s="4"/>
      <x:c r="K508" s="4"/>
      <x:c r="L508" s="4" t="str">
        <x:v>Gather/extract the identified source proposal; handling and yield unresolved</x:v>
      </x:c>
      <x:c r="M508" s="4" t="str">
        <x:v>Selected harvested living-tissue feed; not mechanical cable and not proof of usable artificial muscle.</x:v>
      </x:c>
      <x:c r="N508" s="4" t="str">
        <x:v>Not implemented</x:v>
      </x:c>
      <x:c r="O508" s="4" t="str">
        <x:v>New game proposal from proposal-stage lore. Quantities, yields, tools, process conditions and performance remain open. No free environmental liquid or ordinary cloth.</x:v>
      </x:c>
      <x:c r="P508" s="4"/>
      <x:c r="Q508" s="4"/>
      <x:c r="R508" s="4"/>
      <x:c r="S508" s="4"/>
      <x:c r="T508" s="4"/>
      <x:c r="U508" s="4" t="str">
        <x:v>Source status does not establish game canon. Industrial Phagia fractions are separate from human food; ancient recovery does not imply reproduction.</x:v>
      </x:c>
      <x:c r="V508" s="4" t="str">
        <x:v>harvested electroactive fiber bundles; binding and construction; t0</x:v>
      </x:c>
      <x:c r="W508"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8" s="4" t="str">
        <x:v>Raw material</x:v>
      </x:c>
      <x:c r="Y508" s="4" t="str">
        <x:v>Raw</x:v>
      </x:c>
      <x:c r="Z508" s="4" t="str">
        <x:v>Fauna</x:v>
      </x:c>
      <x:c r="AA508" s="4" t="str">
        <x:v>Binding and construction</x:v>
      </x:c>
      <x:c r="AB508" s="4" t="str">
        <x:v>Faunal tissue</x:v>
      </x:c>
      <x:c r="AC508" s="4" t="str">
        <x:v>Bundle</x:v>
      </x:c>
      <x:c r="AD508" s="4" t="str">
        <x:v>Proposal</x:v>
      </x:c>
      <x:c r="AE508" s="4" t="str">
        <x:f>LOWER(A508&amp;"; "&amp;B508&amp;"; "&amp;D508&amp;"; "&amp;E508&amp;"; "&amp;X508&amp;"; "&amp;Y508&amp;"; "&amp;Z508&amp;"; "&amp;AA508&amp;"; "&amp;AB508&amp;"; "&amp;AC508&amp;"; "&amp;AD508&amp;"; "&amp;V508&amp;"; "&amp;C508&amp;"; "&amp;AH508&amp;"; "&amp;AI508)</x:f>
        <x:v>proposal.lore.electroactive_bundle; harvested electroactive fiber bundles; biological resources; lore-informed stock / fitted part; raw material; raw; fauna; binding and construction; faunal tissue; bundle; proposal; harvested electroactive fiber bundles; binding and construction; t0; t0; not applicable; material</x:v>
      </x:c>
      <x:c r="AF508" s="4" t="str">
        <x:v>New source-informed working item; primary category follows the resource/processing/recovery split.</x:v>
      </x:c>
      <x:c r="AG508" s="4" t="str">
        <x:v>Proposed T0 within selected partial routes; source age/depth is not a tier.</x:v>
      </x:c>
      <x:c r="AH508" s="4" t="str">
        <x:v>Not applicable</x:v>
      </x:c>
      <x:c r="AI508" s="4" t="str">
        <x:v>Material</x:v>
      </x:c>
      <x:c r="AJ508" s="4" t="n">
        <x:f>COUNTIFS('Material routes'!$D$6:$D$2205,A508,'Material routes'!$C$6:$C$2205,"Output")</x:f>
        <x:v>0</x:v>
      </x:c>
      <x:c r="AK508" s="4" t="n">
        <x:f>SUM(COUNTIFS('Material routes'!$D$6:$D$2205,A508,'Material routes'!$C$6:$C$2205,"Ingredient candidate"),COUNTIFS('Material routes'!$D$6:$D$2205,A508,'Material routes'!$C$6:$C$2205,"Consumed input"),COUNTIFS('Material routes'!$D$6:$D$2205,A508,'Material routes'!$C$6:$C$2205,"Contained input"),COUNTIFS('Material routes'!$D$6:$D$2205,A508,'Material routes'!$C$6:$C$2205,"Transform input"))</x:f>
        <x:v>1</x:v>
      </x:c>
      <x:c r="AL508" s="4" t="n">
        <x:f>COUNTIFS('Material routes'!$D$6:$D$2205,A508,'Material routes'!$C$6:$C$2205,"Tool candidate")</x:f>
        <x:v>0</x:v>
      </x:c>
      <x:c r="AM508" s="4" t="str">
        <x:f>IF(AJ508&gt;0,"Route listed; review status/completeness",IF(C508="T0","Raw entry feed; no production route","No production route listed"))</x:f>
        <x:v>Raw entry feed; no production route</x:v>
      </x:c>
      <x:c r="AN508" s="4" t="n">
        <x:f>IF(C508="T0",0,IF(C508="T1",1,IF(C508="T2",2,IF(C508="T3",3,IF(C508="T4",4,IF(C508="Unassigned",98,99))))))</x:f>
        <x:v>0</x:v>
      </x:c>
      <x:c r="AZ508"/>
      <x:c r="BA508"/>
      <x:c r="BB508"/>
      <x:c r="BC508"/>
      <x:c r="BD508"/>
      <x:c r="BE508"/>
      <x:c r="BF508"/>
      <x:c r="BG508"/>
      <x:c r="BH508"/>
      <x:c r="BI508"/>
      <x:c r="BJ508"/>
      <x:c r="BK508"/>
      <x:c r="BL508"/>
      <x:c r="BM508"/>
      <x:c r="BN508"/>
      <x:c r="BO508"/>
      <x:c r="BP508"/>
      <x:c r="BQ508"/>
      <x:c r="BR508"/>
      <x:c r="BS508"/>
      <x:c r="BT508"/>
      <x:c r="BU508"/>
      <x:c r="BV508"/>
      <x:c r="BW508"/>
      <x:c r="BX508"/>
      <x:c r="BY508"/>
      <x:c r="BZ508"/>
      <x:c r="CA508"/>
      <x:c r="CB508"/>
      <x:c r="CC508"/>
    </x:row>
    <x:row r="509" ht="115" customHeight="1">
      <x:c r="A509" s="4" t="str">
        <x:v>proposal.lore.dried_fiber</x:v>
      </x:c>
      <x:c r="B509" s="4" t="str">
        <x:v>Dried electroactive-fiber reinforcement stock</x:v>
      </x:c>
      <x:c r="C509" s="4" t="str">
        <x:v>T1</x:v>
      </x:c>
      <x:c r="D509" s="4" t="str">
        <x:v>Manufactured stock</x:v>
      </x:c>
      <x:c r="E509" s="4" t="str">
        <x:v>Lore-informed stock / fitted part</x:v>
      </x:c>
      <x:c r="F509" s="4" t="str">
        <x:v>New proposal</x:v>
      </x:c>
      <x:c r="G509" s="4" t="str">
        <x:v>Intended use: binding and construction. Explore conditioning for passive reinforcement; preserved motion or electrical activity is not assumed.</x:v>
      </x:c>
      <x:c r="H509" s="4" t="str">
        <x:v>None</x:v>
      </x:c>
      <x:c r="I509" s="4" t="str">
        <x:v>Workshop / cargo item; storage and fit unresolved</x:v>
      </x:c>
      <x:c r="J509" s="4"/>
      <x:c r="K509" s="4"/>
      <x:c r="L509" s="4" t="str">
        <x:v>Prepare from linked candidate inputs</x:v>
      </x:c>
      <x:c r="M509" s="4" t="str">
        <x:v>Explore conditioning for passive reinforcement; preserved motion or electrical activity is not assumed.</x:v>
      </x:c>
      <x:c r="N509" s="4" t="str">
        <x:v>Not implemented</x:v>
      </x:c>
      <x:c r="O509" s="4" t="str">
        <x:v>New game proposal from proposal-stage lore. Quantities, yields, tools, process conditions and performance remain open. No free environmental liquid or ordinary cloth.</x:v>
      </x:c>
      <x:c r="P509" s="4"/>
      <x:c r="Q509" s="4"/>
      <x:c r="R509" s="4"/>
      <x:c r="S509" s="4"/>
      <x:c r="T509" s="4"/>
      <x:c r="U509" s="4" t="str">
        <x:v>Source status does not establish game canon. Industrial Phagia fractions are separate from human food; ancient recovery does not imply reproduction.</x:v>
      </x:c>
      <x:c r="V509" s="4" t="str">
        <x:v>dried electroactive-fiber reinforcement stock; binding and construction; t1</x:v>
      </x:c>
      <x:c r="W509"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9" s="4" t="str">
        <x:v>Processed material</x:v>
      </x:c>
      <x:c r="Y509" s="4" t="str">
        <x:v>Processed intermediate</x:v>
      </x:c>
      <x:c r="Z509" s="4" t="str">
        <x:v>Manufactured / unresolved</x:v>
      </x:c>
      <x:c r="AA509" s="4" t="str">
        <x:v>Binding and construction</x:v>
      </x:c>
      <x:c r="AB509" s="4" t="str">
        <x:v>Faunal fiber</x:v>
      </x:c>
      <x:c r="AC509" s="4" t="str">
        <x:v>Bundle</x:v>
      </x:c>
      <x:c r="AD509" s="4" t="str">
        <x:v>Proposal</x:v>
      </x:c>
      <x:c r="AE509" s="4" t="str">
        <x:f>LOWER(A509&amp;"; "&amp;B509&amp;"; "&amp;D509&amp;"; "&amp;E509&amp;"; "&amp;X509&amp;"; "&amp;Y509&amp;"; "&amp;Z509&amp;"; "&amp;AA509&amp;"; "&amp;AB509&amp;"; "&amp;AC509&amp;"; "&amp;AD509&amp;"; "&amp;V509&amp;"; "&amp;C509&amp;"; "&amp;AH509&amp;"; "&amp;AI509)</x:f>
        <x:v>proposal.lore.dried_fiber; dried electroactive-fiber reinforcement stock; manufactured stock; lore-informed stock / fitted part; processed material; processed intermediate; manufactured / unresolved; binding and construction; faunal fiber; bundle; proposal; dried electroactive-fiber reinforcement stock; binding and construction; t1; t1; not applicable; material</x:v>
      </x:c>
      <x:c r="AF509" s="4" t="str">
        <x:v>New source-informed working item; primary category follows the resource/processing/recovery split.</x:v>
      </x:c>
      <x:c r="AG509" s="4" t="str">
        <x:v>Proposed T1 within selected partial routes; source age/depth is not a tier.</x:v>
      </x:c>
      <x:c r="AH509" s="4" t="str">
        <x:v>Not applicable</x:v>
      </x:c>
      <x:c r="AI509" s="4" t="str">
        <x:v>Material</x:v>
      </x:c>
      <x:c r="AJ509" s="4" t="n">
        <x:f>COUNTIFS('Material routes'!$D$6:$D$2205,A509,'Material routes'!$C$6:$C$2205,"Output")</x:f>
        <x:v>1</x:v>
      </x:c>
      <x:c r="AK509" s="4" t="n">
        <x:f>SUM(COUNTIFS('Material routes'!$D$6:$D$2205,A509,'Material routes'!$C$6:$C$2205,"Ingredient candidate"),COUNTIFS('Material routes'!$D$6:$D$2205,A509,'Material routes'!$C$6:$C$2205,"Consumed input"),COUNTIFS('Material routes'!$D$6:$D$2205,A509,'Material routes'!$C$6:$C$2205,"Contained input"),COUNTIFS('Material routes'!$D$6:$D$2205,A509,'Material routes'!$C$6:$C$2205,"Transform input"))</x:f>
        <x:v>0</x:v>
      </x:c>
      <x:c r="AL509" s="4" t="n">
        <x:f>COUNTIFS('Material routes'!$D$6:$D$2205,A509,'Material routes'!$C$6:$C$2205,"Tool candidate")</x:f>
        <x:v>0</x:v>
      </x:c>
      <x:c r="AM509" s="4" t="str">
        <x:f>IF(AJ509&gt;0,"Route listed; review status/completeness",IF(C509="T0","Raw entry feed; no production route","No production route listed"))</x:f>
        <x:v>Route listed; review status/completeness</x:v>
      </x:c>
      <x:c r="AN509" s="4" t="n">
        <x:f>IF(C509="T0",0,IF(C509="T1",1,IF(C509="T2",2,IF(C509="T3",3,IF(C509="T4",4,IF(C509="Unassigned",98,99))))))</x:f>
        <x:v>1</x:v>
      </x:c>
      <x:c r="AZ509"/>
      <x:c r="BA509"/>
      <x:c r="BB509"/>
      <x:c r="BC509"/>
      <x:c r="BD509"/>
      <x:c r="BE509"/>
      <x:c r="BF509"/>
      <x:c r="BG509"/>
      <x:c r="BH509"/>
      <x:c r="BI509"/>
      <x:c r="BJ509"/>
      <x:c r="BK509"/>
      <x:c r="BL509"/>
      <x:c r="BM509"/>
      <x:c r="BN509"/>
      <x:c r="BO509"/>
      <x:c r="BP509"/>
      <x:c r="BQ509"/>
      <x:c r="BR509"/>
      <x:c r="BS509"/>
      <x:c r="BT509"/>
      <x:c r="BU509"/>
      <x:c r="BV509"/>
      <x:c r="BW509"/>
      <x:c r="BX509"/>
      <x:c r="BY509"/>
      <x:c r="BZ509"/>
      <x:c r="CA509"/>
      <x:c r="CB509"/>
      <x:c r="CC509"/>
    </x:row>
    <x:row r="510" ht="115" customHeight="1">
      <x:c r="A510" s="4" t="str">
        <x:v>proposal.lore.feedstone_mix</x:v>
      </x:c>
      <x:c r="B510" s="4" t="str">
        <x:v>Graded domestic-beetle feedstone mix</x:v>
      </x:c>
      <x:c r="C510" s="4" t="str">
        <x:v>T2</x:v>
      </x:c>
      <x:c r="D510" s="4" t="str">
        <x:v>Manufactured stock</x:v>
      </x:c>
      <x:c r="E510" s="4" t="str">
        <x:v>Lore-informed stock / fitted part</x:v>
      </x:c>
      <x:c r="F510" s="4" t="str">
        <x:v>New proposal</x:v>
      </x:c>
      <x:c r="G510" s="4" t="str">
        <x:v>Intended use: animal husbandry. Blend a species- and lineage-specific mineral feed candidate; ratios, trace compounds and animal suitability remain open. Not human food.</x:v>
      </x:c>
      <x:c r="H510" s="4" t="str">
        <x:v>None</x:v>
      </x:c>
      <x:c r="I510" s="4" t="str">
        <x:v>Workshop / cargo item; storage and fit unresolved</x:v>
      </x:c>
      <x:c r="J510" s="4"/>
      <x:c r="K510" s="4"/>
      <x:c r="L510" s="4" t="str">
        <x:v>Prepare from linked candidate inputs</x:v>
      </x:c>
      <x:c r="M510" s="4" t="str">
        <x:v>Blend a species- and lineage-specific mineral feed candidate; ratios, trace compounds and animal suitability remain open. Not human food.</x:v>
      </x:c>
      <x:c r="N510" s="4" t="str">
        <x:v>Not implemented</x:v>
      </x:c>
      <x:c r="O510" s="4" t="str">
        <x:v>New game proposal from proposal-stage lore. Quantities, yields, tools, process conditions and performance remain open. No free environmental liquid or ordinary cloth.</x:v>
      </x:c>
      <x:c r="P510" s="4"/>
      <x:c r="Q510" s="4"/>
      <x:c r="R510" s="4"/>
      <x:c r="S510" s="4"/>
      <x:c r="T510" s="4"/>
      <x:c r="U510" s="4" t="str">
        <x:v>Source status does not establish game canon. Industrial Phagia fractions are separate from human food; ancient recovery does not imply reproduction.</x:v>
      </x:c>
      <x:c r="V510" s="4" t="str">
        <x:v>graded domestic-beetle feedstone mix; animal husbandry; t2</x:v>
      </x:c>
      <x:c r="W51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0" s="4" t="str">
        <x:v>Processed material</x:v>
      </x:c>
      <x:c r="Y510" s="4" t="str">
        <x:v>Processed intermediate</x:v>
      </x:c>
      <x:c r="Z510" s="4" t="str">
        <x:v>Manufactured / unresolved</x:v>
      </x:c>
      <x:c r="AA510" s="4" t="str">
        <x:v>Animal husbandry</x:v>
      </x:c>
      <x:c r="AB510" s="4" t="str">
        <x:v>Mineral</x:v>
      </x:c>
      <x:c r="AC510" s="4" t="str">
        <x:v>Particles</x:v>
      </x:c>
      <x:c r="AD510" s="4" t="str">
        <x:v>Proposal</x:v>
      </x:c>
      <x:c r="AE510" s="4" t="str">
        <x:f>LOWER(A510&amp;"; "&amp;B510&amp;"; "&amp;D510&amp;"; "&amp;E510&amp;"; "&amp;X510&amp;"; "&amp;Y510&amp;"; "&amp;Z510&amp;"; "&amp;AA510&amp;"; "&amp;AB510&amp;"; "&amp;AC510&amp;"; "&amp;AD510&amp;"; "&amp;V510&amp;"; "&amp;C510&amp;"; "&amp;AH510&amp;"; "&amp;AI510)</x:f>
        <x:v>proposal.lore.feedstone_mix; graded domestic-beetle feedstone mix; manufactured stock; lore-informed stock / fitted part; processed material; processed intermediate; manufactured / unresolved; animal husbandry; mineral; particles; proposal; graded domestic-beetle feedstone mix; animal husbandry; t2; t2; not applicable; material</x:v>
      </x:c>
      <x:c r="AF510" s="4" t="str">
        <x:v>New source-informed working item; primary category follows the resource/processing/recovery split.</x:v>
      </x:c>
      <x:c r="AG510" s="4" t="str">
        <x:v>Proposed T2 within selected partial routes; source age/depth is not a tier.</x:v>
      </x:c>
      <x:c r="AH510" s="4" t="str">
        <x:v>Not applicable</x:v>
      </x:c>
      <x:c r="AI510" s="4" t="str">
        <x:v>Material</x:v>
      </x:c>
      <x:c r="AJ510" s="4" t="n">
        <x:f>COUNTIFS('Material routes'!$D$6:$D$2205,A510,'Material routes'!$C$6:$C$2205,"Output")</x:f>
        <x:v>1</x:v>
      </x:c>
      <x:c r="AK510" s="4" t="n">
        <x:f>SUM(COUNTIFS('Material routes'!$D$6:$D$2205,A510,'Material routes'!$C$6:$C$2205,"Ingredient candidate"),COUNTIFS('Material routes'!$D$6:$D$2205,A510,'Material routes'!$C$6:$C$2205,"Consumed input"),COUNTIFS('Material routes'!$D$6:$D$2205,A510,'Material routes'!$C$6:$C$2205,"Contained input"),COUNTIFS('Material routes'!$D$6:$D$2205,A510,'Material routes'!$C$6:$C$2205,"Transform input"))</x:f>
        <x:v>1</x:v>
      </x:c>
      <x:c r="AL510" s="4" t="n">
        <x:f>COUNTIFS('Material routes'!$D$6:$D$2205,A510,'Material routes'!$C$6:$C$2205,"Tool candidate")</x:f>
        <x:v>0</x:v>
      </x:c>
      <x:c r="AM510" s="4" t="str">
        <x:f>IF(AJ510&gt;0,"Route listed; review status/completeness",IF(C510="T0","Raw entry feed; no production route","No production route listed"))</x:f>
        <x:v>Route listed; review status/completeness</x:v>
      </x:c>
      <x:c r="AN510" s="4" t="n">
        <x:f>IF(C510="T0",0,IF(C510="T1",1,IF(C510="T2",2,IF(C510="T3",3,IF(C510="T4",4,IF(C510="Unassigned",98,99))))))</x:f>
        <x:v>2</x:v>
      </x:c>
      <x:c r="AZ510"/>
      <x:c r="BA510"/>
      <x:c r="BB510"/>
      <x:c r="BC510"/>
      <x:c r="BD510"/>
      <x:c r="BE510"/>
      <x:c r="BF510"/>
      <x:c r="BG510"/>
      <x:c r="BH510"/>
      <x:c r="BI510"/>
      <x:c r="BJ510"/>
      <x:c r="BK510"/>
      <x:c r="BL510"/>
      <x:c r="BM510"/>
      <x:c r="BN510"/>
      <x:c r="BO510"/>
      <x:c r="BP510"/>
      <x:c r="BQ510"/>
      <x:c r="BR510"/>
      <x:c r="BS510"/>
      <x:c r="BT510"/>
      <x:c r="BU510"/>
      <x:c r="BV510"/>
      <x:c r="BW510"/>
      <x:c r="BX510"/>
      <x:c r="BY510"/>
      <x:c r="BZ510"/>
      <x:c r="CA510"/>
      <x:c r="CB510"/>
      <x:c r="CC510"/>
    </x:row>
    <x:row r="511" ht="115" customHeight="1">
      <x:c r="A511" s="4"/>
      <x:c r="B511" s="4"/>
      <x:c r="C511" s="4"/>
      <x:c r="D511" s="4"/>
      <x:c r="E511" s="4"/>
      <x:c r="F511" s="4"/>
      <x:c r="G511" s="4"/>
      <x:c r="H511" s="4"/>
      <x:c r="I511" s="4"/>
      <x:c r="J511" s="4"/>
      <x:c r="M511" s="4"/>
      <x:c r="N511" s="4"/>
      <x:c r="O511" s="4"/>
      <x:c r="P511" s="4"/>
      <x:c r="V511" s="4"/>
      <x:c r="W511" s="4"/>
      <x:c r="X511" s="4"/>
      <x:c r="Y511" s="4"/>
      <x:c r="Z511" s="4"/>
      <x:c r="AA511" s="4"/>
      <x:c r="AB511" s="4"/>
      <x:c r="AC511" s="4"/>
      <x:c r="AD511" s="4"/>
      <x:c r="AE511" s="4"/>
      <x:c r="AF511" s="4"/>
      <x:c r="AG511" s="4"/>
      <x:c r="AH511" s="4"/>
      <x:c r="AI511" s="4"/>
      <x:c r="AJ511" s="4"/>
      <x:c r="AK511" s="4"/>
      <x:c r="AL511" s="4"/>
      <x:c r="AM511" s="4"/>
      <x:c r="AN511" s="4"/>
      <x:c r="AZ511"/>
      <x:c r="BA511"/>
      <x:c r="BB511"/>
      <x:c r="BC511"/>
      <x:c r="BD511"/>
      <x:c r="BE511"/>
      <x:c r="BF511"/>
      <x:c r="BG511"/>
      <x:c r="BH511"/>
      <x:c r="BI511"/>
      <x:c r="BJ511"/>
      <x:c r="BK511"/>
      <x:c r="BL511"/>
      <x:c r="BM511"/>
      <x:c r="BN511"/>
      <x:c r="BO511"/>
      <x:c r="BP511"/>
      <x:c r="BQ511"/>
      <x:c r="BR511"/>
      <x:c r="BS511"/>
      <x:c r="BT511"/>
      <x:c r="BU511"/>
      <x:c r="BV511"/>
      <x:c r="BW511"/>
      <x:c r="BX511"/>
      <x:c r="BY511"/>
      <x:c r="BZ511"/>
      <x:c r="CA511"/>
      <x:c r="CB511"/>
      <x:c r="CC511"/>
    </x:row>
    <x:row r="512" ht="115" customHeight="1">
      <x:c r="A512" s="4"/>
      <x:c r="B512" s="4"/>
      <x:c r="C512" s="4"/>
      <x:c r="D512" s="4"/>
      <x:c r="E512" s="4"/>
      <x:c r="F512" s="4"/>
      <x:c r="G512" s="4"/>
      <x:c r="H512" s="4"/>
      <x:c r="I512" s="4"/>
      <x:c r="J512" s="4"/>
      <x:c r="K512" s="4"/>
      <x:c r="L512" s="4"/>
      <x:c r="M512" s="4"/>
      <x:c r="N512" s="4"/>
      <x:c r="O512" s="4"/>
      <x:c r="P512" s="4"/>
      <x:c r="Q512" s="4"/>
      <x:c r="R512" s="4"/>
      <x:c r="S512" s="4"/>
      <x:c r="T512" s="4"/>
      <x:c r="U512" s="4"/>
      <x:c r="V512" s="4"/>
      <x:c r="W512" s="4"/>
      <x:c r="X512" s="4"/>
      <x:c r="Y512" s="4"/>
      <x:c r="Z512" s="4"/>
      <x:c r="AA512" s="4"/>
      <x:c r="AB512" s="4"/>
      <x:c r="AC512" s="4"/>
      <x:c r="AD512" s="4"/>
      <x:c r="AE512" s="4"/>
      <x:c r="AF512" s="4"/>
      <x:c r="AG512" s="4"/>
      <x:c r="AH512" s="4"/>
      <x:c r="AI512" s="4"/>
      <x:c r="AJ512" s="4"/>
      <x:c r="AK512" s="4"/>
      <x:c r="AL512" s="4"/>
      <x:c r="AM512" s="4"/>
      <x:c r="AN512" s="4"/>
      <x:c r="AZ512"/>
      <x:c r="BA512"/>
      <x:c r="BB512"/>
      <x:c r="BC512"/>
      <x:c r="BD512"/>
      <x:c r="BE512"/>
      <x:c r="BF512"/>
      <x:c r="BG512"/>
      <x:c r="BH512"/>
      <x:c r="BI512"/>
      <x:c r="BJ512"/>
      <x:c r="BK512"/>
      <x:c r="BL512"/>
      <x:c r="BM512"/>
      <x:c r="BN512"/>
      <x:c r="BO512"/>
      <x:c r="BP512"/>
      <x:c r="BQ512"/>
      <x:c r="BR512"/>
      <x:c r="BS512"/>
      <x:c r="BT512"/>
      <x:c r="BU512"/>
      <x:c r="BV512"/>
      <x:c r="BW512"/>
      <x:c r="BX512"/>
      <x:c r="BY512"/>
      <x:c r="BZ512"/>
      <x:c r="CA512"/>
      <x:c r="CB512"/>
      <x:c r="CC512"/>
    </x:row>
    <x:row r="513" ht="115" customHeight="1">
      <x:c r="A513" s="4" t="str">
        <x:v>proposal.lore.shell_scraper</x:v>
      </x:c>
      <x:c r="B513" s="4" t="str">
        <x:v>Domestic shell-trimming scraper</x:v>
      </x:c>
      <x:c r="C513" s="4" t="str">
        <x:v>Not applicable</x:v>
      </x:c>
      <x:c r="D513" s="4" t="inlineStr">
        <x:is>
          <x:t xml:space="preserve">Salvage</x:t>
        </x:is>
      </x:c>
      <x:c r="E513" s="4" t="str">
        <x:v>Lore-informed stock / fitted part</x:v>
      </x:c>
      <x:c r="F513" s="4" t="str">
        <x:v>New proposal</x:v>
      </x:c>
      <x:c r="G513" s="4" t="str">
        <x:v>Intended use: animal husbandry. Fit a jaw-derived insert and metal handle as a finished shell-care tool; handler knowledge and noninjurious use remain design questions.</x:v>
      </x:c>
      <x:c r="H513" s="4" t="str">
        <x:v>None</x:v>
      </x:c>
      <x:c r="I513" s="4" t="str">
        <x:v>Workshop / cargo item; storage and fit unresolved</x:v>
      </x:c>
      <x:c r="J513" s="4"/>
      <x:c r="K513" s="4"/>
      <x:c r="L513" s="4" t="str">
        <x:v>Prepare from linked candidate inputs</x:v>
      </x:c>
      <x:c r="M513" s="4" t="str">
        <x:v>Fit a jaw-derived insert and metal handle as a finished shell-care tool; handler knowledge and noninjurious use remain design questions.</x:v>
      </x:c>
      <x:c r="N513" s="4" t="str">
        <x:v>Not implemented</x:v>
      </x:c>
      <x:c r="O513" s="4" t="str">
        <x:v>New game proposal from proposal-stage lore. Quantities, yields, tools, process conditions and performance remain open. No free environmental liquid or ordinary cloth.</x:v>
      </x:c>
      <x:c r="P513" s="4"/>
      <x:c r="Q513" s="4"/>
      <x:c r="R513" s="4"/>
      <x:c r="S513" s="4"/>
      <x:c r="T513" s="4"/>
      <x:c r="U513" s="4" t="str">
        <x:v>Source status does not establish game canon. Industrial Phagia fractions are separate from human food; ancient recovery does not imply reproduction.</x:v>
      </x:c>
      <x:c r="V513" s="4" t="str">
        <x:v>domestic shell-trimming scraper; animal husbandry; not applicable</x:v>
      </x:c>
      <x:c r="W513"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3" s="4" t="str">
        <x:v>Tool</x:v>
      </x:c>
      <x:c r="Y513" s="4" t="str">
        <x:v>Finished item</x:v>
      </x:c>
      <x:c r="Z513" s="4" t="str">
        <x:v>Manufactured / unresolved</x:v>
      </x:c>
      <x:c r="AA513" s="4" t="str">
        <x:v>Animal husbandry</x:v>
      </x:c>
      <x:c r="AB513" s="4" t="str">
        <x:v>Mixed / unresolved</x:v>
      </x:c>
      <x:c r="AC513" s="4" t="str">
        <x:v>Solid part</x:v>
      </x:c>
      <x:c r="AD513" s="4" t="str">
        <x:v>Proposal</x:v>
      </x:c>
      <x:c r="AE513" s="4" t="str">
        <x:f>LOWER(A513&amp;"; "&amp;B513&amp;"; "&amp;D513&amp;"; "&amp;E513&amp;"; "&amp;X513&amp;"; "&amp;Y513&amp;"; "&amp;Z513&amp;"; "&amp;AA513&amp;"; "&amp;AB513&amp;"; "&amp;AC513&amp;"; "&amp;AD513&amp;"; "&amp;V513&amp;"; "&amp;C513&amp;"; "&amp;AH513&amp;"; "&amp;AI513)</x:f>
        <x:v>proposal.lore.shell_scraper; domestic shell-trimming scraper; salvage; lore-informed stock / fitted part; tool; finished item; manufactured / unresolved; animal husbandry; mixed / unresolved; solid part; proposal; domestic shell-trimming scraper; animal husbandry; not applicable; not applicable; t2; finished item</x:v>
      </x:c>
      <x:c r="AF513" s="4" t="inlineStr">
        <x:is>
          <x:t xml:space="preserve">New source-informed working item; primary category follows the resource/processing/recovery split. October 15 equipment split: Tools. Equipment actively used for harvesting, traversal, processing, fabrication or operating machinery; includes workshop fixtures and transport machines, not a portability claim.</x:t>
        </x:is>
      </x:c>
      <x:c r="AG513" s="4" t="str">
        <x:v>Finished endpoint; no material refinement tier.</x:v>
      </x:c>
      <x:c r="AH513" s="4" t="str">
        <x:v>T2</x:v>
      </x:c>
      <x:c r="AI513" s="4" t="str">
        <x:v>Finished item</x:v>
      </x:c>
      <x:c r="AJ513" s="4" t="n">
        <x:f>COUNTIFS('Material routes'!$D$6:$D$2205,A513,'Material routes'!$C$6:$C$2205,"Output")</x:f>
        <x:v>1</x:v>
      </x:c>
      <x:c r="AK513" s="4" t="n">
        <x:f>SUM(COUNTIFS('Material routes'!$D$6:$D$2205,A513,'Material routes'!$C$6:$C$2205,"Ingredient candidate"),COUNTIFS('Material routes'!$D$6:$D$2205,A513,'Material routes'!$C$6:$C$2205,"Consumed input"),COUNTIFS('Material routes'!$D$6:$D$2205,A513,'Material routes'!$C$6:$C$2205,"Contained input"),COUNTIFS('Material routes'!$D$6:$D$2205,A513,'Material routes'!$C$6:$C$2205,"Transform input"))</x:f>
        <x:v>0</x:v>
      </x:c>
      <x:c r="AL513" s="4" t="n">
        <x:f>COUNTIFS('Material routes'!$D$6:$D$2205,A513,'Material routes'!$C$6:$C$2205,"Tool candidate")</x:f>
        <x:v>0</x:v>
      </x:c>
      <x:c r="AM513" s="4" t="str">
        <x:f>IF(AJ513&gt;0,"Route listed; review status/completeness",IF(C513="T0","Raw entry feed; no production route","No production route listed"))</x:f>
        <x:v>Route listed; review status/completeness</x:v>
      </x:c>
      <x:c r="AN513" s="4" t="n">
        <x:f>IF(C513="T0",0,IF(C513="T1",1,IF(C513="T2",2,IF(C513="T3",3,IF(C513="T4",4,IF(C513="Unassigned",98,99))))))</x:f>
        <x:v>99</x:v>
      </x:c>
      <x:c r="AZ513"/>
      <x:c r="BA513"/>
      <x:c r="BB513"/>
      <x:c r="BC513"/>
      <x:c r="BD513"/>
      <x:c r="BE513"/>
      <x:c r="BF513"/>
      <x:c r="BG513"/>
      <x:c r="BH513"/>
      <x:c r="BI513"/>
      <x:c r="BJ513"/>
      <x:c r="BK513"/>
      <x:c r="BL513"/>
      <x:c r="BM513"/>
      <x:c r="BN513"/>
      <x:c r="BO513"/>
      <x:c r="BP513"/>
      <x:c r="BQ513"/>
      <x:c r="BR513"/>
      <x:c r="BS513"/>
      <x:c r="BT513"/>
      <x:c r="BU513"/>
      <x:c r="BV513"/>
      <x:c r="BW513"/>
      <x:c r="BX513"/>
      <x:c r="BY513"/>
      <x:c r="BZ513"/>
      <x:c r="CA513"/>
      <x:c r="CB513"/>
      <x:c r="CC513"/>
    </x:row>
    <x:row r="514" ht="115" customHeight="1">
      <x:c r="A514" s="4" t="str">
        <x:v>proposal.lore.iron_conductor</x:v>
      </x:c>
      <x:c r="B514" s="4" t="str">
        <x:v>Drawn iron conductor stock</x:v>
      </x:c>
      <x:c r="C514" s="4" t="str">
        <x:v>T2</x:v>
      </x:c>
      <x:c r="D514" s="4" t="str">
        <x:v>Manufactured stock</x:v>
      </x:c>
      <x:c r="E514" s="4" t="str">
        <x:v>Lore-informed stock / fitted part</x:v>
      </x:c>
      <x:c r="F514" s="4" t="str">
        <x:v>New proposal</x:v>
      </x:c>
      <x:c r="G514" s="4" t="str">
        <x:v>Intended use: electrical conduction. Prepare selected iron into conductor feed; intended for bulky practical systems. No current capacity or efficiency assigned.</x:v>
      </x:c>
      <x:c r="H514" s="4" t="str">
        <x:v>None</x:v>
      </x:c>
      <x:c r="I514" s="4" t="str">
        <x:v>Workshop / cargo item; storage and fit unresolved</x:v>
      </x:c>
      <x:c r="J514" s="4"/>
      <x:c r="K514" s="4"/>
      <x:c r="L514" s="4" t="str">
        <x:v>Prepare from linked candidate inputs</x:v>
      </x:c>
      <x:c r="M514" s="4" t="str">
        <x:v>Prepare selected iron into conductor feed; intended for bulky practical systems. No current capacity or efficiency assigned.</x:v>
      </x:c>
      <x:c r="N514" s="4" t="str">
        <x:v>Not implemented</x:v>
      </x:c>
      <x:c r="O514" s="4" t="str">
        <x:v>New game proposal from proposal-stage lore. Quantities, yields, tools, process conditions and performance remain open. No free environmental liquid or ordinary cloth.</x:v>
      </x:c>
      <x:c r="P514" s="4"/>
      <x:c r="Q514" s="4"/>
      <x:c r="R514" s="4"/>
      <x:c r="S514" s="4"/>
      <x:c r="T514" s="4"/>
      <x:c r="U514" s="4" t="str">
        <x:v>Source status does not establish game canon. Industrial Phagia fractions are separate from human food; ancient recovery does not imply reproduction.</x:v>
      </x:c>
      <x:c r="V514" s="4" t="str">
        <x:v>drawn iron conductor stock; electrical conduction; t2</x:v>
      </x:c>
      <x:c r="W51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4" s="4" t="str">
        <x:v>Processed material</x:v>
      </x:c>
      <x:c r="Y514" s="4" t="str">
        <x:v>Processed intermediate</x:v>
      </x:c>
      <x:c r="Z514" s="4" t="str">
        <x:v>Manufactured / unresolved</x:v>
      </x:c>
      <x:c r="AA514" s="4" t="str">
        <x:v>Electrical conduction</x:v>
      </x:c>
      <x:c r="AB514" s="4" t="str">
        <x:v>Metal</x:v>
      </x:c>
      <x:c r="AC514" s="4" t="str">
        <x:v>Cord</x:v>
      </x:c>
      <x:c r="AD514" s="4" t="str">
        <x:v>Proposal</x:v>
      </x:c>
      <x:c r="AE514" s="4" t="str">
        <x:f>LOWER(A514&amp;"; "&amp;B514&amp;"; "&amp;D514&amp;"; "&amp;E514&amp;"; "&amp;X514&amp;"; "&amp;Y514&amp;"; "&amp;Z514&amp;"; "&amp;AA514&amp;"; "&amp;AB514&amp;"; "&amp;AC514&amp;"; "&amp;AD514&amp;"; "&amp;V514&amp;"; "&amp;C514&amp;"; "&amp;AH514&amp;"; "&amp;AI514)</x:f>
        <x:v>proposal.lore.iron_conductor; drawn iron conductor stock; manufactured stock; lore-informed stock / fitted part; processed material; processed intermediate; manufactured / unresolved; electrical conduction; metal; cord; proposal; drawn iron conductor stock; electrical conduction; t2; t2; not applicable; material</x:v>
      </x:c>
      <x:c r="AF514" s="4" t="str">
        <x:v>New source-informed working item; primary category follows the resource/processing/recovery split.</x:v>
      </x:c>
      <x:c r="AG514" s="4" t="str">
        <x:v>Proposed T2 within selected partial routes; source age/depth is not a tier.</x:v>
      </x:c>
      <x:c r="AH514" s="4" t="str">
        <x:v>Not applicable</x:v>
      </x:c>
      <x:c r="AI514" s="4" t="str">
        <x:v>Material</x:v>
      </x:c>
      <x:c r="AJ514" s="4" t="n">
        <x:f>COUNTIFS('Material routes'!$D$6:$D$2205,A514,'Material routes'!$C$6:$C$2205,"Output")</x:f>
        <x:v>1</x:v>
      </x:c>
      <x:c r="AK514" s="4" t="n">
        <x:f>SUM(COUNTIFS('Material routes'!$D$6:$D$2205,A514,'Material routes'!$C$6:$C$2205,"Ingredient candidate"),COUNTIFS('Material routes'!$D$6:$D$2205,A514,'Material routes'!$C$6:$C$2205,"Consumed input"),COUNTIFS('Material routes'!$D$6:$D$2205,A514,'Material routes'!$C$6:$C$2205,"Contained input"),COUNTIFS('Material routes'!$D$6:$D$2205,A514,'Material routes'!$C$6:$C$2205,"Transform input"))</x:f>
        <x:v>5</x:v>
      </x:c>
      <x:c r="AL514" s="4" t="n">
        <x:f>COUNTIFS('Material routes'!$D$6:$D$2205,A514,'Material routes'!$C$6:$C$2205,"Tool candidate")</x:f>
        <x:v>0</x:v>
      </x:c>
      <x:c r="AM514" s="4" t="str">
        <x:f>IF(AJ514&gt;0,"Route listed; review status/completeness",IF(C514="T0","Raw entry feed; no production route","No production route listed"))</x:f>
        <x:v>Route listed; review status/completeness</x:v>
      </x:c>
      <x:c r="AN514" s="4" t="n">
        <x:f>IF(C514="T0",0,IF(C514="T1",1,IF(C514="T2",2,IF(C514="T3",3,IF(C514="T4",4,IF(C514="Unassigned",98,99))))))</x:f>
        <x:v>2</x:v>
      </x:c>
      <x:c r="AZ514"/>
      <x:c r="BA514"/>
      <x:c r="BB514"/>
      <x:c r="BC514"/>
      <x:c r="BD514"/>
      <x:c r="BE514"/>
      <x:c r="BF514"/>
      <x:c r="BG514"/>
      <x:c r="BH514"/>
      <x:c r="BI514"/>
      <x:c r="BJ514"/>
      <x:c r="BK514"/>
      <x:c r="BL514"/>
      <x:c r="BM514"/>
      <x:c r="BN514"/>
      <x:c r="BO514"/>
      <x:c r="BP514"/>
      <x:c r="BQ514"/>
      <x:c r="BR514"/>
      <x:c r="BS514"/>
      <x:c r="BT514"/>
      <x:c r="BU514"/>
      <x:c r="BV514"/>
      <x:c r="BW514"/>
      <x:c r="BX514"/>
      <x:c r="BY514"/>
      <x:c r="BZ514"/>
      <x:c r="CA514"/>
      <x:c r="CB514"/>
      <x:c r="CC514"/>
    </x:row>
    <x:row r="515" ht="115" customHeight="1">
      <x:c r="A515" s="4" t="str">
        <x:v>proposal.lore.iron_core_plates</x:v>
      </x:c>
      <x:c r="B515" s="4" t="str">
        <x:v>Shaped iron core plates</x:v>
      </x:c>
      <x:c r="C515" s="4" t="str">
        <x:v>T2</x:v>
      </x:c>
      <x:c r="D515" s="4" t="str">
        <x:v>Crafting components</x:v>
      </x:c>
      <x:c r="E515" s="4" t="str">
        <x:v>Lore-informed stock / fitted part</x:v>
      </x:c>
      <x:c r="F515" s="4" t="str">
        <x:v>New proposal</x:v>
      </x:c>
      <x:c r="G515" s="4" t="str">
        <x:v>Intended use: equipment fabrication. Form matching core plates from first iron stock; magnetic grade and inter-layer isolation remain unspecified.</x:v>
      </x:c>
      <x:c r="H515" s="4" t="str">
        <x:v>None</x:v>
      </x:c>
      <x:c r="I515" s="4" t="str">
        <x:v>Workshop / cargo item; storage and fit unresolved</x:v>
      </x:c>
      <x:c r="J515" s="4"/>
      <x:c r="K515" s="4"/>
      <x:c r="L515" s="4" t="str">
        <x:v>Prepare from linked candidate inputs</x:v>
      </x:c>
      <x:c r="M515" s="4" t="str">
        <x:v>Form matching core plates from first iron stock; magnetic grade and inter-layer isolation remain unspecified.</x:v>
      </x:c>
      <x:c r="N515" s="4" t="str">
        <x:v>Not implemented</x:v>
      </x:c>
      <x:c r="O515" s="4" t="str">
        <x:v>New game proposal from proposal-stage lore. Quantities, yields, tools, process conditions and performance remain open. No free environmental liquid or ordinary cloth.</x:v>
      </x:c>
      <x:c r="P515" s="4"/>
      <x:c r="Q515" s="4"/>
      <x:c r="R515" s="4"/>
      <x:c r="S515" s="4"/>
      <x:c r="T515" s="4"/>
      <x:c r="U515" s="4" t="str">
        <x:v>Source status does not establish game canon. Industrial Phagia fractions are separate from human food; ancient recovery does not imply reproduction.</x:v>
      </x:c>
      <x:c r="V515" s="4" t="str">
        <x:v>shaped iron core plates; equipment fabrication; t2</x:v>
      </x:c>
      <x:c r="W51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5" s="4" t="str">
        <x:v>Crafting component</x:v>
      </x:c>
      <x:c r="Y515" s="4" t="str">
        <x:v>Processed intermediate</x:v>
      </x:c>
      <x:c r="Z515" s="4" t="str">
        <x:v>Manufactured / unresolved</x:v>
      </x:c>
      <x:c r="AA515" s="4" t="str">
        <x:v>Equipment fabrication</x:v>
      </x:c>
      <x:c r="AB515" s="4" t="str">
        <x:v>Metal</x:v>
      </x:c>
      <x:c r="AC515" s="4" t="str">
        <x:v>Solid part</x:v>
      </x:c>
      <x:c r="AD515" s="4" t="str">
        <x:v>Proposal</x:v>
      </x:c>
      <x:c r="AE515" s="4" t="str">
        <x:f>LOWER(A515&amp;"; "&amp;B515&amp;"; "&amp;D515&amp;"; "&amp;E515&amp;"; "&amp;X515&amp;"; "&amp;Y515&amp;"; "&amp;Z515&amp;"; "&amp;AA515&amp;"; "&amp;AB515&amp;"; "&amp;AC515&amp;"; "&amp;AD515&amp;"; "&amp;V515&amp;"; "&amp;C515&amp;"; "&amp;AH515&amp;"; "&amp;AI515)</x:f>
        <x:v>proposal.lore.iron_core_plates; shaped iron core plates; crafting components; lore-informed stock / fitted part; crafting component; processed intermediate; manufactured / unresolved; equipment fabrication; metal; solid part; proposal; shaped iron core plates; equipment fabrication; t2; t2; not applicable; component</x:v>
      </x:c>
      <x:c r="AF515" s="4" t="str">
        <x:v>New source-informed working item; primary category follows the resource/processing/recovery split.</x:v>
      </x:c>
      <x:c r="AG515" s="4" t="str">
        <x:v>Proposed T2 within selected partial routes; source age/depth is not a tier.</x:v>
      </x:c>
      <x:c r="AH515" s="4" t="str">
        <x:v>Not applicable</x:v>
      </x:c>
      <x:c r="AI515" s="4" t="str">
        <x:v>Component</x:v>
      </x:c>
      <x:c r="AJ515" s="4" t="n">
        <x:f>COUNTIFS('Material routes'!$D$6:$D$2205,A515,'Material routes'!$C$6:$C$2205,"Output")</x:f>
        <x:v>1</x:v>
      </x:c>
      <x:c r="AK515" s="4" t="n">
        <x:f>SUM(COUNTIFS('Material routes'!$D$6:$D$2205,A515,'Material routes'!$C$6:$C$2205,"Ingredient candidate"),COUNTIFS('Material routes'!$D$6:$D$2205,A515,'Material routes'!$C$6:$C$2205,"Consumed input"),COUNTIFS('Material routes'!$D$6:$D$2205,A515,'Material routes'!$C$6:$C$2205,"Contained input"),COUNTIFS('Material routes'!$D$6:$D$2205,A515,'Material routes'!$C$6:$C$2205,"Transform input"))</x:f>
        <x:v>1</x:v>
      </x:c>
      <x:c r="AL515" s="4" t="n">
        <x:f>COUNTIFS('Material routes'!$D$6:$D$2205,A515,'Material routes'!$C$6:$C$2205,"Tool candidate")</x:f>
        <x:v>0</x:v>
      </x:c>
      <x:c r="AM515" s="4" t="str">
        <x:f>IF(AJ515&gt;0,"Route listed; review status/completeness",IF(C515="T0","Raw entry feed; no production route","No production route listed"))</x:f>
        <x:v>Route listed; review status/completeness</x:v>
      </x:c>
      <x:c r="AN515" s="4" t="n">
        <x:f>IF(C515="T0",0,IF(C515="T1",1,IF(C515="T2",2,IF(C515="T3",3,IF(C515="T4",4,IF(C515="Unassigned",98,99))))))</x:f>
        <x:v>2</x:v>
      </x:c>
      <x:c r="AZ515"/>
      <x:c r="BA515"/>
      <x:c r="BB515"/>
      <x:c r="BC515"/>
      <x:c r="BD515"/>
      <x:c r="BE515"/>
      <x:c r="BF515"/>
      <x:c r="BG515"/>
      <x:c r="BH515"/>
      <x:c r="BI515"/>
      <x:c r="BJ515"/>
      <x:c r="BK515"/>
      <x:c r="BL515"/>
      <x:c r="BM515"/>
      <x:c r="BN515"/>
      <x:c r="BO515"/>
      <x:c r="BP515"/>
      <x:c r="BQ515"/>
      <x:c r="BR515"/>
      <x:c r="BS515"/>
      <x:c r="BT515"/>
      <x:c r="BU515"/>
      <x:c r="BV515"/>
      <x:c r="BW515"/>
      <x:c r="BX515"/>
      <x:c r="BY515"/>
      <x:c r="BZ515"/>
      <x:c r="CA515"/>
      <x:c r="CB515"/>
      <x:c r="CC515"/>
    </x:row>
    <x:row r="516" ht="115" customHeight="1">
      <x:c r="A516" s="4" t="str">
        <x:v>proposal.lore.iron_winding</x:v>
      </x:c>
      <x:c r="B516" s="4" t="str">
        <x:v>Iron-wound core blank</x:v>
      </x:c>
      <x:c r="C516" s="4" t="str">
        <x:v>T3</x:v>
      </x:c>
      <x:c r="D516" s="4" t="str">
        <x:v>Crafting components</x:v>
      </x:c>
      <x:c r="E516" s="4" t="str">
        <x:v>Lore-informed stock / fitted part</x:v>
      </x:c>
      <x:c r="F516" s="4" t="str">
        <x:v>New proposal</x:v>
      </x:c>
      <x:c r="G516" s="4" t="str">
        <x:v>Intended use: electrical conduction. Fit iron winding and core feed with selected ceramic supports; insulation, heating and the final circuit remain unresolved.</x:v>
      </x:c>
      <x:c r="H516" s="4" t="str">
        <x:v>None</x:v>
      </x:c>
      <x:c r="I516" s="4" t="str">
        <x:v>Workshop / cargo item; storage and fit unresolved</x:v>
      </x:c>
      <x:c r="J516" s="4"/>
      <x:c r="K516" s="4"/>
      <x:c r="L516" s="4" t="str">
        <x:v>Prepare from linked candidate inputs</x:v>
      </x:c>
      <x:c r="M516" s="4" t="str">
        <x:v>Fit iron winding and core feed with selected ceramic supports; insulation, heating and the final circuit remain unresolved.</x:v>
      </x:c>
      <x:c r="N516" s="4" t="str">
        <x:v>Not implemented</x:v>
      </x:c>
      <x:c r="O516" s="4" t="str">
        <x:v>New game proposal from proposal-stage lore. Quantities, yields, tools, process conditions and performance remain open. No free environmental liquid or ordinary cloth.</x:v>
      </x:c>
      <x:c r="P516" s="4"/>
      <x:c r="Q516" s="4"/>
      <x:c r="R516" s="4"/>
      <x:c r="S516" s="4"/>
      <x:c r="T516" s="4"/>
      <x:c r="U516" s="4" t="str">
        <x:v>Source status does not establish game canon. Industrial Phagia fractions are separate from human food; ancient recovery does not imply reproduction.</x:v>
      </x:c>
      <x:c r="V516" s="4" t="str">
        <x:v>iron-wound core blank; electrical conduction; t3</x:v>
      </x:c>
      <x:c r="W51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6" s="4" t="str">
        <x:v>Crafting component</x:v>
      </x:c>
      <x:c r="Y516" s="4" t="str">
        <x:v>Processed intermediate</x:v>
      </x:c>
      <x:c r="Z516" s="4" t="str">
        <x:v>Manufactured / unresolved</x:v>
      </x:c>
      <x:c r="AA516" s="4" t="str">
        <x:v>Electrical conduction</x:v>
      </x:c>
      <x:c r="AB516" s="4" t="str">
        <x:v>Mixed / unresolved</x:v>
      </x:c>
      <x:c r="AC516" s="4" t="str">
        <x:v>Assembly</x:v>
      </x:c>
      <x:c r="AD516" s="4" t="str">
        <x:v>Proposal</x:v>
      </x:c>
      <x:c r="AE516" s="4" t="str">
        <x:f>LOWER(A516&amp;"; "&amp;B516&amp;"; "&amp;D516&amp;"; "&amp;E516&amp;"; "&amp;X516&amp;"; "&amp;Y516&amp;"; "&amp;Z516&amp;"; "&amp;AA516&amp;"; "&amp;AB516&amp;"; "&amp;AC516&amp;"; "&amp;AD516&amp;"; "&amp;V516&amp;"; "&amp;C516&amp;"; "&amp;AH516&amp;"; "&amp;AI516)</x:f>
        <x:v>proposal.lore.iron_winding; iron-wound core blank; crafting components; lore-informed stock / fitted part; crafting component; processed intermediate; manufactured / unresolved; electrical conduction; mixed / unresolved; assembly; proposal; iron-wound core blank; electrical conduction; t3; t3; not applicable; component</x:v>
      </x:c>
      <x:c r="AF516" s="4" t="str">
        <x:v>New source-informed working item; primary category follows the resource/processing/recovery split.</x:v>
      </x:c>
      <x:c r="AG516" s="4" t="str">
        <x:v>Proposed T3 within selected partial routes; source age/depth is not a tier.</x:v>
      </x:c>
      <x:c r="AH516" s="4" t="str">
        <x:v>Not applicable</x:v>
      </x:c>
      <x:c r="AI516" s="4" t="str">
        <x:v>Component</x:v>
      </x:c>
      <x:c r="AJ516" s="4" t="n">
        <x:f>COUNTIFS('Material routes'!$D$6:$D$2205,A516,'Material routes'!$C$6:$C$2205,"Output")</x:f>
        <x:v>1</x:v>
      </x:c>
      <x:c r="AK516" s="4" t="n">
        <x:f>SUM(COUNTIFS('Material routes'!$D$6:$D$2205,A516,'Material routes'!$C$6:$C$2205,"Ingredient candidate"),COUNTIFS('Material routes'!$D$6:$D$2205,A516,'Material routes'!$C$6:$C$2205,"Consumed input"),COUNTIFS('Material routes'!$D$6:$D$2205,A516,'Material routes'!$C$6:$C$2205,"Contained input"),COUNTIFS('Material routes'!$D$6:$D$2205,A516,'Material routes'!$C$6:$C$2205,"Transform input"))</x:f>
        <x:v>4</x:v>
      </x:c>
      <x:c r="AL516" s="4" t="n">
        <x:f>COUNTIFS('Material routes'!$D$6:$D$2205,A516,'Material routes'!$C$6:$C$2205,"Tool candidate")</x:f>
        <x:v>0</x:v>
      </x:c>
      <x:c r="AM516" s="4" t="str">
        <x:f>IF(AJ516&gt;0,"Route listed; review status/completeness",IF(C516="T0","Raw entry feed; no production route","No production route listed"))</x:f>
        <x:v>Route listed; review status/completeness</x:v>
      </x:c>
      <x:c r="AN516" s="4" t="n">
        <x:f>IF(C516="T0",0,IF(C516="T1",1,IF(C516="T2",2,IF(C516="T3",3,IF(C516="T4",4,IF(C516="Unassigned",98,99))))))</x:f>
        <x:v>3</x:v>
      </x:c>
      <x:c r="AZ516"/>
      <x:c r="BA516"/>
      <x:c r="BB516"/>
      <x:c r="BC516"/>
      <x:c r="BD516"/>
      <x:c r="BE516"/>
      <x:c r="BF516"/>
      <x:c r="BG516"/>
      <x:c r="BH516"/>
      <x:c r="BI516"/>
      <x:c r="BJ516"/>
      <x:c r="BK516"/>
      <x:c r="BL516"/>
      <x:c r="BM516"/>
      <x:c r="BN516"/>
      <x:c r="BO516"/>
      <x:c r="BP516"/>
      <x:c r="BQ516"/>
      <x:c r="BR516"/>
      <x:c r="BS516"/>
      <x:c r="BT516"/>
      <x:c r="BU516"/>
      <x:c r="BV516"/>
      <x:c r="BW516"/>
      <x:c r="BX516"/>
      <x:c r="BY516"/>
      <x:c r="BZ516"/>
      <x:c r="CA516"/>
      <x:c r="CB516"/>
      <x:c r="CC516"/>
    </x:row>
    <x:row r="517" ht="115" customHeight="1">
      <x:c r="A517" s="4" t="str">
        <x:v>proposal.lore.rivet_stock</x:v>
      </x:c>
      <x:c r="B517" s="4" t="str">
        <x:v>Rough iron rivet stock</x:v>
      </x:c>
      <x:c r="C517" s="4" t="str">
        <x:v>T2</x:v>
      </x:c>
      <x:c r="D517" s="4" t="str">
        <x:v>Manufactured stock</x:v>
      </x:c>
      <x:c r="E517" s="4" t="str">
        <x:v>Lore-informed stock / fitted part</x:v>
      </x:c>
      <x:c r="F517" s="4" t="str">
        <x:v>New proposal</x:v>
      </x:c>
      <x:c r="G517" s="4" t="str">
        <x:v>Intended use: fabrication. Form first iron stock into unfinished rivet feed; grade, dimensions and subsequent fitting remain open.</x:v>
      </x:c>
      <x:c r="H517" s="4" t="str">
        <x:v>None</x:v>
      </x:c>
      <x:c r="I517" s="4" t="str">
        <x:v>Workshop / cargo item; storage and fit unresolved</x:v>
      </x:c>
      <x:c r="J517" s="4"/>
      <x:c r="K517" s="4"/>
      <x:c r="L517" s="4" t="str">
        <x:v>Prepare from linked candidate inputs</x:v>
      </x:c>
      <x:c r="M517" s="4" t="str">
        <x:v>Form first iron stock into unfinished rivet feed; grade, dimensions and subsequent fitting remain open.</x:v>
      </x:c>
      <x:c r="N517" s="4" t="str">
        <x:v>Not implemented</x:v>
      </x:c>
      <x:c r="O517" s="4" t="str">
        <x:v>New game proposal from proposal-stage lore. Quantities, yields, tools, process conditions and performance remain open. No free environmental liquid or ordinary cloth.</x:v>
      </x:c>
      <x:c r="P517" s="4"/>
      <x:c r="Q517" s="4"/>
      <x:c r="R517" s="4"/>
      <x:c r="S517" s="4"/>
      <x:c r="T517" s="4"/>
      <x:c r="U517" s="4" t="str">
        <x:v>Source status does not establish game canon. Industrial Phagia fractions are separate from human food; ancient recovery does not imply reproduction.</x:v>
      </x:c>
      <x:c r="V517" s="4" t="str">
        <x:v>rough iron rivet stock; fabrication; t2</x:v>
      </x:c>
      <x:c r="W517"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7" s="4" t="str">
        <x:v>Processed material</x:v>
      </x:c>
      <x:c r="Y517" s="4" t="str">
        <x:v>Processed intermediate</x:v>
      </x:c>
      <x:c r="Z517" s="4" t="str">
        <x:v>Manufactured / unresolved</x:v>
      </x:c>
      <x:c r="AA517" s="4" t="str">
        <x:v>Fabrication</x:v>
      </x:c>
      <x:c r="AB517" s="4" t="str">
        <x:v>Metal</x:v>
      </x:c>
      <x:c r="AC517" s="4" t="str">
        <x:v>Solid part</x:v>
      </x:c>
      <x:c r="AD517" s="4" t="str">
        <x:v>Proposal</x:v>
      </x:c>
      <x:c r="AE517" s="4" t="str">
        <x:f>LOWER(A517&amp;"; "&amp;B517&amp;"; "&amp;D517&amp;"; "&amp;E517&amp;"; "&amp;X517&amp;"; "&amp;Y517&amp;"; "&amp;Z517&amp;"; "&amp;AA517&amp;"; "&amp;AB517&amp;"; "&amp;AC517&amp;"; "&amp;AD517&amp;"; "&amp;V517&amp;"; "&amp;C517&amp;"; "&amp;AH517&amp;"; "&amp;AI517)</x:f>
        <x:v>proposal.lore.rivet_stock; rough iron rivet stock; manufactured stock; lore-informed stock / fitted part; processed material; processed intermediate; manufactured / unresolved; fabrication; metal; solid part; proposal; rough iron rivet stock; fabrication; t2; t2; not applicable; material</x:v>
      </x:c>
      <x:c r="AF517" s="4" t="str">
        <x:v>New source-informed working item; primary category follows the resource/processing/recovery split.</x:v>
      </x:c>
      <x:c r="AG517" s="4" t="str">
        <x:v>Proposed T2 within selected partial routes; source age/depth is not a tier.</x:v>
      </x:c>
      <x:c r="AH517" s="4" t="str">
        <x:v>Not applicable</x:v>
      </x:c>
      <x:c r="AI517" s="4" t="str">
        <x:v>Material</x:v>
      </x:c>
      <x:c r="AJ517" s="4" t="n">
        <x:f>COUNTIFS('Material routes'!$D$6:$D$2205,A517,'Material routes'!$C$6:$C$2205,"Output")</x:f>
        <x:v>1</x:v>
      </x:c>
      <x:c r="AK517" s="4" t="n">
        <x:f>SUM(COUNTIFS('Material routes'!$D$6:$D$2205,A517,'Material routes'!$C$6:$C$2205,"Ingredient candidate"),COUNTIFS('Material routes'!$D$6:$D$2205,A517,'Material routes'!$C$6:$C$2205,"Consumed input"),COUNTIFS('Material routes'!$D$6:$D$2205,A517,'Material routes'!$C$6:$C$2205,"Contained input"),COUNTIFS('Material routes'!$D$6:$D$2205,A517,'Material routes'!$C$6:$C$2205,"Transform input"))</x:f>
        <x:v>6</x:v>
      </x:c>
      <x:c r="AL517" s="4" t="n">
        <x:f>COUNTIFS('Material routes'!$D$6:$D$2205,A517,'Material routes'!$C$6:$C$2205,"Tool candidate")</x:f>
        <x:v>0</x:v>
      </x:c>
      <x:c r="AM517" s="4" t="str">
        <x:f>IF(AJ517&gt;0,"Route listed; review status/completeness",IF(C517="T0","Raw entry feed; no production route","No production route listed"))</x:f>
        <x:v>Route listed; review status/completeness</x:v>
      </x:c>
      <x:c r="AN517" s="4" t="n">
        <x:f>IF(C517="T0",0,IF(C517="T1",1,IF(C517="T2",2,IF(C517="T3",3,IF(C517="T4",4,IF(C517="Unassigned",98,99))))))</x:f>
        <x:v>2</x:v>
      </x:c>
      <x:c r="AZ517"/>
      <x:c r="BA517"/>
      <x:c r="BB517"/>
      <x:c r="BC517"/>
      <x:c r="BD517"/>
      <x:c r="BE517"/>
      <x:c r="BF517"/>
      <x:c r="BG517"/>
      <x:c r="BH517"/>
      <x:c r="BI517"/>
      <x:c r="BJ517"/>
      <x:c r="BK517"/>
      <x:c r="BL517"/>
      <x:c r="BM517"/>
      <x:c r="BN517"/>
      <x:c r="BO517"/>
      <x:c r="BP517"/>
      <x:c r="BQ517"/>
      <x:c r="BR517"/>
      <x:c r="BS517"/>
      <x:c r="BT517"/>
      <x:c r="BU517"/>
      <x:c r="BV517"/>
      <x:c r="BW517"/>
      <x:c r="BX517"/>
      <x:c r="BY517"/>
      <x:c r="BZ517"/>
      <x:c r="CA517"/>
      <x:c r="CB517"/>
      <x:c r="CC517"/>
    </x:row>
    <x:row r="518" ht="115" customHeight="1">
      <x:c r="A518" s="4" t="str">
        <x:v>proposal.lore.fastener_set</x:v>
      </x:c>
      <x:c r="B518" s="4" t="str">
        <x:v>Matched metal fastener set</x:v>
      </x:c>
      <x:c r="C518" s="4" t="str">
        <x:v>T3</x:v>
      </x:c>
      <x:c r="D518" s="4" t="str">
        <x:v>Crafting components</x:v>
      </x:c>
      <x:c r="E518" s="4" t="str">
        <x:v>Lore-informed stock / fitted part</x:v>
      </x:c>
      <x:c r="F518" s="4" t="str">
        <x:v>New proposal</x:v>
      </x:c>
      <x:c r="G518" s="4" t="str">
        <x:v>Intended use: equipment mounting. Finish and select compatible retaining parts; exact fastener styles and sizes remain open. Intermediate hardware, distinct from an existing finished Legger service kit.</x:v>
      </x:c>
      <x:c r="H518" s="4" t="str">
        <x:v>None</x:v>
      </x:c>
      <x:c r="I518" s="4" t="str">
        <x:v>Workshop / cargo item; storage and fit unresolved</x:v>
      </x:c>
      <x:c r="J518" s="4"/>
      <x:c r="K518" s="4"/>
      <x:c r="L518" s="4" t="str">
        <x:v>Prepare from linked candidate inputs</x:v>
      </x:c>
      <x:c r="M518" s="4" t="str">
        <x:v>Finish and select compatible retaining parts; exact fastener styles and sizes remain open. Intermediate hardware, distinct from an existing finished Legger service kit.</x:v>
      </x:c>
      <x:c r="N518" s="4" t="str">
        <x:v>Not implemented</x:v>
      </x:c>
      <x:c r="O518" s="4" t="str">
        <x:v>New game proposal from proposal-stage lore. Quantities, yields, tools, process conditions and performance remain open. No free environmental liquid or ordinary cloth.</x:v>
      </x:c>
      <x:c r="P518" s="4"/>
      <x:c r="Q518" s="4"/>
      <x:c r="R518" s="4"/>
      <x:c r="S518" s="4"/>
      <x:c r="T518" s="4"/>
      <x:c r="U518" s="4" t="str">
        <x:v>Source status does not establish game canon. Industrial Phagia fractions are separate from human food; ancient recovery does not imply reproduction.</x:v>
      </x:c>
      <x:c r="V518" s="4" t="str">
        <x:v>matched metal fastener set; equipment mounting; t3</x:v>
      </x:c>
      <x:c r="W518"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8" s="4" t="str">
        <x:v>Crafting component</x:v>
      </x:c>
      <x:c r="Y518" s="4" t="str">
        <x:v>Processed intermediate</x:v>
      </x:c>
      <x:c r="Z518" s="4" t="str">
        <x:v>Manufactured / unresolved</x:v>
      </x:c>
      <x:c r="AA518" s="4" t="str">
        <x:v>Equipment mounting</x:v>
      </x:c>
      <x:c r="AB518" s="4" t="str">
        <x:v>Metal</x:v>
      </x:c>
      <x:c r="AC518" s="4" t="str">
        <x:v>Assembly</x:v>
      </x:c>
      <x:c r="AD518" s="4" t="str">
        <x:v>Proposal</x:v>
      </x:c>
      <x:c r="AE518" s="4" t="str">
        <x:f>LOWER(A518&amp;"; "&amp;B518&amp;"; "&amp;D518&amp;"; "&amp;E518&amp;"; "&amp;X518&amp;"; "&amp;Y518&amp;"; "&amp;Z518&amp;"; "&amp;AA518&amp;"; "&amp;AB518&amp;"; "&amp;AC518&amp;"; "&amp;AD518&amp;"; "&amp;V518&amp;"; "&amp;C518&amp;"; "&amp;AH518&amp;"; "&amp;AI518)</x:f>
        <x:v>proposal.lore.fastener_set; matched metal fastener set; crafting components; lore-informed stock / fitted part; crafting component; processed intermediate; manufactured / unresolved; equipment mounting; metal; assembly; proposal; matched metal fastener set; equipment mounting; t3; t3; not applicable; component</x:v>
      </x:c>
      <x:c r="AF518" s="4" t="str">
        <x:v>New source-informed working item; primary category follows the resource/processing/recovery split.</x:v>
      </x:c>
      <x:c r="AG518" s="4" t="str">
        <x:v>Proposed T3 within selected partial routes; source age/depth is not a tier.</x:v>
      </x:c>
      <x:c r="AH518" s="4" t="str">
        <x:v>Not applicable</x:v>
      </x:c>
      <x:c r="AI518" s="4" t="str">
        <x:v>Component</x:v>
      </x:c>
      <x:c r="AJ518" s="4" t="n">
        <x:f>COUNTIFS('Material routes'!$D$6:$D$2205,A518,'Material routes'!$C$6:$C$2205,"Output")</x:f>
        <x:v>1</x:v>
      </x:c>
      <x:c r="AK518" s="4" t="n">
        <x:f>SUM(COUNTIFS('Material routes'!$D$6:$D$2205,A518,'Material routes'!$C$6:$C$2205,"Ingredient candidate"),COUNTIFS('Material routes'!$D$6:$D$2205,A518,'Material routes'!$C$6:$C$2205,"Consumed input"),COUNTIFS('Material routes'!$D$6:$D$2205,A518,'Material routes'!$C$6:$C$2205,"Contained input"),COUNTIFS('Material routes'!$D$6:$D$2205,A518,'Material routes'!$C$6:$C$2205,"Transform input"))</x:f>
        <x:v>41</x:v>
      </x:c>
      <x:c r="AL518" s="4" t="n">
        <x:f>COUNTIFS('Material routes'!$D$6:$D$2205,A518,'Material routes'!$C$6:$C$2205,"Tool candidate")</x:f>
        <x:v>0</x:v>
      </x:c>
      <x:c r="AM518" s="4" t="str">
        <x:f>IF(AJ518&gt;0,"Route listed; review status/completeness",IF(C518="T0","Raw entry feed; no production route","No production route listed"))</x:f>
        <x:v>Route listed; review status/completeness</x:v>
      </x:c>
      <x:c r="AN518" s="4" t="n">
        <x:f>IF(C518="T0",0,IF(C518="T1",1,IF(C518="T2",2,IF(C518="T3",3,IF(C518="T4",4,IF(C518="Unassigned",98,99))))))</x:f>
        <x:v>3</x:v>
      </x:c>
      <x:c r="AZ518"/>
      <x:c r="BA518"/>
      <x:c r="BB518"/>
      <x:c r="BC518"/>
      <x:c r="BD518"/>
      <x:c r="BE518"/>
      <x:c r="BF518"/>
      <x:c r="BG518"/>
      <x:c r="BH518"/>
      <x:c r="BI518"/>
      <x:c r="BJ518"/>
      <x:c r="BK518"/>
      <x:c r="BL518"/>
      <x:c r="BM518"/>
      <x:c r="BN518"/>
      <x:c r="BO518"/>
      <x:c r="BP518"/>
      <x:c r="BQ518"/>
      <x:c r="BR518"/>
      <x:c r="BS518"/>
      <x:c r="BT518"/>
      <x:c r="BU518"/>
      <x:c r="BV518"/>
      <x:c r="BW518"/>
      <x:c r="BX518"/>
      <x:c r="BY518"/>
      <x:c r="BZ518"/>
      <x:c r="CA518"/>
      <x:c r="CB518"/>
      <x:c r="CC518"/>
    </x:row>
    <x:row r="519" ht="115" customHeight="1">
      <x:c r="A519" s="4" t="str">
        <x:v>proposal.lore.threaded_fittings</x:v>
      </x:c>
      <x:c r="B519" s="4" t="str">
        <x:v>Threaded metal fitting blanks</x:v>
      </x:c>
      <x:c r="C519" s="4" t="str">
        <x:v>T3</x:v>
      </x:c>
      <x:c r="D519" s="4" t="str">
        <x:v>Crafting components</x:v>
      </x:c>
      <x:c r="E519" s="4" t="str">
        <x:v>Lore-informed stock / fitted part</x:v>
      </x:c>
      <x:c r="F519" s="4" t="str">
        <x:v>New proposal</x:v>
      </x:c>
      <x:c r="G519" s="4" t="str">
        <x:v>Intended use: material transfer. Prepare compatible fitting blanks for later tube/canister interfaces; thread forms, finish and compatibility remain unassigned.</x:v>
      </x:c>
      <x:c r="H519" s="4" t="str">
        <x:v>None</x:v>
      </x:c>
      <x:c r="I519" s="4" t="str">
        <x:v>Workshop / cargo item; storage and fit unresolved</x:v>
      </x:c>
      <x:c r="J519" s="4"/>
      <x:c r="K519" s="4"/>
      <x:c r="L519" s="4" t="str">
        <x:v>Prepare from linked candidate inputs</x:v>
      </x:c>
      <x:c r="M519" s="4" t="str">
        <x:v>Prepare compatible fitting blanks for later tube/canister interfaces; thread forms, finish and compatibility remain unassigned.</x:v>
      </x:c>
      <x:c r="N519" s="4" t="str">
        <x:v>Not implemented</x:v>
      </x:c>
      <x:c r="O519" s="4" t="str">
        <x:v>New game proposal from proposal-stage lore. Quantities, yields, tools, process conditions and performance remain open. No free environmental liquid or ordinary cloth.</x:v>
      </x:c>
      <x:c r="P519" s="4"/>
      <x:c r="Q519" s="4"/>
      <x:c r="R519" s="4"/>
      <x:c r="S519" s="4"/>
      <x:c r="T519" s="4"/>
      <x:c r="U519" s="4" t="str">
        <x:v>Source status does not establish game canon. Industrial Phagia fractions are separate from human food; ancient recovery does not imply reproduction.</x:v>
      </x:c>
      <x:c r="V519" s="4" t="str">
        <x:v>threaded metal fitting blanks; material transfer; t3</x:v>
      </x:c>
      <x:c r="W519"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9" s="4" t="str">
        <x:v>Crafting component</x:v>
      </x:c>
      <x:c r="Y519" s="4" t="str">
        <x:v>Processed intermediate</x:v>
      </x:c>
      <x:c r="Z519" s="4" t="str">
        <x:v>Manufactured / unresolved</x:v>
      </x:c>
      <x:c r="AA519" s="4" t="str">
        <x:v>Material transfer</x:v>
      </x:c>
      <x:c r="AB519" s="4" t="str">
        <x:v>Metal</x:v>
      </x:c>
      <x:c r="AC519" s="4" t="str">
        <x:v>Solid part</x:v>
      </x:c>
      <x:c r="AD519" s="4" t="str">
        <x:v>Proposal</x:v>
      </x:c>
      <x:c r="AE519" s="4" t="str">
        <x:f>LOWER(A519&amp;"; "&amp;B519&amp;"; "&amp;D519&amp;"; "&amp;E519&amp;"; "&amp;X519&amp;"; "&amp;Y519&amp;"; "&amp;Z519&amp;"; "&amp;AA519&amp;"; "&amp;AB519&amp;"; "&amp;AC519&amp;"; "&amp;AD519&amp;"; "&amp;V519&amp;"; "&amp;C519&amp;"; "&amp;AH519&amp;"; "&amp;AI519)</x:f>
        <x:v>proposal.lore.threaded_fittings; threaded metal fitting blanks; crafting components; lore-informed stock / fitted part; crafting component; processed intermediate; manufactured / unresolved; material transfer; metal; solid part; proposal; threaded metal fitting blanks; material transfer; t3; t3; not applicable; component</x:v>
      </x:c>
      <x:c r="AF519" s="4" t="str">
        <x:v>New source-informed working item; primary category follows the resource/processing/recovery split.</x:v>
      </x:c>
      <x:c r="AG519" s="4" t="str">
        <x:v>Proposed T3 within selected partial routes; source age/depth is not a tier.</x:v>
      </x:c>
      <x:c r="AH519" s="4" t="str">
        <x:v>Not applicable</x:v>
      </x:c>
      <x:c r="AI519" s="4" t="str">
        <x:v>Component</x:v>
      </x:c>
      <x:c r="AJ519" s="4" t="n">
        <x:f>COUNTIFS('Material routes'!$D$6:$D$2205,A519,'Material routes'!$C$6:$C$2205,"Output")</x:f>
        <x:v>1</x:v>
      </x:c>
      <x:c r="AK519" s="4" t="n">
        <x:f>SUM(COUNTIFS('Material routes'!$D$6:$D$2205,A519,'Material routes'!$C$6:$C$2205,"Ingredient candidate"),COUNTIFS('Material routes'!$D$6:$D$2205,A519,'Material routes'!$C$6:$C$2205,"Consumed input"),COUNTIFS('Material routes'!$D$6:$D$2205,A519,'Material routes'!$C$6:$C$2205,"Contained input"),COUNTIFS('Material routes'!$D$6:$D$2205,A519,'Material routes'!$C$6:$C$2205,"Transform input"))</x:f>
        <x:v>8</x:v>
      </x:c>
      <x:c r="AL519" s="4" t="n">
        <x:f>COUNTIFS('Material routes'!$D$6:$D$2205,A519,'Material routes'!$C$6:$C$2205,"Tool candidate")</x:f>
        <x:v>0</x:v>
      </x:c>
      <x:c r="AM519" s="4" t="str">
        <x:f>IF(AJ519&gt;0,"Route listed; review status/completeness",IF(C519="T0","Raw entry feed; no production route","No production route listed"))</x:f>
        <x:v>Route listed; review status/completeness</x:v>
      </x:c>
      <x:c r="AN519" s="4" t="n">
        <x:f>IF(C519="T0",0,IF(C519="T1",1,IF(C519="T2",2,IF(C519="T3",3,IF(C519="T4",4,IF(C519="Unassigned",98,99))))))</x:f>
        <x:v>3</x:v>
      </x:c>
      <x:c r="AZ519"/>
      <x:c r="BA519"/>
      <x:c r="BB519"/>
      <x:c r="BC519"/>
      <x:c r="BD519"/>
      <x:c r="BE519"/>
      <x:c r="BF519"/>
      <x:c r="BG519"/>
      <x:c r="BH519"/>
      <x:c r="BI519"/>
      <x:c r="BJ519"/>
      <x:c r="BK519"/>
      <x:c r="BL519"/>
      <x:c r="BM519"/>
      <x:c r="BN519"/>
      <x:c r="BO519"/>
      <x:c r="BP519"/>
      <x:c r="BQ519"/>
      <x:c r="BR519"/>
      <x:c r="BS519"/>
      <x:c r="BT519"/>
      <x:c r="BU519"/>
      <x:c r="BV519"/>
      <x:c r="BW519"/>
      <x:c r="BX519"/>
      <x:c r="BY519"/>
      <x:c r="BZ519"/>
      <x:c r="CA519"/>
      <x:c r="CB519"/>
      <x:c r="CC519"/>
    </x:row>
    <x:row r="520" ht="115" customHeight="1">
      <x:c r="A520" s="4" t="str">
        <x:v>proposal.lore.assay_packet</x:v>
      </x:c>
      <x:c r="B520" s="4" t="str">
        <x:v>Growth assay reference packet</x:v>
      </x:c>
      <x:c r="C520" s="4" t="str">
        <x:v>Not applicable</x:v>
      </x:c>
      <x:c r="D520" s="4" t="inlineStr">
        <x:is>
          <x:t xml:space="preserve">Crafting components</x:t>
        </x:is>
      </x:c>
      <x:c r="E520" s="4" t="str">
        <x:v>Lore-informed stock / fitted part</x:v>
      </x:c>
      <x:c r="F520" s="4" t="str">
        <x:v>New proposal</x:v>
      </x:c>
      <x:c r="G520" s="4" t="str">
        <x:v>Intended use: material analysis. Prepare a dry sample and husk-paper identification packet; provenance claims are records, not automatic authenticity guarantees.</x:v>
      </x:c>
      <x:c r="H520" s="4" t="str">
        <x:v>None</x:v>
      </x:c>
      <x:c r="I520" s="4" t="str">
        <x:v>Workshop / cargo item; storage and fit unresolved</x:v>
      </x:c>
      <x:c r="J520" s="4"/>
      <x:c r="K520" s="4"/>
      <x:c r="L520" s="4" t="str">
        <x:v>Prepare from linked candidate inputs</x:v>
      </x:c>
      <x:c r="M520" s="4" t="str">
        <x:v>Prepare a dry sample and husk-paper identification packet; provenance claims are records, not automatic authenticity guarantees.</x:v>
      </x:c>
      <x:c r="N520" s="4" t="str">
        <x:v>Not implemented</x:v>
      </x:c>
      <x:c r="O520" s="4" t="str">
        <x:v>New game proposal from proposal-stage lore. Quantities, yields, tools, process conditions and performance remain open. No free environmental liquid or ordinary cloth.</x:v>
      </x:c>
      <x:c r="P520" s="4"/>
      <x:c r="Q520" s="4"/>
      <x:c r="R520" s="4"/>
      <x:c r="S520" s="4"/>
      <x:c r="T520" s="4"/>
      <x:c r="U520" s="4" t="str">
        <x:v>Source status does not establish game canon. Industrial Phagia fractions are separate from human food; ancient recovery does not imply reproduction.</x:v>
      </x:c>
      <x:c r="V520" s="4" t="str">
        <x:v>growth assay reference packet; material analysis; not applicable</x:v>
      </x:c>
      <x:c r="W52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520" s="4" t="str">
        <x:v>Assay sample</x:v>
      </x:c>
      <x:c r="Y520" s="4" t="str">
        <x:v>Finished item</x:v>
      </x:c>
      <x:c r="Z520" s="4" t="str">
        <x:v>Manufactured / unresolved</x:v>
      </x:c>
      <x:c r="AA520" s="4" t="str">
        <x:v>Material analysis</x:v>
      </x:c>
      <x:c r="AB520" s="4" t="str">
        <x:v>Mixed / unresolved</x:v>
      </x:c>
      <x:c r="AC520" s="4" t="str">
        <x:v>Bundle</x:v>
      </x:c>
      <x:c r="AD520" s="4" t="str">
        <x:v>Proposal</x:v>
      </x:c>
      <x:c r="AE520" s="4" t="str">
        <x:f>LOWER(A520&amp;"; "&amp;B520&amp;"; "&amp;D520&amp;"; "&amp;E520&amp;"; "&amp;X520&amp;"; "&amp;Y520&amp;"; "&amp;Z520&amp;"; "&amp;AA520&amp;"; "&amp;AB520&amp;"; "&amp;AC520&amp;"; "&amp;AD520&amp;"; "&amp;V520&amp;"; "&amp;C520&amp;"; "&amp;AH520&amp;"; "&amp;AI520)</x:f>
        <x:v>proposal.lore.assay_packet; growth assay reference packet; crafting components; lore-informed stock / fitted part; assay sample; finished item; manufactured / unresolved; material analysis; mixed / unresolved; bundle; proposal; growth assay reference packet; material analysis; not applicable; not applicable; t2; finished item</x:v>
      </x:c>
      <x:c r="AF520" s="4" t="inlineStr">
        <x:is>
          <x:t xml:space="preserve">New source-informed working item; primary category follows the resource/processing/recovery split. Author direction October 15: all remaining Field supplies are Crafting components; retire Field supplies as an active category.</x:t>
        </x:is>
      </x:c>
      <x:c r="AG520" s="4" t="str">
        <x:v>Finished endpoint; no material refinement tier.</x:v>
      </x:c>
      <x:c r="AH520" s="4" t="str">
        <x:v>T2</x:v>
      </x:c>
      <x:c r="AI520" s="4" t="str">
        <x:v>Finished item</x:v>
      </x:c>
      <x:c r="AJ520" s="4" t="n">
        <x:f>COUNTIFS('Material routes'!$D$6:$D$2205,A520,'Material routes'!$C$6:$C$2205,"Output")</x:f>
        <x:v>1</x:v>
      </x:c>
      <x:c r="AK520" s="4" t="n">
        <x:f>SUM(COUNTIFS('Material routes'!$D$6:$D$2205,A520,'Material routes'!$C$6:$C$2205,"Ingredient candidate"),COUNTIFS('Material routes'!$D$6:$D$2205,A520,'Material routes'!$C$6:$C$2205,"Consumed input"),COUNTIFS('Material routes'!$D$6:$D$2205,A520,'Material routes'!$C$6:$C$2205,"Contained input"),COUNTIFS('Material routes'!$D$6:$D$2205,A520,'Material routes'!$C$6:$C$2205,"Transform input"))</x:f>
        <x:v>0</x:v>
      </x:c>
      <x:c r="AL520" s="4" t="n">
        <x:f>COUNTIFS('Material routes'!$D$6:$D$2205,A520,'Material routes'!$C$6:$C$2205,"Tool candidate")</x:f>
        <x:v>1</x:v>
      </x:c>
      <x:c r="AM520" s="4" t="str">
        <x:f>IF(AJ520&gt;0,"Route listed; review status/completeness",IF(C520="T0","Raw entry feed; no production route","No production route listed"))</x:f>
        <x:v>Route listed; review status/completeness</x:v>
      </x:c>
      <x:c r="AN520" s="4" t="n">
        <x:f>IF(C520="T0",0,IF(C520="T1",1,IF(C520="T2",2,IF(C520="T3",3,IF(C520="T4",4,IF(C520="Unassigned",98,99))))))</x:f>
        <x:v>99</x:v>
      </x:c>
      <x:c r="AZ520"/>
      <x:c r="BA520"/>
      <x:c r="BB520"/>
      <x:c r="BC520"/>
      <x:c r="BD520"/>
      <x:c r="BE520"/>
      <x:c r="BF520"/>
      <x:c r="BG520"/>
      <x:c r="BH520"/>
      <x:c r="BI520"/>
      <x:c r="BJ520"/>
      <x:c r="BK520"/>
      <x:c r="BL520"/>
      <x:c r="BM520"/>
      <x:c r="BN520"/>
      <x:c r="BO520"/>
      <x:c r="BP520"/>
      <x:c r="BQ520"/>
      <x:c r="BR520"/>
      <x:c r="BS520"/>
      <x:c r="BT520"/>
      <x:c r="BU520"/>
      <x:c r="BV520"/>
      <x:c r="BW520"/>
      <x:c r="BX520"/>
      <x:c r="BY520"/>
      <x:c r="BZ520"/>
      <x:c r="CA520"/>
      <x:c r="CB520"/>
      <x:c r="CC520"/>
    </x:row>
    <x:row r="521" ht="115" customHeight="1">
      <x:c r="A521" s="4" t="str">
        <x:v>proposal.lore.ancient_seal_strip</x:v>
      </x:c>
      <x:c r="B521" s="4" t="str">
        <x:v>Recovered ancient seal strip</x:v>
      </x:c>
      <x:c r="C521" s="4" t="str">
        <x:v>Not applicable</x:v>
      </x:c>
      <x:c r="D521" s="4" t="str">
        <x:v>Ancient salvage</x:v>
      </x:c>
      <x:c r="E521" s="4" t="str">
        <x:v>Ancient material recovery form</x:v>
      </x:c>
      <x:c r="F521" s="4" t="str">
        <x:v>New proposal</x:v>
      </x:c>
      <x:c r="G521" s="4" t="str">
        <x:v>Intended use: sealing. Recover an extremely rare identified ancient flexible piece; original manufacture and actual fit remain unknown.</x:v>
      </x:c>
      <x:c r="H521" s="4" t="str">
        <x:v>None</x:v>
      </x:c>
      <x:c r="I521" s="4" t="str">
        <x:v>Workshop / cargo item; storage and fit unresolved</x:v>
      </x:c>
      <x:c r="J521" s="4"/>
      <x:c r="K521" s="4"/>
      <x:c r="L521" s="4" t="str">
        <x:v>Recover a compatible ancient piece; no manufacture assigned</x:v>
      </x:c>
      <x:c r="M521" s="4" t="str">
        <x:v>Recover an extremely rare identified ancient flexible piece; original manufacture and actual fit remain unknown.</x:v>
      </x:c>
      <x:c r="N521" s="4" t="str">
        <x:v>Not implemented</x:v>
      </x:c>
      <x:c r="O521" s="4" t="str">
        <x:v>New game proposal from proposal-stage lore. Quantities, yields, tools, process conditions and performance remain open. No free environmental liquid or ordinary cloth.</x:v>
      </x:c>
      <x:c r="P521" s="4"/>
      <x:c r="Q521" s="4"/>
      <x:c r="R521" s="4"/>
      <x:c r="S521" s="4"/>
      <x:c r="T521" s="4"/>
      <x:c r="U521" s="4" t="str">
        <x:v>Source status does not establish game canon. Industrial Phagia fractions are separate from human food; ancient recovery does not imply reproduction.</x:v>
      </x:c>
      <x:c r="V521" s="4" t="str">
        <x:v>recovered ancient seal strip; sealing; not applicable</x:v>
      </x:c>
      <x:c r="W521"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1" s="4" t="str">
        <x:v>Processed material</x:v>
      </x:c>
      <x:c r="Y521" s="4" t="str">
        <x:v>Recovered material</x:v>
      </x:c>
      <x:c r="Z521" s="4" t="str">
        <x:v>Ancient technology</x:v>
      </x:c>
      <x:c r="AA521" s="4" t="str">
        <x:v>Sealing</x:v>
      </x:c>
      <x:c r="AB521" s="4" t="str">
        <x:v>Ancient composite</x:v>
      </x:c>
      <x:c r="AC521" s="4" t="str">
        <x:v>Strip</x:v>
      </x:c>
      <x:c r="AD521" s="4" t="str">
        <x:v>Proposal</x:v>
      </x:c>
      <x:c r="AE521" s="4" t="str">
        <x:f>LOWER(A521&amp;"; "&amp;B521&amp;"; "&amp;D521&amp;"; "&amp;E521&amp;"; "&amp;X521&amp;"; "&amp;Y521&amp;"; "&amp;Z521&amp;"; "&amp;AA521&amp;"; "&amp;AB521&amp;"; "&amp;AC521&amp;"; "&amp;AD521&amp;"; "&amp;V521&amp;"; "&amp;C521&amp;"; "&amp;AH521&amp;"; "&amp;AI521)</x:f>
        <x:v>proposal.lore.ancient_seal_strip; recovered ancient seal strip; ancient salvage; ancient material recovery form; processed material; recovered material; ancient technology; sealing; ancient composite; strip; proposal; recovered ancient seal strip; sealing; not applicable; not applicable; not applicable; material</x:v>
      </x:c>
      <x:c r="AF521" s="4" t="str">
        <x:v>New source-informed working item; primary category follows the resource/processing/recovery split.</x:v>
      </x:c>
      <x:c r="AG521" s="4" t="str">
        <x:v>Ancient recovery; manufacturing tier remains outside the contemporary graph.</x:v>
      </x:c>
      <x:c r="AH521" s="4" t="str">
        <x:v>Not applicable</x:v>
      </x:c>
      <x:c r="AI521" s="4" t="str">
        <x:v>Material</x:v>
      </x:c>
      <x:c r="AJ521" s="4" t="n">
        <x:f>COUNTIFS('Material routes'!$D$6:$D$2205,A521,'Material routes'!$C$6:$C$2205,"Output")</x:f>
        <x:v>0</x:v>
      </x:c>
      <x:c r="AK521" s="4" t="n">
        <x:f>SUM(COUNTIFS('Material routes'!$D$6:$D$2205,A521,'Material routes'!$C$6:$C$2205,"Ingredient candidate"),COUNTIFS('Material routes'!$D$6:$D$2205,A521,'Material routes'!$C$6:$C$2205,"Consumed input"),COUNTIFS('Material routes'!$D$6:$D$2205,A521,'Material routes'!$C$6:$C$2205,"Contained input"),COUNTIFS('Material routes'!$D$6:$D$2205,A521,'Material routes'!$C$6:$C$2205,"Transform input"))</x:f>
        <x:v>0</x:v>
      </x:c>
      <x:c r="AL521" s="4" t="n">
        <x:f>COUNTIFS('Material routes'!$D$6:$D$2205,A521,'Material routes'!$C$6:$C$2205,"Tool candidate")</x:f>
        <x:v>0</x:v>
      </x:c>
      <x:c r="AM521" s="4" t="str">
        <x:f>IF(AJ521&gt;0,"Route listed; review status/completeness",IF(C521="T0","Raw entry feed; no production route","No production route listed"))</x:f>
        <x:v>No production route listed</x:v>
      </x:c>
      <x:c r="AN521" s="4" t="n">
        <x:f>IF(C521="T0",0,IF(C521="T1",1,IF(C521="T2",2,IF(C521="T3",3,IF(C521="T4",4,IF(C521="Unassigned",98,99))))))</x:f>
        <x:v>99</x:v>
      </x:c>
      <x:c r="AZ521"/>
      <x:c r="BA521"/>
      <x:c r="BB521"/>
      <x:c r="BC521"/>
      <x:c r="BD521"/>
      <x:c r="BE521"/>
      <x:c r="BF521"/>
      <x:c r="BG521"/>
      <x:c r="BH521"/>
      <x:c r="BI521"/>
      <x:c r="BJ521"/>
      <x:c r="BK521"/>
      <x:c r="BL521"/>
      <x:c r="BM521"/>
      <x:c r="BN521"/>
      <x:c r="BO521"/>
      <x:c r="BP521"/>
      <x:c r="BQ521"/>
      <x:c r="BR521"/>
      <x:c r="BS521"/>
      <x:c r="BT521"/>
      <x:c r="BU521"/>
      <x:c r="BV521"/>
      <x:c r="BW521"/>
      <x:c r="BX521"/>
      <x:c r="BY521"/>
      <x:c r="BZ521"/>
      <x:c r="CA521"/>
      <x:c r="CB521"/>
      <x:c r="CC521"/>
    </x:row>
    <x:row r="522" ht="115" customHeight="1">
      <x:c r="A522" s="4" t="str">
        <x:v>proposal.lore.ancient_view_plate</x:v>
      </x:c>
      <x:c r="B522" s="4" t="str">
        <x:v>Recovered ancient transparent plate</x:v>
      </x:c>
      <x:c r="C522" s="4" t="str">
        <x:v>Not applicable</x:v>
      </x:c>
      <x:c r="D522" s="4" t="str">
        <x:v>Ancient salvage</x:v>
      </x:c>
      <x:c r="E522" s="4" t="str">
        <x:v>Ancient material recovery form</x:v>
      </x:c>
      <x:c r="F522" s="4" t="str">
        <x:v>New proposal</x:v>
      </x:c>
      <x:c r="G522" s="4" t="str">
        <x:v>Intended use: vision. Recover an extremely rare transparent ancient material piece; original manufacture, composition and optical service remain unresolved.</x:v>
      </x:c>
      <x:c r="H522" s="4" t="str">
        <x:v>None</x:v>
      </x:c>
      <x:c r="I522" s="4" t="str">
        <x:v>Workshop / cargo item; storage and fit unresolved</x:v>
      </x:c>
      <x:c r="J522" s="4"/>
      <x:c r="K522" s="4"/>
      <x:c r="L522" s="4" t="str">
        <x:v>Recover a compatible ancient piece; no manufacture assigned</x:v>
      </x:c>
      <x:c r="M522" s="4" t="str">
        <x:v>Recover an extremely rare transparent ancient material piece; original manufacture, composition and optical service remain unresolved.</x:v>
      </x:c>
      <x:c r="N522" s="4" t="str">
        <x:v>Not implemented</x:v>
      </x:c>
      <x:c r="O522" s="4" t="str">
        <x:v>New game proposal from proposal-stage lore. Quantities, yields, tools, process conditions and performance remain open. No free environmental liquid or ordinary cloth.</x:v>
      </x:c>
      <x:c r="P522" s="4"/>
      <x:c r="Q522" s="4"/>
      <x:c r="R522" s="4"/>
      <x:c r="S522" s="4"/>
      <x:c r="T522" s="4"/>
      <x:c r="U522" s="4" t="str">
        <x:v>Source status does not establish game canon. Industrial Phagia fractions are separate from human food; ancient recovery does not imply reproduction.</x:v>
      </x:c>
      <x:c r="V522" s="4" t="str">
        <x:v>recovered ancient transparent plate; vision; not applicable</x:v>
      </x:c>
      <x:c r="W522"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2" s="4" t="str">
        <x:v>Processed material</x:v>
      </x:c>
      <x:c r="Y522" s="4" t="str">
        <x:v>Recovered material</x:v>
      </x:c>
      <x:c r="Z522" s="4" t="str">
        <x:v>Ancient technology</x:v>
      </x:c>
      <x:c r="AA522" s="4" t="str">
        <x:v>Vision</x:v>
      </x:c>
      <x:c r="AB522" s="4" t="str">
        <x:v>Ancient composite</x:v>
      </x:c>
      <x:c r="AC522" s="4" t="str">
        <x:v>Panel</x:v>
      </x:c>
      <x:c r="AD522" s="4" t="str">
        <x:v>Proposal</x:v>
      </x:c>
      <x:c r="AE522" s="4" t="str">
        <x:f>LOWER(A522&amp;"; "&amp;B522&amp;"; "&amp;D522&amp;"; "&amp;E522&amp;"; "&amp;X522&amp;"; "&amp;Y522&amp;"; "&amp;Z522&amp;"; "&amp;AA522&amp;"; "&amp;AB522&amp;"; "&amp;AC522&amp;"; "&amp;AD522&amp;"; "&amp;V522&amp;"; "&amp;C522&amp;"; "&amp;AH522&amp;"; "&amp;AI522)</x:f>
        <x:v>proposal.lore.ancient_view_plate; recovered ancient transparent plate; ancient salvage; ancient material recovery form; processed material; recovered material; ancient technology; vision; ancient composite; panel; proposal; recovered ancient transparent plate; vision; not applicable; not applicable; not applicable; material</x:v>
      </x:c>
      <x:c r="AF522" s="4" t="str">
        <x:v>New source-informed working item; primary category follows the resource/processing/recovery split.</x:v>
      </x:c>
      <x:c r="AG522" s="4" t="str">
        <x:v>Ancient recovery; manufacturing tier remains outside the contemporary graph.</x:v>
      </x:c>
      <x:c r="AH522" s="4" t="str">
        <x:v>Not applicable</x:v>
      </x:c>
      <x:c r="AI522" s="4" t="str">
        <x:v>Material</x:v>
      </x:c>
      <x:c r="AJ522" s="4" t="n">
        <x:f>COUNTIFS('Material routes'!$D$6:$D$2205,A522,'Material routes'!$C$6:$C$2205,"Output")</x:f>
        <x:v>0</x:v>
      </x:c>
      <x:c r="AK522" s="4" t="n">
        <x:f>SUM(COUNTIFS('Material routes'!$D$6:$D$2205,A522,'Material routes'!$C$6:$C$2205,"Ingredient candidate"),COUNTIFS('Material routes'!$D$6:$D$2205,A522,'Material routes'!$C$6:$C$2205,"Consumed input"),COUNTIFS('Material routes'!$D$6:$D$2205,A522,'Material routes'!$C$6:$C$2205,"Contained input"),COUNTIFS('Material routes'!$D$6:$D$2205,A522,'Material routes'!$C$6:$C$2205,"Transform input"))</x:f>
        <x:v>0</x:v>
      </x:c>
      <x:c r="AL522" s="4" t="n">
        <x:f>COUNTIFS('Material routes'!$D$6:$D$2205,A522,'Material routes'!$C$6:$C$2205,"Tool candidate")</x:f>
        <x:v>0</x:v>
      </x:c>
      <x:c r="AM522" s="4" t="str">
        <x:f>IF(AJ522&gt;0,"Route listed; review status/completeness",IF(C522="T0","Raw entry feed; no production route","No production route listed"))</x:f>
        <x:v>No production route listed</x:v>
      </x:c>
      <x:c r="AN522" s="4" t="n">
        <x:f>IF(C522="T0",0,IF(C522="T1",1,IF(C522="T2",2,IF(C522="T3",3,IF(C522="T4",4,IF(C522="Unassigned",98,99))))))</x:f>
        <x:v>99</x:v>
      </x:c>
      <x:c r="AZ522"/>
      <x:c r="BA522"/>
      <x:c r="BB522"/>
      <x:c r="BC522"/>
      <x:c r="BD522"/>
      <x:c r="BE522"/>
      <x:c r="BF522"/>
      <x:c r="BG522"/>
      <x:c r="BH522"/>
      <x:c r="BI522"/>
      <x:c r="BJ522"/>
      <x:c r="BK522"/>
      <x:c r="BL522"/>
      <x:c r="BM522"/>
      <x:c r="BN522"/>
      <x:c r="BO522"/>
      <x:c r="BP522"/>
      <x:c r="BQ522"/>
      <x:c r="BR522"/>
      <x:c r="BS522"/>
      <x:c r="BT522"/>
      <x:c r="BU522"/>
      <x:c r="BV522"/>
      <x:c r="BW522"/>
      <x:c r="BX522"/>
      <x:c r="BY522"/>
      <x:c r="BZ522"/>
      <x:c r="CA522"/>
      <x:c r="CB522"/>
      <x:c r="CC522"/>
    </x:row>
    <x:row r="523" ht="115" customHeight="1">
      <x:c r="A523" s="4" t="str">
        <x:v>proposal.collection.nickel_bearing_nodules</x:v>
      </x:c>
      <x:c r="B523" s="4" t="str">
        <x:v>Nickel-bearing nodules</x:v>
      </x:c>
      <x:c r="C523" s="4" t="str">
        <x:v>T0</x:v>
      </x:c>
      <x:c r="D523" s="4" t="str">
        <x:v>Mineral resources</x:v>
      </x:c>
      <x:c r="E523" s="4" t="str">
        <x:v>Raw material</x:v>
      </x:c>
      <x:c r="F523" s="4" t="str">
        <x:v>New proposal</x:v>
      </x:c>
      <x:c r="G523" s="4" t="inlineStr">
        <x:is>
          <x:t xml:space="preserve">Scarce candidate feed for specialty steel and electrical contacts. It provides candidate material or a shaped starting piece for making other objects, with the final form set by the receiving design.</x:t>
        </x:is>
      </x:c>
      <x:c r="H523" s="4" t="str">
        <x:v>None</x:v>
      </x:c>
      <x:c r="I523" s="4" t="str">
        <x:v>Physical inventory / cargo item; dimensions and packing unresolved</x:v>
      </x:c>
      <x:c r="J523" s="4"/>
      <x:c r="K523" s="4"/>
      <x:c r="L523" s="4" t="str">
        <x:v>Collect the specified candidate source</x:v>
      </x:c>
      <x:c r="M523" s="4" t="str">
        <x:v>Select and segregate source material; preparation and yield unresolved</x:v>
      </x:c>
      <x:c r="N523" s="4" t="str">
        <x:v>Not implemented</x:v>
      </x:c>
      <x:c r="O523" s="4" t="str">
        <x:v>Specific dimensions, yield, fit, performance and service conditions remain open.</x:v>
      </x:c>
      <x:c r="P523" s="4"/>
      <x:c r="Q523" s="4"/>
      <x:c r="R523" s="4"/>
      <x:c r="S523" s="4"/>
      <x:c r="T523" s="4"/>
      <x:c r="U523" s="4" t="str">
        <x:v>Candidate inputs are partial. Resolve tools, supporting materials, energy, recovery and compatibility before recipes become craftable.</x:v>
      </x:c>
      <x:c r="V523" s="4" t="str">
        <x:v>nickel-bearing nodules; collection expansion; raw material</x:v>
      </x:c>
      <x:c r="W523" s="4" t="str">
        <x:v>New item proposal, October 15, 2026. Setting reference (source proposal): https://github.com/sleepyseamonster/Arc-Dust/blob/f6f98515c005dc3c73cccd9cbc031691745740c6/02-Arc-Dust-Worldbuilding/world/materials/industrial-material-palette.md</x:v>
      </x:c>
      <x:c r="X523" s="4" t="str">
        <x:v>Raw material</x:v>
      </x:c>
      <x:c r="Y523" s="4" t="str">
        <x:v>Raw</x:v>
      </x:c>
      <x:c r="Z523" s="4" t="str">
        <x:v>Geological</x:v>
      </x:c>
      <x:c r="AA523" s="4" t="str">
        <x:v>Fabrication</x:v>
      </x:c>
      <x:c r="AB523" s="4" t="str">
        <x:v>Mineral</x:v>
      </x:c>
      <x:c r="AC523" s="4" t="str">
        <x:v>Rock</x:v>
      </x:c>
      <x:c r="AD523" s="4" t="str">
        <x:v>Proposal</x:v>
      </x:c>
      <x:c r="AE523" s="4" t="str">
        <x:f>LOWER(A523&amp;"; "&amp;B523&amp;"; "&amp;D523&amp;"; "&amp;E523&amp;"; "&amp;X523&amp;"; "&amp;Y523&amp;"; "&amp;Z523&amp;"; "&amp;AA523&amp;"; "&amp;AB523&amp;"; "&amp;AC523&amp;"; "&amp;AD523&amp;"; "&amp;V523&amp;"; "&amp;C523&amp;"; "&amp;AH523&amp;"; "&amp;AI523)</x:f>
        <x:v>proposal.collection.nickel_bearing_nodules; nickel-bearing nodules; mineral resources; raw material; raw material; raw; geological; fabrication; mineral; rock; proposal; nickel-bearing nodules; collection expansion; raw material; t0; not applicable; material</x:v>
      </x:c>
      <x:c r="AF523" s="4" t="str">
        <x:v>Collection expansion classification. Distinct type, use and material family; new item proposal unless author direction is marked. October 15 audit: classification/handling clarified; item identity, design status and material tier preserved.</x:v>
      </x:c>
      <x:c r="AG523" s="4" t="str">
        <x:v>Selected candidate processing route places this stock at T0. Raw entry is T0; source rarity does not raise tier.</x:v>
      </x:c>
      <x:c r="AH523" s="4" t="str">
        <x:v>Not applicable</x:v>
      </x:c>
      <x:c r="AI523" s="4" t="str">
        <x:v>Material</x:v>
      </x:c>
      <x:c r="AJ523" s="4" t="n">
        <x:f>COUNTIFS('Material routes'!$D$6:$D$2205,A523,'Material routes'!$C$6:$C$2205,"Output")</x:f>
        <x:v>0</x:v>
      </x:c>
      <x:c r="AK523" s="4" t="n">
        <x:f>SUM(COUNTIFS('Material routes'!$D$6:$D$2205,A523,'Material routes'!$C$6:$C$2205,"Ingredient candidate"),COUNTIFS('Material routes'!$D$6:$D$2205,A523,'Material routes'!$C$6:$C$2205,"Consumed input"),COUNTIFS('Material routes'!$D$6:$D$2205,A523,'Material routes'!$C$6:$C$2205,"Contained input"),COUNTIFS('Material routes'!$D$6:$D$2205,A523,'Material routes'!$C$6:$C$2205,"Transform input"))</x:f>
        <x:v>1</x:v>
      </x:c>
      <x:c r="AL523" s="4" t="n">
        <x:f>COUNTIFS('Material routes'!$D$6:$D$2205,A523,'Material routes'!$C$6:$C$2205,"Tool candidate")</x:f>
        <x:v>0</x:v>
      </x:c>
      <x:c r="AM523" s="4" t="str">
        <x:f>IF(AJ523&gt;0,"Route listed; review status/completeness",IF(C523="T0","Raw entry feed; no production route","No production route listed"))</x:f>
        <x:v>Raw entry feed; no production route</x:v>
      </x:c>
      <x:c r="AN523" s="4" t="n">
        <x:f>IF(C523="T0",0,IF(C523="T1",1,IF(C523="T2",2,IF(C523="T3",3,IF(C523="T4",4,IF(C523="Unassigned",98,99))))))</x:f>
        <x:v>0</x:v>
      </x:c>
      <x:c r="AZ523"/>
      <x:c r="BA523"/>
      <x:c r="BB523"/>
      <x:c r="BC523"/>
      <x:c r="BD523"/>
      <x:c r="BE523"/>
      <x:c r="BF523"/>
      <x:c r="BG523"/>
      <x:c r="BH523"/>
      <x:c r="BI523"/>
      <x:c r="BJ523"/>
      <x:c r="BK523"/>
      <x:c r="BL523"/>
      <x:c r="BM523"/>
      <x:c r="BN523"/>
      <x:c r="BO523"/>
      <x:c r="BP523"/>
      <x:c r="BQ523"/>
      <x:c r="BR523"/>
      <x:c r="BS523"/>
      <x:c r="BT523"/>
      <x:c r="BU523"/>
      <x:c r="BV523"/>
      <x:c r="BW523"/>
      <x:c r="BX523"/>
      <x:c r="BY523"/>
      <x:c r="BZ523"/>
      <x:c r="CA523"/>
      <x:c r="CB523"/>
      <x:c r="CC523"/>
    </x:row>
    <x:row r="524" ht="115" customHeight="1">
      <x:c r="A524" s="4" t="str">
        <x:v>proposal.collection.tin_bearing_gravel</x:v>
      </x:c>
      <x:c r="B524" s="4" t="str">
        <x:v>Tin-bearing gravel</x:v>
      </x:c>
      <x:c r="C524" s="4" t="str">
        <x:v>T0</x:v>
      </x:c>
      <x:c r="D524" s="4" t="str">
        <x:v>Mineral resources</x:v>
      </x:c>
      <x:c r="E524" s="4" t="str">
        <x:v>Raw material</x:v>
      </x:c>
      <x:c r="F524" s="4" t="str">
        <x:v>New proposal</x:v>
      </x:c>
      <x:c r="G524" s="4" t="inlineStr">
        <x:is>
          <x:t xml:space="preserve">Candidate bronze alloying feed. It provides candidate material or a shaped starting piece for making other objects, with the final form set by the receiving design.</x:t>
        </x:is>
      </x:c>
      <x:c r="H524" s="4" t="str">
        <x:v>None</x:v>
      </x:c>
      <x:c r="I524" s="4" t="str">
        <x:v>Physical inventory / cargo item; dimensions and packing unresolved</x:v>
      </x:c>
      <x:c r="J524" s="4"/>
      <x:c r="K524" s="4"/>
      <x:c r="L524" s="4" t="str">
        <x:v>Collect the specified candidate source</x:v>
      </x:c>
      <x:c r="M524" s="4" t="str">
        <x:v>Select and segregate source material; preparation and yield unresolved</x:v>
      </x:c>
      <x:c r="N524" s="4" t="str">
        <x:v>Not implemented</x:v>
      </x:c>
      <x:c r="O524" s="4" t="str">
        <x:v>Specific dimensions, yield, fit, performance and service conditions remain open.</x:v>
      </x:c>
      <x:c r="P524" s="4"/>
      <x:c r="Q524" s="4"/>
      <x:c r="R524" s="4"/>
      <x:c r="S524" s="4"/>
      <x:c r="T524" s="4"/>
      <x:c r="U524" s="4" t="str">
        <x:v>Candidate inputs are partial. Resolve tools, supporting materials, energy, recovery and compatibility before recipes become craftable.</x:v>
      </x:c>
      <x:c r="V524" s="4" t="str">
        <x:v>tin-bearing gravel; collection expansion; raw material</x:v>
      </x:c>
      <x:c r="W524" s="4" t="str">
        <x:v>New item proposal, October 15, 2026. Setting reference (source proposal): https://github.com/sleepyseamonster/Arc-Dust/blob/f6f98515c005dc3c73cccd9cbc031691745740c6/02-Arc-Dust-Worldbuilding/world/materials/industrial-material-palette.md</x:v>
      </x:c>
      <x:c r="X524" s="4" t="str">
        <x:v>Raw material</x:v>
      </x:c>
      <x:c r="Y524" s="4" t="str">
        <x:v>Raw</x:v>
      </x:c>
      <x:c r="Z524" s="4" t="str">
        <x:v>Geological</x:v>
      </x:c>
      <x:c r="AA524" s="4" t="str">
        <x:v>Fabrication</x:v>
      </x:c>
      <x:c r="AB524" s="4" t="str">
        <x:v>Mineral</x:v>
      </x:c>
      <x:c r="AC524" s="4" t="str">
        <x:v>Particles</x:v>
      </x:c>
      <x:c r="AD524" s="4" t="str">
        <x:v>Proposal</x:v>
      </x:c>
      <x:c r="AE524" s="4" t="str">
        <x:f>LOWER(A524&amp;"; "&amp;B524&amp;"; "&amp;D524&amp;"; "&amp;E524&amp;"; "&amp;X524&amp;"; "&amp;Y524&amp;"; "&amp;Z524&amp;"; "&amp;AA524&amp;"; "&amp;AB524&amp;"; "&amp;AC524&amp;"; "&amp;AD524&amp;"; "&amp;V524&amp;"; "&amp;C524&amp;"; "&amp;AH524&amp;"; "&amp;AI524)</x:f>
        <x:v>proposal.collection.tin_bearing_gravel; tin-bearing gravel; mineral resources; raw material; raw material; raw; geological; fabrication; mineral; particles; proposal; tin-bearing gravel; collection expansion; raw material; t0; not applicable; material</x:v>
      </x:c>
      <x:c r="AF524" s="4" t="str">
        <x:v>Collection expansion classification. Distinct type, use and material family; new item proposal unless author direction is marked. October 15 audit: classification/handling clarified; item identity, design status and material tier preserved.</x:v>
      </x:c>
      <x:c r="AG524" s="4" t="str">
        <x:v>Selected candidate processing route places this stock at T0. Raw entry is T0; source rarity does not raise tier.</x:v>
      </x:c>
      <x:c r="AH524" s="4" t="str">
        <x:v>Not applicable</x:v>
      </x:c>
      <x:c r="AI524" s="4" t="str">
        <x:v>Material</x:v>
      </x:c>
      <x:c r="AJ524" s="4" t="n">
        <x:f>COUNTIFS('Material routes'!$D$6:$D$2205,A524,'Material routes'!$C$6:$C$2205,"Output")</x:f>
        <x:v>0</x:v>
      </x:c>
      <x:c r="AK524" s="4" t="n">
        <x:f>SUM(COUNTIFS('Material routes'!$D$6:$D$2205,A524,'Material routes'!$C$6:$C$2205,"Ingredient candidate"),COUNTIFS('Material routes'!$D$6:$D$2205,A524,'Material routes'!$C$6:$C$2205,"Consumed input"),COUNTIFS('Material routes'!$D$6:$D$2205,A524,'Material routes'!$C$6:$C$2205,"Contained input"),COUNTIFS('Material routes'!$D$6:$D$2205,A524,'Material routes'!$C$6:$C$2205,"Transform input"))</x:f>
        <x:v>1</x:v>
      </x:c>
      <x:c r="AL524" s="4" t="n">
        <x:f>COUNTIFS('Material routes'!$D$6:$D$2205,A524,'Material routes'!$C$6:$C$2205,"Tool candidate")</x:f>
        <x:v>0</x:v>
      </x:c>
      <x:c r="AM524" s="4" t="str">
        <x:f>IF(AJ524&gt;0,"Route listed; review status/completeness",IF(C524="T0","Raw entry feed; no production route","No production route listed"))</x:f>
        <x:v>Raw entry feed; no production route</x:v>
      </x:c>
      <x:c r="AN524" s="4" t="n">
        <x:f>IF(C524="T0",0,IF(C524="T1",1,IF(C524="T2",2,IF(C524="T3",3,IF(C524="T4",4,IF(C524="Unassigned",98,99))))))</x:f>
        <x:v>0</x:v>
      </x:c>
      <x:c r="AZ524"/>
      <x:c r="BA524"/>
      <x:c r="BB524"/>
      <x:c r="BC524"/>
      <x:c r="BD524"/>
      <x:c r="BE524"/>
      <x:c r="BF524"/>
      <x:c r="BG524"/>
      <x:c r="BH524"/>
      <x:c r="BI524"/>
      <x:c r="BJ524"/>
      <x:c r="BK524"/>
      <x:c r="BL524"/>
      <x:c r="BM524"/>
      <x:c r="BN524"/>
      <x:c r="BO524"/>
      <x:c r="BP524"/>
      <x:c r="BQ524"/>
      <x:c r="BR524"/>
      <x:c r="BS524"/>
      <x:c r="BT524"/>
      <x:c r="BU524"/>
      <x:c r="BV524"/>
      <x:c r="BW524"/>
      <x:c r="BX524"/>
      <x:c r="BY524"/>
      <x:c r="BZ524"/>
      <x:c r="CA524"/>
      <x:c r="CB524"/>
      <x:c r="CC524"/>
    </x:row>
    <x:row r="525" ht="115" customHeight="1">
      <x:c r="A525" s="4" t="str">
        <x:v>proposal.collection.chromite_rich_stone</x:v>
      </x:c>
      <x:c r="B525" s="4" t="str">
        <x:v>Chromite-rich stone</x:v>
      </x:c>
      <x:c r="C525" s="4" t="str">
        <x:v>T0</x:v>
      </x:c>
      <x:c r="D525" s="4" t="str">
        <x:v>Mineral resources</x:v>
      </x:c>
      <x:c r="E525" s="4" t="str">
        <x:v>Raw material</x:v>
      </x:c>
      <x:c r="F525" s="4" t="str">
        <x:v>New proposal</x:v>
      </x:c>
      <x:c r="G525" s="4" t="inlineStr">
        <x:is>
          <x:t xml:space="preserve">Candidate alloy and refractory feed. It provides candidate material or a shaped starting piece for making other objects, with the final form set by the receiving design.</x:t>
        </x:is>
      </x:c>
      <x:c r="H525" s="4" t="str">
        <x:v>None</x:v>
      </x:c>
      <x:c r="I525" s="4" t="str">
        <x:v>Physical inventory / cargo item; dimensions and packing unresolved</x:v>
      </x:c>
      <x:c r="J525" s="4"/>
      <x:c r="K525" s="4"/>
      <x:c r="L525" s="4" t="str">
        <x:v>Collect the specified candidate source</x:v>
      </x:c>
      <x:c r="M525" s="4" t="str">
        <x:v>Select and segregate source material; preparation and yield unresolved</x:v>
      </x:c>
      <x:c r="N525" s="4" t="str">
        <x:v>Not implemented</x:v>
      </x:c>
      <x:c r="O525" s="4" t="str">
        <x:v>Specific dimensions, yield, fit, performance and service conditions remain open.</x:v>
      </x:c>
      <x:c r="P525" s="4"/>
      <x:c r="Q525" s="4"/>
      <x:c r="R525" s="4"/>
      <x:c r="S525" s="4"/>
      <x:c r="T525" s="4"/>
      <x:c r="U525" s="4" t="str">
        <x:v>Candidate inputs are partial. Resolve tools, supporting materials, energy, recovery and compatibility before recipes become craftable.</x:v>
      </x:c>
      <x:c r="V525" s="4" t="str">
        <x:v>chromite-rich stone; collection expansion; raw material</x:v>
      </x:c>
      <x:c r="W525" s="4" t="str">
        <x:v>New item proposal, October 15, 2026. Setting reference (source proposal): https://github.com/sleepyseamonster/Arc-Dust/blob/f6f98515c005dc3c73cccd9cbc031691745740c6/02-Arc-Dust-Worldbuilding/world/materials/industrial-material-palette.md</x:v>
      </x:c>
      <x:c r="X525" s="4" t="str">
        <x:v>Raw material</x:v>
      </x:c>
      <x:c r="Y525" s="4" t="str">
        <x:v>Raw</x:v>
      </x:c>
      <x:c r="Z525" s="4" t="str">
        <x:v>Geological</x:v>
      </x:c>
      <x:c r="AA525" s="4" t="str">
        <x:v>Fabrication</x:v>
      </x:c>
      <x:c r="AB525" s="4" t="str">
        <x:v>Mineral</x:v>
      </x:c>
      <x:c r="AC525" s="4" t="str">
        <x:v>Rock</x:v>
      </x:c>
      <x:c r="AD525" s="4" t="str">
        <x:v>Proposal</x:v>
      </x:c>
      <x:c r="AE525" s="4" t="str">
        <x:f>LOWER(A525&amp;"; "&amp;B525&amp;"; "&amp;D525&amp;"; "&amp;E525&amp;"; "&amp;X525&amp;"; "&amp;Y525&amp;"; "&amp;Z525&amp;"; "&amp;AA525&amp;"; "&amp;AB525&amp;"; "&amp;AC525&amp;"; "&amp;AD525&amp;"; "&amp;V525&amp;"; "&amp;C525&amp;"; "&amp;AH525&amp;"; "&amp;AI525)</x:f>
        <x:v>proposal.collection.chromite_rich_stone; chromite-rich stone; mineral resources; raw material; raw material; raw; geological; fabrication; mineral; rock; proposal; chromite-rich stone; collection expansion; raw material; t0; not applicable; material</x:v>
      </x:c>
      <x:c r="AF525" s="4" t="str">
        <x:v>Collection expansion classification. Distinct type, use and material family; new item proposal unless author direction is marked. October 15 audit: classification/handling clarified; item identity, design status and material tier preserved.</x:v>
      </x:c>
      <x:c r="AG525" s="4" t="str">
        <x:v>Selected candidate processing route places this stock at T0. Raw entry is T0; source rarity does not raise tier.</x:v>
      </x:c>
      <x:c r="AH525" s="4" t="str">
        <x:v>Not applicable</x:v>
      </x:c>
      <x:c r="AI525" s="4" t="str">
        <x:v>Material</x:v>
      </x:c>
      <x:c r="AJ525" s="4" t="n">
        <x:f>COUNTIFS('Material routes'!$D$6:$D$2205,A525,'Material routes'!$C$6:$C$2205,"Output")</x:f>
        <x:v>0</x:v>
      </x:c>
      <x:c r="AK525" s="4" t="n">
        <x:f>SUM(COUNTIFS('Material routes'!$D$6:$D$2205,A525,'Material routes'!$C$6:$C$2205,"Ingredient candidate"),COUNTIFS('Material routes'!$D$6:$D$2205,A525,'Material routes'!$C$6:$C$2205,"Consumed input"),COUNTIFS('Material routes'!$D$6:$D$2205,A525,'Material routes'!$C$6:$C$2205,"Contained input"),COUNTIFS('Material routes'!$D$6:$D$2205,A525,'Material routes'!$C$6:$C$2205,"Transform input"))</x:f>
        <x:v>0</x:v>
      </x:c>
      <x:c r="AL525" s="4" t="n">
        <x:f>COUNTIFS('Material routes'!$D$6:$D$2205,A525,'Material routes'!$C$6:$C$2205,"Tool candidate")</x:f>
        <x:v>0</x:v>
      </x:c>
      <x:c r="AM525" s="4" t="str">
        <x:f>IF(AJ525&gt;0,"Route listed; review status/completeness",IF(C525="T0","Raw entry feed; no production route","No production route listed"))</x:f>
        <x:v>Raw entry feed; no production route</x:v>
      </x:c>
      <x:c r="AN525" s="4" t="n">
        <x:f>IF(C525="T0",0,IF(C525="T1",1,IF(C525="T2",2,IF(C525="T3",3,IF(C525="T4",4,IF(C525="Unassigned",98,99))))))</x:f>
        <x:v>0</x:v>
      </x:c>
      <x:c r="AZ525"/>
      <x:c r="BA525"/>
      <x:c r="BB525"/>
      <x:c r="BC525"/>
      <x:c r="BD525"/>
      <x:c r="BE525"/>
      <x:c r="BF525"/>
      <x:c r="BG525"/>
      <x:c r="BH525"/>
      <x:c r="BI525"/>
      <x:c r="BJ525"/>
      <x:c r="BK525"/>
      <x:c r="BL525"/>
      <x:c r="BM525"/>
      <x:c r="BN525"/>
      <x:c r="BO525"/>
      <x:c r="BP525"/>
      <x:c r="BQ525"/>
      <x:c r="BR525"/>
      <x:c r="BS525"/>
      <x:c r="BT525"/>
      <x:c r="BU525"/>
      <x:c r="BV525"/>
      <x:c r="BW525"/>
      <x:c r="BX525"/>
      <x:c r="BY525"/>
      <x:c r="BZ525"/>
      <x:c r="CA525"/>
      <x:c r="CB525"/>
      <x:c r="CC525"/>
    </x:row>
    <x:row r="526" ht="115" customHeight="1">
      <x:c r="A526" s="4" t="str">
        <x:v>proposal.collection.ilmenite_rich_sand</x:v>
      </x:c>
      <x:c r="B526" s="4" t="str">
        <x:v>Ilmenite-rich sand</x:v>
      </x:c>
      <x:c r="C526" s="4" t="str">
        <x:v>T0</x:v>
      </x:c>
      <x:c r="D526" s="4" t="str">
        <x:v>Mineral resources</x:v>
      </x:c>
      <x:c r="E526" s="4" t="str">
        <x:v>Raw material</x:v>
      </x:c>
      <x:c r="F526" s="4" t="str">
        <x:v>New proposal</x:v>
      </x:c>
      <x:c r="G526" s="4" t="inlineStr">
        <x:is>
          <x:t xml:space="preserve">Candidate pigment and specialist mineral feed. It provides candidate material or a shaped starting piece for making other objects, with the final form set by the receiving design.</x:t>
        </x:is>
      </x:c>
      <x:c r="H526" s="4" t="str">
        <x:v>None</x:v>
      </x:c>
      <x:c r="I526" s="4" t="str">
        <x:v>Physical inventory / cargo item; dimensions and packing unresolved</x:v>
      </x:c>
      <x:c r="J526" s="4"/>
      <x:c r="K526" s="4"/>
      <x:c r="L526" s="4" t="str">
        <x:v>Collect the specified candidate source</x:v>
      </x:c>
      <x:c r="M526" s="4" t="str">
        <x:v>Select and segregate source material; preparation and yield unresolved</x:v>
      </x:c>
      <x:c r="N526" s="4" t="str">
        <x:v>Not implemented</x:v>
      </x:c>
      <x:c r="O526" s="4" t="str">
        <x:v>Specific dimensions, yield, fit, performance and service conditions remain open.</x:v>
      </x:c>
      <x:c r="P526" s="4"/>
      <x:c r="Q526" s="4"/>
      <x:c r="R526" s="4"/>
      <x:c r="S526" s="4"/>
      <x:c r="T526" s="4"/>
      <x:c r="U526" s="4" t="str">
        <x:v>Candidate inputs are partial. Resolve tools, supporting materials, energy, recovery and compatibility before recipes become craftable.</x:v>
      </x:c>
      <x:c r="V526" s="4" t="str">
        <x:v>ilmenite-rich sand; collection expansion; raw material</x:v>
      </x:c>
      <x:c r="W526" s="4" t="str">
        <x:v>New item proposal, October 15, 2026. Setting reference (source proposal): https://github.com/sleepyseamonster/Arc-Dust/blob/f6f98515c005dc3c73cccd9cbc031691745740c6/02-Arc-Dust-Worldbuilding/world/materials/industrial-material-palette.md</x:v>
      </x:c>
      <x:c r="X526" s="4" t="str">
        <x:v>Raw material</x:v>
      </x:c>
      <x:c r="Y526" s="4" t="str">
        <x:v>Raw</x:v>
      </x:c>
      <x:c r="Z526" s="4" t="str">
        <x:v>Geological</x:v>
      </x:c>
      <x:c r="AA526" s="4" t="str">
        <x:v>Fabrication</x:v>
      </x:c>
      <x:c r="AB526" s="4" t="str">
        <x:v>Mineral</x:v>
      </x:c>
      <x:c r="AC526" s="4" t="str">
        <x:v>Particles</x:v>
      </x:c>
      <x:c r="AD526" s="4" t="str">
        <x:v>Proposal</x:v>
      </x:c>
      <x:c r="AE526" s="4" t="str">
        <x:f>LOWER(A526&amp;"; "&amp;B526&amp;"; "&amp;D526&amp;"; "&amp;E526&amp;"; "&amp;X526&amp;"; "&amp;Y526&amp;"; "&amp;Z526&amp;"; "&amp;AA526&amp;"; "&amp;AB526&amp;"; "&amp;AC526&amp;"; "&amp;AD526&amp;"; "&amp;V526&amp;"; "&amp;C526&amp;"; "&amp;AH526&amp;"; "&amp;AI526)</x:f>
        <x:v>proposal.collection.ilmenite_rich_sand; ilmenite-rich sand; mineral resources; raw material; raw material; raw; geological; fabrication; mineral; particles; proposal; ilmenite-rich sand; collection expansion; raw material; t0; not applicable; material</x:v>
      </x:c>
      <x:c r="AF526" s="4" t="str">
        <x:v>Collection expansion classification. Distinct type, use and material family; new item proposal unless author direction is marked. October 15 audit: classification/handling clarified; item identity, design status and material tier preserved.</x:v>
      </x:c>
      <x:c r="AG526" s="4" t="str">
        <x:v>Selected candidate processing route places this stock at T0. Raw entry is T0; source rarity does not raise tier.</x:v>
      </x:c>
      <x:c r="AH526" s="4" t="str">
        <x:v>Not applicable</x:v>
      </x:c>
      <x:c r="AI526" s="4" t="str">
        <x:v>Material</x:v>
      </x:c>
      <x:c r="AJ526" s="4" t="n">
        <x:f>COUNTIFS('Material routes'!$D$6:$D$2205,A526,'Material routes'!$C$6:$C$2205,"Output")</x:f>
        <x:v>0</x:v>
      </x:c>
      <x:c r="AK526" s="4" t="n">
        <x:f>SUM(COUNTIFS('Material routes'!$D$6:$D$2205,A526,'Material routes'!$C$6:$C$2205,"Ingredient candidate"),COUNTIFS('Material routes'!$D$6:$D$2205,A526,'Material routes'!$C$6:$C$2205,"Consumed input"),COUNTIFS('Material routes'!$D$6:$D$2205,A526,'Material routes'!$C$6:$C$2205,"Contained input"),COUNTIFS('Material routes'!$D$6:$D$2205,A526,'Material routes'!$C$6:$C$2205,"Transform input"))</x:f>
        <x:v>0</x:v>
      </x:c>
      <x:c r="AL526" s="4" t="n">
        <x:f>COUNTIFS('Material routes'!$D$6:$D$2205,A526,'Material routes'!$C$6:$C$2205,"Tool candidate")</x:f>
        <x:v>0</x:v>
      </x:c>
      <x:c r="AM526" s="4" t="str">
        <x:f>IF(AJ526&gt;0,"Route listed; review status/completeness",IF(C526="T0","Raw entry feed; no production route","No production route listed"))</x:f>
        <x:v>Raw entry feed; no production route</x:v>
      </x:c>
      <x:c r="AN526" s="4" t="n">
        <x:f>IF(C526="T0",0,IF(C526="T1",1,IF(C526="T2",2,IF(C526="T3",3,IF(C526="T4",4,IF(C526="Unassigned",98,99))))))</x:f>
        <x:v>0</x:v>
      </x:c>
      <x:c r="AZ526"/>
      <x:c r="BA526"/>
      <x:c r="BB526"/>
      <x:c r="BC526"/>
      <x:c r="BD526"/>
      <x:c r="BE526"/>
      <x:c r="BF526"/>
      <x:c r="BG526"/>
      <x:c r="BH526"/>
      <x:c r="BI526"/>
      <x:c r="BJ526"/>
      <x:c r="BK526"/>
      <x:c r="BL526"/>
      <x:c r="BM526"/>
      <x:c r="BN526"/>
      <x:c r="BO526"/>
      <x:c r="BP526"/>
      <x:c r="BQ526"/>
      <x:c r="BR526"/>
      <x:c r="BS526"/>
      <x:c r="BT526"/>
      <x:c r="BU526"/>
      <x:c r="BV526"/>
      <x:c r="BW526"/>
      <x:c r="BX526"/>
      <x:c r="BY526"/>
      <x:c r="BZ526"/>
      <x:c r="CA526"/>
      <x:c r="CB526"/>
      <x:c r="CC526"/>
    </x:row>
    <x:row r="527" ht="115" customHeight="1">
      <x:c r="A527" s="4"/>
      <x:c r="B527" s="4"/>
      <x:c r="C527" s="4"/>
      <x:c r="D527" s="4"/>
      <x:c r="E527" s="4"/>
      <x:c r="F527" s="4"/>
      <x:c r="G527" s="4"/>
      <x:c r="H527" s="4"/>
      <x:c r="I527" s="4"/>
      <x:c r="J527" s="4"/>
      <x:c r="K527" s="4"/>
      <x:c r="L527" s="4"/>
      <x:c r="M527" s="4"/>
      <x:c r="N527" s="4"/>
      <x:c r="O527" s="4"/>
      <x:c r="P527" s="4"/>
      <x:c r="Q527" s="4"/>
      <x:c r="R527" s="4"/>
      <x:c r="S527" s="4"/>
      <x:c r="T527" s="4"/>
      <x:c r="U527" s="4"/>
      <x:c r="V527" s="4"/>
      <x:c r="W527" s="4"/>
      <x:c r="X527" s="4"/>
      <x:c r="Y527" s="4"/>
      <x:c r="Z527" s="4"/>
      <x:c r="AA527" s="4"/>
      <x:c r="AB527" s="4"/>
      <x:c r="AC527" s="4"/>
      <x:c r="AD527" s="4"/>
      <x:c r="AE527" s="4"/>
      <x:c r="AF527" s="4"/>
      <x:c r="AG527" s="4"/>
      <x:c r="AH527" s="4"/>
      <x:c r="AI527" s="4"/>
      <x:c r="AJ527" s="4"/>
      <x:c r="AK527" s="4"/>
      <x:c r="AL527" s="4"/>
      <x:c r="AM527" s="4"/>
      <x:c r="AN527" s="4"/>
      <x:c r="AZ527"/>
      <x:c r="BA527"/>
      <x:c r="BB527"/>
      <x:c r="BC527"/>
      <x:c r="BD527"/>
      <x:c r="BE527"/>
      <x:c r="BF527"/>
      <x:c r="BG527"/>
      <x:c r="BH527"/>
      <x:c r="BI527"/>
      <x:c r="BJ527"/>
      <x:c r="BK527"/>
      <x:c r="BL527"/>
      <x:c r="BM527"/>
      <x:c r="BN527"/>
      <x:c r="BO527"/>
      <x:c r="BP527"/>
      <x:c r="BQ527"/>
      <x:c r="BR527"/>
      <x:c r="BS527"/>
      <x:c r="BT527"/>
      <x:c r="BU527"/>
      <x:c r="BV527"/>
      <x:c r="BW527"/>
      <x:c r="BX527"/>
      <x:c r="BY527"/>
      <x:c r="BZ527"/>
      <x:c r="CA527"/>
      <x:c r="CB527"/>
      <x:c r="CC527"/>
    </x:row>
    <x:row r="528" ht="115" customHeight="1">
      <x:c r="A528" s="4"/>
      <x:c r="B528" s="4"/>
      <x:c r="C528" s="4"/>
      <x:c r="D528" s="4"/>
      <x:c r="E528" s="4"/>
      <x:c r="F528" s="4"/>
      <x:c r="G528" s="4"/>
      <x:c r="H528" s="4"/>
      <x:c r="I528" s="4"/>
      <x:c r="J528" s="4"/>
      <x:c r="K528" s="4"/>
      <x:c r="L528" s="4"/>
      <x:c r="M528" s="4"/>
      <x:c r="N528" s="4"/>
      <x:c r="O528" s="4"/>
      <x:c r="P528" s="4"/>
      <x:c r="Q528" s="4"/>
      <x:c r="R528" s="4"/>
      <x:c r="S528" s="4"/>
      <x:c r="T528" s="4"/>
      <x:c r="U528" s="4"/>
      <x:c r="V528" s="4"/>
      <x:c r="W528" s="4"/>
      <x:c r="X528" s="4"/>
      <x:c r="Y528" s="4"/>
      <x:c r="Z528" s="4"/>
      <x:c r="AA528" s="4"/>
      <x:c r="AB528" s="4"/>
      <x:c r="AC528" s="4"/>
      <x:c r="AD528" s="4"/>
      <x:c r="AE528" s="4"/>
      <x:c r="AF528" s="4"/>
      <x:c r="AG528" s="4"/>
      <x:c r="AH528" s="4"/>
      <x:c r="AI528" s="4"/>
      <x:c r="AJ528" s="4"/>
      <x:c r="AK528" s="4"/>
      <x:c r="AL528" s="4"/>
      <x:c r="AM528" s="4"/>
      <x:c r="AN528" s="4"/>
      <x:c r="AZ528"/>
      <x:c r="BA528"/>
      <x:c r="BB528"/>
      <x:c r="BC528"/>
      <x:c r="BD528"/>
      <x:c r="BE528"/>
      <x:c r="BF528"/>
      <x:c r="BG528"/>
      <x:c r="BH528"/>
      <x:c r="BI528"/>
      <x:c r="BJ528"/>
      <x:c r="BK528"/>
      <x:c r="BL528"/>
      <x:c r="BM528"/>
      <x:c r="BN528"/>
      <x:c r="BO528"/>
      <x:c r="BP528"/>
      <x:c r="BQ528"/>
      <x:c r="BR528"/>
      <x:c r="BS528"/>
      <x:c r="BT528"/>
      <x:c r="BU528"/>
      <x:c r="BV528"/>
      <x:c r="BW528"/>
      <x:c r="BX528"/>
      <x:c r="BY528"/>
      <x:c r="BZ528"/>
      <x:c r="CA528"/>
      <x:c r="CB528"/>
      <x:c r="CC528"/>
    </x:row>
    <x:row r="529" ht="115" customHeight="1">
      <x:c r="A529" s="4"/>
      <x:c r="B529" s="4"/>
      <x:c r="C529" s="4"/>
      <x:c r="D529" s="4"/>
      <x:c r="E529" s="4"/>
      <x:c r="F529" s="4"/>
      <x:c r="G529" s="4"/>
      <x:c r="H529" s="4"/>
      <x:c r="I529" s="4"/>
      <x:c r="J529" s="4"/>
      <x:c r="K529" s="4"/>
      <x:c r="L529" s="4"/>
      <x:c r="M529" s="4"/>
      <x:c r="N529" s="4"/>
      <x:c r="O529" s="4"/>
      <x:c r="P529" s="4"/>
      <x:c r="Q529" s="4"/>
      <x:c r="R529" s="4"/>
      <x:c r="S529" s="4"/>
      <x:c r="T529" s="4"/>
      <x:c r="U529" s="4"/>
      <x:c r="V529" s="4"/>
      <x:c r="W529" s="4"/>
      <x:c r="X529" s="4"/>
      <x:c r="Y529" s="4"/>
      <x:c r="Z529" s="4"/>
      <x:c r="AA529" s="4"/>
      <x:c r="AB529" s="4"/>
      <x:c r="AC529" s="4"/>
      <x:c r="AD529" s="4"/>
      <x:c r="AE529" s="4"/>
      <x:c r="AF529" s="4"/>
      <x:c r="AG529" s="4"/>
      <x:c r="AH529" s="4"/>
      <x:c r="AI529" s="4"/>
      <x:c r="AJ529" s="4"/>
      <x:c r="AK529" s="4"/>
      <x:c r="AL529" s="4"/>
      <x:c r="AM529" s="4"/>
      <x:c r="AN529" s="4"/>
      <x:c r="AZ529"/>
      <x:c r="BA529"/>
      <x:c r="BB529"/>
      <x:c r="BC529"/>
      <x:c r="BD529"/>
      <x:c r="BE529"/>
      <x:c r="BF529"/>
      <x:c r="BG529"/>
      <x:c r="BH529"/>
      <x:c r="BI529"/>
      <x:c r="BJ529"/>
      <x:c r="BK529"/>
      <x:c r="BL529"/>
      <x:c r="BM529"/>
      <x:c r="BN529"/>
      <x:c r="BO529"/>
      <x:c r="BP529"/>
      <x:c r="BQ529"/>
      <x:c r="BR529"/>
      <x:c r="BS529"/>
      <x:c r="BT529"/>
      <x:c r="BU529"/>
      <x:c r="BV529"/>
      <x:c r="BW529"/>
      <x:c r="BX529"/>
      <x:c r="BY529"/>
      <x:c r="BZ529"/>
      <x:c r="CA529"/>
      <x:c r="CB529"/>
      <x:c r="CC529"/>
    </x:row>
    <x:row r="530" ht="115" customHeight="1">
      <x:c r="A530" s="4" t="str">
        <x:v>proposal.collection.dolomite_fragments</x:v>
      </x:c>
      <x:c r="B530" s="4" t="str">
        <x:v>Dolomite fragments</x:v>
      </x:c>
      <x:c r="C530" s="4" t="str">
        <x:v>T0</x:v>
      </x:c>
      <x:c r="D530" s="4" t="str">
        <x:v>Mineral resources</x:v>
      </x:c>
      <x:c r="E530" s="4" t="str">
        <x:v>Raw material</x:v>
      </x:c>
      <x:c r="F530" s="4" t="str">
        <x:v>New proposal</x:v>
      </x:c>
      <x:c r="G530" s="4" t="inlineStr">
        <x:is>
          <x:t xml:space="preserve">Candidate lime and kiln flux feed. It provides candidate material or a shaped starting piece for making other objects, with the final form set by the receiving design.</x:t>
        </x:is>
      </x:c>
      <x:c r="H530" s="4" t="str">
        <x:v>None</x:v>
      </x:c>
      <x:c r="I530" s="4" t="str">
        <x:v>Physical inventory / cargo item; dimensions and packing unresolved</x:v>
      </x:c>
      <x:c r="J530" s="4"/>
      <x:c r="K530" s="4"/>
      <x:c r="L530" s="4" t="str">
        <x:v>Collect the specified candidate source</x:v>
      </x:c>
      <x:c r="M530" s="4" t="str">
        <x:v>Select and segregate source material; preparation and yield unresolved</x:v>
      </x:c>
      <x:c r="N530" s="4" t="str">
        <x:v>Not implemented</x:v>
      </x:c>
      <x:c r="O530" s="4" t="str">
        <x:v>Specific dimensions, yield, fit, performance and service conditions remain open.</x:v>
      </x:c>
      <x:c r="P530" s="4"/>
      <x:c r="Q530" s="4"/>
      <x:c r="R530" s="4"/>
      <x:c r="S530" s="4"/>
      <x:c r="T530" s="4"/>
      <x:c r="U530" s="4" t="str">
        <x:v>Candidate inputs are partial. Resolve tools, supporting materials, energy, recovery and compatibility before recipes become craftable.</x:v>
      </x:c>
      <x:c r="V530" s="4" t="str">
        <x:v>dolomite fragments; collection expansion; raw material</x:v>
      </x:c>
      <x:c r="W530" s="4" t="str">
        <x:v>New item proposal, October 15, 2026. Setting reference (source proposal): https://github.com/sleepyseamonster/Arc-Dust/blob/f6f98515c005dc3c73cccd9cbc031691745740c6/02-Arc-Dust-Worldbuilding/world/materials/industrial-material-palette.md</x:v>
      </x:c>
      <x:c r="X530" s="4" t="str">
        <x:v>Raw material</x:v>
      </x:c>
      <x:c r="Y530" s="4" t="str">
        <x:v>Raw</x:v>
      </x:c>
      <x:c r="Z530" s="4" t="str">
        <x:v>Geological</x:v>
      </x:c>
      <x:c r="AA530" s="4" t="str">
        <x:v>Fabrication</x:v>
      </x:c>
      <x:c r="AB530" s="4" t="str">
        <x:v>Mineral</x:v>
      </x:c>
      <x:c r="AC530" s="4" t="str">
        <x:v>Rock</x:v>
      </x:c>
      <x:c r="AD530" s="4" t="str">
        <x:v>Proposal</x:v>
      </x:c>
      <x:c r="AE530" s="4" t="str">
        <x:f>LOWER(A530&amp;"; "&amp;B530&amp;"; "&amp;D530&amp;"; "&amp;E530&amp;"; "&amp;X530&amp;"; "&amp;Y530&amp;"; "&amp;Z530&amp;"; "&amp;AA530&amp;"; "&amp;AB530&amp;"; "&amp;AC530&amp;"; "&amp;AD530&amp;"; "&amp;V530&amp;"; "&amp;C530&amp;"; "&amp;AH530&amp;"; "&amp;AI530)</x:f>
        <x:v>proposal.collection.dolomite_fragments; dolomite fragments; mineral resources; raw material; raw material; raw; geological; fabrication; mineral; rock; proposal; dolomite fragments; collection expansion; raw material; t0; not applicable; material</x:v>
      </x:c>
      <x:c r="AF530" s="4" t="str">
        <x:v>Collection expansion classification. Distinct type, use and material family; new item proposal unless author direction is marked. October 15 audit: classification/handling clarified; item identity, design status and material tier preserved.</x:v>
      </x:c>
      <x:c r="AG530" s="4" t="str">
        <x:v>Selected candidate processing route places this stock at T0. Raw entry is T0; source rarity does not raise tier.</x:v>
      </x:c>
      <x:c r="AH530" s="4" t="str">
        <x:v>Not applicable</x:v>
      </x:c>
      <x:c r="AI530" s="4" t="str">
        <x:v>Material</x:v>
      </x:c>
      <x:c r="AJ530" s="4" t="n">
        <x:f>COUNTIFS('Material routes'!$D$6:$D$2205,A530,'Material routes'!$C$6:$C$2205,"Output")</x:f>
        <x:v>0</x:v>
      </x:c>
      <x:c r="AK530" s="4" t="n">
        <x:f>SUM(COUNTIFS('Material routes'!$D$6:$D$2205,A530,'Material routes'!$C$6:$C$2205,"Ingredient candidate"),COUNTIFS('Material routes'!$D$6:$D$2205,A530,'Material routes'!$C$6:$C$2205,"Consumed input"),COUNTIFS('Material routes'!$D$6:$D$2205,A530,'Material routes'!$C$6:$C$2205,"Contained input"),COUNTIFS('Material routes'!$D$6:$D$2205,A530,'Material routes'!$C$6:$C$2205,"Transform input"))</x:f>
        <x:v>0</x:v>
      </x:c>
      <x:c r="AL530" s="4" t="n">
        <x:f>COUNTIFS('Material routes'!$D$6:$D$2205,A530,'Material routes'!$C$6:$C$2205,"Tool candidate")</x:f>
        <x:v>0</x:v>
      </x:c>
      <x:c r="AM530" s="4" t="str">
        <x:f>IF(AJ530&gt;0,"Route listed; review status/completeness",IF(C530="T0","Raw entry feed; no production route","No production route listed"))</x:f>
        <x:v>Raw entry feed; no production route</x:v>
      </x:c>
      <x:c r="AN530" s="4" t="n">
        <x:f>IF(C530="T0",0,IF(C530="T1",1,IF(C530="T2",2,IF(C530="T3",3,IF(C530="T4",4,IF(C530="Unassigned",98,99))))))</x:f>
        <x:v>0</x:v>
      </x:c>
      <x:c r="AZ530"/>
      <x:c r="BA530"/>
      <x:c r="BB530"/>
      <x:c r="BC530"/>
      <x:c r="BD530"/>
      <x:c r="BE530"/>
      <x:c r="BF530"/>
      <x:c r="BG530"/>
      <x:c r="BH530"/>
      <x:c r="BI530"/>
      <x:c r="BJ530"/>
      <x:c r="BK530"/>
      <x:c r="BL530"/>
      <x:c r="BM530"/>
      <x:c r="BN530"/>
      <x:c r="BO530"/>
      <x:c r="BP530"/>
      <x:c r="BQ530"/>
      <x:c r="BR530"/>
      <x:c r="BS530"/>
      <x:c r="BT530"/>
      <x:c r="BU530"/>
      <x:c r="BV530"/>
      <x:c r="BW530"/>
      <x:c r="BX530"/>
      <x:c r="BY530"/>
      <x:c r="BZ530"/>
      <x:c r="CA530"/>
      <x:c r="CB530"/>
      <x:c r="CC530"/>
    </x:row>
    <x:row r="531" ht="115" customHeight="1">
      <x:c r="A531" s="4" t="str">
        <x:v>proposal.collection.halite_chunks</x:v>
      </x:c>
      <x:c r="B531" s="4" t="str">
        <x:v>Halite chunks</x:v>
      </x:c>
      <x:c r="C531" s="4" t="str">
        <x:v>T0</x:v>
      </x:c>
      <x:c r="D531" s="4" t="str">
        <x:v>Mineral resources</x:v>
      </x:c>
      <x:c r="E531" s="4" t="str">
        <x:v>Raw material</x:v>
      </x:c>
      <x:c r="F531" s="4" t="str">
        <x:v>New proposal</x:v>
      </x:c>
      <x:c r="G531" s="4" t="inlineStr">
        <x:is>
          <x:t xml:space="preserve">Candidate industrial salt feed, separate from culinary grades. It provides candidate material or a shaped starting piece for making other objects, with the final form set by the receiving design.</x:t>
        </x:is>
      </x:c>
      <x:c r="H531" s="4" t="str">
        <x:v>None</x:v>
      </x:c>
      <x:c r="I531" s="4" t="str">
        <x:v>Physical inventory / cargo item; dimensions and packing unresolved</x:v>
      </x:c>
      <x:c r="J531" s="4"/>
      <x:c r="K531" s="4"/>
      <x:c r="L531" s="4" t="str">
        <x:v>Collect the specified candidate source</x:v>
      </x:c>
      <x:c r="M531" s="4" t="str">
        <x:v>Select and segregate source material; preparation and yield unresolved</x:v>
      </x:c>
      <x:c r="N531" s="4" t="str">
        <x:v>Not implemented</x:v>
      </x:c>
      <x:c r="O531" s="4" t="str">
        <x:v>Specific dimensions, yield, fit, performance and service conditions remain open.</x:v>
      </x:c>
      <x:c r="P531" s="4"/>
      <x:c r="Q531" s="4"/>
      <x:c r="R531" s="4"/>
      <x:c r="S531" s="4"/>
      <x:c r="T531" s="4"/>
      <x:c r="U531" s="4" t="str">
        <x:v>Candidate inputs are partial. Resolve tools, supporting materials, energy, recovery and compatibility before recipes become craftable.</x:v>
      </x:c>
      <x:c r="V531" s="4" t="str">
        <x:v>halite chunks; collection expansion; raw material</x:v>
      </x:c>
      <x:c r="W531" s="4" t="str">
        <x:v>New item proposal, October 15, 2026. Setting reference (source proposal): https://github.com/sleepyseamonster/Arc-Dust/blob/f6f98515c005dc3c73cccd9cbc031691745740c6/02-Arc-Dust-Worldbuilding/world/materials/industrial-material-palette.md</x:v>
      </x:c>
      <x:c r="X531" s="4" t="str">
        <x:v>Raw material</x:v>
      </x:c>
      <x:c r="Y531" s="4" t="str">
        <x:v>Raw</x:v>
      </x:c>
      <x:c r="Z531" s="4" t="str">
        <x:v>Geological</x:v>
      </x:c>
      <x:c r="AA531" s="4" t="str">
        <x:v>Fabrication</x:v>
      </x:c>
      <x:c r="AB531" s="4" t="str">
        <x:v>Mineral</x:v>
      </x:c>
      <x:c r="AC531" s="4" t="str">
        <x:v>Rock</x:v>
      </x:c>
      <x:c r="AD531" s="4" t="str">
        <x:v>Proposal</x:v>
      </x:c>
      <x:c r="AE531" s="4" t="str">
        <x:f>LOWER(A531&amp;"; "&amp;B531&amp;"; "&amp;D531&amp;"; "&amp;E531&amp;"; "&amp;X531&amp;"; "&amp;Y531&amp;"; "&amp;Z531&amp;"; "&amp;AA531&amp;"; "&amp;AB531&amp;"; "&amp;AC531&amp;"; "&amp;AD531&amp;"; "&amp;V531&amp;"; "&amp;C531&amp;"; "&amp;AH531&amp;"; "&amp;AI531)</x:f>
        <x:v>proposal.collection.halite_chunks; halite chunks; mineral resources; raw material; raw material; raw; geological; fabrication; mineral; rock; proposal; halite chunks; collection expansion; raw material; t0; not applicable; material</x:v>
      </x:c>
      <x:c r="AF531" s="4" t="str">
        <x:v>Collection expansion classification. Distinct type, use and material family; new item proposal unless author direction is marked. October 15 audit: classification/handling clarified; item identity, design status and material tier preserved.</x:v>
      </x:c>
      <x:c r="AG531" s="4" t="str">
        <x:v>Selected candidate processing route places this stock at T0. Raw entry is T0; source rarity does not raise tier.</x:v>
      </x:c>
      <x:c r="AH531" s="4" t="str">
        <x:v>Not applicable</x:v>
      </x:c>
      <x:c r="AI531" s="4" t="str">
        <x:v>Material</x:v>
      </x:c>
      <x:c r="AJ531" s="4" t="n">
        <x:f>COUNTIFS('Material routes'!$D$6:$D$2205,A531,'Material routes'!$C$6:$C$2205,"Output")</x:f>
        <x:v>0</x:v>
      </x:c>
      <x:c r="AK531" s="4" t="n">
        <x:f>SUM(COUNTIFS('Material routes'!$D$6:$D$2205,A531,'Material routes'!$C$6:$C$2205,"Ingredient candidate"),COUNTIFS('Material routes'!$D$6:$D$2205,A531,'Material routes'!$C$6:$C$2205,"Consumed input"),COUNTIFS('Material routes'!$D$6:$D$2205,A531,'Material routes'!$C$6:$C$2205,"Contained input"),COUNTIFS('Material routes'!$D$6:$D$2205,A531,'Material routes'!$C$6:$C$2205,"Transform input"))</x:f>
        <x:v>0</x:v>
      </x:c>
      <x:c r="AL531" s="4" t="n">
        <x:f>COUNTIFS('Material routes'!$D$6:$D$2205,A531,'Material routes'!$C$6:$C$2205,"Tool candidate")</x:f>
        <x:v>0</x:v>
      </x:c>
      <x:c r="AM531" s="4" t="str">
        <x:f>IF(AJ531&gt;0,"Route listed; review status/completeness",IF(C531="T0","Raw entry feed; no production route","No production route listed"))</x:f>
        <x:v>Raw entry feed; no production route</x:v>
      </x:c>
      <x:c r="AN531" s="4" t="n">
        <x:f>IF(C531="T0",0,IF(C531="T1",1,IF(C531="T2",2,IF(C531="T3",3,IF(C531="T4",4,IF(C531="Unassigned",98,99))))))</x:f>
        <x:v>0</x:v>
      </x:c>
      <x:c r="AZ531"/>
      <x:c r="BA531"/>
      <x:c r="BB531"/>
      <x:c r="BC531"/>
      <x:c r="BD531"/>
      <x:c r="BE531"/>
      <x:c r="BF531"/>
      <x:c r="BG531"/>
      <x:c r="BH531"/>
      <x:c r="BI531"/>
      <x:c r="BJ531"/>
      <x:c r="BK531"/>
      <x:c r="BL531"/>
      <x:c r="BM531"/>
      <x:c r="BN531"/>
      <x:c r="BO531"/>
      <x:c r="BP531"/>
      <x:c r="BQ531"/>
      <x:c r="BR531"/>
      <x:c r="BS531"/>
      <x:c r="BT531"/>
      <x:c r="BU531"/>
      <x:c r="BV531"/>
      <x:c r="BW531"/>
      <x:c r="BX531"/>
      <x:c r="BY531"/>
      <x:c r="BZ531"/>
      <x:c r="CA531"/>
      <x:c r="CB531"/>
      <x:c r="CC531"/>
    </x:row>
    <x:row r="532" ht="115" customHeight="1">
      <x:c r="A532" s="4"/>
      <x:c r="B532" s="4"/>
      <x:c r="C532" s="4"/>
      <x:c r="D532" s="4"/>
      <x:c r="E532" s="4"/>
      <x:c r="F532" s="4"/>
      <x:c r="G532" s="4"/>
      <x:c r="H532" s="4"/>
      <x:c r="I532" s="4"/>
      <x:c r="J532" s="4"/>
      <x:c r="K532" s="4"/>
      <x:c r="L532" s="4"/>
      <x:c r="M532" s="4"/>
      <x:c r="N532" s="4"/>
      <x:c r="O532" s="4"/>
      <x:c r="P532" s="4"/>
      <x:c r="Q532" s="4"/>
      <x:c r="R532" s="4"/>
      <x:c r="S532" s="4"/>
      <x:c r="T532" s="4"/>
      <x:c r="U532" s="4"/>
      <x:c r="V532" s="4"/>
      <x:c r="W532" s="4"/>
      <x:c r="X532" s="4"/>
      <x:c r="Y532" s="4"/>
      <x:c r="Z532" s="4"/>
      <x:c r="AA532" s="4"/>
      <x:c r="AB532" s="4"/>
      <x:c r="AC532" s="4"/>
      <x:c r="AD532" s="4"/>
      <x:c r="AE532" s="4"/>
      <x:c r="AF532" s="4"/>
      <x:c r="AG532" s="4"/>
      <x:c r="AH532" s="4"/>
      <x:c r="AI532" s="4"/>
      <x:c r="AJ532" s="4"/>
      <x:c r="AK532" s="4"/>
      <x:c r="AL532" s="4"/>
      <x:c r="AM532" s="4"/>
      <x:c r="AN532" s="4"/>
      <x:c r="AZ532"/>
      <x:c r="BA532"/>
      <x:c r="BB532"/>
      <x:c r="BC532"/>
      <x:c r="BD532"/>
      <x:c r="BE532"/>
      <x:c r="BF532"/>
      <x:c r="BG532"/>
      <x:c r="BH532"/>
      <x:c r="BI532"/>
      <x:c r="BJ532"/>
      <x:c r="BK532"/>
      <x:c r="BL532"/>
      <x:c r="BM532"/>
      <x:c r="BN532"/>
      <x:c r="BO532"/>
      <x:c r="BP532"/>
      <x:c r="BQ532"/>
      <x:c r="BR532"/>
      <x:c r="BS532"/>
      <x:c r="BT532"/>
      <x:c r="BU532"/>
      <x:c r="BV532"/>
      <x:c r="BW532"/>
      <x:c r="BX532"/>
      <x:c r="BY532"/>
      <x:c r="BZ532"/>
      <x:c r="CA532"/>
      <x:c r="CB532"/>
      <x:c r="CC532"/>
    </x:row>
    <x:row r="533" ht="115" customHeight="1">
      <x:c r="A533" s="4" t="str">
        <x:v>proposal.collection.dense_heat_holding_stone</x:v>
      </x:c>
      <x:c r="B533" s="4" t="str">
        <x:v>Dense heat-holding stone</x:v>
      </x:c>
      <x:c r="C533" s="4" t="str">
        <x:v>T0</x:v>
      </x:c>
      <x:c r="D533" s="4" t="inlineStr">
        <x:is>
          <x:t xml:space="preserve">Crafting components</x:t>
        </x:is>
      </x:c>
      <x:c r="E533" s="4" t="str">
        <x:v>Raw material</x:v>
      </x:c>
      <x:c r="F533" s="4" t="str">
        <x:v>New proposal</x:v>
      </x:c>
      <x:c r="G533" s="4" t="inlineStr">
        <x:is>
          <x:t xml:space="preserve">Candidate thermal mass for cooking and heat storage. It provides candidate material or a shaped starting piece for making other objects, with the final form set by the receiving design.</x:t>
        </x:is>
      </x:c>
      <x:c r="H533" s="4" t="str">
        <x:v>None</x:v>
      </x:c>
      <x:c r="I533" s="4" t="str">
        <x:v>Physical inventory / cargo item; dimensions and packing unresolved</x:v>
      </x:c>
      <x:c r="J533" s="4"/>
      <x:c r="K533" s="4"/>
      <x:c r="L533" s="4" t="str">
        <x:v>Collect the specified candidate source</x:v>
      </x:c>
      <x:c r="M533" s="4" t="str">
        <x:v>Select and segregate source material; preparation and yield unresolved</x:v>
      </x:c>
      <x:c r="N533" s="4" t="str">
        <x:v>Not implemented</x:v>
      </x:c>
      <x:c r="O533" s="4" t="str">
        <x:v>Specific dimensions, yield, fit, performance and service conditions remain open.</x:v>
      </x:c>
      <x:c r="P533" s="4"/>
      <x:c r="Q533" s="4"/>
      <x:c r="R533" s="4"/>
      <x:c r="S533" s="4"/>
      <x:c r="T533" s="4"/>
      <x:c r="U533" s="4" t="str">
        <x:v>Candidate inputs are partial. Resolve tools, supporting materials, energy, recovery and compatibility before recipes become craftable.</x:v>
      </x:c>
      <x:c r="V533" s="4" t="str">
        <x:v>dense heat-holding stone; collection expansion; raw material</x:v>
      </x:c>
      <x:c r="W533" s="4" t="str">
        <x:v>New item proposal, October 15, 2026. Setting reference (source proposal): https://github.com/sleepyseamonster/Arc-Dust/blob/f6f98515c005dc3c73cccd9cbc031691745740c6/02-Arc-Dust-Worldbuilding/world/materials/industrial-material-palette.md</x:v>
      </x:c>
      <x:c r="X533" s="4" t="str">
        <x:v>Raw material</x:v>
      </x:c>
      <x:c r="Y533" s="4" t="str">
        <x:v>Raw</x:v>
      </x:c>
      <x:c r="Z533" s="4" t="str">
        <x:v>Geological</x:v>
      </x:c>
      <x:c r="AA533" s="4" t="str">
        <x:v>Fabrication</x:v>
      </x:c>
      <x:c r="AB533" s="4" t="str">
        <x:v>Mineral</x:v>
      </x:c>
      <x:c r="AC533" s="4" t="str">
        <x:v>Rock</x:v>
      </x:c>
      <x:c r="AD533" s="4" t="str">
        <x:v>Proposal</x:v>
      </x:c>
      <x:c r="AE533" s="4" t="str">
        <x:f>LOWER(A533&amp;"; "&amp;B533&amp;"; "&amp;D533&amp;"; "&amp;E533&amp;"; "&amp;X533&amp;"; "&amp;Y533&amp;"; "&amp;Z533&amp;"; "&amp;AA533&amp;"; "&amp;AB533&amp;"; "&amp;AC533&amp;"; "&amp;AD533&amp;"; "&amp;V533&amp;"; "&amp;C533&amp;"; "&amp;AH533&amp;"; "&amp;AI533)</x:f>
        <x:v>proposal.collection.dense_heat_holding_stone; dense heat-holding stone; crafting components; raw material; raw material; raw; geological; fabrication; mineral; rock; proposal; dense heat-holding stone; collection expansion; raw material; t0; not applicable; material</x:v>
      </x:c>
      <x:c r="AF533" s="4" t="str">
        <x:v>Collection expansion classification. Distinct type, use and material family; new item proposal unless author direction is marked. October 15 audit: classification/handling clarified; item identity, design status and material tier preserved.</x:v>
      </x:c>
      <x:c r="AG533" s="4" t="str">
        <x:v>Selected candidate processing route places this stock at T0. Raw entry is T0; source rarity does not raise tier.</x:v>
      </x:c>
      <x:c r="AH533" s="4" t="str">
        <x:v>Not applicable</x:v>
      </x:c>
      <x:c r="AI533" s="4" t="str">
        <x:v>Material</x:v>
      </x:c>
      <x:c r="AJ533" s="4" t="n">
        <x:f>COUNTIFS('Material routes'!$D$6:$D$2205,A533,'Material routes'!$C$6:$C$2205,"Output")</x:f>
        <x:v>0</x:v>
      </x:c>
      <x:c r="AK533" s="4" t="n">
        <x:f>SUM(COUNTIFS('Material routes'!$D$6:$D$2205,A533,'Material routes'!$C$6:$C$2205,"Ingredient candidate"),COUNTIFS('Material routes'!$D$6:$D$2205,A533,'Material routes'!$C$6:$C$2205,"Consumed input"),COUNTIFS('Material routes'!$D$6:$D$2205,A533,'Material routes'!$C$6:$C$2205,"Contained input"),COUNTIFS('Material routes'!$D$6:$D$2205,A533,'Material routes'!$C$6:$C$2205,"Transform input"))</x:f>
        <x:v>1</x:v>
      </x:c>
      <x:c r="AL533" s="4" t="n">
        <x:f>COUNTIFS('Material routes'!$D$6:$D$2205,A533,'Material routes'!$C$6:$C$2205,"Tool candidate")</x:f>
        <x:v>0</x:v>
      </x:c>
      <x:c r="AM533" s="4" t="str">
        <x:f>IF(AJ533&gt;0,"Route listed; review status/completeness",IF(C533="T0","Raw entry feed; no production route","No production route listed"))</x:f>
        <x:v>Raw entry feed; no production route</x:v>
      </x:c>
      <x:c r="AN533" s="4" t="n">
        <x:f>IF(C533="T0",0,IF(C533="T1",1,IF(C533="T2",2,IF(C533="T3",3,IF(C533="T4",4,IF(C533="Unassigned",98,99))))))</x:f>
        <x:v>0</x:v>
      </x:c>
      <x:c r="AZ533"/>
      <x:c r="BA533"/>
      <x:c r="BB533"/>
      <x:c r="BC533"/>
      <x:c r="BD533"/>
      <x:c r="BE533"/>
      <x:c r="BF533"/>
      <x:c r="BG533"/>
      <x:c r="BH533"/>
      <x:c r="BI533"/>
      <x:c r="BJ533"/>
      <x:c r="BK533"/>
      <x:c r="BL533"/>
      <x:c r="BM533"/>
      <x:c r="BN533"/>
      <x:c r="BO533"/>
      <x:c r="BP533"/>
      <x:c r="BQ533"/>
      <x:c r="BR533"/>
      <x:c r="BS533"/>
      <x:c r="BT533"/>
      <x:c r="BU533"/>
      <x:c r="BV533"/>
      <x:c r="BW533"/>
      <x:c r="BX533"/>
      <x:c r="BY533"/>
      <x:c r="BZ533"/>
      <x:c r="CA533"/>
      <x:c r="CB533"/>
      <x:c r="CC533"/>
    </x:row>
    <x:row r="534" ht="115" customHeight="1">
      <x:c r="A534" s="4"/>
      <x:c r="B534" s="4"/>
      <x:c r="C534" s="4"/>
      <x:c r="D534" s="4"/>
      <x:c r="E534" s="4"/>
      <x:c r="F534" s="4"/>
      <x:c r="G534" s="4"/>
      <x:c r="H534" s="4"/>
      <x:c r="I534" s="4"/>
      <x:c r="J534" s="4"/>
      <x:c r="K534" s="4"/>
      <x:c r="L534" s="4"/>
      <x:c r="M534" s="4"/>
      <x:c r="N534" s="4"/>
      <x:c r="O534" s="4"/>
      <x:c r="P534" s="4"/>
      <x:c r="Q534" s="4"/>
      <x:c r="R534" s="4"/>
      <x:c r="S534" s="4"/>
      <x:c r="T534" s="4"/>
      <x:c r="U534" s="4"/>
      <x:c r="V534" s="4"/>
      <x:c r="W534" s="4"/>
      <x:c r="X534" s="4"/>
      <x:c r="Y534" s="4"/>
      <x:c r="Z534" s="4"/>
      <x:c r="AA534" s="4"/>
      <x:c r="AB534" s="4"/>
      <x:c r="AC534" s="4"/>
      <x:c r="AD534" s="4"/>
      <x:c r="AE534" s="4"/>
      <x:c r="AF534" s="4"/>
      <x:c r="AG534" s="4"/>
      <x:c r="AH534" s="4"/>
      <x:c r="AI534" s="4"/>
      <x:c r="AJ534" s="4"/>
      <x:c r="AK534" s="4"/>
      <x:c r="AL534" s="4"/>
      <x:c r="AM534" s="4"/>
      <x:c r="AN534" s="4"/>
      <x:c r="AZ534"/>
      <x:c r="BA534"/>
      <x:c r="BB534"/>
      <x:c r="BC534"/>
      <x:c r="BD534"/>
      <x:c r="BE534"/>
      <x:c r="BF534"/>
      <x:c r="BG534"/>
      <x:c r="BH534"/>
      <x:c r="BI534"/>
      <x:c r="BJ534"/>
      <x:c r="BK534"/>
      <x:c r="BL534"/>
      <x:c r="BM534"/>
      <x:c r="BN534"/>
      <x:c r="BO534"/>
      <x:c r="BP534"/>
      <x:c r="BQ534"/>
      <x:c r="BR534"/>
      <x:c r="BS534"/>
      <x:c r="BT534"/>
      <x:c r="BU534"/>
      <x:c r="BV534"/>
      <x:c r="BW534"/>
      <x:c r="BX534"/>
      <x:c r="BY534"/>
      <x:c r="BZ534"/>
      <x:c r="CA534"/>
      <x:c r="CB534"/>
      <x:c r="CC534"/>
    </x:row>
    <x:row r="535" ht="115" customHeight="1">
      <x:c r="A535" s="4" t="str">
        <x:v>proposal.collection.selected_edible_fauna_gland_tissue</x:v>
      </x:c>
      <x:c r="B535" s="4" t="str">
        <x:v>Selected edible-fauna gland tissue</x:v>
      </x:c>
      <x:c r="C535" s="4" t="str">
        <x:v>T0</x:v>
      </x:c>
      <x:c r="D535" s="4" t="inlineStr">
        <x:is>
          <x:t xml:space="preserve">Cooking ingredients</x:t>
        </x:is>
      </x:c>
      <x:c r="E535" s="4" t="str">
        <x:v>Raw material</x:v>
      </x:c>
      <x:c r="F535" s="4" t="str">
        <x:v>New proposal</x:v>
      </x:c>
      <x:c r="G535" s="4" t="inlineStr">
        <x:is>
          <x:t xml:space="preserve">Species-specific culinary hypothesis requiring edibility review. It supports a food-designated preparation process. Industrial chemicals and unverified biological fractions cannot substitute for selected culinary inputs.</x:t>
        </x:is>
      </x:c>
      <x:c r="H535" s="4" t="str">
        <x:v>None</x:v>
      </x:c>
      <x:c r="I535" s="4" t="str">
        <x:v>Physical inventory / cargo item; dimensions and packing unresolved</x:v>
      </x:c>
      <x:c r="J535" s="4"/>
      <x:c r="K535" s="4"/>
      <x:c r="L535" s="4" t="str">
        <x:v>Collect the specified candidate source</x:v>
      </x:c>
      <x:c r="M535" s="4" t="str">
        <x:v>Select and segregate source material; preparation and yield unresolved</x:v>
      </x:c>
      <x:c r="N535" s="4" t="str">
        <x:v>Not implemented</x:v>
      </x:c>
      <x:c r="O535" s="4" t="str">
        <x:v>Specific dimensions, yield, fit, performance and service conditions remain open.</x:v>
      </x:c>
      <x:c r="P535" s="4"/>
      <x:c r="Q535" s="4"/>
      <x:c r="R535" s="4"/>
      <x:c r="S535" s="4"/>
      <x:c r="T535" s="4"/>
      <x:c r="U535" s="4" t="str">
        <x:v>Candidate inputs are partial. Resolve tools, supporting materials, energy, recovery and compatibility before recipes become craftable.</x:v>
      </x:c>
      <x:c r="V535" s="4" t="str">
        <x:v>selected edible-fauna gland tissue; collection expansion; raw material</x:v>
      </x:c>
      <x:c r="W535" s="4" t="str">
        <x:v>New item proposal, October 15, 2026. Setting reference (source proposal): https://github.com/sleepyseamonster/Arc-Dust/blob/f6f98515c005dc3c73cccd9cbc031691745740c6/02-Arc-Dust-Worldbuilding/world/materials/industrial-material-palette.md</x:v>
      </x:c>
      <x:c r="X535" s="4" t="str">
        <x:v>Raw material</x:v>
      </x:c>
      <x:c r="Y535" s="4" t="str">
        <x:v>Raw</x:v>
      </x:c>
      <x:c r="Z535" s="4" t="str">
        <x:v>Fauna</x:v>
      </x:c>
      <x:c r="AA535" s="4" t="str">
        <x:v>Food preparation</x:v>
      </x:c>
      <x:c r="AB535" s="4" t="str">
        <x:v>Faunal tissue</x:v>
      </x:c>
      <x:c r="AC535" s="4" t="str">
        <x:v>Solid piece</x:v>
      </x:c>
      <x:c r="AD535" s="4" t="str">
        <x:v>Proposal</x:v>
      </x:c>
      <x:c r="AE535" s="4" t="str">
        <x:f>LOWER(A535&amp;"; "&amp;B535&amp;"; "&amp;D535&amp;"; "&amp;E535&amp;"; "&amp;X535&amp;"; "&amp;Y535&amp;"; "&amp;Z535&amp;"; "&amp;AA535&amp;"; "&amp;AB535&amp;"; "&amp;AC535&amp;"; "&amp;AD535&amp;"; "&amp;V535&amp;"; "&amp;C535&amp;"; "&amp;AH535&amp;"; "&amp;AI535)</x:f>
        <x:v>proposal.collection.selected_edible_fauna_gland_tissue; selected edible-fauna gland tissue; cooking ingredients; raw material; raw material; raw; fauna; food preparation; faunal tissue; solid piece; proposal; selected edible-fauna gland tissue; collection expansion; raw material; t0; not applicable; material</x:v>
      </x:c>
      <x:c r="AF535" s="4" t="inlineStr">
        <x:is>
          <x:t xml:space="preserve">Collection expansion classification. Distinct type, use and material family; new item proposal unless author direction is marked. Author correction, October 15, 2026: cooking ingredient, separate from ready-to-consume servings.</x:t>
        </x:is>
      </x:c>
      <x:c r="AG535" s="4" t="str">
        <x:v>Selected candidate processing route places this stock at T0. Raw entry is T0; source rarity does not raise tier.</x:v>
      </x:c>
      <x:c r="AH535" s="4" t="str">
        <x:v>Not applicable</x:v>
      </x:c>
      <x:c r="AI535" s="4" t="str">
        <x:v>Material</x:v>
      </x:c>
      <x:c r="AJ535" s="4" t="n">
        <x:f>COUNTIFS('Material routes'!$D$6:$D$2205,A535,'Material routes'!$C$6:$C$2205,"Output")</x:f>
        <x:v>0</x:v>
      </x:c>
      <x:c r="AK535" s="4" t="n">
        <x:f>SUM(COUNTIFS('Material routes'!$D$6:$D$2205,A535,'Material routes'!$C$6:$C$2205,"Ingredient candidate"),COUNTIFS('Material routes'!$D$6:$D$2205,A535,'Material routes'!$C$6:$C$2205,"Consumed input"),COUNTIFS('Material routes'!$D$6:$D$2205,A535,'Material routes'!$C$6:$C$2205,"Contained input"),COUNTIFS('Material routes'!$D$6:$D$2205,A535,'Material routes'!$C$6:$C$2205,"Transform input"))</x:f>
        <x:v>2</x:v>
      </x:c>
      <x:c r="AL535" s="4" t="n">
        <x:f>COUNTIFS('Material routes'!$D$6:$D$2205,A535,'Material routes'!$C$6:$C$2205,"Tool candidate")</x:f>
        <x:v>0</x:v>
      </x:c>
      <x:c r="AM535" s="4" t="str">
        <x:f>IF(AJ535&gt;0,"Route listed; review status/completeness",IF(C535="T0","Raw entry feed; no production route","No production route listed"))</x:f>
        <x:v>Raw entry feed; no production route</x:v>
      </x:c>
      <x:c r="AN535" s="4" t="n">
        <x:f>IF(C535="T0",0,IF(C535="T1",1,IF(C535="T2",2,IF(C535="T3",3,IF(C535="T4",4,IF(C535="Unassigned",98,99))))))</x:f>
        <x:v>0</x:v>
      </x:c>
      <x:c r="AZ535"/>
      <x:c r="BA535"/>
      <x:c r="BB535"/>
      <x:c r="BC535"/>
      <x:c r="BD535"/>
      <x:c r="BE535"/>
      <x:c r="BF535"/>
      <x:c r="BG535"/>
      <x:c r="BH535"/>
      <x:c r="BI535"/>
      <x:c r="BJ535"/>
      <x:c r="BK535"/>
      <x:c r="BL535"/>
      <x:c r="BM535"/>
      <x:c r="BN535"/>
      <x:c r="BO535"/>
      <x:c r="BP535"/>
      <x:c r="BQ535"/>
      <x:c r="BR535"/>
      <x:c r="BS535"/>
      <x:c r="BT535"/>
      <x:c r="BU535"/>
      <x:c r="BV535"/>
      <x:c r="BW535"/>
      <x:c r="BX535"/>
      <x:c r="BY535"/>
      <x:c r="BZ535"/>
      <x:c r="CA535"/>
      <x:c r="CB535"/>
      <x:c r="CC535"/>
    </x:row>
    <x:row r="536" ht="115" customHeight="1">
      <x:c r="A536" s="4" t="str">
        <x:v>proposal.collection.sorted_nickel_alloying_feed</x:v>
      </x:c>
      <x:c r="B536" s="4" t="str">
        <x:v>Sorted nickel alloying feed</x:v>
      </x:c>
      <x:c r="C536" s="4" t="str">
        <x:v>T1</x:v>
      </x:c>
      <x:c r="D536" s="4" t="str">
        <x:v>Manufactured stock</x:v>
      </x:c>
      <x:c r="E536" s="4" t="str">
        <x:v>Processed material</x:v>
      </x:c>
      <x:c r="F536" s="4" t="str">
        <x:v>New proposal</x:v>
      </x:c>
      <x:c r="G536" s="4" t="inlineStr">
        <x:is>
          <x:t xml:space="preserve">Selected alloying fraction, composition unresolved. It provides candidate material or a shaped starting piece for making other objects, with the final form set by the receiving design.</x:t>
        </x:is>
      </x:c>
      <x:c r="H536" s="4" t="str">
        <x:v>None</x:v>
      </x:c>
      <x:c r="I536" s="4" t="str">
        <x:v>Physical inventory / cargo item; dimensions and packing unresolved</x:v>
      </x:c>
      <x:c r="J536" s="4"/>
      <x:c r="K536" s="4"/>
      <x:c r="L536" s="4" t="str">
        <x:v>Candidate preparation: design.collection.sorted_nickel_alloying_feed. Full inputs are in Crafting browser.</x:v>
      </x:c>
      <x:c r="M536" s="4" t="str">
        <x:v>Candidate workshop or contained preparation route; detailed tools, quantities and conditions unresolved</x:v>
      </x:c>
      <x:c r="N536" s="4" t="str">
        <x:v>Not implemented</x:v>
      </x:c>
      <x:c r="O536" s="4" t="str">
        <x:v>Specific dimensions, yield, fit, performance and service conditions remain open.</x:v>
      </x:c>
      <x:c r="P536" s="4"/>
      <x:c r="Q536" s="4"/>
      <x:c r="R536" s="4"/>
      <x:c r="S536" s="4"/>
      <x:c r="T536" s="4"/>
      <x:c r="U536" s="4" t="str">
        <x:v>Candidate inputs are partial. Resolve tools, supporting materials, energy, recovery and compatibility before recipes become craftable.</x:v>
      </x:c>
      <x:c r="V536" s="4" t="str">
        <x:v>sorted nickel alloying feed; collection expansion; processed material</x:v>
      </x:c>
      <x:c r="W536" s="4" t="str">
        <x:v>New item proposal, October 15, 2026. Setting reference (source proposal): https://github.com/sleepyseamonster/Arc-Dust/blob/f6f98515c005dc3c73cccd9cbc031691745740c6/02-Arc-Dust-Worldbuilding/world/materials/industrial-material-palette.md</x:v>
      </x:c>
      <x:c r="X536" s="4" t="str">
        <x:v>Processed material</x:v>
      </x:c>
      <x:c r="Y536" s="4" t="str">
        <x:v>Processed intermediate</x:v>
      </x:c>
      <x:c r="Z536" s="4" t="str">
        <x:v>Manufactured / unresolved</x:v>
      </x:c>
      <x:c r="AA536" s="4" t="str">
        <x:v>Fabrication</x:v>
      </x:c>
      <x:c r="AB536" s="4" t="str">
        <x:v>Mineral</x:v>
      </x:c>
      <x:c r="AC536" s="4" t="str">
        <x:v>Particles</x:v>
      </x:c>
      <x:c r="AD536" s="4" t="str">
        <x:v>Proposal</x:v>
      </x:c>
      <x:c r="AE536" s="4" t="str">
        <x:f>LOWER(A536&amp;"; "&amp;B536&amp;"; "&amp;D536&amp;"; "&amp;E536&amp;"; "&amp;X536&amp;"; "&amp;Y536&amp;"; "&amp;Z536&amp;"; "&amp;AA536&amp;"; "&amp;AB536&amp;"; "&amp;AC536&amp;"; "&amp;AD536&amp;"; "&amp;V536&amp;"; "&amp;C536&amp;"; "&amp;AH536&amp;"; "&amp;AI536)</x:f>
        <x:v>proposal.collection.sorted_nickel_alloying_feed; sorted nickel alloying feed; manufactured stock; processed material; processed material; processed intermediate; manufactured / unresolved; fabrication; mineral; particles; proposal; sorted nickel alloying feed; collection expansion; processed material; t1; not applicable; material</x:v>
      </x:c>
      <x:c r="AF536" s="4" t="str">
        <x:v>Collection expansion classification. Distinct type, use and material family; new item proposal unless author direction is marked. October 15 audit: classification/handling clarified; item identity, design status and material tier preserved.</x:v>
      </x:c>
      <x:c r="AG536" s="4" t="str">
        <x:v>Selected candidate processing route places this stock at T1. Raw entry is T0; source rarity does not raise tier.</x:v>
      </x:c>
      <x:c r="AH536" s="4" t="str">
        <x:v>Not applicable</x:v>
      </x:c>
      <x:c r="AI536" s="4" t="str">
        <x:v>Material</x:v>
      </x:c>
      <x:c r="AJ536" s="4" t="n">
        <x:f>COUNTIFS('Material routes'!$D$6:$D$2205,A536,'Material routes'!$C$6:$C$2205,"Output")</x:f>
        <x:v>1</x:v>
      </x:c>
      <x:c r="AK536" s="4" t="n">
        <x:f>SUM(COUNTIFS('Material routes'!$D$6:$D$2205,A536,'Material routes'!$C$6:$C$2205,"Ingredient candidate"),COUNTIFS('Material routes'!$D$6:$D$2205,A536,'Material routes'!$C$6:$C$2205,"Consumed input"),COUNTIFS('Material routes'!$D$6:$D$2205,A536,'Material routes'!$C$6:$C$2205,"Contained input"),COUNTIFS('Material routes'!$D$6:$D$2205,A536,'Material routes'!$C$6:$C$2205,"Transform input"))</x:f>
        <x:v>0</x:v>
      </x:c>
      <x:c r="AL536" s="4" t="n">
        <x:f>COUNTIFS('Material routes'!$D$6:$D$2205,A536,'Material routes'!$C$6:$C$2205,"Tool candidate")</x:f>
        <x:v>0</x:v>
      </x:c>
      <x:c r="AM536" s="4" t="str">
        <x:f>IF(AJ536&gt;0,"Route listed; review status/completeness",IF(C536="T0","Raw entry feed; no production route","No production route listed"))</x:f>
        <x:v>Route listed; review status/completeness</x:v>
      </x:c>
      <x:c r="AN536" s="4" t="n">
        <x:f>IF(C536="T0",0,IF(C536="T1",1,IF(C536="T2",2,IF(C536="T3",3,IF(C536="T4",4,IF(C536="Unassigned",98,99))))))</x:f>
        <x:v>1</x:v>
      </x:c>
      <x:c r="AZ536"/>
      <x:c r="BA536"/>
      <x:c r="BB536"/>
      <x:c r="BC536"/>
      <x:c r="BD536"/>
      <x:c r="BE536"/>
      <x:c r="BF536"/>
      <x:c r="BG536"/>
      <x:c r="BH536"/>
      <x:c r="BI536"/>
      <x:c r="BJ536"/>
      <x:c r="BK536"/>
      <x:c r="BL536"/>
      <x:c r="BM536"/>
      <x:c r="BN536"/>
      <x:c r="BO536"/>
      <x:c r="BP536"/>
      <x:c r="BQ536"/>
      <x:c r="BR536"/>
      <x:c r="BS536"/>
      <x:c r="BT536"/>
      <x:c r="BU536"/>
      <x:c r="BV536"/>
      <x:c r="BW536"/>
      <x:c r="BX536"/>
      <x:c r="BY536"/>
      <x:c r="BZ536"/>
      <x:c r="CA536"/>
      <x:c r="CB536"/>
      <x:c r="CC536"/>
    </x:row>
    <x:row r="537" ht="115" customHeight="1">
      <x:c r="A537" s="4" t="str">
        <x:v>proposal.collection.sorted_tin_smelter_feed</x:v>
      </x:c>
      <x:c r="B537" s="4" t="str">
        <x:v>Sorted tin smelter feed</x:v>
      </x:c>
      <x:c r="C537" s="4" t="str">
        <x:v>T1</x:v>
      </x:c>
      <x:c r="D537" s="4" t="str">
        <x:v>Manufactured stock</x:v>
      </x:c>
      <x:c r="E537" s="4" t="str">
        <x:v>Processed material</x:v>
      </x:c>
      <x:c r="F537" s="4" t="str">
        <x:v>New proposal</x:v>
      </x:c>
      <x:c r="G537" s="4" t="inlineStr">
        <x:is>
          <x:t xml:space="preserve">Concentrated candidate bronze feed. It provides candidate material or a shaped starting piece for making other objects, with the final form set by the receiving design.</x:t>
        </x:is>
      </x:c>
      <x:c r="H537" s="4" t="str">
        <x:v>None</x:v>
      </x:c>
      <x:c r="I537" s="4" t="str">
        <x:v>Physical inventory / cargo item; dimensions and packing unresolved</x:v>
      </x:c>
      <x:c r="J537" s="4"/>
      <x:c r="K537" s="4"/>
      <x:c r="L537" s="4" t="str">
        <x:v>Candidate preparation: design.collection.sorted_tin_smelter_feed. Full inputs are in Crafting browser.</x:v>
      </x:c>
      <x:c r="M537" s="4" t="str">
        <x:v>Candidate workshop or contained preparation route; detailed tools, quantities and conditions unresolved</x:v>
      </x:c>
      <x:c r="N537" s="4" t="str">
        <x:v>Not implemented</x:v>
      </x:c>
      <x:c r="O537" s="4" t="str">
        <x:v>Specific dimensions, yield, fit, performance and service conditions remain open.</x:v>
      </x:c>
      <x:c r="P537" s="4"/>
      <x:c r="Q537" s="4"/>
      <x:c r="R537" s="4"/>
      <x:c r="S537" s="4"/>
      <x:c r="T537" s="4"/>
      <x:c r="U537" s="4" t="str">
        <x:v>Candidate inputs are partial. Resolve tools, supporting materials, energy, recovery and compatibility before recipes become craftable.</x:v>
      </x:c>
      <x:c r="V537" s="4" t="str">
        <x:v>sorted tin smelter feed; collection expansion; processed material</x:v>
      </x:c>
      <x:c r="W537" s="4" t="str">
        <x:v>New item proposal, October 15, 2026. Setting reference (source proposal): https://github.com/sleepyseamonster/Arc-Dust/blob/f6f98515c005dc3c73cccd9cbc031691745740c6/02-Arc-Dust-Worldbuilding/world/materials/industrial-material-palette.md</x:v>
      </x:c>
      <x:c r="X537" s="4" t="str">
        <x:v>Processed material</x:v>
      </x:c>
      <x:c r="Y537" s="4" t="str">
        <x:v>Processed intermediate</x:v>
      </x:c>
      <x:c r="Z537" s="4" t="str">
        <x:v>Manufactured / unresolved</x:v>
      </x:c>
      <x:c r="AA537" s="4" t="str">
        <x:v>Fabrication</x:v>
      </x:c>
      <x:c r="AB537" s="4" t="str">
        <x:v>Mineral</x:v>
      </x:c>
      <x:c r="AC537" s="4" t="str">
        <x:v>Particles</x:v>
      </x:c>
      <x:c r="AD537" s="4" t="str">
        <x:v>Proposal</x:v>
      </x:c>
      <x:c r="AE537" s="4" t="str">
        <x:f>LOWER(A537&amp;"; "&amp;B537&amp;"; "&amp;D537&amp;"; "&amp;E537&amp;"; "&amp;X537&amp;"; "&amp;Y537&amp;"; "&amp;Z537&amp;"; "&amp;AA537&amp;"; "&amp;AB537&amp;"; "&amp;AC537&amp;"; "&amp;AD537&amp;"; "&amp;V537&amp;"; "&amp;C537&amp;"; "&amp;AH537&amp;"; "&amp;AI537)</x:f>
        <x:v>proposal.collection.sorted_tin_smelter_feed; sorted tin smelter feed; manufactured stock; processed material; processed material; processed intermediate; manufactured / unresolved; fabrication; mineral; particles; proposal; sorted tin smelter feed; collection expansion; processed material; t1; not applicable; material</x:v>
      </x:c>
      <x:c r="AF537" s="4" t="str">
        <x:v>Collection expansion classification. Distinct type, use and material family; new item proposal unless author direction is marked. October 15 audit: classification/handling clarified; item identity, design status and material tier preserved.</x:v>
      </x:c>
      <x:c r="AG537" s="4" t="str">
        <x:v>Selected candidate processing route places this stock at T1. Raw entry is T0; source rarity does not raise tier.</x:v>
      </x:c>
      <x:c r="AH537" s="4" t="str">
        <x:v>Not applicable</x:v>
      </x:c>
      <x:c r="AI537" s="4" t="str">
        <x:v>Material</x:v>
      </x:c>
      <x:c r="AJ537" s="4" t="n">
        <x:f>COUNTIFS('Material routes'!$D$6:$D$2205,A537,'Material routes'!$C$6:$C$2205,"Output")</x:f>
        <x:v>1</x:v>
      </x:c>
      <x:c r="AK537" s="4" t="n">
        <x:f>SUM(COUNTIFS('Material routes'!$D$6:$D$2205,A537,'Material routes'!$C$6:$C$2205,"Ingredient candidate"),COUNTIFS('Material routes'!$D$6:$D$2205,A537,'Material routes'!$C$6:$C$2205,"Consumed input"),COUNTIFS('Material routes'!$D$6:$D$2205,A537,'Material routes'!$C$6:$C$2205,"Contained input"),COUNTIFS('Material routes'!$D$6:$D$2205,A537,'Material routes'!$C$6:$C$2205,"Transform input"))</x:f>
        <x:v>0</x:v>
      </x:c>
      <x:c r="AL537" s="4" t="n">
        <x:f>COUNTIFS('Material routes'!$D$6:$D$2205,A537,'Material routes'!$C$6:$C$2205,"Tool candidate")</x:f>
        <x:v>0</x:v>
      </x:c>
      <x:c r="AM537" s="4" t="str">
        <x:f>IF(AJ537&gt;0,"Route listed; review status/completeness",IF(C537="T0","Raw entry feed; no production route","No production route listed"))</x:f>
        <x:v>Route listed; review status/completeness</x:v>
      </x:c>
      <x:c r="AN537" s="4" t="n">
        <x:f>IF(C537="T0",0,IF(C537="T1",1,IF(C537="T2",2,IF(C537="T3",3,IF(C537="T4",4,IF(C537="Unassigned",98,99))))))</x:f>
        <x:v>1</x:v>
      </x:c>
      <x:c r="AZ537"/>
      <x:c r="BA537"/>
      <x:c r="BB537"/>
      <x:c r="BC537"/>
      <x:c r="BD537"/>
      <x:c r="BE537"/>
      <x:c r="BF537"/>
      <x:c r="BG537"/>
      <x:c r="BH537"/>
      <x:c r="BI537"/>
      <x:c r="BJ537"/>
      <x:c r="BK537"/>
      <x:c r="BL537"/>
      <x:c r="BM537"/>
      <x:c r="BN537"/>
      <x:c r="BO537"/>
      <x:c r="BP537"/>
      <x:c r="BQ537"/>
      <x:c r="BR537"/>
      <x:c r="BS537"/>
      <x:c r="BT537"/>
      <x:c r="BU537"/>
      <x:c r="BV537"/>
      <x:c r="BW537"/>
      <x:c r="BX537"/>
      <x:c r="BY537"/>
      <x:c r="BZ537"/>
      <x:c r="CA537"/>
      <x:c r="CB537"/>
      <x:c r="CC537"/>
    </x:row>
    <x:row r="538" ht="115" customHeight="1">
      <x:c r="A538" s="4" t="str">
        <x:v>proposal.collection.prepared_kaolin_body_stock</x:v>
      </x:c>
      <x:c r="B538" s="4" t="str">
        <x:v>Prepared kaolin body stock</x:v>
      </x:c>
      <x:c r="C538" s="4" t="str">
        <x:v>T2</x:v>
      </x:c>
      <x:c r="D538" s="4" t="str">
        <x:v>Manufactured stock</x:v>
      </x:c>
      <x:c r="E538" s="4" t="str">
        <x:v>Processed material</x:v>
      </x:c>
      <x:c r="F538" s="4" t="str">
        <x:v>New proposal</x:v>
      </x:c>
      <x:c r="G538" s="4" t="inlineStr">
        <x:is>
          <x:t xml:space="preserve">Fine ceramic shaping mixture. It provides candidate material or a shaped starting piece for making other objects, with the final form set by the receiving design.</x:t>
        </x:is>
      </x:c>
      <x:c r="H538" s="4" t="str">
        <x:v>None</x:v>
      </x:c>
      <x:c r="I538" s="4" t="str">
        <x:v>Physical inventory / cargo item; dimensions and packing unresolved</x:v>
      </x:c>
      <x:c r="J538" s="4"/>
      <x:c r="K538" s="4"/>
      <x:c r="L538" s="4" t="str">
        <x:v>Candidate preparation: design.collection.prepared_kaolin_body_stock. Full inputs are in Crafting browser.</x:v>
      </x:c>
      <x:c r="M538" s="4" t="str">
        <x:v>Candidate workshop or contained preparation route; detailed tools, quantities and conditions unresolved</x:v>
      </x:c>
      <x:c r="N538" s="4" t="str">
        <x:v>Not implemented</x:v>
      </x:c>
      <x:c r="O538" s="4" t="str">
        <x:v>Specific dimensions, yield, fit, performance and service conditions remain open.</x:v>
      </x:c>
      <x:c r="P538" s="4"/>
      <x:c r="Q538" s="4"/>
      <x:c r="R538" s="4"/>
      <x:c r="S538" s="4"/>
      <x:c r="T538" s="4"/>
      <x:c r="U538" s="4" t="str">
        <x:v>Candidate inputs are partial. Resolve tools, supporting materials, energy, recovery and compatibility before recipes become craftable.</x:v>
      </x:c>
      <x:c r="V538" s="4" t="str">
        <x:v>prepared kaolin body stock; collection expansion; processed material</x:v>
      </x:c>
      <x:c r="W538" s="4" t="str">
        <x:v>New item proposal, October 15, 2026. Setting reference (source proposal): https://github.com/sleepyseamonster/Arc-Dust/blob/f6f98515c005dc3c73cccd9cbc031691745740c6/02-Arc-Dust-Worldbuilding/world/materials/industrial-material-palette.md</x:v>
      </x:c>
      <x:c r="X538" s="4" t="str">
        <x:v>Processed material</x:v>
      </x:c>
      <x:c r="Y538" s="4" t="str">
        <x:v>Processed intermediate</x:v>
      </x:c>
      <x:c r="Z538" s="4" t="str">
        <x:v>Manufactured / unresolved</x:v>
      </x:c>
      <x:c r="AA538" s="4" t="str">
        <x:v>Fabrication</x:v>
      </x:c>
      <x:c r="AB538" s="4" t="str">
        <x:v>Ceramic feed mixture</x:v>
      </x:c>
      <x:c r="AC538" s="4" t="str">
        <x:v>Particles</x:v>
      </x:c>
      <x:c r="AD538" s="4" t="str">
        <x:v>Proposal</x:v>
      </x:c>
      <x:c r="AE538" s="4" t="str">
        <x:f>LOWER(A538&amp;"; "&amp;B538&amp;"; "&amp;D538&amp;"; "&amp;E538&amp;"; "&amp;X538&amp;"; "&amp;Y538&amp;"; "&amp;Z538&amp;"; "&amp;AA538&amp;"; "&amp;AB538&amp;"; "&amp;AC538&amp;"; "&amp;AD538&amp;"; "&amp;V538&amp;"; "&amp;C538&amp;"; "&amp;AH538&amp;"; "&amp;AI538)</x:f>
        <x:v>proposal.collection.prepared_kaolin_body_stock; prepared kaolin body stock; manufactured stock; processed material; processed material; processed intermediate; manufactured / unresolved; fabrication; ceramic feed mixture; particles; proposal; prepared kaolin body stock; collection expansion; processed material; t2; not applicable; material</x:v>
      </x:c>
      <x:c r="AF538" s="4" t="str">
        <x:v>Collection expansion classification. Distinct type, use and material family; new item proposal unless author direction is marked. October 15 audit: classification/handling clarified; item identity, design status and material tier preserved.</x:v>
      </x:c>
      <x:c r="AG538" s="4" t="str">
        <x:v>Selected candidate processing route places this stock at T2. Raw entry is T0; source rarity does not raise tier.</x:v>
      </x:c>
      <x:c r="AH538" s="4" t="str">
        <x:v>Not applicable</x:v>
      </x:c>
      <x:c r="AI538" s="4" t="str">
        <x:v>Material</x:v>
      </x:c>
      <x:c r="AJ538" s="4" t="n">
        <x:f>COUNTIFS('Material routes'!$D$6:$D$2205,A538,'Material routes'!$C$6:$C$2205,"Output")</x:f>
        <x:v>1</x:v>
      </x:c>
      <x:c r="AK538" s="4" t="n">
        <x:f>SUM(COUNTIFS('Material routes'!$D$6:$D$2205,A538,'Material routes'!$C$6:$C$2205,"Ingredient candidate"),COUNTIFS('Material routes'!$D$6:$D$2205,A538,'Material routes'!$C$6:$C$2205,"Consumed input"),COUNTIFS('Material routes'!$D$6:$D$2205,A538,'Material routes'!$C$6:$C$2205,"Contained input"),COUNTIFS('Material routes'!$D$6:$D$2205,A538,'Material routes'!$C$6:$C$2205,"Transform input"))</x:f>
        <x:v>0</x:v>
      </x:c>
      <x:c r="AL538" s="4" t="n">
        <x:f>COUNTIFS('Material routes'!$D$6:$D$2205,A538,'Material routes'!$C$6:$C$2205,"Tool candidate")</x:f>
        <x:v>0</x:v>
      </x:c>
      <x:c r="AM538" s="4" t="str">
        <x:f>IF(AJ538&gt;0,"Route listed; review status/completeness",IF(C538="T0","Raw entry feed; no production route","No production route listed"))</x:f>
        <x:v>Route listed; review status/completeness</x:v>
      </x:c>
      <x:c r="AN538" s="4" t="n">
        <x:f>IF(C538="T0",0,IF(C538="T1",1,IF(C538="T2",2,IF(C538="T3",3,IF(C538="T4",4,IF(C538="Unassigned",98,99))))))</x:f>
        <x:v>2</x:v>
      </x:c>
      <x:c r="AZ538"/>
      <x:c r="BA538"/>
      <x:c r="BB538"/>
      <x:c r="BC538"/>
      <x:c r="BD538"/>
      <x:c r="BE538"/>
      <x:c r="BF538"/>
      <x:c r="BG538"/>
      <x:c r="BH538"/>
      <x:c r="BI538"/>
      <x:c r="BJ538"/>
      <x:c r="BK538"/>
      <x:c r="BL538"/>
      <x:c r="BM538"/>
      <x:c r="BN538"/>
      <x:c r="BO538"/>
      <x:c r="BP538"/>
      <x:c r="BQ538"/>
      <x:c r="BR538"/>
      <x:c r="BS538"/>
      <x:c r="BT538"/>
      <x:c r="BU538"/>
      <x:c r="BV538"/>
      <x:c r="BW538"/>
      <x:c r="BX538"/>
      <x:c r="BY538"/>
      <x:c r="BZ538"/>
      <x:c r="CA538"/>
      <x:c r="CB538"/>
      <x:c r="CC538"/>
    </x:row>
    <x:row r="539" ht="115" customHeight="1">
      <x:c r="A539" s="4" t="str">
        <x:v>proposal.collection.graded_magnesite_refractory_meal</x:v>
      </x:c>
      <x:c r="B539" s="4" t="str">
        <x:v>Graded magnesite refractory meal</x:v>
      </x:c>
      <x:c r="C539" s="4" t="str">
        <x:v>T1</x:v>
      </x:c>
      <x:c r="D539" s="4" t="str">
        <x:v>Manufactured stock</x:v>
      </x:c>
      <x:c r="E539" s="4" t="str">
        <x:v>Processed material</x:v>
      </x:c>
      <x:c r="F539" s="4" t="str">
        <x:v>New proposal</x:v>
      </x:c>
      <x:c r="G539" s="4" t="inlineStr">
        <x:is>
          <x:t xml:space="preserve">Candidate high-temperature vessel feed. It provides candidate material or a shaped starting piece for making other objects, with the final form set by the receiving design.</x:t>
        </x:is>
      </x:c>
      <x:c r="H539" s="4" t="str">
        <x:v>None</x:v>
      </x:c>
      <x:c r="I539" s="4" t="str">
        <x:v>Physical inventory / cargo item; dimensions and packing unresolved</x:v>
      </x:c>
      <x:c r="J539" s="4"/>
      <x:c r="K539" s="4"/>
      <x:c r="L539" s="4" t="str">
        <x:v>Candidate preparation: design.collection.graded_magnesite_refractory_meal. Full inputs are in Crafting browser.</x:v>
      </x:c>
      <x:c r="M539" s="4" t="str">
        <x:v>Candidate workshop or contained preparation route; detailed tools, quantities and conditions unresolved</x:v>
      </x:c>
      <x:c r="N539" s="4" t="str">
        <x:v>Not implemented</x:v>
      </x:c>
      <x:c r="O539" s="4" t="str">
        <x:v>Specific dimensions, yield, fit, performance and service conditions remain open.</x:v>
      </x:c>
      <x:c r="P539" s="4"/>
      <x:c r="Q539" s="4"/>
      <x:c r="R539" s="4"/>
      <x:c r="S539" s="4"/>
      <x:c r="T539" s="4"/>
      <x:c r="U539" s="4" t="str">
        <x:v>Candidate inputs are partial. Resolve tools, supporting materials, energy, recovery and compatibility before recipes become craftable.</x:v>
      </x:c>
      <x:c r="V539" s="4" t="str">
        <x:v>graded magnesite refractory meal; collection expansion; processed material</x:v>
      </x:c>
      <x:c r="W539" s="4" t="str">
        <x:v>New item proposal, October 15, 2026. Setting reference (source proposal): https://github.com/sleepyseamonster/Arc-Dust/blob/f6f98515c005dc3c73cccd9cbc031691745740c6/02-Arc-Dust-Worldbuilding/world/materials/industrial-material-palette.md</x:v>
      </x:c>
      <x:c r="X539" s="4" t="str">
        <x:v>Processed material</x:v>
      </x:c>
      <x:c r="Y539" s="4" t="str">
        <x:v>Processed intermediate</x:v>
      </x:c>
      <x:c r="Z539" s="4" t="str">
        <x:v>Manufactured / unresolved</x:v>
      </x:c>
      <x:c r="AA539" s="4" t="str">
        <x:v>Fabrication</x:v>
      </x:c>
      <x:c r="AB539" s="4" t="str">
        <x:v>Mineral</x:v>
      </x:c>
      <x:c r="AC539" s="4" t="str">
        <x:v>Particles</x:v>
      </x:c>
      <x:c r="AD539" s="4" t="str">
        <x:v>Proposal</x:v>
      </x:c>
      <x:c r="AE539" s="4" t="str">
        <x:f>LOWER(A539&amp;"; "&amp;B539&amp;"; "&amp;D539&amp;"; "&amp;E539&amp;"; "&amp;X539&amp;"; "&amp;Y539&amp;"; "&amp;Z539&amp;"; "&amp;AA539&amp;"; "&amp;AB539&amp;"; "&amp;AC539&amp;"; "&amp;AD539&amp;"; "&amp;V539&amp;"; "&amp;C539&amp;"; "&amp;AH539&amp;"; "&amp;AI539)</x:f>
        <x:v>proposal.collection.graded_magnesite_refractory_meal; graded magnesite refractory meal; manufactured stock; processed material; processed material; processed intermediate; manufactured / unresolved; fabrication; mineral; particles; proposal; graded magnesite refractory meal; collection expansion; processed material; t1; not applicable; material</x:v>
      </x:c>
      <x:c r="AF539" s="4" t="str">
        <x:v>Collection expansion classification. Distinct type, use and material family; new item proposal unless author direction is marked. October 15 audit: classification/handling clarified; item identity, design status and material tier preserved.</x:v>
      </x:c>
      <x:c r="AG539" s="4" t="str">
        <x:v>Selected candidate processing route places this stock at T1. Raw entry is T0; source rarity does not raise tier.</x:v>
      </x:c>
      <x:c r="AH539" s="4" t="str">
        <x:v>Not applicable</x:v>
      </x:c>
      <x:c r="AI539" s="4" t="str">
        <x:v>Material</x:v>
      </x:c>
      <x:c r="AJ539" s="4" t="n">
        <x:f>COUNTIFS('Material routes'!$D$6:$D$2205,A539,'Material routes'!$C$6:$C$2205,"Output")</x:f>
        <x:v>1</x:v>
      </x:c>
      <x:c r="AK539" s="4" t="n">
        <x:f>SUM(COUNTIFS('Material routes'!$D$6:$D$2205,A539,'Material routes'!$C$6:$C$2205,"Ingredient candidate"),COUNTIFS('Material routes'!$D$6:$D$2205,A539,'Material routes'!$C$6:$C$2205,"Consumed input"),COUNTIFS('Material routes'!$D$6:$D$2205,A539,'Material routes'!$C$6:$C$2205,"Contained input"),COUNTIFS('Material routes'!$D$6:$D$2205,A539,'Material routes'!$C$6:$C$2205,"Transform input"))</x:f>
        <x:v>0</x:v>
      </x:c>
      <x:c r="AL539" s="4" t="n">
        <x:f>COUNTIFS('Material routes'!$D$6:$D$2205,A539,'Material routes'!$C$6:$C$2205,"Tool candidate")</x:f>
        <x:v>0</x:v>
      </x:c>
      <x:c r="AM539" s="4" t="str">
        <x:f>IF(AJ539&gt;0,"Route listed; review status/completeness",IF(C539="T0","Raw entry feed; no production route","No production route listed"))</x:f>
        <x:v>Route listed; review status/completeness</x:v>
      </x:c>
      <x:c r="AN539" s="4" t="n">
        <x:f>IF(C539="T0",0,IF(C539="T1",1,IF(C539="T2",2,IF(C539="T3",3,IF(C539="T4",4,IF(C539="Unassigned",98,99))))))</x:f>
        <x:v>1</x:v>
      </x:c>
      <x:c r="AZ539"/>
      <x:c r="BA539"/>
      <x:c r="BB539"/>
      <x:c r="BC539"/>
      <x:c r="BD539"/>
      <x:c r="BE539"/>
      <x:c r="BF539"/>
      <x:c r="BG539"/>
      <x:c r="BH539"/>
      <x:c r="BI539"/>
      <x:c r="BJ539"/>
      <x:c r="BK539"/>
      <x:c r="BL539"/>
      <x:c r="BM539"/>
      <x:c r="BN539"/>
      <x:c r="BO539"/>
      <x:c r="BP539"/>
      <x:c r="BQ539"/>
      <x:c r="BR539"/>
      <x:c r="BS539"/>
      <x:c r="BT539"/>
      <x:c r="BU539"/>
      <x:c r="BV539"/>
      <x:c r="BW539"/>
      <x:c r="BX539"/>
      <x:c r="BY539"/>
      <x:c r="BZ539"/>
      <x:c r="CA539"/>
      <x:c r="CB539"/>
      <x:c r="CC539"/>
    </x:row>
    <x:row r="540" ht="115" customHeight="1">
      <x:c r="A540" s="4" t="str">
        <x:v>proposal.collection.drawn_bronze_strip_stock</x:v>
      </x:c>
      <x:c r="B540" s="4" t="str">
        <x:v>Drawn bronze strip stock</x:v>
      </x:c>
      <x:c r="C540" s="4" t="str">
        <x:v>T2</x:v>
      </x:c>
      <x:c r="D540" s="4" t="str">
        <x:v>Manufactured stock</x:v>
      </x:c>
      <x:c r="E540" s="4" t="str">
        <x:v>Processed material</x:v>
      </x:c>
      <x:c r="F540" s="4" t="str">
        <x:v>New proposal</x:v>
      </x:c>
      <x:c r="G540" s="4" t="inlineStr">
        <x:is>
          <x:t xml:space="preserve">Spring, decorative and contact stock distinct from bearing bronze. It provides candidate material or a shaped starting piece for making other objects, with the final form set by the receiving design.</x:t>
        </x:is>
      </x:c>
      <x:c r="H540" s="4" t="str">
        <x:v>None</x:v>
      </x:c>
      <x:c r="I540" s="4" t="str">
        <x:v>Physical inventory / cargo item; dimensions and packing unresolved</x:v>
      </x:c>
      <x:c r="J540" s="4"/>
      <x:c r="K540" s="4"/>
      <x:c r="L540" s="4" t="str">
        <x:v>Candidate preparation: design.collection.drawn_bronze_strip_stock. Full inputs are in Crafting browser.</x:v>
      </x:c>
      <x:c r="M540" s="4" t="str">
        <x:v>Candidate workshop or contained preparation route; detailed tools, quantities and conditions unresolved</x:v>
      </x:c>
      <x:c r="N540" s="4" t="str">
        <x:v>Not implemented</x:v>
      </x:c>
      <x:c r="O540" s="4" t="str">
        <x:v>Specific dimensions, yield, fit, performance and service conditions remain open.</x:v>
      </x:c>
      <x:c r="P540" s="4"/>
      <x:c r="Q540" s="4"/>
      <x:c r="R540" s="4"/>
      <x:c r="S540" s="4"/>
      <x:c r="T540" s="4"/>
      <x:c r="U540" s="4" t="str">
        <x:v>Candidate inputs are partial. Resolve tools, supporting materials, energy, recovery and compatibility before recipes become craftable.</x:v>
      </x:c>
      <x:c r="V540" s="4" t="str">
        <x:v>drawn bronze strip stock; collection expansion; processed material</x:v>
      </x:c>
      <x:c r="W540" s="4" t="str">
        <x:v>New item proposal, October 15, 2026. Setting reference (source proposal): https://github.com/sleepyseamonster/Arc-Dust/blob/f6f98515c005dc3c73cccd9cbc031691745740c6/02-Arc-Dust-Worldbuilding/world/materials/industrial-material-palette.md</x:v>
      </x:c>
      <x:c r="X540" s="4" t="str">
        <x:v>Processed material</x:v>
      </x:c>
      <x:c r="Y540" s="4" t="str">
        <x:v>Processed intermediate</x:v>
      </x:c>
      <x:c r="Z540" s="4" t="str">
        <x:v>Manufactured / unresolved</x:v>
      </x:c>
      <x:c r="AA540" s="4" t="str">
        <x:v>Fabrication</x:v>
      </x:c>
      <x:c r="AB540" s="4" t="str">
        <x:v>Metal</x:v>
      </x:c>
      <x:c r="AC540" s="4" t="str">
        <x:v>Strip</x:v>
      </x:c>
      <x:c r="AD540" s="4" t="str">
        <x:v>Proposal</x:v>
      </x:c>
      <x:c r="AE540" s="4" t="str">
        <x:f>LOWER(A540&amp;"; "&amp;B540&amp;"; "&amp;D540&amp;"; "&amp;E540&amp;"; "&amp;X540&amp;"; "&amp;Y540&amp;"; "&amp;Z540&amp;"; "&amp;AA540&amp;"; "&amp;AB540&amp;"; "&amp;AC540&amp;"; "&amp;AD540&amp;"; "&amp;V540&amp;"; "&amp;C540&amp;"; "&amp;AH540&amp;"; "&amp;AI540)</x:f>
        <x:v>proposal.collection.drawn_bronze_strip_stock; drawn bronze strip stock; manufactured stock; processed material; processed material; processed intermediate; manufactured / unresolved; fabrication; metal; strip; proposal; drawn bronze strip stock; collection expansion; processed material; t2; not applicable; material</x:v>
      </x:c>
      <x:c r="AF540" s="4" t="str">
        <x:v>Collection expansion classification. Distinct type, use and material family; new item proposal unless author direction is marked. October 15 audit: classification/handling clarified; item identity, design status and material tier preserved.</x:v>
      </x:c>
      <x:c r="AG540" s="4" t="str">
        <x:v>Selected candidate processing route places this stock at T2. Raw entry is T0; source rarity does not raise tier.</x:v>
      </x:c>
      <x:c r="AH540" s="4" t="str">
        <x:v>Not applicable</x:v>
      </x:c>
      <x:c r="AI540" s="4" t="str">
        <x:v>Material</x:v>
      </x:c>
      <x:c r="AJ540" s="4" t="n">
        <x:f>COUNTIFS('Material routes'!$D$6:$D$2205,A540,'Material routes'!$C$6:$C$2205,"Output")</x:f>
        <x:v>1</x:v>
      </x:c>
      <x:c r="AK540" s="4" t="n">
        <x:f>SUM(COUNTIFS('Material routes'!$D$6:$D$2205,A540,'Material routes'!$C$6:$C$2205,"Ingredient candidate"),COUNTIFS('Material routes'!$D$6:$D$2205,A540,'Material routes'!$C$6:$C$2205,"Consumed input"),COUNTIFS('Material routes'!$D$6:$D$2205,A540,'Material routes'!$C$6:$C$2205,"Contained input"),COUNTIFS('Material routes'!$D$6:$D$2205,A540,'Material routes'!$C$6:$C$2205,"Transform input"))</x:f>
        <x:v>12</x:v>
      </x:c>
      <x:c r="AL540" s="4" t="n">
        <x:f>COUNTIFS('Material routes'!$D$6:$D$2205,A540,'Material routes'!$C$6:$C$2205,"Tool candidate")</x:f>
        <x:v>0</x:v>
      </x:c>
      <x:c r="AM540" s="4" t="str">
        <x:f>IF(AJ540&gt;0,"Route listed; review status/completeness",IF(C540="T0","Raw entry feed; no production route","No production route listed"))</x:f>
        <x:v>Route listed; review status/completeness</x:v>
      </x:c>
      <x:c r="AN540" s="4" t="n">
        <x:f>IF(C540="T0",0,IF(C540="T1",1,IF(C540="T2",2,IF(C540="T3",3,IF(C540="T4",4,IF(C540="Unassigned",98,99))))))</x:f>
        <x:v>2</x:v>
      </x:c>
      <x:c r="AZ540"/>
      <x:c r="BA540"/>
      <x:c r="BB540"/>
      <x:c r="BC540"/>
      <x:c r="BD540"/>
      <x:c r="BE540"/>
      <x:c r="BF540"/>
      <x:c r="BG540"/>
      <x:c r="BH540"/>
      <x:c r="BI540"/>
      <x:c r="BJ540"/>
      <x:c r="BK540"/>
      <x:c r="BL540"/>
      <x:c r="BM540"/>
      <x:c r="BN540"/>
      <x:c r="BO540"/>
      <x:c r="BP540"/>
      <x:c r="BQ540"/>
      <x:c r="BR540"/>
      <x:c r="BS540"/>
      <x:c r="BT540"/>
      <x:c r="BU540"/>
      <x:c r="BV540"/>
      <x:c r="BW540"/>
      <x:c r="BX540"/>
      <x:c r="BY540"/>
      <x:c r="BZ540"/>
      <x:c r="CA540"/>
      <x:c r="CB540"/>
      <x:c r="CC540"/>
    </x:row>
    <x:row r="541" ht="115" customHeight="1">
      <x:c r="A541" s="4" t="str">
        <x:v>proposal.collection.annealed_iron_sheet_stock</x:v>
      </x:c>
      <x:c r="B541" s="4" t="str">
        <x:v>Annealed iron sheet stock</x:v>
      </x:c>
      <x:c r="C541" s="4" t="str">
        <x:v>T3</x:v>
      </x:c>
      <x:c r="D541" s="4" t="str">
        <x:v>Manufactured stock</x:v>
      </x:c>
      <x:c r="E541" s="4" t="str">
        <x:v>Processed material</x:v>
      </x:c>
      <x:c r="F541" s="4" t="str">
        <x:v>New proposal</x:v>
      </x:c>
      <x:c r="G541" s="4" t="inlineStr">
        <x:is>
          <x:t xml:space="preserve">Thin sheet for housings, utensils and instruments. It provides candidate material or a shaped starting piece for making other objects, with the final form set by the receiving design.</x:t>
        </x:is>
      </x:c>
      <x:c r="H541" s="4" t="str">
        <x:v>None</x:v>
      </x:c>
      <x:c r="I541" s="4" t="str">
        <x:v>Physical inventory / cargo item; dimensions and packing unresolved</x:v>
      </x:c>
      <x:c r="J541" s="4"/>
      <x:c r="K541" s="4"/>
      <x:c r="L541" s="4" t="str">
        <x:v>Candidate preparation: design.collection.annealed_iron_sheet_stock. Full inputs are in Crafting browser.</x:v>
      </x:c>
      <x:c r="M541" s="4" t="str">
        <x:v>Candidate workshop or contained preparation route; detailed tools, quantities and conditions unresolved</x:v>
      </x:c>
      <x:c r="N541" s="4" t="str">
        <x:v>Not implemented</x:v>
      </x:c>
      <x:c r="O541" s="4" t="str">
        <x:v>Specific dimensions, yield, fit, performance and service conditions remain open.</x:v>
      </x:c>
      <x:c r="P541" s="4"/>
      <x:c r="Q541" s="4"/>
      <x:c r="R541" s="4"/>
      <x:c r="S541" s="4"/>
      <x:c r="T541" s="4"/>
      <x:c r="U541" s="4" t="str">
        <x:v>Candidate inputs are partial. Resolve tools, supporting materials, energy, recovery and compatibility before recipes become craftable.</x:v>
      </x:c>
      <x:c r="V541" s="4" t="str">
        <x:v>annealed iron sheet stock; collection expansion; processed material</x:v>
      </x:c>
      <x:c r="W541" s="4" t="str">
        <x:v>New item proposal, October 15, 2026. Setting reference (source proposal): https://github.com/sleepyseamonster/Arc-Dust/blob/f6f98515c005dc3c73cccd9cbc031691745740c6/02-Arc-Dust-Worldbuilding/world/materials/industrial-material-palette.md</x:v>
      </x:c>
      <x:c r="X541" s="4" t="str">
        <x:v>Processed material</x:v>
      </x:c>
      <x:c r="Y541" s="4" t="str">
        <x:v>Processed intermediate</x:v>
      </x:c>
      <x:c r="Z541" s="4" t="str">
        <x:v>Manufactured / unresolved</x:v>
      </x:c>
      <x:c r="AA541" s="4" t="str">
        <x:v>Fabrication</x:v>
      </x:c>
      <x:c r="AB541" s="4" t="str">
        <x:v>Metal</x:v>
      </x:c>
      <x:c r="AC541" s="4" t="str">
        <x:v>Sheet</x:v>
      </x:c>
      <x:c r="AD541" s="4" t="str">
        <x:v>Proposal</x:v>
      </x:c>
      <x:c r="AE541" s="4" t="str">
        <x:f>LOWER(A541&amp;"; "&amp;B541&amp;"; "&amp;D541&amp;"; "&amp;E541&amp;"; "&amp;X541&amp;"; "&amp;Y541&amp;"; "&amp;Z541&amp;"; "&amp;AA541&amp;"; "&amp;AB541&amp;"; "&amp;AC541&amp;"; "&amp;AD541&amp;"; "&amp;V541&amp;"; "&amp;C541&amp;"; "&amp;AH541&amp;"; "&amp;AI541)</x:f>
        <x:v>proposal.collection.annealed_iron_sheet_stock; annealed iron sheet stock; manufactured stock; processed material; processed material; processed intermediate; manufactured / unresolved; fabrication; metal; sheet; proposal; annealed iron sheet stock; collection expansion; processed material; t3; not applicable; material</x:v>
      </x:c>
      <x:c r="AF541" s="4" t="str">
        <x:v>Collection expansion classification. Distinct type, use and material family; new item proposal unless author direction is marked. October 15 audit: classification/handling clarified; item identity, design status and material tier preserved.</x:v>
      </x:c>
      <x:c r="AG541" s="4" t="str">
        <x:v>Selected candidate processing route places this stock at T3. Raw entry is T0; source rarity does not raise tier.</x:v>
      </x:c>
      <x:c r="AH541" s="4" t="str">
        <x:v>Not applicable</x:v>
      </x:c>
      <x:c r="AI541" s="4" t="str">
        <x:v>Material</x:v>
      </x:c>
      <x:c r="AJ541" s="4" t="n">
        <x:f>COUNTIFS('Material routes'!$D$6:$D$2205,A541,'Material routes'!$C$6:$C$2205,"Output")</x:f>
        <x:v>1</x:v>
      </x:c>
      <x:c r="AK541" s="4" t="n">
        <x:f>SUM(COUNTIFS('Material routes'!$D$6:$D$2205,A541,'Material routes'!$C$6:$C$2205,"Ingredient candidate"),COUNTIFS('Material routes'!$D$6:$D$2205,A541,'Material routes'!$C$6:$C$2205,"Consumed input"),COUNTIFS('Material routes'!$D$6:$D$2205,A541,'Material routes'!$C$6:$C$2205,"Contained input"),COUNTIFS('Material routes'!$D$6:$D$2205,A541,'Material routes'!$C$6:$C$2205,"Transform input"))</x:f>
        <x:v>31</x:v>
      </x:c>
      <x:c r="AL541" s="4" t="n">
        <x:f>COUNTIFS('Material routes'!$D$6:$D$2205,A541,'Material routes'!$C$6:$C$2205,"Tool candidate")</x:f>
        <x:v>0</x:v>
      </x:c>
      <x:c r="AM541" s="4" t="str">
        <x:f>IF(AJ541&gt;0,"Route listed; review status/completeness",IF(C541="T0","Raw entry feed; no production route","No production route listed"))</x:f>
        <x:v>Route listed; review status/completeness</x:v>
      </x:c>
      <x:c r="AN541" s="4" t="n">
        <x:f>IF(C541="T0",0,IF(C541="T1",1,IF(C541="T2",2,IF(C541="T3",3,IF(C541="T4",4,IF(C541="Unassigned",98,99))))))</x:f>
        <x:v>3</x:v>
      </x:c>
      <x:c r="AZ541"/>
      <x:c r="BA541"/>
      <x:c r="BB541"/>
      <x:c r="BC541"/>
      <x:c r="BD541"/>
      <x:c r="BE541"/>
      <x:c r="BF541"/>
      <x:c r="BG541"/>
      <x:c r="BH541"/>
      <x:c r="BI541"/>
      <x:c r="BJ541"/>
      <x:c r="BK541"/>
      <x:c r="BL541"/>
      <x:c r="BM541"/>
      <x:c r="BN541"/>
      <x:c r="BO541"/>
      <x:c r="BP541"/>
      <x:c r="BQ541"/>
      <x:c r="BR541"/>
      <x:c r="BS541"/>
      <x:c r="BT541"/>
      <x:c r="BU541"/>
      <x:c r="BV541"/>
      <x:c r="BW541"/>
      <x:c r="BX541"/>
      <x:c r="BY541"/>
      <x:c r="BZ541"/>
      <x:c r="CA541"/>
      <x:c r="CB541"/>
      <x:c r="CC541"/>
    </x:row>
    <x:row r="542" ht="115" customHeight="1">
      <x:c r="A542" s="4" t="str">
        <x:v>proposal.collection.pressed_chitin_friction_stock</x:v>
      </x:c>
      <x:c r="B542" s="4" t="str">
        <x:v>Pressed chitin friction stock</x:v>
      </x:c>
      <x:c r="C542" s="4" t="str">
        <x:v>T2</x:v>
      </x:c>
      <x:c r="D542" s="4" t="str">
        <x:v>Manufactured stock</x:v>
      </x:c>
      <x:c r="E542" s="4" t="str">
        <x:v>Processed material</x:v>
      </x:c>
      <x:c r="F542" s="4" t="str">
        <x:v>New proposal</x:v>
      </x:c>
      <x:c r="G542" s="4" t="inlineStr">
        <x:is>
          <x:t xml:space="preserve">Replaceable dry friction surface for brakes and clutches. It provides candidate material or a shaped starting piece for making other objects, with the final form set by the receiving design.</x:t>
        </x:is>
      </x:c>
      <x:c r="H542" s="4" t="str">
        <x:v>None</x:v>
      </x:c>
      <x:c r="I542" s="4" t="str">
        <x:v>Physical inventory / cargo item; dimensions and packing unresolved</x:v>
      </x:c>
      <x:c r="J542" s="4"/>
      <x:c r="K542" s="4"/>
      <x:c r="L542" s="4" t="str">
        <x:v>Candidate preparation: design.collection.pressed_chitin_friction_stock. Full inputs are in Crafting browser.</x:v>
      </x:c>
      <x:c r="M542" s="4" t="str">
        <x:v>Candidate workshop or contained preparation route; detailed tools, quantities and conditions unresolved</x:v>
      </x:c>
      <x:c r="N542" s="4" t="str">
        <x:v>Not implemented</x:v>
      </x:c>
      <x:c r="O542" s="4" t="str">
        <x:v>Specific dimensions, yield, fit, performance and service conditions remain open.</x:v>
      </x:c>
      <x:c r="P542" s="4"/>
      <x:c r="Q542" s="4"/>
      <x:c r="R542" s="4"/>
      <x:c r="S542" s="4"/>
      <x:c r="T542" s="4"/>
      <x:c r="U542" s="4" t="str">
        <x:v>Candidate inputs are partial. Resolve tools, supporting materials, energy, recovery and compatibility before recipes become craftable.</x:v>
      </x:c>
      <x:c r="V542" s="4" t="str">
        <x:v>pressed chitin friction stock; collection expansion; processed material</x:v>
      </x:c>
      <x:c r="W542" s="4" t="str">
        <x:v>New item proposal, October 15, 2026. Setting reference (source proposal): https://github.com/sleepyseamonster/Arc-Dust/blob/f6f98515c005dc3c73cccd9cbc031691745740c6/02-Arc-Dust-Worldbuilding/world/materials/industrial-material-palette.md</x:v>
      </x:c>
      <x:c r="X542" s="4" t="str">
        <x:v>Processed material</x:v>
      </x:c>
      <x:c r="Y542" s="4" t="str">
        <x:v>Processed intermediate</x:v>
      </x:c>
      <x:c r="Z542" s="4" t="str">
        <x:v>Manufactured / unresolved</x:v>
      </x:c>
      <x:c r="AA542" s="4" t="str">
        <x:v>Fabrication</x:v>
      </x:c>
      <x:c r="AB542" s="4" t="str">
        <x:v>Shell and mineral</x:v>
      </x:c>
      <x:c r="AC542" s="4" t="str">
        <x:v>Solid piece</x:v>
      </x:c>
      <x:c r="AD542" s="4" t="str">
        <x:v>Proposal</x:v>
      </x:c>
      <x:c r="AE542" s="4" t="str">
        <x:f>LOWER(A542&amp;"; "&amp;B542&amp;"; "&amp;D542&amp;"; "&amp;E542&amp;"; "&amp;X542&amp;"; "&amp;Y542&amp;"; "&amp;Z542&amp;"; "&amp;AA542&amp;"; "&amp;AB542&amp;"; "&amp;AC542&amp;"; "&amp;AD542&amp;"; "&amp;V542&amp;"; "&amp;C542&amp;"; "&amp;AH542&amp;"; "&amp;AI542)</x:f>
        <x:v>proposal.collection.pressed_chitin_friction_stock; pressed chitin friction stock; manufactured stock; processed material; processed material; processed intermediate; manufactured / unresolved; fabrication; shell and mineral; solid piece; proposal; pressed chitin friction stock; collection expansion; processed material; t2; not applicable; material</x:v>
      </x:c>
      <x:c r="AF542" s="4" t="str">
        <x:v>Collection expansion classification. Distinct type, use and material family; new item proposal unless author direction is marked. October 15 audit: classification/handling clarified; item identity, design status and material tier preserved.</x:v>
      </x:c>
      <x:c r="AG542" s="4" t="str">
        <x:v>Selected candidate processing route places this stock at T2. Raw entry is T0; source rarity does not raise tier.</x:v>
      </x:c>
      <x:c r="AH542" s="4" t="str">
        <x:v>Not applicable</x:v>
      </x:c>
      <x:c r="AI542" s="4" t="str">
        <x:v>Material</x:v>
      </x:c>
      <x:c r="AJ542" s="4" t="n">
        <x:f>COUNTIFS('Material routes'!$D$6:$D$2205,A542,'Material routes'!$C$6:$C$2205,"Output")</x:f>
        <x:v>1</x:v>
      </x:c>
      <x:c r="AK542" s="4" t="n">
        <x:f>SUM(COUNTIFS('Material routes'!$D$6:$D$2205,A542,'Material routes'!$C$6:$C$2205,"Ingredient candidate"),COUNTIFS('Material routes'!$D$6:$D$2205,A542,'Material routes'!$C$6:$C$2205,"Consumed input"),COUNTIFS('Material routes'!$D$6:$D$2205,A542,'Material routes'!$C$6:$C$2205,"Contained input"),COUNTIFS('Material routes'!$D$6:$D$2205,A542,'Material routes'!$C$6:$C$2205,"Transform input"))</x:f>
        <x:v>2</x:v>
      </x:c>
      <x:c r="AL542" s="4" t="n">
        <x:f>COUNTIFS('Material routes'!$D$6:$D$2205,A542,'Material routes'!$C$6:$C$2205,"Tool candidate")</x:f>
        <x:v>0</x:v>
      </x:c>
      <x:c r="AM542" s="4" t="str">
        <x:f>IF(AJ542&gt;0,"Route listed; review status/completeness",IF(C542="T0","Raw entry feed; no production route","No production route listed"))</x:f>
        <x:v>Route listed; review status/completeness</x:v>
      </x:c>
      <x:c r="AN542" s="4" t="n">
        <x:f>IF(C542="T0",0,IF(C542="T1",1,IF(C542="T2",2,IF(C542="T3",3,IF(C542="T4",4,IF(C542="Unassigned",98,99))))))</x:f>
        <x:v>2</x:v>
      </x:c>
      <x:c r="AZ542"/>
      <x:c r="BA542"/>
      <x:c r="BB542"/>
      <x:c r="BC542"/>
      <x:c r="BD542"/>
      <x:c r="BE542"/>
      <x:c r="BF542"/>
      <x:c r="BG542"/>
      <x:c r="BH542"/>
      <x:c r="BI542"/>
      <x:c r="BJ542"/>
      <x:c r="BK542"/>
      <x:c r="BL542"/>
      <x:c r="BM542"/>
      <x:c r="BN542"/>
      <x:c r="BO542"/>
      <x:c r="BP542"/>
      <x:c r="BQ542"/>
      <x:c r="BR542"/>
      <x:c r="BS542"/>
      <x:c r="BT542"/>
      <x:c r="BU542"/>
      <x:c r="BV542"/>
      <x:c r="BW542"/>
      <x:c r="BX542"/>
      <x:c r="BY542"/>
      <x:c r="BZ542"/>
      <x:c r="CA542"/>
      <x:c r="CB542"/>
      <x:c r="CC542"/>
    </x:row>
    <x:row r="543" ht="115" customHeight="1">
      <x:c r="A543" s="4" t="str">
        <x:v>proposal.collection.calibrated_ceramic_mounting_saddle</x:v>
      </x:c>
      <x:c r="B543" s="4" t="str">
        <x:v>Calibrated ceramic mounting saddle</x:v>
      </x:c>
      <x:c r="C543" s="4" t="str">
        <x:v>T4</x:v>
      </x:c>
      <x:c r="D543" s="4" t="str">
        <x:v>Crafting components</x:v>
      </x:c>
      <x:c r="E543" s="4" t="str">
        <x:v>Crafting component</x:v>
      </x:c>
      <x:c r="F543" s="4" t="str">
        <x:v>New proposal</x:v>
      </x:c>
      <x:c r="G543" s="4" t="inlineStr">
        <x:is>
          <x:t xml:space="preserve">Locates a vessel or instrument on a metal support. It provides a candidate part for constructing equipment; matching interfaces and final assembly are still required.</x:t>
        </x:is>
      </x:c>
      <x:c r="H543" s="4" t="str">
        <x:v>None</x:v>
      </x:c>
      <x:c r="I543" s="4" t="str">
        <x:v>Physical inventory / cargo item; dimensions and packing unresolved</x:v>
      </x:c>
      <x:c r="J543" s="4"/>
      <x:c r="K543" s="4"/>
      <x:c r="L543" s="4" t="str">
        <x:v>Candidate preparation: design.collection.calibrated_ceramic_mounting_saddle. Full inputs are in Crafting browser.</x:v>
      </x:c>
      <x:c r="M543" s="4" t="str">
        <x:v>Candidate workshop or contained preparation route; detailed tools, quantities and conditions unresolved</x:v>
      </x:c>
      <x:c r="N543" s="4" t="str">
        <x:v>Not implemented</x:v>
      </x:c>
      <x:c r="O543" s="4" t="str">
        <x:v>Specific dimensions, yield, fit, performance and service conditions remain open.</x:v>
      </x:c>
      <x:c r="P543" s="4"/>
      <x:c r="Q543" s="4"/>
      <x:c r="R543" s="4"/>
      <x:c r="S543" s="4"/>
      <x:c r="T543" s="4"/>
      <x:c r="U543" s="4" t="str">
        <x:v>Candidate inputs are partial. Resolve tools, supporting materials, energy, recovery and compatibility before recipes become craftable.</x:v>
      </x:c>
      <x:c r="V543" s="4" t="str">
        <x:v>calibrated ceramic mounting saddle; collection expansion; crafting component</x:v>
      </x:c>
      <x:c r="W543" s="4" t="str">
        <x:v>New item proposal, October 15, 2026. Setting reference (source proposal): https://github.com/sleepyseamonster/Arc-Dust/blob/f6f98515c005dc3c73cccd9cbc031691745740c6/02-Arc-Dust-Worldbuilding/world/materials/industrial-material-palette.md</x:v>
      </x:c>
      <x:c r="X543" s="4" t="str">
        <x:v>Crafting component</x:v>
      </x:c>
      <x:c r="Y543" s="4" t="str">
        <x:v>Processed intermediate</x:v>
      </x:c>
      <x:c r="Z543" s="4" t="str">
        <x:v>Manufactured / unresolved</x:v>
      </x:c>
      <x:c r="AA543" s="4" t="str">
        <x:v>Equipment fabrication</x:v>
      </x:c>
      <x:c r="AB543" s="4" t="str">
        <x:v>Ceramic and metal</x:v>
      </x:c>
      <x:c r="AC543" s="4" t="str">
        <x:v>Assembly</x:v>
      </x:c>
      <x:c r="AD543" s="4" t="str">
        <x:v>Proposal</x:v>
      </x:c>
      <x:c r="AE543" s="4" t="str">
        <x:f>LOWER(A543&amp;"; "&amp;B543&amp;"; "&amp;D543&amp;"; "&amp;E543&amp;"; "&amp;X543&amp;"; "&amp;Y543&amp;"; "&amp;Z543&amp;"; "&amp;AA543&amp;"; "&amp;AB543&amp;"; "&amp;AC543&amp;"; "&amp;AD543&amp;"; "&amp;V543&amp;"; "&amp;C543&amp;"; "&amp;AH543&amp;"; "&amp;AI543)</x:f>
        <x:v>proposal.collection.calibrated_ceramic_mounting_saddle; calibrated ceramic mounting saddle; crafting components; crafting component; crafting component; processed intermediate; manufactured / unresolved; equipment fabrication; ceramic and metal; assembly; proposal; calibrated ceramic mounting saddle; collection expansion; crafting component; t4; not applicable; component</x:v>
      </x:c>
      <x:c r="AF543" s="4" t="str">
        <x:v>Collection expansion classification. Distinct type, use and material family; new item proposal unless author direction is marked.</x:v>
      </x:c>
      <x:c r="AG543" s="4" t="str">
        <x:v>Selected candidate processing route places this stock at T4. Raw entry is T0; source rarity does not raise tier.</x:v>
      </x:c>
      <x:c r="AH543" s="4" t="str">
        <x:v>Not applicable</x:v>
      </x:c>
      <x:c r="AI543" s="4" t="str">
        <x:v>Component</x:v>
      </x:c>
      <x:c r="AJ543" s="4" t="n">
        <x:f>COUNTIFS('Material routes'!$D$6:$D$2205,A543,'Material routes'!$C$6:$C$2205,"Output")</x:f>
        <x:v>1</x:v>
      </x:c>
      <x:c r="AK543" s="4" t="n">
        <x:f>SUM(COUNTIFS('Material routes'!$D$6:$D$2205,A543,'Material routes'!$C$6:$C$2205,"Ingredient candidate"),COUNTIFS('Material routes'!$D$6:$D$2205,A543,'Material routes'!$C$6:$C$2205,"Consumed input"),COUNTIFS('Material routes'!$D$6:$D$2205,A543,'Material routes'!$C$6:$C$2205,"Contained input"),COUNTIFS('Material routes'!$D$6:$D$2205,A543,'Material routes'!$C$6:$C$2205,"Transform input"))</x:f>
        <x:v>1</x:v>
      </x:c>
      <x:c r="AL543" s="4" t="n">
        <x:f>COUNTIFS('Material routes'!$D$6:$D$2205,A543,'Material routes'!$C$6:$C$2205,"Tool candidate")</x:f>
        <x:v>0</x:v>
      </x:c>
      <x:c r="AM543" s="4" t="str">
        <x:f>IF(AJ543&gt;0,"Route listed; review status/completeness",IF(C543="T0","Raw entry feed; no production route","No production route listed"))</x:f>
        <x:v>Route listed; review status/completeness</x:v>
      </x:c>
      <x:c r="AN543" s="4" t="n">
        <x:f>IF(C543="T0",0,IF(C543="T1",1,IF(C543="T2",2,IF(C543="T3",3,IF(C543="T4",4,IF(C543="Unassigned",98,99))))))</x:f>
        <x:v>4</x:v>
      </x:c>
      <x:c r="AZ543"/>
      <x:c r="BA543"/>
      <x:c r="BB543"/>
      <x:c r="BC543"/>
      <x:c r="BD543"/>
      <x:c r="BE543"/>
      <x:c r="BF543"/>
      <x:c r="BG543"/>
      <x:c r="BH543"/>
      <x:c r="BI543"/>
      <x:c r="BJ543"/>
      <x:c r="BK543"/>
      <x:c r="BL543"/>
      <x:c r="BM543"/>
      <x:c r="BN543"/>
      <x:c r="BO543"/>
      <x:c r="BP543"/>
      <x:c r="BQ543"/>
      <x:c r="BR543"/>
      <x:c r="BS543"/>
      <x:c r="BT543"/>
      <x:c r="BU543"/>
      <x:c r="BV543"/>
      <x:c r="BW543"/>
      <x:c r="BX543"/>
      <x:c r="BY543"/>
      <x:c r="BZ543"/>
      <x:c r="CA543"/>
      <x:c r="CB543"/>
      <x:c r="CC543"/>
    </x:row>
    <x:row r="544" ht="115" customHeight="1">
      <x:c r="A544" s="4" t="str">
        <x:v>proposal.collection.glass_joint_bedding_paste</x:v>
      </x:c>
      <x:c r="B544" s="4" t="str">
        <x:v>Glass-joint bedding paste</x:v>
      </x:c>
      <x:c r="C544" s="4" t="str">
        <x:v>T2</x:v>
      </x:c>
      <x:c r="D544" s="4" t="inlineStr">
        <x:is>
          <x:t xml:space="preserve">Crafting components</x:t>
        </x:is>
      </x:c>
      <x:c r="E544" s="4" t="str">
        <x:v>Chemical material</x:v>
      </x:c>
      <x:c r="F544" s="4" t="str">
        <x:v>New proposal</x:v>
      </x:c>
      <x:c r="G544" s="4" t="inlineStr">
        <x:is>
          <x:t xml:space="preserve">Seats glass in a protective cage without claiming pressure compatibility. It is intended to prepare or change a workpiece’s surface before a later fitting, coating or use; the treatment must suit that material.</x:t>
        </x:is>
      </x:c>
      <x:c r="H544" s="4" t="str">
        <x:v>None</x:v>
      </x:c>
      <x:c r="I544" s="4" t="str">
        <x:v>Matched sealed vessel; compatibility and contamination unresolved</x:v>
      </x:c>
      <x:c r="J544" s="4"/>
      <x:c r="K544" s="4"/>
      <x:c r="L544" s="4" t="str">
        <x:v>Candidate preparation: design.collection.glass_joint_bedding_paste. Full inputs are in Crafting browser.</x:v>
      </x:c>
      <x:c r="M544" s="4" t="str">
        <x:v>Candidate workshop or contained preparation route; detailed tools, quantities and conditions unresolved</x:v>
      </x:c>
      <x:c r="N544" s="4" t="str">
        <x:v>Not implemented</x:v>
      </x:c>
      <x:c r="O544" s="4" t="str">
        <x:v>Specific dimensions, yield, fit, performance and service conditions remain open.</x:v>
      </x:c>
      <x:c r="P544" s="4"/>
      <x:c r="Q544" s="4"/>
      <x:c r="R544" s="4"/>
      <x:c r="S544" s="4"/>
      <x:c r="T544" s="4"/>
      <x:c r="U544" s="4" t="str">
        <x:v>Candidate inputs are partial. Resolve tools, supporting materials, energy, recovery and compatibility before recipes become craftable.</x:v>
      </x:c>
      <x:c r="V544" s="4" t="str">
        <x:v>glass-joint bedding paste; collection expansion; chemical material</x:v>
      </x:c>
      <x:c r="W544" s="4" t="str">
        <x:v>New item proposal, October 15, 2026. Setting reference (source proposal): https://github.com/sleepyseamonster/Arc-Dust/blob/f6f98515c005dc3c73cccd9cbc031691745740c6/02-Arc-Dust-Worldbuilding/world/materials/industrial-material-palette.md</x:v>
      </x:c>
      <x:c r="X544" s="4" t="str">
        <x:v>Chemical material</x:v>
      </x:c>
      <x:c r="Y544" s="4" t="str">
        <x:v>Processed intermediate</x:v>
      </x:c>
      <x:c r="Z544" s="4" t="str">
        <x:v>Manufactured / unresolved</x:v>
      </x:c>
      <x:c r="AA544" s="4" t="str">
        <x:v>Surface finishing</x:v>
      </x:c>
      <x:c r="AB544" s="4" t="str">
        <x:v>Biological and mineral mixture</x:v>
      </x:c>
      <x:c r="AC544" s="4" t="str">
        <x:v>Paste</x:v>
      </x:c>
      <x:c r="AD544" s="4" t="str">
        <x:v>Proposal</x:v>
      </x:c>
      <x:c r="AE544" s="4" t="str">
        <x:f>LOWER(A544&amp;"; "&amp;B544&amp;"; "&amp;D544&amp;"; "&amp;E544&amp;"; "&amp;X544&amp;"; "&amp;Y544&amp;"; "&amp;Z544&amp;"; "&amp;AA544&amp;"; "&amp;AB544&amp;"; "&amp;AC544&amp;"; "&amp;AD544&amp;"; "&amp;V544&amp;"; "&amp;C544&amp;"; "&amp;AH544&amp;"; "&amp;AI544)</x:f>
        <x:v>proposal.collection.glass_joint_bedding_paste; glass-joint bedding paste; crafting components; chemical material; chemical material; processed intermediate; manufactured / unresolved; surface finishing; biological and mineral mixture; paste; proposal; glass-joint bedding paste; collection expansion; chemical material; t2; not applicable; material</x:v>
      </x:c>
      <x:c r="AF544" s="4" t="inlineStr">
        <x:is>
          <x:t xml:space="preserve">Collection expansion classification. Distinct type, use and material family; new item proposal unless author direction is marked. Author direction October 15: all Processing agents belong in Crafting components; retire the separate Processing agents section. Identity, condition, tiers, properties and recipe roles remain unchanged.</x:t>
        </x:is>
      </x:c>
      <x:c r="AG544" s="4" t="str">
        <x:v>Selected candidate processing route places this stock at T2. Raw entry is T0; source rarity does not raise tier.</x:v>
      </x:c>
      <x:c r="AH544" s="4" t="str">
        <x:v>Not applicable</x:v>
      </x:c>
      <x:c r="AI544" s="4" t="str">
        <x:v>Material</x:v>
      </x:c>
      <x:c r="AJ544" s="4" t="n">
        <x:f>COUNTIFS('Material routes'!$D$6:$D$2205,A544,'Material routes'!$C$6:$C$2205,"Output")</x:f>
        <x:v>1</x:v>
      </x:c>
      <x:c r="AK544" s="4" t="n">
        <x:f>SUM(COUNTIFS('Material routes'!$D$6:$D$2205,A544,'Material routes'!$C$6:$C$2205,"Ingredient candidate"),COUNTIFS('Material routes'!$D$6:$D$2205,A544,'Material routes'!$C$6:$C$2205,"Consumed input"),COUNTIFS('Material routes'!$D$6:$D$2205,A544,'Material routes'!$C$6:$C$2205,"Contained input"),COUNTIFS('Material routes'!$D$6:$D$2205,A544,'Material routes'!$C$6:$C$2205,"Transform input"))</x:f>
        <x:v>0</x:v>
      </x:c>
      <x:c r="AL544" s="4" t="n">
        <x:f>COUNTIFS('Material routes'!$D$6:$D$2205,A544,'Material routes'!$C$6:$C$2205,"Tool candidate")</x:f>
        <x:v>0</x:v>
      </x:c>
      <x:c r="AM544" s="4" t="str">
        <x:f>IF(AJ544&gt;0,"Route listed; review status/completeness",IF(C544="T0","Raw entry feed; no production route","No production route listed"))</x:f>
        <x:v>Route listed; review status/completeness</x:v>
      </x:c>
      <x:c r="AN544" s="4" t="n">
        <x:f>IF(C544="T0",0,IF(C544="T1",1,IF(C544="T2",2,IF(C544="T3",3,IF(C544="T4",4,IF(C544="Unassigned",98,99))))))</x:f>
        <x:v>2</x:v>
      </x:c>
      <x:c r="AZ544"/>
      <x:c r="BA544"/>
      <x:c r="BB544"/>
      <x:c r="BC544"/>
      <x:c r="BD544"/>
      <x:c r="BE544"/>
      <x:c r="BF544"/>
      <x:c r="BG544"/>
      <x:c r="BH544"/>
      <x:c r="BI544"/>
      <x:c r="BJ544"/>
      <x:c r="BK544"/>
      <x:c r="BL544"/>
      <x:c r="BM544"/>
      <x:c r="BN544"/>
      <x:c r="BO544"/>
      <x:c r="BP544"/>
      <x:c r="BQ544"/>
      <x:c r="BR544"/>
      <x:c r="BS544"/>
      <x:c r="BT544"/>
      <x:c r="BU544"/>
      <x:c r="BV544"/>
      <x:c r="BW544"/>
      <x:c r="BX544"/>
      <x:c r="BY544"/>
      <x:c r="BZ544"/>
      <x:c r="CA544"/>
      <x:c r="CB544"/>
      <x:c r="CC544"/>
    </x:row>
    <x:row r="545" ht="115" customHeight="1">
      <x:c r="A545" s="4"/>
      <x:c r="B545" s="4"/>
      <x:c r="C545" s="4"/>
      <x:c r="D545" s="4"/>
      <x:c r="E545" s="4"/>
      <x:c r="F545" s="4"/>
      <x:c r="G545" s="4"/>
      <x:c r="H545" s="4"/>
      <x:c r="I545" s="4"/>
      <x:c r="J545" s="4"/>
      <x:c r="K545" s="4"/>
      <x:c r="L545" s="4"/>
      <x:c r="M545" s="4"/>
      <x:c r="N545" s="4"/>
      <x:c r="O545" s="4"/>
      <x:c r="P545" s="4"/>
      <x:c r="Q545" s="4"/>
      <x:c r="R545" s="4"/>
      <x:c r="S545" s="4"/>
      <x:c r="T545" s="4"/>
      <x:c r="U545" s="4"/>
      <x:c r="V545" s="4"/>
      <x:c r="W545" s="4"/>
      <x:c r="X545" s="4"/>
      <x:c r="Y545" s="4"/>
      <x:c r="Z545" s="4"/>
      <x:c r="AA545" s="4"/>
      <x:c r="AB545" s="4"/>
      <x:c r="AC545" s="4"/>
      <x:c r="AD545" s="4"/>
      <x:c r="AE545" s="4"/>
      <x:c r="AF545" s="4"/>
      <x:c r="AG545" s="4"/>
      <x:c r="AH545" s="4"/>
      <x:c r="AI545" s="4"/>
      <x:c r="AJ545" s="4"/>
      <x:c r="AK545" s="4"/>
      <x:c r="AL545" s="4"/>
      <x:c r="AM545" s="4"/>
      <x:c r="AN545" s="4"/>
      <x:c r="AZ545"/>
      <x:c r="BA545"/>
      <x:c r="BB545"/>
      <x:c r="BC545"/>
      <x:c r="BD545"/>
      <x:c r="BE545"/>
      <x:c r="BF545"/>
      <x:c r="BG545"/>
      <x:c r="BH545"/>
      <x:c r="BI545"/>
      <x:c r="BJ545"/>
      <x:c r="BK545"/>
      <x:c r="BL545"/>
      <x:c r="BM545"/>
      <x:c r="BN545"/>
      <x:c r="BO545"/>
      <x:c r="BP545"/>
      <x:c r="BQ545"/>
      <x:c r="BR545"/>
      <x:c r="BS545"/>
      <x:c r="BT545"/>
      <x:c r="BU545"/>
      <x:c r="BV545"/>
      <x:c r="BW545"/>
      <x:c r="BX545"/>
      <x:c r="BY545"/>
      <x:c r="BZ545"/>
      <x:c r="CA545"/>
      <x:c r="CB545"/>
      <x:c r="CC545"/>
    </x:row>
    <x:row r="546" ht="115" customHeight="1">
      <x:c r="A546" s="4" t="str">
        <x:v>proposal.collection.shell_pigment_suspension</x:v>
      </x:c>
      <x:c r="B546" s="4" t="str">
        <x:v>Shell-pigment suspension</x:v>
      </x:c>
      <x:c r="C546" s="4" t="str">
        <x:v>T2</x:v>
      </x:c>
      <x:c r="D546" s="4" t="inlineStr">
        <x:is>
          <x:t xml:space="preserve">Crafting components</x:t>
        </x:is>
      </x:c>
      <x:c r="E546" s="4" t="str">
        <x:v>Chemical material</x:v>
      </x:c>
      <x:c r="F546" s="4" t="str">
        <x:v>New proposal</x:v>
      </x:c>
      <x:c r="G546" s="4" t="inlineStr">
        <x:is>
          <x:t xml:space="preserve">Carries mineral color onto shell objects. It is intended to prepare or change a workpiece’s surface before a later fitting, coating or use; the treatment must suit that material.</x:t>
        </x:is>
      </x:c>
      <x:c r="H546" s="4" t="str">
        <x:v>None</x:v>
      </x:c>
      <x:c r="I546" s="4" t="str">
        <x:v>Matched sealed vessel; compatibility and contamination unresolved</x:v>
      </x:c>
      <x:c r="J546" s="4"/>
      <x:c r="K546" s="4"/>
      <x:c r="L546" s="4" t="str">
        <x:v>Candidate preparation: design.collection.shell_pigment_suspension. Full inputs are in Crafting browser.</x:v>
      </x:c>
      <x:c r="M546" s="4" t="str">
        <x:v>Candidate workshop or contained preparation route; detailed tools, quantities and conditions unresolved</x:v>
      </x:c>
      <x:c r="N546" s="4" t="str">
        <x:v>Not implemented</x:v>
      </x:c>
      <x:c r="O546" s="4" t="str">
        <x:v>Specific dimensions, yield, fit, performance and service conditions remain open.</x:v>
      </x:c>
      <x:c r="P546" s="4"/>
      <x:c r="Q546" s="4"/>
      <x:c r="R546" s="4"/>
      <x:c r="S546" s="4"/>
      <x:c r="T546" s="4"/>
      <x:c r="U546" s="4" t="str">
        <x:v>Candidate inputs are partial. Resolve tools, supporting materials, energy, recovery and compatibility before recipes become craftable.</x:v>
      </x:c>
      <x:c r="V546" s="4" t="str">
        <x:v>shell-pigment suspension; collection expansion; chemical material</x:v>
      </x:c>
      <x:c r="W546" s="4" t="str">
        <x:v>New item proposal, October 15, 2026. Setting reference (source proposal): https://github.com/sleepyseamonster/Arc-Dust/blob/f6f98515c005dc3c73cccd9cbc031691745740c6/02-Arc-Dust-Worldbuilding/world/materials/industrial-material-palette.md</x:v>
      </x:c>
      <x:c r="X546" s="4" t="str">
        <x:v>Chemical material</x:v>
      </x:c>
      <x:c r="Y546" s="4" t="str">
        <x:v>Processed intermediate</x:v>
      </x:c>
      <x:c r="Z546" s="4" t="str">
        <x:v>Manufactured / unresolved</x:v>
      </x:c>
      <x:c r="AA546" s="4" t="str">
        <x:v>Surface finishing</x:v>
      </x:c>
      <x:c r="AB546" s="4" t="str">
        <x:v>Biological and mineral mixture</x:v>
      </x:c>
      <x:c r="AC546" s="4" t="str">
        <x:v>Liquid</x:v>
      </x:c>
      <x:c r="AD546" s="4" t="str">
        <x:v>Proposal</x:v>
      </x:c>
      <x:c r="AE546" s="4" t="str">
        <x:f>LOWER(A546&amp;"; "&amp;B546&amp;"; "&amp;D546&amp;"; "&amp;E546&amp;"; "&amp;X546&amp;"; "&amp;Y546&amp;"; "&amp;Z546&amp;"; "&amp;AA546&amp;"; "&amp;AB546&amp;"; "&amp;AC546&amp;"; "&amp;AD546&amp;"; "&amp;V546&amp;"; "&amp;C546&amp;"; "&amp;AH546&amp;"; "&amp;AI546)</x:f>
        <x:v>proposal.collection.shell_pigment_suspension; shell-pigment suspension; crafting components; chemical material; chemical material; processed intermediate; manufactured / unresolved; surface finishing; biological and mineral mixture; liquid; proposal; shell-pigment suspension; collection expansion; chemical material; t2; not applicable; material</x:v>
      </x:c>
      <x:c r="AF54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Processing agents belong in Crafting components; retire the separate Processing agents section. Identity, condition, tiers, properties and recipe roles remain unchanged.</x:t>
        </x:is>
      </x:c>
      <x:c r="AG546" s="4" t="str">
        <x:v>Selected candidate processing route places this stock at T2. Raw entry is T0; source rarity does not raise tier.</x:v>
      </x:c>
      <x:c r="AH546" s="4" t="str">
        <x:v>Not applicable</x:v>
      </x:c>
      <x:c r="AI546" s="4" t="str">
        <x:v>Material</x:v>
      </x:c>
      <x:c r="AJ546" s="4" t="n">
        <x:f>COUNTIFS('Material routes'!$D$6:$D$2205,A546,'Material routes'!$C$6:$C$2205,"Output")</x:f>
        <x:v>1</x:v>
      </x:c>
      <x:c r="AK546" s="4" t="n">
        <x:f>SUM(COUNTIFS('Material routes'!$D$6:$D$2205,A546,'Material routes'!$C$6:$C$2205,"Ingredient candidate"),COUNTIFS('Material routes'!$D$6:$D$2205,A546,'Material routes'!$C$6:$C$2205,"Consumed input"),COUNTIFS('Material routes'!$D$6:$D$2205,A546,'Material routes'!$C$6:$C$2205,"Contained input"),COUNTIFS('Material routes'!$D$6:$D$2205,A546,'Material routes'!$C$6:$C$2205,"Transform input"))</x:f>
        <x:v>0</x:v>
      </x:c>
      <x:c r="AL546" s="4" t="n">
        <x:f>COUNTIFS('Material routes'!$D$6:$D$2205,A546,'Material routes'!$C$6:$C$2205,"Tool candidate")</x:f>
        <x:v>0</x:v>
      </x:c>
      <x:c r="AM546" s="4" t="str">
        <x:f>IF(AJ546&gt;0,"Route listed; review status/completeness",IF(C546="T0","Raw entry feed; no production route","No production route listed"))</x:f>
        <x:v>Route listed; review status/completeness</x:v>
      </x:c>
      <x:c r="AN546" s="4" t="n">
        <x:f>IF(C546="T0",0,IF(C546="T1",1,IF(C546="T2",2,IF(C546="T3",3,IF(C546="T4",4,IF(C546="Unassigned",98,99))))))</x:f>
        <x:v>2</x:v>
      </x:c>
      <x:c r="AZ546"/>
      <x:c r="BA546"/>
      <x:c r="BB546"/>
      <x:c r="BC546"/>
      <x:c r="BD546"/>
      <x:c r="BE546"/>
      <x:c r="BF546"/>
      <x:c r="BG546"/>
      <x:c r="BH546"/>
      <x:c r="BI546"/>
      <x:c r="BJ546"/>
      <x:c r="BK546"/>
      <x:c r="BL546"/>
      <x:c r="BM546"/>
      <x:c r="BN546"/>
      <x:c r="BO546"/>
      <x:c r="BP546"/>
      <x:c r="BQ546"/>
      <x:c r="BR546"/>
      <x:c r="BS546"/>
      <x:c r="BT546"/>
      <x:c r="BU546"/>
      <x:c r="BV546"/>
      <x:c r="BW546"/>
      <x:c r="BX546"/>
      <x:c r="BY546"/>
      <x:c r="BZ546"/>
      <x:c r="CA546"/>
      <x:c r="CB546"/>
      <x:c r="CC546"/>
    </x:row>
    <x:row r="547" ht="115" customHeight="1">
      <x:c r="A547" s="4" t="str">
        <x:v>proposal.collection.mineral_contact_cleaning_charge</x:v>
      </x:c>
      <x:c r="B547" s="4" t="str">
        <x:v>Mineral contact-cleaning charge</x:v>
      </x:c>
      <x:c r="C547" s="4" t="str">
        <x:v>T2</x:v>
      </x:c>
      <x:c r="D547" s="4" t="inlineStr">
        <x:is>
          <x:t xml:space="preserve">Crafting components</x:t>
        </x:is>
      </x:c>
      <x:c r="E547" s="4" t="str">
        <x:v>Chemical material</x:v>
      </x:c>
      <x:c r="F547" s="4" t="str">
        <x:v>New proposal</x:v>
      </x:c>
      <x:c r="G547" s="4" t="inlineStr">
        <x:is>
          <x:t xml:space="preserve">Candidate residue-removal agent for exposed contacts. It is intended to prepare or change a workpiece’s surface before a later fitting, coating or use; the treatment must suit that material.</x:t>
        </x:is>
      </x:c>
      <x:c r="H547" s="4" t="str">
        <x:v>None</x:v>
      </x:c>
      <x:c r="I547" s="4" t="str">
        <x:v>Matched sealed vessel; compatibility and contamination unresolved</x:v>
      </x:c>
      <x:c r="J547" s="4"/>
      <x:c r="K547" s="4"/>
      <x:c r="L547" s="4" t="str">
        <x:v>Candidate preparation: design.collection.mineral_contact_cleaning_charge. Full inputs are in Crafting browser.</x:v>
      </x:c>
      <x:c r="M547" s="4" t="str">
        <x:v>Candidate workshop or contained preparation route; detailed tools, quantities and conditions unresolved</x:v>
      </x:c>
      <x:c r="N547" s="4" t="str">
        <x:v>Not implemented</x:v>
      </x:c>
      <x:c r="O547" s="4" t="str">
        <x:v>Specific dimensions, yield, fit, performance and service conditions remain open.</x:v>
      </x:c>
      <x:c r="P547" s="4"/>
      <x:c r="Q547" s="4"/>
      <x:c r="R547" s="4"/>
      <x:c r="S547" s="4"/>
      <x:c r="T547" s="4"/>
      <x:c r="U547" s="4" t="str">
        <x:v>Candidate inputs are partial. Resolve tools, supporting materials, energy, recovery and compatibility before recipes become craftable.</x:v>
      </x:c>
      <x:c r="V547" s="4" t="str">
        <x:v>mineral contact-cleaning charge; collection expansion; chemical material</x:v>
      </x:c>
      <x:c r="W547" s="4" t="str">
        <x:v>New item proposal, October 15, 2026. Setting reference (source proposal): https://github.com/sleepyseamonster/Arc-Dust/blob/f6f98515c005dc3c73cccd9cbc031691745740c6/02-Arc-Dust-Worldbuilding/world/materials/industrial-material-palette.md</x:v>
      </x:c>
      <x:c r="X547" s="4" t="str">
        <x:v>Chemical material</x:v>
      </x:c>
      <x:c r="Y547" s="4" t="str">
        <x:v>Processed intermediate</x:v>
      </x:c>
      <x:c r="Z547" s="4" t="str">
        <x:v>Manufactured / unresolved</x:v>
      </x:c>
      <x:c r="AA547" s="4" t="str">
        <x:v>Surface finishing</x:v>
      </x:c>
      <x:c r="AB547" s="4" t="str">
        <x:v>Biological and mineral mixture</x:v>
      </x:c>
      <x:c r="AC547" s="4" t="str">
        <x:v>Paste</x:v>
      </x:c>
      <x:c r="AD547" s="4" t="str">
        <x:v>Proposal</x:v>
      </x:c>
      <x:c r="AE547" s="4" t="str">
        <x:f>LOWER(A547&amp;"; "&amp;B547&amp;"; "&amp;D547&amp;"; "&amp;E547&amp;"; "&amp;X547&amp;"; "&amp;Y547&amp;"; "&amp;Z547&amp;"; "&amp;AA547&amp;"; "&amp;AB547&amp;"; "&amp;AC547&amp;"; "&amp;AD547&amp;"; "&amp;V547&amp;"; "&amp;C547&amp;"; "&amp;AH547&amp;"; "&amp;AI547)</x:f>
        <x:v>proposal.collection.mineral_contact_cleaning_charge; mineral contact-cleaning charge; crafting components; chemical material; chemical material; processed intermediate; manufactured / unresolved; surface finishing; biological and mineral mixture; paste; proposal; mineral contact-cleaning charge; collection expansion; chemical material; t2; not applicable; material</x:v>
      </x:c>
      <x:c r="AF547" s="4" t="inlineStr">
        <x:is>
          <x:t xml:space="preserve">Collection expansion classification. Distinct type, use and material family; new item proposal unless author direction is marked. Author direction October 15: all Processing agents belong in Crafting components; retire the separate Processing agents section. Identity, condition, tiers, properties and recipe roles remain unchanged.</x:t>
        </x:is>
      </x:c>
      <x:c r="AG547" s="4" t="str">
        <x:v>Selected candidate processing route places this stock at T2. Raw entry is T0; source rarity does not raise tier.</x:v>
      </x:c>
      <x:c r="AH547" s="4" t="str">
        <x:v>Not applicable</x:v>
      </x:c>
      <x:c r="AI547" s="4" t="str">
        <x:v>Material</x:v>
      </x:c>
      <x:c r="AJ547" s="4" t="n">
        <x:f>COUNTIFS('Material routes'!$D$6:$D$2205,A547,'Material routes'!$C$6:$C$2205,"Output")</x:f>
        <x:v>1</x:v>
      </x:c>
      <x:c r="AK547" s="4" t="n">
        <x:f>SUM(COUNTIFS('Material routes'!$D$6:$D$2205,A547,'Material routes'!$C$6:$C$2205,"Ingredient candidate"),COUNTIFS('Material routes'!$D$6:$D$2205,A547,'Material routes'!$C$6:$C$2205,"Consumed input"),COUNTIFS('Material routes'!$D$6:$D$2205,A547,'Material routes'!$C$6:$C$2205,"Contained input"),COUNTIFS('Material routes'!$D$6:$D$2205,A547,'Material routes'!$C$6:$C$2205,"Transform input"))</x:f>
        <x:v>1</x:v>
      </x:c>
      <x:c r="AL547" s="4" t="n">
        <x:f>COUNTIFS('Material routes'!$D$6:$D$2205,A547,'Material routes'!$C$6:$C$2205,"Tool candidate")</x:f>
        <x:v>0</x:v>
      </x:c>
      <x:c r="AM547" s="4" t="str">
        <x:f>IF(AJ547&gt;0,"Route listed; review status/completeness",IF(C547="T0","Raw entry feed; no production route","No production route listed"))</x:f>
        <x:v>Route listed; review status/completeness</x:v>
      </x:c>
      <x:c r="AN547" s="4" t="n">
        <x:f>IF(C547="T0",0,IF(C547="T1",1,IF(C547="T2",2,IF(C547="T3",3,IF(C547="T4",4,IF(C547="Unassigned",98,99))))))</x:f>
        <x:v>2</x:v>
      </x:c>
      <x:c r="AZ547"/>
      <x:c r="BA547"/>
      <x:c r="BB547"/>
      <x:c r="BC547"/>
      <x:c r="BD547"/>
      <x:c r="BE547"/>
      <x:c r="BF547"/>
      <x:c r="BG547"/>
      <x:c r="BH547"/>
      <x:c r="BI547"/>
      <x:c r="BJ547"/>
      <x:c r="BK547"/>
      <x:c r="BL547"/>
      <x:c r="BM547"/>
      <x:c r="BN547"/>
      <x:c r="BO547"/>
      <x:c r="BP547"/>
      <x:c r="BQ547"/>
      <x:c r="BR547"/>
      <x:c r="BS547"/>
      <x:c r="BT547"/>
      <x:c r="BU547"/>
      <x:c r="BV547"/>
      <x:c r="BW547"/>
      <x:c r="BX547"/>
      <x:c r="BY547"/>
      <x:c r="BZ547"/>
      <x:c r="CA547"/>
      <x:c r="CB547"/>
      <x:c r="CC547"/>
    </x:row>
    <x:row r="548" ht="115" customHeight="1">
      <x:c r="A548" s="4" t="str">
        <x:v>proposal.collection.hand_cranked_metal_drill</x:v>
      </x:c>
      <x:c r="B548" s="4" t="str">
        <x:v>Hand-cranked metal drill</x:v>
      </x:c>
      <x:c r="C548" s="4" t="str">
        <x:v>Not applicable</x:v>
      </x:c>
      <x:c r="D548" s="4" t="inlineStr">
        <x:is>
          <x:t xml:space="preserve">Salvage</x:t>
        </x:is>
      </x:c>
      <x:c r="E548" s="4" t="str">
        <x:v>Tool</x:v>
      </x:c>
      <x:c r="F548" s="4" t="str">
        <x:v>New proposal</x:v>
      </x:c>
      <x:c r="G548" s="4" t="inlineStr">
        <x:is>
          <x:t xml:space="preserve">Bores small workshop holes with replaceable cutting tips. It provides candidate material or a shaped starting piece for making other objects, with the final form set by the receiving design.</x:t>
        </x:is>
      </x:c>
      <x:c r="H548" s="4" t="str">
        <x:v>None</x:v>
      </x:c>
      <x:c r="I548" s="4" t="str">
        <x:v>Physical inventory / cargo item; dimensions and packing unresolved</x:v>
      </x:c>
      <x:c r="J548" s="4"/>
      <x:c r="K548" s="4"/>
      <x:c r="L548" s="4" t="str">
        <x:v>Candidate preparation: design.collection.hand_cranked_metal_drill. Full inputs are in Crafting browser.</x:v>
      </x:c>
      <x:c r="M548" s="4" t="str">
        <x:v>Candidate workshop or contained preparation route; detailed tools, quantities and conditions unresolved</x:v>
      </x:c>
      <x:c r="N548" s="4" t="str">
        <x:v>Not implemented</x:v>
      </x:c>
      <x:c r="O548" s="4" t="str">
        <x:v>Specific dimensions, yield, fit, performance and service conditions remain open.</x:v>
      </x:c>
      <x:c r="P548" s="4"/>
      <x:c r="Q548" s="4"/>
      <x:c r="R548" s="4"/>
      <x:c r="S548" s="4"/>
      <x:c r="T548" s="4"/>
      <x:c r="U548" s="4" t="str">
        <x:v>Candidate inputs are partial. Resolve tools, supporting materials, energy, recovery and compatibility before recipes become craftable.</x:v>
      </x:c>
      <x:c r="V548" s="4" t="str">
        <x:v>hand-cranked metal drill; collection expansion; tool</x:v>
      </x:c>
      <x:c r="W548" s="4" t="str">
        <x:v>New item proposal, October 15, 2026. Setting reference (source proposal): https://github.com/sleepyseamonster/Arc-Dust/blob/f6f98515c005dc3c73cccd9cbc031691745740c6/02-Arc-Dust-Worldbuilding/world/materials/industrial-material-palette.md</x:v>
      </x:c>
      <x:c r="X548" s="4" t="str">
        <x:v>Tool</x:v>
      </x:c>
      <x:c r="Y548" s="4" t="str">
        <x:v>Finished item</x:v>
      </x:c>
      <x:c r="Z548" s="4" t="str">
        <x:v>Manufactured / unresolved</x:v>
      </x:c>
      <x:c r="AA548" s="4" t="str">
        <x:v>Fabrication</x:v>
      </x:c>
      <x:c r="AB548" s="4" t="str">
        <x:v>Metal</x:v>
      </x:c>
      <x:c r="AC548" s="4" t="str">
        <x:v>Assembly</x:v>
      </x:c>
      <x:c r="AD548" s="4" t="str">
        <x:v>Proposal</x:v>
      </x:c>
      <x:c r="AE548" s="4" t="str">
        <x:f>LOWER(A548&amp;"; "&amp;B548&amp;"; "&amp;D548&amp;"; "&amp;E548&amp;"; "&amp;X548&amp;"; "&amp;Y548&amp;"; "&amp;Z548&amp;"; "&amp;AA548&amp;"; "&amp;AB548&amp;"; "&amp;AC548&amp;"; "&amp;AD548&amp;"; "&amp;V548&amp;"; "&amp;C548&amp;"; "&amp;AH548&amp;"; "&amp;AI548)</x:f>
        <x:v>proposal.collection.hand_cranked_metal_drill; hand-cranked metal drill; salvage; tool; tool; finished item; manufactured / unresolved; fabrication; metal; assembly; proposal; hand-cranked metal drill; collection expansion; tool; not applicable; t3; finished item</x:v>
      </x:c>
      <x:c r="AF548"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548" s="4" t="str">
        <x:v>Finished endpoint or currency. Material tier is separate from finished input tier.</x:v>
      </x:c>
      <x:c r="AH548" s="4" t="str">
        <x:v>T3</x:v>
      </x:c>
      <x:c r="AI548" s="4" t="str">
        <x:v>Finished item</x:v>
      </x:c>
      <x:c r="AJ548" s="4" t="n">
        <x:f>COUNTIFS('Material routes'!$D$6:$D$2205,A548,'Material routes'!$C$6:$C$2205,"Output")</x:f>
        <x:v>1</x:v>
      </x:c>
      <x:c r="AK548" s="4" t="n">
        <x:f>SUM(COUNTIFS('Material routes'!$D$6:$D$2205,A548,'Material routes'!$C$6:$C$2205,"Ingredient candidate"),COUNTIFS('Material routes'!$D$6:$D$2205,A548,'Material routes'!$C$6:$C$2205,"Consumed input"),COUNTIFS('Material routes'!$D$6:$D$2205,A548,'Material routes'!$C$6:$C$2205,"Contained input"),COUNTIFS('Material routes'!$D$6:$D$2205,A548,'Material routes'!$C$6:$C$2205,"Transform input"))</x:f>
        <x:v>0</x:v>
      </x:c>
      <x:c r="AL548" s="4" t="n">
        <x:f>COUNTIFS('Material routes'!$D$6:$D$2205,A548,'Material routes'!$C$6:$C$2205,"Tool candidate")</x:f>
        <x:v>0</x:v>
      </x:c>
      <x:c r="AM548" s="4" t="str">
        <x:f>IF(AJ548&gt;0,"Route listed; review status/completeness",IF(C548="T0","Raw entry feed; no production route","No production route listed"))</x:f>
        <x:v>Route listed; review status/completeness</x:v>
      </x:c>
      <x:c r="AN548" s="4" t="n">
        <x:f>IF(C548="T0",0,IF(C548="T1",1,IF(C548="T2",2,IF(C548="T3",3,IF(C548="T4",4,IF(C548="Unassigned",98,99))))))</x:f>
        <x:v>99</x:v>
      </x:c>
      <x:c r="AZ548"/>
      <x:c r="BA548"/>
      <x:c r="BB548"/>
      <x:c r="BC548"/>
      <x:c r="BD548"/>
      <x:c r="BE548"/>
      <x:c r="BF548"/>
      <x:c r="BG548"/>
      <x:c r="BH548"/>
      <x:c r="BI548"/>
      <x:c r="BJ548"/>
      <x:c r="BK548"/>
      <x:c r="BL548"/>
      <x:c r="BM548"/>
      <x:c r="BN548"/>
      <x:c r="BO548"/>
      <x:c r="BP548"/>
      <x:c r="BQ548"/>
      <x:c r="BR548"/>
      <x:c r="BS548"/>
      <x:c r="BT548"/>
      <x:c r="BU548"/>
      <x:c r="BV548"/>
      <x:c r="BW548"/>
      <x:c r="BX548"/>
      <x:c r="BY548"/>
      <x:c r="BZ548"/>
      <x:c r="CA548"/>
      <x:c r="CB548"/>
      <x:c r="CC548"/>
    </x:row>
    <x:row r="549" ht="115" customHeight="1">
      <x:c r="A549" s="4"/>
      <x:c r="B549" s="4"/>
      <x:c r="C549" s="4"/>
      <x:c r="D549" s="4"/>
      <x:c r="E549" s="4"/>
      <x:c r="F549" s="4"/>
      <x:c r="G549" s="4"/>
      <x:c r="H549" s="4"/>
      <x:c r="I549" s="4"/>
      <x:c r="J549" s="4"/>
      <x:c r="M549" s="4"/>
      <x:c r="N549" s="4"/>
      <x:c r="O549" s="4"/>
      <x:c r="P549" s="4"/>
      <x:c r="V549" s="4"/>
      <x:c r="W549" s="4"/>
      <x:c r="X549" s="4"/>
      <x:c r="Y549" s="4"/>
      <x:c r="Z549" s="4"/>
      <x:c r="AA549" s="4"/>
      <x:c r="AB549" s="4"/>
      <x:c r="AC549" s="4"/>
      <x:c r="AD549" s="4"/>
      <x:c r="AE549" s="4"/>
      <x:c r="AF549" s="4"/>
      <x:c r="AG549" s="4"/>
      <x:c r="AH549" s="4"/>
      <x:c r="AI549" s="4"/>
      <x:c r="AJ549" s="4"/>
      <x:c r="AK549" s="4"/>
      <x:c r="AL549" s="4"/>
      <x:c r="AM549" s="4"/>
      <x:c r="AN549" s="4"/>
      <x:c r="AZ549"/>
      <x:c r="BA549"/>
      <x:c r="BB549"/>
      <x:c r="BC549"/>
      <x:c r="BD549"/>
      <x:c r="BE549"/>
      <x:c r="BF549"/>
      <x:c r="BG549"/>
      <x:c r="BH549"/>
      <x:c r="BI549"/>
      <x:c r="BJ549"/>
      <x:c r="BK549"/>
      <x:c r="BL549"/>
      <x:c r="BM549"/>
      <x:c r="BN549"/>
      <x:c r="BO549"/>
      <x:c r="BP549"/>
      <x:c r="BQ549"/>
      <x:c r="BR549"/>
      <x:c r="BS549"/>
      <x:c r="BT549"/>
      <x:c r="BU549"/>
      <x:c r="BV549"/>
      <x:c r="BW549"/>
      <x:c r="BX549"/>
      <x:c r="BY549"/>
      <x:c r="BZ549"/>
      <x:c r="CA549"/>
      <x:c r="CB549"/>
      <x:c r="CC549"/>
    </x:row>
    <x:row r="550" ht="115" customHeight="1">
      <x:c r="A550" s="4" t="str">
        <x:v>proposal.collection.husk_sheet_cutting_shears</x:v>
      </x:c>
      <x:c r="B550" s="4" t="str">
        <x:v>Husk-sheet cutting shears</x:v>
      </x:c>
      <x:c r="C550" s="4" t="str">
        <x:v>Not applicable</x:v>
      </x:c>
      <x:c r="D550" s="4" t="inlineStr">
        <x:is>
          <x:t xml:space="preserve">Salvage</x:t>
        </x:is>
      </x:c>
      <x:c r="E550" s="4" t="str">
        <x:v>Tool</x:v>
      </x:c>
      <x:c r="F550" s="4" t="str">
        <x:v>New proposal</x:v>
      </x:c>
      <x:c r="G550" s="4" t="inlineStr">
        <x:is>
          <x:t xml:space="preserve">Cuts prepared husk sheets and thin hides. It provides candidate material or a shaped starting piece for making other objects, with the final form set by the receiving design.</x:t>
        </x:is>
      </x:c>
      <x:c r="H550" s="4" t="str">
        <x:v>None</x:v>
      </x:c>
      <x:c r="I550" s="4" t="str">
        <x:v>Physical inventory / cargo item; dimensions and packing unresolved</x:v>
      </x:c>
      <x:c r="J550" s="4"/>
      <x:c r="K550" s="4"/>
      <x:c r="L550" s="4" t="str">
        <x:v>Candidate preparation: design.collection.husk_sheet_cutting_shears. Full inputs are in Crafting browser.</x:v>
      </x:c>
      <x:c r="M550" s="4" t="str">
        <x:v>Candidate workshop or contained preparation route; detailed tools, quantities and conditions unresolved</x:v>
      </x:c>
      <x:c r="N550" s="4" t="str">
        <x:v>Not implemented</x:v>
      </x:c>
      <x:c r="O550" s="4" t="str">
        <x:v>Specific dimensions, yield, fit, performance and service conditions remain open.</x:v>
      </x:c>
      <x:c r="P550" s="4"/>
      <x:c r="Q550" s="4"/>
      <x:c r="R550" s="4"/>
      <x:c r="S550" s="4"/>
      <x:c r="T550" s="4"/>
      <x:c r="U550" s="4" t="str">
        <x:v>Candidate inputs are partial. Resolve tools, supporting materials, energy, recovery and compatibility before recipes become craftable.</x:v>
      </x:c>
      <x:c r="V550" s="4" t="str">
        <x:v>husk-sheet cutting shears; collection expansion; tool</x:v>
      </x:c>
      <x:c r="W550" s="4" t="str">
        <x:v>New item proposal, October 15, 2026. Setting reference (source proposal): https://github.com/sleepyseamonster/Arc-Dust/blob/f6f98515c005dc3c73cccd9cbc031691745740c6/02-Arc-Dust-Worldbuilding/world/materials/industrial-material-palette.md</x:v>
      </x:c>
      <x:c r="X550" s="4" t="str">
        <x:v>Tool</x:v>
      </x:c>
      <x:c r="Y550" s="4" t="str">
        <x:v>Finished item</x:v>
      </x:c>
      <x:c r="Z550" s="4" t="str">
        <x:v>Manufactured / unresolved</x:v>
      </x:c>
      <x:c r="AA550" s="4" t="str">
        <x:v>Fabrication</x:v>
      </x:c>
      <x:c r="AB550" s="4" t="str">
        <x:v>Metal</x:v>
      </x:c>
      <x:c r="AC550" s="4" t="str">
        <x:v>Assembly</x:v>
      </x:c>
      <x:c r="AD550" s="4" t="str">
        <x:v>Proposal</x:v>
      </x:c>
      <x:c r="AE550" s="4" t="str">
        <x:f>LOWER(A550&amp;"; "&amp;B550&amp;"; "&amp;D550&amp;"; "&amp;E550&amp;"; "&amp;X550&amp;"; "&amp;Y550&amp;"; "&amp;Z550&amp;"; "&amp;AA550&amp;"; "&amp;AB550&amp;"; "&amp;AC550&amp;"; "&amp;AD550&amp;"; "&amp;V550&amp;"; "&amp;C550&amp;"; "&amp;AH550&amp;"; "&amp;AI550)</x:f>
        <x:v>proposal.collection.husk_sheet_cutting_shears; husk-sheet cutting shears; salvage; tool; tool; finished item; manufactured / unresolved; fabrication; metal; assembly; proposal; husk-sheet cutting shears; collection expansion; tool; not applicable; t3; finished item</x:v>
      </x:c>
      <x:c r="AF550"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550" s="4" t="str">
        <x:v>Finished endpoint or currency. Material tier is separate from finished input tier.</x:v>
      </x:c>
      <x:c r="AH550" s="4" t="str">
        <x:v>T3</x:v>
      </x:c>
      <x:c r="AI550" s="4" t="str">
        <x:v>Finished item</x:v>
      </x:c>
      <x:c r="AJ550" s="4" t="n">
        <x:f>COUNTIFS('Material routes'!$D$6:$D$2205,A550,'Material routes'!$C$6:$C$2205,"Output")</x:f>
        <x:v>1</x:v>
      </x:c>
      <x:c r="AK550" s="4" t="n">
        <x:f>SUM(COUNTIFS('Material routes'!$D$6:$D$2205,A550,'Material routes'!$C$6:$C$2205,"Ingredient candidate"),COUNTIFS('Material routes'!$D$6:$D$2205,A550,'Material routes'!$C$6:$C$2205,"Consumed input"),COUNTIFS('Material routes'!$D$6:$D$2205,A550,'Material routes'!$C$6:$C$2205,"Contained input"),COUNTIFS('Material routes'!$D$6:$D$2205,A550,'Material routes'!$C$6:$C$2205,"Transform input"))</x:f>
        <x:v>0</x:v>
      </x:c>
      <x:c r="AL550" s="4" t="n">
        <x:f>COUNTIFS('Material routes'!$D$6:$D$2205,A550,'Material routes'!$C$6:$C$2205,"Tool candidate")</x:f>
        <x:v>0</x:v>
      </x:c>
      <x:c r="AM550" s="4" t="str">
        <x:f>IF(AJ550&gt;0,"Route listed; review status/completeness",IF(C550="T0","Raw entry feed; no production route","No production route listed"))</x:f>
        <x:v>Route listed; review status/completeness</x:v>
      </x:c>
      <x:c r="AN550" s="4" t="n">
        <x:f>IF(C550="T0",0,IF(C550="T1",1,IF(C550="T2",2,IF(C550="T3",3,IF(C550="T4",4,IF(C550="Unassigned",98,99))))))</x:f>
        <x:v>99</x:v>
      </x:c>
      <x:c r="AZ550"/>
      <x:c r="BA550"/>
      <x:c r="BB550"/>
      <x:c r="BC550"/>
      <x:c r="BD550"/>
      <x:c r="BE550"/>
      <x:c r="BF550"/>
      <x:c r="BG550"/>
      <x:c r="BH550"/>
      <x:c r="BI550"/>
      <x:c r="BJ550"/>
      <x:c r="BK550"/>
      <x:c r="BL550"/>
      <x:c r="BM550"/>
      <x:c r="BN550"/>
      <x:c r="BO550"/>
      <x:c r="BP550"/>
      <x:c r="BQ550"/>
      <x:c r="BR550"/>
      <x:c r="BS550"/>
      <x:c r="BT550"/>
      <x:c r="BU550"/>
      <x:c r="BV550"/>
      <x:c r="BW550"/>
      <x:c r="BX550"/>
      <x:c r="BY550"/>
      <x:c r="BZ550"/>
      <x:c r="CA550"/>
      <x:c r="CB550"/>
      <x:c r="CC550"/>
    </x:row>
    <x:row r="551" ht="115" customHeight="1">
      <x:c r="A551" s="4" t="str">
        <x:v>proposal.collection.divided_ceramic_reagent_caddy</x:v>
      </x:c>
      <x:c r="B551" s="4" t="str">
        <x:v>Divided ceramic reagent caddy</x:v>
      </x:c>
      <x:c r="C551" s="4" t="str">
        <x:v>Not applicable</x:v>
      </x:c>
      <x:c r="D551" s="4" t="inlineStr">
        <x:is>
          <x:t xml:space="preserve">Salvage</x:t>
        </x:is>
      </x:c>
      <x:c r="E551" s="4" t="inlineStr">
        <x:is>
          <x:t xml:space="preserve">Reusable salvage</x:t>
        </x:is>
      </x:c>
      <x:c r="F551" s="4" t="str">
        <x:v>New proposal</x:v>
      </x:c>
      <x:c r="G551" s="4" t="inlineStr">
        <x:is>
          <x:t xml:space="preserve">A ceramic caddy with divided recesses, recovered as ordinary salvage. The divisions once separated small vessels or working materials. The body may be reused or recovered as ceramic feed after inspection, without assigning chemical compatibility, contents or special storage capacity.</x:t>
        </x:is>
      </x:c>
      <x:c r="H551" s="4" t="str">
        <x:v>None</x:v>
      </x:c>
      <x:c r="I551" s="4" t="inlineStr">
        <x:is>
          <x:t xml:space="preserve">Ordinary salvage inventory / cargo; no special carrier rules</x:t>
        </x:is>
      </x:c>
      <x:c r="J551" s="4"/>
      <x:c r="K551" s="4"/>
      <x:c r="L551" s="4" t="inlineStr">
        <x:is>
          <x:t xml:space="preserve">Found salvage; location and availability unresolved</x:t>
        </x:is>
      </x:c>
      <x:c r="M551" s="4" t="inlineStr">
        <x:is>
          <x:t xml:space="preserve">No dedicated container production route; possible salvage reuse remains undecided.</x:t>
        </x:is>
      </x:c>
      <x:c r="N551" s="4" t="inlineStr">
        <x:is>
          <x:t xml:space="preserve">No special container behavior</x:t>
        </x:is>
      </x:c>
      <x:c r="O551" s="4" t="inlineStr">
        <x:is>
          <x:t xml:space="preserve">No special container behavior, capacity, payload, sealing, sample handling or carrier eligibility. Specific reuse and recovery yields remain undecided.</x:t>
        </x:is>
      </x:c>
      <x:c r="P551" s="4"/>
      <x:c r="Q551" s="4"/>
      <x:c r="R551" s="4"/>
      <x:c r="S551" s="4"/>
      <x:c r="T551" s="4"/>
      <x:c r="U551" s="4" t="inlineStr">
        <x:is>
          <x:t xml:space="preserve">Possible reuse, material recovery and yields remain open. Former specialized container proposal withdrawn.</x:t>
        </x:is>
      </x:c>
      <x:c r="V551" s="4" t="str">
        <x:v>divided ceramic reagent caddy; collection expansion; container</x:v>
      </x:c>
      <x:c r="W551" s="4" t="str">
        <x:v>New item proposal, October 15, 2026. Setting reference (source proposal): https://github.com/sleepyseamonster/Arc-Dust/blob/f6f98515c005dc3c73cccd9cbc031691745740c6/02-Arc-Dust-Worldbuilding/world/materials/industrial-material-palette.md</x:v>
      </x:c>
      <x:c r="X551" s="4" t="inlineStr">
        <x:is>
          <x:t xml:space="preserve">Salvage</x:t>
        </x:is>
      </x:c>
      <x:c r="Y551" s="4" t="str">
        <x:v>Finished item</x:v>
      </x:c>
      <x:c r="Z551" s="4" t="inlineStr">
        <x:is>
          <x:t xml:space="preserve">Recovered / found</x:t>
        </x:is>
      </x:c>
      <x:c r="AA551" s="4" t="inlineStr">
        <x:is>
          <x:t xml:space="preserve">Salvage reuse</x:t>
        </x:is>
      </x:c>
      <x:c r="AB551" s="4" t="str">
        <x:v>Ceramic</x:v>
      </x:c>
      <x:c r="AC551" s="4" t="str">
        <x:v>Assembly</x:v>
      </x:c>
      <x:c r="AD551" s="4" t="str">
        <x:v>Proposal</x:v>
      </x:c>
      <x:c r="AE551" s="4" t="str">
        <x:f>LOWER(A551&amp;"; "&amp;B551&amp;"; "&amp;D551&amp;"; "&amp;E551&amp;"; "&amp;X551&amp;"; "&amp;Y551&amp;"; "&amp;Z551&amp;"; "&amp;AA551&amp;"; "&amp;AB551&amp;"; "&amp;AC551&amp;"; "&amp;AD551&amp;"; "&amp;V551&amp;"; "&amp;C551&amp;"; "&amp;AH551&amp;"; "&amp;AI551)</x:f>
        <x:v>proposal.collection.divided_ceramic_reagent_caddy; divided ceramic reagent caddy; salvage; reusable salvage; salvage; finished item; recovered / found; salvage reuse; ceramic; assembly; proposal; divided ceramic reagent caddy; collection expansion; container; not applicable; t3; salvage / possible reuse</x:v>
      </x:c>
      <x:c r="AF551" s="4" t="inlineStr">
        <x:is>
          <x:t xml:space="preserve">Collection expansion classification. Distinct type, use and material family; new item proposal unless author direction is marked. Author direction October 15: remaining Containers entries are ordinary salvage for possible reuse or material recovery. Specialized container, payload, transfer, sealing and cargo mechanics are withdrawn; no specific reuse or recovery yield is approved.</x:t>
        </x:is>
      </x:c>
      <x:c r="AG551" s="4" t="str">
        <x:v>Finished endpoint or currency. Material tier is separate from finished input tier.</x:v>
      </x:c>
      <x:c r="AH551" s="4" t="str">
        <x:v>T3</x:v>
      </x:c>
      <x:c r="AI551" s="4" t="inlineStr">
        <x:is>
          <x:t xml:space="preserve">Salvage / possible reuse</x:t>
        </x:is>
      </x:c>
      <x:c r="AJ551" s="4" t="n">
        <x:f>COUNTIFS('Material routes'!$D$6:$D$2205,A551,'Material routes'!$C$6:$C$2205,"Output")</x:f>
        <x:v>1</x:v>
      </x:c>
      <x:c r="AK551" s="4" t="n">
        <x:f>SUM(COUNTIFS('Material routes'!$D$6:$D$2205,A551,'Material routes'!$C$6:$C$2205,"Ingredient candidate"),COUNTIFS('Material routes'!$D$6:$D$2205,A551,'Material routes'!$C$6:$C$2205,"Consumed input"),COUNTIFS('Material routes'!$D$6:$D$2205,A551,'Material routes'!$C$6:$C$2205,"Contained input"),COUNTIFS('Material routes'!$D$6:$D$2205,A551,'Material routes'!$C$6:$C$2205,"Transform input"))</x:f>
        <x:v>0</x:v>
      </x:c>
      <x:c r="AL551" s="4" t="n">
        <x:f>COUNTIFS('Material routes'!$D$6:$D$2205,A551,'Material routes'!$C$6:$C$2205,"Tool candidate")</x:f>
        <x:v>0</x:v>
      </x:c>
      <x:c r="AM551" s="4" t="inlineStr">
        <x:is>
          <x:t xml:space="preserve">Found salvage; former container production proposal retired</x:t>
        </x:is>
      </x:c>
      <x:c r="AN551" s="4" t="n">
        <x:f>IF(C551="T0",0,IF(C551="T1",1,IF(C551="T2",2,IF(C551="T3",3,IF(C551="T4",4,IF(C551="Unassigned",98,99))))))</x:f>
        <x:v>99</x:v>
      </x:c>
      <x:c r="AZ551"/>
      <x:c r="BA551"/>
      <x:c r="BB551"/>
      <x:c r="BC551"/>
      <x:c r="BD551"/>
      <x:c r="BE551"/>
      <x:c r="BF551"/>
      <x:c r="BG551"/>
      <x:c r="BH551"/>
      <x:c r="BI551"/>
      <x:c r="BJ551"/>
      <x:c r="BK551"/>
      <x:c r="BL551"/>
      <x:c r="BM551"/>
      <x:c r="BN551"/>
      <x:c r="BO551"/>
      <x:c r="BP551"/>
      <x:c r="BQ551"/>
      <x:c r="BR551"/>
      <x:c r="BS551"/>
      <x:c r="BT551"/>
      <x:c r="BU551"/>
      <x:c r="BV551"/>
      <x:c r="BW551"/>
      <x:c r="BX551"/>
      <x:c r="BY551"/>
      <x:c r="BZ551"/>
      <x:c r="CA551"/>
      <x:c r="CB551"/>
      <x:c r="CC551"/>
    </x:row>
    <x:row r="552" ht="115" customHeight="1">
      <x:c r="A552" s="4" t="str">
        <x:v>proposal.collection.canister_drain_plug</x:v>
      </x:c>
      <x:c r="B552" s="4" t="str">
        <x:v>Canister drain plug</x:v>
      </x:c>
      <x:c r="C552" s="4" t="str">
        <x:v>T4</x:v>
      </x:c>
      <x:c r="D552" s="4" t="str">
        <x:v>Crafting components</x:v>
      </x:c>
      <x:c r="E552" s="4" t="str">
        <x:v>Container part</x:v>
      </x:c>
      <x:c r="F552" s="4" t="str">
        <x:v>New proposal</x:v>
      </x:c>
      <x:c r="G552" s="4" t="inlineStr">
        <x:is>
          <x:t xml:space="preserve">Removable service closure for a compatible vessel. It is intended to close a selected joint or patch an interface. Contents compatibility, movement and service conditions must be checked before a seal is relied on.</x:t>
        </x:is>
      </x:c>
      <x:c r="H552" s="4" t="str">
        <x:v>None</x:v>
      </x:c>
      <x:c r="I552" s="4" t="str">
        <x:v>Physical inventory / cargo item; dimensions and packing unresolved</x:v>
      </x:c>
      <x:c r="J552" s="4"/>
      <x:c r="K552" s="4"/>
      <x:c r="L552" s="4" t="str">
        <x:v>Candidate preparation: design.collection.canister_drain_plug. Full inputs are in Crafting browser.</x:v>
      </x:c>
      <x:c r="M552" s="4" t="str">
        <x:v>Candidate workshop or contained preparation route; detailed tools, quantities and conditions unresolved</x:v>
      </x:c>
      <x:c r="N552" s="4" t="str">
        <x:v>Not implemented</x:v>
      </x:c>
      <x:c r="O552" s="4" t="str">
        <x:v>Specific dimensions, yield, fit, performance and service conditions remain open.</x:v>
      </x:c>
      <x:c r="P552" s="4"/>
      <x:c r="Q552" s="4"/>
      <x:c r="R552" s="4"/>
      <x:c r="S552" s="4"/>
      <x:c r="T552" s="4"/>
      <x:c r="U552" s="4" t="str">
        <x:v>Candidate inputs are partial. Resolve tools, supporting materials, energy, recovery and compatibility before recipes become craftable.</x:v>
      </x:c>
      <x:c r="V552" s="4" t="str">
        <x:v>canister drain plug; collection expansion; container part</x:v>
      </x:c>
      <x:c r="W552" s="4" t="str">
        <x:v>New item proposal, October 15, 2026. Setting reference (source proposal): https://github.com/sleepyseamonster/Arc-Dust/blob/f6f98515c005dc3c73cccd9cbc031691745740c6/02-Arc-Dust-Worldbuilding/world/materials/industrial-material-palette.md</x:v>
      </x:c>
      <x:c r="X552" s="4" t="str">
        <x:v>Container part</x:v>
      </x:c>
      <x:c r="Y552" s="4" t="str">
        <x:v>Processed intermediate</x:v>
      </x:c>
      <x:c r="Z552" s="4" t="str">
        <x:v>Manufactured / unresolved</x:v>
      </x:c>
      <x:c r="AA552" s="4" t="str">
        <x:v>Sealing</x:v>
      </x:c>
      <x:c r="AB552" s="4" t="str">
        <x:v>Mixed / unresolved</x:v>
      </x:c>
      <x:c r="AC552" s="4" t="str">
        <x:v>Assembly</x:v>
      </x:c>
      <x:c r="AD552" s="4" t="str">
        <x:v>Proposal</x:v>
      </x:c>
      <x:c r="AE552" s="4" t="str">
        <x:f>LOWER(A552&amp;"; "&amp;B552&amp;"; "&amp;D552&amp;"; "&amp;E552&amp;"; "&amp;X552&amp;"; "&amp;Y552&amp;"; "&amp;Z552&amp;"; "&amp;AA552&amp;"; "&amp;AB552&amp;"; "&amp;AC552&amp;"; "&amp;AD552&amp;"; "&amp;V552&amp;"; "&amp;C552&amp;"; "&amp;AH552&amp;"; "&amp;AI552)</x:f>
        <x:v>proposal.collection.canister_drain_plug; canister drain plug; crafting components; container part; container part; processed intermediate; manufactured / unresolved; sealing; mixed / unresolved; assembly; proposal; canister drain plug; collection expansion; container part; t4; not applicable; component</x:v>
      </x:c>
      <x:c r="AF552" s="4" t="str">
        <x:v>Collection expansion classification. Distinct type, use and material family; new item proposal unless author direction is marked. October 15 audit: classification/handling clarified; item identity, design status and material tier preserved.</x:v>
      </x:c>
      <x:c r="AG552" s="4" t="str">
        <x:v>Selected candidate processing route places this stock at T4. Raw entry is T0; source rarity does not raise tier.</x:v>
      </x:c>
      <x:c r="AH552" s="4" t="str">
        <x:v>Not applicable</x:v>
      </x:c>
      <x:c r="AI552" s="4" t="str">
        <x:v>Component</x:v>
      </x:c>
      <x:c r="AJ552" s="4" t="n">
        <x:f>COUNTIFS('Material routes'!$D$6:$D$2205,A552,'Material routes'!$C$6:$C$2205,"Output")</x:f>
        <x:v>1</x:v>
      </x:c>
      <x:c r="AK552" s="4" t="n">
        <x:f>SUM(COUNTIFS('Material routes'!$D$6:$D$2205,A552,'Material routes'!$C$6:$C$2205,"Ingredient candidate"),COUNTIFS('Material routes'!$D$6:$D$2205,A552,'Material routes'!$C$6:$C$2205,"Consumed input"),COUNTIFS('Material routes'!$D$6:$D$2205,A552,'Material routes'!$C$6:$C$2205,"Contained input"),COUNTIFS('Material routes'!$D$6:$D$2205,A552,'Material routes'!$C$6:$C$2205,"Transform input"))</x:f>
        <x:v>0</x:v>
      </x:c>
      <x:c r="AL552" s="4" t="n">
        <x:f>COUNTIFS('Material routes'!$D$6:$D$2205,A552,'Material routes'!$C$6:$C$2205,"Tool candidate")</x:f>
        <x:v>0</x:v>
      </x:c>
      <x:c r="AM552" s="4" t="str">
        <x:f>IF(AJ552&gt;0,"Route listed; review status/completeness",IF(C552="T0","Raw entry feed; no production route","No production route listed"))</x:f>
        <x:v>Route listed; review status/completeness</x:v>
      </x:c>
      <x:c r="AN552" s="4" t="n">
        <x:f>IF(C552="T0",0,IF(C552="T1",1,IF(C552="T2",2,IF(C552="T3",3,IF(C552="T4",4,IF(C552="Unassigned",98,99))))))</x:f>
        <x:v>4</x:v>
      </x:c>
      <x:c r="AZ552"/>
      <x:c r="BA552"/>
      <x:c r="BB552"/>
      <x:c r="BC552"/>
      <x:c r="BD552"/>
      <x:c r="BE552"/>
      <x:c r="BF552"/>
      <x:c r="BG552"/>
      <x:c r="BH552"/>
      <x:c r="BI552"/>
      <x:c r="BJ552"/>
      <x:c r="BK552"/>
      <x:c r="BL552"/>
      <x:c r="BM552"/>
      <x:c r="BN552"/>
      <x:c r="BO552"/>
      <x:c r="BP552"/>
      <x:c r="BQ552"/>
      <x:c r="BR552"/>
      <x:c r="BS552"/>
      <x:c r="BT552"/>
      <x:c r="BU552"/>
      <x:c r="BV552"/>
      <x:c r="BW552"/>
      <x:c r="BX552"/>
      <x:c r="BY552"/>
      <x:c r="BZ552"/>
      <x:c r="CA552"/>
      <x:c r="CB552"/>
      <x:c r="CC552"/>
    </x:row>
    <x:row r="553" ht="115" customHeight="1">
      <x:c r="A553" s="4" t="str">
        <x:v>proposal.collection.bottle_retaining_cage</x:v>
      </x:c>
      <x:c r="B553" s="4" t="str">
        <x:v>Bottle retaining cage</x:v>
      </x:c>
      <x:c r="C553" s="4" t="str">
        <x:v>T4</x:v>
      </x:c>
      <x:c r="D553" s="4" t="str">
        <x:v>Crafting components</x:v>
      </x:c>
      <x:c r="E553" s="4" t="str">
        <x:v>Container part</x:v>
      </x:c>
      <x:c r="F553" s="4" t="str">
        <x:v>New proposal</x:v>
      </x:c>
      <x:c r="G553" s="4" t="inlineStr">
        <x:is>
          <x:t xml:space="preserve">Protects a fragile bottle with a fitted metal frame. It is intended to close a selected joint or patch an interface. Contents compatibility, movement and service conditions must be checked before a seal is relied on.</x:t>
        </x:is>
      </x:c>
      <x:c r="H553" s="4" t="str">
        <x:v>None</x:v>
      </x:c>
      <x:c r="I553" s="4" t="str">
        <x:v>Physical inventory / cargo item; dimensions and packing unresolved</x:v>
      </x:c>
      <x:c r="J553" s="4"/>
      <x:c r="K553" s="4"/>
      <x:c r="L553" s="4" t="str">
        <x:v>Candidate preparation: design.collection.bottle_retaining_cage. Full inputs are in Crafting browser.</x:v>
      </x:c>
      <x:c r="M553" s="4" t="str">
        <x:v>Candidate workshop or contained preparation route; detailed tools, quantities and conditions unresolved</x:v>
      </x:c>
      <x:c r="N553" s="4" t="str">
        <x:v>Not implemented</x:v>
      </x:c>
      <x:c r="O553" s="4" t="str">
        <x:v>Specific dimensions, yield, fit, performance and service conditions remain open.</x:v>
      </x:c>
      <x:c r="P553" s="4"/>
      <x:c r="Q553" s="4"/>
      <x:c r="R553" s="4"/>
      <x:c r="S553" s="4"/>
      <x:c r="T553" s="4"/>
      <x:c r="U553" s="4" t="str">
        <x:v>Candidate inputs are partial. Resolve tools, supporting materials, energy, recovery and compatibility before recipes become craftable.</x:v>
      </x:c>
      <x:c r="V553" s="4" t="str">
        <x:v>bottle retaining cage; collection expansion; container part</x:v>
      </x:c>
      <x:c r="W553" s="4" t="str">
        <x:v>New item proposal, October 15, 2026. Setting reference (source proposal): https://github.com/sleepyseamonster/Arc-Dust/blob/f6f98515c005dc3c73cccd9cbc031691745740c6/02-Arc-Dust-Worldbuilding/world/materials/industrial-material-palette.md</x:v>
      </x:c>
      <x:c r="X553" s="4" t="str">
        <x:v>Container part</x:v>
      </x:c>
      <x:c r="Y553" s="4" t="str">
        <x:v>Processed intermediate</x:v>
      </x:c>
      <x:c r="Z553" s="4" t="str">
        <x:v>Manufactured / unresolved</x:v>
      </x:c>
      <x:c r="AA553" s="4" t="str">
        <x:v>Sealing</x:v>
      </x:c>
      <x:c r="AB553" s="4" t="str">
        <x:v>Metal</x:v>
      </x:c>
      <x:c r="AC553" s="4" t="str">
        <x:v>Assembly</x:v>
      </x:c>
      <x:c r="AD553" s="4" t="str">
        <x:v>Proposal</x:v>
      </x:c>
      <x:c r="AE553" s="4" t="str">
        <x:f>LOWER(A553&amp;"; "&amp;B553&amp;"; "&amp;D553&amp;"; "&amp;E553&amp;"; "&amp;X553&amp;"; "&amp;Y553&amp;"; "&amp;Z553&amp;"; "&amp;AA553&amp;"; "&amp;AB553&amp;"; "&amp;AC553&amp;"; "&amp;AD553&amp;"; "&amp;V553&amp;"; "&amp;C553&amp;"; "&amp;AH553&amp;"; "&amp;AI553)</x:f>
        <x:v>proposal.collection.bottle_retaining_cage; bottle retaining cage; crafting components; container part; container part; processed intermediate; manufactured / unresolved; sealing; metal; assembly; proposal; bottle retaining cage; collection expansion; container part; t4; not applicable; component</x:v>
      </x:c>
      <x:c r="AF553" s="4" t="str">
        <x:v>Collection expansion classification. Distinct type, use and material family; new item proposal unless author direction is marked. October 15 audit: classification/handling clarified; item identity, design status and material tier preserved.</x:v>
      </x:c>
      <x:c r="AG553" s="4" t="str">
        <x:v>Selected candidate processing route places this stock at T4. Raw entry is T0; source rarity does not raise tier.</x:v>
      </x:c>
      <x:c r="AH553" s="4" t="str">
        <x:v>Not applicable</x:v>
      </x:c>
      <x:c r="AI553" s="4" t="str">
        <x:v>Component</x:v>
      </x:c>
      <x:c r="AJ553" s="4" t="n">
        <x:f>COUNTIFS('Material routes'!$D$6:$D$2205,A553,'Material routes'!$C$6:$C$2205,"Output")</x:f>
        <x:v>1</x:v>
      </x:c>
      <x:c r="AK553" s="4" t="n">
        <x:f>SUM(COUNTIFS('Material routes'!$D$6:$D$2205,A553,'Material routes'!$C$6:$C$2205,"Ingredient candidate"),COUNTIFS('Material routes'!$D$6:$D$2205,A553,'Material routes'!$C$6:$C$2205,"Consumed input"),COUNTIFS('Material routes'!$D$6:$D$2205,A553,'Material routes'!$C$6:$C$2205,"Contained input"),COUNTIFS('Material routes'!$D$6:$D$2205,A553,'Material routes'!$C$6:$C$2205,"Transform input"))</x:f>
        <x:v>1</x:v>
      </x:c>
      <x:c r="AL553" s="4" t="n">
        <x:f>COUNTIFS('Material routes'!$D$6:$D$2205,A553,'Material routes'!$C$6:$C$2205,"Tool candidate")</x:f>
        <x:v>0</x:v>
      </x:c>
      <x:c r="AM553" s="4" t="str">
        <x:f>IF(AJ553&gt;0,"Route listed; review status/completeness",IF(C553="T0","Raw entry feed; no production route","No production route listed"))</x:f>
        <x:v>Route listed; review status/completeness</x:v>
      </x:c>
      <x:c r="AN553" s="4" t="n">
        <x:f>IF(C553="T0",0,IF(C553="T1",1,IF(C553="T2",2,IF(C553="T3",3,IF(C553="T4",4,IF(C553="Unassigned",98,99))))))</x:f>
        <x:v>4</x:v>
      </x:c>
      <x:c r="AZ553"/>
      <x:c r="BA553"/>
      <x:c r="BB553"/>
      <x:c r="BC553"/>
      <x:c r="BD553"/>
      <x:c r="BE553"/>
      <x:c r="BF553"/>
      <x:c r="BG553"/>
      <x:c r="BH553"/>
      <x:c r="BI553"/>
      <x:c r="BJ553"/>
      <x:c r="BK553"/>
      <x:c r="BL553"/>
      <x:c r="BM553"/>
      <x:c r="BN553"/>
      <x:c r="BO553"/>
      <x:c r="BP553"/>
      <x:c r="BQ553"/>
      <x:c r="BR553"/>
      <x:c r="BS553"/>
      <x:c r="BT553"/>
      <x:c r="BU553"/>
      <x:c r="BV553"/>
      <x:c r="BW553"/>
      <x:c r="BX553"/>
      <x:c r="BY553"/>
      <x:c r="BZ553"/>
      <x:c r="CA553"/>
      <x:c r="CB553"/>
      <x:c r="CC553"/>
    </x:row>
    <x:row r="554" ht="115" customHeight="1">
      <x:c r="A554" s="4" t="str">
        <x:v>proposal.collection.ceramic_vent_labyrinth_insert</x:v>
      </x:c>
      <x:c r="B554" s="4" t="str">
        <x:v>Ceramic vent labyrinth insert</x:v>
      </x:c>
      <x:c r="C554" s="4" t="str">
        <x:v>T3</x:v>
      </x:c>
      <x:c r="D554" s="4" t="str">
        <x:v>Crafting components</x:v>
      </x:c>
      <x:c r="E554" s="4" t="str">
        <x:v>Container part</x:v>
      </x:c>
      <x:c r="F554" s="4" t="str">
        <x:v>New proposal</x:v>
      </x:c>
      <x:c r="G554" s="4" t="inlineStr">
        <x:is>
          <x:t xml:space="preserve">Candidate grit-excluding vent path, without filtration claims. It is intended to close a selected joint or patch an interface. Contents compatibility, movement and service conditions must be checked before a seal is relied on.</x:t>
        </x:is>
      </x:c>
      <x:c r="H554" s="4" t="str">
        <x:v>None</x:v>
      </x:c>
      <x:c r="I554" s="4" t="str">
        <x:v>Physical inventory / cargo item; dimensions and packing unresolved</x:v>
      </x:c>
      <x:c r="J554" s="4"/>
      <x:c r="K554" s="4"/>
      <x:c r="L554" s="4" t="str">
        <x:v>Candidate preparation: design.collection.ceramic_vent_labyrinth_insert. Full inputs are in Crafting browser.</x:v>
      </x:c>
      <x:c r="M554" s="4" t="str">
        <x:v>Candidate workshop or contained preparation route; detailed tools, quantities and conditions unresolved</x:v>
      </x:c>
      <x:c r="N554" s="4" t="str">
        <x:v>Not implemented</x:v>
      </x:c>
      <x:c r="O554" s="4" t="str">
        <x:v>Specific dimensions, yield, fit, performance and service conditions remain open.</x:v>
      </x:c>
      <x:c r="P554" s="4"/>
      <x:c r="Q554" s="4"/>
      <x:c r="R554" s="4"/>
      <x:c r="S554" s="4"/>
      <x:c r="T554" s="4"/>
      <x:c r="U554" s="4" t="str">
        <x:v>Candidate inputs are partial. Resolve tools, supporting materials, energy, recovery and compatibility before recipes become craftable.</x:v>
      </x:c>
      <x:c r="V554" s="4" t="str">
        <x:v>ceramic vent labyrinth insert; collection expansion; container part</x:v>
      </x:c>
      <x:c r="W554" s="4" t="str">
        <x:v>New item proposal, October 15, 2026. Setting reference (source proposal): https://github.com/sleepyseamonster/Arc-Dust/blob/f6f98515c005dc3c73cccd9cbc031691745740c6/02-Arc-Dust-Worldbuilding/world/materials/industrial-material-palette.md</x:v>
      </x:c>
      <x:c r="X554" s="4" t="str">
        <x:v>Container part</x:v>
      </x:c>
      <x:c r="Y554" s="4" t="str">
        <x:v>Processed intermediate</x:v>
      </x:c>
      <x:c r="Z554" s="4" t="str">
        <x:v>Manufactured / unresolved</x:v>
      </x:c>
      <x:c r="AA554" s="4" t="str">
        <x:v>Sealing</x:v>
      </x:c>
      <x:c r="AB554" s="4" t="str">
        <x:v>Ceramic</x:v>
      </x:c>
      <x:c r="AC554" s="4" t="str">
        <x:v>Assembly</x:v>
      </x:c>
      <x:c r="AD554" s="4" t="str">
        <x:v>Proposal</x:v>
      </x:c>
      <x:c r="AE554" s="4" t="str">
        <x:f>LOWER(A554&amp;"; "&amp;B554&amp;"; "&amp;D554&amp;"; "&amp;E554&amp;"; "&amp;X554&amp;"; "&amp;Y554&amp;"; "&amp;Z554&amp;"; "&amp;AA554&amp;"; "&amp;AB554&amp;"; "&amp;AC554&amp;"; "&amp;AD554&amp;"; "&amp;V554&amp;"; "&amp;C554&amp;"; "&amp;AH554&amp;"; "&amp;AI554)</x:f>
        <x:v>proposal.collection.ceramic_vent_labyrinth_insert; ceramic vent labyrinth insert; crafting components; container part; container part; processed intermediate; manufactured / unresolved; sealing; ceramic; assembly; proposal; ceramic vent labyrinth insert; collection expansion; container part; t3; not applicable; component</x:v>
      </x:c>
      <x:c r="AF554" s="4" t="str">
        <x:v>Collection expansion classification. Distinct type, use and material family; new item proposal unless author direction is marked. October 15 audit: classification/handling clarified; item identity, design status and material tier preserved.</x:v>
      </x:c>
      <x:c r="AG554" s="4" t="str">
        <x:v>Selected candidate processing route places this stock at T3. Raw entry is T0; source rarity does not raise tier.</x:v>
      </x:c>
      <x:c r="AH554" s="4" t="str">
        <x:v>Not applicable</x:v>
      </x:c>
      <x:c r="AI554" s="4" t="str">
        <x:v>Component</x:v>
      </x:c>
      <x:c r="AJ554" s="4" t="n">
        <x:f>COUNTIFS('Material routes'!$D$6:$D$2205,A554,'Material routes'!$C$6:$C$2205,"Output")</x:f>
        <x:v>1</x:v>
      </x:c>
      <x:c r="AK554" s="4" t="n">
        <x:f>SUM(COUNTIFS('Material routes'!$D$6:$D$2205,A554,'Material routes'!$C$6:$C$2205,"Ingredient candidate"),COUNTIFS('Material routes'!$D$6:$D$2205,A554,'Material routes'!$C$6:$C$2205,"Consumed input"),COUNTIFS('Material routes'!$D$6:$D$2205,A554,'Material routes'!$C$6:$C$2205,"Contained input"),COUNTIFS('Material routes'!$D$6:$D$2205,A554,'Material routes'!$C$6:$C$2205,"Transform input"))</x:f>
        <x:v>1</x:v>
      </x:c>
      <x:c r="AL554" s="4" t="n">
        <x:f>COUNTIFS('Material routes'!$D$6:$D$2205,A554,'Material routes'!$C$6:$C$2205,"Tool candidate")</x:f>
        <x:v>0</x:v>
      </x:c>
      <x:c r="AM554" s="4" t="str">
        <x:f>IF(AJ554&gt;0,"Route listed; review status/completeness",IF(C554="T0","Raw entry feed; no production route","No production route listed"))</x:f>
        <x:v>Route listed; review status/completeness</x:v>
      </x:c>
      <x:c r="AN554" s="4" t="n">
        <x:f>IF(C554="T0",0,IF(C554="T1",1,IF(C554="T2",2,IF(C554="T3",3,IF(C554="T4",4,IF(C554="Unassigned",98,99))))))</x:f>
        <x:v>3</x:v>
      </x:c>
      <x:c r="AZ554"/>
      <x:c r="BA554"/>
      <x:c r="BB554"/>
      <x:c r="BC554"/>
      <x:c r="BD554"/>
      <x:c r="BE554"/>
      <x:c r="BF554"/>
      <x:c r="BG554"/>
      <x:c r="BH554"/>
      <x:c r="BI554"/>
      <x:c r="BJ554"/>
      <x:c r="BK554"/>
      <x:c r="BL554"/>
      <x:c r="BM554"/>
      <x:c r="BN554"/>
      <x:c r="BO554"/>
      <x:c r="BP554"/>
      <x:c r="BQ554"/>
      <x:c r="BR554"/>
      <x:c r="BS554"/>
      <x:c r="BT554"/>
      <x:c r="BU554"/>
      <x:c r="BV554"/>
      <x:c r="BW554"/>
      <x:c r="BX554"/>
      <x:c r="BY554"/>
      <x:c r="BZ554"/>
      <x:c r="CA554"/>
      <x:c r="CB554"/>
      <x:c r="CC554"/>
    </x:row>
    <x:row r="555" ht="115" customHeight="1">
      <x:c r="A555" s="4" t="str">
        <x:v>proposal.collection.vial_neck_locking_clip</x:v>
      </x:c>
      <x:c r="B555" s="4" t="str">
        <x:v>Vial neck locking clip</x:v>
      </x:c>
      <x:c r="C555" s="4" t="str">
        <x:v>T4</x:v>
      </x:c>
      <x:c r="D555" s="4" t="str">
        <x:v>Crafting components</x:v>
      </x:c>
      <x:c r="E555" s="4" t="str">
        <x:v>Container part</x:v>
      </x:c>
      <x:c r="F555" s="4" t="str">
        <x:v>New proposal</x:v>
      </x:c>
      <x:c r="G555" s="4" t="inlineStr">
        <x:is>
          <x:t xml:space="preserve">Retains a matched stopper during travel. It is intended to close a selected joint or patch an interface. Contents compatibility, movement and service conditions must be checked before a seal is relied on.</x:t>
        </x:is>
      </x:c>
      <x:c r="H555" s="4" t="str">
        <x:v>None</x:v>
      </x:c>
      <x:c r="I555" s="4" t="str">
        <x:v>Physical inventory / cargo item; dimensions and packing unresolved</x:v>
      </x:c>
      <x:c r="J555" s="4"/>
      <x:c r="K555" s="4"/>
      <x:c r="L555" s="4" t="str">
        <x:v>Candidate preparation: design.collection.vial_neck_locking_clip. Full inputs are in Crafting browser.</x:v>
      </x:c>
      <x:c r="M555" s="4" t="str">
        <x:v>Candidate workshop or contained preparation route; detailed tools, quantities and conditions unresolved</x:v>
      </x:c>
      <x:c r="N555" s="4" t="str">
        <x:v>Not implemented</x:v>
      </x:c>
      <x:c r="O555" s="4" t="str">
        <x:v>Specific dimensions, yield, fit, performance and service conditions remain open.</x:v>
      </x:c>
      <x:c r="P555" s="4"/>
      <x:c r="Q555" s="4"/>
      <x:c r="R555" s="4"/>
      <x:c r="S555" s="4"/>
      <x:c r="T555" s="4"/>
      <x:c r="U555" s="4" t="str">
        <x:v>Candidate inputs are partial. Resolve tools, supporting materials, energy, recovery and compatibility before recipes become craftable.</x:v>
      </x:c>
      <x:c r="V555" s="4" t="str">
        <x:v>vial neck locking clip; collection expansion; container part</x:v>
      </x:c>
      <x:c r="W555" s="4" t="str">
        <x:v>New item proposal, October 15, 2026. Setting reference (source proposal): https://github.com/sleepyseamonster/Arc-Dust/blob/f6f98515c005dc3c73cccd9cbc031691745740c6/02-Arc-Dust-Worldbuilding/world/materials/industrial-material-palette.md</x:v>
      </x:c>
      <x:c r="X555" s="4" t="str">
        <x:v>Container part</x:v>
      </x:c>
      <x:c r="Y555" s="4" t="str">
        <x:v>Processed intermediate</x:v>
      </x:c>
      <x:c r="Z555" s="4" t="str">
        <x:v>Manufactured / unresolved</x:v>
      </x:c>
      <x:c r="AA555" s="4" t="str">
        <x:v>Sealing</x:v>
      </x:c>
      <x:c r="AB555" s="4" t="str">
        <x:v>Metal</x:v>
      </x:c>
      <x:c r="AC555" s="4" t="str">
        <x:v>Solid part</x:v>
      </x:c>
      <x:c r="AD555" s="4" t="str">
        <x:v>Proposal</x:v>
      </x:c>
      <x:c r="AE555" s="4" t="str">
        <x:f>LOWER(A555&amp;"; "&amp;B555&amp;"; "&amp;D555&amp;"; "&amp;E555&amp;"; "&amp;X555&amp;"; "&amp;Y555&amp;"; "&amp;Z555&amp;"; "&amp;AA555&amp;"; "&amp;AB555&amp;"; "&amp;AC555&amp;"; "&amp;AD555&amp;"; "&amp;V555&amp;"; "&amp;C555&amp;"; "&amp;AH555&amp;"; "&amp;AI555)</x:f>
        <x:v>proposal.collection.vial_neck_locking_clip; vial neck locking clip; crafting components; container part; container part; processed intermediate; manufactured / unresolved; sealing; metal; solid part; proposal; vial neck locking clip; collection expansion; container part; t4; not applicable; component</x:v>
      </x:c>
      <x:c r="AF555" s="4" t="str">
        <x:v>Collection expansion classification. Distinct type, use and material family; new item proposal unless author direction is marked. October 15 audit: classification/handling clarified; item identity, design status and material tier preserved.</x:v>
      </x:c>
      <x:c r="AG555" s="4" t="str">
        <x:v>Selected candidate processing route places this stock at T4. Raw entry is T0; source rarity does not raise tier.</x:v>
      </x:c>
      <x:c r="AH555" s="4" t="str">
        <x:v>Not applicable</x:v>
      </x:c>
      <x:c r="AI555" s="4" t="str">
        <x:v>Component</x:v>
      </x:c>
      <x:c r="AJ555" s="4" t="n">
        <x:f>COUNTIFS('Material routes'!$D$6:$D$2205,A555,'Material routes'!$C$6:$C$2205,"Output")</x:f>
        <x:v>1</x:v>
      </x:c>
      <x:c r="AK555" s="4" t="n">
        <x:f>SUM(COUNTIFS('Material routes'!$D$6:$D$2205,A555,'Material routes'!$C$6:$C$2205,"Ingredient candidate"),COUNTIFS('Material routes'!$D$6:$D$2205,A555,'Material routes'!$C$6:$C$2205,"Consumed input"),COUNTIFS('Material routes'!$D$6:$D$2205,A555,'Material routes'!$C$6:$C$2205,"Contained input"),COUNTIFS('Material routes'!$D$6:$D$2205,A555,'Material routes'!$C$6:$C$2205,"Transform input"))</x:f>
        <x:v>0</x:v>
      </x:c>
      <x:c r="AL555" s="4" t="n">
        <x:f>COUNTIFS('Material routes'!$D$6:$D$2205,A555,'Material routes'!$C$6:$C$2205,"Tool candidate")</x:f>
        <x:v>0</x:v>
      </x:c>
      <x:c r="AM555" s="4" t="str">
        <x:f>IF(AJ555&gt;0,"Route listed; review status/completeness",IF(C555="T0","Raw entry feed; no production route","No production route listed"))</x:f>
        <x:v>Route listed; review status/completeness</x:v>
      </x:c>
      <x:c r="AN555" s="4" t="n">
        <x:f>IF(C555="T0",0,IF(C555="T1",1,IF(C555="T2",2,IF(C555="T3",3,IF(C555="T4",4,IF(C555="Unassigned",98,99))))))</x:f>
        <x:v>4</x:v>
      </x:c>
      <x:c r="AZ555"/>
      <x:c r="BA555"/>
      <x:c r="BB555"/>
      <x:c r="BC555"/>
      <x:c r="BD555"/>
      <x:c r="BE555"/>
      <x:c r="BF555"/>
      <x:c r="BG555"/>
      <x:c r="BH555"/>
      <x:c r="BI555"/>
      <x:c r="BJ555"/>
      <x:c r="BK555"/>
      <x:c r="BL555"/>
      <x:c r="BM555"/>
      <x:c r="BN555"/>
      <x:c r="BO555"/>
      <x:c r="BP555"/>
      <x:c r="BQ555"/>
      <x:c r="BR555"/>
      <x:c r="BS555"/>
      <x:c r="BT555"/>
      <x:c r="BU555"/>
      <x:c r="BV555"/>
      <x:c r="BW555"/>
      <x:c r="BX555"/>
      <x:c r="BY555"/>
      <x:c r="BZ555"/>
      <x:c r="CA555"/>
      <x:c r="CB555"/>
      <x:c r="CC555"/>
    </x:row>
    <x:row r="556" ht="115" customHeight="1">
      <x:c r="A556" s="4" t="str">
        <x:v>proposal.collection.husk_fiber_face_wrap</x:v>
      </x:c>
      <x:c r="B556" s="4" t="str">
        <x:v>Husk-fiber face wrap</x:v>
      </x:c>
      <x:c r="C556" s="4" t="str">
        <x:v>Not applicable</x:v>
      </x:c>
      <x:c r="D556" s="4" t="inlineStr">
        <x:is>
          <x:t xml:space="preserve">Clothing</x:t>
        </x:is>
      </x:c>
      <x:c r="E556" s="4" t="str">
        <x:v>Wearable</x:v>
      </x:c>
      <x:c r="F556" s="4" t="str">
        <x:v>New proposal</x:v>
      </x:c>
      <x:c r="G556" s="4" t="inlineStr">
        <x:is>
          <x:t xml:space="preserve">Simple dust-facing wrap with no certified filtration claim. It is intended to cover or guard the recorded area, with fit, coverage and protective performance still requiring qualification.</x:t>
        </x:is>
      </x:c>
      <x:c r="H556" s="4" t="str">
        <x:v>None</x:v>
      </x:c>
      <x:c r="I556" s="4" t="str">
        <x:v>Physical inventory / cargo item; dimensions and packing unresolved</x:v>
      </x:c>
      <x:c r="J556" s="4"/>
      <x:c r="K556" s="4"/>
      <x:c r="L556" s="4" t="str">
        <x:v>Candidate preparation: design.collection.husk_fiber_face_wrap. Full inputs are in Crafting browser.</x:v>
      </x:c>
      <x:c r="M556" s="4" t="str">
        <x:v>Candidate workshop or contained preparation route; detailed tools, quantities and conditions unresolved</x:v>
      </x:c>
      <x:c r="N556" s="4" t="str">
        <x:v>Not implemented</x:v>
      </x:c>
      <x:c r="O556" s="4" t="str">
        <x:v>Specific dimensions, yield, fit, performance and service conditions remain open.</x:v>
      </x:c>
      <x:c r="P556" s="4" t="str">
        <x:v>Design-dependent; processed biological materials remain costly</x:v>
      </x:c>
      <x:c r="Q556" s="4"/>
      <x:c r="R556" s="4"/>
      <x:c r="S556" s="4"/>
      <x:c r="T556" s="4"/>
      <x:c r="U556" s="4" t="str">
        <x:v>Candidate inputs are partial. Resolve tools, supporting materials, energy, recovery and compatibility before recipes become craftable.</x:v>
      </x:c>
      <x:c r="V556" s="4" t="str">
        <x:v>husk-fiber face wrap; collection expansion; wearable</x:v>
      </x:c>
      <x:c r="W556" s="4" t="str">
        <x:v>New item proposal, October 15, 2026. Setting reference (source proposal): https://github.com/sleepyseamonster/Arc-Dust/blob/f6f98515c005dc3c73cccd9cbc031691745740c6/02-Arc-Dust-Worldbuilding/world/materials/industrial-material-palette.md</x:v>
      </x:c>
      <x:c r="X556" s="4" t="str">
        <x:v>Wearable</x:v>
      </x:c>
      <x:c r="Y556" s="4" t="str">
        <x:v>Finished item</x:v>
      </x:c>
      <x:c r="Z556" s="4" t="str">
        <x:v>Manufactured / unresolved</x:v>
      </x:c>
      <x:c r="AA556" s="4" t="str">
        <x:v>Protection</x:v>
      </x:c>
      <x:c r="AB556" s="4" t="str">
        <x:v>Husk fiber</x:v>
      </x:c>
      <x:c r="AC556" s="4" t="str">
        <x:v>Garment</x:v>
      </x:c>
      <x:c r="AD556" s="4" t="str">
        <x:v>Proposal</x:v>
      </x:c>
      <x:c r="AE556" s="4" t="str">
        <x:f>LOWER(A556&amp;"; "&amp;B556&amp;"; "&amp;D556&amp;"; "&amp;E556&amp;"; "&amp;X556&amp;"; "&amp;Y556&amp;"; "&amp;Z556&amp;"; "&amp;AA556&amp;"; "&amp;AB556&amp;"; "&amp;AC556&amp;"; "&amp;AD556&amp;"; "&amp;V556&amp;"; "&amp;C556&amp;"; "&amp;AH556&amp;"; "&amp;AI556)</x:f>
        <x:v>proposal.collection.husk_fiber_face_wrap; husk-fiber face wrap; clothing; wearable; wearable; finished item; manufactured / unresolved; protection; husk fiber; garment; proposal; husk-fiber face wrap; collection expansion; wearable; not applicable; t3; finished item</x:v>
      </x:c>
      <x:c r="AF5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6" s="4" t="str">
        <x:v>Finished endpoint or currency. Material tier is separate from finished input tier.</x:v>
      </x:c>
      <x:c r="AH556" s="4" t="str">
        <x:v>T3</x:v>
      </x:c>
      <x:c r="AI556" s="4" t="str">
        <x:v>Finished item</x:v>
      </x:c>
      <x:c r="AJ556" s="4" t="n">
        <x:f>COUNTIFS('Material routes'!$D$6:$D$2205,A556,'Material routes'!$C$6:$C$2205,"Output")</x:f>
        <x:v>1</x:v>
      </x:c>
      <x:c r="AK556" s="4" t="n">
        <x:f>SUM(COUNTIFS('Material routes'!$D$6:$D$2205,A556,'Material routes'!$C$6:$C$2205,"Ingredient candidate"),COUNTIFS('Material routes'!$D$6:$D$2205,A556,'Material routes'!$C$6:$C$2205,"Consumed input"),COUNTIFS('Material routes'!$D$6:$D$2205,A556,'Material routes'!$C$6:$C$2205,"Contained input"),COUNTIFS('Material routes'!$D$6:$D$2205,A556,'Material routes'!$C$6:$C$2205,"Transform input"))</x:f>
        <x:v>0</x:v>
      </x:c>
      <x:c r="AL556" s="4" t="n">
        <x:f>COUNTIFS('Material routes'!$D$6:$D$2205,A556,'Material routes'!$C$6:$C$2205,"Tool candidate")</x:f>
        <x:v>0</x:v>
      </x:c>
      <x:c r="AM556" s="4" t="str">
        <x:f>IF(AJ556&gt;0,"Route listed; review status/completeness",IF(C556="T0","Raw entry feed; no production route","No production route listed"))</x:f>
        <x:v>Route listed; review status/completeness</x:v>
      </x:c>
      <x:c r="AN556" s="4" t="n">
        <x:f>IF(C556="T0",0,IF(C556="T1",1,IF(C556="T2",2,IF(C556="T3",3,IF(C556="T4",4,IF(C556="Unassigned",98,99))))))</x:f>
        <x:v>99</x:v>
      </x:c>
      <x:c r="AZ556"/>
      <x:c r="BA556"/>
      <x:c r="BB556"/>
      <x:c r="BC556"/>
      <x:c r="BD556"/>
      <x:c r="BE556"/>
      <x:c r="BF556"/>
      <x:c r="BG556"/>
      <x:c r="BH556"/>
      <x:c r="BI556"/>
      <x:c r="BJ556"/>
      <x:c r="BK556"/>
      <x:c r="BL556"/>
      <x:c r="BM556"/>
      <x:c r="BN556"/>
      <x:c r="BO556"/>
      <x:c r="BP556"/>
      <x:c r="BQ556"/>
      <x:c r="BR556"/>
      <x:c r="BS556"/>
      <x:c r="BT556"/>
      <x:c r="BU556"/>
      <x:c r="BV556"/>
      <x:c r="BW556"/>
      <x:c r="BX556"/>
      <x:c r="BY556"/>
      <x:c r="BZ556"/>
      <x:c r="CA556"/>
      <x:c r="CB556"/>
      <x:c r="CC556"/>
    </x:row>
    <x:row r="557" ht="115" customHeight="1">
      <x:c r="A557" s="4" t="str">
        <x:v>proposal.collection.chainmail_shoulder_mantle</x:v>
      </x:c>
      <x:c r="B557" s="4" t="str">
        <x:v>Chainmail shoulder mantle</x:v>
      </x:c>
      <x:c r="C557" s="4" t="str">
        <x:v>Not applicable</x:v>
      </x:c>
      <x:c r="D557" s="4" t="inlineStr">
        <x:is>
          <x:t xml:space="preserve">Armor</x:t>
        </x:is>
      </x:c>
      <x:c r="E557" s="4" t="str">
        <x:v>Wearable</x:v>
      </x:c>
      <x:c r="F557" s="4" t="str">
        <x:v>New proposal</x:v>
      </x:c>
      <x:c r="G557" s="4" t="inlineStr">
        <x:is>
          <x:t xml:space="preserve">Everyday metal shoulder covering with minimal hide ties. It is intended to cover or guard the recorded area, with fit, coverage and protective performance still requiring qualification.</x:t>
        </x:is>
      </x:c>
      <x:c r="H557" s="4" t="str">
        <x:v>None</x:v>
      </x:c>
      <x:c r="I557" s="4" t="str">
        <x:v>Physical inventory / cargo item; dimensions and packing unresolved</x:v>
      </x:c>
      <x:c r="J557" s="4"/>
      <x:c r="K557" s="4"/>
      <x:c r="L557" s="4" t="str">
        <x:v>Candidate preparation: design.collection.chainmail_shoulder_mantle. Full inputs are in Crafting browser.</x:v>
      </x:c>
      <x:c r="M557" s="4" t="str">
        <x:v>Candidate workshop or contained preparation route; detailed tools, quantities and conditions unresolved</x:v>
      </x:c>
      <x:c r="N557" s="4" t="str">
        <x:v>Not implemented</x:v>
      </x:c>
      <x:c r="O557" s="4" t="str">
        <x:v>Specific dimensions, yield, fit, performance and service conditions remain open.</x:v>
      </x:c>
      <x:c r="P557" s="4" t="str">
        <x:v>Design-dependent; processed biological materials remain costly</x:v>
      </x:c>
      <x:c r="Q557" s="4"/>
      <x:c r="R557" s="4"/>
      <x:c r="S557" s="4"/>
      <x:c r="T557" s="4"/>
      <x:c r="U557" s="4" t="str">
        <x:v>Candidate inputs are partial. Resolve tools, supporting materials, energy, recovery and compatibility before recipes become craftable.</x:v>
      </x:c>
      <x:c r="V557" s="4" t="str">
        <x:v>chainmail shoulder mantle; collection expansion; wearable</x:v>
      </x:c>
      <x:c r="W557" s="4" t="str">
        <x:v>New item proposal, October 15, 2026. Setting reference (source proposal): https://github.com/sleepyseamonster/Arc-Dust/blob/f6f98515c005dc3c73cccd9cbc031691745740c6/02-Arc-Dust-Worldbuilding/world/materials/industrial-material-palette.md</x:v>
      </x:c>
      <x:c r="X557" s="4" t="str">
        <x:v>Wearable</x:v>
      </x:c>
      <x:c r="Y557" s="4" t="str">
        <x:v>Finished item</x:v>
      </x:c>
      <x:c r="Z557" s="4" t="str">
        <x:v>Manufactured / unresolved</x:v>
      </x:c>
      <x:c r="AA557" s="4" t="str">
        <x:v>Protection</x:v>
      </x:c>
      <x:c r="AB557" s="4" t="str">
        <x:v>Metal</x:v>
      </x:c>
      <x:c r="AC557" s="4" t="str">
        <x:v>Garment</x:v>
      </x:c>
      <x:c r="AD557" s="4" t="str">
        <x:v>Proposal</x:v>
      </x:c>
      <x:c r="AE557" s="4" t="str">
        <x:f>LOWER(A557&amp;"; "&amp;B557&amp;"; "&amp;D557&amp;"; "&amp;E557&amp;"; "&amp;X557&amp;"; "&amp;Y557&amp;"; "&amp;Z557&amp;"; "&amp;AA557&amp;"; "&amp;AB557&amp;"; "&amp;AC557&amp;"; "&amp;AD557&amp;"; "&amp;V557&amp;"; "&amp;C557&amp;"; "&amp;AH557&amp;"; "&amp;AI557)</x:f>
        <x:v>proposal.collection.chainmail_shoulder_mantle; chainmail shoulder mantle; armor; wearable; wearable; finished item; manufactured / unresolved; protection; metal; garment; proposal; chainmail shoulder mantle; collection expansion; wearable; not applicable; t4; finished item</x:v>
      </x:c>
      <x:c r="AF557"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7" s="4" t="str">
        <x:v>Finished endpoint or currency. Material tier is separate from finished input tier.</x:v>
      </x:c>
      <x:c r="AH557" s="4" t="str">
        <x:v>T4</x:v>
      </x:c>
      <x:c r="AI557" s="4" t="str">
        <x:v>Finished item</x:v>
      </x:c>
      <x:c r="AJ557" s="4" t="n">
        <x:f>COUNTIFS('Material routes'!$D$6:$D$2205,A557,'Material routes'!$C$6:$C$2205,"Output")</x:f>
        <x:v>1</x:v>
      </x:c>
      <x:c r="AK557" s="4" t="n">
        <x:f>SUM(COUNTIFS('Material routes'!$D$6:$D$2205,A557,'Material routes'!$C$6:$C$2205,"Ingredient candidate"),COUNTIFS('Material routes'!$D$6:$D$2205,A557,'Material routes'!$C$6:$C$2205,"Consumed input"),COUNTIFS('Material routes'!$D$6:$D$2205,A557,'Material routes'!$C$6:$C$2205,"Contained input"),COUNTIFS('Material routes'!$D$6:$D$2205,A557,'Material routes'!$C$6:$C$2205,"Transform input"))</x:f>
        <x:v>0</x:v>
      </x:c>
      <x:c r="AL557" s="4" t="n">
        <x:f>COUNTIFS('Material routes'!$D$6:$D$2205,A557,'Material routes'!$C$6:$C$2205,"Tool candidate")</x:f>
        <x:v>0</x:v>
      </x:c>
      <x:c r="AM557" s="4" t="str">
        <x:f>IF(AJ557&gt;0,"Route listed; review status/completeness",IF(C557="T0","Raw entry feed; no production route","No production route listed"))</x:f>
        <x:v>Route listed; review status/completeness</x:v>
      </x:c>
      <x:c r="AN557" s="4" t="n">
        <x:f>IF(C557="T0",0,IF(C557="T1",1,IF(C557="T2",2,IF(C557="T3",3,IF(C557="T4",4,IF(C557="Unassigned",98,99))))))</x:f>
        <x:v>99</x:v>
      </x:c>
      <x:c r="AZ557"/>
      <x:c r="BA557"/>
      <x:c r="BB557"/>
      <x:c r="BC557"/>
      <x:c r="BD557"/>
      <x:c r="BE557"/>
      <x:c r="BF557"/>
      <x:c r="BG557"/>
      <x:c r="BH557"/>
      <x:c r="BI557"/>
      <x:c r="BJ557"/>
      <x:c r="BK557"/>
      <x:c r="BL557"/>
      <x:c r="BM557"/>
      <x:c r="BN557"/>
      <x:c r="BO557"/>
      <x:c r="BP557"/>
      <x:c r="BQ557"/>
      <x:c r="BR557"/>
      <x:c r="BS557"/>
      <x:c r="BT557"/>
      <x:c r="BU557"/>
      <x:c r="BV557"/>
      <x:c r="BW557"/>
      <x:c r="BX557"/>
      <x:c r="BY557"/>
      <x:c r="BZ557"/>
      <x:c r="CA557"/>
      <x:c r="CB557"/>
      <x:c r="CC557"/>
    </x:row>
    <x:row r="558" ht="115" customHeight="1">
      <x:c r="A558" s="4"/>
      <x:c r="B558" s="4"/>
      <x:c r="C558" s="4"/>
      <x:c r="D558" s="4"/>
      <x:c r="E558" s="4"/>
      <x:c r="F558" s="4"/>
      <x:c r="G558" s="4"/>
      <x:c r="H558" s="4"/>
      <x:c r="I558" s="4"/>
      <x:c r="J558" s="4"/>
      <x:c r="K558" s="4"/>
      <x:c r="L558" s="4"/>
      <x:c r="M558" s="4"/>
      <x:c r="N558" s="4"/>
      <x:c r="O558" s="4"/>
      <x:c r="P558" s="4"/>
      <x:c r="Q558" s="4"/>
      <x:c r="R558" s="4"/>
      <x:c r="S558" s="4"/>
      <x:c r="T558" s="4"/>
      <x:c r="U558" s="4"/>
      <x:c r="V558" s="4"/>
      <x:c r="W558" s="4"/>
      <x:c r="X558" s="4"/>
      <x:c r="Y558" s="4"/>
      <x:c r="Z558" s="4"/>
      <x:c r="AA558" s="4"/>
      <x:c r="AB558" s="4"/>
      <x:c r="AC558" s="4"/>
      <x:c r="AD558" s="4"/>
      <x:c r="AE558" s="4"/>
      <x:c r="AF558" s="4"/>
      <x:c r="AG558" s="4"/>
      <x:c r="AH558" s="4"/>
      <x:c r="AI558" s="4"/>
      <x:c r="AJ558" s="4"/>
      <x:c r="AK558" s="4"/>
      <x:c r="AL558" s="4"/>
      <x:c r="AM558" s="4"/>
      <x:c r="AN558" s="4"/>
      <x:c r="AZ558"/>
      <x:c r="BA558"/>
      <x:c r="BB558"/>
      <x:c r="BC558"/>
      <x:c r="BD558"/>
      <x:c r="BE558"/>
      <x:c r="BF558"/>
      <x:c r="BG558"/>
      <x:c r="BH558"/>
      <x:c r="BI558"/>
      <x:c r="BJ558"/>
      <x:c r="BK558"/>
      <x:c r="BL558"/>
      <x:c r="BM558"/>
      <x:c r="BN558"/>
      <x:c r="BO558"/>
      <x:c r="BP558"/>
      <x:c r="BQ558"/>
      <x:c r="BR558"/>
      <x:c r="BS558"/>
      <x:c r="BT558"/>
      <x:c r="BU558"/>
      <x:c r="BV558"/>
      <x:c r="BW558"/>
      <x:c r="BX558"/>
      <x:c r="BY558"/>
      <x:c r="BZ558"/>
      <x:c r="CA558"/>
      <x:c r="CB558"/>
      <x:c r="CC558"/>
    </x:row>
    <x:row r="559" ht="115" customHeight="1">
      <x:c r="A559" s="4"/>
      <x:c r="B559" s="4"/>
      <x:c r="C559" s="4"/>
      <x:c r="D559" s="4"/>
      <x:c r="E559" s="4"/>
      <x:c r="F559" s="4"/>
      <x:c r="G559" s="4"/>
      <x:c r="H559" s="4"/>
      <x:c r="I559" s="4"/>
      <x:c r="J559" s="4"/>
      <x:c r="K559" s="4"/>
      <x:c r="L559" s="4"/>
      <x:c r="M559" s="4"/>
      <x:c r="N559" s="4"/>
      <x:c r="O559" s="4"/>
      <x:c r="P559" s="4"/>
      <x:c r="Q559" s="4"/>
      <x:c r="R559" s="4"/>
      <x:c r="S559" s="4"/>
      <x:c r="T559" s="4"/>
      <x:c r="U559" s="4"/>
      <x:c r="V559" s="4"/>
      <x:c r="W559" s="4"/>
      <x:c r="X559" s="4"/>
      <x:c r="Y559" s="4"/>
      <x:c r="Z559" s="4"/>
      <x:c r="AA559" s="4"/>
      <x:c r="AB559" s="4"/>
      <x:c r="AC559" s="4"/>
      <x:c r="AD559" s="4"/>
      <x:c r="AE559" s="4"/>
      <x:c r="AF559" s="4"/>
      <x:c r="AG559" s="4"/>
      <x:c r="AH559" s="4"/>
      <x:c r="AI559" s="4"/>
      <x:c r="AJ559" s="4"/>
      <x:c r="AK559" s="4"/>
      <x:c r="AL559" s="4"/>
      <x:c r="AM559" s="4"/>
      <x:c r="AN559" s="4"/>
      <x:c r="AZ559"/>
      <x:c r="BA559"/>
      <x:c r="BB559"/>
      <x:c r="BC559"/>
      <x:c r="BD559"/>
      <x:c r="BE559"/>
      <x:c r="BF559"/>
      <x:c r="BG559"/>
      <x:c r="BH559"/>
      <x:c r="BI559"/>
      <x:c r="BJ559"/>
      <x:c r="BK559"/>
      <x:c r="BL559"/>
      <x:c r="BM559"/>
      <x:c r="BN559"/>
      <x:c r="BO559"/>
      <x:c r="BP559"/>
      <x:c r="BQ559"/>
      <x:c r="BR559"/>
      <x:c r="BS559"/>
      <x:c r="BT559"/>
      <x:c r="BU559"/>
      <x:c r="BV559"/>
      <x:c r="BW559"/>
      <x:c r="BX559"/>
      <x:c r="BY559"/>
      <x:c r="BZ559"/>
      <x:c r="CA559"/>
      <x:c r="CB559"/>
      <x:c r="CC559"/>
    </x:row>
    <x:row r="560" ht="115" customHeight="1">
      <x:c r="A560" s="4"/>
      <x:c r="B560" s="4"/>
      <x:c r="C560" s="4"/>
      <x:c r="D560" s="4"/>
      <x:c r="E560" s="4"/>
      <x:c r="F560" s="4"/>
      <x:c r="G560" s="4"/>
      <x:c r="H560" s="4"/>
      <x:c r="I560" s="4"/>
      <x:c r="J560" s="4"/>
      <x:c r="M560" s="4"/>
      <x:c r="N560" s="4"/>
      <x:c r="O560" s="4"/>
      <x:c r="P560" s="4"/>
      <x:c r="Q560" s="4"/>
      <x:c r="V560" s="4"/>
      <x:c r="W560" s="4"/>
      <x:c r="X560" s="4"/>
      <x:c r="Y560" s="4"/>
      <x:c r="Z560" s="4"/>
      <x:c r="AA560" s="4"/>
      <x:c r="AB560" s="4"/>
      <x:c r="AC560" s="4"/>
      <x:c r="AD560" s="4"/>
      <x:c r="AE560" s="4"/>
      <x:c r="AF560" s="4"/>
      <x:c r="AG560" s="4"/>
      <x:c r="AH560" s="4"/>
      <x:c r="AI560" s="4"/>
      <x:c r="AJ560" s="4"/>
      <x:c r="AK560" s="4"/>
      <x:c r="AL560" s="4"/>
      <x:c r="AM560" s="4"/>
      <x:c r="AN560" s="4"/>
      <x:c r="AZ560"/>
      <x:c r="BA560"/>
      <x:c r="BB560"/>
      <x:c r="BC560"/>
      <x:c r="BD560"/>
      <x:c r="BE560"/>
      <x:c r="BF560"/>
      <x:c r="BG560"/>
      <x:c r="BH560"/>
      <x:c r="BI560"/>
      <x:c r="BJ560"/>
      <x:c r="BK560"/>
      <x:c r="BL560"/>
      <x:c r="BM560"/>
      <x:c r="BN560"/>
      <x:c r="BO560"/>
      <x:c r="BP560"/>
      <x:c r="BQ560"/>
      <x:c r="BR560"/>
      <x:c r="BS560"/>
      <x:c r="BT560"/>
      <x:c r="BU560"/>
      <x:c r="BV560"/>
      <x:c r="BW560"/>
      <x:c r="BX560"/>
      <x:c r="BY560"/>
      <x:c r="BZ560"/>
      <x:c r="CA560"/>
      <x:c r="CB560"/>
      <x:c r="CC560"/>
    </x:row>
    <x:row r="561" ht="115" customHeight="1">
      <x:c r="A561" s="4" t="str">
        <x:v>proposal.collection.mica_brim_sun_visor</x:v>
      </x:c>
      <x:c r="B561" s="4" t="str">
        <x:v>Mica-brim sun visor</x:v>
      </x:c>
      <x:c r="C561" s="4" t="str">
        <x:v>Not applicable</x:v>
      </x:c>
      <x:c r="D561" s="4" t="inlineStr">
        <x:is>
          <x:t xml:space="preserve">Clothing</x:t>
        </x:is>
      </x:c>
      <x:c r="E561" s="4" t="str">
        <x:v>Wearable</x:v>
      </x:c>
      <x:c r="F561" s="4" t="str">
        <x:v>New proposal</x:v>
      </x:c>
      <x:c r="G561" s="4" t="inlineStr">
        <x:is>
          <x:t xml:space="preserve">Rare framed shade worn above the eyes. It is intended to place a physical screen between the low sun and the user or equipment; orientation, supports and wind retention matter to the final arrangement.</x:t>
        </x:is>
      </x:c>
      <x:c r="H561" s="4" t="str">
        <x:v>None</x:v>
      </x:c>
      <x:c r="I561" s="4" t="str">
        <x:v>Physical inventory / cargo item; dimensions and packing unresolved</x:v>
      </x:c>
      <x:c r="J561" s="4"/>
      <x:c r="K561" s="4"/>
      <x:c r="L561" s="4" t="str">
        <x:v>Candidate preparation: design.collection.mica_brim_sun_visor. Full inputs are in Crafting browser.</x:v>
      </x:c>
      <x:c r="M561" s="4" t="str">
        <x:v>Candidate workshop or contained preparation route; detailed tools, quantities and conditions unresolved</x:v>
      </x:c>
      <x:c r="N561" s="4" t="str">
        <x:v>Not implemented</x:v>
      </x:c>
      <x:c r="O561" s="4" t="str">
        <x:v>Specific dimensions, yield, fit, performance and service conditions remain open.</x:v>
      </x:c>
      <x:c r="P561" s="4" t="str">
        <x:v>Design-dependent; processed biological materials remain costly</x:v>
      </x:c>
      <x:c r="Q561" s="4"/>
      <x:c r="R561" s="4"/>
      <x:c r="S561" s="4"/>
      <x:c r="T561" s="4"/>
      <x:c r="U561" s="4" t="str">
        <x:v>Candidate inputs are partial. Resolve tools, supporting materials, energy, recovery and compatibility before recipes become craftable.</x:v>
      </x:c>
      <x:c r="V561" s="4" t="str">
        <x:v>mica-brim sun visor; collection expansion; wearable</x:v>
      </x:c>
      <x:c r="W561" s="4" t="str">
        <x:v>New item proposal, October 15, 2026. Setting reference (source proposal): https://github.com/sleepyseamonster/Arc-Dust/blob/f6f98515c005dc3c73cccd9cbc031691745740c6/02-Arc-Dust-Worldbuilding/world/materials/industrial-material-palette.md</x:v>
      </x:c>
      <x:c r="X561" s="4" t="str">
        <x:v>Wearable</x:v>
      </x:c>
      <x:c r="Y561" s="4" t="str">
        <x:v>Finished item</x:v>
      </x:c>
      <x:c r="Z561" s="4" t="str">
        <x:v>Manufactured / unresolved</x:v>
      </x:c>
      <x:c r="AA561" s="4" t="str">
        <x:v>Sun shading</x:v>
      </x:c>
      <x:c r="AB561" s="4" t="str">
        <x:v>Mineral</x:v>
      </x:c>
      <x:c r="AC561" s="4" t="str">
        <x:v>Garment</x:v>
      </x:c>
      <x:c r="AD561" s="4" t="str">
        <x:v>Proposal</x:v>
      </x:c>
      <x:c r="AE561" s="4" t="str">
        <x:f>LOWER(A561&amp;"; "&amp;B561&amp;"; "&amp;D561&amp;"; "&amp;E561&amp;"; "&amp;X561&amp;"; "&amp;Y561&amp;"; "&amp;Z561&amp;"; "&amp;AA561&amp;"; "&amp;AB561&amp;"; "&amp;AC561&amp;"; "&amp;AD561&amp;"; "&amp;V561&amp;"; "&amp;C561&amp;"; "&amp;AH561&amp;"; "&amp;AI561)</x:f>
        <x:v>proposal.collection.mica_brim_sun_visor; mica-brim sun visor; clothing; wearable; wearable; finished item; manufactured / unresolved; sun shading; mineral; garment; proposal; mica-brim sun visor; collection expansion; wearable; not applicable; t2; finished item</x:v>
      </x:c>
      <x:c r="AF561" s="4" t="inlineStr">
        <x:is>
          <x:t xml:space="preserve">Collection expansion classification. Distinct type, use and material family; new item proposal unless author direction is marked.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561" s="4" t="str">
        <x:v>Finished endpoint or currency. Material tier is separate from finished input tier.</x:v>
      </x:c>
      <x:c r="AH561" s="4" t="str">
        <x:v>T2</x:v>
      </x:c>
      <x:c r="AI561" s="4" t="str">
        <x:v>Finished item</x:v>
      </x:c>
      <x:c r="AJ561" s="4" t="n">
        <x:f>COUNTIFS('Material routes'!$D$6:$D$2205,A561,'Material routes'!$C$6:$C$2205,"Output")</x:f>
        <x:v>1</x:v>
      </x:c>
      <x:c r="AK561" s="4" t="n">
        <x:f>SUM(COUNTIFS('Material routes'!$D$6:$D$2205,A561,'Material routes'!$C$6:$C$2205,"Ingredient candidate"),COUNTIFS('Material routes'!$D$6:$D$2205,A561,'Material routes'!$C$6:$C$2205,"Consumed input"),COUNTIFS('Material routes'!$D$6:$D$2205,A561,'Material routes'!$C$6:$C$2205,"Contained input"),COUNTIFS('Material routes'!$D$6:$D$2205,A561,'Material routes'!$C$6:$C$2205,"Transform input"))</x:f>
        <x:v>0</x:v>
      </x:c>
      <x:c r="AL561" s="4" t="n">
        <x:f>COUNTIFS('Material routes'!$D$6:$D$2205,A561,'Material routes'!$C$6:$C$2205,"Tool candidate")</x:f>
        <x:v>0</x:v>
      </x:c>
      <x:c r="AM561" s="4" t="str">
        <x:f>IF(AJ561&gt;0,"Route listed; review status/completeness",IF(C561="T0","Raw entry feed; no production route","No production route listed"))</x:f>
        <x:v>Route listed; review status/completeness</x:v>
      </x:c>
      <x:c r="AN561" s="4" t="n">
        <x:f>IF(C561="T0",0,IF(C561="T1",1,IF(C561="T2",2,IF(C561="T3",3,IF(C561="T4",4,IF(C561="Unassigned",98,99))))))</x:f>
        <x:v>99</x:v>
      </x:c>
      <x:c r="AZ561"/>
      <x:c r="BA561"/>
      <x:c r="BB561"/>
      <x:c r="BC561"/>
      <x:c r="BD561"/>
      <x:c r="BE561"/>
      <x:c r="BF561"/>
      <x:c r="BG561"/>
      <x:c r="BH561"/>
      <x:c r="BI561"/>
      <x:c r="BJ561"/>
      <x:c r="BK561"/>
      <x:c r="BL561"/>
      <x:c r="BM561"/>
      <x:c r="BN561"/>
      <x:c r="BO561"/>
      <x:c r="BP561"/>
      <x:c r="BQ561"/>
      <x:c r="BR561"/>
      <x:c r="BS561"/>
      <x:c r="BT561"/>
      <x:c r="BU561"/>
      <x:c r="BV561"/>
      <x:c r="BW561"/>
      <x:c r="BX561"/>
      <x:c r="BY561"/>
      <x:c r="BZ561"/>
      <x:c r="CA561"/>
      <x:c r="CB561"/>
      <x:c r="CC561"/>
    </x:row>
    <x:row r="562" ht="115" customHeight="1">
      <x:c r="A562" s="4" t="str">
        <x:v>proposal.collection.founding_stone_keepsake</x:v>
      </x:c>
      <x:c r="B562" s="4" t="str">
        <x:v>Founding-stone keepsake</x:v>
      </x:c>
      <x:c r="C562" s="4" t="str">
        <x:v>Not applicable</x:v>
      </x:c>
      <x:c r="D562" s="4" t="inlineStr">
        <x:is>
          <x:t xml:space="preserve">Salvage</x:t>
        </x:is>
      </x:c>
      <x:c r="E562" s="4" t="str">
        <x:v>Cultural object</x:v>
      </x:c>
      <x:c r="F562" s="4" t="str">
        <x:v>New proposal</x:v>
      </x:c>
      <x:c r="G562" s="4" t="inlineStr">
        <x:is>
          <x:t xml:space="preserve">Portable memorial of a settlement foundation, custom proposed. It is intended to be carried, displayed or used in a ceremony. The occasion, ownership and symbolic meaning remain open.</x:t>
        </x:is>
      </x:c>
      <x:c r="H562" s="4" t="str">
        <x:v>None</x:v>
      </x:c>
      <x:c r="I562" s="4" t="str">
        <x:v>Physical inventory / cargo item; dimensions and packing unresolved</x:v>
      </x:c>
      <x:c r="J562" s="4"/>
      <x:c r="K562" s="4"/>
      <x:c r="L562" s="4" t="str">
        <x:v>Candidate preparation: design.collection.founding_stone_keepsake. Full inputs are in Crafting browser.</x:v>
      </x:c>
      <x:c r="M562" s="4" t="str">
        <x:v>Candidate workshop or contained preparation route; detailed tools, quantities and conditions unresolved</x:v>
      </x:c>
      <x:c r="N562" s="4" t="str">
        <x:v>Not implemented</x:v>
      </x:c>
      <x:c r="O562" s="4" t="str">
        <x:v>Specific dimensions, yield, fit, performance and service conditions remain open.</x:v>
      </x:c>
      <x:c r="P562" s="4"/>
      <x:c r="Q562" s="4"/>
      <x:c r="R562" s="4"/>
      <x:c r="S562" s="4"/>
      <x:c r="T562" s="4"/>
      <x:c r="U562" s="4" t="str">
        <x:v>Candidate inputs are partial. Resolve tools, supporting materials, energy, recovery and compatibility before recipes become craftable.</x:v>
      </x:c>
      <x:c r="V562" s="4" t="str">
        <x:v>founding-stone keepsake; collection expansion; cultural object</x:v>
      </x:c>
      <x:c r="W562" s="4" t="str">
        <x:v>New item proposal, October 15, 2026. Setting reference (source proposal): https://github.com/sleepyseamonster/Arc-Dust/blob/f6f98515c005dc3c73cccd9cbc031691745740c6/02-Arc-Dust-Worldbuilding/world/materials/industrial-material-palette.md</x:v>
      </x:c>
      <x:c r="X562" s="4" t="str">
        <x:v>Cultural object</x:v>
      </x:c>
      <x:c r="Y562" s="4" t="str">
        <x:v>Finished item</x:v>
      </x:c>
      <x:c r="Z562" s="4" t="str">
        <x:v>Manufactured / unresolved</x:v>
      </x:c>
      <x:c r="AA562" s="4" t="str">
        <x:v>Ceremony</x:v>
      </x:c>
      <x:c r="AB562" s="4" t="str">
        <x:v>Mineral</x:v>
      </x:c>
      <x:c r="AC562" s="4" t="str">
        <x:v>Assembly</x:v>
      </x:c>
      <x:c r="AD562" s="4" t="str">
        <x:v>Proposal</x:v>
      </x:c>
      <x:c r="AE562" s="4" t="str">
        <x:f>LOWER(A562&amp;"; "&amp;B562&amp;"; "&amp;D562&amp;"; "&amp;E562&amp;"; "&amp;X562&amp;"; "&amp;Y562&amp;"; "&amp;Z562&amp;"; "&amp;AA562&amp;"; "&amp;AB562&amp;"; "&amp;AC562&amp;"; "&amp;AD562&amp;"; "&amp;V562&amp;"; "&amp;C562&amp;"; "&amp;AH562&amp;"; "&amp;AI562)</x:f>
        <x:v>proposal.collection.founding_stone_keepsake; founding-stone keepsake; salvage; cultural object; cultural object; finished item; manufactured / unresolved; ceremony; mineral; assembly; proposal; founding-stone keepsake; collection expansion; cultural object; not applicable; t1; finished item</x:v>
      </x:c>
      <x:c r="AF562"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2" s="4" t="str">
        <x:v>Finished endpoint or currency. Material tier is separate from finished input tier.</x:v>
      </x:c>
      <x:c r="AH562" s="4" t="str">
        <x:v>T1</x:v>
      </x:c>
      <x:c r="AI562" s="4" t="str">
        <x:v>Finished item</x:v>
      </x:c>
      <x:c r="AJ562" s="4" t="n">
        <x:f>COUNTIFS('Material routes'!$D$6:$D$2205,A562,'Material routes'!$C$6:$C$2205,"Output")</x:f>
        <x:v>1</x:v>
      </x:c>
      <x:c r="AK562" s="4" t="n">
        <x:f>SUM(COUNTIFS('Material routes'!$D$6:$D$2205,A562,'Material routes'!$C$6:$C$2205,"Ingredient candidate"),COUNTIFS('Material routes'!$D$6:$D$2205,A562,'Material routes'!$C$6:$C$2205,"Consumed input"),COUNTIFS('Material routes'!$D$6:$D$2205,A562,'Material routes'!$C$6:$C$2205,"Contained input"),COUNTIFS('Material routes'!$D$6:$D$2205,A562,'Material routes'!$C$6:$C$2205,"Transform input"))</x:f>
        <x:v>0</x:v>
      </x:c>
      <x:c r="AL562" s="4" t="n">
        <x:f>COUNTIFS('Material routes'!$D$6:$D$2205,A562,'Material routes'!$C$6:$C$2205,"Tool candidate")</x:f>
        <x:v>0</x:v>
      </x:c>
      <x:c r="AM562" s="4" t="str">
        <x:f>IF(AJ562&gt;0,"Route listed; review status/completeness",IF(C562="T0","Raw entry feed; no production route","No production route listed"))</x:f>
        <x:v>Route listed; review status/completeness</x:v>
      </x:c>
      <x:c r="AN562" s="4" t="n">
        <x:f>IF(C562="T0",0,IF(C562="T1",1,IF(C562="T2",2,IF(C562="T3",3,IF(C562="T4",4,IF(C562="Unassigned",98,99))))))</x:f>
        <x:v>99</x:v>
      </x:c>
      <x:c r="AZ562"/>
      <x:c r="BA562"/>
      <x:c r="BB562"/>
      <x:c r="BC562"/>
      <x:c r="BD562"/>
      <x:c r="BE562"/>
      <x:c r="BF562"/>
      <x:c r="BG562"/>
      <x:c r="BH562"/>
      <x:c r="BI562"/>
      <x:c r="BJ562"/>
      <x:c r="BK562"/>
      <x:c r="BL562"/>
      <x:c r="BM562"/>
      <x:c r="BN562"/>
      <x:c r="BO562"/>
      <x:c r="BP562"/>
      <x:c r="BQ562"/>
      <x:c r="BR562"/>
      <x:c r="BS562"/>
      <x:c r="BT562"/>
      <x:c r="BU562"/>
      <x:c r="BV562"/>
      <x:c r="BW562"/>
      <x:c r="BX562"/>
      <x:c r="BY562"/>
      <x:c r="BZ562"/>
      <x:c r="CA562"/>
      <x:c r="CB562"/>
      <x:c r="CC562"/>
    </x:row>
    <x:row r="563" ht="115" customHeight="1">
      <x:c r="A563" s="4" t="str">
        <x:v>proposal.collection.guild_craft_exemplar</x:v>
      </x:c>
      <x:c r="B563" s="4" t="str">
        <x:v>Guild craft exemplar</x:v>
      </x:c>
      <x:c r="C563" s="4" t="str">
        <x:v>Not applicable</x:v>
      </x:c>
      <x:c r="D563" s="4" t="inlineStr">
        <x:is>
          <x:t xml:space="preserve">Salvage</x:t>
        </x:is>
      </x:c>
      <x:c r="E563" s="4" t="str">
        <x:v>Cultural object</x:v>
      </x:c>
      <x:c r="F563" s="4" t="str">
        <x:v>New proposal</x:v>
      </x:c>
      <x:c r="G563" s="4" t="inlineStr">
        <x:is>
          <x:t xml:space="preserve">Small displayed sample of a maker's specialty. It is intended to be carried, displayed or used in a ceremony. The occasion, ownership and symbolic meaning remain open.</x:t>
        </x:is>
      </x:c>
      <x:c r="H563" s="4" t="str">
        <x:v>None</x:v>
      </x:c>
      <x:c r="I563" s="4" t="str">
        <x:v>Physical inventory / cargo item; dimensions and packing unresolved</x:v>
      </x:c>
      <x:c r="J563" s="4"/>
      <x:c r="K563" s="4"/>
      <x:c r="L563" s="4" t="str">
        <x:v>Candidate preparation: design.collection.guild_craft_exemplar. Full inputs are in Crafting browser.</x:v>
      </x:c>
      <x:c r="M563" s="4" t="str">
        <x:v>Candidate workshop or contained preparation route; detailed tools, quantities and conditions unresolved</x:v>
      </x:c>
      <x:c r="N563" s="4" t="str">
        <x:v>Not implemented</x:v>
      </x:c>
      <x:c r="O563" s="4" t="str">
        <x:v>Specific dimensions, yield, fit, performance and service conditions remain open.</x:v>
      </x:c>
      <x:c r="P563" s="4"/>
      <x:c r="Q563" s="4"/>
      <x:c r="R563" s="4"/>
      <x:c r="S563" s="4"/>
      <x:c r="T563" s="4"/>
      <x:c r="U563" s="4" t="str">
        <x:v>Candidate inputs are partial. Resolve tools, supporting materials, energy, recovery and compatibility before recipes become craftable.</x:v>
      </x:c>
      <x:c r="V563" s="4" t="str">
        <x:v>guild craft exemplar; collection expansion; cultural object</x:v>
      </x:c>
      <x:c r="W563" s="4" t="str">
        <x:v>New item proposal, October 15, 2026. Setting reference (source proposal): https://github.com/sleepyseamonster/Arc-Dust/blob/f6f98515c005dc3c73cccd9cbc031691745740c6/02-Arc-Dust-Worldbuilding/world/materials/industrial-material-palette.md</x:v>
      </x:c>
      <x:c r="X563" s="4" t="str">
        <x:v>Cultural object</x:v>
      </x:c>
      <x:c r="Y563" s="4" t="str">
        <x:v>Finished item</x:v>
      </x:c>
      <x:c r="Z563" s="4" t="str">
        <x:v>Manufactured / unresolved</x:v>
      </x:c>
      <x:c r="AA563" s="4" t="str">
        <x:v>Ceremony</x:v>
      </x:c>
      <x:c r="AB563" s="4" t="str">
        <x:v>Mixed / unresolved</x:v>
      </x:c>
      <x:c r="AC563" s="4" t="str">
        <x:v>Assembly</x:v>
      </x:c>
      <x:c r="AD563" s="4" t="str">
        <x:v>Proposal</x:v>
      </x:c>
      <x:c r="AE563" s="4" t="str">
        <x:f>LOWER(A563&amp;"; "&amp;B563&amp;"; "&amp;D563&amp;"; "&amp;E563&amp;"; "&amp;X563&amp;"; "&amp;Y563&amp;"; "&amp;Z563&amp;"; "&amp;AA563&amp;"; "&amp;AB563&amp;"; "&amp;AC563&amp;"; "&amp;AD563&amp;"; "&amp;V563&amp;"; "&amp;C563&amp;"; "&amp;AH563&amp;"; "&amp;AI563)</x:f>
        <x:v>proposal.collection.guild_craft_exemplar; guild craft exemplar; salvage; cultural object; cultural object; finished item; manufactured / unresolved; ceremony; mixed / unresolved; assembly; proposal; guild craft exemplar; collection expansion; cultural object; not applicable; t2; finished item</x:v>
      </x:c>
      <x:c r="AF56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3" s="4" t="str">
        <x:v>Finished endpoint or currency. Material tier is separate from finished input tier.</x:v>
      </x:c>
      <x:c r="AH563" s="4" t="str">
        <x:v>T2</x:v>
      </x:c>
      <x:c r="AI563" s="4" t="str">
        <x:v>Finished item</x:v>
      </x:c>
      <x:c r="AJ563" s="4" t="n">
        <x:f>COUNTIFS('Material routes'!$D$6:$D$2205,A563,'Material routes'!$C$6:$C$2205,"Output")</x:f>
        <x:v>1</x:v>
      </x:c>
      <x:c r="AK563" s="4" t="n">
        <x:f>SUM(COUNTIFS('Material routes'!$D$6:$D$2205,A563,'Material routes'!$C$6:$C$2205,"Ingredient candidate"),COUNTIFS('Material routes'!$D$6:$D$2205,A563,'Material routes'!$C$6:$C$2205,"Consumed input"),COUNTIFS('Material routes'!$D$6:$D$2205,A563,'Material routes'!$C$6:$C$2205,"Contained input"),COUNTIFS('Material routes'!$D$6:$D$2205,A563,'Material routes'!$C$6:$C$2205,"Transform input"))</x:f>
        <x:v>0</x:v>
      </x:c>
      <x:c r="AL563" s="4" t="n">
        <x:f>COUNTIFS('Material routes'!$D$6:$D$2205,A563,'Material routes'!$C$6:$C$2205,"Tool candidate")</x:f>
        <x:v>0</x:v>
      </x:c>
      <x:c r="AM563" s="4" t="str">
        <x:f>IF(AJ563&gt;0,"Route listed; review status/completeness",IF(C563="T0","Raw entry feed; no production route","No production route listed"))</x:f>
        <x:v>Route listed; review status/completeness</x:v>
      </x:c>
      <x:c r="AN563" s="4" t="n">
        <x:f>IF(C563="T0",0,IF(C563="T1",1,IF(C563="T2",2,IF(C563="T3",3,IF(C563="T4",4,IF(C563="Unassigned",98,99))))))</x:f>
        <x:v>99</x:v>
      </x:c>
      <x:c r="AZ563"/>
      <x:c r="BA563"/>
      <x:c r="BB563"/>
      <x:c r="BC563"/>
      <x:c r="BD563"/>
      <x:c r="BE563"/>
      <x:c r="BF563"/>
      <x:c r="BG563"/>
      <x:c r="BH563"/>
      <x:c r="BI563"/>
      <x:c r="BJ563"/>
      <x:c r="BK563"/>
      <x:c r="BL563"/>
      <x:c r="BM563"/>
      <x:c r="BN563"/>
      <x:c r="BO563"/>
      <x:c r="BP563"/>
      <x:c r="BQ563"/>
      <x:c r="BR563"/>
      <x:c r="BS563"/>
      <x:c r="BT563"/>
      <x:c r="BU563"/>
      <x:c r="BV563"/>
      <x:c r="BW563"/>
      <x:c r="BX563"/>
      <x:c r="BY563"/>
      <x:c r="BZ563"/>
      <x:c r="CA563"/>
      <x:c r="CB563"/>
      <x:c r="CC563"/>
    </x:row>
    <x:row r="564" ht="115" customHeight="1">
      <x:c r="A564" s="4" t="str">
        <x:v>proposal.collection.witness_chain</x:v>
      </x:c>
      <x:c r="B564" s="4" t="str">
        <x:v>Witness chain</x:v>
      </x:c>
      <x:c r="C564" s="4" t="str">
        <x:v>Not applicable</x:v>
      </x:c>
      <x:c r="D564" s="4" t="inlineStr">
        <x:is>
          <x:t xml:space="preserve">Salvage</x:t>
        </x:is>
      </x:c>
      <x:c r="E564" s="4" t="str">
        <x:v>Cultural object</x:v>
      </x:c>
      <x:c r="F564" s="4" t="str">
        <x:v>New proposal</x:v>
      </x:c>
      <x:c r="G564" s="4" t="inlineStr">
        <x:is>
          <x:t xml:space="preserve">Linked metal token exchanged at a witnessed agreement. It is intended to be carried, displayed or used in a ceremony. The occasion, ownership and symbolic meaning remain open.</x:t>
        </x:is>
      </x:c>
      <x:c r="H564" s="4" t="str">
        <x:v>None</x:v>
      </x:c>
      <x:c r="I564" s="4" t="str">
        <x:v>Physical inventory / cargo item; dimensions and packing unresolved</x:v>
      </x:c>
      <x:c r="J564" s="4"/>
      <x:c r="K564" s="4"/>
      <x:c r="L564" s="4" t="str">
        <x:v>Candidate preparation: design.collection.witness_chain. Full inputs are in Crafting browser.</x:v>
      </x:c>
      <x:c r="M564" s="4" t="str">
        <x:v>Candidate workshop or contained preparation route; detailed tools, quantities and conditions unresolved</x:v>
      </x:c>
      <x:c r="N564" s="4" t="str">
        <x:v>Not implemented</x:v>
      </x:c>
      <x:c r="O564" s="4" t="str">
        <x:v>Specific dimensions, yield, fit, performance and service conditions remain open.</x:v>
      </x:c>
      <x:c r="P564" s="4"/>
      <x:c r="Q564" s="4"/>
      <x:c r="R564" s="4"/>
      <x:c r="S564" s="4"/>
      <x:c r="T564" s="4"/>
      <x:c r="U564" s="4" t="str">
        <x:v>Candidate inputs are partial. Resolve tools, supporting materials, energy, recovery and compatibility before recipes become craftable.</x:v>
      </x:c>
      <x:c r="V564" s="4" t="str">
        <x:v>witness chain; collection expansion; cultural object</x:v>
      </x:c>
      <x:c r="W564" s="4" t="str">
        <x:v>New item proposal, October 15, 2026. Setting reference (source proposal): https://github.com/sleepyseamonster/Arc-Dust/blob/f6f98515c005dc3c73cccd9cbc031691745740c6/02-Arc-Dust-Worldbuilding/world/materials/industrial-material-palette.md</x:v>
      </x:c>
      <x:c r="X564" s="4" t="str">
        <x:v>Cultural object</x:v>
      </x:c>
      <x:c r="Y564" s="4" t="str">
        <x:v>Finished item</x:v>
      </x:c>
      <x:c r="Z564" s="4" t="str">
        <x:v>Manufactured / unresolved</x:v>
      </x:c>
      <x:c r="AA564" s="4" t="str">
        <x:v>Ceremony</x:v>
      </x:c>
      <x:c r="AB564" s="4" t="str">
        <x:v>Metal</x:v>
      </x:c>
      <x:c r="AC564" s="4" t="str">
        <x:v>Assembly</x:v>
      </x:c>
      <x:c r="AD564" s="4" t="str">
        <x:v>Proposal</x:v>
      </x:c>
      <x:c r="AE564" s="4" t="str">
        <x:f>LOWER(A564&amp;"; "&amp;B564&amp;"; "&amp;D564&amp;"; "&amp;E564&amp;"; "&amp;X564&amp;"; "&amp;Y564&amp;"; "&amp;Z564&amp;"; "&amp;AA564&amp;"; "&amp;AB564&amp;"; "&amp;AC564&amp;"; "&amp;AD564&amp;"; "&amp;V564&amp;"; "&amp;C564&amp;"; "&amp;AH564&amp;"; "&amp;AI564)</x:f>
        <x:v>proposal.collection.witness_chain; witness chain; salvage; cultural object; cultural object; finished item; manufactured / unresolved; ceremony; metal; assembly; proposal; witness chain; collection expansion; cultural object; not applicable; t2; finished item</x:v>
      </x:c>
      <x:c r="AF564"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4" s="4" t="str">
        <x:v>Finished endpoint or currency. Material tier is separate from finished input tier.</x:v>
      </x:c>
      <x:c r="AH564" s="4" t="str">
        <x:v>T2</x:v>
      </x:c>
      <x:c r="AI564" s="4" t="str">
        <x:v>Finished item</x:v>
      </x:c>
      <x:c r="AJ564" s="4" t="n">
        <x:f>COUNTIFS('Material routes'!$D$6:$D$2205,A564,'Material routes'!$C$6:$C$2205,"Output")</x:f>
        <x:v>1</x:v>
      </x:c>
      <x:c r="AK564" s="4" t="n">
        <x:f>SUM(COUNTIFS('Material routes'!$D$6:$D$2205,A564,'Material routes'!$C$6:$C$2205,"Ingredient candidate"),COUNTIFS('Material routes'!$D$6:$D$2205,A564,'Material routes'!$C$6:$C$2205,"Consumed input"),COUNTIFS('Material routes'!$D$6:$D$2205,A564,'Material routes'!$C$6:$C$2205,"Contained input"),COUNTIFS('Material routes'!$D$6:$D$2205,A564,'Material routes'!$C$6:$C$2205,"Transform input"))</x:f>
        <x:v>0</x:v>
      </x:c>
      <x:c r="AL564" s="4" t="n">
        <x:f>COUNTIFS('Material routes'!$D$6:$D$2205,A564,'Material routes'!$C$6:$C$2205,"Tool candidate")</x:f>
        <x:v>0</x:v>
      </x:c>
      <x:c r="AM564" s="4" t="str">
        <x:f>IF(AJ564&gt;0,"Route listed; review status/completeness",IF(C564="T0","Raw entry feed; no production route","No production route listed"))</x:f>
        <x:v>Route listed; review status/completeness</x:v>
      </x:c>
      <x:c r="AN564" s="4" t="n">
        <x:f>IF(C564="T0",0,IF(C564="T1",1,IF(C564="T2",2,IF(C564="T3",3,IF(C564="T4",4,IF(C564="Unassigned",98,99))))))</x:f>
        <x:v>99</x:v>
      </x:c>
      <x:c r="AZ564"/>
      <x:c r="BA564"/>
      <x:c r="BB564"/>
      <x:c r="BC564"/>
      <x:c r="BD564"/>
      <x:c r="BE564"/>
      <x:c r="BF564"/>
      <x:c r="BG564"/>
      <x:c r="BH564"/>
      <x:c r="BI564"/>
      <x:c r="BJ564"/>
      <x:c r="BK564"/>
      <x:c r="BL564"/>
      <x:c r="BM564"/>
      <x:c r="BN564"/>
      <x:c r="BO564"/>
      <x:c r="BP564"/>
      <x:c r="BQ564"/>
      <x:c r="BR564"/>
      <x:c r="BS564"/>
      <x:c r="BT564"/>
      <x:c r="BU564"/>
      <x:c r="BV564"/>
      <x:c r="BW564"/>
      <x:c r="BX564"/>
      <x:c r="BY564"/>
      <x:c r="BZ564"/>
      <x:c r="CA564"/>
      <x:c r="CB564"/>
      <x:c r="CC564"/>
    </x:row>
    <x:row r="565" ht="115" customHeight="1">
      <x:c r="A565" s="4"/>
      <x:c r="B565" s="4"/>
      <x:c r="C565" s="4"/>
      <x:c r="D565" s="4"/>
      <x:c r="E565" s="4"/>
      <x:c r="F565" s="4"/>
      <x:c r="G565" s="4"/>
      <x:c r="H565" s="4"/>
      <x:c r="I565" s="4"/>
      <x:c r="J565" s="4"/>
      <x:c r="K565" s="4"/>
      <x:c r="L565" s="4"/>
      <x:c r="M565" s="4"/>
      <x:c r="N565" s="4"/>
      <x:c r="O565" s="4"/>
      <x:c r="P565" s="4"/>
      <x:c r="Q565" s="4"/>
      <x:c r="R565" s="4"/>
      <x:c r="S565" s="4"/>
      <x:c r="T565" s="4"/>
      <x:c r="U565" s="4"/>
      <x:c r="V565" s="4"/>
      <x:c r="W565" s="4"/>
      <x:c r="X565" s="4"/>
      <x:c r="Y565" s="4"/>
      <x:c r="Z565" s="4"/>
      <x:c r="AA565" s="4"/>
      <x:c r="AB565" s="4"/>
      <x:c r="AC565" s="4"/>
      <x:c r="AD565" s="4"/>
      <x:c r="AE565" s="4"/>
      <x:c r="AF565" s="4"/>
      <x:c r="AG565" s="4"/>
      <x:c r="AH565" s="4"/>
      <x:c r="AI565" s="4"/>
      <x:c r="AJ565" s="4"/>
      <x:c r="AK565" s="4"/>
      <x:c r="AL565" s="4"/>
      <x:c r="AM565" s="4"/>
      <x:c r="AN565" s="4"/>
      <x:c r="AZ565"/>
      <x:c r="BA565"/>
      <x:c r="BB565"/>
      <x:c r="BC565"/>
      <x:c r="BD565"/>
      <x:c r="BE565"/>
      <x:c r="BF565"/>
      <x:c r="BG565"/>
      <x:c r="BH565"/>
      <x:c r="BI565"/>
      <x:c r="BJ565"/>
      <x:c r="BK565"/>
      <x:c r="BL565"/>
      <x:c r="BM565"/>
      <x:c r="BN565"/>
      <x:c r="BO565"/>
      <x:c r="BP565"/>
      <x:c r="BQ565"/>
      <x:c r="BR565"/>
      <x:c r="BS565"/>
      <x:c r="BT565"/>
      <x:c r="BU565"/>
      <x:c r="BV565"/>
      <x:c r="BW565"/>
      <x:c r="BX565"/>
      <x:c r="BY565"/>
      <x:c r="BZ565"/>
      <x:c r="CA565"/>
      <x:c r="CB565"/>
      <x:c r="CC565"/>
    </x:row>
    <x:row r="566" ht="115" customHeight="1">
      <x:c r="A566" s="4" t="str">
        <x:v>proposal.collection.pilgrim_route_bead_strand</x:v>
      </x:c>
      <x:c r="B566" s="4" t="str">
        <x:v>Pilgrim route bead strand</x:v>
      </x:c>
      <x:c r="C566" s="4" t="str">
        <x:v>Not applicable</x:v>
      </x:c>
      <x:c r="D566" s="4" t="inlineStr">
        <x:is>
          <x:t xml:space="preserve">Salvage</x:t>
        </x:is>
      </x:c>
      <x:c r="E566" s="4" t="str">
        <x:v>Cultural object</x:v>
      </x:c>
      <x:c r="F566" s="4" t="str">
        <x:v>New proposal</x:v>
      </x:c>
      <x:c r="G566" s="4" t="inlineStr">
        <x:is>
          <x:t xml:space="preserve">Personal record of a proposed journey tradition. It is intended to be carried, displayed or used in a ceremony. The occasion, ownership and symbolic meaning remain open.</x:t>
        </x:is>
      </x:c>
      <x:c r="H566" s="4" t="str">
        <x:v>None</x:v>
      </x:c>
      <x:c r="I566" s="4" t="str">
        <x:v>Physical inventory / cargo item; dimensions and packing unresolved</x:v>
      </x:c>
      <x:c r="J566" s="4"/>
      <x:c r="K566" s="4"/>
      <x:c r="L566" s="4" t="str">
        <x:v>Candidate preparation: design.collection.pilgrim_route_bead_strand. Full inputs are in Crafting browser.</x:v>
      </x:c>
      <x:c r="M566" s="4" t="str">
        <x:v>Candidate workshop or contained preparation route; detailed tools, quantities and conditions unresolved</x:v>
      </x:c>
      <x:c r="N566" s="4" t="str">
        <x:v>Not implemented</x:v>
      </x:c>
      <x:c r="O566" s="4" t="str">
        <x:v>Specific dimensions, yield, fit, performance and service conditions remain open.</x:v>
      </x:c>
      <x:c r="P566" s="4"/>
      <x:c r="Q566" s="4"/>
      <x:c r="R566" s="4"/>
      <x:c r="S566" s="4"/>
      <x:c r="T566" s="4"/>
      <x:c r="U566" s="4" t="str">
        <x:v>Candidate inputs are partial. Resolve tools, supporting materials, energy, recovery and compatibility before recipes become craftable.</x:v>
      </x:c>
      <x:c r="V566" s="4" t="str">
        <x:v>pilgrim route bead strand; collection expansion; cultural object</x:v>
      </x:c>
      <x:c r="W566" s="4" t="str">
        <x:v>New item proposal, October 15, 2026. Setting reference (source proposal): https://github.com/sleepyseamonster/Arc-Dust/blob/f6f98515c005dc3c73cccd9cbc031691745740c6/02-Arc-Dust-Worldbuilding/world/materials/industrial-material-palette.md</x:v>
      </x:c>
      <x:c r="X566" s="4" t="str">
        <x:v>Cultural object</x:v>
      </x:c>
      <x:c r="Y566" s="4" t="str">
        <x:v>Finished item</x:v>
      </x:c>
      <x:c r="Z566" s="4" t="str">
        <x:v>Manufactured / unresolved</x:v>
      </x:c>
      <x:c r="AA566" s="4" t="str">
        <x:v>Ceremony</x:v>
      </x:c>
      <x:c r="AB566" s="4" t="str">
        <x:v>Mixed / unresolved</x:v>
      </x:c>
      <x:c r="AC566" s="4" t="str">
        <x:v>Assembly</x:v>
      </x:c>
      <x:c r="AD566" s="4" t="str">
        <x:v>Proposal</x:v>
      </x:c>
      <x:c r="AE566" s="4" t="str">
        <x:f>LOWER(A566&amp;"; "&amp;B566&amp;"; "&amp;D566&amp;"; "&amp;E566&amp;"; "&amp;X566&amp;"; "&amp;Y566&amp;"; "&amp;Z566&amp;"; "&amp;AA566&amp;"; "&amp;AB566&amp;"; "&amp;AC566&amp;"; "&amp;AD566&amp;"; "&amp;V566&amp;"; "&amp;C566&amp;"; "&amp;AH566&amp;"; "&amp;AI566)</x:f>
        <x:v>proposal.collection.pilgrim_route_bead_strand; pilgrim route bead strand; salvage; cultural object; cultural object; finished item; manufactured / unresolved; ceremony; mixed / unresolved; assembly; proposal; pilgrim route bead strand; collection expansion; cultural object; not applicable; t3; finished item</x:v>
      </x:c>
      <x:c r="AF56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6" s="4" t="str">
        <x:v>Finished endpoint or currency. Material tier is separate from finished input tier.</x:v>
      </x:c>
      <x:c r="AH566" s="4" t="str">
        <x:v>T3</x:v>
      </x:c>
      <x:c r="AI566" s="4" t="str">
        <x:v>Finished item</x:v>
      </x:c>
      <x:c r="AJ566" s="4" t="n">
        <x:f>COUNTIFS('Material routes'!$D$6:$D$2205,A566,'Material routes'!$C$6:$C$2205,"Output")</x:f>
        <x:v>1</x:v>
      </x:c>
      <x:c r="AK566" s="4" t="n">
        <x:f>SUM(COUNTIFS('Material routes'!$D$6:$D$2205,A566,'Material routes'!$C$6:$C$2205,"Ingredient candidate"),COUNTIFS('Material routes'!$D$6:$D$2205,A566,'Material routes'!$C$6:$C$2205,"Consumed input"),COUNTIFS('Material routes'!$D$6:$D$2205,A566,'Material routes'!$C$6:$C$2205,"Contained input"),COUNTIFS('Material routes'!$D$6:$D$2205,A566,'Material routes'!$C$6:$C$2205,"Transform input"))</x:f>
        <x:v>0</x:v>
      </x:c>
      <x:c r="AL566" s="4" t="n">
        <x:f>COUNTIFS('Material routes'!$D$6:$D$2205,A566,'Material routes'!$C$6:$C$2205,"Tool candidate")</x:f>
        <x:v>0</x:v>
      </x:c>
      <x:c r="AM566" s="4" t="str">
        <x:f>IF(AJ566&gt;0,"Route listed; review status/completeness",IF(C566="T0","Raw entry feed; no production route","No production route listed"))</x:f>
        <x:v>Route listed; review status/completeness</x:v>
      </x:c>
      <x:c r="AN566" s="4" t="n">
        <x:f>IF(C566="T0",0,IF(C566="T1",1,IF(C566="T2",2,IF(C566="T3",3,IF(C566="T4",4,IF(C566="Unassigned",98,99))))))</x:f>
        <x:v>99</x:v>
      </x:c>
      <x:c r="AZ566"/>
      <x:c r="BA566"/>
      <x:c r="BB566"/>
      <x:c r="BC566"/>
      <x:c r="BD566"/>
      <x:c r="BE566"/>
      <x:c r="BF566"/>
      <x:c r="BG566"/>
      <x:c r="BH566"/>
      <x:c r="BI566"/>
      <x:c r="BJ566"/>
      <x:c r="BK566"/>
      <x:c r="BL566"/>
      <x:c r="BM566"/>
      <x:c r="BN566"/>
      <x:c r="BO566"/>
      <x:c r="BP566"/>
      <x:c r="BQ566"/>
      <x:c r="BR566"/>
      <x:c r="BS566"/>
      <x:c r="BT566"/>
      <x:c r="BU566"/>
      <x:c r="BV566"/>
      <x:c r="BW566"/>
      <x:c r="BX566"/>
      <x:c r="BY566"/>
      <x:c r="BZ566"/>
      <x:c r="CA566"/>
      <x:c r="CB566"/>
      <x:c r="CC566"/>
    </x:row>
    <x:row r="567" ht="115" customHeight="1">
      <x:c r="A567" s="4" t="str">
        <x:v>proposal.collection.ancestor_shell_silhouette</x:v>
      </x:c>
      <x:c r="B567" s="4" t="str">
        <x:v>Ancestor shell silhouette</x:v>
      </x:c>
      <x:c r="C567" s="4" t="str">
        <x:v>Not applicable</x:v>
      </x:c>
      <x:c r="D567" s="4" t="inlineStr">
        <x:is>
          <x:t xml:space="preserve">Salvage</x:t>
        </x:is>
      </x:c>
      <x:c r="E567" s="4" t="str">
        <x:v>Cultural object</x:v>
      </x:c>
      <x:c r="F567" s="4" t="str">
        <x:v>New proposal</x:v>
      </x:c>
      <x:c r="G567" s="4" t="inlineStr">
        <x:is>
          <x:t xml:space="preserve">Memorial cutout in polished shell. It is intended to be carried, displayed or used in a ceremony. The occasion, ownership and symbolic meaning remain open.</x:t>
        </x:is>
      </x:c>
      <x:c r="H567" s="4" t="str">
        <x:v>None</x:v>
      </x:c>
      <x:c r="I567" s="4" t="str">
        <x:v>Physical inventory / cargo item; dimensions and packing unresolved</x:v>
      </x:c>
      <x:c r="J567" s="4"/>
      <x:c r="K567" s="4"/>
      <x:c r="L567" s="4" t="str">
        <x:v>Candidate preparation: design.collection.ancestor_shell_silhouette. Full inputs are in Crafting browser.</x:v>
      </x:c>
      <x:c r="M567" s="4" t="str">
        <x:v>Candidate workshop or contained preparation route; detailed tools, quantities and conditions unresolved</x:v>
      </x:c>
      <x:c r="N567" s="4" t="str">
        <x:v>Not implemented</x:v>
      </x:c>
      <x:c r="O567" s="4" t="str">
        <x:v>Specific dimensions, yield, fit, performance and service conditions remain open.</x:v>
      </x:c>
      <x:c r="P567" s="4"/>
      <x:c r="Q567" s="4"/>
      <x:c r="R567" s="4"/>
      <x:c r="S567" s="4"/>
      <x:c r="T567" s="4"/>
      <x:c r="U567" s="4" t="str">
        <x:v>Candidate inputs are partial. Resolve tools, supporting materials, energy, recovery and compatibility before recipes become craftable.</x:v>
      </x:c>
      <x:c r="V567" s="4" t="str">
        <x:v>ancestor shell silhouette; collection expansion; cultural object</x:v>
      </x:c>
      <x:c r="W567" s="4" t="str">
        <x:v>New item proposal, October 15, 2026. Setting reference (source proposal): https://github.com/sleepyseamonster/Arc-Dust/blob/f6f98515c005dc3c73cccd9cbc031691745740c6/02-Arc-Dust-Worldbuilding/world/materials/industrial-material-palette.md</x:v>
      </x:c>
      <x:c r="X567" s="4" t="str">
        <x:v>Cultural object</x:v>
      </x:c>
      <x:c r="Y567" s="4" t="str">
        <x:v>Finished item</x:v>
      </x:c>
      <x:c r="Z567" s="4" t="str">
        <x:v>Manufactured / unresolved</x:v>
      </x:c>
      <x:c r="AA567" s="4" t="str">
        <x:v>Ceremony</x:v>
      </x:c>
      <x:c r="AB567" s="4" t="str">
        <x:v>Shell / chitin</x:v>
      </x:c>
      <x:c r="AC567" s="4" t="str">
        <x:v>Assembly</x:v>
      </x:c>
      <x:c r="AD567" s="4" t="str">
        <x:v>Proposal</x:v>
      </x:c>
      <x:c r="AE567" s="4" t="str">
        <x:f>LOWER(A567&amp;"; "&amp;B567&amp;"; "&amp;D567&amp;"; "&amp;E567&amp;"; "&amp;X567&amp;"; "&amp;Y567&amp;"; "&amp;Z567&amp;"; "&amp;AA567&amp;"; "&amp;AB567&amp;"; "&amp;AC567&amp;"; "&amp;AD567&amp;"; "&amp;V567&amp;"; "&amp;C567&amp;"; "&amp;AH567&amp;"; "&amp;AI567)</x:f>
        <x:v>proposal.collection.ancestor_shell_silhouette; ancestor shell silhouette; salvage; cultural object; cultural object; finished item; manufactured / unresolved; ceremony; shell / chitin; assembly; proposal; ancestor shell silhouette; collection expansion; cultural object; not applicable; t1; finished item</x:v>
      </x:c>
      <x:c r="AF56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7" s="4" t="str">
        <x:v>Finished endpoint or currency. Material tier is separate from finished input tier.</x:v>
      </x:c>
      <x:c r="AH567" s="4" t="str">
        <x:v>T1</x:v>
      </x:c>
      <x:c r="AI567" s="4" t="str">
        <x:v>Finished item</x:v>
      </x:c>
      <x:c r="AJ567" s="4" t="n">
        <x:f>COUNTIFS('Material routes'!$D$6:$D$2205,A567,'Material routes'!$C$6:$C$2205,"Output")</x:f>
        <x:v>1</x:v>
      </x:c>
      <x:c r="AK567" s="4" t="n">
        <x:f>SUM(COUNTIFS('Material routes'!$D$6:$D$2205,A567,'Material routes'!$C$6:$C$2205,"Ingredient candidate"),COUNTIFS('Material routes'!$D$6:$D$2205,A567,'Material routes'!$C$6:$C$2205,"Consumed input"),COUNTIFS('Material routes'!$D$6:$D$2205,A567,'Material routes'!$C$6:$C$2205,"Contained input"),COUNTIFS('Material routes'!$D$6:$D$2205,A567,'Material routes'!$C$6:$C$2205,"Transform input"))</x:f>
        <x:v>0</x:v>
      </x:c>
      <x:c r="AL567" s="4" t="n">
        <x:f>COUNTIFS('Material routes'!$D$6:$D$2205,A567,'Material routes'!$C$6:$C$2205,"Tool candidate")</x:f>
        <x:v>0</x:v>
      </x:c>
      <x:c r="AM567" s="4" t="str">
        <x:f>IF(AJ567&gt;0,"Route listed; review status/completeness",IF(C567="T0","Raw entry feed; no production route","No production route listed"))</x:f>
        <x:v>Route listed; review status/completeness</x:v>
      </x:c>
      <x:c r="AN567" s="4" t="n">
        <x:f>IF(C567="T0",0,IF(C567="T1",1,IF(C567="T2",2,IF(C567="T3",3,IF(C567="T4",4,IF(C567="Unassigned",98,99))))))</x:f>
        <x:v>99</x:v>
      </x:c>
      <x:c r="AZ567"/>
      <x:c r="BA567"/>
      <x:c r="BB567"/>
      <x:c r="BC567"/>
      <x:c r="BD567"/>
      <x:c r="BE567"/>
      <x:c r="BF567"/>
      <x:c r="BG567"/>
      <x:c r="BH567"/>
      <x:c r="BI567"/>
      <x:c r="BJ567"/>
      <x:c r="BK567"/>
      <x:c r="BL567"/>
      <x:c r="BM567"/>
      <x:c r="BN567"/>
      <x:c r="BO567"/>
      <x:c r="BP567"/>
      <x:c r="BQ567"/>
      <x:c r="BR567"/>
      <x:c r="BS567"/>
      <x:c r="BT567"/>
      <x:c r="BU567"/>
      <x:c r="BV567"/>
      <x:c r="BW567"/>
      <x:c r="BX567"/>
      <x:c r="BY567"/>
      <x:c r="BZ567"/>
      <x:c r="CA567"/>
      <x:c r="CB567"/>
      <x:c r="CC567"/>
    </x:row>
    <x:row r="568" ht="115" customHeight="1">
      <x:c r="A568" s="4" t="str">
        <x:v>proposal.collection.work_crew_oath_clasp</x:v>
      </x:c>
      <x:c r="B568" s="4" t="str">
        <x:v>Work-crew oath clasp</x:v>
      </x:c>
      <x:c r="C568" s="4" t="str">
        <x:v>Not applicable</x:v>
      </x:c>
      <x:c r="D568" s="4" t="inlineStr">
        <x:is>
          <x:t xml:space="preserve">Salvage</x:t>
        </x:is>
      </x:c>
      <x:c r="E568" s="4" t="str">
        <x:v>Cultural object</x:v>
      </x:c>
      <x:c r="F568" s="4" t="str">
        <x:v>New proposal</x:v>
      </x:c>
      <x:c r="G568" s="4" t="inlineStr">
        <x:is>
          <x:t xml:space="preserve">Shared insignia for a crew agreement, no named faction assigned. It is intended to be carried, displayed or used in a ceremony. The occasion, ownership and symbolic meaning remain open.</x:t>
        </x:is>
      </x:c>
      <x:c r="H568" s="4" t="str">
        <x:v>None</x:v>
      </x:c>
      <x:c r="I568" s="4" t="str">
        <x:v>Physical inventory / cargo item; dimensions and packing unresolved</x:v>
      </x:c>
      <x:c r="J568" s="4"/>
      <x:c r="K568" s="4"/>
      <x:c r="L568" s="4" t="str">
        <x:v>Candidate preparation: design.collection.work_crew_oath_clasp. Full inputs are in Crafting browser.</x:v>
      </x:c>
      <x:c r="M568" s="4" t="str">
        <x:v>Candidate workshop or contained preparation route; detailed tools, quantities and conditions unresolved</x:v>
      </x:c>
      <x:c r="N568" s="4" t="str">
        <x:v>Not implemented</x:v>
      </x:c>
      <x:c r="O568" s="4" t="str">
        <x:v>Specific dimensions, yield, fit, performance and service conditions remain open.</x:v>
      </x:c>
      <x:c r="P568" s="4"/>
      <x:c r="Q568" s="4"/>
      <x:c r="R568" s="4"/>
      <x:c r="S568" s="4"/>
      <x:c r="T568" s="4"/>
      <x:c r="U568" s="4" t="str">
        <x:v>Candidate inputs are partial. Resolve tools, supporting materials, energy, recovery and compatibility before recipes become craftable.</x:v>
      </x:c>
      <x:c r="V568" s="4" t="str">
        <x:v>work-crew oath clasp; collection expansion; cultural object</x:v>
      </x:c>
      <x:c r="W568" s="4" t="str">
        <x:v>New item proposal, October 15, 2026. Setting reference (source proposal): https://github.com/sleepyseamonster/Arc-Dust/blob/f6f98515c005dc3c73cccd9cbc031691745740c6/02-Arc-Dust-Worldbuilding/world/materials/industrial-material-palette.md</x:v>
      </x:c>
      <x:c r="X568" s="4" t="str">
        <x:v>Cultural object</x:v>
      </x:c>
      <x:c r="Y568" s="4" t="str">
        <x:v>Finished item</x:v>
      </x:c>
      <x:c r="Z568" s="4" t="str">
        <x:v>Manufactured / unresolved</x:v>
      </x:c>
      <x:c r="AA568" s="4" t="str">
        <x:v>Ceremony</x:v>
      </x:c>
      <x:c r="AB568" s="4" t="str">
        <x:v>Metal</x:v>
      </x:c>
      <x:c r="AC568" s="4" t="str">
        <x:v>Assembly</x:v>
      </x:c>
      <x:c r="AD568" s="4" t="str">
        <x:v>Proposal</x:v>
      </x:c>
      <x:c r="AE568" s="4" t="str">
        <x:f>LOWER(A568&amp;"; "&amp;B568&amp;"; "&amp;D568&amp;"; "&amp;E568&amp;"; "&amp;X568&amp;"; "&amp;Y568&amp;"; "&amp;Z568&amp;"; "&amp;AA568&amp;"; "&amp;AB568&amp;"; "&amp;AC568&amp;"; "&amp;AD568&amp;"; "&amp;V568&amp;"; "&amp;C568&amp;"; "&amp;AH568&amp;"; "&amp;AI568)</x:f>
        <x:v>proposal.collection.work_crew_oath_clasp; work-crew oath clasp; salvage; cultural object; cultural object; finished item; manufactured / unresolved; ceremony; metal; assembly; proposal; work-crew oath clasp; collection expansion; cultural object; not applicable; t2; finished item</x:v>
      </x:c>
      <x:c r="AF56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8" s="4" t="str">
        <x:v>Finished endpoint or currency. Material tier is separate from finished input tier.</x:v>
      </x:c>
      <x:c r="AH568" s="4" t="str">
        <x:v>T2</x:v>
      </x:c>
      <x:c r="AI568" s="4" t="str">
        <x:v>Finished item</x:v>
      </x:c>
      <x:c r="AJ568" s="4" t="n">
        <x:f>COUNTIFS('Material routes'!$D$6:$D$2205,A568,'Material routes'!$C$6:$C$2205,"Output")</x:f>
        <x:v>1</x:v>
      </x:c>
      <x:c r="AK568" s="4" t="n">
        <x:f>SUM(COUNTIFS('Material routes'!$D$6:$D$2205,A568,'Material routes'!$C$6:$C$2205,"Ingredient candidate"),COUNTIFS('Material routes'!$D$6:$D$2205,A568,'Material routes'!$C$6:$C$2205,"Consumed input"),COUNTIFS('Material routes'!$D$6:$D$2205,A568,'Material routes'!$C$6:$C$2205,"Contained input"),COUNTIFS('Material routes'!$D$6:$D$2205,A568,'Material routes'!$C$6:$C$2205,"Transform input"))</x:f>
        <x:v>0</x:v>
      </x:c>
      <x:c r="AL568" s="4" t="n">
        <x:f>COUNTIFS('Material routes'!$D$6:$D$2205,A568,'Material routes'!$C$6:$C$2205,"Tool candidate")</x:f>
        <x:v>0</x:v>
      </x:c>
      <x:c r="AM568" s="4" t="str">
        <x:f>IF(AJ568&gt;0,"Route listed; review status/completeness",IF(C568="T0","Raw entry feed; no production route","No production route listed"))</x:f>
        <x:v>Route listed; review status/completeness</x:v>
      </x:c>
      <x:c r="AN568" s="4" t="n">
        <x:f>IF(C568="T0",0,IF(C568="T1",1,IF(C568="T2",2,IF(C568="T3",3,IF(C568="T4",4,IF(C568="Unassigned",98,99))))))</x:f>
        <x:v>99</x:v>
      </x:c>
      <x:c r="AZ568"/>
      <x:c r="BA568"/>
      <x:c r="BB568"/>
      <x:c r="BC568"/>
      <x:c r="BD568"/>
      <x:c r="BE568"/>
      <x:c r="BF568"/>
      <x:c r="BG568"/>
      <x:c r="BH568"/>
      <x:c r="BI568"/>
      <x:c r="BJ568"/>
      <x:c r="BK568"/>
      <x:c r="BL568"/>
      <x:c r="BM568"/>
      <x:c r="BN568"/>
      <x:c r="BO568"/>
      <x:c r="BP568"/>
      <x:c r="BQ568"/>
      <x:c r="BR568"/>
      <x:c r="BS568"/>
      <x:c r="BT568"/>
      <x:c r="BU568"/>
      <x:c r="BV568"/>
      <x:c r="BW568"/>
      <x:c r="BX568"/>
      <x:c r="BY568"/>
      <x:c r="BZ568"/>
      <x:c r="CA568"/>
      <x:c r="CB568"/>
      <x:c r="CC568"/>
    </x:row>
    <x:row r="569" ht="115" customHeight="1">
      <x:c r="A569" s="4" t="str">
        <x:v>proposal.collection.ceremonial_magnet_stand</x:v>
      </x:c>
      <x:c r="B569" s="4" t="str">
        <x:v>Ceremonial magnet stand</x:v>
      </x:c>
      <x:c r="C569" s="4" t="str">
        <x:v>Not applicable</x:v>
      </x:c>
      <x:c r="D569" s="4" t="inlineStr">
        <x:is>
          <x:t xml:space="preserve">Salvage</x:t>
        </x:is>
      </x:c>
      <x:c r="E569" s="4" t="str">
        <x:v>Cultural object</x:v>
      </x:c>
      <x:c r="F569" s="4" t="str">
        <x:v>New proposal</x:v>
      </x:c>
      <x:c r="G569" s="4" t="inlineStr">
        <x:is>
          <x:t xml:space="preserve">Displays a magnet as a ritual focus without asserting a specific faith. It is intended to be carried, displayed or used in a ceremony. The occasion, ownership and symbolic meaning remain open.</x:t>
        </x:is>
      </x:c>
      <x:c r="H569" s="4" t="str">
        <x:v>None</x:v>
      </x:c>
      <x:c r="I569" s="4" t="str">
        <x:v>Physical inventory / cargo item; dimensions and packing unresolved</x:v>
      </x:c>
      <x:c r="J569" s="4"/>
      <x:c r="K569" s="4"/>
      <x:c r="L569" s="4" t="str">
        <x:v>Candidate preparation: design.collection.ceremonial_magnet_stand. Full inputs are in Crafting browser.</x:v>
      </x:c>
      <x:c r="M569" s="4" t="str">
        <x:v>Candidate workshop or contained preparation route; detailed tools, quantities and conditions unresolved</x:v>
      </x:c>
      <x:c r="N569" s="4" t="str">
        <x:v>Not implemented</x:v>
      </x:c>
      <x:c r="O569" s="4" t="str">
        <x:v>Specific dimensions, yield, fit, performance and service conditions remain open.</x:v>
      </x:c>
      <x:c r="P569" s="4"/>
      <x:c r="Q569" s="4"/>
      <x:c r="R569" s="4"/>
      <x:c r="S569" s="4"/>
      <x:c r="T569" s="4"/>
      <x:c r="U569" s="4" t="str">
        <x:v>Candidate inputs are partial. Resolve tools, supporting materials, energy, recovery and compatibility before recipes become craftable.</x:v>
      </x:c>
      <x:c r="V569" s="4" t="str">
        <x:v>ceremonial magnet stand; collection expansion; cultural object</x:v>
      </x:c>
      <x:c r="W569" s="4" t="str">
        <x:v>New item proposal, October 15, 2026. Setting reference (source proposal): https://github.com/sleepyseamonster/Arc-Dust/blob/f6f98515c005dc3c73cccd9cbc031691745740c6/02-Arc-Dust-Worldbuilding/world/materials/industrial-material-palette.md</x:v>
      </x:c>
      <x:c r="X569" s="4" t="str">
        <x:v>Cultural object</x:v>
      </x:c>
      <x:c r="Y569" s="4" t="str">
        <x:v>Finished item</x:v>
      </x:c>
      <x:c r="Z569" s="4" t="str">
        <x:v>Manufactured / unresolved</x:v>
      </x:c>
      <x:c r="AA569" s="4" t="str">
        <x:v>Ceremony</x:v>
      </x:c>
      <x:c r="AB569" s="4" t="str">
        <x:v>Mixed / unresolved</x:v>
      </x:c>
      <x:c r="AC569" s="4" t="str">
        <x:v>Assembly</x:v>
      </x:c>
      <x:c r="AD569" s="4" t="str">
        <x:v>Proposal</x:v>
      </x:c>
      <x:c r="AE569" s="4" t="str">
        <x:f>LOWER(A569&amp;"; "&amp;B569&amp;"; "&amp;D569&amp;"; "&amp;E569&amp;"; "&amp;X569&amp;"; "&amp;Y569&amp;"; "&amp;Z569&amp;"; "&amp;AA569&amp;"; "&amp;AB569&amp;"; "&amp;AC569&amp;"; "&amp;AD569&amp;"; "&amp;V569&amp;"; "&amp;C569&amp;"; "&amp;AH569&amp;"; "&amp;AI569)</x:f>
        <x:v>proposal.collection.ceremonial_magnet_stand; ceremonial magnet stand; salvage; cultural object; cultural object; finished item; manufactured / unresolved; ceremony; mixed / unresolved; assembly; proposal; ceremonial magnet stand; collection expansion; cultural object; not applicable; unassigned; finished item</x:v>
      </x:c>
      <x:c r="AF56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9" s="4" t="str">
        <x:v>Finished endpoint or currency. Material tier is separate from finished input tier.</x:v>
      </x:c>
      <x:c r="AH569" s="4" t="str">
        <x:v>Unassigned</x:v>
      </x:c>
      <x:c r="AI569" s="4" t="str">
        <x:v>Finished item</x:v>
      </x:c>
      <x:c r="AJ569" s="4" t="n">
        <x:f>COUNTIFS('Material routes'!$D$6:$D$2205,A569,'Material routes'!$C$6:$C$2205,"Output")</x:f>
        <x:v>1</x:v>
      </x:c>
      <x:c r="AK569" s="4" t="n">
        <x:f>SUM(COUNTIFS('Material routes'!$D$6:$D$2205,A569,'Material routes'!$C$6:$C$2205,"Ingredient candidate"),COUNTIFS('Material routes'!$D$6:$D$2205,A569,'Material routes'!$C$6:$C$2205,"Consumed input"),COUNTIFS('Material routes'!$D$6:$D$2205,A569,'Material routes'!$C$6:$C$2205,"Contained input"),COUNTIFS('Material routes'!$D$6:$D$2205,A569,'Material routes'!$C$6:$C$2205,"Transform input"))</x:f>
        <x:v>0</x:v>
      </x:c>
      <x:c r="AL569" s="4" t="n">
        <x:f>COUNTIFS('Material routes'!$D$6:$D$2205,A569,'Material routes'!$C$6:$C$2205,"Tool candidate")</x:f>
        <x:v>0</x:v>
      </x:c>
      <x:c r="AM569" s="4" t="str">
        <x:f>IF(AJ569&gt;0,"Route listed; review status/completeness",IF(C569="T0","Raw entry feed; no production route","No production route listed"))</x:f>
        <x:v>Route listed; review status/completeness</x:v>
      </x:c>
      <x:c r="AN569" s="4" t="n">
        <x:f>IF(C569="T0",0,IF(C569="T1",1,IF(C569="T2",2,IF(C569="T3",3,IF(C569="T4",4,IF(C569="Unassigned",98,99))))))</x:f>
        <x:v>99</x:v>
      </x:c>
      <x:c r="AZ569"/>
      <x:c r="BA569"/>
      <x:c r="BB569"/>
      <x:c r="BC569"/>
      <x:c r="BD569"/>
      <x:c r="BE569"/>
      <x:c r="BF569"/>
      <x:c r="BG569"/>
      <x:c r="BH569"/>
      <x:c r="BI569"/>
      <x:c r="BJ569"/>
      <x:c r="BK569"/>
      <x:c r="BL569"/>
      <x:c r="BM569"/>
      <x:c r="BN569"/>
      <x:c r="BO569"/>
      <x:c r="BP569"/>
      <x:c r="BQ569"/>
      <x:c r="BR569"/>
      <x:c r="BS569"/>
      <x:c r="BT569"/>
      <x:c r="BU569"/>
      <x:c r="BV569"/>
      <x:c r="BW569"/>
      <x:c r="BX569"/>
      <x:c r="BY569"/>
      <x:c r="BZ569"/>
      <x:c r="CA569"/>
      <x:c r="CB569"/>
      <x:c r="CC569"/>
    </x:row>
    <x:row r="570" ht="115" customHeight="1">
      <x:c r="A570" s="4" t="str">
        <x:v>proposal.collection.masterwork_presentation_tile</x:v>
      </x:c>
      <x:c r="B570" s="4" t="str">
        <x:v>Masterwork presentation tile</x:v>
      </x:c>
      <x:c r="C570" s="4" t="str">
        <x:v>Not applicable</x:v>
      </x:c>
      <x:c r="D570" s="4" t="inlineStr">
        <x:is>
          <x:t xml:space="preserve">Salvage</x:t>
        </x:is>
      </x:c>
      <x:c r="E570" s="4" t="str">
        <x:v>Cultural object</x:v>
      </x:c>
      <x:c r="F570" s="4" t="str">
        <x:v>New proposal</x:v>
      </x:c>
      <x:c r="G570" s="4" t="inlineStr">
        <x:is>
          <x:t xml:space="preserve">Supports a valued artisan commission during presentation. It is intended to be carried, displayed or used in a ceremony. The occasion, ownership and symbolic meaning remain open.</x:t>
        </x:is>
      </x:c>
      <x:c r="H570" s="4" t="str">
        <x:v>None</x:v>
      </x:c>
      <x:c r="I570" s="4" t="str">
        <x:v>Physical inventory / cargo item; dimensions and packing unresolved</x:v>
      </x:c>
      <x:c r="J570" s="4"/>
      <x:c r="K570" s="4"/>
      <x:c r="L570" s="4" t="str">
        <x:v>Candidate preparation: design.collection.masterwork_presentation_tile. Full inputs are in Crafting browser.</x:v>
      </x:c>
      <x:c r="M570" s="4" t="str">
        <x:v>Candidate workshop or contained preparation route; detailed tools, quantities and conditions unresolved</x:v>
      </x:c>
      <x:c r="N570" s="4" t="str">
        <x:v>Not implemented</x:v>
      </x:c>
      <x:c r="O570" s="4" t="str">
        <x:v>Specific dimensions, yield, fit, performance and service conditions remain open.</x:v>
      </x:c>
      <x:c r="P570" s="4"/>
      <x:c r="Q570" s="4"/>
      <x:c r="R570" s="4"/>
      <x:c r="S570" s="4"/>
      <x:c r="T570" s="4"/>
      <x:c r="U570" s="4" t="str">
        <x:v>Candidate inputs are partial. Resolve tools, supporting materials, energy, recovery and compatibility before recipes become craftable.</x:v>
      </x:c>
      <x:c r="V570" s="4" t="str">
        <x:v>masterwork presentation tile; collection expansion; cultural object</x:v>
      </x:c>
      <x:c r="W570" s="4" t="str">
        <x:v>New item proposal, October 15, 2026. Setting reference (source proposal): https://github.com/sleepyseamonster/Arc-Dust/blob/f6f98515c005dc3c73cccd9cbc031691745740c6/02-Arc-Dust-Worldbuilding/world/materials/industrial-material-palette.md</x:v>
      </x:c>
      <x:c r="X570" s="4" t="str">
        <x:v>Cultural object</x:v>
      </x:c>
      <x:c r="Y570" s="4" t="str">
        <x:v>Finished item</x:v>
      </x:c>
      <x:c r="Z570" s="4" t="str">
        <x:v>Manufactured / unresolved</x:v>
      </x:c>
      <x:c r="AA570" s="4" t="str">
        <x:v>Ceremony</x:v>
      </x:c>
      <x:c r="AB570" s="4" t="str">
        <x:v>Ceramic</x:v>
      </x:c>
      <x:c r="AC570" s="4" t="str">
        <x:v>Assembly</x:v>
      </x:c>
      <x:c r="AD570" s="4" t="str">
        <x:v>Proposal</x:v>
      </x:c>
      <x:c r="AE570" s="4" t="str">
        <x:f>LOWER(A570&amp;"; "&amp;B570&amp;"; "&amp;D570&amp;"; "&amp;E570&amp;"; "&amp;X570&amp;"; "&amp;Y570&amp;"; "&amp;Z570&amp;"; "&amp;AA570&amp;"; "&amp;AB570&amp;"; "&amp;AC570&amp;"; "&amp;AD570&amp;"; "&amp;V570&amp;"; "&amp;C570&amp;"; "&amp;AH570&amp;"; "&amp;AI570)</x:f>
        <x:v>proposal.collection.masterwork_presentation_tile; masterwork presentation tile; salvage; cultural object; cultural object; finished item; manufactured / unresolved; ceremony; ceramic; assembly; proposal; masterwork presentation tile; collection expansion; cultural object; not applicable; t2; finished item</x:v>
      </x:c>
      <x:c r="AF570"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70" s="4" t="str">
        <x:v>Finished endpoint or currency. Material tier is separate from finished input tier.</x:v>
      </x:c>
      <x:c r="AH570" s="4" t="str">
        <x:v>T2</x:v>
      </x:c>
      <x:c r="AI570" s="4" t="str">
        <x:v>Finished item</x:v>
      </x:c>
      <x:c r="AJ570" s="4" t="n">
        <x:f>COUNTIFS('Material routes'!$D$6:$D$2205,A570,'Material routes'!$C$6:$C$2205,"Output")</x:f>
        <x:v>1</x:v>
      </x:c>
      <x:c r="AK570" s="4" t="n">
        <x:f>SUM(COUNTIFS('Material routes'!$D$6:$D$2205,A570,'Material routes'!$C$6:$C$2205,"Ingredient candidate"),COUNTIFS('Material routes'!$D$6:$D$2205,A570,'Material routes'!$C$6:$C$2205,"Consumed input"),COUNTIFS('Material routes'!$D$6:$D$2205,A570,'Material routes'!$C$6:$C$2205,"Contained input"),COUNTIFS('Material routes'!$D$6:$D$2205,A570,'Material routes'!$C$6:$C$2205,"Transform input"))</x:f>
        <x:v>0</x:v>
      </x:c>
      <x:c r="AL570" s="4" t="n">
        <x:f>COUNTIFS('Material routes'!$D$6:$D$2205,A570,'Material routes'!$C$6:$C$2205,"Tool candidate")</x:f>
        <x:v>0</x:v>
      </x:c>
      <x:c r="AM570" s="4" t="str">
        <x:f>IF(AJ570&gt;0,"Route listed; review status/completeness",IF(C570="T0","Raw entry feed; no production route","No production route listed"))</x:f>
        <x:v>Route listed; review status/completeness</x:v>
      </x:c>
      <x:c r="AN570" s="4" t="n">
        <x:f>IF(C570="T0",0,IF(C570="T1",1,IF(C570="T2",2,IF(C570="T3",3,IF(C570="T4",4,IF(C570="Unassigned",98,99))))))</x:f>
        <x:v>99</x:v>
      </x:c>
      <x:c r="AZ570"/>
      <x:c r="BA570"/>
      <x:c r="BB570"/>
      <x:c r="BC570"/>
      <x:c r="BD570"/>
      <x:c r="BE570"/>
      <x:c r="BF570"/>
      <x:c r="BG570"/>
      <x:c r="BH570"/>
      <x:c r="BI570"/>
      <x:c r="BJ570"/>
      <x:c r="BK570"/>
      <x:c r="BL570"/>
      <x:c r="BM570"/>
      <x:c r="BN570"/>
      <x:c r="BO570"/>
      <x:c r="BP570"/>
      <x:c r="BQ570"/>
      <x:c r="BR570"/>
      <x:c r="BS570"/>
      <x:c r="BT570"/>
      <x:c r="BU570"/>
      <x:c r="BV570"/>
      <x:c r="BW570"/>
      <x:c r="BX570"/>
      <x:c r="BY570"/>
      <x:c r="BZ570"/>
      <x:c r="CA570"/>
      <x:c r="CB570"/>
      <x:c r="CC570"/>
    </x:row>
    <x:row r="571" ht="115" customHeight="1">
      <x:c r="A571" s="4" t="str">
        <x:v>proposal.collection.agate_nodule</x:v>
      </x:c>
      <x:c r="B571" s="4" t="str">
        <x:v>Agate nodule</x:v>
      </x:c>
      <x:c r="C571" s="4" t="str">
        <x:v>T0</x:v>
      </x:c>
      <x:c r="D571" s="4" t="str">
        <x:v>Mineral resources</x:v>
      </x:c>
      <x:c r="E571" s="4" t="str">
        <x:v>Gem material</x:v>
      </x:c>
      <x:c r="F571" s="4" t="str">
        <x:v>New proposal</x:v>
      </x:c>
      <x:c r="G571" s="4" t="inlineStr">
        <x:is>
          <x:t xml:space="preserve">Banded candidate cutting stone for beads and small inlays. It supplies a visible ornamental surface or detail, with its placement and cultural meaning left to the receiving object’s design.</x:t>
        </x:is>
      </x:c>
      <x:c r="H571" s="4" t="str">
        <x:v>None</x:v>
      </x:c>
      <x:c r="I571" s="4" t="str">
        <x:v>Physical inventory / cargo item; dimensions and packing unresolved</x:v>
      </x:c>
      <x:c r="J571" s="4"/>
      <x:c r="K571" s="4"/>
      <x:c r="L571" s="4" t="str">
        <x:v>Collect the specified candidate source</x:v>
      </x:c>
      <x:c r="M571" s="4" t="str">
        <x:v>Select and segregate source material; preparation and yield unresolved</x:v>
      </x:c>
      <x:c r="N571" s="4" t="str">
        <x:v>Not implemented</x:v>
      </x:c>
      <x:c r="O571" s="4" t="str">
        <x:v>Specific dimensions, yield, fit, performance and service conditions remain open.</x:v>
      </x:c>
      <x:c r="P571" s="4"/>
      <x:c r="Q571" s="4"/>
      <x:c r="R571" s="4"/>
      <x:c r="S571" s="4"/>
      <x:c r="T571" s="4"/>
      <x:c r="U571" s="4" t="str">
        <x:v>Candidate inputs are partial. Resolve tools, supporting materials, energy, recovery and compatibility before recipes become craftable.</x:v>
      </x:c>
      <x:c r="V571" s="4" t="str">
        <x:v>agate nodule; collection expansion; gem material</x:v>
      </x:c>
      <x:c r="W571" s="4" t="str">
        <x:v>New item proposal, October 15, 2026. Setting reference (source proposal): https://github.com/sleepyseamonster/Arc-Dust/blob/f6f98515c005dc3c73cccd9cbc031691745740c6/02-Arc-Dust-Worldbuilding/world/materials/industrial-material-palette.md</x:v>
      </x:c>
      <x:c r="X571" s="4" t="str">
        <x:v>Gem material</x:v>
      </x:c>
      <x:c r="Y571" s="4" t="str">
        <x:v>Raw</x:v>
      </x:c>
      <x:c r="Z571" s="4" t="str">
        <x:v>Geological</x:v>
      </x:c>
      <x:c r="AA571" s="4" t="str">
        <x:v>Decoration</x:v>
      </x:c>
      <x:c r="AB571" s="4" t="str">
        <x:v>Gemstone</x:v>
      </x:c>
      <x:c r="AC571" s="4" t="str">
        <x:v>Solid piece</x:v>
      </x:c>
      <x:c r="AD571" s="4" t="str">
        <x:v>Proposal</x:v>
      </x:c>
      <x:c r="AE571" s="4" t="str">
        <x:f>LOWER(A571&amp;"; "&amp;B571&amp;"; "&amp;D571&amp;"; "&amp;E571&amp;"; "&amp;X571&amp;"; "&amp;Y571&amp;"; "&amp;Z571&amp;"; "&amp;AA571&amp;"; "&amp;AB571&amp;"; "&amp;AC571&amp;"; "&amp;AD571&amp;"; "&amp;V571&amp;"; "&amp;C571&amp;"; "&amp;AH571&amp;"; "&amp;AI571)</x:f>
        <x:v>proposal.collection.agate_nodule; agate nodule; mineral resources; gem material; gem material; raw; geological; decoration; gemstone; solid piece; proposal; agate nodule; collection expansion; gem material; t0; not applicable; material</x:v>
      </x:c>
      <x:c r="AF571" s="4" t="str">
        <x:v>Collection expansion classification. Distinct type, use and material family; new item proposal unless author direction is marked.</x:v>
      </x:c>
      <x:c r="AG571" s="4" t="str">
        <x:v>Selected candidate processing route places this stock at T0. Raw entry is T0; source rarity does not raise tier.</x:v>
      </x:c>
      <x:c r="AH571" s="4" t="str">
        <x:v>Not applicable</x:v>
      </x:c>
      <x:c r="AI571" s="4" t="str">
        <x:v>Material</x:v>
      </x:c>
      <x:c r="AJ571" s="4" t="n">
        <x:f>COUNTIFS('Material routes'!$D$6:$D$2205,A571,'Material routes'!$C$6:$C$2205,"Output")</x:f>
        <x:v>0</x:v>
      </x:c>
      <x:c r="AK571" s="4" t="n">
        <x:f>SUM(COUNTIFS('Material routes'!$D$6:$D$2205,A571,'Material routes'!$C$6:$C$2205,"Ingredient candidate"),COUNTIFS('Material routes'!$D$6:$D$2205,A571,'Material routes'!$C$6:$C$2205,"Consumed input"),COUNTIFS('Material routes'!$D$6:$D$2205,A571,'Material routes'!$C$6:$C$2205,"Contained input"),COUNTIFS('Material routes'!$D$6:$D$2205,A571,'Material routes'!$C$6:$C$2205,"Transform input"))</x:f>
        <x:v>0</x:v>
      </x:c>
      <x:c r="AL571" s="4" t="n">
        <x:f>COUNTIFS('Material routes'!$D$6:$D$2205,A571,'Material routes'!$C$6:$C$2205,"Tool candidate")</x:f>
        <x:v>0</x:v>
      </x:c>
      <x:c r="AM571" s="4" t="str">
        <x:f>IF(AJ571&gt;0,"Route listed; review status/completeness",IF(C571="T0","Raw entry feed; no production route","No production route listed"))</x:f>
        <x:v>Raw entry feed; no production route</x:v>
      </x:c>
      <x:c r="AN571" s="4" t="n">
        <x:f>IF(C571="T0",0,IF(C571="T1",1,IF(C571="T2",2,IF(C571="T3",3,IF(C571="T4",4,IF(C571="Unassigned",98,99))))))</x:f>
        <x:v>0</x:v>
      </x:c>
      <x:c r="AZ571"/>
      <x:c r="BA571"/>
      <x:c r="BB571"/>
      <x:c r="BC571"/>
      <x:c r="BD571"/>
      <x:c r="BE571"/>
      <x:c r="BF571"/>
      <x:c r="BG571"/>
      <x:c r="BH571"/>
      <x:c r="BI571"/>
      <x:c r="BJ571"/>
      <x:c r="BK571"/>
      <x:c r="BL571"/>
      <x:c r="BM571"/>
      <x:c r="BN571"/>
      <x:c r="BO571"/>
      <x:c r="BP571"/>
      <x:c r="BQ571"/>
      <x:c r="BR571"/>
      <x:c r="BS571"/>
      <x:c r="BT571"/>
      <x:c r="BU571"/>
      <x:c r="BV571"/>
      <x:c r="BW571"/>
      <x:c r="BX571"/>
      <x:c r="BY571"/>
      <x:c r="BZ571"/>
      <x:c r="CA571"/>
      <x:c r="CB571"/>
      <x:c r="CC571"/>
    </x:row>
    <x:row r="572" ht="115" customHeight="1">
      <x:c r="A572" s="4" t="str">
        <x:v>proposal.collection.chalcedony_seam_stone</x:v>
      </x:c>
      <x:c r="B572" s="4" t="str">
        <x:v>Chalcedony seam stone</x:v>
      </x:c>
      <x:c r="C572" s="4" t="str">
        <x:v>T0</x:v>
      </x:c>
      <x:c r="D572" s="4" t="str">
        <x:v>Mineral resources</x:v>
      </x:c>
      <x:c r="E572" s="4" t="str">
        <x:v>Gem material</x:v>
      </x:c>
      <x:c r="F572" s="4" t="str">
        <x:v>New proposal</x:v>
      </x:c>
      <x:c r="G572" s="4" t="inlineStr">
        <x:is>
          <x:t xml:space="preserve">Translucent candidate carving and inlay material. It supplies a visible ornamental surface or detail, with its placement and cultural meaning left to the receiving object’s design.</x:t>
        </x:is>
      </x:c>
      <x:c r="H572" s="4" t="str">
        <x:v>None</x:v>
      </x:c>
      <x:c r="I572" s="4" t="str">
        <x:v>Physical inventory / cargo item; dimensions and packing unresolved</x:v>
      </x:c>
      <x:c r="J572" s="4"/>
      <x:c r="K572" s="4"/>
      <x:c r="L572" s="4" t="str">
        <x:v>Collect the specified candidate source</x:v>
      </x:c>
      <x:c r="M572" s="4" t="str">
        <x:v>Select and segregate source material; preparation and yield unresolved</x:v>
      </x:c>
      <x:c r="N572" s="4" t="str">
        <x:v>Not implemented</x:v>
      </x:c>
      <x:c r="O572" s="4" t="str">
        <x:v>Specific dimensions, yield, fit, performance and service conditions remain open.</x:v>
      </x:c>
      <x:c r="P572" s="4"/>
      <x:c r="Q572" s="4"/>
      <x:c r="R572" s="4"/>
      <x:c r="S572" s="4"/>
      <x:c r="T572" s="4"/>
      <x:c r="U572" s="4" t="str">
        <x:v>Candidate inputs are partial. Resolve tools, supporting materials, energy, recovery and compatibility before recipes become craftable.</x:v>
      </x:c>
      <x:c r="V572" s="4" t="str">
        <x:v>chalcedony seam stone; collection expansion; gem material</x:v>
      </x:c>
      <x:c r="W572" s="4" t="str">
        <x:v>New item proposal, October 15, 2026. Setting reference (source proposal): https://github.com/sleepyseamonster/Arc-Dust/blob/f6f98515c005dc3c73cccd9cbc031691745740c6/02-Arc-Dust-Worldbuilding/world/materials/industrial-material-palette.md</x:v>
      </x:c>
      <x:c r="X572" s="4" t="str">
        <x:v>Gem material</x:v>
      </x:c>
      <x:c r="Y572" s="4" t="str">
        <x:v>Raw</x:v>
      </x:c>
      <x:c r="Z572" s="4" t="str">
        <x:v>Geological</x:v>
      </x:c>
      <x:c r="AA572" s="4" t="str">
        <x:v>Decoration</x:v>
      </x:c>
      <x:c r="AB572" s="4" t="str">
        <x:v>Gemstone</x:v>
      </x:c>
      <x:c r="AC572" s="4" t="str">
        <x:v>Solid piece</x:v>
      </x:c>
      <x:c r="AD572" s="4" t="str">
        <x:v>Proposal</x:v>
      </x:c>
      <x:c r="AE572" s="4" t="str">
        <x:f>LOWER(A572&amp;"; "&amp;B572&amp;"; "&amp;D572&amp;"; "&amp;E572&amp;"; "&amp;X572&amp;"; "&amp;Y572&amp;"; "&amp;Z572&amp;"; "&amp;AA572&amp;"; "&amp;AB572&amp;"; "&amp;AC572&amp;"; "&amp;AD572&amp;"; "&amp;V572&amp;"; "&amp;C572&amp;"; "&amp;AH572&amp;"; "&amp;AI572)</x:f>
        <x:v>proposal.collection.chalcedony_seam_stone; chalcedony seam stone; mineral resources; gem material; gem material; raw; geological; decoration; gemstone; solid piece; proposal; chalcedony seam stone; collection expansion; gem material; t0; not applicable; material</x:v>
      </x:c>
      <x:c r="AF572" s="4" t="str">
        <x:v>Collection expansion classification. Distinct type, use and material family; new item proposal unless author direction is marked.</x:v>
      </x:c>
      <x:c r="AG572" s="4" t="str">
        <x:v>Selected candidate processing route places this stock at T0. Raw entry is T0; source rarity does not raise tier.</x:v>
      </x:c>
      <x:c r="AH572" s="4" t="str">
        <x:v>Not applicable</x:v>
      </x:c>
      <x:c r="AI572" s="4" t="str">
        <x:v>Material</x:v>
      </x:c>
      <x:c r="AJ572" s="4" t="n">
        <x:f>COUNTIFS('Material routes'!$D$6:$D$2205,A572,'Material routes'!$C$6:$C$2205,"Output")</x:f>
        <x:v>0</x:v>
      </x:c>
      <x:c r="AK572" s="4" t="n">
        <x:f>SUM(COUNTIFS('Material routes'!$D$6:$D$2205,A572,'Material routes'!$C$6:$C$2205,"Ingredient candidate"),COUNTIFS('Material routes'!$D$6:$D$2205,A572,'Material routes'!$C$6:$C$2205,"Consumed input"),COUNTIFS('Material routes'!$D$6:$D$2205,A572,'Material routes'!$C$6:$C$2205,"Contained input"),COUNTIFS('Material routes'!$D$6:$D$2205,A572,'Material routes'!$C$6:$C$2205,"Transform input"))</x:f>
        <x:v>0</x:v>
      </x:c>
      <x:c r="AL572" s="4" t="n">
        <x:f>COUNTIFS('Material routes'!$D$6:$D$2205,A572,'Material routes'!$C$6:$C$2205,"Tool candidate")</x:f>
        <x:v>0</x:v>
      </x:c>
      <x:c r="AM572" s="4" t="str">
        <x:f>IF(AJ572&gt;0,"Route listed; review status/completeness",IF(C572="T0","Raw entry feed; no production route","No production route listed"))</x:f>
        <x:v>Raw entry feed; no production route</x:v>
      </x:c>
      <x:c r="AN572" s="4" t="n">
        <x:f>IF(C572="T0",0,IF(C572="T1",1,IF(C572="T2",2,IF(C572="T3",3,IF(C572="T4",4,IF(C572="Unassigned",98,99))))))</x:f>
        <x:v>0</x:v>
      </x:c>
      <x:c r="AZ572"/>
      <x:c r="BA572"/>
      <x:c r="BB572"/>
      <x:c r="BC572"/>
      <x:c r="BD572"/>
      <x:c r="BE572"/>
      <x:c r="BF572"/>
      <x:c r="BG572"/>
      <x:c r="BH572"/>
      <x:c r="BI572"/>
      <x:c r="BJ572"/>
      <x:c r="BK572"/>
      <x:c r="BL572"/>
      <x:c r="BM572"/>
      <x:c r="BN572"/>
      <x:c r="BO572"/>
      <x:c r="BP572"/>
      <x:c r="BQ572"/>
      <x:c r="BR572"/>
      <x:c r="BS572"/>
      <x:c r="BT572"/>
      <x:c r="BU572"/>
      <x:c r="BV572"/>
      <x:c r="BW572"/>
      <x:c r="BX572"/>
      <x:c r="BY572"/>
      <x:c r="BZ572"/>
      <x:c r="CA572"/>
      <x:c r="CB572"/>
      <x:c r="CC572"/>
    </x:row>
    <x:row r="573" ht="115" customHeight="1">
      <x:c r="A573" s="4" t="str">
        <x:v>proposal.collection.long_handled_meal_ladle</x:v>
      </x:c>
      <x:c r="B573" s="4" t="str">
        <x:v>Long-handled meal ladle</x:v>
      </x:c>
      <x:c r="C573" s="4" t="str">
        <x:v>Not applicable</x:v>
      </x:c>
      <x:c r="D573" s="4" t="inlineStr">
        <x:is>
          <x:t xml:space="preserve">Salvage</x:t>
        </x:is>
      </x:c>
      <x:c r="E573" s="4" t="inlineStr">
        <x:is>
          <x:t xml:space="preserve">Food service &amp; storage</x:t>
        </x:is>
      </x:c>
      <x:c r="F573" s="4" t="str">
        <x:v>New proposal</x:v>
      </x:c>
      <x:c r="G573" s="4" t="inlineStr">
        <x:is>
          <x:t xml:space="preserve">Transfers thick Phagia meal portions. It is intended to portion, hold or serve the recorded food or drink. Food-contact preparation and the contents remain separate design requirements.</x:t>
        </x:is>
      </x:c>
      <x:c r="H573" s="4" t="str">
        <x:v>None</x:v>
      </x:c>
      <x:c r="I573" s="4" t="str">
        <x:v>Physical inventory / cargo item; dimensions and packing unresolved</x:v>
      </x:c>
      <x:c r="J573" s="4"/>
      <x:c r="K573" s="4"/>
      <x:c r="L573" s="4" t="str">
        <x:v>Candidate preparation: design.collection.long_handled_meal_ladle. Full inputs are in Crafting browser.</x:v>
      </x:c>
      <x:c r="M573" s="4" t="str">
        <x:v>Candidate workshop or contained preparation route; detailed tools, quantities and conditions unresolved</x:v>
      </x:c>
      <x:c r="N573" s="4" t="str">
        <x:v>Not implemented</x:v>
      </x:c>
      <x:c r="O573" s="4" t="str">
        <x:v>Specific dimensions, yield, fit, performance and service conditions remain open.</x:v>
      </x:c>
      <x:c r="P573" s="4"/>
      <x:c r="Q573" s="4"/>
      <x:c r="R573" s="4"/>
      <x:c r="S573" s="4"/>
      <x:c r="T573" s="4"/>
      <x:c r="U573" s="4" t="str">
        <x:v>Candidate inputs are partial. Resolve tools, supporting materials, energy, recovery and compatibility before recipes become craftable.</x:v>
      </x:c>
      <x:c r="V573" s="4" t="inlineStr">
        <x:is>
          <x:t xml:space="preserve">long-handled meal ladle; collection expansion; household utensil; Household utensil; camp goods; Food service &amp; storage</x:t>
        </x:is>
      </x:c>
      <x:c r="W573" s="4" t="str">
        <x:v>New item proposal, October 15, 2026. Setting reference (source proposal): https://github.com/sleepyseamonster/Arc-Dust/blob/f6f98515c005dc3c73cccd9cbc031691745740c6/02-Arc-Dust-Worldbuilding/world/materials/industrial-material-palette.md</x:v>
      </x:c>
      <x:c r="X573" s="4" t="str">
        <x:v>Household utensil</x:v>
      </x:c>
      <x:c r="Y573" s="4" t="str">
        <x:v>Finished item</x:v>
      </x:c>
      <x:c r="Z573" s="4" t="str">
        <x:v>Manufactured / unresolved</x:v>
      </x:c>
      <x:c r="AA573" s="4" t="str">
        <x:v>Food service</x:v>
      </x:c>
      <x:c r="AB573" s="4" t="str">
        <x:v>Metal</x:v>
      </x:c>
      <x:c r="AC573" s="4" t="str">
        <x:v>Assembly</x:v>
      </x:c>
      <x:c r="AD573" s="4" t="str">
        <x:v>Proposal</x:v>
      </x:c>
      <x:c r="AE573" s="4" t="str">
        <x:f>LOWER(A573&amp;"; "&amp;B573&amp;"; "&amp;D573&amp;"; "&amp;E573&amp;"; "&amp;X573&amp;"; "&amp;Y573&amp;"; "&amp;Z573&amp;"; "&amp;AA573&amp;"; "&amp;AB573&amp;"; "&amp;AC573&amp;"; "&amp;AD573&amp;"; "&amp;V573&amp;"; "&amp;C573&amp;"; "&amp;AH573&amp;"; "&amp;AI573)</x:f>
        <x:v>proposal.collection.long_handled_meal_ladle; long-handled meal ladle; salvage; food service &amp; storage; household utensil; finished item; manufactured / unresolved; food service; metal; assembly; proposal; long-handled meal ladle; collection expansion; household utensil; household utensil; camp goods; food service &amp; storage; not applicable; t3; finished item</x:v>
      </x:c>
      <x:c r="AF573"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 Author direction October 16: all Camp items are Salvage; retire the Camp items section. Item identity, condition, tiers, purposes and recipe semantics remain unchanged.</x:t>
        </x:is>
      </x:c>
      <x:c r="AG573" s="4" t="str">
        <x:v>Finished endpoint or currency. Material tier is separate from finished input tier.</x:v>
      </x:c>
      <x:c r="AH573" s="4" t="str">
        <x:v>T3</x:v>
      </x:c>
      <x:c r="AI573" s="4" t="str">
        <x:v>Finished item</x:v>
      </x:c>
      <x:c r="AJ573" s="4" t="n">
        <x:f>COUNTIFS('Material routes'!$D$6:$D$2205,A573,'Material routes'!$C$6:$C$2205,"Output")</x:f>
        <x:v>1</x:v>
      </x:c>
      <x:c r="AK573" s="4" t="n">
        <x:f>SUM(COUNTIFS('Material routes'!$D$6:$D$2205,A573,'Material routes'!$C$6:$C$2205,"Ingredient candidate"),COUNTIFS('Material routes'!$D$6:$D$2205,A573,'Material routes'!$C$6:$C$2205,"Consumed input"),COUNTIFS('Material routes'!$D$6:$D$2205,A573,'Material routes'!$C$6:$C$2205,"Contained input"),COUNTIFS('Material routes'!$D$6:$D$2205,A573,'Material routes'!$C$6:$C$2205,"Transform input"))</x:f>
        <x:v>0</x:v>
      </x:c>
      <x:c r="AL573" s="4" t="n">
        <x:f>COUNTIFS('Material routes'!$D$6:$D$2205,A573,'Material routes'!$C$6:$C$2205,"Tool candidate")</x:f>
        <x:v>0</x:v>
      </x:c>
      <x:c r="AM573" s="4" t="str">
        <x:f>IF(AJ573&gt;0,"Route listed; review status/completeness",IF(C573="T0","Raw entry feed; no production route","No production route listed"))</x:f>
        <x:v>Route listed; review status/completeness</x:v>
      </x:c>
      <x:c r="AN573" s="4" t="n">
        <x:f>IF(C573="T0",0,IF(C573="T1",1,IF(C573="T2",2,IF(C573="T3",3,IF(C573="T4",4,IF(C573="Unassigned",98,99))))))</x:f>
        <x:v>99</x:v>
      </x:c>
      <x:c r="AZ573"/>
      <x:c r="BA573"/>
      <x:c r="BB573"/>
      <x:c r="BC573"/>
      <x:c r="BD573"/>
      <x:c r="BE573"/>
      <x:c r="BF573"/>
      <x:c r="BG573"/>
      <x:c r="BH573"/>
      <x:c r="BI573"/>
      <x:c r="BJ573"/>
      <x:c r="BK573"/>
      <x:c r="BL573"/>
      <x:c r="BM573"/>
      <x:c r="BN573"/>
      <x:c r="BO573"/>
      <x:c r="BP573"/>
      <x:c r="BQ573"/>
      <x:c r="BR573"/>
      <x:c r="BS573"/>
      <x:c r="BT573"/>
      <x:c r="BU573"/>
      <x:c r="BV573"/>
      <x:c r="BW573"/>
      <x:c r="BX573"/>
      <x:c r="BY573"/>
      <x:c r="BZ573"/>
      <x:c r="CA573"/>
      <x:c r="CB573"/>
      <x:c r="CC573"/>
    </x:row>
    <x:row r="574" ht="115" customHeight="1">
      <x:c r="A574" s="4" t="str">
        <x:v>proposal.collection.ceramic_portion_scoop</x:v>
      </x:c>
      <x:c r="B574" s="4" t="str">
        <x:v>Ceramic portion scoop</x:v>
      </x:c>
      <x:c r="C574" s="4" t="str">
        <x:v>Not applicable</x:v>
      </x:c>
      <x:c r="D574" s="4" t="inlineStr">
        <x:is>
          <x:t xml:space="preserve">Salvage</x:t>
        </x:is>
      </x:c>
      <x:c r="E574" s="4" t="inlineStr">
        <x:is>
          <x:t xml:space="preserve">Food service &amp; storage</x:t>
        </x:is>
      </x:c>
      <x:c r="F574" s="4" t="str">
        <x:v>New proposal</x:v>
      </x:c>
      <x:c r="G574" s="4" t="inlineStr">
        <x:is>
          <x:t xml:space="preserve">Measures consistent meal portions. It is intended to portion, hold or serve the recorded food or drink. Food-contact preparation and the contents remain separate design requirements.</x:t>
        </x:is>
      </x:c>
      <x:c r="H574" s="4" t="str">
        <x:v>None</x:v>
      </x:c>
      <x:c r="I574" s="4" t="str">
        <x:v>Physical inventory / cargo item; dimensions and packing unresolved</x:v>
      </x:c>
      <x:c r="J574" s="4"/>
      <x:c r="K574" s="4"/>
      <x:c r="L574" s="4" t="str">
        <x:v>Candidate preparation: design.collection.ceramic_portion_scoop. Full inputs are in Crafting browser.</x:v>
      </x:c>
      <x:c r="M574" s="4" t="str">
        <x:v>Candidate workshop or contained preparation route; detailed tools, quantities and conditions unresolved</x:v>
      </x:c>
      <x:c r="N574" s="4" t="str">
        <x:v>Not implemented</x:v>
      </x:c>
      <x:c r="O574" s="4" t="str">
        <x:v>Specific dimensions, yield, fit, performance and service conditions remain open.</x:v>
      </x:c>
      <x:c r="P574" s="4"/>
      <x:c r="Q574" s="4"/>
      <x:c r="R574" s="4"/>
      <x:c r="S574" s="4"/>
      <x:c r="T574" s="4"/>
      <x:c r="U574" s="4" t="str">
        <x:v>Candidate inputs are partial. Resolve tools, supporting materials, energy, recovery and compatibility before recipes become craftable.</x:v>
      </x:c>
      <x:c r="V574" s="4" t="inlineStr">
        <x:is>
          <x:t xml:space="preserve">ceramic portion scoop; collection expansion; household utensil; Household utensil; camp goods; Food service &amp; storage</x:t>
        </x:is>
      </x:c>
      <x:c r="W574" s="4" t="str">
        <x:v>New item proposal, October 15, 2026. Setting reference (source proposal): https://github.com/sleepyseamonster/Arc-Dust/blob/f6f98515c005dc3c73cccd9cbc031691745740c6/02-Arc-Dust-Worldbuilding/world/materials/industrial-material-palette.md</x:v>
      </x:c>
      <x:c r="X574" s="4" t="str">
        <x:v>Household utensil</x:v>
      </x:c>
      <x:c r="Y574" s="4" t="str">
        <x:v>Finished item</x:v>
      </x:c>
      <x:c r="Z574" s="4" t="str">
        <x:v>Manufactured / unresolved</x:v>
      </x:c>
      <x:c r="AA574" s="4" t="str">
        <x:v>Food service</x:v>
      </x:c>
      <x:c r="AB574" s="4" t="str">
        <x:v>Ceramic</x:v>
      </x:c>
      <x:c r="AC574" s="4" t="str">
        <x:v>Assembly</x:v>
      </x:c>
      <x:c r="AD574" s="4" t="str">
        <x:v>Proposal</x:v>
      </x:c>
      <x:c r="AE574" s="4" t="str">
        <x:f>LOWER(A574&amp;"; "&amp;B574&amp;"; "&amp;D574&amp;"; "&amp;E574&amp;"; "&amp;X574&amp;"; "&amp;Y574&amp;"; "&amp;Z574&amp;"; "&amp;AA574&amp;"; "&amp;AB574&amp;"; "&amp;AC574&amp;"; "&amp;AD574&amp;"; "&amp;V574&amp;"; "&amp;C574&amp;"; "&amp;AH574&amp;"; "&amp;AI574)</x:f>
        <x:v>proposal.collection.ceramic_portion_scoop; ceramic portion scoop; salvage; food service &amp; storage; household utensil; finished item; manufactured / unresolved; food service; ceramic; assembly; proposal; ceramic portion scoop; collection expansion; household utensil; household utensil; camp goods; food service &amp; storage; not applicable; t1; finished item</x:v>
      </x:c>
      <x:c r="AF574"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 Author direction October 16: all Camp items are Salvage; retire the Camp items section. Item identity, condition, tiers, purposes and recipe semantics remain unchanged.</x:t>
        </x:is>
      </x:c>
      <x:c r="AG574" s="4" t="str">
        <x:v>Finished endpoint or currency. Material tier is separate from finished input tier.</x:v>
      </x:c>
      <x:c r="AH574" s="4" t="str">
        <x:v>T1</x:v>
      </x:c>
      <x:c r="AI574" s="4" t="str">
        <x:v>Finished item</x:v>
      </x:c>
      <x:c r="AJ574" s="4" t="n">
        <x:f>COUNTIFS('Material routes'!$D$6:$D$2205,A574,'Material routes'!$C$6:$C$2205,"Output")</x:f>
        <x:v>1</x:v>
      </x:c>
      <x:c r="AK574" s="4" t="n">
        <x:f>SUM(COUNTIFS('Material routes'!$D$6:$D$2205,A574,'Material routes'!$C$6:$C$2205,"Ingredient candidate"),COUNTIFS('Material routes'!$D$6:$D$2205,A574,'Material routes'!$C$6:$C$2205,"Consumed input"),COUNTIFS('Material routes'!$D$6:$D$2205,A574,'Material routes'!$C$6:$C$2205,"Contained input"),COUNTIFS('Material routes'!$D$6:$D$2205,A574,'Material routes'!$C$6:$C$2205,"Transform input"))</x:f>
        <x:v>0</x:v>
      </x:c>
      <x:c r="AL574" s="4" t="n">
        <x:f>COUNTIFS('Material routes'!$D$6:$D$2205,A574,'Material routes'!$C$6:$C$2205,"Tool candidate")</x:f>
        <x:v>0</x:v>
      </x:c>
      <x:c r="AM574" s="4" t="str">
        <x:f>IF(AJ574&gt;0,"Route listed; review status/completeness",IF(C574="T0","Raw entry feed; no production route","No production route listed"))</x:f>
        <x:v>Route listed; review status/completeness</x:v>
      </x:c>
      <x:c r="AN574" s="4" t="n">
        <x:f>IF(C574="T0",0,IF(C574="T1",1,IF(C574="T2",2,IF(C574="T3",3,IF(C574="T4",4,IF(C574="Unassigned",98,99))))))</x:f>
        <x:v>99</x:v>
      </x:c>
      <x:c r="AZ574"/>
      <x:c r="BA574"/>
      <x:c r="BB574"/>
      <x:c r="BC574"/>
      <x:c r="BD574"/>
      <x:c r="BE574"/>
      <x:c r="BF574"/>
      <x:c r="BG574"/>
      <x:c r="BH574"/>
      <x:c r="BI574"/>
      <x:c r="BJ574"/>
      <x:c r="BK574"/>
      <x:c r="BL574"/>
      <x:c r="BM574"/>
      <x:c r="BN574"/>
      <x:c r="BO574"/>
      <x:c r="BP574"/>
      <x:c r="BQ574"/>
      <x:c r="BR574"/>
      <x:c r="BS574"/>
      <x:c r="BT574"/>
      <x:c r="BU574"/>
      <x:c r="BV574"/>
      <x:c r="BW574"/>
      <x:c r="BX574"/>
      <x:c r="BY574"/>
      <x:c r="BZ574"/>
      <x:c r="CA574"/>
      <x:c r="CB574"/>
      <x:c r="CC574"/>
    </x:row>
    <x:row r="575" ht="115" customHeight="1">
      <x:c r="A575" s="4" t="str">
        <x:v>proposal.collection.shell_serving_tray</x:v>
      </x:c>
      <x:c r="B575" s="4" t="str">
        <x:v>Shell serving tray</x:v>
      </x:c>
      <x:c r="C575" s="4" t="str">
        <x:v>Not applicable</x:v>
      </x:c>
      <x:c r="D575" s="4" t="inlineStr">
        <x:is>
          <x:t xml:space="preserve">Salvage</x:t>
        </x:is>
      </x:c>
      <x:c r="E575" s="4" t="inlineStr">
        <x:is>
          <x:t xml:space="preserve">Food service &amp; storage</x:t>
        </x:is>
      </x:c>
      <x:c r="F575" s="4" t="str">
        <x:v>New proposal</x:v>
      </x:c>
      <x:c r="G575" s="4" t="inlineStr">
        <x:is>
          <x:t xml:space="preserve">Carries bowls and sealed portions. It is intended to portion, hold or serve the recorded food or drink. Food-contact preparation and the contents remain separate design requirements.</x:t>
        </x:is>
      </x:c>
      <x:c r="H575" s="4" t="str">
        <x:v>None</x:v>
      </x:c>
      <x:c r="I575" s="4" t="str">
        <x:v>Physical inventory / cargo item; dimensions and packing unresolved</x:v>
      </x:c>
      <x:c r="J575" s="4"/>
      <x:c r="K575" s="4"/>
      <x:c r="L575" s="4" t="str">
        <x:v>Candidate preparation: design.collection.shell_serving_tray. Full inputs are in Crafting browser.</x:v>
      </x:c>
      <x:c r="M575" s="4" t="str">
        <x:v>Candidate workshop or contained preparation route; detailed tools, quantities and conditions unresolved</x:v>
      </x:c>
      <x:c r="N575" s="4" t="str">
        <x:v>Not implemented</x:v>
      </x:c>
      <x:c r="O575" s="4" t="str">
        <x:v>Specific dimensions, yield, fit, performance and service conditions remain open.</x:v>
      </x:c>
      <x:c r="P575" s="4"/>
      <x:c r="Q575" s="4"/>
      <x:c r="R575" s="4"/>
      <x:c r="S575" s="4"/>
      <x:c r="T575" s="4"/>
      <x:c r="U575" s="4" t="str">
        <x:v>Candidate inputs are partial. Resolve tools, supporting materials, energy, recovery and compatibility before recipes become craftable.</x:v>
      </x:c>
      <x:c r="V575" s="4" t="inlineStr">
        <x:is>
          <x:t xml:space="preserve">shell serving tray; collection expansion; household utensil; Household utensil; camp goods; Food service &amp; storage</x:t>
        </x:is>
      </x:c>
      <x:c r="W575" s="4" t="str">
        <x:v>New item proposal, October 15, 2026. Setting reference (source proposal): https://github.com/sleepyseamonster/Arc-Dust/blob/f6f98515c005dc3c73cccd9cbc031691745740c6/02-Arc-Dust-Worldbuilding/world/materials/industrial-material-palette.md</x:v>
      </x:c>
      <x:c r="X575" s="4" t="str">
        <x:v>Household utensil</x:v>
      </x:c>
      <x:c r="Y575" s="4" t="str">
        <x:v>Finished item</x:v>
      </x:c>
      <x:c r="Z575" s="4" t="str">
        <x:v>Manufactured / unresolved</x:v>
      </x:c>
      <x:c r="AA575" s="4" t="str">
        <x:v>Food service</x:v>
      </x:c>
      <x:c r="AB575" s="4" t="str">
        <x:v>Metal and shell</x:v>
      </x:c>
      <x:c r="AC575" s="4" t="str">
        <x:v>Assembly</x:v>
      </x:c>
      <x:c r="AD575" s="4" t="str">
        <x:v>Proposal</x:v>
      </x:c>
      <x:c r="AE575" s="4" t="str">
        <x:f>LOWER(A575&amp;"; "&amp;B575&amp;"; "&amp;D575&amp;"; "&amp;E575&amp;"; "&amp;X575&amp;"; "&amp;Y575&amp;"; "&amp;Z575&amp;"; "&amp;AA575&amp;"; "&amp;AB575&amp;"; "&amp;AC575&amp;"; "&amp;AD575&amp;"; "&amp;V575&amp;"; "&amp;C575&amp;"; "&amp;AH575&amp;"; "&amp;AI575)</x:f>
        <x:v>proposal.collection.shell_serving_tray; shell serving tray; salvage; food service &amp; storage; household utensil; finished item; manufactured / unresolved; food service; metal and shell; assembly; proposal; shell serving tray; collection expansion; household utensil; household utensil; camp goods; food service &amp; storage; not applicable; t2; finished item</x:v>
      </x:c>
      <x:c r="AF575"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 Author direction October 16: all Camp items are Salvage; retire the Camp items section. Item identity, condition, tiers, purposes and recipe semantics remain unchanged.</x:t>
        </x:is>
      </x:c>
      <x:c r="AG575" s="4" t="str">
        <x:v>Finished endpoint or currency. Material tier is separate from finished input tier.</x:v>
      </x:c>
      <x:c r="AH575" s="4" t="str">
        <x:v>T2</x:v>
      </x:c>
      <x:c r="AI575" s="4" t="str">
        <x:v>Finished item</x:v>
      </x:c>
      <x:c r="AJ575" s="4" t="n">
        <x:f>COUNTIFS('Material routes'!$D$6:$D$2205,A575,'Material routes'!$C$6:$C$2205,"Output")</x:f>
        <x:v>1</x:v>
      </x:c>
      <x:c r="AK575" s="4" t="n">
        <x:f>SUM(COUNTIFS('Material routes'!$D$6:$D$2205,A575,'Material routes'!$C$6:$C$2205,"Ingredient candidate"),COUNTIFS('Material routes'!$D$6:$D$2205,A575,'Material routes'!$C$6:$C$2205,"Consumed input"),COUNTIFS('Material routes'!$D$6:$D$2205,A575,'Material routes'!$C$6:$C$2205,"Contained input"),COUNTIFS('Material routes'!$D$6:$D$2205,A575,'Material routes'!$C$6:$C$2205,"Transform input"))</x:f>
        <x:v>0</x:v>
      </x:c>
      <x:c r="AL575" s="4" t="n">
        <x:f>COUNTIFS('Material routes'!$D$6:$D$2205,A575,'Material routes'!$C$6:$C$2205,"Tool candidate")</x:f>
        <x:v>0</x:v>
      </x:c>
      <x:c r="AM575" s="4" t="str">
        <x:f>IF(AJ575&gt;0,"Route listed; review status/completeness",IF(C575="T0","Raw entry feed; no production route","No production route listed"))</x:f>
        <x:v>Route listed; review status/completeness</x:v>
      </x:c>
      <x:c r="AN575" s="4" t="n">
        <x:f>IF(C575="T0",0,IF(C575="T1",1,IF(C575="T2",2,IF(C575="T3",3,IF(C575="T4",4,IF(C575="Unassigned",98,99))))))</x:f>
        <x:v>99</x:v>
      </x:c>
      <x:c r="AZ575"/>
      <x:c r="BA575"/>
      <x:c r="BB575"/>
      <x:c r="BC575"/>
      <x:c r="BD575"/>
      <x:c r="BE575"/>
      <x:c r="BF575"/>
      <x:c r="BG575"/>
      <x:c r="BH575"/>
      <x:c r="BI575"/>
      <x:c r="BJ575"/>
      <x:c r="BK575"/>
      <x:c r="BL575"/>
      <x:c r="BM575"/>
      <x:c r="BN575"/>
      <x:c r="BO575"/>
      <x:c r="BP575"/>
      <x:c r="BQ575"/>
      <x:c r="BR575"/>
      <x:c r="BS575"/>
      <x:c r="BT575"/>
      <x:c r="BU575"/>
      <x:c r="BV575"/>
      <x:c r="BW575"/>
      <x:c r="BX575"/>
      <x:c r="BY575"/>
      <x:c r="BZ575"/>
      <x:c r="CA575"/>
      <x:c r="CB575"/>
      <x:c r="CC575"/>
    </x:row>
    <x:row r="576" ht="115" customHeight="1">
      <x:c r="A576" s="4" t="str">
        <x:v>proposal.collection.metal_eating_tongs</x:v>
      </x:c>
      <x:c r="B576" s="4" t="str">
        <x:v>Metal eating tongs</x:v>
      </x:c>
      <x:c r="C576" s="4" t="str">
        <x:v>Not applicable</x:v>
      </x:c>
      <x:c r="D576" s="4" t="inlineStr">
        <x:is>
          <x:t xml:space="preserve">Salvage</x:t>
        </x:is>
      </x:c>
      <x:c r="E576" s="4" t="inlineStr">
        <x:is>
          <x:t xml:space="preserve">Food service &amp; storage</x:t>
        </x:is>
      </x:c>
      <x:c r="F576" s="4" t="str">
        <x:v>New proposal</x:v>
      </x:c>
      <x:c r="G576" s="4" t="inlineStr">
        <x:is>
          <x:t xml:space="preserve">Handles firm ration pieces with reusable metal tips. It is intended to portion, hold or serve the recorded food or drink. Food-contact preparation and the contents remain separate design requirements.</x:t>
        </x:is>
      </x:c>
      <x:c r="H576" s="4" t="str">
        <x:v>None</x:v>
      </x:c>
      <x:c r="I576" s="4" t="str">
        <x:v>Physical inventory / cargo item; dimensions and packing unresolved</x:v>
      </x:c>
      <x:c r="J576" s="4"/>
      <x:c r="K576" s="4"/>
      <x:c r="L576" s="4" t="str">
        <x:v>Candidate preparation: design.collection.metal_eating_tongs. Full inputs are in Crafting browser.</x:v>
      </x:c>
      <x:c r="M576" s="4" t="str">
        <x:v>Candidate workshop or contained preparation route; detailed tools, quantities and conditions unresolved</x:v>
      </x:c>
      <x:c r="N576" s="4" t="str">
        <x:v>Not implemented</x:v>
      </x:c>
      <x:c r="O576" s="4" t="str">
        <x:v>Specific dimensions, yield, fit, performance and service conditions remain open.</x:v>
      </x:c>
      <x:c r="P576" s="4"/>
      <x:c r="Q576" s="4"/>
      <x:c r="R576" s="4"/>
      <x:c r="S576" s="4"/>
      <x:c r="T576" s="4"/>
      <x:c r="U576" s="4" t="str">
        <x:v>Candidate inputs are partial. Resolve tools, supporting materials, energy, recovery and compatibility before recipes become craftable.</x:v>
      </x:c>
      <x:c r="V576" s="4" t="inlineStr">
        <x:is>
          <x:t xml:space="preserve">metal eating tongs; collection expansion; household utensil; Household utensil; camp goods; Food service &amp; storage</x:t>
        </x:is>
      </x:c>
      <x:c r="W576" s="4" t="str">
        <x:v>New item proposal, October 15, 2026. Setting reference (source proposal): https://github.com/sleepyseamonster/Arc-Dust/blob/f6f98515c005dc3c73cccd9cbc031691745740c6/02-Arc-Dust-Worldbuilding/world/materials/industrial-material-palette.md</x:v>
      </x:c>
      <x:c r="X576" s="4" t="str">
        <x:v>Household utensil</x:v>
      </x:c>
      <x:c r="Y576" s="4" t="str">
        <x:v>Finished item</x:v>
      </x:c>
      <x:c r="Z576" s="4" t="str">
        <x:v>Manufactured / unresolved</x:v>
      </x:c>
      <x:c r="AA576" s="4" t="str">
        <x:v>Food service</x:v>
      </x:c>
      <x:c r="AB576" s="4" t="str">
        <x:v>Metal</x:v>
      </x:c>
      <x:c r="AC576" s="4" t="str">
        <x:v>Assembly</x:v>
      </x:c>
      <x:c r="AD576" s="4" t="str">
        <x:v>Proposal</x:v>
      </x:c>
      <x:c r="AE576" s="4" t="str">
        <x:f>LOWER(A576&amp;"; "&amp;B576&amp;"; "&amp;D576&amp;"; "&amp;E576&amp;"; "&amp;X576&amp;"; "&amp;Y576&amp;"; "&amp;Z576&amp;"; "&amp;AA576&amp;"; "&amp;AB576&amp;"; "&amp;AC576&amp;"; "&amp;AD576&amp;"; "&amp;V576&amp;"; "&amp;C576&amp;"; "&amp;AH576&amp;"; "&amp;AI576)</x:f>
        <x:v>proposal.collection.metal_eating_tongs; metal eating tongs; salvage; food service &amp; storage; household utensil; finished item; manufactured / unresolved; food service; metal; assembly; proposal; metal eating tongs; collection expansion; household utensil; household utensil; camp goods; food service &amp; storage; not applicable; t3; finished item</x:v>
      </x:c>
      <x:c r="AF576"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 Author direction October 16: all Camp items are Salvage; retire the Camp items section. Item identity, condition, tiers, purposes and recipe semantics remain unchanged.</x:t>
        </x:is>
      </x:c>
      <x:c r="AG576" s="4" t="str">
        <x:v>Finished endpoint or currency. Material tier is separate from finished input tier.</x:v>
      </x:c>
      <x:c r="AH576" s="4" t="str">
        <x:v>T3</x:v>
      </x:c>
      <x:c r="AI576" s="4" t="str">
        <x:v>Finished item</x:v>
      </x:c>
      <x:c r="AJ576" s="4" t="n">
        <x:f>COUNTIFS('Material routes'!$D$6:$D$2205,A576,'Material routes'!$C$6:$C$2205,"Output")</x:f>
        <x:v>1</x:v>
      </x:c>
      <x:c r="AK576" s="4" t="n">
        <x:f>SUM(COUNTIFS('Material routes'!$D$6:$D$2205,A576,'Material routes'!$C$6:$C$2205,"Ingredient candidate"),COUNTIFS('Material routes'!$D$6:$D$2205,A576,'Material routes'!$C$6:$C$2205,"Consumed input"),COUNTIFS('Material routes'!$D$6:$D$2205,A576,'Material routes'!$C$6:$C$2205,"Contained input"),COUNTIFS('Material routes'!$D$6:$D$2205,A576,'Material routes'!$C$6:$C$2205,"Transform input"))</x:f>
        <x:v>0</x:v>
      </x:c>
      <x:c r="AL576" s="4" t="n">
        <x:f>COUNTIFS('Material routes'!$D$6:$D$2205,A576,'Material routes'!$C$6:$C$2205,"Tool candidate")</x:f>
        <x:v>0</x:v>
      </x:c>
      <x:c r="AM576" s="4" t="str">
        <x:f>IF(AJ576&gt;0,"Route listed; review status/completeness",IF(C576="T0","Raw entry feed; no production route","No production route listed"))</x:f>
        <x:v>Route listed; review status/completeness</x:v>
      </x:c>
      <x:c r="AN576" s="4" t="n">
        <x:f>IF(C576="T0",0,IF(C576="T1",1,IF(C576="T2",2,IF(C576="T3",3,IF(C576="T4",4,IF(C576="Unassigned",98,99))))))</x:f>
        <x:v>99</x:v>
      </x:c>
      <x:c r="AZ576"/>
      <x:c r="BA576"/>
      <x:c r="BB576"/>
      <x:c r="BC576"/>
      <x:c r="BD576"/>
      <x:c r="BE576"/>
      <x:c r="BF576"/>
      <x:c r="BG576"/>
      <x:c r="BH576"/>
      <x:c r="BI576"/>
      <x:c r="BJ576"/>
      <x:c r="BK576"/>
      <x:c r="BL576"/>
      <x:c r="BM576"/>
      <x:c r="BN576"/>
      <x:c r="BO576"/>
      <x:c r="BP576"/>
      <x:c r="BQ576"/>
      <x:c r="BR576"/>
      <x:c r="BS576"/>
      <x:c r="BT576"/>
      <x:c r="BU576"/>
      <x:c r="BV576"/>
      <x:c r="BW576"/>
      <x:c r="BX576"/>
      <x:c r="BY576"/>
      <x:c r="BZ576"/>
      <x:c r="CA576"/>
      <x:c r="CB576"/>
      <x:c r="CC576"/>
    </x:row>
    <x:row r="577" ht="115" customHeight="1">
      <x:c r="A577" s="4" t="str">
        <x:v>proposal.collection.salvage_claim_leaf</x:v>
      </x:c>
      <x:c r="B577" s="4" t="str">
        <x:v>Salvage claim leaf</x:v>
      </x:c>
      <x:c r="C577" s="4" t="str">
        <x:v>Not applicable</x:v>
      </x:c>
      <x:c r="D577" s="4" t="inlineStr">
        <x:is>
          <x:t xml:space="preserve">Salvage</x:t>
        </x:is>
      </x:c>
      <x:c r="E577" s="4" t="str">
        <x:v>Document</x:v>
      </x:c>
      <x:c r="F577" s="4" t="str">
        <x:v>New proposal</x:v>
      </x:c>
      <x:c r="G577" s="4" t="inlineStr">
        <x:is>
          <x:t xml:space="preserve">Records a proposed site claim and witnesses. It provides a physical way to make, carry or preserve marks and records, without assigning a particular script or institution.</x:t>
        </x:is>
      </x:c>
      <x:c r="H577" s="4" t="str">
        <x:v>None</x:v>
      </x:c>
      <x:c r="I577" s="4" t="str">
        <x:v>Physical inventory / cargo item; dimensions and packing unresolved</x:v>
      </x:c>
      <x:c r="J577" s="4"/>
      <x:c r="K577" s="4"/>
      <x:c r="L577" s="4" t="str">
        <x:v>Candidate preparation: design.collection.salvage_claim_leaf. Full inputs are in Crafting browser.</x:v>
      </x:c>
      <x:c r="M577" s="4" t="str">
        <x:v>Candidate workshop or contained preparation route; detailed tools, quantities and conditions unresolved</x:v>
      </x:c>
      <x:c r="N577" s="4" t="str">
        <x:v>Not implemented</x:v>
      </x:c>
      <x:c r="O577" s="4" t="str">
        <x:v>Specific dimensions, yield, fit, performance and service conditions remain open.</x:v>
      </x:c>
      <x:c r="P577" s="4"/>
      <x:c r="Q577" s="4"/>
      <x:c r="R577" s="4"/>
      <x:c r="S577" s="4"/>
      <x:c r="T577" s="4"/>
      <x:c r="U577" s="4" t="str">
        <x:v>Candidate inputs are partial. Resolve tools, supporting materials, energy, recovery and compatibility before recipes become craftable.</x:v>
      </x:c>
      <x:c r="V577" s="4" t="str">
        <x:v>salvage claim leaf; collection expansion; document</x:v>
      </x:c>
      <x:c r="W577" s="4" t="str">
        <x:v>New item proposal, October 15, 2026. Setting reference (source proposal): https://github.com/sleepyseamonster/Arc-Dust/blob/f6f98515c005dc3c73cccd9cbc031691745740c6/02-Arc-Dust-Worldbuilding/world/materials/industrial-material-palette.md</x:v>
      </x:c>
      <x:c r="X577" s="4" t="str">
        <x:v>Document</x:v>
      </x:c>
      <x:c r="Y577" s="4" t="str">
        <x:v>Finished item</x:v>
      </x:c>
      <x:c r="Z577" s="4" t="str">
        <x:v>Manufactured / unresolved</x:v>
      </x:c>
      <x:c r="AA577" s="4" t="str">
        <x:v>Writing and records</x:v>
      </x:c>
      <x:c r="AB577" s="4" t="str">
        <x:v>Husk fiber</x:v>
      </x:c>
      <x:c r="AC577" s="4" t="str">
        <x:v>Folio</x:v>
      </x:c>
      <x:c r="AD577" s="4" t="str">
        <x:v>Proposal</x:v>
      </x:c>
      <x:c r="AE577" s="4" t="str">
        <x:f>LOWER(A577&amp;"; "&amp;B577&amp;"; "&amp;D577&amp;"; "&amp;E577&amp;"; "&amp;X577&amp;"; "&amp;Y577&amp;"; "&amp;Z577&amp;"; "&amp;AA577&amp;"; "&amp;AB577&amp;"; "&amp;AC577&amp;"; "&amp;AD577&amp;"; "&amp;V577&amp;"; "&amp;C577&amp;"; "&amp;AH577&amp;"; "&amp;AI577)</x:f>
        <x:v>proposal.collection.salvage_claim_leaf; salvage claim leaf; salvage; document; document; finished item; manufactured / unresolved; writing and records; husk fiber; folio; proposal; salvage claim leaf; collection expansion; document; not applicable; t2; finished item</x:v>
      </x:c>
      <x:c r="AF577" s="4" t="inlineStr">
        <x:is>
          <x:t xml:space="preserve">Collection expansion classification. Distinct type, use and material family; new item proposal unless author direction is marked. Author direction October 16: all remaining Cultural objects are Salvage; remove the cultural items section. Preserve item identity, descriptions, condition, tiers, uses and recipe semantics.</x:t>
        </x:is>
      </x:c>
      <x:c r="AG577" s="4" t="str">
        <x:v>Finished endpoint or currency. Material tier is separate from finished input tier.</x:v>
      </x:c>
      <x:c r="AH577" s="4" t="str">
        <x:v>T2</x:v>
      </x:c>
      <x:c r="AI577" s="4" t="str">
        <x:v>Finished item</x:v>
      </x:c>
      <x:c r="AJ577" s="4" t="n">
        <x:f>COUNTIFS('Material routes'!$D$6:$D$2205,A577,'Material routes'!$C$6:$C$2205,"Output")</x:f>
        <x:v>1</x:v>
      </x:c>
      <x:c r="AK577" s="4" t="n">
        <x:f>SUM(COUNTIFS('Material routes'!$D$6:$D$2205,A577,'Material routes'!$C$6:$C$2205,"Ingredient candidate"),COUNTIFS('Material routes'!$D$6:$D$2205,A577,'Material routes'!$C$6:$C$2205,"Consumed input"),COUNTIFS('Material routes'!$D$6:$D$2205,A577,'Material routes'!$C$6:$C$2205,"Contained input"),COUNTIFS('Material routes'!$D$6:$D$2205,A577,'Material routes'!$C$6:$C$2205,"Transform input"))</x:f>
        <x:v>0</x:v>
      </x:c>
      <x:c r="AL577" s="4" t="n">
        <x:f>COUNTIFS('Material routes'!$D$6:$D$2205,A577,'Material routes'!$C$6:$C$2205,"Tool candidate")</x:f>
        <x:v>0</x:v>
      </x:c>
      <x:c r="AM577" s="4" t="str">
        <x:f>IF(AJ577&gt;0,"Route listed; review status/completeness",IF(C577="T0","Raw entry feed; no production route","No production route listed"))</x:f>
        <x:v>Route listed; review status/completeness</x:v>
      </x:c>
      <x:c r="AN577" s="4" t="n">
        <x:f>IF(C577="T0",0,IF(C577="T1",1,IF(C577="T2",2,IF(C577="T3",3,IF(C577="T4",4,IF(C577="Unassigned",98,99))))))</x:f>
        <x:v>99</x:v>
      </x:c>
      <x:c r="AZ577"/>
      <x:c r="BA577"/>
      <x:c r="BB577"/>
      <x:c r="BC577"/>
      <x:c r="BD577"/>
      <x:c r="BE577"/>
      <x:c r="BF577"/>
      <x:c r="BG577"/>
      <x:c r="BH577"/>
      <x:c r="BI577"/>
      <x:c r="BJ577"/>
      <x:c r="BK577"/>
      <x:c r="BL577"/>
      <x:c r="BM577"/>
      <x:c r="BN577"/>
      <x:c r="BO577"/>
      <x:c r="BP577"/>
      <x:c r="BQ577"/>
      <x:c r="BR577"/>
      <x:c r="BS577"/>
      <x:c r="BT577"/>
      <x:c r="BU577"/>
      <x:c r="BV577"/>
      <x:c r="BW577"/>
      <x:c r="BX577"/>
      <x:c r="BY577"/>
      <x:c r="BZ577"/>
      <x:c r="CA577"/>
      <x:c r="CB577"/>
      <x:c r="CC577"/>
    </x:row>
    <x:row r="578" ht="115" customHeight="1">
      <x:c r="A578" s="4"/>
      <x:c r="B578" s="4"/>
      <x:c r="C578" s="4"/>
      <x:c r="D578" s="4"/>
      <x:c r="E578" s="4"/>
      <x:c r="F578" s="4"/>
      <x:c r="G578" s="4"/>
      <x:c r="H578" s="4"/>
      <x:c r="I578" s="4"/>
      <x:c r="J578" s="4"/>
      <x:c r="K578" s="4"/>
      <x:c r="L578" s="4"/>
      <x:c r="M578" s="4"/>
      <x:c r="N578" s="4"/>
      <x:c r="O578" s="4"/>
      <x:c r="P578" s="4"/>
      <x:c r="Q578" s="4"/>
      <x:c r="R578" s="4"/>
      <x:c r="S578" s="4"/>
      <x:c r="T578" s="4"/>
      <x:c r="U578" s="4"/>
      <x:c r="V578" s="4"/>
      <x:c r="W578" s="4"/>
      <x:c r="X578" s="4"/>
      <x:c r="Y578" s="4"/>
      <x:c r="Z578" s="4"/>
      <x:c r="AA578" s="4"/>
      <x:c r="AB578" s="4"/>
      <x:c r="AC578" s="4"/>
      <x:c r="AD578" s="4"/>
      <x:c r="AE578" s="4"/>
      <x:c r="AF578" s="4"/>
      <x:c r="AG578" s="4"/>
      <x:c r="AH578" s="4"/>
      <x:c r="AI578" s="4"/>
      <x:c r="AJ578" s="4"/>
      <x:c r="AK578" s="4"/>
      <x:c r="AL578" s="4"/>
      <x:c r="AM578" s="4"/>
      <x:c r="AN578" s="4"/>
      <x:c r="AZ578"/>
      <x:c r="BA578"/>
      <x:c r="BB578"/>
      <x:c r="BC578"/>
      <x:c r="BD578"/>
      <x:c r="BE578"/>
      <x:c r="BF578"/>
      <x:c r="BG578"/>
      <x:c r="BH578"/>
      <x:c r="BI578"/>
      <x:c r="BJ578"/>
      <x:c r="BK578"/>
      <x:c r="BL578"/>
      <x:c r="BM578"/>
      <x:c r="BN578"/>
      <x:c r="BO578"/>
      <x:c r="BP578"/>
      <x:c r="BQ578"/>
      <x:c r="BR578"/>
      <x:c r="BS578"/>
      <x:c r="BT578"/>
      <x:c r="BU578"/>
      <x:c r="BV578"/>
      <x:c r="BW578"/>
      <x:c r="BX578"/>
      <x:c r="BY578"/>
      <x:c r="BZ578"/>
      <x:c r="CA578"/>
      <x:c r="CB578"/>
      <x:c r="CC578"/>
    </x:row>
    <x:row r="579" ht="115" customHeight="1">
      <x:c r="A579" s="4"/>
      <x:c r="B579" s="4"/>
      <x:c r="C579" s="4"/>
      <x:c r="D579" s="4"/>
      <x:c r="E579" s="4"/>
      <x:c r="F579" s="4"/>
      <x:c r="G579" s="4"/>
      <x:c r="H579" s="4"/>
      <x:c r="I579" s="4"/>
      <x:c r="J579" s="4"/>
      <x:c r="K579" s="4"/>
      <x:c r="L579" s="4"/>
      <x:c r="M579" s="4"/>
      <x:c r="N579" s="4"/>
      <x:c r="O579" s="4"/>
      <x:c r="P579" s="4"/>
      <x:c r="Q579" s="4"/>
      <x:c r="R579" s="4"/>
      <x:c r="S579" s="4"/>
      <x:c r="T579" s="4"/>
      <x:c r="U579" s="4"/>
      <x:c r="V579" s="4"/>
      <x:c r="W579" s="4"/>
      <x:c r="X579" s="4"/>
      <x:c r="Y579" s="4"/>
      <x:c r="Z579" s="4"/>
      <x:c r="AA579" s="4"/>
      <x:c r="AB579" s="4"/>
      <x:c r="AC579" s="4"/>
      <x:c r="AD579" s="4"/>
      <x:c r="AE579" s="4"/>
      <x:c r="AF579" s="4"/>
      <x:c r="AG579" s="4"/>
      <x:c r="AH579" s="4"/>
      <x:c r="AI579" s="4"/>
      <x:c r="AJ579" s="4"/>
      <x:c r="AK579" s="4"/>
      <x:c r="AL579" s="4"/>
      <x:c r="AM579" s="4"/>
      <x:c r="AN579" s="4"/>
      <x:c r="AZ579"/>
      <x:c r="BA579"/>
      <x:c r="BB579"/>
      <x:c r="BC579"/>
      <x:c r="BD579"/>
      <x:c r="BE579"/>
      <x:c r="BF579"/>
      <x:c r="BG579"/>
      <x:c r="BH579"/>
      <x:c r="BI579"/>
      <x:c r="BJ579"/>
      <x:c r="BK579"/>
      <x:c r="BL579"/>
      <x:c r="BM579"/>
      <x:c r="BN579"/>
      <x:c r="BO579"/>
      <x:c r="BP579"/>
      <x:c r="BQ579"/>
      <x:c r="BR579"/>
      <x:c r="BS579"/>
      <x:c r="BT579"/>
      <x:c r="BU579"/>
      <x:c r="BV579"/>
      <x:c r="BW579"/>
      <x:c r="BX579"/>
      <x:c r="BY579"/>
      <x:c r="BZ579"/>
      <x:c r="CA579"/>
      <x:c r="CB579"/>
      <x:c r="CC579"/>
    </x:row>
    <x:row r="580" ht="115" customHeight="1">
      <x:c r="A580" s="4" t="str">
        <x:v>proposal.collection.household_meal_ledger</x:v>
      </x:c>
      <x:c r="B580" s="4" t="str">
        <x:v>Household meal ledger</x:v>
      </x:c>
      <x:c r="C580" s="4" t="str">
        <x:v>Not applicable</x:v>
      </x:c>
      <x:c r="D580" s="4" t="inlineStr">
        <x:is>
          <x:t xml:space="preserve">Salvage</x:t>
        </x:is>
      </x:c>
      <x:c r="E580" s="4" t="inlineStr">
        <x:is>
          <x:t xml:space="preserve">Camp records</x:t>
        </x:is>
      </x:c>
      <x:c r="F580" s="4" t="str">
        <x:v>New proposal</x:v>
      </x:c>
      <x:c r="G580" s="4" t="inlineStr">
        <x:is>
          <x:t xml:space="preserve">Records rations and food preparation notes. It provides a physical way to make, carry or preserve marks and records, without assigning a particular script or institution.</x:t>
        </x:is>
      </x:c>
      <x:c r="H580" s="4" t="str">
        <x:v>None</x:v>
      </x:c>
      <x:c r="I580" s="4" t="str">
        <x:v>Physical inventory / cargo item; dimensions and packing unresolved</x:v>
      </x:c>
      <x:c r="J580" s="4"/>
      <x:c r="K580" s="4"/>
      <x:c r="L580" s="4" t="str">
        <x:v>Candidate preparation: design.collection.household_meal_ledger. Full inputs are in Crafting browser.</x:v>
      </x:c>
      <x:c r="M580" s="4" t="str">
        <x:v>Candidate workshop or contained preparation route; detailed tools, quantities and conditions unresolved</x:v>
      </x:c>
      <x:c r="N580" s="4" t="str">
        <x:v>Not implemented</x:v>
      </x:c>
      <x:c r="O580" s="4" t="str">
        <x:v>Specific dimensions, yield, fit, performance and service conditions remain open.</x:v>
      </x:c>
      <x:c r="P580" s="4"/>
      <x:c r="Q580" s="4"/>
      <x:c r="R580" s="4"/>
      <x:c r="S580" s="4"/>
      <x:c r="T580" s="4"/>
      <x:c r="U580" s="4" t="str">
        <x:v>Candidate inputs are partial. Resolve tools, supporting materials, energy, recovery and compatibility before recipes become craftable.</x:v>
      </x:c>
      <x:c r="V580" s="4" t="inlineStr">
        <x:is>
          <x:t xml:space="preserve">household meal ledger; collection expansion; document; Document; Camp records</x:t>
        </x:is>
      </x:c>
      <x:c r="W580" s="4" t="str">
        <x:v>New item proposal, October 15, 2026. Setting reference (source proposal): https://github.com/sleepyseamonster/Arc-Dust/blob/f6f98515c005dc3c73cccd9cbc031691745740c6/02-Arc-Dust-Worldbuilding/world/materials/industrial-material-palette.md</x:v>
      </x:c>
      <x:c r="X580" s="4" t="str">
        <x:v>Document</x:v>
      </x:c>
      <x:c r="Y580" s="4" t="str">
        <x:v>Finished item</x:v>
      </x:c>
      <x:c r="Z580" s="4" t="str">
        <x:v>Manufactured / unresolved</x:v>
      </x:c>
      <x:c r="AA580" s="4" t="str">
        <x:v>Writing and records</x:v>
      </x:c>
      <x:c r="AB580" s="4" t="str">
        <x:v>Husk fiber</x:v>
      </x:c>
      <x:c r="AC580" s="4" t="str">
        <x:v>Folio</x:v>
      </x:c>
      <x:c r="AD580" s="4" t="str">
        <x:v>Proposal</x:v>
      </x:c>
      <x:c r="AE580" s="4" t="str">
        <x:f>LOWER(A580&amp;"; "&amp;B580&amp;"; "&amp;D580&amp;"; "&amp;E580&amp;"; "&amp;X580&amp;"; "&amp;Y580&amp;"; "&amp;Z580&amp;"; "&amp;AA580&amp;"; "&amp;AB580&amp;"; "&amp;AC580&amp;"; "&amp;AD580&amp;"; "&amp;V580&amp;"; "&amp;C580&amp;"; "&amp;AH580&amp;"; "&amp;AI580)</x:f>
        <x:v>proposal.collection.household_meal_ledger; household meal ledger; salvage; camp records; document; finished item; manufactured / unresolved; writing and records; husk fiber; folio; proposal; household meal ledger; collection expansion; document; document; camp records; not applicable; t2; finished item</x:v>
      </x:c>
      <x:c r="AF580" s="4" t="inlineStr">
        <x:is>
          <x:t xml:space="preserve">Collection expansion classification. Distinct type, use and material family; new item proposal unless author direction is marked. Author correction: all cooking equipment and related household food-preparation records belong in Camp items, including the cooking station and damaged cooking vessels. Classification does not repair salvage or establish working equipment. Author direction October 16: all Camp items are Salvage; retire the Camp items section. Item identity, condition, tiers, purposes and recipe semantics remain unchanged.</x:t>
        </x:is>
      </x:c>
      <x:c r="AG580" s="4" t="str">
        <x:v>Finished endpoint or currency. Material tier is separate from finished input tier.</x:v>
      </x:c>
      <x:c r="AH580" s="4" t="str">
        <x:v>T2</x:v>
      </x:c>
      <x:c r="AI580" s="4" t="str">
        <x:v>Finished item</x:v>
      </x:c>
      <x:c r="AJ580" s="4" t="n">
        <x:f>COUNTIFS('Material routes'!$D$6:$D$2205,A580,'Material routes'!$C$6:$C$2205,"Output")</x:f>
        <x:v>1</x:v>
      </x:c>
      <x:c r="AK580" s="4" t="n">
        <x:f>SUM(COUNTIFS('Material routes'!$D$6:$D$2205,A580,'Material routes'!$C$6:$C$2205,"Ingredient candidate"),COUNTIFS('Material routes'!$D$6:$D$2205,A580,'Material routes'!$C$6:$C$2205,"Consumed input"),COUNTIFS('Material routes'!$D$6:$D$2205,A580,'Material routes'!$C$6:$C$2205,"Contained input"),COUNTIFS('Material routes'!$D$6:$D$2205,A580,'Material routes'!$C$6:$C$2205,"Transform input"))</x:f>
        <x:v>0</x:v>
      </x:c>
      <x:c r="AL580" s="4" t="n">
        <x:f>COUNTIFS('Material routes'!$D$6:$D$2205,A580,'Material routes'!$C$6:$C$2205,"Tool candidate")</x:f>
        <x:v>0</x:v>
      </x:c>
      <x:c r="AM580" s="4" t="str">
        <x:f>IF(AJ580&gt;0,"Route listed; review status/completeness",IF(C580="T0","Raw entry feed; no production route","No production route listed"))</x:f>
        <x:v>Route listed; review status/completeness</x:v>
      </x:c>
      <x:c r="AN580" s="4" t="n">
        <x:f>IF(C580="T0",0,IF(C580="T1",1,IF(C580="T2",2,IF(C580="T3",3,IF(C580="T4",4,IF(C580="Unassigned",98,99))))))</x:f>
        <x:v>99</x:v>
      </x:c>
      <x:c r="AZ580"/>
      <x:c r="BA580"/>
      <x:c r="BB580"/>
      <x:c r="BC580"/>
      <x:c r="BD580"/>
      <x:c r="BE580"/>
      <x:c r="BF580"/>
      <x:c r="BG580"/>
      <x:c r="BH580"/>
      <x:c r="BI580"/>
      <x:c r="BJ580"/>
      <x:c r="BK580"/>
      <x:c r="BL580"/>
      <x:c r="BM580"/>
      <x:c r="BN580"/>
      <x:c r="BO580"/>
      <x:c r="BP580"/>
      <x:c r="BQ580"/>
      <x:c r="BR580"/>
      <x:c r="BS580"/>
      <x:c r="BT580"/>
      <x:c r="BU580"/>
      <x:c r="BV580"/>
      <x:c r="BW580"/>
      <x:c r="BX580"/>
      <x:c r="BY580"/>
      <x:c r="BZ580"/>
      <x:c r="CA580"/>
      <x:c r="CB580"/>
      <x:c r="CC580"/>
    </x:row>
    <x:row r="581" ht="115" customHeight="1">
      <x:c r="A581" s="4"/>
      <x:c r="B581" s="4"/>
      <x:c r="C581" s="4"/>
      <x:c r="D581" s="4"/>
      <x:c r="E581" s="4"/>
      <x:c r="F581" s="4"/>
      <x:c r="G581" s="4"/>
      <x:c r="H581" s="4"/>
      <x:c r="I581" s="4"/>
      <x:c r="J581" s="4"/>
      <x:c r="K581" s="4"/>
      <x:c r="L581" s="4"/>
      <x:c r="M581" s="4"/>
      <x:c r="N581" s="4"/>
      <x:c r="O581" s="4"/>
      <x:c r="P581" s="4"/>
      <x:c r="Q581" s="4"/>
      <x:c r="R581" s="4"/>
      <x:c r="S581" s="4"/>
      <x:c r="T581" s="4"/>
      <x:c r="U581" s="4"/>
      <x:c r="V581" s="4"/>
      <x:c r="W581" s="4"/>
      <x:c r="X581" s="4"/>
      <x:c r="Y581" s="4"/>
      <x:c r="Z581" s="4"/>
      <x:c r="AA581" s="4"/>
      <x:c r="AB581" s="4"/>
      <x:c r="AC581" s="4"/>
      <x:c r="AD581" s="4"/>
      <x:c r="AE581" s="4"/>
      <x:c r="AF581" s="4"/>
      <x:c r="AG581" s="4"/>
      <x:c r="AH581" s="4"/>
      <x:c r="AI581" s="4"/>
      <x:c r="AJ581" s="4"/>
      <x:c r="AK581" s="4"/>
      <x:c r="AL581" s="4"/>
      <x:c r="AM581" s="4"/>
      <x:c r="AN581" s="4"/>
      <x:c r="AZ581"/>
      <x:c r="BA581"/>
      <x:c r="BB581"/>
      <x:c r="BC581"/>
      <x:c r="BD581"/>
      <x:c r="BE581"/>
      <x:c r="BF581"/>
      <x:c r="BG581"/>
      <x:c r="BH581"/>
      <x:c r="BI581"/>
      <x:c r="BJ581"/>
      <x:c r="BK581"/>
      <x:c r="BL581"/>
      <x:c r="BM581"/>
      <x:c r="BN581"/>
      <x:c r="BO581"/>
      <x:c r="BP581"/>
      <x:c r="BQ581"/>
      <x:c r="BR581"/>
      <x:c r="BS581"/>
      <x:c r="BT581"/>
      <x:c r="BU581"/>
      <x:c r="BV581"/>
      <x:c r="BW581"/>
      <x:c r="BX581"/>
      <x:c r="BY581"/>
      <x:c r="BZ581"/>
      <x:c r="CA581"/>
      <x:c r="CB581"/>
      <x:c r="CC581"/>
    </x:row>
    <x:row r="582" ht="115" customHeight="1">
      <x:c r="A582" s="4" t="str">
        <x:v>proposal.collection.straight_cut_spur_gear</x:v>
      </x:c>
      <x:c r="B582" s="4" t="str">
        <x:v>Straight-cut spur gear</x:v>
      </x:c>
      <x:c r="C582" s="4" t="str">
        <x:v>T3</x:v>
      </x:c>
      <x:c r="D582" s="4" t="str">
        <x:v>Crafting components</x:v>
      </x:c>
      <x:c r="E582" s="4" t="str">
        <x:v>Contemporary machine element</x:v>
      </x:c>
      <x:c r="F582" s="4" t="str">
        <x:v>New proposal</x:v>
      </x:c>
      <x:c r="G582" s="4" t="inlineStr">
        <x:is>
          <x:t xml:space="preserve">Transfers rotation between parallel shafts. It is intended to replace, support or service a matching machine part; useful fit depends on the host mechanism.</x:t>
        </x:is>
      </x:c>
      <x:c r="H582" s="4" t="str">
        <x:v>None</x:v>
      </x:c>
      <x:c r="I582" s="4" t="str">
        <x:v>Physical inventory / cargo item; dimensions and packing unresolved</x:v>
      </x:c>
      <x:c r="J582" s="4"/>
      <x:c r="K582" s="4"/>
      <x:c r="L582" s="4" t="str">
        <x:v>Candidate preparation: design.collection.straight_cut_spur_gear. Full inputs are in Crafting browser.</x:v>
      </x:c>
      <x:c r="M582" s="4" t="str">
        <x:v>Candidate workshop or contained preparation route; detailed tools, quantities and conditions unresolved</x:v>
      </x:c>
      <x:c r="N582" s="4" t="str">
        <x:v>Not implemented</x:v>
      </x:c>
      <x:c r="O582" s="4" t="str">
        <x:v>Specific dimensions, yield, fit, performance and service conditions remain open.</x:v>
      </x:c>
      <x:c r="P582" s="4"/>
      <x:c r="Q582" s="4"/>
      <x:c r="R582" s="4"/>
      <x:c r="S582" s="4"/>
      <x:c r="T582" s="4"/>
      <x:c r="U582" s="4" t="str">
        <x:v>Candidate inputs are partial. Resolve tools, supporting materials, energy, recovery and compatibility before recipes become craftable.</x:v>
      </x:c>
      <x:c r="V582" s="4" t="str">
        <x:v>straight-cut spur gear; collection expansion; machine part</x:v>
      </x:c>
      <x:c r="W582" s="4" t="str">
        <x:v>New item proposal, October 15, 2026. Setting reference (source proposal): https://github.com/sleepyseamonster/Arc-Dust/blob/f6f98515c005dc3c73cccd9cbc031691745740c6/02-Arc-Dust-Worldbuilding/world/materials/industrial-material-palette.md</x:v>
      </x:c>
      <x:c r="X582" s="4" t="str">
        <x:v>Machine part</x:v>
      </x:c>
      <x:c r="Y582" s="4" t="str">
        <x:v>Processed intermediate</x:v>
      </x:c>
      <x:c r="Z582" s="4" t="str">
        <x:v>Manufactured / unresolved</x:v>
      </x:c>
      <x:c r="AA582" s="4" t="str">
        <x:v>Machinery repair</x:v>
      </x:c>
      <x:c r="AB582" s="4" t="str">
        <x:v>Metal</x:v>
      </x:c>
      <x:c r="AC582" s="4" t="str">
        <x:v>Solid part</x:v>
      </x:c>
      <x:c r="AD582" s="4" t="str">
        <x:v>Proposal</x:v>
      </x:c>
      <x:c r="AE582" s="4" t="str">
        <x:f>LOWER(A582&amp;"; "&amp;B582&amp;"; "&amp;D582&amp;"; "&amp;E582&amp;"; "&amp;X582&amp;"; "&amp;Y582&amp;"; "&amp;Z582&amp;"; "&amp;AA582&amp;"; "&amp;AB582&amp;"; "&amp;AC582&amp;"; "&amp;AD582&amp;"; "&amp;V582&amp;"; "&amp;C582&amp;"; "&amp;AH582&amp;"; "&amp;AI582)</x:f>
        <x:v>proposal.collection.straight_cut_spur_gear; straight-cut spur gear; crafting components; contemporary machine element; machine part; processed intermediate; manufactured / unresolved; machinery repair; metal; solid part; proposal; straight-cut spur gear; collection expansion; machine part; t3; not applicable; component</x:v>
      </x:c>
      <x:c r="AF582" s="4" t="str">
        <x:v>Collection expansion classification. Distinct type, use and material family; new item proposal unless author direction is marked. October 15 audit: classification/handling clarified; item identity, design status and material tier preserved.</x:v>
      </x:c>
      <x:c r="AG582" s="4" t="str">
        <x:v>Selected candidate processing route places this stock at T3. Raw entry is T0; source rarity does not raise tier.</x:v>
      </x:c>
      <x:c r="AH582" s="4" t="str">
        <x:v>Not applicable</x:v>
      </x:c>
      <x:c r="AI582" s="4" t="str">
        <x:v>Component</x:v>
      </x:c>
      <x:c r="AJ582" s="4" t="n">
        <x:f>COUNTIFS('Material routes'!$D$6:$D$2205,A582,'Material routes'!$C$6:$C$2205,"Output")</x:f>
        <x:v>1</x:v>
      </x:c>
      <x:c r="AK582" s="4" t="n">
        <x:f>SUM(COUNTIFS('Material routes'!$D$6:$D$2205,A582,'Material routes'!$C$6:$C$2205,"Ingredient candidate"),COUNTIFS('Material routes'!$D$6:$D$2205,A582,'Material routes'!$C$6:$C$2205,"Consumed input"),COUNTIFS('Material routes'!$D$6:$D$2205,A582,'Material routes'!$C$6:$C$2205,"Contained input"),COUNTIFS('Material routes'!$D$6:$D$2205,A582,'Material routes'!$C$6:$C$2205,"Transform input"))</x:f>
        <x:v>1</x:v>
      </x:c>
      <x:c r="AL582" s="4" t="n">
        <x:f>COUNTIFS('Material routes'!$D$6:$D$2205,A582,'Material routes'!$C$6:$C$2205,"Tool candidate")</x:f>
        <x:v>0</x:v>
      </x:c>
      <x:c r="AM582" s="4" t="str">
        <x:f>IF(AJ582&gt;0,"Route listed; review status/completeness",IF(C582="T0","Raw entry feed; no production route","No production route listed"))</x:f>
        <x:v>Route listed; review status/completeness</x:v>
      </x:c>
      <x:c r="AN582" s="4" t="n">
        <x:f>IF(C582="T0",0,IF(C582="T1",1,IF(C582="T2",2,IF(C582="T3",3,IF(C582="T4",4,IF(C582="Unassigned",98,99))))))</x:f>
        <x:v>3</x:v>
      </x:c>
      <x:c r="AZ582"/>
      <x:c r="BA582"/>
      <x:c r="BB582"/>
      <x:c r="BC582"/>
      <x:c r="BD582"/>
      <x:c r="BE582"/>
      <x:c r="BF582"/>
      <x:c r="BG582"/>
      <x:c r="BH582"/>
      <x:c r="BI582"/>
      <x:c r="BJ582"/>
      <x:c r="BK582"/>
      <x:c r="BL582"/>
      <x:c r="BM582"/>
      <x:c r="BN582"/>
      <x:c r="BO582"/>
      <x:c r="BP582"/>
      <x:c r="BQ582"/>
      <x:c r="BR582"/>
      <x:c r="BS582"/>
      <x:c r="BT582"/>
      <x:c r="BU582"/>
      <x:c r="BV582"/>
      <x:c r="BW582"/>
      <x:c r="BX582"/>
      <x:c r="BY582"/>
      <x:c r="BZ582"/>
      <x:c r="CA582"/>
      <x:c r="CB582"/>
      <x:c r="CC582"/>
    </x:row>
    <x:row r="583" ht="115" customHeight="1">
      <x:c r="A583" s="4" t="str">
        <x:v>proposal.collection.bevel_drive_gear</x:v>
      </x:c>
      <x:c r="B583" s="4" t="str">
        <x:v>Bevel drive gear</x:v>
      </x:c>
      <x:c r="C583" s="4" t="str">
        <x:v>T3</x:v>
      </x:c>
      <x:c r="D583" s="4" t="str">
        <x:v>Crafting components</x:v>
      </x:c>
      <x:c r="E583" s="4" t="str">
        <x:v>Contemporary machine element</x:v>
      </x:c>
      <x:c r="F583" s="4" t="str">
        <x:v>New proposal</x:v>
      </x:c>
      <x:c r="G583" s="4" t="inlineStr">
        <x:is>
          <x:t xml:space="preserve">Turns a drive through an angle. It is intended to replace, support or service a matching machine part; useful fit depends on the host mechanism.</x:t>
        </x:is>
      </x:c>
      <x:c r="H583" s="4" t="str">
        <x:v>None</x:v>
      </x:c>
      <x:c r="I583" s="4" t="str">
        <x:v>Physical inventory / cargo item; dimensions and packing unresolved</x:v>
      </x:c>
      <x:c r="J583" s="4"/>
      <x:c r="K583" s="4"/>
      <x:c r="L583" s="4" t="str">
        <x:v>Candidate preparation: design.collection.bevel_drive_gear. Full inputs are in Crafting browser.</x:v>
      </x:c>
      <x:c r="M583" s="4" t="str">
        <x:v>Candidate workshop or contained preparation route; detailed tools, quantities and conditions unresolved</x:v>
      </x:c>
      <x:c r="N583" s="4" t="str">
        <x:v>Not implemented</x:v>
      </x:c>
      <x:c r="O583" s="4" t="str">
        <x:v>Specific dimensions, yield, fit, performance and service conditions remain open.</x:v>
      </x:c>
      <x:c r="P583" s="4"/>
      <x:c r="Q583" s="4"/>
      <x:c r="R583" s="4"/>
      <x:c r="S583" s="4"/>
      <x:c r="T583" s="4"/>
      <x:c r="U583" s="4" t="str">
        <x:v>Candidate inputs are partial. Resolve tools, supporting materials, energy, recovery and compatibility before recipes become craftable.</x:v>
      </x:c>
      <x:c r="V583" s="4" t="str">
        <x:v>bevel drive gear; collection expansion; machine part</x:v>
      </x:c>
      <x:c r="W583" s="4" t="str">
        <x:v>New item proposal, October 15, 2026. Setting reference (source proposal): https://github.com/sleepyseamonster/Arc-Dust/blob/f6f98515c005dc3c73cccd9cbc031691745740c6/02-Arc-Dust-Worldbuilding/world/materials/industrial-material-palette.md</x:v>
      </x:c>
      <x:c r="X583" s="4" t="str">
        <x:v>Machine part</x:v>
      </x:c>
      <x:c r="Y583" s="4" t="str">
        <x:v>Processed intermediate</x:v>
      </x:c>
      <x:c r="Z583" s="4" t="str">
        <x:v>Manufactured / unresolved</x:v>
      </x:c>
      <x:c r="AA583" s="4" t="str">
        <x:v>Machinery repair</x:v>
      </x:c>
      <x:c r="AB583" s="4" t="str">
        <x:v>Metal</x:v>
      </x:c>
      <x:c r="AC583" s="4" t="str">
        <x:v>Solid part</x:v>
      </x:c>
      <x:c r="AD583" s="4" t="str">
        <x:v>Proposal</x:v>
      </x:c>
      <x:c r="AE583" s="4" t="str">
        <x:f>LOWER(A583&amp;"; "&amp;B583&amp;"; "&amp;D583&amp;"; "&amp;E583&amp;"; "&amp;X583&amp;"; "&amp;Y583&amp;"; "&amp;Z583&amp;"; "&amp;AA583&amp;"; "&amp;AB583&amp;"; "&amp;AC583&amp;"; "&amp;AD583&amp;"; "&amp;V583&amp;"; "&amp;C583&amp;"; "&amp;AH583&amp;"; "&amp;AI583)</x:f>
        <x:v>proposal.collection.bevel_drive_gear; bevel drive gear; crafting components; contemporary machine element; machine part; processed intermediate; manufactured / unresolved; machinery repair; metal; solid part; proposal; bevel drive gear; collection expansion; machine part; t3; not applicable; component</x:v>
      </x:c>
      <x:c r="AF583" s="4" t="str">
        <x:v>Collection expansion classification. Distinct type, use and material family; new item proposal unless author direction is marked. October 15 audit: classification/handling clarified; item identity, design status and material tier preserved.</x:v>
      </x:c>
      <x:c r="AG583" s="4" t="str">
        <x:v>Selected candidate processing route places this stock at T3. Raw entry is T0; source rarity does not raise tier.</x:v>
      </x:c>
      <x:c r="AH583" s="4" t="str">
        <x:v>Not applicable</x:v>
      </x:c>
      <x:c r="AI583" s="4" t="str">
        <x:v>Component</x:v>
      </x:c>
      <x:c r="AJ583" s="4" t="n">
        <x:f>COUNTIFS('Material routes'!$D$6:$D$2205,A583,'Material routes'!$C$6:$C$2205,"Output")</x:f>
        <x:v>1</x:v>
      </x:c>
      <x:c r="AK583" s="4" t="n">
        <x:f>SUM(COUNTIFS('Material routes'!$D$6:$D$2205,A583,'Material routes'!$C$6:$C$2205,"Ingredient candidate"),COUNTIFS('Material routes'!$D$6:$D$2205,A583,'Material routes'!$C$6:$C$2205,"Consumed input"),COUNTIFS('Material routes'!$D$6:$D$2205,A583,'Material routes'!$C$6:$C$2205,"Contained input"),COUNTIFS('Material routes'!$D$6:$D$2205,A583,'Material routes'!$C$6:$C$2205,"Transform input"))</x:f>
        <x:v>0</x:v>
      </x:c>
      <x:c r="AL583" s="4" t="n">
        <x:f>COUNTIFS('Material routes'!$D$6:$D$2205,A583,'Material routes'!$C$6:$C$2205,"Tool candidate")</x:f>
        <x:v>0</x:v>
      </x:c>
      <x:c r="AM583" s="4" t="str">
        <x:f>IF(AJ583&gt;0,"Route listed; review status/completeness",IF(C583="T0","Raw entry feed; no production route","No production route listed"))</x:f>
        <x:v>Route listed; review status/completeness</x:v>
      </x:c>
      <x:c r="AN583" s="4" t="n">
        <x:f>IF(C583="T0",0,IF(C583="T1",1,IF(C583="T2",2,IF(C583="T3",3,IF(C583="T4",4,IF(C583="Unassigned",98,99))))))</x:f>
        <x:v>3</x:v>
      </x:c>
      <x:c r="AZ583"/>
      <x:c r="BA583"/>
      <x:c r="BB583"/>
      <x:c r="BC583"/>
      <x:c r="BD583"/>
      <x:c r="BE583"/>
      <x:c r="BF583"/>
      <x:c r="BG583"/>
      <x:c r="BH583"/>
      <x:c r="BI583"/>
      <x:c r="BJ583"/>
      <x:c r="BK583"/>
      <x:c r="BL583"/>
      <x:c r="BM583"/>
      <x:c r="BN583"/>
      <x:c r="BO583"/>
      <x:c r="BP583"/>
      <x:c r="BQ583"/>
      <x:c r="BR583"/>
      <x:c r="BS583"/>
      <x:c r="BT583"/>
      <x:c r="BU583"/>
      <x:c r="BV583"/>
      <x:c r="BW583"/>
      <x:c r="BX583"/>
      <x:c r="BY583"/>
      <x:c r="BZ583"/>
      <x:c r="CA583"/>
      <x:c r="CB583"/>
      <x:c r="CC583"/>
    </x:row>
    <x:row r="584" ht="115" customHeight="1">
      <x:c r="A584" s="4" t="str">
        <x:v>proposal.collection.worm_drive_screw</x:v>
      </x:c>
      <x:c r="B584" s="4" t="str">
        <x:v>Worm drive screw</x:v>
      </x:c>
      <x:c r="C584" s="4" t="str">
        <x:v>T3</x:v>
      </x:c>
      <x:c r="D584" s="4" t="str">
        <x:v>Crafting components</x:v>
      </x:c>
      <x:c r="E584" s="4" t="str">
        <x:v>Contemporary machine element</x:v>
      </x:c>
      <x:c r="F584" s="4" t="str">
        <x:v>New proposal</x:v>
      </x:c>
      <x:c r="G584" s="4" t="inlineStr">
        <x:is>
          <x:t xml:space="preserve">Drives a slow reduction mechanism. It is intended to replace, support or service a matching machine part; useful fit depends on the host mechanism.</x:t>
        </x:is>
      </x:c>
      <x:c r="H584" s="4" t="str">
        <x:v>None</x:v>
      </x:c>
      <x:c r="I584" s="4" t="str">
        <x:v>Physical inventory / cargo item; dimensions and packing unresolved</x:v>
      </x:c>
      <x:c r="J584" s="4"/>
      <x:c r="K584" s="4"/>
      <x:c r="L584" s="4" t="str">
        <x:v>Candidate preparation: design.collection.worm_drive_screw. Full inputs are in Crafting browser.</x:v>
      </x:c>
      <x:c r="M584" s="4" t="str">
        <x:v>Candidate workshop or contained preparation route; detailed tools, quantities and conditions unresolved</x:v>
      </x:c>
      <x:c r="N584" s="4" t="str">
        <x:v>Not implemented</x:v>
      </x:c>
      <x:c r="O584" s="4" t="str">
        <x:v>Specific dimensions, yield, fit, performance and service conditions remain open.</x:v>
      </x:c>
      <x:c r="P584" s="4"/>
      <x:c r="Q584" s="4"/>
      <x:c r="R584" s="4"/>
      <x:c r="S584" s="4"/>
      <x:c r="T584" s="4"/>
      <x:c r="U584" s="4" t="str">
        <x:v>Candidate inputs are partial. Resolve tools, supporting materials, energy, recovery and compatibility before recipes become craftable.</x:v>
      </x:c>
      <x:c r="V584" s="4" t="str">
        <x:v>worm drive screw; collection expansion; machine part</x:v>
      </x:c>
      <x:c r="W584" s="4" t="str">
        <x:v>New item proposal, October 15, 2026. Setting reference (source proposal): https://github.com/sleepyseamonster/Arc-Dust/blob/f6f98515c005dc3c73cccd9cbc031691745740c6/02-Arc-Dust-Worldbuilding/world/materials/industrial-material-palette.md</x:v>
      </x:c>
      <x:c r="X584" s="4" t="str">
        <x:v>Machine part</x:v>
      </x:c>
      <x:c r="Y584" s="4" t="str">
        <x:v>Processed intermediate</x:v>
      </x:c>
      <x:c r="Z584" s="4" t="str">
        <x:v>Manufactured / unresolved</x:v>
      </x:c>
      <x:c r="AA584" s="4" t="str">
        <x:v>Machinery repair</x:v>
      </x:c>
      <x:c r="AB584" s="4" t="str">
        <x:v>Metal</x:v>
      </x:c>
      <x:c r="AC584" s="4" t="str">
        <x:v>Solid part</x:v>
      </x:c>
      <x:c r="AD584" s="4" t="str">
        <x:v>Proposal</x:v>
      </x:c>
      <x:c r="AE584" s="4" t="str">
        <x:f>LOWER(A584&amp;"; "&amp;B584&amp;"; "&amp;D584&amp;"; "&amp;E584&amp;"; "&amp;X584&amp;"; "&amp;Y584&amp;"; "&amp;Z584&amp;"; "&amp;AA584&amp;"; "&amp;AB584&amp;"; "&amp;AC584&amp;"; "&amp;AD584&amp;"; "&amp;V584&amp;"; "&amp;C584&amp;"; "&amp;AH584&amp;"; "&amp;AI584)</x:f>
        <x:v>proposal.collection.worm_drive_screw; worm drive screw; crafting components; contemporary machine element; machine part; processed intermediate; manufactured / unresolved; machinery repair; metal; solid part; proposal; worm drive screw; collection expansion; machine part; t3; not applicable; component</x:v>
      </x:c>
      <x:c r="AF584" s="4" t="str">
        <x:v>Collection expansion classification. Distinct type, use and material family; new item proposal unless author direction is marked. October 15 audit: classification/handling clarified; item identity, design status and material tier preserved.</x:v>
      </x:c>
      <x:c r="AG584" s="4" t="str">
        <x:v>Selected candidate processing route places this stock at T3. Raw entry is T0; source rarity does not raise tier.</x:v>
      </x:c>
      <x:c r="AH584" s="4" t="str">
        <x:v>Not applicable</x:v>
      </x:c>
      <x:c r="AI584" s="4" t="str">
        <x:v>Component</x:v>
      </x:c>
      <x:c r="AJ584" s="4" t="n">
        <x:f>COUNTIFS('Material routes'!$D$6:$D$2205,A584,'Material routes'!$C$6:$C$2205,"Output")</x:f>
        <x:v>1</x:v>
      </x:c>
      <x:c r="AK584" s="4" t="n">
        <x:f>SUM(COUNTIFS('Material routes'!$D$6:$D$2205,A584,'Material routes'!$C$6:$C$2205,"Ingredient candidate"),COUNTIFS('Material routes'!$D$6:$D$2205,A584,'Material routes'!$C$6:$C$2205,"Consumed input"),COUNTIFS('Material routes'!$D$6:$D$2205,A584,'Material routes'!$C$6:$C$2205,"Contained input"),COUNTIFS('Material routes'!$D$6:$D$2205,A584,'Material routes'!$C$6:$C$2205,"Transform input"))</x:f>
        <x:v>0</x:v>
      </x:c>
      <x:c r="AL584" s="4" t="n">
        <x:f>COUNTIFS('Material routes'!$D$6:$D$2205,A584,'Material routes'!$C$6:$C$2205,"Tool candidate")</x:f>
        <x:v>0</x:v>
      </x:c>
      <x:c r="AM584" s="4" t="str">
        <x:f>IF(AJ584&gt;0,"Route listed; review status/completeness",IF(C584="T0","Raw entry feed; no production route","No production route listed"))</x:f>
        <x:v>Route listed; review status/completeness</x:v>
      </x:c>
      <x:c r="AN584" s="4" t="n">
        <x:f>IF(C584="T0",0,IF(C584="T1",1,IF(C584="T2",2,IF(C584="T3",3,IF(C584="T4",4,IF(C584="Unassigned",98,99))))))</x:f>
        <x:v>3</x:v>
      </x:c>
      <x:c r="AZ584"/>
      <x:c r="BA584"/>
      <x:c r="BB584"/>
      <x:c r="BC584"/>
      <x:c r="BD584"/>
      <x:c r="BE584"/>
      <x:c r="BF584"/>
      <x:c r="BG584"/>
      <x:c r="BH584"/>
      <x:c r="BI584"/>
      <x:c r="BJ584"/>
      <x:c r="BK584"/>
      <x:c r="BL584"/>
      <x:c r="BM584"/>
      <x:c r="BN584"/>
      <x:c r="BO584"/>
      <x:c r="BP584"/>
      <x:c r="BQ584"/>
      <x:c r="BR584"/>
      <x:c r="BS584"/>
      <x:c r="BT584"/>
      <x:c r="BU584"/>
      <x:c r="BV584"/>
      <x:c r="BW584"/>
      <x:c r="BX584"/>
      <x:c r="BY584"/>
      <x:c r="BZ584"/>
      <x:c r="CA584"/>
      <x:c r="CB584"/>
      <x:c r="CC584"/>
    </x:row>
    <x:row r="585" ht="115" customHeight="1">
      <x:c r="A585" s="4" t="str">
        <x:v>proposal.collection.worm_wheel</x:v>
      </x:c>
      <x:c r="B585" s="4" t="str">
        <x:v>Worm wheel</x:v>
      </x:c>
      <x:c r="C585" s="4" t="str">
        <x:v>T3</x:v>
      </x:c>
      <x:c r="D585" s="4" t="str">
        <x:v>Crafting components</x:v>
      </x:c>
      <x:c r="E585" s="4" t="str">
        <x:v>Contemporary machine element</x:v>
      </x:c>
      <x:c r="F585" s="4" t="str">
        <x:v>New proposal</x:v>
      </x:c>
      <x:c r="G585" s="4" t="inlineStr">
        <x:is>
          <x:t xml:space="preserve">Matched driven wheel for a worm mechanism. It is intended to replace, support or service a matching machine part; useful fit depends on the host mechanism.</x:t>
        </x:is>
      </x:c>
      <x:c r="H585" s="4" t="str">
        <x:v>None</x:v>
      </x:c>
      <x:c r="I585" s="4" t="str">
        <x:v>Physical inventory / cargo item; dimensions and packing unresolved</x:v>
      </x:c>
      <x:c r="J585" s="4"/>
      <x:c r="K585" s="4"/>
      <x:c r="L585" s="4" t="str">
        <x:v>Candidate preparation: design.collection.worm_wheel. Full inputs are in Crafting browser.</x:v>
      </x:c>
      <x:c r="M585" s="4" t="str">
        <x:v>Candidate workshop or contained preparation route; detailed tools, quantities and conditions unresolved</x:v>
      </x:c>
      <x:c r="N585" s="4" t="str">
        <x:v>Not implemented</x:v>
      </x:c>
      <x:c r="O585" s="4" t="str">
        <x:v>Specific dimensions, yield, fit, performance and service conditions remain open.</x:v>
      </x:c>
      <x:c r="P585" s="4"/>
      <x:c r="Q585" s="4"/>
      <x:c r="R585" s="4"/>
      <x:c r="S585" s="4"/>
      <x:c r="T585" s="4"/>
      <x:c r="U585" s="4" t="str">
        <x:v>Candidate inputs are partial. Resolve tools, supporting materials, energy, recovery and compatibility before recipes become craftable.</x:v>
      </x:c>
      <x:c r="V585" s="4" t="str">
        <x:v>worm wheel; collection expansion; machine part</x:v>
      </x:c>
      <x:c r="W585" s="4" t="str">
        <x:v>New item proposal, October 15, 2026. Setting reference (source proposal): https://github.com/sleepyseamonster/Arc-Dust/blob/f6f98515c005dc3c73cccd9cbc031691745740c6/02-Arc-Dust-Worldbuilding/world/materials/industrial-material-palette.md</x:v>
      </x:c>
      <x:c r="X585" s="4" t="str">
        <x:v>Machine part</x:v>
      </x:c>
      <x:c r="Y585" s="4" t="str">
        <x:v>Processed intermediate</x:v>
      </x:c>
      <x:c r="Z585" s="4" t="str">
        <x:v>Manufactured / unresolved</x:v>
      </x:c>
      <x:c r="AA585" s="4" t="str">
        <x:v>Machinery repair</x:v>
      </x:c>
      <x:c r="AB585" s="4" t="str">
        <x:v>Metal</x:v>
      </x:c>
      <x:c r="AC585" s="4" t="str">
        <x:v>Assembly</x:v>
      </x:c>
      <x:c r="AD585" s="4" t="str">
        <x:v>Proposal</x:v>
      </x:c>
      <x:c r="AE585" s="4" t="str">
        <x:f>LOWER(A585&amp;"; "&amp;B585&amp;"; "&amp;D585&amp;"; "&amp;E585&amp;"; "&amp;X585&amp;"; "&amp;Y585&amp;"; "&amp;Z585&amp;"; "&amp;AA585&amp;"; "&amp;AB585&amp;"; "&amp;AC585&amp;"; "&amp;AD585&amp;"; "&amp;V585&amp;"; "&amp;C585&amp;"; "&amp;AH585&amp;"; "&amp;AI585)</x:f>
        <x:v>proposal.collection.worm_wheel; worm wheel; crafting components; contemporary machine element; machine part; processed intermediate; manufactured / unresolved; machinery repair; metal; assembly; proposal; worm wheel; collection expansion; machine part; t3; not applicable; component</x:v>
      </x:c>
      <x:c r="AF585" s="4" t="str">
        <x:v>Collection expansion classification. Distinct type, use and material family; new item proposal unless author direction is marked.</x:v>
      </x:c>
      <x:c r="AG585" s="4" t="str">
        <x:v>Selected candidate processing route places this stock at T3. Raw entry is T0; source rarity does not raise tier.</x:v>
      </x:c>
      <x:c r="AH585" s="4" t="str">
        <x:v>Not applicable</x:v>
      </x:c>
      <x:c r="AI585" s="4" t="str">
        <x:v>Component</x:v>
      </x:c>
      <x:c r="AJ585" s="4" t="n">
        <x:f>COUNTIFS('Material routes'!$D$6:$D$2205,A585,'Material routes'!$C$6:$C$2205,"Output")</x:f>
        <x:v>1</x:v>
      </x:c>
      <x:c r="AK585" s="4" t="n">
        <x:f>SUM(COUNTIFS('Material routes'!$D$6:$D$2205,A585,'Material routes'!$C$6:$C$2205,"Ingredient candidate"),COUNTIFS('Material routes'!$D$6:$D$2205,A585,'Material routes'!$C$6:$C$2205,"Consumed input"),COUNTIFS('Material routes'!$D$6:$D$2205,A585,'Material routes'!$C$6:$C$2205,"Contained input"),COUNTIFS('Material routes'!$D$6:$D$2205,A585,'Material routes'!$C$6:$C$2205,"Transform input"))</x:f>
        <x:v>0</x:v>
      </x:c>
      <x:c r="AL585" s="4" t="n">
        <x:f>COUNTIFS('Material routes'!$D$6:$D$2205,A585,'Material routes'!$C$6:$C$2205,"Tool candidate")</x:f>
        <x:v>0</x:v>
      </x:c>
      <x:c r="AM585" s="4" t="str">
        <x:f>IF(AJ585&gt;0,"Route listed; review status/completeness",IF(C585="T0","Raw entry feed; no production route","No production route listed"))</x:f>
        <x:v>Route listed; review status/completeness</x:v>
      </x:c>
      <x:c r="AN585" s="4" t="n">
        <x:f>IF(C585="T0",0,IF(C585="T1",1,IF(C585="T2",2,IF(C585="T3",3,IF(C585="T4",4,IF(C585="Unassigned",98,99))))))</x:f>
        <x:v>3</x:v>
      </x:c>
      <x:c r="AZ585"/>
      <x:c r="BA585"/>
      <x:c r="BB585"/>
      <x:c r="BC585"/>
      <x:c r="BD585"/>
      <x:c r="BE585"/>
      <x:c r="BF585"/>
      <x:c r="BG585"/>
      <x:c r="BH585"/>
      <x:c r="BI585"/>
      <x:c r="BJ585"/>
      <x:c r="BK585"/>
      <x:c r="BL585"/>
      <x:c r="BM585"/>
      <x:c r="BN585"/>
      <x:c r="BO585"/>
      <x:c r="BP585"/>
      <x:c r="BQ585"/>
      <x:c r="BR585"/>
      <x:c r="BS585"/>
      <x:c r="BT585"/>
      <x:c r="BU585"/>
      <x:c r="BV585"/>
      <x:c r="BW585"/>
      <x:c r="BX585"/>
      <x:c r="BY585"/>
      <x:c r="BZ585"/>
      <x:c r="CA585"/>
      <x:c r="CB585"/>
      <x:c r="CC585"/>
    </x:row>
    <x:row r="586" ht="115" customHeight="1">
      <x:c r="A586" s="4"/>
      <x:c r="B586" s="4"/>
      <x:c r="C586" s="4"/>
      <x:c r="D586" s="4"/>
      <x:c r="E586" s="4"/>
      <x:c r="F586" s="4"/>
      <x:c r="G586" s="4"/>
      <x:c r="H586" s="4"/>
      <x:c r="I586" s="4"/>
      <x:c r="J586" s="4"/>
      <x:c r="K586" s="4"/>
      <x:c r="L586" s="4"/>
      <x:c r="M586" s="4"/>
      <x:c r="N586" s="4"/>
      <x:c r="O586" s="4"/>
      <x:c r="P586" s="4"/>
      <x:c r="Q586" s="4"/>
      <x:c r="R586" s="4"/>
      <x:c r="S586" s="4"/>
      <x:c r="T586" s="4"/>
      <x:c r="U586" s="4"/>
      <x:c r="V586" s="4"/>
      <x:c r="W586" s="4"/>
      <x:c r="X586" s="4"/>
      <x:c r="Y586" s="4"/>
      <x:c r="Z586" s="4"/>
      <x:c r="AA586" s="4"/>
      <x:c r="AB586" s="4"/>
      <x:c r="AC586" s="4"/>
      <x:c r="AD586" s="4"/>
      <x:c r="AE586" s="4"/>
      <x:c r="AF586" s="4"/>
      <x:c r="AG586" s="4"/>
      <x:c r="AH586" s="4"/>
      <x:c r="AI586" s="4"/>
      <x:c r="AJ586" s="4"/>
      <x:c r="AK586" s="4"/>
      <x:c r="AL586" s="4"/>
      <x:c r="AM586" s="4"/>
      <x:c r="AN586" s="4"/>
      <x:c r="AZ586"/>
      <x:c r="BA586"/>
      <x:c r="BB586"/>
      <x:c r="BC586"/>
      <x:c r="BD586"/>
      <x:c r="BE586"/>
      <x:c r="BF586"/>
      <x:c r="BG586"/>
      <x:c r="BH586"/>
      <x:c r="BI586"/>
      <x:c r="BJ586"/>
      <x:c r="BK586"/>
      <x:c r="BL586"/>
      <x:c r="BM586"/>
      <x:c r="BN586"/>
      <x:c r="BO586"/>
      <x:c r="BP586"/>
      <x:c r="BQ586"/>
      <x:c r="BR586"/>
      <x:c r="BS586"/>
      <x:c r="BT586"/>
      <x:c r="BU586"/>
      <x:c r="BV586"/>
      <x:c r="BW586"/>
      <x:c r="BX586"/>
      <x:c r="BY586"/>
      <x:c r="BZ586"/>
      <x:c r="CA586"/>
      <x:c r="CB586"/>
      <x:c r="CC586"/>
    </x:row>
    <x:row r="587" ht="115" customHeight="1">
      <x:c r="A587" s="4" t="str">
        <x:v>proposal.collection.chain_drive_sprocket</x:v>
      </x:c>
      <x:c r="B587" s="4" t="str">
        <x:v>Chain drive sprocket</x:v>
      </x:c>
      <x:c r="C587" s="4" t="str">
        <x:v>T3</x:v>
      </x:c>
      <x:c r="D587" s="4" t="str">
        <x:v>Crafting components</x:v>
      </x:c>
      <x:c r="E587" s="4" t="str">
        <x:v>Contemporary machine element</x:v>
      </x:c>
      <x:c r="F587" s="4" t="str">
        <x:v>New proposal</x:v>
      </x:c>
      <x:c r="G587" s="4" t="inlineStr">
        <x:is>
          <x:t xml:space="preserve">Engages a linked metal drive chain. It is intended to replace, support or service a matching machine part; useful fit depends on the host mechanism.</x:t>
        </x:is>
      </x:c>
      <x:c r="H587" s="4" t="str">
        <x:v>None</x:v>
      </x:c>
      <x:c r="I587" s="4" t="str">
        <x:v>Physical inventory / cargo item; dimensions and packing unresolved</x:v>
      </x:c>
      <x:c r="J587" s="4"/>
      <x:c r="K587" s="4"/>
      <x:c r="L587" s="4" t="str">
        <x:v>Candidate preparation: design.collection.chain_drive_sprocket. Full inputs are in Crafting browser.</x:v>
      </x:c>
      <x:c r="M587" s="4" t="str">
        <x:v>Candidate workshop or contained preparation route; detailed tools, quantities and conditions unresolved</x:v>
      </x:c>
      <x:c r="N587" s="4" t="str">
        <x:v>Not implemented</x:v>
      </x:c>
      <x:c r="O587" s="4" t="str">
        <x:v>Specific dimensions, yield, fit, performance and service conditions remain open.</x:v>
      </x:c>
      <x:c r="P587" s="4"/>
      <x:c r="Q587" s="4"/>
      <x:c r="R587" s="4"/>
      <x:c r="S587" s="4"/>
      <x:c r="T587" s="4"/>
      <x:c r="U587" s="4" t="str">
        <x:v>Candidate inputs are partial. Resolve tools, supporting materials, energy, recovery and compatibility before recipes become craftable.</x:v>
      </x:c>
      <x:c r="V587" s="4" t="str">
        <x:v>chain drive sprocket; collection expansion; machine part</x:v>
      </x:c>
      <x:c r="W587" s="4" t="str">
        <x:v>New item proposal, October 15, 2026. Setting reference (source proposal): https://github.com/sleepyseamonster/Arc-Dust/blob/f6f98515c005dc3c73cccd9cbc031691745740c6/02-Arc-Dust-Worldbuilding/world/materials/industrial-material-palette.md</x:v>
      </x:c>
      <x:c r="X587" s="4" t="str">
        <x:v>Machine part</x:v>
      </x:c>
      <x:c r="Y587" s="4" t="str">
        <x:v>Processed intermediate</x:v>
      </x:c>
      <x:c r="Z587" s="4" t="str">
        <x:v>Manufactured / unresolved</x:v>
      </x:c>
      <x:c r="AA587" s="4" t="str">
        <x:v>Machinery repair</x:v>
      </x:c>
      <x:c r="AB587" s="4" t="str">
        <x:v>Metal</x:v>
      </x:c>
      <x:c r="AC587" s="4" t="str">
        <x:v>Assembly</x:v>
      </x:c>
      <x:c r="AD587" s="4" t="str">
        <x:v>Proposal</x:v>
      </x:c>
      <x:c r="AE587" s="4" t="str">
        <x:f>LOWER(A587&amp;"; "&amp;B587&amp;"; "&amp;D587&amp;"; "&amp;E587&amp;"; "&amp;X587&amp;"; "&amp;Y587&amp;"; "&amp;Z587&amp;"; "&amp;AA587&amp;"; "&amp;AB587&amp;"; "&amp;AC587&amp;"; "&amp;AD587&amp;"; "&amp;V587&amp;"; "&amp;C587&amp;"; "&amp;AH587&amp;"; "&amp;AI587)</x:f>
        <x:v>proposal.collection.chain_drive_sprocket; chain drive sprocket; crafting components; contemporary machine element; machine part; processed intermediate; manufactured / unresolved; machinery repair; metal; assembly; proposal; chain drive sprocket; collection expansion; machine part; t3; not applicable; component</x:v>
      </x:c>
      <x:c r="AF587" s="4" t="str">
        <x:v>Collection expansion classification. Distinct type, use and material family; new item proposal unless author direction is marked.</x:v>
      </x:c>
      <x:c r="AG587" s="4" t="str">
        <x:v>Selected candidate processing route places this stock at T3. Raw entry is T0; source rarity does not raise tier.</x:v>
      </x:c>
      <x:c r="AH587" s="4" t="str">
        <x:v>Not applicable</x:v>
      </x:c>
      <x:c r="AI587" s="4" t="str">
        <x:v>Component</x:v>
      </x:c>
      <x:c r="AJ587" s="4" t="n">
        <x:f>COUNTIFS('Material routes'!$D$6:$D$2205,A587,'Material routes'!$C$6:$C$2205,"Output")</x:f>
        <x:v>1</x:v>
      </x:c>
      <x:c r="AK587" s="4" t="n">
        <x:f>SUM(COUNTIFS('Material routes'!$D$6:$D$2205,A587,'Material routes'!$C$6:$C$2205,"Ingredient candidate"),COUNTIFS('Material routes'!$D$6:$D$2205,A587,'Material routes'!$C$6:$C$2205,"Consumed input"),COUNTIFS('Material routes'!$D$6:$D$2205,A587,'Material routes'!$C$6:$C$2205,"Contained input"),COUNTIFS('Material routes'!$D$6:$D$2205,A587,'Material routes'!$C$6:$C$2205,"Transform input"))</x:f>
        <x:v>0</x:v>
      </x:c>
      <x:c r="AL587" s="4" t="n">
        <x:f>COUNTIFS('Material routes'!$D$6:$D$2205,A587,'Material routes'!$C$6:$C$2205,"Tool candidate")</x:f>
        <x:v>0</x:v>
      </x:c>
      <x:c r="AM587" s="4" t="str">
        <x:f>IF(AJ587&gt;0,"Route listed; review status/completeness",IF(C587="T0","Raw entry feed; no production route","No production route listed"))</x:f>
        <x:v>Route listed; review status/completeness</x:v>
      </x:c>
      <x:c r="AN587" s="4" t="n">
        <x:f>IF(C587="T0",0,IF(C587="T1",1,IF(C587="T2",2,IF(C587="T3",3,IF(C587="T4",4,IF(C587="Unassigned",98,99))))))</x:f>
        <x:v>3</x:v>
      </x:c>
      <x:c r="AZ587"/>
      <x:c r="BA587"/>
      <x:c r="BB587"/>
      <x:c r="BC587"/>
      <x:c r="BD587"/>
      <x:c r="BE587"/>
      <x:c r="BF587"/>
      <x:c r="BG587"/>
      <x:c r="BH587"/>
      <x:c r="BI587"/>
      <x:c r="BJ587"/>
      <x:c r="BK587"/>
      <x:c r="BL587"/>
      <x:c r="BM587"/>
      <x:c r="BN587"/>
      <x:c r="BO587"/>
      <x:c r="BP587"/>
      <x:c r="BQ587"/>
      <x:c r="BR587"/>
      <x:c r="BS587"/>
      <x:c r="BT587"/>
      <x:c r="BU587"/>
      <x:c r="BV587"/>
      <x:c r="BW587"/>
      <x:c r="BX587"/>
      <x:c r="BY587"/>
      <x:c r="BZ587"/>
      <x:c r="CA587"/>
      <x:c r="CB587"/>
      <x:c r="CC587"/>
    </x:row>
    <x:row r="588" ht="115" customHeight="1">
      <x:c r="A588" s="4" t="str">
        <x:v>proposal.collection.split_shaft_coupling</x:v>
      </x:c>
      <x:c r="B588" s="4" t="str">
        <x:v>Split shaft coupling</x:v>
      </x:c>
      <x:c r="C588" s="4" t="str">
        <x:v>T4</x:v>
      </x:c>
      <x:c r="D588" s="4" t="str">
        <x:v>Crafting components</x:v>
      </x:c>
      <x:c r="E588" s="4" t="str">
        <x:v>Contemporary machine element</x:v>
      </x:c>
      <x:c r="F588" s="4" t="str">
        <x:v>New proposal</x:v>
      </x:c>
      <x:c r="G588" s="4" t="inlineStr">
        <x:is>
          <x:t xml:space="preserve">Joins aligned shaft ends for service access. It is intended to replace, support or service a matching machine part; useful fit depends on the host mechanism.</x:t>
        </x:is>
      </x:c>
      <x:c r="H588" s="4" t="str">
        <x:v>None</x:v>
      </x:c>
      <x:c r="I588" s="4" t="str">
        <x:v>Physical inventory / cargo item; dimensions and packing unresolved</x:v>
      </x:c>
      <x:c r="J588" s="4"/>
      <x:c r="K588" s="4"/>
      <x:c r="L588" s="4" t="str">
        <x:v>Candidate preparation: design.collection.split_shaft_coupling. Full inputs are in Crafting browser.</x:v>
      </x:c>
      <x:c r="M588" s="4" t="str">
        <x:v>Candidate workshop or contained preparation route; detailed tools, quantities and conditions unresolved</x:v>
      </x:c>
      <x:c r="N588" s="4" t="str">
        <x:v>Not implemented</x:v>
      </x:c>
      <x:c r="O588" s="4" t="str">
        <x:v>Specific dimensions, yield, fit, performance and service conditions remain open.</x:v>
      </x:c>
      <x:c r="P588" s="4"/>
      <x:c r="Q588" s="4"/>
      <x:c r="R588" s="4"/>
      <x:c r="S588" s="4"/>
      <x:c r="T588" s="4"/>
      <x:c r="U588" s="4" t="str">
        <x:v>Candidate inputs are partial. Resolve tools, supporting materials, energy, recovery and compatibility before recipes become craftable.</x:v>
      </x:c>
      <x:c r="V588" s="4" t="str">
        <x:v>split shaft coupling; collection expansion; machine part</x:v>
      </x:c>
      <x:c r="W588" s="4" t="str">
        <x:v>New item proposal, October 15, 2026. Setting reference (source proposal): https://github.com/sleepyseamonster/Arc-Dust/blob/f6f98515c005dc3c73cccd9cbc031691745740c6/02-Arc-Dust-Worldbuilding/world/materials/industrial-material-palette.md</x:v>
      </x:c>
      <x:c r="X588" s="4" t="str">
        <x:v>Machine part</x:v>
      </x:c>
      <x:c r="Y588" s="4" t="str">
        <x:v>Processed intermediate</x:v>
      </x:c>
      <x:c r="Z588" s="4" t="str">
        <x:v>Manufactured / unresolved</x:v>
      </x:c>
      <x:c r="AA588" s="4" t="str">
        <x:v>Machinery repair</x:v>
      </x:c>
      <x:c r="AB588" s="4" t="str">
        <x:v>Metal</x:v>
      </x:c>
      <x:c r="AC588" s="4" t="str">
        <x:v>Solid part</x:v>
      </x:c>
      <x:c r="AD588" s="4" t="str">
        <x:v>Proposal</x:v>
      </x:c>
      <x:c r="AE588" s="4" t="str">
        <x:f>LOWER(A588&amp;"; "&amp;B588&amp;"; "&amp;D588&amp;"; "&amp;E588&amp;"; "&amp;X588&amp;"; "&amp;Y588&amp;"; "&amp;Z588&amp;"; "&amp;AA588&amp;"; "&amp;AB588&amp;"; "&amp;AC588&amp;"; "&amp;AD588&amp;"; "&amp;V588&amp;"; "&amp;C588&amp;"; "&amp;AH588&amp;"; "&amp;AI588)</x:f>
        <x:v>proposal.collection.split_shaft_coupling; split shaft coupling; crafting components; contemporary machine element; machine part; processed intermediate; manufactured / unresolved; machinery repair; metal; solid part; proposal; split shaft coupling; collection expansion; machine part; t4; not applicable; component</x:v>
      </x:c>
      <x:c r="AF588" s="4" t="str">
        <x:v>Collection expansion classification. Distinct type, use and material family; new item proposal unless author direction is marked. October 15 audit: classification/handling clarified; item identity, design status and material tier preserved.</x:v>
      </x:c>
      <x:c r="AG588" s="4" t="str">
        <x:v>Selected candidate processing route places this stock at T4. Raw entry is T0; source rarity does not raise tier.</x:v>
      </x:c>
      <x:c r="AH588" s="4" t="str">
        <x:v>Not applicable</x:v>
      </x:c>
      <x:c r="AI588" s="4" t="str">
        <x:v>Component</x:v>
      </x:c>
      <x:c r="AJ588" s="4" t="n">
        <x:f>COUNTIFS('Material routes'!$D$6:$D$2205,A588,'Material routes'!$C$6:$C$2205,"Output")</x:f>
        <x:v>1</x:v>
      </x:c>
      <x:c r="AK588" s="4" t="n">
        <x:f>SUM(COUNTIFS('Material routes'!$D$6:$D$2205,A588,'Material routes'!$C$6:$C$2205,"Ingredient candidate"),COUNTIFS('Material routes'!$D$6:$D$2205,A588,'Material routes'!$C$6:$C$2205,"Consumed input"),COUNTIFS('Material routes'!$D$6:$D$2205,A588,'Material routes'!$C$6:$C$2205,"Contained input"),COUNTIFS('Material routes'!$D$6:$D$2205,A588,'Material routes'!$C$6:$C$2205,"Transform input"))</x:f>
        <x:v>0</x:v>
      </x:c>
      <x:c r="AL588" s="4" t="n">
        <x:f>COUNTIFS('Material routes'!$D$6:$D$2205,A588,'Material routes'!$C$6:$C$2205,"Tool candidate")</x:f>
        <x:v>0</x:v>
      </x:c>
      <x:c r="AM588" s="4" t="str">
        <x:f>IF(AJ588&gt;0,"Route listed; review status/completeness",IF(C588="T0","Raw entry feed; no production route","No production route listed"))</x:f>
        <x:v>Route listed; review status/completeness</x:v>
      </x:c>
      <x:c r="AN588" s="4" t="n">
        <x:f>IF(C588="T0",0,IF(C588="T1",1,IF(C588="T2",2,IF(C588="T3",3,IF(C588="T4",4,IF(C588="Unassigned",98,99))))))</x:f>
        <x:v>4</x:v>
      </x:c>
      <x:c r="AZ588"/>
      <x:c r="BA588"/>
      <x:c r="BB588"/>
      <x:c r="BC588"/>
      <x:c r="BD588"/>
      <x:c r="BE588"/>
      <x:c r="BF588"/>
      <x:c r="BG588"/>
      <x:c r="BH588"/>
      <x:c r="BI588"/>
      <x:c r="BJ588"/>
      <x:c r="BK588"/>
      <x:c r="BL588"/>
      <x:c r="BM588"/>
      <x:c r="BN588"/>
      <x:c r="BO588"/>
      <x:c r="BP588"/>
      <x:c r="BQ588"/>
      <x:c r="BR588"/>
      <x:c r="BS588"/>
      <x:c r="BT588"/>
      <x:c r="BU588"/>
      <x:c r="BV588"/>
      <x:c r="BW588"/>
      <x:c r="BX588"/>
      <x:c r="BY588"/>
      <x:c r="BZ588"/>
      <x:c r="CA588"/>
      <x:c r="CB588"/>
      <x:c r="CC588"/>
    </x:row>
    <x:row r="589" ht="115" customHeight="1">
      <x:c r="A589" s="4" t="str">
        <x:v>proposal.collection.keyed_drive_shaft</x:v>
      </x:c>
      <x:c r="B589" s="4" t="str">
        <x:v>Keyed drive shaft</x:v>
      </x:c>
      <x:c r="C589" s="4" t="str">
        <x:v>T3</x:v>
      </x:c>
      <x:c r="D589" s="4" t="str">
        <x:v>Crafting components</x:v>
      </x:c>
      <x:c r="E589" s="4" t="str">
        <x:v>Contemporary machine element</x:v>
      </x:c>
      <x:c r="F589" s="4" t="str">
        <x:v>New proposal</x:v>
      </x:c>
      <x:c r="G589" s="4" t="inlineStr">
        <x:is>
          <x:t xml:space="preserve">Carries rotary torque through a keyed seat. It is intended to replace, support or service a matching machine part; useful fit depends on the host mechanism.</x:t>
        </x:is>
      </x:c>
      <x:c r="H589" s="4" t="str">
        <x:v>None</x:v>
      </x:c>
      <x:c r="I589" s="4" t="str">
        <x:v>Physical inventory / cargo item; dimensions and packing unresolved</x:v>
      </x:c>
      <x:c r="J589" s="4"/>
      <x:c r="K589" s="4"/>
      <x:c r="L589" s="4" t="str">
        <x:v>Candidate preparation: design.collection.keyed_drive_shaft. Full inputs are in Crafting browser.</x:v>
      </x:c>
      <x:c r="M589" s="4" t="str">
        <x:v>Candidate workshop or contained preparation route; detailed tools, quantities and conditions unresolved</x:v>
      </x:c>
      <x:c r="N589" s="4" t="str">
        <x:v>Not implemented</x:v>
      </x:c>
      <x:c r="O589" s="4" t="str">
        <x:v>Specific dimensions, yield, fit, performance and service conditions remain open.</x:v>
      </x:c>
      <x:c r="P589" s="4"/>
      <x:c r="Q589" s="4"/>
      <x:c r="R589" s="4"/>
      <x:c r="S589" s="4"/>
      <x:c r="T589" s="4"/>
      <x:c r="U589" s="4" t="str">
        <x:v>Candidate inputs are partial. Resolve tools, supporting materials, energy, recovery and compatibility before recipes become craftable.</x:v>
      </x:c>
      <x:c r="V589" s="4" t="str">
        <x:v>keyed drive shaft; collection expansion; machine part</x:v>
      </x:c>
      <x:c r="W589" s="4" t="str">
        <x:v>New item proposal, October 15, 2026. Setting reference (source proposal): https://github.com/sleepyseamonster/Arc-Dust/blob/f6f98515c005dc3c73cccd9cbc031691745740c6/02-Arc-Dust-Worldbuilding/world/materials/industrial-material-palette.md</x:v>
      </x:c>
      <x:c r="X589" s="4" t="str">
        <x:v>Machine part</x:v>
      </x:c>
      <x:c r="Y589" s="4" t="str">
        <x:v>Processed intermediate</x:v>
      </x:c>
      <x:c r="Z589" s="4" t="str">
        <x:v>Manufactured / unresolved</x:v>
      </x:c>
      <x:c r="AA589" s="4" t="str">
        <x:v>Machinery repair</x:v>
      </x:c>
      <x:c r="AB589" s="4" t="str">
        <x:v>Metal</x:v>
      </x:c>
      <x:c r="AC589" s="4" t="str">
        <x:v>Solid part</x:v>
      </x:c>
      <x:c r="AD589" s="4" t="str">
        <x:v>Proposal</x:v>
      </x:c>
      <x:c r="AE589" s="4" t="str">
        <x:f>LOWER(A589&amp;"; "&amp;B589&amp;"; "&amp;D589&amp;"; "&amp;E589&amp;"; "&amp;X589&amp;"; "&amp;Y589&amp;"; "&amp;Z589&amp;"; "&amp;AA589&amp;"; "&amp;AB589&amp;"; "&amp;AC589&amp;"; "&amp;AD589&amp;"; "&amp;V589&amp;"; "&amp;C589&amp;"; "&amp;AH589&amp;"; "&amp;AI589)</x:f>
        <x:v>proposal.collection.keyed_drive_shaft; keyed drive shaft; crafting components; contemporary machine element; machine part; processed intermediate; manufactured / unresolved; machinery repair; metal; solid part; proposal; keyed drive shaft; collection expansion; machine part; t3; not applicable; component</x:v>
      </x:c>
      <x:c r="AF589" s="4" t="str">
        <x:v>Collection expansion classification. Distinct type, use and material family; new item proposal unless author direction is marked. October 15 audit: classification/handling clarified; item identity, design status and material tier preserved.</x:v>
      </x:c>
      <x:c r="AG589" s="4" t="str">
        <x:v>Selected candidate processing route places this stock at T3. Raw entry is T0; source rarity does not raise tier.</x:v>
      </x:c>
      <x:c r="AH589" s="4" t="str">
        <x:v>Not applicable</x:v>
      </x:c>
      <x:c r="AI589" s="4" t="str">
        <x:v>Component</x:v>
      </x:c>
      <x:c r="AJ589" s="4" t="n">
        <x:f>COUNTIFS('Material routes'!$D$6:$D$2205,A589,'Material routes'!$C$6:$C$2205,"Output")</x:f>
        <x:v>1</x:v>
      </x:c>
      <x:c r="AK589" s="4" t="n">
        <x:f>SUM(COUNTIFS('Material routes'!$D$6:$D$2205,A589,'Material routes'!$C$6:$C$2205,"Ingredient candidate"),COUNTIFS('Material routes'!$D$6:$D$2205,A589,'Material routes'!$C$6:$C$2205,"Consumed input"),COUNTIFS('Material routes'!$D$6:$D$2205,A589,'Material routes'!$C$6:$C$2205,"Contained input"),COUNTIFS('Material routes'!$D$6:$D$2205,A589,'Material routes'!$C$6:$C$2205,"Transform input"))</x:f>
        <x:v>3</x:v>
      </x:c>
      <x:c r="AL589" s="4" t="n">
        <x:f>COUNTIFS('Material routes'!$D$6:$D$2205,A589,'Material routes'!$C$6:$C$2205,"Tool candidate")</x:f>
        <x:v>0</x:v>
      </x:c>
      <x:c r="AM589" s="4" t="str">
        <x:f>IF(AJ589&gt;0,"Route listed; review status/completeness",IF(C589="T0","Raw entry feed; no production route","No production route listed"))</x:f>
        <x:v>Route listed; review status/completeness</x:v>
      </x:c>
      <x:c r="AN589" s="4" t="n">
        <x:f>IF(C589="T0",0,IF(C589="T1",1,IF(C589="T2",2,IF(C589="T3",3,IF(C589="T4",4,IF(C589="Unassigned",98,99))))))</x:f>
        <x:v>3</x:v>
      </x:c>
      <x:c r="AZ589"/>
      <x:c r="BA589"/>
      <x:c r="BB589"/>
      <x:c r="BC589"/>
      <x:c r="BD589"/>
      <x:c r="BE589"/>
      <x:c r="BF589"/>
      <x:c r="BG589"/>
      <x:c r="BH589"/>
      <x:c r="BI589"/>
      <x:c r="BJ589"/>
      <x:c r="BK589"/>
      <x:c r="BL589"/>
      <x:c r="BM589"/>
      <x:c r="BN589"/>
      <x:c r="BO589"/>
      <x:c r="BP589"/>
      <x:c r="BQ589"/>
      <x:c r="BR589"/>
      <x:c r="BS589"/>
      <x:c r="BT589"/>
      <x:c r="BU589"/>
      <x:c r="BV589"/>
      <x:c r="BW589"/>
      <x:c r="BX589"/>
      <x:c r="BY589"/>
      <x:c r="BZ589"/>
      <x:c r="CA589"/>
      <x:c r="CB589"/>
      <x:c r="CC589"/>
    </x:row>
    <x:row r="590" ht="115" customHeight="1">
      <x:c r="A590" s="4" t="str">
        <x:v>proposal.collection.eccentric_cam_disc</x:v>
      </x:c>
      <x:c r="B590" s="4" t="str">
        <x:v>Eccentric cam disc</x:v>
      </x:c>
      <x:c r="C590" s="4" t="str">
        <x:v>T3</x:v>
      </x:c>
      <x:c r="D590" s="4" t="str">
        <x:v>Crafting components</x:v>
      </x:c>
      <x:c r="E590" s="4" t="str">
        <x:v>Contemporary machine element</x:v>
      </x:c>
      <x:c r="F590" s="4" t="str">
        <x:v>New proposal</x:v>
      </x:c>
      <x:c r="G590" s="4" t="inlineStr">
        <x:is>
          <x:t xml:space="preserve">Produces an offset reciprocating stroke. It is intended to replace, support or service a matching machine part; useful fit depends on the host mechanism.</x:t>
        </x:is>
      </x:c>
      <x:c r="H590" s="4" t="str">
        <x:v>None</x:v>
      </x:c>
      <x:c r="I590" s="4" t="str">
        <x:v>Physical inventory / cargo item; dimensions and packing unresolved</x:v>
      </x:c>
      <x:c r="J590" s="4"/>
      <x:c r="K590" s="4"/>
      <x:c r="L590" s="4" t="str">
        <x:v>Candidate preparation: design.collection.eccentric_cam_disc. Full inputs are in Crafting browser.</x:v>
      </x:c>
      <x:c r="M590" s="4" t="str">
        <x:v>Candidate workshop or contained preparation route; detailed tools, quantities and conditions unresolved</x:v>
      </x:c>
      <x:c r="N590" s="4" t="str">
        <x:v>Not implemented</x:v>
      </x:c>
      <x:c r="O590" s="4" t="str">
        <x:v>Specific dimensions, yield, fit, performance and service conditions remain open.</x:v>
      </x:c>
      <x:c r="P590" s="4"/>
      <x:c r="Q590" s="4"/>
      <x:c r="R590" s="4"/>
      <x:c r="S590" s="4"/>
      <x:c r="T590" s="4"/>
      <x:c r="U590" s="4" t="str">
        <x:v>Candidate inputs are partial. Resolve tools, supporting materials, energy, recovery and compatibility before recipes become craftable.</x:v>
      </x:c>
      <x:c r="V590" s="4" t="str">
        <x:v>eccentric cam disc; collection expansion; machine part</x:v>
      </x:c>
      <x:c r="W590" s="4" t="str">
        <x:v>New item proposal, October 15, 2026. Setting reference (source proposal): https://github.com/sleepyseamonster/Arc-Dust/blob/f6f98515c005dc3c73cccd9cbc031691745740c6/02-Arc-Dust-Worldbuilding/world/materials/industrial-material-palette.md</x:v>
      </x:c>
      <x:c r="X590" s="4" t="str">
        <x:v>Machine part</x:v>
      </x:c>
      <x:c r="Y590" s="4" t="str">
        <x:v>Processed intermediate</x:v>
      </x:c>
      <x:c r="Z590" s="4" t="str">
        <x:v>Manufactured / unresolved</x:v>
      </x:c>
      <x:c r="AA590" s="4" t="str">
        <x:v>Machinery repair</x:v>
      </x:c>
      <x:c r="AB590" s="4" t="str">
        <x:v>Metal</x:v>
      </x:c>
      <x:c r="AC590" s="4" t="str">
        <x:v>Solid part</x:v>
      </x:c>
      <x:c r="AD590" s="4" t="str">
        <x:v>Proposal</x:v>
      </x:c>
      <x:c r="AE590" s="4" t="str">
        <x:f>LOWER(A590&amp;"; "&amp;B590&amp;"; "&amp;D590&amp;"; "&amp;E590&amp;"; "&amp;X590&amp;"; "&amp;Y590&amp;"; "&amp;Z590&amp;"; "&amp;AA590&amp;"; "&amp;AB590&amp;"; "&amp;AC590&amp;"; "&amp;AD590&amp;"; "&amp;V590&amp;"; "&amp;C590&amp;"; "&amp;AH590&amp;"; "&amp;AI590)</x:f>
        <x:v>proposal.collection.eccentric_cam_disc; eccentric cam disc; crafting components; contemporary machine element; machine part; processed intermediate; manufactured / unresolved; machinery repair; metal; solid part; proposal; eccentric cam disc; collection expansion; machine part; t3; not applicable; component</x:v>
      </x:c>
      <x:c r="AF590" s="4" t="str">
        <x:v>Collection expansion classification. Distinct type, use and material family; new item proposal unless author direction is marked. October 15 audit: classification/handling clarified; item identity, design status and material tier preserved.</x:v>
      </x:c>
      <x:c r="AG590" s="4" t="str">
        <x:v>Selected candidate processing route places this stock at T3. Raw entry is T0; source rarity does not raise tier.</x:v>
      </x:c>
      <x:c r="AH590" s="4" t="str">
        <x:v>Not applicable</x:v>
      </x:c>
      <x:c r="AI590" s="4" t="str">
        <x:v>Component</x:v>
      </x:c>
      <x:c r="AJ590" s="4" t="n">
        <x:f>COUNTIFS('Material routes'!$D$6:$D$2205,A590,'Material routes'!$C$6:$C$2205,"Output")</x:f>
        <x:v>1</x:v>
      </x:c>
      <x:c r="AK590" s="4" t="n">
        <x:f>SUM(COUNTIFS('Material routes'!$D$6:$D$2205,A590,'Material routes'!$C$6:$C$2205,"Ingredient candidate"),COUNTIFS('Material routes'!$D$6:$D$2205,A590,'Material routes'!$C$6:$C$2205,"Consumed input"),COUNTIFS('Material routes'!$D$6:$D$2205,A590,'Material routes'!$C$6:$C$2205,"Contained input"),COUNTIFS('Material routes'!$D$6:$D$2205,A590,'Material routes'!$C$6:$C$2205,"Transform input"))</x:f>
        <x:v>0</x:v>
      </x:c>
      <x:c r="AL590" s="4" t="n">
        <x:f>COUNTIFS('Material routes'!$D$6:$D$2205,A590,'Material routes'!$C$6:$C$2205,"Tool candidate")</x:f>
        <x:v>0</x:v>
      </x:c>
      <x:c r="AM590" s="4" t="str">
        <x:f>IF(AJ590&gt;0,"Route listed; review status/completeness",IF(C590="T0","Raw entry feed; no production route","No production route listed"))</x:f>
        <x:v>Route listed; review status/completeness</x:v>
      </x:c>
      <x:c r="AN590" s="4" t="n">
        <x:f>IF(C590="T0",0,IF(C590="T1",1,IF(C590="T2",2,IF(C590="T3",3,IF(C590="T4",4,IF(C590="Unassigned",98,99))))))</x:f>
        <x:v>3</x:v>
      </x:c>
      <x:c r="AZ590"/>
      <x:c r="BA590"/>
      <x:c r="BB590"/>
      <x:c r="BC590"/>
      <x:c r="BD590"/>
      <x:c r="BE590"/>
      <x:c r="BF590"/>
      <x:c r="BG590"/>
      <x:c r="BH590"/>
      <x:c r="BI590"/>
      <x:c r="BJ590"/>
      <x:c r="BK590"/>
      <x:c r="BL590"/>
      <x:c r="BM590"/>
      <x:c r="BN590"/>
      <x:c r="BO590"/>
      <x:c r="BP590"/>
      <x:c r="BQ590"/>
      <x:c r="BR590"/>
      <x:c r="BS590"/>
      <x:c r="BT590"/>
      <x:c r="BU590"/>
      <x:c r="BV590"/>
      <x:c r="BW590"/>
      <x:c r="BX590"/>
      <x:c r="BY590"/>
      <x:c r="BZ590"/>
      <x:c r="CA590"/>
      <x:c r="CB590"/>
      <x:c r="CC590"/>
    </x:row>
    <x:row r="591" ht="115" customHeight="1">
      <x:c r="A591" s="4" t="str">
        <x:v>proposal.collection.cam_follower_roller</x:v>
      </x:c>
      <x:c r="B591" s="4" t="str">
        <x:v>Cam follower roller</x:v>
      </x:c>
      <x:c r="C591" s="4" t="str">
        <x:v>T4</x:v>
      </x:c>
      <x:c r="D591" s="4" t="str">
        <x:v>Crafting components</x:v>
      </x:c>
      <x:c r="E591" s="4" t="str">
        <x:v>Contemporary machine element</x:v>
      </x:c>
      <x:c r="F591" s="4" t="str">
        <x:v>New proposal</x:v>
      </x:c>
      <x:c r="G591" s="4" t="inlineStr">
        <x:is>
          <x:t xml:space="preserve">Tracks a cam with a replaceable contact roller. It is intended to replace, support or service a matching machine part; useful fit depends on the host mechanism.</x:t>
        </x:is>
      </x:c>
      <x:c r="H591" s="4" t="str">
        <x:v>None</x:v>
      </x:c>
      <x:c r="I591" s="4" t="str">
        <x:v>Physical inventory / cargo item; dimensions and packing unresolved</x:v>
      </x:c>
      <x:c r="J591" s="4"/>
      <x:c r="K591" s="4"/>
      <x:c r="L591" s="4" t="str">
        <x:v>Candidate preparation: design.collection.cam_follower_roller. Full inputs are in Crafting browser.</x:v>
      </x:c>
      <x:c r="M591" s="4" t="str">
        <x:v>Candidate workshop or contained preparation route; detailed tools, quantities and conditions unresolved</x:v>
      </x:c>
      <x:c r="N591" s="4" t="str">
        <x:v>Not implemented</x:v>
      </x:c>
      <x:c r="O591" s="4" t="str">
        <x:v>Specific dimensions, yield, fit, performance and service conditions remain open.</x:v>
      </x:c>
      <x:c r="P591" s="4"/>
      <x:c r="Q591" s="4"/>
      <x:c r="R591" s="4"/>
      <x:c r="S591" s="4"/>
      <x:c r="T591" s="4"/>
      <x:c r="U591" s="4" t="str">
        <x:v>Candidate inputs are partial. Resolve tools, supporting materials, energy, recovery and compatibility before recipes become craftable.</x:v>
      </x:c>
      <x:c r="V591" s="4" t="str">
        <x:v>cam follower roller; collection expansion; machine part</x:v>
      </x:c>
      <x:c r="W591" s="4" t="str">
        <x:v>New item proposal, October 15, 2026. Setting reference (source proposal): https://github.com/sleepyseamonster/Arc-Dust/blob/f6f98515c005dc3c73cccd9cbc031691745740c6/02-Arc-Dust-Worldbuilding/world/materials/industrial-material-palette.md</x:v>
      </x:c>
      <x:c r="X591" s="4" t="str">
        <x:v>Machine part</x:v>
      </x:c>
      <x:c r="Y591" s="4" t="str">
        <x:v>Processed intermediate</x:v>
      </x:c>
      <x:c r="Z591" s="4" t="str">
        <x:v>Manufactured / unresolved</x:v>
      </x:c>
      <x:c r="AA591" s="4" t="str">
        <x:v>Machinery repair</x:v>
      </x:c>
      <x:c r="AB591" s="4" t="str">
        <x:v>Metal</x:v>
      </x:c>
      <x:c r="AC591" s="4" t="str">
        <x:v>Assembly</x:v>
      </x:c>
      <x:c r="AD591" s="4" t="str">
        <x:v>Proposal</x:v>
      </x:c>
      <x:c r="AE591" s="4" t="str">
        <x:f>LOWER(A591&amp;"; "&amp;B591&amp;"; "&amp;D591&amp;"; "&amp;E591&amp;"; "&amp;X591&amp;"; "&amp;Y591&amp;"; "&amp;Z591&amp;"; "&amp;AA591&amp;"; "&amp;AB591&amp;"; "&amp;AC591&amp;"; "&amp;AD591&amp;"; "&amp;V591&amp;"; "&amp;C591&amp;"; "&amp;AH591&amp;"; "&amp;AI591)</x:f>
        <x:v>proposal.collection.cam_follower_roller; cam follower roller; crafting components; contemporary machine element; machine part; processed intermediate; manufactured / unresolved; machinery repair; metal; assembly; proposal; cam follower roller; collection expansion; machine part; t4; not applicable; component</x:v>
      </x:c>
      <x:c r="AF591" s="4" t="str">
        <x:v>Collection expansion classification. Distinct type, use and material family; new item proposal unless author direction is marked.</x:v>
      </x:c>
      <x:c r="AG591" s="4" t="str">
        <x:v>Selected candidate processing route places this stock at T4. Raw entry is T0; source rarity does not raise tier.</x:v>
      </x:c>
      <x:c r="AH591" s="4" t="str">
        <x:v>Not applicable</x:v>
      </x:c>
      <x:c r="AI591" s="4" t="str">
        <x:v>Component</x:v>
      </x:c>
      <x:c r="AJ591" s="4" t="n">
        <x:f>COUNTIFS('Material routes'!$D$6:$D$2205,A591,'Material routes'!$C$6:$C$2205,"Output")</x:f>
        <x:v>1</x:v>
      </x:c>
      <x:c r="AK591" s="4" t="n">
        <x:f>SUM(COUNTIFS('Material routes'!$D$6:$D$2205,A591,'Material routes'!$C$6:$C$2205,"Ingredient candidate"),COUNTIFS('Material routes'!$D$6:$D$2205,A591,'Material routes'!$C$6:$C$2205,"Consumed input"),COUNTIFS('Material routes'!$D$6:$D$2205,A591,'Material routes'!$C$6:$C$2205,"Contained input"),COUNTIFS('Material routes'!$D$6:$D$2205,A591,'Material routes'!$C$6:$C$2205,"Transform input"))</x:f>
        <x:v>0</x:v>
      </x:c>
      <x:c r="AL591" s="4" t="n">
        <x:f>COUNTIFS('Material routes'!$D$6:$D$2205,A591,'Material routes'!$C$6:$C$2205,"Tool candidate")</x:f>
        <x:v>0</x:v>
      </x:c>
      <x:c r="AM591" s="4" t="str">
        <x:f>IF(AJ591&gt;0,"Route listed; review status/completeness",IF(C591="T0","Raw entry feed; no production route","No production route listed"))</x:f>
        <x:v>Route listed; review status/completeness</x:v>
      </x:c>
      <x:c r="AN591" s="4" t="n">
        <x:f>IF(C591="T0",0,IF(C591="T1",1,IF(C591="T2",2,IF(C591="T3",3,IF(C591="T4",4,IF(C591="Unassigned",98,99))))))</x:f>
        <x:v>4</x:v>
      </x:c>
      <x:c r="AZ591"/>
      <x:c r="BA591"/>
      <x:c r="BB591"/>
      <x:c r="BC591"/>
      <x:c r="BD591"/>
      <x:c r="BE591"/>
      <x:c r="BF591"/>
      <x:c r="BG591"/>
      <x:c r="BH591"/>
      <x:c r="BI591"/>
      <x:c r="BJ591"/>
      <x:c r="BK591"/>
      <x:c r="BL591"/>
      <x:c r="BM591"/>
      <x:c r="BN591"/>
      <x:c r="BO591"/>
      <x:c r="BP591"/>
      <x:c r="BQ591"/>
      <x:c r="BR591"/>
      <x:c r="BS591"/>
      <x:c r="BT591"/>
      <x:c r="BU591"/>
      <x:c r="BV591"/>
      <x:c r="BW591"/>
      <x:c r="BX591"/>
      <x:c r="BY591"/>
      <x:c r="BZ591"/>
      <x:c r="CA591"/>
      <x:c r="CB591"/>
      <x:c r="CC591"/>
    </x:row>
    <x:row r="592" ht="115" customHeight="1">
      <x:c r="A592" s="4" t="str">
        <x:v>proposal.collection.ratchet_wheel</x:v>
      </x:c>
      <x:c r="B592" s="4" t="str">
        <x:v>Ratchet wheel</x:v>
      </x:c>
      <x:c r="C592" s="4" t="str">
        <x:v>T3</x:v>
      </x:c>
      <x:c r="D592" s="4" t="str">
        <x:v>Crafting components</x:v>
      </x:c>
      <x:c r="E592" s="4" t="str">
        <x:v>Contemporary machine element</x:v>
      </x:c>
      <x:c r="F592" s="4" t="str">
        <x:v>New proposal</x:v>
      </x:c>
      <x:c r="G592" s="4" t="inlineStr">
        <x:is>
          <x:t xml:space="preserve">Provides indexed one-way motion. It is intended to replace, support or service a matching machine part; useful fit depends on the host mechanism.</x:t>
        </x:is>
      </x:c>
      <x:c r="H592" s="4" t="str">
        <x:v>None</x:v>
      </x:c>
      <x:c r="I592" s="4" t="str">
        <x:v>Physical inventory / cargo item; dimensions and packing unresolved</x:v>
      </x:c>
      <x:c r="J592" s="4"/>
      <x:c r="K592" s="4"/>
      <x:c r="L592" s="4" t="str">
        <x:v>Candidate preparation: design.collection.ratchet_wheel. Full inputs are in Crafting browser.</x:v>
      </x:c>
      <x:c r="M592" s="4" t="str">
        <x:v>Candidate workshop or contained preparation route; detailed tools, quantities and conditions unresolved</x:v>
      </x:c>
      <x:c r="N592" s="4" t="str">
        <x:v>Not implemented</x:v>
      </x:c>
      <x:c r="O592" s="4" t="str">
        <x:v>Specific dimensions, yield, fit, performance and service conditions remain open.</x:v>
      </x:c>
      <x:c r="P592" s="4"/>
      <x:c r="Q592" s="4"/>
      <x:c r="R592" s="4"/>
      <x:c r="S592" s="4"/>
      <x:c r="T592" s="4"/>
      <x:c r="U592" s="4" t="str">
        <x:v>Candidate inputs are partial. Resolve tools, supporting materials, energy, recovery and compatibility before recipes become craftable.</x:v>
      </x:c>
      <x:c r="V592" s="4" t="str">
        <x:v>ratchet wheel; collection expansion; machine part</x:v>
      </x:c>
      <x:c r="W592" s="4" t="str">
        <x:v>New item proposal, October 15, 2026. Setting reference (source proposal): https://github.com/sleepyseamonster/Arc-Dust/blob/f6f98515c005dc3c73cccd9cbc031691745740c6/02-Arc-Dust-Worldbuilding/world/materials/industrial-material-palette.md</x:v>
      </x:c>
      <x:c r="X592" s="4" t="str">
        <x:v>Machine part</x:v>
      </x:c>
      <x:c r="Y592" s="4" t="str">
        <x:v>Processed intermediate</x:v>
      </x:c>
      <x:c r="Z592" s="4" t="str">
        <x:v>Manufactured / unresolved</x:v>
      </x:c>
      <x:c r="AA592" s="4" t="str">
        <x:v>Machinery repair</x:v>
      </x:c>
      <x:c r="AB592" s="4" t="str">
        <x:v>Metal</x:v>
      </x:c>
      <x:c r="AC592" s="4" t="str">
        <x:v>Assembly</x:v>
      </x:c>
      <x:c r="AD592" s="4" t="str">
        <x:v>Proposal</x:v>
      </x:c>
      <x:c r="AE592" s="4" t="str">
        <x:f>LOWER(A592&amp;"; "&amp;B592&amp;"; "&amp;D592&amp;"; "&amp;E592&amp;"; "&amp;X592&amp;"; "&amp;Y592&amp;"; "&amp;Z592&amp;"; "&amp;AA592&amp;"; "&amp;AB592&amp;"; "&amp;AC592&amp;"; "&amp;AD592&amp;"; "&amp;V592&amp;"; "&amp;C592&amp;"; "&amp;AH592&amp;"; "&amp;AI592)</x:f>
        <x:v>proposal.collection.ratchet_wheel; ratchet wheel; crafting components; contemporary machine element; machine part; processed intermediate; manufactured / unresolved; machinery repair; metal; assembly; proposal; ratchet wheel; collection expansion; machine part; t3; not applicable; component</x:v>
      </x:c>
      <x:c r="AF592" s="4" t="str">
        <x:v>Collection expansion classification. Distinct type, use and material family; new item proposal unless author direction is marked.</x:v>
      </x:c>
      <x:c r="AG592" s="4" t="str">
        <x:v>Selected candidate processing route places this stock at T3. Raw entry is T0; source rarity does not raise tier.</x:v>
      </x:c>
      <x:c r="AH592" s="4" t="str">
        <x:v>Not applicable</x:v>
      </x:c>
      <x:c r="AI592" s="4" t="str">
        <x:v>Component</x:v>
      </x:c>
      <x:c r="AJ592" s="4" t="n">
        <x:f>COUNTIFS('Material routes'!$D$6:$D$2205,A592,'Material routes'!$C$6:$C$2205,"Output")</x:f>
        <x:v>1</x:v>
      </x:c>
      <x:c r="AK592" s="4" t="n">
        <x:f>SUM(COUNTIFS('Material routes'!$D$6:$D$2205,A592,'Material routes'!$C$6:$C$2205,"Ingredient candidate"),COUNTIFS('Material routes'!$D$6:$D$2205,A592,'Material routes'!$C$6:$C$2205,"Consumed input"),COUNTIFS('Material routes'!$D$6:$D$2205,A592,'Material routes'!$C$6:$C$2205,"Contained input"),COUNTIFS('Material routes'!$D$6:$D$2205,A592,'Material routes'!$C$6:$C$2205,"Transform input"))</x:f>
        <x:v>2</x:v>
      </x:c>
      <x:c r="AL592" s="4" t="n">
        <x:f>COUNTIFS('Material routes'!$D$6:$D$2205,A592,'Material routes'!$C$6:$C$2205,"Tool candidate")</x:f>
        <x:v>0</x:v>
      </x:c>
      <x:c r="AM592" s="4" t="str">
        <x:f>IF(AJ592&gt;0,"Route listed; review status/completeness",IF(C592="T0","Raw entry feed; no production route","No production route listed"))</x:f>
        <x:v>Route listed; review status/completeness</x:v>
      </x:c>
      <x:c r="AN592" s="4" t="n">
        <x:f>IF(C592="T0",0,IF(C592="T1",1,IF(C592="T2",2,IF(C592="T3",3,IF(C592="T4",4,IF(C592="Unassigned",98,99))))))</x:f>
        <x:v>3</x:v>
      </x:c>
      <x:c r="AZ592"/>
      <x:c r="BA592"/>
      <x:c r="BB592"/>
      <x:c r="BC592"/>
      <x:c r="BD592"/>
      <x:c r="BE592"/>
      <x:c r="BF592"/>
      <x:c r="BG592"/>
      <x:c r="BH592"/>
      <x:c r="BI592"/>
      <x:c r="BJ592"/>
      <x:c r="BK592"/>
      <x:c r="BL592"/>
      <x:c r="BM592"/>
      <x:c r="BN592"/>
      <x:c r="BO592"/>
      <x:c r="BP592"/>
      <x:c r="BQ592"/>
      <x:c r="BR592"/>
      <x:c r="BS592"/>
      <x:c r="BT592"/>
      <x:c r="BU592"/>
      <x:c r="BV592"/>
      <x:c r="BW592"/>
      <x:c r="BX592"/>
      <x:c r="BY592"/>
      <x:c r="BZ592"/>
      <x:c r="CA592"/>
      <x:c r="CB592"/>
      <x:c r="CC592"/>
    </x:row>
    <x:row r="593" ht="115" customHeight="1">
      <x:c r="A593" s="4" t="str">
        <x:v>proposal.collection.ratchet_pawl</x:v>
      </x:c>
      <x:c r="B593" s="4" t="str">
        <x:v>Ratchet pawl</x:v>
      </x:c>
      <x:c r="C593" s="4" t="str">
        <x:v>T4</x:v>
      </x:c>
      <x:c r="D593" s="4" t="str">
        <x:v>Crafting components</x:v>
      </x:c>
      <x:c r="E593" s="4" t="str">
        <x:v>Contemporary machine element</x:v>
      </x:c>
      <x:c r="F593" s="4" t="str">
        <x:v>New proposal</x:v>
      </x:c>
      <x:c r="G593" s="4" t="inlineStr">
        <x:is>
          <x:t xml:space="preserve">Retains a ratchet wheel between strokes. It is intended to replace, support or service a matching machine part; useful fit depends on the host mechanism.</x:t>
        </x:is>
      </x:c>
      <x:c r="H593" s="4" t="str">
        <x:v>None</x:v>
      </x:c>
      <x:c r="I593" s="4" t="str">
        <x:v>Physical inventory / cargo item; dimensions and packing unresolved</x:v>
      </x:c>
      <x:c r="J593" s="4"/>
      <x:c r="K593" s="4"/>
      <x:c r="L593" s="4" t="str">
        <x:v>Candidate preparation: design.collection.ratchet_pawl. Full inputs are in Crafting browser.</x:v>
      </x:c>
      <x:c r="M593" s="4" t="str">
        <x:v>Candidate workshop or contained preparation route; detailed tools, quantities and conditions unresolved</x:v>
      </x:c>
      <x:c r="N593" s="4" t="str">
        <x:v>Not implemented</x:v>
      </x:c>
      <x:c r="O593" s="4" t="str">
        <x:v>Specific dimensions, yield, fit, performance and service conditions remain open.</x:v>
      </x:c>
      <x:c r="P593" s="4"/>
      <x:c r="Q593" s="4"/>
      <x:c r="R593" s="4"/>
      <x:c r="S593" s="4"/>
      <x:c r="T593" s="4"/>
      <x:c r="U593" s="4" t="str">
        <x:v>Candidate inputs are partial. Resolve tools, supporting materials, energy, recovery and compatibility before recipes become craftable.</x:v>
      </x:c>
      <x:c r="V593" s="4" t="str">
        <x:v>ratchet pawl; collection expansion; machine part</x:v>
      </x:c>
      <x:c r="W593" s="4" t="str">
        <x:v>New item proposal, October 15, 2026. Setting reference (source proposal): https://github.com/sleepyseamonster/Arc-Dust/blob/f6f98515c005dc3c73cccd9cbc031691745740c6/02-Arc-Dust-Worldbuilding/world/materials/industrial-material-palette.md</x:v>
      </x:c>
      <x:c r="X593" s="4" t="str">
        <x:v>Machine part</x:v>
      </x:c>
      <x:c r="Y593" s="4" t="str">
        <x:v>Processed intermediate</x:v>
      </x:c>
      <x:c r="Z593" s="4" t="str">
        <x:v>Manufactured / unresolved</x:v>
      </x:c>
      <x:c r="AA593" s="4" t="str">
        <x:v>Machinery repair</x:v>
      </x:c>
      <x:c r="AB593" s="4" t="str">
        <x:v>Metal</x:v>
      </x:c>
      <x:c r="AC593" s="4" t="str">
        <x:v>Assembly</x:v>
      </x:c>
      <x:c r="AD593" s="4" t="str">
        <x:v>Proposal</x:v>
      </x:c>
      <x:c r="AE593" s="4" t="str">
        <x:f>LOWER(A593&amp;"; "&amp;B593&amp;"; "&amp;D593&amp;"; "&amp;E593&amp;"; "&amp;X593&amp;"; "&amp;Y593&amp;"; "&amp;Z593&amp;"; "&amp;AA593&amp;"; "&amp;AB593&amp;"; "&amp;AC593&amp;"; "&amp;AD593&amp;"; "&amp;V593&amp;"; "&amp;C593&amp;"; "&amp;AH593&amp;"; "&amp;AI593)</x:f>
        <x:v>proposal.collection.ratchet_pawl; ratchet pawl; crafting components; contemporary machine element; machine part; processed intermediate; manufactured / unresolved; machinery repair; metal; assembly; proposal; ratchet pawl; collection expansion; machine part; t4; not applicable; component</x:v>
      </x:c>
      <x:c r="AF593" s="4" t="str">
        <x:v>Collection expansion classification. Distinct type, use and material family; new item proposal unless author direction is marked.</x:v>
      </x:c>
      <x:c r="AG593" s="4" t="str">
        <x:v>Selected candidate processing route places this stock at T4. Raw entry is T0; source rarity does not raise tier.</x:v>
      </x:c>
      <x:c r="AH593" s="4" t="str">
        <x:v>Not applicable</x:v>
      </x:c>
      <x:c r="AI593" s="4" t="str">
        <x:v>Component</x:v>
      </x:c>
      <x:c r="AJ593" s="4" t="n">
        <x:f>COUNTIFS('Material routes'!$D$6:$D$2205,A593,'Material routes'!$C$6:$C$2205,"Output")</x:f>
        <x:v>1</x:v>
      </x:c>
      <x:c r="AK593" s="4" t="n">
        <x:f>SUM(COUNTIFS('Material routes'!$D$6:$D$2205,A593,'Material routes'!$C$6:$C$2205,"Ingredient candidate"),COUNTIFS('Material routes'!$D$6:$D$2205,A593,'Material routes'!$C$6:$C$2205,"Consumed input"),COUNTIFS('Material routes'!$D$6:$D$2205,A593,'Material routes'!$C$6:$C$2205,"Contained input"),COUNTIFS('Material routes'!$D$6:$D$2205,A593,'Material routes'!$C$6:$C$2205,"Transform input"))</x:f>
        <x:v>4</x:v>
      </x:c>
      <x:c r="AL593" s="4" t="n">
        <x:f>COUNTIFS('Material routes'!$D$6:$D$2205,A593,'Material routes'!$C$6:$C$2205,"Tool candidate")</x:f>
        <x:v>0</x:v>
      </x:c>
      <x:c r="AM593" s="4" t="str">
        <x:f>IF(AJ593&gt;0,"Route listed; review status/completeness",IF(C593="T0","Raw entry feed; no production route","No production route listed"))</x:f>
        <x:v>Route listed; review status/completeness</x:v>
      </x:c>
      <x:c r="AN593" s="4" t="n">
        <x:f>IF(C593="T0",0,IF(C593="T1",1,IF(C593="T2",2,IF(C593="T3",3,IF(C593="T4",4,IF(C593="Unassigned",98,99))))))</x:f>
        <x:v>4</x:v>
      </x:c>
      <x:c r="AZ593"/>
      <x:c r="BA593"/>
      <x:c r="BB593"/>
      <x:c r="BC593"/>
      <x:c r="BD593"/>
      <x:c r="BE593"/>
      <x:c r="BF593"/>
      <x:c r="BG593"/>
      <x:c r="BH593"/>
      <x:c r="BI593"/>
      <x:c r="BJ593"/>
      <x:c r="BK593"/>
      <x:c r="BL593"/>
      <x:c r="BM593"/>
      <x:c r="BN593"/>
      <x:c r="BO593"/>
      <x:c r="BP593"/>
      <x:c r="BQ593"/>
      <x:c r="BR593"/>
      <x:c r="BS593"/>
      <x:c r="BT593"/>
      <x:c r="BU593"/>
      <x:c r="BV593"/>
      <x:c r="BW593"/>
      <x:c r="BX593"/>
      <x:c r="BY593"/>
      <x:c r="BZ593"/>
      <x:c r="CA593"/>
      <x:c r="CB593"/>
      <x:c r="CC593"/>
    </x:row>
    <x:row r="594" ht="115" customHeight="1">
      <x:c r="A594" s="4" t="str">
        <x:v>proposal.collection.helical_return_spring</x:v>
      </x:c>
      <x:c r="B594" s="4" t="str">
        <x:v>Helical return spring</x:v>
      </x:c>
      <x:c r="C594" s="4" t="str">
        <x:v>T4</x:v>
      </x:c>
      <x:c r="D594" s="4" t="str">
        <x:v>Crafting components</x:v>
      </x:c>
      <x:c r="E594" s="4" t="str">
        <x:v>Contemporary machine element</x:v>
      </x:c>
      <x:c r="F594" s="4" t="str">
        <x:v>New proposal</x:v>
      </x:c>
      <x:c r="G594" s="4" t="inlineStr">
        <x:is>
          <x:t xml:space="preserve">Stores return force in a compact mechanism. It is intended to replace, support or service a matching machine part; useful fit depends on the host mechanism.</x:t>
        </x:is>
      </x:c>
      <x:c r="H594" s="4" t="str">
        <x:v>None</x:v>
      </x:c>
      <x:c r="I594" s="4" t="str">
        <x:v>Physical inventory / cargo item; dimensions and packing unresolved</x:v>
      </x:c>
      <x:c r="J594" s="4"/>
      <x:c r="K594" s="4"/>
      <x:c r="L594" s="4" t="str">
        <x:v>Candidate preparation: design.collection.helical_return_spring. Full inputs are in Crafting browser.</x:v>
      </x:c>
      <x:c r="M594" s="4" t="str">
        <x:v>Candidate workshop or contained preparation route; detailed tools, quantities and conditions unresolved</x:v>
      </x:c>
      <x:c r="N594" s="4" t="str">
        <x:v>Not implemented</x:v>
      </x:c>
      <x:c r="O594" s="4" t="str">
        <x:v>Specific dimensions, yield, fit, performance and service conditions remain open.</x:v>
      </x:c>
      <x:c r="P594" s="4"/>
      <x:c r="Q594" s="4"/>
      <x:c r="R594" s="4"/>
      <x:c r="S594" s="4"/>
      <x:c r="T594" s="4"/>
      <x:c r="U594" s="4" t="str">
        <x:v>Candidate inputs are partial. Resolve tools, supporting materials, energy, recovery and compatibility before recipes become craftable.</x:v>
      </x:c>
      <x:c r="V594" s="4" t="str">
        <x:v>helical return spring; collection expansion; machine part</x:v>
      </x:c>
      <x:c r="W594" s="4" t="str">
        <x:v>New item proposal, October 15, 2026. Setting reference (source proposal): https://github.com/sleepyseamonster/Arc-Dust/blob/f6f98515c005dc3c73cccd9cbc031691745740c6/02-Arc-Dust-Worldbuilding/world/materials/industrial-material-palette.md</x:v>
      </x:c>
      <x:c r="X594" s="4" t="str">
        <x:v>Machine part</x:v>
      </x:c>
      <x:c r="Y594" s="4" t="str">
        <x:v>Processed intermediate</x:v>
      </x:c>
      <x:c r="Z594" s="4" t="str">
        <x:v>Manufactured / unresolved</x:v>
      </x:c>
      <x:c r="AA594" s="4" t="str">
        <x:v>Machinery repair</x:v>
      </x:c>
      <x:c r="AB594" s="4" t="str">
        <x:v>Metal</x:v>
      </x:c>
      <x:c r="AC594" s="4" t="str">
        <x:v>Assembly</x:v>
      </x:c>
      <x:c r="AD594" s="4" t="str">
        <x:v>Proposal</x:v>
      </x:c>
      <x:c r="AE594" s="4" t="str">
        <x:f>LOWER(A594&amp;"; "&amp;B594&amp;"; "&amp;D594&amp;"; "&amp;E594&amp;"; "&amp;X594&amp;"; "&amp;Y594&amp;"; "&amp;Z594&amp;"; "&amp;AA594&amp;"; "&amp;AB594&amp;"; "&amp;AC594&amp;"; "&amp;AD594&amp;"; "&amp;V594&amp;"; "&amp;C594&amp;"; "&amp;AH594&amp;"; "&amp;AI594)</x:f>
        <x:v>proposal.collection.helical_return_spring; helical return spring; crafting components; contemporary machine element; machine part; processed intermediate; manufactured / unresolved; machinery repair; metal; assembly; proposal; helical return spring; collection expansion; machine part; t4; not applicable; component</x:v>
      </x:c>
      <x:c r="AF594" s="4" t="str">
        <x:v>Collection expansion classification. Distinct type, use and material family; new item proposal unless author direction is marked.</x:v>
      </x:c>
      <x:c r="AG594" s="4" t="str">
        <x:v>Selected candidate processing route places this stock at T4. Raw entry is T0; source rarity does not raise tier.</x:v>
      </x:c>
      <x:c r="AH594" s="4" t="str">
        <x:v>Not applicable</x:v>
      </x:c>
      <x:c r="AI594" s="4" t="str">
        <x:v>Component</x:v>
      </x:c>
      <x:c r="AJ594" s="4" t="n">
        <x:f>COUNTIFS('Material routes'!$D$6:$D$2205,A594,'Material routes'!$C$6:$C$2205,"Output")</x:f>
        <x:v>1</x:v>
      </x:c>
      <x:c r="AK594" s="4" t="n">
        <x:f>SUM(COUNTIFS('Material routes'!$D$6:$D$2205,A594,'Material routes'!$C$6:$C$2205,"Ingredient candidate"),COUNTIFS('Material routes'!$D$6:$D$2205,A594,'Material routes'!$C$6:$C$2205,"Consumed input"),COUNTIFS('Material routes'!$D$6:$D$2205,A594,'Material routes'!$C$6:$C$2205,"Contained input"),COUNTIFS('Material routes'!$D$6:$D$2205,A594,'Material routes'!$C$6:$C$2205,"Transform input"))</x:f>
        <x:v>2</x:v>
      </x:c>
      <x:c r="AL594" s="4" t="n">
        <x:f>COUNTIFS('Material routes'!$D$6:$D$2205,A594,'Material routes'!$C$6:$C$2205,"Tool candidate")</x:f>
        <x:v>0</x:v>
      </x:c>
      <x:c r="AM594" s="4" t="str">
        <x:f>IF(AJ594&gt;0,"Route listed; review status/completeness",IF(C594="T0","Raw entry feed; no production route","No production route listed"))</x:f>
        <x:v>Route listed; review status/completeness</x:v>
      </x:c>
      <x:c r="AN594" s="4" t="n">
        <x:f>IF(C594="T0",0,IF(C594="T1",1,IF(C594="T2",2,IF(C594="T3",3,IF(C594="T4",4,IF(C594="Unassigned",98,99))))))</x:f>
        <x:v>4</x:v>
      </x:c>
      <x:c r="AZ594"/>
      <x:c r="BA594"/>
      <x:c r="BB594"/>
      <x:c r="BC594"/>
      <x:c r="BD594"/>
      <x:c r="BE594"/>
      <x:c r="BF594"/>
      <x:c r="BG594"/>
      <x:c r="BH594"/>
      <x:c r="BI594"/>
      <x:c r="BJ594"/>
      <x:c r="BK594"/>
      <x:c r="BL594"/>
      <x:c r="BM594"/>
      <x:c r="BN594"/>
      <x:c r="BO594"/>
      <x:c r="BP594"/>
      <x:c r="BQ594"/>
      <x:c r="BR594"/>
      <x:c r="BS594"/>
      <x:c r="BT594"/>
      <x:c r="BU594"/>
      <x:c r="BV594"/>
      <x:c r="BW594"/>
      <x:c r="BX594"/>
      <x:c r="BY594"/>
      <x:c r="BZ594"/>
      <x:c r="CA594"/>
      <x:c r="CB594"/>
      <x:c r="CC594"/>
    </x:row>
    <x:row r="595" ht="115" customHeight="1">
      <x:c r="A595" s="4" t="str">
        <x:v>proposal.collection.flat_spiral_clock_spring</x:v>
      </x:c>
      <x:c r="B595" s="4" t="str">
        <x:v>Flat spiral clock spring</x:v>
      </x:c>
      <x:c r="C595" s="4" t="str">
        <x:v>T4</x:v>
      </x:c>
      <x:c r="D595" s="4" t="str">
        <x:v>Crafting components</x:v>
      </x:c>
      <x:c r="E595" s="4" t="str">
        <x:v>Contemporary machine element</x:v>
      </x:c>
      <x:c r="F595" s="4" t="str">
        <x:v>New proposal</x:v>
      </x:c>
      <x:c r="G595" s="4" t="inlineStr">
        <x:is>
          <x:t xml:space="preserve">Stores a wound mechanical charge. It is intended to replace, support or service a matching machine part; useful fit depends on the host mechanism.</x:t>
        </x:is>
      </x:c>
      <x:c r="H595" s="4" t="str">
        <x:v>None</x:v>
      </x:c>
      <x:c r="I595" s="4" t="str">
        <x:v>Physical inventory / cargo item; dimensions and packing unresolved</x:v>
      </x:c>
      <x:c r="J595" s="4"/>
      <x:c r="K595" s="4"/>
      <x:c r="L595" s="4" t="str">
        <x:v>Candidate preparation: design.collection.flat_spiral_clock_spring. Full inputs are in Crafting browser.</x:v>
      </x:c>
      <x:c r="M595" s="4" t="str">
        <x:v>Candidate workshop or contained preparation route; detailed tools, quantities and conditions unresolved</x:v>
      </x:c>
      <x:c r="N595" s="4" t="str">
        <x:v>Not implemented</x:v>
      </x:c>
      <x:c r="O595" s="4" t="str">
        <x:v>Specific dimensions, yield, fit, performance and service conditions remain open.</x:v>
      </x:c>
      <x:c r="P595" s="4"/>
      <x:c r="Q595" s="4"/>
      <x:c r="R595" s="4"/>
      <x:c r="S595" s="4"/>
      <x:c r="T595" s="4"/>
      <x:c r="U595" s="4" t="str">
        <x:v>Candidate inputs are partial. Resolve tools, supporting materials, energy, recovery and compatibility before recipes become craftable.</x:v>
      </x:c>
      <x:c r="V595" s="4" t="str">
        <x:v>flat spiral clock spring; collection expansion; machine part</x:v>
      </x:c>
      <x:c r="W595" s="4" t="str">
        <x:v>New item proposal, October 15, 2026. Setting reference (source proposal): https://github.com/sleepyseamonster/Arc-Dust/blob/f6f98515c005dc3c73cccd9cbc031691745740c6/02-Arc-Dust-Worldbuilding/world/materials/industrial-material-palette.md</x:v>
      </x:c>
      <x:c r="X595" s="4" t="str">
        <x:v>Machine part</x:v>
      </x:c>
      <x:c r="Y595" s="4" t="str">
        <x:v>Processed intermediate</x:v>
      </x:c>
      <x:c r="Z595" s="4" t="str">
        <x:v>Manufactured / unresolved</x:v>
      </x:c>
      <x:c r="AA595" s="4" t="str">
        <x:v>Machinery repair</x:v>
      </x:c>
      <x:c r="AB595" s="4" t="str">
        <x:v>Metal</x:v>
      </x:c>
      <x:c r="AC595" s="4" t="str">
        <x:v>Assembly</x:v>
      </x:c>
      <x:c r="AD595" s="4" t="str">
        <x:v>Proposal</x:v>
      </x:c>
      <x:c r="AE595" s="4" t="str">
        <x:f>LOWER(A595&amp;"; "&amp;B595&amp;"; "&amp;D595&amp;"; "&amp;E595&amp;"; "&amp;X595&amp;"; "&amp;Y595&amp;"; "&amp;Z595&amp;"; "&amp;AA595&amp;"; "&amp;AB595&amp;"; "&amp;AC595&amp;"; "&amp;AD595&amp;"; "&amp;V595&amp;"; "&amp;C595&amp;"; "&amp;AH595&amp;"; "&amp;AI595)</x:f>
        <x:v>proposal.collection.flat_spiral_clock_spring; flat spiral clock spring; crafting components; contemporary machine element; machine part; processed intermediate; manufactured / unresolved; machinery repair; metal; assembly; proposal; flat spiral clock spring; collection expansion; machine part; t4; not applicable; component</x:v>
      </x:c>
      <x:c r="AF595" s="4" t="str">
        <x:v>Collection expansion classification. Distinct type, use and material family; new item proposal unless author direction is marked.</x:v>
      </x:c>
      <x:c r="AG595" s="4" t="str">
        <x:v>Selected candidate processing route places this stock at T4. Raw entry is T0; source rarity does not raise tier.</x:v>
      </x:c>
      <x:c r="AH595" s="4" t="str">
        <x:v>Not applicable</x:v>
      </x:c>
      <x:c r="AI595" s="4" t="str">
        <x:v>Component</x:v>
      </x:c>
      <x:c r="AJ595" s="4" t="n">
        <x:f>COUNTIFS('Material routes'!$D$6:$D$2205,A595,'Material routes'!$C$6:$C$2205,"Output")</x:f>
        <x:v>1</x:v>
      </x:c>
      <x:c r="AK595" s="4" t="n">
        <x:f>SUM(COUNTIFS('Material routes'!$D$6:$D$2205,A595,'Material routes'!$C$6:$C$2205,"Ingredient candidate"),COUNTIFS('Material routes'!$D$6:$D$2205,A595,'Material routes'!$C$6:$C$2205,"Consumed input"),COUNTIFS('Material routes'!$D$6:$D$2205,A595,'Material routes'!$C$6:$C$2205,"Contained input"),COUNTIFS('Material routes'!$D$6:$D$2205,A595,'Material routes'!$C$6:$C$2205,"Transform input"))</x:f>
        <x:v>1</x:v>
      </x:c>
      <x:c r="AL595" s="4" t="n">
        <x:f>COUNTIFS('Material routes'!$D$6:$D$2205,A595,'Material routes'!$C$6:$C$2205,"Tool candidate")</x:f>
        <x:v>0</x:v>
      </x:c>
      <x:c r="AM595" s="4" t="str">
        <x:f>IF(AJ595&gt;0,"Route listed; review status/completeness",IF(C595="T0","Raw entry feed; no production route","No production route listed"))</x:f>
        <x:v>Route listed; review status/completeness</x:v>
      </x:c>
      <x:c r="AN595" s="4" t="n">
        <x:f>IF(C595="T0",0,IF(C595="T1",1,IF(C595="T2",2,IF(C595="T3",3,IF(C595="T4",4,IF(C595="Unassigned",98,99))))))</x:f>
        <x:v>4</x:v>
      </x:c>
      <x:c r="AZ595"/>
      <x:c r="BA595"/>
      <x:c r="BB595"/>
      <x:c r="BC595"/>
      <x:c r="BD595"/>
      <x:c r="BE595"/>
      <x:c r="BF595"/>
      <x:c r="BG595"/>
      <x:c r="BH595"/>
      <x:c r="BI595"/>
      <x:c r="BJ595"/>
      <x:c r="BK595"/>
      <x:c r="BL595"/>
      <x:c r="BM595"/>
      <x:c r="BN595"/>
      <x:c r="BO595"/>
      <x:c r="BP595"/>
      <x:c r="BQ595"/>
      <x:c r="BR595"/>
      <x:c r="BS595"/>
      <x:c r="BT595"/>
      <x:c r="BU595"/>
      <x:c r="BV595"/>
      <x:c r="BW595"/>
      <x:c r="BX595"/>
      <x:c r="BY595"/>
      <x:c r="BZ595"/>
      <x:c r="CA595"/>
      <x:c r="CB595"/>
      <x:c r="CC595"/>
    </x:row>
    <x:row r="596" ht="115" customHeight="1">
      <x:c r="A596" s="4" t="str">
        <x:v>proposal.collection.steel_hinge_knuckle</x:v>
      </x:c>
      <x:c r="B596" s="4" t="str">
        <x:v>Steel hinge knuckle</x:v>
      </x:c>
      <x:c r="C596" s="4" t="str">
        <x:v>T4</x:v>
      </x:c>
      <x:c r="D596" s="4" t="str">
        <x:v>Crafting components</x:v>
      </x:c>
      <x:c r="E596" s="4" t="str">
        <x:v>Contemporary machine element</x:v>
      </x:c>
      <x:c r="F596" s="4" t="str">
        <x:v>New proposal</x:v>
      </x:c>
      <x:c r="G596" s="4" t="inlineStr">
        <x:is>
          <x:t xml:space="preserve">Forms a replaceable pivot barrel. It is intended to replace, support or service a matching machine part; useful fit depends on the host mechanism.</x:t>
        </x:is>
      </x:c>
      <x:c r="H596" s="4" t="str">
        <x:v>None</x:v>
      </x:c>
      <x:c r="I596" s="4" t="str">
        <x:v>Physical inventory / cargo item; dimensions and packing unresolved</x:v>
      </x:c>
      <x:c r="J596" s="4"/>
      <x:c r="K596" s="4"/>
      <x:c r="L596" s="4" t="str">
        <x:v>Candidate preparation: design.collection.steel_hinge_knuckle. Full inputs are in Crafting browser.</x:v>
      </x:c>
      <x:c r="M596" s="4" t="str">
        <x:v>Candidate workshop or contained preparation route; detailed tools, quantities and conditions unresolved</x:v>
      </x:c>
      <x:c r="N596" s="4" t="str">
        <x:v>Not implemented</x:v>
      </x:c>
      <x:c r="O596" s="4" t="str">
        <x:v>Specific dimensions, yield, fit, performance and service conditions remain open.</x:v>
      </x:c>
      <x:c r="P596" s="4"/>
      <x:c r="Q596" s="4"/>
      <x:c r="R596" s="4"/>
      <x:c r="S596" s="4"/>
      <x:c r="T596" s="4"/>
      <x:c r="U596" s="4" t="str">
        <x:v>Candidate inputs are partial. Resolve tools, supporting materials, energy, recovery and compatibility before recipes become craftable.</x:v>
      </x:c>
      <x:c r="V596" s="4" t="str">
        <x:v>steel hinge knuckle; collection expansion; machine part</x:v>
      </x:c>
      <x:c r="W596" s="4" t="str">
        <x:v>New item proposal, October 15, 2026. Setting reference (source proposal): https://github.com/sleepyseamonster/Arc-Dust/blob/f6f98515c005dc3c73cccd9cbc031691745740c6/02-Arc-Dust-Worldbuilding/world/materials/industrial-material-palette.md</x:v>
      </x:c>
      <x:c r="X596" s="4" t="str">
        <x:v>Machine part</x:v>
      </x:c>
      <x:c r="Y596" s="4" t="str">
        <x:v>Processed intermediate</x:v>
      </x:c>
      <x:c r="Z596" s="4" t="str">
        <x:v>Manufactured / unresolved</x:v>
      </x:c>
      <x:c r="AA596" s="4" t="str">
        <x:v>Machinery repair</x:v>
      </x:c>
      <x:c r="AB596" s="4" t="str">
        <x:v>Metal</x:v>
      </x:c>
      <x:c r="AC596" s="4" t="str">
        <x:v>Assembly</x:v>
      </x:c>
      <x:c r="AD596" s="4" t="str">
        <x:v>Proposal</x:v>
      </x:c>
      <x:c r="AE596" s="4" t="str">
        <x:f>LOWER(A596&amp;"; "&amp;B596&amp;"; "&amp;D596&amp;"; "&amp;E596&amp;"; "&amp;X596&amp;"; "&amp;Y596&amp;"; "&amp;Z596&amp;"; "&amp;AA596&amp;"; "&amp;AB596&amp;"; "&amp;AC596&amp;"; "&amp;AD596&amp;"; "&amp;V596&amp;"; "&amp;C596&amp;"; "&amp;AH596&amp;"; "&amp;AI596)</x:f>
        <x:v>proposal.collection.steel_hinge_knuckle; steel hinge knuckle; crafting components; contemporary machine element; machine part; processed intermediate; manufactured / unresolved; machinery repair; metal; assembly; proposal; steel hinge knuckle; collection expansion; machine part; t4; not applicable; component</x:v>
      </x:c>
      <x:c r="AF596" s="4" t="str">
        <x:v>Collection expansion classification. Distinct type, use and material family; new item proposal unless author direction is marked.</x:v>
      </x:c>
      <x:c r="AG596" s="4" t="str">
        <x:v>Selected candidate processing route places this stock at T4. Raw entry is T0; source rarity does not raise tier.</x:v>
      </x:c>
      <x:c r="AH596" s="4" t="str">
        <x:v>Not applicable</x:v>
      </x:c>
      <x:c r="AI596" s="4" t="str">
        <x:v>Component</x:v>
      </x:c>
      <x:c r="AJ596" s="4" t="n">
        <x:f>COUNTIFS('Material routes'!$D$6:$D$2205,A596,'Material routes'!$C$6:$C$2205,"Output")</x:f>
        <x:v>1</x:v>
      </x:c>
      <x:c r="AK596" s="4" t="n">
        <x:f>SUM(COUNTIFS('Material routes'!$D$6:$D$2205,A596,'Material routes'!$C$6:$C$2205,"Ingredient candidate"),COUNTIFS('Material routes'!$D$6:$D$2205,A596,'Material routes'!$C$6:$C$2205,"Consumed input"),COUNTIFS('Material routes'!$D$6:$D$2205,A596,'Material routes'!$C$6:$C$2205,"Contained input"),COUNTIFS('Material routes'!$D$6:$D$2205,A596,'Material routes'!$C$6:$C$2205,"Transform input"))</x:f>
        <x:v>0</x:v>
      </x:c>
      <x:c r="AL596" s="4" t="n">
        <x:f>COUNTIFS('Material routes'!$D$6:$D$2205,A596,'Material routes'!$C$6:$C$2205,"Tool candidate")</x:f>
        <x:v>0</x:v>
      </x:c>
      <x:c r="AM596" s="4" t="str">
        <x:f>IF(AJ596&gt;0,"Route listed; review status/completeness",IF(C596="T0","Raw entry feed; no production route","No production route listed"))</x:f>
        <x:v>Route listed; review status/completeness</x:v>
      </x:c>
      <x:c r="AN596" s="4" t="n">
        <x:f>IF(C596="T0",0,IF(C596="T1",1,IF(C596="T2",2,IF(C596="T3",3,IF(C596="T4",4,IF(C596="Unassigned",98,99))))))</x:f>
        <x:v>4</x:v>
      </x:c>
      <x:c r="AZ596"/>
      <x:c r="BA596"/>
      <x:c r="BB596"/>
      <x:c r="BC596"/>
      <x:c r="BD596"/>
      <x:c r="BE596"/>
      <x:c r="BF596"/>
      <x:c r="BG596"/>
      <x:c r="BH596"/>
      <x:c r="BI596"/>
      <x:c r="BJ596"/>
      <x:c r="BK596"/>
      <x:c r="BL596"/>
      <x:c r="BM596"/>
      <x:c r="BN596"/>
      <x:c r="BO596"/>
      <x:c r="BP596"/>
      <x:c r="BQ596"/>
      <x:c r="BR596"/>
      <x:c r="BS596"/>
      <x:c r="BT596"/>
      <x:c r="BU596"/>
      <x:c r="BV596"/>
      <x:c r="BW596"/>
      <x:c r="BX596"/>
      <x:c r="BY596"/>
      <x:c r="BZ596"/>
      <x:c r="CA596"/>
      <x:c r="CB596"/>
      <x:c r="CC596"/>
    </x:row>
    <x:row r="597" ht="115" customHeight="1">
      <x:c r="A597" s="4" t="str">
        <x:v>proposal.collection.oil_channel_bronze_sleeve</x:v>
      </x:c>
      <x:c r="B597" s="4" t="str">
        <x:v>Oil-channel bronze sleeve</x:v>
      </x:c>
      <x:c r="C597" s="4" t="str">
        <x:v>T3</x:v>
      </x:c>
      <x:c r="D597" s="4" t="str">
        <x:v>Crafting components</x:v>
      </x:c>
      <x:c r="E597" s="4" t="str">
        <x:v>Contemporary machine element</x:v>
      </x:c>
      <x:c r="F597" s="4" t="str">
        <x:v>New proposal</x:v>
      </x:c>
      <x:c r="G597" s="4" t="inlineStr">
        <x:is>
          <x:t xml:space="preserve">Carries a shaft with a lubricant distribution groove. It is intended to replace, support or service a matching machine part; useful fit depends on the host mechanism.</x:t>
        </x:is>
      </x:c>
      <x:c r="H597" s="4" t="str">
        <x:v>None</x:v>
      </x:c>
      <x:c r="I597" s="4" t="str">
        <x:v>Physical inventory / cargo item; dimensions and packing unresolved</x:v>
      </x:c>
      <x:c r="J597" s="4"/>
      <x:c r="K597" s="4"/>
      <x:c r="L597" s="4" t="str">
        <x:v>Candidate preparation: design.collection.oil_channel_bronze_sleeve. Full inputs are in Crafting browser.</x:v>
      </x:c>
      <x:c r="M597" s="4" t="str">
        <x:v>Candidate workshop or contained preparation route; detailed tools, quantities and conditions unresolved</x:v>
      </x:c>
      <x:c r="N597" s="4" t="str">
        <x:v>Not implemented</x:v>
      </x:c>
      <x:c r="O597" s="4" t="str">
        <x:v>Specific dimensions, yield, fit, performance and service conditions remain open.</x:v>
      </x:c>
      <x:c r="P597" s="4"/>
      <x:c r="Q597" s="4"/>
      <x:c r="R597" s="4"/>
      <x:c r="S597" s="4"/>
      <x:c r="T597" s="4"/>
      <x:c r="U597" s="4" t="str">
        <x:v>Candidate inputs are partial. Resolve tools, supporting materials, energy, recovery and compatibility before recipes become craftable.</x:v>
      </x:c>
      <x:c r="V597" s="4" t="str">
        <x:v>oil-channel bronze sleeve; collection expansion; machine part</x:v>
      </x:c>
      <x:c r="W597" s="4" t="str">
        <x:v>New item proposal, October 15, 2026. Setting reference (source proposal): https://github.com/sleepyseamonster/Arc-Dust/blob/f6f98515c005dc3c73cccd9cbc031691745740c6/02-Arc-Dust-Worldbuilding/world/materials/industrial-material-palette.md</x:v>
      </x:c>
      <x:c r="X597" s="4" t="str">
        <x:v>Machine part</x:v>
      </x:c>
      <x:c r="Y597" s="4" t="str">
        <x:v>Processed intermediate</x:v>
      </x:c>
      <x:c r="Z597" s="4" t="str">
        <x:v>Manufactured / unresolved</x:v>
      </x:c>
      <x:c r="AA597" s="4" t="str">
        <x:v>Machinery repair</x:v>
      </x:c>
      <x:c r="AB597" s="4" t="str">
        <x:v>Metal</x:v>
      </x:c>
      <x:c r="AC597" s="4" t="str">
        <x:v>Solid part</x:v>
      </x:c>
      <x:c r="AD597" s="4" t="str">
        <x:v>Proposal</x:v>
      </x:c>
      <x:c r="AE597" s="4" t="str">
        <x:f>LOWER(A597&amp;"; "&amp;B597&amp;"; "&amp;D597&amp;"; "&amp;E597&amp;"; "&amp;X597&amp;"; "&amp;Y597&amp;"; "&amp;Z597&amp;"; "&amp;AA597&amp;"; "&amp;AB597&amp;"; "&amp;AC597&amp;"; "&amp;AD597&amp;"; "&amp;V597&amp;"; "&amp;C597&amp;"; "&amp;AH597&amp;"; "&amp;AI597)</x:f>
        <x:v>proposal.collection.oil_channel_bronze_sleeve; oil-channel bronze sleeve; crafting components; contemporary machine element; machine part; processed intermediate; manufactured / unresolved; machinery repair; metal; solid part; proposal; oil-channel bronze sleeve; collection expansion; machine part; t3; not applicable; component</x:v>
      </x:c>
      <x:c r="AF597" s="4" t="str">
        <x:v>Collection expansion classification. Distinct type, use and material family; new item proposal unless author direction is marked. October 15 audit: classification/handling clarified; item identity, design status and material tier preserved.</x:v>
      </x:c>
      <x:c r="AG597" s="4" t="str">
        <x:v>Selected candidate processing route places this stock at T3. Raw entry is T0; source rarity does not raise tier.</x:v>
      </x:c>
      <x:c r="AH597" s="4" t="str">
        <x:v>Not applicable</x:v>
      </x:c>
      <x:c r="AI597" s="4" t="str">
        <x:v>Component</x:v>
      </x:c>
      <x:c r="AJ597" s="4" t="n">
        <x:f>COUNTIFS('Material routes'!$D$6:$D$2205,A597,'Material routes'!$C$6:$C$2205,"Output")</x:f>
        <x:v>1</x:v>
      </x:c>
      <x:c r="AK597" s="4" t="n">
        <x:f>SUM(COUNTIFS('Material routes'!$D$6:$D$2205,A597,'Material routes'!$C$6:$C$2205,"Ingredient candidate"),COUNTIFS('Material routes'!$D$6:$D$2205,A597,'Material routes'!$C$6:$C$2205,"Consumed input"),COUNTIFS('Material routes'!$D$6:$D$2205,A597,'Material routes'!$C$6:$C$2205,"Contained input"),COUNTIFS('Material routes'!$D$6:$D$2205,A597,'Material routes'!$C$6:$C$2205,"Transform input"))</x:f>
        <x:v>0</x:v>
      </x:c>
      <x:c r="AL597" s="4" t="n">
        <x:f>COUNTIFS('Material routes'!$D$6:$D$2205,A597,'Material routes'!$C$6:$C$2205,"Tool candidate")</x:f>
        <x:v>0</x:v>
      </x:c>
      <x:c r="AM597" s="4" t="str">
        <x:f>IF(AJ597&gt;0,"Route listed; review status/completeness",IF(C597="T0","Raw entry feed; no production route","No production route listed"))</x:f>
        <x:v>Route listed; review status/completeness</x:v>
      </x:c>
      <x:c r="AN597" s="4" t="n">
        <x:f>IF(C597="T0",0,IF(C597="T1",1,IF(C597="T2",2,IF(C597="T3",3,IF(C597="T4",4,IF(C597="Unassigned",98,99))))))</x:f>
        <x:v>3</x:v>
      </x:c>
      <x:c r="AZ597"/>
      <x:c r="BA597"/>
      <x:c r="BB597"/>
      <x:c r="BC597"/>
      <x:c r="BD597"/>
      <x:c r="BE597"/>
      <x:c r="BF597"/>
      <x:c r="BG597"/>
      <x:c r="BH597"/>
      <x:c r="BI597"/>
      <x:c r="BJ597"/>
      <x:c r="BK597"/>
      <x:c r="BL597"/>
      <x:c r="BM597"/>
      <x:c r="BN597"/>
      <x:c r="BO597"/>
      <x:c r="BP597"/>
      <x:c r="BQ597"/>
      <x:c r="BR597"/>
      <x:c r="BS597"/>
      <x:c r="BT597"/>
      <x:c r="BU597"/>
      <x:c r="BV597"/>
      <x:c r="BW597"/>
      <x:c r="BX597"/>
      <x:c r="BY597"/>
      <x:c r="BZ597"/>
      <x:c r="CA597"/>
      <x:c r="CB597"/>
      <x:c r="CC597"/>
    </x:row>
    <x:row r="598" ht="115" customHeight="1">
      <x:c r="A598" s="4" t="str">
        <x:v>proposal.collection.split_bearing_pillow_block</x:v>
      </x:c>
      <x:c r="B598" s="4" t="str">
        <x:v>Split bearing pillow block</x:v>
      </x:c>
      <x:c r="C598" s="4" t="str">
        <x:v>T4</x:v>
      </x:c>
      <x:c r="D598" s="4" t="str">
        <x:v>Crafting components</x:v>
      </x:c>
      <x:c r="E598" s="4" t="str">
        <x:v>Contemporary machine element</x:v>
      </x:c>
      <x:c r="F598" s="4" t="str">
        <x:v>New proposal</x:v>
      </x:c>
      <x:c r="G598" s="4" t="inlineStr">
        <x:is>
          <x:t xml:space="preserve">Locates a serviceable bearing in a housing. It is intended to replace, support or service a matching machine part; useful fit depends on the host mechanism.</x:t>
        </x:is>
      </x:c>
      <x:c r="H598" s="4" t="str">
        <x:v>None</x:v>
      </x:c>
      <x:c r="I598" s="4" t="str">
        <x:v>Physical inventory / cargo item; dimensions and packing unresolved</x:v>
      </x:c>
      <x:c r="J598" s="4"/>
      <x:c r="K598" s="4"/>
      <x:c r="L598" s="4" t="str">
        <x:v>Candidate preparation: design.collection.split_bearing_pillow_block. Full inputs are in Crafting browser.</x:v>
      </x:c>
      <x:c r="M598" s="4" t="str">
        <x:v>Candidate workshop or contained preparation route; detailed tools, quantities and conditions unresolved</x:v>
      </x:c>
      <x:c r="N598" s="4" t="str">
        <x:v>Not implemented</x:v>
      </x:c>
      <x:c r="O598" s="4" t="str">
        <x:v>Specific dimensions, yield, fit, performance and service conditions remain open.</x:v>
      </x:c>
      <x:c r="P598" s="4"/>
      <x:c r="Q598" s="4"/>
      <x:c r="R598" s="4"/>
      <x:c r="S598" s="4"/>
      <x:c r="T598" s="4"/>
      <x:c r="U598" s="4" t="str">
        <x:v>Candidate inputs are partial. Resolve tools, supporting materials, energy, recovery and compatibility before recipes become craftable.</x:v>
      </x:c>
      <x:c r="V598" s="4" t="str">
        <x:v>split bearing pillow block; collection expansion; machine part</x:v>
      </x:c>
      <x:c r="W598" s="4" t="str">
        <x:v>New item proposal, October 15, 2026. Setting reference (source proposal): https://github.com/sleepyseamonster/Arc-Dust/blob/f6f98515c005dc3c73cccd9cbc031691745740c6/02-Arc-Dust-Worldbuilding/world/materials/industrial-material-palette.md</x:v>
      </x:c>
      <x:c r="X598" s="4" t="str">
        <x:v>Machine part</x:v>
      </x:c>
      <x:c r="Y598" s="4" t="str">
        <x:v>Processed intermediate</x:v>
      </x:c>
      <x:c r="Z598" s="4" t="str">
        <x:v>Manufactured / unresolved</x:v>
      </x:c>
      <x:c r="AA598" s="4" t="str">
        <x:v>Machinery repair</x:v>
      </x:c>
      <x:c r="AB598" s="4" t="str">
        <x:v>Metal</x:v>
      </x:c>
      <x:c r="AC598" s="4" t="str">
        <x:v>Assembly</x:v>
      </x:c>
      <x:c r="AD598" s="4" t="str">
        <x:v>Proposal</x:v>
      </x:c>
      <x:c r="AE598" s="4" t="str">
        <x:f>LOWER(A598&amp;"; "&amp;B598&amp;"; "&amp;D598&amp;"; "&amp;E598&amp;"; "&amp;X598&amp;"; "&amp;Y598&amp;"; "&amp;Z598&amp;"; "&amp;AA598&amp;"; "&amp;AB598&amp;"; "&amp;AC598&amp;"; "&amp;AD598&amp;"; "&amp;V598&amp;"; "&amp;C598&amp;"; "&amp;AH598&amp;"; "&amp;AI598)</x:f>
        <x:v>proposal.collection.split_bearing_pillow_block; split bearing pillow block; crafting components; contemporary machine element; machine part; processed intermediate; manufactured / unresolved; machinery repair; metal; assembly; proposal; split bearing pillow block; collection expansion; machine part; t4; not applicable; component</x:v>
      </x:c>
      <x:c r="AF598" s="4" t="str">
        <x:v>Collection expansion classification. Distinct type, use and material family; new item proposal unless author direction is marked.</x:v>
      </x:c>
      <x:c r="AG598" s="4" t="str">
        <x:v>Selected candidate processing route places this stock at T4. Raw entry is T0; source rarity does not raise tier.</x:v>
      </x:c>
      <x:c r="AH598" s="4" t="str">
        <x:v>Not applicable</x:v>
      </x:c>
      <x:c r="AI598" s="4" t="str">
        <x:v>Component</x:v>
      </x:c>
      <x:c r="AJ598" s="4" t="n">
        <x:f>COUNTIFS('Material routes'!$D$6:$D$2205,A598,'Material routes'!$C$6:$C$2205,"Output")</x:f>
        <x:v>1</x:v>
      </x:c>
      <x:c r="AK598" s="4" t="n">
        <x:f>SUM(COUNTIFS('Material routes'!$D$6:$D$2205,A598,'Material routes'!$C$6:$C$2205,"Ingredient candidate"),COUNTIFS('Material routes'!$D$6:$D$2205,A598,'Material routes'!$C$6:$C$2205,"Consumed input"),COUNTIFS('Material routes'!$D$6:$D$2205,A598,'Material routes'!$C$6:$C$2205,"Contained input"),COUNTIFS('Material routes'!$D$6:$D$2205,A598,'Material routes'!$C$6:$C$2205,"Transform input"))</x:f>
        <x:v>2</x:v>
      </x:c>
      <x:c r="AL598" s="4" t="n">
        <x:f>COUNTIFS('Material routes'!$D$6:$D$2205,A598,'Material routes'!$C$6:$C$2205,"Tool candidate")</x:f>
        <x:v>0</x:v>
      </x:c>
      <x:c r="AM598" s="4" t="str">
        <x:f>IF(AJ598&gt;0,"Route listed; review status/completeness",IF(C598="T0","Raw entry feed; no production route","No production route listed"))</x:f>
        <x:v>Route listed; review status/completeness</x:v>
      </x:c>
      <x:c r="AN598" s="4" t="n">
        <x:f>IF(C598="T0",0,IF(C598="T1",1,IF(C598="T2",2,IF(C598="T3",3,IF(C598="T4",4,IF(C598="Unassigned",98,99))))))</x:f>
        <x:v>4</x:v>
      </x:c>
      <x:c r="AZ598"/>
      <x:c r="BA598"/>
      <x:c r="BB598"/>
      <x:c r="BC598"/>
      <x:c r="BD598"/>
      <x:c r="BE598"/>
      <x:c r="BF598"/>
      <x:c r="BG598"/>
      <x:c r="BH598"/>
      <x:c r="BI598"/>
      <x:c r="BJ598"/>
      <x:c r="BK598"/>
      <x:c r="BL598"/>
      <x:c r="BM598"/>
      <x:c r="BN598"/>
      <x:c r="BO598"/>
      <x:c r="BP598"/>
      <x:c r="BQ598"/>
      <x:c r="BR598"/>
      <x:c r="BS598"/>
      <x:c r="BT598"/>
      <x:c r="BU598"/>
      <x:c r="BV598"/>
      <x:c r="BW598"/>
      <x:c r="BX598"/>
      <x:c r="BY598"/>
      <x:c r="BZ598"/>
      <x:c r="CA598"/>
      <x:c r="CB598"/>
      <x:c r="CC598"/>
    </x:row>
    <x:row r="599" ht="115" customHeight="1">
      <x:c r="A599" s="4" t="str">
        <x:v>proposal.collection.flywheel_rim_segment</x:v>
      </x:c>
      <x:c r="B599" s="4" t="str">
        <x:v>Flywheel rim segment</x:v>
      </x:c>
      <x:c r="C599" s="4" t="str">
        <x:v>T3</x:v>
      </x:c>
      <x:c r="D599" s="4" t="str">
        <x:v>Crafting components</x:v>
      </x:c>
      <x:c r="E599" s="4" t="str">
        <x:v>Contemporary machine element</x:v>
      </x:c>
      <x:c r="F599" s="4" t="str">
        <x:v>New proposal</x:v>
      </x:c>
      <x:c r="G599" s="4" t="inlineStr">
        <x:is>
          <x:t xml:space="preserve">Adds rotating mass to a guarded storage wheel. It is intended to replace, support or service a matching machine part; useful fit depends on the host mechanism.</x:t>
        </x:is>
      </x:c>
      <x:c r="H599" s="4" t="str">
        <x:v>None</x:v>
      </x:c>
      <x:c r="I599" s="4" t="str">
        <x:v>Physical inventory / cargo item; dimensions and packing unresolved</x:v>
      </x:c>
      <x:c r="J599" s="4"/>
      <x:c r="K599" s="4"/>
      <x:c r="L599" s="4" t="str">
        <x:v>Candidate preparation: design.collection.flywheel_rim_segment. Full inputs are in Crafting browser.</x:v>
      </x:c>
      <x:c r="M599" s="4" t="str">
        <x:v>Candidate workshop or contained preparation route; detailed tools, quantities and conditions unresolved</x:v>
      </x:c>
      <x:c r="N599" s="4" t="str">
        <x:v>Not implemented</x:v>
      </x:c>
      <x:c r="O599" s="4" t="str">
        <x:v>Specific dimensions, yield, fit, performance and service conditions remain open.</x:v>
      </x:c>
      <x:c r="P599" s="4"/>
      <x:c r="Q599" s="4"/>
      <x:c r="R599" s="4"/>
      <x:c r="S599" s="4"/>
      <x:c r="T599" s="4"/>
      <x:c r="U599" s="4" t="str">
        <x:v>Candidate inputs are partial. Resolve tools, supporting materials, energy, recovery and compatibility before recipes become craftable.</x:v>
      </x:c>
      <x:c r="V599" s="4" t="str">
        <x:v>flywheel rim segment; collection expansion; machine part</x:v>
      </x:c>
      <x:c r="W599" s="4" t="str">
        <x:v>New item proposal, October 15, 2026. Setting reference (source proposal): https://github.com/sleepyseamonster/Arc-Dust/blob/f6f98515c005dc3c73cccd9cbc031691745740c6/02-Arc-Dust-Worldbuilding/world/materials/industrial-material-palette.md</x:v>
      </x:c>
      <x:c r="X599" s="4" t="str">
        <x:v>Machine part</x:v>
      </x:c>
      <x:c r="Y599" s="4" t="str">
        <x:v>Processed intermediate</x:v>
      </x:c>
      <x:c r="Z599" s="4" t="str">
        <x:v>Manufactured / unresolved</x:v>
      </x:c>
      <x:c r="AA599" s="4" t="str">
        <x:v>Machinery repair</x:v>
      </x:c>
      <x:c r="AB599" s="4" t="str">
        <x:v>Metal</x:v>
      </x:c>
      <x:c r="AC599" s="4" t="str">
        <x:v>Assembly</x:v>
      </x:c>
      <x:c r="AD599" s="4" t="str">
        <x:v>Proposal</x:v>
      </x:c>
      <x:c r="AE599" s="4" t="str">
        <x:f>LOWER(A599&amp;"; "&amp;B599&amp;"; "&amp;D599&amp;"; "&amp;E599&amp;"; "&amp;X599&amp;"; "&amp;Y599&amp;"; "&amp;Z599&amp;"; "&amp;AA599&amp;"; "&amp;AB599&amp;"; "&amp;AC599&amp;"; "&amp;AD599&amp;"; "&amp;V599&amp;"; "&amp;C599&amp;"; "&amp;AH599&amp;"; "&amp;AI599)</x:f>
        <x:v>proposal.collection.flywheel_rim_segment; flywheel rim segment; crafting components; contemporary machine element; machine part; processed intermediate; manufactured / unresolved; machinery repair; metal; assembly; proposal; flywheel rim segment; collection expansion; machine part; t3; not applicable; component</x:v>
      </x:c>
      <x:c r="AF599" s="4" t="str">
        <x:v>Collection expansion classification. Distinct type, use and material family; new item proposal unless author direction is marked.</x:v>
      </x:c>
      <x:c r="AG599" s="4" t="str">
        <x:v>Selected candidate processing route places this stock at T3. Raw entry is T0; source rarity does not raise tier.</x:v>
      </x:c>
      <x:c r="AH599" s="4" t="str">
        <x:v>Not applicable</x:v>
      </x:c>
      <x:c r="AI599" s="4" t="str">
        <x:v>Component</x:v>
      </x:c>
      <x:c r="AJ599" s="4" t="n">
        <x:f>COUNTIFS('Material routes'!$D$6:$D$2205,A599,'Material routes'!$C$6:$C$2205,"Output")</x:f>
        <x:v>1</x:v>
      </x:c>
      <x:c r="AK599" s="4" t="n">
        <x:f>SUM(COUNTIFS('Material routes'!$D$6:$D$2205,A599,'Material routes'!$C$6:$C$2205,"Ingredient candidate"),COUNTIFS('Material routes'!$D$6:$D$2205,A599,'Material routes'!$C$6:$C$2205,"Consumed input"),COUNTIFS('Material routes'!$D$6:$D$2205,A599,'Material routes'!$C$6:$C$2205,"Contained input"),COUNTIFS('Material routes'!$D$6:$D$2205,A599,'Material routes'!$C$6:$C$2205,"Transform input"))</x:f>
        <x:v>1</x:v>
      </x:c>
      <x:c r="AL599" s="4" t="n">
        <x:f>COUNTIFS('Material routes'!$D$6:$D$2205,A599,'Material routes'!$C$6:$C$2205,"Tool candidate")</x:f>
        <x:v>0</x:v>
      </x:c>
      <x:c r="AM599" s="4" t="str">
        <x:f>IF(AJ599&gt;0,"Route listed; review status/completeness",IF(C599="T0","Raw entry feed; no production route","No production route listed"))</x:f>
        <x:v>Route listed; review status/completeness</x:v>
      </x:c>
      <x:c r="AN599" s="4" t="n">
        <x:f>IF(C599="T0",0,IF(C599="T1",1,IF(C599="T2",2,IF(C599="T3",3,IF(C599="T4",4,IF(C599="Unassigned",98,99))))))</x:f>
        <x:v>3</x:v>
      </x:c>
      <x:c r="AZ599"/>
      <x:c r="BA599"/>
      <x:c r="BB599"/>
      <x:c r="BC599"/>
      <x:c r="BD599"/>
      <x:c r="BE599"/>
      <x:c r="BF599"/>
      <x:c r="BG599"/>
      <x:c r="BH599"/>
      <x:c r="BI599"/>
      <x:c r="BJ599"/>
      <x:c r="BK599"/>
      <x:c r="BL599"/>
      <x:c r="BM599"/>
      <x:c r="BN599"/>
      <x:c r="BO599"/>
      <x:c r="BP599"/>
      <x:c r="BQ599"/>
      <x:c r="BR599"/>
      <x:c r="BS599"/>
      <x:c r="BT599"/>
      <x:c r="BU599"/>
      <x:c r="BV599"/>
      <x:c r="BW599"/>
      <x:c r="BX599"/>
      <x:c r="BY599"/>
      <x:c r="BZ599"/>
      <x:c r="CA599"/>
      <x:c r="CB599"/>
      <x:c r="CC599"/>
    </x:row>
    <x:row r="600" ht="115" customHeight="1">
      <x:c r="A600" s="4" t="str">
        <x:v>proposal.collection.clutch_friction_disc</x:v>
      </x:c>
      <x:c r="B600" s="4" t="str">
        <x:v>Clutch friction disc</x:v>
      </x:c>
      <x:c r="C600" s="4" t="str">
        <x:v>T4</x:v>
      </x:c>
      <x:c r="D600" s="4" t="str">
        <x:v>Crafting components</x:v>
      </x:c>
      <x:c r="E600" s="4" t="str">
        <x:v>Contemporary machine element</x:v>
      </x:c>
      <x:c r="F600" s="4" t="str">
        <x:v>New proposal</x:v>
      </x:c>
      <x:c r="G600" s="4" t="inlineStr">
        <x:is>
          <x:t xml:space="preserve">Transfers drive through a replaceable friction face. It is intended to replace, support or service a matching machine part; useful fit depends on the host mechanism.</x:t>
        </x:is>
      </x:c>
      <x:c r="H600" s="4" t="str">
        <x:v>None</x:v>
      </x:c>
      <x:c r="I600" s="4" t="str">
        <x:v>Physical inventory / cargo item; dimensions and packing unresolved</x:v>
      </x:c>
      <x:c r="J600" s="4"/>
      <x:c r="K600" s="4"/>
      <x:c r="L600" s="4" t="str">
        <x:v>Candidate preparation: design.collection.clutch_friction_disc. Full inputs are in Crafting browser.</x:v>
      </x:c>
      <x:c r="M600" s="4" t="str">
        <x:v>Candidate workshop or contained preparation route; detailed tools, quantities and conditions unresolved</x:v>
      </x:c>
      <x:c r="N600" s="4" t="str">
        <x:v>Not implemented</x:v>
      </x:c>
      <x:c r="O600" s="4" t="str">
        <x:v>Specific dimensions, yield, fit, performance and service conditions remain open.</x:v>
      </x:c>
      <x:c r="P600" s="4"/>
      <x:c r="Q600" s="4"/>
      <x:c r="R600" s="4"/>
      <x:c r="S600" s="4"/>
      <x:c r="T600" s="4"/>
      <x:c r="U600" s="4" t="str">
        <x:v>Candidate inputs are partial. Resolve tools, supporting materials, energy, recovery and compatibility before recipes become craftable.</x:v>
      </x:c>
      <x:c r="V600" s="4" t="str">
        <x:v>clutch friction disc; collection expansion; machine part</x:v>
      </x:c>
      <x:c r="W600" s="4" t="str">
        <x:v>New item proposal, October 15, 2026. Setting reference (source proposal): https://github.com/sleepyseamonster/Arc-Dust/blob/f6f98515c005dc3c73cccd9cbc031691745740c6/02-Arc-Dust-Worldbuilding/world/materials/industrial-material-palette.md</x:v>
      </x:c>
      <x:c r="X600" s="4" t="str">
        <x:v>Machine part</x:v>
      </x:c>
      <x:c r="Y600" s="4" t="str">
        <x:v>Processed intermediate</x:v>
      </x:c>
      <x:c r="Z600" s="4" t="str">
        <x:v>Manufactured / unresolved</x:v>
      </x:c>
      <x:c r="AA600" s="4" t="str">
        <x:v>Machinery repair</x:v>
      </x:c>
      <x:c r="AB600" s="4" t="str">
        <x:v>Mixed / unresolved</x:v>
      </x:c>
      <x:c r="AC600" s="4" t="str">
        <x:v>Solid part</x:v>
      </x:c>
      <x:c r="AD600" s="4" t="str">
        <x:v>Proposal</x:v>
      </x:c>
      <x:c r="AE600" s="4" t="str">
        <x:f>LOWER(A600&amp;"; "&amp;B600&amp;"; "&amp;D600&amp;"; "&amp;E600&amp;"; "&amp;X600&amp;"; "&amp;Y600&amp;"; "&amp;Z600&amp;"; "&amp;AA600&amp;"; "&amp;AB600&amp;"; "&amp;AC600&amp;"; "&amp;AD600&amp;"; "&amp;V600&amp;"; "&amp;C600&amp;"; "&amp;AH600&amp;"; "&amp;AI600)</x:f>
        <x:v>proposal.collection.clutch_friction_disc; clutch friction disc; crafting components; contemporary machine element; machine part; processed intermediate; manufactured / unresolved; machinery repair; mixed / unresolved; solid part; proposal; clutch friction disc; collection expansion; machine part; t4; not applicable; component</x:v>
      </x:c>
      <x:c r="AF600" s="4" t="str">
        <x:v>Collection expansion classification. Distinct type, use and material family; new item proposal unless author direction is marked. October 15 audit: classification/handling clarified; item identity, design status and material tier preserved.</x:v>
      </x:c>
      <x:c r="AG600" s="4" t="str">
        <x:v>Selected candidate processing route places this stock at T4. Raw entry is T0; source rarity does not raise tier.</x:v>
      </x:c>
      <x:c r="AH600" s="4" t="str">
        <x:v>Not applicable</x:v>
      </x:c>
      <x:c r="AI600" s="4" t="str">
        <x:v>Component</x:v>
      </x:c>
      <x:c r="AJ600" s="4" t="n">
        <x:f>COUNTIFS('Material routes'!$D$6:$D$2205,A600,'Material routes'!$C$6:$C$2205,"Output")</x:f>
        <x:v>1</x:v>
      </x:c>
      <x:c r="AK600" s="4" t="n">
        <x:f>SUM(COUNTIFS('Material routes'!$D$6:$D$2205,A600,'Material routes'!$C$6:$C$2205,"Ingredient candidate"),COUNTIFS('Material routes'!$D$6:$D$2205,A600,'Material routes'!$C$6:$C$2205,"Consumed input"),COUNTIFS('Material routes'!$D$6:$D$2205,A600,'Material routes'!$C$6:$C$2205,"Contained input"),COUNTIFS('Material routes'!$D$6:$D$2205,A600,'Material routes'!$C$6:$C$2205,"Transform input"))</x:f>
        <x:v>0</x:v>
      </x:c>
      <x:c r="AL600" s="4" t="n">
        <x:f>COUNTIFS('Material routes'!$D$6:$D$2205,A600,'Material routes'!$C$6:$C$2205,"Tool candidate")</x:f>
        <x:v>0</x:v>
      </x:c>
      <x:c r="AM600" s="4" t="str">
        <x:f>IF(AJ600&gt;0,"Route listed; review status/completeness",IF(C600="T0","Raw entry feed; no production route","No production route listed"))</x:f>
        <x:v>Route listed; review status/completeness</x:v>
      </x:c>
      <x:c r="AN600" s="4" t="n">
        <x:f>IF(C600="T0",0,IF(C600="T1",1,IF(C600="T2",2,IF(C600="T3",3,IF(C600="T4",4,IF(C600="Unassigned",98,99))))))</x:f>
        <x:v>4</x:v>
      </x:c>
      <x:c r="AZ600"/>
      <x:c r="BA600"/>
      <x:c r="BB600"/>
      <x:c r="BC600"/>
      <x:c r="BD600"/>
      <x:c r="BE600"/>
      <x:c r="BF600"/>
      <x:c r="BG600"/>
      <x:c r="BH600"/>
      <x:c r="BI600"/>
      <x:c r="BJ600"/>
      <x:c r="BK600"/>
      <x:c r="BL600"/>
      <x:c r="BM600"/>
      <x:c r="BN600"/>
      <x:c r="BO600"/>
      <x:c r="BP600"/>
      <x:c r="BQ600"/>
      <x:c r="BR600"/>
      <x:c r="BS600"/>
      <x:c r="BT600"/>
      <x:c r="BU600"/>
      <x:c r="BV600"/>
      <x:c r="BW600"/>
      <x:c r="BX600"/>
      <x:c r="BY600"/>
      <x:c r="BZ600"/>
      <x:c r="CA600"/>
      <x:c r="CB600"/>
      <x:c r="CC600"/>
    </x:row>
    <x:row r="601" ht="115" customHeight="1">
      <x:c r="A601" s="4" t="str">
        <x:v>proposal.collection.brake_drum</x:v>
      </x:c>
      <x:c r="B601" s="4" t="str">
        <x:v>Brake drum</x:v>
      </x:c>
      <x:c r="C601" s="4" t="str">
        <x:v>T3</x:v>
      </x:c>
      <x:c r="D601" s="4" t="str">
        <x:v>Crafting components</x:v>
      </x:c>
      <x:c r="E601" s="4" t="str">
        <x:v>Contemporary machine element</x:v>
      </x:c>
      <x:c r="F601" s="4" t="str">
        <x:v>New proposal</x:v>
      </x:c>
      <x:c r="G601" s="4" t="inlineStr">
        <x:is>
          <x:t xml:space="preserve">Provides a guarded braking surface. It is intended to replace, support or service a matching machine part; useful fit depends on the host mechanism.</x:t>
        </x:is>
      </x:c>
      <x:c r="H601" s="4" t="str">
        <x:v>None</x:v>
      </x:c>
      <x:c r="I601" s="4" t="str">
        <x:v>Physical inventory / cargo item; dimensions and packing unresolved</x:v>
      </x:c>
      <x:c r="J601" s="4"/>
      <x:c r="K601" s="4"/>
      <x:c r="L601" s="4" t="str">
        <x:v>Candidate preparation: design.collection.brake_drum. Full inputs are in Crafting browser.</x:v>
      </x:c>
      <x:c r="M601" s="4" t="str">
        <x:v>Candidate workshop or contained preparation route; detailed tools, quantities and conditions unresolved</x:v>
      </x:c>
      <x:c r="N601" s="4" t="str">
        <x:v>Not implemented</x:v>
      </x:c>
      <x:c r="O601" s="4" t="str">
        <x:v>Specific dimensions, yield, fit, performance and service conditions remain open.</x:v>
      </x:c>
      <x:c r="P601" s="4"/>
      <x:c r="Q601" s="4"/>
      <x:c r="R601" s="4"/>
      <x:c r="S601" s="4"/>
      <x:c r="T601" s="4"/>
      <x:c r="U601" s="4" t="str">
        <x:v>Candidate inputs are partial. Resolve tools, supporting materials, energy, recovery and compatibility before recipes become craftable.</x:v>
      </x:c>
      <x:c r="V601" s="4" t="str">
        <x:v>brake drum; collection expansion; machine part</x:v>
      </x:c>
      <x:c r="W601" s="4" t="str">
        <x:v>New item proposal, October 15, 2026. Setting reference (source proposal): https://github.com/sleepyseamonster/Arc-Dust/blob/f6f98515c005dc3c73cccd9cbc031691745740c6/02-Arc-Dust-Worldbuilding/world/materials/industrial-material-palette.md</x:v>
      </x:c>
      <x:c r="X601" s="4" t="str">
        <x:v>Machine part</x:v>
      </x:c>
      <x:c r="Y601" s="4" t="str">
        <x:v>Processed intermediate</x:v>
      </x:c>
      <x:c r="Z601" s="4" t="str">
        <x:v>Manufactured / unresolved</x:v>
      </x:c>
      <x:c r="AA601" s="4" t="str">
        <x:v>Machinery repair</x:v>
      </x:c>
      <x:c r="AB601" s="4" t="str">
        <x:v>Metal</x:v>
      </x:c>
      <x:c r="AC601" s="4" t="str">
        <x:v>Assembly</x:v>
      </x:c>
      <x:c r="AD601" s="4" t="str">
        <x:v>Proposal</x:v>
      </x:c>
      <x:c r="AE601" s="4" t="str">
        <x:f>LOWER(A601&amp;"; "&amp;B601&amp;"; "&amp;D601&amp;"; "&amp;E601&amp;"; "&amp;X601&amp;"; "&amp;Y601&amp;"; "&amp;Z601&amp;"; "&amp;AA601&amp;"; "&amp;AB601&amp;"; "&amp;AC601&amp;"; "&amp;AD601&amp;"; "&amp;V601&amp;"; "&amp;C601&amp;"; "&amp;AH601&amp;"; "&amp;AI601)</x:f>
        <x:v>proposal.collection.brake_drum; brake drum; crafting components; contemporary machine element; machine part; processed intermediate; manufactured / unresolved; machinery repair; metal; assembly; proposal; brake drum; collection expansion; machine part; t3; not applicable; component</x:v>
      </x:c>
      <x:c r="AF601" s="4" t="str">
        <x:v>Collection expansion classification. Distinct type, use and material family; new item proposal unless author direction is marked.</x:v>
      </x:c>
      <x:c r="AG601" s="4" t="str">
        <x:v>Selected candidate processing route places this stock at T3. Raw entry is T0; source rarity does not raise tier.</x:v>
      </x:c>
      <x:c r="AH601" s="4" t="str">
        <x:v>Not applicable</x:v>
      </x:c>
      <x:c r="AI601" s="4" t="str">
        <x:v>Component</x:v>
      </x:c>
      <x:c r="AJ601" s="4" t="n">
        <x:f>COUNTIFS('Material routes'!$D$6:$D$2205,A601,'Material routes'!$C$6:$C$2205,"Output")</x:f>
        <x:v>1</x:v>
      </x:c>
      <x:c r="AK601" s="4" t="n">
        <x:f>SUM(COUNTIFS('Material routes'!$D$6:$D$2205,A601,'Material routes'!$C$6:$C$2205,"Ingredient candidate"),COUNTIFS('Material routes'!$D$6:$D$2205,A601,'Material routes'!$C$6:$C$2205,"Consumed input"),COUNTIFS('Material routes'!$D$6:$D$2205,A601,'Material routes'!$C$6:$C$2205,"Contained input"),COUNTIFS('Material routes'!$D$6:$D$2205,A601,'Material routes'!$C$6:$C$2205,"Transform input"))</x:f>
        <x:v>2</x:v>
      </x:c>
      <x:c r="AL601" s="4" t="n">
        <x:f>COUNTIFS('Material routes'!$D$6:$D$2205,A601,'Material routes'!$C$6:$C$2205,"Tool candidate")</x:f>
        <x:v>0</x:v>
      </x:c>
      <x:c r="AM601" s="4" t="str">
        <x:f>IF(AJ601&gt;0,"Route listed; review status/completeness",IF(C601="T0","Raw entry feed; no production route","No production route listed"))</x:f>
        <x:v>Route listed; review status/completeness</x:v>
      </x:c>
      <x:c r="AN601" s="4" t="n">
        <x:f>IF(C601="T0",0,IF(C601="T1",1,IF(C601="T2",2,IF(C601="T3",3,IF(C601="T4",4,IF(C601="Unassigned",98,99))))))</x:f>
        <x:v>3</x:v>
      </x:c>
      <x:c r="AZ601"/>
      <x:c r="BA601"/>
      <x:c r="BB601"/>
      <x:c r="BC601"/>
      <x:c r="BD601"/>
      <x:c r="BE601"/>
      <x:c r="BF601"/>
      <x:c r="BG601"/>
      <x:c r="BH601"/>
      <x:c r="BI601"/>
      <x:c r="BJ601"/>
      <x:c r="BK601"/>
      <x:c r="BL601"/>
      <x:c r="BM601"/>
      <x:c r="BN601"/>
      <x:c r="BO601"/>
      <x:c r="BP601"/>
      <x:c r="BQ601"/>
      <x:c r="BR601"/>
      <x:c r="BS601"/>
      <x:c r="BT601"/>
      <x:c r="BU601"/>
      <x:c r="BV601"/>
      <x:c r="BW601"/>
      <x:c r="BX601"/>
      <x:c r="BY601"/>
      <x:c r="BZ601"/>
      <x:c r="CA601"/>
      <x:c r="CB601"/>
      <x:c r="CC601"/>
    </x:row>
    <x:row r="602" ht="115" customHeight="1">
      <x:c r="A602" s="4" t="str">
        <x:v>proposal.collection.brake_lining_shoe</x:v>
      </x:c>
      <x:c r="B602" s="4" t="str">
        <x:v>Brake lining shoe</x:v>
      </x:c>
      <x:c r="C602" s="4" t="str">
        <x:v>T3</x:v>
      </x:c>
      <x:c r="D602" s="4" t="str">
        <x:v>Crafting components</x:v>
      </x:c>
      <x:c r="E602" s="4" t="str">
        <x:v>Contemporary machine element</x:v>
      </x:c>
      <x:c r="F602" s="4" t="str">
        <x:v>New proposal</x:v>
      </x:c>
      <x:c r="G602" s="4" t="inlineStr">
        <x:is>
          <x:t xml:space="preserve">Supports a replaceable mineral-chitin friction face. It is intended to replace, support or service a matching machine part; useful fit depends on the host mechanism.</x:t>
        </x:is>
      </x:c>
      <x:c r="H602" s="4" t="str">
        <x:v>None</x:v>
      </x:c>
      <x:c r="I602" s="4" t="str">
        <x:v>Physical inventory / cargo item; dimensions and packing unresolved</x:v>
      </x:c>
      <x:c r="J602" s="4"/>
      <x:c r="K602" s="4"/>
      <x:c r="L602" s="4" t="str">
        <x:v>Candidate preparation: design.collection.brake_lining_shoe. Full inputs are in Crafting browser.</x:v>
      </x:c>
      <x:c r="M602" s="4" t="str">
        <x:v>Candidate workshop or contained preparation route; detailed tools, quantities and conditions unresolved</x:v>
      </x:c>
      <x:c r="N602" s="4" t="str">
        <x:v>Not implemented</x:v>
      </x:c>
      <x:c r="O602" s="4" t="str">
        <x:v>Specific dimensions, yield, fit, performance and service conditions remain open.</x:v>
      </x:c>
      <x:c r="P602" s="4"/>
      <x:c r="Q602" s="4"/>
      <x:c r="R602" s="4"/>
      <x:c r="S602" s="4"/>
      <x:c r="T602" s="4"/>
      <x:c r="U602" s="4" t="str">
        <x:v>Candidate inputs are partial. Resolve tools, supporting materials, energy, recovery and compatibility before recipes become craftable.</x:v>
      </x:c>
      <x:c r="V602" s="4" t="str">
        <x:v>brake lining shoe; collection expansion; machine part</x:v>
      </x:c>
      <x:c r="W602" s="4" t="str">
        <x:v>New item proposal, October 15, 2026. Setting reference (source proposal): https://github.com/sleepyseamonster/Arc-Dust/blob/f6f98515c005dc3c73cccd9cbc031691745740c6/02-Arc-Dust-Worldbuilding/world/materials/industrial-material-palette.md</x:v>
      </x:c>
      <x:c r="X602" s="4" t="str">
        <x:v>Machine part</x:v>
      </x:c>
      <x:c r="Y602" s="4" t="str">
        <x:v>Processed intermediate</x:v>
      </x:c>
      <x:c r="Z602" s="4" t="str">
        <x:v>Manufactured / unresolved</x:v>
      </x:c>
      <x:c r="AA602" s="4" t="str">
        <x:v>Machinery repair</x:v>
      </x:c>
      <x:c r="AB602" s="4" t="str">
        <x:v>Mixed / unresolved</x:v>
      </x:c>
      <x:c r="AC602" s="4" t="str">
        <x:v>Assembly</x:v>
      </x:c>
      <x:c r="AD602" s="4" t="str">
        <x:v>Proposal</x:v>
      </x:c>
      <x:c r="AE602" s="4" t="str">
        <x:f>LOWER(A602&amp;"; "&amp;B602&amp;"; "&amp;D602&amp;"; "&amp;E602&amp;"; "&amp;X602&amp;"; "&amp;Y602&amp;"; "&amp;Z602&amp;"; "&amp;AA602&amp;"; "&amp;AB602&amp;"; "&amp;AC602&amp;"; "&amp;AD602&amp;"; "&amp;V602&amp;"; "&amp;C602&amp;"; "&amp;AH602&amp;"; "&amp;AI602)</x:f>
        <x:v>proposal.collection.brake_lining_shoe; brake lining shoe; crafting components; contemporary machine element; machine part; processed intermediate; manufactured / unresolved; machinery repair; mixed / unresolved; assembly; proposal; brake lining shoe; collection expansion; machine part; t3; not applicable; component</x:v>
      </x:c>
      <x:c r="AF602" s="4" t="str">
        <x:v>Collection expansion classification. Distinct type, use and material family; new item proposal unless author direction is marked. October 15 audit: classification/handling clarified; item identity, design status and material tier preserved.</x:v>
      </x:c>
      <x:c r="AG602" s="4" t="str">
        <x:v>Selected candidate processing route places this stock at T3. Raw entry is T0; source rarity does not raise tier.</x:v>
      </x:c>
      <x:c r="AH602" s="4" t="str">
        <x:v>Not applicable</x:v>
      </x:c>
      <x:c r="AI602" s="4" t="str">
        <x:v>Component</x:v>
      </x:c>
      <x:c r="AJ602" s="4" t="n">
        <x:f>COUNTIFS('Material routes'!$D$6:$D$2205,A602,'Material routes'!$C$6:$C$2205,"Output")</x:f>
        <x:v>1</x:v>
      </x:c>
      <x:c r="AK602" s="4" t="n">
        <x:f>SUM(COUNTIFS('Material routes'!$D$6:$D$2205,A602,'Material routes'!$C$6:$C$2205,"Ingredient candidate"),COUNTIFS('Material routes'!$D$6:$D$2205,A602,'Material routes'!$C$6:$C$2205,"Consumed input"),COUNTIFS('Material routes'!$D$6:$D$2205,A602,'Material routes'!$C$6:$C$2205,"Contained input"),COUNTIFS('Material routes'!$D$6:$D$2205,A602,'Material routes'!$C$6:$C$2205,"Transform input"))</x:f>
        <x:v>5</x:v>
      </x:c>
      <x:c r="AL602" s="4" t="n">
        <x:f>COUNTIFS('Material routes'!$D$6:$D$2205,A602,'Material routes'!$C$6:$C$2205,"Tool candidate")</x:f>
        <x:v>0</x:v>
      </x:c>
      <x:c r="AM602" s="4" t="str">
        <x:f>IF(AJ602&gt;0,"Route listed; review status/completeness",IF(C602="T0","Raw entry feed; no production route","No production route listed"))</x:f>
        <x:v>Route listed; review status/completeness</x:v>
      </x:c>
      <x:c r="AN602" s="4" t="n">
        <x:f>IF(C602="T0",0,IF(C602="T1",1,IF(C602="T2",2,IF(C602="T3",3,IF(C602="T4",4,IF(C602="Unassigned",98,99))))))</x:f>
        <x:v>3</x:v>
      </x:c>
      <x:c r="AZ602"/>
      <x:c r="BA602"/>
      <x:c r="BB602"/>
      <x:c r="BC602"/>
      <x:c r="BD602"/>
      <x:c r="BE602"/>
      <x:c r="BF602"/>
      <x:c r="BG602"/>
      <x:c r="BH602"/>
      <x:c r="BI602"/>
      <x:c r="BJ602"/>
      <x:c r="BK602"/>
      <x:c r="BL602"/>
      <x:c r="BM602"/>
      <x:c r="BN602"/>
      <x:c r="BO602"/>
      <x:c r="BP602"/>
      <x:c r="BQ602"/>
      <x:c r="BR602"/>
      <x:c r="BS602"/>
      <x:c r="BT602"/>
      <x:c r="BU602"/>
      <x:c r="BV602"/>
      <x:c r="BW602"/>
      <x:c r="BX602"/>
      <x:c r="BY602"/>
      <x:c r="BZ602"/>
      <x:c r="CA602"/>
      <x:c r="CB602"/>
      <x:c r="CC602"/>
    </x:row>
    <x:row r="603" ht="115" customHeight="1">
      <x:c r="A603" s="4" t="str">
        <x:v>proposal.collection.counterweight_chain_link</x:v>
      </x:c>
      <x:c r="B603" s="4" t="str">
        <x:v>Counterweight chain link</x:v>
      </x:c>
      <x:c r="C603" s="4" t="str">
        <x:v>T3</x:v>
      </x:c>
      <x:c r="D603" s="4" t="str">
        <x:v>Crafting components</x:v>
      </x:c>
      <x:c r="E603" s="4" t="str">
        <x:v>Contemporary machine element</x:v>
      </x:c>
      <x:c r="F603" s="4" t="str">
        <x:v>New proposal</x:v>
      </x:c>
      <x:c r="G603" s="4" t="inlineStr">
        <x:is>
          <x:t xml:space="preserve">Joins a lifted-mass drive chain. It is intended to replace, support or service a matching machine part; useful fit depends on the host mechanism.</x:t>
        </x:is>
      </x:c>
      <x:c r="H603" s="4" t="str">
        <x:v>None</x:v>
      </x:c>
      <x:c r="I603" s="4" t="str">
        <x:v>Physical inventory / cargo item; dimensions and packing unresolved</x:v>
      </x:c>
      <x:c r="J603" s="4"/>
      <x:c r="K603" s="4"/>
      <x:c r="L603" s="4" t="str">
        <x:v>Candidate preparation: design.collection.counterweight_chain_link. Full inputs are in Crafting browser.</x:v>
      </x:c>
      <x:c r="M603" s="4" t="str">
        <x:v>Candidate workshop or contained preparation route; detailed tools, quantities and conditions unresolved</x:v>
      </x:c>
      <x:c r="N603" s="4" t="str">
        <x:v>Not implemented</x:v>
      </x:c>
      <x:c r="O603" s="4" t="str">
        <x:v>Specific dimensions, yield, fit, performance and service conditions remain open.</x:v>
      </x:c>
      <x:c r="P603" s="4"/>
      <x:c r="Q603" s="4"/>
      <x:c r="R603" s="4"/>
      <x:c r="S603" s="4"/>
      <x:c r="T603" s="4"/>
      <x:c r="U603" s="4" t="str">
        <x:v>Candidate inputs are partial. Resolve tools, supporting materials, energy, recovery and compatibility before recipes become craftable.</x:v>
      </x:c>
      <x:c r="V603" s="4" t="str">
        <x:v>counterweight chain link; collection expansion; machine part</x:v>
      </x:c>
      <x:c r="W603" s="4" t="str">
        <x:v>New item proposal, October 15, 2026. Setting reference (source proposal): https://github.com/sleepyseamonster/Arc-Dust/blob/f6f98515c005dc3c73cccd9cbc031691745740c6/02-Arc-Dust-Worldbuilding/world/materials/industrial-material-palette.md</x:v>
      </x:c>
      <x:c r="X603" s="4" t="str">
        <x:v>Machine part</x:v>
      </x:c>
      <x:c r="Y603" s="4" t="str">
        <x:v>Processed intermediate</x:v>
      </x:c>
      <x:c r="Z603" s="4" t="str">
        <x:v>Manufactured / unresolved</x:v>
      </x:c>
      <x:c r="AA603" s="4" t="str">
        <x:v>Machinery repair</x:v>
      </x:c>
      <x:c r="AB603" s="4" t="str">
        <x:v>Metal</x:v>
      </x:c>
      <x:c r="AC603" s="4" t="str">
        <x:v>Solid part</x:v>
      </x:c>
      <x:c r="AD603" s="4" t="str">
        <x:v>Proposal</x:v>
      </x:c>
      <x:c r="AE603" s="4" t="str">
        <x:f>LOWER(A603&amp;"; "&amp;B603&amp;"; "&amp;D603&amp;"; "&amp;E603&amp;"; "&amp;X603&amp;"; "&amp;Y603&amp;"; "&amp;Z603&amp;"; "&amp;AA603&amp;"; "&amp;AB603&amp;"; "&amp;AC603&amp;"; "&amp;AD603&amp;"; "&amp;V603&amp;"; "&amp;C603&amp;"; "&amp;AH603&amp;"; "&amp;AI603)</x:f>
        <x:v>proposal.collection.counterweight_chain_link; counterweight chain link; crafting components; contemporary machine element; machine part; processed intermediate; manufactured / unresolved; machinery repair; metal; solid part; proposal; counterweight chain link; collection expansion; machine part; t3; not applicable; component</x:v>
      </x:c>
      <x:c r="AF603" s="4" t="str">
        <x:v>Collection expansion classification. Distinct type, use and material family; new item proposal unless author direction is marked. October 15 audit: classification/handling clarified; item identity, design status and material tier preserved.</x:v>
      </x:c>
      <x:c r="AG603" s="4" t="str">
        <x:v>Selected candidate processing route places this stock at T3. Raw entry is T0; source rarity does not raise tier.</x:v>
      </x:c>
      <x:c r="AH603" s="4" t="str">
        <x:v>Not applicable</x:v>
      </x:c>
      <x:c r="AI603" s="4" t="str">
        <x:v>Component</x:v>
      </x:c>
      <x:c r="AJ603" s="4" t="n">
        <x:f>COUNTIFS('Material routes'!$D$6:$D$2205,A603,'Material routes'!$C$6:$C$2205,"Output")</x:f>
        <x:v>1</x:v>
      </x:c>
      <x:c r="AK603" s="4" t="n">
        <x:f>SUM(COUNTIFS('Material routes'!$D$6:$D$2205,A603,'Material routes'!$C$6:$C$2205,"Ingredient candidate"),COUNTIFS('Material routes'!$D$6:$D$2205,A603,'Material routes'!$C$6:$C$2205,"Consumed input"),COUNTIFS('Material routes'!$D$6:$D$2205,A603,'Material routes'!$C$6:$C$2205,"Contained input"),COUNTIFS('Material routes'!$D$6:$D$2205,A603,'Material routes'!$C$6:$C$2205,"Transform input"))</x:f>
        <x:v>2</x:v>
      </x:c>
      <x:c r="AL603" s="4" t="n">
        <x:f>COUNTIFS('Material routes'!$D$6:$D$2205,A603,'Material routes'!$C$6:$C$2205,"Tool candidate")</x:f>
        <x:v>0</x:v>
      </x:c>
      <x:c r="AM603" s="4" t="str">
        <x:f>IF(AJ603&gt;0,"Route listed; review status/completeness",IF(C603="T0","Raw entry feed; no production route","No production route listed"))</x:f>
        <x:v>Route listed; review status/completeness</x:v>
      </x:c>
      <x:c r="AN603" s="4" t="n">
        <x:f>IF(C603="T0",0,IF(C603="T1",1,IF(C603="T2",2,IF(C603="T3",3,IF(C603="T4",4,IF(C603="Unassigned",98,99))))))</x:f>
        <x:v>3</x:v>
      </x:c>
      <x:c r="AZ603"/>
      <x:c r="BA603"/>
      <x:c r="BB603"/>
      <x:c r="BC603"/>
      <x:c r="BD603"/>
      <x:c r="BE603"/>
      <x:c r="BF603"/>
      <x:c r="BG603"/>
      <x:c r="BH603"/>
      <x:c r="BI603"/>
      <x:c r="BJ603"/>
      <x:c r="BK603"/>
      <x:c r="BL603"/>
      <x:c r="BM603"/>
      <x:c r="BN603"/>
      <x:c r="BO603"/>
      <x:c r="BP603"/>
      <x:c r="BQ603"/>
      <x:c r="BR603"/>
      <x:c r="BS603"/>
      <x:c r="BT603"/>
      <x:c r="BU603"/>
      <x:c r="BV603"/>
      <x:c r="BW603"/>
      <x:c r="BX603"/>
      <x:c r="BY603"/>
      <x:c r="BZ603"/>
      <x:c r="CA603"/>
      <x:c r="CB603"/>
      <x:c r="CC603"/>
    </x:row>
    <x:row r="604" ht="115" customHeight="1">
      <x:c r="A604" s="4" t="str">
        <x:v>proposal.collection.grooved_lift_pulley</x:v>
      </x:c>
      <x:c r="B604" s="4" t="str">
        <x:v>Grooved lift pulley</x:v>
      </x:c>
      <x:c r="C604" s="4" t="str">
        <x:v>T3</x:v>
      </x:c>
      <x:c r="D604" s="4" t="str">
        <x:v>Crafting components</x:v>
      </x:c>
      <x:c r="E604" s="4" t="str">
        <x:v>Contemporary machine element</x:v>
      </x:c>
      <x:c r="F604" s="4" t="str">
        <x:v>New proposal</x:v>
      </x:c>
      <x:c r="G604" s="4" t="inlineStr">
        <x:is>
          <x:t xml:space="preserve">Guides cable through a lift mechanism. It is intended to replace, support or service a matching machine part; useful fit depends on the host mechanism.</x:t>
        </x:is>
      </x:c>
      <x:c r="H604" s="4" t="str">
        <x:v>None</x:v>
      </x:c>
      <x:c r="I604" s="4" t="str">
        <x:v>Physical inventory / cargo item; dimensions and packing unresolved</x:v>
      </x:c>
      <x:c r="J604" s="4"/>
      <x:c r="K604" s="4"/>
      <x:c r="L604" s="4" t="str">
        <x:v>Candidate preparation: design.collection.grooved_lift_pulley. Full inputs are in Crafting browser.</x:v>
      </x:c>
      <x:c r="M604" s="4" t="str">
        <x:v>Candidate workshop or contained preparation route; detailed tools, quantities and conditions unresolved</x:v>
      </x:c>
      <x:c r="N604" s="4" t="str">
        <x:v>Not implemented</x:v>
      </x:c>
      <x:c r="O604" s="4" t="str">
        <x:v>Specific dimensions, yield, fit, performance and service conditions remain open.</x:v>
      </x:c>
      <x:c r="P604" s="4"/>
      <x:c r="Q604" s="4"/>
      <x:c r="R604" s="4"/>
      <x:c r="S604" s="4"/>
      <x:c r="T604" s="4"/>
      <x:c r="U604" s="4" t="str">
        <x:v>Candidate inputs are partial. Resolve tools, supporting materials, energy, recovery and compatibility before recipes become craftable.</x:v>
      </x:c>
      <x:c r="V604" s="4" t="str">
        <x:v>grooved lift pulley; collection expansion; machine part</x:v>
      </x:c>
      <x:c r="W604" s="4" t="str">
        <x:v>New item proposal, October 15, 2026. Setting reference (source proposal): https://github.com/sleepyseamonster/Arc-Dust/blob/f6f98515c005dc3c73cccd9cbc031691745740c6/02-Arc-Dust-Worldbuilding/world/materials/industrial-material-palette.md</x:v>
      </x:c>
      <x:c r="X604" s="4" t="str">
        <x:v>Machine part</x:v>
      </x:c>
      <x:c r="Y604" s="4" t="str">
        <x:v>Processed intermediate</x:v>
      </x:c>
      <x:c r="Z604" s="4" t="str">
        <x:v>Manufactured / unresolved</x:v>
      </x:c>
      <x:c r="AA604" s="4" t="str">
        <x:v>Machinery repair</x:v>
      </x:c>
      <x:c r="AB604" s="4" t="str">
        <x:v>Metal</x:v>
      </x:c>
      <x:c r="AC604" s="4" t="str">
        <x:v>Solid part</x:v>
      </x:c>
      <x:c r="AD604" s="4" t="str">
        <x:v>Proposal</x:v>
      </x:c>
      <x:c r="AE604" s="4" t="str">
        <x:f>LOWER(A604&amp;"; "&amp;B604&amp;"; "&amp;D604&amp;"; "&amp;E604&amp;"; "&amp;X604&amp;"; "&amp;Y604&amp;"; "&amp;Z604&amp;"; "&amp;AA604&amp;"; "&amp;AB604&amp;"; "&amp;AC604&amp;"; "&amp;AD604&amp;"; "&amp;V604&amp;"; "&amp;C604&amp;"; "&amp;AH604&amp;"; "&amp;AI604)</x:f>
        <x:v>proposal.collection.grooved_lift_pulley; grooved lift pulley; crafting components; contemporary machine element; machine part; processed intermediate; manufactured / unresolved; machinery repair; metal; solid part; proposal; grooved lift pulley; collection expansion; machine part; t3; not applicable; component</x:v>
      </x:c>
      <x:c r="AF604" s="4" t="str">
        <x:v>Collection expansion classification. Distinct type, use and material family; new item proposal unless author direction is marked. October 15 audit: classification/handling clarified; item identity, design status and material tier preserved.</x:v>
      </x:c>
      <x:c r="AG604" s="4" t="str">
        <x:v>Selected candidate processing route places this stock at T3. Raw entry is T0; source rarity does not raise tier.</x:v>
      </x:c>
      <x:c r="AH604" s="4" t="str">
        <x:v>Not applicable</x:v>
      </x:c>
      <x:c r="AI604" s="4" t="str">
        <x:v>Component</x:v>
      </x:c>
      <x:c r="AJ604" s="4" t="n">
        <x:f>COUNTIFS('Material routes'!$D$6:$D$2205,A604,'Material routes'!$C$6:$C$2205,"Output")</x:f>
        <x:v>1</x:v>
      </x:c>
      <x:c r="AK604" s="4" t="n">
        <x:f>SUM(COUNTIFS('Material routes'!$D$6:$D$2205,A604,'Material routes'!$C$6:$C$2205,"Ingredient candidate"),COUNTIFS('Material routes'!$D$6:$D$2205,A604,'Material routes'!$C$6:$C$2205,"Consumed input"),COUNTIFS('Material routes'!$D$6:$D$2205,A604,'Material routes'!$C$6:$C$2205,"Contained input"),COUNTIFS('Material routes'!$D$6:$D$2205,A604,'Material routes'!$C$6:$C$2205,"Transform input"))</x:f>
        <x:v>4</x:v>
      </x:c>
      <x:c r="AL604" s="4" t="n">
        <x:f>COUNTIFS('Material routes'!$D$6:$D$2205,A604,'Material routes'!$C$6:$C$2205,"Tool candidate")</x:f>
        <x:v>0</x:v>
      </x:c>
      <x:c r="AM604" s="4" t="str">
        <x:f>IF(AJ604&gt;0,"Route listed; review status/completeness",IF(C604="T0","Raw entry feed; no production route","No production route listed"))</x:f>
        <x:v>Route listed; review status/completeness</x:v>
      </x:c>
      <x:c r="AN604" s="4" t="n">
        <x:f>IF(C604="T0",0,IF(C604="T1",1,IF(C604="T2",2,IF(C604="T3",3,IF(C604="T4",4,IF(C604="Unassigned",98,99))))))</x:f>
        <x:v>3</x:v>
      </x:c>
      <x:c r="AZ604"/>
      <x:c r="BA604"/>
      <x:c r="BB604"/>
      <x:c r="BC604"/>
      <x:c r="BD604"/>
      <x:c r="BE604"/>
      <x:c r="BF604"/>
      <x:c r="BG604"/>
      <x:c r="BH604"/>
      <x:c r="BI604"/>
      <x:c r="BJ604"/>
      <x:c r="BK604"/>
      <x:c r="BL604"/>
      <x:c r="BM604"/>
      <x:c r="BN604"/>
      <x:c r="BO604"/>
      <x:c r="BP604"/>
      <x:c r="BQ604"/>
      <x:c r="BR604"/>
      <x:c r="BS604"/>
      <x:c r="BT604"/>
      <x:c r="BU604"/>
      <x:c r="BV604"/>
      <x:c r="BW604"/>
      <x:c r="BX604"/>
      <x:c r="BY604"/>
      <x:c r="BZ604"/>
      <x:c r="CA604"/>
      <x:c r="CB604"/>
      <x:c r="CC604"/>
    </x:row>
    <x:row r="605" ht="115" customHeight="1">
      <x:c r="A605" s="4" t="str">
        <x:v>proposal.collection.mechanical_escapement_fork</x:v>
      </x:c>
      <x:c r="B605" s="4" t="str">
        <x:v>Mechanical escapement fork</x:v>
      </x:c>
      <x:c r="C605" s="4" t="str">
        <x:v>T3</x:v>
      </x:c>
      <x:c r="D605" s="4" t="str">
        <x:v>Crafting components</x:v>
      </x:c>
      <x:c r="E605" s="4" t="str">
        <x:v>Contemporary machine element</x:v>
      </x:c>
      <x:c r="F605" s="4" t="str">
        <x:v>New proposal</x:v>
      </x:c>
      <x:c r="G605" s="4" t="inlineStr">
        <x:is>
          <x:t xml:space="preserve">Meters a spring or weight mechanism into steps. It is intended to replace, support or service a matching machine part; useful fit depends on the host mechanism.</x:t>
        </x:is>
      </x:c>
      <x:c r="H605" s="4" t="str">
        <x:v>None</x:v>
      </x:c>
      <x:c r="I605" s="4" t="str">
        <x:v>Physical inventory / cargo item; dimensions and packing unresolved</x:v>
      </x:c>
      <x:c r="J605" s="4"/>
      <x:c r="K605" s="4"/>
      <x:c r="L605" s="4" t="str">
        <x:v>Candidate preparation: design.collection.mechanical_escapement_fork. Full inputs are in Crafting browser.</x:v>
      </x:c>
      <x:c r="M605" s="4" t="str">
        <x:v>Candidate workshop or contained preparation route; detailed tools, quantities and conditions unresolved</x:v>
      </x:c>
      <x:c r="N605" s="4" t="str">
        <x:v>Not implemented</x:v>
      </x:c>
      <x:c r="O605" s="4" t="str">
        <x:v>Specific dimensions, yield, fit, performance and service conditions remain open.</x:v>
      </x:c>
      <x:c r="P605" s="4"/>
      <x:c r="Q605" s="4"/>
      <x:c r="R605" s="4"/>
      <x:c r="S605" s="4"/>
      <x:c r="T605" s="4"/>
      <x:c r="U605" s="4" t="str">
        <x:v>Candidate inputs are partial. Resolve tools, supporting materials, energy, recovery and compatibility before recipes become craftable.</x:v>
      </x:c>
      <x:c r="V605" s="4" t="str">
        <x:v>mechanical escapement fork; collection expansion; machine part</x:v>
      </x:c>
      <x:c r="W605" s="4" t="str">
        <x:v>New item proposal, October 15, 2026. Setting reference (source proposal): https://github.com/sleepyseamonster/Arc-Dust/blob/f6f98515c005dc3c73cccd9cbc031691745740c6/02-Arc-Dust-Worldbuilding/world/materials/industrial-material-palette.md</x:v>
      </x:c>
      <x:c r="X605" s="4" t="str">
        <x:v>Machine part</x:v>
      </x:c>
      <x:c r="Y605" s="4" t="str">
        <x:v>Processed intermediate</x:v>
      </x:c>
      <x:c r="Z605" s="4" t="str">
        <x:v>Manufactured / unresolved</x:v>
      </x:c>
      <x:c r="AA605" s="4" t="str">
        <x:v>Machinery repair</x:v>
      </x:c>
      <x:c r="AB605" s="4" t="str">
        <x:v>Metal</x:v>
      </x:c>
      <x:c r="AC605" s="4" t="str">
        <x:v>Assembly</x:v>
      </x:c>
      <x:c r="AD605" s="4" t="str">
        <x:v>Proposal</x:v>
      </x:c>
      <x:c r="AE605" s="4" t="str">
        <x:f>LOWER(A605&amp;"; "&amp;B605&amp;"; "&amp;D605&amp;"; "&amp;E605&amp;"; "&amp;X605&amp;"; "&amp;Y605&amp;"; "&amp;Z605&amp;"; "&amp;AA605&amp;"; "&amp;AB605&amp;"; "&amp;AC605&amp;"; "&amp;AD605&amp;"; "&amp;V605&amp;"; "&amp;C605&amp;"; "&amp;AH605&amp;"; "&amp;AI605)</x:f>
        <x:v>proposal.collection.mechanical_escapement_fork; mechanical escapement fork; crafting components; contemporary machine element; machine part; processed intermediate; manufactured / unresolved; machinery repair; metal; assembly; proposal; mechanical escapement fork; collection expansion; machine part; t3; not applicable; component</x:v>
      </x:c>
      <x:c r="AF605" s="4" t="str">
        <x:v>Collection expansion classification. Distinct type, use and material family; new item proposal unless author direction is marked.</x:v>
      </x:c>
      <x:c r="AG605" s="4" t="str">
        <x:v>Selected candidate processing route places this stock at T3. Raw entry is T0; source rarity does not raise tier.</x:v>
      </x:c>
      <x:c r="AH605" s="4" t="str">
        <x:v>Not applicable</x:v>
      </x:c>
      <x:c r="AI605" s="4" t="str">
        <x:v>Component</x:v>
      </x:c>
      <x:c r="AJ605" s="4" t="n">
        <x:f>COUNTIFS('Material routes'!$D$6:$D$2205,A605,'Material routes'!$C$6:$C$2205,"Output")</x:f>
        <x:v>1</x:v>
      </x:c>
      <x:c r="AK605" s="4" t="n">
        <x:f>SUM(COUNTIFS('Material routes'!$D$6:$D$2205,A605,'Material routes'!$C$6:$C$2205,"Ingredient candidate"),COUNTIFS('Material routes'!$D$6:$D$2205,A605,'Material routes'!$C$6:$C$2205,"Consumed input"),COUNTIFS('Material routes'!$D$6:$D$2205,A605,'Material routes'!$C$6:$C$2205,"Contained input"),COUNTIFS('Material routes'!$D$6:$D$2205,A605,'Material routes'!$C$6:$C$2205,"Transform input"))</x:f>
        <x:v>0</x:v>
      </x:c>
      <x:c r="AL605" s="4" t="n">
        <x:f>COUNTIFS('Material routes'!$D$6:$D$2205,A605,'Material routes'!$C$6:$C$2205,"Tool candidate")</x:f>
        <x:v>0</x:v>
      </x:c>
      <x:c r="AM605" s="4" t="str">
        <x:f>IF(AJ605&gt;0,"Route listed; review status/completeness",IF(C605="T0","Raw entry feed; no production route","No production route listed"))</x:f>
        <x:v>Route listed; review status/completeness</x:v>
      </x:c>
      <x:c r="AN605" s="4" t="n">
        <x:f>IF(C605="T0",0,IF(C605="T1",1,IF(C605="T2",2,IF(C605="T3",3,IF(C605="T4",4,IF(C605="Unassigned",98,99))))))</x:f>
        <x:v>3</x:v>
      </x:c>
      <x:c r="AZ605"/>
      <x:c r="BA605"/>
      <x:c r="BB605"/>
      <x:c r="BC605"/>
      <x:c r="BD605"/>
      <x:c r="BE605"/>
      <x:c r="BF605"/>
      <x:c r="BG605"/>
      <x:c r="BH605"/>
      <x:c r="BI605"/>
      <x:c r="BJ605"/>
      <x:c r="BK605"/>
      <x:c r="BL605"/>
      <x:c r="BM605"/>
      <x:c r="BN605"/>
      <x:c r="BO605"/>
      <x:c r="BP605"/>
      <x:c r="BQ605"/>
      <x:c r="BR605"/>
      <x:c r="BS605"/>
      <x:c r="BT605"/>
      <x:c r="BU605"/>
      <x:c r="BV605"/>
      <x:c r="BW605"/>
      <x:c r="BX605"/>
      <x:c r="BY605"/>
      <x:c r="BZ605"/>
      <x:c r="CA605"/>
      <x:c r="CB605"/>
      <x:c r="CC605"/>
    </x:row>
    <x:row r="606" ht="115" customHeight="1">
      <x:c r="A606" s="4" t="str">
        <x:v>proposal.collection.pressure_bellows_capsule</x:v>
      </x:c>
      <x:c r="B606" s="4" t="str">
        <x:v>Pressure bellows capsule</x:v>
      </x:c>
      <x:c r="C606" s="4" t="str">
        <x:v>T4</x:v>
      </x:c>
      <x:c r="D606" s="4" t="str">
        <x:v>Crafting components</x:v>
      </x:c>
      <x:c r="E606" s="4" t="str">
        <x:v>Contemporary machine element</x:v>
      </x:c>
      <x:c r="F606" s="4" t="str">
        <x:v>New proposal</x:v>
      </x:c>
      <x:c r="G606" s="4" t="inlineStr">
        <x:is>
          <x:t xml:space="preserve">Converts a pressure difference to short travel. It is intended to replace, support or service a matching machine part; useful fit depends on the host mechanism.</x:t>
        </x:is>
      </x:c>
      <x:c r="H606" s="4" t="str">
        <x:v>None</x:v>
      </x:c>
      <x:c r="I606" s="4" t="str">
        <x:v>Physical inventory / cargo item; dimensions and packing unresolved</x:v>
      </x:c>
      <x:c r="J606" s="4"/>
      <x:c r="K606" s="4"/>
      <x:c r="L606" s="4" t="str">
        <x:v>Candidate preparation: design.collection.pressure_bellows_capsule. Full inputs are in Crafting browser.</x:v>
      </x:c>
      <x:c r="M606" s="4" t="str">
        <x:v>Candidate workshop or contained preparation route; detailed tools, quantities and conditions unresolved</x:v>
      </x:c>
      <x:c r="N606" s="4" t="str">
        <x:v>Not implemented</x:v>
      </x:c>
      <x:c r="O606" s="4" t="str">
        <x:v>Specific dimensions, yield, fit, performance and service conditions remain open.</x:v>
      </x:c>
      <x:c r="P606" s="4"/>
      <x:c r="Q606" s="4"/>
      <x:c r="R606" s="4"/>
      <x:c r="S606" s="4"/>
      <x:c r="T606" s="4"/>
      <x:c r="U606" s="4" t="str">
        <x:v>Candidate inputs are partial. Resolve tools, supporting materials, energy, recovery and compatibility before recipes become craftable.</x:v>
      </x:c>
      <x:c r="V606" s="4" t="str">
        <x:v>pressure bellows capsule; collection expansion; machine part</x:v>
      </x:c>
      <x:c r="W606" s="4" t="str">
        <x:v>New item proposal, October 15, 2026. Setting reference (source proposal): https://github.com/sleepyseamonster/Arc-Dust/blob/f6f98515c005dc3c73cccd9cbc031691745740c6/02-Arc-Dust-Worldbuilding/world/materials/industrial-material-palette.md</x:v>
      </x:c>
      <x:c r="X606" s="4" t="str">
        <x:v>Machine part</x:v>
      </x:c>
      <x:c r="Y606" s="4" t="str">
        <x:v>Processed intermediate</x:v>
      </x:c>
      <x:c r="Z606" s="4" t="str">
        <x:v>Manufactured / unresolved</x:v>
      </x:c>
      <x:c r="AA606" s="4" t="str">
        <x:v>Machinery repair</x:v>
      </x:c>
      <x:c r="AB606" s="4" t="str">
        <x:v>Metal</x:v>
      </x:c>
      <x:c r="AC606" s="4" t="str">
        <x:v>Assembly</x:v>
      </x:c>
      <x:c r="AD606" s="4" t="str">
        <x:v>Proposal</x:v>
      </x:c>
      <x:c r="AE606" s="4" t="str">
        <x:f>LOWER(A606&amp;"; "&amp;B606&amp;"; "&amp;D606&amp;"; "&amp;E606&amp;"; "&amp;X606&amp;"; "&amp;Y606&amp;"; "&amp;Z606&amp;"; "&amp;AA606&amp;"; "&amp;AB606&amp;"; "&amp;AC606&amp;"; "&amp;AD606&amp;"; "&amp;V606&amp;"; "&amp;C606&amp;"; "&amp;AH606&amp;"; "&amp;AI606)</x:f>
        <x:v>proposal.collection.pressure_bellows_capsule; pressure bellows capsule; crafting components; contemporary machine element; machine part; processed intermediate; manufactured / unresolved; machinery repair; metal; assembly; proposal; pressure bellows capsule; collection expansion; machine part; t4; not applicable; component</x:v>
      </x:c>
      <x:c r="AF606" s="4" t="str">
        <x:v>Collection expansion classification. Distinct type, use and material family; new item proposal unless author direction is marked.</x:v>
      </x:c>
      <x:c r="AG606" s="4" t="str">
        <x:v>Selected candidate processing route places this stock at T4. Raw entry is T0; source rarity does not raise tier.</x:v>
      </x:c>
      <x:c r="AH606" s="4" t="str">
        <x:v>Not applicable</x:v>
      </x:c>
      <x:c r="AI606" s="4" t="str">
        <x:v>Component</x:v>
      </x:c>
      <x:c r="AJ606" s="4" t="n">
        <x:f>COUNTIFS('Material routes'!$D$6:$D$2205,A606,'Material routes'!$C$6:$C$2205,"Output")</x:f>
        <x:v>1</x:v>
      </x:c>
      <x:c r="AK606" s="4" t="n">
        <x:f>SUM(COUNTIFS('Material routes'!$D$6:$D$2205,A606,'Material routes'!$C$6:$C$2205,"Ingredient candidate"),COUNTIFS('Material routes'!$D$6:$D$2205,A606,'Material routes'!$C$6:$C$2205,"Consumed input"),COUNTIFS('Material routes'!$D$6:$D$2205,A606,'Material routes'!$C$6:$C$2205,"Contained input"),COUNTIFS('Material routes'!$D$6:$D$2205,A606,'Material routes'!$C$6:$C$2205,"Transform input"))</x:f>
        <x:v>0</x:v>
      </x:c>
      <x:c r="AL606" s="4" t="n">
        <x:f>COUNTIFS('Material routes'!$D$6:$D$2205,A606,'Material routes'!$C$6:$C$2205,"Tool candidate")</x:f>
        <x:v>0</x:v>
      </x:c>
      <x:c r="AM606" s="4" t="str">
        <x:f>IF(AJ606&gt;0,"Route listed; review status/completeness",IF(C606="T0","Raw entry feed; no production route","No production route listed"))</x:f>
        <x:v>Route listed; review status/completeness</x:v>
      </x:c>
      <x:c r="AN606" s="4" t="n">
        <x:f>IF(C606="T0",0,IF(C606="T1",1,IF(C606="T2",2,IF(C606="T3",3,IF(C606="T4",4,IF(C606="Unassigned",98,99))))))</x:f>
        <x:v>4</x:v>
      </x:c>
      <x:c r="AZ606"/>
      <x:c r="BA606"/>
      <x:c r="BB606"/>
      <x:c r="BC606"/>
      <x:c r="BD606"/>
      <x:c r="BE606"/>
      <x:c r="BF606"/>
      <x:c r="BG606"/>
      <x:c r="BH606"/>
      <x:c r="BI606"/>
      <x:c r="BJ606"/>
      <x:c r="BK606"/>
      <x:c r="BL606"/>
      <x:c r="BM606"/>
      <x:c r="BN606"/>
      <x:c r="BO606"/>
      <x:c r="BP606"/>
      <x:c r="BQ606"/>
      <x:c r="BR606"/>
      <x:c r="BS606"/>
      <x:c r="BT606"/>
      <x:c r="BU606"/>
      <x:c r="BV606"/>
      <x:c r="BW606"/>
      <x:c r="BX606"/>
      <x:c r="BY606"/>
      <x:c r="BZ606"/>
      <x:c r="CA606"/>
      <x:c r="CB606"/>
      <x:c r="CC606"/>
    </x:row>
    <x:row r="607" ht="115" customHeight="1">
      <x:c r="A607" s="4" t="str">
        <x:v>proposal.collection.ceramic_piston_sleeve</x:v>
      </x:c>
      <x:c r="B607" s="4" t="str">
        <x:v>Ceramic piston sleeve</x:v>
      </x:c>
      <x:c r="C607" s="4" t="str">
        <x:v>T3</x:v>
      </x:c>
      <x:c r="D607" s="4" t="str">
        <x:v>Crafting components</x:v>
      </x:c>
      <x:c r="E607" s="4" t="str">
        <x:v>Contemporary machine element</x:v>
      </x:c>
      <x:c r="F607" s="4" t="str">
        <x:v>New proposal</x:v>
      </x:c>
      <x:c r="G607" s="4" t="inlineStr">
        <x:is>
          <x:t xml:space="preserve">Provides a replaceable bore liner. It is intended to replace, support or service a matching machine part; useful fit depends on the host mechanism.</x:t>
        </x:is>
      </x:c>
      <x:c r="H607" s="4" t="str">
        <x:v>None</x:v>
      </x:c>
      <x:c r="I607" s="4" t="str">
        <x:v>Physical inventory / cargo item; dimensions and packing unresolved</x:v>
      </x:c>
      <x:c r="J607" s="4"/>
      <x:c r="K607" s="4"/>
      <x:c r="L607" s="4" t="str">
        <x:v>Candidate preparation: design.collection.ceramic_piston_sleeve. Full inputs are in Crafting browser.</x:v>
      </x:c>
      <x:c r="M607" s="4" t="str">
        <x:v>Candidate workshop or contained preparation route; detailed tools, quantities and conditions unresolved</x:v>
      </x:c>
      <x:c r="N607" s="4" t="str">
        <x:v>Not implemented</x:v>
      </x:c>
      <x:c r="O607" s="4" t="str">
        <x:v>Specific dimensions, yield, fit, performance and service conditions remain open.</x:v>
      </x:c>
      <x:c r="P607" s="4"/>
      <x:c r="Q607" s="4"/>
      <x:c r="R607" s="4"/>
      <x:c r="S607" s="4"/>
      <x:c r="T607" s="4"/>
      <x:c r="U607" s="4" t="str">
        <x:v>Candidate inputs are partial. Resolve tools, supporting materials, energy, recovery and compatibility before recipes become craftable.</x:v>
      </x:c>
      <x:c r="V607" s="4" t="str">
        <x:v>ceramic piston sleeve; collection expansion; machine part</x:v>
      </x:c>
      <x:c r="W607" s="4" t="str">
        <x:v>New item proposal, October 15, 2026. Setting reference (source proposal): https://github.com/sleepyseamonster/Arc-Dust/blob/f6f98515c005dc3c73cccd9cbc031691745740c6/02-Arc-Dust-Worldbuilding/world/materials/industrial-material-palette.md</x:v>
      </x:c>
      <x:c r="X607" s="4" t="str">
        <x:v>Machine part</x:v>
      </x:c>
      <x:c r="Y607" s="4" t="str">
        <x:v>Processed intermediate</x:v>
      </x:c>
      <x:c r="Z607" s="4" t="str">
        <x:v>Manufactured / unresolved</x:v>
      </x:c>
      <x:c r="AA607" s="4" t="str">
        <x:v>Machinery repair</x:v>
      </x:c>
      <x:c r="AB607" s="4" t="str">
        <x:v>Ceramic</x:v>
      </x:c>
      <x:c r="AC607" s="4" t="str">
        <x:v>Solid part</x:v>
      </x:c>
      <x:c r="AD607" s="4" t="str">
        <x:v>Proposal</x:v>
      </x:c>
      <x:c r="AE607" s="4" t="str">
        <x:f>LOWER(A607&amp;"; "&amp;B607&amp;"; "&amp;D607&amp;"; "&amp;E607&amp;"; "&amp;X607&amp;"; "&amp;Y607&amp;"; "&amp;Z607&amp;"; "&amp;AA607&amp;"; "&amp;AB607&amp;"; "&amp;AC607&amp;"; "&amp;AD607&amp;"; "&amp;V607&amp;"; "&amp;C607&amp;"; "&amp;AH607&amp;"; "&amp;AI607)</x:f>
        <x:v>proposal.collection.ceramic_piston_sleeve; ceramic piston sleeve; crafting components; contemporary machine element; machine part; processed intermediate; manufactured / unresolved; machinery repair; ceramic; solid part; proposal; ceramic piston sleeve; collection expansion; machine part; t3; not applicable; component</x:v>
      </x:c>
      <x:c r="AF607" s="4" t="str">
        <x:v>Collection expansion classification. Distinct type, use and material family; new item proposal unless author direction is marked. October 15 audit: classification/handling clarified; item identity, design status and material tier preserved.</x:v>
      </x:c>
      <x:c r="AG607" s="4" t="str">
        <x:v>Selected candidate processing route places this stock at T3. Raw entry is T0; source rarity does not raise tier.</x:v>
      </x:c>
      <x:c r="AH607" s="4" t="str">
        <x:v>Not applicable</x:v>
      </x:c>
      <x:c r="AI607" s="4" t="str">
        <x:v>Component</x:v>
      </x:c>
      <x:c r="AJ607" s="4" t="n">
        <x:f>COUNTIFS('Material routes'!$D$6:$D$2205,A607,'Material routes'!$C$6:$C$2205,"Output")</x:f>
        <x:v>1</x:v>
      </x:c>
      <x:c r="AK607" s="4" t="n">
        <x:f>SUM(COUNTIFS('Material routes'!$D$6:$D$2205,A607,'Material routes'!$C$6:$C$2205,"Ingredient candidate"),COUNTIFS('Material routes'!$D$6:$D$2205,A607,'Material routes'!$C$6:$C$2205,"Consumed input"),COUNTIFS('Material routes'!$D$6:$D$2205,A607,'Material routes'!$C$6:$C$2205,"Contained input"),COUNTIFS('Material routes'!$D$6:$D$2205,A607,'Material routes'!$C$6:$C$2205,"Transform input"))</x:f>
        <x:v>1</x:v>
      </x:c>
      <x:c r="AL607" s="4" t="n">
        <x:f>COUNTIFS('Material routes'!$D$6:$D$2205,A607,'Material routes'!$C$6:$C$2205,"Tool candidate")</x:f>
        <x:v>0</x:v>
      </x:c>
      <x:c r="AM607" s="4" t="str">
        <x:f>IF(AJ607&gt;0,"Route listed; review status/completeness",IF(C607="T0","Raw entry feed; no production route","No production route listed"))</x:f>
        <x:v>Route listed; review status/completeness</x:v>
      </x:c>
      <x:c r="AN607" s="4" t="n">
        <x:f>IF(C607="T0",0,IF(C607="T1",1,IF(C607="T2",2,IF(C607="T3",3,IF(C607="T4",4,IF(C607="Unassigned",98,99))))))</x:f>
        <x:v>3</x:v>
      </x:c>
      <x:c r="AZ607"/>
      <x:c r="BA607"/>
      <x:c r="BB607"/>
      <x:c r="BC607"/>
      <x:c r="BD607"/>
      <x:c r="BE607"/>
      <x:c r="BF607"/>
      <x:c r="BG607"/>
      <x:c r="BH607"/>
      <x:c r="BI607"/>
      <x:c r="BJ607"/>
      <x:c r="BK607"/>
      <x:c r="BL607"/>
      <x:c r="BM607"/>
      <x:c r="BN607"/>
      <x:c r="BO607"/>
      <x:c r="BP607"/>
      <x:c r="BQ607"/>
      <x:c r="BR607"/>
      <x:c r="BS607"/>
      <x:c r="BT607"/>
      <x:c r="BU607"/>
      <x:c r="BV607"/>
      <x:c r="BW607"/>
      <x:c r="BX607"/>
      <x:c r="BY607"/>
      <x:c r="BZ607"/>
      <x:c r="CA607"/>
      <x:c r="CB607"/>
      <x:c r="CC607"/>
    </x:row>
    <x:row r="608" ht="115" customHeight="1">
      <x:c r="A608" s="4" t="str">
        <x:v>proposal.collection.metal_piston_head</x:v>
      </x:c>
      <x:c r="B608" s="4" t="str">
        <x:v>Metal piston head</x:v>
      </x:c>
      <x:c r="C608" s="4" t="str">
        <x:v>T3</x:v>
      </x:c>
      <x:c r="D608" s="4" t="str">
        <x:v>Crafting components</x:v>
      </x:c>
      <x:c r="E608" s="4" t="str">
        <x:v>Contemporary machine element</x:v>
      </x:c>
      <x:c r="F608" s="4" t="str">
        <x:v>New proposal</x:v>
      </x:c>
      <x:c r="G608" s="4" t="inlineStr">
        <x:is>
          <x:t xml:space="preserve">Transfers pressure or linkage force in a compatible bore. It is intended to replace, support or service a matching machine part; useful fit depends on the host mechanism.</x:t>
        </x:is>
      </x:c>
      <x:c r="H608" s="4" t="str">
        <x:v>None</x:v>
      </x:c>
      <x:c r="I608" s="4" t="str">
        <x:v>Physical inventory / cargo item; dimensions and packing unresolved</x:v>
      </x:c>
      <x:c r="J608" s="4"/>
      <x:c r="K608" s="4"/>
      <x:c r="L608" s="4" t="str">
        <x:v>Candidate preparation: design.collection.metal_piston_head. Full inputs are in Crafting browser.</x:v>
      </x:c>
      <x:c r="M608" s="4" t="str">
        <x:v>Candidate workshop or contained preparation route; detailed tools, quantities and conditions unresolved</x:v>
      </x:c>
      <x:c r="N608" s="4" t="str">
        <x:v>Not implemented</x:v>
      </x:c>
      <x:c r="O608" s="4" t="str">
        <x:v>Specific dimensions, yield, fit, performance and service conditions remain open.</x:v>
      </x:c>
      <x:c r="P608" s="4"/>
      <x:c r="Q608" s="4"/>
      <x:c r="R608" s="4"/>
      <x:c r="S608" s="4"/>
      <x:c r="T608" s="4"/>
      <x:c r="U608" s="4" t="str">
        <x:v>Candidate inputs are partial. Resolve tools, supporting materials, energy, recovery and compatibility before recipes become craftable.</x:v>
      </x:c>
      <x:c r="V608" s="4" t="str">
        <x:v>metal piston head; collection expansion; machine part</x:v>
      </x:c>
      <x:c r="W608" s="4" t="str">
        <x:v>New item proposal, October 15, 2026. Setting reference (source proposal): https://github.com/sleepyseamonster/Arc-Dust/blob/f6f98515c005dc3c73cccd9cbc031691745740c6/02-Arc-Dust-Worldbuilding/world/materials/industrial-material-palette.md</x:v>
      </x:c>
      <x:c r="X608" s="4" t="str">
        <x:v>Machine part</x:v>
      </x:c>
      <x:c r="Y608" s="4" t="str">
        <x:v>Processed intermediate</x:v>
      </x:c>
      <x:c r="Z608" s="4" t="str">
        <x:v>Manufactured / unresolved</x:v>
      </x:c>
      <x:c r="AA608" s="4" t="str">
        <x:v>Machinery repair</x:v>
      </x:c>
      <x:c r="AB608" s="4" t="str">
        <x:v>Metal</x:v>
      </x:c>
      <x:c r="AC608" s="4" t="str">
        <x:v>Solid part</x:v>
      </x:c>
      <x:c r="AD608" s="4" t="str">
        <x:v>Proposal</x:v>
      </x:c>
      <x:c r="AE608" s="4" t="str">
        <x:f>LOWER(A608&amp;"; "&amp;B608&amp;"; "&amp;D608&amp;"; "&amp;E608&amp;"; "&amp;X608&amp;"; "&amp;Y608&amp;"; "&amp;Z608&amp;"; "&amp;AA608&amp;"; "&amp;AB608&amp;"; "&amp;AC608&amp;"; "&amp;AD608&amp;"; "&amp;V608&amp;"; "&amp;C608&amp;"; "&amp;AH608&amp;"; "&amp;AI608)</x:f>
        <x:v>proposal.collection.metal_piston_head; metal piston head; crafting components; contemporary machine element; machine part; processed intermediate; manufactured / unresolved; machinery repair; metal; solid part; proposal; metal piston head; collection expansion; machine part; t3; not applicable; component</x:v>
      </x:c>
      <x:c r="AF608" s="4" t="str">
        <x:v>Collection expansion classification. Distinct type, use and material family; new item proposal unless author direction is marked. October 15 audit: classification/handling clarified; item identity, design status and material tier preserved.</x:v>
      </x:c>
      <x:c r="AG608" s="4" t="str">
        <x:v>Selected candidate processing route places this stock at T3. Raw entry is T0; source rarity does not raise tier.</x:v>
      </x:c>
      <x:c r="AH608" s="4" t="str">
        <x:v>Not applicable</x:v>
      </x:c>
      <x:c r="AI608" s="4" t="str">
        <x:v>Component</x:v>
      </x:c>
      <x:c r="AJ608" s="4" t="n">
        <x:f>COUNTIFS('Material routes'!$D$6:$D$2205,A608,'Material routes'!$C$6:$C$2205,"Output")</x:f>
        <x:v>1</x:v>
      </x:c>
      <x:c r="AK608" s="4" t="n">
        <x:f>SUM(COUNTIFS('Material routes'!$D$6:$D$2205,A608,'Material routes'!$C$6:$C$2205,"Ingredient candidate"),COUNTIFS('Material routes'!$D$6:$D$2205,A608,'Material routes'!$C$6:$C$2205,"Consumed input"),COUNTIFS('Material routes'!$D$6:$D$2205,A608,'Material routes'!$C$6:$C$2205,"Contained input"),COUNTIFS('Material routes'!$D$6:$D$2205,A608,'Material routes'!$C$6:$C$2205,"Transform input"))</x:f>
        <x:v>2</x:v>
      </x:c>
      <x:c r="AL608" s="4" t="n">
        <x:f>COUNTIFS('Material routes'!$D$6:$D$2205,A608,'Material routes'!$C$6:$C$2205,"Tool candidate")</x:f>
        <x:v>0</x:v>
      </x:c>
      <x:c r="AM608" s="4" t="str">
        <x:f>IF(AJ608&gt;0,"Route listed; review status/completeness",IF(C608="T0","Raw entry feed; no production route","No production route listed"))</x:f>
        <x:v>Route listed; review status/completeness</x:v>
      </x:c>
      <x:c r="AN608" s="4" t="n">
        <x:f>IF(C608="T0",0,IF(C608="T1",1,IF(C608="T2",2,IF(C608="T3",3,IF(C608="T4",4,IF(C608="Unassigned",98,99))))))</x:f>
        <x:v>3</x:v>
      </x:c>
      <x:c r="AZ608"/>
      <x:c r="BA608"/>
      <x:c r="BB608"/>
      <x:c r="BC608"/>
      <x:c r="BD608"/>
      <x:c r="BE608"/>
      <x:c r="BF608"/>
      <x:c r="BG608"/>
      <x:c r="BH608"/>
      <x:c r="BI608"/>
      <x:c r="BJ608"/>
      <x:c r="BK608"/>
      <x:c r="BL608"/>
      <x:c r="BM608"/>
      <x:c r="BN608"/>
      <x:c r="BO608"/>
      <x:c r="BP608"/>
      <x:c r="BQ608"/>
      <x:c r="BR608"/>
      <x:c r="BS608"/>
      <x:c r="BT608"/>
      <x:c r="BU608"/>
      <x:c r="BV608"/>
      <x:c r="BW608"/>
      <x:c r="BX608"/>
      <x:c r="BY608"/>
      <x:c r="BZ608"/>
      <x:c r="CA608"/>
      <x:c r="CB608"/>
      <x:c r="CC608"/>
    </x:row>
    <x:row r="609" ht="115" customHeight="1">
      <x:c r="A609" s="4" t="str">
        <x:v>proposal.collection.spring_seated_check_valve</x:v>
      </x:c>
      <x:c r="B609" s="4" t="str">
        <x:v>Spring-seated check valve</x:v>
      </x:c>
      <x:c r="C609" s="4" t="str">
        <x:v>T4</x:v>
      </x:c>
      <x:c r="D609" s="4" t="str">
        <x:v>Crafting components</x:v>
      </x:c>
      <x:c r="E609" s="4" t="str">
        <x:v>Contemporary machine element</x:v>
      </x:c>
      <x:c r="F609" s="4" t="str">
        <x:v>New proposal</x:v>
      </x:c>
      <x:c r="G609" s="4" t="inlineStr">
        <x:is>
          <x:t xml:space="preserve">Controls one-way flow in a compatible closed system. It is intended to replace, support or service a matching machine part; useful fit depends on the host mechanism.</x:t>
        </x:is>
      </x:c>
      <x:c r="H609" s="4" t="str">
        <x:v>None</x:v>
      </x:c>
      <x:c r="I609" s="4" t="str">
        <x:v>Physical inventory / cargo item; dimensions and packing unresolved</x:v>
      </x:c>
      <x:c r="J609" s="4"/>
      <x:c r="K609" s="4"/>
      <x:c r="L609" s="4" t="str">
        <x:v>Candidate preparation: design.collection.spring_seated_check_valve. Full inputs are in Crafting browser.</x:v>
      </x:c>
      <x:c r="M609" s="4" t="str">
        <x:v>Candidate workshop or contained preparation route; detailed tools, quantities and conditions unresolved</x:v>
      </x:c>
      <x:c r="N609" s="4" t="str">
        <x:v>Not implemented</x:v>
      </x:c>
      <x:c r="O609" s="4" t="str">
        <x:v>Specific dimensions, yield, fit, performance and service conditions remain open.</x:v>
      </x:c>
      <x:c r="P609" s="4"/>
      <x:c r="Q609" s="4"/>
      <x:c r="R609" s="4"/>
      <x:c r="S609" s="4"/>
      <x:c r="T609" s="4"/>
      <x:c r="U609" s="4" t="str">
        <x:v>Candidate inputs are partial. Resolve tools, supporting materials, energy, recovery and compatibility before recipes become craftable.</x:v>
      </x:c>
      <x:c r="V609" s="4" t="str">
        <x:v>spring-seated check valve; collection expansion; machine part</x:v>
      </x:c>
      <x:c r="W609" s="4" t="str">
        <x:v>New item proposal, October 15, 2026. Setting reference (source proposal): https://github.com/sleepyseamonster/Arc-Dust/blob/f6f98515c005dc3c73cccd9cbc031691745740c6/02-Arc-Dust-Worldbuilding/world/materials/industrial-material-palette.md</x:v>
      </x:c>
      <x:c r="X609" s="4" t="str">
        <x:v>Machine part</x:v>
      </x:c>
      <x:c r="Y609" s="4" t="str">
        <x:v>Processed intermediate</x:v>
      </x:c>
      <x:c r="Z609" s="4" t="str">
        <x:v>Manufactured / unresolved</x:v>
      </x:c>
      <x:c r="AA609" s="4" t="str">
        <x:v>Machinery repair</x:v>
      </x:c>
      <x:c r="AB609" s="4" t="str">
        <x:v>Mixed / unresolved</x:v>
      </x:c>
      <x:c r="AC609" s="4" t="str">
        <x:v>Assembly</x:v>
      </x:c>
      <x:c r="AD609" s="4" t="str">
        <x:v>Proposal</x:v>
      </x:c>
      <x:c r="AE609" s="4" t="str">
        <x:f>LOWER(A609&amp;"; "&amp;B609&amp;"; "&amp;D609&amp;"; "&amp;E609&amp;"; "&amp;X609&amp;"; "&amp;Y609&amp;"; "&amp;Z609&amp;"; "&amp;AA609&amp;"; "&amp;AB609&amp;"; "&amp;AC609&amp;"; "&amp;AD609&amp;"; "&amp;V609&amp;"; "&amp;C609&amp;"; "&amp;AH609&amp;"; "&amp;AI609)</x:f>
        <x:v>proposal.collection.spring_seated_check_valve; spring-seated check valve; crafting components; contemporary machine element; machine part; processed intermediate; manufactured / unresolved; machinery repair; mixed / unresolved; assembly; proposal; spring-seated check valve; collection expansion; machine part; t4; not applicable; component</x:v>
      </x:c>
      <x:c r="AF609" s="4" t="str">
        <x:v>Collection expansion classification. Distinct type, use and material family; new item proposal unless author direction is marked. October 15 audit: classification/handling clarified; item identity, design status and material tier preserved.</x:v>
      </x:c>
      <x:c r="AG609" s="4" t="str">
        <x:v>Selected candidate processing route places this stock at T4. Raw entry is T0; source rarity does not raise tier.</x:v>
      </x:c>
      <x:c r="AH609" s="4" t="str">
        <x:v>Not applicable</x:v>
      </x:c>
      <x:c r="AI609" s="4" t="str">
        <x:v>Component</x:v>
      </x:c>
      <x:c r="AJ609" s="4" t="n">
        <x:f>COUNTIFS('Material routes'!$D$6:$D$2205,A609,'Material routes'!$C$6:$C$2205,"Output")</x:f>
        <x:v>1</x:v>
      </x:c>
      <x:c r="AK609" s="4" t="n">
        <x:f>SUM(COUNTIFS('Material routes'!$D$6:$D$2205,A609,'Material routes'!$C$6:$C$2205,"Ingredient candidate"),COUNTIFS('Material routes'!$D$6:$D$2205,A609,'Material routes'!$C$6:$C$2205,"Consumed input"),COUNTIFS('Material routes'!$D$6:$D$2205,A609,'Material routes'!$C$6:$C$2205,"Contained input"),COUNTIFS('Material routes'!$D$6:$D$2205,A609,'Material routes'!$C$6:$C$2205,"Transform input"))</x:f>
        <x:v>2</x:v>
      </x:c>
      <x:c r="AL609" s="4" t="n">
        <x:f>COUNTIFS('Material routes'!$D$6:$D$2205,A609,'Material routes'!$C$6:$C$2205,"Tool candidate")</x:f>
        <x:v>0</x:v>
      </x:c>
      <x:c r="AM609" s="4" t="str">
        <x:f>IF(AJ609&gt;0,"Route listed; review status/completeness",IF(C609="T0","Raw entry feed; no production route","No production route listed"))</x:f>
        <x:v>Route listed; review status/completeness</x:v>
      </x:c>
      <x:c r="AN609" s="4" t="n">
        <x:f>IF(C609="T0",0,IF(C609="T1",1,IF(C609="T2",2,IF(C609="T3",3,IF(C609="T4",4,IF(C609="Unassigned",98,99))))))</x:f>
        <x:v>4</x:v>
      </x:c>
      <x:c r="AZ609"/>
      <x:c r="BA609"/>
      <x:c r="BB609"/>
      <x:c r="BC609"/>
      <x:c r="BD609"/>
      <x:c r="BE609"/>
      <x:c r="BF609"/>
      <x:c r="BG609"/>
      <x:c r="BH609"/>
      <x:c r="BI609"/>
      <x:c r="BJ609"/>
      <x:c r="BK609"/>
      <x:c r="BL609"/>
      <x:c r="BM609"/>
      <x:c r="BN609"/>
      <x:c r="BO609"/>
      <x:c r="BP609"/>
      <x:c r="BQ609"/>
      <x:c r="BR609"/>
      <x:c r="BS609"/>
      <x:c r="BT609"/>
      <x:c r="BU609"/>
      <x:c r="BV609"/>
      <x:c r="BW609"/>
      <x:c r="BX609"/>
      <x:c r="BY609"/>
      <x:c r="BZ609"/>
      <x:c r="CA609"/>
      <x:c r="CB609"/>
      <x:c r="CC609"/>
    </x:row>
    <x:row r="610" ht="115" customHeight="1">
      <x:c r="A610" s="4" t="str">
        <x:v>proposal.collection.graphite_current_brush</x:v>
      </x:c>
      <x:c r="B610" s="4" t="str">
        <x:v>Graphite current brush</x:v>
      </x:c>
      <x:c r="C610" s="4" t="str">
        <x:v>T2</x:v>
      </x:c>
      <x:c r="D610" s="4" t="str">
        <x:v>Crafting components</x:v>
      </x:c>
      <x:c r="E610" s="4" t="str">
        <x:v>Contemporary machine element</x:v>
      </x:c>
      <x:c r="F610" s="4" t="str">
        <x:v>New proposal</x:v>
      </x:c>
      <x:c r="G610" s="4" t="inlineStr">
        <x:is>
          <x:t xml:space="preserve">Makes a replaceable electrical rubbing contact. It is intended to replace, support or service a matching machine part; useful fit depends on the host mechanism.</x:t>
        </x:is>
      </x:c>
      <x:c r="H610" s="4" t="str">
        <x:v>None</x:v>
      </x:c>
      <x:c r="I610" s="4" t="str">
        <x:v>Physical inventory / cargo item; dimensions and packing unresolved</x:v>
      </x:c>
      <x:c r="J610" s="4"/>
      <x:c r="K610" s="4"/>
      <x:c r="L610" s="4" t="str">
        <x:v>Candidate preparation: design.collection.graphite_current_brush. Full inputs are in Crafting browser.</x:v>
      </x:c>
      <x:c r="M610" s="4" t="str">
        <x:v>Candidate workshop or contained preparation route; detailed tools, quantities and conditions unresolved</x:v>
      </x:c>
      <x:c r="N610" s="4" t="str">
        <x:v>Not implemented</x:v>
      </x:c>
      <x:c r="O610" s="4" t="str">
        <x:v>Specific dimensions, yield, fit, performance and service conditions remain open.</x:v>
      </x:c>
      <x:c r="P610" s="4"/>
      <x:c r="Q610" s="4"/>
      <x:c r="R610" s="4"/>
      <x:c r="S610" s="4"/>
      <x:c r="T610" s="4"/>
      <x:c r="U610" s="4" t="str">
        <x:v>Candidate inputs are partial. Resolve tools, supporting materials, energy, recovery and compatibility before recipes become craftable.</x:v>
      </x:c>
      <x:c r="V610" s="4" t="str">
        <x:v>graphite current brush; collection expansion; machine part</x:v>
      </x:c>
      <x:c r="W610" s="4" t="str">
        <x:v>New item proposal, October 15, 2026. Setting reference (source proposal): https://github.com/sleepyseamonster/Arc-Dust/blob/f6f98515c005dc3c73cccd9cbc031691745740c6/02-Arc-Dust-Worldbuilding/world/materials/industrial-material-palette.md</x:v>
      </x:c>
      <x:c r="X610" s="4" t="str">
        <x:v>Machine part</x:v>
      </x:c>
      <x:c r="Y610" s="4" t="str">
        <x:v>Processed intermediate</x:v>
      </x:c>
      <x:c r="Z610" s="4" t="str">
        <x:v>Manufactured / unresolved</x:v>
      </x:c>
      <x:c r="AA610" s="4" t="str">
        <x:v>Machinery repair</x:v>
      </x:c>
      <x:c r="AB610" s="4" t="str">
        <x:v>Carbonaceous material</x:v>
      </x:c>
      <x:c r="AC610" s="4" t="str">
        <x:v>Assembly</x:v>
      </x:c>
      <x:c r="AD610" s="4" t="str">
        <x:v>Proposal</x:v>
      </x:c>
      <x:c r="AE610" s="4" t="str">
        <x:f>LOWER(A610&amp;"; "&amp;B610&amp;"; "&amp;D610&amp;"; "&amp;E610&amp;"; "&amp;X610&amp;"; "&amp;Y610&amp;"; "&amp;Z610&amp;"; "&amp;AA610&amp;"; "&amp;AB610&amp;"; "&amp;AC610&amp;"; "&amp;AD610&amp;"; "&amp;V610&amp;"; "&amp;C610&amp;"; "&amp;AH610&amp;"; "&amp;AI610)</x:f>
        <x:v>proposal.collection.graphite_current_brush; graphite current brush; crafting components; contemporary machine element; machine part; processed intermediate; manufactured / unresolved; machinery repair; carbonaceous material; assembly; proposal; graphite current brush; collection expansion; machine part; t2; not applicable; component</x:v>
      </x:c>
      <x:c r="AF610" s="4" t="str">
        <x:v>Collection expansion classification. Distinct type, use and material family; new item proposal unless author direction is marked. October 15 audit: classification/handling clarified; item identity, design status and material tier preserved.</x:v>
      </x:c>
      <x:c r="AG610" s="4" t="str">
        <x:v>Selected candidate processing route places this stock at T2. Raw entry is T0; source rarity does not raise tier.</x:v>
      </x:c>
      <x:c r="AH610" s="4" t="str">
        <x:v>Not applicable</x:v>
      </x:c>
      <x:c r="AI610" s="4" t="str">
        <x:v>Component</x:v>
      </x:c>
      <x:c r="AJ610" s="4" t="n">
        <x:f>COUNTIFS('Material routes'!$D$6:$D$2205,A610,'Material routes'!$C$6:$C$2205,"Output")</x:f>
        <x:v>1</x:v>
      </x:c>
      <x:c r="AK610" s="4" t="n">
        <x:f>SUM(COUNTIFS('Material routes'!$D$6:$D$2205,A610,'Material routes'!$C$6:$C$2205,"Ingredient candidate"),COUNTIFS('Material routes'!$D$6:$D$2205,A610,'Material routes'!$C$6:$C$2205,"Consumed input"),COUNTIFS('Material routes'!$D$6:$D$2205,A610,'Material routes'!$C$6:$C$2205,"Contained input"),COUNTIFS('Material routes'!$D$6:$D$2205,A610,'Material routes'!$C$6:$C$2205,"Transform input"))</x:f>
        <x:v>1</x:v>
      </x:c>
      <x:c r="AL610" s="4" t="n">
        <x:f>COUNTIFS('Material routes'!$D$6:$D$2205,A610,'Material routes'!$C$6:$C$2205,"Tool candidate")</x:f>
        <x:v>0</x:v>
      </x:c>
      <x:c r="AM610" s="4" t="str">
        <x:f>IF(AJ610&gt;0,"Route listed; review status/completeness",IF(C610="T0","Raw entry feed; no production route","No production route listed"))</x:f>
        <x:v>Route listed; review status/completeness</x:v>
      </x:c>
      <x:c r="AN610" s="4" t="n">
        <x:f>IF(C610="T0",0,IF(C610="T1",1,IF(C610="T2",2,IF(C610="T3",3,IF(C610="T4",4,IF(C610="Unassigned",98,99))))))</x:f>
        <x:v>2</x:v>
      </x:c>
      <x:c r="AZ610"/>
      <x:c r="BA610"/>
      <x:c r="BB610"/>
      <x:c r="BC610"/>
      <x:c r="BD610"/>
      <x:c r="BE610"/>
      <x:c r="BF610"/>
      <x:c r="BG610"/>
      <x:c r="BH610"/>
      <x:c r="BI610"/>
      <x:c r="BJ610"/>
      <x:c r="BK610"/>
      <x:c r="BL610"/>
      <x:c r="BM610"/>
      <x:c r="BN610"/>
      <x:c r="BO610"/>
      <x:c r="BP610"/>
      <x:c r="BQ610"/>
      <x:c r="BR610"/>
      <x:c r="BS610"/>
      <x:c r="BT610"/>
      <x:c r="BU610"/>
      <x:c r="BV610"/>
      <x:c r="BW610"/>
      <x:c r="BX610"/>
      <x:c r="BY610"/>
      <x:c r="BZ610"/>
      <x:c r="CA610"/>
      <x:c r="CB610"/>
      <x:c r="CC610"/>
    </x:row>
    <x:row r="611" ht="115" customHeight="1">
      <x:c r="A611" s="4" t="str">
        <x:v>proposal.collection.segmented_commutator_ring</x:v>
      </x:c>
      <x:c r="B611" s="4" t="str">
        <x:v>Segmented commutator ring</x:v>
      </x:c>
      <x:c r="C611" s="4" t="str">
        <x:v>T4</x:v>
      </x:c>
      <x:c r="D611" s="4" t="str">
        <x:v>Crafting components</x:v>
      </x:c>
      <x:c r="E611" s="4" t="str">
        <x:v>Contemporary machine element</x:v>
      </x:c>
      <x:c r="F611" s="4" t="str">
        <x:v>New proposal</x:v>
      </x:c>
      <x:c r="G611" s="4" t="inlineStr">
        <x:is>
          <x:t xml:space="preserve">Switches current in a crude rotating machine. It is intended to replace, support or service a matching machine part; useful fit depends on the host mechanism.</x:t>
        </x:is>
      </x:c>
      <x:c r="H611" s="4" t="str">
        <x:v>None</x:v>
      </x:c>
      <x:c r="I611" s="4" t="str">
        <x:v>Physical inventory / cargo item; dimensions and packing unresolved</x:v>
      </x:c>
      <x:c r="J611" s="4"/>
      <x:c r="K611" s="4"/>
      <x:c r="L611" s="4" t="str">
        <x:v>Candidate preparation: design.collection.segmented_commutator_ring. Full inputs are in Crafting browser.</x:v>
      </x:c>
      <x:c r="M611" s="4" t="str">
        <x:v>Candidate workshop or contained preparation route; detailed tools, quantities and conditions unresolved</x:v>
      </x:c>
      <x:c r="N611" s="4" t="str">
        <x:v>Not implemented</x:v>
      </x:c>
      <x:c r="O611" s="4" t="str">
        <x:v>Specific dimensions, yield, fit, performance and service conditions remain open.</x:v>
      </x:c>
      <x:c r="P611" s="4"/>
      <x:c r="Q611" s="4"/>
      <x:c r="R611" s="4"/>
      <x:c r="S611" s="4"/>
      <x:c r="T611" s="4"/>
      <x:c r="U611" s="4" t="str">
        <x:v>Candidate inputs are partial. Resolve tools, supporting materials, energy, recovery and compatibility before recipes become craftable.</x:v>
      </x:c>
      <x:c r="V611" s="4" t="str">
        <x:v>segmented commutator ring; collection expansion; machine part</x:v>
      </x:c>
      <x:c r="W611" s="4" t="str">
        <x:v>New item proposal, October 15, 2026. Setting reference (source proposal): https://github.com/sleepyseamonster/Arc-Dust/blob/f6f98515c005dc3c73cccd9cbc031691745740c6/02-Arc-Dust-Worldbuilding/world/materials/industrial-material-palette.md</x:v>
      </x:c>
      <x:c r="X611" s="4" t="str">
        <x:v>Machine part</x:v>
      </x:c>
      <x:c r="Y611" s="4" t="str">
        <x:v>Processed intermediate</x:v>
      </x:c>
      <x:c r="Z611" s="4" t="str">
        <x:v>Manufactured / unresolved</x:v>
      </x:c>
      <x:c r="AA611" s="4" t="str">
        <x:v>Machinery repair</x:v>
      </x:c>
      <x:c r="AB611" s="4" t="str">
        <x:v>Ceramic and metal</x:v>
      </x:c>
      <x:c r="AC611" s="4" t="str">
        <x:v>Assembly</x:v>
      </x:c>
      <x:c r="AD611" s="4" t="str">
        <x:v>Proposal</x:v>
      </x:c>
      <x:c r="AE611" s="4" t="str">
        <x:f>LOWER(A611&amp;"; "&amp;B611&amp;"; "&amp;D611&amp;"; "&amp;E611&amp;"; "&amp;X611&amp;"; "&amp;Y611&amp;"; "&amp;Z611&amp;"; "&amp;AA611&amp;"; "&amp;AB611&amp;"; "&amp;AC611&amp;"; "&amp;AD611&amp;"; "&amp;V611&amp;"; "&amp;C611&amp;"; "&amp;AH611&amp;"; "&amp;AI611)</x:f>
        <x:v>proposal.collection.segmented_commutator_ring; segmented commutator ring; crafting components; contemporary machine element; machine part; processed intermediate; manufactured / unresolved; machinery repair; ceramic and metal; assembly; proposal; segmented commutator ring; collection expansion; machine part; t4; not applicable; component</x:v>
      </x:c>
      <x:c r="AF611" s="4" t="str">
        <x:v>Collection expansion classification. Distinct type, use and material family; new item proposal unless author direction is marked. October 15 audit: classification/handling clarified; item identity, design status and material tier preserved.</x:v>
      </x:c>
      <x:c r="AG611" s="4" t="str">
        <x:v>Selected candidate processing route places this stock at T4. Raw entry is T0; source rarity does not raise tier.</x:v>
      </x:c>
      <x:c r="AH611" s="4" t="str">
        <x:v>Not applicable</x:v>
      </x:c>
      <x:c r="AI611" s="4" t="str">
        <x:v>Component</x:v>
      </x:c>
      <x:c r="AJ611" s="4" t="n">
        <x:f>COUNTIFS('Material routes'!$D$6:$D$2205,A611,'Material routes'!$C$6:$C$2205,"Output")</x:f>
        <x:v>1</x:v>
      </x:c>
      <x:c r="AK611" s="4" t="n">
        <x:f>SUM(COUNTIFS('Material routes'!$D$6:$D$2205,A611,'Material routes'!$C$6:$C$2205,"Ingredient candidate"),COUNTIFS('Material routes'!$D$6:$D$2205,A611,'Material routes'!$C$6:$C$2205,"Consumed input"),COUNTIFS('Material routes'!$D$6:$D$2205,A611,'Material routes'!$C$6:$C$2205,"Contained input"),COUNTIFS('Material routes'!$D$6:$D$2205,A611,'Material routes'!$C$6:$C$2205,"Transform input"))</x:f>
        <x:v>0</x:v>
      </x:c>
      <x:c r="AL611" s="4" t="n">
        <x:f>COUNTIFS('Material routes'!$D$6:$D$2205,A611,'Material routes'!$C$6:$C$2205,"Tool candidate")</x:f>
        <x:v>0</x:v>
      </x:c>
      <x:c r="AM611" s="4" t="str">
        <x:f>IF(AJ611&gt;0,"Route listed; review status/completeness",IF(C611="T0","Raw entry feed; no production route","No production route listed"))</x:f>
        <x:v>Route listed; review status/completeness</x:v>
      </x:c>
      <x:c r="AN611" s="4" t="n">
        <x:f>IF(C611="T0",0,IF(C611="T1",1,IF(C611="T2",2,IF(C611="T3",3,IF(C611="T4",4,IF(C611="Unassigned",98,99))))))</x:f>
        <x:v>4</x:v>
      </x:c>
      <x:c r="AZ611"/>
      <x:c r="BA611"/>
      <x:c r="BB611"/>
      <x:c r="BC611"/>
      <x:c r="BD611"/>
      <x:c r="BE611"/>
      <x:c r="BF611"/>
      <x:c r="BG611"/>
      <x:c r="BH611"/>
      <x:c r="BI611"/>
      <x:c r="BJ611"/>
      <x:c r="BK611"/>
      <x:c r="BL611"/>
      <x:c r="BM611"/>
      <x:c r="BN611"/>
      <x:c r="BO611"/>
      <x:c r="BP611"/>
      <x:c r="BQ611"/>
      <x:c r="BR611"/>
      <x:c r="BS611"/>
      <x:c r="BT611"/>
      <x:c r="BU611"/>
      <x:c r="BV611"/>
      <x:c r="BW611"/>
      <x:c r="BX611"/>
      <x:c r="BY611"/>
      <x:c r="BZ611"/>
      <x:c r="CA611"/>
      <x:c r="CB611"/>
      <x:c r="CC611"/>
    </x:row>
    <x:row r="612" ht="115" customHeight="1">
      <x:c r="A612" s="4" t="str">
        <x:v>proposal.collection.iron_wound_relay_core</x:v>
      </x:c>
      <x:c r="B612" s="4" t="str">
        <x:v>Iron-wound relay core</x:v>
      </x:c>
      <x:c r="C612" s="4" t="str">
        <x:v>T4</x:v>
      </x:c>
      <x:c r="D612" s="4" t="str">
        <x:v>Crafting components</x:v>
      </x:c>
      <x:c r="E612" s="4" t="str">
        <x:v>Contemporary machine element</x:v>
      </x:c>
      <x:c r="F612" s="4" t="str">
        <x:v>New proposal</x:v>
      </x:c>
      <x:c r="G612" s="4" t="inlineStr">
        <x:is>
          <x:t xml:space="preserve">Provides a bulky electromechanical switching element. It is intended to replace, support or service a matching machine part; useful fit depends on the host mechanism.</x:t>
        </x:is>
      </x:c>
      <x:c r="H612" s="4" t="str">
        <x:v>None</x:v>
      </x:c>
      <x:c r="I612" s="4" t="str">
        <x:v>Physical inventory / cargo item; dimensions and packing unresolved</x:v>
      </x:c>
      <x:c r="J612" s="4"/>
      <x:c r="K612" s="4"/>
      <x:c r="L612" s="4" t="str">
        <x:v>Candidate preparation: design.collection.iron_wound_relay_core. Full inputs are in Crafting browser.</x:v>
      </x:c>
      <x:c r="M612" s="4" t="str">
        <x:v>Candidate workshop or contained preparation route; detailed tools, quantities and conditions unresolved</x:v>
      </x:c>
      <x:c r="N612" s="4" t="str">
        <x:v>Not implemented</x:v>
      </x:c>
      <x:c r="O612" s="4" t="str">
        <x:v>Specific dimensions, yield, fit, performance and service conditions remain open.</x:v>
      </x:c>
      <x:c r="P612" s="4"/>
      <x:c r="Q612" s="4"/>
      <x:c r="R612" s="4"/>
      <x:c r="S612" s="4"/>
      <x:c r="T612" s="4"/>
      <x:c r="U612" s="4" t="str">
        <x:v>Candidate inputs are partial. Resolve tools, supporting materials, energy, recovery and compatibility before recipes become craftable.</x:v>
      </x:c>
      <x:c r="V612" s="4" t="str">
        <x:v>iron-wound relay core; collection expansion; machine part</x:v>
      </x:c>
      <x:c r="W612" s="4" t="str">
        <x:v>New item proposal, October 15, 2026. Setting reference (source proposal): https://github.com/sleepyseamonster/Arc-Dust/blob/f6f98515c005dc3c73cccd9cbc031691745740c6/02-Arc-Dust-Worldbuilding/world/materials/industrial-material-palette.md</x:v>
      </x:c>
      <x:c r="X612" s="4" t="str">
        <x:v>Machine part</x:v>
      </x:c>
      <x:c r="Y612" s="4" t="str">
        <x:v>Processed intermediate</x:v>
      </x:c>
      <x:c r="Z612" s="4" t="str">
        <x:v>Manufactured / unresolved</x:v>
      </x:c>
      <x:c r="AA612" s="4" t="str">
        <x:v>Machinery repair</x:v>
      </x:c>
      <x:c r="AB612" s="4" t="str">
        <x:v>Mixed / unresolved</x:v>
      </x:c>
      <x:c r="AC612" s="4" t="str">
        <x:v>Assembly</x:v>
      </x:c>
      <x:c r="AD612" s="4" t="str">
        <x:v>Proposal</x:v>
      </x:c>
      <x:c r="AE612" s="4" t="str">
        <x:f>LOWER(A612&amp;"; "&amp;B612&amp;"; "&amp;D612&amp;"; "&amp;E612&amp;"; "&amp;X612&amp;"; "&amp;Y612&amp;"; "&amp;Z612&amp;"; "&amp;AA612&amp;"; "&amp;AB612&amp;"; "&amp;AC612&amp;"; "&amp;AD612&amp;"; "&amp;V612&amp;"; "&amp;C612&amp;"; "&amp;AH612&amp;"; "&amp;AI612)</x:f>
        <x:v>proposal.collection.iron_wound_relay_core; iron-wound relay core; crafting components; contemporary machine element; machine part; processed intermediate; manufactured / unresolved; machinery repair; mixed / unresolved; assembly; proposal; iron-wound relay core; collection expansion; machine part; t4; not applicable; component</x:v>
      </x:c>
      <x:c r="AF612" s="4" t="str">
        <x:v>Collection expansion classification. Distinct type, use and material family; new item proposal unless author direction is marked. October 15 audit: classification/handling clarified; item identity, design status and material tier preserved.</x:v>
      </x:c>
      <x:c r="AG612" s="4" t="str">
        <x:v>Selected candidate processing route places this stock at T4. Raw entry is T0; source rarity does not raise tier.</x:v>
      </x:c>
      <x:c r="AH612" s="4" t="str">
        <x:v>Not applicable</x:v>
      </x:c>
      <x:c r="AI612" s="4" t="str">
        <x:v>Component</x:v>
      </x:c>
      <x:c r="AJ612" s="4" t="n">
        <x:f>COUNTIFS('Material routes'!$D$6:$D$2205,A612,'Material routes'!$C$6:$C$2205,"Output")</x:f>
        <x:v>1</x:v>
      </x:c>
      <x:c r="AK612" s="4" t="n">
        <x:f>SUM(COUNTIFS('Material routes'!$D$6:$D$2205,A612,'Material routes'!$C$6:$C$2205,"Ingredient candidate"),COUNTIFS('Material routes'!$D$6:$D$2205,A612,'Material routes'!$C$6:$C$2205,"Consumed input"),COUNTIFS('Material routes'!$D$6:$D$2205,A612,'Material routes'!$C$6:$C$2205,"Contained input"),COUNTIFS('Material routes'!$D$6:$D$2205,A612,'Material routes'!$C$6:$C$2205,"Transform input"))</x:f>
        <x:v>1</x:v>
      </x:c>
      <x:c r="AL612" s="4" t="n">
        <x:f>COUNTIFS('Material routes'!$D$6:$D$2205,A612,'Material routes'!$C$6:$C$2205,"Tool candidate")</x:f>
        <x:v>0</x:v>
      </x:c>
      <x:c r="AM612" s="4" t="str">
        <x:f>IF(AJ612&gt;0,"Route listed; review status/completeness",IF(C612="T0","Raw entry feed; no production route","No production route listed"))</x:f>
        <x:v>Route listed; review status/completeness</x:v>
      </x:c>
      <x:c r="AN612" s="4" t="n">
        <x:f>IF(C612="T0",0,IF(C612="T1",1,IF(C612="T2",2,IF(C612="T3",3,IF(C612="T4",4,IF(C612="Unassigned",98,99))))))</x:f>
        <x:v>4</x:v>
      </x:c>
      <x:c r="AZ612"/>
      <x:c r="BA612"/>
      <x:c r="BB612"/>
      <x:c r="BC612"/>
      <x:c r="BD612"/>
      <x:c r="BE612"/>
      <x:c r="BF612"/>
      <x:c r="BG612"/>
      <x:c r="BH612"/>
      <x:c r="BI612"/>
      <x:c r="BJ612"/>
      <x:c r="BK612"/>
      <x:c r="BL612"/>
      <x:c r="BM612"/>
      <x:c r="BN612"/>
      <x:c r="BO612"/>
      <x:c r="BP612"/>
      <x:c r="BQ612"/>
      <x:c r="BR612"/>
      <x:c r="BS612"/>
      <x:c r="BT612"/>
      <x:c r="BU612"/>
      <x:c r="BV612"/>
      <x:c r="BW612"/>
      <x:c r="BX612"/>
      <x:c r="BY612"/>
      <x:c r="BZ612"/>
      <x:c r="CA612"/>
      <x:c r="CB612"/>
      <x:c r="CC612"/>
    </x:row>
    <x:row r="613" ht="115" customHeight="1">
      <x:c r="A613" s="4" t="str">
        <x:v>proposal.collection.mica_separated_terminal_strip</x:v>
      </x:c>
      <x:c r="B613" s="4" t="str">
        <x:v>Mica-separated terminal strip</x:v>
      </x:c>
      <x:c r="C613" s="4" t="str">
        <x:v>T4</x:v>
      </x:c>
      <x:c r="D613" s="4" t="str">
        <x:v>Crafting components</x:v>
      </x:c>
      <x:c r="E613" s="4" t="str">
        <x:v>Contemporary machine element</x:v>
      </x:c>
      <x:c r="F613" s="4" t="str">
        <x:v>New proposal</x:v>
      </x:c>
      <x:c r="G613" s="4" t="inlineStr">
        <x:is>
          <x:t xml:space="preserve">Keeps exposed terminals spaced on an insulating base. It is intended to replace, support or service a matching machine part; useful fit depends on the host mechanism.</x:t>
        </x:is>
      </x:c>
      <x:c r="H613" s="4" t="str">
        <x:v>None</x:v>
      </x:c>
      <x:c r="I613" s="4" t="str">
        <x:v>Physical inventory / cargo item; dimensions and packing unresolved</x:v>
      </x:c>
      <x:c r="J613" s="4"/>
      <x:c r="K613" s="4"/>
      <x:c r="L613" s="4" t="str">
        <x:v>Candidate preparation: design.collection.mica_separated_terminal_strip. Full inputs are in Crafting browser.</x:v>
      </x:c>
      <x:c r="M613" s="4" t="str">
        <x:v>Candidate workshop or contained preparation route; detailed tools, quantities and conditions unresolved</x:v>
      </x:c>
      <x:c r="N613" s="4" t="str">
        <x:v>Not implemented</x:v>
      </x:c>
      <x:c r="O613" s="4" t="str">
        <x:v>Specific dimensions, yield, fit, performance and service conditions remain open.</x:v>
      </x:c>
      <x:c r="P613" s="4"/>
      <x:c r="Q613" s="4"/>
      <x:c r="R613" s="4"/>
      <x:c r="S613" s="4"/>
      <x:c r="T613" s="4"/>
      <x:c r="U613" s="4" t="str">
        <x:v>Candidate inputs are partial. Resolve tools, supporting materials, energy, recovery and compatibility before recipes become craftable.</x:v>
      </x:c>
      <x:c r="V613" s="4" t="str">
        <x:v>mica-separated terminal strip; collection expansion; machine part</x:v>
      </x:c>
      <x:c r="W613" s="4" t="str">
        <x:v>New item proposal, October 15, 2026. Setting reference (source proposal): https://github.com/sleepyseamonster/Arc-Dust/blob/f6f98515c005dc3c73cccd9cbc031691745740c6/02-Arc-Dust-Worldbuilding/world/materials/industrial-material-palette.md</x:v>
      </x:c>
      <x:c r="X613" s="4" t="str">
        <x:v>Machine part</x:v>
      </x:c>
      <x:c r="Y613" s="4" t="str">
        <x:v>Processed intermediate</x:v>
      </x:c>
      <x:c r="Z613" s="4" t="str">
        <x:v>Manufactured / unresolved</x:v>
      </x:c>
      <x:c r="AA613" s="4" t="str">
        <x:v>Machinery repair</x:v>
      </x:c>
      <x:c r="AB613" s="4" t="str">
        <x:v>Mixed / unresolved</x:v>
      </x:c>
      <x:c r="AC613" s="4" t="str">
        <x:v>Solid part</x:v>
      </x:c>
      <x:c r="AD613" s="4" t="str">
        <x:v>Proposal</x:v>
      </x:c>
      <x:c r="AE613" s="4" t="str">
        <x:f>LOWER(A613&amp;"; "&amp;B613&amp;"; "&amp;D613&amp;"; "&amp;E613&amp;"; "&amp;X613&amp;"; "&amp;Y613&amp;"; "&amp;Z613&amp;"; "&amp;AA613&amp;"; "&amp;AB613&amp;"; "&amp;AC613&amp;"; "&amp;AD613&amp;"; "&amp;V613&amp;"; "&amp;C613&amp;"; "&amp;AH613&amp;"; "&amp;AI613)</x:f>
        <x:v>proposal.collection.mica_separated_terminal_strip; mica-separated terminal strip; crafting components; contemporary machine element; machine part; processed intermediate; manufactured / unresolved; machinery repair; mixed / unresolved; solid part; proposal; mica-separated terminal strip; collection expansion; machine part; t4; not applicable; component</x:v>
      </x:c>
      <x:c r="AF613" s="4" t="str">
        <x:v>Collection expansion classification. Distinct type, use and material family; new item proposal unless author direction is marked. October 15 audit: classification/handling clarified; item identity, design status and material tier preserved.</x:v>
      </x:c>
      <x:c r="AG613" s="4" t="str">
        <x:v>Selected candidate processing route places this stock at T4. Raw entry is T0; source rarity does not raise tier.</x:v>
      </x:c>
      <x:c r="AH613" s="4" t="str">
        <x:v>Not applicable</x:v>
      </x:c>
      <x:c r="AI613" s="4" t="str">
        <x:v>Component</x:v>
      </x:c>
      <x:c r="AJ613" s="4" t="n">
        <x:f>COUNTIFS('Material routes'!$D$6:$D$2205,A613,'Material routes'!$C$6:$C$2205,"Output")</x:f>
        <x:v>1</x:v>
      </x:c>
      <x:c r="AK613" s="4" t="n">
        <x:f>SUM(COUNTIFS('Material routes'!$D$6:$D$2205,A613,'Material routes'!$C$6:$C$2205,"Ingredient candidate"),COUNTIFS('Material routes'!$D$6:$D$2205,A613,'Material routes'!$C$6:$C$2205,"Consumed input"),COUNTIFS('Material routes'!$D$6:$D$2205,A613,'Material routes'!$C$6:$C$2205,"Contained input"),COUNTIFS('Material routes'!$D$6:$D$2205,A613,'Material routes'!$C$6:$C$2205,"Transform input"))</x:f>
        <x:v>2</x:v>
      </x:c>
      <x:c r="AL613" s="4" t="n">
        <x:f>COUNTIFS('Material routes'!$D$6:$D$2205,A613,'Material routes'!$C$6:$C$2205,"Tool candidate")</x:f>
        <x:v>0</x:v>
      </x:c>
      <x:c r="AM613" s="4" t="str">
        <x:f>IF(AJ613&gt;0,"Route listed; review status/completeness",IF(C613="T0","Raw entry feed; no production route","No production route listed"))</x:f>
        <x:v>Route listed; review status/completeness</x:v>
      </x:c>
      <x:c r="AN613" s="4" t="n">
        <x:f>IF(C613="T0",0,IF(C613="T1",1,IF(C613="T2",2,IF(C613="T3",3,IF(C613="T4",4,IF(C613="Unassigned",98,99))))))</x:f>
        <x:v>4</x:v>
      </x:c>
      <x:c r="AZ613"/>
      <x:c r="BA613"/>
      <x:c r="BB613"/>
      <x:c r="BC613"/>
      <x:c r="BD613"/>
      <x:c r="BE613"/>
      <x:c r="BF613"/>
      <x:c r="BG613"/>
      <x:c r="BH613"/>
      <x:c r="BI613"/>
      <x:c r="BJ613"/>
      <x:c r="BK613"/>
      <x:c r="BL613"/>
      <x:c r="BM613"/>
      <x:c r="BN613"/>
      <x:c r="BO613"/>
      <x:c r="BP613"/>
      <x:c r="BQ613"/>
      <x:c r="BR613"/>
      <x:c r="BS613"/>
      <x:c r="BT613"/>
      <x:c r="BU613"/>
      <x:c r="BV613"/>
      <x:c r="BW613"/>
      <x:c r="BX613"/>
      <x:c r="BY613"/>
      <x:c r="BZ613"/>
      <x:c r="CA613"/>
      <x:c r="CB613"/>
      <x:c r="CC613"/>
    </x:row>
    <x:row r="614" ht="115" customHeight="1">
      <x:c r="A614" s="4" t="str">
        <x:v>proposal.collection.ceramic_wire_routing_comb</x:v>
      </x:c>
      <x:c r="B614" s="4" t="str">
        <x:v>Ceramic wire-routing comb</x:v>
      </x:c>
      <x:c r="C614" s="4" t="str">
        <x:v>T3</x:v>
      </x:c>
      <x:c r="D614" s="4" t="str">
        <x:v>Crafting components</x:v>
      </x:c>
      <x:c r="E614" s="4" t="str">
        <x:v>Contemporary machine element</x:v>
      </x:c>
      <x:c r="F614" s="4" t="str">
        <x:v>New proposal</x:v>
      </x:c>
      <x:c r="G614" s="4" t="inlineStr">
        <x:is>
          <x:t xml:space="preserve">Spaces conductors along a machine frame. It is intended to replace, support or service a matching machine part; useful fit depends on the host mechanism.</x:t>
        </x:is>
      </x:c>
      <x:c r="H614" s="4" t="str">
        <x:v>None</x:v>
      </x:c>
      <x:c r="I614" s="4" t="str">
        <x:v>Physical inventory / cargo item; dimensions and packing unresolved</x:v>
      </x:c>
      <x:c r="J614" s="4"/>
      <x:c r="K614" s="4"/>
      <x:c r="L614" s="4" t="str">
        <x:v>Candidate preparation: design.collection.ceramic_wire_routing_comb. Full inputs are in Crafting browser.</x:v>
      </x:c>
      <x:c r="M614" s="4" t="str">
        <x:v>Candidate workshop or contained preparation route; detailed tools, quantities and conditions unresolved</x:v>
      </x:c>
      <x:c r="N614" s="4" t="str">
        <x:v>Not implemented</x:v>
      </x:c>
      <x:c r="O614" s="4" t="str">
        <x:v>Specific dimensions, yield, fit, performance and service conditions remain open.</x:v>
      </x:c>
      <x:c r="P614" s="4"/>
      <x:c r="Q614" s="4"/>
      <x:c r="R614" s="4"/>
      <x:c r="S614" s="4"/>
      <x:c r="T614" s="4"/>
      <x:c r="U614" s="4" t="str">
        <x:v>Candidate inputs are partial. Resolve tools, supporting materials, energy, recovery and compatibility before recipes become craftable.</x:v>
      </x:c>
      <x:c r="V614" s="4" t="str">
        <x:v>ceramic wire-routing comb; collection expansion; machine part</x:v>
      </x:c>
      <x:c r="W614" s="4" t="str">
        <x:v>New item proposal, October 15, 2026. Setting reference (source proposal): https://github.com/sleepyseamonster/Arc-Dust/blob/f6f98515c005dc3c73cccd9cbc031691745740c6/02-Arc-Dust-Worldbuilding/world/materials/industrial-material-palette.md</x:v>
      </x:c>
      <x:c r="X614" s="4" t="str">
        <x:v>Machine part</x:v>
      </x:c>
      <x:c r="Y614" s="4" t="str">
        <x:v>Processed intermediate</x:v>
      </x:c>
      <x:c r="Z614" s="4" t="str">
        <x:v>Manufactured / unresolved</x:v>
      </x:c>
      <x:c r="AA614" s="4" t="str">
        <x:v>Machinery repair</x:v>
      </x:c>
      <x:c r="AB614" s="4" t="str">
        <x:v>Ceramic</x:v>
      </x:c>
      <x:c r="AC614" s="4" t="str">
        <x:v>Solid part</x:v>
      </x:c>
      <x:c r="AD614" s="4" t="str">
        <x:v>Proposal</x:v>
      </x:c>
      <x:c r="AE614" s="4" t="str">
        <x:f>LOWER(A614&amp;"; "&amp;B614&amp;"; "&amp;D614&amp;"; "&amp;E614&amp;"; "&amp;X614&amp;"; "&amp;Y614&amp;"; "&amp;Z614&amp;"; "&amp;AA614&amp;"; "&amp;AB614&amp;"; "&amp;AC614&amp;"; "&amp;AD614&amp;"; "&amp;V614&amp;"; "&amp;C614&amp;"; "&amp;AH614&amp;"; "&amp;AI614)</x:f>
        <x:v>proposal.collection.ceramic_wire_routing_comb; ceramic wire-routing comb; crafting components; contemporary machine element; machine part; processed intermediate; manufactured / unresolved; machinery repair; ceramic; solid part; proposal; ceramic wire-routing comb; collection expansion; machine part; t3; not applicable; component</x:v>
      </x:c>
      <x:c r="AF614" s="4" t="str">
        <x:v>Collection expansion classification. Distinct type, use and material family; new item proposal unless author direction is marked. October 15 audit: classification/handling clarified; item identity, design status and material tier preserved.</x:v>
      </x:c>
      <x:c r="AG614" s="4" t="str">
        <x:v>Selected candidate processing route places this stock at T3. Raw entry is T0; source rarity does not raise tier.</x:v>
      </x:c>
      <x:c r="AH614" s="4" t="str">
        <x:v>Not applicable</x:v>
      </x:c>
      <x:c r="AI614" s="4" t="str">
        <x:v>Component</x:v>
      </x:c>
      <x:c r="AJ614" s="4" t="n">
        <x:f>COUNTIFS('Material routes'!$D$6:$D$2205,A614,'Material routes'!$C$6:$C$2205,"Output")</x:f>
        <x:v>1</x:v>
      </x:c>
      <x:c r="AK614" s="4" t="n">
        <x:f>SUM(COUNTIFS('Material routes'!$D$6:$D$2205,A614,'Material routes'!$C$6:$C$2205,"Ingredient candidate"),COUNTIFS('Material routes'!$D$6:$D$2205,A614,'Material routes'!$C$6:$C$2205,"Consumed input"),COUNTIFS('Material routes'!$D$6:$D$2205,A614,'Material routes'!$C$6:$C$2205,"Contained input"),COUNTIFS('Material routes'!$D$6:$D$2205,A614,'Material routes'!$C$6:$C$2205,"Transform input"))</x:f>
        <x:v>0</x:v>
      </x:c>
      <x:c r="AL614" s="4" t="n">
        <x:f>COUNTIFS('Material routes'!$D$6:$D$2205,A614,'Material routes'!$C$6:$C$2205,"Tool candidate")</x:f>
        <x:v>0</x:v>
      </x:c>
      <x:c r="AM614" s="4" t="str">
        <x:f>IF(AJ614&gt;0,"Route listed; review status/completeness",IF(C614="T0","Raw entry feed; no production route","No production route listed"))</x:f>
        <x:v>Route listed; review status/completeness</x:v>
      </x:c>
      <x:c r="AN614" s="4" t="n">
        <x:f>IF(C614="T0",0,IF(C614="T1",1,IF(C614="T2",2,IF(C614="T3",3,IF(C614="T4",4,IF(C614="Unassigned",98,99))))))</x:f>
        <x:v>3</x:v>
      </x:c>
      <x:c r="AZ614"/>
      <x:c r="BA614"/>
      <x:c r="BB614"/>
      <x:c r="BC614"/>
      <x:c r="BD614"/>
      <x:c r="BE614"/>
      <x:c r="BF614"/>
      <x:c r="BG614"/>
      <x:c r="BH614"/>
      <x:c r="BI614"/>
      <x:c r="BJ614"/>
      <x:c r="BK614"/>
      <x:c r="BL614"/>
      <x:c r="BM614"/>
      <x:c r="BN614"/>
      <x:c r="BO614"/>
      <x:c r="BP614"/>
      <x:c r="BQ614"/>
      <x:c r="BR614"/>
      <x:c r="BS614"/>
      <x:c r="BT614"/>
      <x:c r="BU614"/>
      <x:c r="BV614"/>
      <x:c r="BW614"/>
      <x:c r="BX614"/>
      <x:c r="BY614"/>
      <x:c r="BZ614"/>
      <x:c r="CA614"/>
      <x:c r="CB614"/>
      <x:c r="CC614"/>
    </x:row>
    <x:row r="615" ht="115" customHeight="1">
      <x:c r="A615" s="4" t="str">
        <x:v>proposal.collection.braided_iron_signal_lead</x:v>
      </x:c>
      <x:c r="B615" s="4" t="str">
        <x:v>Braided iron signal lead</x:v>
      </x:c>
      <x:c r="C615" s="4" t="str">
        <x:v>T3</x:v>
      </x:c>
      <x:c r="D615" s="4" t="str">
        <x:v>Crafting components</x:v>
      </x:c>
      <x:c r="E615" s="4" t="str">
        <x:v>Contemporary machine element</x:v>
      </x:c>
      <x:c r="F615" s="4" t="str">
        <x:v>New proposal</x:v>
      </x:c>
      <x:c r="G615" s="4" t="inlineStr">
        <x:is>
          <x:t xml:space="preserve">Provides a rugged short-distance electrical connection. It is intended to replace, support or service a matching machine part; useful fit depends on the host mechanism.</x:t>
        </x:is>
      </x:c>
      <x:c r="H615" s="4" t="str">
        <x:v>None</x:v>
      </x:c>
      <x:c r="I615" s="4" t="str">
        <x:v>Physical inventory / cargo item; dimensions and packing unresolved</x:v>
      </x:c>
      <x:c r="J615" s="4"/>
      <x:c r="K615" s="4"/>
      <x:c r="L615" s="4" t="str">
        <x:v>Candidate preparation: design.collection.braided_iron_signal_lead. Full inputs are in Crafting browser.</x:v>
      </x:c>
      <x:c r="M615" s="4" t="str">
        <x:v>Candidate workshop or contained preparation route; detailed tools, quantities and conditions unresolved</x:v>
      </x:c>
      <x:c r="N615" s="4" t="str">
        <x:v>Not implemented</x:v>
      </x:c>
      <x:c r="O615" s="4" t="str">
        <x:v>Specific dimensions, yield, fit, performance and service conditions remain open.</x:v>
      </x:c>
      <x:c r="P615" s="4"/>
      <x:c r="Q615" s="4"/>
      <x:c r="R615" s="4"/>
      <x:c r="S615" s="4"/>
      <x:c r="T615" s="4"/>
      <x:c r="U615" s="4" t="str">
        <x:v>Candidate inputs are partial. Resolve tools, supporting materials, energy, recovery and compatibility before recipes become craftable.</x:v>
      </x:c>
      <x:c r="V615" s="4" t="str">
        <x:v>braided iron signal lead; collection expansion; machine part</x:v>
      </x:c>
      <x:c r="W615" s="4" t="str">
        <x:v>New item proposal, October 15, 2026. Setting reference (source proposal): https://github.com/sleepyseamonster/Arc-Dust/blob/f6f98515c005dc3c73cccd9cbc031691745740c6/02-Arc-Dust-Worldbuilding/world/materials/industrial-material-palette.md</x:v>
      </x:c>
      <x:c r="X615" s="4" t="str">
        <x:v>Machine part</x:v>
      </x:c>
      <x:c r="Y615" s="4" t="str">
        <x:v>Processed intermediate</x:v>
      </x:c>
      <x:c r="Z615" s="4" t="str">
        <x:v>Manufactured / unresolved</x:v>
      </x:c>
      <x:c r="AA615" s="4" t="str">
        <x:v>Machinery repair</x:v>
      </x:c>
      <x:c r="AB615" s="4" t="str">
        <x:v>Metal</x:v>
      </x:c>
      <x:c r="AC615" s="4" t="str">
        <x:v>Assembly</x:v>
      </x:c>
      <x:c r="AD615" s="4" t="str">
        <x:v>Proposal</x:v>
      </x:c>
      <x:c r="AE615" s="4" t="str">
        <x:f>LOWER(A615&amp;"; "&amp;B615&amp;"; "&amp;D615&amp;"; "&amp;E615&amp;"; "&amp;X615&amp;"; "&amp;Y615&amp;"; "&amp;Z615&amp;"; "&amp;AA615&amp;"; "&amp;AB615&amp;"; "&amp;AC615&amp;"; "&amp;AD615&amp;"; "&amp;V615&amp;"; "&amp;C615&amp;"; "&amp;AH615&amp;"; "&amp;AI615)</x:f>
        <x:v>proposal.collection.braided_iron_signal_lead; braided iron signal lead; crafting components; contemporary machine element; machine part; processed intermediate; manufactured / unresolved; machinery repair; metal; assembly; proposal; braided iron signal lead; collection expansion; machine part; t3; not applicable; component</x:v>
      </x:c>
      <x:c r="AF615" s="4" t="str">
        <x:v>Collection expansion classification. Distinct type, use and material family; new item proposal unless author direction is marked.</x:v>
      </x:c>
      <x:c r="AG615" s="4" t="str">
        <x:v>Selected candidate processing route places this stock at T3. Raw entry is T0; source rarity does not raise tier.</x:v>
      </x:c>
      <x:c r="AH615" s="4" t="str">
        <x:v>Not applicable</x:v>
      </x:c>
      <x:c r="AI615" s="4" t="str">
        <x:v>Component</x:v>
      </x:c>
      <x:c r="AJ615" s="4" t="n">
        <x:f>COUNTIFS('Material routes'!$D$6:$D$2205,A615,'Material routes'!$C$6:$C$2205,"Output")</x:f>
        <x:v>1</x:v>
      </x:c>
      <x:c r="AK615" s="4" t="n">
        <x:f>SUM(COUNTIFS('Material routes'!$D$6:$D$2205,A615,'Material routes'!$C$6:$C$2205,"Ingredient candidate"),COUNTIFS('Material routes'!$D$6:$D$2205,A615,'Material routes'!$C$6:$C$2205,"Consumed input"),COUNTIFS('Material routes'!$D$6:$D$2205,A615,'Material routes'!$C$6:$C$2205,"Contained input"),COUNTIFS('Material routes'!$D$6:$D$2205,A615,'Material routes'!$C$6:$C$2205,"Transform input"))</x:f>
        <x:v>1</x:v>
      </x:c>
      <x:c r="AL615" s="4" t="n">
        <x:f>COUNTIFS('Material routes'!$D$6:$D$2205,A615,'Material routes'!$C$6:$C$2205,"Tool candidate")</x:f>
        <x:v>0</x:v>
      </x:c>
      <x:c r="AM615" s="4" t="str">
        <x:f>IF(AJ615&gt;0,"Route listed; review status/completeness",IF(C615="T0","Raw entry feed; no production route","No production route listed"))</x:f>
        <x:v>Route listed; review status/completeness</x:v>
      </x:c>
      <x:c r="AN615" s="4" t="n">
        <x:f>IF(C615="T0",0,IF(C615="T1",1,IF(C615="T2",2,IF(C615="T3",3,IF(C615="T4",4,IF(C615="Unassigned",98,99))))))</x:f>
        <x:v>3</x:v>
      </x:c>
      <x:c r="AZ615"/>
      <x:c r="BA615"/>
      <x:c r="BB615"/>
      <x:c r="BC615"/>
      <x:c r="BD615"/>
      <x:c r="BE615"/>
      <x:c r="BF615"/>
      <x:c r="BG615"/>
      <x:c r="BH615"/>
      <x:c r="BI615"/>
      <x:c r="BJ615"/>
      <x:c r="BK615"/>
      <x:c r="BL615"/>
      <x:c r="BM615"/>
      <x:c r="BN615"/>
      <x:c r="BO615"/>
      <x:c r="BP615"/>
      <x:c r="BQ615"/>
      <x:c r="BR615"/>
      <x:c r="BS615"/>
      <x:c r="BT615"/>
      <x:c r="BU615"/>
      <x:c r="BV615"/>
      <x:c r="BW615"/>
      <x:c r="BX615"/>
      <x:c r="BY615"/>
      <x:c r="BZ615"/>
      <x:c r="CA615"/>
      <x:c r="CB615"/>
      <x:c r="CC615"/>
    </x:row>
    <x:row r="616" ht="115" customHeight="1">
      <x:c r="A616" s="4" t="str">
        <x:v>proposal.collection.flexible_copper_service_jumper</x:v>
      </x:c>
      <x:c r="B616" s="4" t="str">
        <x:v>Flexible copper service jumper</x:v>
      </x:c>
      <x:c r="C616" s="4" t="str">
        <x:v>T4</x:v>
      </x:c>
      <x:c r="D616" s="4" t="str">
        <x:v>Crafting components</x:v>
      </x:c>
      <x:c r="E616" s="4" t="str">
        <x:v>Contemporary machine element</x:v>
      </x:c>
      <x:c r="F616" s="4" t="str">
        <x:v>New proposal</x:v>
      </x:c>
      <x:c r="G616" s="4" t="inlineStr">
        <x:is>
          <x:t xml:space="preserve">Bridges a moving joint with scarce conductive stock. It is intended to replace, support or service a matching machine part; useful fit depends on the host mechanism.</x:t>
        </x:is>
      </x:c>
      <x:c r="H616" s="4" t="str">
        <x:v>None</x:v>
      </x:c>
      <x:c r="I616" s="4" t="str">
        <x:v>Physical inventory / cargo item; dimensions and packing unresolved</x:v>
      </x:c>
      <x:c r="J616" s="4"/>
      <x:c r="K616" s="4"/>
      <x:c r="L616" s="4" t="str">
        <x:v>Candidate preparation: design.collection.flexible_copper_service_jumper. Full inputs are in Crafting browser.</x:v>
      </x:c>
      <x:c r="M616" s="4" t="str">
        <x:v>Candidate workshop or contained preparation route; detailed tools, quantities and conditions unresolved</x:v>
      </x:c>
      <x:c r="N616" s="4" t="str">
        <x:v>Not implemented</x:v>
      </x:c>
      <x:c r="O616" s="4" t="str">
        <x:v>Specific dimensions, yield, fit, performance and service conditions remain open.</x:v>
      </x:c>
      <x:c r="P616" s="4"/>
      <x:c r="Q616" s="4"/>
      <x:c r="R616" s="4"/>
      <x:c r="S616" s="4"/>
      <x:c r="T616" s="4"/>
      <x:c r="U616" s="4" t="str">
        <x:v>Candidate inputs are partial. Resolve tools, supporting materials, energy, recovery and compatibility before recipes become craftable.</x:v>
      </x:c>
      <x:c r="V616" s="4" t="str">
        <x:v>flexible copper service jumper; collection expansion; machine part</x:v>
      </x:c>
      <x:c r="W616" s="4" t="str">
        <x:v>New item proposal, October 15, 2026. Setting reference (source proposal): https://github.com/sleepyseamonster/Arc-Dust/blob/f6f98515c005dc3c73cccd9cbc031691745740c6/02-Arc-Dust-Worldbuilding/world/materials/industrial-material-palette.md</x:v>
      </x:c>
      <x:c r="X616" s="4" t="str">
        <x:v>Machine part</x:v>
      </x:c>
      <x:c r="Y616" s="4" t="str">
        <x:v>Processed intermediate</x:v>
      </x:c>
      <x:c r="Z616" s="4" t="str">
        <x:v>Manufactured / unresolved</x:v>
      </x:c>
      <x:c r="AA616" s="4" t="str">
        <x:v>Machinery repair</x:v>
      </x:c>
      <x:c r="AB616" s="4" t="str">
        <x:v>Mixed / unresolved</x:v>
      </x:c>
      <x:c r="AC616" s="4" t="str">
        <x:v>Assembly</x:v>
      </x:c>
      <x:c r="AD616" s="4" t="str">
        <x:v>Proposal</x:v>
      </x:c>
      <x:c r="AE616" s="4" t="str">
        <x:f>LOWER(A616&amp;"; "&amp;B616&amp;"; "&amp;D616&amp;"; "&amp;E616&amp;"; "&amp;X616&amp;"; "&amp;Y616&amp;"; "&amp;Z616&amp;"; "&amp;AA616&amp;"; "&amp;AB616&amp;"; "&amp;AC616&amp;"; "&amp;AD616&amp;"; "&amp;V616&amp;"; "&amp;C616&amp;"; "&amp;AH616&amp;"; "&amp;AI616)</x:f>
        <x:v>proposal.collection.flexible_copper_service_jumper; flexible copper service jumper; crafting components; contemporary machine element; machine part; processed intermediate; manufactured / unresolved; machinery repair; mixed / unresolved; assembly; proposal; flexible copper service jumper; collection expansion; machine part; t4; not applicable; component</x:v>
      </x:c>
      <x:c r="AF616" s="4" t="str">
        <x:v>Collection expansion classification. Distinct type, use and material family; new item proposal unless author direction is marked. October 15 audit: classification/handling clarified; item identity, design status and material tier preserved.</x:v>
      </x:c>
      <x:c r="AG616" s="4" t="str">
        <x:v>Selected candidate processing route places this stock at T4. Raw entry is T0; source rarity does not raise tier.</x:v>
      </x:c>
      <x:c r="AH616" s="4" t="str">
        <x:v>Not applicable</x:v>
      </x:c>
      <x:c r="AI616" s="4" t="str">
        <x:v>Component</x:v>
      </x:c>
      <x:c r="AJ616" s="4" t="n">
        <x:f>COUNTIFS('Material routes'!$D$6:$D$2205,A616,'Material routes'!$C$6:$C$2205,"Output")</x:f>
        <x:v>1</x:v>
      </x:c>
      <x:c r="AK616" s="4" t="n">
        <x:f>SUM(COUNTIFS('Material routes'!$D$6:$D$2205,A616,'Material routes'!$C$6:$C$2205,"Ingredient candidate"),COUNTIFS('Material routes'!$D$6:$D$2205,A616,'Material routes'!$C$6:$C$2205,"Consumed input"),COUNTIFS('Material routes'!$D$6:$D$2205,A616,'Material routes'!$C$6:$C$2205,"Contained input"),COUNTIFS('Material routes'!$D$6:$D$2205,A616,'Material routes'!$C$6:$C$2205,"Transform input"))</x:f>
        <x:v>1</x:v>
      </x:c>
      <x:c r="AL616" s="4" t="n">
        <x:f>COUNTIFS('Material routes'!$D$6:$D$2205,A616,'Material routes'!$C$6:$C$2205,"Tool candidate")</x:f>
        <x:v>0</x:v>
      </x:c>
      <x:c r="AM616" s="4" t="str">
        <x:f>IF(AJ616&gt;0,"Route listed; review status/completeness",IF(C616="T0","Raw entry feed; no production route","No production route listed"))</x:f>
        <x:v>Route listed; review status/completeness</x:v>
      </x:c>
      <x:c r="AN616" s="4" t="n">
        <x:f>IF(C616="T0",0,IF(C616="T1",1,IF(C616="T2",2,IF(C616="T3",3,IF(C616="T4",4,IF(C616="Unassigned",98,99))))))</x:f>
        <x:v>4</x:v>
      </x:c>
      <x:c r="AZ616"/>
      <x:c r="BA616"/>
      <x:c r="BB616"/>
      <x:c r="BC616"/>
      <x:c r="BD616"/>
      <x:c r="BE616"/>
      <x:c r="BF616"/>
      <x:c r="BG616"/>
      <x:c r="BH616"/>
      <x:c r="BI616"/>
      <x:c r="BJ616"/>
      <x:c r="BK616"/>
      <x:c r="BL616"/>
      <x:c r="BM616"/>
      <x:c r="BN616"/>
      <x:c r="BO616"/>
      <x:c r="BP616"/>
      <x:c r="BQ616"/>
      <x:c r="BR616"/>
      <x:c r="BS616"/>
      <x:c r="BT616"/>
      <x:c r="BU616"/>
      <x:c r="BV616"/>
      <x:c r="BW616"/>
      <x:c r="BX616"/>
      <x:c r="BY616"/>
      <x:c r="BZ616"/>
      <x:c r="CA616"/>
      <x:c r="CB616"/>
      <x:c r="CC616"/>
    </x:row>
    <x:row r="617" ht="115" customHeight="1">
      <x:c r="A617" s="4" t="str">
        <x:v>proposal.collection.ancient_nanocarbon_rotary_bearing</x:v>
      </x:c>
      <x:c r="B617" s="4" t="str">
        <x:v>Ancient nanocarbon rotary bearing</x:v>
      </x:c>
      <x:c r="C617" s="4" t="str">
        <x:v>Not applicable</x:v>
      </x:c>
      <x:c r="D617" s="4" t="str">
        <x:v>Ancient salvage</x:v>
      </x:c>
      <x:c r="E617" s="4" t="str">
        <x:v>Ancient recovery</x:v>
      </x:c>
      <x:c r="F617" s="4" t="str">
        <x:v>New proposal</x:v>
      </x:c>
      <x:c r="G617" s="4" t="inlineStr">
        <x:is>
          <x:t xml:space="preserve">Extremely rare recovered rotary support with unknown service life. It is an extremely rare ancient recovery whose original function remains a working hypothesis. Condition, compatibility and safe operation are unknown; no contemporary reproduction is implied.</x:t>
        </x:is>
      </x:c>
      <x:c r="H617" s="4" t="str">
        <x:v>None</x:v>
      </x:c>
      <x:c r="I617" s="4" t="str">
        <x:v>Physical inventory / cargo item; dimensions and packing unresolved</x:v>
      </x:c>
      <x:c r="J617" s="4"/>
      <x:c r="K617" s="4"/>
      <x:c r="L617" s="4" t="str">
        <x:v>Recover a compatible ancient item</x:v>
      </x:c>
      <x:c r="M617" s="4" t="str">
        <x:v>Identify, inspect and preserve a recovered item; manufacturing unavailable</x:v>
      </x:c>
      <x:c r="N617" s="4" t="str">
        <x:v>Not implemented</x:v>
      </x:c>
      <x:c r="O617" s="4" t="str">
        <x:v>Extremely rare ancient recovery. Power, interface, durability and authenticity unresolved.</x:v>
      </x:c>
      <x:c r="P617" s="4" t="str">
        <x:v>Extremely rare</x:v>
      </x:c>
      <x:c r="Q617" s="4"/>
      <x:c r="R617" s="4"/>
      <x:c r="S617" s="4"/>
      <x:c r="T617" s="4"/>
      <x:c r="U617" s="4" t="str">
        <x:v>Ancient item names describe candidate functions, not known working mechanisms.</x:v>
      </x:c>
      <x:c r="V617" s="4" t="str">
        <x:v>ancient nanocarbon rotary bearing; collection expansion; machine part</x:v>
      </x:c>
      <x:c r="W617" s="4" t="str">
        <x:v>New item proposal, October 15, 2026. Rare ancient recovery; no reproduction route. Setting reference (source proposal): https://github.com/sleepyseamonster/Arc-Dust/blob/f6f98515c005dc3c73cccd9cbc031691745740c6/02-Arc-Dust-Worldbuilding/world/materials/ancient-synthetics.md</x:v>
      </x:c>
      <x:c r="X617" s="4" t="str">
        <x:v>Machine part</x:v>
      </x:c>
      <x:c r="Y617" s="4" t="str">
        <x:v>Recovered part</x:v>
      </x:c>
      <x:c r="Z617" s="4" t="str">
        <x:v>Ancient technology</x:v>
      </x:c>
      <x:c r="AA617" s="4" t="str">
        <x:v>Machinery repair</x:v>
      </x:c>
      <x:c r="AB617" s="4" t="str">
        <x:v>Ancient composite</x:v>
      </x:c>
      <x:c r="AC617" s="4" t="str">
        <x:v>Assembly</x:v>
      </x:c>
      <x:c r="AD617" s="4" t="str">
        <x:v>Proposal</x:v>
      </x:c>
      <x:c r="AE617" s="4" t="str">
        <x:f>LOWER(A617&amp;"; "&amp;B617&amp;"; "&amp;D617&amp;"; "&amp;E617&amp;"; "&amp;X617&amp;"; "&amp;Y617&amp;"; "&amp;Z617&amp;"; "&amp;AA617&amp;"; "&amp;AB617&amp;"; "&amp;AC617&amp;"; "&amp;AD617&amp;"; "&amp;V617&amp;"; "&amp;C617&amp;"; "&amp;AH617&amp;"; "&amp;AI617)</x:f>
        <x:v>proposal.collection.ancient_nanocarbon_rotary_bearing; ancient nanocarbon rotary bearing; ancient salvage; ancient recovery; machine part; recovered part; ancient technology; machinery repair; ancient composite; assembly; proposal; ancient nanocarbon rotary bearing; collection expansion; machine part; not applicable; not applicable; component</x:v>
      </x:c>
      <x:c r="AF617" s="4" t="str">
        <x:v>Collection expansion classification. Distinct type, use and material family; new item proposal unless author direction is marked.</x:v>
      </x:c>
      <x:c r="AG617" s="4" t="str">
        <x:v>Recovered item outside contemporary manufacturing tiers.</x:v>
      </x:c>
      <x:c r="AH617" s="4" t="str">
        <x:v>Not applicable</x:v>
      </x:c>
      <x:c r="AI617" s="4" t="str">
        <x:v>Component</x:v>
      </x:c>
      <x:c r="AJ617" s="4" t="n">
        <x:f>COUNTIFS('Material routes'!$D$6:$D$2205,A617,'Material routes'!$C$6:$C$2205,"Output")</x:f>
        <x:v>0</x:v>
      </x:c>
      <x:c r="AK617" s="4" t="n">
        <x:f>SUM(COUNTIFS('Material routes'!$D$6:$D$2205,A617,'Material routes'!$C$6:$C$2205,"Ingredient candidate"),COUNTIFS('Material routes'!$D$6:$D$2205,A617,'Material routes'!$C$6:$C$2205,"Consumed input"),COUNTIFS('Material routes'!$D$6:$D$2205,A617,'Material routes'!$C$6:$C$2205,"Contained input"),COUNTIFS('Material routes'!$D$6:$D$2205,A617,'Material routes'!$C$6:$C$2205,"Transform input"))</x:f>
        <x:v>0</x:v>
      </x:c>
      <x:c r="AL617" s="4" t="n">
        <x:f>COUNTIFS('Material routes'!$D$6:$D$2205,A617,'Material routes'!$C$6:$C$2205,"Tool candidate")</x:f>
        <x:v>0</x:v>
      </x:c>
      <x:c r="AM617" s="4" t="str">
        <x:f>IF(AJ617&gt;0,"Route listed; review status/completeness",IF(C617="T0","Raw entry feed; no production route","No production route listed"))</x:f>
        <x:v>No production route listed</x:v>
      </x:c>
      <x:c r="AN617" s="4" t="n">
        <x:f>IF(C617="T0",0,IF(C617="T1",1,IF(C617="T2",2,IF(C617="T3",3,IF(C617="T4",4,IF(C617="Unassigned",98,99))))))</x:f>
        <x:v>99</x:v>
      </x:c>
      <x:c r="AZ617"/>
      <x:c r="BA617"/>
      <x:c r="BB617"/>
      <x:c r="BC617"/>
      <x:c r="BD617"/>
      <x:c r="BE617"/>
      <x:c r="BF617"/>
      <x:c r="BG617"/>
      <x:c r="BH617"/>
      <x:c r="BI617"/>
      <x:c r="BJ617"/>
      <x:c r="BK617"/>
      <x:c r="BL617"/>
      <x:c r="BM617"/>
      <x:c r="BN617"/>
      <x:c r="BO617"/>
      <x:c r="BP617"/>
      <x:c r="BQ617"/>
      <x:c r="BR617"/>
      <x:c r="BS617"/>
      <x:c r="BT617"/>
      <x:c r="BU617"/>
      <x:c r="BV617"/>
      <x:c r="BW617"/>
      <x:c r="BX617"/>
      <x:c r="BY617"/>
      <x:c r="BZ617"/>
      <x:c r="CA617"/>
      <x:c r="CB617"/>
      <x:c r="CC617"/>
    </x:row>
    <x:row r="618" ht="115" customHeight="1">
      <x:c r="A618" s="4" t="str">
        <x:v>proposal.collection.ancient_plasteel_flexure_joint</x:v>
      </x:c>
      <x:c r="B618" s="4" t="str">
        <x:v>Ancient plasteel flexure joint</x:v>
      </x:c>
      <x:c r="C618" s="4" t="str">
        <x:v>Not applicable</x:v>
      </x:c>
      <x:c r="D618" s="4" t="str">
        <x:v>Ancient salvage</x:v>
      </x:c>
      <x:c r="E618" s="4" t="str">
        <x:v>Ancient recovery</x:v>
      </x:c>
      <x:c r="F618" s="4" t="str">
        <x:v>New proposal</x:v>
      </x:c>
      <x:c r="G618" s="4" t="inlineStr">
        <x:is>
          <x:t xml:space="preserve">Recovered compliant machine joint requiring a matched interface. It is an extremely rare ancient recovery whose original function remains a working hypothesis. Condition, compatibility and safe operation are unknown; no contemporary reproduction is implied.</x:t>
        </x:is>
      </x:c>
      <x:c r="H618" s="4" t="str">
        <x:v>None</x:v>
      </x:c>
      <x:c r="I618" s="4" t="str">
        <x:v>Physical inventory / cargo item; dimensions and packing unresolved</x:v>
      </x:c>
      <x:c r="J618" s="4"/>
      <x:c r="K618" s="4"/>
      <x:c r="L618" s="4" t="str">
        <x:v>Recover a compatible ancient item</x:v>
      </x:c>
      <x:c r="M618" s="4" t="str">
        <x:v>Identify, inspect and preserve a recovered item; manufacturing unavailable</x:v>
      </x:c>
      <x:c r="N618" s="4" t="str">
        <x:v>Not implemented</x:v>
      </x:c>
      <x:c r="O618" s="4" t="str">
        <x:v>Extremely rare ancient recovery. Power, interface, durability and authenticity unresolved.</x:v>
      </x:c>
      <x:c r="P618" s="4" t="str">
        <x:v>Extremely rare</x:v>
      </x:c>
      <x:c r="Q618" s="4"/>
      <x:c r="R618" s="4"/>
      <x:c r="S618" s="4"/>
      <x:c r="T618" s="4"/>
      <x:c r="U618" s="4" t="str">
        <x:v>Ancient item names describe candidate functions, not known working mechanisms.</x:v>
      </x:c>
      <x:c r="V618" s="4" t="str">
        <x:v>ancient plasteel flexure joint; collection expansion; machine part</x:v>
      </x:c>
      <x:c r="W618" s="4" t="str">
        <x:v>New item proposal, October 15, 2026. Rare ancient recovery; no reproduction route. Setting reference (source proposal): https://github.com/sleepyseamonster/Arc-Dust/blob/f6f98515c005dc3c73cccd9cbc031691745740c6/02-Arc-Dust-Worldbuilding/world/materials/ancient-synthetics.md</x:v>
      </x:c>
      <x:c r="X618" s="4" t="str">
        <x:v>Machine part</x:v>
      </x:c>
      <x:c r="Y618" s="4" t="str">
        <x:v>Recovered part</x:v>
      </x:c>
      <x:c r="Z618" s="4" t="str">
        <x:v>Ancient technology</x:v>
      </x:c>
      <x:c r="AA618" s="4" t="str">
        <x:v>Machinery repair</x:v>
      </x:c>
      <x:c r="AB618" s="4" t="str">
        <x:v>Ancient composite</x:v>
      </x:c>
      <x:c r="AC618" s="4" t="str">
        <x:v>Assembly</x:v>
      </x:c>
      <x:c r="AD618" s="4" t="str">
        <x:v>Proposal</x:v>
      </x:c>
      <x:c r="AE618" s="4" t="str">
        <x:f>LOWER(A618&amp;"; "&amp;B618&amp;"; "&amp;D618&amp;"; "&amp;E618&amp;"; "&amp;X618&amp;"; "&amp;Y618&amp;"; "&amp;Z618&amp;"; "&amp;AA618&amp;"; "&amp;AB618&amp;"; "&amp;AC618&amp;"; "&amp;AD618&amp;"; "&amp;V618&amp;"; "&amp;C618&amp;"; "&amp;AH618&amp;"; "&amp;AI618)</x:f>
        <x:v>proposal.collection.ancient_plasteel_flexure_joint; ancient plasteel flexure joint; ancient salvage; ancient recovery; machine part; recovered part; ancient technology; machinery repair; ancient composite; assembly; proposal; ancient plasteel flexure joint; collection expansion; machine part; not applicable; not applicable; component</x:v>
      </x:c>
      <x:c r="AF618" s="4" t="str">
        <x:v>Collection expansion classification. Distinct type, use and material family; new item proposal unless author direction is marked.</x:v>
      </x:c>
      <x:c r="AG618" s="4" t="str">
        <x:v>Recovered item outside contemporary manufacturing tiers.</x:v>
      </x:c>
      <x:c r="AH618" s="4" t="str">
        <x:v>Not applicable</x:v>
      </x:c>
      <x:c r="AI618" s="4" t="str">
        <x:v>Component</x:v>
      </x:c>
      <x:c r="AJ618" s="4" t="n">
        <x:f>COUNTIFS('Material routes'!$D$6:$D$2205,A618,'Material routes'!$C$6:$C$2205,"Output")</x:f>
        <x:v>0</x:v>
      </x:c>
      <x:c r="AK618" s="4" t="n">
        <x:f>SUM(COUNTIFS('Material routes'!$D$6:$D$2205,A618,'Material routes'!$C$6:$C$2205,"Ingredient candidate"),COUNTIFS('Material routes'!$D$6:$D$2205,A618,'Material routes'!$C$6:$C$2205,"Consumed input"),COUNTIFS('Material routes'!$D$6:$D$2205,A618,'Material routes'!$C$6:$C$2205,"Contained input"),COUNTIFS('Material routes'!$D$6:$D$2205,A618,'Material routes'!$C$6:$C$2205,"Transform input"))</x:f>
        <x:v>0</x:v>
      </x:c>
      <x:c r="AL618" s="4" t="n">
        <x:f>COUNTIFS('Material routes'!$D$6:$D$2205,A618,'Material routes'!$C$6:$C$2205,"Tool candidate")</x:f>
        <x:v>0</x:v>
      </x:c>
      <x:c r="AM618" s="4" t="str">
        <x:f>IF(AJ618&gt;0,"Route listed; review status/completeness",IF(C618="T0","Raw entry feed; no production route","No production route listed"))</x:f>
        <x:v>No production route listed</x:v>
      </x:c>
      <x:c r="AN618" s="4" t="n">
        <x:f>IF(C618="T0",0,IF(C618="T1",1,IF(C618="T2",2,IF(C618="T3",3,IF(C618="T4",4,IF(C618="Unassigned",98,99))))))</x:f>
        <x:v>99</x:v>
      </x:c>
      <x:c r="AZ618"/>
      <x:c r="BA618"/>
      <x:c r="BB618"/>
      <x:c r="BC618"/>
      <x:c r="BD618"/>
      <x:c r="BE618"/>
      <x:c r="BF618"/>
      <x:c r="BG618"/>
      <x:c r="BH618"/>
      <x:c r="BI618"/>
      <x:c r="BJ618"/>
      <x:c r="BK618"/>
      <x:c r="BL618"/>
      <x:c r="BM618"/>
      <x:c r="BN618"/>
      <x:c r="BO618"/>
      <x:c r="BP618"/>
      <x:c r="BQ618"/>
      <x:c r="BR618"/>
      <x:c r="BS618"/>
      <x:c r="BT618"/>
      <x:c r="BU618"/>
      <x:c r="BV618"/>
      <x:c r="BW618"/>
      <x:c r="BX618"/>
      <x:c r="BY618"/>
      <x:c r="BZ618"/>
      <x:c r="CA618"/>
      <x:c r="CB618"/>
      <x:c r="CC618"/>
    </x:row>
    <x:row r="619" ht="115" customHeight="1">
      <x:c r="A619" s="4" t="str">
        <x:v>proposal.collection.ancient_microservo_cartridge</x:v>
      </x:c>
      <x:c r="B619" s="4" t="str">
        <x:v>Ancient microservo cartridge</x:v>
      </x:c>
      <x:c r="C619" s="4" t="str">
        <x:v>Not applicable</x:v>
      </x:c>
      <x:c r="D619" s="4" t="str">
        <x:v>Ancient salvage</x:v>
      </x:c>
      <x:c r="E619" s="4" t="str">
        <x:v>Ancient recovery</x:v>
      </x:c>
      <x:c r="F619" s="4" t="str">
        <x:v>New proposal</x:v>
      </x:c>
      <x:c r="G619" s="4" t="inlineStr">
        <x:is>
          <x:t xml:space="preserve">Sealed miniature actuator of unknown power and control needs. It is an extremely rare ancient recovery whose original function remains a working hypothesis. Condition, compatibility and safe operation are unknown; no contemporary reproduction is implied.</x:t>
        </x:is>
      </x:c>
      <x:c r="H619" s="4" t="str">
        <x:v>None</x:v>
      </x:c>
      <x:c r="I619" s="4" t="str">
        <x:v>Physical inventory / cargo item; dimensions and packing unresolved</x:v>
      </x:c>
      <x:c r="J619" s="4"/>
      <x:c r="K619" s="4"/>
      <x:c r="L619" s="4" t="str">
        <x:v>Recover a compatible ancient item</x:v>
      </x:c>
      <x:c r="M619" s="4" t="str">
        <x:v>Identify, inspect and preserve a recovered item; manufacturing unavailable</x:v>
      </x:c>
      <x:c r="N619" s="4" t="str">
        <x:v>Not implemented</x:v>
      </x:c>
      <x:c r="O619" s="4" t="str">
        <x:v>Extremely rare ancient recovery. Power, interface, durability and authenticity unresolved.</x:v>
      </x:c>
      <x:c r="P619" s="4" t="str">
        <x:v>Extremely rare</x:v>
      </x:c>
      <x:c r="Q619" s="4"/>
      <x:c r="R619" s="4"/>
      <x:c r="S619" s="4"/>
      <x:c r="T619" s="4"/>
      <x:c r="U619" s="4" t="str">
        <x:v>Ancient item names describe candidate functions, not known working mechanisms.</x:v>
      </x:c>
      <x:c r="V619" s="4" t="str">
        <x:v>ancient microservo cartridge; collection expansion; machine part</x:v>
      </x:c>
      <x:c r="W619" s="4" t="str">
        <x:v>New item proposal, October 15, 2026. Rare ancient recovery; no reproduction route. Setting reference (source proposal): https://github.com/sleepyseamonster/Arc-Dust/blob/f6f98515c005dc3c73cccd9cbc031691745740c6/02-Arc-Dust-Worldbuilding/world/materials/ancient-synthetics.md</x:v>
      </x:c>
      <x:c r="X619" s="4" t="str">
        <x:v>Machine part</x:v>
      </x:c>
      <x:c r="Y619" s="4" t="str">
        <x:v>Recovered part</x:v>
      </x:c>
      <x:c r="Z619" s="4" t="str">
        <x:v>Ancient technology</x:v>
      </x:c>
      <x:c r="AA619" s="4" t="str">
        <x:v>Machinery repair</x:v>
      </x:c>
      <x:c r="AB619" s="4" t="str">
        <x:v>Ancient composite</x:v>
      </x:c>
      <x:c r="AC619" s="4" t="str">
        <x:v>Assembly</x:v>
      </x:c>
      <x:c r="AD619" s="4" t="str">
        <x:v>Proposal</x:v>
      </x:c>
      <x:c r="AE619" s="4" t="str">
        <x:f>LOWER(A619&amp;"; "&amp;B619&amp;"; "&amp;D619&amp;"; "&amp;E619&amp;"; "&amp;X619&amp;"; "&amp;Y619&amp;"; "&amp;Z619&amp;"; "&amp;AA619&amp;"; "&amp;AB619&amp;"; "&amp;AC619&amp;"; "&amp;AD619&amp;"; "&amp;V619&amp;"; "&amp;C619&amp;"; "&amp;AH619&amp;"; "&amp;AI619)</x:f>
        <x:v>proposal.collection.ancient_microservo_cartridge; ancient microservo cartridge; ancient salvage; ancient recovery; machine part; recovered part; ancient technology; machinery repair; ancient composite; assembly; proposal; ancient microservo cartridge; collection expansion; machine part; not applicable; not applicable; component</x:v>
      </x:c>
      <x:c r="AF619" s="4" t="str">
        <x:v>Collection expansion classification. Distinct type, use and material family; new item proposal unless author direction is marked.</x:v>
      </x:c>
      <x:c r="AG619" s="4" t="str">
        <x:v>Recovered item outside contemporary manufacturing tiers.</x:v>
      </x:c>
      <x:c r="AH619" s="4" t="str">
        <x:v>Not applicable</x:v>
      </x:c>
      <x:c r="AI619" s="4" t="str">
        <x:v>Component</x:v>
      </x:c>
      <x:c r="AJ619" s="4" t="n">
        <x:f>COUNTIFS('Material routes'!$D$6:$D$2205,A619,'Material routes'!$C$6:$C$2205,"Output")</x:f>
        <x:v>0</x:v>
      </x:c>
      <x:c r="AK619" s="4" t="n">
        <x:f>SUM(COUNTIFS('Material routes'!$D$6:$D$2205,A619,'Material routes'!$C$6:$C$2205,"Ingredient candidate"),COUNTIFS('Material routes'!$D$6:$D$2205,A619,'Material routes'!$C$6:$C$2205,"Consumed input"),COUNTIFS('Material routes'!$D$6:$D$2205,A619,'Material routes'!$C$6:$C$2205,"Contained input"),COUNTIFS('Material routes'!$D$6:$D$2205,A619,'Material routes'!$C$6:$C$2205,"Transform input"))</x:f>
        <x:v>0</x:v>
      </x:c>
      <x:c r="AL619" s="4" t="n">
        <x:f>COUNTIFS('Material routes'!$D$6:$D$2205,A619,'Material routes'!$C$6:$C$2205,"Tool candidate")</x:f>
        <x:v>0</x:v>
      </x:c>
      <x:c r="AM619" s="4" t="str">
        <x:f>IF(AJ619&gt;0,"Route listed; review status/completeness",IF(C619="T0","Raw entry feed; no production route","No production route listed"))</x:f>
        <x:v>No production route listed</x:v>
      </x:c>
      <x:c r="AN619" s="4" t="n">
        <x:f>IF(C619="T0",0,IF(C619="T1",1,IF(C619="T2",2,IF(C619="T3",3,IF(C619="T4",4,IF(C619="Unassigned",98,99))))))</x:f>
        <x:v>99</x:v>
      </x:c>
      <x:c r="AZ619"/>
      <x:c r="BA619"/>
      <x:c r="BB619"/>
      <x:c r="BC619"/>
      <x:c r="BD619"/>
      <x:c r="BE619"/>
      <x:c r="BF619"/>
      <x:c r="BG619"/>
      <x:c r="BH619"/>
      <x:c r="BI619"/>
      <x:c r="BJ619"/>
      <x:c r="BK619"/>
      <x:c r="BL619"/>
      <x:c r="BM619"/>
      <x:c r="BN619"/>
      <x:c r="BO619"/>
      <x:c r="BP619"/>
      <x:c r="BQ619"/>
      <x:c r="BR619"/>
      <x:c r="BS619"/>
      <x:c r="BT619"/>
      <x:c r="BU619"/>
      <x:c r="BV619"/>
      <x:c r="BW619"/>
      <x:c r="BX619"/>
      <x:c r="BY619"/>
      <x:c r="BZ619"/>
      <x:c r="CA619"/>
      <x:c r="CB619"/>
      <x:c r="CC619"/>
    </x:row>
    <x:row r="620" ht="115" customHeight="1">
      <x:c r="A620" s="4" t="str">
        <x:v>proposal.collection.ancient_self_aligning_optical_cradle</x:v>
      </x:c>
      <x:c r="B620" s="4" t="str">
        <x:v>Ancient self-aligning optical cradle</x:v>
      </x:c>
      <x:c r="C620" s="4" t="str">
        <x:v>Not applicable</x:v>
      </x:c>
      <x:c r="D620" s="4" t="str">
        <x:v>Ancient salvage</x:v>
      </x:c>
      <x:c r="E620" s="4" t="str">
        <x:v>Ancient recovery</x:v>
      </x:c>
      <x:c r="F620" s="4" t="str">
        <x:v>New proposal</x:v>
      </x:c>
      <x:c r="G620" s="4" t="inlineStr">
        <x:is>
          <x:t xml:space="preserve">Recovered precision optical positioning part. It is an extremely rare ancient recovery whose original function remains a working hypothesis. Condition, compatibility and safe operation are unknown; no contemporary reproduction is implied.</x:t>
        </x:is>
      </x:c>
      <x:c r="H620" s="4" t="str">
        <x:v>None</x:v>
      </x:c>
      <x:c r="I620" s="4" t="str">
        <x:v>Physical inventory / cargo item; dimensions and packing unresolved</x:v>
      </x:c>
      <x:c r="J620" s="4"/>
      <x:c r="K620" s="4"/>
      <x:c r="L620" s="4" t="str">
        <x:v>Recover a compatible ancient item</x:v>
      </x:c>
      <x:c r="M620" s="4" t="str">
        <x:v>Identify, inspect and preserve a recovered item; manufacturing unavailable</x:v>
      </x:c>
      <x:c r="N620" s="4" t="str">
        <x:v>Not implemented</x:v>
      </x:c>
      <x:c r="O620" s="4" t="str">
        <x:v>Extremely rare ancient recovery. Power, interface, durability and authenticity unresolved.</x:v>
      </x:c>
      <x:c r="P620" s="4" t="str">
        <x:v>Extremely rare</x:v>
      </x:c>
      <x:c r="Q620" s="4"/>
      <x:c r="R620" s="4"/>
      <x:c r="S620" s="4"/>
      <x:c r="T620" s="4"/>
      <x:c r="U620" s="4" t="str">
        <x:v>Ancient item names describe candidate functions, not known working mechanisms.</x:v>
      </x:c>
      <x:c r="V620" s="4" t="str">
        <x:v>ancient self-aligning optical cradle; collection expansion; machine part</x:v>
      </x:c>
      <x:c r="W620" s="4" t="str">
        <x:v>New item proposal, October 15, 2026. Rare ancient recovery; no reproduction route. Setting reference (source proposal): https://github.com/sleepyseamonster/Arc-Dust/blob/f6f98515c005dc3c73cccd9cbc031691745740c6/02-Arc-Dust-Worldbuilding/world/materials/ancient-synthetics.md</x:v>
      </x:c>
      <x:c r="X620" s="4" t="str">
        <x:v>Machine part</x:v>
      </x:c>
      <x:c r="Y620" s="4" t="str">
        <x:v>Recovered part</x:v>
      </x:c>
      <x:c r="Z620" s="4" t="str">
        <x:v>Ancient technology</x:v>
      </x:c>
      <x:c r="AA620" s="4" t="str">
        <x:v>Machinery repair</x:v>
      </x:c>
      <x:c r="AB620" s="4" t="str">
        <x:v>Ancient composite</x:v>
      </x:c>
      <x:c r="AC620" s="4" t="str">
        <x:v>Assembly</x:v>
      </x:c>
      <x:c r="AD620" s="4" t="str">
        <x:v>Proposal</x:v>
      </x:c>
      <x:c r="AE620" s="4" t="str">
        <x:f>LOWER(A620&amp;"; "&amp;B620&amp;"; "&amp;D620&amp;"; "&amp;E620&amp;"; "&amp;X620&amp;"; "&amp;Y620&amp;"; "&amp;Z620&amp;"; "&amp;AA620&amp;"; "&amp;AB620&amp;"; "&amp;AC620&amp;"; "&amp;AD620&amp;"; "&amp;V620&amp;"; "&amp;C620&amp;"; "&amp;AH620&amp;"; "&amp;AI620)</x:f>
        <x:v>proposal.collection.ancient_self_aligning_optical_cradle; ancient self-aligning optical cradle; ancient salvage; ancient recovery; machine part; recovered part; ancient technology; machinery repair; ancient composite; assembly; proposal; ancient self-aligning optical cradle; collection expansion; machine part; not applicable; not applicable; component</x:v>
      </x:c>
      <x:c r="AF620" s="4" t="str">
        <x:v>Collection expansion classification. Distinct type, use and material family; new item proposal unless author direction is marked.</x:v>
      </x:c>
      <x:c r="AG620" s="4" t="str">
        <x:v>Recovered item outside contemporary manufacturing tiers.</x:v>
      </x:c>
      <x:c r="AH620" s="4" t="str">
        <x:v>Not applicable</x:v>
      </x:c>
      <x:c r="AI620" s="4" t="str">
        <x:v>Component</x:v>
      </x:c>
      <x:c r="AJ620" s="4" t="n">
        <x:f>COUNTIFS('Material routes'!$D$6:$D$2205,A620,'Material routes'!$C$6:$C$2205,"Output")</x:f>
        <x:v>0</x:v>
      </x:c>
      <x:c r="AK620" s="4" t="n">
        <x:f>SUM(COUNTIFS('Material routes'!$D$6:$D$2205,A620,'Material routes'!$C$6:$C$2205,"Ingredient candidate"),COUNTIFS('Material routes'!$D$6:$D$2205,A620,'Material routes'!$C$6:$C$2205,"Consumed input"),COUNTIFS('Material routes'!$D$6:$D$2205,A620,'Material routes'!$C$6:$C$2205,"Contained input"),COUNTIFS('Material routes'!$D$6:$D$2205,A620,'Material routes'!$C$6:$C$2205,"Transform input"))</x:f>
        <x:v>0</x:v>
      </x:c>
      <x:c r="AL620" s="4" t="n">
        <x:f>COUNTIFS('Material routes'!$D$6:$D$2205,A620,'Material routes'!$C$6:$C$2205,"Tool candidate")</x:f>
        <x:v>0</x:v>
      </x:c>
      <x:c r="AM620" s="4" t="str">
        <x:f>IF(AJ620&gt;0,"Route listed; review status/completeness",IF(C620="T0","Raw entry feed; no production route","No production route listed"))</x:f>
        <x:v>No production route listed</x:v>
      </x:c>
      <x:c r="AN620" s="4" t="n">
        <x:f>IF(C620="T0",0,IF(C620="T1",1,IF(C620="T2",2,IF(C620="T3",3,IF(C620="T4",4,IF(C620="Unassigned",98,99))))))</x:f>
        <x:v>99</x:v>
      </x:c>
      <x:c r="AZ620"/>
      <x:c r="BA620"/>
      <x:c r="BB620"/>
      <x:c r="BC620"/>
      <x:c r="BD620"/>
      <x:c r="BE620"/>
      <x:c r="BF620"/>
      <x:c r="BG620"/>
      <x:c r="BH620"/>
      <x:c r="BI620"/>
      <x:c r="BJ620"/>
      <x:c r="BK620"/>
      <x:c r="BL620"/>
      <x:c r="BM620"/>
      <x:c r="BN620"/>
      <x:c r="BO620"/>
      <x:c r="BP620"/>
      <x:c r="BQ620"/>
      <x:c r="BR620"/>
      <x:c r="BS620"/>
      <x:c r="BT620"/>
      <x:c r="BU620"/>
      <x:c r="BV620"/>
      <x:c r="BW620"/>
      <x:c r="BX620"/>
      <x:c r="BY620"/>
      <x:c r="BZ620"/>
      <x:c r="CA620"/>
      <x:c r="CB620"/>
      <x:c r="CC620"/>
    </x:row>
    <x:row r="621" ht="115" customHeight="1">
      <x:c r="A621" s="4" t="str">
        <x:v>proposal.collection.ancient_superconducting_bus_link</x:v>
      </x:c>
      <x:c r="B621" s="4" t="str">
        <x:v>Ancient superconducting bus link</x:v>
      </x:c>
      <x:c r="C621" s="4" t="str">
        <x:v>Not applicable</x:v>
      </x:c>
      <x:c r="D621" s="4" t="str">
        <x:v>Ancient salvage</x:v>
      </x:c>
      <x:c r="E621" s="4" t="str">
        <x:v>Ancient recovery</x:v>
      </x:c>
      <x:c r="F621" s="4" t="str">
        <x:v>New proposal</x:v>
      </x:c>
      <x:c r="G621" s="4" t="inlineStr">
        <x:is>
          <x:t xml:space="preserve">Hypothetical recovered low-loss conductor with unknown operating conditions. It is an extremely rare ancient recovery whose original function remains a working hypothesis. Condition, compatibility and safe operation are unknown; no contemporary reproduction is implied.</x:t>
        </x:is>
      </x:c>
      <x:c r="H621" s="4" t="str">
        <x:v>None</x:v>
      </x:c>
      <x:c r="I621" s="4" t="str">
        <x:v>Physical inventory / cargo item; dimensions and packing unresolved</x:v>
      </x:c>
      <x:c r="J621" s="4"/>
      <x:c r="K621" s="4"/>
      <x:c r="L621" s="4" t="str">
        <x:v>Recover a compatible ancient item</x:v>
      </x:c>
      <x:c r="M621" s="4" t="str">
        <x:v>Identify, inspect and preserve a recovered item; manufacturing unavailable</x:v>
      </x:c>
      <x:c r="N621" s="4" t="str">
        <x:v>Not implemented</x:v>
      </x:c>
      <x:c r="O621" s="4" t="str">
        <x:v>Extremely rare ancient recovery. Power, interface, durability and authenticity unresolved.</x:v>
      </x:c>
      <x:c r="P621" s="4" t="str">
        <x:v>Extremely rare</x:v>
      </x:c>
      <x:c r="Q621" s="4"/>
      <x:c r="R621" s="4"/>
      <x:c r="S621" s="4"/>
      <x:c r="T621" s="4"/>
      <x:c r="U621" s="4" t="str">
        <x:v>Ancient item names describe candidate functions, not known working mechanisms.</x:v>
      </x:c>
      <x:c r="V621" s="4" t="str">
        <x:v>ancient superconducting bus link; collection expansion; machine part</x:v>
      </x:c>
      <x:c r="W621" s="4" t="str">
        <x:v>New item proposal, October 15, 2026. Rare ancient recovery; no reproduction route. Setting reference (source proposal): https://github.com/sleepyseamonster/Arc-Dust/blob/f6f98515c005dc3c73cccd9cbc031691745740c6/02-Arc-Dust-Worldbuilding/world/materials/ancient-synthetics.md</x:v>
      </x:c>
      <x:c r="X621" s="4" t="str">
        <x:v>Machine part</x:v>
      </x:c>
      <x:c r="Y621" s="4" t="str">
        <x:v>Recovered part</x:v>
      </x:c>
      <x:c r="Z621" s="4" t="str">
        <x:v>Ancient technology</x:v>
      </x:c>
      <x:c r="AA621" s="4" t="str">
        <x:v>Machinery repair</x:v>
      </x:c>
      <x:c r="AB621" s="4" t="str">
        <x:v>Ancient composite</x:v>
      </x:c>
      <x:c r="AC621" s="4" t="str">
        <x:v>Solid part</x:v>
      </x:c>
      <x:c r="AD621" s="4" t="str">
        <x:v>Proposal</x:v>
      </x:c>
      <x:c r="AE621" s="4" t="str">
        <x:f>LOWER(A621&amp;"; "&amp;B621&amp;"; "&amp;D621&amp;"; "&amp;E621&amp;"; "&amp;X621&amp;"; "&amp;Y621&amp;"; "&amp;Z621&amp;"; "&amp;AA621&amp;"; "&amp;AB621&amp;"; "&amp;AC621&amp;"; "&amp;AD621&amp;"; "&amp;V621&amp;"; "&amp;C621&amp;"; "&amp;AH621&amp;"; "&amp;AI621)</x:f>
        <x:v>proposal.collection.ancient_superconducting_bus_link; ancient superconducting bus link; ancient salvage; ancient recovery; machine part; recovered part; ancient technology; machinery repair; ancient composite; solid part; proposal; ancient superconducting bus link; collection expansion; machine part; not applicable; not applicable; component</x:v>
      </x:c>
      <x:c r="AF621" s="4" t="str">
        <x:v>Collection expansion classification. Distinct type, use and material family; new item proposal unless author direction is marked. October 15 audit: classification/handling clarified; item identity, design status and material tier preserved.</x:v>
      </x:c>
      <x:c r="AG621" s="4" t="str">
        <x:v>Recovered item outside contemporary manufacturing tiers.</x:v>
      </x:c>
      <x:c r="AH621" s="4" t="str">
        <x:v>Not applicable</x:v>
      </x:c>
      <x:c r="AI621" s="4" t="str">
        <x:v>Component</x:v>
      </x:c>
      <x:c r="AJ621" s="4" t="n">
        <x:f>COUNTIFS('Material routes'!$D$6:$D$2205,A621,'Material routes'!$C$6:$C$2205,"Output")</x:f>
        <x:v>0</x:v>
      </x:c>
      <x:c r="AK621" s="4" t="n">
        <x:f>SUM(COUNTIFS('Material routes'!$D$6:$D$2205,A621,'Material routes'!$C$6:$C$2205,"Ingredient candidate"),COUNTIFS('Material routes'!$D$6:$D$2205,A621,'Material routes'!$C$6:$C$2205,"Consumed input"),COUNTIFS('Material routes'!$D$6:$D$2205,A621,'Material routes'!$C$6:$C$2205,"Contained input"),COUNTIFS('Material routes'!$D$6:$D$2205,A621,'Material routes'!$C$6:$C$2205,"Transform input"))</x:f>
        <x:v>0</x:v>
      </x:c>
      <x:c r="AL621" s="4" t="n">
        <x:f>COUNTIFS('Material routes'!$D$6:$D$2205,A621,'Material routes'!$C$6:$C$2205,"Tool candidate")</x:f>
        <x:v>0</x:v>
      </x:c>
      <x:c r="AM621" s="4" t="str">
        <x:f>IF(AJ621&gt;0,"Route listed; review status/completeness",IF(C621="T0","Raw entry feed; no production route","No production route listed"))</x:f>
        <x:v>No production route listed</x:v>
      </x:c>
      <x:c r="AN621" s="4" t="n">
        <x:f>IF(C621="T0",0,IF(C621="T1",1,IF(C621="T2",2,IF(C621="T3",3,IF(C621="T4",4,IF(C621="Unassigned",98,99))))))</x:f>
        <x:v>99</x:v>
      </x:c>
      <x:c r="AZ621"/>
      <x:c r="BA621"/>
      <x:c r="BB621"/>
      <x:c r="BC621"/>
      <x:c r="BD621"/>
      <x:c r="BE621"/>
      <x:c r="BF621"/>
      <x:c r="BG621"/>
      <x:c r="BH621"/>
      <x:c r="BI621"/>
      <x:c r="BJ621"/>
      <x:c r="BK621"/>
      <x:c r="BL621"/>
      <x:c r="BM621"/>
      <x:c r="BN621"/>
      <x:c r="BO621"/>
      <x:c r="BP621"/>
      <x:c r="BQ621"/>
      <x:c r="BR621"/>
      <x:c r="BS621"/>
      <x:c r="BT621"/>
      <x:c r="BU621"/>
      <x:c r="BV621"/>
      <x:c r="BW621"/>
      <x:c r="BX621"/>
      <x:c r="BY621"/>
      <x:c r="BZ621"/>
      <x:c r="CA621"/>
      <x:c r="CB621"/>
      <x:c r="CC621"/>
    </x:row>
    <x:row r="622" ht="115" customHeight="1">
      <x:c r="A622" s="4" t="str">
        <x:v>proposal.collection.ancient_field_shaping_lattice</x:v>
      </x:c>
      <x:c r="B622" s="4" t="str">
        <x:v>Ancient field-shaping lattice</x:v>
      </x:c>
      <x:c r="C622" s="4" t="str">
        <x:v>Not applicable</x:v>
      </x:c>
      <x:c r="D622" s="4" t="str">
        <x:v>Ancient salvage</x:v>
      </x:c>
      <x:c r="E622" s="4" t="str">
        <x:v>Ancient recovery</x:v>
      </x:c>
      <x:c r="F622" s="4" t="str">
        <x:v>New proposal</x:v>
      </x:c>
      <x:c r="G622" s="4" t="inlineStr">
        <x:is>
          <x:t xml:space="preserve">Recovered field-control geometry with undefined behavior. It is an extremely rare ancient recovery whose original function remains a working hypothesis. Condition, compatibility and safe operation are unknown; no contemporary reproduction is implied.</x:t>
        </x:is>
      </x:c>
      <x:c r="H622" s="4" t="str">
        <x:v>None</x:v>
      </x:c>
      <x:c r="I622" s="4" t="str">
        <x:v>Physical inventory / cargo item; dimensions and packing unresolved</x:v>
      </x:c>
      <x:c r="J622" s="4"/>
      <x:c r="K622" s="4"/>
      <x:c r="L622" s="4" t="str">
        <x:v>Recover a compatible ancient item</x:v>
      </x:c>
      <x:c r="M622" s="4" t="str">
        <x:v>Identify, inspect and preserve a recovered item; manufacturing unavailable</x:v>
      </x:c>
      <x:c r="N622" s="4" t="str">
        <x:v>Not implemented</x:v>
      </x:c>
      <x:c r="O622" s="4" t="str">
        <x:v>Extremely rare ancient recovery. Power, interface, durability and authenticity unresolved.</x:v>
      </x:c>
      <x:c r="P622" s="4" t="str">
        <x:v>Extremely rare</x:v>
      </x:c>
      <x:c r="Q622" s="4"/>
      <x:c r="R622" s="4"/>
      <x:c r="S622" s="4"/>
      <x:c r="T622" s="4"/>
      <x:c r="U622" s="4" t="str">
        <x:v>Ancient item names describe candidate functions, not known working mechanisms.</x:v>
      </x:c>
      <x:c r="V622" s="4" t="str">
        <x:v>ancient field-shaping lattice; collection expansion; machine part</x:v>
      </x:c>
      <x:c r="W622" s="4" t="str">
        <x:v>New item proposal, October 15, 2026. Rare ancient recovery; no reproduction route. Setting reference (source proposal): https://github.com/sleepyseamonster/Arc-Dust/blob/f6f98515c005dc3c73cccd9cbc031691745740c6/02-Arc-Dust-Worldbuilding/world/materials/ancient-synthetics.md</x:v>
      </x:c>
      <x:c r="X622" s="4" t="str">
        <x:v>Machine part</x:v>
      </x:c>
      <x:c r="Y622" s="4" t="str">
        <x:v>Recovered part</x:v>
      </x:c>
      <x:c r="Z622" s="4" t="str">
        <x:v>Ancient technology</x:v>
      </x:c>
      <x:c r="AA622" s="4" t="str">
        <x:v>Machinery repair</x:v>
      </x:c>
      <x:c r="AB622" s="4" t="str">
        <x:v>Ancient composite</x:v>
      </x:c>
      <x:c r="AC622" s="4" t="str">
        <x:v>Assembly</x:v>
      </x:c>
      <x:c r="AD622" s="4" t="str">
        <x:v>Proposal</x:v>
      </x:c>
      <x:c r="AE622" s="4" t="str">
        <x:f>LOWER(A622&amp;"; "&amp;B622&amp;"; "&amp;D622&amp;"; "&amp;E622&amp;"; "&amp;X622&amp;"; "&amp;Y622&amp;"; "&amp;Z622&amp;"; "&amp;AA622&amp;"; "&amp;AB622&amp;"; "&amp;AC622&amp;"; "&amp;AD622&amp;"; "&amp;V622&amp;"; "&amp;C622&amp;"; "&amp;AH622&amp;"; "&amp;AI622)</x:f>
        <x:v>proposal.collection.ancient_field_shaping_lattice; ancient field-shaping lattice; ancient salvage; ancient recovery; machine part; recovered part; ancient technology; machinery repair; ancient composite; assembly; proposal; ancient field-shaping lattice; collection expansion; machine part; not applicable; not applicable; component</x:v>
      </x:c>
      <x:c r="AF622" s="4" t="str">
        <x:v>Collection expansion classification. Distinct type, use and material family; new item proposal unless author direction is marked.</x:v>
      </x:c>
      <x:c r="AG622" s="4" t="str">
        <x:v>Recovered item outside contemporary manufacturing tiers.</x:v>
      </x:c>
      <x:c r="AH622" s="4" t="str">
        <x:v>Not applicable</x:v>
      </x:c>
      <x:c r="AI622" s="4" t="str">
        <x:v>Component</x:v>
      </x:c>
      <x:c r="AJ622" s="4" t="n">
        <x:f>COUNTIFS('Material routes'!$D$6:$D$2205,A622,'Material routes'!$C$6:$C$2205,"Output")</x:f>
        <x:v>0</x:v>
      </x:c>
      <x:c r="AK622" s="4" t="n">
        <x:f>SUM(COUNTIFS('Material routes'!$D$6:$D$2205,A622,'Material routes'!$C$6:$C$2205,"Ingredient candidate"),COUNTIFS('Material routes'!$D$6:$D$2205,A622,'Material routes'!$C$6:$C$2205,"Consumed input"),COUNTIFS('Material routes'!$D$6:$D$2205,A622,'Material routes'!$C$6:$C$2205,"Contained input"),COUNTIFS('Material routes'!$D$6:$D$2205,A622,'Material routes'!$C$6:$C$2205,"Transform input"))</x:f>
        <x:v>0</x:v>
      </x:c>
      <x:c r="AL622" s="4" t="n">
        <x:f>COUNTIFS('Material routes'!$D$6:$D$2205,A622,'Material routes'!$C$6:$C$2205,"Tool candidate")</x:f>
        <x:v>0</x:v>
      </x:c>
      <x:c r="AM622" s="4" t="str">
        <x:f>IF(AJ622&gt;0,"Route listed; review status/completeness",IF(C622="T0","Raw entry feed; no production route","No production route listed"))</x:f>
        <x:v>No production route listed</x:v>
      </x:c>
      <x:c r="AN622" s="4" t="n">
        <x:f>IF(C622="T0",0,IF(C622="T1",1,IF(C622="T2",2,IF(C622="T3",3,IF(C622="T4",4,IF(C622="Unassigned",98,99))))))</x:f>
        <x:v>99</x:v>
      </x:c>
      <x:c r="AZ622"/>
      <x:c r="BA622"/>
      <x:c r="BB622"/>
      <x:c r="BC622"/>
      <x:c r="BD622"/>
      <x:c r="BE622"/>
      <x:c r="BF622"/>
      <x:c r="BG622"/>
      <x:c r="BH622"/>
      <x:c r="BI622"/>
      <x:c r="BJ622"/>
      <x:c r="BK622"/>
      <x:c r="BL622"/>
      <x:c r="BM622"/>
      <x:c r="BN622"/>
      <x:c r="BO622"/>
      <x:c r="BP622"/>
      <x:c r="BQ622"/>
      <x:c r="BR622"/>
      <x:c r="BS622"/>
      <x:c r="BT622"/>
      <x:c r="BU622"/>
      <x:c r="BV622"/>
      <x:c r="BW622"/>
      <x:c r="BX622"/>
      <x:c r="BY622"/>
      <x:c r="BZ622"/>
      <x:c r="CA622"/>
      <x:c r="CB622"/>
      <x:c r="CC622"/>
    </x:row>
    <x:row r="623" ht="115" customHeight="1">
      <x:c r="A623" s="4" t="str">
        <x:v>proposal.collection.ancient_phase_memory_logic_tile</x:v>
      </x:c>
      <x:c r="B623" s="4" t="str">
        <x:v>Ancient phase-memory logic tile</x:v>
      </x:c>
      <x:c r="C623" s="4" t="str">
        <x:v>Not applicable</x:v>
      </x:c>
      <x:c r="D623" s="4" t="str">
        <x:v>Ancient salvage</x:v>
      </x:c>
      <x:c r="E623" s="4" t="str">
        <x:v>Ancient recovery</x:v>
      </x:c>
      <x:c r="F623" s="4" t="str">
        <x:v>New proposal</x:v>
      </x:c>
      <x:c r="G623" s="4" t="inlineStr">
        <x:is>
          <x:t xml:space="preserve">Fantasy recovered control element whose encoding is unresolved. It is an extremely rare ancient recovery whose original function remains a working hypothesis. Condition, compatibility and safe operation are unknown; no contemporary reproduction is implied.</x:t>
        </x:is>
      </x:c>
      <x:c r="H623" s="4" t="str">
        <x:v>None</x:v>
      </x:c>
      <x:c r="I623" s="4" t="str">
        <x:v>Physical inventory / cargo item; dimensions and packing unresolved</x:v>
      </x:c>
      <x:c r="J623" s="4"/>
      <x:c r="K623" s="4"/>
      <x:c r="L623" s="4" t="str">
        <x:v>Recover a compatible ancient item</x:v>
      </x:c>
      <x:c r="M623" s="4" t="str">
        <x:v>Identify, inspect and preserve a recovered item; manufacturing unavailable</x:v>
      </x:c>
      <x:c r="N623" s="4" t="str">
        <x:v>Not implemented</x:v>
      </x:c>
      <x:c r="O623" s="4" t="str">
        <x:v>Extremely rare ancient recovery. Power, interface, durability and authenticity unresolved.</x:v>
      </x:c>
      <x:c r="P623" s="4" t="str">
        <x:v>Extremely rare</x:v>
      </x:c>
      <x:c r="Q623" s="4"/>
      <x:c r="R623" s="4"/>
      <x:c r="S623" s="4"/>
      <x:c r="T623" s="4"/>
      <x:c r="U623" s="4" t="str">
        <x:v>Ancient item names describe candidate functions, not known working mechanisms.</x:v>
      </x:c>
      <x:c r="V623" s="4" t="str">
        <x:v>ancient phase-memory logic tile; collection expansion; machine part</x:v>
      </x:c>
      <x:c r="W623" s="4" t="str">
        <x:v>New item proposal, October 15, 2026. Rare ancient recovery; no reproduction route. Setting reference (source proposal): https://github.com/sleepyseamonster/Arc-Dust/blob/f6f98515c005dc3c73cccd9cbc031691745740c6/02-Arc-Dust-Worldbuilding/world/materials/ancient-synthetics.md</x:v>
      </x:c>
      <x:c r="X623" s="4" t="str">
        <x:v>Machine part</x:v>
      </x:c>
      <x:c r="Y623" s="4" t="str">
        <x:v>Recovered part</x:v>
      </x:c>
      <x:c r="Z623" s="4" t="str">
        <x:v>Ancient technology</x:v>
      </x:c>
      <x:c r="AA623" s="4" t="str">
        <x:v>Machinery repair</x:v>
      </x:c>
      <x:c r="AB623" s="4" t="str">
        <x:v>Ancient composite</x:v>
      </x:c>
      <x:c r="AC623" s="4" t="str">
        <x:v>Assembly</x:v>
      </x:c>
      <x:c r="AD623" s="4" t="str">
        <x:v>Proposal</x:v>
      </x:c>
      <x:c r="AE623" s="4" t="str">
        <x:f>LOWER(A623&amp;"; "&amp;B623&amp;"; "&amp;D623&amp;"; "&amp;E623&amp;"; "&amp;X623&amp;"; "&amp;Y623&amp;"; "&amp;Z623&amp;"; "&amp;AA623&amp;"; "&amp;AB623&amp;"; "&amp;AC623&amp;"; "&amp;AD623&amp;"; "&amp;V623&amp;"; "&amp;C623&amp;"; "&amp;AH623&amp;"; "&amp;AI623)</x:f>
        <x:v>proposal.collection.ancient_phase_memory_logic_tile; ancient phase-memory logic tile; ancient salvage; ancient recovery; machine part; recovered part; ancient technology; machinery repair; ancient composite; assembly; proposal; ancient phase-memory logic tile; collection expansion; machine part; not applicable; not applicable; component</x:v>
      </x:c>
      <x:c r="AF623" s="4" t="str">
        <x:v>Collection expansion classification. Distinct type, use and material family; new item proposal unless author direction is marked.</x:v>
      </x:c>
      <x:c r="AG623" s="4" t="str">
        <x:v>Recovered item outside contemporary manufacturing tiers.</x:v>
      </x:c>
      <x:c r="AH623" s="4" t="str">
        <x:v>Not applicable</x:v>
      </x:c>
      <x:c r="AI623" s="4" t="str">
        <x:v>Component</x:v>
      </x:c>
      <x:c r="AJ623" s="4" t="n">
        <x:f>COUNTIFS('Material routes'!$D$6:$D$2205,A623,'Material routes'!$C$6:$C$2205,"Output")</x:f>
        <x:v>0</x:v>
      </x:c>
      <x:c r="AK623" s="4" t="n">
        <x:f>SUM(COUNTIFS('Material routes'!$D$6:$D$2205,A623,'Material routes'!$C$6:$C$2205,"Ingredient candidate"),COUNTIFS('Material routes'!$D$6:$D$2205,A623,'Material routes'!$C$6:$C$2205,"Consumed input"),COUNTIFS('Material routes'!$D$6:$D$2205,A623,'Material routes'!$C$6:$C$2205,"Contained input"),COUNTIFS('Material routes'!$D$6:$D$2205,A623,'Material routes'!$C$6:$C$2205,"Transform input"))</x:f>
        <x:v>0</x:v>
      </x:c>
      <x:c r="AL623" s="4" t="n">
        <x:f>COUNTIFS('Material routes'!$D$6:$D$2205,A623,'Material routes'!$C$6:$C$2205,"Tool candidate")</x:f>
        <x:v>0</x:v>
      </x:c>
      <x:c r="AM623" s="4" t="str">
        <x:f>IF(AJ623&gt;0,"Route listed; review status/completeness",IF(C623="T0","Raw entry feed; no production route","No production route listed"))</x:f>
        <x:v>No production route listed</x:v>
      </x:c>
      <x:c r="AN623" s="4" t="n">
        <x:f>IF(C623="T0",0,IF(C623="T1",1,IF(C623="T2",2,IF(C623="T3",3,IF(C623="T4",4,IF(C623="Unassigned",98,99))))))</x:f>
        <x:v>99</x:v>
      </x:c>
      <x:c r="AZ623"/>
      <x:c r="BA623"/>
      <x:c r="BB623"/>
      <x:c r="BC623"/>
      <x:c r="BD623"/>
      <x:c r="BE623"/>
      <x:c r="BF623"/>
      <x:c r="BG623"/>
      <x:c r="BH623"/>
      <x:c r="BI623"/>
      <x:c r="BJ623"/>
      <x:c r="BK623"/>
      <x:c r="BL623"/>
      <x:c r="BM623"/>
      <x:c r="BN623"/>
      <x:c r="BO623"/>
      <x:c r="BP623"/>
      <x:c r="BQ623"/>
      <x:c r="BR623"/>
      <x:c r="BS623"/>
      <x:c r="BT623"/>
      <x:c r="BU623"/>
      <x:c r="BV623"/>
      <x:c r="BW623"/>
      <x:c r="BX623"/>
      <x:c r="BY623"/>
      <x:c r="BZ623"/>
      <x:c r="CA623"/>
      <x:c r="CB623"/>
      <x:c r="CC623"/>
    </x:row>
    <x:row r="624" ht="115" customHeight="1">
      <x:c r="A624" s="4" t="str">
        <x:v>proposal.collection.ancient_machine_identity_wafer</x:v>
      </x:c>
      <x:c r="B624" s="4" t="str">
        <x:v>Ancient machine identity wafer</x:v>
      </x:c>
      <x:c r="C624" s="4" t="str">
        <x:v>Not applicable</x:v>
      </x:c>
      <x:c r="D624" s="4" t="str">
        <x:v>Ancient salvage</x:v>
      </x:c>
      <x:c r="E624" s="4" t="str">
        <x:v>Ancient recovery</x:v>
      </x:c>
      <x:c r="F624" s="4" t="str">
        <x:v>New proposal</x:v>
      </x:c>
      <x:c r="G624" s="4" t="inlineStr">
        <x:is>
          <x:t xml:space="preserve">Recovered machine recognition element, function unconfirmed. It is an extremely rare ancient recovery whose original function remains a working hypothesis. Condition, compatibility and safe operation are unknown; no contemporary reproduction is implied.</x:t>
        </x:is>
      </x:c>
      <x:c r="H624" s="4" t="str">
        <x:v>None</x:v>
      </x:c>
      <x:c r="I624" s="4" t="str">
        <x:v>Physical inventory / cargo item; dimensions and packing unresolved</x:v>
      </x:c>
      <x:c r="J624" s="4"/>
      <x:c r="K624" s="4"/>
      <x:c r="L624" s="4" t="str">
        <x:v>Recover a compatible ancient item</x:v>
      </x:c>
      <x:c r="M624" s="4" t="str">
        <x:v>Identify, inspect and preserve a recovered item; manufacturing unavailable</x:v>
      </x:c>
      <x:c r="N624" s="4" t="str">
        <x:v>Not implemented</x:v>
      </x:c>
      <x:c r="O624" s="4" t="str">
        <x:v>Extremely rare ancient recovery. Power, interface, durability and authenticity unresolved.</x:v>
      </x:c>
      <x:c r="P624" s="4" t="str">
        <x:v>Extremely rare</x:v>
      </x:c>
      <x:c r="Q624" s="4"/>
      <x:c r="R624" s="4"/>
      <x:c r="S624" s="4"/>
      <x:c r="T624" s="4"/>
      <x:c r="U624" s="4" t="str">
        <x:v>Ancient item names describe candidate functions, not known working mechanisms.</x:v>
      </x:c>
      <x:c r="V624" s="4" t="str">
        <x:v>ancient machine identity wafer; collection expansion; machine part</x:v>
      </x:c>
      <x:c r="W624" s="4" t="str">
        <x:v>New item proposal, October 15, 2026. Rare ancient recovery; no reproduction route. Setting reference (source proposal): https://github.com/sleepyseamonster/Arc-Dust/blob/f6f98515c005dc3c73cccd9cbc031691745740c6/02-Arc-Dust-Worldbuilding/world/materials/ancient-synthetics.md</x:v>
      </x:c>
      <x:c r="X624" s="4" t="str">
        <x:v>Machine part</x:v>
      </x:c>
      <x:c r="Y624" s="4" t="str">
        <x:v>Recovered part</x:v>
      </x:c>
      <x:c r="Z624" s="4" t="str">
        <x:v>Ancient technology</x:v>
      </x:c>
      <x:c r="AA624" s="4" t="str">
        <x:v>Machinery repair</x:v>
      </x:c>
      <x:c r="AB624" s="4" t="str">
        <x:v>Ancient composite</x:v>
      </x:c>
      <x:c r="AC624" s="4" t="str">
        <x:v>Assembly</x:v>
      </x:c>
      <x:c r="AD624" s="4" t="str">
        <x:v>Proposal</x:v>
      </x:c>
      <x:c r="AE624" s="4" t="str">
        <x:f>LOWER(A624&amp;"; "&amp;B624&amp;"; "&amp;D624&amp;"; "&amp;E624&amp;"; "&amp;X624&amp;"; "&amp;Y624&amp;"; "&amp;Z624&amp;"; "&amp;AA624&amp;"; "&amp;AB624&amp;"; "&amp;AC624&amp;"; "&amp;AD624&amp;"; "&amp;V624&amp;"; "&amp;C624&amp;"; "&amp;AH624&amp;"; "&amp;AI624)</x:f>
        <x:v>proposal.collection.ancient_machine_identity_wafer; ancient machine identity wafer; ancient salvage; ancient recovery; machine part; recovered part; ancient technology; machinery repair; ancient composite; assembly; proposal; ancient machine identity wafer; collection expansion; machine part; not applicable; not applicable; component</x:v>
      </x:c>
      <x:c r="AF624" s="4" t="str">
        <x:v>Collection expansion classification. Distinct type, use and material family; new item proposal unless author direction is marked.</x:v>
      </x:c>
      <x:c r="AG624" s="4" t="str">
        <x:v>Recovered item outside contemporary manufacturing tiers.</x:v>
      </x:c>
      <x:c r="AH624" s="4" t="str">
        <x:v>Not applicable</x:v>
      </x:c>
      <x:c r="AI624" s="4" t="str">
        <x:v>Component</x:v>
      </x:c>
      <x:c r="AJ624" s="4" t="n">
        <x:f>COUNTIFS('Material routes'!$D$6:$D$2205,A624,'Material routes'!$C$6:$C$2205,"Output")</x:f>
        <x:v>0</x:v>
      </x:c>
      <x:c r="AK624" s="4" t="n">
        <x:f>SUM(COUNTIFS('Material routes'!$D$6:$D$2205,A624,'Material routes'!$C$6:$C$2205,"Ingredient candidate"),COUNTIFS('Material routes'!$D$6:$D$2205,A624,'Material routes'!$C$6:$C$2205,"Consumed input"),COUNTIFS('Material routes'!$D$6:$D$2205,A624,'Material routes'!$C$6:$C$2205,"Contained input"),COUNTIFS('Material routes'!$D$6:$D$2205,A624,'Material routes'!$C$6:$C$2205,"Transform input"))</x:f>
        <x:v>0</x:v>
      </x:c>
      <x:c r="AL624" s="4" t="n">
        <x:f>COUNTIFS('Material routes'!$D$6:$D$2205,A624,'Material routes'!$C$6:$C$2205,"Tool candidate")</x:f>
        <x:v>0</x:v>
      </x:c>
      <x:c r="AM624" s="4" t="str">
        <x:f>IF(AJ624&gt;0,"Route listed; review status/completeness",IF(C624="T0","Raw entry feed; no production route","No production route listed"))</x:f>
        <x:v>No production route listed</x:v>
      </x:c>
      <x:c r="AN624" s="4" t="n">
        <x:f>IF(C624="T0",0,IF(C624="T1",1,IF(C624="T2",2,IF(C624="T3",3,IF(C624="T4",4,IF(C624="Unassigned",98,99))))))</x:f>
        <x:v>99</x:v>
      </x:c>
      <x:c r="AZ624"/>
      <x:c r="BA624"/>
      <x:c r="BB624"/>
      <x:c r="BC624"/>
      <x:c r="BD624"/>
      <x:c r="BE624"/>
      <x:c r="BF624"/>
      <x:c r="BG624"/>
      <x:c r="BH624"/>
      <x:c r="BI624"/>
      <x:c r="BJ624"/>
      <x:c r="BK624"/>
      <x:c r="BL624"/>
      <x:c r="BM624"/>
      <x:c r="BN624"/>
      <x:c r="BO624"/>
      <x:c r="BP624"/>
      <x:c r="BQ624"/>
      <x:c r="BR624"/>
      <x:c r="BS624"/>
      <x:c r="BT624"/>
      <x:c r="BU624"/>
      <x:c r="BV624"/>
      <x:c r="BW624"/>
      <x:c r="BX624"/>
      <x:c r="BY624"/>
      <x:c r="BZ624"/>
      <x:c r="CA624"/>
      <x:c r="CB624"/>
      <x:c r="CC624"/>
    </x:row>
    <x:row r="625" ht="115" customHeight="1">
      <x:c r="A625" s="4" t="str">
        <x:v>proposal.collection.ancient_inertial_reference_sphere</x:v>
      </x:c>
      <x:c r="B625" s="4" t="str">
        <x:v>Ancient inertial reference sphere</x:v>
      </x:c>
      <x:c r="C625" s="4" t="str">
        <x:v>Not applicable</x:v>
      </x:c>
      <x:c r="D625" s="4" t="str">
        <x:v>Ancient salvage</x:v>
      </x:c>
      <x:c r="E625" s="4" t="str">
        <x:v>Ancient recovery</x:v>
      </x:c>
      <x:c r="F625" s="4" t="str">
        <x:v>New proposal</x:v>
      </x:c>
      <x:c r="G625" s="4" t="inlineStr">
        <x:is>
          <x:t xml:space="preserve">Recovered navigation reference component. It is an extremely rare ancient recovery whose original function remains a working hypothesis. Condition, compatibility and safe operation are unknown; no contemporary reproduction is implied.</x:t>
        </x:is>
      </x:c>
      <x:c r="H625" s="4" t="str">
        <x:v>None</x:v>
      </x:c>
      <x:c r="I625" s="4" t="str">
        <x:v>Physical inventory / cargo item; dimensions and packing unresolved</x:v>
      </x:c>
      <x:c r="J625" s="4"/>
      <x:c r="K625" s="4"/>
      <x:c r="L625" s="4" t="str">
        <x:v>Recover a compatible ancient item</x:v>
      </x:c>
      <x:c r="M625" s="4" t="str">
        <x:v>Identify, inspect and preserve a recovered item; manufacturing unavailable</x:v>
      </x:c>
      <x:c r="N625" s="4" t="str">
        <x:v>Not implemented</x:v>
      </x:c>
      <x:c r="O625" s="4" t="str">
        <x:v>Extremely rare ancient recovery. Power, interface, durability and authenticity unresolved.</x:v>
      </x:c>
      <x:c r="P625" s="4" t="str">
        <x:v>Extremely rare</x:v>
      </x:c>
      <x:c r="Q625" s="4"/>
      <x:c r="R625" s="4"/>
      <x:c r="S625" s="4"/>
      <x:c r="T625" s="4"/>
      <x:c r="U625" s="4" t="str">
        <x:v>Ancient item names describe candidate functions, not known working mechanisms.</x:v>
      </x:c>
      <x:c r="V625" s="4" t="str">
        <x:v>ancient inertial reference sphere; collection expansion; machine part</x:v>
      </x:c>
      <x:c r="W625" s="4" t="str">
        <x:v>New item proposal, October 15, 2026. Rare ancient recovery; no reproduction route. Setting reference (source proposal): https://github.com/sleepyseamonster/Arc-Dust/blob/f6f98515c005dc3c73cccd9cbc031691745740c6/02-Arc-Dust-Worldbuilding/world/materials/ancient-synthetics.md</x:v>
      </x:c>
      <x:c r="X625" s="4" t="str">
        <x:v>Machine part</x:v>
      </x:c>
      <x:c r="Y625" s="4" t="str">
        <x:v>Recovered part</x:v>
      </x:c>
      <x:c r="Z625" s="4" t="str">
        <x:v>Ancient technology</x:v>
      </x:c>
      <x:c r="AA625" s="4" t="str">
        <x:v>Machinery repair</x:v>
      </x:c>
      <x:c r="AB625" s="4" t="str">
        <x:v>Ancient composite</x:v>
      </x:c>
      <x:c r="AC625" s="4" t="str">
        <x:v>Assembly</x:v>
      </x:c>
      <x:c r="AD625" s="4" t="str">
        <x:v>Proposal</x:v>
      </x:c>
      <x:c r="AE625" s="4" t="str">
        <x:f>LOWER(A625&amp;"; "&amp;B625&amp;"; "&amp;D625&amp;"; "&amp;E625&amp;"; "&amp;X625&amp;"; "&amp;Y625&amp;"; "&amp;Z625&amp;"; "&amp;AA625&amp;"; "&amp;AB625&amp;"; "&amp;AC625&amp;"; "&amp;AD625&amp;"; "&amp;V625&amp;"; "&amp;C625&amp;"; "&amp;AH625&amp;"; "&amp;AI625)</x:f>
        <x:v>proposal.collection.ancient_inertial_reference_sphere; ancient inertial reference sphere; ancient salvage; ancient recovery; machine part; recovered part; ancient technology; machinery repair; ancient composite; assembly; proposal; ancient inertial reference sphere; collection expansion; machine part; not applicable; not applicable; component</x:v>
      </x:c>
      <x:c r="AF625" s="4" t="str">
        <x:v>Collection expansion classification. Distinct type, use and material family; new item proposal unless author direction is marked.</x:v>
      </x:c>
      <x:c r="AG625" s="4" t="str">
        <x:v>Recovered item outside contemporary manufacturing tiers.</x:v>
      </x:c>
      <x:c r="AH625" s="4" t="str">
        <x:v>Not applicable</x:v>
      </x:c>
      <x:c r="AI625" s="4" t="str">
        <x:v>Component</x:v>
      </x:c>
      <x:c r="AJ625" s="4" t="n">
        <x:f>COUNTIFS('Material routes'!$D$6:$D$2205,A625,'Material routes'!$C$6:$C$2205,"Output")</x:f>
        <x:v>0</x:v>
      </x:c>
      <x:c r="AK625" s="4" t="n">
        <x:f>SUM(COUNTIFS('Material routes'!$D$6:$D$2205,A625,'Material routes'!$C$6:$C$2205,"Ingredient candidate"),COUNTIFS('Material routes'!$D$6:$D$2205,A625,'Material routes'!$C$6:$C$2205,"Consumed input"),COUNTIFS('Material routes'!$D$6:$D$2205,A625,'Material routes'!$C$6:$C$2205,"Contained input"),COUNTIFS('Material routes'!$D$6:$D$2205,A625,'Material routes'!$C$6:$C$2205,"Transform input"))</x:f>
        <x:v>0</x:v>
      </x:c>
      <x:c r="AL625" s="4" t="n">
        <x:f>COUNTIFS('Material routes'!$D$6:$D$2205,A625,'Material routes'!$C$6:$C$2205,"Tool candidate")</x:f>
        <x:v>0</x:v>
      </x:c>
      <x:c r="AM625" s="4" t="str">
        <x:f>IF(AJ625&gt;0,"Route listed; review status/completeness",IF(C625="T0","Raw entry feed; no production route","No production route listed"))</x:f>
        <x:v>No production route listed</x:v>
      </x:c>
      <x:c r="AN625" s="4" t="n">
        <x:f>IF(C625="T0",0,IF(C625="T1",1,IF(C625="T2",2,IF(C625="T3",3,IF(C625="T4",4,IF(C625="Unassigned",98,99))))))</x:f>
        <x:v>99</x:v>
      </x:c>
      <x:c r="AZ625"/>
      <x:c r="BA625"/>
      <x:c r="BB625"/>
      <x:c r="BC625"/>
      <x:c r="BD625"/>
      <x:c r="BE625"/>
      <x:c r="BF625"/>
      <x:c r="BG625"/>
      <x:c r="BH625"/>
      <x:c r="BI625"/>
      <x:c r="BJ625"/>
      <x:c r="BK625"/>
      <x:c r="BL625"/>
      <x:c r="BM625"/>
      <x:c r="BN625"/>
      <x:c r="BO625"/>
      <x:c r="BP625"/>
      <x:c r="BQ625"/>
      <x:c r="BR625"/>
      <x:c r="BS625"/>
      <x:c r="BT625"/>
      <x:c r="BU625"/>
      <x:c r="BV625"/>
      <x:c r="BW625"/>
      <x:c r="BX625"/>
      <x:c r="BY625"/>
      <x:c r="BZ625"/>
      <x:c r="CA625"/>
      <x:c r="CB625"/>
      <x:c r="CC625"/>
    </x:row>
    <x:row r="626" ht="115" customHeight="1">
      <x:c r="A626" s="4" t="str">
        <x:v>proposal.collection.ancient_vacuum_sealed_sensor_eye</x:v>
      </x:c>
      <x:c r="B626" s="4" t="str">
        <x:v>Ancient vacuum-sealed sensor eye</x:v>
      </x:c>
      <x:c r="C626" s="4" t="str">
        <x:v>Not applicable</x:v>
      </x:c>
      <x:c r="D626" s="4" t="str">
        <x:v>Ancient salvage</x:v>
      </x:c>
      <x:c r="E626" s="4" t="str">
        <x:v>Ancient recovery</x:v>
      </x:c>
      <x:c r="F626" s="4" t="str">
        <x:v>New proposal</x:v>
      </x:c>
      <x:c r="G626" s="4" t="inlineStr">
        <x:is>
          <x:t xml:space="preserve">Recovered optical or field-sensing package. It is an extremely rare ancient recovery whose original function remains a working hypothesis. Condition, compatibility and safe operation are unknown; no contemporary reproduction is implied.</x:t>
        </x:is>
      </x:c>
      <x:c r="H626" s="4" t="str">
        <x:v>None</x:v>
      </x:c>
      <x:c r="I626" s="4" t="str">
        <x:v>Physical inventory / cargo item; dimensions and packing unresolved</x:v>
      </x:c>
      <x:c r="J626" s="4"/>
      <x:c r="K626" s="4"/>
      <x:c r="L626" s="4" t="str">
        <x:v>Recover a compatible ancient item</x:v>
      </x:c>
      <x:c r="M626" s="4" t="str">
        <x:v>Identify, inspect and preserve a recovered item; manufacturing unavailable</x:v>
      </x:c>
      <x:c r="N626" s="4" t="str">
        <x:v>Not implemented</x:v>
      </x:c>
      <x:c r="O626" s="4" t="str">
        <x:v>Extremely rare ancient recovery. Power, interface, durability and authenticity unresolved.</x:v>
      </x:c>
      <x:c r="P626" s="4" t="str">
        <x:v>Extremely rare</x:v>
      </x:c>
      <x:c r="Q626" s="4"/>
      <x:c r="R626" s="4"/>
      <x:c r="S626" s="4"/>
      <x:c r="T626" s="4"/>
      <x:c r="U626" s="4" t="str">
        <x:v>Ancient item names describe candidate functions, not known working mechanisms.</x:v>
      </x:c>
      <x:c r="V626" s="4" t="str">
        <x:v>ancient vacuum-sealed sensor eye; collection expansion; machine part</x:v>
      </x:c>
      <x:c r="W626" s="4" t="str">
        <x:v>New item proposal, October 15, 2026. Rare ancient recovery; no reproduction route. Setting reference (source proposal): https://github.com/sleepyseamonster/Arc-Dust/blob/f6f98515c005dc3c73cccd9cbc031691745740c6/02-Arc-Dust-Worldbuilding/world/materials/ancient-synthetics.md</x:v>
      </x:c>
      <x:c r="X626" s="4" t="str">
        <x:v>Machine part</x:v>
      </x:c>
      <x:c r="Y626" s="4" t="str">
        <x:v>Recovered part</x:v>
      </x:c>
      <x:c r="Z626" s="4" t="str">
        <x:v>Ancient technology</x:v>
      </x:c>
      <x:c r="AA626" s="4" t="str">
        <x:v>Machinery repair</x:v>
      </x:c>
      <x:c r="AB626" s="4" t="str">
        <x:v>Ancient composite</x:v>
      </x:c>
      <x:c r="AC626" s="4" t="str">
        <x:v>Assembly</x:v>
      </x:c>
      <x:c r="AD626" s="4" t="str">
        <x:v>Proposal</x:v>
      </x:c>
      <x:c r="AE626" s="4" t="str">
        <x:f>LOWER(A626&amp;"; "&amp;B626&amp;"; "&amp;D626&amp;"; "&amp;E626&amp;"; "&amp;X626&amp;"; "&amp;Y626&amp;"; "&amp;Z626&amp;"; "&amp;AA626&amp;"; "&amp;AB626&amp;"; "&amp;AC626&amp;"; "&amp;AD626&amp;"; "&amp;V626&amp;"; "&amp;C626&amp;"; "&amp;AH626&amp;"; "&amp;AI626)</x:f>
        <x:v>proposal.collection.ancient_vacuum_sealed_sensor_eye; ancient vacuum-sealed sensor eye; ancient salvage; ancient recovery; machine part; recovered part; ancient technology; machinery repair; ancient composite; assembly; proposal; ancient vacuum-sealed sensor eye; collection expansion; machine part; not applicable; not applicable; component</x:v>
      </x:c>
      <x:c r="AF626" s="4" t="str">
        <x:v>Collection expansion classification. Distinct type, use and material family; new item proposal unless author direction is marked.</x:v>
      </x:c>
      <x:c r="AG626" s="4" t="str">
        <x:v>Recovered item outside contemporary manufacturing tiers.</x:v>
      </x:c>
      <x:c r="AH626" s="4" t="str">
        <x:v>Not applicable</x:v>
      </x:c>
      <x:c r="AI626" s="4" t="str">
        <x:v>Component</x:v>
      </x:c>
      <x:c r="AJ626" s="4" t="n">
        <x:f>COUNTIFS('Material routes'!$D$6:$D$2205,A626,'Material routes'!$C$6:$C$2205,"Output")</x:f>
        <x:v>0</x:v>
      </x:c>
      <x:c r="AK626" s="4" t="n">
        <x:f>SUM(COUNTIFS('Material routes'!$D$6:$D$2205,A626,'Material routes'!$C$6:$C$2205,"Ingredient candidate"),COUNTIFS('Material routes'!$D$6:$D$2205,A626,'Material routes'!$C$6:$C$2205,"Consumed input"),COUNTIFS('Material routes'!$D$6:$D$2205,A626,'Material routes'!$C$6:$C$2205,"Contained input"),COUNTIFS('Material routes'!$D$6:$D$2205,A626,'Material routes'!$C$6:$C$2205,"Transform input"))</x:f>
        <x:v>0</x:v>
      </x:c>
      <x:c r="AL626" s="4" t="n">
        <x:f>COUNTIFS('Material routes'!$D$6:$D$2205,A626,'Material routes'!$C$6:$C$2205,"Tool candidate")</x:f>
        <x:v>0</x:v>
      </x:c>
      <x:c r="AM626" s="4" t="str">
        <x:f>IF(AJ626&gt;0,"Route listed; review status/completeness",IF(C626="T0","Raw entry feed; no production route","No production route listed"))</x:f>
        <x:v>No production route listed</x:v>
      </x:c>
      <x:c r="AN626" s="4" t="n">
        <x:f>IF(C626="T0",0,IF(C626="T1",1,IF(C626="T2",2,IF(C626="T3",3,IF(C626="T4",4,IF(C626="Unassigned",98,99))))))</x:f>
        <x:v>99</x:v>
      </x:c>
      <x:c r="AZ626"/>
      <x:c r="BA626"/>
      <x:c r="BB626"/>
      <x:c r="BC626"/>
      <x:c r="BD626"/>
      <x:c r="BE626"/>
      <x:c r="BF626"/>
      <x:c r="BG626"/>
      <x:c r="BH626"/>
      <x:c r="BI626"/>
      <x:c r="BJ626"/>
      <x:c r="BK626"/>
      <x:c r="BL626"/>
      <x:c r="BM626"/>
      <x:c r="BN626"/>
      <x:c r="BO626"/>
      <x:c r="BP626"/>
      <x:c r="BQ626"/>
      <x:c r="BR626"/>
      <x:c r="BS626"/>
      <x:c r="BT626"/>
      <x:c r="BU626"/>
      <x:c r="BV626"/>
      <x:c r="BW626"/>
      <x:c r="BX626"/>
      <x:c r="BY626"/>
      <x:c r="BZ626"/>
      <x:c r="CA626"/>
      <x:c r="CB626"/>
      <x:c r="CC626"/>
    </x:row>
    <x:row r="627" ht="115" customHeight="1">
      <x:c r="A627" s="4" t="str">
        <x:v>proposal.collection.ancient_force_distribution_mesh</x:v>
      </x:c>
      <x:c r="B627" s="4" t="str">
        <x:v>Ancient force-distribution mesh</x:v>
      </x:c>
      <x:c r="C627" s="4" t="str">
        <x:v>Not applicable</x:v>
      </x:c>
      <x:c r="D627" s="4" t="str">
        <x:v>Ancient salvage</x:v>
      </x:c>
      <x:c r="E627" s="4" t="str">
        <x:v>Ancient recovery</x:v>
      </x:c>
      <x:c r="F627" s="4" t="str">
        <x:v>New proposal</x:v>
      </x:c>
      <x:c r="G627" s="4" t="inlineStr">
        <x:is>
          <x:t xml:space="preserve">Recovered load-spreading machine insert. It is an extremely rare ancient recovery whose original function remains a working hypothesis. Condition, compatibility and safe operation are unknown; no contemporary reproduction is implied.</x:t>
        </x:is>
      </x:c>
      <x:c r="H627" s="4" t="str">
        <x:v>None</x:v>
      </x:c>
      <x:c r="I627" s="4" t="str">
        <x:v>Physical inventory / cargo item; dimensions and packing unresolved</x:v>
      </x:c>
      <x:c r="J627" s="4"/>
      <x:c r="K627" s="4"/>
      <x:c r="L627" s="4" t="str">
        <x:v>Recover a compatible ancient item</x:v>
      </x:c>
      <x:c r="M627" s="4" t="str">
        <x:v>Identify, inspect and preserve a recovered item; manufacturing unavailable</x:v>
      </x:c>
      <x:c r="N627" s="4" t="str">
        <x:v>Not implemented</x:v>
      </x:c>
      <x:c r="O627" s="4" t="str">
        <x:v>Extremely rare ancient recovery. Power, interface, durability and authenticity unresolved.</x:v>
      </x:c>
      <x:c r="P627" s="4" t="str">
        <x:v>Extremely rare</x:v>
      </x:c>
      <x:c r="Q627" s="4"/>
      <x:c r="R627" s="4"/>
      <x:c r="S627" s="4"/>
      <x:c r="T627" s="4"/>
      <x:c r="U627" s="4" t="str">
        <x:v>Ancient item names describe candidate functions, not known working mechanisms.</x:v>
      </x:c>
      <x:c r="V627" s="4" t="str">
        <x:v>ancient force-distribution mesh; collection expansion; machine part</x:v>
      </x:c>
      <x:c r="W627" s="4" t="str">
        <x:v>New item proposal, October 15, 2026. Rare ancient recovery; no reproduction route. Setting reference (source proposal): https://github.com/sleepyseamonster/Arc-Dust/blob/f6f98515c005dc3c73cccd9cbc031691745740c6/02-Arc-Dust-Worldbuilding/world/materials/ancient-synthetics.md</x:v>
      </x:c>
      <x:c r="X627" s="4" t="str">
        <x:v>Machine part</x:v>
      </x:c>
      <x:c r="Y627" s="4" t="str">
        <x:v>Recovered part</x:v>
      </x:c>
      <x:c r="Z627" s="4" t="str">
        <x:v>Ancient technology</x:v>
      </x:c>
      <x:c r="AA627" s="4" t="str">
        <x:v>Machinery repair</x:v>
      </x:c>
      <x:c r="AB627" s="4" t="str">
        <x:v>Ancient composite</x:v>
      </x:c>
      <x:c r="AC627" s="4" t="str">
        <x:v>Assembly</x:v>
      </x:c>
      <x:c r="AD627" s="4" t="str">
        <x:v>Proposal</x:v>
      </x:c>
      <x:c r="AE627" s="4" t="str">
        <x:f>LOWER(A627&amp;"; "&amp;B627&amp;"; "&amp;D627&amp;"; "&amp;E627&amp;"; "&amp;X627&amp;"; "&amp;Y627&amp;"; "&amp;Z627&amp;"; "&amp;AA627&amp;"; "&amp;AB627&amp;"; "&amp;AC627&amp;"; "&amp;AD627&amp;"; "&amp;V627&amp;"; "&amp;C627&amp;"; "&amp;AH627&amp;"; "&amp;AI627)</x:f>
        <x:v>proposal.collection.ancient_force_distribution_mesh; ancient force-distribution mesh; ancient salvage; ancient recovery; machine part; recovered part; ancient technology; machinery repair; ancient composite; assembly; proposal; ancient force-distribution mesh; collection expansion; machine part; not applicable; not applicable; component</x:v>
      </x:c>
      <x:c r="AF627" s="4" t="str">
        <x:v>Collection expansion classification. Distinct type, use and material family; new item proposal unless author direction is marked.</x:v>
      </x:c>
      <x:c r="AG627" s="4" t="str">
        <x:v>Recovered item outside contemporary manufacturing tiers.</x:v>
      </x:c>
      <x:c r="AH627" s="4" t="str">
        <x:v>Not applicable</x:v>
      </x:c>
      <x:c r="AI627" s="4" t="str">
        <x:v>Component</x:v>
      </x:c>
      <x:c r="AJ627" s="4" t="n">
        <x:f>COUNTIFS('Material routes'!$D$6:$D$2205,A627,'Material routes'!$C$6:$C$2205,"Output")</x:f>
        <x:v>0</x:v>
      </x:c>
      <x:c r="AK627" s="4" t="n">
        <x:f>SUM(COUNTIFS('Material routes'!$D$6:$D$2205,A627,'Material routes'!$C$6:$C$2205,"Ingredient candidate"),COUNTIFS('Material routes'!$D$6:$D$2205,A627,'Material routes'!$C$6:$C$2205,"Consumed input"),COUNTIFS('Material routes'!$D$6:$D$2205,A627,'Material routes'!$C$6:$C$2205,"Contained input"),COUNTIFS('Material routes'!$D$6:$D$2205,A627,'Material routes'!$C$6:$C$2205,"Transform input"))</x:f>
        <x:v>0</x:v>
      </x:c>
      <x:c r="AL627" s="4" t="n">
        <x:f>COUNTIFS('Material routes'!$D$6:$D$2205,A627,'Material routes'!$C$6:$C$2205,"Tool candidate")</x:f>
        <x:v>0</x:v>
      </x:c>
      <x:c r="AM627" s="4" t="str">
        <x:f>IF(AJ627&gt;0,"Route listed; review status/completeness",IF(C627="T0","Raw entry feed; no production route","No production route listed"))</x:f>
        <x:v>No production route listed</x:v>
      </x:c>
      <x:c r="AN627" s="4" t="n">
        <x:f>IF(C627="T0",0,IF(C627="T1",1,IF(C627="T2",2,IF(C627="T3",3,IF(C627="T4",4,IF(C627="Unassigned",98,99))))))</x:f>
        <x:v>99</x:v>
      </x:c>
      <x:c r="AZ627"/>
      <x:c r="BA627"/>
      <x:c r="BB627"/>
      <x:c r="BC627"/>
      <x:c r="BD627"/>
      <x:c r="BE627"/>
      <x:c r="BF627"/>
      <x:c r="BG627"/>
      <x:c r="BH627"/>
      <x:c r="BI627"/>
      <x:c r="BJ627"/>
      <x:c r="BK627"/>
      <x:c r="BL627"/>
      <x:c r="BM627"/>
      <x:c r="BN627"/>
      <x:c r="BO627"/>
      <x:c r="BP627"/>
      <x:c r="BQ627"/>
      <x:c r="BR627"/>
      <x:c r="BS627"/>
      <x:c r="BT627"/>
      <x:c r="BU627"/>
      <x:c r="BV627"/>
      <x:c r="BW627"/>
      <x:c r="BX627"/>
      <x:c r="BY627"/>
      <x:c r="BZ627"/>
      <x:c r="CA627"/>
      <x:c r="CB627"/>
      <x:c r="CC627"/>
    </x:row>
    <x:row r="628" ht="115" customHeight="1">
      <x:c r="A628" s="4" t="str">
        <x:v>proposal.collection.ancient_beam_focusing_crystal_mount</x:v>
      </x:c>
      <x:c r="B628" s="4" t="str">
        <x:v>Ancient beam-focusing crystal mount</x:v>
      </x:c>
      <x:c r="C628" s="4" t="str">
        <x:v>Not applicable</x:v>
      </x:c>
      <x:c r="D628" s="4" t="str">
        <x:v>Ancient salvage</x:v>
      </x:c>
      <x:c r="E628" s="4" t="str">
        <x:v>Ancient recovery</x:v>
      </x:c>
      <x:c r="F628" s="4" t="str">
        <x:v>New proposal</x:v>
      </x:c>
      <x:c r="G628" s="4" t="inlineStr">
        <x:is>
          <x:t xml:space="preserve">Recovered energy-weapon optical seat. It is an extremely rare ancient recovery whose original function remains a working hypothesis. Condition, compatibility and safe operation are unknown; no contemporary reproduction is implied.</x:t>
        </x:is>
      </x:c>
      <x:c r="H628" s="4" t="str">
        <x:v>None</x:v>
      </x:c>
      <x:c r="I628" s="4" t="str">
        <x:v>Physical inventory / cargo item; dimensions and packing unresolved</x:v>
      </x:c>
      <x:c r="J628" s="4"/>
      <x:c r="K628" s="4"/>
      <x:c r="L628" s="4" t="str">
        <x:v>Recover a compatible ancient item</x:v>
      </x:c>
      <x:c r="M628" s="4" t="str">
        <x:v>Identify, inspect and preserve a recovered item; manufacturing unavailable</x:v>
      </x:c>
      <x:c r="N628" s="4" t="str">
        <x:v>Not implemented</x:v>
      </x:c>
      <x:c r="O628" s="4" t="str">
        <x:v>Extremely rare ancient recovery. Power, interface, durability and authenticity unresolved.</x:v>
      </x:c>
      <x:c r="P628" s="4" t="str">
        <x:v>Extremely rare</x:v>
      </x:c>
      <x:c r="Q628" s="4"/>
      <x:c r="R628" s="4"/>
      <x:c r="S628" s="4"/>
      <x:c r="T628" s="4"/>
      <x:c r="U628" s="4" t="str">
        <x:v>Ancient item names describe candidate functions, not known working mechanisms.</x:v>
      </x:c>
      <x:c r="V628" s="4" t="str">
        <x:v>ancient beam-focusing crystal mount; collection expansion; machine part</x:v>
      </x:c>
      <x:c r="W628" s="4" t="str">
        <x:v>New item proposal, October 15, 2026. Rare ancient recovery; no reproduction route. Setting reference (source proposal): https://github.com/sleepyseamonster/Arc-Dust/blob/f6f98515c005dc3c73cccd9cbc031691745740c6/02-Arc-Dust-Worldbuilding/world/materials/ancient-synthetics.md</x:v>
      </x:c>
      <x:c r="X628" s="4" t="str">
        <x:v>Machine part</x:v>
      </x:c>
      <x:c r="Y628" s="4" t="str">
        <x:v>Recovered part</x:v>
      </x:c>
      <x:c r="Z628" s="4" t="str">
        <x:v>Ancient technology</x:v>
      </x:c>
      <x:c r="AA628" s="4" t="str">
        <x:v>Machinery repair</x:v>
      </x:c>
      <x:c r="AB628" s="4" t="str">
        <x:v>Ancient composite</x:v>
      </x:c>
      <x:c r="AC628" s="4" t="str">
        <x:v>Assembly</x:v>
      </x:c>
      <x:c r="AD628" s="4" t="str">
        <x:v>Proposal</x:v>
      </x:c>
      <x:c r="AE628" s="4" t="str">
        <x:f>LOWER(A628&amp;"; "&amp;B628&amp;"; "&amp;D628&amp;"; "&amp;E628&amp;"; "&amp;X628&amp;"; "&amp;Y628&amp;"; "&amp;Z628&amp;"; "&amp;AA628&amp;"; "&amp;AB628&amp;"; "&amp;AC628&amp;"; "&amp;AD628&amp;"; "&amp;V628&amp;"; "&amp;C628&amp;"; "&amp;AH628&amp;"; "&amp;AI628)</x:f>
        <x:v>proposal.collection.ancient_beam_focusing_crystal_mount; ancient beam-focusing crystal mount; ancient salvage; ancient recovery; machine part; recovered part; ancient technology; machinery repair; ancient composite; assembly; proposal; ancient beam-focusing crystal mount; collection expansion; machine part; not applicable; not applicable; component</x:v>
      </x:c>
      <x:c r="AF628" s="4" t="str">
        <x:v>Collection expansion classification. Distinct type, use and material family; new item proposal unless author direction is marked.</x:v>
      </x:c>
      <x:c r="AG628" s="4" t="str">
        <x:v>Recovered item outside contemporary manufacturing tiers.</x:v>
      </x:c>
      <x:c r="AH628" s="4" t="str">
        <x:v>Not applicable</x:v>
      </x:c>
      <x:c r="AI628" s="4" t="str">
        <x:v>Component</x:v>
      </x:c>
      <x:c r="AJ628" s="4" t="n">
        <x:f>COUNTIFS('Material routes'!$D$6:$D$2205,A628,'Material routes'!$C$6:$C$2205,"Output")</x:f>
        <x:v>0</x:v>
      </x:c>
      <x:c r="AK628" s="4" t="n">
        <x:f>SUM(COUNTIFS('Material routes'!$D$6:$D$2205,A628,'Material routes'!$C$6:$C$2205,"Ingredient candidate"),COUNTIFS('Material routes'!$D$6:$D$2205,A628,'Material routes'!$C$6:$C$2205,"Consumed input"),COUNTIFS('Material routes'!$D$6:$D$2205,A628,'Material routes'!$C$6:$C$2205,"Contained input"),COUNTIFS('Material routes'!$D$6:$D$2205,A628,'Material routes'!$C$6:$C$2205,"Transform input"))</x:f>
        <x:v>0</x:v>
      </x:c>
      <x:c r="AL628" s="4" t="n">
        <x:f>COUNTIFS('Material routes'!$D$6:$D$2205,A628,'Material routes'!$C$6:$C$2205,"Tool candidate")</x:f>
        <x:v>0</x:v>
      </x:c>
      <x:c r="AM628" s="4" t="str">
        <x:f>IF(AJ628&gt;0,"Route listed; review status/completeness",IF(C628="T0","Raw entry feed; no production route","No production route listed"))</x:f>
        <x:v>No production route listed</x:v>
      </x:c>
      <x:c r="AN628" s="4" t="n">
        <x:f>IF(C628="T0",0,IF(C628="T1",1,IF(C628="T2",2,IF(C628="T3",3,IF(C628="T4",4,IF(C628="Unassigned",98,99))))))</x:f>
        <x:v>99</x:v>
      </x:c>
      <x:c r="AZ628"/>
      <x:c r="BA628"/>
      <x:c r="BB628"/>
      <x:c r="BC628"/>
      <x:c r="BD628"/>
      <x:c r="BE628"/>
      <x:c r="BF628"/>
      <x:c r="BG628"/>
      <x:c r="BH628"/>
      <x:c r="BI628"/>
      <x:c r="BJ628"/>
      <x:c r="BK628"/>
      <x:c r="BL628"/>
      <x:c r="BM628"/>
      <x:c r="BN628"/>
      <x:c r="BO628"/>
      <x:c r="BP628"/>
      <x:c r="BQ628"/>
      <x:c r="BR628"/>
      <x:c r="BS628"/>
      <x:c r="BT628"/>
      <x:c r="BU628"/>
      <x:c r="BV628"/>
      <x:c r="BW628"/>
      <x:c r="BX628"/>
      <x:c r="BY628"/>
      <x:c r="BZ628"/>
      <x:c r="CA628"/>
      <x:c r="CB628"/>
      <x:c r="CC628"/>
    </x:row>
    <x:row r="629" ht="115" customHeight="1">
      <x:c r="A629" s="4" t="str">
        <x:v>proposal.collection.ancient_magnetic_containment_yoke</x:v>
      </x:c>
      <x:c r="B629" s="4" t="str">
        <x:v>Ancient magnetic containment yoke</x:v>
      </x:c>
      <x:c r="C629" s="4" t="str">
        <x:v>Not applicable</x:v>
      </x:c>
      <x:c r="D629" s="4" t="str">
        <x:v>Ancient salvage</x:v>
      </x:c>
      <x:c r="E629" s="4" t="str">
        <x:v>Ancient recovery</x:v>
      </x:c>
      <x:c r="F629" s="4" t="str">
        <x:v>New proposal</x:v>
      </x:c>
      <x:c r="G629" s="4" t="inlineStr">
        <x:is>
          <x:t xml:space="preserve">Recovered containment component without a working reproduction. It is an extremely rare ancient recovery whose original function remains a working hypothesis. Condition, compatibility and safe operation are unknown; no contemporary reproduction is implied.</x:t>
        </x:is>
      </x:c>
      <x:c r="H629" s="4" t="str">
        <x:v>None</x:v>
      </x:c>
      <x:c r="I629" s="4" t="str">
        <x:v>Physical inventory / cargo item; dimensions and packing unresolved</x:v>
      </x:c>
      <x:c r="J629" s="4"/>
      <x:c r="K629" s="4"/>
      <x:c r="L629" s="4" t="str">
        <x:v>Recover a compatible ancient item</x:v>
      </x:c>
      <x:c r="M629" s="4" t="str">
        <x:v>Identify, inspect and preserve a recovered item; manufacturing unavailable</x:v>
      </x:c>
      <x:c r="N629" s="4" t="str">
        <x:v>Not implemented</x:v>
      </x:c>
      <x:c r="O629" s="4" t="str">
        <x:v>Extremely rare ancient recovery. Power, interface, durability and authenticity unresolved.</x:v>
      </x:c>
      <x:c r="P629" s="4" t="str">
        <x:v>Extremely rare</x:v>
      </x:c>
      <x:c r="Q629" s="4"/>
      <x:c r="R629" s="4"/>
      <x:c r="S629" s="4"/>
      <x:c r="T629" s="4"/>
      <x:c r="U629" s="4" t="str">
        <x:v>Ancient item names describe candidate functions, not known working mechanisms.</x:v>
      </x:c>
      <x:c r="V629" s="4" t="str">
        <x:v>ancient magnetic containment yoke; collection expansion; machine part</x:v>
      </x:c>
      <x:c r="W629" s="4" t="str">
        <x:v>New item proposal, October 15, 2026. Rare ancient recovery; no reproduction route. Setting reference (source proposal): https://github.com/sleepyseamonster/Arc-Dust/blob/f6f98515c005dc3c73cccd9cbc031691745740c6/02-Arc-Dust-Worldbuilding/world/materials/ancient-synthetics.md</x:v>
      </x:c>
      <x:c r="X629" s="4" t="str">
        <x:v>Machine part</x:v>
      </x:c>
      <x:c r="Y629" s="4" t="str">
        <x:v>Recovered part</x:v>
      </x:c>
      <x:c r="Z629" s="4" t="str">
        <x:v>Ancient technology</x:v>
      </x:c>
      <x:c r="AA629" s="4" t="str">
        <x:v>Machinery repair</x:v>
      </x:c>
      <x:c r="AB629" s="4" t="str">
        <x:v>Ancient composite</x:v>
      </x:c>
      <x:c r="AC629" s="4" t="str">
        <x:v>Assembly</x:v>
      </x:c>
      <x:c r="AD629" s="4" t="str">
        <x:v>Proposal</x:v>
      </x:c>
      <x:c r="AE629" s="4" t="str">
        <x:f>LOWER(A629&amp;"; "&amp;B629&amp;"; "&amp;D629&amp;"; "&amp;E629&amp;"; "&amp;X629&amp;"; "&amp;Y629&amp;"; "&amp;Z629&amp;"; "&amp;AA629&amp;"; "&amp;AB629&amp;"; "&amp;AC629&amp;"; "&amp;AD629&amp;"; "&amp;V629&amp;"; "&amp;C629&amp;"; "&amp;AH629&amp;"; "&amp;AI629)</x:f>
        <x:v>proposal.collection.ancient_magnetic_containment_yoke; ancient magnetic containment yoke; ancient salvage; ancient recovery; machine part; recovered part; ancient technology; machinery repair; ancient composite; assembly; proposal; ancient magnetic containment yoke; collection expansion; machine part; not applicable; not applicable; component</x:v>
      </x:c>
      <x:c r="AF629" s="4" t="str">
        <x:v>Collection expansion classification. Distinct type, use and material family; new item proposal unless author direction is marked.</x:v>
      </x:c>
      <x:c r="AG629" s="4" t="str">
        <x:v>Recovered item outside contemporary manufacturing tiers.</x:v>
      </x:c>
      <x:c r="AH629" s="4" t="str">
        <x:v>Not applicable</x:v>
      </x:c>
      <x:c r="AI629" s="4" t="str">
        <x:v>Component</x:v>
      </x:c>
      <x:c r="AJ629" s="4" t="n">
        <x:f>COUNTIFS('Material routes'!$D$6:$D$2205,A629,'Material routes'!$C$6:$C$2205,"Output")</x:f>
        <x:v>0</x:v>
      </x:c>
      <x:c r="AK629" s="4" t="n">
        <x:f>SUM(COUNTIFS('Material routes'!$D$6:$D$2205,A629,'Material routes'!$C$6:$C$2205,"Ingredient candidate"),COUNTIFS('Material routes'!$D$6:$D$2205,A629,'Material routes'!$C$6:$C$2205,"Consumed input"),COUNTIFS('Material routes'!$D$6:$D$2205,A629,'Material routes'!$C$6:$C$2205,"Contained input"),COUNTIFS('Material routes'!$D$6:$D$2205,A629,'Material routes'!$C$6:$C$2205,"Transform input"))</x:f>
        <x:v>0</x:v>
      </x:c>
      <x:c r="AL629" s="4" t="n">
        <x:f>COUNTIFS('Material routes'!$D$6:$D$2205,A629,'Material routes'!$C$6:$C$2205,"Tool candidate")</x:f>
        <x:v>0</x:v>
      </x:c>
      <x:c r="AM629" s="4" t="str">
        <x:f>IF(AJ629&gt;0,"Route listed; review status/completeness",IF(C629="T0","Raw entry feed; no production route","No production route listed"))</x:f>
        <x:v>No production route listed</x:v>
      </x:c>
      <x:c r="AN629" s="4" t="n">
        <x:f>IF(C629="T0",0,IF(C629="T1",1,IF(C629="T2",2,IF(C629="T3",3,IF(C629="T4",4,IF(C629="Unassigned",98,99))))))</x:f>
        <x:v>99</x:v>
      </x:c>
      <x:c r="AZ629"/>
      <x:c r="BA629"/>
      <x:c r="BB629"/>
      <x:c r="BC629"/>
      <x:c r="BD629"/>
      <x:c r="BE629"/>
      <x:c r="BF629"/>
      <x:c r="BG629"/>
      <x:c r="BH629"/>
      <x:c r="BI629"/>
      <x:c r="BJ629"/>
      <x:c r="BK629"/>
      <x:c r="BL629"/>
      <x:c r="BM629"/>
      <x:c r="BN629"/>
      <x:c r="BO629"/>
      <x:c r="BP629"/>
      <x:c r="BQ629"/>
      <x:c r="BR629"/>
      <x:c r="BS629"/>
      <x:c r="BT629"/>
      <x:c r="BU629"/>
      <x:c r="BV629"/>
      <x:c r="BW629"/>
      <x:c r="BX629"/>
      <x:c r="BY629"/>
      <x:c r="BZ629"/>
      <x:c r="CA629"/>
      <x:c r="CB629"/>
      <x:c r="CC629"/>
    </x:row>
    <x:row r="630" ht="115" customHeight="1">
      <x:c r="A630" s="4" t="str">
        <x:v>proposal.collection.ancient_adaptive_seal_actuator</x:v>
      </x:c>
      <x:c r="B630" s="4" t="str">
        <x:v>Ancient adaptive seal actuator</x:v>
      </x:c>
      <x:c r="C630" s="4" t="str">
        <x:v>Not applicable</x:v>
      </x:c>
      <x:c r="D630" s="4" t="str">
        <x:v>Ancient salvage</x:v>
      </x:c>
      <x:c r="E630" s="4" t="str">
        <x:v>Ancient recovery</x:v>
      </x:c>
      <x:c r="F630" s="4" t="str">
        <x:v>New proposal</x:v>
      </x:c>
      <x:c r="G630" s="4" t="inlineStr">
        <x:is>
          <x:t xml:space="preserve">Recovered powered seal adjuster with unknown control needs. It is an extremely rare ancient recovery whose original function remains a working hypothesis. Condition, compatibility and safe operation are unknown; no contemporary reproduction is implied.</x:t>
        </x:is>
      </x:c>
      <x:c r="H630" s="4" t="str">
        <x:v>None</x:v>
      </x:c>
      <x:c r="I630" s="4" t="str">
        <x:v>Physical inventory / cargo item; dimensions and packing unresolved</x:v>
      </x:c>
      <x:c r="J630" s="4"/>
      <x:c r="K630" s="4"/>
      <x:c r="L630" s="4" t="str">
        <x:v>Recover a compatible ancient item</x:v>
      </x:c>
      <x:c r="M630" s="4" t="str">
        <x:v>Identify, inspect and preserve a recovered item; manufacturing unavailable</x:v>
      </x:c>
      <x:c r="N630" s="4" t="str">
        <x:v>Not implemented</x:v>
      </x:c>
      <x:c r="O630" s="4" t="str">
        <x:v>Extremely rare ancient recovery. Power, interface, durability and authenticity unresolved.</x:v>
      </x:c>
      <x:c r="P630" s="4" t="str">
        <x:v>Extremely rare</x:v>
      </x:c>
      <x:c r="Q630" s="4"/>
      <x:c r="R630" s="4"/>
      <x:c r="S630" s="4"/>
      <x:c r="T630" s="4"/>
      <x:c r="U630" s="4" t="str">
        <x:v>Ancient item names describe candidate functions, not known working mechanisms.</x:v>
      </x:c>
      <x:c r="V630" s="4" t="str">
        <x:v>ancient adaptive seal actuator; collection expansion; machine part</x:v>
      </x:c>
      <x:c r="W630" s="4" t="str">
        <x:v>New item proposal, October 15, 2026. Rare ancient recovery; no reproduction route. Setting reference (source proposal): https://github.com/sleepyseamonster/Arc-Dust/blob/f6f98515c005dc3c73cccd9cbc031691745740c6/02-Arc-Dust-Worldbuilding/world/materials/ancient-synthetics.md</x:v>
      </x:c>
      <x:c r="X630" s="4" t="str">
        <x:v>Machine part</x:v>
      </x:c>
      <x:c r="Y630" s="4" t="str">
        <x:v>Recovered part</x:v>
      </x:c>
      <x:c r="Z630" s="4" t="str">
        <x:v>Ancient technology</x:v>
      </x:c>
      <x:c r="AA630" s="4" t="str">
        <x:v>Machinery repair</x:v>
      </x:c>
      <x:c r="AB630" s="4" t="str">
        <x:v>Ancient composite</x:v>
      </x:c>
      <x:c r="AC630" s="4" t="str">
        <x:v>Assembly</x:v>
      </x:c>
      <x:c r="AD630" s="4" t="str">
        <x:v>Proposal</x:v>
      </x:c>
      <x:c r="AE630" s="4" t="str">
        <x:f>LOWER(A630&amp;"; "&amp;B630&amp;"; "&amp;D630&amp;"; "&amp;E630&amp;"; "&amp;X630&amp;"; "&amp;Y630&amp;"; "&amp;Z630&amp;"; "&amp;AA630&amp;"; "&amp;AB630&amp;"; "&amp;AC630&amp;"; "&amp;AD630&amp;"; "&amp;V630&amp;"; "&amp;C630&amp;"; "&amp;AH630&amp;"; "&amp;AI630)</x:f>
        <x:v>proposal.collection.ancient_adaptive_seal_actuator; ancient adaptive seal actuator; ancient salvage; ancient recovery; machine part; recovered part; ancient technology; machinery repair; ancient composite; assembly; proposal; ancient adaptive seal actuator; collection expansion; machine part; not applicable; not applicable; component</x:v>
      </x:c>
      <x:c r="AF630" s="4" t="str">
        <x:v>Collection expansion classification. Distinct type, use and material family; new item proposal unless author direction is marked.</x:v>
      </x:c>
      <x:c r="AG630" s="4" t="str">
        <x:v>Recovered item outside contemporary manufacturing tiers.</x:v>
      </x:c>
      <x:c r="AH630" s="4" t="str">
        <x:v>Not applicable</x:v>
      </x:c>
      <x:c r="AI630" s="4" t="str">
        <x:v>Component</x:v>
      </x:c>
      <x:c r="AJ630" s="4" t="n">
        <x:f>COUNTIFS('Material routes'!$D$6:$D$2205,A630,'Material routes'!$C$6:$C$2205,"Output")</x:f>
        <x:v>0</x:v>
      </x:c>
      <x:c r="AK630" s="4" t="n">
        <x:f>SUM(COUNTIFS('Material routes'!$D$6:$D$2205,A630,'Material routes'!$C$6:$C$2205,"Ingredient candidate"),COUNTIFS('Material routes'!$D$6:$D$2205,A630,'Material routes'!$C$6:$C$2205,"Consumed input"),COUNTIFS('Material routes'!$D$6:$D$2205,A630,'Material routes'!$C$6:$C$2205,"Contained input"),COUNTIFS('Material routes'!$D$6:$D$2205,A630,'Material routes'!$C$6:$C$2205,"Transform input"))</x:f>
        <x:v>0</x:v>
      </x:c>
      <x:c r="AL630" s="4" t="n">
        <x:f>COUNTIFS('Material routes'!$D$6:$D$2205,A630,'Material routes'!$C$6:$C$2205,"Tool candidate")</x:f>
        <x:v>0</x:v>
      </x:c>
      <x:c r="AM630" s="4" t="str">
        <x:f>IF(AJ630&gt;0,"Route listed; review status/completeness",IF(C630="T0","Raw entry feed; no production route","No production route listed"))</x:f>
        <x:v>No production route listed</x:v>
      </x:c>
      <x:c r="AN630" s="4" t="n">
        <x:f>IF(C630="T0",0,IF(C630="T1",1,IF(C630="T2",2,IF(C630="T3",3,IF(C630="T4",4,IF(C630="Unassigned",98,99))))))</x:f>
        <x:v>99</x:v>
      </x:c>
      <x:c r="AZ630"/>
      <x:c r="BA630"/>
      <x:c r="BB630"/>
      <x:c r="BC630"/>
      <x:c r="BD630"/>
      <x:c r="BE630"/>
      <x:c r="BF630"/>
      <x:c r="BG630"/>
      <x:c r="BH630"/>
      <x:c r="BI630"/>
      <x:c r="BJ630"/>
      <x:c r="BK630"/>
      <x:c r="BL630"/>
      <x:c r="BM630"/>
      <x:c r="BN630"/>
      <x:c r="BO630"/>
      <x:c r="BP630"/>
      <x:c r="BQ630"/>
      <x:c r="BR630"/>
      <x:c r="BS630"/>
      <x:c r="BT630"/>
      <x:c r="BU630"/>
      <x:c r="BV630"/>
      <x:c r="BW630"/>
      <x:c r="BX630"/>
      <x:c r="BY630"/>
      <x:c r="BZ630"/>
      <x:c r="CA630"/>
      <x:c r="CB630"/>
      <x:c r="CC630"/>
    </x:row>
    <x:row r="631" ht="115" customHeight="1">
      <x:c r="A631" s="4" t="str">
        <x:v>proposal.collection.ancient_microfluidic_routing_plate</x:v>
      </x:c>
      <x:c r="B631" s="4" t="str">
        <x:v>Ancient microfluidic routing plate</x:v>
      </x:c>
      <x:c r="C631" s="4" t="str">
        <x:v>Not applicable</x:v>
      </x:c>
      <x:c r="D631" s="4" t="str">
        <x:v>Ancient salvage</x:v>
      </x:c>
      <x:c r="E631" s="4" t="str">
        <x:v>Ancient recovery</x:v>
      </x:c>
      <x:c r="F631" s="4" t="str">
        <x:v>New proposal</x:v>
      </x:c>
      <x:c r="G631" s="4" t="inlineStr">
        <x:is>
          <x:t xml:space="preserve">Recovered precision internal liquid-routing manifold. It is an extremely rare ancient recovery whose original function remains a working hypothesis. Condition, compatibility and safe operation are unknown; no contemporary reproduction is implied.</x:t>
        </x:is>
      </x:c>
      <x:c r="H631" s="4" t="str">
        <x:v>None</x:v>
      </x:c>
      <x:c r="I631" s="4" t="str">
        <x:v>Physical inventory / cargo item; dimensions and packing unresolved</x:v>
      </x:c>
      <x:c r="J631" s="4"/>
      <x:c r="K631" s="4"/>
      <x:c r="L631" s="4" t="str">
        <x:v>Recover a compatible ancient item</x:v>
      </x:c>
      <x:c r="M631" s="4" t="str">
        <x:v>Identify, inspect and preserve a recovered item; manufacturing unavailable</x:v>
      </x:c>
      <x:c r="N631" s="4" t="str">
        <x:v>Not implemented</x:v>
      </x:c>
      <x:c r="O631" s="4" t="str">
        <x:v>Extremely rare ancient recovery. Power, interface, durability and authenticity unresolved.</x:v>
      </x:c>
      <x:c r="P631" s="4" t="str">
        <x:v>Extremely rare</x:v>
      </x:c>
      <x:c r="Q631" s="4"/>
      <x:c r="R631" s="4"/>
      <x:c r="S631" s="4"/>
      <x:c r="T631" s="4"/>
      <x:c r="U631" s="4" t="str">
        <x:v>Ancient item names describe candidate functions, not known working mechanisms.</x:v>
      </x:c>
      <x:c r="V631" s="4" t="str">
        <x:v>ancient microfluidic routing plate; collection expansion; machine part</x:v>
      </x:c>
      <x:c r="W631" s="4" t="str">
        <x:v>New item proposal, October 15, 2026. Rare ancient recovery; no reproduction route. Setting reference (source proposal): https://github.com/sleepyseamonster/Arc-Dust/blob/f6f98515c005dc3c73cccd9cbc031691745740c6/02-Arc-Dust-Worldbuilding/world/materials/ancient-synthetics.md</x:v>
      </x:c>
      <x:c r="X631" s="4" t="str">
        <x:v>Machine part</x:v>
      </x:c>
      <x:c r="Y631" s="4" t="str">
        <x:v>Recovered part</x:v>
      </x:c>
      <x:c r="Z631" s="4" t="str">
        <x:v>Ancient technology</x:v>
      </x:c>
      <x:c r="AA631" s="4" t="str">
        <x:v>Machinery repair</x:v>
      </x:c>
      <x:c r="AB631" s="4" t="str">
        <x:v>Ancient composite</x:v>
      </x:c>
      <x:c r="AC631" s="4" t="str">
        <x:v>Assembly</x:v>
      </x:c>
      <x:c r="AD631" s="4" t="str">
        <x:v>Proposal</x:v>
      </x:c>
      <x:c r="AE631" s="4" t="str">
        <x:f>LOWER(A631&amp;"; "&amp;B631&amp;"; "&amp;D631&amp;"; "&amp;E631&amp;"; "&amp;X631&amp;"; "&amp;Y631&amp;"; "&amp;Z631&amp;"; "&amp;AA631&amp;"; "&amp;AB631&amp;"; "&amp;AC631&amp;"; "&amp;AD631&amp;"; "&amp;V631&amp;"; "&amp;C631&amp;"; "&amp;AH631&amp;"; "&amp;AI631)</x:f>
        <x:v>proposal.collection.ancient_microfluidic_routing_plate; ancient microfluidic routing plate; ancient salvage; ancient recovery; machine part; recovered part; ancient technology; machinery repair; ancient composite; assembly; proposal; ancient microfluidic routing plate; collection expansion; machine part; not applicable; not applicable; component</x:v>
      </x:c>
      <x:c r="AF631" s="4" t="str">
        <x:v>Collection expansion classification. Distinct type, use and material family; new item proposal unless author direction is marked.</x:v>
      </x:c>
      <x:c r="AG631" s="4" t="str">
        <x:v>Recovered item outside contemporary manufacturing tiers.</x:v>
      </x:c>
      <x:c r="AH631" s="4" t="str">
        <x:v>Not applicable</x:v>
      </x:c>
      <x:c r="AI631" s="4" t="str">
        <x:v>Component</x:v>
      </x:c>
      <x:c r="AJ631" s="4" t="n">
        <x:f>COUNTIFS('Material routes'!$D$6:$D$2205,A631,'Material routes'!$C$6:$C$2205,"Output")</x:f>
        <x:v>0</x:v>
      </x:c>
      <x:c r="AK631" s="4" t="n">
        <x:f>SUM(COUNTIFS('Material routes'!$D$6:$D$2205,A631,'Material routes'!$C$6:$C$2205,"Ingredient candidate"),COUNTIFS('Material routes'!$D$6:$D$2205,A631,'Material routes'!$C$6:$C$2205,"Consumed input"),COUNTIFS('Material routes'!$D$6:$D$2205,A631,'Material routes'!$C$6:$C$2205,"Contained input"),COUNTIFS('Material routes'!$D$6:$D$2205,A631,'Material routes'!$C$6:$C$2205,"Transform input"))</x:f>
        <x:v>0</x:v>
      </x:c>
      <x:c r="AL631" s="4" t="n">
        <x:f>COUNTIFS('Material routes'!$D$6:$D$2205,A631,'Material routes'!$C$6:$C$2205,"Tool candidate")</x:f>
        <x:v>0</x:v>
      </x:c>
      <x:c r="AM631" s="4" t="str">
        <x:f>IF(AJ631&gt;0,"Route listed; review status/completeness",IF(C631="T0","Raw entry feed; no production route","No production route listed"))</x:f>
        <x:v>No production route listed</x:v>
      </x:c>
      <x:c r="AN631" s="4" t="n">
        <x:f>IF(C631="T0",0,IF(C631="T1",1,IF(C631="T2",2,IF(C631="T3",3,IF(C631="T4",4,IF(C631="Unassigned",98,99))))))</x:f>
        <x:v>99</x:v>
      </x:c>
      <x:c r="AZ631"/>
      <x:c r="BA631"/>
      <x:c r="BB631"/>
      <x:c r="BC631"/>
      <x:c r="BD631"/>
      <x:c r="BE631"/>
      <x:c r="BF631"/>
      <x:c r="BG631"/>
      <x:c r="BH631"/>
      <x:c r="BI631"/>
      <x:c r="BJ631"/>
      <x:c r="BK631"/>
      <x:c r="BL631"/>
      <x:c r="BM631"/>
      <x:c r="BN631"/>
      <x:c r="BO631"/>
      <x:c r="BP631"/>
      <x:c r="BQ631"/>
      <x:c r="BR631"/>
      <x:c r="BS631"/>
      <x:c r="BT631"/>
      <x:c r="BU631"/>
      <x:c r="BV631"/>
      <x:c r="BW631"/>
      <x:c r="BX631"/>
      <x:c r="BY631"/>
      <x:c r="BZ631"/>
      <x:c r="CA631"/>
      <x:c r="CB631"/>
      <x:c r="CC631"/>
    </x:row>
    <x:row r="632" ht="115" customHeight="1">
      <x:c r="A632" s="4" t="str">
        <x:v>proposal.collection.metal_shaft_hunting_spear</x:v>
      </x:c>
      <x:c r="B632" s="4" t="str">
        <x:v>Metal-shaft hunting spear</x:v>
      </x:c>
      <x:c r="C632" s="4" t="str">
        <x:v>Not applicable</x:v>
      </x:c>
      <x:c r="D632" s="4" t="str">
        <x:v>Weapons</x:v>
      </x:c>
      <x:c r="E632" s="4" t="str">
        <x:v>Weapon</x:v>
      </x:c>
      <x:c r="F632" s="4" t="str">
        <x:v>New proposal</x:v>
      </x:c>
      <x:c r="G632" s="4" t="inlineStr">
        <x:is>
          <x:t xml:space="preserve">Reusable close-range thrusting weapon. It is intended for the recorded weapon role and compatible ammunition or energy feed. Damage, range, handling and operating requirements remain unassigned.</x:t>
        </x:is>
      </x:c>
      <x:c r="H632" s="4" t="str">
        <x:v>None</x:v>
      </x:c>
      <x:c r="I632" s="4" t="str">
        <x:v>Physical inventory / cargo item; dimensions and packing unresolved</x:v>
      </x:c>
      <x:c r="J632" s="4"/>
      <x:c r="K632" s="4"/>
      <x:c r="L632" s="4" t="str">
        <x:v>Candidate preparation: design.collection.metal_shaft_hunting_spear. Full inputs are in Crafting browser.</x:v>
      </x:c>
      <x:c r="M632" s="4" t="str">
        <x:v>Candidate workshop or contained preparation route; detailed tools, quantities and conditions unresolved</x:v>
      </x:c>
      <x:c r="N632" s="4" t="str">
        <x:v>Not implemented</x:v>
      </x:c>
      <x:c r="O632" s="4" t="str">
        <x:v>Specific dimensions, yield, fit, performance and service conditions remain open.</x:v>
      </x:c>
      <x:c r="P632" s="4"/>
      <x:c r="Q632" s="4"/>
      <x:c r="R632" s="4"/>
      <x:c r="S632" s="4"/>
      <x:c r="T632" s="4"/>
      <x:c r="U632" s="4" t="str">
        <x:v>Candidate inputs are partial. Resolve tools, supporting materials, energy, recovery and compatibility before recipes become craftable.</x:v>
      </x:c>
      <x:c r="V632" s="4" t="str">
        <x:v>metal-shaft hunting spear; collection expansion; weapon</x:v>
      </x:c>
      <x:c r="W632" s="4" t="str">
        <x:v>New item proposal, October 15, 2026. Setting reference (source proposal): https://github.com/sleepyseamonster/Arc-Dust/blob/f6f98515c005dc3c73cccd9cbc031691745740c6/02-Arc-Dust-Worldbuilding/world/materials/industrial-material-palette.md</x:v>
      </x:c>
      <x:c r="X632" s="4" t="str">
        <x:v>Weapon</x:v>
      </x:c>
      <x:c r="Y632" s="4" t="str">
        <x:v>Finished item</x:v>
      </x:c>
      <x:c r="Z632" s="4" t="str">
        <x:v>Manufactured / unresolved</x:v>
      </x:c>
      <x:c r="AA632" s="4" t="str">
        <x:v>Offensive combat</x:v>
      </x:c>
      <x:c r="AB632" s="4" t="str">
        <x:v>Metal</x:v>
      </x:c>
      <x:c r="AC632" s="4" t="str">
        <x:v>Assembly</x:v>
      </x:c>
      <x:c r="AD632" s="4" t="str">
        <x:v>Proposal</x:v>
      </x:c>
      <x:c r="AE632" s="4" t="str">
        <x:f>LOWER(A632&amp;"; "&amp;B632&amp;"; "&amp;D632&amp;"; "&amp;E632&amp;"; "&amp;X632&amp;"; "&amp;Y632&amp;"; "&amp;Z632&amp;"; "&amp;AA632&amp;"; "&amp;AB632&amp;"; "&amp;AC632&amp;"; "&amp;AD632&amp;"; "&amp;V632&amp;"; "&amp;C632&amp;"; "&amp;AH632&amp;"; "&amp;AI632)</x:f>
        <x:v>proposal.collection.metal_shaft_hunting_spear; metal-shaft hunting spear; weapons; weapon; weapon; finished item; manufactured / unresolved; offensive combat; metal; assembly; proposal; metal-shaft hunting spear; collection expansion; weapon; not applicable; t3; finished item</x:v>
      </x:c>
      <x:c r="AF632" s="4" t="str">
        <x:v>Collection expansion classification. Distinct type, use and material family; new item proposal unless author direction is marked. October 15 audit: classification/handling clarified; item identity, design status and material tier preserved.</x:v>
      </x:c>
      <x:c r="AG632" s="4" t="str">
        <x:v>Finished endpoint or currency. Material tier is separate from finished input tier.</x:v>
      </x:c>
      <x:c r="AH632" s="4" t="str">
        <x:v>T3</x:v>
      </x:c>
      <x:c r="AI632" s="4" t="str">
        <x:v>Finished item</x:v>
      </x:c>
      <x:c r="AJ632" s="4" t="n">
        <x:f>COUNTIFS('Material routes'!$D$6:$D$2205,A632,'Material routes'!$C$6:$C$2205,"Output")</x:f>
        <x:v>1</x:v>
      </x:c>
      <x:c r="AK632" s="4" t="n">
        <x:f>SUM(COUNTIFS('Material routes'!$D$6:$D$2205,A632,'Material routes'!$C$6:$C$2205,"Ingredient candidate"),COUNTIFS('Material routes'!$D$6:$D$2205,A632,'Material routes'!$C$6:$C$2205,"Consumed input"),COUNTIFS('Material routes'!$D$6:$D$2205,A632,'Material routes'!$C$6:$C$2205,"Contained input"),COUNTIFS('Material routes'!$D$6:$D$2205,A632,'Material routes'!$C$6:$C$2205,"Transform input"))</x:f>
        <x:v>0</x:v>
      </x:c>
      <x:c r="AL632" s="4" t="n">
        <x:f>COUNTIFS('Material routes'!$D$6:$D$2205,A632,'Material routes'!$C$6:$C$2205,"Tool candidate")</x:f>
        <x:v>0</x:v>
      </x:c>
      <x:c r="AM632" s="4" t="str">
        <x:f>IF(AJ632&gt;0,"Route listed; review status/completeness",IF(C632="T0","Raw entry feed; no production route","No production route listed"))</x:f>
        <x:v>Route listed; review status/completeness</x:v>
      </x:c>
      <x:c r="AN632" s="4" t="n">
        <x:f>IF(C632="T0",0,IF(C632="T1",1,IF(C632="T2",2,IF(C632="T3",3,IF(C632="T4",4,IF(C632="Unassigned",98,99))))))</x:f>
        <x:v>99</x:v>
      </x:c>
      <x:c r="AZ632"/>
      <x:c r="BA632"/>
      <x:c r="BB632"/>
      <x:c r="BC632"/>
      <x:c r="BD632"/>
      <x:c r="BE632"/>
      <x:c r="BF632"/>
      <x:c r="BG632"/>
      <x:c r="BH632"/>
      <x:c r="BI632"/>
      <x:c r="BJ632"/>
      <x:c r="BK632"/>
      <x:c r="BL632"/>
      <x:c r="BM632"/>
      <x:c r="BN632"/>
      <x:c r="BO632"/>
      <x:c r="BP632"/>
      <x:c r="BQ632"/>
      <x:c r="BR632"/>
      <x:c r="BS632"/>
      <x:c r="BT632"/>
      <x:c r="BU632"/>
      <x:c r="BV632"/>
      <x:c r="BW632"/>
      <x:c r="BX632"/>
      <x:c r="BY632"/>
      <x:c r="BZ632"/>
      <x:c r="CA632"/>
      <x:c r="CB632"/>
      <x:c r="CC632"/>
    </x:row>
    <x:row r="633" ht="115" customHeight="1">
      <x:c r="A633" s="4" t="str">
        <x:v>proposal.collection.shell_edged_glaive</x:v>
      </x:c>
      <x:c r="B633" s="4" t="str">
        <x:v>Shell-edged glaive</x:v>
      </x:c>
      <x:c r="C633" s="4" t="str">
        <x:v>Not applicable</x:v>
      </x:c>
      <x:c r="D633" s="4" t="str">
        <x:v>Weapons</x:v>
      </x:c>
      <x:c r="E633" s="4" t="str">
        <x:v>Weapon</x:v>
      </x:c>
      <x:c r="F633" s="4" t="str">
        <x:v>New proposal</x:v>
      </x:c>
      <x:c r="G633" s="4" t="inlineStr">
        <x:is>
          <x:t xml:space="preserve">Long cutting weapon with replaceable hard-part edge. It is intended for the recorded weapon role and compatible ammunition or energy feed. Damage, range, handling and operating requirements remain unassigned.</x:t>
        </x:is>
      </x:c>
      <x:c r="H633" s="4" t="str">
        <x:v>None</x:v>
      </x:c>
      <x:c r="I633" s="4" t="str">
        <x:v>Physical inventory / cargo item; dimensions and packing unresolved</x:v>
      </x:c>
      <x:c r="J633" s="4"/>
      <x:c r="K633" s="4"/>
      <x:c r="L633" s="4" t="str">
        <x:v>Candidate preparation: design.collection.shell_edged_glaive. Full inputs are in Crafting browser.</x:v>
      </x:c>
      <x:c r="M633" s="4" t="str">
        <x:v>Candidate workshop or contained preparation route; detailed tools, quantities and conditions unresolved</x:v>
      </x:c>
      <x:c r="N633" s="4" t="str">
        <x:v>Not implemented</x:v>
      </x:c>
      <x:c r="O633" s="4" t="str">
        <x:v>Specific dimensions, yield, fit, performance and service conditions remain open.</x:v>
      </x:c>
      <x:c r="P633" s="4"/>
      <x:c r="Q633" s="4"/>
      <x:c r="R633" s="4"/>
      <x:c r="S633" s="4"/>
      <x:c r="T633" s="4"/>
      <x:c r="U633" s="4" t="str">
        <x:v>Candidate inputs are partial. Resolve tools, supporting materials, energy, recovery and compatibility before recipes become craftable.</x:v>
      </x:c>
      <x:c r="V633" s="4" t="str">
        <x:v>shell-edged glaive; collection expansion; weapon</x:v>
      </x:c>
      <x:c r="W633" s="4" t="str">
        <x:v>New item proposal, October 15, 2026. Setting reference (source proposal): https://github.com/sleepyseamonster/Arc-Dust/blob/f6f98515c005dc3c73cccd9cbc031691745740c6/02-Arc-Dust-Worldbuilding/world/materials/industrial-material-palette.md</x:v>
      </x:c>
      <x:c r="X633" s="4" t="str">
        <x:v>Weapon</x:v>
      </x:c>
      <x:c r="Y633" s="4" t="str">
        <x:v>Finished item</x:v>
      </x:c>
      <x:c r="Z633" s="4" t="str">
        <x:v>Manufactured / unresolved</x:v>
      </x:c>
      <x:c r="AA633" s="4" t="str">
        <x:v>Offensive combat</x:v>
      </x:c>
      <x:c r="AB633" s="4" t="str">
        <x:v>Metal and shell</x:v>
      </x:c>
      <x:c r="AC633" s="4" t="str">
        <x:v>Assembly</x:v>
      </x:c>
      <x:c r="AD633" s="4" t="str">
        <x:v>Proposal</x:v>
      </x:c>
      <x:c r="AE633" s="4" t="str">
        <x:f>LOWER(A633&amp;"; "&amp;B633&amp;"; "&amp;D633&amp;"; "&amp;E633&amp;"; "&amp;X633&amp;"; "&amp;Y633&amp;"; "&amp;Z633&amp;"; "&amp;AA633&amp;"; "&amp;AB633&amp;"; "&amp;AC633&amp;"; "&amp;AD633&amp;"; "&amp;V633&amp;"; "&amp;C633&amp;"; "&amp;AH633&amp;"; "&amp;AI633)</x:f>
        <x:v>proposal.collection.shell_edged_glaive; shell-edged glaive; weapons; weapon; weapon; finished item; manufactured / unresolved; offensive combat; metal and shell; assembly; proposal; shell-edged glaive; collection expansion; weapon; not applicable; t3; finished item</x:v>
      </x:c>
      <x:c r="AF633" s="4" t="str">
        <x:v>Collection expansion classification. Distinct type, use and material family; new item proposal unless author direction is marked.</x:v>
      </x:c>
      <x:c r="AG633" s="4" t="str">
        <x:v>Finished endpoint or currency. Material tier is separate from finished input tier.</x:v>
      </x:c>
      <x:c r="AH633" s="4" t="str">
        <x:v>T3</x:v>
      </x:c>
      <x:c r="AI633" s="4" t="str">
        <x:v>Finished item</x:v>
      </x:c>
      <x:c r="AJ633" s="4" t="n">
        <x:f>COUNTIFS('Material routes'!$D$6:$D$2205,A633,'Material routes'!$C$6:$C$2205,"Output")</x:f>
        <x:v>1</x:v>
      </x:c>
      <x:c r="AK633" s="4" t="n">
        <x:f>SUM(COUNTIFS('Material routes'!$D$6:$D$2205,A633,'Material routes'!$C$6:$C$2205,"Ingredient candidate"),COUNTIFS('Material routes'!$D$6:$D$2205,A633,'Material routes'!$C$6:$C$2205,"Consumed input"),COUNTIFS('Material routes'!$D$6:$D$2205,A633,'Material routes'!$C$6:$C$2205,"Contained input"),COUNTIFS('Material routes'!$D$6:$D$2205,A633,'Material routes'!$C$6:$C$2205,"Transform input"))</x:f>
        <x:v>0</x:v>
      </x:c>
      <x:c r="AL633" s="4" t="n">
        <x:f>COUNTIFS('Material routes'!$D$6:$D$2205,A633,'Material routes'!$C$6:$C$2205,"Tool candidate")</x:f>
        <x:v>0</x:v>
      </x:c>
      <x:c r="AM633" s="4" t="str">
        <x:f>IF(AJ633&gt;0,"Route listed; review status/completeness",IF(C633="T0","Raw entry feed; no production route","No production route listed"))</x:f>
        <x:v>Route listed; review status/completeness</x:v>
      </x:c>
      <x:c r="AN633" s="4" t="n">
        <x:f>IF(C633="T0",0,IF(C633="T1",1,IF(C633="T2",2,IF(C633="T3",3,IF(C633="T4",4,IF(C633="Unassigned",98,99))))))</x:f>
        <x:v>99</x:v>
      </x:c>
      <x:c r="AZ633"/>
      <x:c r="BA633"/>
      <x:c r="BB633"/>
      <x:c r="BC633"/>
      <x:c r="BD633"/>
      <x:c r="BE633"/>
      <x:c r="BF633"/>
      <x:c r="BG633"/>
      <x:c r="BH633"/>
      <x:c r="BI633"/>
      <x:c r="BJ633"/>
      <x:c r="BK633"/>
      <x:c r="BL633"/>
      <x:c r="BM633"/>
      <x:c r="BN633"/>
      <x:c r="BO633"/>
      <x:c r="BP633"/>
      <x:c r="BQ633"/>
      <x:c r="BR633"/>
      <x:c r="BS633"/>
      <x:c r="BT633"/>
      <x:c r="BU633"/>
      <x:c r="BV633"/>
      <x:c r="BW633"/>
      <x:c r="BX633"/>
      <x:c r="BY633"/>
      <x:c r="BZ633"/>
      <x:c r="CA633"/>
      <x:c r="CB633"/>
      <x:c r="CC633"/>
    </x:row>
    <x:row r="634" ht="115" customHeight="1">
      <x:c r="A634" s="4"/>
      <x:c r="B634" s="4"/>
      <x:c r="C634" s="4"/>
      <x:c r="D634" s="4"/>
      <x:c r="E634" s="4"/>
      <x:c r="F634" s="4"/>
      <x:c r="G634" s="4"/>
      <x:c r="H634" s="4"/>
      <x:c r="I634" s="4"/>
      <x:c r="J634" s="4"/>
      <x:c r="M634" s="4"/>
      <x:c r="N634" s="4"/>
      <x:c r="O634" s="4"/>
      <x:c r="P634" s="4"/>
      <x:c r="V634" s="4"/>
      <x:c r="W634" s="4"/>
      <x:c r="X634" s="4"/>
      <x:c r="Y634" s="4"/>
      <x:c r="Z634" s="4"/>
      <x:c r="AA634" s="4"/>
      <x:c r="AB634" s="4"/>
      <x:c r="AC634" s="4"/>
      <x:c r="AD634" s="4"/>
      <x:c r="AE634" s="4"/>
      <x:c r="AF634" s="4"/>
      <x:c r="AG634" s="4"/>
      <x:c r="AH634" s="4"/>
      <x:c r="AI634" s="4"/>
      <x:c r="AJ634" s="4"/>
      <x:c r="AK634" s="4"/>
      <x:c r="AL634" s="4"/>
      <x:c r="AM634" s="4"/>
      <x:c r="AN634" s="4"/>
      <x:c r="AZ634"/>
      <x:c r="BA634"/>
      <x:c r="BB634"/>
      <x:c r="BC634"/>
      <x:c r="BD634"/>
      <x:c r="BE634"/>
      <x:c r="BF634"/>
      <x:c r="BG634"/>
      <x:c r="BH634"/>
      <x:c r="BI634"/>
      <x:c r="BJ634"/>
      <x:c r="BK634"/>
      <x:c r="BL634"/>
      <x:c r="BM634"/>
      <x:c r="BN634"/>
      <x:c r="BO634"/>
      <x:c r="BP634"/>
      <x:c r="BQ634"/>
      <x:c r="BR634"/>
      <x:c r="BS634"/>
      <x:c r="BT634"/>
      <x:c r="BU634"/>
      <x:c r="BV634"/>
      <x:c r="BW634"/>
      <x:c r="BX634"/>
      <x:c r="BY634"/>
      <x:c r="BZ634"/>
      <x:c r="CA634"/>
      <x:c r="CB634"/>
      <x:c r="CC634"/>
    </x:row>
    <x:row r="635" ht="115" customHeight="1">
      <x:c r="A635" s="4" t="str">
        <x:v>proposal.collection.steel_salvage_cleaver</x:v>
      </x:c>
      <x:c r="B635" s="4" t="str">
        <x:v>Steel salvage cleaver</x:v>
      </x:c>
      <x:c r="C635" s="4" t="str">
        <x:v>Not applicable</x:v>
      </x:c>
      <x:c r="D635" s="4" t="str">
        <x:v>Weapons</x:v>
      </x:c>
      <x:c r="E635" s="4" t="str">
        <x:v>Weapon</x:v>
      </x:c>
      <x:c r="F635" s="4" t="str">
        <x:v>New proposal</x:v>
      </x:c>
      <x:c r="G635" s="4" t="inlineStr">
        <x:is>
          <x:t xml:space="preserve">Heavy cutting weapon built around a replaceable metal edge. It is intended for the recorded weapon role and compatible ammunition or energy feed. Damage, range, handling and operating requirements remain unassigned.</x:t>
        </x:is>
      </x:c>
      <x:c r="H635" s="4" t="str">
        <x:v>None</x:v>
      </x:c>
      <x:c r="I635" s="4" t="str">
        <x:v>Physical inventory / cargo item; dimensions and packing unresolved</x:v>
      </x:c>
      <x:c r="J635" s="4"/>
      <x:c r="K635" s="4"/>
      <x:c r="L635" s="4" t="str">
        <x:v>Candidate preparation: design.collection.steel_salvage_cleaver. Full inputs are in Crafting browser.</x:v>
      </x:c>
      <x:c r="M635" s="4" t="str">
        <x:v>Candidate workshop or contained preparation route; detailed tools, quantities and conditions unresolved</x:v>
      </x:c>
      <x:c r="N635" s="4" t="str">
        <x:v>Not implemented</x:v>
      </x:c>
      <x:c r="O635" s="4" t="str">
        <x:v>Specific dimensions, yield, fit, performance and service conditions remain open.</x:v>
      </x:c>
      <x:c r="P635" s="4"/>
      <x:c r="Q635" s="4"/>
      <x:c r="R635" s="4"/>
      <x:c r="S635" s="4"/>
      <x:c r="T635" s="4"/>
      <x:c r="U635" s="4" t="str">
        <x:v>Candidate inputs are partial. Resolve tools, supporting materials, energy, recovery and compatibility before recipes become craftable.</x:v>
      </x:c>
      <x:c r="V635" s="4" t="str">
        <x:v>steel salvage cleaver; collection expansion; weapon</x:v>
      </x:c>
      <x:c r="W635" s="4" t="str">
        <x:v>New item proposal, October 15, 2026. Setting reference (source proposal): https://github.com/sleepyseamonster/Arc-Dust/blob/f6f98515c005dc3c73cccd9cbc031691745740c6/02-Arc-Dust-Worldbuilding/world/materials/industrial-material-palette.md</x:v>
      </x:c>
      <x:c r="X635" s="4" t="str">
        <x:v>Weapon</x:v>
      </x:c>
      <x:c r="Y635" s="4" t="str">
        <x:v>Finished item</x:v>
      </x:c>
      <x:c r="Z635" s="4" t="str">
        <x:v>Manufactured / unresolved</x:v>
      </x:c>
      <x:c r="AA635" s="4" t="str">
        <x:v>Offensive combat</x:v>
      </x:c>
      <x:c r="AB635" s="4" t="str">
        <x:v>Mixed / unresolved</x:v>
      </x:c>
      <x:c r="AC635" s="4" t="str">
        <x:v>Assembly</x:v>
      </x:c>
      <x:c r="AD635" s="4" t="str">
        <x:v>Proposal</x:v>
      </x:c>
      <x:c r="AE635" s="4" t="str">
        <x:f>LOWER(A635&amp;"; "&amp;B635&amp;"; "&amp;D635&amp;"; "&amp;E635&amp;"; "&amp;X635&amp;"; "&amp;Y635&amp;"; "&amp;Z635&amp;"; "&amp;AA635&amp;"; "&amp;AB635&amp;"; "&amp;AC635&amp;"; "&amp;AD635&amp;"; "&amp;V635&amp;"; "&amp;C635&amp;"; "&amp;AH635&amp;"; "&amp;AI635)</x:f>
        <x:v>proposal.collection.steel_salvage_cleaver; steel salvage cleaver; weapons; weapon; weapon; finished item; manufactured / unresolved; offensive combat; mixed / unresolved; assembly; proposal; steel salvage cleaver; collection expansion; weapon; not applicable; t2; finished item</x:v>
      </x:c>
      <x:c r="AF635" s="4" t="str">
        <x:v>Collection expansion classification. Distinct type, use and material family; new item proposal unless author direction is marked. October 15 audit: classification/handling clarified; item identity, design status and material tier preserved.</x:v>
      </x:c>
      <x:c r="AG635" s="4" t="str">
        <x:v>Finished endpoint or currency. Material tier is separate from finished input tier.</x:v>
      </x:c>
      <x:c r="AH635" s="4" t="str">
        <x:v>T2</x:v>
      </x:c>
      <x:c r="AI635" s="4" t="str">
        <x:v>Finished item</x:v>
      </x:c>
      <x:c r="AJ635" s="4" t="n">
        <x:f>COUNTIFS('Material routes'!$D$6:$D$2205,A635,'Material routes'!$C$6:$C$2205,"Output")</x:f>
        <x:v>1</x:v>
      </x:c>
      <x:c r="AK635" s="4" t="n">
        <x:f>SUM(COUNTIFS('Material routes'!$D$6:$D$2205,A635,'Material routes'!$C$6:$C$2205,"Ingredient candidate"),COUNTIFS('Material routes'!$D$6:$D$2205,A635,'Material routes'!$C$6:$C$2205,"Consumed input"),COUNTIFS('Material routes'!$D$6:$D$2205,A635,'Material routes'!$C$6:$C$2205,"Contained input"),COUNTIFS('Material routes'!$D$6:$D$2205,A635,'Material routes'!$C$6:$C$2205,"Transform input"))</x:f>
        <x:v>0</x:v>
      </x:c>
      <x:c r="AL635" s="4" t="n">
        <x:f>COUNTIFS('Material routes'!$D$6:$D$2205,A635,'Material routes'!$C$6:$C$2205,"Tool candidate")</x:f>
        <x:v>0</x:v>
      </x:c>
      <x:c r="AM635" s="4" t="str">
        <x:f>IF(AJ635&gt;0,"Route listed; review status/completeness",IF(C635="T0","Raw entry feed; no production route","No production route listed"))</x:f>
        <x:v>Route listed; review status/completeness</x:v>
      </x:c>
      <x:c r="AN635" s="4" t="n">
        <x:f>IF(C635="T0",0,IF(C635="T1",1,IF(C635="T2",2,IF(C635="T3",3,IF(C635="T4",4,IF(C635="Unassigned",98,99))))))</x:f>
        <x:v>99</x:v>
      </x:c>
      <x:c r="AZ635"/>
      <x:c r="BA635"/>
      <x:c r="BB635"/>
      <x:c r="BC635"/>
      <x:c r="BD635"/>
      <x:c r="BE635"/>
      <x:c r="BF635"/>
      <x:c r="BG635"/>
      <x:c r="BH635"/>
      <x:c r="BI635"/>
      <x:c r="BJ635"/>
      <x:c r="BK635"/>
      <x:c r="BL635"/>
      <x:c r="BM635"/>
      <x:c r="BN635"/>
      <x:c r="BO635"/>
      <x:c r="BP635"/>
      <x:c r="BQ635"/>
      <x:c r="BR635"/>
      <x:c r="BS635"/>
      <x:c r="BT635"/>
      <x:c r="BU635"/>
      <x:c r="BV635"/>
      <x:c r="BW635"/>
      <x:c r="BX635"/>
      <x:c r="BY635"/>
      <x:c r="BZ635"/>
      <x:c r="CA635"/>
      <x:c r="CB635"/>
      <x:c r="CC635"/>
    </x:row>
    <x:row r="636" ht="115" customHeight="1">
      <x:c r="A636" s="4" t="str">
        <x:v>proposal.collection.hooked_catchstaff</x:v>
      </x:c>
      <x:c r="B636" s="4" t="str">
        <x:v>Hooked catchstaff</x:v>
      </x:c>
      <x:c r="C636" s="4" t="str">
        <x:v>Not applicable</x:v>
      </x:c>
      <x:c r="D636" s="4" t="str">
        <x:v>Weapons</x:v>
      </x:c>
      <x:c r="E636" s="4" t="str">
        <x:v>Weapon</x:v>
      </x:c>
      <x:c r="F636" s="4" t="str">
        <x:v>New proposal</x:v>
      </x:c>
      <x:c r="G636" s="4" t="inlineStr">
        <x:is>
          <x:t xml:space="preserve">Hooked pole weapon for control and obstruction. It is intended for the recorded weapon role and compatible ammunition or energy feed. Damage, range, handling and operating requirements remain unassigned.</x:t>
        </x:is>
      </x:c>
      <x:c r="H636" s="4" t="str">
        <x:v>None</x:v>
      </x:c>
      <x:c r="I636" s="4" t="str">
        <x:v>Physical inventory / cargo item; dimensions and packing unresolved</x:v>
      </x:c>
      <x:c r="J636" s="4"/>
      <x:c r="K636" s="4"/>
      <x:c r="L636" s="4" t="str">
        <x:v>Candidate preparation: design.collection.hooked_catchstaff. Full inputs are in Crafting browser.</x:v>
      </x:c>
      <x:c r="M636" s="4" t="str">
        <x:v>Candidate workshop or contained preparation route; detailed tools, quantities and conditions unresolved</x:v>
      </x:c>
      <x:c r="N636" s="4" t="str">
        <x:v>Not implemented</x:v>
      </x:c>
      <x:c r="O636" s="4" t="str">
        <x:v>Specific dimensions, yield, fit, performance and service conditions remain open.</x:v>
      </x:c>
      <x:c r="P636" s="4"/>
      <x:c r="Q636" s="4"/>
      <x:c r="R636" s="4"/>
      <x:c r="S636" s="4"/>
      <x:c r="T636" s="4"/>
      <x:c r="U636" s="4" t="str">
        <x:v>Candidate inputs are partial. Resolve tools, supporting materials, energy, recovery and compatibility before recipes become craftable.</x:v>
      </x:c>
      <x:c r="V636" s="4" t="str">
        <x:v>hooked catchstaff; collection expansion; weapon</x:v>
      </x:c>
      <x:c r="W636" s="4" t="str">
        <x:v>New item proposal, October 15, 2026. Setting reference (source proposal): https://github.com/sleepyseamonster/Arc-Dust/blob/f6f98515c005dc3c73cccd9cbc031691745740c6/02-Arc-Dust-Worldbuilding/world/materials/industrial-material-palette.md</x:v>
      </x:c>
      <x:c r="X636" s="4" t="str">
        <x:v>Weapon</x:v>
      </x:c>
      <x:c r="Y636" s="4" t="str">
        <x:v>Finished item</x:v>
      </x:c>
      <x:c r="Z636" s="4" t="str">
        <x:v>Manufactured / unresolved</x:v>
      </x:c>
      <x:c r="AA636" s="4" t="str">
        <x:v>Offensive combat</x:v>
      </x:c>
      <x:c r="AB636" s="4" t="str">
        <x:v>Metal</x:v>
      </x:c>
      <x:c r="AC636" s="4" t="str">
        <x:v>Assembly</x:v>
      </x:c>
      <x:c r="AD636" s="4" t="str">
        <x:v>Proposal</x:v>
      </x:c>
      <x:c r="AE636" s="4" t="str">
        <x:f>LOWER(A636&amp;"; "&amp;B636&amp;"; "&amp;D636&amp;"; "&amp;E636&amp;"; "&amp;X636&amp;"; "&amp;Y636&amp;"; "&amp;Z636&amp;"; "&amp;AA636&amp;"; "&amp;AB636&amp;"; "&amp;AC636&amp;"; "&amp;AD636&amp;"; "&amp;V636&amp;"; "&amp;C636&amp;"; "&amp;AH636&amp;"; "&amp;AI636)</x:f>
        <x:v>proposal.collection.hooked_catchstaff; hooked catchstaff; weapons; weapon; weapon; finished item; manufactured / unresolved; offensive combat; metal; assembly; proposal; hooked catchstaff; collection expansion; weapon; not applicable; t3; finished item</x:v>
      </x:c>
      <x:c r="AF636" s="4" t="str">
        <x:v>Collection expansion classification. Distinct type, use and material family; new item proposal unless author direction is marked. October 15 audit: classification/handling clarified; item identity, design status and material tier preserved.</x:v>
      </x:c>
      <x:c r="AG636" s="4" t="str">
        <x:v>Finished endpoint or currency. Material tier is separate from finished input tier.</x:v>
      </x:c>
      <x:c r="AH636" s="4" t="str">
        <x:v>T3</x:v>
      </x:c>
      <x:c r="AI636" s="4" t="str">
        <x:v>Finished item</x:v>
      </x:c>
      <x:c r="AJ636" s="4" t="n">
        <x:f>COUNTIFS('Material routes'!$D$6:$D$2205,A636,'Material routes'!$C$6:$C$2205,"Output")</x:f>
        <x:v>1</x:v>
      </x:c>
      <x:c r="AK636" s="4" t="n">
        <x:f>SUM(COUNTIFS('Material routes'!$D$6:$D$2205,A636,'Material routes'!$C$6:$C$2205,"Ingredient candidate"),COUNTIFS('Material routes'!$D$6:$D$2205,A636,'Material routes'!$C$6:$C$2205,"Consumed input"),COUNTIFS('Material routes'!$D$6:$D$2205,A636,'Material routes'!$C$6:$C$2205,"Contained input"),COUNTIFS('Material routes'!$D$6:$D$2205,A636,'Material routes'!$C$6:$C$2205,"Transform input"))</x:f>
        <x:v>0</x:v>
      </x:c>
      <x:c r="AL636" s="4" t="n">
        <x:f>COUNTIFS('Material routes'!$D$6:$D$2205,A636,'Material routes'!$C$6:$C$2205,"Tool candidate")</x:f>
        <x:v>0</x:v>
      </x:c>
      <x:c r="AM636" s="4" t="str">
        <x:f>IF(AJ636&gt;0,"Route listed; review status/completeness",IF(C636="T0","Raw entry feed; no production route","No production route listed"))</x:f>
        <x:v>Route listed; review status/completeness</x:v>
      </x:c>
      <x:c r="AN636" s="4" t="n">
        <x:f>IF(C636="T0",0,IF(C636="T1",1,IF(C636="T2",2,IF(C636="T3",3,IF(C636="T4",4,IF(C636="Unassigned",98,99))))))</x:f>
        <x:v>99</x:v>
      </x:c>
      <x:c r="AZ636"/>
      <x:c r="BA636"/>
      <x:c r="BB636"/>
      <x:c r="BC636"/>
      <x:c r="BD636"/>
      <x:c r="BE636"/>
      <x:c r="BF636"/>
      <x:c r="BG636"/>
      <x:c r="BH636"/>
      <x:c r="BI636"/>
      <x:c r="BJ636"/>
      <x:c r="BK636"/>
      <x:c r="BL636"/>
      <x:c r="BM636"/>
      <x:c r="BN636"/>
      <x:c r="BO636"/>
      <x:c r="BP636"/>
      <x:c r="BQ636"/>
      <x:c r="BR636"/>
      <x:c r="BS636"/>
      <x:c r="BT636"/>
      <x:c r="BU636"/>
      <x:c r="BV636"/>
      <x:c r="BW636"/>
      <x:c r="BX636"/>
      <x:c r="BY636"/>
      <x:c r="BZ636"/>
      <x:c r="CA636"/>
      <x:c r="CB636"/>
      <x:c r="CC636"/>
    </x:row>
    <x:row r="637" ht="115" customHeight="1">
      <x:c r="A637" s="4" t="str">
        <x:v>proposal.collection.tendon_pouch_sling</x:v>
      </x:c>
      <x:c r="B637" s="4" t="str">
        <x:v>Tendon-pouch sling</x:v>
      </x:c>
      <x:c r="C637" s="4" t="str">
        <x:v>Not applicable</x:v>
      </x:c>
      <x:c r="D637" s="4" t="str">
        <x:v>Weapons</x:v>
      </x:c>
      <x:c r="E637" s="4" t="str">
        <x:v>Weapon</x:v>
      </x:c>
      <x:c r="F637" s="4" t="str">
        <x:v>New proposal</x:v>
      </x:c>
      <x:c r="G637" s="4" t="inlineStr">
        <x:is>
          <x:t xml:space="preserve">Throws shaped pellets using scarce prepared biological material. It is intended for the recorded weapon role and compatible ammunition or energy feed. Damage, range, handling and operating requirements remain unassigned.</x:t>
        </x:is>
      </x:c>
      <x:c r="H637" s="4" t="str">
        <x:v>None</x:v>
      </x:c>
      <x:c r="I637" s="4" t="str">
        <x:v>Physical inventory / cargo item; dimensions and packing unresolved</x:v>
      </x:c>
      <x:c r="J637" s="4"/>
      <x:c r="K637" s="4"/>
      <x:c r="L637" s="4" t="str">
        <x:v>Candidate preparation: design.collection.tendon_pouch_sling. Full inputs are in Crafting browser.</x:v>
      </x:c>
      <x:c r="M637" s="4" t="str">
        <x:v>Candidate workshop or contained preparation route; detailed tools, quantities and conditions unresolved</x:v>
      </x:c>
      <x:c r="N637" s="4" t="str">
        <x:v>Not implemented</x:v>
      </x:c>
      <x:c r="O637" s="4" t="str">
        <x:v>Specific dimensions, yield, fit, performance and service conditions remain open.</x:v>
      </x:c>
      <x:c r="P637" s="4"/>
      <x:c r="Q637" s="4"/>
      <x:c r="R637" s="4"/>
      <x:c r="S637" s="4"/>
      <x:c r="T637" s="4"/>
      <x:c r="U637" s="4" t="str">
        <x:v>Candidate inputs are partial. Resolve tools, supporting materials, energy, recovery and compatibility before recipes become craftable.</x:v>
      </x:c>
      <x:c r="V637" s="4" t="str">
        <x:v>tendon-pouch sling; collection expansion; weapon</x:v>
      </x:c>
      <x:c r="W637" s="4" t="str">
        <x:v>New item proposal, October 15, 2026. Setting reference (source proposal): https://github.com/sleepyseamonster/Arc-Dust/blob/f6f98515c005dc3c73cccd9cbc031691745740c6/02-Arc-Dust-Worldbuilding/world/materials/industrial-material-palette.md</x:v>
      </x:c>
      <x:c r="X637" s="4" t="str">
        <x:v>Weapon</x:v>
      </x:c>
      <x:c r="Y637" s="4" t="str">
        <x:v>Finished item</x:v>
      </x:c>
      <x:c r="Z637" s="4" t="str">
        <x:v>Manufactured / unresolved</x:v>
      </x:c>
      <x:c r="AA637" s="4" t="str">
        <x:v>Offensive combat</x:v>
      </x:c>
      <x:c r="AB637" s="4" t="str">
        <x:v>Mixed / unresolved</x:v>
      </x:c>
      <x:c r="AC637" s="4" t="str">
        <x:v>Assembly</x:v>
      </x:c>
      <x:c r="AD637" s="4" t="str">
        <x:v>Proposal</x:v>
      </x:c>
      <x:c r="AE637" s="4" t="str">
        <x:f>LOWER(A637&amp;"; "&amp;B637&amp;"; "&amp;D637&amp;"; "&amp;E637&amp;"; "&amp;X637&amp;"; "&amp;Y637&amp;"; "&amp;Z637&amp;"; "&amp;AA637&amp;"; "&amp;AB637&amp;"; "&amp;AC637&amp;"; "&amp;AD637&amp;"; "&amp;V637&amp;"; "&amp;C637&amp;"; "&amp;AH637&amp;"; "&amp;AI637)</x:f>
        <x:v>proposal.collection.tendon_pouch_sling; tendon-pouch sling; weapons; weapon; weapon; finished item; manufactured / unresolved; offensive combat; mixed / unresolved; assembly; proposal; tendon-pouch sling; collection expansion; weapon; not applicable; t1; finished item</x:v>
      </x:c>
      <x:c r="AF637" s="4" t="str">
        <x:v>Collection expansion classification. Distinct type, use and material family; new item proposal unless author direction is marked. October 15 audit: classification/handling clarified; item identity, design status and material tier preserved.</x:v>
      </x:c>
      <x:c r="AG637" s="4" t="str">
        <x:v>Finished endpoint or currency. Material tier is separate from finished input tier.</x:v>
      </x:c>
      <x:c r="AH637" s="4" t="str">
        <x:v>T1</x:v>
      </x:c>
      <x:c r="AI637" s="4" t="str">
        <x:v>Finished item</x:v>
      </x:c>
      <x:c r="AJ637" s="4" t="n">
        <x:f>COUNTIFS('Material routes'!$D$6:$D$2205,A637,'Material routes'!$C$6:$C$2205,"Output")</x:f>
        <x:v>1</x:v>
      </x:c>
      <x:c r="AK637" s="4" t="n">
        <x:f>SUM(COUNTIFS('Material routes'!$D$6:$D$2205,A637,'Material routes'!$C$6:$C$2205,"Ingredient candidate"),COUNTIFS('Material routes'!$D$6:$D$2205,A637,'Material routes'!$C$6:$C$2205,"Consumed input"),COUNTIFS('Material routes'!$D$6:$D$2205,A637,'Material routes'!$C$6:$C$2205,"Contained input"),COUNTIFS('Material routes'!$D$6:$D$2205,A637,'Material routes'!$C$6:$C$2205,"Transform input"))</x:f>
        <x:v>0</x:v>
      </x:c>
      <x:c r="AL637" s="4" t="n">
        <x:f>COUNTIFS('Material routes'!$D$6:$D$2205,A637,'Material routes'!$C$6:$C$2205,"Tool candidate")</x:f>
        <x:v>0</x:v>
      </x:c>
      <x:c r="AM637" s="4" t="str">
        <x:f>IF(AJ637&gt;0,"Route listed; review status/completeness",IF(C637="T0","Raw entry feed; no production route","No production route listed"))</x:f>
        <x:v>Route listed; review status/completeness</x:v>
      </x:c>
      <x:c r="AN637" s="4" t="n">
        <x:f>IF(C637="T0",0,IF(C637="T1",1,IF(C637="T2",2,IF(C637="T3",3,IF(C637="T4",4,IF(C637="Unassigned",98,99))))))</x:f>
        <x:v>99</x:v>
      </x:c>
      <x:c r="AZ637"/>
      <x:c r="BA637"/>
      <x:c r="BB637"/>
      <x:c r="BC637"/>
      <x:c r="BD637"/>
      <x:c r="BE637"/>
      <x:c r="BF637"/>
      <x:c r="BG637"/>
      <x:c r="BH637"/>
      <x:c r="BI637"/>
      <x:c r="BJ637"/>
      <x:c r="BK637"/>
      <x:c r="BL637"/>
      <x:c r="BM637"/>
      <x:c r="BN637"/>
      <x:c r="BO637"/>
      <x:c r="BP637"/>
      <x:c r="BQ637"/>
      <x:c r="BR637"/>
      <x:c r="BS637"/>
      <x:c r="BT637"/>
      <x:c r="BU637"/>
      <x:c r="BV637"/>
      <x:c r="BW637"/>
      <x:c r="BX637"/>
      <x:c r="BY637"/>
      <x:c r="BZ637"/>
      <x:c r="CA637"/>
      <x:c r="CB637"/>
      <x:c r="CC637"/>
    </x:row>
    <x:row r="638" ht="115" customHeight="1">
      <x:c r="A638" s="4" t="str">
        <x:v>proposal.collection.steel_limbed_crossbow</x:v>
      </x:c>
      <x:c r="B638" s="4" t="str">
        <x:v>Steel-limbed crossbow</x:v>
      </x:c>
      <x:c r="C638" s="4" t="str">
        <x:v>Not applicable</x:v>
      </x:c>
      <x:c r="D638" s="4" t="str">
        <x:v>Weapons</x:v>
      </x:c>
      <x:c r="E638" s="4" t="str">
        <x:v>Weapon</x:v>
      </x:c>
      <x:c r="F638" s="4" t="str">
        <x:v>New proposal</x:v>
      </x:c>
      <x:c r="G638" s="4" t="inlineStr">
        <x:is>
          <x:t xml:space="preserve">Slow mechanical bolt launcher with metal limbs. It is intended for the recorded weapon role and compatible ammunition or energy feed. Damage, range, handling and operating requirements remain unassigned.</x:t>
        </x:is>
      </x:c>
      <x:c r="H638" s="4" t="str">
        <x:v>None</x:v>
      </x:c>
      <x:c r="I638" s="4" t="str">
        <x:v>Physical inventory / cargo item; dimensions and packing unresolved</x:v>
      </x:c>
      <x:c r="J638" s="4"/>
      <x:c r="K638" s="4"/>
      <x:c r="L638" s="4" t="str">
        <x:v>Candidate preparation: design.collection.steel_limbed_crossbow. Full inputs are in Crafting browser.</x:v>
      </x:c>
      <x:c r="M638" s="4" t="str">
        <x:v>Candidate workshop or contained preparation route; detailed tools, quantities and conditions unresolved</x:v>
      </x:c>
      <x:c r="N638" s="4" t="str">
        <x:v>Not implemented</x:v>
      </x:c>
      <x:c r="O638" s="4" t="str">
        <x:v>Specific dimensions, yield, fit, performance and service conditions remain open.</x:v>
      </x:c>
      <x:c r="P638" s="4"/>
      <x:c r="Q638" s="4"/>
      <x:c r="R638" s="4"/>
      <x:c r="S638" s="4"/>
      <x:c r="T638" s="4"/>
      <x:c r="U638" s="4" t="str">
        <x:v>Candidate inputs are partial. Resolve tools, supporting materials, energy, recovery and compatibility before recipes become craftable.</x:v>
      </x:c>
      <x:c r="V638" s="4" t="str">
        <x:v>steel-limbed crossbow; collection expansion; weapon</x:v>
      </x:c>
      <x:c r="W638" s="4" t="str">
        <x:v>New item proposal, October 15, 2026. Setting reference (source proposal): https://github.com/sleepyseamonster/Arc-Dust/blob/f6f98515c005dc3c73cccd9cbc031691745740c6/02-Arc-Dust-Worldbuilding/world/materials/industrial-material-palette.md</x:v>
      </x:c>
      <x:c r="X638" s="4" t="str">
        <x:v>Weapon</x:v>
      </x:c>
      <x:c r="Y638" s="4" t="str">
        <x:v>Finished item</x:v>
      </x:c>
      <x:c r="Z638" s="4" t="str">
        <x:v>Manufactured / unresolved</x:v>
      </x:c>
      <x:c r="AA638" s="4" t="str">
        <x:v>Offensive combat</x:v>
      </x:c>
      <x:c r="AB638" s="4" t="str">
        <x:v>Mixed / unresolved</x:v>
      </x:c>
      <x:c r="AC638" s="4" t="str">
        <x:v>Assembly</x:v>
      </x:c>
      <x:c r="AD638" s="4" t="str">
        <x:v>Proposal</x:v>
      </x:c>
      <x:c r="AE638" s="4" t="str">
        <x:f>LOWER(A638&amp;"; "&amp;B638&amp;"; "&amp;D638&amp;"; "&amp;E638&amp;"; "&amp;X638&amp;"; "&amp;Y638&amp;"; "&amp;Z638&amp;"; "&amp;AA638&amp;"; "&amp;AB638&amp;"; "&amp;AC638&amp;"; "&amp;AD638&amp;"; "&amp;V638&amp;"; "&amp;C638&amp;"; "&amp;AH638&amp;"; "&amp;AI638)</x:f>
        <x:v>proposal.collection.steel_limbed_crossbow; steel-limbed crossbow; weapons; weapon; weapon; finished item; manufactured / unresolved; offensive combat; mixed / unresolved; assembly; proposal; steel-limbed crossbow; collection expansion; weapon; not applicable; t4; finished item</x:v>
      </x:c>
      <x:c r="AF638" s="4" t="str">
        <x:v>Collection expansion classification. Distinct type, use and material family; new item proposal unless author direction is marked. October 15 audit: classification/handling clarified; item identity, design status and material tier preserved.</x:v>
      </x:c>
      <x:c r="AG638" s="4" t="str">
        <x:v>Finished endpoint or currency. Material tier is separate from finished input tier.</x:v>
      </x:c>
      <x:c r="AH638" s="4" t="str">
        <x:v>T4</x:v>
      </x:c>
      <x:c r="AI638" s="4" t="str">
        <x:v>Finished item</x:v>
      </x:c>
      <x:c r="AJ638" s="4" t="n">
        <x:f>COUNTIFS('Material routes'!$D$6:$D$2205,A638,'Material routes'!$C$6:$C$2205,"Output")</x:f>
        <x:v>1</x:v>
      </x:c>
      <x:c r="AK638" s="4" t="n">
        <x:f>SUM(COUNTIFS('Material routes'!$D$6:$D$2205,A638,'Material routes'!$C$6:$C$2205,"Ingredient candidate"),COUNTIFS('Material routes'!$D$6:$D$2205,A638,'Material routes'!$C$6:$C$2205,"Consumed input"),COUNTIFS('Material routes'!$D$6:$D$2205,A638,'Material routes'!$C$6:$C$2205,"Contained input"),COUNTIFS('Material routes'!$D$6:$D$2205,A638,'Material routes'!$C$6:$C$2205,"Transform input"))</x:f>
        <x:v>0</x:v>
      </x:c>
      <x:c r="AL638" s="4" t="n">
        <x:f>COUNTIFS('Material routes'!$D$6:$D$2205,A638,'Material routes'!$C$6:$C$2205,"Tool candidate")</x:f>
        <x:v>0</x:v>
      </x:c>
      <x:c r="AM638" s="4" t="str">
        <x:f>IF(AJ638&gt;0,"Route listed; review status/completeness",IF(C638="T0","Raw entry feed; no production route","No production route listed"))</x:f>
        <x:v>Route listed; review status/completeness</x:v>
      </x:c>
      <x:c r="AN638" s="4" t="n">
        <x:f>IF(C638="T0",0,IF(C638="T1",1,IF(C638="T2",2,IF(C638="T3",3,IF(C638="T4",4,IF(C638="Unassigned",98,99))))))</x:f>
        <x:v>99</x:v>
      </x:c>
      <x:c r="AZ638"/>
      <x:c r="BA638"/>
      <x:c r="BB638"/>
      <x:c r="BC638"/>
      <x:c r="BD638"/>
      <x:c r="BE638"/>
      <x:c r="BF638"/>
      <x:c r="BG638"/>
      <x:c r="BH638"/>
      <x:c r="BI638"/>
      <x:c r="BJ638"/>
      <x:c r="BK638"/>
      <x:c r="BL638"/>
      <x:c r="BM638"/>
      <x:c r="BN638"/>
      <x:c r="BO638"/>
      <x:c r="BP638"/>
      <x:c r="BQ638"/>
      <x:c r="BR638"/>
      <x:c r="BS638"/>
      <x:c r="BT638"/>
      <x:c r="BU638"/>
      <x:c r="BV638"/>
      <x:c r="BW638"/>
      <x:c r="BX638"/>
      <x:c r="BY638"/>
      <x:c r="BZ638"/>
      <x:c r="CA638"/>
      <x:c r="CB638"/>
      <x:c r="CC638"/>
    </x:row>
    <x:row r="639" ht="115" customHeight="1">
      <x:c r="A639" s="4" t="str">
        <x:v>proposal.collection.crank_wound_siege_bow</x:v>
      </x:c>
      <x:c r="B639" s="4" t="str">
        <x:v>Crank-wound siege bow</x:v>
      </x:c>
      <x:c r="C639" s="4" t="str">
        <x:v>Not applicable</x:v>
      </x:c>
      <x:c r="D639" s="4" t="str">
        <x:v>Weapons</x:v>
      </x:c>
      <x:c r="E639" s="4" t="str">
        <x:v>Weapon</x:v>
      </x:c>
      <x:c r="F639" s="4" t="str">
        <x:v>New proposal</x:v>
      </x:c>
      <x:c r="G639" s="4" t="inlineStr">
        <x:is>
          <x:t xml:space="preserve">Heavy portable emplacement launcher, transport limits unresolved. It is intended for the recorded weapon role and compatible ammunition or energy feed. Damage, range, handling and operating requirements remain unassigned.</x:t>
        </x:is>
      </x:c>
      <x:c r="H639" s="4" t="str">
        <x:v>None</x:v>
      </x:c>
      <x:c r="I639" s="4" t="str">
        <x:v>Physical inventory / cargo item; dimensions and packing unresolved</x:v>
      </x:c>
      <x:c r="J639" s="4"/>
      <x:c r="K639" s="4"/>
      <x:c r="L639" s="4" t="str">
        <x:v>Candidate preparation: design.collection.crank_wound_siege_bow. Full inputs are in Crafting browser.</x:v>
      </x:c>
      <x:c r="M639" s="4" t="str">
        <x:v>Candidate workshop or contained preparation route; detailed tools, quantities and conditions unresolved</x:v>
      </x:c>
      <x:c r="N639" s="4" t="str">
        <x:v>Not implemented</x:v>
      </x:c>
      <x:c r="O639" s="4" t="str">
        <x:v>Specific dimensions, yield, fit, performance and service conditions remain open.</x:v>
      </x:c>
      <x:c r="P639" s="4"/>
      <x:c r="Q639" s="4"/>
      <x:c r="R639" s="4"/>
      <x:c r="S639" s="4"/>
      <x:c r="T639" s="4"/>
      <x:c r="U639" s="4" t="str">
        <x:v>Candidate inputs are partial. Resolve tools, supporting materials, energy, recovery and compatibility before recipes become craftable.</x:v>
      </x:c>
      <x:c r="V639" s="4" t="str">
        <x:v>crank-wound siege bow; collection expansion; weapon</x:v>
      </x:c>
      <x:c r="W639" s="4" t="str">
        <x:v>New item proposal, October 15, 2026. Setting reference (source proposal): https://github.com/sleepyseamonster/Arc-Dust/blob/f6f98515c005dc3c73cccd9cbc031691745740c6/02-Arc-Dust-Worldbuilding/world/materials/industrial-material-palette.md</x:v>
      </x:c>
      <x:c r="X639" s="4" t="str">
        <x:v>Weapon</x:v>
      </x:c>
      <x:c r="Y639" s="4" t="str">
        <x:v>Finished item</x:v>
      </x:c>
      <x:c r="Z639" s="4" t="str">
        <x:v>Manufactured / unresolved</x:v>
      </x:c>
      <x:c r="AA639" s="4" t="str">
        <x:v>Offensive combat</x:v>
      </x:c>
      <x:c r="AB639" s="4" t="str">
        <x:v>Mixed / unresolved</x:v>
      </x:c>
      <x:c r="AC639" s="4" t="str">
        <x:v>Assembly</x:v>
      </x:c>
      <x:c r="AD639" s="4" t="str">
        <x:v>Proposal</x:v>
      </x:c>
      <x:c r="AE639" s="4" t="str">
        <x:f>LOWER(A639&amp;"; "&amp;B639&amp;"; "&amp;D639&amp;"; "&amp;E639&amp;"; "&amp;X639&amp;"; "&amp;Y639&amp;"; "&amp;Z639&amp;"; "&amp;AA639&amp;"; "&amp;AB639&amp;"; "&amp;AC639&amp;"; "&amp;AD639&amp;"; "&amp;V639&amp;"; "&amp;C639&amp;"; "&amp;AH639&amp;"; "&amp;AI639)</x:f>
        <x:v>proposal.collection.crank_wound_siege_bow; crank-wound siege bow; weapons; weapon; weapon; finished item; manufactured / unresolved; offensive combat; mixed / unresolved; assembly; proposal; crank-wound siege bow; collection expansion; weapon; not applicable; t4; finished item</x:v>
      </x:c>
      <x:c r="AF639" s="4" t="str">
        <x:v>Collection expansion classification. Distinct type, use and material family; new item proposal unless author direction is marked. October 15 audit: classification/handling clarified; item identity, design status and material tier preserved.</x:v>
      </x:c>
      <x:c r="AG639" s="4" t="str">
        <x:v>Finished endpoint or currency. Material tier is separate from finished input tier.</x:v>
      </x:c>
      <x:c r="AH639" s="4" t="str">
        <x:v>T4</x:v>
      </x:c>
      <x:c r="AI639" s="4" t="str">
        <x:v>Finished item</x:v>
      </x:c>
      <x:c r="AJ639" s="4" t="n">
        <x:f>COUNTIFS('Material routes'!$D$6:$D$2205,A639,'Material routes'!$C$6:$C$2205,"Output")</x:f>
        <x:v>1</x:v>
      </x:c>
      <x:c r="AK639" s="4" t="n">
        <x:f>SUM(COUNTIFS('Material routes'!$D$6:$D$2205,A639,'Material routes'!$C$6:$C$2205,"Ingredient candidate"),COUNTIFS('Material routes'!$D$6:$D$2205,A639,'Material routes'!$C$6:$C$2205,"Consumed input"),COUNTIFS('Material routes'!$D$6:$D$2205,A639,'Material routes'!$C$6:$C$2205,"Contained input"),COUNTIFS('Material routes'!$D$6:$D$2205,A639,'Material routes'!$C$6:$C$2205,"Transform input"))</x:f>
        <x:v>0</x:v>
      </x:c>
      <x:c r="AL639" s="4" t="n">
        <x:f>COUNTIFS('Material routes'!$D$6:$D$2205,A639,'Material routes'!$C$6:$C$2205,"Tool candidate")</x:f>
        <x:v>0</x:v>
      </x:c>
      <x:c r="AM639" s="4" t="str">
        <x:f>IF(AJ639&gt;0,"Route listed; review status/completeness",IF(C639="T0","Raw entry feed; no production route","No production route listed"))</x:f>
        <x:v>Route listed; review status/completeness</x:v>
      </x:c>
      <x:c r="AN639" s="4" t="n">
        <x:f>IF(C639="T0",0,IF(C639="T1",1,IF(C639="T2",2,IF(C639="T3",3,IF(C639="T4",4,IF(C639="Unassigned",98,99))))))</x:f>
        <x:v>99</x:v>
      </x:c>
      <x:c r="AZ639"/>
      <x:c r="BA639"/>
      <x:c r="BB639"/>
      <x:c r="BC639"/>
      <x:c r="BD639"/>
      <x:c r="BE639"/>
      <x:c r="BF639"/>
      <x:c r="BG639"/>
      <x:c r="BH639"/>
      <x:c r="BI639"/>
      <x:c r="BJ639"/>
      <x:c r="BK639"/>
      <x:c r="BL639"/>
      <x:c r="BM639"/>
      <x:c r="BN639"/>
      <x:c r="BO639"/>
      <x:c r="BP639"/>
      <x:c r="BQ639"/>
      <x:c r="BR639"/>
      <x:c r="BS639"/>
      <x:c r="BT639"/>
      <x:c r="BU639"/>
      <x:c r="BV639"/>
      <x:c r="BW639"/>
      <x:c r="BX639"/>
      <x:c r="BY639"/>
      <x:c r="BZ639"/>
      <x:c r="CA639"/>
      <x:c r="CB639"/>
      <x:c r="CC639"/>
    </x:row>
    <x:row r="640" ht="115" customHeight="1">
      <x:c r="A640" s="4"/>
      <x:c r="B640" s="4"/>
      <x:c r="C640" s="4"/>
      <x:c r="D640" s="4"/>
      <x:c r="E640" s="4"/>
      <x:c r="F640" s="4"/>
      <x:c r="G640" s="4"/>
      <x:c r="H640" s="4"/>
      <x:c r="I640" s="4"/>
      <x:c r="J640" s="4"/>
      <x:c r="M640" s="4"/>
      <x:c r="N640" s="4"/>
      <x:c r="O640" s="4"/>
      <x:c r="P640" s="4"/>
      <x:c r="V640" s="4"/>
      <x:c r="W640" s="4"/>
      <x:c r="X640" s="4"/>
      <x:c r="Y640" s="4"/>
      <x:c r="Z640" s="4"/>
      <x:c r="AA640" s="4"/>
      <x:c r="AB640" s="4"/>
      <x:c r="AC640" s="4"/>
      <x:c r="AD640" s="4"/>
      <x:c r="AE640" s="4"/>
      <x:c r="AF640" s="4"/>
      <x:c r="AG640" s="4"/>
      <x:c r="AH640" s="4"/>
      <x:c r="AI640" s="4"/>
      <x:c r="AJ640" s="4"/>
      <x:c r="AK640" s="4"/>
      <x:c r="AL640" s="4"/>
      <x:c r="AM640" s="4"/>
      <x:c r="AN640" s="4"/>
      <x:c r="AZ640"/>
      <x:c r="BA640"/>
      <x:c r="BB640"/>
      <x:c r="BC640"/>
      <x:c r="BD640"/>
      <x:c r="BE640"/>
      <x:c r="BF640"/>
      <x:c r="BG640"/>
      <x:c r="BH640"/>
      <x:c r="BI640"/>
      <x:c r="BJ640"/>
      <x:c r="BK640"/>
      <x:c r="BL640"/>
      <x:c r="BM640"/>
      <x:c r="BN640"/>
      <x:c r="BO640"/>
      <x:c r="BP640"/>
      <x:c r="BQ640"/>
      <x:c r="BR640"/>
      <x:c r="BS640"/>
      <x:c r="BT640"/>
      <x:c r="BU640"/>
      <x:c r="BV640"/>
      <x:c r="BW640"/>
      <x:c r="BX640"/>
      <x:c r="BY640"/>
      <x:c r="BZ640"/>
      <x:c r="CA640"/>
      <x:c r="CB640"/>
      <x:c r="CC640"/>
    </x:row>
    <x:row r="641" ht="115" customHeight="1">
      <x:c r="A641" s="4" t="str">
        <x:v>proposal.collection.pressure_rivet_launcher</x:v>
      </x:c>
      <x:c r="B641" s="4" t="str">
        <x:v>Pressure rivet launcher</x:v>
      </x:c>
      <x:c r="C641" s="4" t="str">
        <x:v>Not applicable</x:v>
      </x:c>
      <x:c r="D641" s="4" t="str">
        <x:v>Weapons</x:v>
      </x:c>
      <x:c r="E641" s="4" t="str">
        <x:v>Weapon</x:v>
      </x:c>
      <x:c r="F641" s="4" t="str">
        <x:v>New proposal</x:v>
      </x:c>
      <x:c r="G641" s="4" t="inlineStr">
        <x:is>
          <x:t xml:space="preserve">Crude machine-derived pressure launcher, working medium unresolved. It is intended for the recorded weapon role and compatible ammunition or energy feed. Damage, range, handling and operating requirements remain unassigned.</x:t>
        </x:is>
      </x:c>
      <x:c r="H641" s="4" t="str">
        <x:v>None</x:v>
      </x:c>
      <x:c r="I641" s="4" t="str">
        <x:v>Physical inventory / cargo item; dimensions and packing unresolved</x:v>
      </x:c>
      <x:c r="J641" s="4"/>
      <x:c r="K641" s="4"/>
      <x:c r="L641" s="4" t="str">
        <x:v>Candidate preparation: design.collection.pressure_rivet_launcher. Full inputs are in Crafting browser.</x:v>
      </x:c>
      <x:c r="M641" s="4" t="str">
        <x:v>Candidate workshop or contained preparation route; detailed tools, quantities and conditions unresolved</x:v>
      </x:c>
      <x:c r="N641" s="4" t="str">
        <x:v>Not implemented</x:v>
      </x:c>
      <x:c r="O641" s="4" t="str">
        <x:v>Specific dimensions, yield, fit, performance and service conditions remain open.</x:v>
      </x:c>
      <x:c r="P641" s="4"/>
      <x:c r="Q641" s="4"/>
      <x:c r="R641" s="4"/>
      <x:c r="S641" s="4"/>
      <x:c r="T641" s="4"/>
      <x:c r="U641" s="4" t="str">
        <x:v>Candidate inputs are partial. Resolve tools, supporting materials, energy, recovery and compatibility before recipes become craftable.</x:v>
      </x:c>
      <x:c r="V641" s="4" t="str">
        <x:v>pressure rivet launcher; collection expansion; weapon</x:v>
      </x:c>
      <x:c r="W641" s="4" t="str">
        <x:v>New item proposal, October 15, 2026. Setting reference (source proposal): https://github.com/sleepyseamonster/Arc-Dust/blob/f6f98515c005dc3c73cccd9cbc031691745740c6/02-Arc-Dust-Worldbuilding/world/materials/industrial-material-palette.md</x:v>
      </x:c>
      <x:c r="X641" s="4" t="str">
        <x:v>Weapon</x:v>
      </x:c>
      <x:c r="Y641" s="4" t="str">
        <x:v>Finished item</x:v>
      </x:c>
      <x:c r="Z641" s="4" t="str">
        <x:v>Manufactured / unresolved</x:v>
      </x:c>
      <x:c r="AA641" s="4" t="str">
        <x:v>Offensive combat</x:v>
      </x:c>
      <x:c r="AB641" s="4" t="str">
        <x:v>Ceramic and metal</x:v>
      </x:c>
      <x:c r="AC641" s="4" t="str">
        <x:v>Assembly</x:v>
      </x:c>
      <x:c r="AD641" s="4" t="str">
        <x:v>Proposal</x:v>
      </x:c>
      <x:c r="AE641" s="4" t="str">
        <x:f>LOWER(A641&amp;"; "&amp;B641&amp;"; "&amp;D641&amp;"; "&amp;E641&amp;"; "&amp;X641&amp;"; "&amp;Y641&amp;"; "&amp;Z641&amp;"; "&amp;AA641&amp;"; "&amp;AB641&amp;"; "&amp;AC641&amp;"; "&amp;AD641&amp;"; "&amp;V641&amp;"; "&amp;C641&amp;"; "&amp;AH641&amp;"; "&amp;AI641)</x:f>
        <x:v>proposal.collection.pressure_rivet_launcher; pressure rivet launcher; weapons; weapon; weapon; finished item; manufactured / unresolved; offensive combat; ceramic and metal; assembly; proposal; pressure rivet launcher; collection expansion; weapon; not applicable; unassigned; finished item</x:v>
      </x:c>
      <x:c r="AF641" s="4" t="str">
        <x:v>Collection expansion classification. Distinct type, use and material family; new item proposal unless author direction is marked. October 15 audit: classification/handling clarified; item identity, design status and material tier preserved.</x:v>
      </x:c>
      <x:c r="AG641" s="4" t="str">
        <x:v>Finished endpoint or currency. Material tier is separate from finished input tier.</x:v>
      </x:c>
      <x:c r="AH641" s="4" t="str">
        <x:v>Unassigned</x:v>
      </x:c>
      <x:c r="AI641" s="4" t="str">
        <x:v>Finished item</x:v>
      </x:c>
      <x:c r="AJ641" s="4" t="n">
        <x:f>COUNTIFS('Material routes'!$D$6:$D$2205,A641,'Material routes'!$C$6:$C$2205,"Output")</x:f>
        <x:v>1</x:v>
      </x:c>
      <x:c r="AK641" s="4" t="n">
        <x:f>SUM(COUNTIFS('Material routes'!$D$6:$D$2205,A641,'Material routes'!$C$6:$C$2205,"Ingredient candidate"),COUNTIFS('Material routes'!$D$6:$D$2205,A641,'Material routes'!$C$6:$C$2205,"Consumed input"),COUNTIFS('Material routes'!$D$6:$D$2205,A641,'Material routes'!$C$6:$C$2205,"Contained input"),COUNTIFS('Material routes'!$D$6:$D$2205,A641,'Material routes'!$C$6:$C$2205,"Transform input"))</x:f>
        <x:v>0</x:v>
      </x:c>
      <x:c r="AL641" s="4" t="n">
        <x:f>COUNTIFS('Material routes'!$D$6:$D$2205,A641,'Material routes'!$C$6:$C$2205,"Tool candidate")</x:f>
        <x:v>0</x:v>
      </x:c>
      <x:c r="AM641" s="4" t="str">
        <x:f>IF(AJ641&gt;0,"Route listed; review status/completeness",IF(C641="T0","Raw entry feed; no production route","No production route listed"))</x:f>
        <x:v>Route listed; review status/completeness</x:v>
      </x:c>
      <x:c r="AN641" s="4" t="n">
        <x:f>IF(C641="T0",0,IF(C641="T1",1,IF(C641="T2",2,IF(C641="T3",3,IF(C641="T4",4,IF(C641="Unassigned",98,99))))))</x:f>
        <x:v>99</x:v>
      </x:c>
      <x:c r="AZ641"/>
      <x:c r="BA641"/>
      <x:c r="BB641"/>
      <x:c r="BC641"/>
      <x:c r="BD641"/>
      <x:c r="BE641"/>
      <x:c r="BF641"/>
      <x:c r="BG641"/>
      <x:c r="BH641"/>
      <x:c r="BI641"/>
      <x:c r="BJ641"/>
      <x:c r="BK641"/>
      <x:c r="BL641"/>
      <x:c r="BM641"/>
      <x:c r="BN641"/>
      <x:c r="BO641"/>
      <x:c r="BP641"/>
      <x:c r="BQ641"/>
      <x:c r="BR641"/>
      <x:c r="BS641"/>
      <x:c r="BT641"/>
      <x:c r="BU641"/>
      <x:c r="BV641"/>
      <x:c r="BW641"/>
      <x:c r="BX641"/>
      <x:c r="BY641"/>
      <x:c r="BZ641"/>
      <x:c r="CA641"/>
      <x:c r="CB641"/>
      <x:c r="CC641"/>
    </x:row>
    <x:row r="642" ht="115" customHeight="1">
      <x:c r="A642" s="4" t="str">
        <x:v>proposal.collection.magnetic_dart_projector</x:v>
      </x:c>
      <x:c r="B642" s="4" t="str">
        <x:v>Magnetic dart projector</x:v>
      </x:c>
      <x:c r="C642" s="4" t="str">
        <x:v>Not applicable</x:v>
      </x:c>
      <x:c r="D642" s="4" t="str">
        <x:v>Weapons</x:v>
      </x:c>
      <x:c r="E642" s="4" t="str">
        <x:v>Weapon</x:v>
      </x:c>
      <x:c r="F642" s="4" t="str">
        <x:v>New proposal</x:v>
      </x:c>
      <x:c r="G642" s="4" t="inlineStr">
        <x:is>
          <x:t xml:space="preserve">Experimental field-driven dart weapon, performance unresolved. It is intended for the recorded weapon role and compatible ammunition or energy feed. Damage, range, handling and operating requirements remain unassigned.</x:t>
        </x:is>
      </x:c>
      <x:c r="H642" s="4" t="str">
        <x:v>None</x:v>
      </x:c>
      <x:c r="I642" s="4" t="str">
        <x:v>Physical inventory / cargo item; dimensions and packing unresolved</x:v>
      </x:c>
      <x:c r="J642" s="4"/>
      <x:c r="K642" s="4"/>
      <x:c r="L642" s="4" t="str">
        <x:v>Candidate preparation: design.collection.magnetic_dart_projector. Full inputs are in Crafting browser.</x:v>
      </x:c>
      <x:c r="M642" s="4" t="str">
        <x:v>Candidate workshop or contained preparation route; detailed tools, quantities and conditions unresolved</x:v>
      </x:c>
      <x:c r="N642" s="4" t="str">
        <x:v>Not implemented</x:v>
      </x:c>
      <x:c r="O642" s="4" t="str">
        <x:v>Specific dimensions, yield, fit, performance and service conditions remain open.</x:v>
      </x:c>
      <x:c r="P642" s="4"/>
      <x:c r="Q642" s="4"/>
      <x:c r="R642" s="4"/>
      <x:c r="S642" s="4"/>
      <x:c r="T642" s="4"/>
      <x:c r="U642" s="4" t="str">
        <x:v>Candidate inputs are partial. Resolve tools, supporting materials, energy, recovery and compatibility before recipes become craftable.</x:v>
      </x:c>
      <x:c r="V642" s="4" t="str">
        <x:v>magnetic dart projector; collection expansion; weapon</x:v>
      </x:c>
      <x:c r="W642" s="4" t="str">
        <x:v>New item proposal, October 15, 2026. Setting reference (source proposal): https://github.com/sleepyseamonster/Arc-Dust/blob/f6f98515c005dc3c73cccd9cbc031691745740c6/02-Arc-Dust-Worldbuilding/world/materials/industrial-material-palette.md</x:v>
      </x:c>
      <x:c r="X642" s="4" t="str">
        <x:v>Weapon</x:v>
      </x:c>
      <x:c r="Y642" s="4" t="str">
        <x:v>Finished item</x:v>
      </x:c>
      <x:c r="Z642" s="4" t="str">
        <x:v>Manufactured / unresolved</x:v>
      </x:c>
      <x:c r="AA642" s="4" t="str">
        <x:v>Offensive combat</x:v>
      </x:c>
      <x:c r="AB642" s="4" t="str">
        <x:v>Ceramic and metal</x:v>
      </x:c>
      <x:c r="AC642" s="4" t="str">
        <x:v>Assembly</x:v>
      </x:c>
      <x:c r="AD642" s="4" t="str">
        <x:v>Proposal</x:v>
      </x:c>
      <x:c r="AE642" s="4" t="str">
        <x:f>LOWER(A642&amp;"; "&amp;B642&amp;"; "&amp;D642&amp;"; "&amp;E642&amp;"; "&amp;X642&amp;"; "&amp;Y642&amp;"; "&amp;Z642&amp;"; "&amp;AA642&amp;"; "&amp;AB642&amp;"; "&amp;AC642&amp;"; "&amp;AD642&amp;"; "&amp;V642&amp;"; "&amp;C642&amp;"; "&amp;AH642&amp;"; "&amp;AI642)</x:f>
        <x:v>proposal.collection.magnetic_dart_projector; magnetic dart projector; weapons; weapon; weapon; finished item; manufactured / unresolved; offensive combat; ceramic and metal; assembly; proposal; magnetic dart projector; collection expansion; weapon; not applicable; unassigned; finished item</x:v>
      </x:c>
      <x:c r="AF642" s="4" t="str">
        <x:v>Collection expansion classification. Distinct type, use and material family; new item proposal unless author direction is marked. October 15 audit: classification/handling clarified; item identity, design status and material tier preserved.</x:v>
      </x:c>
      <x:c r="AG642" s="4" t="str">
        <x:v>Finished endpoint or currency. Material tier is separate from finished input tier.</x:v>
      </x:c>
      <x:c r="AH642" s="4" t="str">
        <x:v>Unassigned</x:v>
      </x:c>
      <x:c r="AI642" s="4" t="str">
        <x:v>Finished item</x:v>
      </x:c>
      <x:c r="AJ642" s="4" t="n">
        <x:f>COUNTIFS('Material routes'!$D$6:$D$2205,A642,'Material routes'!$C$6:$C$2205,"Output")</x:f>
        <x:v>1</x:v>
      </x:c>
      <x:c r="AK642" s="4" t="n">
        <x:f>SUM(COUNTIFS('Material routes'!$D$6:$D$2205,A642,'Material routes'!$C$6:$C$2205,"Ingredient candidate"),COUNTIFS('Material routes'!$D$6:$D$2205,A642,'Material routes'!$C$6:$C$2205,"Consumed input"),COUNTIFS('Material routes'!$D$6:$D$2205,A642,'Material routes'!$C$6:$C$2205,"Contained input"),COUNTIFS('Material routes'!$D$6:$D$2205,A642,'Material routes'!$C$6:$C$2205,"Transform input"))</x:f>
        <x:v>0</x:v>
      </x:c>
      <x:c r="AL642" s="4" t="n">
        <x:f>COUNTIFS('Material routes'!$D$6:$D$2205,A642,'Material routes'!$C$6:$C$2205,"Tool candidate")</x:f>
        <x:v>0</x:v>
      </x:c>
      <x:c r="AM642" s="4" t="str">
        <x:f>IF(AJ642&gt;0,"Route listed; review status/completeness",IF(C642="T0","Raw entry feed; no production route","No production route listed"))</x:f>
        <x:v>Route listed; review status/completeness</x:v>
      </x:c>
      <x:c r="AN642" s="4" t="n">
        <x:f>IF(C642="T0",0,IF(C642="T1",1,IF(C642="T2",2,IF(C642="T3",3,IF(C642="T4",4,IF(C642="Unassigned",98,99))))))</x:f>
        <x:v>99</x:v>
      </x:c>
      <x:c r="AZ642"/>
      <x:c r="BA642"/>
      <x:c r="BB642"/>
      <x:c r="BC642"/>
      <x:c r="BD642"/>
      <x:c r="BE642"/>
      <x:c r="BF642"/>
      <x:c r="BG642"/>
      <x:c r="BH642"/>
      <x:c r="BI642"/>
      <x:c r="BJ642"/>
      <x:c r="BK642"/>
      <x:c r="BL642"/>
      <x:c r="BM642"/>
      <x:c r="BN642"/>
      <x:c r="BO642"/>
      <x:c r="BP642"/>
      <x:c r="BQ642"/>
      <x:c r="BR642"/>
      <x:c r="BS642"/>
      <x:c r="BT642"/>
      <x:c r="BU642"/>
      <x:c r="BV642"/>
      <x:c r="BW642"/>
      <x:c r="BX642"/>
      <x:c r="BY642"/>
      <x:c r="BZ642"/>
      <x:c r="CA642"/>
      <x:c r="CB642"/>
      <x:c r="CC642"/>
    </x:row>
    <x:row r="643" ht="115" customHeight="1">
      <x:c r="A643" s="4" t="str">
        <x:v>proposal.collection.coil_slug_carbine</x:v>
      </x:c>
      <x:c r="B643" s="4" t="str">
        <x:v>Coil slug carbine</x:v>
      </x:c>
      <x:c r="C643" s="4" t="str">
        <x:v>Not applicable</x:v>
      </x:c>
      <x:c r="D643" s="4" t="str">
        <x:v>Weapons</x:v>
      </x:c>
      <x:c r="E643" s="4" t="str">
        <x:v>Weapon</x:v>
      </x:c>
      <x:c r="F643" s="4" t="str">
        <x:v>New proposal</x:v>
      </x:c>
      <x:c r="G643" s="4" t="inlineStr">
        <x:is>
          <x:t xml:space="preserve">Bulky reverse-engineering proposal with power demands unresolved. It is intended for the recorded weapon role and compatible ammunition or energy feed. Damage, range, handling and operating requirements remain unassigned.</x:t>
        </x:is>
      </x:c>
      <x:c r="H643" s="4" t="str">
        <x:v>None</x:v>
      </x:c>
      <x:c r="I643" s="4" t="str">
        <x:v>Physical inventory / cargo item; dimensions and packing unresolved</x:v>
      </x:c>
      <x:c r="J643" s="4"/>
      <x:c r="K643" s="4"/>
      <x:c r="L643" s="4" t="str">
        <x:v>Candidate preparation: design.collection.coil_slug_carbine. Full inputs are in Crafting browser.</x:v>
      </x:c>
      <x:c r="M643" s="4" t="str">
        <x:v>Candidate workshop or contained preparation route; detailed tools, quantities and conditions unresolved</x:v>
      </x:c>
      <x:c r="N643" s="4" t="str">
        <x:v>Not implemented</x:v>
      </x:c>
      <x:c r="O643" s="4" t="str">
        <x:v>Specific dimensions, yield, fit, performance and service conditions remain open.</x:v>
      </x:c>
      <x:c r="P643" s="4"/>
      <x:c r="Q643" s="4"/>
      <x:c r="R643" s="4"/>
      <x:c r="S643" s="4"/>
      <x:c r="T643" s="4"/>
      <x:c r="U643" s="4" t="str">
        <x:v>Candidate inputs are partial. Resolve tools, supporting materials, energy, recovery and compatibility before recipes become craftable.</x:v>
      </x:c>
      <x:c r="V643" s="4" t="str">
        <x:v>coil slug carbine; collection expansion; weapon</x:v>
      </x:c>
      <x:c r="W643" s="4" t="str">
        <x:v>New item proposal, October 15, 2026. Setting reference (source proposal): https://github.com/sleepyseamonster/Arc-Dust/blob/f6f98515c005dc3c73cccd9cbc031691745740c6/02-Arc-Dust-Worldbuilding/world/materials/industrial-material-palette.md</x:v>
      </x:c>
      <x:c r="X643" s="4" t="str">
        <x:v>Weapon</x:v>
      </x:c>
      <x:c r="Y643" s="4" t="str">
        <x:v>Finished item</x:v>
      </x:c>
      <x:c r="Z643" s="4" t="str">
        <x:v>Manufactured / unresolved</x:v>
      </x:c>
      <x:c r="AA643" s="4" t="str">
        <x:v>Offensive combat</x:v>
      </x:c>
      <x:c r="AB643" s="4" t="str">
        <x:v>Ceramic and metal</x:v>
      </x:c>
      <x:c r="AC643" s="4" t="str">
        <x:v>Assembly</x:v>
      </x:c>
      <x:c r="AD643" s="4" t="str">
        <x:v>Proposal</x:v>
      </x:c>
      <x:c r="AE643" s="4" t="str">
        <x:f>LOWER(A643&amp;"; "&amp;B643&amp;"; "&amp;D643&amp;"; "&amp;E643&amp;"; "&amp;X643&amp;"; "&amp;Y643&amp;"; "&amp;Z643&amp;"; "&amp;AA643&amp;"; "&amp;AB643&amp;"; "&amp;AC643&amp;"; "&amp;AD643&amp;"; "&amp;V643&amp;"; "&amp;C643&amp;"; "&amp;AH643&amp;"; "&amp;AI643)</x:f>
        <x:v>proposal.collection.coil_slug_carbine; coil slug carbine; weapons; weapon; weapon; finished item; manufactured / unresolved; offensive combat; ceramic and metal; assembly; proposal; coil slug carbine; collection expansion; weapon; not applicable; unassigned; finished item</x:v>
      </x:c>
      <x:c r="AF643" s="4" t="str">
        <x:v>Collection expansion classification. Distinct type, use and material family; new item proposal unless author direction is marked. October 15 audit: classification/handling clarified; item identity, design status and material tier preserved.</x:v>
      </x:c>
      <x:c r="AG643" s="4" t="str">
        <x:v>Finished endpoint or currency. Material tier is separate from finished input tier.</x:v>
      </x:c>
      <x:c r="AH643" s="4" t="str">
        <x:v>Unassigned</x:v>
      </x:c>
      <x:c r="AI643" s="4" t="str">
        <x:v>Finished item</x:v>
      </x:c>
      <x:c r="AJ643" s="4" t="n">
        <x:f>COUNTIFS('Material routes'!$D$6:$D$2205,A643,'Material routes'!$C$6:$C$2205,"Output")</x:f>
        <x:v>1</x:v>
      </x:c>
      <x:c r="AK643" s="4" t="n">
        <x:f>SUM(COUNTIFS('Material routes'!$D$6:$D$2205,A643,'Material routes'!$C$6:$C$2205,"Ingredient candidate"),COUNTIFS('Material routes'!$D$6:$D$2205,A643,'Material routes'!$C$6:$C$2205,"Consumed input"),COUNTIFS('Material routes'!$D$6:$D$2205,A643,'Material routes'!$C$6:$C$2205,"Contained input"),COUNTIFS('Material routes'!$D$6:$D$2205,A643,'Material routes'!$C$6:$C$2205,"Transform input"))</x:f>
        <x:v>0</x:v>
      </x:c>
      <x:c r="AL643" s="4" t="n">
        <x:f>COUNTIFS('Material routes'!$D$6:$D$2205,A643,'Material routes'!$C$6:$C$2205,"Tool candidate")</x:f>
        <x:v>0</x:v>
      </x:c>
      <x:c r="AM643" s="4" t="str">
        <x:f>IF(AJ643&gt;0,"Route listed; review status/completeness",IF(C643="T0","Raw entry feed; no production route","No production route listed"))</x:f>
        <x:v>Route listed; review status/completeness</x:v>
      </x:c>
      <x:c r="AN643" s="4" t="n">
        <x:f>IF(C643="T0",0,IF(C643="T1",1,IF(C643="T2",2,IF(C643="T3",3,IF(C643="T4",4,IF(C643="Unassigned",98,99))))))</x:f>
        <x:v>99</x:v>
      </x:c>
      <x:c r="AZ643"/>
      <x:c r="BA643"/>
      <x:c r="BB643"/>
      <x:c r="BC643"/>
      <x:c r="BD643"/>
      <x:c r="BE643"/>
      <x:c r="BF643"/>
      <x:c r="BG643"/>
      <x:c r="BH643"/>
      <x:c r="BI643"/>
      <x:c r="BJ643"/>
      <x:c r="BK643"/>
      <x:c r="BL643"/>
      <x:c r="BM643"/>
      <x:c r="BN643"/>
      <x:c r="BO643"/>
      <x:c r="BP643"/>
      <x:c r="BQ643"/>
      <x:c r="BR643"/>
      <x:c r="BS643"/>
      <x:c r="BT643"/>
      <x:c r="BU643"/>
      <x:c r="BV643"/>
      <x:c r="BW643"/>
      <x:c r="BX643"/>
      <x:c r="BY643"/>
      <x:c r="BZ643"/>
      <x:c r="CA643"/>
      <x:c r="CB643"/>
      <x:c r="CC643"/>
    </x:row>
    <x:row r="644" ht="115" customHeight="1">
      <x:c r="A644" s="4" t="str">
        <x:v>proposal.collection.ancient_pulse_rifle</x:v>
      </x:c>
      <x:c r="B644" s="4" t="str">
        <x:v>Ancient pulse rifle</x:v>
      </x:c>
      <x:c r="C644" s="4" t="str">
        <x:v>Not applicable</x:v>
      </x:c>
      <x:c r="D644" s="4" t="str">
        <x:v>Weapons</x:v>
      </x:c>
      <x:c r="E644" s="4" t="str">
        <x:v>Ancient recovery</x:v>
      </x:c>
      <x:c r="F644" s="4" t="str">
        <x:v>New proposal</x:v>
      </x:c>
      <x:c r="G644" s="4" t="inlineStr">
        <x:is>
          <x:t xml:space="preserve">Rare recovered pulsed-energy weapon; firing mechanism unresolved. It is intended for the recorded weapon role and compatible ammunition or energy feed. Damage, range, handling and operating requirements remain unassigned.</x:t>
        </x:is>
      </x:c>
      <x:c r="H644" s="4" t="str">
        <x:v>None</x:v>
      </x:c>
      <x:c r="I644" s="4" t="str">
        <x:v>Physical inventory / cargo item; dimensions and packing unresolved</x:v>
      </x:c>
      <x:c r="J644" s="4"/>
      <x:c r="K644" s="4"/>
      <x:c r="L644" s="4" t="str">
        <x:v>Recover a compatible ancient item</x:v>
      </x:c>
      <x:c r="M644" s="4" t="str">
        <x:v>Identify, inspect and preserve a recovered item; manufacturing unavailable</x:v>
      </x:c>
      <x:c r="N644" s="4" t="str">
        <x:v>Not implemented</x:v>
      </x:c>
      <x:c r="O644" s="4" t="str">
        <x:v>Extremely rare ancient recovery. Power, interface, durability and authenticity unresolved.</x:v>
      </x:c>
      <x:c r="P644" s="4" t="str">
        <x:v>Extremely rare</x:v>
      </x:c>
      <x:c r="Q644" s="4"/>
      <x:c r="R644" s="4"/>
      <x:c r="S644" s="4"/>
      <x:c r="T644" s="4"/>
      <x:c r="U644" s="4" t="str">
        <x:v>Ancient item names describe candidate functions, not known working mechanisms.</x:v>
      </x:c>
      <x:c r="V644" s="4" t="str">
        <x:v>ancient pulse rifle; collection expansion; weapon</x:v>
      </x:c>
      <x:c r="W644" s="4" t="str">
        <x:v>New item proposal, October 15, 2026. Rare ancient recovery; no reproduction route. Setting reference (source proposal): https://github.com/sleepyseamonster/Arc-Dust/blob/f6f98515c005dc3c73cccd9cbc031691745740c6/02-Arc-Dust-Worldbuilding/world/materials/ancient-synthetics.md</x:v>
      </x:c>
      <x:c r="X644" s="4" t="str">
        <x:v>Weapon</x:v>
      </x:c>
      <x:c r="Y644" s="4" t="str">
        <x:v>Recovered part</x:v>
      </x:c>
      <x:c r="Z644" s="4" t="str">
        <x:v>Ancient technology</x:v>
      </x:c>
      <x:c r="AA644" s="4" t="str">
        <x:v>Offensive combat</x:v>
      </x:c>
      <x:c r="AB644" s="4" t="str">
        <x:v>Ancient composite</x:v>
      </x:c>
      <x:c r="AC644" s="4" t="str">
        <x:v>Assembly</x:v>
      </x:c>
      <x:c r="AD644" s="4" t="str">
        <x:v>Proposal</x:v>
      </x:c>
      <x:c r="AE644" s="4" t="str">
        <x:f>LOWER(A644&amp;"; "&amp;B644&amp;"; "&amp;D644&amp;"; "&amp;E644&amp;"; "&amp;X644&amp;"; "&amp;Y644&amp;"; "&amp;Z644&amp;"; "&amp;AA644&amp;"; "&amp;AB644&amp;"; "&amp;AC644&amp;"; "&amp;AD644&amp;"; "&amp;V644&amp;"; "&amp;C644&amp;"; "&amp;AH644&amp;"; "&amp;AI644)</x:f>
        <x:v>proposal.collection.ancient_pulse_rifle; ancient pulse rifle; weapons; ancient recovery; weapon; recovered part; ancient technology; offensive combat; ancient composite; assembly; proposal; ancient pulse rifle; collection expansion; weapon; not applicable; not applicable; finished item</x:v>
      </x:c>
      <x:c r="AF644" s="4" t="str">
        <x:v>Collection expansion classification. Distinct type, use and material family; new item proposal unless author direction is marked.</x:v>
      </x:c>
      <x:c r="AG644" s="4" t="str">
        <x:v>Recovered item outside contemporary manufacturing tiers.</x:v>
      </x:c>
      <x:c r="AH644" s="4" t="str">
        <x:v>Not applicable</x:v>
      </x:c>
      <x:c r="AI644" s="4" t="str">
        <x:v>Finished item</x:v>
      </x:c>
      <x:c r="AJ644" s="4" t="n">
        <x:f>COUNTIFS('Material routes'!$D$6:$D$2205,A644,'Material routes'!$C$6:$C$2205,"Output")</x:f>
        <x:v>0</x:v>
      </x:c>
      <x:c r="AK644" s="4" t="n">
        <x:f>SUM(COUNTIFS('Material routes'!$D$6:$D$2205,A644,'Material routes'!$C$6:$C$2205,"Ingredient candidate"),COUNTIFS('Material routes'!$D$6:$D$2205,A644,'Material routes'!$C$6:$C$2205,"Consumed input"),COUNTIFS('Material routes'!$D$6:$D$2205,A644,'Material routes'!$C$6:$C$2205,"Contained input"),COUNTIFS('Material routes'!$D$6:$D$2205,A644,'Material routes'!$C$6:$C$2205,"Transform input"))</x:f>
        <x:v>0</x:v>
      </x:c>
      <x:c r="AL644" s="4" t="n">
        <x:f>COUNTIFS('Material routes'!$D$6:$D$2205,A644,'Material routes'!$C$6:$C$2205,"Tool candidate")</x:f>
        <x:v>0</x:v>
      </x:c>
      <x:c r="AM644" s="4" t="str">
        <x:f>IF(AJ644&gt;0,"Route listed; review status/completeness",IF(C644="T0","Raw entry feed; no production route","No production route listed"))</x:f>
        <x:v>No production route listed</x:v>
      </x:c>
      <x:c r="AN644" s="4" t="n">
        <x:f>IF(C644="T0",0,IF(C644="T1",1,IF(C644="T2",2,IF(C644="T3",3,IF(C644="T4",4,IF(C644="Unassigned",98,99))))))</x:f>
        <x:v>99</x:v>
      </x:c>
      <x:c r="AZ644"/>
      <x:c r="BA644"/>
      <x:c r="BB644"/>
      <x:c r="BC644"/>
      <x:c r="BD644"/>
      <x:c r="BE644"/>
      <x:c r="BF644"/>
      <x:c r="BG644"/>
      <x:c r="BH644"/>
      <x:c r="BI644"/>
      <x:c r="BJ644"/>
      <x:c r="BK644"/>
      <x:c r="BL644"/>
      <x:c r="BM644"/>
      <x:c r="BN644"/>
      <x:c r="BO644"/>
      <x:c r="BP644"/>
      <x:c r="BQ644"/>
      <x:c r="BR644"/>
      <x:c r="BS644"/>
      <x:c r="BT644"/>
      <x:c r="BU644"/>
      <x:c r="BV644"/>
      <x:c r="BW644"/>
      <x:c r="BX644"/>
      <x:c r="BY644"/>
      <x:c r="BZ644"/>
      <x:c r="CA644"/>
      <x:c r="CB644"/>
      <x:c r="CC644"/>
    </x:row>
    <x:row r="645" ht="115" customHeight="1">
      <x:c r="A645" s="4" t="str">
        <x:v>proposal.collection.ancient_plasma_lance</x:v>
      </x:c>
      <x:c r="B645" s="4" t="str">
        <x:v>Ancient plasma lance</x:v>
      </x:c>
      <x:c r="C645" s="4" t="str">
        <x:v>Not applicable</x:v>
      </x:c>
      <x:c r="D645" s="4" t="str">
        <x:v>Weapons</x:v>
      </x:c>
      <x:c r="E645" s="4" t="str">
        <x:v>Ancient recovery</x:v>
      </x:c>
      <x:c r="F645" s="4" t="str">
        <x:v>New proposal</x:v>
      </x:c>
      <x:c r="G645" s="4" t="inlineStr">
        <x:is>
          <x:t xml:space="preserve">Rare recovered short-range energy weapon; containment unresolved. It is intended for the recorded weapon role and compatible ammunition or energy feed. Damage, range, handling and operating requirements remain unassigned.</x:t>
        </x:is>
      </x:c>
      <x:c r="H645" s="4" t="str">
        <x:v>None</x:v>
      </x:c>
      <x:c r="I645" s="4" t="str">
        <x:v>Physical inventory / cargo item; dimensions and packing unresolved</x:v>
      </x:c>
      <x:c r="J645" s="4"/>
      <x:c r="K645" s="4"/>
      <x:c r="L645" s="4" t="str">
        <x:v>Recover a compatible ancient item</x:v>
      </x:c>
      <x:c r="M645" s="4" t="str">
        <x:v>Identify, inspect and preserve a recovered item; manufacturing unavailable</x:v>
      </x:c>
      <x:c r="N645" s="4" t="str">
        <x:v>Not implemented</x:v>
      </x:c>
      <x:c r="O645" s="4" t="str">
        <x:v>Extremely rare ancient recovery. Power, interface, durability and authenticity unresolved.</x:v>
      </x:c>
      <x:c r="P645" s="4" t="str">
        <x:v>Extremely rare</x:v>
      </x:c>
      <x:c r="Q645" s="4"/>
      <x:c r="R645" s="4"/>
      <x:c r="S645" s="4"/>
      <x:c r="T645" s="4"/>
      <x:c r="U645" s="4" t="str">
        <x:v>Ancient item names describe candidate functions, not known working mechanisms.</x:v>
      </x:c>
      <x:c r="V645" s="4" t="str">
        <x:v>ancient plasma lance; collection expansion; weapon</x:v>
      </x:c>
      <x:c r="W645" s="4" t="str">
        <x:v>New item proposal, October 15, 2026. Rare ancient recovery; no reproduction route. Setting reference (source proposal): https://github.com/sleepyseamonster/Arc-Dust/blob/f6f98515c005dc3c73cccd9cbc031691745740c6/02-Arc-Dust-Worldbuilding/world/materials/ancient-synthetics.md</x:v>
      </x:c>
      <x:c r="X645" s="4" t="str">
        <x:v>Weapon</x:v>
      </x:c>
      <x:c r="Y645" s="4" t="str">
        <x:v>Recovered part</x:v>
      </x:c>
      <x:c r="Z645" s="4" t="str">
        <x:v>Ancient technology</x:v>
      </x:c>
      <x:c r="AA645" s="4" t="str">
        <x:v>Offensive combat</x:v>
      </x:c>
      <x:c r="AB645" s="4" t="str">
        <x:v>Ancient composite</x:v>
      </x:c>
      <x:c r="AC645" s="4" t="str">
        <x:v>Assembly</x:v>
      </x:c>
      <x:c r="AD645" s="4" t="str">
        <x:v>Proposal</x:v>
      </x:c>
      <x:c r="AE645" s="4" t="str">
        <x:f>LOWER(A645&amp;"; "&amp;B645&amp;"; "&amp;D645&amp;"; "&amp;E645&amp;"; "&amp;X645&amp;"; "&amp;Y645&amp;"; "&amp;Z645&amp;"; "&amp;AA645&amp;"; "&amp;AB645&amp;"; "&amp;AC645&amp;"; "&amp;AD645&amp;"; "&amp;V645&amp;"; "&amp;C645&amp;"; "&amp;AH645&amp;"; "&amp;AI645)</x:f>
        <x:v>proposal.collection.ancient_plasma_lance; ancient plasma lance; weapons; ancient recovery; weapon; recovered part; ancient technology; offensive combat; ancient composite; assembly; proposal; ancient plasma lance; collection expansion; weapon; not applicable; not applicable; finished item</x:v>
      </x:c>
      <x:c r="AF645" s="4" t="str">
        <x:v>Collection expansion classification. Distinct type, use and material family; new item proposal unless author direction is marked.</x:v>
      </x:c>
      <x:c r="AG645" s="4" t="str">
        <x:v>Recovered item outside contemporary manufacturing tiers.</x:v>
      </x:c>
      <x:c r="AH645" s="4" t="str">
        <x:v>Not applicable</x:v>
      </x:c>
      <x:c r="AI645" s="4" t="str">
        <x:v>Finished item</x:v>
      </x:c>
      <x:c r="AJ645" s="4" t="n">
        <x:f>COUNTIFS('Material routes'!$D$6:$D$2205,A645,'Material routes'!$C$6:$C$2205,"Output")</x:f>
        <x:v>0</x:v>
      </x:c>
      <x:c r="AK645" s="4" t="n">
        <x:f>SUM(COUNTIFS('Material routes'!$D$6:$D$2205,A645,'Material routes'!$C$6:$C$2205,"Ingredient candidate"),COUNTIFS('Material routes'!$D$6:$D$2205,A645,'Material routes'!$C$6:$C$2205,"Consumed input"),COUNTIFS('Material routes'!$D$6:$D$2205,A645,'Material routes'!$C$6:$C$2205,"Contained input"),COUNTIFS('Material routes'!$D$6:$D$2205,A645,'Material routes'!$C$6:$C$2205,"Transform input"))</x:f>
        <x:v>0</x:v>
      </x:c>
      <x:c r="AL645" s="4" t="n">
        <x:f>COUNTIFS('Material routes'!$D$6:$D$2205,A645,'Material routes'!$C$6:$C$2205,"Tool candidate")</x:f>
        <x:v>0</x:v>
      </x:c>
      <x:c r="AM645" s="4" t="str">
        <x:f>IF(AJ645&gt;0,"Route listed; review status/completeness",IF(C645="T0","Raw entry feed; no production route","No production route listed"))</x:f>
        <x:v>No production route listed</x:v>
      </x:c>
      <x:c r="AN645" s="4" t="n">
        <x:f>IF(C645="T0",0,IF(C645="T1",1,IF(C645="T2",2,IF(C645="T3",3,IF(C645="T4",4,IF(C645="Unassigned",98,99))))))</x:f>
        <x:v>99</x:v>
      </x:c>
      <x:c r="AZ645"/>
      <x:c r="BA645"/>
      <x:c r="BB645"/>
      <x:c r="BC645"/>
      <x:c r="BD645"/>
      <x:c r="BE645"/>
      <x:c r="BF645"/>
      <x:c r="BG645"/>
      <x:c r="BH645"/>
      <x:c r="BI645"/>
      <x:c r="BJ645"/>
      <x:c r="BK645"/>
      <x:c r="BL645"/>
      <x:c r="BM645"/>
      <x:c r="BN645"/>
      <x:c r="BO645"/>
      <x:c r="BP645"/>
      <x:c r="BQ645"/>
      <x:c r="BR645"/>
      <x:c r="BS645"/>
      <x:c r="BT645"/>
      <x:c r="BU645"/>
      <x:c r="BV645"/>
      <x:c r="BW645"/>
      <x:c r="BX645"/>
      <x:c r="BY645"/>
      <x:c r="BZ645"/>
      <x:c r="CA645"/>
      <x:c r="CB645"/>
      <x:c r="CC645"/>
    </x:row>
    <x:row r="646" ht="115" customHeight="1">
      <x:c r="A646" s="4" t="str">
        <x:v>proposal.collection.ancient_microrocket_pod</x:v>
      </x:c>
      <x:c r="B646" s="4" t="str">
        <x:v>Ancient microrocket pod</x:v>
      </x:c>
      <x:c r="C646" s="4" t="str">
        <x:v>Not applicable</x:v>
      </x:c>
      <x:c r="D646" s="4" t="str">
        <x:v>Weapons</x:v>
      </x:c>
      <x:c r="E646" s="4" t="str">
        <x:v>Ancient recovery</x:v>
      </x:c>
      <x:c r="F646" s="4" t="str">
        <x:v>New proposal</x:v>
      </x:c>
      <x:c r="G646" s="4" t="inlineStr">
        <x:is>
          <x:t xml:space="preserve">Recovered multi-shot launcher with matched ancient rounds. It is intended for the recorded weapon role and compatible ammunition or energy feed. Damage, range, handling and operating requirements remain unassigned.</x:t>
        </x:is>
      </x:c>
      <x:c r="H646" s="4" t="str">
        <x:v>None</x:v>
      </x:c>
      <x:c r="I646" s="4" t="str">
        <x:v>Physical inventory / cargo item; dimensions and packing unresolved</x:v>
      </x:c>
      <x:c r="J646" s="4"/>
      <x:c r="K646" s="4"/>
      <x:c r="L646" s="4" t="str">
        <x:v>Recover a compatible ancient item</x:v>
      </x:c>
      <x:c r="M646" s="4" t="str">
        <x:v>Identify, inspect and preserve a recovered item; manufacturing unavailable</x:v>
      </x:c>
      <x:c r="N646" s="4" t="str">
        <x:v>Not implemented</x:v>
      </x:c>
      <x:c r="O646" s="4" t="str">
        <x:v>Extremely rare ancient recovery. Power, interface, durability and authenticity unresolved.</x:v>
      </x:c>
      <x:c r="P646" s="4" t="str">
        <x:v>Extremely rare</x:v>
      </x:c>
      <x:c r="Q646" s="4"/>
      <x:c r="R646" s="4"/>
      <x:c r="S646" s="4"/>
      <x:c r="T646" s="4"/>
      <x:c r="U646" s="4" t="str">
        <x:v>Ancient item names describe candidate functions, not known working mechanisms.</x:v>
      </x:c>
      <x:c r="V646" s="4" t="str">
        <x:v>ancient microrocket pod; collection expansion; weapon</x:v>
      </x:c>
      <x:c r="W646" s="4" t="str">
        <x:v>New item proposal, October 15, 2026. Rare ancient recovery; no reproduction route. Setting reference (source proposal): https://github.com/sleepyseamonster/Arc-Dust/blob/f6f98515c005dc3c73cccd9cbc031691745740c6/02-Arc-Dust-Worldbuilding/world/materials/ancient-synthetics.md</x:v>
      </x:c>
      <x:c r="X646" s="4" t="str">
        <x:v>Weapon</x:v>
      </x:c>
      <x:c r="Y646" s="4" t="str">
        <x:v>Recovered part</x:v>
      </x:c>
      <x:c r="Z646" s="4" t="str">
        <x:v>Ancient technology</x:v>
      </x:c>
      <x:c r="AA646" s="4" t="str">
        <x:v>Offensive combat</x:v>
      </x:c>
      <x:c r="AB646" s="4" t="str">
        <x:v>Ancient composite</x:v>
      </x:c>
      <x:c r="AC646" s="4" t="str">
        <x:v>Assembly</x:v>
      </x:c>
      <x:c r="AD646" s="4" t="str">
        <x:v>Proposal</x:v>
      </x:c>
      <x:c r="AE646" s="4" t="str">
        <x:f>LOWER(A646&amp;"; "&amp;B646&amp;"; "&amp;D646&amp;"; "&amp;E646&amp;"; "&amp;X646&amp;"; "&amp;Y646&amp;"; "&amp;Z646&amp;"; "&amp;AA646&amp;"; "&amp;AB646&amp;"; "&amp;AC646&amp;"; "&amp;AD646&amp;"; "&amp;V646&amp;"; "&amp;C646&amp;"; "&amp;AH646&amp;"; "&amp;AI646)</x:f>
        <x:v>proposal.collection.ancient_microrocket_pod; ancient microrocket pod; weapons; ancient recovery; weapon; recovered part; ancient technology; offensive combat; ancient composite; assembly; proposal; ancient microrocket pod; collection expansion; weapon; not applicable; not applicable; finished item</x:v>
      </x:c>
      <x:c r="AF646" s="4" t="str">
        <x:v>Collection expansion classification. Distinct type, use and material family; new item proposal unless author direction is marked.</x:v>
      </x:c>
      <x:c r="AG646" s="4" t="str">
        <x:v>Recovered item outside contemporary manufacturing tiers.</x:v>
      </x:c>
      <x:c r="AH646" s="4" t="str">
        <x:v>Not applicable</x:v>
      </x:c>
      <x:c r="AI646" s="4" t="str">
        <x:v>Finished item</x:v>
      </x:c>
      <x:c r="AJ646" s="4" t="n">
        <x:f>COUNTIFS('Material routes'!$D$6:$D$2205,A646,'Material routes'!$C$6:$C$2205,"Output")</x:f>
        <x:v>0</x:v>
      </x:c>
      <x:c r="AK646" s="4" t="n">
        <x:f>SUM(COUNTIFS('Material routes'!$D$6:$D$2205,A646,'Material routes'!$C$6:$C$2205,"Ingredient candidate"),COUNTIFS('Material routes'!$D$6:$D$2205,A646,'Material routes'!$C$6:$C$2205,"Consumed input"),COUNTIFS('Material routes'!$D$6:$D$2205,A646,'Material routes'!$C$6:$C$2205,"Contained input"),COUNTIFS('Material routes'!$D$6:$D$2205,A646,'Material routes'!$C$6:$C$2205,"Transform input"))</x:f>
        <x:v>0</x:v>
      </x:c>
      <x:c r="AL646" s="4" t="n">
        <x:f>COUNTIFS('Material routes'!$D$6:$D$2205,A646,'Material routes'!$C$6:$C$2205,"Tool candidate")</x:f>
        <x:v>0</x:v>
      </x:c>
      <x:c r="AM646" s="4" t="str">
        <x:f>IF(AJ646&gt;0,"Route listed; review status/completeness",IF(C646="T0","Raw entry feed; no production route","No production route listed"))</x:f>
        <x:v>No production route listed</x:v>
      </x:c>
      <x:c r="AN646" s="4" t="n">
        <x:f>IF(C646="T0",0,IF(C646="T1",1,IF(C646="T2",2,IF(C646="T3",3,IF(C646="T4",4,IF(C646="Unassigned",98,99))))))</x:f>
        <x:v>99</x:v>
      </x:c>
      <x:c r="AZ646"/>
      <x:c r="BA646"/>
      <x:c r="BB646"/>
      <x:c r="BC646"/>
      <x:c r="BD646"/>
      <x:c r="BE646"/>
      <x:c r="BF646"/>
      <x:c r="BG646"/>
      <x:c r="BH646"/>
      <x:c r="BI646"/>
      <x:c r="BJ646"/>
      <x:c r="BK646"/>
      <x:c r="BL646"/>
      <x:c r="BM646"/>
      <x:c r="BN646"/>
      <x:c r="BO646"/>
      <x:c r="BP646"/>
      <x:c r="BQ646"/>
      <x:c r="BR646"/>
      <x:c r="BS646"/>
      <x:c r="BT646"/>
      <x:c r="BU646"/>
      <x:c r="BV646"/>
      <x:c r="BW646"/>
      <x:c r="BX646"/>
      <x:c r="BY646"/>
      <x:c r="BZ646"/>
      <x:c r="CA646"/>
      <x:c r="CB646"/>
      <x:c r="CC646"/>
    </x:row>
    <x:row r="647" ht="115" customHeight="1">
      <x:c r="A647" s="4" t="str">
        <x:v>proposal.collection.ancient_sonic_disruptor</x:v>
      </x:c>
      <x:c r="B647" s="4" t="str">
        <x:v>Ancient sonic disruptor</x:v>
      </x:c>
      <x:c r="C647" s="4" t="str">
        <x:v>Not applicable</x:v>
      </x:c>
      <x:c r="D647" s="4" t="str">
        <x:v>Weapons</x:v>
      </x:c>
      <x:c r="E647" s="4" t="str">
        <x:v>Ancient recovery</x:v>
      </x:c>
      <x:c r="F647" s="4" t="str">
        <x:v>New proposal</x:v>
      </x:c>
      <x:c r="G647" s="4" t="inlineStr">
        <x:is>
          <x:t xml:space="preserve">Fantasy recovered acoustic weapon, limits and effects unresolved. It is intended for the recorded weapon role and compatible ammunition or energy feed. Damage, range, handling and operating requirements remain unassigned.</x:t>
        </x:is>
      </x:c>
      <x:c r="H647" s="4" t="str">
        <x:v>None</x:v>
      </x:c>
      <x:c r="I647" s="4" t="str">
        <x:v>Physical inventory / cargo item; dimensions and packing unresolved</x:v>
      </x:c>
      <x:c r="J647" s="4"/>
      <x:c r="K647" s="4"/>
      <x:c r="L647" s="4" t="str">
        <x:v>Recover a compatible ancient item</x:v>
      </x:c>
      <x:c r="M647" s="4" t="str">
        <x:v>Identify, inspect and preserve a recovered item; manufacturing unavailable</x:v>
      </x:c>
      <x:c r="N647" s="4" t="str">
        <x:v>Not implemented</x:v>
      </x:c>
      <x:c r="O647" s="4" t="str">
        <x:v>Extremely rare ancient recovery. Power, interface, durability and authenticity unresolved.</x:v>
      </x:c>
      <x:c r="P647" s="4" t="str">
        <x:v>Extremely rare</x:v>
      </x:c>
      <x:c r="Q647" s="4"/>
      <x:c r="R647" s="4"/>
      <x:c r="S647" s="4"/>
      <x:c r="T647" s="4"/>
      <x:c r="U647" s="4" t="str">
        <x:v>Ancient item names describe candidate functions, not known working mechanisms.</x:v>
      </x:c>
      <x:c r="V647" s="4" t="str">
        <x:v>ancient sonic disruptor; collection expansion; weapon</x:v>
      </x:c>
      <x:c r="W647" s="4" t="str">
        <x:v>New item proposal, October 15, 2026. Rare ancient recovery; no reproduction route. Setting reference (source proposal): https://github.com/sleepyseamonster/Arc-Dust/blob/f6f98515c005dc3c73cccd9cbc031691745740c6/02-Arc-Dust-Worldbuilding/world/materials/ancient-synthetics.md</x:v>
      </x:c>
      <x:c r="X647" s="4" t="str">
        <x:v>Weapon</x:v>
      </x:c>
      <x:c r="Y647" s="4" t="str">
        <x:v>Recovered part</x:v>
      </x:c>
      <x:c r="Z647" s="4" t="str">
        <x:v>Ancient technology</x:v>
      </x:c>
      <x:c r="AA647" s="4" t="str">
        <x:v>Offensive combat</x:v>
      </x:c>
      <x:c r="AB647" s="4" t="str">
        <x:v>Ancient composite</x:v>
      </x:c>
      <x:c r="AC647" s="4" t="str">
        <x:v>Assembly</x:v>
      </x:c>
      <x:c r="AD647" s="4" t="str">
        <x:v>Proposal</x:v>
      </x:c>
      <x:c r="AE647" s="4" t="str">
        <x:f>LOWER(A647&amp;"; "&amp;B647&amp;"; "&amp;D647&amp;"; "&amp;E647&amp;"; "&amp;X647&amp;"; "&amp;Y647&amp;"; "&amp;Z647&amp;"; "&amp;AA647&amp;"; "&amp;AB647&amp;"; "&amp;AC647&amp;"; "&amp;AD647&amp;"; "&amp;V647&amp;"; "&amp;C647&amp;"; "&amp;AH647&amp;"; "&amp;AI647)</x:f>
        <x:v>proposal.collection.ancient_sonic_disruptor; ancient sonic disruptor; weapons; ancient recovery; weapon; recovered part; ancient technology; offensive combat; ancient composite; assembly; proposal; ancient sonic disruptor; collection expansion; weapon; not applicable; not applicable; finished item</x:v>
      </x:c>
      <x:c r="AF647" s="4" t="str">
        <x:v>Collection expansion classification. Distinct type, use and material family; new item proposal unless author direction is marked.</x:v>
      </x:c>
      <x:c r="AG647" s="4" t="str">
        <x:v>Recovered item outside contemporary manufacturing tiers.</x:v>
      </x:c>
      <x:c r="AH647" s="4" t="str">
        <x:v>Not applicable</x:v>
      </x:c>
      <x:c r="AI647" s="4" t="str">
        <x:v>Finished item</x:v>
      </x:c>
      <x:c r="AJ647" s="4" t="n">
        <x:f>COUNTIFS('Material routes'!$D$6:$D$2205,A647,'Material routes'!$C$6:$C$2205,"Output")</x:f>
        <x:v>0</x:v>
      </x:c>
      <x:c r="AK647" s="4" t="n">
        <x:f>SUM(COUNTIFS('Material routes'!$D$6:$D$2205,A647,'Material routes'!$C$6:$C$2205,"Ingredient candidate"),COUNTIFS('Material routes'!$D$6:$D$2205,A647,'Material routes'!$C$6:$C$2205,"Consumed input"),COUNTIFS('Material routes'!$D$6:$D$2205,A647,'Material routes'!$C$6:$C$2205,"Contained input"),COUNTIFS('Material routes'!$D$6:$D$2205,A647,'Material routes'!$C$6:$C$2205,"Transform input"))</x:f>
        <x:v>0</x:v>
      </x:c>
      <x:c r="AL647" s="4" t="n">
        <x:f>COUNTIFS('Material routes'!$D$6:$D$2205,A647,'Material routes'!$C$6:$C$2205,"Tool candidate")</x:f>
        <x:v>0</x:v>
      </x:c>
      <x:c r="AM647" s="4" t="str">
        <x:f>IF(AJ647&gt;0,"Route listed; review status/completeness",IF(C647="T0","Raw entry feed; no production route","No production route listed"))</x:f>
        <x:v>No production route listed</x:v>
      </x:c>
      <x:c r="AN647" s="4" t="n">
        <x:f>IF(C647="T0",0,IF(C647="T1",1,IF(C647="T2",2,IF(C647="T3",3,IF(C647="T4",4,IF(C647="Unassigned",98,99))))))</x:f>
        <x:v>99</x:v>
      </x:c>
      <x:c r="AZ647"/>
      <x:c r="BA647"/>
      <x:c r="BB647"/>
      <x:c r="BC647"/>
      <x:c r="BD647"/>
      <x:c r="BE647"/>
      <x:c r="BF647"/>
      <x:c r="BG647"/>
      <x:c r="BH647"/>
      <x:c r="BI647"/>
      <x:c r="BJ647"/>
      <x:c r="BK647"/>
      <x:c r="BL647"/>
      <x:c r="BM647"/>
      <x:c r="BN647"/>
      <x:c r="BO647"/>
      <x:c r="BP647"/>
      <x:c r="BQ647"/>
      <x:c r="BR647"/>
      <x:c r="BS647"/>
      <x:c r="BT647"/>
      <x:c r="BU647"/>
      <x:c r="BV647"/>
      <x:c r="BW647"/>
      <x:c r="BX647"/>
      <x:c r="BY647"/>
      <x:c r="BZ647"/>
      <x:c r="CA647"/>
      <x:c r="CB647"/>
      <x:c r="CC647"/>
    </x:row>
    <x:row r="648" ht="115" customHeight="1">
      <x:c r="A648" s="4" t="str">
        <x:v>proposal.collection.drained_culinary_phagia_curd</x:v>
      </x:c>
      <x:c r="B648" s="4" t="str">
        <x:v>Drained culinary Phagia curd</x:v>
      </x:c>
      <x:c r="C648" s="4" t="str">
        <x:v>T1</x:v>
      </x:c>
      <x:c r="D648" s="4" t="inlineStr">
        <x:is>
          <x:t xml:space="preserve">Cooking ingredients</x:t>
        </x:is>
      </x:c>
      <x:c r="E648" s="4" t="str">
        <x:v>Food material</x:v>
      </x:c>
      <x:c r="F648" s="4" t="str">
        <x:v>New proposal</x:v>
      </x:c>
      <x:c r="G648" s="4" t="inlineStr">
        <x:is>
          <x:t xml:space="preserve">Firm meal base separated from a food-designated culture. It supports a food-designated preparation process. Industrial chemicals and unverified biological fractions cannot substitute for selected culinary inputs.</x:t>
        </x:is>
      </x:c>
      <x:c r="H648" s="4" t="str">
        <x:v>None</x:v>
      </x:c>
      <x:c r="I648" s="4" t="str">
        <x:v>Physical inventory / cargo item; dimensions and packing unresolved</x:v>
      </x:c>
      <x:c r="J648" s="4"/>
      <x:c r="K648" s="4"/>
      <x:c r="L648" s="4" t="str">
        <x:v>Candidate preparation: design.collection.drained_culinary_phagia_curd. Full inputs are in Crafting browser.</x:v>
      </x:c>
      <x:c r="M648" s="4" t="str">
        <x:v>Candidate workshop or contained preparation route; detailed tools, quantities and conditions unresolved</x:v>
      </x:c>
      <x:c r="N648" s="4" t="str">
        <x:v>Not implemented</x:v>
      </x:c>
      <x:c r="O648" s="4" t="str">
        <x:v>Culinary proposal. Select species/food-designated culture and validate edibility; industrial fractions are excluded. No nutritional, medical or preservation claim.</x:v>
      </x:c>
      <x:c r="P648" s="4"/>
      <x:c r="Q648" s="4"/>
      <x:c r="R648" s="4"/>
      <x:c r="S648" s="4"/>
      <x:c r="T648" s="4"/>
      <x:c r="U648" s="4" t="str">
        <x:v>Candidate inputs are partial. Resolve tools, supporting materials, energy, recovery and compatibility before recipes become craftable.</x:v>
      </x:c>
      <x:c r="V648" s="4" t="str">
        <x:v>drained culinary phagia curd; collection expansion; food material</x:v>
      </x:c>
      <x:c r="W64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8" s="4" t="str">
        <x:v>Food material</x:v>
      </x:c>
      <x:c r="Y648" s="4" t="str">
        <x:v>Processed intermediate</x:v>
      </x:c>
      <x:c r="Z648" s="4" t="str">
        <x:v>Manufactured / unresolved</x:v>
      </x:c>
      <x:c r="AA648" s="4" t="str">
        <x:v>Food preparation</x:v>
      </x:c>
      <x:c r="AB648" s="4" t="str">
        <x:v>Phagia preparation</x:v>
      </x:c>
      <x:c r="AC648" s="4" t="str">
        <x:v>Solid piece</x:v>
      </x:c>
      <x:c r="AD648" s="4" t="str">
        <x:v>Proposal</x:v>
      </x:c>
      <x:c r="AE648" s="4" t="str">
        <x:f>LOWER(A648&amp;"; "&amp;B648&amp;"; "&amp;D648&amp;"; "&amp;E648&amp;"; "&amp;X648&amp;"; "&amp;Y648&amp;"; "&amp;Z648&amp;"; "&amp;AA648&amp;"; "&amp;AB648&amp;"; "&amp;AC648&amp;"; "&amp;AD648&amp;"; "&amp;V648&amp;"; "&amp;C648&amp;"; "&amp;AH648&amp;"; "&amp;AI648)</x:f>
        <x:v>proposal.collection.drained_culinary_phagia_curd; drained culinary phagia curd; cooking ingredients; food material; food material; processed intermediate; manufactured / unresolved; food preparation; phagia preparation; solid piece; proposal; drained culinary phagia curd; collection expansion; food material; t1; not applicable; material</x:v>
      </x:c>
      <x:c r="AF64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8" s="4" t="str">
        <x:v>Selected candidate processing route places this stock at T1. Raw entry is T0; source rarity does not raise tier.</x:v>
      </x:c>
      <x:c r="AH648" s="4" t="str">
        <x:v>Not applicable</x:v>
      </x:c>
      <x:c r="AI648" s="4" t="str">
        <x:v>Material</x:v>
      </x:c>
      <x:c r="AJ648" s="4" t="n">
        <x:f>COUNTIFS('Material routes'!$D$6:$D$2205,A648,'Material routes'!$C$6:$C$2205,"Output")</x:f>
        <x:v>1</x:v>
      </x:c>
      <x:c r="AK648" s="4" t="n">
        <x:f>SUM(COUNTIFS('Material routes'!$D$6:$D$2205,A648,'Material routes'!$C$6:$C$2205,"Ingredient candidate"),COUNTIFS('Material routes'!$D$6:$D$2205,A648,'Material routes'!$C$6:$C$2205,"Consumed input"),COUNTIFS('Material routes'!$D$6:$D$2205,A648,'Material routes'!$C$6:$C$2205,"Contained input"),COUNTIFS('Material routes'!$D$6:$D$2205,A648,'Material routes'!$C$6:$C$2205,"Transform input"))</x:f>
        <x:v>6</x:v>
      </x:c>
      <x:c r="AL648" s="4" t="n">
        <x:f>COUNTIFS('Material routes'!$D$6:$D$2205,A648,'Material routes'!$C$6:$C$2205,"Tool candidate")</x:f>
        <x:v>0</x:v>
      </x:c>
      <x:c r="AM648" s="4" t="str">
        <x:f>IF(AJ648&gt;0,"Route listed; review status/completeness",IF(C648="T0","Raw entry feed; no production route","No production route listed"))</x:f>
        <x:v>Route listed; review status/completeness</x:v>
      </x:c>
      <x:c r="AN648" s="4" t="n">
        <x:f>IF(C648="T0",0,IF(C648="T1",1,IF(C648="T2",2,IF(C648="T3",3,IF(C648="T4",4,IF(C648="Unassigned",98,99))))))</x:f>
        <x:v>1</x:v>
      </x:c>
      <x:c r="AZ648"/>
      <x:c r="BA648"/>
      <x:c r="BB648"/>
      <x:c r="BC648"/>
      <x:c r="BD648"/>
      <x:c r="BE648"/>
      <x:c r="BF648"/>
      <x:c r="BG648"/>
      <x:c r="BH648"/>
      <x:c r="BI648"/>
      <x:c r="BJ648"/>
      <x:c r="BK648"/>
      <x:c r="BL648"/>
      <x:c r="BM648"/>
      <x:c r="BN648"/>
      <x:c r="BO648"/>
      <x:c r="BP648"/>
      <x:c r="BQ648"/>
      <x:c r="BR648"/>
      <x:c r="BS648"/>
      <x:c r="BT648"/>
      <x:c r="BU648"/>
      <x:c r="BV648"/>
      <x:c r="BW648"/>
      <x:c r="BX648"/>
      <x:c r="BY648"/>
      <x:c r="BZ648"/>
      <x:c r="CA648"/>
      <x:c r="CB648"/>
      <x:c r="CC648"/>
    </x:row>
    <x:row r="649" ht="115" customHeight="1">
      <x:c r="A649" s="4" t="str">
        <x:v>proposal.collection.culinary_phagia_liquid_fraction</x:v>
      </x:c>
      <x:c r="B649" s="4" t="str">
        <x:v>Culinary Phagia liquid fraction</x:v>
      </x:c>
      <x:c r="C649" s="4" t="str">
        <x:v>T1</x:v>
      </x:c>
      <x:c r="D649" s="4" t="inlineStr">
        <x:is>
          <x:t xml:space="preserve">Cooking ingredients</x:t>
        </x:is>
      </x:c>
      <x:c r="E649" s="4" t="str">
        <x:v>Food material</x:v>
      </x:c>
      <x:c r="F649" s="4" t="str">
        <x:v>New proposal</x:v>
      </x:c>
      <x:c r="G649" s="4" t="inlineStr">
        <x:is>
          <x:t xml:space="preserve">Retained food-designated liquid for drink preparation. It supports a food-designated preparation process. Industrial chemicals and unverified biological fractions cannot substitute for selected culinary inputs.</x:t>
        </x:is>
      </x:c>
      <x:c r="H649" s="4" t="str">
        <x:v>None</x:v>
      </x:c>
      <x:c r="I649" s="4" t="str">
        <x:v>Physical inventory / cargo item; dimensions and packing unresolved</x:v>
      </x:c>
      <x:c r="J649" s="4"/>
      <x:c r="K649" s="4"/>
      <x:c r="L649" s="4" t="str">
        <x:v>Candidate preparation: design.collection.culinary_phagia_liquid_fraction. Full inputs are in Crafting browser.</x:v>
      </x:c>
      <x:c r="M649" s="4" t="str">
        <x:v>Candidate workshop or contained preparation route; detailed tools, quantities and conditions unresolved</x:v>
      </x:c>
      <x:c r="N649" s="4" t="str">
        <x:v>Not implemented</x:v>
      </x:c>
      <x:c r="O649" s="4" t="str">
        <x:v>Culinary proposal. Select species/food-designated culture and validate edibility; industrial fractions are excluded. No nutritional, medical or preservation claim.</x:v>
      </x:c>
      <x:c r="P649" s="4"/>
      <x:c r="Q649" s="4"/>
      <x:c r="R649" s="4"/>
      <x:c r="S649" s="4"/>
      <x:c r="T649" s="4"/>
      <x:c r="U649" s="4" t="str">
        <x:v>Candidate inputs are partial. Resolve tools, supporting materials, energy, recovery and compatibility before recipes become craftable.</x:v>
      </x:c>
      <x:c r="V649" s="4" t="str">
        <x:v>culinary phagia liquid fraction; collection expansion; food material</x:v>
      </x:c>
      <x:c r="W64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9" s="4" t="str">
        <x:v>Food material</x:v>
      </x:c>
      <x:c r="Y649" s="4" t="str">
        <x:v>Processed intermediate</x:v>
      </x:c>
      <x:c r="Z649" s="4" t="str">
        <x:v>Manufactured / unresolved</x:v>
      </x:c>
      <x:c r="AA649" s="4" t="str">
        <x:v>Food preparation</x:v>
      </x:c>
      <x:c r="AB649" s="4" t="str">
        <x:v>Phagia preparation</x:v>
      </x:c>
      <x:c r="AC649" s="4" t="str">
        <x:v>Liquid</x:v>
      </x:c>
      <x:c r="AD649" s="4" t="str">
        <x:v>Proposal</x:v>
      </x:c>
      <x:c r="AE649" s="4" t="str">
        <x:f>LOWER(A649&amp;"; "&amp;B649&amp;"; "&amp;D649&amp;"; "&amp;E649&amp;"; "&amp;X649&amp;"; "&amp;Y649&amp;"; "&amp;Z649&amp;"; "&amp;AA649&amp;"; "&amp;AB649&amp;"; "&amp;AC649&amp;"; "&amp;AD649&amp;"; "&amp;V649&amp;"; "&amp;C649&amp;"; "&amp;AH649&amp;"; "&amp;AI649)</x:f>
        <x:v>proposal.collection.culinary_phagia_liquid_fraction; culinary phagia liquid fraction; cooking ingredients; food material; food material; processed intermediate; manufactured / unresolved; food preparation; phagia preparation; liquid; proposal; culinary phagia liquid fraction; collection expansion; food material; t1; not applicable; material</x:v>
      </x:c>
      <x:c r="AF64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9" s="4" t="str">
        <x:v>Selected candidate processing route places this stock at T1. Raw entry is T0; source rarity does not raise tier.</x:v>
      </x:c>
      <x:c r="AH649" s="4" t="str">
        <x:v>Not applicable</x:v>
      </x:c>
      <x:c r="AI649" s="4" t="str">
        <x:v>Material</x:v>
      </x:c>
      <x:c r="AJ649" s="4" t="n">
        <x:f>COUNTIFS('Material routes'!$D$6:$D$2205,A649,'Material routes'!$C$6:$C$2205,"Output")</x:f>
        <x:v>1</x:v>
      </x:c>
      <x:c r="AK649" s="4" t="n">
        <x:f>SUM(COUNTIFS('Material routes'!$D$6:$D$2205,A649,'Material routes'!$C$6:$C$2205,"Ingredient candidate"),COUNTIFS('Material routes'!$D$6:$D$2205,A649,'Material routes'!$C$6:$C$2205,"Consumed input"),COUNTIFS('Material routes'!$D$6:$D$2205,A649,'Material routes'!$C$6:$C$2205,"Contained input"),COUNTIFS('Material routes'!$D$6:$D$2205,A649,'Material routes'!$C$6:$C$2205,"Transform input"))</x:f>
        <x:v>20</x:v>
      </x:c>
      <x:c r="AL649" s="4" t="n">
        <x:f>COUNTIFS('Material routes'!$D$6:$D$2205,A649,'Material routes'!$C$6:$C$2205,"Tool candidate")</x:f>
        <x:v>0</x:v>
      </x:c>
      <x:c r="AM649" s="4" t="str">
        <x:f>IF(AJ649&gt;0,"Route listed; review status/completeness",IF(C649="T0","Raw entry feed; no production route","No production route listed"))</x:f>
        <x:v>Route listed; review status/completeness</x:v>
      </x:c>
      <x:c r="AN649" s="4" t="n">
        <x:f>IF(C649="T0",0,IF(C649="T1",1,IF(C649="T2",2,IF(C649="T3",3,IF(C649="T4",4,IF(C649="Unassigned",98,99))))))</x:f>
        <x:v>1</x:v>
      </x:c>
      <x:c r="AZ649"/>
      <x:c r="BA649"/>
      <x:c r="BB649"/>
      <x:c r="BC649"/>
      <x:c r="BD649"/>
      <x:c r="BE649"/>
      <x:c r="BF649"/>
      <x:c r="BG649"/>
      <x:c r="BH649"/>
      <x:c r="BI649"/>
      <x:c r="BJ649"/>
      <x:c r="BK649"/>
      <x:c r="BL649"/>
      <x:c r="BM649"/>
      <x:c r="BN649"/>
      <x:c r="BO649"/>
      <x:c r="BP649"/>
      <x:c r="BQ649"/>
      <x:c r="BR649"/>
      <x:c r="BS649"/>
      <x:c r="BT649"/>
      <x:c r="BU649"/>
      <x:c r="BV649"/>
      <x:c r="BW649"/>
      <x:c r="BX649"/>
      <x:c r="BY649"/>
      <x:c r="BZ649"/>
      <x:c r="CA649"/>
      <x:c r="CB649"/>
      <x:c r="CC649"/>
    </x:row>
    <x:row r="650" ht="115" customHeight="1">
      <x:c r="A650" s="4" t="str">
        <x:v>proposal.collection.fine_culinary_phagia_meal</x:v>
      </x:c>
      <x:c r="B650" s="4" t="str">
        <x:v>Fine culinary Phagia meal</x:v>
      </x:c>
      <x:c r="C650" s="4" t="str">
        <x:v>T1</x:v>
      </x:c>
      <x:c r="D650" s="4" t="inlineStr">
        <x:is>
          <x:t xml:space="preserve">Cooking ingredients</x:t>
        </x:is>
      </x:c>
      <x:c r="E650" s="4" t="str">
        <x:v>Food material</x:v>
      </x:c>
      <x:c r="F650" s="4" t="str">
        <x:v>New proposal</x:v>
      </x:c>
      <x:c r="G650" s="4" t="inlineStr">
        <x:is>
          <x:t xml:space="preserve">Dry milled food stock for bars and wafers. It supports a food-designated preparation process. Industrial chemicals and unverified biological fractions cannot substitute for selected culinary inputs.</x:t>
        </x:is>
      </x:c>
      <x:c r="H650" s="4" t="str">
        <x:v>None</x:v>
      </x:c>
      <x:c r="I650" s="4" t="str">
        <x:v>Physical inventory / cargo item; dimensions and packing unresolved</x:v>
      </x:c>
      <x:c r="J650" s="4"/>
      <x:c r="K650" s="4"/>
      <x:c r="L650" s="4" t="str">
        <x:v>Candidate preparation: design.collection.fine_culinary_phagia_meal. Full inputs are in Crafting browser.</x:v>
      </x:c>
      <x:c r="M650" s="4" t="str">
        <x:v>Candidate workshop or contained preparation route; detailed tools, quantities and conditions unresolved</x:v>
      </x:c>
      <x:c r="N650" s="4" t="str">
        <x:v>Not implemented</x:v>
      </x:c>
      <x:c r="O650" s="4" t="str">
        <x:v>Culinary proposal. Select species/food-designated culture and validate edibility; industrial fractions are excluded. No nutritional, medical or preservation claim.</x:v>
      </x:c>
      <x:c r="P650" s="4"/>
      <x:c r="Q650" s="4"/>
      <x:c r="R650" s="4"/>
      <x:c r="S650" s="4"/>
      <x:c r="T650" s="4"/>
      <x:c r="U650" s="4" t="str">
        <x:v>Candidate inputs are partial. Resolve tools, supporting materials, energy, recovery and compatibility before recipes become craftable.</x:v>
      </x:c>
      <x:c r="V650" s="4" t="str">
        <x:v>fine culinary phagia meal; collection expansion; food material</x:v>
      </x:c>
      <x:c r="W65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0" s="4" t="str">
        <x:v>Food material</x:v>
      </x:c>
      <x:c r="Y650" s="4" t="str">
        <x:v>Processed intermediate</x:v>
      </x:c>
      <x:c r="Z650" s="4" t="str">
        <x:v>Manufactured / unresolved</x:v>
      </x:c>
      <x:c r="AA650" s="4" t="str">
        <x:v>Food preparation</x:v>
      </x:c>
      <x:c r="AB650" s="4" t="str">
        <x:v>Phagia preparation</x:v>
      </x:c>
      <x:c r="AC650" s="4" t="str">
        <x:v>Particles</x:v>
      </x:c>
      <x:c r="AD650" s="4" t="str">
        <x:v>Proposal</x:v>
      </x:c>
      <x:c r="AE650" s="4" t="str">
        <x:f>LOWER(A650&amp;"; "&amp;B650&amp;"; "&amp;D650&amp;"; "&amp;E650&amp;"; "&amp;X650&amp;"; "&amp;Y650&amp;"; "&amp;Z650&amp;"; "&amp;AA650&amp;"; "&amp;AB650&amp;"; "&amp;AC650&amp;"; "&amp;AD650&amp;"; "&amp;V650&amp;"; "&amp;C650&amp;"; "&amp;AH650&amp;"; "&amp;AI650)</x:f>
        <x:v>proposal.collection.fine_culinary_phagia_meal; fine culinary phagia meal; cooking ingredients; food material; food material; processed intermediate; manufactured / unresolved; food preparation; phagia preparation; particles; proposal; fine culinary phagia meal; collection expansion; food material; t1; not applicable; material</x:v>
      </x:c>
      <x:c r="AF65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0" s="4" t="str">
        <x:v>Selected candidate processing route places this stock at T1. Raw entry is T0; source rarity does not raise tier.</x:v>
      </x:c>
      <x:c r="AH650" s="4" t="str">
        <x:v>Not applicable</x:v>
      </x:c>
      <x:c r="AI650" s="4" t="str">
        <x:v>Material</x:v>
      </x:c>
      <x:c r="AJ650" s="4" t="n">
        <x:f>COUNTIFS('Material routes'!$D$6:$D$2205,A650,'Material routes'!$C$6:$C$2205,"Output")</x:f>
        <x:v>1</x:v>
      </x:c>
      <x:c r="AK650" s="4" t="n">
        <x:f>SUM(COUNTIFS('Material routes'!$D$6:$D$2205,A650,'Material routes'!$C$6:$C$2205,"Ingredient candidate"),COUNTIFS('Material routes'!$D$6:$D$2205,A650,'Material routes'!$C$6:$C$2205,"Consumed input"),COUNTIFS('Material routes'!$D$6:$D$2205,A650,'Material routes'!$C$6:$C$2205,"Contained input"),COUNTIFS('Material routes'!$D$6:$D$2205,A650,'Material routes'!$C$6:$C$2205,"Transform input"))</x:f>
        <x:v>6</x:v>
      </x:c>
      <x:c r="AL650" s="4" t="n">
        <x:f>COUNTIFS('Material routes'!$D$6:$D$2205,A650,'Material routes'!$C$6:$C$2205,"Tool candidate")</x:f>
        <x:v>0</x:v>
      </x:c>
      <x:c r="AM650" s="4" t="str">
        <x:f>IF(AJ650&gt;0,"Route listed; review status/completeness",IF(C650="T0","Raw entry feed; no production route","No production route listed"))</x:f>
        <x:v>Route listed; review status/completeness</x:v>
      </x:c>
      <x:c r="AN650" s="4" t="n">
        <x:f>IF(C650="T0",0,IF(C650="T1",1,IF(C650="T2",2,IF(C650="T3",3,IF(C650="T4",4,IF(C650="Unassigned",98,99))))))</x:f>
        <x:v>1</x:v>
      </x:c>
      <x:c r="AZ650"/>
      <x:c r="BA650"/>
      <x:c r="BB650"/>
      <x:c r="BC650"/>
      <x:c r="BD650"/>
      <x:c r="BE650"/>
      <x:c r="BF650"/>
      <x:c r="BG650"/>
      <x:c r="BH650"/>
      <x:c r="BI650"/>
      <x:c r="BJ650"/>
      <x:c r="BK650"/>
      <x:c r="BL650"/>
      <x:c r="BM650"/>
      <x:c r="BN650"/>
      <x:c r="BO650"/>
      <x:c r="BP650"/>
      <x:c r="BQ650"/>
      <x:c r="BR650"/>
      <x:c r="BS650"/>
      <x:c r="BT650"/>
      <x:c r="BU650"/>
      <x:c r="BV650"/>
      <x:c r="BW650"/>
      <x:c r="BX650"/>
      <x:c r="BY650"/>
      <x:c r="BZ650"/>
      <x:c r="CA650"/>
      <x:c r="CB650"/>
      <x:c r="CC650"/>
    </x:row>
    <x:row r="651" ht="115" customHeight="1">
      <x:c r="A651" s="4" t="str">
        <x:v>proposal.collection.pressed_culinary_phagia_flakes</x:v>
      </x:c>
      <x:c r="B651" s="4" t="str">
        <x:v>Pressed culinary Phagia flakes</x:v>
      </x:c>
      <x:c r="C651" s="4" t="str">
        <x:v>T1</x:v>
      </x:c>
      <x:c r="D651" s="4" t="inlineStr">
        <x:is>
          <x:t xml:space="preserve">Cooking ingredients</x:t>
        </x:is>
      </x:c>
      <x:c r="E651" s="4" t="str">
        <x:v>Food material</x:v>
      </x:c>
      <x:c r="F651" s="4" t="str">
        <x:v>New proposal</x:v>
      </x:c>
      <x:c r="G651" s="4" t="inlineStr">
        <x:is>
          <x:t xml:space="preserve">Thin dry food stock for layered meals. It supports a food-designated preparation process. Industrial chemicals and unverified biological fractions cannot substitute for selected culinary inputs.</x:t>
        </x:is>
      </x:c>
      <x:c r="H651" s="4" t="str">
        <x:v>None</x:v>
      </x:c>
      <x:c r="I651" s="4" t="str">
        <x:v>Physical inventory / cargo item; dimensions and packing unresolved</x:v>
      </x:c>
      <x:c r="J651" s="4"/>
      <x:c r="K651" s="4"/>
      <x:c r="L651" s="4" t="str">
        <x:v>Candidate preparation: design.collection.pressed_culinary_phagia_flakes. Full inputs are in Crafting browser.</x:v>
      </x:c>
      <x:c r="M651" s="4" t="str">
        <x:v>Candidate workshop or contained preparation route; detailed tools, quantities and conditions unresolved</x:v>
      </x:c>
      <x:c r="N651" s="4" t="str">
        <x:v>Not implemented</x:v>
      </x:c>
      <x:c r="O651" s="4" t="str">
        <x:v>Culinary proposal. Select species/food-designated culture and validate edibility; industrial fractions are excluded. No nutritional, medical or preservation claim.</x:v>
      </x:c>
      <x:c r="P651" s="4"/>
      <x:c r="Q651" s="4"/>
      <x:c r="R651" s="4"/>
      <x:c r="S651" s="4"/>
      <x:c r="T651" s="4"/>
      <x:c r="U651" s="4" t="str">
        <x:v>Candidate inputs are partial. Resolve tools, supporting materials, energy, recovery and compatibility before recipes become craftable.</x:v>
      </x:c>
      <x:c r="V651" s="4" t="str">
        <x:v>pressed culinary phagia flakes; collection expansion; food material</x:v>
      </x:c>
      <x:c r="W65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1" s="4" t="str">
        <x:v>Food material</x:v>
      </x:c>
      <x:c r="Y651" s="4" t="str">
        <x:v>Processed intermediate</x:v>
      </x:c>
      <x:c r="Z651" s="4" t="str">
        <x:v>Manufactured / unresolved</x:v>
      </x:c>
      <x:c r="AA651" s="4" t="str">
        <x:v>Food preparation</x:v>
      </x:c>
      <x:c r="AB651" s="4" t="str">
        <x:v>Phagia preparation</x:v>
      </x:c>
      <x:c r="AC651" s="4" t="str">
        <x:v>Particles</x:v>
      </x:c>
      <x:c r="AD651" s="4" t="str">
        <x:v>Proposal</x:v>
      </x:c>
      <x:c r="AE651" s="4" t="str">
        <x:f>LOWER(A651&amp;"; "&amp;B651&amp;"; "&amp;D651&amp;"; "&amp;E651&amp;"; "&amp;X651&amp;"; "&amp;Y651&amp;"; "&amp;Z651&amp;"; "&amp;AA651&amp;"; "&amp;AB651&amp;"; "&amp;AC651&amp;"; "&amp;AD651&amp;"; "&amp;V651&amp;"; "&amp;C651&amp;"; "&amp;AH651&amp;"; "&amp;AI651)</x:f>
        <x:v>proposal.collection.pressed_culinary_phagia_flakes; pressed culinary phagia flakes; cooking ingredients; food material; food material; processed intermediate; manufactured / unresolved; food preparation; phagia preparation; particles; proposal; pressed culinary phagia flakes; collection expansion; food material; t1; not applicable; material</x:v>
      </x:c>
      <x:c r="AF651"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1" s="4" t="str">
        <x:v>Selected candidate processing route places this stock at T1. Raw entry is T0; source rarity does not raise tier.</x:v>
      </x:c>
      <x:c r="AH651" s="4" t="str">
        <x:v>Not applicable</x:v>
      </x:c>
      <x:c r="AI651" s="4" t="str">
        <x:v>Material</x:v>
      </x:c>
      <x:c r="AJ651" s="4" t="n">
        <x:f>COUNTIFS('Material routes'!$D$6:$D$2205,A651,'Material routes'!$C$6:$C$2205,"Output")</x:f>
        <x:v>1</x:v>
      </x:c>
      <x:c r="AK651" s="4" t="n">
        <x:f>SUM(COUNTIFS('Material routes'!$D$6:$D$2205,A651,'Material routes'!$C$6:$C$2205,"Ingredient candidate"),COUNTIFS('Material routes'!$D$6:$D$2205,A651,'Material routes'!$C$6:$C$2205,"Consumed input"),COUNTIFS('Material routes'!$D$6:$D$2205,A651,'Material routes'!$C$6:$C$2205,"Contained input"),COUNTIFS('Material routes'!$D$6:$D$2205,A651,'Material routes'!$C$6:$C$2205,"Transform input"))</x:f>
        <x:v>5</x:v>
      </x:c>
      <x:c r="AL651" s="4" t="n">
        <x:f>COUNTIFS('Material routes'!$D$6:$D$2205,A651,'Material routes'!$C$6:$C$2205,"Tool candidate")</x:f>
        <x:v>0</x:v>
      </x:c>
      <x:c r="AM651" s="4" t="str">
        <x:f>IF(AJ651&gt;0,"Route listed; review status/completeness",IF(C651="T0","Raw entry feed; no production route","No production route listed"))</x:f>
        <x:v>Route listed; review status/completeness</x:v>
      </x:c>
      <x:c r="AN651" s="4" t="n">
        <x:f>IF(C651="T0",0,IF(C651="T1",1,IF(C651="T2",2,IF(C651="T3",3,IF(C651="T4",4,IF(C651="Unassigned",98,99))))))</x:f>
        <x:v>1</x:v>
      </x:c>
      <x:c r="AZ651"/>
      <x:c r="BA651"/>
      <x:c r="BB651"/>
      <x:c r="BC651"/>
      <x:c r="BD651"/>
      <x:c r="BE651"/>
      <x:c r="BF651"/>
      <x:c r="BG651"/>
      <x:c r="BH651"/>
      <x:c r="BI651"/>
      <x:c r="BJ651"/>
      <x:c r="BK651"/>
      <x:c r="BL651"/>
      <x:c r="BM651"/>
      <x:c r="BN651"/>
      <x:c r="BO651"/>
      <x:c r="BP651"/>
      <x:c r="BQ651"/>
      <x:c r="BR651"/>
      <x:c r="BS651"/>
      <x:c r="BT651"/>
      <x:c r="BU651"/>
      <x:c r="BV651"/>
      <x:c r="BW651"/>
      <x:c r="BX651"/>
      <x:c r="BY651"/>
      <x:c r="BZ651"/>
      <x:c r="CA651"/>
      <x:c r="CB651"/>
      <x:c r="CC651"/>
    </x:row>
    <x:row r="652" ht="115" customHeight="1">
      <x:c r="A652" s="4"/>
      <x:c r="B652" s="4"/>
      <x:c r="C652" s="4"/>
      <x:c r="D652" s="4"/>
      <x:c r="E652" s="4"/>
      <x:c r="F652" s="4"/>
      <x:c r="G652" s="4"/>
      <x:c r="H652" s="4"/>
      <x:c r="I652" s="4"/>
      <x:c r="J652" s="4"/>
      <x:c r="M652" s="4"/>
      <x:c r="N652" s="4"/>
      <x:c r="O652" s="4"/>
      <x:c r="P652" s="4"/>
      <x:c r="V652" s="4"/>
      <x:c r="W652" s="4"/>
      <x:c r="X652" s="4"/>
      <x:c r="Y652" s="4"/>
      <x:c r="Z652" s="4"/>
      <x:c r="AA652" s="4"/>
      <x:c r="AB652" s="4"/>
      <x:c r="AC652" s="4"/>
      <x:c r="AD652" s="4"/>
      <x:c r="AE652" s="4"/>
      <x:c r="AF652" s="4"/>
      <x:c r="AG652" s="4"/>
      <x:c r="AH652" s="4"/>
      <x:c r="AI652" s="4"/>
      <x:c r="AJ652" s="4"/>
      <x:c r="AK652" s="4"/>
      <x:c r="AL652" s="4"/>
      <x:c r="AM652" s="4"/>
      <x:c r="AN652" s="4"/>
      <x:c r="AZ652"/>
      <x:c r="BA652"/>
      <x:c r="BB652"/>
      <x:c r="BC652"/>
      <x:c r="BD652"/>
      <x:c r="BE652"/>
      <x:c r="BF652"/>
      <x:c r="BG652"/>
      <x:c r="BH652"/>
      <x:c r="BI652"/>
      <x:c r="BJ652"/>
      <x:c r="BK652"/>
      <x:c r="BL652"/>
      <x:c r="BM652"/>
      <x:c r="BN652"/>
      <x:c r="BO652"/>
      <x:c r="BP652"/>
      <x:c r="BQ652"/>
      <x:c r="BR652"/>
      <x:c r="BS652"/>
      <x:c r="BT652"/>
      <x:c r="BU652"/>
      <x:c r="BV652"/>
      <x:c r="BW652"/>
      <x:c r="BX652"/>
      <x:c r="BY652"/>
      <x:c r="BZ652"/>
      <x:c r="CA652"/>
      <x:c r="CB652"/>
      <x:c r="CC652"/>
    </x:row>
    <x:row r="653" ht="115" customHeight="1">
      <x:c r="A653" s="4" t="str">
        <x:v>proposal.collection.culinary_phagia_binding_paste</x:v>
      </x:c>
      <x:c r="B653" s="4" t="str">
        <x:v>Culinary Phagia binding paste</x:v>
      </x:c>
      <x:c r="C653" s="4" t="str">
        <x:v>T1</x:v>
      </x:c>
      <x:c r="D653" s="4" t="inlineStr">
        <x:is>
          <x:t xml:space="preserve">Cooking ingredients</x:t>
        </x:is>
      </x:c>
      <x:c r="E653" s="4" t="str">
        <x:v>Food material</x:v>
      </x:c>
      <x:c r="F653" s="4" t="str">
        <x:v>New proposal</x:v>
      </x:c>
      <x:c r="G653" s="4" t="inlineStr">
        <x:is>
          <x:t xml:space="preserve">Binds prepared food portions using food-designated culture. It supports a food-designated preparation process. Industrial chemicals and unverified biological fractions cannot substitute for selected culinary inputs.</x:t>
        </x:is>
      </x:c>
      <x:c r="H653" s="4" t="str">
        <x:v>None</x:v>
      </x:c>
      <x:c r="I653" s="4" t="str">
        <x:v>Physical inventory / cargo item; dimensions and packing unresolved</x:v>
      </x:c>
      <x:c r="J653" s="4"/>
      <x:c r="K653" s="4"/>
      <x:c r="L653" s="4" t="str">
        <x:v>Candidate preparation: design.collection.culinary_phagia_binding_paste. Full inputs are in Crafting browser.</x:v>
      </x:c>
      <x:c r="M653" s="4" t="str">
        <x:v>Candidate workshop or contained preparation route; detailed tools, quantities and conditions unresolved</x:v>
      </x:c>
      <x:c r="N653" s="4" t="str">
        <x:v>Not implemented</x:v>
      </x:c>
      <x:c r="O653" s="4" t="str">
        <x:v>Culinary proposal. Select species/food-designated culture and validate edibility; industrial fractions are excluded. No nutritional, medical or preservation claim.</x:v>
      </x:c>
      <x:c r="P653" s="4"/>
      <x:c r="Q653" s="4"/>
      <x:c r="R653" s="4"/>
      <x:c r="S653" s="4"/>
      <x:c r="T653" s="4"/>
      <x:c r="U653" s="4" t="str">
        <x:v>Candidate inputs are partial. Resolve tools, supporting materials, energy, recovery and compatibility before recipes become craftable.</x:v>
      </x:c>
      <x:c r="V653" s="4" t="str">
        <x:v>culinary phagia binding paste; collection expansion; food material</x:v>
      </x:c>
      <x:c r="W65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3" s="4" t="str">
        <x:v>Food material</x:v>
      </x:c>
      <x:c r="Y653" s="4" t="str">
        <x:v>Processed intermediate</x:v>
      </x:c>
      <x:c r="Z653" s="4" t="str">
        <x:v>Manufactured / unresolved</x:v>
      </x:c>
      <x:c r="AA653" s="4" t="str">
        <x:v>Food preparation</x:v>
      </x:c>
      <x:c r="AB653" s="4" t="str">
        <x:v>Phagia preparation</x:v>
      </x:c>
      <x:c r="AC653" s="4" t="str">
        <x:v>Paste</x:v>
      </x:c>
      <x:c r="AD653" s="4" t="str">
        <x:v>Proposal</x:v>
      </x:c>
      <x:c r="AE653" s="4" t="str">
        <x:f>LOWER(A653&amp;"; "&amp;B653&amp;"; "&amp;D653&amp;"; "&amp;E653&amp;"; "&amp;X653&amp;"; "&amp;Y653&amp;"; "&amp;Z653&amp;"; "&amp;AA653&amp;"; "&amp;AB653&amp;"; "&amp;AC653&amp;"; "&amp;AD653&amp;"; "&amp;V653&amp;"; "&amp;C653&amp;"; "&amp;AH653&amp;"; "&amp;AI653)</x:f>
        <x:v>proposal.collection.culinary_phagia_binding_paste; culinary phagia binding paste; cooking ingredients; food material; food material; processed intermediate; manufactured / unresolved; food preparation; phagia preparation; paste; proposal; culinary phagia binding paste; collection expansion; food material; t1; not applicable; material</x:v>
      </x:c>
      <x:c r="AF65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3" s="4" t="str">
        <x:v>Selected candidate processing route places this stock at T1. Raw entry is T0; source rarity does not raise tier.</x:v>
      </x:c>
      <x:c r="AH653" s="4" t="str">
        <x:v>Not applicable</x:v>
      </x:c>
      <x:c r="AI653" s="4" t="str">
        <x:v>Material</x:v>
      </x:c>
      <x:c r="AJ653" s="4" t="n">
        <x:f>COUNTIFS('Material routes'!$D$6:$D$2205,A653,'Material routes'!$C$6:$C$2205,"Output")</x:f>
        <x:v>1</x:v>
      </x:c>
      <x:c r="AK653" s="4" t="n">
        <x:f>SUM(COUNTIFS('Material routes'!$D$6:$D$2205,A653,'Material routes'!$C$6:$C$2205,"Ingredient candidate"),COUNTIFS('Material routes'!$D$6:$D$2205,A653,'Material routes'!$C$6:$C$2205,"Consumed input"),COUNTIFS('Material routes'!$D$6:$D$2205,A653,'Material routes'!$C$6:$C$2205,"Contained input"),COUNTIFS('Material routes'!$D$6:$D$2205,A653,'Material routes'!$C$6:$C$2205,"Transform input"))</x:f>
        <x:v>4</x:v>
      </x:c>
      <x:c r="AL653" s="4" t="n">
        <x:f>COUNTIFS('Material routes'!$D$6:$D$2205,A653,'Material routes'!$C$6:$C$2205,"Tool candidate")</x:f>
        <x:v>0</x:v>
      </x:c>
      <x:c r="AM653" s="4" t="str">
        <x:f>IF(AJ653&gt;0,"Route listed; review status/completeness",IF(C653="T0","Raw entry feed; no production route","No production route listed"))</x:f>
        <x:v>Route listed; review status/completeness</x:v>
      </x:c>
      <x:c r="AN653" s="4" t="n">
        <x:f>IF(C653="T0",0,IF(C653="T1",1,IF(C653="T2",2,IF(C653="T3",3,IF(C653="T4",4,IF(C653="Unassigned",98,99))))))</x:f>
        <x:v>1</x:v>
      </x:c>
      <x:c r="AZ653"/>
      <x:c r="BA653"/>
      <x:c r="BB653"/>
      <x:c r="BC653"/>
      <x:c r="BD653"/>
      <x:c r="BE653"/>
      <x:c r="BF653"/>
      <x:c r="BG653"/>
      <x:c r="BH653"/>
      <x:c r="BI653"/>
      <x:c r="BJ653"/>
      <x:c r="BK653"/>
      <x:c r="BL653"/>
      <x:c r="BM653"/>
      <x:c r="BN653"/>
      <x:c r="BO653"/>
      <x:c r="BP653"/>
      <x:c r="BQ653"/>
      <x:c r="BR653"/>
      <x:c r="BS653"/>
      <x:c r="BT653"/>
      <x:c r="BU653"/>
      <x:c r="BV653"/>
      <x:c r="BW653"/>
      <x:c r="BX653"/>
      <x:c r="BY653"/>
      <x:c r="BZ653"/>
      <x:c r="CA653"/>
      <x:c r="CB653"/>
      <x:c r="CC653"/>
    </x:row>
    <x:row r="654" ht="115" customHeight="1">
      <x:c r="A654" s="4"/>
      <x:c r="B654" s="4"/>
      <x:c r="C654" s="4"/>
      <x:c r="D654" s="4"/>
      <x:c r="E654" s="4"/>
      <x:c r="F654" s="4"/>
      <x:c r="G654" s="4"/>
      <x:c r="H654" s="4"/>
      <x:c r="I654" s="4"/>
      <x:c r="J654" s="4"/>
      <x:c r="K654" s="4"/>
      <x:c r="L654" s="4"/>
      <x:c r="M654" s="4"/>
      <x:c r="N654" s="4"/>
      <x:c r="O654" s="4"/>
      <x:c r="P654" s="4"/>
      <x:c r="Q654" s="4"/>
      <x:c r="R654" s="4"/>
      <x:c r="S654" s="4"/>
      <x:c r="T654" s="4"/>
      <x:c r="U654" s="4"/>
      <x:c r="V654" s="4"/>
      <x:c r="W654" s="4"/>
      <x:c r="X654" s="4"/>
      <x:c r="Y654" s="4"/>
      <x:c r="Z654" s="4"/>
      <x:c r="AA654" s="4"/>
      <x:c r="AB654" s="4"/>
      <x:c r="AC654" s="4"/>
      <x:c r="AD654" s="4"/>
      <x:c r="AE654" s="4"/>
      <x:c r="AF654" s="4"/>
      <x:c r="AG654" s="4"/>
      <x:c r="AH654" s="4"/>
      <x:c r="AI654" s="4"/>
      <x:c r="AJ654" s="4"/>
      <x:c r="AK654" s="4"/>
      <x:c r="AL654" s="4"/>
      <x:c r="AM654" s="4"/>
      <x:c r="AN654" s="4"/>
      <x:c r="AZ654"/>
      <x:c r="BA654"/>
      <x:c r="BB654"/>
      <x:c r="BC654"/>
      <x:c r="BD654"/>
      <x:c r="BE654"/>
      <x:c r="BF654"/>
      <x:c r="BG654"/>
      <x:c r="BH654"/>
      <x:c r="BI654"/>
      <x:c r="BJ654"/>
      <x:c r="BK654"/>
      <x:c r="BL654"/>
      <x:c r="BM654"/>
      <x:c r="BN654"/>
      <x:c r="BO654"/>
      <x:c r="BP654"/>
      <x:c r="BQ654"/>
      <x:c r="BR654"/>
      <x:c r="BS654"/>
      <x:c r="BT654"/>
      <x:c r="BU654"/>
      <x:c r="BV654"/>
      <x:c r="BW654"/>
      <x:c r="BX654"/>
      <x:c r="BY654"/>
      <x:c r="BZ654"/>
      <x:c r="CA654"/>
      <x:c r="CB654"/>
      <x:c r="CC654"/>
    </x:row>
    <x:row r="655" ht="115" customHeight="1">
      <x:c r="A655" s="4" t="str">
        <x:v>proposal.collection.reduced_culinary_phagia_concentrate</x:v>
      </x:c>
      <x:c r="B655" s="4" t="str">
        <x:v>Reduced culinary Phagia concentrate</x:v>
      </x:c>
      <x:c r="C655" s="4" t="str">
        <x:v>T2</x:v>
      </x:c>
      <x:c r="D655" s="4" t="inlineStr">
        <x:is>
          <x:t xml:space="preserve">Cooking ingredients</x:t>
        </x:is>
      </x:c>
      <x:c r="E655" s="4" t="str">
        <x:v>Food material</x:v>
      </x:c>
      <x:c r="F655" s="4" t="str">
        <x:v>New proposal</x:v>
      </x:c>
      <x:c r="G655" s="4" t="inlineStr">
        <x:is>
          <x:t xml:space="preserve">Thick food stock from a contained separation process. It supports a food-designated preparation process. Industrial chemicals and unverified biological fractions cannot substitute for selected culinary inputs.</x:t>
        </x:is>
      </x:c>
      <x:c r="H655" s="4" t="str">
        <x:v>None</x:v>
      </x:c>
      <x:c r="I655" s="4" t="str">
        <x:v>Physical inventory / cargo item; dimensions and packing unresolved</x:v>
      </x:c>
      <x:c r="J655" s="4"/>
      <x:c r="K655" s="4"/>
      <x:c r="L655" s="4" t="str">
        <x:v>Candidate preparation: design.collection.reduced_culinary_phagia_concentrate. Full inputs are in Crafting browser.</x:v>
      </x:c>
      <x:c r="M655" s="4" t="str">
        <x:v>Candidate workshop or contained preparation route; detailed tools, quantities and conditions unresolved</x:v>
      </x:c>
      <x:c r="N655" s="4" t="str">
        <x:v>Not implemented</x:v>
      </x:c>
      <x:c r="O655" s="4" t="str">
        <x:v>Culinary proposal. Select species/food-designated culture and validate edibility; industrial fractions are excluded. No nutritional, medical or preservation claim.</x:v>
      </x:c>
      <x:c r="P655" s="4"/>
      <x:c r="Q655" s="4"/>
      <x:c r="R655" s="4"/>
      <x:c r="S655" s="4"/>
      <x:c r="T655" s="4"/>
      <x:c r="U655" s="4" t="str">
        <x:v>Candidate inputs are partial. Resolve tools, supporting materials, energy, recovery and compatibility before recipes become craftable.</x:v>
      </x:c>
      <x:c r="V655" s="4" t="str">
        <x:v>reduced culinary phagia concentrate; collection expansion; food material</x:v>
      </x:c>
      <x:c r="W6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5" s="4" t="str">
        <x:v>Food material</x:v>
      </x:c>
      <x:c r="Y655" s="4" t="str">
        <x:v>Processed intermediate</x:v>
      </x:c>
      <x:c r="Z655" s="4" t="str">
        <x:v>Manufactured / unresolved</x:v>
      </x:c>
      <x:c r="AA655" s="4" t="str">
        <x:v>Food preparation</x:v>
      </x:c>
      <x:c r="AB655" s="4" t="str">
        <x:v>Phagia preparation</x:v>
      </x:c>
      <x:c r="AC655" s="4" t="str">
        <x:v>Paste</x:v>
      </x:c>
      <x:c r="AD655" s="4" t="str">
        <x:v>Proposal</x:v>
      </x:c>
      <x:c r="AE655" s="4" t="str">
        <x:f>LOWER(A655&amp;"; "&amp;B655&amp;"; "&amp;D655&amp;"; "&amp;E655&amp;"; "&amp;X655&amp;"; "&amp;Y655&amp;"; "&amp;Z655&amp;"; "&amp;AA655&amp;"; "&amp;AB655&amp;"; "&amp;AC655&amp;"; "&amp;AD655&amp;"; "&amp;V655&amp;"; "&amp;C655&amp;"; "&amp;AH655&amp;"; "&amp;AI655)</x:f>
        <x:v>proposal.collection.reduced_culinary_phagia_concentrate; reduced culinary phagia concentrate; cooking ingredients; food material; food material; processed intermediate; manufactured / unresolved; food preparation; phagia preparation; paste; proposal; reduced culinary phagia concentrate; collection expansion; food material; t2; not applicable; material</x:v>
      </x:c>
      <x:c r="AF655"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5" s="4" t="str">
        <x:v>Selected candidate processing route places this stock at T2. Raw entry is T0; source rarity does not raise tier.</x:v>
      </x:c>
      <x:c r="AH655" s="4" t="str">
        <x:v>Not applicable</x:v>
      </x:c>
      <x:c r="AI655" s="4" t="str">
        <x:v>Material</x:v>
      </x:c>
      <x:c r="AJ655" s="4" t="n">
        <x:f>COUNTIFS('Material routes'!$D$6:$D$2205,A655,'Material routes'!$C$6:$C$2205,"Output")</x:f>
        <x:v>1</x:v>
      </x:c>
      <x:c r="AK655" s="4" t="n">
        <x:f>SUM(COUNTIFS('Material routes'!$D$6:$D$2205,A655,'Material routes'!$C$6:$C$2205,"Ingredient candidate"),COUNTIFS('Material routes'!$D$6:$D$2205,A655,'Material routes'!$C$6:$C$2205,"Consumed input"),COUNTIFS('Material routes'!$D$6:$D$2205,A655,'Material routes'!$C$6:$C$2205,"Contained input"),COUNTIFS('Material routes'!$D$6:$D$2205,A655,'Material routes'!$C$6:$C$2205,"Transform input"))</x:f>
        <x:v>4</x:v>
      </x:c>
      <x:c r="AL655" s="4" t="n">
        <x:f>COUNTIFS('Material routes'!$D$6:$D$2205,A655,'Material routes'!$C$6:$C$2205,"Tool candidate")</x:f>
        <x:v>0</x:v>
      </x:c>
      <x:c r="AM655" s="4" t="str">
        <x:f>IF(AJ655&gt;0,"Route listed; review status/completeness",IF(C655="T0","Raw entry feed; no production route","No production route listed"))</x:f>
        <x:v>Route listed; review status/completeness</x:v>
      </x:c>
      <x:c r="AN655" s="4" t="n">
        <x:f>IF(C655="T0",0,IF(C655="T1",1,IF(C655="T2",2,IF(C655="T3",3,IF(C655="T4",4,IF(C655="Unassigned",98,99))))))</x:f>
        <x:v>2</x:v>
      </x:c>
      <x:c r="AZ655"/>
      <x:c r="BA655"/>
      <x:c r="BB655"/>
      <x:c r="BC655"/>
      <x:c r="BD655"/>
      <x:c r="BE655"/>
      <x:c r="BF655"/>
      <x:c r="BG655"/>
      <x:c r="BH655"/>
      <x:c r="BI655"/>
      <x:c r="BJ655"/>
      <x:c r="BK655"/>
      <x:c r="BL655"/>
      <x:c r="BM655"/>
      <x:c r="BN655"/>
      <x:c r="BO655"/>
      <x:c r="BP655"/>
      <x:c r="BQ655"/>
      <x:c r="BR655"/>
      <x:c r="BS655"/>
      <x:c r="BT655"/>
      <x:c r="BU655"/>
      <x:c r="BV655"/>
      <x:c r="BW655"/>
      <x:c r="BX655"/>
      <x:c r="BY655"/>
      <x:c r="BZ655"/>
      <x:c r="CA655"/>
      <x:c r="CB655"/>
      <x:c r="CC655"/>
    </x:row>
    <x:row r="656" ht="115" customHeight="1">
      <x:c r="A656" s="4" t="str">
        <x:v>proposal.collection.aerated_culinary_phagia_curd</x:v>
      </x:c>
      <x:c r="B656" s="4" t="str">
        <x:v>Aerated culinary Phagia curd</x:v>
      </x:c>
      <x:c r="C656" s="4" t="str">
        <x:v>T2</x:v>
      </x:c>
      <x:c r="D656" s="4" t="inlineStr">
        <x:is>
          <x:t xml:space="preserve">Cooking ingredients</x:t>
        </x:is>
      </x:c>
      <x:c r="E656" s="4" t="str">
        <x:v>Food material</x:v>
      </x:c>
      <x:c r="F656" s="4" t="str">
        <x:v>New proposal</x:v>
      </x:c>
      <x:c r="G656" s="4" t="inlineStr">
        <x:is>
          <x:t xml:space="preserve">Light-textured food stock prepared in closed equipment. It supports a food-designated preparation process. Industrial chemicals and unverified biological fractions cannot substitute for selected culinary inputs.</x:t>
        </x:is>
      </x:c>
      <x:c r="H656" s="4" t="str">
        <x:v>None</x:v>
      </x:c>
      <x:c r="I656" s="4" t="str">
        <x:v>Physical inventory / cargo item; dimensions and packing unresolved</x:v>
      </x:c>
      <x:c r="J656" s="4"/>
      <x:c r="K656" s="4"/>
      <x:c r="L656" s="4" t="str">
        <x:v>Candidate preparation: design.collection.aerated_culinary_phagia_curd. Full inputs are in Crafting browser.</x:v>
      </x:c>
      <x:c r="M656" s="4" t="str">
        <x:v>Candidate workshop or contained preparation route; detailed tools, quantities and conditions unresolved</x:v>
      </x:c>
      <x:c r="N656" s="4" t="str">
        <x:v>Not implemented</x:v>
      </x:c>
      <x:c r="O656" s="4" t="str">
        <x:v>Culinary proposal. Select species/food-designated culture and validate edibility; industrial fractions are excluded. No nutritional, medical or preservation claim.</x:v>
      </x:c>
      <x:c r="P656" s="4"/>
      <x:c r="Q656" s="4"/>
      <x:c r="R656" s="4"/>
      <x:c r="S656" s="4"/>
      <x:c r="T656" s="4"/>
      <x:c r="U656" s="4" t="str">
        <x:v>Candidate inputs are partial. Resolve tools, supporting materials, energy, recovery and compatibility before recipes become craftable.</x:v>
      </x:c>
      <x:c r="V656" s="4" t="str">
        <x:v>aerated culinary phagia curd; collection expansion; food material</x:v>
      </x:c>
      <x:c r="W6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6" s="4" t="str">
        <x:v>Food material</x:v>
      </x:c>
      <x:c r="Y656" s="4" t="str">
        <x:v>Processed intermediate</x:v>
      </x:c>
      <x:c r="Z656" s="4" t="str">
        <x:v>Manufactured / unresolved</x:v>
      </x:c>
      <x:c r="AA656" s="4" t="str">
        <x:v>Food preparation</x:v>
      </x:c>
      <x:c r="AB656" s="4" t="str">
        <x:v>Phagia preparation</x:v>
      </x:c>
      <x:c r="AC656" s="4" t="str">
        <x:v>Solid piece</x:v>
      </x:c>
      <x:c r="AD656" s="4" t="str">
        <x:v>Proposal</x:v>
      </x:c>
      <x:c r="AE656" s="4" t="str">
        <x:f>LOWER(A656&amp;"; "&amp;B656&amp;"; "&amp;D656&amp;"; "&amp;E656&amp;"; "&amp;X656&amp;"; "&amp;Y656&amp;"; "&amp;Z656&amp;"; "&amp;AA656&amp;"; "&amp;AB656&amp;"; "&amp;AC656&amp;"; "&amp;AD656&amp;"; "&amp;V656&amp;"; "&amp;C656&amp;"; "&amp;AH656&amp;"; "&amp;AI656)</x:f>
        <x:v>proposal.collection.aerated_culinary_phagia_curd; aerated culinary phagia curd; cooking ingredients; food material; food material; processed intermediate; manufactured / unresolved; food preparation; phagia preparation; solid piece; proposal; aerated culinary phagia curd; collection expansion; food material; t2; not applicable; material</x:v>
      </x:c>
      <x:c r="AF656"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6" s="4" t="str">
        <x:v>Selected candidate processing route places this stock at T2. Raw entry is T0; source rarity does not raise tier.</x:v>
      </x:c>
      <x:c r="AH656" s="4" t="str">
        <x:v>Not applicable</x:v>
      </x:c>
      <x:c r="AI656" s="4" t="str">
        <x:v>Material</x:v>
      </x:c>
      <x:c r="AJ656" s="4" t="n">
        <x:f>COUNTIFS('Material routes'!$D$6:$D$2205,A656,'Material routes'!$C$6:$C$2205,"Output")</x:f>
        <x:v>1</x:v>
      </x:c>
      <x:c r="AK656" s="4" t="n">
        <x:f>SUM(COUNTIFS('Material routes'!$D$6:$D$2205,A656,'Material routes'!$C$6:$C$2205,"Ingredient candidate"),COUNTIFS('Material routes'!$D$6:$D$2205,A656,'Material routes'!$C$6:$C$2205,"Consumed input"),COUNTIFS('Material routes'!$D$6:$D$2205,A656,'Material routes'!$C$6:$C$2205,"Contained input"),COUNTIFS('Material routes'!$D$6:$D$2205,A656,'Material routes'!$C$6:$C$2205,"Transform input"))</x:f>
        <x:v>1</x:v>
      </x:c>
      <x:c r="AL656" s="4" t="n">
        <x:f>COUNTIFS('Material routes'!$D$6:$D$2205,A656,'Material routes'!$C$6:$C$2205,"Tool candidate")</x:f>
        <x:v>0</x:v>
      </x:c>
      <x:c r="AM656" s="4" t="str">
        <x:f>IF(AJ656&gt;0,"Route listed; review status/completeness",IF(C656="T0","Raw entry feed; no production route","No production route listed"))</x:f>
        <x:v>Route listed; review status/completeness</x:v>
      </x:c>
      <x:c r="AN656" s="4" t="n">
        <x:f>IF(C656="T0",0,IF(C656="T1",1,IF(C656="T2",2,IF(C656="T3",3,IF(C656="T4",4,IF(C656="Unassigned",98,99))))))</x:f>
        <x:v>2</x:v>
      </x:c>
      <x:c r="AZ656"/>
      <x:c r="BA656"/>
      <x:c r="BB656"/>
      <x:c r="BC656"/>
      <x:c r="BD656"/>
      <x:c r="BE656"/>
      <x:c r="BF656"/>
      <x:c r="BG656"/>
      <x:c r="BH656"/>
      <x:c r="BI656"/>
      <x:c r="BJ656"/>
      <x:c r="BK656"/>
      <x:c r="BL656"/>
      <x:c r="BM656"/>
      <x:c r="BN656"/>
      <x:c r="BO656"/>
      <x:c r="BP656"/>
      <x:c r="BQ656"/>
      <x:c r="BR656"/>
      <x:c r="BS656"/>
      <x:c r="BT656"/>
      <x:c r="BU656"/>
      <x:c r="BV656"/>
      <x:c r="BW656"/>
      <x:c r="BX656"/>
      <x:c r="BY656"/>
      <x:c r="BZ656"/>
      <x:c r="CA656"/>
      <x:c r="CB656"/>
      <x:c r="CC656"/>
    </x:row>
    <x:row r="657" ht="115" customHeight="1">
      <x:c r="A657" s="4" t="str">
        <x:v>proposal.collection.food_grade_mineral_seasoning</x:v>
      </x:c>
      <x:c r="B657" s="4" t="str">
        <x:v>Food-grade mineral seasoning</x:v>
      </x:c>
      <x:c r="C657" s="4" t="str">
        <x:v>T1</x:v>
      </x:c>
      <x:c r="D657" s="4" t="inlineStr">
        <x:is>
          <x:t xml:space="preserve">Cooking ingredients</x:t>
        </x:is>
      </x:c>
      <x:c r="E657" s="4" t="str">
        <x:v>Food material</x:v>
      </x:c>
      <x:c r="F657" s="4" t="str">
        <x:v>New proposal</x:v>
      </x:c>
      <x:c r="G657" s="4" t="inlineStr">
        <x:is>
          <x:t xml:space="preserve">Selected dietary mineral hypothesis, not industrial salt substitution. It supports a food-designated preparation process. Industrial chemicals and unverified biological fractions cannot substitute for selected culinary inputs.</x:t>
        </x:is>
      </x:c>
      <x:c r="H657" s="4" t="str">
        <x:v>None</x:v>
      </x:c>
      <x:c r="I657" s="4" t="str">
        <x:v>Physical inventory / cargo item; dimensions and packing unresolved</x:v>
      </x:c>
      <x:c r="J657" s="4"/>
      <x:c r="K657" s="4"/>
      <x:c r="L657" s="4" t="str">
        <x:v>Candidate preparation: design.collection.food_grade_mineral_seasoning. Full inputs are in Crafting browser.</x:v>
      </x:c>
      <x:c r="M657" s="4" t="str">
        <x:v>Candidate workshop or contained preparation route; detailed tools, quantities and conditions unresolved</x:v>
      </x:c>
      <x:c r="N657" s="4" t="str">
        <x:v>Not implemented</x:v>
      </x:c>
      <x:c r="O657" s="4" t="str">
        <x:v>Culinary proposal. Select species/food-designated culture and validate edibility; industrial fractions are excluded. No nutritional, medical or preservation claim.</x:v>
      </x:c>
      <x:c r="P657" s="4"/>
      <x:c r="Q657" s="4"/>
      <x:c r="R657" s="4"/>
      <x:c r="S657" s="4"/>
      <x:c r="T657" s="4"/>
      <x:c r="U657" s="4" t="str">
        <x:v>Candidate inputs are partial. Resolve tools, supporting materials, energy, recovery and compatibility before recipes become craftable.</x:v>
      </x:c>
      <x:c r="V657" s="4" t="str">
        <x:v>food-grade mineral seasoning; collection expansion; food material</x:v>
      </x:c>
      <x:c r="W6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7" s="4" t="str">
        <x:v>Food material</x:v>
      </x:c>
      <x:c r="Y657" s="4" t="str">
        <x:v>Processed intermediate</x:v>
      </x:c>
      <x:c r="Z657" s="4" t="str">
        <x:v>Manufactured / unresolved</x:v>
      </x:c>
      <x:c r="AA657" s="4" t="str">
        <x:v>Food preparation</x:v>
      </x:c>
      <x:c r="AB657" s="4" t="str">
        <x:v>Mineral</x:v>
      </x:c>
      <x:c r="AC657" s="4" t="str">
        <x:v>Particles</x:v>
      </x:c>
      <x:c r="AD657" s="4" t="str">
        <x:v>Proposal</x:v>
      </x:c>
      <x:c r="AE657" s="4" t="str">
        <x:f>LOWER(A657&amp;"; "&amp;B657&amp;"; "&amp;D657&amp;"; "&amp;E657&amp;"; "&amp;X657&amp;"; "&amp;Y657&amp;"; "&amp;Z657&amp;"; "&amp;AA657&amp;"; "&amp;AB657&amp;"; "&amp;AC657&amp;"; "&amp;AD657&amp;"; "&amp;V657&amp;"; "&amp;C657&amp;"; "&amp;AH657&amp;"; "&amp;AI657)</x:f>
        <x:v>proposal.collection.food_grade_mineral_seasoning; food-grade mineral seasoning; cooking ingredients; food material; food material; processed intermediate; manufactured / unresolved; food preparation; mineral; particles; proposal; food-grade mineral seasoning; collection expansion; food material; t1; not applicable; material</x:v>
      </x:c>
      <x:c r="AF657"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7" s="4" t="str">
        <x:v>Selected candidate processing route places this stock at T1. Raw entry is T0; source rarity does not raise tier.</x:v>
      </x:c>
      <x:c r="AH657" s="4" t="str">
        <x:v>Not applicable</x:v>
      </x:c>
      <x:c r="AI657" s="4" t="str">
        <x:v>Material</x:v>
      </x:c>
      <x:c r="AJ657" s="4" t="n">
        <x:f>COUNTIFS('Material routes'!$D$6:$D$2205,A657,'Material routes'!$C$6:$C$2205,"Output")</x:f>
        <x:v>1</x:v>
      </x:c>
      <x:c r="AK657" s="4" t="n">
        <x:f>SUM(COUNTIFS('Material routes'!$D$6:$D$2205,A657,'Material routes'!$C$6:$C$2205,"Ingredient candidate"),COUNTIFS('Material routes'!$D$6:$D$2205,A657,'Material routes'!$C$6:$C$2205,"Consumed input"),COUNTIFS('Material routes'!$D$6:$D$2205,A657,'Material routes'!$C$6:$C$2205,"Contained input"),COUNTIFS('Material routes'!$D$6:$D$2205,A657,'Material routes'!$C$6:$C$2205,"Transform input"))</x:f>
        <x:v>1</x:v>
      </x:c>
      <x:c r="AL657" s="4" t="n">
        <x:f>COUNTIFS('Material routes'!$D$6:$D$2205,A657,'Material routes'!$C$6:$C$2205,"Tool candidate")</x:f>
        <x:v>0</x:v>
      </x:c>
      <x:c r="AM657" s="4" t="str">
        <x:f>IF(AJ657&gt;0,"Route listed; review status/completeness",IF(C657="T0","Raw entry feed; no production route","No production route listed"))</x:f>
        <x:v>Route listed; review status/completeness</x:v>
      </x:c>
      <x:c r="AN657" s="4" t="n">
        <x:f>IF(C657="T0",0,IF(C657="T1",1,IF(C657="T2",2,IF(C657="T3",3,IF(C657="T4",4,IF(C657="Unassigned",98,99))))))</x:f>
        <x:v>1</x:v>
      </x:c>
      <x:c r="AZ657"/>
      <x:c r="BA657"/>
      <x:c r="BB657"/>
      <x:c r="BC657"/>
      <x:c r="BD657"/>
      <x:c r="BE657"/>
      <x:c r="BF657"/>
      <x:c r="BG657"/>
      <x:c r="BH657"/>
      <x:c r="BI657"/>
      <x:c r="BJ657"/>
      <x:c r="BK657"/>
      <x:c r="BL657"/>
      <x:c r="BM657"/>
      <x:c r="BN657"/>
      <x:c r="BO657"/>
      <x:c r="BP657"/>
      <x:c r="BQ657"/>
      <x:c r="BR657"/>
      <x:c r="BS657"/>
      <x:c r="BT657"/>
      <x:c r="BU657"/>
      <x:c r="BV657"/>
      <x:c r="BW657"/>
      <x:c r="BX657"/>
      <x:c r="BY657"/>
      <x:c r="BZ657"/>
      <x:c r="CA657"/>
      <x:c r="CB657"/>
      <x:c r="CC657"/>
    </x:row>
    <x:row r="658" ht="115" customHeight="1">
      <x:c r="A658" s="4" t="str">
        <x:v>proposal.collection.selected_edible_fauna_gel</x:v>
      </x:c>
      <x:c r="B658" s="4" t="str">
        <x:v>Selected edible-fauna gel</x:v>
      </x:c>
      <x:c r="C658" s="4" t="str">
        <x:v>T1</x:v>
      </x:c>
      <x:c r="D658" s="4" t="inlineStr">
        <x:is>
          <x:t xml:space="preserve">Cooking ingredients</x:t>
        </x:is>
      </x:c>
      <x:c r="E658" s="4" t="str">
        <x:v>Food material</x:v>
      </x:c>
      <x:c r="F658" s="4" t="str">
        <x:v>New proposal</x:v>
      </x:c>
      <x:c r="G658" s="4" t="inlineStr">
        <x:is>
          <x:t xml:space="preserve">Species-specific texture ingredient, screening unresolved. It supports a food-designated preparation process. Industrial chemicals and unverified biological fractions cannot substitute for selected culinary inputs.</x:t>
        </x:is>
      </x:c>
      <x:c r="H658" s="4" t="str">
        <x:v>None</x:v>
      </x:c>
      <x:c r="I658" s="4" t="str">
        <x:v>Physical inventory / cargo item; dimensions and packing unresolved</x:v>
      </x:c>
      <x:c r="J658" s="4"/>
      <x:c r="K658" s="4"/>
      <x:c r="L658" s="4" t="str">
        <x:v>Candidate preparation: design.collection.selected_edible_fauna_gel. Full inputs are in Crafting browser.</x:v>
      </x:c>
      <x:c r="M658" s="4" t="str">
        <x:v>Candidate workshop or contained preparation route; detailed tools, quantities and conditions unresolved</x:v>
      </x:c>
      <x:c r="N658" s="4" t="str">
        <x:v>Not implemented</x:v>
      </x:c>
      <x:c r="O658" s="4" t="str">
        <x:v>Culinary proposal. Select species/food-designated culture and validate edibility; industrial fractions are excluded. No nutritional, medical or preservation claim.</x:v>
      </x:c>
      <x:c r="P658" s="4"/>
      <x:c r="Q658" s="4"/>
      <x:c r="R658" s="4"/>
      <x:c r="S658" s="4"/>
      <x:c r="T658" s="4"/>
      <x:c r="U658" s="4" t="str">
        <x:v>Candidate inputs are partial. Resolve tools, supporting materials, energy, recovery and compatibility before recipes become craftable.</x:v>
      </x:c>
      <x:c r="V658" s="4" t="str">
        <x:v>selected edible-fauna gel; collection expansion; food material</x:v>
      </x:c>
      <x:c r="W65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8" s="4" t="str">
        <x:v>Food material</x:v>
      </x:c>
      <x:c r="Y658" s="4" t="str">
        <x:v>Processed intermediate</x:v>
      </x:c>
      <x:c r="Z658" s="4" t="str">
        <x:v>Manufactured / unresolved</x:v>
      </x:c>
      <x:c r="AA658" s="4" t="str">
        <x:v>Food preparation</x:v>
      </x:c>
      <x:c r="AB658" s="4" t="str">
        <x:v>Faunal tissue</x:v>
      </x:c>
      <x:c r="AC658" s="4" t="str">
        <x:v>Gel</x:v>
      </x:c>
      <x:c r="AD658" s="4" t="str">
        <x:v>Proposal</x:v>
      </x:c>
      <x:c r="AE658" s="4" t="str">
        <x:f>LOWER(A658&amp;"; "&amp;B658&amp;"; "&amp;D658&amp;"; "&amp;E658&amp;"; "&amp;X658&amp;"; "&amp;Y658&amp;"; "&amp;Z658&amp;"; "&amp;AA658&amp;"; "&amp;AB658&amp;"; "&amp;AC658&amp;"; "&amp;AD658&amp;"; "&amp;V658&amp;"; "&amp;C658&amp;"; "&amp;AH658&amp;"; "&amp;AI658)</x:f>
        <x:v>proposal.collection.selected_edible_fauna_gel; selected edible-fauna gel; cooking ingredients; food material; food material; processed intermediate; manufactured / unresolved; food preparation; faunal tissue; gel; proposal; selected edible-fauna gel; collection expansion; food material; t1; not applicable; material</x:v>
      </x:c>
      <x:c r="AF65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8" s="4" t="str">
        <x:v>Selected candidate processing route places this stock at T1. Raw entry is T0; source rarity does not raise tier.</x:v>
      </x:c>
      <x:c r="AH658" s="4" t="str">
        <x:v>Not applicable</x:v>
      </x:c>
      <x:c r="AI658" s="4" t="str">
        <x:v>Material</x:v>
      </x:c>
      <x:c r="AJ658" s="4" t="n">
        <x:f>COUNTIFS('Material routes'!$D$6:$D$2205,A658,'Material routes'!$C$6:$C$2205,"Output")</x:f>
        <x:v>1</x:v>
      </x:c>
      <x:c r="AK658" s="4" t="n">
        <x:f>SUM(COUNTIFS('Material routes'!$D$6:$D$2205,A658,'Material routes'!$C$6:$C$2205,"Ingredient candidate"),COUNTIFS('Material routes'!$D$6:$D$2205,A658,'Material routes'!$C$6:$C$2205,"Consumed input"),COUNTIFS('Material routes'!$D$6:$D$2205,A658,'Material routes'!$C$6:$C$2205,"Contained input"),COUNTIFS('Material routes'!$D$6:$D$2205,A658,'Material routes'!$C$6:$C$2205,"Transform input"))</x:f>
        <x:v>1</x:v>
      </x:c>
      <x:c r="AL658" s="4" t="n">
        <x:f>COUNTIFS('Material routes'!$D$6:$D$2205,A658,'Material routes'!$C$6:$C$2205,"Tool candidate")</x:f>
        <x:v>0</x:v>
      </x:c>
      <x:c r="AM658" s="4" t="str">
        <x:f>IF(AJ658&gt;0,"Route listed; review status/completeness",IF(C658="T0","Raw entry feed; no production route","No production route listed"))</x:f>
        <x:v>Route listed; review status/completeness</x:v>
      </x:c>
      <x:c r="AN658" s="4" t="n">
        <x:f>IF(C658="T0",0,IF(C658="T1",1,IF(C658="T2",2,IF(C658="T3",3,IF(C658="T4",4,IF(C658="Unassigned",98,99))))))</x:f>
        <x:v>1</x:v>
      </x:c>
      <x:c r="AZ658"/>
      <x:c r="BA658"/>
      <x:c r="BB658"/>
      <x:c r="BC658"/>
      <x:c r="BD658"/>
      <x:c r="BE658"/>
      <x:c r="BF658"/>
      <x:c r="BG658"/>
      <x:c r="BH658"/>
      <x:c r="BI658"/>
      <x:c r="BJ658"/>
      <x:c r="BK658"/>
      <x:c r="BL658"/>
      <x:c r="BM658"/>
      <x:c r="BN658"/>
      <x:c r="BO658"/>
      <x:c r="BP658"/>
      <x:c r="BQ658"/>
      <x:c r="BR658"/>
      <x:c r="BS658"/>
      <x:c r="BT658"/>
      <x:c r="BU658"/>
      <x:c r="BV658"/>
      <x:c r="BW658"/>
      <x:c r="BX658"/>
      <x:c r="BY658"/>
      <x:c r="BZ658"/>
      <x:c r="CA658"/>
      <x:c r="CB658"/>
      <x:c r="CC658"/>
    </x:row>
    <x:row r="659" ht="115" customHeight="1">
      <x:c r="A659" s="4" t="str">
        <x:v>proposal.collection.dried_edible_fauna_granules</x:v>
      </x:c>
      <x:c r="B659" s="4" t="str">
        <x:v>Dried edible-fauna granules</x:v>
      </x:c>
      <x:c r="C659" s="4" t="str">
        <x:v>T1</x:v>
      </x:c>
      <x:c r="D659" s="4" t="inlineStr">
        <x:is>
          <x:t xml:space="preserve">Cooking ingredients</x:t>
        </x:is>
      </x:c>
      <x:c r="E659" s="4" t="str">
        <x:v>Food material</x:v>
      </x:c>
      <x:c r="F659" s="4" t="str">
        <x:v>New proposal</x:v>
      </x:c>
      <x:c r="G659" s="4" t="inlineStr">
        <x:is>
          <x:t xml:space="preserve">Small culinary solids from a selected edible fraction. It supports a food-designated preparation process. Industrial chemicals and unverified biological fractions cannot substitute for selected culinary inputs.</x:t>
        </x:is>
      </x:c>
      <x:c r="H659" s="4" t="str">
        <x:v>None</x:v>
      </x:c>
      <x:c r="I659" s="4" t="str">
        <x:v>Physical inventory / cargo item; dimensions and packing unresolved</x:v>
      </x:c>
      <x:c r="J659" s="4"/>
      <x:c r="K659" s="4"/>
      <x:c r="L659" s="4" t="str">
        <x:v>Candidate preparation: design.collection.dried_edible_fauna_granules. Full inputs are in Crafting browser.</x:v>
      </x:c>
      <x:c r="M659" s="4" t="str">
        <x:v>Candidate workshop or contained preparation route; detailed tools, quantities and conditions unresolved</x:v>
      </x:c>
      <x:c r="N659" s="4" t="str">
        <x:v>Not implemented</x:v>
      </x:c>
      <x:c r="O659" s="4" t="str">
        <x:v>Culinary proposal. Select species/food-designated culture and validate edibility; industrial fractions are excluded. No nutritional, medical or preservation claim.</x:v>
      </x:c>
      <x:c r="P659" s="4"/>
      <x:c r="Q659" s="4"/>
      <x:c r="R659" s="4"/>
      <x:c r="S659" s="4"/>
      <x:c r="T659" s="4"/>
      <x:c r="U659" s="4" t="str">
        <x:v>Candidate inputs are partial. Resolve tools, supporting materials, energy, recovery and compatibility before recipes become craftable.</x:v>
      </x:c>
      <x:c r="V659" s="4" t="str">
        <x:v>dried edible-fauna granules; collection expansion; food material</x:v>
      </x:c>
      <x:c r="W6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9" s="4" t="str">
        <x:v>Food material</x:v>
      </x:c>
      <x:c r="Y659" s="4" t="str">
        <x:v>Processed intermediate</x:v>
      </x:c>
      <x:c r="Z659" s="4" t="str">
        <x:v>Manufactured / unresolved</x:v>
      </x:c>
      <x:c r="AA659" s="4" t="str">
        <x:v>Food preparation</x:v>
      </x:c>
      <x:c r="AB659" s="4" t="str">
        <x:v>Faunal tissue</x:v>
      </x:c>
      <x:c r="AC659" s="4" t="str">
        <x:v>Particles</x:v>
      </x:c>
      <x:c r="AD659" s="4" t="str">
        <x:v>Proposal</x:v>
      </x:c>
      <x:c r="AE659" s="4" t="str">
        <x:f>LOWER(A659&amp;"; "&amp;B659&amp;"; "&amp;D659&amp;"; "&amp;E659&amp;"; "&amp;X659&amp;"; "&amp;Y659&amp;"; "&amp;Z659&amp;"; "&amp;AA659&amp;"; "&amp;AB659&amp;"; "&amp;AC659&amp;"; "&amp;AD659&amp;"; "&amp;V659&amp;"; "&amp;C659&amp;"; "&amp;AH659&amp;"; "&amp;AI659)</x:f>
        <x:v>proposal.collection.dried_edible_fauna_granules; dried edible-fauna granules; cooking ingredients; food material; food material; processed intermediate; manufactured / unresolved; food preparation; faunal tissue; particles; proposal; dried edible-fauna granules; collection expansion; food material; t1; not applicable; material</x:v>
      </x:c>
      <x:c r="AF65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9" s="4" t="str">
        <x:v>Selected candidate processing route places this stock at T1. Raw entry is T0; source rarity does not raise tier.</x:v>
      </x:c>
      <x:c r="AH659" s="4" t="str">
        <x:v>Not applicable</x:v>
      </x:c>
      <x:c r="AI659" s="4" t="str">
        <x:v>Material</x:v>
      </x:c>
      <x:c r="AJ659" s="4" t="n">
        <x:f>COUNTIFS('Material routes'!$D$6:$D$2205,A659,'Material routes'!$C$6:$C$2205,"Output")</x:f>
        <x:v>1</x:v>
      </x:c>
      <x:c r="AK659" s="4" t="n">
        <x:f>SUM(COUNTIFS('Material routes'!$D$6:$D$2205,A659,'Material routes'!$C$6:$C$2205,"Ingredient candidate"),COUNTIFS('Material routes'!$D$6:$D$2205,A659,'Material routes'!$C$6:$C$2205,"Consumed input"),COUNTIFS('Material routes'!$D$6:$D$2205,A659,'Material routes'!$C$6:$C$2205,"Contained input"),COUNTIFS('Material routes'!$D$6:$D$2205,A659,'Material routes'!$C$6:$C$2205,"Transform input"))</x:f>
        <x:v>1</x:v>
      </x:c>
      <x:c r="AL659" s="4" t="n">
        <x:f>COUNTIFS('Material routes'!$D$6:$D$2205,A659,'Material routes'!$C$6:$C$2205,"Tool candidate")</x:f>
        <x:v>0</x:v>
      </x:c>
      <x:c r="AM659" s="4" t="str">
        <x:f>IF(AJ659&gt;0,"Route listed; review status/completeness",IF(C659="T0","Raw entry feed; no production route","No production route listed"))</x:f>
        <x:v>Route listed; review status/completeness</x:v>
      </x:c>
      <x:c r="AN659" s="4" t="n">
        <x:f>IF(C659="T0",0,IF(C659="T1",1,IF(C659="T2",2,IF(C659="T3",3,IF(C659="T4",4,IF(C659="Unassigned",98,99))))))</x:f>
        <x:v>1</x:v>
      </x:c>
      <x:c r="AZ659"/>
      <x:c r="BA659"/>
      <x:c r="BB659"/>
      <x:c r="BC659"/>
      <x:c r="BD659"/>
      <x:c r="BE659"/>
      <x:c r="BF659"/>
      <x:c r="BG659"/>
      <x:c r="BH659"/>
      <x:c r="BI659"/>
      <x:c r="BJ659"/>
      <x:c r="BK659"/>
      <x:c r="BL659"/>
      <x:c r="BM659"/>
      <x:c r="BN659"/>
      <x:c r="BO659"/>
      <x:c r="BP659"/>
      <x:c r="BQ659"/>
      <x:c r="BR659"/>
      <x:c r="BS659"/>
      <x:c r="BT659"/>
      <x:c r="BU659"/>
      <x:c r="BV659"/>
      <x:c r="BW659"/>
      <x:c r="BX659"/>
      <x:c r="BY659"/>
      <x:c r="BZ659"/>
      <x:c r="CA659"/>
      <x:c r="CB659"/>
      <x:c r="CC659"/>
    </x:row>
    <x:row r="660" ht="115" customHeight="1">
      <x:c r="A660" s="4" t="str">
        <x:v>proposal.collection.strained_edible_fauna_broth_base</x:v>
      </x:c>
      <x:c r="B660" s="4" t="str">
        <x:v>Strained edible-fauna broth base</x:v>
      </x:c>
      <x:c r="C660" s="4" t="str">
        <x:v>T2</x:v>
      </x:c>
      <x:c r="D660" s="4" t="inlineStr">
        <x:is>
          <x:t xml:space="preserve">Cooking ingredients</x:t>
        </x:is>
      </x:c>
      <x:c r="E660" s="4" t="str">
        <x:v>Food material</x:v>
      </x:c>
      <x:c r="F660" s="4" t="str">
        <x:v>New proposal</x:v>
      </x:c>
      <x:c r="G660" s="4" t="inlineStr">
        <x:is>
          <x:t xml:space="preserve">Contained culinary extract, no free-water premise. It supports a food-designated preparation process. Industrial chemicals and unverified biological fractions cannot substitute for selected culinary inputs.</x:t>
        </x:is>
      </x:c>
      <x:c r="H660" s="4" t="str">
        <x:v>None</x:v>
      </x:c>
      <x:c r="I660" s="4" t="str">
        <x:v>Physical inventory / cargo item; dimensions and packing unresolved</x:v>
      </x:c>
      <x:c r="J660" s="4"/>
      <x:c r="K660" s="4"/>
      <x:c r="L660" s="4" t="str">
        <x:v>Candidate preparation: design.collection.strained_edible_fauna_broth_base. Full inputs are in Crafting browser.</x:v>
      </x:c>
      <x:c r="M660" s="4" t="str">
        <x:v>Candidate workshop or contained preparation route; detailed tools, quantities and conditions unresolved</x:v>
      </x:c>
      <x:c r="N660" s="4" t="str">
        <x:v>Not implemented</x:v>
      </x:c>
      <x:c r="O660" s="4" t="str">
        <x:v>Culinary proposal. Select species/food-designated culture and validate edibility; industrial fractions are excluded. No nutritional, medical or preservation claim.</x:v>
      </x:c>
      <x:c r="P660" s="4"/>
      <x:c r="Q660" s="4"/>
      <x:c r="R660" s="4"/>
      <x:c r="S660" s="4"/>
      <x:c r="T660" s="4"/>
      <x:c r="U660" s="4" t="str">
        <x:v>Candidate inputs are partial. Resolve tools, supporting materials, energy, recovery and compatibility before recipes become craftable.</x:v>
      </x:c>
      <x:c r="V660" s="4" t="str">
        <x:v>strained edible-fauna broth base; collection expansion; food material</x:v>
      </x:c>
      <x:c r="W6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0" s="4" t="str">
        <x:v>Food material</x:v>
      </x:c>
      <x:c r="Y660" s="4" t="str">
        <x:v>Processed intermediate</x:v>
      </x:c>
      <x:c r="Z660" s="4" t="str">
        <x:v>Manufactured / unresolved</x:v>
      </x:c>
      <x:c r="AA660" s="4" t="str">
        <x:v>Food preparation</x:v>
      </x:c>
      <x:c r="AB660" s="4" t="str">
        <x:v>Phagia and edible fauna</x:v>
      </x:c>
      <x:c r="AC660" s="4" t="str">
        <x:v>Liquid</x:v>
      </x:c>
      <x:c r="AD660" s="4" t="str">
        <x:v>Proposal</x:v>
      </x:c>
      <x:c r="AE660" s="4" t="str">
        <x:f>LOWER(A660&amp;"; "&amp;B660&amp;"; "&amp;D660&amp;"; "&amp;E660&amp;"; "&amp;X660&amp;"; "&amp;Y660&amp;"; "&amp;Z660&amp;"; "&amp;AA660&amp;"; "&amp;AB660&amp;"; "&amp;AC660&amp;"; "&amp;AD660&amp;"; "&amp;V660&amp;"; "&amp;C660&amp;"; "&amp;AH660&amp;"; "&amp;AI660)</x:f>
        <x:v>proposal.collection.strained_edible_fauna_broth_base; strained edible-fauna broth base; cooking ingredients; food material; food material; processed intermediate; manufactured / unresolved; food preparation; phagia and edible fauna; liquid; proposal; strained edible-fauna broth base; collection expansion; food material; t2; not applicable; material</x:v>
      </x:c>
      <x:c r="AF66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0" s="4" t="str">
        <x:v>Selected candidate processing route places this stock at T2. Raw entry is T0; source rarity does not raise tier.</x:v>
      </x:c>
      <x:c r="AH660" s="4" t="str">
        <x:v>Not applicable</x:v>
      </x:c>
      <x:c r="AI660" s="4" t="str">
        <x:v>Material</x:v>
      </x:c>
      <x:c r="AJ660" s="4" t="n">
        <x:f>COUNTIFS('Material routes'!$D$6:$D$2205,A660,'Material routes'!$C$6:$C$2205,"Output")</x:f>
        <x:v>1</x:v>
      </x:c>
      <x:c r="AK660" s="4" t="n">
        <x:f>SUM(COUNTIFS('Material routes'!$D$6:$D$2205,A660,'Material routes'!$C$6:$C$2205,"Ingredient candidate"),COUNTIFS('Material routes'!$D$6:$D$2205,A660,'Material routes'!$C$6:$C$2205,"Consumed input"),COUNTIFS('Material routes'!$D$6:$D$2205,A660,'Material routes'!$C$6:$C$2205,"Contained input"),COUNTIFS('Material routes'!$D$6:$D$2205,A660,'Material routes'!$C$6:$C$2205,"Transform input"))</x:f>
        <x:v>2</x:v>
      </x:c>
      <x:c r="AL660" s="4" t="n">
        <x:f>COUNTIFS('Material routes'!$D$6:$D$2205,A660,'Material routes'!$C$6:$C$2205,"Tool candidate")</x:f>
        <x:v>0</x:v>
      </x:c>
      <x:c r="AM660" s="4" t="str">
        <x:f>IF(AJ660&gt;0,"Route listed; review status/completeness",IF(C660="T0","Raw entry feed; no production route","No production route listed"))</x:f>
        <x:v>Route listed; review status/completeness</x:v>
      </x:c>
      <x:c r="AN660" s="4" t="n">
        <x:f>IF(C660="T0",0,IF(C660="T1",1,IF(C660="T2",2,IF(C660="T3",3,IF(C660="T4",4,IF(C660="Unassigned",98,99))))))</x:f>
        <x:v>2</x:v>
      </x:c>
      <x:c r="AZ660"/>
      <x:c r="BA660"/>
      <x:c r="BB660"/>
      <x:c r="BC660"/>
      <x:c r="BD660"/>
      <x:c r="BE660"/>
      <x:c r="BF660"/>
      <x:c r="BG660"/>
      <x:c r="BH660"/>
      <x:c r="BI660"/>
      <x:c r="BJ660"/>
      <x:c r="BK660"/>
      <x:c r="BL660"/>
      <x:c r="BM660"/>
      <x:c r="BN660"/>
      <x:c r="BO660"/>
      <x:c r="BP660"/>
      <x:c r="BQ660"/>
      <x:c r="BR660"/>
      <x:c r="BS660"/>
      <x:c r="BT660"/>
      <x:c r="BU660"/>
      <x:c r="BV660"/>
      <x:c r="BW660"/>
      <x:c r="BX660"/>
      <x:c r="BY660"/>
      <x:c r="BZ660"/>
      <x:c r="CA660"/>
      <x:c r="CB660"/>
      <x:c r="CC660"/>
    </x:row>
    <x:row r="661" ht="115" customHeight="1">
      <x:c r="A661" s="4"/>
      <x:c r="B661" s="4"/>
      <x:c r="C661" s="4"/>
      <x:c r="D661" s="4"/>
      <x:c r="E661" s="4"/>
      <x:c r="F661" s="4"/>
      <x:c r="G661" s="4"/>
      <x:c r="H661" s="4"/>
      <x:c r="I661" s="4"/>
      <x:c r="J661" s="4"/>
      <x:c r="K661" s="4"/>
      <x:c r="L661" s="4"/>
      <x:c r="M661" s="4"/>
      <x:c r="N661" s="4"/>
      <x:c r="O661" s="4"/>
      <x:c r="P661" s="4"/>
      <x:c r="Q661" s="4"/>
      <x:c r="R661" s="4"/>
      <x:c r="S661" s="4"/>
      <x:c r="T661" s="4"/>
      <x:c r="U661" s="4"/>
      <x:c r="V661" s="4"/>
      <x:c r="W661" s="4"/>
      <x:c r="X661" s="4"/>
      <x:c r="Y661" s="4"/>
      <x:c r="Z661" s="4"/>
      <x:c r="AA661" s="4"/>
      <x:c r="AB661" s="4"/>
      <x:c r="AC661" s="4"/>
      <x:c r="AD661" s="4"/>
      <x:c r="AE661" s="4"/>
      <x:c r="AF661" s="4"/>
      <x:c r="AG661" s="4"/>
      <x:c r="AH661" s="4"/>
      <x:c r="AI661" s="4"/>
      <x:c r="AJ661" s="4"/>
      <x:c r="AK661" s="4"/>
      <x:c r="AL661" s="4"/>
      <x:c r="AM661" s="4"/>
      <x:c r="AN661" s="4"/>
      <x:c r="AZ661"/>
      <x:c r="BA661"/>
      <x:c r="BB661"/>
      <x:c r="BC661"/>
      <x:c r="BD661"/>
      <x:c r="BE661"/>
      <x:c r="BF661"/>
      <x:c r="BG661"/>
      <x:c r="BH661"/>
      <x:c r="BI661"/>
      <x:c r="BJ661"/>
      <x:c r="BK661"/>
      <x:c r="BL661"/>
      <x:c r="BM661"/>
      <x:c r="BN661"/>
      <x:c r="BO661"/>
      <x:c r="BP661"/>
      <x:c r="BQ661"/>
      <x:c r="BR661"/>
      <x:c r="BS661"/>
      <x:c r="BT661"/>
      <x:c r="BU661"/>
      <x:c r="BV661"/>
      <x:c r="BW661"/>
      <x:c r="BX661"/>
      <x:c r="BY661"/>
      <x:c r="BZ661"/>
      <x:c r="CA661"/>
      <x:c r="CB661"/>
      <x:c r="CC661"/>
    </x:row>
    <x:row r="662" ht="115" customHeight="1">
      <x:c r="A662" s="4" t="str">
        <x:v>proposal.collection.cooked_edible_fauna_morsels</x:v>
      </x:c>
      <x:c r="B662" s="4" t="str">
        <x:v>Cooked edible-fauna morsels</x:v>
      </x:c>
      <x:c r="C662" s="4" t="str">
        <x:v>T1</x:v>
      </x:c>
      <x:c r="D662" s="4" t="inlineStr">
        <x:is>
          <x:t xml:space="preserve">Cooking ingredients</x:t>
        </x:is>
      </x:c>
      <x:c r="E662" s="4" t="str">
        <x:v>Food material</x:v>
      </x:c>
      <x:c r="F662" s="4" t="str">
        <x:v>New proposal</x:v>
      </x:c>
      <x:c r="G662" s="4" t="inlineStr">
        <x:is>
          <x:t xml:space="preserve">Prepared minor delicacy ingredient with low nutrition assumed. It supports a food-designated preparation process. Industrial chemicals and unverified biological fractions cannot substitute for selected culinary inputs.</x:t>
        </x:is>
      </x:c>
      <x:c r="H662" s="4" t="str">
        <x:v>None</x:v>
      </x:c>
      <x:c r="I662" s="4" t="str">
        <x:v>Physical inventory / cargo item; dimensions and packing unresolved</x:v>
      </x:c>
      <x:c r="J662" s="4"/>
      <x:c r="K662" s="4"/>
      <x:c r="L662" s="4" t="str">
        <x:v>Candidate preparation: design.collection.cooked_edible_fauna_morsels. Full inputs are in Crafting browser.</x:v>
      </x:c>
      <x:c r="M662" s="4" t="str">
        <x:v>Candidate workshop or contained preparation route; detailed tools, quantities and conditions unresolved</x:v>
      </x:c>
      <x:c r="N662" s="4" t="str">
        <x:v>Not implemented</x:v>
      </x:c>
      <x:c r="O662" s="4" t="str">
        <x:v>Culinary proposal. Select species/food-designated culture and validate edibility; industrial fractions are excluded. No nutritional, medical or preservation claim.</x:v>
      </x:c>
      <x:c r="P662" s="4"/>
      <x:c r="Q662" s="4"/>
      <x:c r="R662" s="4"/>
      <x:c r="S662" s="4"/>
      <x:c r="T662" s="4"/>
      <x:c r="U662" s="4" t="str">
        <x:v>Candidate inputs are partial. Resolve tools, supporting materials, energy, recovery and compatibility before recipes become craftable.</x:v>
      </x:c>
      <x:c r="V662" s="4" t="str">
        <x:v>cooked edible-fauna morsels; collection expansion; food material</x:v>
      </x:c>
      <x:c r="W6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2" s="4" t="str">
        <x:v>Food material</x:v>
      </x:c>
      <x:c r="Y662" s="4" t="str">
        <x:v>Processed intermediate</x:v>
      </x:c>
      <x:c r="Z662" s="4" t="str">
        <x:v>Manufactured / unresolved</x:v>
      </x:c>
      <x:c r="AA662" s="4" t="str">
        <x:v>Food preparation</x:v>
      </x:c>
      <x:c r="AB662" s="4" t="str">
        <x:v>Faunal tissue</x:v>
      </x:c>
      <x:c r="AC662" s="4" t="str">
        <x:v>Solid piece</x:v>
      </x:c>
      <x:c r="AD662" s="4" t="str">
        <x:v>Proposal</x:v>
      </x:c>
      <x:c r="AE662" s="4" t="str">
        <x:f>LOWER(A662&amp;"; "&amp;B662&amp;"; "&amp;D662&amp;"; "&amp;E662&amp;"; "&amp;X662&amp;"; "&amp;Y662&amp;"; "&amp;Z662&amp;"; "&amp;AA662&amp;"; "&amp;AB662&amp;"; "&amp;AC662&amp;"; "&amp;AD662&amp;"; "&amp;V662&amp;"; "&amp;C662&amp;"; "&amp;AH662&amp;"; "&amp;AI662)</x:f>
        <x:v>proposal.collection.cooked_edible_fauna_morsels; cooked edible-fauna morsels; cooking ingredients; food material; food material; processed intermediate; manufactured / unresolved; food preparation; faunal tissue; solid piece; proposal; cooked edible-fauna morsels; collection expansion; food material; t1; not applicable; material</x:v>
      </x:c>
      <x:c r="AF662"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2" s="4" t="str">
        <x:v>Selected candidate processing route places this stock at T1. Raw entry is T0; source rarity does not raise tier.</x:v>
      </x:c>
      <x:c r="AH662" s="4" t="str">
        <x:v>Not applicable</x:v>
      </x:c>
      <x:c r="AI662" s="4" t="str">
        <x:v>Material</x:v>
      </x:c>
      <x:c r="AJ662" s="4" t="n">
        <x:f>COUNTIFS('Material routes'!$D$6:$D$2205,A662,'Material routes'!$C$6:$C$2205,"Output")</x:f>
        <x:v>1</x:v>
      </x:c>
      <x:c r="AK662" s="4" t="n">
        <x:f>SUM(COUNTIFS('Material routes'!$D$6:$D$2205,A662,'Material routes'!$C$6:$C$2205,"Ingredient candidate"),COUNTIFS('Material routes'!$D$6:$D$2205,A662,'Material routes'!$C$6:$C$2205,"Consumed input"),COUNTIFS('Material routes'!$D$6:$D$2205,A662,'Material routes'!$C$6:$C$2205,"Contained input"),COUNTIFS('Material routes'!$D$6:$D$2205,A662,'Material routes'!$C$6:$C$2205,"Transform input"))</x:f>
        <x:v>0</x:v>
      </x:c>
      <x:c r="AL662" s="4" t="n">
        <x:f>COUNTIFS('Material routes'!$D$6:$D$2205,A662,'Material routes'!$C$6:$C$2205,"Tool candidate")</x:f>
        <x:v>0</x:v>
      </x:c>
      <x:c r="AM662" s="4" t="str">
        <x:f>IF(AJ662&gt;0,"Route listed; review status/completeness",IF(C662="T0","Raw entry feed; no production route","No production route listed"))</x:f>
        <x:v>Route listed; review status/completeness</x:v>
      </x:c>
      <x:c r="AN662" s="4" t="n">
        <x:f>IF(C662="T0",0,IF(C662="T1",1,IF(C662="T2",2,IF(C662="T3",3,IF(C662="T4",4,IF(C662="Unassigned",98,99))))))</x:f>
        <x:v>1</x:v>
      </x:c>
      <x:c r="AZ662"/>
      <x:c r="BA662"/>
      <x:c r="BB662"/>
      <x:c r="BC662"/>
      <x:c r="BD662"/>
      <x:c r="BE662"/>
      <x:c r="BF662"/>
      <x:c r="BG662"/>
      <x:c r="BH662"/>
      <x:c r="BI662"/>
      <x:c r="BJ662"/>
      <x:c r="BK662"/>
      <x:c r="BL662"/>
      <x:c r="BM662"/>
      <x:c r="BN662"/>
      <x:c r="BO662"/>
      <x:c r="BP662"/>
      <x:c r="BQ662"/>
      <x:c r="BR662"/>
      <x:c r="BS662"/>
      <x:c r="BT662"/>
      <x:c r="BU662"/>
      <x:c r="BV662"/>
      <x:c r="BW662"/>
      <x:c r="BX662"/>
      <x:c r="BY662"/>
      <x:c r="BZ662"/>
      <x:c r="CA662"/>
      <x:c r="CB662"/>
      <x:c r="CC662"/>
    </x:row>
    <x:row r="663" ht="115" customHeight="1">
      <x:c r="A663" s="4" t="str">
        <x:v>proposal.collection.culinary_fauna_aroma_fraction</x:v>
      </x:c>
      <x:c r="B663" s="4" t="str">
        <x:v>Culinary fauna aroma fraction</x:v>
      </x:c>
      <x:c r="C663" s="4" t="str">
        <x:v>T1</x:v>
      </x:c>
      <x:c r="D663" s="4" t="inlineStr">
        <x:is>
          <x:t xml:space="preserve">Cooking ingredients</x:t>
        </x:is>
      </x:c>
      <x:c r="E663" s="4" t="str">
        <x:v>Food material</x:v>
      </x:c>
      <x:c r="F663" s="4" t="str">
        <x:v>New proposal</x:v>
      </x:c>
      <x:c r="G663" s="4" t="inlineStr">
        <x:is>
          <x:t xml:space="preserve">Trace flavor ingredient from selected edible tissue. It supports a food-designated preparation process. Industrial chemicals and unverified biological fractions cannot substitute for selected culinary inputs.</x:t>
        </x:is>
      </x:c>
      <x:c r="H663" s="4" t="str">
        <x:v>None</x:v>
      </x:c>
      <x:c r="I663" s="4" t="str">
        <x:v>Physical inventory / cargo item; dimensions and packing unresolved</x:v>
      </x:c>
      <x:c r="J663" s="4"/>
      <x:c r="K663" s="4"/>
      <x:c r="L663" s="4" t="str">
        <x:v>Candidate preparation: design.collection.culinary_fauna_aroma_fraction. Full inputs are in Crafting browser.</x:v>
      </x:c>
      <x:c r="M663" s="4" t="str">
        <x:v>Candidate workshop or contained preparation route; detailed tools, quantities and conditions unresolved</x:v>
      </x:c>
      <x:c r="N663" s="4" t="str">
        <x:v>Not implemented</x:v>
      </x:c>
      <x:c r="O663" s="4" t="str">
        <x:v>Culinary proposal. Select species/food-designated culture and validate edibility; industrial fractions are excluded. No nutritional, medical or preservation claim.</x:v>
      </x:c>
      <x:c r="P663" s="4"/>
      <x:c r="Q663" s="4"/>
      <x:c r="R663" s="4"/>
      <x:c r="S663" s="4"/>
      <x:c r="T663" s="4"/>
      <x:c r="U663" s="4" t="str">
        <x:v>Candidate inputs are partial. Resolve tools, supporting materials, energy, recovery and compatibility before recipes become craftable.</x:v>
      </x:c>
      <x:c r="V663" s="4" t="str">
        <x:v>culinary fauna aroma fraction; collection expansion; food material</x:v>
      </x:c>
      <x:c r="W6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3" s="4" t="str">
        <x:v>Food material</x:v>
      </x:c>
      <x:c r="Y663" s="4" t="str">
        <x:v>Processed intermediate</x:v>
      </x:c>
      <x:c r="Z663" s="4" t="str">
        <x:v>Manufactured / unresolved</x:v>
      </x:c>
      <x:c r="AA663" s="4" t="str">
        <x:v>Food preparation</x:v>
      </x:c>
      <x:c r="AB663" s="4" t="str">
        <x:v>Faunal tissue</x:v>
      </x:c>
      <x:c r="AC663" s="4" t="str">
        <x:v>Liquid</x:v>
      </x:c>
      <x:c r="AD663" s="4" t="str">
        <x:v>Proposal</x:v>
      </x:c>
      <x:c r="AE663" s="4" t="str">
        <x:f>LOWER(A663&amp;"; "&amp;B663&amp;"; "&amp;D663&amp;"; "&amp;E663&amp;"; "&amp;X663&amp;"; "&amp;Y663&amp;"; "&amp;Z663&amp;"; "&amp;AA663&amp;"; "&amp;AB663&amp;"; "&amp;AC663&amp;"; "&amp;AD663&amp;"; "&amp;V663&amp;"; "&amp;C663&amp;"; "&amp;AH663&amp;"; "&amp;AI663)</x:f>
        <x:v>proposal.collection.culinary_fauna_aroma_fraction; culinary fauna aroma fraction; cooking ingredients; food material; food material; processed intermediate; manufactured / unresolved; food preparation; faunal tissue; liquid; proposal; culinary fauna aroma fraction; collection expansion; food material; t1; not applicable; material</x:v>
      </x:c>
      <x:c r="AF66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3" s="4" t="str">
        <x:v>Selected candidate processing route places this stock at T1. Raw entry is T0; source rarity does not raise tier.</x:v>
      </x:c>
      <x:c r="AH663" s="4" t="str">
        <x:v>Not applicable</x:v>
      </x:c>
      <x:c r="AI663" s="4" t="str">
        <x:v>Material</x:v>
      </x:c>
      <x:c r="AJ663" s="4" t="n">
        <x:f>COUNTIFS('Material routes'!$D$6:$D$2205,A663,'Material routes'!$C$6:$C$2205,"Output")</x:f>
        <x:v>1</x:v>
      </x:c>
      <x:c r="AK663" s="4" t="n">
        <x:f>SUM(COUNTIFS('Material routes'!$D$6:$D$2205,A663,'Material routes'!$C$6:$C$2205,"Ingredient candidate"),COUNTIFS('Material routes'!$D$6:$D$2205,A663,'Material routes'!$C$6:$C$2205,"Consumed input"),COUNTIFS('Material routes'!$D$6:$D$2205,A663,'Material routes'!$C$6:$C$2205,"Contained input"),COUNTIFS('Material routes'!$D$6:$D$2205,A663,'Material routes'!$C$6:$C$2205,"Transform input"))</x:f>
        <x:v>1</x:v>
      </x:c>
      <x:c r="AL663" s="4" t="n">
        <x:f>COUNTIFS('Material routes'!$D$6:$D$2205,A663,'Material routes'!$C$6:$C$2205,"Tool candidate")</x:f>
        <x:v>0</x:v>
      </x:c>
      <x:c r="AM663" s="4" t="str">
        <x:f>IF(AJ663&gt;0,"Route listed; review status/completeness",IF(C663="T0","Raw entry feed; no production route","No production route listed"))</x:f>
        <x:v>Route listed; review status/completeness</x:v>
      </x:c>
      <x:c r="AN663" s="4" t="n">
        <x:f>IF(C663="T0",0,IF(C663="T1",1,IF(C663="T2",2,IF(C663="T3",3,IF(C663="T4",4,IF(C663="Unassigned",98,99))))))</x:f>
        <x:v>1</x:v>
      </x:c>
      <x:c r="AZ663"/>
      <x:c r="BA663"/>
      <x:c r="BB663"/>
      <x:c r="BC663"/>
      <x:c r="BD663"/>
      <x:c r="BE663"/>
      <x:c r="BF663"/>
      <x:c r="BG663"/>
      <x:c r="BH663"/>
      <x:c r="BI663"/>
      <x:c r="BJ663"/>
      <x:c r="BK663"/>
      <x:c r="BL663"/>
      <x:c r="BM663"/>
      <x:c r="BN663"/>
      <x:c r="BO663"/>
      <x:c r="BP663"/>
      <x:c r="BQ663"/>
      <x:c r="BR663"/>
      <x:c r="BS663"/>
      <x:c r="BT663"/>
      <x:c r="BU663"/>
      <x:c r="BV663"/>
      <x:c r="BW663"/>
      <x:c r="BX663"/>
      <x:c r="BY663"/>
      <x:c r="BZ663"/>
      <x:c r="CA663"/>
      <x:c r="CB663"/>
      <x:c r="CC663"/>
    </x:row>
    <x:row r="664" ht="115" customHeight="1">
      <x:c r="A664" s="4" t="str">
        <x:v>proposal.collection.phagia_fauna_savory_filling</x:v>
      </x:c>
      <x:c r="B664" s="4" t="str">
        <x:v>Phagia-fauna savory filling</x:v>
      </x:c>
      <x:c r="C664" s="4" t="str">
        <x:v>T2</x:v>
      </x:c>
      <x:c r="D664" s="4" t="inlineStr">
        <x:is>
          <x:t xml:space="preserve">Cooking ingredients</x:t>
        </x:is>
      </x:c>
      <x:c r="E664" s="4" t="str">
        <x:v>Food material</x:v>
      </x:c>
      <x:c r="F664" s="4" t="str">
        <x:v>New proposal</x:v>
      </x:c>
      <x:c r="G664" s="4" t="inlineStr">
        <x:is>
          <x:t xml:space="preserve">Prepared mixed filling for a scarce delicacy. It supports a food-designated preparation process. Industrial chemicals and unverified biological fractions cannot substitute for selected culinary inputs.</x:t>
        </x:is>
      </x:c>
      <x:c r="H664" s="4" t="str">
        <x:v>None</x:v>
      </x:c>
      <x:c r="I664" s="4" t="str">
        <x:v>Physical inventory / cargo item; dimensions and packing unresolved</x:v>
      </x:c>
      <x:c r="J664" s="4"/>
      <x:c r="K664" s="4"/>
      <x:c r="L664" s="4" t="str">
        <x:v>Candidate preparation: design.collection.phagia_fauna_savory_filling. Full inputs are in Crafting browser.</x:v>
      </x:c>
      <x:c r="M664" s="4" t="str">
        <x:v>Candidate workshop or contained preparation route; detailed tools, quantities and conditions unresolved</x:v>
      </x:c>
      <x:c r="N664" s="4" t="str">
        <x:v>Not implemented</x:v>
      </x:c>
      <x:c r="O664" s="4" t="str">
        <x:v>Culinary proposal. Select species/food-designated culture and validate edibility; industrial fractions are excluded. No nutritional, medical or preservation claim.</x:v>
      </x:c>
      <x:c r="P664" s="4"/>
      <x:c r="Q664" s="4"/>
      <x:c r="R664" s="4"/>
      <x:c r="S664" s="4"/>
      <x:c r="T664" s="4"/>
      <x:c r="U664" s="4" t="str">
        <x:v>Candidate inputs are partial. Resolve tools, supporting materials, energy, recovery and compatibility before recipes become craftable.</x:v>
      </x:c>
      <x:c r="V664" s="4" t="str">
        <x:v>phagia-fauna savory filling; collection expansion; food material</x:v>
      </x:c>
      <x:c r="W6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4" s="4" t="str">
        <x:v>Food material</x:v>
      </x:c>
      <x:c r="Y664" s="4" t="str">
        <x:v>Processed intermediate</x:v>
      </x:c>
      <x:c r="Z664" s="4" t="str">
        <x:v>Manufactured / unresolved</x:v>
      </x:c>
      <x:c r="AA664" s="4" t="str">
        <x:v>Food preparation</x:v>
      </x:c>
      <x:c r="AB664" s="4" t="str">
        <x:v>Phagia and edible fauna</x:v>
      </x:c>
      <x:c r="AC664" s="4" t="str">
        <x:v>Paste</x:v>
      </x:c>
      <x:c r="AD664" s="4" t="str">
        <x:v>Proposal</x:v>
      </x:c>
      <x:c r="AE664" s="4" t="str">
        <x:f>LOWER(A664&amp;"; "&amp;B664&amp;"; "&amp;D664&amp;"; "&amp;E664&amp;"; "&amp;X664&amp;"; "&amp;Y664&amp;"; "&amp;Z664&amp;"; "&amp;AA664&amp;"; "&amp;AB664&amp;"; "&amp;AC664&amp;"; "&amp;AD664&amp;"; "&amp;V664&amp;"; "&amp;C664&amp;"; "&amp;AH664&amp;"; "&amp;AI664)</x:f>
        <x:v>proposal.collection.phagia_fauna_savory_filling; phagia-fauna savory filling; cooking ingredients; food material; food material; processed intermediate; manufactured / unresolved; food preparation; phagia and edible fauna; paste; proposal; phagia-fauna savory filling; collection expansion; food material; t2; not applicable; material</x:v>
      </x:c>
      <x:c r="AF664"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4" s="4" t="str">
        <x:v>Selected candidate processing route places this stock at T2. Raw entry is T0; source rarity does not raise tier.</x:v>
      </x:c>
      <x:c r="AH664" s="4" t="str">
        <x:v>Not applicable</x:v>
      </x:c>
      <x:c r="AI664" s="4" t="str">
        <x:v>Material</x:v>
      </x:c>
      <x:c r="AJ664" s="4" t="n">
        <x:f>COUNTIFS('Material routes'!$D$6:$D$2205,A664,'Material routes'!$C$6:$C$2205,"Output")</x:f>
        <x:v>1</x:v>
      </x:c>
      <x:c r="AK664" s="4" t="n">
        <x:f>SUM(COUNTIFS('Material routes'!$D$6:$D$2205,A664,'Material routes'!$C$6:$C$2205,"Ingredient candidate"),COUNTIFS('Material routes'!$D$6:$D$2205,A664,'Material routes'!$C$6:$C$2205,"Consumed input"),COUNTIFS('Material routes'!$D$6:$D$2205,A664,'Material routes'!$C$6:$C$2205,"Contained input"),COUNTIFS('Material routes'!$D$6:$D$2205,A664,'Material routes'!$C$6:$C$2205,"Transform input"))</x:f>
        <x:v>2</x:v>
      </x:c>
      <x:c r="AL664" s="4" t="n">
        <x:f>COUNTIFS('Material routes'!$D$6:$D$2205,A664,'Material routes'!$C$6:$C$2205,"Tool candidate")</x:f>
        <x:v>0</x:v>
      </x:c>
      <x:c r="AM664" s="4" t="str">
        <x:f>IF(AJ664&gt;0,"Route listed; review status/completeness",IF(C664="T0","Raw entry feed; no production route","No production route listed"))</x:f>
        <x:v>Route listed; review status/completeness</x:v>
      </x:c>
      <x:c r="AN664" s="4" t="n">
        <x:f>IF(C664="T0",0,IF(C664="T1",1,IF(C664="T2",2,IF(C664="T3",3,IF(C664="T4",4,IF(C664="Unassigned",98,99))))))</x:f>
        <x:v>2</x:v>
      </x:c>
      <x:c r="AZ664"/>
      <x:c r="BA664"/>
      <x:c r="BB664"/>
      <x:c r="BC664"/>
      <x:c r="BD664"/>
      <x:c r="BE664"/>
      <x:c r="BF664"/>
      <x:c r="BG664"/>
      <x:c r="BH664"/>
      <x:c r="BI664"/>
      <x:c r="BJ664"/>
      <x:c r="BK664"/>
      <x:c r="BL664"/>
      <x:c r="BM664"/>
      <x:c r="BN664"/>
      <x:c r="BO664"/>
      <x:c r="BP664"/>
      <x:c r="BQ664"/>
      <x:c r="BR664"/>
      <x:c r="BS664"/>
      <x:c r="BT664"/>
      <x:c r="BU664"/>
      <x:c r="BV664"/>
      <x:c r="BW664"/>
      <x:c r="BX664"/>
      <x:c r="BY664"/>
      <x:c r="BZ664"/>
      <x:c r="CA664"/>
      <x:c r="CB664"/>
      <x:c r="CC664"/>
    </x:row>
    <x:row r="665" ht="115" customHeight="1">
      <x:c r="A665" s="4" t="str">
        <x:v>proposal.collection.pressed_phagia_travel_cake</x:v>
      </x:c>
      <x:c r="B665" s="4" t="str">
        <x:v>Pressed Phagia travel cake</x:v>
      </x:c>
      <x:c r="C665" s="4" t="str">
        <x:v>Not applicable</x:v>
      </x:c>
      <x:c r="D665" s="4" t="str">
        <x:v>Consumables</x:v>
      </x:c>
      <x:c r="E665" s="4" t="str">
        <x:v>Food consumable</x:v>
      </x:c>
      <x:c r="F665" s="4" t="str">
        <x:v>New proposal</x:v>
      </x:c>
      <x:c r="G665" s="4" t="inlineStr">
        <x:is>
          <x:t xml:space="preserve">Dense packed meal with a firm texture. It is intended for the recorded food or feeding role. Human edibility and useful nutrition require the selected source and preparation rather than assumptions about all fauna.</x:t>
        </x:is>
      </x:c>
      <x:c r="H665" s="4" t="str">
        <x:v>None</x:v>
      </x:c>
      <x:c r="I665" s="4" t="str">
        <x:v>Physical inventory / cargo item; dimensions and packing unresolved</x:v>
      </x:c>
      <x:c r="J665" s="4"/>
      <x:c r="K665" s="4"/>
      <x:c r="L665" s="4" t="str">
        <x:v>Candidate preparation: design.collection.pressed_phagia_travel_cake. Full inputs are in Crafting browser.</x:v>
      </x:c>
      <x:c r="M665" s="4" t="str">
        <x:v>Candidate workshop or contained preparation route; detailed tools, quantities and conditions unresolved</x:v>
      </x:c>
      <x:c r="N665" s="4" t="str">
        <x:v>Not implemented</x:v>
      </x:c>
      <x:c r="O665" s="4" t="str">
        <x:v>Culinary proposal. Select species/food-designated culture and validate edibility; industrial fractions are excluded. No nutritional, medical or preservation claim.</x:v>
      </x:c>
      <x:c r="P665" s="4"/>
      <x:c r="Q665" s="4"/>
      <x:c r="R665" s="4"/>
      <x:c r="S665" s="4"/>
      <x:c r="T665" s="4"/>
      <x:c r="U665" s="4" t="str">
        <x:v>Candidate inputs are partial. Resolve tools, supporting materials, energy, recovery and compatibility before recipes become craftable.</x:v>
      </x:c>
      <x:c r="V665" s="4" t="str">
        <x:v>pressed phagia travel cake; collection expansion; food consumable</x:v>
      </x:c>
      <x:c r="W6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5" s="4" t="str">
        <x:v>Food consumable</x:v>
      </x:c>
      <x:c r="Y665" s="4" t="str">
        <x:v>Finished item</x:v>
      </x:c>
      <x:c r="Z665" s="4" t="str">
        <x:v>Manufactured / unresolved</x:v>
      </x:c>
      <x:c r="AA665" s="4" t="str">
        <x:v>Nutrition</x:v>
      </x:c>
      <x:c r="AB665" s="4" t="str">
        <x:v>Phagia preparation</x:v>
      </x:c>
      <x:c r="AC665" s="4" t="str">
        <x:v>Assembly</x:v>
      </x:c>
      <x:c r="AD665" s="4" t="str">
        <x:v>Proposal</x:v>
      </x:c>
      <x:c r="AE665" s="4" t="str">
        <x:f>LOWER(A665&amp;"; "&amp;B665&amp;"; "&amp;D665&amp;"; "&amp;E665&amp;"; "&amp;X665&amp;"; "&amp;Y665&amp;"; "&amp;Z665&amp;"; "&amp;AA665&amp;"; "&amp;AB665&amp;"; "&amp;AC665&amp;"; "&amp;AD665&amp;"; "&amp;V665&amp;"; "&amp;C665&amp;"; "&amp;AH665&amp;"; "&amp;AI665)</x:f>
        <x:v>proposal.collection.pressed_phagia_travel_cake; pressed phagia travel cake; consumables; food consumable; food consumable; finished item; manufactured / unresolved; nutrition; phagia preparation; assembly; proposal; pressed phagia travel cake; collection expansion; food consumable; not applicable; t1; finished item</x:v>
      </x:c>
      <x:c r="AF665" s="4" t="str">
        <x:v>Collection expansion classification. Distinct type, use and material family; new item proposal unless author direction is marked.</x:v>
      </x:c>
      <x:c r="AG665" s="4" t="str">
        <x:v>Finished endpoint or currency. Material tier is separate from finished input tier.</x:v>
      </x:c>
      <x:c r="AH665" s="4" t="str">
        <x:v>T1</x:v>
      </x:c>
      <x:c r="AI665" s="4" t="str">
        <x:v>Finished item</x:v>
      </x:c>
      <x:c r="AJ665" s="4" t="n">
        <x:f>COUNTIFS('Material routes'!$D$6:$D$2205,A665,'Material routes'!$C$6:$C$2205,"Output")</x:f>
        <x:v>1</x:v>
      </x:c>
      <x:c r="AK665" s="4" t="n">
        <x:f>SUM(COUNTIFS('Material routes'!$D$6:$D$2205,A665,'Material routes'!$C$6:$C$2205,"Ingredient candidate"),COUNTIFS('Material routes'!$D$6:$D$2205,A665,'Material routes'!$C$6:$C$2205,"Consumed input"),COUNTIFS('Material routes'!$D$6:$D$2205,A665,'Material routes'!$C$6:$C$2205,"Contained input"),COUNTIFS('Material routes'!$D$6:$D$2205,A665,'Material routes'!$C$6:$C$2205,"Transform input"))</x:f>
        <x:v>0</x:v>
      </x:c>
      <x:c r="AL665" s="4" t="n">
        <x:f>COUNTIFS('Material routes'!$D$6:$D$2205,A665,'Material routes'!$C$6:$C$2205,"Tool candidate")</x:f>
        <x:v>0</x:v>
      </x:c>
      <x:c r="AM665" s="4" t="str">
        <x:f>IF(AJ665&gt;0,"Route listed; review status/completeness",IF(C665="T0","Raw entry feed; no production route","No production route listed"))</x:f>
        <x:v>Route listed; review status/completeness</x:v>
      </x:c>
      <x:c r="AN665" s="4" t="n">
        <x:f>IF(C665="T0",0,IF(C665="T1",1,IF(C665="T2",2,IF(C665="T3",3,IF(C665="T4",4,IF(C665="Unassigned",98,99))))))</x:f>
        <x:v>99</x:v>
      </x:c>
      <x:c r="AZ665"/>
      <x:c r="BA665"/>
      <x:c r="BB665"/>
      <x:c r="BC665"/>
      <x:c r="BD665"/>
      <x:c r="BE665"/>
      <x:c r="BF665"/>
      <x:c r="BG665"/>
      <x:c r="BH665"/>
      <x:c r="BI665"/>
      <x:c r="BJ665"/>
      <x:c r="BK665"/>
      <x:c r="BL665"/>
      <x:c r="BM665"/>
      <x:c r="BN665"/>
      <x:c r="BO665"/>
      <x:c r="BP665"/>
      <x:c r="BQ665"/>
      <x:c r="BR665"/>
      <x:c r="BS665"/>
      <x:c r="BT665"/>
      <x:c r="BU665"/>
      <x:c r="BV665"/>
      <x:c r="BW665"/>
      <x:c r="BX665"/>
      <x:c r="BY665"/>
      <x:c r="BZ665"/>
      <x:c r="CA665"/>
      <x:c r="CB665"/>
      <x:c r="CC665"/>
    </x:row>
    <x:row r="666" ht="115" customHeight="1">
      <x:c r="A666" s="4"/>
      <x:c r="B666" s="4"/>
      <x:c r="C666" s="4"/>
      <x:c r="D666" s="4"/>
      <x:c r="E666" s="4"/>
      <x:c r="F666" s="4"/>
      <x:c r="G666" s="4"/>
      <x:c r="H666" s="4"/>
      <x:c r="I666" s="4"/>
      <x:c r="J666" s="4"/>
      <x:c r="M666" s="4"/>
      <x:c r="N666" s="4"/>
      <x:c r="O666" s="4"/>
      <x:c r="P666" s="4"/>
      <x:c r="V666" s="4"/>
      <x:c r="W666" s="4"/>
      <x:c r="X666" s="4"/>
      <x:c r="Y666" s="4"/>
      <x:c r="Z666" s="4"/>
      <x:c r="AA666" s="4"/>
      <x:c r="AB666" s="4"/>
      <x:c r="AC666" s="4"/>
      <x:c r="AD666" s="4"/>
      <x:c r="AE666" s="4"/>
      <x:c r="AF666" s="4"/>
      <x:c r="AG666" s="4"/>
      <x:c r="AH666" s="4"/>
      <x:c r="AI666" s="4"/>
      <x:c r="AJ666" s="4"/>
      <x:c r="AK666" s="4"/>
      <x:c r="AL666" s="4"/>
      <x:c r="AM666" s="4"/>
      <x:c r="AN666" s="4"/>
      <x:c r="AZ666"/>
      <x:c r="BA666"/>
      <x:c r="BB666"/>
      <x:c r="BC666"/>
      <x:c r="BD666"/>
      <x:c r="BE666"/>
      <x:c r="BF666"/>
      <x:c r="BG666"/>
      <x:c r="BH666"/>
      <x:c r="BI666"/>
      <x:c r="BJ666"/>
      <x:c r="BK666"/>
      <x:c r="BL666"/>
      <x:c r="BM666"/>
      <x:c r="BN666"/>
      <x:c r="BO666"/>
      <x:c r="BP666"/>
      <x:c r="BQ666"/>
      <x:c r="BR666"/>
      <x:c r="BS666"/>
      <x:c r="BT666"/>
      <x:c r="BU666"/>
      <x:c r="BV666"/>
      <x:c r="BW666"/>
      <x:c r="BX666"/>
      <x:c r="BY666"/>
      <x:c r="BZ666"/>
      <x:c r="CA666"/>
      <x:c r="CB666"/>
      <x:c r="CC666"/>
    </x:row>
    <x:row r="667" ht="115" customHeight="1">
      <x:c r="A667" s="4" t="str">
        <x:v>proposal.collection.layered_savory_phagia_parcel</x:v>
      </x:c>
      <x:c r="B667" s="4" t="str">
        <x:v>Layered savory Phagia parcel</x:v>
      </x:c>
      <x:c r="C667" s="4" t="str">
        <x:v>Not applicable</x:v>
      </x:c>
      <x:c r="D667" s="4" t="str">
        <x:v>Consumables</x:v>
      </x:c>
      <x:c r="E667" s="4" t="str">
        <x:v>Food consumable</x:v>
      </x:c>
      <x:c r="F667" s="4" t="str">
        <x:v>New proposal</x:v>
      </x:c>
      <x:c r="G667" s="4" t="inlineStr">
        <x:is>
          <x:t xml:space="preserve">Layered pressed flakes around a prepared filling. It is intended for the recorded food or feeding role. Human edibility and useful nutrition require the selected source and preparation rather than assumptions about all fauna.</x:t>
        </x:is>
      </x:c>
      <x:c r="H667" s="4" t="str">
        <x:v>None</x:v>
      </x:c>
      <x:c r="I667" s="4" t="str">
        <x:v>Physical inventory / cargo item; dimensions and packing unresolved</x:v>
      </x:c>
      <x:c r="J667" s="4"/>
      <x:c r="K667" s="4"/>
      <x:c r="L667" s="4" t="str">
        <x:v>Candidate preparation: design.collection.layered_savory_phagia_parcel. Full inputs are in Crafting browser.</x:v>
      </x:c>
      <x:c r="M667" s="4" t="str">
        <x:v>Candidate workshop or contained preparation route; detailed tools, quantities and conditions unresolved</x:v>
      </x:c>
      <x:c r="N667" s="4" t="str">
        <x:v>Not implemented</x:v>
      </x:c>
      <x:c r="O667" s="4" t="str">
        <x:v>Culinary proposal. Select species/food-designated culture and validate edibility; industrial fractions are excluded. No nutritional, medical or preservation claim.</x:v>
      </x:c>
      <x:c r="P667" s="4"/>
      <x:c r="Q667" s="4"/>
      <x:c r="R667" s="4"/>
      <x:c r="S667" s="4"/>
      <x:c r="T667" s="4"/>
      <x:c r="U667" s="4" t="str">
        <x:v>Candidate inputs are partial. Resolve tools, supporting materials, energy, recovery and compatibility before recipes become craftable.</x:v>
      </x:c>
      <x:c r="V667" s="4" t="str">
        <x:v>layered savory phagia parcel; collection expansion; food consumable</x:v>
      </x:c>
      <x:c r="W6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7" s="4" t="str">
        <x:v>Food consumable</x:v>
      </x:c>
      <x:c r="Y667" s="4" t="str">
        <x:v>Finished item</x:v>
      </x:c>
      <x:c r="Z667" s="4" t="str">
        <x:v>Manufactured / unresolved</x:v>
      </x:c>
      <x:c r="AA667" s="4" t="str">
        <x:v>Nutrition</x:v>
      </x:c>
      <x:c r="AB667" s="4" t="str">
        <x:v>Phagia and edible fauna</x:v>
      </x:c>
      <x:c r="AC667" s="4" t="str">
        <x:v>Assembly</x:v>
      </x:c>
      <x:c r="AD667" s="4" t="str">
        <x:v>Proposal</x:v>
      </x:c>
      <x:c r="AE667" s="4" t="str">
        <x:f>LOWER(A667&amp;"; "&amp;B667&amp;"; "&amp;D667&amp;"; "&amp;E667&amp;"; "&amp;X667&amp;"; "&amp;Y667&amp;"; "&amp;Z667&amp;"; "&amp;AA667&amp;"; "&amp;AB667&amp;"; "&amp;AC667&amp;"; "&amp;AD667&amp;"; "&amp;V667&amp;"; "&amp;C667&amp;"; "&amp;AH667&amp;"; "&amp;AI667)</x:f>
        <x:v>proposal.collection.layered_savory_phagia_parcel; layered savory phagia parcel; consumables; food consumable; food consumable; finished item; manufactured / unresolved; nutrition; phagia and edible fauna; assembly; proposal; layered savory phagia parcel; collection expansion; food consumable; not applicable; t2; finished item</x:v>
      </x:c>
      <x:c r="AF667" s="4" t="str">
        <x:v>Collection expansion classification. Distinct type, use and material family; new item proposal unless author direction is marked. October 15 audit: classification/handling clarified; item identity, design status and material tier preserved.</x:v>
      </x:c>
      <x:c r="AG667" s="4" t="str">
        <x:v>Finished endpoint or currency. Material tier is separate from finished input tier.</x:v>
      </x:c>
      <x:c r="AH667" s="4" t="str">
        <x:v>T2</x:v>
      </x:c>
      <x:c r="AI667" s="4" t="str">
        <x:v>Finished item</x:v>
      </x:c>
      <x:c r="AJ667" s="4" t="n">
        <x:f>COUNTIFS('Material routes'!$D$6:$D$2205,A667,'Material routes'!$C$6:$C$2205,"Output")</x:f>
        <x:v>1</x:v>
      </x:c>
      <x:c r="AK667" s="4" t="n">
        <x:f>SUM(COUNTIFS('Material routes'!$D$6:$D$2205,A667,'Material routes'!$C$6:$C$2205,"Ingredient candidate"),COUNTIFS('Material routes'!$D$6:$D$2205,A667,'Material routes'!$C$6:$C$2205,"Consumed input"),COUNTIFS('Material routes'!$D$6:$D$2205,A667,'Material routes'!$C$6:$C$2205,"Contained input"),COUNTIFS('Material routes'!$D$6:$D$2205,A667,'Material routes'!$C$6:$C$2205,"Transform input"))</x:f>
        <x:v>0</x:v>
      </x:c>
      <x:c r="AL667" s="4" t="n">
        <x:f>COUNTIFS('Material routes'!$D$6:$D$2205,A667,'Material routes'!$C$6:$C$2205,"Tool candidate")</x:f>
        <x:v>0</x:v>
      </x:c>
      <x:c r="AM667" s="4" t="str">
        <x:f>IF(AJ667&gt;0,"Route listed; review status/completeness",IF(C667="T0","Raw entry feed; no production route","No production route listed"))</x:f>
        <x:v>Route listed; review status/completeness</x:v>
      </x:c>
      <x:c r="AN667" s="4" t="n">
        <x:f>IF(C667="T0",0,IF(C667="T1",1,IF(C667="T2",2,IF(C667="T3",3,IF(C667="T4",4,IF(C667="Unassigned",98,99))))))</x:f>
        <x:v>99</x:v>
      </x:c>
      <x:c r="AZ667"/>
      <x:c r="BA667"/>
      <x:c r="BB667"/>
      <x:c r="BC667"/>
      <x:c r="BD667"/>
      <x:c r="BE667"/>
      <x:c r="BF667"/>
      <x:c r="BG667"/>
      <x:c r="BH667"/>
      <x:c r="BI667"/>
      <x:c r="BJ667"/>
      <x:c r="BK667"/>
      <x:c r="BL667"/>
      <x:c r="BM667"/>
      <x:c r="BN667"/>
      <x:c r="BO667"/>
      <x:c r="BP667"/>
      <x:c r="BQ667"/>
      <x:c r="BR667"/>
      <x:c r="BS667"/>
      <x:c r="BT667"/>
      <x:c r="BU667"/>
      <x:c r="BV667"/>
      <x:c r="BW667"/>
      <x:c r="BX667"/>
      <x:c r="BY667"/>
      <x:c r="BZ667"/>
      <x:c r="CA667"/>
      <x:c r="CB667"/>
      <x:c r="CC667"/>
    </x:row>
    <x:row r="668" ht="115" customHeight="1">
      <x:c r="A668" s="4"/>
      <x:c r="B668" s="4"/>
      <x:c r="C668" s="4"/>
      <x:c r="D668" s="4"/>
      <x:c r="E668" s="4"/>
      <x:c r="F668" s="4"/>
      <x:c r="G668" s="4"/>
      <x:c r="H668" s="4"/>
      <x:c r="I668" s="4"/>
      <x:c r="J668" s="4"/>
      <x:c r="M668" s="4"/>
      <x:c r="N668" s="4"/>
      <x:c r="O668" s="4"/>
      <x:c r="P668" s="4"/>
      <x:c r="V668" s="4"/>
      <x:c r="W668" s="4"/>
      <x:c r="X668" s="4"/>
      <x:c r="Y668" s="4"/>
      <x:c r="Z668" s="4"/>
      <x:c r="AA668" s="4"/>
      <x:c r="AB668" s="4"/>
      <x:c r="AC668" s="4"/>
      <x:c r="AD668" s="4"/>
      <x:c r="AE668" s="4"/>
      <x:c r="AF668" s="4"/>
      <x:c r="AG668" s="4"/>
      <x:c r="AH668" s="4"/>
      <x:c r="AI668" s="4"/>
      <x:c r="AJ668" s="4"/>
      <x:c r="AK668" s="4"/>
      <x:c r="AL668" s="4"/>
      <x:c r="AM668" s="4"/>
      <x:c r="AN668" s="4"/>
      <x:c r="AZ668"/>
      <x:c r="BA668"/>
      <x:c r="BB668"/>
      <x:c r="BC668"/>
      <x:c r="BD668"/>
      <x:c r="BE668"/>
      <x:c r="BF668"/>
      <x:c r="BG668"/>
      <x:c r="BH668"/>
      <x:c r="BI668"/>
      <x:c r="BJ668"/>
      <x:c r="BK668"/>
      <x:c r="BL668"/>
      <x:c r="BM668"/>
      <x:c r="BN668"/>
      <x:c r="BO668"/>
      <x:c r="BP668"/>
      <x:c r="BQ668"/>
      <x:c r="BR668"/>
      <x:c r="BS668"/>
      <x:c r="BT668"/>
      <x:c r="BU668"/>
      <x:c r="BV668"/>
      <x:c r="BW668"/>
      <x:c r="BX668"/>
      <x:c r="BY668"/>
      <x:c r="BZ668"/>
      <x:c r="CA668"/>
      <x:c r="CB668"/>
      <x:c r="CC668"/>
    </x:row>
    <x:row r="669" ht="115" customHeight="1">
      <x:c r="A669" s="4" t="str">
        <x:v>proposal.collection.smooth_phagia_curd_drink</x:v>
      </x:c>
      <x:c r="B669" s="4" t="str">
        <x:v>Smooth Phagia curd drink</x:v>
      </x:c>
      <x:c r="C669" s="4" t="str">
        <x:v>Not applicable</x:v>
      </x:c>
      <x:c r="D669" s="4" t="str">
        <x:v>Consumables</x:v>
      </x:c>
      <x:c r="E669" s="4" t="str">
        <x:v>Drink consumable</x:v>
      </x:c>
      <x:c r="F669" s="4" t="str">
        <x:v>New proposal</x:v>
      </x:c>
      <x:c r="G669" s="4" t="inlineStr">
        <x:is>
          <x:t xml:space="preserve">Suspended fine curd drink with a thick texture. It is a proposed drink or drink ingredient within the food-designated Phagia supply. Portion, preparation, preservation and hydration benefit remain undefined.</x:t>
        </x:is>
      </x:c>
      <x:c r="H669" s="4" t="str">
        <x:v>None</x:v>
      </x:c>
      <x:c r="I669" s="4" t="str">
        <x:v>Matched sealed vessel; compatibility and contamination unresolved</x:v>
      </x:c>
      <x:c r="J669" s="4"/>
      <x:c r="K669" s="4"/>
      <x:c r="L669" s="4" t="str">
        <x:v>Candidate preparation: design.collection.smooth_phagia_curd_drink. Full inputs are in Crafting browser.</x:v>
      </x:c>
      <x:c r="M669" s="4" t="str">
        <x:v>Candidate workshop or contained preparation route; detailed tools, quantities and conditions unresolved</x:v>
      </x:c>
      <x:c r="N669" s="4" t="str">
        <x:v>Not implemented</x:v>
      </x:c>
      <x:c r="O669" s="4" t="str">
        <x:v>Culinary proposal. Select species/food-designated culture and validate edibility; industrial fractions are excluded. No nutritional, medical or preservation claim.</x:v>
      </x:c>
      <x:c r="P669" s="4"/>
      <x:c r="Q669" s="4"/>
      <x:c r="R669" s="4"/>
      <x:c r="S669" s="4"/>
      <x:c r="T669" s="4"/>
      <x:c r="U669" s="4" t="str">
        <x:v>Candidate inputs are partial. Resolve tools, supporting materials, energy, recovery and compatibility before recipes become craftable.</x:v>
      </x:c>
      <x:c r="V669" s="4" t="str">
        <x:v>smooth phagia curd drink; collection expansion; drink consumable</x:v>
      </x:c>
      <x:c r="W6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9" s="4" t="str">
        <x:v>Drink consumable</x:v>
      </x:c>
      <x:c r="Y669" s="4" t="str">
        <x:v>Finished item</x:v>
      </x:c>
      <x:c r="Z669" s="4" t="str">
        <x:v>Manufactured / unresolved</x:v>
      </x:c>
      <x:c r="AA669" s="4" t="str">
        <x:v>Hydration</x:v>
      </x:c>
      <x:c r="AB669" s="4" t="str">
        <x:v>Phagia preparation</x:v>
      </x:c>
      <x:c r="AC669" s="4" t="str">
        <x:v>Liquid</x:v>
      </x:c>
      <x:c r="AD669" s="4" t="str">
        <x:v>Proposal</x:v>
      </x:c>
      <x:c r="AE669" s="4" t="str">
        <x:f>LOWER(A669&amp;"; "&amp;B669&amp;"; "&amp;D669&amp;"; "&amp;E669&amp;"; "&amp;X669&amp;"; "&amp;Y669&amp;"; "&amp;Z669&amp;"; "&amp;AA669&amp;"; "&amp;AB669&amp;"; "&amp;AC669&amp;"; "&amp;AD669&amp;"; "&amp;V669&amp;"; "&amp;C669&amp;"; "&amp;AH669&amp;"; "&amp;AI669)</x:f>
        <x:v>proposal.collection.smooth_phagia_curd_drink; smooth phagia curd drink; consumables; drink consumable; drink consumable; finished item; manufactured / unresolved; hydration; phagia preparation; liquid; proposal; smooth phagia curd drink; collection expansion; drink consumable; not applicable; t1; finished item</x:v>
      </x:c>
      <x:c r="AF669" s="4" t="str">
        <x:v>Collection expansion classification. Distinct type, use and material family; new item proposal unless author direction is marked.</x:v>
      </x:c>
      <x:c r="AG669" s="4" t="str">
        <x:v>Finished endpoint or currency. Material tier is separate from finished input tier.</x:v>
      </x:c>
      <x:c r="AH669" s="4" t="str">
        <x:v>T1</x:v>
      </x:c>
      <x:c r="AI669" s="4" t="str">
        <x:v>Finished item</x:v>
      </x:c>
      <x:c r="AJ669" s="4" t="n">
        <x:f>COUNTIFS('Material routes'!$D$6:$D$2205,A669,'Material routes'!$C$6:$C$2205,"Output")</x:f>
        <x:v>1</x:v>
      </x:c>
      <x:c r="AK669" s="4" t="n">
        <x:f>SUM(COUNTIFS('Material routes'!$D$6:$D$2205,A669,'Material routes'!$C$6:$C$2205,"Ingredient candidate"),COUNTIFS('Material routes'!$D$6:$D$2205,A669,'Material routes'!$C$6:$C$2205,"Consumed input"),COUNTIFS('Material routes'!$D$6:$D$2205,A669,'Material routes'!$C$6:$C$2205,"Contained input"),COUNTIFS('Material routes'!$D$6:$D$2205,A669,'Material routes'!$C$6:$C$2205,"Transform input"))</x:f>
        <x:v>0</x:v>
      </x:c>
      <x:c r="AL669" s="4" t="n">
        <x:f>COUNTIFS('Material routes'!$D$6:$D$2205,A669,'Material routes'!$C$6:$C$2205,"Tool candidate")</x:f>
        <x:v>0</x:v>
      </x:c>
      <x:c r="AM669" s="4" t="str">
        <x:f>IF(AJ669&gt;0,"Route listed; review status/completeness",IF(C669="T0","Raw entry feed; no production route","No production route listed"))</x:f>
        <x:v>Route listed; review status/completeness</x:v>
      </x:c>
      <x:c r="AN669" s="4" t="n">
        <x:f>IF(C669="T0",0,IF(C669="T1",1,IF(C669="T2",2,IF(C669="T3",3,IF(C669="T4",4,IF(C669="Unassigned",98,99))))))</x:f>
        <x:v>99</x:v>
      </x:c>
      <x:c r="AZ669"/>
      <x:c r="BA669"/>
      <x:c r="BB669"/>
      <x:c r="BC669"/>
      <x:c r="BD669"/>
      <x:c r="BE669"/>
      <x:c r="BF669"/>
      <x:c r="BG669"/>
      <x:c r="BH669"/>
      <x:c r="BI669"/>
      <x:c r="BJ669"/>
      <x:c r="BK669"/>
      <x:c r="BL669"/>
      <x:c r="BM669"/>
      <x:c r="BN669"/>
      <x:c r="BO669"/>
      <x:c r="BP669"/>
      <x:c r="BQ669"/>
      <x:c r="BR669"/>
      <x:c r="BS669"/>
      <x:c r="BT669"/>
      <x:c r="BU669"/>
      <x:c r="BV669"/>
      <x:c r="BW669"/>
      <x:c r="BX669"/>
      <x:c r="BY669"/>
      <x:c r="BZ669"/>
      <x:c r="CA669"/>
      <x:c r="CB669"/>
      <x:c r="CC669"/>
    </x:row>
    <x:row r="670" ht="115" customHeight="1">
      <x:c r="A670" s="4"/>
      <x:c r="B670" s="4"/>
      <x:c r="C670" s="4"/>
      <x:c r="D670" s="4"/>
      <x:c r="E670" s="4"/>
      <x:c r="F670" s="4"/>
      <x:c r="G670" s="4"/>
      <x:c r="H670" s="4"/>
      <x:c r="I670" s="4"/>
      <x:c r="J670" s="4"/>
      <x:c r="M670" s="4"/>
      <x:c r="N670" s="4"/>
      <x:c r="O670" s="4"/>
      <x:c r="P670" s="4"/>
      <x:c r="V670" s="4"/>
      <x:c r="W670" s="4"/>
      <x:c r="X670" s="4"/>
      <x:c r="Y670" s="4"/>
      <x:c r="Z670" s="4"/>
      <x:c r="AA670" s="4"/>
      <x:c r="AB670" s="4"/>
      <x:c r="AC670" s="4"/>
      <x:c r="AD670" s="4"/>
      <x:c r="AE670" s="4"/>
      <x:c r="AF670" s="4"/>
      <x:c r="AG670" s="4"/>
      <x:c r="AH670" s="4"/>
      <x:c r="AI670" s="4"/>
      <x:c r="AJ670" s="4"/>
      <x:c r="AK670" s="4"/>
      <x:c r="AL670" s="4"/>
      <x:c r="AM670" s="4"/>
      <x:c r="AN670" s="4"/>
      <x:c r="AZ670"/>
      <x:c r="BA670"/>
      <x:c r="BB670"/>
      <x:c r="BC670"/>
      <x:c r="BD670"/>
      <x:c r="BE670"/>
      <x:c r="BF670"/>
      <x:c r="BG670"/>
      <x:c r="BH670"/>
      <x:c r="BI670"/>
      <x:c r="BJ670"/>
      <x:c r="BK670"/>
      <x:c r="BL670"/>
      <x:c r="BM670"/>
      <x:c r="BN670"/>
      <x:c r="BO670"/>
      <x:c r="BP670"/>
      <x:c r="BQ670"/>
      <x:c r="BR670"/>
      <x:c r="BS670"/>
      <x:c r="BT670"/>
      <x:c r="BU670"/>
      <x:c r="BV670"/>
      <x:c r="BW670"/>
      <x:c r="BX670"/>
      <x:c r="BY670"/>
      <x:c r="BZ670"/>
      <x:c r="CA670"/>
      <x:c r="CB670"/>
      <x:c r="CC670"/>
    </x:row>
    <x:row r="671" ht="115" customHeight="1">
      <x:c r="A671" s="4" t="str">
        <x:v>proposal.collection.savory_mineral_phagia_drink</x:v>
      </x:c>
      <x:c r="B671" s="4" t="str">
        <x:v>Savory mineral Phagia drink</x:v>
      </x:c>
      <x:c r="C671" s="4" t="str">
        <x:v>Not applicable</x:v>
      </x:c>
      <x:c r="D671" s="4" t="str">
        <x:v>Consumables</x:v>
      </x:c>
      <x:c r="E671" s="4" t="str">
        <x:v>Drink consumable</x:v>
      </x:c>
      <x:c r="F671" s="4" t="str">
        <x:v>New proposal</x:v>
      </x:c>
      <x:c r="G671" s="4" t="inlineStr">
        <x:is>
          <x:t xml:space="preserve">Candidate food-grade seasoning drink. It is a proposed drink or drink ingredient within the food-designated Phagia supply. Portion, preparation, preservation and hydration benefit remain undefined.</x:t>
        </x:is>
      </x:c>
      <x:c r="H671" s="4" t="str">
        <x:v>None</x:v>
      </x:c>
      <x:c r="I671" s="4" t="str">
        <x:v>Matched sealed vessel; compatibility and contamination unresolved</x:v>
      </x:c>
      <x:c r="J671" s="4"/>
      <x:c r="K671" s="4"/>
      <x:c r="L671" s="4" t="str">
        <x:v>Candidate preparation: design.collection.savory_mineral_phagia_drink. Full inputs are in Crafting browser.</x:v>
      </x:c>
      <x:c r="M671" s="4" t="str">
        <x:v>Candidate workshop or contained preparation route; detailed tools, quantities and conditions unresolved</x:v>
      </x:c>
      <x:c r="N671" s="4" t="str">
        <x:v>Not implemented</x:v>
      </x:c>
      <x:c r="O671" s="4" t="str">
        <x:v>Culinary proposal. Select species/food-designated culture and validate edibility; industrial fractions are excluded. No nutritional, medical or preservation claim.</x:v>
      </x:c>
      <x:c r="P671" s="4"/>
      <x:c r="Q671" s="4"/>
      <x:c r="R671" s="4"/>
      <x:c r="S671" s="4"/>
      <x:c r="T671" s="4"/>
      <x:c r="U671" s="4" t="str">
        <x:v>Candidate inputs are partial. Resolve tools, supporting materials, energy, recovery and compatibility before recipes become craftable.</x:v>
      </x:c>
      <x:c r="V671" s="4" t="str">
        <x:v>savory mineral phagia drink; collection expansion; drink consumable</x:v>
      </x:c>
      <x:c r="W6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1" s="4" t="str">
        <x:v>Drink consumable</x:v>
      </x:c>
      <x:c r="Y671" s="4" t="str">
        <x:v>Finished item</x:v>
      </x:c>
      <x:c r="Z671" s="4" t="str">
        <x:v>Manufactured / unresolved</x:v>
      </x:c>
      <x:c r="AA671" s="4" t="str">
        <x:v>Hydration</x:v>
      </x:c>
      <x:c r="AB671" s="4" t="str">
        <x:v>Phagia preparation</x:v>
      </x:c>
      <x:c r="AC671" s="4" t="str">
        <x:v>Liquid</x:v>
      </x:c>
      <x:c r="AD671" s="4" t="str">
        <x:v>Proposal</x:v>
      </x:c>
      <x:c r="AE671" s="4" t="str">
        <x:f>LOWER(A671&amp;"; "&amp;B671&amp;"; "&amp;D671&amp;"; "&amp;E671&amp;"; "&amp;X671&amp;"; "&amp;Y671&amp;"; "&amp;Z671&amp;"; "&amp;AA671&amp;"; "&amp;AB671&amp;"; "&amp;AC671&amp;"; "&amp;AD671&amp;"; "&amp;V671&amp;"; "&amp;C671&amp;"; "&amp;AH671&amp;"; "&amp;AI671)</x:f>
        <x:v>proposal.collection.savory_mineral_phagia_drink; savory mineral phagia drink; consumables; drink consumable; drink consumable; finished item; manufactured / unresolved; hydration; phagia preparation; liquid; proposal; savory mineral phagia drink; collection expansion; drink consumable; not applicable; t1; finished item</x:v>
      </x:c>
      <x:c r="AF671" s="4" t="str">
        <x:v>Collection expansion classification. Distinct type, use and material family; new item proposal unless author direction is marked.</x:v>
      </x:c>
      <x:c r="AG671" s="4" t="str">
        <x:v>Finished endpoint or currency. Material tier is separate from finished input tier.</x:v>
      </x:c>
      <x:c r="AH671" s="4" t="str">
        <x:v>T1</x:v>
      </x:c>
      <x:c r="AI671" s="4" t="str">
        <x:v>Finished item</x:v>
      </x:c>
      <x:c r="AJ671" s="4" t="n">
        <x:f>COUNTIFS('Material routes'!$D$6:$D$2205,A671,'Material routes'!$C$6:$C$2205,"Output")</x:f>
        <x:v>1</x:v>
      </x:c>
      <x:c r="AK671" s="4" t="n">
        <x:f>SUM(COUNTIFS('Material routes'!$D$6:$D$2205,A671,'Material routes'!$C$6:$C$2205,"Ingredient candidate"),COUNTIFS('Material routes'!$D$6:$D$2205,A671,'Material routes'!$C$6:$C$2205,"Consumed input"),COUNTIFS('Material routes'!$D$6:$D$2205,A671,'Material routes'!$C$6:$C$2205,"Contained input"),COUNTIFS('Material routes'!$D$6:$D$2205,A671,'Material routes'!$C$6:$C$2205,"Transform input"))</x:f>
        <x:v>0</x:v>
      </x:c>
      <x:c r="AL671" s="4" t="n">
        <x:f>COUNTIFS('Material routes'!$D$6:$D$2205,A671,'Material routes'!$C$6:$C$2205,"Tool candidate")</x:f>
        <x:v>0</x:v>
      </x:c>
      <x:c r="AM671" s="4" t="str">
        <x:f>IF(AJ671&gt;0,"Route listed; review status/completeness",IF(C671="T0","Raw entry feed; no production route","No production route listed"))</x:f>
        <x:v>Route listed; review status/completeness</x:v>
      </x:c>
      <x:c r="AN671" s="4" t="n">
        <x:f>IF(C671="T0",0,IF(C671="T1",1,IF(C671="T2",2,IF(C671="T3",3,IF(C671="T4",4,IF(C671="Unassigned",98,99))))))</x:f>
        <x:v>99</x:v>
      </x:c>
      <x:c r="AZ671"/>
      <x:c r="BA671"/>
      <x:c r="BB671"/>
      <x:c r="BC671"/>
      <x:c r="BD671"/>
      <x:c r="BE671"/>
      <x:c r="BF671"/>
      <x:c r="BG671"/>
      <x:c r="BH671"/>
      <x:c r="BI671"/>
      <x:c r="BJ671"/>
      <x:c r="BK671"/>
      <x:c r="BL671"/>
      <x:c r="BM671"/>
      <x:c r="BN671"/>
      <x:c r="BO671"/>
      <x:c r="BP671"/>
      <x:c r="BQ671"/>
      <x:c r="BR671"/>
      <x:c r="BS671"/>
      <x:c r="BT671"/>
      <x:c r="BU671"/>
      <x:c r="BV671"/>
      <x:c r="BW671"/>
      <x:c r="BX671"/>
      <x:c r="BY671"/>
      <x:c r="BZ671"/>
      <x:c r="CA671"/>
      <x:c r="CB671"/>
      <x:c r="CC671"/>
    </x:row>
    <x:row r="672" ht="115" customHeight="1">
      <x:c r="A672" s="4"/>
      <x:c r="B672" s="4"/>
      <x:c r="C672" s="4"/>
      <x:c r="D672" s="4"/>
      <x:c r="E672" s="4"/>
      <x:c r="F672" s="4"/>
      <x:c r="G672" s="4"/>
      <x:c r="H672" s="4"/>
      <x:c r="I672" s="4"/>
      <x:c r="J672" s="4"/>
      <x:c r="M672" s="4"/>
      <x:c r="N672" s="4"/>
      <x:c r="O672" s="4"/>
      <x:c r="P672" s="4"/>
      <x:c r="V672" s="4"/>
      <x:c r="W672" s="4"/>
      <x:c r="X672" s="4"/>
      <x:c r="Y672" s="4"/>
      <x:c r="Z672" s="4"/>
      <x:c r="AA672" s="4"/>
      <x:c r="AB672" s="4"/>
      <x:c r="AC672" s="4"/>
      <x:c r="AD672" s="4"/>
      <x:c r="AE672" s="4"/>
      <x:c r="AF672" s="4"/>
      <x:c r="AG672" s="4"/>
      <x:c r="AH672" s="4"/>
      <x:c r="AI672" s="4"/>
      <x:c r="AJ672" s="4"/>
      <x:c r="AK672" s="4"/>
      <x:c r="AL672" s="4"/>
      <x:c r="AM672" s="4"/>
      <x:c r="AN672" s="4"/>
      <x:c r="AZ672"/>
      <x:c r="BA672"/>
      <x:c r="BB672"/>
      <x:c r="BC672"/>
      <x:c r="BD672"/>
      <x:c r="BE672"/>
      <x:c r="BF672"/>
      <x:c r="BG672"/>
      <x:c r="BH672"/>
      <x:c r="BI672"/>
      <x:c r="BJ672"/>
      <x:c r="BK672"/>
      <x:c r="BL672"/>
      <x:c r="BM672"/>
      <x:c r="BN672"/>
      <x:c r="BO672"/>
      <x:c r="BP672"/>
      <x:c r="BQ672"/>
      <x:c r="BR672"/>
      <x:c r="BS672"/>
      <x:c r="BT672"/>
      <x:c r="BU672"/>
      <x:c r="BV672"/>
      <x:c r="BW672"/>
      <x:c r="BX672"/>
      <x:c r="BY672"/>
      <x:c r="BZ672"/>
      <x:c r="CA672"/>
      <x:c r="CB672"/>
      <x:c r="CC672"/>
    </x:row>
    <x:row r="673" ht="115" customHeight="1">
      <x:c r="A673" s="4"/>
      <x:c r="B673" s="4"/>
      <x:c r="C673" s="4"/>
      <x:c r="D673" s="4"/>
      <x:c r="E673" s="4"/>
      <x:c r="F673" s="4"/>
      <x:c r="G673" s="4"/>
      <x:c r="H673" s="4"/>
      <x:c r="I673" s="4"/>
      <x:c r="J673" s="4"/>
      <x:c r="M673" s="4"/>
      <x:c r="N673" s="4"/>
      <x:c r="O673" s="4"/>
      <x:c r="P673" s="4"/>
      <x:c r="V673" s="4"/>
      <x:c r="W673" s="4"/>
      <x:c r="X673" s="4"/>
      <x:c r="Y673" s="4"/>
      <x:c r="Z673" s="4"/>
      <x:c r="AA673" s="4"/>
      <x:c r="AB673" s="4"/>
      <x:c r="AC673" s="4"/>
      <x:c r="AD673" s="4"/>
      <x:c r="AE673" s="4"/>
      <x:c r="AF673" s="4"/>
      <x:c r="AG673" s="4"/>
      <x:c r="AH673" s="4"/>
      <x:c r="AI673" s="4"/>
      <x:c r="AJ673" s="4"/>
      <x:c r="AK673" s="4"/>
      <x:c r="AL673" s="4"/>
      <x:c r="AM673" s="4"/>
      <x:c r="AN673" s="4"/>
      <x:c r="AZ673"/>
      <x:c r="BA673"/>
      <x:c r="BB673"/>
      <x:c r="BC673"/>
      <x:c r="BD673"/>
      <x:c r="BE673"/>
      <x:c r="BF673"/>
      <x:c r="BG673"/>
      <x:c r="BH673"/>
      <x:c r="BI673"/>
      <x:c r="BJ673"/>
      <x:c r="BK673"/>
      <x:c r="BL673"/>
      <x:c r="BM673"/>
      <x:c r="BN673"/>
      <x:c r="BO673"/>
      <x:c r="BP673"/>
      <x:c r="BQ673"/>
      <x:c r="BR673"/>
      <x:c r="BS673"/>
      <x:c r="BT673"/>
      <x:c r="BU673"/>
      <x:c r="BV673"/>
      <x:c r="BW673"/>
      <x:c r="BX673"/>
      <x:c r="BY673"/>
      <x:c r="BZ673"/>
      <x:c r="CA673"/>
      <x:c r="CB673"/>
      <x:c r="CC673"/>
    </x:row>
    <x:row r="674" ht="115" customHeight="1">
      <x:c r="A674" s="4"/>
      <x:c r="B674" s="4"/>
      <x:c r="C674" s="4"/>
      <x:c r="D674" s="4"/>
      <x:c r="E674" s="4"/>
      <x:c r="F674" s="4"/>
      <x:c r="G674" s="4"/>
      <x:c r="H674" s="4"/>
      <x:c r="I674" s="4"/>
      <x:c r="J674" s="4"/>
      <x:c r="M674" s="4"/>
      <x:c r="N674" s="4"/>
      <x:c r="O674" s="4"/>
      <x:c r="P674" s="4"/>
      <x:c r="V674" s="4"/>
      <x:c r="W674" s="4"/>
      <x:c r="X674" s="4"/>
      <x:c r="Y674" s="4"/>
      <x:c r="Z674" s="4"/>
      <x:c r="AA674" s="4"/>
      <x:c r="AB674" s="4"/>
      <x:c r="AC674" s="4"/>
      <x:c r="AD674" s="4"/>
      <x:c r="AE674" s="4"/>
      <x:c r="AF674" s="4"/>
      <x:c r="AG674" s="4"/>
      <x:c r="AH674" s="4"/>
      <x:c r="AI674" s="4"/>
      <x:c r="AJ674" s="4"/>
      <x:c r="AK674" s="4"/>
      <x:c r="AL674" s="4"/>
      <x:c r="AM674" s="4"/>
      <x:c r="AN674" s="4"/>
      <x:c r="AZ674"/>
      <x:c r="BA674"/>
      <x:c r="BB674"/>
      <x:c r="BC674"/>
      <x:c r="BD674"/>
      <x:c r="BE674"/>
      <x:c r="BF674"/>
      <x:c r="BG674"/>
      <x:c r="BH674"/>
      <x:c r="BI674"/>
      <x:c r="BJ674"/>
      <x:c r="BK674"/>
      <x:c r="BL674"/>
      <x:c r="BM674"/>
      <x:c r="BN674"/>
      <x:c r="BO674"/>
      <x:c r="BP674"/>
      <x:c r="BQ674"/>
      <x:c r="BR674"/>
      <x:c r="BS674"/>
      <x:c r="BT674"/>
      <x:c r="BU674"/>
      <x:c r="BV674"/>
      <x:c r="BW674"/>
      <x:c r="BX674"/>
      <x:c r="BY674"/>
      <x:c r="BZ674"/>
      <x:c r="CA674"/>
      <x:c r="CB674"/>
      <x:c r="CC674"/>
    </x:row>
    <x:row r="675" ht="115" customHeight="1">
      <x:c r="A675" s="4"/>
      <x:c r="B675" s="4"/>
      <x:c r="C675" s="4"/>
      <x:c r="D675" s="4"/>
      <x:c r="E675" s="4"/>
      <x:c r="F675" s="4"/>
      <x:c r="G675" s="4"/>
      <x:c r="H675" s="4"/>
      <x:c r="I675" s="4"/>
      <x:c r="J675" s="4"/>
      <x:c r="M675" s="4"/>
      <x:c r="N675" s="4"/>
      <x:c r="O675" s="4"/>
      <x:c r="P675" s="4"/>
      <x:c r="V675" s="4"/>
      <x:c r="W675" s="4"/>
      <x:c r="X675" s="4"/>
      <x:c r="Y675" s="4"/>
      <x:c r="Z675" s="4"/>
      <x:c r="AA675" s="4"/>
      <x:c r="AB675" s="4"/>
      <x:c r="AC675" s="4"/>
      <x:c r="AD675" s="4"/>
      <x:c r="AE675" s="4"/>
      <x:c r="AF675" s="4"/>
      <x:c r="AG675" s="4"/>
      <x:c r="AH675" s="4"/>
      <x:c r="AI675" s="4"/>
      <x:c r="AJ675" s="4"/>
      <x:c r="AK675" s="4"/>
      <x:c r="AL675" s="4"/>
      <x:c r="AM675" s="4"/>
      <x:c r="AN675" s="4"/>
      <x:c r="AZ675"/>
      <x:c r="BA675"/>
      <x:c r="BB675"/>
      <x:c r="BC675"/>
      <x:c r="BD675"/>
      <x:c r="BE675"/>
      <x:c r="BF675"/>
      <x:c r="BG675"/>
      <x:c r="BH675"/>
      <x:c r="BI675"/>
      <x:c r="BJ675"/>
      <x:c r="BK675"/>
      <x:c r="BL675"/>
      <x:c r="BM675"/>
      <x:c r="BN675"/>
      <x:c r="BO675"/>
      <x:c r="BP675"/>
      <x:c r="BQ675"/>
      <x:c r="BR675"/>
      <x:c r="BS675"/>
      <x:c r="BT675"/>
      <x:c r="BU675"/>
      <x:c r="BV675"/>
      <x:c r="BW675"/>
      <x:c r="BX675"/>
      <x:c r="BY675"/>
      <x:c r="BZ675"/>
      <x:c r="CA675"/>
      <x:c r="CB675"/>
      <x:c r="CC675"/>
    </x:row>
    <x:row r="676" ht="115" customHeight="1">
      <x:c r="A676" s="4" t="str">
        <x:v>proposal.collection.warm_phagia_meal_drink</x:v>
      </x:c>
      <x:c r="B676" s="4" t="str">
        <x:v>Warm Phagia meal drink</x:v>
      </x:c>
      <x:c r="C676" s="4" t="str">
        <x:v>Not applicable</x:v>
      </x:c>
      <x:c r="D676" s="4" t="str">
        <x:v>Consumables</x:v>
      </x:c>
      <x:c r="E676" s="4" t="str">
        <x:v>Drink consumable</x:v>
      </x:c>
      <x:c r="F676" s="4" t="str">
        <x:v>New proposal</x:v>
      </x:c>
      <x:c r="G676" s="4" t="inlineStr">
        <x:is>
          <x:t xml:space="preserve">Heated drinkable meal, heating conditions unresolved. It is a proposed drink or drink ingredient within the food-designated Phagia supply. Portion, preparation, preservation and hydration benefit remain undefined.</x:t>
        </x:is>
      </x:c>
      <x:c r="H676" s="4" t="str">
        <x:v>None</x:v>
      </x:c>
      <x:c r="I676" s="4" t="str">
        <x:v>Matched sealed vessel; compatibility and contamination unresolved</x:v>
      </x:c>
      <x:c r="J676" s="4"/>
      <x:c r="K676" s="4"/>
      <x:c r="L676" s="4" t="str">
        <x:v>Candidate preparation: design.collection.warm_phagia_meal_drink. Full inputs are in Crafting browser.</x:v>
      </x:c>
      <x:c r="M676" s="4" t="str">
        <x:v>Candidate workshop or contained preparation route; detailed tools, quantities and conditions unresolved</x:v>
      </x:c>
      <x:c r="N676" s="4" t="str">
        <x:v>Not implemented</x:v>
      </x:c>
      <x:c r="O676" s="4" t="str">
        <x:v>Culinary proposal. Select species/food-designated culture and validate edibility; industrial fractions are excluded. No nutritional, medical or preservation claim.</x:v>
      </x:c>
      <x:c r="P676" s="4"/>
      <x:c r="Q676" s="4"/>
      <x:c r="R676" s="4"/>
      <x:c r="S676" s="4"/>
      <x:c r="T676" s="4"/>
      <x:c r="U676" s="4" t="str">
        <x:v>Candidate inputs are partial. Resolve tools, supporting materials, energy, recovery and compatibility before recipes become craftable.</x:v>
      </x:c>
      <x:c r="V676" s="4" t="str">
        <x:v>warm phagia meal drink; collection expansion; drink consumable</x:v>
      </x:c>
      <x:c r="W67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6" s="4" t="str">
        <x:v>Drink consumable</x:v>
      </x:c>
      <x:c r="Y676" s="4" t="str">
        <x:v>Finished item</x:v>
      </x:c>
      <x:c r="Z676" s="4" t="str">
        <x:v>Manufactured / unresolved</x:v>
      </x:c>
      <x:c r="AA676" s="4" t="str">
        <x:v>Hydration</x:v>
      </x:c>
      <x:c r="AB676" s="4" t="str">
        <x:v>Phagia preparation</x:v>
      </x:c>
      <x:c r="AC676" s="4" t="str">
        <x:v>Liquid</x:v>
      </x:c>
      <x:c r="AD676" s="4" t="str">
        <x:v>Proposal</x:v>
      </x:c>
      <x:c r="AE676" s="4" t="str">
        <x:f>LOWER(A676&amp;"; "&amp;B676&amp;"; "&amp;D676&amp;"; "&amp;E676&amp;"; "&amp;X676&amp;"; "&amp;Y676&amp;"; "&amp;Z676&amp;"; "&amp;AA676&amp;"; "&amp;AB676&amp;"; "&amp;AC676&amp;"; "&amp;AD676&amp;"; "&amp;V676&amp;"; "&amp;C676&amp;"; "&amp;AH676&amp;"; "&amp;AI676)</x:f>
        <x:v>proposal.collection.warm_phagia_meal_drink; warm phagia meal drink; consumables; drink consumable; drink consumable; finished item; manufactured / unresolved; hydration; phagia preparation; liquid; proposal; warm phagia meal drink; collection expansion; drink consumable; not applicable; t1; finished item</x:v>
      </x:c>
      <x:c r="AF676" s="4" t="str">
        <x:v>Collection expansion classification. Distinct type, use and material family; new item proposal unless author direction is marked.</x:v>
      </x:c>
      <x:c r="AG676" s="4" t="str">
        <x:v>Finished endpoint or currency. Material tier is separate from finished input tier.</x:v>
      </x:c>
      <x:c r="AH676" s="4" t="str">
        <x:v>T1</x:v>
      </x:c>
      <x:c r="AI676" s="4" t="str">
        <x:v>Finished item</x:v>
      </x:c>
      <x:c r="AJ676" s="4" t="n">
        <x:f>COUNTIFS('Material routes'!$D$6:$D$2205,A676,'Material routes'!$C$6:$C$2205,"Output")</x:f>
        <x:v>1</x:v>
      </x:c>
      <x:c r="AK676" s="4" t="n">
        <x:f>SUM(COUNTIFS('Material routes'!$D$6:$D$2205,A676,'Material routes'!$C$6:$C$2205,"Ingredient candidate"),COUNTIFS('Material routes'!$D$6:$D$2205,A676,'Material routes'!$C$6:$C$2205,"Consumed input"),COUNTIFS('Material routes'!$D$6:$D$2205,A676,'Material routes'!$C$6:$C$2205,"Contained input"),COUNTIFS('Material routes'!$D$6:$D$2205,A676,'Material routes'!$C$6:$C$2205,"Transform input"))</x:f>
        <x:v>0</x:v>
      </x:c>
      <x:c r="AL676" s="4" t="n">
        <x:f>COUNTIFS('Material routes'!$D$6:$D$2205,A676,'Material routes'!$C$6:$C$2205,"Tool candidate")</x:f>
        <x:v>0</x:v>
      </x:c>
      <x:c r="AM676" s="4" t="str">
        <x:f>IF(AJ676&gt;0,"Route listed; review status/completeness",IF(C676="T0","Raw entry feed; no production route","No production route listed"))</x:f>
        <x:v>Route listed; review status/completeness</x:v>
      </x:c>
      <x:c r="AN676" s="4" t="n">
        <x:f>IF(C676="T0",0,IF(C676="T1",1,IF(C676="T2",2,IF(C676="T3",3,IF(C676="T4",4,IF(C676="Unassigned",98,99))))))</x:f>
        <x:v>99</x:v>
      </x:c>
      <x:c r="AZ676"/>
      <x:c r="BA676"/>
      <x:c r="BB676"/>
      <x:c r="BC676"/>
      <x:c r="BD676"/>
      <x:c r="BE676"/>
      <x:c r="BF676"/>
      <x:c r="BG676"/>
      <x:c r="BH676"/>
      <x:c r="BI676"/>
      <x:c r="BJ676"/>
      <x:c r="BK676"/>
      <x:c r="BL676"/>
      <x:c r="BM676"/>
      <x:c r="BN676"/>
      <x:c r="BO676"/>
      <x:c r="BP676"/>
      <x:c r="BQ676"/>
      <x:c r="BR676"/>
      <x:c r="BS676"/>
      <x:c r="BT676"/>
      <x:c r="BU676"/>
      <x:c r="BV676"/>
      <x:c r="BW676"/>
      <x:c r="BX676"/>
      <x:c r="BY676"/>
      <x:c r="BZ676"/>
      <x:c r="CA676"/>
      <x:c r="CB676"/>
      <x:c r="CC676"/>
    </x:row>
    <x:row r="677" ht="115" customHeight="1">
      <x:c r="A677" s="4" t="str">
        <x:v>proposal.collection.cool_cellar_phagia_drink</x:v>
      </x:c>
      <x:c r="B677" s="4" t="str">
        <x:v>Cool-cellar Phagia drink</x:v>
      </x:c>
      <x:c r="C677" s="4" t="str">
        <x:v>Not applicable</x:v>
      </x:c>
      <x:c r="D677" s="4" t="str">
        <x:v>Consumables</x:v>
      </x:c>
      <x:c r="E677" s="4" t="str">
        <x:v>Drink consumable</x:v>
      </x:c>
      <x:c r="F677" s="4" t="str">
        <x:v>New proposal</x:v>
      </x:c>
      <x:c r="G677" s="4" t="inlineStr">
        <x:is>
          <x:t xml:space="preserve">Cooled serving using a dry cellar rather than ice or free water. It is a proposed drink or drink ingredient within the food-designated Phagia supply. Portion, preparation, preservation and hydration benefit remain undefined.</x:t>
        </x:is>
      </x:c>
      <x:c r="H677" s="4" t="str">
        <x:v>None</x:v>
      </x:c>
      <x:c r="I677" s="4" t="str">
        <x:v>Matched sealed vessel; compatibility and contamination unresolved</x:v>
      </x:c>
      <x:c r="J677" s="4"/>
      <x:c r="K677" s="4"/>
      <x:c r="L677" s="4" t="str">
        <x:v>Candidate preparation: design.collection.cool_cellar_phagia_drink. Full inputs are in Crafting browser.</x:v>
      </x:c>
      <x:c r="M677" s="4" t="str">
        <x:v>Candidate workshop or contained preparation route; detailed tools, quantities and conditions unresolved</x:v>
      </x:c>
      <x:c r="N677" s="4" t="str">
        <x:v>Not implemented</x:v>
      </x:c>
      <x:c r="O677" s="4" t="str">
        <x:v>Culinary proposal. Select species/food-designated culture and validate edibility; industrial fractions are excluded. No nutritional, medical or preservation claim.</x:v>
      </x:c>
      <x:c r="P677" s="4"/>
      <x:c r="Q677" s="4"/>
      <x:c r="R677" s="4"/>
      <x:c r="S677" s="4"/>
      <x:c r="T677" s="4"/>
      <x:c r="U677" s="4" t="str">
        <x:v>Candidate inputs are partial. Resolve tools, supporting materials, energy, recovery and compatibility before recipes become craftable.</x:v>
      </x:c>
      <x:c r="V677" s="4" t="str">
        <x:v>cool-cellar phagia drink; collection expansion; drink consumable</x:v>
      </x:c>
      <x:c r="W6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7" s="4" t="str">
        <x:v>Drink consumable</x:v>
      </x:c>
      <x:c r="Y677" s="4" t="str">
        <x:v>Finished item</x:v>
      </x:c>
      <x:c r="Z677" s="4" t="str">
        <x:v>Manufactured / unresolved</x:v>
      </x:c>
      <x:c r="AA677" s="4" t="str">
        <x:v>Hydration</x:v>
      </x:c>
      <x:c r="AB677" s="4" t="str">
        <x:v>Phagia preparation</x:v>
      </x:c>
      <x:c r="AC677" s="4" t="str">
        <x:v>Liquid</x:v>
      </x:c>
      <x:c r="AD677" s="4" t="str">
        <x:v>Proposal</x:v>
      </x:c>
      <x:c r="AE677" s="4" t="str">
        <x:f>LOWER(A677&amp;"; "&amp;B677&amp;"; "&amp;D677&amp;"; "&amp;E677&amp;"; "&amp;X677&amp;"; "&amp;Y677&amp;"; "&amp;Z677&amp;"; "&amp;AA677&amp;"; "&amp;AB677&amp;"; "&amp;AC677&amp;"; "&amp;AD677&amp;"; "&amp;V677&amp;"; "&amp;C677&amp;"; "&amp;AH677&amp;"; "&amp;AI677)</x:f>
        <x:v>proposal.collection.cool_cellar_phagia_drink; cool-cellar phagia drink; consumables; drink consumable; drink consumable; finished item; manufactured / unresolved; hydration; phagia preparation; liquid; proposal; cool-cellar phagia drink; collection expansion; drink consumable; not applicable; t1; finished item</x:v>
      </x:c>
      <x:c r="AF677" s="4" t="str">
        <x:v>Collection expansion classification. Distinct type, use and material family; new item proposal unless author direction is marked.</x:v>
      </x:c>
      <x:c r="AG677" s="4" t="str">
        <x:v>Finished endpoint or currency. Material tier is separate from finished input tier.</x:v>
      </x:c>
      <x:c r="AH677" s="4" t="str">
        <x:v>T1</x:v>
      </x:c>
      <x:c r="AI677" s="4" t="str">
        <x:v>Finished item</x:v>
      </x:c>
      <x:c r="AJ677" s="4" t="n">
        <x:f>COUNTIFS('Material routes'!$D$6:$D$2205,A677,'Material routes'!$C$6:$C$2205,"Output")</x:f>
        <x:v>1</x:v>
      </x:c>
      <x:c r="AK677" s="4" t="n">
        <x:f>SUM(COUNTIFS('Material routes'!$D$6:$D$2205,A677,'Material routes'!$C$6:$C$2205,"Ingredient candidate"),COUNTIFS('Material routes'!$D$6:$D$2205,A677,'Material routes'!$C$6:$C$2205,"Consumed input"),COUNTIFS('Material routes'!$D$6:$D$2205,A677,'Material routes'!$C$6:$C$2205,"Contained input"),COUNTIFS('Material routes'!$D$6:$D$2205,A677,'Material routes'!$C$6:$C$2205,"Transform input"))</x:f>
        <x:v>0</x:v>
      </x:c>
      <x:c r="AL677" s="4" t="n">
        <x:f>COUNTIFS('Material routes'!$D$6:$D$2205,A677,'Material routes'!$C$6:$C$2205,"Tool candidate")</x:f>
        <x:v>0</x:v>
      </x:c>
      <x:c r="AM677" s="4" t="str">
        <x:f>IF(AJ677&gt;0,"Route listed; review status/completeness",IF(C677="T0","Raw entry feed; no production route","No production route listed"))</x:f>
        <x:v>Route listed; review status/completeness</x:v>
      </x:c>
      <x:c r="AN677" s="4" t="n">
        <x:f>IF(C677="T0",0,IF(C677="T1",1,IF(C677="T2",2,IF(C677="T3",3,IF(C677="T4",4,IF(C677="Unassigned",98,99))))))</x:f>
        <x:v>99</x:v>
      </x:c>
      <x:c r="AZ677"/>
      <x:c r="BA677"/>
      <x:c r="BB677"/>
      <x:c r="BC677"/>
      <x:c r="BD677"/>
      <x:c r="BE677"/>
      <x:c r="BF677"/>
      <x:c r="BG677"/>
      <x:c r="BH677"/>
      <x:c r="BI677"/>
      <x:c r="BJ677"/>
      <x:c r="BK677"/>
      <x:c r="BL677"/>
      <x:c r="BM677"/>
      <x:c r="BN677"/>
      <x:c r="BO677"/>
      <x:c r="BP677"/>
      <x:c r="BQ677"/>
      <x:c r="BR677"/>
      <x:c r="BS677"/>
      <x:c r="BT677"/>
      <x:c r="BU677"/>
      <x:c r="BV677"/>
      <x:c r="BW677"/>
      <x:c r="BX677"/>
      <x:c r="BY677"/>
      <x:c r="BZ677"/>
      <x:c r="CA677"/>
      <x:c r="CB677"/>
      <x:c r="CC677"/>
    </x:row>
    <x:row r="678" ht="115" customHeight="1">
      <x:c r="A678" s="4" t="str">
        <x:v>proposal.collection.phagia_fauna_savory_broth</x:v>
      </x:c>
      <x:c r="B678" s="4" t="str">
        <x:v>Phagia-fauna savory broth</x:v>
      </x:c>
      <x:c r="C678" s="4" t="str">
        <x:v>Not applicable</x:v>
      </x:c>
      <x:c r="D678" s="4" t="str">
        <x:v>Consumables</x:v>
      </x:c>
      <x:c r="E678" s="4" t="str">
        <x:v>Drink consumable</x:v>
      </x:c>
      <x:c r="F678" s="4" t="str">
        <x:v>New proposal</x:v>
      </x:c>
      <x:c r="G678" s="4" t="inlineStr">
        <x:is>
          <x:t xml:space="preserve">Rare culinary broth from a selected edible fauna source. It is a proposed drink or drink ingredient within the food-designated Phagia supply. Portion, preparation, preservation and hydration benefit remain undefined.</x:t>
        </x:is>
      </x:c>
      <x:c r="H678" s="4" t="str">
        <x:v>None</x:v>
      </x:c>
      <x:c r="I678" s="4" t="str">
        <x:v>Matched sealed vessel; compatibility and contamination unresolved</x:v>
      </x:c>
      <x:c r="J678" s="4"/>
      <x:c r="K678" s="4"/>
      <x:c r="L678" s="4" t="str">
        <x:v>Candidate preparation: design.collection.phagia_fauna_savory_broth. Full inputs are in Crafting browser.</x:v>
      </x:c>
      <x:c r="M678" s="4" t="str">
        <x:v>Candidate workshop or contained preparation route; detailed tools, quantities and conditions unresolved</x:v>
      </x:c>
      <x:c r="N678" s="4" t="str">
        <x:v>Not implemented</x:v>
      </x:c>
      <x:c r="O678" s="4" t="str">
        <x:v>Culinary proposal. Select species/food-designated culture and validate edibility; industrial fractions are excluded. No nutritional, medical or preservation claim.</x:v>
      </x:c>
      <x:c r="P678" s="4"/>
      <x:c r="Q678" s="4"/>
      <x:c r="R678" s="4"/>
      <x:c r="S678" s="4"/>
      <x:c r="T678" s="4"/>
      <x:c r="U678" s="4" t="str">
        <x:v>Candidate inputs are partial. Resolve tools, supporting materials, energy, recovery and compatibility before recipes become craftable.</x:v>
      </x:c>
      <x:c r="V678" s="4" t="str">
        <x:v>phagia-fauna savory broth; collection expansion; drink consumable</x:v>
      </x:c>
      <x:c r="W67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8" s="4" t="str">
        <x:v>Drink consumable</x:v>
      </x:c>
      <x:c r="Y678" s="4" t="str">
        <x:v>Finished item</x:v>
      </x:c>
      <x:c r="Z678" s="4" t="str">
        <x:v>Manufactured / unresolved</x:v>
      </x:c>
      <x:c r="AA678" s="4" t="str">
        <x:v>Hydration</x:v>
      </x:c>
      <x:c r="AB678" s="4" t="str">
        <x:v>Phagia and edible fauna</x:v>
      </x:c>
      <x:c r="AC678" s="4" t="str">
        <x:v>Liquid</x:v>
      </x:c>
      <x:c r="AD678" s="4" t="str">
        <x:v>Proposal</x:v>
      </x:c>
      <x:c r="AE678" s="4" t="str">
        <x:f>LOWER(A678&amp;"; "&amp;B678&amp;"; "&amp;D678&amp;"; "&amp;E678&amp;"; "&amp;X678&amp;"; "&amp;Y678&amp;"; "&amp;Z678&amp;"; "&amp;AA678&amp;"; "&amp;AB678&amp;"; "&amp;AC678&amp;"; "&amp;AD678&amp;"; "&amp;V678&amp;"; "&amp;C678&amp;"; "&amp;AH678&amp;"; "&amp;AI678)</x:f>
        <x:v>proposal.collection.phagia_fauna_savory_broth; phagia-fauna savory broth; consumables; drink consumable; drink consumable; finished item; manufactured / unresolved; hydration; phagia and edible fauna; liquid; proposal; phagia-fauna savory broth; collection expansion; drink consumable; not applicable; t2; finished item</x:v>
      </x:c>
      <x:c r="AF678" s="4" t="str">
        <x:v>Collection expansion classification. Distinct type, use and material family; new item proposal unless author direction is marked. October 15 audit: classification/handling clarified; item identity, design status and material tier preserved.</x:v>
      </x:c>
      <x:c r="AG678" s="4" t="str">
        <x:v>Finished endpoint or currency. Material tier is separate from finished input tier.</x:v>
      </x:c>
      <x:c r="AH678" s="4" t="str">
        <x:v>T2</x:v>
      </x:c>
      <x:c r="AI678" s="4" t="str">
        <x:v>Finished item</x:v>
      </x:c>
      <x:c r="AJ678" s="4" t="n">
        <x:f>COUNTIFS('Material routes'!$D$6:$D$2205,A678,'Material routes'!$C$6:$C$2205,"Output")</x:f>
        <x:v>1</x:v>
      </x:c>
      <x:c r="AK678" s="4" t="n">
        <x:f>SUM(COUNTIFS('Material routes'!$D$6:$D$2205,A678,'Material routes'!$C$6:$C$2205,"Ingredient candidate"),COUNTIFS('Material routes'!$D$6:$D$2205,A678,'Material routes'!$C$6:$C$2205,"Consumed input"),COUNTIFS('Material routes'!$D$6:$D$2205,A678,'Material routes'!$C$6:$C$2205,"Contained input"),COUNTIFS('Material routes'!$D$6:$D$2205,A678,'Material routes'!$C$6:$C$2205,"Transform input"))</x:f>
        <x:v>0</x:v>
      </x:c>
      <x:c r="AL678" s="4" t="n">
        <x:f>COUNTIFS('Material routes'!$D$6:$D$2205,A678,'Material routes'!$C$6:$C$2205,"Tool candidate")</x:f>
        <x:v>0</x:v>
      </x:c>
      <x:c r="AM678" s="4" t="str">
        <x:f>IF(AJ678&gt;0,"Route listed; review status/completeness",IF(C678="T0","Raw entry feed; no production route","No production route listed"))</x:f>
        <x:v>Route listed; review status/completeness</x:v>
      </x:c>
      <x:c r="AN678" s="4" t="n">
        <x:f>IF(C678="T0",0,IF(C678="T1",1,IF(C678="T2",2,IF(C678="T3",3,IF(C678="T4",4,IF(C678="Unassigned",98,99))))))</x:f>
        <x:v>99</x:v>
      </x:c>
      <x:c r="AZ678"/>
      <x:c r="BA678"/>
      <x:c r="BB678"/>
      <x:c r="BC678"/>
      <x:c r="BD678"/>
      <x:c r="BE678"/>
      <x:c r="BF678"/>
      <x:c r="BG678"/>
      <x:c r="BH678"/>
      <x:c r="BI678"/>
      <x:c r="BJ678"/>
      <x:c r="BK678"/>
      <x:c r="BL678"/>
      <x:c r="BM678"/>
      <x:c r="BN678"/>
      <x:c r="BO678"/>
      <x:c r="BP678"/>
      <x:c r="BQ678"/>
      <x:c r="BR678"/>
      <x:c r="BS678"/>
      <x:c r="BT678"/>
      <x:c r="BU678"/>
      <x:c r="BV678"/>
      <x:c r="BW678"/>
      <x:c r="BX678"/>
      <x:c r="BY678"/>
      <x:c r="BZ678"/>
      <x:c r="CA678"/>
      <x:c r="CB678"/>
      <x:c r="CC678"/>
    </x:row>
    <x:row r="679" ht="115" customHeight="1">
      <x:c r="A679" s="4"/>
      <x:c r="B679" s="4"/>
      <x:c r="C679" s="4"/>
      <x:c r="D679" s="4"/>
      <x:c r="E679" s="4"/>
      <x:c r="F679" s="4"/>
      <x:c r="G679" s="4"/>
      <x:c r="H679" s="4"/>
      <x:c r="I679" s="4"/>
      <x:c r="J679" s="4"/>
      <x:c r="M679" s="4"/>
      <x:c r="N679" s="4"/>
      <x:c r="O679" s="4"/>
      <x:c r="P679" s="4"/>
      <x:c r="V679" s="4"/>
      <x:c r="W679" s="4"/>
      <x:c r="X679" s="4"/>
      <x:c r="Y679" s="4"/>
      <x:c r="Z679" s="4"/>
      <x:c r="AA679" s="4"/>
      <x:c r="AB679" s="4"/>
      <x:c r="AC679" s="4"/>
      <x:c r="AD679" s="4"/>
      <x:c r="AE679" s="4"/>
      <x:c r="AF679" s="4"/>
      <x:c r="AG679" s="4"/>
      <x:c r="AH679" s="4"/>
      <x:c r="AI679" s="4"/>
      <x:c r="AJ679" s="4"/>
      <x:c r="AK679" s="4"/>
      <x:c r="AL679" s="4"/>
      <x:c r="AM679" s="4"/>
      <x:c r="AN679" s="4"/>
      <x:c r="AZ679"/>
      <x:c r="BA679"/>
      <x:c r="BB679"/>
      <x:c r="BC679"/>
      <x:c r="BD679"/>
      <x:c r="BE679"/>
      <x:c r="BF679"/>
      <x:c r="BG679"/>
      <x:c r="BH679"/>
      <x:c r="BI679"/>
      <x:c r="BJ679"/>
      <x:c r="BK679"/>
      <x:c r="BL679"/>
      <x:c r="BM679"/>
      <x:c r="BN679"/>
      <x:c r="BO679"/>
      <x:c r="BP679"/>
      <x:c r="BQ679"/>
      <x:c r="BR679"/>
      <x:c r="BS679"/>
      <x:c r="BT679"/>
      <x:c r="BU679"/>
      <x:c r="BV679"/>
      <x:c r="BW679"/>
      <x:c r="BX679"/>
      <x:c r="BY679"/>
      <x:c r="BZ679"/>
      <x:c r="CA679"/>
      <x:c r="CB679"/>
      <x:c r="CC679"/>
    </x:row>
    <x:row r="680" ht="115" customHeight="1">
      <x:c r="A680" s="4" t="str">
        <x:v>proposal.collection.phagia_aroma_tasting_cup</x:v>
      </x:c>
      <x:c r="B680" s="4" t="str">
        <x:v>Phagia aroma tasting cup</x:v>
      </x:c>
      <x:c r="C680" s="4" t="str">
        <x:v>Not applicable</x:v>
      </x:c>
      <x:c r="D680" s="4" t="str">
        <x:v>Consumables</x:v>
      </x:c>
      <x:c r="E680" s="4" t="str">
        <x:v>Drink consumable</x:v>
      </x:c>
      <x:c r="F680" s="4" t="str">
        <x:v>New proposal</x:v>
      </x:c>
      <x:c r="G680" s="4" t="inlineStr">
        <x:is>
          <x:t xml:space="preserve">Trace fauna-flavored drink for specialist cooks. It is a proposed drink or drink ingredient within the food-designated Phagia supply. Portion, preparation, preservation and hydration benefit remain undefined.</x:t>
        </x:is>
      </x:c>
      <x:c r="H680" s="4" t="str">
        <x:v>None</x:v>
      </x:c>
      <x:c r="I680" s="4" t="str">
        <x:v>Matched sealed vessel; compatibility and contamination unresolved</x:v>
      </x:c>
      <x:c r="J680" s="4"/>
      <x:c r="K680" s="4"/>
      <x:c r="L680" s="4" t="str">
        <x:v>Candidate preparation: design.collection.phagia_aroma_tasting_cup. Full inputs are in Crafting browser.</x:v>
      </x:c>
      <x:c r="M680" s="4" t="str">
        <x:v>Candidate workshop or contained preparation route; detailed tools, quantities and conditions unresolved</x:v>
      </x:c>
      <x:c r="N680" s="4" t="str">
        <x:v>Not implemented</x:v>
      </x:c>
      <x:c r="O680" s="4" t="str">
        <x:v>Culinary proposal. Select species/food-designated culture and validate edibility; industrial fractions are excluded. No nutritional, medical or preservation claim.</x:v>
      </x:c>
      <x:c r="P680" s="4"/>
      <x:c r="Q680" s="4"/>
      <x:c r="R680" s="4"/>
      <x:c r="S680" s="4"/>
      <x:c r="T680" s="4"/>
      <x:c r="U680" s="4" t="str">
        <x:v>Candidate inputs are partial. Resolve tools, supporting materials, energy, recovery and compatibility before recipes become craftable.</x:v>
      </x:c>
      <x:c r="V680" s="4" t="str">
        <x:v>phagia aroma tasting cup; collection expansion; drink consumable</x:v>
      </x:c>
      <x:c r="W68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0" s="4" t="str">
        <x:v>Drink consumable</x:v>
      </x:c>
      <x:c r="Y680" s="4" t="str">
        <x:v>Finished item</x:v>
      </x:c>
      <x:c r="Z680" s="4" t="str">
        <x:v>Manufactured / unresolved</x:v>
      </x:c>
      <x:c r="AA680" s="4" t="str">
        <x:v>Hydration</x:v>
      </x:c>
      <x:c r="AB680" s="4" t="str">
        <x:v>Phagia and edible fauna</x:v>
      </x:c>
      <x:c r="AC680" s="4" t="str">
        <x:v>Liquid</x:v>
      </x:c>
      <x:c r="AD680" s="4" t="str">
        <x:v>Proposal</x:v>
      </x:c>
      <x:c r="AE680" s="4" t="str">
        <x:f>LOWER(A680&amp;"; "&amp;B680&amp;"; "&amp;D680&amp;"; "&amp;E680&amp;"; "&amp;X680&amp;"; "&amp;Y680&amp;"; "&amp;Z680&amp;"; "&amp;AA680&amp;"; "&amp;AB680&amp;"; "&amp;AC680&amp;"; "&amp;AD680&amp;"; "&amp;V680&amp;"; "&amp;C680&amp;"; "&amp;AH680&amp;"; "&amp;AI680)</x:f>
        <x:v>proposal.collection.phagia_aroma_tasting_cup; phagia aroma tasting cup; consumables; drink consumable; drink consumable; finished item; manufactured / unresolved; hydration; phagia and edible fauna; liquid; proposal; phagia aroma tasting cup; collection expansion; drink consumable; not applicable; t1; finished item</x:v>
      </x:c>
      <x:c r="AF680" s="4" t="str">
        <x:v>Collection expansion classification. Distinct type, use and material family; new item proposal unless author direction is marked. October 15 audit: classification/handling clarified; item identity, design status and material tier preserved.</x:v>
      </x:c>
      <x:c r="AG680" s="4" t="str">
        <x:v>Finished endpoint or currency. Material tier is separate from finished input tier.</x:v>
      </x:c>
      <x:c r="AH680" s="4" t="str">
        <x:v>T1</x:v>
      </x:c>
      <x:c r="AI680" s="4" t="str">
        <x:v>Finished item</x:v>
      </x:c>
      <x:c r="AJ680" s="4" t="n">
        <x:f>COUNTIFS('Material routes'!$D$6:$D$2205,A680,'Material routes'!$C$6:$C$2205,"Output")</x:f>
        <x:v>1</x:v>
      </x:c>
      <x:c r="AK680" s="4" t="n">
        <x:f>SUM(COUNTIFS('Material routes'!$D$6:$D$2205,A680,'Material routes'!$C$6:$C$2205,"Ingredient candidate"),COUNTIFS('Material routes'!$D$6:$D$2205,A680,'Material routes'!$C$6:$C$2205,"Consumed input"),COUNTIFS('Material routes'!$D$6:$D$2205,A680,'Material routes'!$C$6:$C$2205,"Contained input"),COUNTIFS('Material routes'!$D$6:$D$2205,A680,'Material routes'!$C$6:$C$2205,"Transform input"))</x:f>
        <x:v>0</x:v>
      </x:c>
      <x:c r="AL680" s="4" t="n">
        <x:f>COUNTIFS('Material routes'!$D$6:$D$2205,A680,'Material routes'!$C$6:$C$2205,"Tool candidate")</x:f>
        <x:v>0</x:v>
      </x:c>
      <x:c r="AM680" s="4" t="str">
        <x:f>IF(AJ680&gt;0,"Route listed; review status/completeness",IF(C680="T0","Raw entry feed; no production route","No production route listed"))</x:f>
        <x:v>Route listed; review status/completeness</x:v>
      </x:c>
      <x:c r="AN680" s="4" t="n">
        <x:f>IF(C680="T0",0,IF(C680="T1",1,IF(C680="T2",2,IF(C680="T3",3,IF(C680="T4",4,IF(C680="Unassigned",98,99))))))</x:f>
        <x:v>99</x:v>
      </x:c>
      <x:c r="AZ680"/>
      <x:c r="BA680"/>
      <x:c r="BB680"/>
      <x:c r="BC680"/>
      <x:c r="BD680"/>
      <x:c r="BE680"/>
      <x:c r="BF680"/>
      <x:c r="BG680"/>
      <x:c r="BH680"/>
      <x:c r="BI680"/>
      <x:c r="BJ680"/>
      <x:c r="BK680"/>
      <x:c r="BL680"/>
      <x:c r="BM680"/>
      <x:c r="BN680"/>
      <x:c r="BO680"/>
      <x:c r="BP680"/>
      <x:c r="BQ680"/>
      <x:c r="BR680"/>
      <x:c r="BS680"/>
      <x:c r="BT680"/>
      <x:c r="BU680"/>
      <x:c r="BV680"/>
      <x:c r="BW680"/>
      <x:c r="BX680"/>
      <x:c r="BY680"/>
      <x:c r="BZ680"/>
      <x:c r="CA680"/>
      <x:c r="CB680"/>
      <x:c r="CC680"/>
    </x:row>
    <x:row r="681" ht="115" customHeight="1">
      <x:c r="A681" s="4" t="str">
        <x:v>proposal.collection.coarse_meal_phagia_drink</x:v>
      </x:c>
      <x:c r="B681" s="4" t="str">
        <x:v>Coarse-meal Phagia drink</x:v>
      </x:c>
      <x:c r="C681" s="4" t="str">
        <x:v>Not applicable</x:v>
      </x:c>
      <x:c r="D681" s="4" t="str">
        <x:v>Consumables</x:v>
      </x:c>
      <x:c r="E681" s="4" t="str">
        <x:v>Drink consumable</x:v>
      </x:c>
      <x:c r="F681" s="4" t="str">
        <x:v>New proposal</x:v>
      </x:c>
      <x:c r="G681" s="4" t="inlineStr">
        <x:is>
          <x:t xml:space="preserve">Fine Phagia meal suspended for a coarse texture. It is a proposed drink or drink ingredient within the food-designated Phagia supply. Portion, preparation, preservation and hydration benefit remain undefined.</x:t>
        </x:is>
      </x:c>
      <x:c r="H681" s="4" t="str">
        <x:v>None</x:v>
      </x:c>
      <x:c r="I681" s="4" t="str">
        <x:v>Matched sealed vessel; compatibility and contamination unresolved</x:v>
      </x:c>
      <x:c r="J681" s="4"/>
      <x:c r="K681" s="4"/>
      <x:c r="L681" s="4" t="str">
        <x:v>Candidate preparation: design.collection.coarse_meal_phagia_drink. Full inputs are in Crafting browser.</x:v>
      </x:c>
      <x:c r="M681" s="4" t="str">
        <x:v>Candidate workshop or contained preparation route; detailed tools, quantities and conditions unresolved</x:v>
      </x:c>
      <x:c r="N681" s="4" t="str">
        <x:v>Not implemented</x:v>
      </x:c>
      <x:c r="O681" s="4" t="str">
        <x:v>Culinary proposal. Select species/food-designated culture and validate edibility; industrial fractions are excluded. No nutritional, medical or preservation claim.</x:v>
      </x:c>
      <x:c r="P681" s="4"/>
      <x:c r="Q681" s="4"/>
      <x:c r="R681" s="4"/>
      <x:c r="S681" s="4"/>
      <x:c r="T681" s="4"/>
      <x:c r="U681" s="4" t="str">
        <x:v>Candidate inputs are partial. Resolve tools, supporting materials, energy, recovery and compatibility before recipes become craftable.</x:v>
      </x:c>
      <x:c r="V681" s="4" t="str">
        <x:v>coarse-meal phagia drink; collection expansion; drink consumable</x:v>
      </x:c>
      <x:c r="W68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1" s="4" t="str">
        <x:v>Drink consumable</x:v>
      </x:c>
      <x:c r="Y681" s="4" t="str">
        <x:v>Finished item</x:v>
      </x:c>
      <x:c r="Z681" s="4" t="str">
        <x:v>Manufactured / unresolved</x:v>
      </x:c>
      <x:c r="AA681" s="4" t="str">
        <x:v>Hydration</x:v>
      </x:c>
      <x:c r="AB681" s="4" t="str">
        <x:v>Phagia preparation</x:v>
      </x:c>
      <x:c r="AC681" s="4" t="str">
        <x:v>Liquid</x:v>
      </x:c>
      <x:c r="AD681" s="4" t="str">
        <x:v>Proposal</x:v>
      </x:c>
      <x:c r="AE681" s="4" t="str">
        <x:f>LOWER(A681&amp;"; "&amp;B681&amp;"; "&amp;D681&amp;"; "&amp;E681&amp;"; "&amp;X681&amp;"; "&amp;Y681&amp;"; "&amp;Z681&amp;"; "&amp;AA681&amp;"; "&amp;AB681&amp;"; "&amp;AC681&amp;"; "&amp;AD681&amp;"; "&amp;V681&amp;"; "&amp;C681&amp;"; "&amp;AH681&amp;"; "&amp;AI681)</x:f>
        <x:v>proposal.collection.coarse_meal_phagia_drink; coarse-meal phagia drink; consumables; drink consumable; drink consumable; finished item; manufactured / unresolved; hydration; phagia preparation; liquid; proposal; coarse-meal phagia drink; collection expansion; drink consumable; not applicable; t1; finished item</x:v>
      </x:c>
      <x:c r="AF681" s="4" t="str">
        <x:v>Collection expansion classification. Distinct type, use and material family; new item proposal unless author direction is marked.</x:v>
      </x:c>
      <x:c r="AG681" s="4" t="str">
        <x:v>Finished endpoint or currency. Material tier is separate from finished input tier.</x:v>
      </x:c>
      <x:c r="AH681" s="4" t="str">
        <x:v>T1</x:v>
      </x:c>
      <x:c r="AI681" s="4" t="str">
        <x:v>Finished item</x:v>
      </x:c>
      <x:c r="AJ681" s="4" t="n">
        <x:f>COUNTIFS('Material routes'!$D$6:$D$2205,A681,'Material routes'!$C$6:$C$2205,"Output")</x:f>
        <x:v>1</x:v>
      </x:c>
      <x:c r="AK681" s="4" t="n">
        <x:f>SUM(COUNTIFS('Material routes'!$D$6:$D$2205,A681,'Material routes'!$C$6:$C$2205,"Ingredient candidate"),COUNTIFS('Material routes'!$D$6:$D$2205,A681,'Material routes'!$C$6:$C$2205,"Consumed input"),COUNTIFS('Material routes'!$D$6:$D$2205,A681,'Material routes'!$C$6:$C$2205,"Contained input"),COUNTIFS('Material routes'!$D$6:$D$2205,A681,'Material routes'!$C$6:$C$2205,"Transform input"))</x:f>
        <x:v>0</x:v>
      </x:c>
      <x:c r="AL681" s="4" t="n">
        <x:f>COUNTIFS('Material routes'!$D$6:$D$2205,A681,'Material routes'!$C$6:$C$2205,"Tool candidate")</x:f>
        <x:v>0</x:v>
      </x:c>
      <x:c r="AM681" s="4" t="str">
        <x:f>IF(AJ681&gt;0,"Route listed; review status/completeness",IF(C681="T0","Raw entry feed; no production route","No production route listed"))</x:f>
        <x:v>Route listed; review status/completeness</x:v>
      </x:c>
      <x:c r="AN681" s="4" t="n">
        <x:f>IF(C681="T0",0,IF(C681="T1",1,IF(C681="T2",2,IF(C681="T3",3,IF(C681="T4",4,IF(C681="Unassigned",98,99))))))</x:f>
        <x:v>99</x:v>
      </x:c>
      <x:c r="AZ681"/>
      <x:c r="BA681"/>
      <x:c r="BB681"/>
      <x:c r="BC681"/>
      <x:c r="BD681"/>
      <x:c r="BE681"/>
      <x:c r="BF681"/>
      <x:c r="BG681"/>
      <x:c r="BH681"/>
      <x:c r="BI681"/>
      <x:c r="BJ681"/>
      <x:c r="BK681"/>
      <x:c r="BL681"/>
      <x:c r="BM681"/>
      <x:c r="BN681"/>
      <x:c r="BO681"/>
      <x:c r="BP681"/>
      <x:c r="BQ681"/>
      <x:c r="BR681"/>
      <x:c r="BS681"/>
      <x:c r="BT681"/>
      <x:c r="BU681"/>
      <x:c r="BV681"/>
      <x:c r="BW681"/>
      <x:c r="BX681"/>
      <x:c r="BY681"/>
      <x:c r="BZ681"/>
      <x:c r="CA681"/>
      <x:c r="CB681"/>
      <x:c r="CC681"/>
    </x:row>
    <x:row r="682" ht="115" customHeight="1">
      <x:c r="A682" s="4" t="str">
        <x:v>proposal.collection.two_layer_phagia_cup</x:v>
      </x:c>
      <x:c r="B682" s="4" t="str">
        <x:v>Two-layer Phagia cup</x:v>
      </x:c>
      <x:c r="C682" s="4" t="str">
        <x:v>Not applicable</x:v>
      </x:c>
      <x:c r="D682" s="4" t="str">
        <x:v>Consumables</x:v>
      </x:c>
      <x:c r="E682" s="4" t="str">
        <x:v>Drink consumable</x:v>
      </x:c>
      <x:c r="F682" s="4" t="str">
        <x:v>New proposal</x:v>
      </x:c>
      <x:c r="G682" s="4" t="inlineStr">
        <x:is>
          <x:t xml:space="preserve">Separated curd and liquid presented as a drink. It is a proposed drink or drink ingredient within the food-designated Phagia supply. Portion, preparation, preservation and hydration benefit remain undefined.</x:t>
        </x:is>
      </x:c>
      <x:c r="H682" s="4" t="str">
        <x:v>None</x:v>
      </x:c>
      <x:c r="I682" s="4" t="str">
        <x:v>Matched sealed vessel; compatibility and contamination unresolved</x:v>
      </x:c>
      <x:c r="J682" s="4"/>
      <x:c r="K682" s="4"/>
      <x:c r="L682" s="4" t="str">
        <x:v>Candidate preparation: design.collection.two_layer_phagia_cup. Full inputs are in Crafting browser.</x:v>
      </x:c>
      <x:c r="M682" s="4" t="str">
        <x:v>Candidate workshop or contained preparation route; detailed tools, quantities and conditions unresolved</x:v>
      </x:c>
      <x:c r="N682" s="4" t="str">
        <x:v>Not implemented</x:v>
      </x:c>
      <x:c r="O682" s="4" t="str">
        <x:v>Culinary proposal. Select species/food-designated culture and validate edibility; industrial fractions are excluded. No nutritional, medical or preservation claim.</x:v>
      </x:c>
      <x:c r="P682" s="4"/>
      <x:c r="Q682" s="4"/>
      <x:c r="R682" s="4"/>
      <x:c r="S682" s="4"/>
      <x:c r="T682" s="4"/>
      <x:c r="U682" s="4" t="str">
        <x:v>Candidate inputs are partial. Resolve tools, supporting materials, energy, recovery and compatibility before recipes become craftable.</x:v>
      </x:c>
      <x:c r="V682" s="4" t="str">
        <x:v>two-layer phagia cup; collection expansion; drink consumable</x:v>
      </x:c>
      <x:c r="W6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2" s="4" t="str">
        <x:v>Drink consumable</x:v>
      </x:c>
      <x:c r="Y682" s="4" t="str">
        <x:v>Finished item</x:v>
      </x:c>
      <x:c r="Z682" s="4" t="str">
        <x:v>Manufactured / unresolved</x:v>
      </x:c>
      <x:c r="AA682" s="4" t="str">
        <x:v>Hydration</x:v>
      </x:c>
      <x:c r="AB682" s="4" t="str">
        <x:v>Phagia preparation</x:v>
      </x:c>
      <x:c r="AC682" s="4" t="str">
        <x:v>Liquid</x:v>
      </x:c>
      <x:c r="AD682" s="4" t="str">
        <x:v>Proposal</x:v>
      </x:c>
      <x:c r="AE682" s="4" t="str">
        <x:f>LOWER(A682&amp;"; "&amp;B682&amp;"; "&amp;D682&amp;"; "&amp;E682&amp;"; "&amp;X682&amp;"; "&amp;Y682&amp;"; "&amp;Z682&amp;"; "&amp;AA682&amp;"; "&amp;AB682&amp;"; "&amp;AC682&amp;"; "&amp;AD682&amp;"; "&amp;V682&amp;"; "&amp;C682&amp;"; "&amp;AH682&amp;"; "&amp;AI682)</x:f>
        <x:v>proposal.collection.two_layer_phagia_cup; two-layer phagia cup; consumables; drink consumable; drink consumable; finished item; manufactured / unresolved; hydration; phagia preparation; liquid; proposal; two-layer phagia cup; collection expansion; drink consumable; not applicable; t1; finished item</x:v>
      </x:c>
      <x:c r="AF682" s="4" t="str">
        <x:v>Collection expansion classification. Distinct type, use and material family; new item proposal unless author direction is marked.</x:v>
      </x:c>
      <x:c r="AG682" s="4" t="str">
        <x:v>Finished endpoint or currency. Material tier is separate from finished input tier.</x:v>
      </x:c>
      <x:c r="AH682" s="4" t="str">
        <x:v>T1</x:v>
      </x:c>
      <x:c r="AI682" s="4" t="str">
        <x:v>Finished item</x:v>
      </x:c>
      <x:c r="AJ682" s="4" t="n">
        <x:f>COUNTIFS('Material routes'!$D$6:$D$2205,A682,'Material routes'!$C$6:$C$2205,"Output")</x:f>
        <x:v>1</x:v>
      </x:c>
      <x:c r="AK682" s="4" t="n">
        <x:f>SUM(COUNTIFS('Material routes'!$D$6:$D$2205,A682,'Material routes'!$C$6:$C$2205,"Ingredient candidate"),COUNTIFS('Material routes'!$D$6:$D$2205,A682,'Material routes'!$C$6:$C$2205,"Consumed input"),COUNTIFS('Material routes'!$D$6:$D$2205,A682,'Material routes'!$C$6:$C$2205,"Contained input"),COUNTIFS('Material routes'!$D$6:$D$2205,A682,'Material routes'!$C$6:$C$2205,"Transform input"))</x:f>
        <x:v>0</x:v>
      </x:c>
      <x:c r="AL682" s="4" t="n">
        <x:f>COUNTIFS('Material routes'!$D$6:$D$2205,A682,'Material routes'!$C$6:$C$2205,"Tool candidate")</x:f>
        <x:v>0</x:v>
      </x:c>
      <x:c r="AM682" s="4" t="str">
        <x:f>IF(AJ682&gt;0,"Route listed; review status/completeness",IF(C682="T0","Raw entry feed; no production route","No production route listed"))</x:f>
        <x:v>Route listed; review status/completeness</x:v>
      </x:c>
      <x:c r="AN682" s="4" t="n">
        <x:f>IF(C682="T0",0,IF(C682="T1",1,IF(C682="T2",2,IF(C682="T3",3,IF(C682="T4",4,IF(C682="Unassigned",98,99))))))</x:f>
        <x:v>99</x:v>
      </x:c>
      <x:c r="AZ682"/>
      <x:c r="BA682"/>
      <x:c r="BB682"/>
      <x:c r="BC682"/>
      <x:c r="BD682"/>
      <x:c r="BE682"/>
      <x:c r="BF682"/>
      <x:c r="BG682"/>
      <x:c r="BH682"/>
      <x:c r="BI682"/>
      <x:c r="BJ682"/>
      <x:c r="BK682"/>
      <x:c r="BL682"/>
      <x:c r="BM682"/>
      <x:c r="BN682"/>
      <x:c r="BO682"/>
      <x:c r="BP682"/>
      <x:c r="BQ682"/>
      <x:c r="BR682"/>
      <x:c r="BS682"/>
      <x:c r="BT682"/>
      <x:c r="BU682"/>
      <x:c r="BV682"/>
      <x:c r="BW682"/>
      <x:c r="BX682"/>
      <x:c r="BY682"/>
      <x:c r="BZ682"/>
      <x:c r="CA682"/>
      <x:c r="CB682"/>
      <x:c r="CC682"/>
    </x:row>
    <x:row r="683" ht="115" customHeight="1">
      <x:c r="A683" s="4"/>
      <x:c r="B683" s="4"/>
      <x:c r="C683" s="4"/>
      <x:c r="D683" s="4"/>
      <x:c r="E683" s="4"/>
      <x:c r="F683" s="4"/>
      <x:c r="G683" s="4"/>
      <x:c r="H683" s="4"/>
      <x:c r="I683" s="4"/>
      <x:c r="J683" s="4"/>
      <x:c r="M683" s="4"/>
      <x:c r="N683" s="4"/>
      <x:c r="O683" s="4"/>
      <x:c r="P683" s="4"/>
      <x:c r="V683" s="4"/>
      <x:c r="W683" s="4"/>
      <x:c r="X683" s="4"/>
      <x:c r="Y683" s="4"/>
      <x:c r="Z683" s="4"/>
      <x:c r="AA683" s="4"/>
      <x:c r="AB683" s="4"/>
      <x:c r="AC683" s="4"/>
      <x:c r="AD683" s="4"/>
      <x:c r="AE683" s="4"/>
      <x:c r="AF683" s="4"/>
      <x:c r="AG683" s="4"/>
      <x:c r="AH683" s="4"/>
      <x:c r="AI683" s="4"/>
      <x:c r="AJ683" s="4"/>
      <x:c r="AK683" s="4"/>
      <x:c r="AL683" s="4"/>
      <x:c r="AM683" s="4"/>
      <x:c r="AN683" s="4"/>
      <x:c r="AZ683"/>
      <x:c r="BA683"/>
      <x:c r="BB683"/>
      <x:c r="BC683"/>
      <x:c r="BD683"/>
      <x:c r="BE683"/>
      <x:c r="BF683"/>
      <x:c r="BG683"/>
      <x:c r="BH683"/>
      <x:c r="BI683"/>
      <x:c r="BJ683"/>
      <x:c r="BK683"/>
      <x:c r="BL683"/>
      <x:c r="BM683"/>
      <x:c r="BN683"/>
      <x:c r="BO683"/>
      <x:c r="BP683"/>
      <x:c r="BQ683"/>
      <x:c r="BR683"/>
      <x:c r="BS683"/>
      <x:c r="BT683"/>
      <x:c r="BU683"/>
      <x:c r="BV683"/>
      <x:c r="BW683"/>
      <x:c r="BX683"/>
      <x:c r="BY683"/>
      <x:c r="BZ683"/>
      <x:c r="CA683"/>
      <x:c r="CB683"/>
      <x:c r="CC683"/>
    </x:row>
    <x:row r="684" ht="115" customHeight="1">
      <x:c r="A684" s="4" t="str">
        <x:v>proposal.collection.sour_savory_phagia_blend</x:v>
      </x:c>
      <x:c r="B684" s="4" t="str">
        <x:v>Sour-savory Phagia blend</x:v>
      </x:c>
      <x:c r="C684" s="4" t="str">
        <x:v>Not applicable</x:v>
      </x:c>
      <x:c r="D684" s="4" t="str">
        <x:v>Consumables</x:v>
      </x:c>
      <x:c r="E684" s="4" t="str">
        <x:v>Drink consumable</x:v>
      </x:c>
      <x:c r="F684" s="4" t="str">
        <x:v>New proposal</x:v>
      </x:c>
      <x:c r="G684" s="4" t="inlineStr">
        <x:is>
          <x:t xml:space="preserve">Combines controlled-sour culture and edible culinary broth. It is a proposed drink or drink ingredient within the food-designated Phagia supply. Portion, preparation, preservation and hydration benefit remain undefined.</x:t>
        </x:is>
      </x:c>
      <x:c r="H684" s="4" t="str">
        <x:v>None</x:v>
      </x:c>
      <x:c r="I684" s="4" t="str">
        <x:v>Matched sealed vessel; compatibility and contamination unresolved</x:v>
      </x:c>
      <x:c r="J684" s="4"/>
      <x:c r="K684" s="4"/>
      <x:c r="L684" s="4" t="str">
        <x:v>Candidate preparation: design.collection.sour_savory_phagia_blend. Full inputs are in Crafting browser.</x:v>
      </x:c>
      <x:c r="M684" s="4" t="str">
        <x:v>Candidate workshop or contained preparation route; detailed tools, quantities and conditions unresolved</x:v>
      </x:c>
      <x:c r="N684" s="4" t="str">
        <x:v>Not implemented</x:v>
      </x:c>
      <x:c r="O684" s="4" t="str">
        <x:v>Culinary proposal. Select species/food-designated culture and validate edibility; industrial fractions are excluded. No nutritional, medical or preservation claim.</x:v>
      </x:c>
      <x:c r="P684" s="4"/>
      <x:c r="Q684" s="4"/>
      <x:c r="R684" s="4"/>
      <x:c r="S684" s="4"/>
      <x:c r="T684" s="4"/>
      <x:c r="U684" s="4" t="str">
        <x:v>Candidate inputs are partial. Resolve tools, supporting materials, energy, recovery and compatibility before recipes become craftable.</x:v>
      </x:c>
      <x:c r="V684" s="4" t="str">
        <x:v>sour-savory phagia blend; collection expansion; drink consumable</x:v>
      </x:c>
      <x:c r="W6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4" s="4" t="str">
        <x:v>Drink consumable</x:v>
      </x:c>
      <x:c r="Y684" s="4" t="str">
        <x:v>Finished item</x:v>
      </x:c>
      <x:c r="Z684" s="4" t="str">
        <x:v>Manufactured / unresolved</x:v>
      </x:c>
      <x:c r="AA684" s="4" t="str">
        <x:v>Hydration</x:v>
      </x:c>
      <x:c r="AB684" s="4" t="str">
        <x:v>Phagia and edible fauna</x:v>
      </x:c>
      <x:c r="AC684" s="4" t="str">
        <x:v>Liquid</x:v>
      </x:c>
      <x:c r="AD684" s="4" t="str">
        <x:v>Proposal</x:v>
      </x:c>
      <x:c r="AE684" s="4" t="str">
        <x:f>LOWER(A684&amp;"; "&amp;B684&amp;"; "&amp;D684&amp;"; "&amp;E684&amp;"; "&amp;X684&amp;"; "&amp;Y684&amp;"; "&amp;Z684&amp;"; "&amp;AA684&amp;"; "&amp;AB684&amp;"; "&amp;AC684&amp;"; "&amp;AD684&amp;"; "&amp;V684&amp;"; "&amp;C684&amp;"; "&amp;AH684&amp;"; "&amp;AI684)</x:f>
        <x:v>proposal.collection.sour_savory_phagia_blend; sour-savory phagia blend; consumables; drink consumable; drink consumable; finished item; manufactured / unresolved; hydration; phagia and edible fauna; liquid; proposal; sour-savory phagia blend; collection expansion; drink consumable; not applicable; t2; finished item</x:v>
      </x:c>
      <x:c r="AF684" s="4" t="str">
        <x:v>Collection expansion classification. Distinct type, use and material family; new item proposal unless author direction is marked. October 15 audit: classification/handling clarified; item identity, design status and material tier preserved.</x:v>
      </x:c>
      <x:c r="AG684" s="4" t="str">
        <x:v>Finished endpoint or currency. Material tier is separate from finished input tier.</x:v>
      </x:c>
      <x:c r="AH684" s="4" t="str">
        <x:v>T2</x:v>
      </x:c>
      <x:c r="AI684" s="4" t="str">
        <x:v>Finished item</x:v>
      </x:c>
      <x:c r="AJ684" s="4" t="n">
        <x:f>COUNTIFS('Material routes'!$D$6:$D$2205,A684,'Material routes'!$C$6:$C$2205,"Output")</x:f>
        <x:v>1</x:v>
      </x:c>
      <x:c r="AK684" s="4" t="n">
        <x:f>SUM(COUNTIFS('Material routes'!$D$6:$D$2205,A684,'Material routes'!$C$6:$C$2205,"Ingredient candidate"),COUNTIFS('Material routes'!$D$6:$D$2205,A684,'Material routes'!$C$6:$C$2205,"Consumed input"),COUNTIFS('Material routes'!$D$6:$D$2205,A684,'Material routes'!$C$6:$C$2205,"Contained input"),COUNTIFS('Material routes'!$D$6:$D$2205,A684,'Material routes'!$C$6:$C$2205,"Transform input"))</x:f>
        <x:v>0</x:v>
      </x:c>
      <x:c r="AL684" s="4" t="n">
        <x:f>COUNTIFS('Material routes'!$D$6:$D$2205,A684,'Material routes'!$C$6:$C$2205,"Tool candidate")</x:f>
        <x:v>0</x:v>
      </x:c>
      <x:c r="AM684" s="4" t="str">
        <x:f>IF(AJ684&gt;0,"Route listed; review status/completeness",IF(C684="T0","Raw entry feed; no production route","No production route listed"))</x:f>
        <x:v>Route listed; review status/completeness</x:v>
      </x:c>
      <x:c r="AN684" s="4" t="n">
        <x:f>IF(C684="T0",0,IF(C684="T1",1,IF(C684="T2",2,IF(C684="T3",3,IF(C684="T4",4,IF(C684="Unassigned",98,99))))))</x:f>
        <x:v>99</x:v>
      </x:c>
      <x:c r="AZ684"/>
      <x:c r="BA684"/>
      <x:c r="BB684"/>
      <x:c r="BC684"/>
      <x:c r="BD684"/>
      <x:c r="BE684"/>
      <x:c r="BF684"/>
      <x:c r="BG684"/>
      <x:c r="BH684"/>
      <x:c r="BI684"/>
      <x:c r="BJ684"/>
      <x:c r="BK684"/>
      <x:c r="BL684"/>
      <x:c r="BM684"/>
      <x:c r="BN684"/>
      <x:c r="BO684"/>
      <x:c r="BP684"/>
      <x:c r="BQ684"/>
      <x:c r="BR684"/>
      <x:c r="BS684"/>
      <x:c r="BT684"/>
      <x:c r="BU684"/>
      <x:c r="BV684"/>
      <x:c r="BW684"/>
      <x:c r="BX684"/>
      <x:c r="BY684"/>
      <x:c r="BZ684"/>
      <x:c r="CA684"/>
      <x:c r="CB684"/>
      <x:c r="CC684"/>
    </x:row>
    <x:row r="685" ht="115" customHeight="1">
      <x:c r="A685" s="4" t="str">
        <x:v>proposal.collection.phagia_concentrate_tasting_flight</x:v>
      </x:c>
      <x:c r="B685" s="4" t="str">
        <x:v>Phagia concentrate tasting flight</x:v>
      </x:c>
      <x:c r="C685" s="4" t="str">
        <x:v>Not applicable</x:v>
      </x:c>
      <x:c r="D685" s="4" t="str">
        <x:v>Consumables</x:v>
      </x:c>
      <x:c r="E685" s="4" t="str">
        <x:v>Drink consumable</x:v>
      </x:c>
      <x:c r="F685" s="4" t="str">
        <x:v>New proposal</x:v>
      </x:c>
      <x:c r="G685" s="4" t="inlineStr">
        <x:is>
          <x:t xml:space="preserve">Several small contained servings for comparing food preparations. It is a proposed drink or drink ingredient within the food-designated Phagia supply. Portion, preparation, preservation and hydration benefit remain undefined.</x:t>
        </x:is>
      </x:c>
      <x:c r="H685" s="4" t="str">
        <x:v>None</x:v>
      </x:c>
      <x:c r="I685" s="4" t="str">
        <x:v>Matched sealed vessel; compatibility and contamination unresolved</x:v>
      </x:c>
      <x:c r="J685" s="4"/>
      <x:c r="K685" s="4"/>
      <x:c r="L685" s="4" t="str">
        <x:v>Candidate preparation: design.collection.phagia_concentrate_tasting_flight. Full inputs are in Crafting browser.</x:v>
      </x:c>
      <x:c r="M685" s="4" t="str">
        <x:v>Candidate workshop or contained preparation route; detailed tools, quantities and conditions unresolved</x:v>
      </x:c>
      <x:c r="N685" s="4" t="str">
        <x:v>Not implemented</x:v>
      </x:c>
      <x:c r="O685" s="4" t="str">
        <x:v>Culinary proposal. Select species/food-designated culture and validate edibility; industrial fractions are excluded. No nutritional, medical or preservation claim.</x:v>
      </x:c>
      <x:c r="P685" s="4"/>
      <x:c r="Q685" s="4"/>
      <x:c r="R685" s="4"/>
      <x:c r="S685" s="4"/>
      <x:c r="T685" s="4"/>
      <x:c r="U685" s="4" t="str">
        <x:v>Candidate inputs are partial. Resolve tools, supporting materials, energy, recovery and compatibility before recipes become craftable.</x:v>
      </x:c>
      <x:c r="V685" s="4" t="str">
        <x:v>phagia concentrate tasting flight; collection expansion; drink consumable</x:v>
      </x:c>
      <x:c r="W68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5" s="4" t="str">
        <x:v>Drink consumable</x:v>
      </x:c>
      <x:c r="Y685" s="4" t="str">
        <x:v>Finished item</x:v>
      </x:c>
      <x:c r="Z685" s="4" t="str">
        <x:v>Manufactured / unresolved</x:v>
      </x:c>
      <x:c r="AA685" s="4" t="str">
        <x:v>Hydration</x:v>
      </x:c>
      <x:c r="AB685" s="4" t="str">
        <x:v>Phagia preparation</x:v>
      </x:c>
      <x:c r="AC685" s="4" t="str">
        <x:v>Liquid</x:v>
      </x:c>
      <x:c r="AD685" s="4" t="str">
        <x:v>Proposal</x:v>
      </x:c>
      <x:c r="AE685" s="4" t="str">
        <x:f>LOWER(A685&amp;"; "&amp;B685&amp;"; "&amp;D685&amp;"; "&amp;E685&amp;"; "&amp;X685&amp;"; "&amp;Y685&amp;"; "&amp;Z685&amp;"; "&amp;AA685&amp;"; "&amp;AB685&amp;"; "&amp;AC685&amp;"; "&amp;AD685&amp;"; "&amp;V685&amp;"; "&amp;C685&amp;"; "&amp;AH685&amp;"; "&amp;AI685)</x:f>
        <x:v>proposal.collection.phagia_concentrate_tasting_flight; phagia concentrate tasting flight; consumables; drink consumable; drink consumable; finished item; manufactured / unresolved; hydration; phagia preparation; liquid; proposal; phagia concentrate tasting flight; collection expansion; drink consumable; not applicable; t2; finished item</x:v>
      </x:c>
      <x:c r="AF685" s="4" t="str">
        <x:v>Collection expansion classification. Distinct type, use and material family; new item proposal unless author direction is marked.</x:v>
      </x:c>
      <x:c r="AG685" s="4" t="str">
        <x:v>Finished endpoint or currency. Material tier is separate from finished input tier.</x:v>
      </x:c>
      <x:c r="AH685" s="4" t="str">
        <x:v>T2</x:v>
      </x:c>
      <x:c r="AI685" s="4" t="str">
        <x:v>Finished item</x:v>
      </x:c>
      <x:c r="AJ685" s="4" t="n">
        <x:f>COUNTIFS('Material routes'!$D$6:$D$2205,A685,'Material routes'!$C$6:$C$2205,"Output")</x:f>
        <x:v>1</x:v>
      </x:c>
      <x:c r="AK685" s="4" t="n">
        <x:f>SUM(COUNTIFS('Material routes'!$D$6:$D$2205,A685,'Material routes'!$C$6:$C$2205,"Ingredient candidate"),COUNTIFS('Material routes'!$D$6:$D$2205,A685,'Material routes'!$C$6:$C$2205,"Consumed input"),COUNTIFS('Material routes'!$D$6:$D$2205,A685,'Material routes'!$C$6:$C$2205,"Contained input"),COUNTIFS('Material routes'!$D$6:$D$2205,A685,'Material routes'!$C$6:$C$2205,"Transform input"))</x:f>
        <x:v>0</x:v>
      </x:c>
      <x:c r="AL685" s="4" t="n">
        <x:f>COUNTIFS('Material routes'!$D$6:$D$2205,A685,'Material routes'!$C$6:$C$2205,"Tool candidate")</x:f>
        <x:v>0</x:v>
      </x:c>
      <x:c r="AM685" s="4" t="str">
        <x:f>IF(AJ685&gt;0,"Route listed; review status/completeness",IF(C685="T0","Raw entry feed; no production route","No production route listed"))</x:f>
        <x:v>Route listed; review status/completeness</x:v>
      </x:c>
      <x:c r="AN685" s="4" t="n">
        <x:f>IF(C685="T0",0,IF(C685="T1",1,IF(C685="T2",2,IF(C685="T3",3,IF(C685="T4",4,IF(C685="Unassigned",98,99))))))</x:f>
        <x:v>99</x:v>
      </x:c>
      <x:c r="AZ685"/>
      <x:c r="BA685"/>
      <x:c r="BB685"/>
      <x:c r="BC685"/>
      <x:c r="BD685"/>
      <x:c r="BE685"/>
      <x:c r="BF685"/>
      <x:c r="BG685"/>
      <x:c r="BH685"/>
      <x:c r="BI685"/>
      <x:c r="BJ685"/>
      <x:c r="BK685"/>
      <x:c r="BL685"/>
      <x:c r="BM685"/>
      <x:c r="BN685"/>
      <x:c r="BO685"/>
      <x:c r="BP685"/>
      <x:c r="BQ685"/>
      <x:c r="BR685"/>
      <x:c r="BS685"/>
      <x:c r="BT685"/>
      <x:c r="BU685"/>
      <x:c r="BV685"/>
      <x:c r="BW685"/>
      <x:c r="BX685"/>
      <x:c r="BY685"/>
      <x:c r="BZ685"/>
      <x:c r="CA685"/>
      <x:c r="CB685"/>
      <x:c r="CC685"/>
    </x:row>
    <x:row r="686" ht="115" customHeight="1">
      <x:c r="A686" s="4" t="str">
        <x:v>proposal.collection.guarded_flywheel_cartridge</x:v>
      </x:c>
      <x:c r="B686" s="4" t="str">
        <x:v>Guarded flywheel cartridge</x:v>
      </x:c>
      <x:c r="C686" s="4" t="str">
        <x:v>Not applicable</x:v>
      </x:c>
      <x:c r="D686" s="4" t="inlineStr">
        <x:is>
          <x:t xml:space="preserve">Crafting components</x:t>
        </x:is>
      </x:c>
      <x:c r="E686" s="4" t="str">
        <x:v>Energy storage</x:v>
      </x:c>
      <x:c r="F686" s="4" t="str">
        <x:v>New proposal</x:v>
      </x:c>
      <x:c r="G686" s="4" t="inlineStr">
        <x:is>
          <x:t xml:space="preserve">Stores rotational motion for a compatible small machine. It holds energy in the recorded physical form for a compatible system. Assembly alone does not supply charge, pressure, heat or mechanical preload.</x:t>
        </x:is>
      </x:c>
      <x:c r="H686" s="4" t="str">
        <x:v>None</x:v>
      </x:c>
      <x:c r="I686" s="4" t="str">
        <x:v>Physical inventory / cargo item; dimensions and packing unresolved</x:v>
      </x:c>
      <x:c r="J686" s="4"/>
      <x:c r="K686" s="4"/>
      <x:c r="L686" s="4" t="str">
        <x:v>Candidate preparation: design.collection.guarded_flywheel_cartridge. Full inputs are in Crafting browser.</x:v>
      </x:c>
      <x:c r="M686" s="4" t="str">
        <x:v>Candidate workshop or contained preparation route; detailed tools, quantities and conditions unresolved</x:v>
      </x:c>
      <x:c r="N686" s="4" t="str">
        <x:v>Not implemented</x:v>
      </x:c>
      <x:c r="O686" s="4" t="str">
        <x:v>Specific dimensions, yield, fit, performance and service conditions remain open.</x:v>
      </x:c>
      <x:c r="P686" s="4"/>
      <x:c r="Q686" s="4"/>
      <x:c r="R686" s="4"/>
      <x:c r="S686" s="4"/>
      <x:c r="T686" s="4"/>
      <x:c r="U686" s="4" t="str">
        <x:v>Candidate inputs are partial. Resolve tools, supporting materials, energy, recovery and compatibility before recipes become craftable.</x:v>
      </x:c>
      <x:c r="V686" s="4" t="str">
        <x:v>guarded flywheel cartridge; collection expansion; energy storage</x:v>
      </x:c>
      <x:c r="W686" s="4" t="str">
        <x:v>New item proposal, October 15, 2026. Setting reference (source proposal): https://github.com/sleepyseamonster/Arc-Dust/blob/f6f98515c005dc3c73cccd9cbc031691745740c6/02-Arc-Dust-Worldbuilding/world/economy/energy-systems.md</x:v>
      </x:c>
      <x:c r="X686" s="4" t="str">
        <x:v>Energy storage</x:v>
      </x:c>
      <x:c r="Y686" s="4" t="str">
        <x:v>Finished item</x:v>
      </x:c>
      <x:c r="Z686" s="4" t="str">
        <x:v>Manufactured / unresolved</x:v>
      </x:c>
      <x:c r="AA686" s="4" t="str">
        <x:v>Energy storage</x:v>
      </x:c>
      <x:c r="AB686" s="4" t="str">
        <x:v>Metal</x:v>
      </x:c>
      <x:c r="AC686" s="4" t="str">
        <x:v>Assembly</x:v>
      </x:c>
      <x:c r="AD686" s="4" t="str">
        <x:v>Proposal</x:v>
      </x:c>
      <x:c r="AE686" s="4" t="str">
        <x:f>LOWER(A686&amp;"; "&amp;B686&amp;"; "&amp;D686&amp;"; "&amp;E686&amp;"; "&amp;X686&amp;"; "&amp;Y686&amp;"; "&amp;Z686&amp;"; "&amp;AA686&amp;"; "&amp;AB686&amp;"; "&amp;AC686&amp;"; "&amp;AD686&amp;"; "&amp;V686&amp;"; "&amp;C686&amp;"; "&amp;AH686&amp;"; "&amp;AI686)</x:f>
        <x:v>proposal.collection.guarded_flywheel_cartridge; guarded flywheel cartridge; crafting components; energy storage; energy storage; finished item; manufactured / unresolved; energy storage; metal; assembly; proposal; guarded flywheel cartridge; collection expansion; energy storage; not applicable; t4; finished item</x:v>
      </x:c>
      <x:c r="AF68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86" s="4" t="str">
        <x:v>Finished endpoint or currency. Material tier is separate from finished input tier.</x:v>
      </x:c>
      <x:c r="AH686" s="4" t="str">
        <x:v>T4</x:v>
      </x:c>
      <x:c r="AI686" s="4" t="str">
        <x:v>Finished item</x:v>
      </x:c>
      <x:c r="AJ686" s="4" t="n">
        <x:f>COUNTIFS('Material routes'!$D$6:$D$2205,A686,'Material routes'!$C$6:$C$2205,"Output")</x:f>
        <x:v>1</x:v>
      </x:c>
      <x:c r="AK686" s="4" t="n">
        <x:f>SUM(COUNTIFS('Material routes'!$D$6:$D$2205,A686,'Material routes'!$C$6:$C$2205,"Ingredient candidate"),COUNTIFS('Material routes'!$D$6:$D$2205,A686,'Material routes'!$C$6:$C$2205,"Consumed input"),COUNTIFS('Material routes'!$D$6:$D$2205,A686,'Material routes'!$C$6:$C$2205,"Contained input"),COUNTIFS('Material routes'!$D$6:$D$2205,A686,'Material routes'!$C$6:$C$2205,"Transform input"))</x:f>
        <x:v>0</x:v>
      </x:c>
      <x:c r="AL686" s="4" t="n">
        <x:f>COUNTIFS('Material routes'!$D$6:$D$2205,A686,'Material routes'!$C$6:$C$2205,"Tool candidate")</x:f>
        <x:v>0</x:v>
      </x:c>
      <x:c r="AM686" s="4" t="str">
        <x:f>IF(AJ686&gt;0,"Route listed; review status/completeness",IF(C686="T0","Raw entry feed; no production route","No production route listed"))</x:f>
        <x:v>Route listed; review status/completeness</x:v>
      </x:c>
      <x:c r="AN686" s="4" t="n">
        <x:f>IF(C686="T0",0,IF(C686="T1",1,IF(C686="T2",2,IF(C686="T3",3,IF(C686="T4",4,IF(C686="Unassigned",98,99))))))</x:f>
        <x:v>99</x:v>
      </x:c>
      <x:c r="AZ686"/>
      <x:c r="BA686"/>
      <x:c r="BB686"/>
      <x:c r="BC686"/>
      <x:c r="BD686"/>
      <x:c r="BE686"/>
      <x:c r="BF686"/>
      <x:c r="BG686"/>
      <x:c r="BH686"/>
      <x:c r="BI686"/>
      <x:c r="BJ686"/>
      <x:c r="BK686"/>
      <x:c r="BL686"/>
      <x:c r="BM686"/>
      <x:c r="BN686"/>
      <x:c r="BO686"/>
      <x:c r="BP686"/>
      <x:c r="BQ686"/>
      <x:c r="BR686"/>
      <x:c r="BS686"/>
      <x:c r="BT686"/>
      <x:c r="BU686"/>
      <x:c r="BV686"/>
      <x:c r="BW686"/>
      <x:c r="BX686"/>
      <x:c r="BY686"/>
      <x:c r="BZ686"/>
      <x:c r="CA686"/>
      <x:c r="CB686"/>
      <x:c r="CC686"/>
    </x:row>
    <x:row r="687" ht="115" customHeight="1">
      <x:c r="A687" s="4" t="str">
        <x:v>proposal.collection.wound_clock_spring_pack</x:v>
      </x:c>
      <x:c r="B687" s="4" t="str">
        <x:v>Wound clock-spring pack</x:v>
      </x:c>
      <x:c r="C687" s="4" t="str">
        <x:v>Not applicable</x:v>
      </x:c>
      <x:c r="D687" s="4" t="inlineStr">
        <x:is>
          <x:t xml:space="preserve">Crafting components</x:t>
        </x:is>
      </x:c>
      <x:c r="E687" s="4" t="str">
        <x:v>Energy storage</x:v>
      </x:c>
      <x:c r="F687" s="4" t="str">
        <x:v>New proposal</x:v>
      </x:c>
      <x:c r="G687" s="4" t="inlineStr">
        <x:is>
          <x:t xml:space="preserve">Stores wound mechanical energy. It holds energy in the recorded physical form for a compatible system. Assembly alone does not supply charge, pressure, heat or mechanical preload.</x:t>
        </x:is>
      </x:c>
      <x:c r="H687" s="4" t="str">
        <x:v>None</x:v>
      </x:c>
      <x:c r="I687" s="4" t="str">
        <x:v>Physical inventory / cargo item; dimensions and packing unresolved</x:v>
      </x:c>
      <x:c r="J687" s="4"/>
      <x:c r="K687" s="4"/>
      <x:c r="L687" s="4" t="str">
        <x:v>Candidate preparation: design.collection.wound_clock_spring_pack. Full inputs are in Crafting browser.</x:v>
      </x:c>
      <x:c r="M687" s="4" t="str">
        <x:v>Candidate workshop or contained preparation route; detailed tools, quantities and conditions unresolved</x:v>
      </x:c>
      <x:c r="N687" s="4" t="str">
        <x:v>Not implemented</x:v>
      </x:c>
      <x:c r="O687" s="4" t="str">
        <x:v>Specific dimensions, yield, fit, performance and service conditions remain open.</x:v>
      </x:c>
      <x:c r="P687" s="4"/>
      <x:c r="Q687" s="4"/>
      <x:c r="R687" s="4"/>
      <x:c r="S687" s="4"/>
      <x:c r="T687" s="4"/>
      <x:c r="U687" s="4" t="str">
        <x:v>Candidate inputs are partial. Resolve tools, supporting materials, energy, recovery and compatibility before recipes become craftable.</x:v>
      </x:c>
      <x:c r="V687" s="4" t="str">
        <x:v>wound clock-spring pack; collection expansion; energy storage</x:v>
      </x:c>
      <x:c r="W687" s="4" t="str">
        <x:v>New item proposal, October 15, 2026. Setting reference (source proposal): https://github.com/sleepyseamonster/Arc-Dust/blob/f6f98515c005dc3c73cccd9cbc031691745740c6/02-Arc-Dust-Worldbuilding/world/economy/energy-systems.md</x:v>
      </x:c>
      <x:c r="X687" s="4" t="str">
        <x:v>Energy storage</x:v>
      </x:c>
      <x:c r="Y687" s="4" t="str">
        <x:v>Finished item</x:v>
      </x:c>
      <x:c r="Z687" s="4" t="str">
        <x:v>Manufactured / unresolved</x:v>
      </x:c>
      <x:c r="AA687" s="4" t="str">
        <x:v>Energy storage</x:v>
      </x:c>
      <x:c r="AB687" s="4" t="str">
        <x:v>Metal</x:v>
      </x:c>
      <x:c r="AC687" s="4" t="str">
        <x:v>Assembly</x:v>
      </x:c>
      <x:c r="AD687" s="4" t="str">
        <x:v>Proposal</x:v>
      </x:c>
      <x:c r="AE687" s="4" t="str">
        <x:f>LOWER(A687&amp;"; "&amp;B687&amp;"; "&amp;D687&amp;"; "&amp;E687&amp;"; "&amp;X687&amp;"; "&amp;Y687&amp;"; "&amp;Z687&amp;"; "&amp;AA687&amp;"; "&amp;AB687&amp;"; "&amp;AC687&amp;"; "&amp;AD687&amp;"; "&amp;V687&amp;"; "&amp;C687&amp;"; "&amp;AH687&amp;"; "&amp;AI687)</x:f>
        <x:v>proposal.collection.wound_clock_spring_pack; wound clock-spring pack; crafting components; energy storage; energy storage; finished item; manufactured / unresolved; energy storage; metal; assembly; proposal; wound clock-spring pack; collection expansion; energy storage; not applicable; t4; finished item</x:v>
      </x:c>
      <x:c r="AF68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87" s="4" t="str">
        <x:v>Finished endpoint or currency. Material tier is separate from finished input tier.</x:v>
      </x:c>
      <x:c r="AH687" s="4" t="str">
        <x:v>T4</x:v>
      </x:c>
      <x:c r="AI687" s="4" t="str">
        <x:v>Finished item</x:v>
      </x:c>
      <x:c r="AJ687" s="4" t="n">
        <x:f>COUNTIFS('Material routes'!$D$6:$D$2205,A687,'Material routes'!$C$6:$C$2205,"Output")</x:f>
        <x:v>1</x:v>
      </x:c>
      <x:c r="AK687" s="4" t="n">
        <x:f>SUM(COUNTIFS('Material routes'!$D$6:$D$2205,A687,'Material routes'!$C$6:$C$2205,"Ingredient candidate"),COUNTIFS('Material routes'!$D$6:$D$2205,A687,'Material routes'!$C$6:$C$2205,"Consumed input"),COUNTIFS('Material routes'!$D$6:$D$2205,A687,'Material routes'!$C$6:$C$2205,"Contained input"),COUNTIFS('Material routes'!$D$6:$D$2205,A687,'Material routes'!$C$6:$C$2205,"Transform input"))</x:f>
        <x:v>0</x:v>
      </x:c>
      <x:c r="AL687" s="4" t="n">
        <x:f>COUNTIFS('Material routes'!$D$6:$D$2205,A687,'Material routes'!$C$6:$C$2205,"Tool candidate")</x:f>
        <x:v>0</x:v>
      </x:c>
      <x:c r="AM687" s="4" t="str">
        <x:f>IF(AJ687&gt;0,"Route listed; review status/completeness",IF(C687="T0","Raw entry feed; no production route","No production route listed"))</x:f>
        <x:v>Route listed; review status/completeness</x:v>
      </x:c>
      <x:c r="AN687" s="4" t="n">
        <x:f>IF(C687="T0",0,IF(C687="T1",1,IF(C687="T2",2,IF(C687="T3",3,IF(C687="T4",4,IF(C687="Unassigned",98,99))))))</x:f>
        <x:v>99</x:v>
      </x:c>
      <x:c r="AZ687"/>
      <x:c r="BA687"/>
      <x:c r="BB687"/>
      <x:c r="BC687"/>
      <x:c r="BD687"/>
      <x:c r="BE687"/>
      <x:c r="BF687"/>
      <x:c r="BG687"/>
      <x:c r="BH687"/>
      <x:c r="BI687"/>
      <x:c r="BJ687"/>
      <x:c r="BK687"/>
      <x:c r="BL687"/>
      <x:c r="BM687"/>
      <x:c r="BN687"/>
      <x:c r="BO687"/>
      <x:c r="BP687"/>
      <x:c r="BQ687"/>
      <x:c r="BR687"/>
      <x:c r="BS687"/>
      <x:c r="BT687"/>
      <x:c r="BU687"/>
      <x:c r="BV687"/>
      <x:c r="BW687"/>
      <x:c r="BX687"/>
      <x:c r="BY687"/>
      <x:c r="BZ687"/>
      <x:c r="CA687"/>
      <x:c r="CB687"/>
      <x:c r="CC687"/>
    </x:row>
    <x:row r="688" ht="115" customHeight="1">
      <x:c r="A688" s="4" t="str">
        <x:v>proposal.collection.torsion_spring_accumulator</x:v>
      </x:c>
      <x:c r="B688" s="4" t="str">
        <x:v>Torsion-spring accumulator</x:v>
      </x:c>
      <x:c r="C688" s="4" t="str">
        <x:v>Not applicable</x:v>
      </x:c>
      <x:c r="D688" s="4" t="inlineStr">
        <x:is>
          <x:t xml:space="preserve">Crafting components</x:t>
        </x:is>
      </x:c>
      <x:c r="E688" s="4" t="str">
        <x:v>Energy storage</x:v>
      </x:c>
      <x:c r="F688" s="4" t="str">
        <x:v>New proposal</x:v>
      </x:c>
      <x:c r="G688" s="4" t="inlineStr">
        <x:is>
          <x:t xml:space="preserve">Stores mechanical energy in a tensioned spring assembly. It holds energy in the recorded physical form for a compatible system. Assembly alone does not supply charge, pressure, heat or mechanical preload.</x:t>
        </x:is>
      </x:c>
      <x:c r="H688" s="4" t="str">
        <x:v>None</x:v>
      </x:c>
      <x:c r="I688" s="4" t="str">
        <x:v>Physical inventory / cargo item; dimensions and packing unresolved</x:v>
      </x:c>
      <x:c r="J688" s="4"/>
      <x:c r="K688" s="4"/>
      <x:c r="L688" s="4" t="str">
        <x:v>Candidate preparation: design.collection.torsion_spring_accumulator. Full inputs are in Crafting browser.</x:v>
      </x:c>
      <x:c r="M688" s="4" t="str">
        <x:v>Candidate workshop or contained preparation route; detailed tools, quantities and conditions unresolved</x:v>
      </x:c>
      <x:c r="N688" s="4" t="str">
        <x:v>Not implemented</x:v>
      </x:c>
      <x:c r="O688" s="4" t="str">
        <x:v>Specific dimensions, yield, fit, performance and service conditions remain open.</x:v>
      </x:c>
      <x:c r="P688" s="4"/>
      <x:c r="Q688" s="4"/>
      <x:c r="R688" s="4"/>
      <x:c r="S688" s="4"/>
      <x:c r="T688" s="4"/>
      <x:c r="U688" s="4" t="str">
        <x:v>Candidate inputs are partial. Resolve tools, supporting materials, energy, recovery and compatibility before recipes become craftable.</x:v>
      </x:c>
      <x:c r="V688" s="4" t="str">
        <x:v>torsion-spring accumulator; collection expansion; energy storage</x:v>
      </x:c>
      <x:c r="W688" s="4" t="str">
        <x:v>New item proposal, October 15, 2026. Setting reference (source proposal): https://github.com/sleepyseamonster/Arc-Dust/blob/f6f98515c005dc3c73cccd9cbc031691745740c6/02-Arc-Dust-Worldbuilding/world/economy/energy-systems.md</x:v>
      </x:c>
      <x:c r="X688" s="4" t="str">
        <x:v>Energy storage</x:v>
      </x:c>
      <x:c r="Y688" s="4" t="str">
        <x:v>Finished item</x:v>
      </x:c>
      <x:c r="Z688" s="4" t="str">
        <x:v>Manufactured / unresolved</x:v>
      </x:c>
      <x:c r="AA688" s="4" t="str">
        <x:v>Energy storage</x:v>
      </x:c>
      <x:c r="AB688" s="4" t="str">
        <x:v>Metal</x:v>
      </x:c>
      <x:c r="AC688" s="4" t="str">
        <x:v>Assembly</x:v>
      </x:c>
      <x:c r="AD688" s="4" t="str">
        <x:v>Proposal</x:v>
      </x:c>
      <x:c r="AE688" s="4" t="str">
        <x:f>LOWER(A688&amp;"; "&amp;B688&amp;"; "&amp;D688&amp;"; "&amp;E688&amp;"; "&amp;X688&amp;"; "&amp;Y688&amp;"; "&amp;Z688&amp;"; "&amp;AA688&amp;"; "&amp;AB688&amp;"; "&amp;AC688&amp;"; "&amp;AD688&amp;"; "&amp;V688&amp;"; "&amp;C688&amp;"; "&amp;AH688&amp;"; "&amp;AI688)</x:f>
        <x:v>proposal.collection.torsion_spring_accumulator; torsion-spring accumulator; crafting components; energy storage; energy storage; finished item; manufactured / unresolved; energy storage; metal; assembly; proposal; torsion-spring accumulator; collection expansion; energy storage; not applicable; t4; finished item</x:v>
      </x:c>
      <x:c r="AF68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88" s="4" t="str">
        <x:v>Finished endpoint or currency. Material tier is separate from finished input tier.</x:v>
      </x:c>
      <x:c r="AH688" s="4" t="str">
        <x:v>T4</x:v>
      </x:c>
      <x:c r="AI688" s="4" t="str">
        <x:v>Finished item</x:v>
      </x:c>
      <x:c r="AJ688" s="4" t="n">
        <x:f>COUNTIFS('Material routes'!$D$6:$D$2205,A688,'Material routes'!$C$6:$C$2205,"Output")</x:f>
        <x:v>1</x:v>
      </x:c>
      <x:c r="AK688" s="4" t="n">
        <x:f>SUM(COUNTIFS('Material routes'!$D$6:$D$2205,A688,'Material routes'!$C$6:$C$2205,"Ingredient candidate"),COUNTIFS('Material routes'!$D$6:$D$2205,A688,'Material routes'!$C$6:$C$2205,"Consumed input"),COUNTIFS('Material routes'!$D$6:$D$2205,A688,'Material routes'!$C$6:$C$2205,"Contained input"),COUNTIFS('Material routes'!$D$6:$D$2205,A688,'Material routes'!$C$6:$C$2205,"Transform input"))</x:f>
        <x:v>0</x:v>
      </x:c>
      <x:c r="AL688" s="4" t="n">
        <x:f>COUNTIFS('Material routes'!$D$6:$D$2205,A688,'Material routes'!$C$6:$C$2205,"Tool candidate")</x:f>
        <x:v>0</x:v>
      </x:c>
      <x:c r="AM688" s="4" t="str">
        <x:f>IF(AJ688&gt;0,"Route listed; review status/completeness",IF(C688="T0","Raw entry feed; no production route","No production route listed"))</x:f>
        <x:v>Route listed; review status/completeness</x:v>
      </x:c>
      <x:c r="AN688" s="4" t="n">
        <x:f>IF(C688="T0",0,IF(C688="T1",1,IF(C688="T2",2,IF(C688="T3",3,IF(C688="T4",4,IF(C688="Unassigned",98,99))))))</x:f>
        <x:v>99</x:v>
      </x:c>
      <x:c r="AZ688"/>
      <x:c r="BA688"/>
      <x:c r="BB688"/>
      <x:c r="BC688"/>
      <x:c r="BD688"/>
      <x:c r="BE688"/>
      <x:c r="BF688"/>
      <x:c r="BG688"/>
      <x:c r="BH688"/>
      <x:c r="BI688"/>
      <x:c r="BJ688"/>
      <x:c r="BK688"/>
      <x:c r="BL688"/>
      <x:c r="BM688"/>
      <x:c r="BN688"/>
      <x:c r="BO688"/>
      <x:c r="BP688"/>
      <x:c r="BQ688"/>
      <x:c r="BR688"/>
      <x:c r="BS688"/>
      <x:c r="BT688"/>
      <x:c r="BU688"/>
      <x:c r="BV688"/>
      <x:c r="BW688"/>
      <x:c r="BX688"/>
      <x:c r="BY688"/>
      <x:c r="BZ688"/>
      <x:c r="CA688"/>
      <x:c r="CB688"/>
      <x:c r="CC688"/>
    </x:row>
    <x:row r="689" ht="115" customHeight="1">
      <x:c r="A689" s="4" t="str">
        <x:v>proposal.collection.lifted_counterweight_module</x:v>
      </x:c>
      <x:c r="B689" s="4" t="str">
        <x:v>Lifted counterweight module</x:v>
      </x:c>
      <x:c r="C689" s="4" t="str">
        <x:v>Not applicable</x:v>
      </x:c>
      <x:c r="D689" s="4" t="inlineStr">
        <x:is>
          <x:t xml:space="preserve">Crafting components</x:t>
        </x:is>
      </x:c>
      <x:c r="E689" s="4" t="str">
        <x:v>Energy storage</x:v>
      </x:c>
      <x:c r="F689" s="4" t="str">
        <x:v>New proposal</x:v>
      </x:c>
      <x:c r="G689" s="4" t="inlineStr">
        <x:is>
          <x:t xml:space="preserve">Stores gravitational energy in an installed lifting system. It holds energy in the recorded physical form for a compatible system. Assembly alone does not supply charge, pressure, heat or mechanical preload.</x:t>
        </x:is>
      </x:c>
      <x:c r="H689" s="4" t="str">
        <x:v>None</x:v>
      </x:c>
      <x:c r="I689" s="4" t="str">
        <x:v>Installed machinery / stationary storage; physical site and mounting infrastructure required. Not ordinary backpack cargo.</x:v>
      </x:c>
      <x:c r="J689" s="4"/>
      <x:c r="K689" s="4"/>
      <x:c r="L689" s="4" t="str">
        <x:v>Candidate preparation: design.collection.lifted_counterweight_module. Full inputs are in Crafting browser.</x:v>
      </x:c>
      <x:c r="M689" s="4" t="str">
        <x:v>Candidate workshop or contained preparation route; detailed tools, quantities and conditions unresolved</x:v>
      </x:c>
      <x:c r="N689" s="4" t="str">
        <x:v>Not implemented</x:v>
      </x:c>
      <x:c r="O689" s="4" t="str">
        <x:v>Specific dimensions, yield, fit, performance and service conditions remain open.</x:v>
      </x:c>
      <x:c r="P689" s="4"/>
      <x:c r="Q689" s="4"/>
      <x:c r="R689" s="4"/>
      <x:c r="S689" s="4"/>
      <x:c r="T689" s="4"/>
      <x:c r="U689" s="4" t="str">
        <x:v>Candidate inputs are partial. Resolve tools, supporting materials, energy, recovery and compatibility before recipes become craftable.</x:v>
      </x:c>
      <x:c r="V689" s="4" t="str">
        <x:v>lifted counterweight module; collection expansion; energy storage</x:v>
      </x:c>
      <x:c r="W689" s="4" t="str">
        <x:v>New item proposal, October 15, 2026. Setting reference (source proposal): https://github.com/sleepyseamonster/Arc-Dust/blob/f6f98515c005dc3c73cccd9cbc031691745740c6/02-Arc-Dust-Worldbuilding/world/economy/energy-systems.md</x:v>
      </x:c>
      <x:c r="X689" s="4" t="str">
        <x:v>Energy storage</x:v>
      </x:c>
      <x:c r="Y689" s="4" t="str">
        <x:v>Finished item</x:v>
      </x:c>
      <x:c r="Z689" s="4" t="str">
        <x:v>Manufactured / unresolved</x:v>
      </x:c>
      <x:c r="AA689" s="4" t="str">
        <x:v>Energy storage</x:v>
      </x:c>
      <x:c r="AB689" s="4" t="str">
        <x:v>Metal</x:v>
      </x:c>
      <x:c r="AC689" s="4" t="str">
        <x:v>Assembly</x:v>
      </x:c>
      <x:c r="AD689" s="4" t="str">
        <x:v>Proposal</x:v>
      </x:c>
      <x:c r="AE689" s="4" t="str">
        <x:f>LOWER(A689&amp;"; "&amp;B689&amp;"; "&amp;D689&amp;"; "&amp;E689&amp;"; "&amp;X689&amp;"; "&amp;Y689&amp;"; "&amp;Z689&amp;"; "&amp;AA689&amp;"; "&amp;AB689&amp;"; "&amp;AC689&amp;"; "&amp;AD689&amp;"; "&amp;V689&amp;"; "&amp;C689&amp;"; "&amp;AH689&amp;"; "&amp;AI689)</x:f>
        <x:v>proposal.collection.lifted_counterweight_module; lifted counterweight module; crafting components; energy storage; energy storage; finished item; manufactured / unresolved; energy storage; metal; assembly; proposal; lifted counterweight module; collection expansion; energy storage; not applicable; t3; finished item</x:v>
      </x:c>
      <x:c r="AF68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89" s="4" t="str">
        <x:v>Finished endpoint or currency. Material tier is separate from finished input tier.</x:v>
      </x:c>
      <x:c r="AH689" s="4" t="str">
        <x:v>T3</x:v>
      </x:c>
      <x:c r="AI689" s="4" t="str">
        <x:v>Finished item</x:v>
      </x:c>
      <x:c r="AJ689" s="4" t="n">
        <x:f>COUNTIFS('Material routes'!$D$6:$D$2205,A689,'Material routes'!$C$6:$C$2205,"Output")</x:f>
        <x:v>1</x:v>
      </x:c>
      <x:c r="AK689" s="4" t="n">
        <x:f>SUM(COUNTIFS('Material routes'!$D$6:$D$2205,A689,'Material routes'!$C$6:$C$2205,"Ingredient candidate"),COUNTIFS('Material routes'!$D$6:$D$2205,A689,'Material routes'!$C$6:$C$2205,"Consumed input"),COUNTIFS('Material routes'!$D$6:$D$2205,A689,'Material routes'!$C$6:$C$2205,"Contained input"),COUNTIFS('Material routes'!$D$6:$D$2205,A689,'Material routes'!$C$6:$C$2205,"Transform input"))</x:f>
        <x:v>0</x:v>
      </x:c>
      <x:c r="AL689" s="4" t="n">
        <x:f>COUNTIFS('Material routes'!$D$6:$D$2205,A689,'Material routes'!$C$6:$C$2205,"Tool candidate")</x:f>
        <x:v>0</x:v>
      </x:c>
      <x:c r="AM689" s="4" t="str">
        <x:f>IF(AJ689&gt;0,"Route listed; review status/completeness",IF(C689="T0","Raw entry feed; no production route","No production route listed"))</x:f>
        <x:v>Route listed; review status/completeness</x:v>
      </x:c>
      <x:c r="AN689" s="4" t="n">
        <x:f>IF(C689="T0",0,IF(C689="T1",1,IF(C689="T2",2,IF(C689="T3",3,IF(C689="T4",4,IF(C689="Unassigned",98,99))))))</x:f>
        <x:v>99</x:v>
      </x:c>
      <x:c r="AZ689"/>
      <x:c r="BA689"/>
      <x:c r="BB689"/>
      <x:c r="BC689"/>
      <x:c r="BD689"/>
      <x:c r="BE689"/>
      <x:c r="BF689"/>
      <x:c r="BG689"/>
      <x:c r="BH689"/>
      <x:c r="BI689"/>
      <x:c r="BJ689"/>
      <x:c r="BK689"/>
      <x:c r="BL689"/>
      <x:c r="BM689"/>
      <x:c r="BN689"/>
      <x:c r="BO689"/>
      <x:c r="BP689"/>
      <x:c r="BQ689"/>
      <x:c r="BR689"/>
      <x:c r="BS689"/>
      <x:c r="BT689"/>
      <x:c r="BU689"/>
      <x:c r="BV689"/>
      <x:c r="BW689"/>
      <x:c r="BX689"/>
      <x:c r="BY689"/>
      <x:c r="BZ689"/>
      <x:c r="CA689"/>
      <x:c r="CB689"/>
      <x:c r="CC689"/>
    </x:row>
    <x:row r="690" ht="115" customHeight="1">
      <x:c r="A690" s="4" t="str">
        <x:v>proposal.collection.shaft_drop_weight_train</x:v>
      </x:c>
      <x:c r="B690" s="4" t="str">
        <x:v>Shaft-drop weight train</x:v>
      </x:c>
      <x:c r="C690" s="4" t="str">
        <x:v>Not applicable</x:v>
      </x:c>
      <x:c r="D690" s="4" t="inlineStr">
        <x:is>
          <x:t xml:space="preserve">Salvage</x:t>
        </x:is>
      </x:c>
      <x:c r="E690" s="4" t="str">
        <x:v>Energy storage</x:v>
      </x:c>
      <x:c r="F690" s="4" t="str">
        <x:v>New proposal</x:v>
      </x:c>
      <x:c r="G690" s="4" t="inlineStr">
        <x:is>
          <x:t xml:space="preserve">Large canyon storage assembly requiring a fixed drop shaft. It holds energy in the recorded physical form for a compatible system. Assembly alone does not supply charge, pressure, heat or mechanical preload.</x:t>
        </x:is>
      </x:c>
      <x:c r="H690" s="4" t="str">
        <x:v>None</x:v>
      </x:c>
      <x:c r="I690" s="4" t="str">
        <x:v>Installed machinery / stationary storage; physical site and mounting infrastructure required. Not ordinary backpack cargo.</x:v>
      </x:c>
      <x:c r="J690" s="4"/>
      <x:c r="K690" s="4"/>
      <x:c r="L690" s="4" t="str">
        <x:v>Candidate preparation: design.collection.shaft_drop_weight_train. Full inputs are in Crafting browser.</x:v>
      </x:c>
      <x:c r="M690" s="4" t="str">
        <x:v>Candidate workshop or contained preparation route; detailed tools, quantities and conditions unresolved</x:v>
      </x:c>
      <x:c r="N690" s="4" t="str">
        <x:v>Not implemented</x:v>
      </x:c>
      <x:c r="O690" s="4" t="str">
        <x:v>Specific dimensions, yield, fit, performance and service conditions remain open.</x:v>
      </x:c>
      <x:c r="P690" s="4"/>
      <x:c r="Q690" s="4"/>
      <x:c r="R690" s="4"/>
      <x:c r="S690" s="4"/>
      <x:c r="T690" s="4"/>
      <x:c r="U690" s="4" t="str">
        <x:v>Candidate inputs are partial. Resolve tools, supporting materials, energy, recovery and compatibility before recipes become craftable.</x:v>
      </x:c>
      <x:c r="V690" s="4" t="str">
        <x:v>shaft-drop weight train; collection expansion; energy storage</x:v>
      </x:c>
      <x:c r="W690" s="4" t="str">
        <x:v>New item proposal, October 15, 2026. Setting reference (source proposal): https://github.com/sleepyseamonster/Arc-Dust/blob/f6f98515c005dc3c73cccd9cbc031691745740c6/02-Arc-Dust-Worldbuilding/world/economy/energy-systems.md</x:v>
      </x:c>
      <x:c r="X690" s="4" t="str">
        <x:v>Energy storage</x:v>
      </x:c>
      <x:c r="Y690" s="4" t="str">
        <x:v>Finished item</x:v>
      </x:c>
      <x:c r="Z690" s="4" t="str">
        <x:v>Manufactured / unresolved</x:v>
      </x:c>
      <x:c r="AA690" s="4" t="str">
        <x:v>Energy storage</x:v>
      </x:c>
      <x:c r="AB690" s="4" t="str">
        <x:v>Metal</x:v>
      </x:c>
      <x:c r="AC690" s="4" t="str">
        <x:v>Assembly</x:v>
      </x:c>
      <x:c r="AD690" s="4" t="str">
        <x:v>Proposal</x:v>
      </x:c>
      <x:c r="AE690" s="4" t="str">
        <x:f>LOWER(A690&amp;"; "&amp;B690&amp;"; "&amp;D690&amp;"; "&amp;E690&amp;"; "&amp;X690&amp;"; "&amp;Y690&amp;"; "&amp;Z690&amp;"; "&amp;AA690&amp;"; "&amp;AB690&amp;"; "&amp;AC690&amp;"; "&amp;AD690&amp;"; "&amp;V690&amp;"; "&amp;C690&amp;"; "&amp;AH690&amp;"; "&amp;AI690)</x:f>
        <x:v>proposal.collection.shaft_drop_weight_train; shaft-drop weight train; salvage; energy storage; energy storage; finished item; manufactured / unresolved; energy storage; metal; assembly; proposal; shaft-drop weight train; collection expansion; energy storage; not applicable; t3; finished item</x:v>
      </x:c>
      <x:c r="AF690" s="4" t="str">
        <x:v>Collection expansion classification. Distinct type, use and material family; new item proposal unless author direction is marked. October 15 audit: classification/handling clarified; item identity, design status and material tier preserved.</x:v>
      </x:c>
      <x:c r="AG690" s="4" t="str">
        <x:v>Finished endpoint or currency. Material tier is separate from finished input tier.</x:v>
      </x:c>
      <x:c r="AH690" s="4" t="str">
        <x:v>T3</x:v>
      </x:c>
      <x:c r="AI690" s="4" t="str">
        <x:v>Finished item</x:v>
      </x:c>
      <x:c r="AJ690" s="4" t="n">
        <x:f>COUNTIFS('Material routes'!$D$6:$D$2205,A690,'Material routes'!$C$6:$C$2205,"Output")</x:f>
        <x:v>1</x:v>
      </x:c>
      <x:c r="AK690" s="4" t="n">
        <x:f>SUM(COUNTIFS('Material routes'!$D$6:$D$2205,A690,'Material routes'!$C$6:$C$2205,"Ingredient candidate"),COUNTIFS('Material routes'!$D$6:$D$2205,A690,'Material routes'!$C$6:$C$2205,"Consumed input"),COUNTIFS('Material routes'!$D$6:$D$2205,A690,'Material routes'!$C$6:$C$2205,"Contained input"),COUNTIFS('Material routes'!$D$6:$D$2205,A690,'Material routes'!$C$6:$C$2205,"Transform input"))</x:f>
        <x:v>0</x:v>
      </x:c>
      <x:c r="AL690" s="4" t="n">
        <x:f>COUNTIFS('Material routes'!$D$6:$D$2205,A690,'Material routes'!$C$6:$C$2205,"Tool candidate")</x:f>
        <x:v>0</x:v>
      </x:c>
      <x:c r="AM690" s="4" t="str">
        <x:f>IF(AJ690&gt;0,"Route listed; review status/completeness",IF(C690="T0","Raw entry feed; no production route","No production route listed"))</x:f>
        <x:v>Route listed; review status/completeness</x:v>
      </x:c>
      <x:c r="AN690" s="4" t="n">
        <x:f>IF(C690="T0",0,IF(C690="T1",1,IF(C690="T2",2,IF(C690="T3",3,IF(C690="T4",4,IF(C690="Unassigned",98,99))))))</x:f>
        <x:v>99</x:v>
      </x:c>
      <x:c r="AZ690"/>
      <x:c r="BA690"/>
      <x:c r="BB690"/>
      <x:c r="BC690"/>
      <x:c r="BD690"/>
      <x:c r="BE690"/>
      <x:c r="BF690"/>
      <x:c r="BG690"/>
      <x:c r="BH690"/>
      <x:c r="BI690"/>
      <x:c r="BJ690"/>
      <x:c r="BK690"/>
      <x:c r="BL690"/>
      <x:c r="BM690"/>
      <x:c r="BN690"/>
      <x:c r="BO690"/>
      <x:c r="BP690"/>
      <x:c r="BQ690"/>
      <x:c r="BR690"/>
      <x:c r="BS690"/>
      <x:c r="BT690"/>
      <x:c r="BU690"/>
      <x:c r="BV690"/>
      <x:c r="BW690"/>
      <x:c r="BX690"/>
      <x:c r="BY690"/>
      <x:c r="BZ690"/>
      <x:c r="CA690"/>
      <x:c r="CB690"/>
      <x:c r="CC690"/>
    </x:row>
    <x:row r="691" ht="115" customHeight="1">
      <x:c r="A691" s="4" t="str">
        <x:v>proposal.collection.sealed_pressure_accumulator</x:v>
      </x:c>
      <x:c r="B691" s="4" t="str">
        <x:v>Sealed pressure accumulator</x:v>
      </x:c>
      <x:c r="C691" s="4" t="str">
        <x:v>Not applicable</x:v>
      </x:c>
      <x:c r="D691" s="4" t="inlineStr">
        <x:is>
          <x:t xml:space="preserve">Crafting components</x:t>
        </x:is>
      </x:c>
      <x:c r="E691" s="4" t="str">
        <x:v>Energy storage</x:v>
      </x:c>
      <x:c r="F691" s="4" t="str">
        <x:v>New proposal</x:v>
      </x:c>
      <x:c r="G691" s="4" t="inlineStr">
        <x:is>
          <x:t xml:space="preserve">Stores pressure in a compatible closed vessel, no rating assigned. It holds energy in the recorded physical form for a compatible system. Assembly alone does not supply charge, pressure, heat or mechanical preload.</x:t>
        </x:is>
      </x:c>
      <x:c r="H691" s="4" t="str">
        <x:v>None</x:v>
      </x:c>
      <x:c r="I691" s="4" t="str">
        <x:v>Physical inventory / cargo item; dimensions and packing unresolved</x:v>
      </x:c>
      <x:c r="J691" s="4"/>
      <x:c r="K691" s="4"/>
      <x:c r="L691" s="4" t="str">
        <x:v>Candidate preparation: design.collection.sealed_pressure_accumulator. Full inputs are in Crafting browser.</x:v>
      </x:c>
      <x:c r="M691" s="4" t="str">
        <x:v>Candidate workshop or contained preparation route; detailed tools, quantities and conditions unresolved</x:v>
      </x:c>
      <x:c r="N691" s="4" t="str">
        <x:v>Not implemented</x:v>
      </x:c>
      <x:c r="O691" s="4" t="str">
        <x:v>Specific dimensions, yield, fit, performance and service conditions remain open.</x:v>
      </x:c>
      <x:c r="P691" s="4"/>
      <x:c r="Q691" s="4"/>
      <x:c r="R691" s="4"/>
      <x:c r="S691" s="4"/>
      <x:c r="T691" s="4"/>
      <x:c r="U691" s="4" t="str">
        <x:v>Candidate inputs are partial. Resolve tools, supporting materials, energy, recovery and compatibility before recipes become craftable.</x:v>
      </x:c>
      <x:c r="V691" s="4" t="str">
        <x:v>sealed pressure accumulator; collection expansion; energy storage</x:v>
      </x:c>
      <x:c r="W691" s="4" t="str">
        <x:v>New item proposal, October 15, 2026. Setting reference (source proposal): https://github.com/sleepyseamonster/Arc-Dust/blob/f6f98515c005dc3c73cccd9cbc031691745740c6/02-Arc-Dust-Worldbuilding/world/economy/energy-systems.md</x:v>
      </x:c>
      <x:c r="X691" s="4" t="str">
        <x:v>Energy storage</x:v>
      </x:c>
      <x:c r="Y691" s="4" t="str">
        <x:v>Finished item</x:v>
      </x:c>
      <x:c r="Z691" s="4" t="str">
        <x:v>Manufactured / unresolved</x:v>
      </x:c>
      <x:c r="AA691" s="4" t="str">
        <x:v>Energy storage</x:v>
      </x:c>
      <x:c r="AB691" s="4" t="str">
        <x:v>Mixed / unresolved</x:v>
      </x:c>
      <x:c r="AC691" s="4" t="str">
        <x:v>Assembly</x:v>
      </x:c>
      <x:c r="AD691" s="4" t="str">
        <x:v>Proposal</x:v>
      </x:c>
      <x:c r="AE691" s="4" t="str">
        <x:f>LOWER(A691&amp;"; "&amp;B691&amp;"; "&amp;D691&amp;"; "&amp;E691&amp;"; "&amp;X691&amp;"; "&amp;Y691&amp;"; "&amp;Z691&amp;"; "&amp;AA691&amp;"; "&amp;AB691&amp;"; "&amp;AC691&amp;"; "&amp;AD691&amp;"; "&amp;V691&amp;"; "&amp;C691&amp;"; "&amp;AH691&amp;"; "&amp;AI691)</x:f>
        <x:v>proposal.collection.sealed_pressure_accumulator; sealed pressure accumulator; crafting components; energy storage; energy storage; finished item; manufactured / unresolved; energy storage; mixed / unresolved; assembly; proposal; sealed pressure accumulator; collection expansion; energy storage; not applicable; t4; finished item</x:v>
      </x:c>
      <x:c r="AF691"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1" s="4" t="str">
        <x:v>Finished endpoint or currency. Material tier is separate from finished input tier.</x:v>
      </x:c>
      <x:c r="AH691" s="4" t="str">
        <x:v>T4</x:v>
      </x:c>
      <x:c r="AI691" s="4" t="str">
        <x:v>Finished item</x:v>
      </x:c>
      <x:c r="AJ691" s="4" t="n">
        <x:f>COUNTIFS('Material routes'!$D$6:$D$2205,A691,'Material routes'!$C$6:$C$2205,"Output")</x:f>
        <x:v>1</x:v>
      </x:c>
      <x:c r="AK691" s="4" t="n">
        <x:f>SUM(COUNTIFS('Material routes'!$D$6:$D$2205,A691,'Material routes'!$C$6:$C$2205,"Ingredient candidate"),COUNTIFS('Material routes'!$D$6:$D$2205,A691,'Material routes'!$C$6:$C$2205,"Consumed input"),COUNTIFS('Material routes'!$D$6:$D$2205,A691,'Material routes'!$C$6:$C$2205,"Contained input"),COUNTIFS('Material routes'!$D$6:$D$2205,A691,'Material routes'!$C$6:$C$2205,"Transform input"))</x:f>
        <x:v>1</x:v>
      </x:c>
      <x:c r="AL691" s="4" t="n">
        <x:f>COUNTIFS('Material routes'!$D$6:$D$2205,A691,'Material routes'!$C$6:$C$2205,"Tool candidate")</x:f>
        <x:v>0</x:v>
      </x:c>
      <x:c r="AM691" s="4" t="str">
        <x:f>IF(AJ691&gt;0,"Route listed; review status/completeness",IF(C691="T0","Raw entry feed; no production route","No production route listed"))</x:f>
        <x:v>Route listed; review status/completeness</x:v>
      </x:c>
      <x:c r="AN691" s="4" t="n">
        <x:f>IF(C691="T0",0,IF(C691="T1",1,IF(C691="T2",2,IF(C691="T3",3,IF(C691="T4",4,IF(C691="Unassigned",98,99))))))</x:f>
        <x:v>99</x:v>
      </x:c>
      <x:c r="AZ691"/>
      <x:c r="BA691"/>
      <x:c r="BB691"/>
      <x:c r="BC691"/>
      <x:c r="BD691"/>
      <x:c r="BE691"/>
      <x:c r="BF691"/>
      <x:c r="BG691"/>
      <x:c r="BH691"/>
      <x:c r="BI691"/>
      <x:c r="BJ691"/>
      <x:c r="BK691"/>
      <x:c r="BL691"/>
      <x:c r="BM691"/>
      <x:c r="BN691"/>
      <x:c r="BO691"/>
      <x:c r="BP691"/>
      <x:c r="BQ691"/>
      <x:c r="BR691"/>
      <x:c r="BS691"/>
      <x:c r="BT691"/>
      <x:c r="BU691"/>
      <x:c r="BV691"/>
      <x:c r="BW691"/>
      <x:c r="BX691"/>
      <x:c r="BY691"/>
      <x:c r="BZ691"/>
      <x:c r="CA691"/>
      <x:c r="CB691"/>
      <x:c r="CC691"/>
    </x:row>
    <x:row r="692" ht="115" customHeight="1">
      <x:c r="A692" s="4" t="str">
        <x:v>proposal.collection.packed_stone_thermal_block</x:v>
      </x:c>
      <x:c r="B692" s="4" t="str">
        <x:v>Packed-stone thermal block</x:v>
      </x:c>
      <x:c r="C692" s="4" t="str">
        <x:v>Not applicable</x:v>
      </x:c>
      <x:c r="D692" s="4" t="inlineStr">
        <x:is>
          <x:t xml:space="preserve">Crafting components</x:t>
        </x:is>
      </x:c>
      <x:c r="E692" s="4" t="str">
        <x:v>Energy storage</x:v>
      </x:c>
      <x:c r="F692" s="4" t="str">
        <x:v>New proposal</x:v>
      </x:c>
      <x:c r="G692" s="4" t="inlineStr">
        <x:is>
          <x:t xml:space="preserve">Stores sensible heat for controlled release. It holds energy in the recorded physical form for a compatible system. Assembly alone does not supply charge, pressure, heat or mechanical preload.</x:t>
        </x:is>
      </x:c>
      <x:c r="H692" s="4" t="str">
        <x:v>None</x:v>
      </x:c>
      <x:c r="I692" s="4" t="str">
        <x:v>Physical inventory / cargo item; dimensions and packing unresolved</x:v>
      </x:c>
      <x:c r="J692" s="4"/>
      <x:c r="K692" s="4"/>
      <x:c r="L692" s="4" t="str">
        <x:v>Candidate preparation: design.collection.packed_stone_thermal_block. Full inputs are in Crafting browser.</x:v>
      </x:c>
      <x:c r="M692" s="4" t="str">
        <x:v>Candidate workshop or contained preparation route; detailed tools, quantities and conditions unresolved</x:v>
      </x:c>
      <x:c r="N692" s="4" t="str">
        <x:v>Not implemented</x:v>
      </x:c>
      <x:c r="O692" s="4" t="str">
        <x:v>Specific dimensions, yield, fit, performance and service conditions remain open.</x:v>
      </x:c>
      <x:c r="P692" s="4"/>
      <x:c r="Q692" s="4"/>
      <x:c r="R692" s="4"/>
      <x:c r="S692" s="4"/>
      <x:c r="T692" s="4"/>
      <x:c r="U692" s="4" t="str">
        <x:v>Candidate inputs are partial. Resolve tools, supporting materials, energy, recovery and compatibility before recipes become craftable.</x:v>
      </x:c>
      <x:c r="V692" s="4" t="str">
        <x:v>packed-stone thermal block; collection expansion; energy storage</x:v>
      </x:c>
      <x:c r="W692" s="4" t="str">
        <x:v>New item proposal, October 15, 2026. Setting reference (source proposal): https://github.com/sleepyseamonster/Arc-Dust/blob/f6f98515c005dc3c73cccd9cbc031691745740c6/02-Arc-Dust-Worldbuilding/world/economy/energy-systems.md</x:v>
      </x:c>
      <x:c r="X692" s="4" t="str">
        <x:v>Energy storage</x:v>
      </x:c>
      <x:c r="Y692" s="4" t="str">
        <x:v>Finished item</x:v>
      </x:c>
      <x:c r="Z692" s="4" t="str">
        <x:v>Manufactured / unresolved</x:v>
      </x:c>
      <x:c r="AA692" s="4" t="str">
        <x:v>Energy storage</x:v>
      </x:c>
      <x:c r="AB692" s="4" t="str">
        <x:v>Mixed / unresolved</x:v>
      </x:c>
      <x:c r="AC692" s="4" t="str">
        <x:v>Assembly</x:v>
      </x:c>
      <x:c r="AD692" s="4" t="str">
        <x:v>Proposal</x:v>
      </x:c>
      <x:c r="AE692" s="4" t="str">
        <x:f>LOWER(A692&amp;"; "&amp;B692&amp;"; "&amp;D692&amp;"; "&amp;E692&amp;"; "&amp;X692&amp;"; "&amp;Y692&amp;"; "&amp;Z692&amp;"; "&amp;AA692&amp;"; "&amp;AB692&amp;"; "&amp;AC692&amp;"; "&amp;AD692&amp;"; "&amp;V692&amp;"; "&amp;C692&amp;"; "&amp;AH692&amp;"; "&amp;AI692)</x:f>
        <x:v>proposal.collection.packed_stone_thermal_block; packed-stone thermal block; crafting components; energy storage; energy storage; finished item; manufactured / unresolved; energy storage; mixed / unresolved; assembly; proposal; packed-stone thermal block; collection expansion; energy storage; not applicable; t2; finished item</x:v>
      </x:c>
      <x:c r="AF692"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2" s="4" t="str">
        <x:v>Finished endpoint or currency. Material tier is separate from finished input tier.</x:v>
      </x:c>
      <x:c r="AH692" s="4" t="str">
        <x:v>T2</x:v>
      </x:c>
      <x:c r="AI692" s="4" t="str">
        <x:v>Finished item</x:v>
      </x:c>
      <x:c r="AJ692" s="4" t="n">
        <x:f>COUNTIFS('Material routes'!$D$6:$D$2205,A692,'Material routes'!$C$6:$C$2205,"Output")</x:f>
        <x:v>1</x:v>
      </x:c>
      <x:c r="AK692" s="4" t="n">
        <x:f>SUM(COUNTIFS('Material routes'!$D$6:$D$2205,A692,'Material routes'!$C$6:$C$2205,"Ingredient candidate"),COUNTIFS('Material routes'!$D$6:$D$2205,A692,'Material routes'!$C$6:$C$2205,"Consumed input"),COUNTIFS('Material routes'!$D$6:$D$2205,A692,'Material routes'!$C$6:$C$2205,"Contained input"),COUNTIFS('Material routes'!$D$6:$D$2205,A692,'Material routes'!$C$6:$C$2205,"Transform input"))</x:f>
        <x:v>0</x:v>
      </x:c>
      <x:c r="AL692" s="4" t="n">
        <x:f>COUNTIFS('Material routes'!$D$6:$D$2205,A692,'Material routes'!$C$6:$C$2205,"Tool candidate")</x:f>
        <x:v>0</x:v>
      </x:c>
      <x:c r="AM692" s="4" t="str">
        <x:f>IF(AJ692&gt;0,"Route listed; review status/completeness",IF(C692="T0","Raw entry feed; no production route","No production route listed"))</x:f>
        <x:v>Route listed; review status/completeness</x:v>
      </x:c>
      <x:c r="AN692" s="4" t="n">
        <x:f>IF(C692="T0",0,IF(C692="T1",1,IF(C692="T2",2,IF(C692="T3",3,IF(C692="T4",4,IF(C692="Unassigned",98,99))))))</x:f>
        <x:v>99</x:v>
      </x:c>
      <x:c r="AZ692"/>
      <x:c r="BA692"/>
      <x:c r="BB692"/>
      <x:c r="BC692"/>
      <x:c r="BD692"/>
      <x:c r="BE692"/>
      <x:c r="BF692"/>
      <x:c r="BG692"/>
      <x:c r="BH692"/>
      <x:c r="BI692"/>
      <x:c r="BJ692"/>
      <x:c r="BK692"/>
      <x:c r="BL692"/>
      <x:c r="BM692"/>
      <x:c r="BN692"/>
      <x:c r="BO692"/>
      <x:c r="BP692"/>
      <x:c r="BQ692"/>
      <x:c r="BR692"/>
      <x:c r="BS692"/>
      <x:c r="BT692"/>
      <x:c r="BU692"/>
      <x:c r="BV692"/>
      <x:c r="BW692"/>
      <x:c r="BX692"/>
      <x:c r="BY692"/>
      <x:c r="BZ692"/>
      <x:c r="CA692"/>
      <x:c r="CB692"/>
      <x:c r="CC692"/>
    </x:row>
    <x:row r="693" ht="115" customHeight="1">
      <x:c r="A693" s="4" t="str">
        <x:v>proposal.collection.contained_salt_heat_cell</x:v>
      </x:c>
      <x:c r="B693" s="4" t="str">
        <x:v>Contained salt heat cell</x:v>
      </x:c>
      <x:c r="C693" s="4" t="str">
        <x:v>Not applicable</x:v>
      </x:c>
      <x:c r="D693" s="4" t="inlineStr">
        <x:is>
          <x:t xml:space="preserve">Crafting components</x:t>
        </x:is>
      </x:c>
      <x:c r="E693" s="4" t="str">
        <x:v>Energy storage</x:v>
      </x:c>
      <x:c r="F693" s="4" t="str">
        <x:v>New proposal</x:v>
      </x:c>
      <x:c r="G693" s="4" t="inlineStr">
        <x:is>
          <x:t xml:space="preserve">Candidate thermal storage medium kept inside a compatible vessel. It holds energy in the recorded physical form for a compatible system. Assembly alone does not supply charge, pressure, heat or mechanical preload.</x:t>
        </x:is>
      </x:c>
      <x:c r="H693" s="4" t="str">
        <x:v>None</x:v>
      </x:c>
      <x:c r="I693" s="4" t="str">
        <x:v>Physical inventory / cargo item; dimensions and packing unresolved</x:v>
      </x:c>
      <x:c r="J693" s="4"/>
      <x:c r="K693" s="4"/>
      <x:c r="L693" s="4" t="str">
        <x:v>Candidate preparation: design.collection.contained_salt_heat_cell. Full inputs are in Crafting browser.</x:v>
      </x:c>
      <x:c r="M693" s="4" t="str">
        <x:v>Candidate workshop or contained preparation route; detailed tools, quantities and conditions unresolved</x:v>
      </x:c>
      <x:c r="N693" s="4" t="str">
        <x:v>Not implemented</x:v>
      </x:c>
      <x:c r="O693" s="4" t="str">
        <x:v>Specific dimensions, yield, fit, performance and service conditions remain open.</x:v>
      </x:c>
      <x:c r="P693" s="4"/>
      <x:c r="Q693" s="4"/>
      <x:c r="R693" s="4"/>
      <x:c r="S693" s="4"/>
      <x:c r="T693" s="4"/>
      <x:c r="U693" s="4" t="str">
        <x:v>Candidate inputs are partial. Resolve tools, supporting materials, energy, recovery and compatibility before recipes become craftable.</x:v>
      </x:c>
      <x:c r="V693" s="4" t="str">
        <x:v>contained salt heat cell; collection expansion; energy storage</x:v>
      </x:c>
      <x:c r="W693" s="4" t="str">
        <x:v>New item proposal, October 15, 2026. Setting reference (source proposal): https://github.com/sleepyseamonster/Arc-Dust/blob/f6f98515c005dc3c73cccd9cbc031691745740c6/02-Arc-Dust-Worldbuilding/world/economy/energy-systems.md</x:v>
      </x:c>
      <x:c r="X693" s="4" t="str">
        <x:v>Energy storage</x:v>
      </x:c>
      <x:c r="Y693" s="4" t="str">
        <x:v>Finished item</x:v>
      </x:c>
      <x:c r="Z693" s="4" t="str">
        <x:v>Manufactured / unresolved</x:v>
      </x:c>
      <x:c r="AA693" s="4" t="str">
        <x:v>Energy storage</x:v>
      </x:c>
      <x:c r="AB693" s="4" t="str">
        <x:v>Mixed / unresolved</x:v>
      </x:c>
      <x:c r="AC693" s="4" t="str">
        <x:v>Assembly</x:v>
      </x:c>
      <x:c r="AD693" s="4" t="str">
        <x:v>Proposal</x:v>
      </x:c>
      <x:c r="AE693" s="4" t="str">
        <x:f>LOWER(A693&amp;"; "&amp;B693&amp;"; "&amp;D693&amp;"; "&amp;E693&amp;"; "&amp;X693&amp;"; "&amp;Y693&amp;"; "&amp;Z693&amp;"; "&amp;AA693&amp;"; "&amp;AB693&amp;"; "&amp;AC693&amp;"; "&amp;AD693&amp;"; "&amp;V693&amp;"; "&amp;C693&amp;"; "&amp;AH693&amp;"; "&amp;AI693)</x:f>
        <x:v>proposal.collection.contained_salt_heat_cell; contained salt heat cell; crafting components; energy storage; energy storage; finished item; manufactured / unresolved; energy storage; mixed / unresolved; assembly; proposal; contained salt heat cell; collection expansion; energy storage; not applicable; t2; finished item</x:v>
      </x:c>
      <x:c r="AF693" s="4" t="str">
        <x:v>Collection expansion classification. Distinct type, use and material family; new item proposal unless author direction is marked.</x:v>
      </x:c>
      <x:c r="AG693" s="4" t="str">
        <x:v>Finished endpoint or currency. Material tier is separate from finished input tier.</x:v>
      </x:c>
      <x:c r="AH693" s="4" t="str">
        <x:v>T2</x:v>
      </x:c>
      <x:c r="AI693" s="4" t="str">
        <x:v>Finished item</x:v>
      </x:c>
      <x:c r="AJ693" s="4" t="n">
        <x:f>COUNTIFS('Material routes'!$D$6:$D$2205,A693,'Material routes'!$C$6:$C$2205,"Output")</x:f>
        <x:v>1</x:v>
      </x:c>
      <x:c r="AK693" s="4" t="n">
        <x:f>SUM(COUNTIFS('Material routes'!$D$6:$D$2205,A693,'Material routes'!$C$6:$C$2205,"Ingredient candidate"),COUNTIFS('Material routes'!$D$6:$D$2205,A693,'Material routes'!$C$6:$C$2205,"Consumed input"),COUNTIFS('Material routes'!$D$6:$D$2205,A693,'Material routes'!$C$6:$C$2205,"Contained input"),COUNTIFS('Material routes'!$D$6:$D$2205,A693,'Material routes'!$C$6:$C$2205,"Transform input"))</x:f>
        <x:v>0</x:v>
      </x:c>
      <x:c r="AL693" s="4" t="n">
        <x:f>COUNTIFS('Material routes'!$D$6:$D$2205,A693,'Material routes'!$C$6:$C$2205,"Tool candidate")</x:f>
        <x:v>0</x:v>
      </x:c>
      <x:c r="AM693" s="4" t="str">
        <x:f>IF(AJ693&gt;0,"Route listed; review status/completeness",IF(C693="T0","Raw entry feed; no production route","No production route listed"))</x:f>
        <x:v>Route listed; review status/completeness</x:v>
      </x:c>
      <x:c r="AN693" s="4" t="n">
        <x:f>IF(C693="T0",0,IF(C693="T1",1,IF(C693="T2",2,IF(C693="T3",3,IF(C693="T4",4,IF(C693="Unassigned",98,99))))))</x:f>
        <x:v>99</x:v>
      </x:c>
      <x:c r="AZ693"/>
      <x:c r="BA693"/>
      <x:c r="BB693"/>
      <x:c r="BC693"/>
      <x:c r="BD693"/>
      <x:c r="BE693"/>
      <x:c r="BF693"/>
      <x:c r="BG693"/>
      <x:c r="BH693"/>
      <x:c r="BI693"/>
      <x:c r="BJ693"/>
      <x:c r="BK693"/>
      <x:c r="BL693"/>
      <x:c r="BM693"/>
      <x:c r="BN693"/>
      <x:c r="BO693"/>
      <x:c r="BP693"/>
      <x:c r="BQ693"/>
      <x:c r="BR693"/>
      <x:c r="BS693"/>
      <x:c r="BT693"/>
      <x:c r="BU693"/>
      <x:c r="BV693"/>
      <x:c r="BW693"/>
      <x:c r="BX693"/>
      <x:c r="BY693"/>
      <x:c r="BZ693"/>
      <x:c r="CA693"/>
      <x:c r="CB693"/>
      <x:c r="CC693"/>
    </x:row>
    <x:row r="694" ht="115" customHeight="1">
      <x:c r="A694" s="4" t="str">
        <x:v>proposal.collection.ceramic_housed_mineral_battery</x:v>
      </x:c>
      <x:c r="B694" s="4" t="str">
        <x:v>Ceramic-housed mineral battery</x:v>
      </x:c>
      <x:c r="C694" s="4" t="str">
        <x:v>Not applicable</x:v>
      </x:c>
      <x:c r="D694" s="4" t="inlineStr">
        <x:is>
          <x:t xml:space="preserve">Crafting components</x:t>
        </x:is>
      </x:c>
      <x:c r="E694" s="4" t="str">
        <x:v>Energy storage</x:v>
      </x:c>
      <x:c r="F694" s="4" t="str">
        <x:v>New proposal</x:v>
      </x:c>
      <x:c r="G694" s="4" t="inlineStr">
        <x:is>
          <x:t xml:space="preserve">Rugged chemical battery candidate with unresolved chemistry. It holds energy in the recorded physical form for a compatible system. Assembly alone does not supply charge, pressure, heat or mechanical preload.</x:t>
        </x:is>
      </x:c>
      <x:c r="H694" s="4" t="str">
        <x:v>None</x:v>
      </x:c>
      <x:c r="I694" s="4" t="str">
        <x:v>Physical inventory / cargo item; dimensions and packing unresolved</x:v>
      </x:c>
      <x:c r="J694" s="4"/>
      <x:c r="K694" s="4"/>
      <x:c r="L694" s="4" t="str">
        <x:v>Candidate preparation: design.collection.ceramic_housed_mineral_battery. Full inputs are in Crafting browser.</x:v>
      </x:c>
      <x:c r="M694" s="4" t="str">
        <x:v>Candidate workshop or contained preparation route; detailed tools, quantities and conditions unresolved</x:v>
      </x:c>
      <x:c r="N694" s="4" t="str">
        <x:v>Not implemented</x:v>
      </x:c>
      <x:c r="O694" s="4" t="str">
        <x:v>Specific dimensions, yield, fit, performance and service conditions remain open.</x:v>
      </x:c>
      <x:c r="P694" s="4"/>
      <x:c r="Q694" s="4"/>
      <x:c r="R694" s="4"/>
      <x:c r="S694" s="4"/>
      <x:c r="T694" s="4"/>
      <x:c r="U694" s="4" t="str">
        <x:v>Candidate inputs are partial. Resolve tools, supporting materials, energy, recovery and compatibility before recipes become craftable.</x:v>
      </x:c>
      <x:c r="V694" s="4" t="str">
        <x:v>ceramic-housed mineral battery; collection expansion; energy storage</x:v>
      </x:c>
      <x:c r="W694" s="4" t="str">
        <x:v>New item proposal, October 15, 2026. Setting reference (source proposal): https://github.com/sleepyseamonster/Arc-Dust/blob/f6f98515c005dc3c73cccd9cbc031691745740c6/02-Arc-Dust-Worldbuilding/world/economy/energy-systems.md</x:v>
      </x:c>
      <x:c r="X694" s="4" t="str">
        <x:v>Energy storage</x:v>
      </x:c>
      <x:c r="Y694" s="4" t="str">
        <x:v>Finished item</x:v>
      </x:c>
      <x:c r="Z694" s="4" t="str">
        <x:v>Manufactured / unresolved</x:v>
      </x:c>
      <x:c r="AA694" s="4" t="str">
        <x:v>Energy storage</x:v>
      </x:c>
      <x:c r="AB694" s="4" t="str">
        <x:v>Mixed / unresolved</x:v>
      </x:c>
      <x:c r="AC694" s="4" t="str">
        <x:v>Assembly</x:v>
      </x:c>
      <x:c r="AD694" s="4" t="str">
        <x:v>Proposal</x:v>
      </x:c>
      <x:c r="AE694" s="4" t="str">
        <x:f>LOWER(A694&amp;"; "&amp;B694&amp;"; "&amp;D694&amp;"; "&amp;E694&amp;"; "&amp;X694&amp;"; "&amp;Y694&amp;"; "&amp;Z694&amp;"; "&amp;AA694&amp;"; "&amp;AB694&amp;"; "&amp;AC694&amp;"; "&amp;AD694&amp;"; "&amp;V694&amp;"; "&amp;C694&amp;"; "&amp;AH694&amp;"; "&amp;AI694)</x:f>
        <x:v>proposal.collection.ceramic_housed_mineral_battery; ceramic-housed mineral battery; crafting components; energy storage; energy storage; finished item; manufactured / unresolved; energy storage; mixed / unresolved; assembly; proposal; ceramic-housed mineral battery; collection expansion; energy storage; not applicable; t4; finished item</x:v>
      </x:c>
      <x:c r="AF694"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4" s="4" t="str">
        <x:v>Finished endpoint or currency. Material tier is separate from finished input tier.</x:v>
      </x:c>
      <x:c r="AH694" s="4" t="str">
        <x:v>T4</x:v>
      </x:c>
      <x:c r="AI694" s="4" t="str">
        <x:v>Finished item</x:v>
      </x:c>
      <x:c r="AJ694" s="4" t="n">
        <x:f>COUNTIFS('Material routes'!$D$6:$D$2205,A694,'Material routes'!$C$6:$C$2205,"Output")</x:f>
        <x:v>1</x:v>
      </x:c>
      <x:c r="AK694" s="4" t="n">
        <x:f>SUM(COUNTIFS('Material routes'!$D$6:$D$2205,A694,'Material routes'!$C$6:$C$2205,"Ingredient candidate"),COUNTIFS('Material routes'!$D$6:$D$2205,A694,'Material routes'!$C$6:$C$2205,"Consumed input"),COUNTIFS('Material routes'!$D$6:$D$2205,A694,'Material routes'!$C$6:$C$2205,"Contained input"),COUNTIFS('Material routes'!$D$6:$D$2205,A694,'Material routes'!$C$6:$C$2205,"Transform input"))</x:f>
        <x:v>4</x:v>
      </x:c>
      <x:c r="AL694" s="4" t="n">
        <x:f>COUNTIFS('Material routes'!$D$6:$D$2205,A694,'Material routes'!$C$6:$C$2205,"Tool candidate")</x:f>
        <x:v>0</x:v>
      </x:c>
      <x:c r="AM694" s="4" t="str">
        <x:f>IF(AJ694&gt;0,"Route listed; review status/completeness",IF(C694="T0","Raw entry feed; no production route","No production route listed"))</x:f>
        <x:v>Route listed; review status/completeness</x:v>
      </x:c>
      <x:c r="AN694" s="4" t="n">
        <x:f>IF(C694="T0",0,IF(C694="T1",1,IF(C694="T2",2,IF(C694="T3",3,IF(C694="T4",4,IF(C694="Unassigned",98,99))))))</x:f>
        <x:v>99</x:v>
      </x:c>
      <x:c r="AZ694"/>
      <x:c r="BA694"/>
      <x:c r="BB694"/>
      <x:c r="BC694"/>
      <x:c r="BD694"/>
      <x:c r="BE694"/>
      <x:c r="BF694"/>
      <x:c r="BG694"/>
      <x:c r="BH694"/>
      <x:c r="BI694"/>
      <x:c r="BJ694"/>
      <x:c r="BK694"/>
      <x:c r="BL694"/>
      <x:c r="BM694"/>
      <x:c r="BN694"/>
      <x:c r="BO694"/>
      <x:c r="BP694"/>
      <x:c r="BQ694"/>
      <x:c r="BR694"/>
      <x:c r="BS694"/>
      <x:c r="BT694"/>
      <x:c r="BU694"/>
      <x:c r="BV694"/>
      <x:c r="BW694"/>
      <x:c r="BX694"/>
      <x:c r="BY694"/>
      <x:c r="BZ694"/>
      <x:c r="CA694"/>
      <x:c r="CB694"/>
      <x:c r="CC694"/>
    </x:row>
    <x:row r="695" ht="115" customHeight="1">
      <x:c r="A695" s="4" t="str">
        <x:v>proposal.collection.replaceable_electrode_battery_jar</x:v>
      </x:c>
      <x:c r="B695" s="4" t="str">
        <x:v>Replaceable electrode battery jar</x:v>
      </x:c>
      <x:c r="C695" s="4" t="str">
        <x:v>Not applicable</x:v>
      </x:c>
      <x:c r="D695" s="4" t="inlineStr">
        <x:is>
          <x:t xml:space="preserve">Salvage</x:t>
        </x:is>
      </x:c>
      <x:c r="E695" s="4" t="str">
        <x:v>Energy storage</x:v>
      </x:c>
      <x:c r="F695" s="4" t="str">
        <x:v>New proposal</x:v>
      </x:c>
      <x:c r="G695" s="4" t="inlineStr">
        <x:is>
          <x:t xml:space="preserve">Serviceable battery architecture with replaceable contacts. It holds energy in the recorded physical form for a compatible system. Assembly alone does not supply charge, pressure, heat or mechanical preload.</x:t>
        </x:is>
      </x:c>
      <x:c r="H695" s="4" t="str">
        <x:v>None</x:v>
      </x:c>
      <x:c r="I695" s="4" t="str">
        <x:v>Physical inventory / cargo item; dimensions and packing unresolved</x:v>
      </x:c>
      <x:c r="J695" s="4"/>
      <x:c r="K695" s="4"/>
      <x:c r="L695" s="4" t="str">
        <x:v>Candidate preparation: design.collection.replaceable_electrode_battery_jar. Full inputs are in Crafting browser.</x:v>
      </x:c>
      <x:c r="M695" s="4" t="str">
        <x:v>Candidate workshop or contained preparation route; detailed tools, quantities and conditions unresolved</x:v>
      </x:c>
      <x:c r="N695" s="4" t="str">
        <x:v>Not implemented</x:v>
      </x:c>
      <x:c r="O695" s="4" t="str">
        <x:v>Specific dimensions, yield, fit, performance and service conditions remain open.</x:v>
      </x:c>
      <x:c r="P695" s="4"/>
      <x:c r="Q695" s="4"/>
      <x:c r="R695" s="4"/>
      <x:c r="S695" s="4"/>
      <x:c r="T695" s="4"/>
      <x:c r="U695" s="4" t="str">
        <x:v>Candidate inputs are partial. Resolve tools, supporting materials, energy, recovery and compatibility before recipes become craftable.</x:v>
      </x:c>
      <x:c r="V695" s="4" t="str">
        <x:v>replaceable electrode battery jar; collection expansion; energy storage</x:v>
      </x:c>
      <x:c r="W695" s="4" t="str">
        <x:v>New item proposal, October 15, 2026. Setting reference (source proposal): https://github.com/sleepyseamonster/Arc-Dust/blob/f6f98515c005dc3c73cccd9cbc031691745740c6/02-Arc-Dust-Worldbuilding/world/economy/energy-systems.md</x:v>
      </x:c>
      <x:c r="X695" s="4" t="str">
        <x:v>Energy storage</x:v>
      </x:c>
      <x:c r="Y695" s="4" t="str">
        <x:v>Finished item</x:v>
      </x:c>
      <x:c r="Z695" s="4" t="str">
        <x:v>Manufactured / unresolved</x:v>
      </x:c>
      <x:c r="AA695" s="4" t="str">
        <x:v>Energy storage</x:v>
      </x:c>
      <x:c r="AB695" s="4" t="str">
        <x:v>Mixed / unresolved</x:v>
      </x:c>
      <x:c r="AC695" s="4" t="str">
        <x:v>Assembly</x:v>
      </x:c>
      <x:c r="AD695" s="4" t="str">
        <x:v>Proposal</x:v>
      </x:c>
      <x:c r="AE695" s="4" t="str">
        <x:f>LOWER(A695&amp;"; "&amp;B695&amp;"; "&amp;D695&amp;"; "&amp;E695&amp;"; "&amp;X695&amp;"; "&amp;Y695&amp;"; "&amp;Z695&amp;"; "&amp;AA695&amp;"; "&amp;AB695&amp;"; "&amp;AC695&amp;"; "&amp;AD695&amp;"; "&amp;V695&amp;"; "&amp;C695&amp;"; "&amp;AH695&amp;"; "&amp;AI695)</x:f>
        <x:v>proposal.collection.replaceable_electrode_battery_jar; replaceable electrode battery jar; salvage; energy storage; energy storage; finished item; manufactured / unresolved; energy storage; mixed / unresolved; assembly; proposal; replaceable electrode battery jar; collection expansion; energy storage; not applicable; unassigned; finished item</x:v>
      </x:c>
      <x:c r="AF695" s="4" t="str">
        <x:v>Collection expansion classification. Distinct type, use and material family; new item proposal unless author direction is marked.</x:v>
      </x:c>
      <x:c r="AG695" s="4" t="str">
        <x:v>Finished endpoint or currency. Material tier is separate from finished input tier.</x:v>
      </x:c>
      <x:c r="AH695" s="4" t="str">
        <x:v>Unassigned</x:v>
      </x:c>
      <x:c r="AI695" s="4" t="str">
        <x:v>Finished item</x:v>
      </x:c>
      <x:c r="AJ695" s="4" t="n">
        <x:f>COUNTIFS('Material routes'!$D$6:$D$2205,A695,'Material routes'!$C$6:$C$2205,"Output")</x:f>
        <x:v>1</x:v>
      </x:c>
      <x:c r="AK695" s="4" t="n">
        <x:f>SUM(COUNTIFS('Material routes'!$D$6:$D$2205,A695,'Material routes'!$C$6:$C$2205,"Ingredient candidate"),COUNTIFS('Material routes'!$D$6:$D$2205,A695,'Material routes'!$C$6:$C$2205,"Consumed input"),COUNTIFS('Material routes'!$D$6:$D$2205,A695,'Material routes'!$C$6:$C$2205,"Contained input"),COUNTIFS('Material routes'!$D$6:$D$2205,A695,'Material routes'!$C$6:$C$2205,"Transform input"))</x:f>
        <x:v>0</x:v>
      </x:c>
      <x:c r="AL695" s="4" t="n">
        <x:f>COUNTIFS('Material routes'!$D$6:$D$2205,A695,'Material routes'!$C$6:$C$2205,"Tool candidate")</x:f>
        <x:v>0</x:v>
      </x:c>
      <x:c r="AM695" s="4" t="str">
        <x:f>IF(AJ695&gt;0,"Route listed; review status/completeness",IF(C695="T0","Raw entry feed; no production route","No production route listed"))</x:f>
        <x:v>Route listed; review status/completeness</x:v>
      </x:c>
      <x:c r="AN695" s="4" t="n">
        <x:f>IF(C695="T0",0,IF(C695="T1",1,IF(C695="T2",2,IF(C695="T3",3,IF(C695="T4",4,IF(C695="Unassigned",98,99))))))</x:f>
        <x:v>99</x:v>
      </x:c>
      <x:c r="AZ695"/>
      <x:c r="BA695"/>
      <x:c r="BB695"/>
      <x:c r="BC695"/>
      <x:c r="BD695"/>
      <x:c r="BE695"/>
      <x:c r="BF695"/>
      <x:c r="BG695"/>
      <x:c r="BH695"/>
      <x:c r="BI695"/>
      <x:c r="BJ695"/>
      <x:c r="BK695"/>
      <x:c r="BL695"/>
      <x:c r="BM695"/>
      <x:c r="BN695"/>
      <x:c r="BO695"/>
      <x:c r="BP695"/>
      <x:c r="BQ695"/>
      <x:c r="BR695"/>
      <x:c r="BS695"/>
      <x:c r="BT695"/>
      <x:c r="BU695"/>
      <x:c r="BV695"/>
      <x:c r="BW695"/>
      <x:c r="BX695"/>
      <x:c r="BY695"/>
      <x:c r="BZ695"/>
      <x:c r="CA695"/>
      <x:c r="CB695"/>
      <x:c r="CC695"/>
    </x:row>
    <x:row r="696" ht="115" customHeight="1">
      <x:c r="A696" s="4" t="str">
        <x:v>proposal.collection.packed_separator_battery_stack</x:v>
      </x:c>
      <x:c r="B696" s="4" t="str">
        <x:v>Packed separator battery stack</x:v>
      </x:c>
      <x:c r="C696" s="4" t="str">
        <x:v>Not applicable</x:v>
      </x:c>
      <x:c r="D696" s="4" t="inlineStr">
        <x:is>
          <x:t xml:space="preserve">Crafting components</x:t>
        </x:is>
      </x:c>
      <x:c r="E696" s="4" t="str">
        <x:v>Energy storage</x:v>
      </x:c>
      <x:c r="F696" s="4" t="str">
        <x:v>New proposal</x:v>
      </x:c>
      <x:c r="G696" s="4" t="inlineStr">
        <x:is>
          <x:t xml:space="preserve">Layered chemical storage architecture, chemistry unresolved. It holds energy in the recorded physical form for a compatible system. Assembly alone does not supply charge, pressure, heat or mechanical preload.</x:t>
        </x:is>
      </x:c>
      <x:c r="H696" s="4" t="str">
        <x:v>None</x:v>
      </x:c>
      <x:c r="I696" s="4" t="str">
        <x:v>Physical inventory / cargo item; dimensions and packing unresolved</x:v>
      </x:c>
      <x:c r="J696" s="4"/>
      <x:c r="K696" s="4"/>
      <x:c r="L696" s="4" t="str">
        <x:v>Candidate preparation: design.collection.packed_separator_battery_stack. Full inputs are in Crafting browser.</x:v>
      </x:c>
      <x:c r="M696" s="4" t="str">
        <x:v>Candidate workshop or contained preparation route; detailed tools, quantities and conditions unresolved</x:v>
      </x:c>
      <x:c r="N696" s="4" t="str">
        <x:v>Not implemented</x:v>
      </x:c>
      <x:c r="O696" s="4" t="str">
        <x:v>Specific dimensions, yield, fit, performance and service conditions remain open.</x:v>
      </x:c>
      <x:c r="P696" s="4"/>
      <x:c r="Q696" s="4"/>
      <x:c r="R696" s="4"/>
      <x:c r="S696" s="4"/>
      <x:c r="T696" s="4"/>
      <x:c r="U696" s="4" t="str">
        <x:v>Candidate inputs are partial. Resolve tools, supporting materials, energy, recovery and compatibility before recipes become craftable.</x:v>
      </x:c>
      <x:c r="V696" s="4" t="str">
        <x:v>packed separator battery stack; collection expansion; energy storage</x:v>
      </x:c>
      <x:c r="W696" s="4" t="str">
        <x:v>New item proposal, October 15, 2026. Setting reference (source proposal): https://github.com/sleepyseamonster/Arc-Dust/blob/f6f98515c005dc3c73cccd9cbc031691745740c6/02-Arc-Dust-Worldbuilding/world/economy/energy-systems.md</x:v>
      </x:c>
      <x:c r="X696" s="4" t="str">
        <x:v>Energy storage</x:v>
      </x:c>
      <x:c r="Y696" s="4" t="str">
        <x:v>Finished item</x:v>
      </x:c>
      <x:c r="Z696" s="4" t="str">
        <x:v>Manufactured / unresolved</x:v>
      </x:c>
      <x:c r="AA696" s="4" t="str">
        <x:v>Energy storage</x:v>
      </x:c>
      <x:c r="AB696" s="4" t="str">
        <x:v>Mixed / unresolved</x:v>
      </x:c>
      <x:c r="AC696" s="4" t="str">
        <x:v>Assembly</x:v>
      </x:c>
      <x:c r="AD696" s="4" t="str">
        <x:v>Proposal</x:v>
      </x:c>
      <x:c r="AE696" s="4" t="str">
        <x:f>LOWER(A696&amp;"; "&amp;B696&amp;"; "&amp;D696&amp;"; "&amp;E696&amp;"; "&amp;X696&amp;"; "&amp;Y696&amp;"; "&amp;Z696&amp;"; "&amp;AA696&amp;"; "&amp;AB696&amp;"; "&amp;AC696&amp;"; "&amp;AD696&amp;"; "&amp;V696&amp;"; "&amp;C696&amp;"; "&amp;AH696&amp;"; "&amp;AI696)</x:f>
        <x:v>proposal.collection.packed_separator_battery_stack; packed separator battery stack; crafting components; energy storage; energy storage; finished item; manufactured / unresolved; energy storage; mixed / unresolved; assembly; proposal; packed separator battery stack; collection expansion; energy storage; not applicable; t4; finished item</x:v>
      </x:c>
      <x:c r="AF696"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6" s="4" t="str">
        <x:v>Finished endpoint or currency. Material tier is separate from finished input tier.</x:v>
      </x:c>
      <x:c r="AH696" s="4" t="str">
        <x:v>T4</x:v>
      </x:c>
      <x:c r="AI696" s="4" t="str">
        <x:v>Finished item</x:v>
      </x:c>
      <x:c r="AJ696" s="4" t="n">
        <x:f>COUNTIFS('Material routes'!$D$6:$D$2205,A696,'Material routes'!$C$6:$C$2205,"Output")</x:f>
        <x:v>1</x:v>
      </x:c>
      <x:c r="AK696" s="4" t="n">
        <x:f>SUM(COUNTIFS('Material routes'!$D$6:$D$2205,A696,'Material routes'!$C$6:$C$2205,"Ingredient candidate"),COUNTIFS('Material routes'!$D$6:$D$2205,A696,'Material routes'!$C$6:$C$2205,"Consumed input"),COUNTIFS('Material routes'!$D$6:$D$2205,A696,'Material routes'!$C$6:$C$2205,"Contained input"),COUNTIFS('Material routes'!$D$6:$D$2205,A696,'Material routes'!$C$6:$C$2205,"Transform input"))</x:f>
        <x:v>0</x:v>
      </x:c>
      <x:c r="AL696" s="4" t="n">
        <x:f>COUNTIFS('Material routes'!$D$6:$D$2205,A696,'Material routes'!$C$6:$C$2205,"Tool candidate")</x:f>
        <x:v>0</x:v>
      </x:c>
      <x:c r="AM696" s="4" t="str">
        <x:f>IF(AJ696&gt;0,"Route listed; review status/completeness",IF(C696="T0","Raw entry feed; no production route","No production route listed"))</x:f>
        <x:v>Route listed; review status/completeness</x:v>
      </x:c>
      <x:c r="AN696" s="4" t="n">
        <x:f>IF(C696="T0",0,IF(C696="T1",1,IF(C696="T2",2,IF(C696="T3",3,IF(C696="T4",4,IF(C696="Unassigned",98,99))))))</x:f>
        <x:v>99</x:v>
      </x:c>
      <x:c r="AZ696"/>
      <x:c r="BA696"/>
      <x:c r="BB696"/>
      <x:c r="BC696"/>
      <x:c r="BD696"/>
      <x:c r="BE696"/>
      <x:c r="BF696"/>
      <x:c r="BG696"/>
      <x:c r="BH696"/>
      <x:c r="BI696"/>
      <x:c r="BJ696"/>
      <x:c r="BK696"/>
      <x:c r="BL696"/>
      <x:c r="BM696"/>
      <x:c r="BN696"/>
      <x:c r="BO696"/>
      <x:c r="BP696"/>
      <x:c r="BQ696"/>
      <x:c r="BR696"/>
      <x:c r="BS696"/>
      <x:c r="BT696"/>
      <x:c r="BU696"/>
      <x:c r="BV696"/>
      <x:c r="BW696"/>
      <x:c r="BX696"/>
      <x:c r="BY696"/>
      <x:c r="BZ696"/>
      <x:c r="CA696"/>
      <x:c r="CB696"/>
      <x:c r="CC696"/>
    </x:row>
    <x:row r="697" ht="115" customHeight="1">
      <x:c r="A697" s="4" t="str">
        <x:v>proposal.collection.mica_plate_capacitor_pack</x:v>
      </x:c>
      <x:c r="B697" s="4" t="str">
        <x:v>Mica-plate capacitor pack</x:v>
      </x:c>
      <x:c r="C697" s="4" t="str">
        <x:v>Not applicable</x:v>
      </x:c>
      <x:c r="D697" s="4" t="inlineStr">
        <x:is>
          <x:t xml:space="preserve">Crafting components</x:t>
        </x:is>
      </x:c>
      <x:c r="E697" s="4" t="str">
        <x:v>Energy storage</x:v>
      </x:c>
      <x:c r="F697" s="4" t="str">
        <x:v>New proposal</x:v>
      </x:c>
      <x:c r="G697" s="4" t="inlineStr">
        <x:is>
          <x:t xml:space="preserve">Electrical storage candidate using layered mineral insulation. It holds energy in the recorded physical form for a compatible system. Assembly alone does not supply charge, pressure, heat or mechanical preload.</x:t>
        </x:is>
      </x:c>
      <x:c r="H697" s="4" t="str">
        <x:v>None</x:v>
      </x:c>
      <x:c r="I697" s="4" t="str">
        <x:v>Physical inventory / cargo item; dimensions and packing unresolved</x:v>
      </x:c>
      <x:c r="J697" s="4"/>
      <x:c r="K697" s="4"/>
      <x:c r="L697" s="4" t="str">
        <x:v>Candidate preparation: design.collection.mica_plate_capacitor_pack. Full inputs are in Crafting browser.</x:v>
      </x:c>
      <x:c r="M697" s="4" t="str">
        <x:v>Candidate workshop or contained preparation route; detailed tools, quantities and conditions unresolved</x:v>
      </x:c>
      <x:c r="N697" s="4" t="str">
        <x:v>Not implemented</x:v>
      </x:c>
      <x:c r="O697" s="4" t="str">
        <x:v>Specific dimensions, yield, fit, performance and service conditions remain open.</x:v>
      </x:c>
      <x:c r="P697" s="4"/>
      <x:c r="Q697" s="4"/>
      <x:c r="R697" s="4"/>
      <x:c r="S697" s="4"/>
      <x:c r="T697" s="4"/>
      <x:c r="U697" s="4" t="str">
        <x:v>Candidate inputs are partial. Resolve tools, supporting materials, energy, recovery and compatibility before recipes become craftable.</x:v>
      </x:c>
      <x:c r="V697" s="4" t="str">
        <x:v>mica-plate capacitor pack; collection expansion; energy storage</x:v>
      </x:c>
      <x:c r="W697" s="4" t="str">
        <x:v>New item proposal, October 15, 2026. Setting reference (source proposal): https://github.com/sleepyseamonster/Arc-Dust/blob/f6f98515c005dc3c73cccd9cbc031691745740c6/02-Arc-Dust-Worldbuilding/world/economy/energy-systems.md</x:v>
      </x:c>
      <x:c r="X697" s="4" t="str">
        <x:v>Energy storage</x:v>
      </x:c>
      <x:c r="Y697" s="4" t="str">
        <x:v>Finished item</x:v>
      </x:c>
      <x:c r="Z697" s="4" t="str">
        <x:v>Manufactured / unresolved</x:v>
      </x:c>
      <x:c r="AA697" s="4" t="str">
        <x:v>Energy storage</x:v>
      </x:c>
      <x:c r="AB697" s="4" t="str">
        <x:v>Mixed / unresolved</x:v>
      </x:c>
      <x:c r="AC697" s="4" t="str">
        <x:v>Assembly</x:v>
      </x:c>
      <x:c r="AD697" s="4" t="str">
        <x:v>Proposal</x:v>
      </x:c>
      <x:c r="AE697" s="4" t="str">
        <x:f>LOWER(A697&amp;"; "&amp;B697&amp;"; "&amp;D697&amp;"; "&amp;E697&amp;"; "&amp;X697&amp;"; "&amp;Y697&amp;"; "&amp;Z697&amp;"; "&amp;AA697&amp;"; "&amp;AB697&amp;"; "&amp;AC697&amp;"; "&amp;AD697&amp;"; "&amp;V697&amp;"; "&amp;C697&amp;"; "&amp;AH697&amp;"; "&amp;AI697)</x:f>
        <x:v>proposal.collection.mica_plate_capacitor_pack; mica-plate capacitor pack; crafting components; energy storage; energy storage; finished item; manufactured / unresolved; energy storage; mixed / unresolved; assembly; proposal; mica-plate capacitor pack; collection expansion; energy storage; not applicable; t4; finished item</x:v>
      </x:c>
      <x:c r="AF697"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7" s="4" t="str">
        <x:v>Finished endpoint or currency. Material tier is separate from finished input tier.</x:v>
      </x:c>
      <x:c r="AH697" s="4" t="str">
        <x:v>T4</x:v>
      </x:c>
      <x:c r="AI697" s="4" t="str">
        <x:v>Finished item</x:v>
      </x:c>
      <x:c r="AJ697" s="4" t="n">
        <x:f>COUNTIFS('Material routes'!$D$6:$D$2205,A697,'Material routes'!$C$6:$C$2205,"Output")</x:f>
        <x:v>1</x:v>
      </x:c>
      <x:c r="AK697" s="4" t="n">
        <x:f>SUM(COUNTIFS('Material routes'!$D$6:$D$2205,A697,'Material routes'!$C$6:$C$2205,"Ingredient candidate"),COUNTIFS('Material routes'!$D$6:$D$2205,A697,'Material routes'!$C$6:$C$2205,"Consumed input"),COUNTIFS('Material routes'!$D$6:$D$2205,A697,'Material routes'!$C$6:$C$2205,"Contained input"),COUNTIFS('Material routes'!$D$6:$D$2205,A697,'Material routes'!$C$6:$C$2205,"Transform input"))</x:f>
        <x:v>0</x:v>
      </x:c>
      <x:c r="AL697" s="4" t="n">
        <x:f>COUNTIFS('Material routes'!$D$6:$D$2205,A697,'Material routes'!$C$6:$C$2205,"Tool candidate")</x:f>
        <x:v>0</x:v>
      </x:c>
      <x:c r="AM697" s="4" t="str">
        <x:f>IF(AJ697&gt;0,"Route listed; review status/completeness",IF(C697="T0","Raw entry feed; no production route","No production route listed"))</x:f>
        <x:v>Route listed; review status/completeness</x:v>
      </x:c>
      <x:c r="AN697" s="4" t="n">
        <x:f>IF(C697="T0",0,IF(C697="T1",1,IF(C697="T2",2,IF(C697="T3",3,IF(C697="T4",4,IF(C697="Unassigned",98,99))))))</x:f>
        <x:v>99</x:v>
      </x:c>
      <x:c r="AZ697"/>
      <x:c r="BA697"/>
      <x:c r="BB697"/>
      <x:c r="BC697"/>
      <x:c r="BD697"/>
      <x:c r="BE697"/>
      <x:c r="BF697"/>
      <x:c r="BG697"/>
      <x:c r="BH697"/>
      <x:c r="BI697"/>
      <x:c r="BJ697"/>
      <x:c r="BK697"/>
      <x:c r="BL697"/>
      <x:c r="BM697"/>
      <x:c r="BN697"/>
      <x:c r="BO697"/>
      <x:c r="BP697"/>
      <x:c r="BQ697"/>
      <x:c r="BR697"/>
      <x:c r="BS697"/>
      <x:c r="BT697"/>
      <x:c r="BU697"/>
      <x:c r="BV697"/>
      <x:c r="BW697"/>
      <x:c r="BX697"/>
      <x:c r="BY697"/>
      <x:c r="BZ697"/>
      <x:c r="CA697"/>
      <x:c r="CB697"/>
      <x:c r="CC697"/>
    </x:row>
    <x:row r="698" ht="115" customHeight="1">
      <x:c r="A698" s="4" t="str">
        <x:v>proposal.collection.glass_jar_capacitor_bank</x:v>
      </x:c>
      <x:c r="B698" s="4" t="str">
        <x:v>Glass-jar capacitor bank</x:v>
      </x:c>
      <x:c r="C698" s="4" t="str">
        <x:v>Not applicable</x:v>
      </x:c>
      <x:c r="D698" s="4" t="inlineStr">
        <x:is>
          <x:t xml:space="preserve">Crafting components</x:t>
        </x:is>
      </x:c>
      <x:c r="E698" s="4" t="str">
        <x:v>Energy storage</x:v>
      </x:c>
      <x:c r="F698" s="4" t="str">
        <x:v>New proposal</x:v>
      </x:c>
      <x:c r="G698" s="4" t="inlineStr">
        <x:is>
          <x:t xml:space="preserve">Bulky urban electrical storage bank. It holds energy in the recorded physical form for a compatible system. Assembly alone does not supply charge, pressure, heat or mechanical preload.</x:t>
        </x:is>
      </x:c>
      <x:c r="H698" s="4" t="str">
        <x:v>None</x:v>
      </x:c>
      <x:c r="I698" s="4" t="str">
        <x:v>Installed machinery / stationary storage; physical site and mounting infrastructure required. Not ordinary backpack cargo.</x:v>
      </x:c>
      <x:c r="J698" s="4"/>
      <x:c r="K698" s="4"/>
      <x:c r="L698" s="4" t="str">
        <x:v>Candidate preparation: design.collection.glass_jar_capacitor_bank. Full inputs are in Crafting browser.</x:v>
      </x:c>
      <x:c r="M698" s="4" t="str">
        <x:v>Candidate workshop or contained preparation route; detailed tools, quantities and conditions unresolved</x:v>
      </x:c>
      <x:c r="N698" s="4" t="str">
        <x:v>Not implemented</x:v>
      </x:c>
      <x:c r="O698" s="4" t="str">
        <x:v>Specific dimensions, yield, fit, performance and service conditions remain open.</x:v>
      </x:c>
      <x:c r="P698" s="4"/>
      <x:c r="Q698" s="4"/>
      <x:c r="R698" s="4"/>
      <x:c r="S698" s="4"/>
      <x:c r="T698" s="4"/>
      <x:c r="U698" s="4" t="str">
        <x:v>Candidate inputs are partial. Resolve tools, supporting materials, energy, recovery and compatibility before recipes become craftable.</x:v>
      </x:c>
      <x:c r="V698" s="4" t="str">
        <x:v>glass-jar capacitor bank; collection expansion; energy storage</x:v>
      </x:c>
      <x:c r="W698" s="4" t="str">
        <x:v>New item proposal, October 15, 2026. Setting reference (source proposal): https://github.com/sleepyseamonster/Arc-Dust/blob/f6f98515c005dc3c73cccd9cbc031691745740c6/02-Arc-Dust-Worldbuilding/world/economy/energy-systems.md</x:v>
      </x:c>
      <x:c r="X698" s="4" t="str">
        <x:v>Energy storage</x:v>
      </x:c>
      <x:c r="Y698" s="4" t="str">
        <x:v>Finished item</x:v>
      </x:c>
      <x:c r="Z698" s="4" t="str">
        <x:v>Manufactured / unresolved</x:v>
      </x:c>
      <x:c r="AA698" s="4" t="str">
        <x:v>Energy storage</x:v>
      </x:c>
      <x:c r="AB698" s="4" t="str">
        <x:v>Glass and metal</x:v>
      </x:c>
      <x:c r="AC698" s="4" t="str">
        <x:v>Assembly</x:v>
      </x:c>
      <x:c r="AD698" s="4" t="str">
        <x:v>Proposal</x:v>
      </x:c>
      <x:c r="AE698" s="4" t="str">
        <x:f>LOWER(A698&amp;"; "&amp;B698&amp;"; "&amp;D698&amp;"; "&amp;E698&amp;"; "&amp;X698&amp;"; "&amp;Y698&amp;"; "&amp;Z698&amp;"; "&amp;AA698&amp;"; "&amp;AB698&amp;"; "&amp;AC698&amp;"; "&amp;AD698&amp;"; "&amp;V698&amp;"; "&amp;C698&amp;"; "&amp;AH698&amp;"; "&amp;AI698)</x:f>
        <x:v>proposal.collection.glass_jar_capacitor_bank; glass-jar capacitor bank; crafting components; energy storage; energy storage; finished item; manufactured / unresolved; energy storage; glass and metal; assembly; proposal; glass-jar capacitor bank; collection expansion; energy storage; not applicable; t4; finished item</x:v>
      </x:c>
      <x:c r="AF69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98" s="4" t="str">
        <x:v>Finished endpoint or currency. Material tier is separate from finished input tier.</x:v>
      </x:c>
      <x:c r="AH698" s="4" t="str">
        <x:v>T4</x:v>
      </x:c>
      <x:c r="AI698" s="4" t="str">
        <x:v>Finished item</x:v>
      </x:c>
      <x:c r="AJ698" s="4" t="n">
        <x:f>COUNTIFS('Material routes'!$D$6:$D$2205,A698,'Material routes'!$C$6:$C$2205,"Output")</x:f>
        <x:v>1</x:v>
      </x:c>
      <x:c r="AK698" s="4" t="n">
        <x:f>SUM(COUNTIFS('Material routes'!$D$6:$D$2205,A698,'Material routes'!$C$6:$C$2205,"Ingredient candidate"),COUNTIFS('Material routes'!$D$6:$D$2205,A698,'Material routes'!$C$6:$C$2205,"Consumed input"),COUNTIFS('Material routes'!$D$6:$D$2205,A698,'Material routes'!$C$6:$C$2205,"Contained input"),COUNTIFS('Material routes'!$D$6:$D$2205,A698,'Material routes'!$C$6:$C$2205,"Transform input"))</x:f>
        <x:v>0</x:v>
      </x:c>
      <x:c r="AL698" s="4" t="n">
        <x:f>COUNTIFS('Material routes'!$D$6:$D$2205,A698,'Material routes'!$C$6:$C$2205,"Tool candidate")</x:f>
        <x:v>0</x:v>
      </x:c>
      <x:c r="AM698" s="4" t="str">
        <x:f>IF(AJ698&gt;0,"Route listed; review status/completeness",IF(C698="T0","Raw entry feed; no production route","No production route listed"))</x:f>
        <x:v>Route listed; review status/completeness</x:v>
      </x:c>
      <x:c r="AN698" s="4" t="n">
        <x:f>IF(C698="T0",0,IF(C698="T1",1,IF(C698="T2",2,IF(C698="T3",3,IF(C698="T4",4,IF(C698="Unassigned",98,99))))))</x:f>
        <x:v>99</x:v>
      </x:c>
      <x:c r="AZ698"/>
      <x:c r="BA698"/>
      <x:c r="BB698"/>
      <x:c r="BC698"/>
      <x:c r="BD698"/>
      <x:c r="BE698"/>
      <x:c r="BF698"/>
      <x:c r="BG698"/>
      <x:c r="BH698"/>
      <x:c r="BI698"/>
      <x:c r="BJ698"/>
      <x:c r="BK698"/>
      <x:c r="BL698"/>
      <x:c r="BM698"/>
      <x:c r="BN698"/>
      <x:c r="BO698"/>
      <x:c r="BP698"/>
      <x:c r="BQ698"/>
      <x:c r="BR698"/>
      <x:c r="BS698"/>
      <x:c r="BT698"/>
      <x:c r="BU698"/>
      <x:c r="BV698"/>
      <x:c r="BW698"/>
      <x:c r="BX698"/>
      <x:c r="BY698"/>
      <x:c r="BZ698"/>
      <x:c r="CA698"/>
      <x:c r="CB698"/>
      <x:c r="CC698"/>
    </x:row>
    <x:row r="699" ht="115" customHeight="1">
      <x:c r="A699" s="4" t="str">
        <x:v>proposal.collection.ceramic_dielectric_pulse_bank</x:v>
      </x:c>
      <x:c r="B699" s="4" t="str">
        <x:v>Ceramic-dielectric pulse bank</x:v>
      </x:c>
      <x:c r="C699" s="4" t="str">
        <x:v>Not applicable</x:v>
      </x:c>
      <x:c r="D699" s="4" t="inlineStr">
        <x:is>
          <x:t xml:space="preserve">Crafting components</x:t>
        </x:is>
      </x:c>
      <x:c r="E699" s="4" t="str">
        <x:v>Energy storage</x:v>
      </x:c>
      <x:c r="F699" s="4" t="str">
        <x:v>New proposal</x:v>
      </x:c>
      <x:c r="G699" s="4" t="inlineStr">
        <x:is>
          <x:t xml:space="preserve">Workshop pulse-storage assembly without a specified rating. It holds energy in the recorded physical form for a compatible system. Assembly alone does not supply charge, pressure, heat or mechanical preload.</x:t>
        </x:is>
      </x:c>
      <x:c r="H699" s="4" t="str">
        <x:v>None</x:v>
      </x:c>
      <x:c r="I699" s="4" t="str">
        <x:v>Installed machinery / stationary storage; physical site and mounting infrastructure required. Not ordinary backpack cargo.</x:v>
      </x:c>
      <x:c r="J699" s="4"/>
      <x:c r="K699" s="4"/>
      <x:c r="L699" s="4" t="str">
        <x:v>Candidate preparation: design.collection.ceramic_dielectric_pulse_bank. Full inputs are in Crafting browser.</x:v>
      </x:c>
      <x:c r="M699" s="4" t="str">
        <x:v>Candidate workshop or contained preparation route; detailed tools, quantities and conditions unresolved</x:v>
      </x:c>
      <x:c r="N699" s="4" t="str">
        <x:v>Not implemented</x:v>
      </x:c>
      <x:c r="O699" s="4" t="str">
        <x:v>Specific dimensions, yield, fit, performance and service conditions remain open.</x:v>
      </x:c>
      <x:c r="P699" s="4"/>
      <x:c r="Q699" s="4"/>
      <x:c r="R699" s="4"/>
      <x:c r="S699" s="4"/>
      <x:c r="T699" s="4"/>
      <x:c r="U699" s="4" t="str">
        <x:v>Candidate inputs are partial. Resolve tools, supporting materials, energy, recovery and compatibility before recipes become craftable.</x:v>
      </x:c>
      <x:c r="V699" s="4" t="str">
        <x:v>ceramic-dielectric pulse bank; collection expansion; energy storage</x:v>
      </x:c>
      <x:c r="W699" s="4" t="str">
        <x:v>New item proposal, October 15, 2026. Setting reference (source proposal): https://github.com/sleepyseamonster/Arc-Dust/blob/f6f98515c005dc3c73cccd9cbc031691745740c6/02-Arc-Dust-Worldbuilding/world/economy/energy-systems.md</x:v>
      </x:c>
      <x:c r="X699" s="4" t="str">
        <x:v>Energy storage</x:v>
      </x:c>
      <x:c r="Y699" s="4" t="str">
        <x:v>Finished item</x:v>
      </x:c>
      <x:c r="Z699" s="4" t="str">
        <x:v>Manufactured / unresolved</x:v>
      </x:c>
      <x:c r="AA699" s="4" t="str">
        <x:v>Energy storage</x:v>
      </x:c>
      <x:c r="AB699" s="4" t="str">
        <x:v>Ceramic and metal</x:v>
      </x:c>
      <x:c r="AC699" s="4" t="str">
        <x:v>Assembly</x:v>
      </x:c>
      <x:c r="AD699" s="4" t="str">
        <x:v>Proposal</x:v>
      </x:c>
      <x:c r="AE699" s="4" t="str">
        <x:f>LOWER(A699&amp;"; "&amp;B699&amp;"; "&amp;D699&amp;"; "&amp;E699&amp;"; "&amp;X699&amp;"; "&amp;Y699&amp;"; "&amp;Z699&amp;"; "&amp;AA699&amp;"; "&amp;AB699&amp;"; "&amp;AC699&amp;"; "&amp;AD699&amp;"; "&amp;V699&amp;"; "&amp;C699&amp;"; "&amp;AH699&amp;"; "&amp;AI699)</x:f>
        <x:v>proposal.collection.ceramic_dielectric_pulse_bank; ceramic-dielectric pulse bank; crafting components; energy storage; energy storage; finished item; manufactured / unresolved; energy storage; ceramic and metal; assembly; proposal; ceramic-dielectric pulse bank; collection expansion; energy storage; not applicable; t4; finished item</x:v>
      </x:c>
      <x:c r="AF69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99" s="4" t="str">
        <x:v>Finished endpoint or currency. Material tier is separate from finished input tier.</x:v>
      </x:c>
      <x:c r="AH699" s="4" t="str">
        <x:v>T4</x:v>
      </x:c>
      <x:c r="AI699" s="4" t="str">
        <x:v>Finished item</x:v>
      </x:c>
      <x:c r="AJ699" s="4" t="n">
        <x:f>COUNTIFS('Material routes'!$D$6:$D$2205,A699,'Material routes'!$C$6:$C$2205,"Output")</x:f>
        <x:v>1</x:v>
      </x:c>
      <x:c r="AK699" s="4" t="n">
        <x:f>SUM(COUNTIFS('Material routes'!$D$6:$D$2205,A699,'Material routes'!$C$6:$C$2205,"Ingredient candidate"),COUNTIFS('Material routes'!$D$6:$D$2205,A699,'Material routes'!$C$6:$C$2205,"Consumed input"),COUNTIFS('Material routes'!$D$6:$D$2205,A699,'Material routes'!$C$6:$C$2205,"Contained input"),COUNTIFS('Material routes'!$D$6:$D$2205,A699,'Material routes'!$C$6:$C$2205,"Transform input"))</x:f>
        <x:v>8</x:v>
      </x:c>
      <x:c r="AL699" s="4" t="n">
        <x:f>COUNTIFS('Material routes'!$D$6:$D$2205,A699,'Material routes'!$C$6:$C$2205,"Tool candidate")</x:f>
        <x:v>0</x:v>
      </x:c>
      <x:c r="AM699" s="4" t="str">
        <x:f>IF(AJ699&gt;0,"Route listed; review status/completeness",IF(C699="T0","Raw entry feed; no production route","No production route listed"))</x:f>
        <x:v>Route listed; review status/completeness</x:v>
      </x:c>
      <x:c r="AN699" s="4" t="n">
        <x:f>IF(C699="T0",0,IF(C699="T1",1,IF(C699="T2",2,IF(C699="T3",3,IF(C699="T4",4,IF(C699="Unassigned",98,99))))))</x:f>
        <x:v>99</x:v>
      </x:c>
      <x:c r="AZ699"/>
      <x:c r="BA699"/>
      <x:c r="BB699"/>
      <x:c r="BC699"/>
      <x:c r="BD699"/>
      <x:c r="BE699"/>
      <x:c r="BF699"/>
      <x:c r="BG699"/>
      <x:c r="BH699"/>
      <x:c r="BI699"/>
      <x:c r="BJ699"/>
      <x:c r="BK699"/>
      <x:c r="BL699"/>
      <x:c r="BM699"/>
      <x:c r="BN699"/>
      <x:c r="BO699"/>
      <x:c r="BP699"/>
      <x:c r="BQ699"/>
      <x:c r="BR699"/>
      <x:c r="BS699"/>
      <x:c r="BT699"/>
      <x:c r="BU699"/>
      <x:c r="BV699"/>
      <x:c r="BW699"/>
      <x:c r="BX699"/>
      <x:c r="BY699"/>
      <x:c r="BZ699"/>
      <x:c r="CA699"/>
      <x:c r="CB699"/>
      <x:c r="CC699"/>
    </x:row>
    <x:row r="700" ht="115" customHeight="1">
      <x:c r="A700" s="4" t="str">
        <x:v>proposal.collection.ancient_compact_power_cell</x:v>
      </x:c>
      <x:c r="B700" s="4" t="str">
        <x:v>Ancient compact power cell</x:v>
      </x:c>
      <x:c r="C700" s="4" t="str">
        <x:v>Not applicable</x:v>
      </x:c>
      <x:c r="D700" s="4" t="inlineStr">
        <x:is>
          <x:t xml:space="preserve">Ancient salvage</x:t>
        </x:is>
      </x:c>
      <x:c r="E700" s="4" t="str">
        <x:v>Ancient recovery</x:v>
      </x:c>
      <x:c r="F700" s="4" t="str">
        <x:v>New proposal</x:v>
      </x:c>
      <x:c r="G700" s="4" t="inlineStr">
        <x:is>
          <x:t xml:space="preserve">Recovered power supply with unknown charging method. It is an extremely rare ancient recovery whose original function remains a working hypothesis. Condition, compatibility and safe operation are unknown; no contemporary reproduction is implied.</x:t>
        </x:is>
      </x:c>
      <x:c r="H700" s="4" t="str">
        <x:v>None</x:v>
      </x:c>
      <x:c r="I700" s="4" t="str">
        <x:v>Physical inventory / cargo item; dimensions and packing unresolved</x:v>
      </x:c>
      <x:c r="J700" s="4"/>
      <x:c r="K700" s="4"/>
      <x:c r="L700" s="4" t="str">
        <x:v>Recover a compatible ancient item</x:v>
      </x:c>
      <x:c r="M700" s="4" t="str">
        <x:v>Identify, inspect and preserve a recovered item; manufacturing unavailable</x:v>
      </x:c>
      <x:c r="N700" s="4" t="str">
        <x:v>Not implemented</x:v>
      </x:c>
      <x:c r="O700" s="4" t="str">
        <x:v>Extremely rare ancient recovery. Power, interface, durability and authenticity unresolved.</x:v>
      </x:c>
      <x:c r="P700" s="4" t="str">
        <x:v>Extremely rare</x:v>
      </x:c>
      <x:c r="Q700" s="4"/>
      <x:c r="R700" s="4"/>
      <x:c r="S700" s="4"/>
      <x:c r="T700" s="4"/>
      <x:c r="U700" s="4" t="str">
        <x:v>Ancient item names describe candidate functions, not known working mechanisms.</x:v>
      </x:c>
      <x:c r="V700" s="4" t="str">
        <x:v>ancient compact power cell; collection expansion; energy storage</x:v>
      </x:c>
      <x:c r="W700" s="4" t="str">
        <x:v>New item proposal, October 15, 2026. Rare ancient recovery; no reproduction route. Setting reference (source proposal): https://github.com/sleepyseamonster/Arc-Dust/blob/f6f98515c005dc3c73cccd9cbc031691745740c6/02-Arc-Dust-Worldbuilding/world/materials/ancient-synthetics.md</x:v>
      </x:c>
      <x:c r="X700" s="4" t="str">
        <x:v>Energy storage</x:v>
      </x:c>
      <x:c r="Y700" s="4" t="str">
        <x:v>Recovered part</x:v>
      </x:c>
      <x:c r="Z700" s="4" t="str">
        <x:v>Ancient technology</x:v>
      </x:c>
      <x:c r="AA700" s="4" t="str">
        <x:v>Energy storage</x:v>
      </x:c>
      <x:c r="AB700" s="4" t="str">
        <x:v>Ancient composite</x:v>
      </x:c>
      <x:c r="AC700" s="4" t="str">
        <x:v>Assembly</x:v>
      </x:c>
      <x:c r="AD700" s="4" t="str">
        <x:v>Proposal</x:v>
      </x:c>
      <x:c r="AE700" s="4" t="str">
        <x:f>LOWER(A700&amp;"; "&amp;B700&amp;"; "&amp;D700&amp;"; "&amp;E700&amp;"; "&amp;X700&amp;"; "&amp;Y700&amp;"; "&amp;Z700&amp;"; "&amp;AA700&amp;"; "&amp;AB700&amp;"; "&amp;AC700&amp;"; "&amp;AD700&amp;"; "&amp;V700&amp;"; "&amp;C700&amp;"; "&amp;AH700&amp;"; "&amp;AI700)</x:f>
        <x:v>proposal.collection.ancient_compact_power_cell; ancient compact power cell; ancient salvage; ancient recovery; energy storage; recovered part; ancient technology; energy storage; ancient composite; assembly; proposal; ancient compact power cell; collection expansion; energy storage; not applicable; not applicable; finished item</x:v>
      </x:c>
      <x:c r="AF700"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0" s="4" t="str">
        <x:v>Recovered item outside contemporary manufacturing tiers.</x:v>
      </x:c>
      <x:c r="AH700" s="4" t="str">
        <x:v>Not applicable</x:v>
      </x:c>
      <x:c r="AI700" s="4" t="str">
        <x:v>Finished item</x:v>
      </x:c>
      <x:c r="AJ700" s="4" t="n">
        <x:f>COUNTIFS('Material routes'!$D$6:$D$2205,A700,'Material routes'!$C$6:$C$2205,"Output")</x:f>
        <x:v>0</x:v>
      </x:c>
      <x:c r="AK700" s="4" t="n">
        <x:f>SUM(COUNTIFS('Material routes'!$D$6:$D$2205,A700,'Material routes'!$C$6:$C$2205,"Ingredient candidate"),COUNTIFS('Material routes'!$D$6:$D$2205,A700,'Material routes'!$C$6:$C$2205,"Consumed input"),COUNTIFS('Material routes'!$D$6:$D$2205,A700,'Material routes'!$C$6:$C$2205,"Contained input"),COUNTIFS('Material routes'!$D$6:$D$2205,A700,'Material routes'!$C$6:$C$2205,"Transform input"))</x:f>
        <x:v>0</x:v>
      </x:c>
      <x:c r="AL700" s="4" t="n">
        <x:f>COUNTIFS('Material routes'!$D$6:$D$2205,A700,'Material routes'!$C$6:$C$2205,"Tool candidate")</x:f>
        <x:v>0</x:v>
      </x:c>
      <x:c r="AM700" s="4" t="str">
        <x:f>IF(AJ700&gt;0,"Route listed; review status/completeness",IF(C700="T0","Raw entry feed; no production route","No production route listed"))</x:f>
        <x:v>No production route listed</x:v>
      </x:c>
      <x:c r="AN700" s="4" t="n">
        <x:f>IF(C700="T0",0,IF(C700="T1",1,IF(C700="T2",2,IF(C700="T3",3,IF(C700="T4",4,IF(C700="Unassigned",98,99))))))</x:f>
        <x:v>99</x:v>
      </x:c>
      <x:c r="AZ700"/>
      <x:c r="BA700"/>
      <x:c r="BB700"/>
      <x:c r="BC700"/>
      <x:c r="BD700"/>
      <x:c r="BE700"/>
      <x:c r="BF700"/>
      <x:c r="BG700"/>
      <x:c r="BH700"/>
      <x:c r="BI700"/>
      <x:c r="BJ700"/>
      <x:c r="BK700"/>
      <x:c r="BL700"/>
      <x:c r="BM700"/>
      <x:c r="BN700"/>
      <x:c r="BO700"/>
      <x:c r="BP700"/>
      <x:c r="BQ700"/>
      <x:c r="BR700"/>
      <x:c r="BS700"/>
      <x:c r="BT700"/>
      <x:c r="BU700"/>
      <x:c r="BV700"/>
      <x:c r="BW700"/>
      <x:c r="BX700"/>
      <x:c r="BY700"/>
      <x:c r="BZ700"/>
      <x:c r="CA700"/>
      <x:c r="CB700"/>
      <x:c r="CC700"/>
    </x:row>
    <x:row r="701" ht="115" customHeight="1">
      <x:c r="A701" s="4" t="str">
        <x:v>proposal.collection.ancient_microcapacitor_brick</x:v>
      </x:c>
      <x:c r="B701" s="4" t="str">
        <x:v>Ancient microcapacitor brick</x:v>
      </x:c>
      <x:c r="C701" s="4" t="str">
        <x:v>Not applicable</x:v>
      </x:c>
      <x:c r="D701" s="4" t="inlineStr">
        <x:is>
          <x:t xml:space="preserve">Ancient salvage</x:t>
        </x:is>
      </x:c>
      <x:c r="E701" s="4" t="str">
        <x:v>Ancient recovery</x:v>
      </x:c>
      <x:c r="F701" s="4" t="str">
        <x:v>New proposal</x:v>
      </x:c>
      <x:c r="G701" s="4" t="inlineStr">
        <x:is>
          <x:t xml:space="preserve">Rare recovered compact pulse storage. It is an extremely rare ancient recovery whose original function remains a working hypothesis. Condition, compatibility and safe operation are unknown; no contemporary reproduction is implied.</x:t>
        </x:is>
      </x:c>
      <x:c r="H701" s="4" t="str">
        <x:v>None</x:v>
      </x:c>
      <x:c r="I701" s="4" t="str">
        <x:v>Physical inventory / cargo item; dimensions and packing unresolved</x:v>
      </x:c>
      <x:c r="J701" s="4"/>
      <x:c r="K701" s="4"/>
      <x:c r="L701" s="4" t="str">
        <x:v>Recover a compatible ancient item</x:v>
      </x:c>
      <x:c r="M701" s="4" t="str">
        <x:v>Identify, inspect and preserve a recovered item; manufacturing unavailable</x:v>
      </x:c>
      <x:c r="N701" s="4" t="str">
        <x:v>Not implemented</x:v>
      </x:c>
      <x:c r="O701" s="4" t="str">
        <x:v>Extremely rare ancient recovery. Power, interface, durability and authenticity unresolved.</x:v>
      </x:c>
      <x:c r="P701" s="4" t="str">
        <x:v>Extremely rare</x:v>
      </x:c>
      <x:c r="Q701" s="4"/>
      <x:c r="R701" s="4"/>
      <x:c r="S701" s="4"/>
      <x:c r="T701" s="4"/>
      <x:c r="U701" s="4" t="str">
        <x:v>Ancient item names describe candidate functions, not known working mechanisms.</x:v>
      </x:c>
      <x:c r="V701" s="4" t="str">
        <x:v>ancient microcapacitor brick; collection expansion; energy storage</x:v>
      </x:c>
      <x:c r="W701" s="4" t="str">
        <x:v>New item proposal, October 15, 2026. Rare ancient recovery; no reproduction route. Setting reference (source proposal): https://github.com/sleepyseamonster/Arc-Dust/blob/f6f98515c005dc3c73cccd9cbc031691745740c6/02-Arc-Dust-Worldbuilding/world/materials/ancient-synthetics.md</x:v>
      </x:c>
      <x:c r="X701" s="4" t="str">
        <x:v>Energy storage</x:v>
      </x:c>
      <x:c r="Y701" s="4" t="str">
        <x:v>Recovered part</x:v>
      </x:c>
      <x:c r="Z701" s="4" t="str">
        <x:v>Ancient technology</x:v>
      </x:c>
      <x:c r="AA701" s="4" t="str">
        <x:v>Energy storage</x:v>
      </x:c>
      <x:c r="AB701" s="4" t="str">
        <x:v>Ancient composite</x:v>
      </x:c>
      <x:c r="AC701" s="4" t="str">
        <x:v>Assembly</x:v>
      </x:c>
      <x:c r="AD701" s="4" t="str">
        <x:v>Proposal</x:v>
      </x:c>
      <x:c r="AE701" s="4" t="str">
        <x:f>LOWER(A701&amp;"; "&amp;B701&amp;"; "&amp;D701&amp;"; "&amp;E701&amp;"; "&amp;X701&amp;"; "&amp;Y701&amp;"; "&amp;Z701&amp;"; "&amp;AA701&amp;"; "&amp;AB701&amp;"; "&amp;AC701&amp;"; "&amp;AD701&amp;"; "&amp;V701&amp;"; "&amp;C701&amp;"; "&amp;AH701&amp;"; "&amp;AI701)</x:f>
        <x:v>proposal.collection.ancient_microcapacitor_brick; ancient microcapacitor brick; ancient salvage; ancient recovery; energy storage; recovered part; ancient technology; energy storage; ancient composite; assembly; proposal; ancient microcapacitor brick; collection expansion; energy storage; not applicable; not applicable; finished item</x:v>
      </x:c>
      <x:c r="AF701"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1" s="4" t="str">
        <x:v>Recovered item outside contemporary manufacturing tiers.</x:v>
      </x:c>
      <x:c r="AH701" s="4" t="str">
        <x:v>Not applicable</x:v>
      </x:c>
      <x:c r="AI701" s="4" t="str">
        <x:v>Finished item</x:v>
      </x:c>
      <x:c r="AJ701" s="4" t="n">
        <x:f>COUNTIFS('Material routes'!$D$6:$D$2205,A701,'Material routes'!$C$6:$C$2205,"Output")</x:f>
        <x:v>0</x:v>
      </x:c>
      <x:c r="AK701" s="4" t="n">
        <x:f>SUM(COUNTIFS('Material routes'!$D$6:$D$2205,A701,'Material routes'!$C$6:$C$2205,"Ingredient candidate"),COUNTIFS('Material routes'!$D$6:$D$2205,A701,'Material routes'!$C$6:$C$2205,"Consumed input"),COUNTIFS('Material routes'!$D$6:$D$2205,A701,'Material routes'!$C$6:$C$2205,"Contained input"),COUNTIFS('Material routes'!$D$6:$D$2205,A701,'Material routes'!$C$6:$C$2205,"Transform input"))</x:f>
        <x:v>0</x:v>
      </x:c>
      <x:c r="AL701" s="4" t="n">
        <x:f>COUNTIFS('Material routes'!$D$6:$D$2205,A701,'Material routes'!$C$6:$C$2205,"Tool candidate")</x:f>
        <x:v>0</x:v>
      </x:c>
      <x:c r="AM701" s="4" t="str">
        <x:f>IF(AJ701&gt;0,"Route listed; review status/completeness",IF(C701="T0","Raw entry feed; no production route","No production route listed"))</x:f>
        <x:v>No production route listed</x:v>
      </x:c>
      <x:c r="AN701" s="4" t="n">
        <x:f>IF(C701="T0",0,IF(C701="T1",1,IF(C701="T2",2,IF(C701="T3",3,IF(C701="T4",4,IF(C701="Unassigned",98,99))))))</x:f>
        <x:v>99</x:v>
      </x:c>
      <x:c r="AZ701"/>
      <x:c r="BA701"/>
      <x:c r="BB701"/>
      <x:c r="BC701"/>
      <x:c r="BD701"/>
      <x:c r="BE701"/>
      <x:c r="BF701"/>
      <x:c r="BG701"/>
      <x:c r="BH701"/>
      <x:c r="BI701"/>
      <x:c r="BJ701"/>
      <x:c r="BK701"/>
      <x:c r="BL701"/>
      <x:c r="BM701"/>
      <x:c r="BN701"/>
      <x:c r="BO701"/>
      <x:c r="BP701"/>
      <x:c r="BQ701"/>
      <x:c r="BR701"/>
      <x:c r="BS701"/>
      <x:c r="BT701"/>
      <x:c r="BU701"/>
      <x:c r="BV701"/>
      <x:c r="BW701"/>
      <x:c r="BX701"/>
      <x:c r="BY701"/>
      <x:c r="BZ701"/>
      <x:c r="CA701"/>
      <x:c r="CB701"/>
      <x:c r="CC701"/>
    </x:row>
    <x:row r="702" ht="115" customHeight="1">
      <x:c r="A702" s="4" t="str">
        <x:v>proposal.collection.ancient_persistent_current_ring</x:v>
      </x:c>
      <x:c r="B702" s="4" t="str">
        <x:v>Ancient persistent-current ring</x:v>
      </x:c>
      <x:c r="C702" s="4" t="str">
        <x:v>Not applicable</x:v>
      </x:c>
      <x:c r="D702" s="4" t="inlineStr">
        <x:is>
          <x:t xml:space="preserve">Ancient salvage</x:t>
        </x:is>
      </x:c>
      <x:c r="E702" s="4" t="str">
        <x:v>Ancient recovery</x:v>
      </x:c>
      <x:c r="F702" s="4" t="str">
        <x:v>New proposal</x:v>
      </x:c>
      <x:c r="G702" s="4" t="inlineStr">
        <x:is>
          <x:t xml:space="preserve">Fantasy recovered magnetic-energy storage with unknown conditions. It is an extremely rare ancient recovery whose original function remains a working hypothesis. Condition, compatibility and safe operation are unknown; no contemporary reproduction is implied.</x:t>
        </x:is>
      </x:c>
      <x:c r="H702" s="4" t="str">
        <x:v>None</x:v>
      </x:c>
      <x:c r="I702" s="4" t="str">
        <x:v>Physical inventory / cargo item; dimensions and packing unresolved</x:v>
      </x:c>
      <x:c r="J702" s="4"/>
      <x:c r="K702" s="4"/>
      <x:c r="L702" s="4" t="str">
        <x:v>Recover a compatible ancient item</x:v>
      </x:c>
      <x:c r="M702" s="4" t="str">
        <x:v>Identify, inspect and preserve a recovered item; manufacturing unavailable</x:v>
      </x:c>
      <x:c r="N702" s="4" t="str">
        <x:v>Not implemented</x:v>
      </x:c>
      <x:c r="O702" s="4" t="str">
        <x:v>Extremely rare ancient recovery. Power, interface, durability and authenticity unresolved.</x:v>
      </x:c>
      <x:c r="P702" s="4" t="str">
        <x:v>Extremely rare</x:v>
      </x:c>
      <x:c r="Q702" s="4"/>
      <x:c r="R702" s="4"/>
      <x:c r="S702" s="4"/>
      <x:c r="T702" s="4"/>
      <x:c r="U702" s="4" t="str">
        <x:v>Ancient item names describe candidate functions, not known working mechanisms.</x:v>
      </x:c>
      <x:c r="V702" s="4" t="str">
        <x:v>ancient persistent-current ring; collection expansion; energy storage</x:v>
      </x:c>
      <x:c r="W702" s="4" t="str">
        <x:v>New item proposal, October 15, 2026. Rare ancient recovery; no reproduction route. Setting reference (source proposal): https://github.com/sleepyseamonster/Arc-Dust/blob/f6f98515c005dc3c73cccd9cbc031691745740c6/02-Arc-Dust-Worldbuilding/world/materials/ancient-synthetics.md</x:v>
      </x:c>
      <x:c r="X702" s="4" t="str">
        <x:v>Energy storage</x:v>
      </x:c>
      <x:c r="Y702" s="4" t="str">
        <x:v>Recovered part</x:v>
      </x:c>
      <x:c r="Z702" s="4" t="str">
        <x:v>Ancient technology</x:v>
      </x:c>
      <x:c r="AA702" s="4" t="str">
        <x:v>Energy storage</x:v>
      </x:c>
      <x:c r="AB702" s="4" t="str">
        <x:v>Ancient composite</x:v>
      </x:c>
      <x:c r="AC702" s="4" t="str">
        <x:v>Assembly</x:v>
      </x:c>
      <x:c r="AD702" s="4" t="str">
        <x:v>Proposal</x:v>
      </x:c>
      <x:c r="AE702" s="4" t="str">
        <x:f>LOWER(A702&amp;"; "&amp;B702&amp;"; "&amp;D702&amp;"; "&amp;E702&amp;"; "&amp;X702&amp;"; "&amp;Y702&amp;"; "&amp;Z702&amp;"; "&amp;AA702&amp;"; "&amp;AB702&amp;"; "&amp;AC702&amp;"; "&amp;AD702&amp;"; "&amp;V702&amp;"; "&amp;C702&amp;"; "&amp;AH702&amp;"; "&amp;AI702)</x:f>
        <x:v>proposal.collection.ancient_persistent_current_ring; ancient persistent-current ring; ancient salvage; ancient recovery; energy storage; recovered part; ancient technology; energy storage; ancient composite; assembly; proposal; ancient persistent-current ring; collection expansion; energy storage; not applicable; not applicable; finished item</x:v>
      </x:c>
      <x:c r="AF702"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2" s="4" t="str">
        <x:v>Recovered item outside contemporary manufacturing tiers.</x:v>
      </x:c>
      <x:c r="AH702" s="4" t="str">
        <x:v>Not applicable</x:v>
      </x:c>
      <x:c r="AI702" s="4" t="str">
        <x:v>Finished item</x:v>
      </x:c>
      <x:c r="AJ702" s="4" t="n">
        <x:f>COUNTIFS('Material routes'!$D$6:$D$2205,A702,'Material routes'!$C$6:$C$2205,"Output")</x:f>
        <x:v>0</x:v>
      </x:c>
      <x:c r="AK702" s="4" t="n">
        <x:f>SUM(COUNTIFS('Material routes'!$D$6:$D$2205,A702,'Material routes'!$C$6:$C$2205,"Ingredient candidate"),COUNTIFS('Material routes'!$D$6:$D$2205,A702,'Material routes'!$C$6:$C$2205,"Consumed input"),COUNTIFS('Material routes'!$D$6:$D$2205,A702,'Material routes'!$C$6:$C$2205,"Contained input"),COUNTIFS('Material routes'!$D$6:$D$2205,A702,'Material routes'!$C$6:$C$2205,"Transform input"))</x:f>
        <x:v>0</x:v>
      </x:c>
      <x:c r="AL702" s="4" t="n">
        <x:f>COUNTIFS('Material routes'!$D$6:$D$2205,A702,'Material routes'!$C$6:$C$2205,"Tool candidate")</x:f>
        <x:v>0</x:v>
      </x:c>
      <x:c r="AM702" s="4" t="str">
        <x:f>IF(AJ702&gt;0,"Route listed; review status/completeness",IF(C702="T0","Raw entry feed; no production route","No production route listed"))</x:f>
        <x:v>No production route listed</x:v>
      </x:c>
      <x:c r="AN702" s="4" t="n">
        <x:f>IF(C702="T0",0,IF(C702="T1",1,IF(C702="T2",2,IF(C702="T3",3,IF(C702="T4",4,IF(C702="Unassigned",98,99))))))</x:f>
        <x:v>99</x:v>
      </x:c>
      <x:c r="AZ702"/>
      <x:c r="BA702"/>
      <x:c r="BB702"/>
      <x:c r="BC702"/>
      <x:c r="BD702"/>
      <x:c r="BE702"/>
      <x:c r="BF702"/>
      <x:c r="BG702"/>
      <x:c r="BH702"/>
      <x:c r="BI702"/>
      <x:c r="BJ702"/>
      <x:c r="BK702"/>
      <x:c r="BL702"/>
      <x:c r="BM702"/>
      <x:c r="BN702"/>
      <x:c r="BO702"/>
      <x:c r="BP702"/>
      <x:c r="BQ702"/>
      <x:c r="BR702"/>
      <x:c r="BS702"/>
      <x:c r="BT702"/>
      <x:c r="BU702"/>
      <x:c r="BV702"/>
      <x:c r="BW702"/>
      <x:c r="BX702"/>
      <x:c r="BY702"/>
      <x:c r="BZ702"/>
      <x:c r="CA702"/>
      <x:c r="CB702"/>
      <x:c r="CC702"/>
    </x:row>
    <x:row r="703" ht="115" customHeight="1">
      <x:c r="A703" s="4" t="str">
        <x:v>proposal.collection.ancient_inertial_storage_capsule</x:v>
      </x:c>
      <x:c r="B703" s="4" t="str">
        <x:v>Ancient inertial storage capsule</x:v>
      </x:c>
      <x:c r="C703" s="4" t="str">
        <x:v>Not applicable</x:v>
      </x:c>
      <x:c r="D703" s="4" t="inlineStr">
        <x:is>
          <x:t xml:space="preserve">Ancient salvage</x:t>
        </x:is>
      </x:c>
      <x:c r="E703" s="4" t="str">
        <x:v>Ancient recovery</x:v>
      </x:c>
      <x:c r="F703" s="4" t="str">
        <x:v>New proposal</x:v>
      </x:c>
      <x:c r="G703" s="4" t="inlineStr">
        <x:is>
          <x:t xml:space="preserve">Recovered sealed rotational storage device. It is an extremely rare ancient recovery whose original function remains a working hypothesis. Condition, compatibility and safe operation are unknown; no contemporary reproduction is implied.</x:t>
        </x:is>
      </x:c>
      <x:c r="H703" s="4" t="str">
        <x:v>None</x:v>
      </x:c>
      <x:c r="I703" s="4" t="str">
        <x:v>Physical inventory / cargo item; dimensions and packing unresolved</x:v>
      </x:c>
      <x:c r="J703" s="4"/>
      <x:c r="K703" s="4"/>
      <x:c r="L703" s="4" t="str">
        <x:v>Recover a compatible ancient item</x:v>
      </x:c>
      <x:c r="M703" s="4" t="str">
        <x:v>Identify, inspect and preserve a recovered item; manufacturing unavailable</x:v>
      </x:c>
      <x:c r="N703" s="4" t="str">
        <x:v>Not implemented</x:v>
      </x:c>
      <x:c r="O703" s="4" t="str">
        <x:v>Extremely rare ancient recovery. Power, interface, durability and authenticity unresolved.</x:v>
      </x:c>
      <x:c r="P703" s="4" t="str">
        <x:v>Extremely rare</x:v>
      </x:c>
      <x:c r="Q703" s="4"/>
      <x:c r="R703" s="4"/>
      <x:c r="S703" s="4"/>
      <x:c r="T703" s="4"/>
      <x:c r="U703" s="4" t="str">
        <x:v>Ancient item names describe candidate functions, not known working mechanisms.</x:v>
      </x:c>
      <x:c r="V703" s="4" t="str">
        <x:v>ancient inertial storage capsule; collection expansion; energy storage</x:v>
      </x:c>
      <x:c r="W703" s="4" t="str">
        <x:v>New item proposal, October 15, 2026. Rare ancient recovery; no reproduction route. Setting reference (source proposal): https://github.com/sleepyseamonster/Arc-Dust/blob/f6f98515c005dc3c73cccd9cbc031691745740c6/02-Arc-Dust-Worldbuilding/world/materials/ancient-synthetics.md</x:v>
      </x:c>
      <x:c r="X703" s="4" t="str">
        <x:v>Energy storage</x:v>
      </x:c>
      <x:c r="Y703" s="4" t="str">
        <x:v>Recovered part</x:v>
      </x:c>
      <x:c r="Z703" s="4" t="str">
        <x:v>Ancient technology</x:v>
      </x:c>
      <x:c r="AA703" s="4" t="str">
        <x:v>Energy storage</x:v>
      </x:c>
      <x:c r="AB703" s="4" t="str">
        <x:v>Ancient composite</x:v>
      </x:c>
      <x:c r="AC703" s="4" t="str">
        <x:v>Assembly</x:v>
      </x:c>
      <x:c r="AD703" s="4" t="str">
        <x:v>Proposal</x:v>
      </x:c>
      <x:c r="AE703" s="4" t="str">
        <x:f>LOWER(A703&amp;"; "&amp;B703&amp;"; "&amp;D703&amp;"; "&amp;E703&amp;"; "&amp;X703&amp;"; "&amp;Y703&amp;"; "&amp;Z703&amp;"; "&amp;AA703&amp;"; "&amp;AB703&amp;"; "&amp;AC703&amp;"; "&amp;AD703&amp;"; "&amp;V703&amp;"; "&amp;C703&amp;"; "&amp;AH703&amp;"; "&amp;AI703)</x:f>
        <x:v>proposal.collection.ancient_inertial_storage_capsule; ancient inertial storage capsule; ancient salvage; ancient recovery; energy storage; recovered part; ancient technology; energy storage; ancient composite; assembly; proposal; ancient inertial storage capsule; collection expansion; energy storage; not applicable; not applicable; finished item</x:v>
      </x:c>
      <x:c r="AF703"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3" s="4" t="str">
        <x:v>Recovered item outside contemporary manufacturing tiers.</x:v>
      </x:c>
      <x:c r="AH703" s="4" t="str">
        <x:v>Not applicable</x:v>
      </x:c>
      <x:c r="AI703" s="4" t="str">
        <x:v>Finished item</x:v>
      </x:c>
      <x:c r="AJ703" s="4" t="n">
        <x:f>COUNTIFS('Material routes'!$D$6:$D$2205,A703,'Material routes'!$C$6:$C$2205,"Output")</x:f>
        <x:v>0</x:v>
      </x:c>
      <x:c r="AK703" s="4" t="n">
        <x:f>SUM(COUNTIFS('Material routes'!$D$6:$D$2205,A703,'Material routes'!$C$6:$C$2205,"Ingredient candidate"),COUNTIFS('Material routes'!$D$6:$D$2205,A703,'Material routes'!$C$6:$C$2205,"Consumed input"),COUNTIFS('Material routes'!$D$6:$D$2205,A703,'Material routes'!$C$6:$C$2205,"Contained input"),COUNTIFS('Material routes'!$D$6:$D$2205,A703,'Material routes'!$C$6:$C$2205,"Transform input"))</x:f>
        <x:v>0</x:v>
      </x:c>
      <x:c r="AL703" s="4" t="n">
        <x:f>COUNTIFS('Material routes'!$D$6:$D$2205,A703,'Material routes'!$C$6:$C$2205,"Tool candidate")</x:f>
        <x:v>0</x:v>
      </x:c>
      <x:c r="AM703" s="4" t="str">
        <x:f>IF(AJ703&gt;0,"Route listed; review status/completeness",IF(C703="T0","Raw entry feed; no production route","No production route listed"))</x:f>
        <x:v>No production route listed</x:v>
      </x:c>
      <x:c r="AN703" s="4" t="n">
        <x:f>IF(C703="T0",0,IF(C703="T1",1,IF(C703="T2",2,IF(C703="T3",3,IF(C703="T4",4,IF(C703="Unassigned",98,99))))))</x:f>
        <x:v>99</x:v>
      </x:c>
      <x:c r="AZ703"/>
      <x:c r="BA703"/>
      <x:c r="BB703"/>
      <x:c r="BC703"/>
      <x:c r="BD703"/>
      <x:c r="BE703"/>
      <x:c r="BF703"/>
      <x:c r="BG703"/>
      <x:c r="BH703"/>
      <x:c r="BI703"/>
      <x:c r="BJ703"/>
      <x:c r="BK703"/>
      <x:c r="BL703"/>
      <x:c r="BM703"/>
      <x:c r="BN703"/>
      <x:c r="BO703"/>
      <x:c r="BP703"/>
      <x:c r="BQ703"/>
      <x:c r="BR703"/>
      <x:c r="BS703"/>
      <x:c r="BT703"/>
      <x:c r="BU703"/>
      <x:c r="BV703"/>
      <x:c r="BW703"/>
      <x:c r="BX703"/>
      <x:c r="BY703"/>
      <x:c r="BZ703"/>
      <x:c r="CA703"/>
      <x:c r="CB703"/>
      <x:c r="CC703"/>
    </x:row>
    <x:row r="704" ht="115" customHeight="1">
      <x:c r="A704" s="4" t="str">
        <x:v>proposal.collection.ancient_true_arc_vessel</x:v>
      </x:c>
      <x:c r="B704" s="4" t="str">
        <x:v>Ancient true-Arc vessel</x:v>
      </x:c>
      <x:c r="C704" s="4" t="str">
        <x:v>Not applicable</x:v>
      </x:c>
      <x:c r="D704" s="4" t="inlineStr">
        <x:is>
          <x:t xml:space="preserve">Ancient salvage</x:t>
        </x:is>
      </x:c>
      <x:c r="E704" s="4" t="str">
        <x:v>Ancient recovery</x:v>
      </x:c>
      <x:c r="F704" s="4" t="str">
        <x:v>New proposal</x:v>
      </x:c>
      <x:c r="G704" s="4" t="inlineStr">
        <x:is>
          <x:t xml:space="preserve">Extremely rare recovered Arc-arresting container, distinct from electricity storage. It is an extremely rare ancient recovery whose original function remains a working hypothesis. Condition, compatibility and safe operation are unknown; no contemporary reproduction is implied.</x:t>
        </x:is>
      </x:c>
      <x:c r="H704" s="4" t="str">
        <x:v>None</x:v>
      </x:c>
      <x:c r="I704" s="4" t="str">
        <x:v>Physical inventory / cargo item; dimensions and packing unresolved</x:v>
      </x:c>
      <x:c r="J704" s="4"/>
      <x:c r="K704" s="4"/>
      <x:c r="L704" s="4" t="str">
        <x:v>Recover a compatible ancient item</x:v>
      </x:c>
      <x:c r="M704" s="4" t="str">
        <x:v>Identify, inspect and preserve a recovered item; manufacturing unavailable</x:v>
      </x:c>
      <x:c r="N704" s="4" t="str">
        <x:v>Not implemented</x:v>
      </x:c>
      <x:c r="O704" s="4" t="str">
        <x:v>Extremely rare ancient recovery. Power, interface, durability and authenticity unresolved.</x:v>
      </x:c>
      <x:c r="P704" s="4" t="str">
        <x:v>Extremely rare</x:v>
      </x:c>
      <x:c r="Q704" s="4"/>
      <x:c r="R704" s="4"/>
      <x:c r="S704" s="4"/>
      <x:c r="T704" s="4"/>
      <x:c r="U704" s="4" t="str">
        <x:v>Ancient item names describe candidate functions, not known working mechanisms.</x:v>
      </x:c>
      <x:c r="V704" s="4" t="str">
        <x:v>ancient true-arc vessel; collection expansion; energy storage</x:v>
      </x:c>
      <x:c r="W704" s="4" t="str">
        <x:v>New item proposal, October 15, 2026. Rare ancient recovery; no reproduction route. Setting reference (source proposal): https://github.com/sleepyseamonster/Arc-Dust/blob/f6f98515c005dc3c73cccd9cbc031691745740c6/02-Arc-Dust-Worldbuilding/world/materials/ancient-synthetics.md</x:v>
      </x:c>
      <x:c r="X704" s="4" t="str">
        <x:v>Energy storage</x:v>
      </x:c>
      <x:c r="Y704" s="4" t="str">
        <x:v>Recovered part</x:v>
      </x:c>
      <x:c r="Z704" s="4" t="str">
        <x:v>Ancient technology</x:v>
      </x:c>
      <x:c r="AA704" s="4" t="str">
        <x:v>Energy storage</x:v>
      </x:c>
      <x:c r="AB704" s="4" t="str">
        <x:v>Ancient composite</x:v>
      </x:c>
      <x:c r="AC704" s="4" t="str">
        <x:v>Assembly</x:v>
      </x:c>
      <x:c r="AD704" s="4" t="str">
        <x:v>Proposal</x:v>
      </x:c>
      <x:c r="AE704" s="4" t="str">
        <x:f>LOWER(A704&amp;"; "&amp;B704&amp;"; "&amp;D704&amp;"; "&amp;E704&amp;"; "&amp;X704&amp;"; "&amp;Y704&amp;"; "&amp;Z704&amp;"; "&amp;AA704&amp;"; "&amp;AB704&amp;"; "&amp;AC704&amp;"; "&amp;AD704&amp;"; "&amp;V704&amp;"; "&amp;C704&amp;"; "&amp;AH704&amp;"; "&amp;AI704)</x:f>
        <x:v>proposal.collection.ancient_true_arc_vessel; ancient true-arc vessel; ancient salvage; ancient recovery; energy storage; recovered part; ancient technology; energy storage; ancient composite; assembly; proposal; ancient true-arc vessel; collection expansion; energy storage; not applicable; not applicable; finished item</x:v>
      </x:c>
      <x:c r="AF704"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4" s="4" t="str">
        <x:v>Recovered item outside contemporary manufacturing tiers.</x:v>
      </x:c>
      <x:c r="AH704" s="4" t="str">
        <x:v>Not applicable</x:v>
      </x:c>
      <x:c r="AI704" s="4" t="str">
        <x:v>Finished item</x:v>
      </x:c>
      <x:c r="AJ704" s="4" t="n">
        <x:f>COUNTIFS('Material routes'!$D$6:$D$2205,A704,'Material routes'!$C$6:$C$2205,"Output")</x:f>
        <x:v>0</x:v>
      </x:c>
      <x:c r="AK704" s="4" t="n">
        <x:f>SUM(COUNTIFS('Material routes'!$D$6:$D$2205,A704,'Material routes'!$C$6:$C$2205,"Ingredient candidate"),COUNTIFS('Material routes'!$D$6:$D$2205,A704,'Material routes'!$C$6:$C$2205,"Consumed input"),COUNTIFS('Material routes'!$D$6:$D$2205,A704,'Material routes'!$C$6:$C$2205,"Contained input"),COUNTIFS('Material routes'!$D$6:$D$2205,A704,'Material routes'!$C$6:$C$2205,"Transform input"))</x:f>
        <x:v>0</x:v>
      </x:c>
      <x:c r="AL704" s="4" t="n">
        <x:f>COUNTIFS('Material routes'!$D$6:$D$2205,A704,'Material routes'!$C$6:$C$2205,"Tool candidate")</x:f>
        <x:v>0</x:v>
      </x:c>
      <x:c r="AM704" s="4" t="str">
        <x:f>IF(AJ704&gt;0,"Route listed; review status/completeness",IF(C704="T0","Raw entry feed; no production route","No production route listed"))</x:f>
        <x:v>No production route listed</x:v>
      </x:c>
      <x:c r="AN704" s="4" t="n">
        <x:f>IF(C704="T0",0,IF(C704="T1",1,IF(C704="T2",2,IF(C704="T3",3,IF(C704="T4",4,IF(C704="Unassigned",98,99))))))</x:f>
        <x:v>99</x:v>
      </x:c>
      <x:c r="AZ704"/>
      <x:c r="BA704"/>
      <x:c r="BB704"/>
      <x:c r="BC704"/>
      <x:c r="BD704"/>
      <x:c r="BE704"/>
      <x:c r="BF704"/>
      <x:c r="BG704"/>
      <x:c r="BH704"/>
      <x:c r="BI704"/>
      <x:c r="BJ704"/>
      <x:c r="BK704"/>
      <x:c r="BL704"/>
      <x:c r="BM704"/>
      <x:c r="BN704"/>
      <x:c r="BO704"/>
      <x:c r="BP704"/>
      <x:c r="BQ704"/>
      <x:c r="BR704"/>
      <x:c r="BS704"/>
      <x:c r="BT704"/>
      <x:c r="BU704"/>
      <x:c r="BV704"/>
      <x:c r="BW704"/>
      <x:c r="BX704"/>
      <x:c r="BY704"/>
      <x:c r="BZ704"/>
      <x:c r="CA704"/>
      <x:c r="CB704"/>
      <x:c r="CC704"/>
    </x:row>
    <x:row r="705" ht="115" customHeight="1">
      <x:c r="A705" s="4" t="str">
        <x:v>proposal.collection.radio_contact_service_kit</x:v>
      </x:c>
      <x:c r="B705" s="4" t="str">
        <x:v>Radio contact service kit</x:v>
      </x:c>
      <x:c r="C705" s="4" t="str">
        <x:v>Not applicable</x:v>
      </x:c>
      <x:c r="D705" s="4" t="inlineStr">
        <x:is>
          <x:t xml:space="preserve">Salvage</x:t>
        </x:is>
      </x:c>
      <x:c r="E705" s="4" t="str">
        <x:v>Service kit</x:v>
      </x:c>
      <x:c r="F705" s="4" t="str">
        <x:v>New proposal</x:v>
      </x:c>
      <x:c r="G705" s="4" t="inlineStr">
        <x:is>
          <x:t xml:space="preserve">Replacement contacts and cleaning implements for a compatible crude radio. It supports replacement, refitting or maintenance of a compatible item; ownership alone does not restore the equipment’s condition.</x:t>
        </x:is>
      </x:c>
      <x:c r="H705" s="4" t="str">
        <x:v>None</x:v>
      </x:c>
      <x:c r="I705" s="4" t="str">
        <x:v>Physical inventory / cargo item; dimensions and packing unresolved</x:v>
      </x:c>
      <x:c r="J705" s="4"/>
      <x:c r="K705" s="4"/>
      <x:c r="L705" s="4" t="str">
        <x:v>Candidate preparation: design.collection.radio_contact_service_kit. Full inputs are in Crafting browser.</x:v>
      </x:c>
      <x:c r="M705" s="4" t="str">
        <x:v>Candidate workshop or contained preparation route; detailed tools, quantities and conditions unresolved</x:v>
      </x:c>
      <x:c r="N705" s="4" t="str">
        <x:v>Not implemented</x:v>
      </x:c>
      <x:c r="O705" s="4" t="str">
        <x:v>Specific dimensions, yield, fit, performance and service conditions remain open.</x:v>
      </x:c>
      <x:c r="P705" s="4"/>
      <x:c r="Q705" s="4"/>
      <x:c r="R705" s="4"/>
      <x:c r="S705" s="4"/>
      <x:c r="T705" s="4"/>
      <x:c r="U705" s="4" t="str">
        <x:v>Candidate inputs are partial. Resolve tools, supporting materials, energy, recovery and compatibility before recipes become craftable.</x:v>
      </x:c>
      <x:c r="V705" s="4" t="str">
        <x:v>radio contact service kit; collection expansion; service kit</x:v>
      </x:c>
      <x:c r="W705" s="4" t="str">
        <x:v>New item proposal, October 15, 2026. Setting reference (source proposal): https://github.com/sleepyseamonster/Arc-Dust/blob/f6f98515c005dc3c73cccd9cbc031691745740c6/02-Arc-Dust-Worldbuilding/world/materials/industrial-material-palette.md</x:v>
      </x:c>
      <x:c r="X705" s="4" t="str">
        <x:v>Service kit</x:v>
      </x:c>
      <x:c r="Y705" s="4" t="str">
        <x:v>Finished item</x:v>
      </x:c>
      <x:c r="Z705" s="4" t="str">
        <x:v>Manufactured / unresolved</x:v>
      </x:c>
      <x:c r="AA705" s="4" t="str">
        <x:v>Equipment repair</x:v>
      </x:c>
      <x:c r="AB705" s="4" t="str">
        <x:v>Mixed / unresolved</x:v>
      </x:c>
      <x:c r="AC705" s="4" t="str">
        <x:v>Assembly</x:v>
      </x:c>
      <x:c r="AD705" s="4" t="str">
        <x:v>Proposal</x:v>
      </x:c>
      <x:c r="AE705" s="4" t="str">
        <x:f>LOWER(A705&amp;"; "&amp;B705&amp;"; "&amp;D705&amp;"; "&amp;E705&amp;"; "&amp;X705&amp;"; "&amp;Y705&amp;"; "&amp;Z705&amp;"; "&amp;AA705&amp;"; "&amp;AB705&amp;"; "&amp;AC705&amp;"; "&amp;AD705&amp;"; "&amp;V705&amp;"; "&amp;C705&amp;"; "&amp;AH705&amp;"; "&amp;AI705)</x:f>
        <x:v>proposal.collection.radio_contact_service_kit; radio contact service kit; salvage; service kit; service kit; finished item; manufactured / unresolved; equipment repair; mixed / unresolved; assembly; proposal; radio contact service kit; collection expansion; service kit; not applicable; unassigned; finished item</x:v>
      </x:c>
      <x:c r="AF705" s="4" t="str">
        <x:v>Collection expansion classification. Distinct type, use and material family; new item proposal unless author direction is marked.</x:v>
      </x:c>
      <x:c r="AG705" s="4" t="str">
        <x:v>Finished endpoint or currency. Material tier is separate from finished input tier.</x:v>
      </x:c>
      <x:c r="AH705" s="4" t="str">
        <x:v>Unassigned</x:v>
      </x:c>
      <x:c r="AI705" s="4" t="str">
        <x:v>Finished item</x:v>
      </x:c>
      <x:c r="AJ705" s="4" t="n">
        <x:f>COUNTIFS('Material routes'!$D$6:$D$2205,A705,'Material routes'!$C$6:$C$2205,"Output")</x:f>
        <x:v>1</x:v>
      </x:c>
      <x:c r="AK705" s="4" t="n">
        <x:f>SUM(COUNTIFS('Material routes'!$D$6:$D$2205,A705,'Material routes'!$C$6:$C$2205,"Ingredient candidate"),COUNTIFS('Material routes'!$D$6:$D$2205,A705,'Material routes'!$C$6:$C$2205,"Consumed input"),COUNTIFS('Material routes'!$D$6:$D$2205,A705,'Material routes'!$C$6:$C$2205,"Contained input"),COUNTIFS('Material routes'!$D$6:$D$2205,A705,'Material routes'!$C$6:$C$2205,"Transform input"))</x:f>
        <x:v>0</x:v>
      </x:c>
      <x:c r="AL705" s="4" t="n">
        <x:f>COUNTIFS('Material routes'!$D$6:$D$2205,A705,'Material routes'!$C$6:$C$2205,"Tool candidate")</x:f>
        <x:v>0</x:v>
      </x:c>
      <x:c r="AM705" s="4" t="str">
        <x:f>IF(AJ705&gt;0,"Route listed; review status/completeness",IF(C705="T0","Raw entry feed; no production route","No production route listed"))</x:f>
        <x:v>Route listed; review status/completeness</x:v>
      </x:c>
      <x:c r="AN705" s="4" t="n">
        <x:f>IF(C705="T0",0,IF(C705="T1",1,IF(C705="T2",2,IF(C705="T3",3,IF(C705="T4",4,IF(C705="Unassigned",98,99))))))</x:f>
        <x:v>99</x:v>
      </x:c>
      <x:c r="AZ705"/>
      <x:c r="BA705"/>
      <x:c r="BB705"/>
      <x:c r="BC705"/>
      <x:c r="BD705"/>
      <x:c r="BE705"/>
      <x:c r="BF705"/>
      <x:c r="BG705"/>
      <x:c r="BH705"/>
      <x:c r="BI705"/>
      <x:c r="BJ705"/>
      <x:c r="BK705"/>
      <x:c r="BL705"/>
      <x:c r="BM705"/>
      <x:c r="BN705"/>
      <x:c r="BO705"/>
      <x:c r="BP705"/>
      <x:c r="BQ705"/>
      <x:c r="BR705"/>
      <x:c r="BS705"/>
      <x:c r="BT705"/>
      <x:c r="BU705"/>
      <x:c r="BV705"/>
      <x:c r="BW705"/>
      <x:c r="BX705"/>
      <x:c r="BY705"/>
      <x:c r="BZ705"/>
      <x:c r="CA705"/>
      <x:c r="CB705"/>
      <x:c r="CC705"/>
    </x:row>
    <x:row r="706" ht="115" customHeight="1">
      <x:c r="A706" s="4"/>
      <x:c r="B706" s="4"/>
      <x:c r="C706" s="4"/>
      <x:c r="D706" s="4"/>
      <x:c r="E706" s="4"/>
      <x:c r="F706" s="4"/>
      <x:c r="G706" s="4"/>
      <x:c r="H706" s="4"/>
      <x:c r="I706" s="4"/>
      <x:c r="J706" s="4"/>
      <x:c r="M706" s="4"/>
      <x:c r="N706" s="4"/>
      <x:c r="O706" s="4"/>
      <x:c r="P706" s="4"/>
      <x:c r="V706" s="4"/>
      <x:c r="W706" s="4"/>
      <x:c r="X706" s="4"/>
      <x:c r="Y706" s="4"/>
      <x:c r="Z706" s="4"/>
      <x:c r="AA706" s="4"/>
      <x:c r="AB706" s="4"/>
      <x:c r="AC706" s="4"/>
      <x:c r="AD706" s="4"/>
      <x:c r="AE706" s="4"/>
      <x:c r="AF706" s="4"/>
      <x:c r="AG706" s="4"/>
      <x:c r="AH706" s="4"/>
      <x:c r="AI706" s="4"/>
      <x:c r="AJ706" s="4"/>
      <x:c r="AK706" s="4"/>
      <x:c r="AL706" s="4"/>
      <x:c r="AM706" s="4"/>
      <x:c r="AN706" s="4"/>
      <x:c r="AZ706"/>
      <x:c r="BA706"/>
      <x:c r="BB706"/>
      <x:c r="BC706"/>
      <x:c r="BD706"/>
      <x:c r="BE706"/>
      <x:c r="BF706"/>
      <x:c r="BG706"/>
      <x:c r="BH706"/>
      <x:c r="BI706"/>
      <x:c r="BJ706"/>
      <x:c r="BK706"/>
      <x:c r="BL706"/>
      <x:c r="BM706"/>
      <x:c r="BN706"/>
      <x:c r="BO706"/>
      <x:c r="BP706"/>
      <x:c r="BQ706"/>
      <x:c r="BR706"/>
      <x:c r="BS706"/>
      <x:c r="BT706"/>
      <x:c r="BU706"/>
      <x:c r="BV706"/>
      <x:c r="BW706"/>
      <x:c r="BX706"/>
      <x:c r="BY706"/>
      <x:c r="BZ706"/>
      <x:c r="CA706"/>
      <x:c r="CB706"/>
      <x:c r="CC706"/>
    </x:row>
    <x:row r="707" ht="115" customHeight="1">
      <x:c r="A707" s="4" t="str">
        <x:v>proposal.collection.dirtboard_running_gear_kit</x:v>
      </x:c>
      <x:c r="B707" s="4" t="str">
        <x:v>Dirtboard running-gear kit</x:v>
      </x:c>
      <x:c r="C707" s="4" t="str">
        <x:v>Not applicable</x:v>
      </x:c>
      <x:c r="D707" s="4" t="inlineStr">
        <x:is>
          <x:t xml:space="preserve">Salvage</x:t>
        </x:is>
      </x:c>
      <x:c r="E707" s="4" t="str">
        <x:v>Service kit</x:v>
      </x:c>
      <x:c r="F707" s="4" t="str">
        <x:v>New proposal</x:v>
      </x:c>
      <x:c r="G707" s="4" t="inlineStr">
        <x:is>
          <x:t xml:space="preserve">Selected bearing and retaining parts for a matched dirtboard. It supports replacement, refitting or maintenance of a compatible item; ownership alone does not restore the equipment’s condition.</x:t>
        </x:is>
      </x:c>
      <x:c r="H707" s="4" t="str">
        <x:v>None</x:v>
      </x:c>
      <x:c r="I707" s="4" t="str">
        <x:v>Physical inventory / cargo item; dimensions and packing unresolved</x:v>
      </x:c>
      <x:c r="J707" s="4"/>
      <x:c r="K707" s="4"/>
      <x:c r="L707" s="4" t="str">
        <x:v>Candidate preparation: design.collection.dirtboard_running_gear_kit. Full inputs are in Crafting browser.</x:v>
      </x:c>
      <x:c r="M707" s="4" t="str">
        <x:v>Candidate workshop or contained preparation route; detailed tools, quantities and conditions unresolved</x:v>
      </x:c>
      <x:c r="N707" s="4" t="str">
        <x:v>Not implemented</x:v>
      </x:c>
      <x:c r="O707" s="4" t="str">
        <x:v>Specific dimensions, yield, fit, performance and service conditions remain open.</x:v>
      </x:c>
      <x:c r="P707" s="4"/>
      <x:c r="Q707" s="4"/>
      <x:c r="R707" s="4"/>
      <x:c r="S707" s="4"/>
      <x:c r="T707" s="4"/>
      <x:c r="U707" s="4" t="str">
        <x:v>Candidate inputs are partial. Resolve tools, supporting materials, energy, recovery and compatibility before recipes become craftable.</x:v>
      </x:c>
      <x:c r="V707" s="4" t="str">
        <x:v>dirtboard running-gear kit; collection expansion; service kit</x:v>
      </x:c>
      <x:c r="W707" s="4" t="str">
        <x:v>New item proposal, October 15, 2026. Setting reference (source proposal): https://github.com/sleepyseamonster/Arc-Dust/blob/f6f98515c005dc3c73cccd9cbc031691745740c6/02-Arc-Dust-Worldbuilding/world/materials/industrial-material-palette.md</x:v>
      </x:c>
      <x:c r="X707" s="4" t="str">
        <x:v>Service kit</x:v>
      </x:c>
      <x:c r="Y707" s="4" t="str">
        <x:v>Finished item</x:v>
      </x:c>
      <x:c r="Z707" s="4" t="str">
        <x:v>Manufactured / unresolved</x:v>
      </x:c>
      <x:c r="AA707" s="4" t="str">
        <x:v>Equipment repair</x:v>
      </x:c>
      <x:c r="AB707" s="4" t="str">
        <x:v>Mixed / unresolved</x:v>
      </x:c>
      <x:c r="AC707" s="4" t="str">
        <x:v>Assembly</x:v>
      </x:c>
      <x:c r="AD707" s="4" t="str">
        <x:v>Proposal</x:v>
      </x:c>
      <x:c r="AE707" s="4" t="str">
        <x:f>LOWER(A707&amp;"; "&amp;B707&amp;"; "&amp;D707&amp;"; "&amp;E707&amp;"; "&amp;X707&amp;"; "&amp;Y707&amp;"; "&amp;Z707&amp;"; "&amp;AA707&amp;"; "&amp;AB707&amp;"; "&amp;AC707&amp;"; "&amp;AD707&amp;"; "&amp;V707&amp;"; "&amp;C707&amp;"; "&amp;AH707&amp;"; "&amp;AI707)</x:f>
        <x:v>proposal.collection.dirtboard_running_gear_kit; dirtboard running-gear kit; salvage; service kit; service kit; finished item; manufactured / unresolved; equipment repair; mixed / unresolved; assembly; proposal; dirtboard running-gear kit; collection expansion; service kit; not applicable; t3; finished item</x:v>
      </x:c>
      <x:c r="AF707" s="4" t="inlineStr">
        <x:is>
          <x:t xml:space="preserve">Collection expansion classification. Distinct type, use and material family; new item proposal unless author direction is marked.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707" s="4" t="str">
        <x:v>Finished endpoint or currency. Material tier is separate from finished input tier.</x:v>
      </x:c>
      <x:c r="AH707" s="4" t="str">
        <x:v>T3</x:v>
      </x:c>
      <x:c r="AI707" s="4" t="str">
        <x:v>Finished item</x:v>
      </x:c>
      <x:c r="AJ707" s="4" t="n">
        <x:f>COUNTIFS('Material routes'!$D$6:$D$2205,A707,'Material routes'!$C$6:$C$2205,"Output")</x:f>
        <x:v>1</x:v>
      </x:c>
      <x:c r="AK707" s="4" t="n">
        <x:f>SUM(COUNTIFS('Material routes'!$D$6:$D$2205,A707,'Material routes'!$C$6:$C$2205,"Ingredient candidate"),COUNTIFS('Material routes'!$D$6:$D$2205,A707,'Material routes'!$C$6:$C$2205,"Consumed input"),COUNTIFS('Material routes'!$D$6:$D$2205,A707,'Material routes'!$C$6:$C$2205,"Contained input"),COUNTIFS('Material routes'!$D$6:$D$2205,A707,'Material routes'!$C$6:$C$2205,"Transform input"))</x:f>
        <x:v>0</x:v>
      </x:c>
      <x:c r="AL707" s="4" t="n">
        <x:f>COUNTIFS('Material routes'!$D$6:$D$2205,A707,'Material routes'!$C$6:$C$2205,"Tool candidate")</x:f>
        <x:v>0</x:v>
      </x:c>
      <x:c r="AM707" s="4" t="str">
        <x:f>IF(AJ707&gt;0,"Route listed; review status/completeness",IF(C707="T0","Raw entry feed; no production route","No production route listed"))</x:f>
        <x:v>Route listed; review status/completeness</x:v>
      </x:c>
      <x:c r="AN707" s="4" t="n">
        <x:f>IF(C707="T0",0,IF(C707="T1",1,IF(C707="T2",2,IF(C707="T3",3,IF(C707="T4",4,IF(C707="Unassigned",98,99))))))</x:f>
        <x:v>99</x:v>
      </x:c>
      <x:c r="AZ707"/>
      <x:c r="BA707"/>
      <x:c r="BB707"/>
      <x:c r="BC707"/>
      <x:c r="BD707"/>
      <x:c r="BE707"/>
      <x:c r="BF707"/>
      <x:c r="BG707"/>
      <x:c r="BH707"/>
      <x:c r="BI707"/>
      <x:c r="BJ707"/>
      <x:c r="BK707"/>
      <x:c r="BL707"/>
      <x:c r="BM707"/>
      <x:c r="BN707"/>
      <x:c r="BO707"/>
      <x:c r="BP707"/>
      <x:c r="BQ707"/>
      <x:c r="BR707"/>
      <x:c r="BS707"/>
      <x:c r="BT707"/>
      <x:c r="BU707"/>
      <x:c r="BV707"/>
      <x:c r="BW707"/>
      <x:c r="BX707"/>
      <x:c r="BY707"/>
      <x:c r="BZ707"/>
      <x:c r="CA707"/>
      <x:c r="CB707"/>
      <x:c r="CC707"/>
    </x:row>
    <x:row r="708" ht="115" customHeight="1">
      <x:c r="A708" s="4"/>
      <x:c r="B708" s="4"/>
      <x:c r="C708" s="4"/>
      <x:c r="D708" s="4"/>
      <x:c r="E708" s="4"/>
      <x:c r="F708" s="4"/>
      <x:c r="G708" s="4"/>
      <x:c r="H708" s="4"/>
      <x:c r="I708" s="4"/>
      <x:c r="J708" s="4"/>
      <x:c r="M708" s="4"/>
      <x:c r="N708" s="4"/>
      <x:c r="O708" s="4"/>
      <x:c r="P708" s="4"/>
      <x:c r="V708" s="4"/>
      <x:c r="W708" s="4"/>
      <x:c r="X708" s="4"/>
      <x:c r="Y708" s="4"/>
      <x:c r="Z708" s="4"/>
      <x:c r="AA708" s="4"/>
      <x:c r="AB708" s="4"/>
      <x:c r="AC708" s="4"/>
      <x:c r="AD708" s="4"/>
      <x:c r="AE708" s="4"/>
      <x:c r="AF708" s="4"/>
      <x:c r="AG708" s="4"/>
      <x:c r="AH708" s="4"/>
      <x:c r="AI708" s="4"/>
      <x:c r="AJ708" s="4"/>
      <x:c r="AK708" s="4"/>
      <x:c r="AL708" s="4"/>
      <x:c r="AM708" s="4"/>
      <x:c r="AN708" s="4"/>
      <x:c r="AZ708"/>
      <x:c r="BA708"/>
      <x:c r="BB708"/>
      <x:c r="BC708"/>
      <x:c r="BD708"/>
      <x:c r="BE708"/>
      <x:c r="BF708"/>
      <x:c r="BG708"/>
      <x:c r="BH708"/>
      <x:c r="BI708"/>
      <x:c r="BJ708"/>
      <x:c r="BK708"/>
      <x:c r="BL708"/>
      <x:c r="BM708"/>
      <x:c r="BN708"/>
      <x:c r="BO708"/>
      <x:c r="BP708"/>
      <x:c r="BQ708"/>
      <x:c r="BR708"/>
      <x:c r="BS708"/>
      <x:c r="BT708"/>
      <x:c r="BU708"/>
      <x:c r="BV708"/>
      <x:c r="BW708"/>
      <x:c r="BX708"/>
      <x:c r="BY708"/>
      <x:c r="BZ708"/>
      <x:c r="CA708"/>
      <x:c r="CB708"/>
      <x:c r="CC708"/>
    </x:row>
    <x:row r="709" ht="115" customHeight="1">
      <x:c r="A709" s="4"/>
      <x:c r="B709" s="4"/>
      <x:c r="C709" s="4"/>
      <x:c r="D709" s="4"/>
      <x:c r="E709" s="4"/>
      <x:c r="F709" s="4"/>
      <x:c r="G709" s="4"/>
      <x:c r="H709" s="4"/>
      <x:c r="I709" s="4"/>
      <x:c r="J709" s="4"/>
      <x:c r="M709" s="4"/>
      <x:c r="N709" s="4"/>
      <x:c r="O709" s="4"/>
      <x:c r="P709" s="4"/>
      <x:c r="V709" s="4"/>
      <x:c r="W709" s="4"/>
      <x:c r="X709" s="4"/>
      <x:c r="Y709" s="4"/>
      <x:c r="Z709" s="4"/>
      <x:c r="AA709" s="4"/>
      <x:c r="AB709" s="4"/>
      <x:c r="AC709" s="4"/>
      <x:c r="AD709" s="4"/>
      <x:c r="AE709" s="4"/>
      <x:c r="AF709" s="4"/>
      <x:c r="AG709" s="4"/>
      <x:c r="AH709" s="4"/>
      <x:c r="AI709" s="4"/>
      <x:c r="AJ709" s="4"/>
      <x:c r="AK709" s="4"/>
      <x:c r="AL709" s="4"/>
      <x:c r="AM709" s="4"/>
      <x:c r="AN709" s="4"/>
      <x:c r="AZ709"/>
      <x:c r="BA709"/>
      <x:c r="BB709"/>
      <x:c r="BC709"/>
      <x:c r="BD709"/>
      <x:c r="BE709"/>
      <x:c r="BF709"/>
      <x:c r="BG709"/>
      <x:c r="BH709"/>
      <x:c r="BI709"/>
      <x:c r="BJ709"/>
      <x:c r="BK709"/>
      <x:c r="BL709"/>
      <x:c r="BM709"/>
      <x:c r="BN709"/>
      <x:c r="BO709"/>
      <x:c r="BP709"/>
      <x:c r="BQ709"/>
      <x:c r="BR709"/>
      <x:c r="BS709"/>
      <x:c r="BT709"/>
      <x:c r="BU709"/>
      <x:c r="BV709"/>
      <x:c r="BW709"/>
      <x:c r="BX709"/>
      <x:c r="BY709"/>
      <x:c r="BZ709"/>
      <x:c r="CA709"/>
      <x:c r="CB709"/>
      <x:c r="CC709"/>
    </x:row>
    <x:row r="710" ht="115" customHeight="1">
      <x:c r="A710" s="4"/>
      <x:c r="B710" s="4"/>
      <x:c r="C710" s="4"/>
      <x:c r="D710" s="4"/>
      <x:c r="E710" s="4"/>
      <x:c r="F710" s="4"/>
      <x:c r="G710" s="4"/>
      <x:c r="H710" s="4"/>
      <x:c r="I710" s="4"/>
      <x:c r="J710" s="4"/>
      <x:c r="K710" s="4"/>
      <x:c r="L710" s="4"/>
      <x:c r="M710" s="4"/>
      <x:c r="N710" s="4"/>
      <x:c r="O710" s="4"/>
      <x:c r="P710" s="4"/>
      <x:c r="Q710" s="4"/>
      <x:c r="R710" s="4"/>
      <x:c r="S710" s="4"/>
      <x:c r="T710" s="4"/>
      <x:c r="U710" s="4"/>
      <x:c r="V710" s="4"/>
      <x:c r="W710" s="4"/>
      <x:c r="X710" s="4"/>
      <x:c r="Y710" s="4"/>
      <x:c r="Z710" s="4"/>
      <x:c r="AA710" s="4"/>
      <x:c r="AB710" s="4"/>
      <x:c r="AC710" s="4"/>
      <x:c r="AD710" s="4"/>
      <x:c r="AE710" s="4"/>
      <x:c r="AF710" s="4"/>
      <x:c r="AG710" s="4"/>
      <x:c r="AH710" s="4"/>
      <x:c r="AI710" s="4"/>
      <x:c r="AJ710" s="4"/>
      <x:c r="AK710" s="4"/>
      <x:c r="AL710" s="4"/>
      <x:c r="AM710" s="4"/>
      <x:c r="AN710" s="4"/>
      <x:c r="AZ710"/>
      <x:c r="BA710"/>
      <x:c r="BB710"/>
      <x:c r="BC710"/>
      <x:c r="BD710"/>
      <x:c r="BE710"/>
      <x:c r="BF710"/>
      <x:c r="BG710"/>
      <x:c r="BH710"/>
      <x:c r="BI710"/>
      <x:c r="BJ710"/>
      <x:c r="BK710"/>
      <x:c r="BL710"/>
      <x:c r="BM710"/>
      <x:c r="BN710"/>
      <x:c r="BO710"/>
      <x:c r="BP710"/>
      <x:c r="BQ710"/>
      <x:c r="BR710"/>
      <x:c r="BS710"/>
      <x:c r="BT710"/>
      <x:c r="BU710"/>
      <x:c r="BV710"/>
      <x:c r="BW710"/>
      <x:c r="BX710"/>
      <x:c r="BY710"/>
      <x:c r="BZ710"/>
      <x:c r="CA710"/>
      <x:c r="CB710"/>
      <x:c r="CC710"/>
    </x:row>
    <x:row r="711" ht="115" customHeight="1">
      <x:c r="A711" s="4" t="str">
        <x:v>proposal.collection.iron_mark</x:v>
      </x:c>
      <x:c r="B711" s="4" t="str">
        <x:v>Iron mark</x:v>
      </x:c>
      <x:c r="C711" s="4" t="str">
        <x:v>Not applicable</x:v>
      </x:c>
      <x:c r="D711" s="4" t="str">
        <x:v>Currency</x:v>
      </x:c>
      <x:c r="E711" s="4" t="str">
        <x:v>Material mark currency</x:v>
      </x:c>
      <x:c r="F711" s="4" t="str">
        <x:v>Author direction</x:v>
      </x:c>
      <x:c r="G711" s="4" t="inlineStr">
        <x:is>
          <x:t xml:space="preserve">Iron mark is a material-defined currency entry. It is a currency entry distinguished by material and workmanship. Issuer, denomination, exchange ratios and particular craft grades remain unassigned.</x:t>
        </x:is>
      </x:c>
      <x:c r="H711" s="4" t="str">
        <x:v>None</x:v>
      </x:c>
      <x:c r="I711" s="4" t="str">
        <x:v>Physical inventory / cargo item; dimensions and packing unresolved</x:v>
      </x:c>
      <x:c r="J711" s="4"/>
      <x:c r="K711" s="4"/>
      <x:c r="L711" s="4" t="str">
        <x:v>Issued or exchanged currency; no player-minting recipe assigned</x:v>
      </x:c>
      <x:c r="M711" s="4" t="str">
        <x:v>Material class and craftsmanship distinguish marks; official issue, conversion ratios and grades remain undefined</x:v>
      </x:c>
      <x:c r="N711" s="4" t="str">
        <x:v>Not implemented</x:v>
      </x:c>
      <x:c r="O711" s="4" t="str">
        <x:v>Specific dimensions, yield, fit, performance and service conditions remain open.</x:v>
      </x:c>
      <x:c r="P711" s="4"/>
      <x:c r="Q711" s="4"/>
      <x:c r="R711" s="4"/>
      <x:c r="S711" s="4"/>
      <x:c r="T711" s="4"/>
      <x:c r="U711" s="4" t="str">
        <x:v>No exchange ratio, hierarchy, legal issuer or craft-grade schedule assigned.</x:v>
      </x:c>
      <x:c r="V711" s="4" t="str">
        <x:v>iron mark; collection expansion; currency</x:v>
      </x:c>
      <x:c r="W711" s="4" t="str">
        <x:v>Author direction, October 15, 2026: iron, steel, ceramic and glass marks. Material inputs and minting details proposed. Exchange ratios and craftsmanship grades unresolved.</x:v>
      </x:c>
      <x:c r="X711" s="4" t="str">
        <x:v>Currency</x:v>
      </x:c>
      <x:c r="Y711" s="4" t="str">
        <x:v>Unresolved</x:v>
      </x:c>
      <x:c r="Z711" s="4" t="str">
        <x:v>Manufactured / unresolved</x:v>
      </x:c>
      <x:c r="AA711" s="4" t="str">
        <x:v>Trade</x:v>
      </x:c>
      <x:c r="AB711" s="4" t="str">
        <x:v>Metal</x:v>
      </x:c>
      <x:c r="AC711" s="4" t="str">
        <x:v>Unresolved</x:v>
      </x:c>
      <x:c r="AD711" s="4" t="str">
        <x:v>Author direction</x:v>
      </x:c>
      <x:c r="AE711" s="4" t="str">
        <x:f>LOWER(A711&amp;"; "&amp;B711&amp;"; "&amp;D711&amp;"; "&amp;E711&amp;"; "&amp;X711&amp;"; "&amp;Y711&amp;"; "&amp;Z711&amp;"; "&amp;AA711&amp;"; "&amp;AB711&amp;"; "&amp;AC711&amp;"; "&amp;AD711&amp;"; "&amp;V711&amp;"; "&amp;C711&amp;"; "&amp;AH711&amp;"; "&amp;AI711)</x:f>
        <x:v>proposal.collection.iron_mark; iron mark; currency; material mark currency; currency; unresolved; manufactured / unresolved; trade; metal; unresolved; author direction; iron mark; collection expansion; currency; not applicable; not applicable; currency</x:v>
      </x:c>
      <x:c r="AF711" s="4" t="str">
        <x:v>Collection expansion classification. Distinct type, use and material family; new item proposal unless author direction is marked. October 15 audit: classification/handling clarified; item identity, design status and material tier preserved.</x:v>
      </x:c>
      <x:c r="AG711" s="4" t="str">
        <x:v>Finished endpoint or currency. Material tier is separate from finished input tier.</x:v>
      </x:c>
      <x:c r="AH711" s="4" t="str">
        <x:v>Not applicable</x:v>
      </x:c>
      <x:c r="AI711" s="4" t="str">
        <x:v>Currency</x:v>
      </x:c>
      <x:c r="AJ711" s="4" t="n">
        <x:f>COUNTIFS('Material routes'!$D$6:$D$2205,A711,'Material routes'!$C$6:$C$2205,"Output")</x:f>
        <x:v>0</x:v>
      </x:c>
      <x:c r="AK711" s="4" t="n">
        <x:f>SUM(COUNTIFS('Material routes'!$D$6:$D$2205,A711,'Material routes'!$C$6:$C$2205,"Ingredient candidate"),COUNTIFS('Material routes'!$D$6:$D$2205,A711,'Material routes'!$C$6:$C$2205,"Consumed input"),COUNTIFS('Material routes'!$D$6:$D$2205,A711,'Material routes'!$C$6:$C$2205,"Contained input"),COUNTIFS('Material routes'!$D$6:$D$2205,A711,'Material routes'!$C$6:$C$2205,"Transform input"))</x:f>
        <x:v>0</x:v>
      </x:c>
      <x:c r="AL711" s="4" t="n">
        <x:f>COUNTIFS('Material routes'!$D$6:$D$2205,A711,'Material routes'!$C$6:$C$2205,"Tool candidate")</x:f>
        <x:v>0</x:v>
      </x:c>
      <x:c r="AM711" s="4" t="str">
        <x:f>IF(AJ711&gt;0,"Route listed; review status/completeness",IF(C711="T0","Raw entry feed; no production route","No production route listed"))</x:f>
        <x:v>No production route listed</x:v>
      </x:c>
      <x:c r="AN711" s="4" t="n">
        <x:f>IF(C711="T0",0,IF(C711="T1",1,IF(C711="T2",2,IF(C711="T3",3,IF(C711="T4",4,IF(C711="Unassigned",98,99))))))</x:f>
        <x:v>99</x:v>
      </x:c>
      <x:c r="AZ711"/>
      <x:c r="BA711"/>
      <x:c r="BB711"/>
      <x:c r="BC711"/>
      <x:c r="BD711"/>
      <x:c r="BE711"/>
      <x:c r="BF711"/>
      <x:c r="BG711"/>
      <x:c r="BH711"/>
      <x:c r="BI711"/>
      <x:c r="BJ711"/>
      <x:c r="BK711"/>
      <x:c r="BL711"/>
      <x:c r="BM711"/>
      <x:c r="BN711"/>
      <x:c r="BO711"/>
      <x:c r="BP711"/>
      <x:c r="BQ711"/>
      <x:c r="BR711"/>
      <x:c r="BS711"/>
      <x:c r="BT711"/>
      <x:c r="BU711"/>
      <x:c r="BV711"/>
      <x:c r="BW711"/>
      <x:c r="BX711"/>
      <x:c r="BY711"/>
      <x:c r="BZ711"/>
      <x:c r="CA711"/>
      <x:c r="CB711"/>
      <x:c r="CC711"/>
    </x:row>
    <x:row r="712" ht="115" customHeight="1">
      <x:c r="A712" s="4" t="str">
        <x:v>proposal.collection.steel_mark</x:v>
      </x:c>
      <x:c r="B712" s="4" t="str">
        <x:v>Steel mark</x:v>
      </x:c>
      <x:c r="C712" s="4" t="str">
        <x:v>Not applicable</x:v>
      </x:c>
      <x:c r="D712" s="4" t="str">
        <x:v>Currency</x:v>
      </x:c>
      <x:c r="E712" s="4" t="str">
        <x:v>Material mark currency</x:v>
      </x:c>
      <x:c r="F712" s="4" t="str">
        <x:v>Author direction</x:v>
      </x:c>
      <x:c r="G712" s="4" t="inlineStr">
        <x:is>
          <x:t xml:space="preserve">Steel mark is a material-defined currency entry. It is a currency entry distinguished by material and workmanship. Issuer, denomination, exchange ratios and particular craft grades remain unassigned.</x:t>
        </x:is>
      </x:c>
      <x:c r="H712" s="4" t="str">
        <x:v>None</x:v>
      </x:c>
      <x:c r="I712" s="4" t="str">
        <x:v>Physical inventory / cargo item; dimensions and packing unresolved</x:v>
      </x:c>
      <x:c r="J712" s="4"/>
      <x:c r="K712" s="4"/>
      <x:c r="L712" s="4" t="str">
        <x:v>Issued or exchanged currency; no player-minting recipe assigned</x:v>
      </x:c>
      <x:c r="M712" s="4" t="str">
        <x:v>Material class and craftsmanship distinguish marks; official issue, conversion ratios and grades remain undefined</x:v>
      </x:c>
      <x:c r="N712" s="4" t="str">
        <x:v>Not implemented</x:v>
      </x:c>
      <x:c r="O712" s="4" t="str">
        <x:v>Specific dimensions, yield, fit, performance and service conditions remain open.</x:v>
      </x:c>
      <x:c r="P712" s="4"/>
      <x:c r="Q712" s="4"/>
      <x:c r="R712" s="4"/>
      <x:c r="S712" s="4"/>
      <x:c r="T712" s="4"/>
      <x:c r="U712" s="4" t="str">
        <x:v>No exchange ratio, hierarchy, legal issuer or craft-grade schedule assigned.</x:v>
      </x:c>
      <x:c r="V712" s="4" t="str">
        <x:v>steel mark; collection expansion; currency</x:v>
      </x:c>
      <x:c r="W712" s="4" t="str">
        <x:v>Author direction, October 15, 2026: iron, steel, ceramic and glass marks. Material inputs and minting details proposed. Exchange ratios and craftsmanship grades unresolved.</x:v>
      </x:c>
      <x:c r="X712" s="4" t="str">
        <x:v>Currency</x:v>
      </x:c>
      <x:c r="Y712" s="4" t="str">
        <x:v>Unresolved</x:v>
      </x:c>
      <x:c r="Z712" s="4" t="str">
        <x:v>Manufactured / unresolved</x:v>
      </x:c>
      <x:c r="AA712" s="4" t="str">
        <x:v>Trade</x:v>
      </x:c>
      <x:c r="AB712" s="4" t="str">
        <x:v>Metal</x:v>
      </x:c>
      <x:c r="AC712" s="4" t="str">
        <x:v>Unresolved</x:v>
      </x:c>
      <x:c r="AD712" s="4" t="str">
        <x:v>Author direction</x:v>
      </x:c>
      <x:c r="AE712" s="4" t="str">
        <x:f>LOWER(A712&amp;"; "&amp;B712&amp;"; "&amp;D712&amp;"; "&amp;E712&amp;"; "&amp;X712&amp;"; "&amp;Y712&amp;"; "&amp;Z712&amp;"; "&amp;AA712&amp;"; "&amp;AB712&amp;"; "&amp;AC712&amp;"; "&amp;AD712&amp;"; "&amp;V712&amp;"; "&amp;C712&amp;"; "&amp;AH712&amp;"; "&amp;AI712)</x:f>
        <x:v>proposal.collection.steel_mark; steel mark; currency; material mark currency; currency; unresolved; manufactured / unresolved; trade; metal; unresolved; author direction; steel mark; collection expansion; currency; not applicable; not applicable; currency</x:v>
      </x:c>
      <x:c r="AF712" s="4" t="str">
        <x:v>Collection expansion classification. Distinct type, use and material family; new item proposal unless author direction is marked. October 15 audit: classification/handling clarified; item identity, design status and material tier preserved.</x:v>
      </x:c>
      <x:c r="AG712" s="4" t="str">
        <x:v>Finished endpoint or currency. Material tier is separate from finished input tier.</x:v>
      </x:c>
      <x:c r="AH712" s="4" t="str">
        <x:v>Not applicable</x:v>
      </x:c>
      <x:c r="AI712" s="4" t="str">
        <x:v>Currency</x:v>
      </x:c>
      <x:c r="AJ712" s="4" t="n">
        <x:f>COUNTIFS('Material routes'!$D$6:$D$2205,A712,'Material routes'!$C$6:$C$2205,"Output")</x:f>
        <x:v>0</x:v>
      </x:c>
      <x:c r="AK712" s="4" t="n">
        <x:f>SUM(COUNTIFS('Material routes'!$D$6:$D$2205,A712,'Material routes'!$C$6:$C$2205,"Ingredient candidate"),COUNTIFS('Material routes'!$D$6:$D$2205,A712,'Material routes'!$C$6:$C$2205,"Consumed input"),COUNTIFS('Material routes'!$D$6:$D$2205,A712,'Material routes'!$C$6:$C$2205,"Contained input"),COUNTIFS('Material routes'!$D$6:$D$2205,A712,'Material routes'!$C$6:$C$2205,"Transform input"))</x:f>
        <x:v>0</x:v>
      </x:c>
      <x:c r="AL712" s="4" t="n">
        <x:f>COUNTIFS('Material routes'!$D$6:$D$2205,A712,'Material routes'!$C$6:$C$2205,"Tool candidate")</x:f>
        <x:v>0</x:v>
      </x:c>
      <x:c r="AM712" s="4" t="str">
        <x:f>IF(AJ712&gt;0,"Route listed; review status/completeness",IF(C712="T0","Raw entry feed; no production route","No production route listed"))</x:f>
        <x:v>No production route listed</x:v>
      </x:c>
      <x:c r="AN712" s="4" t="n">
        <x:f>IF(C712="T0",0,IF(C712="T1",1,IF(C712="T2",2,IF(C712="T3",3,IF(C712="T4",4,IF(C712="Unassigned",98,99))))))</x:f>
        <x:v>99</x:v>
      </x:c>
      <x:c r="AZ712"/>
      <x:c r="BA712"/>
      <x:c r="BB712"/>
      <x:c r="BC712"/>
      <x:c r="BD712"/>
      <x:c r="BE712"/>
      <x:c r="BF712"/>
      <x:c r="BG712"/>
      <x:c r="BH712"/>
      <x:c r="BI712"/>
      <x:c r="BJ712"/>
      <x:c r="BK712"/>
      <x:c r="BL712"/>
      <x:c r="BM712"/>
      <x:c r="BN712"/>
      <x:c r="BO712"/>
      <x:c r="BP712"/>
      <x:c r="BQ712"/>
      <x:c r="BR712"/>
      <x:c r="BS712"/>
      <x:c r="BT712"/>
      <x:c r="BU712"/>
      <x:c r="BV712"/>
      <x:c r="BW712"/>
      <x:c r="BX712"/>
      <x:c r="BY712"/>
      <x:c r="BZ712"/>
      <x:c r="CA712"/>
      <x:c r="CB712"/>
      <x:c r="CC712"/>
    </x:row>
    <x:row r="713" ht="115" customHeight="1">
      <x:c r="A713" s="4" t="str">
        <x:v>proposal.collection.ceramic_mark</x:v>
      </x:c>
      <x:c r="B713" s="4" t="str">
        <x:v>Ceramic mark</x:v>
      </x:c>
      <x:c r="C713" s="4" t="str">
        <x:v>Not applicable</x:v>
      </x:c>
      <x:c r="D713" s="4" t="str">
        <x:v>Currency</x:v>
      </x:c>
      <x:c r="E713" s="4" t="str">
        <x:v>Material mark currency</x:v>
      </x:c>
      <x:c r="F713" s="4" t="str">
        <x:v>Author direction</x:v>
      </x:c>
      <x:c r="G713" s="4" t="inlineStr">
        <x:is>
          <x:t xml:space="preserve">Ceramic mark is a material-defined currency entry. It is a currency entry distinguished by material and workmanship. Issuer, denomination, exchange ratios and particular craft grades remain unassigned.</x:t>
        </x:is>
      </x:c>
      <x:c r="H713" s="4" t="str">
        <x:v>None</x:v>
      </x:c>
      <x:c r="I713" s="4" t="str">
        <x:v>Physical inventory / cargo item; dimensions and packing unresolved</x:v>
      </x:c>
      <x:c r="J713" s="4"/>
      <x:c r="K713" s="4"/>
      <x:c r="L713" s="4" t="str">
        <x:v>Issued or exchanged currency; no player-minting recipe assigned</x:v>
      </x:c>
      <x:c r="M713" s="4" t="str">
        <x:v>Material class and craftsmanship distinguish marks; official issue, conversion ratios and grades remain undefined</x:v>
      </x:c>
      <x:c r="N713" s="4" t="str">
        <x:v>Not implemented</x:v>
      </x:c>
      <x:c r="O713" s="4" t="str">
        <x:v>Specific dimensions, yield, fit, performance and service conditions remain open.</x:v>
      </x:c>
      <x:c r="P713" s="4"/>
      <x:c r="Q713" s="4"/>
      <x:c r="R713" s="4"/>
      <x:c r="S713" s="4"/>
      <x:c r="T713" s="4"/>
      <x:c r="U713" s="4" t="str">
        <x:v>No exchange ratio, hierarchy, legal issuer or craft-grade schedule assigned.</x:v>
      </x:c>
      <x:c r="V713" s="4" t="str">
        <x:v>ceramic mark; collection expansion; currency</x:v>
      </x:c>
      <x:c r="W713" s="4" t="str">
        <x:v>Author direction, October 15, 2026: iron, steel, ceramic and glass marks. Material inputs and minting details proposed. Exchange ratios and craftsmanship grades unresolved.</x:v>
      </x:c>
      <x:c r="X713" s="4" t="str">
        <x:v>Currency</x:v>
      </x:c>
      <x:c r="Y713" s="4" t="str">
        <x:v>Unresolved</x:v>
      </x:c>
      <x:c r="Z713" s="4" t="str">
        <x:v>Manufactured / unresolved</x:v>
      </x:c>
      <x:c r="AA713" s="4" t="str">
        <x:v>Trade</x:v>
      </x:c>
      <x:c r="AB713" s="4" t="str">
        <x:v>Ceramic</x:v>
      </x:c>
      <x:c r="AC713" s="4" t="str">
        <x:v>Unresolved</x:v>
      </x:c>
      <x:c r="AD713" s="4" t="str">
        <x:v>Author direction</x:v>
      </x:c>
      <x:c r="AE713" s="4" t="str">
        <x:f>LOWER(A713&amp;"; "&amp;B713&amp;"; "&amp;D713&amp;"; "&amp;E713&amp;"; "&amp;X713&amp;"; "&amp;Y713&amp;"; "&amp;Z713&amp;"; "&amp;AA713&amp;"; "&amp;AB713&amp;"; "&amp;AC713&amp;"; "&amp;AD713&amp;"; "&amp;V713&amp;"; "&amp;C713&amp;"; "&amp;AH713&amp;"; "&amp;AI713)</x:f>
        <x:v>proposal.collection.ceramic_mark; ceramic mark; currency; material mark currency; currency; unresolved; manufactured / unresolved; trade; ceramic; unresolved; author direction; ceramic mark; collection expansion; currency; not applicable; not applicable; currency</x:v>
      </x:c>
      <x:c r="AF713" s="4" t="str">
        <x:v>Collection expansion classification. Distinct type, use and material family; new item proposal unless author direction is marked. October 15 audit: classification/handling clarified; item identity, design status and material tier preserved.</x:v>
      </x:c>
      <x:c r="AG713" s="4" t="str">
        <x:v>Finished endpoint or currency. Material tier is separate from finished input tier.</x:v>
      </x:c>
      <x:c r="AH713" s="4" t="str">
        <x:v>Not applicable</x:v>
      </x:c>
      <x:c r="AI713" s="4" t="str">
        <x:v>Currency</x:v>
      </x:c>
      <x:c r="AJ713" s="4" t="n">
        <x:f>COUNTIFS('Material routes'!$D$6:$D$2205,A713,'Material routes'!$C$6:$C$2205,"Output")</x:f>
        <x:v>0</x:v>
      </x:c>
      <x:c r="AK713" s="4" t="n">
        <x:f>SUM(COUNTIFS('Material routes'!$D$6:$D$2205,A713,'Material routes'!$C$6:$C$2205,"Ingredient candidate"),COUNTIFS('Material routes'!$D$6:$D$2205,A713,'Material routes'!$C$6:$C$2205,"Consumed input"),COUNTIFS('Material routes'!$D$6:$D$2205,A713,'Material routes'!$C$6:$C$2205,"Contained input"),COUNTIFS('Material routes'!$D$6:$D$2205,A713,'Material routes'!$C$6:$C$2205,"Transform input"))</x:f>
        <x:v>0</x:v>
      </x:c>
      <x:c r="AL713" s="4" t="n">
        <x:f>COUNTIFS('Material routes'!$D$6:$D$2205,A713,'Material routes'!$C$6:$C$2205,"Tool candidate")</x:f>
        <x:v>0</x:v>
      </x:c>
      <x:c r="AM713" s="4" t="str">
        <x:f>IF(AJ713&gt;0,"Route listed; review status/completeness",IF(C713="T0","Raw entry feed; no production route","No production route listed"))</x:f>
        <x:v>No production route listed</x:v>
      </x:c>
      <x:c r="AN713" s="4" t="n">
        <x:f>IF(C713="T0",0,IF(C713="T1",1,IF(C713="T2",2,IF(C713="T3",3,IF(C713="T4",4,IF(C713="Unassigned",98,99))))))</x:f>
        <x:v>99</x:v>
      </x:c>
      <x:c r="AZ713"/>
      <x:c r="BA713"/>
      <x:c r="BB713"/>
      <x:c r="BC713"/>
      <x:c r="BD713"/>
      <x:c r="BE713"/>
      <x:c r="BF713"/>
      <x:c r="BG713"/>
      <x:c r="BH713"/>
      <x:c r="BI713"/>
      <x:c r="BJ713"/>
      <x:c r="BK713"/>
      <x:c r="BL713"/>
      <x:c r="BM713"/>
      <x:c r="BN713"/>
      <x:c r="BO713"/>
      <x:c r="BP713"/>
      <x:c r="BQ713"/>
      <x:c r="BR713"/>
      <x:c r="BS713"/>
      <x:c r="BT713"/>
      <x:c r="BU713"/>
      <x:c r="BV713"/>
      <x:c r="BW713"/>
      <x:c r="BX713"/>
      <x:c r="BY713"/>
      <x:c r="BZ713"/>
      <x:c r="CA713"/>
      <x:c r="CB713"/>
      <x:c r="CC713"/>
    </x:row>
    <x:row r="714" ht="115" customHeight="1">
      <x:c r="A714" s="4" t="str">
        <x:v>proposal.collection.glass_mark</x:v>
      </x:c>
      <x:c r="B714" s="4" t="str">
        <x:v>Glass mark</x:v>
      </x:c>
      <x:c r="C714" s="4" t="str">
        <x:v>Not applicable</x:v>
      </x:c>
      <x:c r="D714" s="4" t="str">
        <x:v>Currency</x:v>
      </x:c>
      <x:c r="E714" s="4" t="str">
        <x:v>Material mark currency</x:v>
      </x:c>
      <x:c r="F714" s="4" t="str">
        <x:v>Author direction</x:v>
      </x:c>
      <x:c r="G714" s="4" t="inlineStr">
        <x:is>
          <x:t xml:space="preserve">Glass mark is a material-defined currency entry. It is a currency entry distinguished by material and workmanship. Issuer, denomination, exchange ratios and particular craft grades remain unassigned.</x:t>
        </x:is>
      </x:c>
      <x:c r="H714" s="4" t="str">
        <x:v>None</x:v>
      </x:c>
      <x:c r="I714" s="4" t="str">
        <x:v>Physical inventory / cargo item; dimensions and packing unresolved</x:v>
      </x:c>
      <x:c r="J714" s="4"/>
      <x:c r="K714" s="4"/>
      <x:c r="L714" s="4" t="str">
        <x:v>Issued or exchanged currency; no player-minting recipe assigned</x:v>
      </x:c>
      <x:c r="M714" s="4" t="str">
        <x:v>Material class and craftsmanship distinguish marks; official issue, conversion ratios and grades remain undefined</x:v>
      </x:c>
      <x:c r="N714" s="4" t="str">
        <x:v>Not implemented</x:v>
      </x:c>
      <x:c r="O714" s="4" t="str">
        <x:v>Specific dimensions, yield, fit, performance and service conditions remain open.</x:v>
      </x:c>
      <x:c r="P714" s="4"/>
      <x:c r="Q714" s="4"/>
      <x:c r="R714" s="4"/>
      <x:c r="S714" s="4"/>
      <x:c r="T714" s="4"/>
      <x:c r="U714" s="4" t="str">
        <x:v>No exchange ratio, hierarchy, legal issuer or craft-grade schedule assigned.</x:v>
      </x:c>
      <x:c r="V714" s="4" t="str">
        <x:v>glass mark; collection expansion; currency</x:v>
      </x:c>
      <x:c r="W714" s="4" t="str">
        <x:v>Author direction, October 15, 2026: iron, steel, ceramic and glass marks. Material inputs and minting details proposed. Exchange ratios and craftsmanship grades unresolved.</x:v>
      </x:c>
      <x:c r="X714" s="4" t="str">
        <x:v>Currency</x:v>
      </x:c>
      <x:c r="Y714" s="4" t="str">
        <x:v>Unresolved</x:v>
      </x:c>
      <x:c r="Z714" s="4" t="str">
        <x:v>Manufactured / unresolved</x:v>
      </x:c>
      <x:c r="AA714" s="4" t="str">
        <x:v>Trade</x:v>
      </x:c>
      <x:c r="AB714" s="4" t="str">
        <x:v>Glass</x:v>
      </x:c>
      <x:c r="AC714" s="4" t="str">
        <x:v>Unresolved</x:v>
      </x:c>
      <x:c r="AD714" s="4" t="str">
        <x:v>Author direction</x:v>
      </x:c>
      <x:c r="AE714" s="4" t="str">
        <x:f>LOWER(A714&amp;"; "&amp;B714&amp;"; "&amp;D714&amp;"; "&amp;E714&amp;"; "&amp;X714&amp;"; "&amp;Y714&amp;"; "&amp;Z714&amp;"; "&amp;AA714&amp;"; "&amp;AB714&amp;"; "&amp;AC714&amp;"; "&amp;AD714&amp;"; "&amp;V714&amp;"; "&amp;C714&amp;"; "&amp;AH714&amp;"; "&amp;AI714)</x:f>
        <x:v>proposal.collection.glass_mark; glass mark; currency; material mark currency; currency; unresolved; manufactured / unresolved; trade; glass; unresolved; author direction; glass mark; collection expansion; currency; not applicable; not applicable; currency</x:v>
      </x:c>
      <x:c r="AF714" s="4" t="str">
        <x:v>Collection expansion classification. Distinct type, use and material family; new item proposal unless author direction is marked. October 15 audit: classification/handling clarified; item identity, design status and material tier preserved.</x:v>
      </x:c>
      <x:c r="AG714" s="4" t="str">
        <x:v>Finished endpoint or currency. Material tier is separate from finished input tier.</x:v>
      </x:c>
      <x:c r="AH714" s="4" t="str">
        <x:v>Not applicable</x:v>
      </x:c>
      <x:c r="AI714" s="4" t="str">
        <x:v>Currency</x:v>
      </x:c>
      <x:c r="AJ714" s="4" t="n">
        <x:f>COUNTIFS('Material routes'!$D$6:$D$2205,A714,'Material routes'!$C$6:$C$2205,"Output")</x:f>
        <x:v>0</x:v>
      </x:c>
      <x:c r="AK714" s="4" t="n">
        <x:f>SUM(COUNTIFS('Material routes'!$D$6:$D$2205,A714,'Material routes'!$C$6:$C$2205,"Ingredient candidate"),COUNTIFS('Material routes'!$D$6:$D$2205,A714,'Material routes'!$C$6:$C$2205,"Consumed input"),COUNTIFS('Material routes'!$D$6:$D$2205,A714,'Material routes'!$C$6:$C$2205,"Contained input"),COUNTIFS('Material routes'!$D$6:$D$2205,A714,'Material routes'!$C$6:$C$2205,"Transform input"))</x:f>
        <x:v>0</x:v>
      </x:c>
      <x:c r="AL714" s="4" t="n">
        <x:f>COUNTIFS('Material routes'!$D$6:$D$2205,A714,'Material routes'!$C$6:$C$2205,"Tool candidate")</x:f>
        <x:v>0</x:v>
      </x:c>
      <x:c r="AM714" s="4" t="str">
        <x:f>IF(AJ714&gt;0,"Route listed; review status/completeness",IF(C714="T0","Raw entry feed; no production route","No production route listed"))</x:f>
        <x:v>No production route listed</x:v>
      </x:c>
      <x:c r="AN714" s="4" t="n">
        <x:f>IF(C714="T0",0,IF(C714="T1",1,IF(C714="T2",2,IF(C714="T3",3,IF(C714="T4",4,IF(C714="Unassigned",98,99))))))</x:f>
        <x:v>99</x:v>
      </x:c>
      <x:c r="AZ714"/>
      <x:c r="BA714"/>
      <x:c r="BB714"/>
      <x:c r="BC714"/>
      <x:c r="BD714"/>
      <x:c r="BE714"/>
      <x:c r="BF714"/>
      <x:c r="BG714"/>
      <x:c r="BH714"/>
      <x:c r="BI714"/>
      <x:c r="BJ714"/>
      <x:c r="BK714"/>
      <x:c r="BL714"/>
      <x:c r="BM714"/>
      <x:c r="BN714"/>
      <x:c r="BO714"/>
      <x:c r="BP714"/>
      <x:c r="BQ714"/>
      <x:c r="BR714"/>
      <x:c r="BS714"/>
      <x:c r="BT714"/>
      <x:c r="BU714"/>
      <x:c r="BV714"/>
      <x:c r="BW714"/>
      <x:c r="BX714"/>
      <x:c r="BY714"/>
      <x:c r="BZ714"/>
      <x:c r="CA714"/>
      <x:c r="CB714"/>
      <x:c r="CC714"/>
    </x:row>
    <x:row r="715" ht="115" customHeight="1">
      <x:c r="A715" s="4" t="str">
        <x:v>proposal.collection.hide_headed_shell_drum</x:v>
      </x:c>
      <x:c r="B715" s="4" t="str">
        <x:v>Hide-headed shell drum</x:v>
      </x:c>
      <x:c r="C715" s="4" t="str">
        <x:v>Not applicable</x:v>
      </x:c>
      <x:c r="D715" s="4" t="inlineStr">
        <x:is>
          <x:t xml:space="preserve">Salvage</x:t>
        </x:is>
      </x:c>
      <x:c r="E715" s="4" t="str">
        <x:v>Musical instrument</x:v>
      </x:c>
      <x:c r="F715" s="4" t="str">
        <x:v>New proposal</x:v>
      </x:c>
      <x:c r="G715" s="4" t="inlineStr">
        <x:is>
          <x:t xml:space="preserve">Scarce hide membrane tensioned over an insect shell bowl. Its recorded physical form is intended to produce, control or support sound in a musical instrument; tuning and playable dimensions remain open.</x:t>
        </x:is>
      </x:c>
      <x:c r="H715" s="4" t="str">
        <x:v>None</x:v>
      </x:c>
      <x:c r="I715" s="4" t="str">
        <x:v>Physical inventory / cargo item; dimensions and packing unresolved</x:v>
      </x:c>
      <x:c r="J715" s="4"/>
      <x:c r="K715" s="4"/>
      <x:c r="L715" s="4" t="str">
        <x:v>Candidate preparation: design.collection.hide_headed_shell_drum. Full inputs are in Crafting browser.</x:v>
      </x:c>
      <x:c r="M715" s="4" t="str">
        <x:v>Candidate workshop or contained preparation route; detailed tools, quantities and conditions unresolved</x:v>
      </x:c>
      <x:c r="N715" s="4" t="str">
        <x:v>Not implemented</x:v>
      </x:c>
      <x:c r="O715" s="4" t="str">
        <x:v>Specific dimensions, yield, fit, performance and service conditions remain open.</x:v>
      </x:c>
      <x:c r="P715" s="4"/>
      <x:c r="Q715" s="4"/>
      <x:c r="R715" s="4"/>
      <x:c r="S715" s="4"/>
      <x:c r="T715" s="4"/>
      <x:c r="U715" s="4" t="str">
        <x:v>Candidate inputs are partial. Resolve tools, supporting materials, energy, recovery and compatibility before recipes become craftable.</x:v>
      </x:c>
      <x:c r="V715" s="4" t="str">
        <x:v>hide-headed shell drum; collection expansion; musical instrument</x:v>
      </x:c>
      <x:c r="W715" s="4" t="str">
        <x:v>New item proposal, October 15, 2026. Setting reference (source proposal): https://github.com/sleepyseamonster/Arc-Dust/blob/f6f98515c005dc3c73cccd9cbc031691745740c6/02-Arc-Dust-Worldbuilding/world/materials/industrial-material-palette.md</x:v>
      </x:c>
      <x:c r="X715" s="4" t="str">
        <x:v>Musical instrument</x:v>
      </x:c>
      <x:c r="Y715" s="4" t="str">
        <x:v>Finished item</x:v>
      </x:c>
      <x:c r="Z715" s="4" t="str">
        <x:v>Manufactured / unresolved</x:v>
      </x:c>
      <x:c r="AA715" s="4" t="str">
        <x:v>Music</x:v>
      </x:c>
      <x:c r="AB715" s="4" t="str">
        <x:v>Mixed / unresolved</x:v>
      </x:c>
      <x:c r="AC715" s="4" t="str">
        <x:v>Assembly</x:v>
      </x:c>
      <x:c r="AD715" s="4" t="str">
        <x:v>Proposal</x:v>
      </x:c>
      <x:c r="AE715" s="4" t="str">
        <x:f>LOWER(A715&amp;"; "&amp;B715&amp;"; "&amp;D715&amp;"; "&amp;E715&amp;"; "&amp;X715&amp;"; "&amp;Y715&amp;"; "&amp;Z715&amp;"; "&amp;AA715&amp;"; "&amp;AB715&amp;"; "&amp;AC715&amp;"; "&amp;AD715&amp;"; "&amp;V715&amp;"; "&amp;C715&amp;"; "&amp;AH715&amp;"; "&amp;AI715)</x:f>
        <x:v>proposal.collection.hide_headed_shell_drum; hide-headed shell drum; salvage; musical instrument; musical instrument; finished item; manufactured / unresolved; music; mixed / unresolved; assembly; proposal; hide-headed shell drum; collection expansion; musical instrument; not applicable; t3; finished item</x:v>
      </x:c>
      <x:c r="AF715"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5" s="4" t="str">
        <x:v>Finished endpoint or currency. Material tier is separate from finished input tier.</x:v>
      </x:c>
      <x:c r="AH715" s="4" t="str">
        <x:v>T3</x:v>
      </x:c>
      <x:c r="AI715" s="4" t="str">
        <x:v>Finished item</x:v>
      </x:c>
      <x:c r="AJ715" s="4" t="n">
        <x:f>COUNTIFS('Material routes'!$D$6:$D$2205,A715,'Material routes'!$C$6:$C$2205,"Output")</x:f>
        <x:v>1</x:v>
      </x:c>
      <x:c r="AK715" s="4" t="n">
        <x:f>SUM(COUNTIFS('Material routes'!$D$6:$D$2205,A715,'Material routes'!$C$6:$C$2205,"Ingredient candidate"),COUNTIFS('Material routes'!$D$6:$D$2205,A715,'Material routes'!$C$6:$C$2205,"Consumed input"),COUNTIFS('Material routes'!$D$6:$D$2205,A715,'Material routes'!$C$6:$C$2205,"Contained input"),COUNTIFS('Material routes'!$D$6:$D$2205,A715,'Material routes'!$C$6:$C$2205,"Transform input"))</x:f>
        <x:v>0</x:v>
      </x:c>
      <x:c r="AL715" s="4" t="n">
        <x:f>COUNTIFS('Material routes'!$D$6:$D$2205,A715,'Material routes'!$C$6:$C$2205,"Tool candidate")</x:f>
        <x:v>0</x:v>
      </x:c>
      <x:c r="AM715" s="4" t="str">
        <x:f>IF(AJ715&gt;0,"Route listed; review status/completeness",IF(C715="T0","Raw entry feed; no production route","No production route listed"))</x:f>
        <x:v>Route listed; review status/completeness</x:v>
      </x:c>
      <x:c r="AN715" s="4" t="n">
        <x:f>IF(C715="T0",0,IF(C715="T1",1,IF(C715="T2",2,IF(C715="T3",3,IF(C715="T4",4,IF(C715="Unassigned",98,99))))))</x:f>
        <x:v>99</x:v>
      </x:c>
      <x:c r="AZ715"/>
      <x:c r="BA715"/>
      <x:c r="BB715"/>
      <x:c r="BC715"/>
      <x:c r="BD715"/>
      <x:c r="BE715"/>
      <x:c r="BF715"/>
      <x:c r="BG715"/>
      <x:c r="BH715"/>
      <x:c r="BI715"/>
      <x:c r="BJ715"/>
      <x:c r="BK715"/>
      <x:c r="BL715"/>
      <x:c r="BM715"/>
      <x:c r="BN715"/>
      <x:c r="BO715"/>
      <x:c r="BP715"/>
      <x:c r="BQ715"/>
      <x:c r="BR715"/>
      <x:c r="BS715"/>
      <x:c r="BT715"/>
      <x:c r="BU715"/>
      <x:c r="BV715"/>
      <x:c r="BW715"/>
      <x:c r="BX715"/>
      <x:c r="BY715"/>
      <x:c r="BZ715"/>
      <x:c r="CA715"/>
      <x:c r="CB715"/>
      <x:c r="CC715"/>
    </x:row>
    <x:row r="716" ht="115" customHeight="1">
      <x:c r="A716" s="4" t="str">
        <x:v>proposal.collection.double_headed_metal_drum</x:v>
      </x:c>
      <x:c r="B716" s="4" t="str">
        <x:v>Double-headed metal drum</x:v>
      </x:c>
      <x:c r="C716" s="4" t="str">
        <x:v>Not applicable</x:v>
      </x:c>
      <x:c r="D716" s="4" t="inlineStr">
        <x:is>
          <x:t xml:space="preserve">Salvage</x:t>
        </x:is>
      </x:c>
      <x:c r="E716" s="4" t="str">
        <x:v>Musical instrument</x:v>
      </x:c>
      <x:c r="F716" s="4" t="str">
        <x:v>New proposal</x:v>
      </x:c>
      <x:c r="G716" s="4" t="inlineStr">
        <x:is>
          <x:t xml:space="preserve">Two scarce hide heads on a worked metal body. Its recorded physical form is intended to produce, control or support sound in a musical instrument; tuning and playable dimensions remain open.</x:t>
        </x:is>
      </x:c>
      <x:c r="H716" s="4" t="str">
        <x:v>None</x:v>
      </x:c>
      <x:c r="I716" s="4" t="str">
        <x:v>Physical inventory / cargo item; dimensions and packing unresolved</x:v>
      </x:c>
      <x:c r="J716" s="4"/>
      <x:c r="K716" s="4"/>
      <x:c r="L716" s="4" t="str">
        <x:v>Candidate preparation: design.collection.double_headed_metal_drum. Full inputs are in Crafting browser.</x:v>
      </x:c>
      <x:c r="M716" s="4" t="str">
        <x:v>Candidate workshop or contained preparation route; detailed tools, quantities and conditions unresolved</x:v>
      </x:c>
      <x:c r="N716" s="4" t="str">
        <x:v>Not implemented</x:v>
      </x:c>
      <x:c r="O716" s="4" t="str">
        <x:v>Specific dimensions, yield, fit, performance and service conditions remain open.</x:v>
      </x:c>
      <x:c r="P716" s="4"/>
      <x:c r="Q716" s="4"/>
      <x:c r="R716" s="4"/>
      <x:c r="S716" s="4"/>
      <x:c r="T716" s="4"/>
      <x:c r="U716" s="4" t="str">
        <x:v>Candidate inputs are partial. Resolve tools, supporting materials, energy, recovery and compatibility before recipes become craftable.</x:v>
      </x:c>
      <x:c r="V716" s="4" t="str">
        <x:v>double-headed metal drum; collection expansion; musical instrument</x:v>
      </x:c>
      <x:c r="W716" s="4" t="str">
        <x:v>New item proposal, October 15, 2026. Setting reference (source proposal): https://github.com/sleepyseamonster/Arc-Dust/blob/f6f98515c005dc3c73cccd9cbc031691745740c6/02-Arc-Dust-Worldbuilding/world/materials/industrial-material-palette.md</x:v>
      </x:c>
      <x:c r="X716" s="4" t="str">
        <x:v>Musical instrument</x:v>
      </x:c>
      <x:c r="Y716" s="4" t="str">
        <x:v>Finished item</x:v>
      </x:c>
      <x:c r="Z716" s="4" t="str">
        <x:v>Manufactured / unresolved</x:v>
      </x:c>
      <x:c r="AA716" s="4" t="str">
        <x:v>Music</x:v>
      </x:c>
      <x:c r="AB716" s="4" t="str">
        <x:v>Mixed / unresolved</x:v>
      </x:c>
      <x:c r="AC716" s="4" t="str">
        <x:v>Assembly</x:v>
      </x:c>
      <x:c r="AD716" s="4" t="str">
        <x:v>Proposal</x:v>
      </x:c>
      <x:c r="AE716" s="4" t="str">
        <x:f>LOWER(A716&amp;"; "&amp;B716&amp;"; "&amp;D716&amp;"; "&amp;E716&amp;"; "&amp;X716&amp;"; "&amp;Y716&amp;"; "&amp;Z716&amp;"; "&amp;AA716&amp;"; "&amp;AB716&amp;"; "&amp;AC716&amp;"; "&amp;AD716&amp;"; "&amp;V716&amp;"; "&amp;C716&amp;"; "&amp;AH716&amp;"; "&amp;AI716)</x:f>
        <x:v>proposal.collection.double_headed_metal_drum; double-headed metal drum; salvage; musical instrument; musical instrument; finished item; manufactured / unresolved; music; mixed / unresolved; assembly; proposal; double-headed metal drum; collection expansion; musical instrument; not applicable; t3; finished item</x:v>
      </x:c>
      <x:c r="AF71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6" s="4" t="str">
        <x:v>Finished endpoint or currency. Material tier is separate from finished input tier.</x:v>
      </x:c>
      <x:c r="AH716" s="4" t="str">
        <x:v>T3</x:v>
      </x:c>
      <x:c r="AI716" s="4" t="str">
        <x:v>Finished item</x:v>
      </x:c>
      <x:c r="AJ716" s="4" t="n">
        <x:f>COUNTIFS('Material routes'!$D$6:$D$2205,A716,'Material routes'!$C$6:$C$2205,"Output")</x:f>
        <x:v>1</x:v>
      </x:c>
      <x:c r="AK716" s="4" t="n">
        <x:f>SUM(COUNTIFS('Material routes'!$D$6:$D$2205,A716,'Material routes'!$C$6:$C$2205,"Ingredient candidate"),COUNTIFS('Material routes'!$D$6:$D$2205,A716,'Material routes'!$C$6:$C$2205,"Consumed input"),COUNTIFS('Material routes'!$D$6:$D$2205,A716,'Material routes'!$C$6:$C$2205,"Contained input"),COUNTIFS('Material routes'!$D$6:$D$2205,A716,'Material routes'!$C$6:$C$2205,"Transform input"))</x:f>
        <x:v>0</x:v>
      </x:c>
      <x:c r="AL716" s="4" t="n">
        <x:f>COUNTIFS('Material routes'!$D$6:$D$2205,A716,'Material routes'!$C$6:$C$2205,"Tool candidate")</x:f>
        <x:v>0</x:v>
      </x:c>
      <x:c r="AM716" s="4" t="str">
        <x:f>IF(AJ716&gt;0,"Route listed; review status/completeness",IF(C716="T0","Raw entry feed; no production route","No production route listed"))</x:f>
        <x:v>Route listed; review status/completeness</x:v>
      </x:c>
      <x:c r="AN716" s="4" t="n">
        <x:f>IF(C716="T0",0,IF(C716="T1",1,IF(C716="T2",2,IF(C716="T3",3,IF(C716="T4",4,IF(C716="Unassigned",98,99))))))</x:f>
        <x:v>99</x:v>
      </x:c>
      <x:c r="AZ716"/>
      <x:c r="BA716"/>
      <x:c r="BB716"/>
      <x:c r="BC716"/>
      <x:c r="BD716"/>
      <x:c r="BE716"/>
      <x:c r="BF716"/>
      <x:c r="BG716"/>
      <x:c r="BH716"/>
      <x:c r="BI716"/>
      <x:c r="BJ716"/>
      <x:c r="BK716"/>
      <x:c r="BL716"/>
      <x:c r="BM716"/>
      <x:c r="BN716"/>
      <x:c r="BO716"/>
      <x:c r="BP716"/>
      <x:c r="BQ716"/>
      <x:c r="BR716"/>
      <x:c r="BS716"/>
      <x:c r="BT716"/>
      <x:c r="BU716"/>
      <x:c r="BV716"/>
      <x:c r="BW716"/>
      <x:c r="BX716"/>
      <x:c r="BY716"/>
      <x:c r="BZ716"/>
      <x:c r="CA716"/>
      <x:c r="CB716"/>
      <x:c r="CC716"/>
    </x:row>
    <x:row r="717" ht="115" customHeight="1">
      <x:c r="A717" s="4" t="str">
        <x:v>proposal.collection.slit_shell_drum</x:v>
      </x:c>
      <x:c r="B717" s="4" t="str">
        <x:v>Slit shell drum</x:v>
      </x:c>
      <x:c r="C717" s="4" t="str">
        <x:v>Not applicable</x:v>
      </x:c>
      <x:c r="D717" s="4" t="inlineStr">
        <x:is>
          <x:t xml:space="preserve">Salvage</x:t>
        </x:is>
      </x:c>
      <x:c r="E717" s="4" t="str">
        <x:v>Musical instrument</x:v>
      </x:c>
      <x:c r="F717" s="4" t="str">
        <x:v>New proposal</x:v>
      </x:c>
      <x:c r="G717" s="4" t="inlineStr">
        <x:is>
          <x:t xml:space="preserve">Rigid resonant shell instrument requiring no hide head. Its recorded physical form is intended to produce, control or support sound in a musical instrument; tuning and playable dimensions remain open.</x:t>
        </x:is>
      </x:c>
      <x:c r="H717" s="4" t="str">
        <x:v>None</x:v>
      </x:c>
      <x:c r="I717" s="4" t="str">
        <x:v>Physical inventory / cargo item; dimensions and packing unresolved</x:v>
      </x:c>
      <x:c r="J717" s="4"/>
      <x:c r="K717" s="4"/>
      <x:c r="L717" s="4" t="str">
        <x:v>Candidate preparation: design.collection.slit_shell_drum. Full inputs are in Crafting browser.</x:v>
      </x:c>
      <x:c r="M717" s="4" t="str">
        <x:v>Candidate workshop or contained preparation route; detailed tools, quantities and conditions unresolved</x:v>
      </x:c>
      <x:c r="N717" s="4" t="str">
        <x:v>Not implemented</x:v>
      </x:c>
      <x:c r="O717" s="4" t="str">
        <x:v>Specific dimensions, yield, fit, performance and service conditions remain open.</x:v>
      </x:c>
      <x:c r="P717" s="4"/>
      <x:c r="Q717" s="4"/>
      <x:c r="R717" s="4"/>
      <x:c r="S717" s="4"/>
      <x:c r="T717" s="4"/>
      <x:c r="U717" s="4" t="str">
        <x:v>Candidate inputs are partial. Resolve tools, supporting materials, energy, recovery and compatibility before recipes become craftable.</x:v>
      </x:c>
      <x:c r="V717" s="4" t="str">
        <x:v>slit shell drum; collection expansion; musical instrument</x:v>
      </x:c>
      <x:c r="W717" s="4" t="str">
        <x:v>New item proposal, October 15, 2026. Setting reference (source proposal): https://github.com/sleepyseamonster/Arc-Dust/blob/f6f98515c005dc3c73cccd9cbc031691745740c6/02-Arc-Dust-Worldbuilding/world/materials/industrial-material-palette.md</x:v>
      </x:c>
      <x:c r="X717" s="4" t="str">
        <x:v>Musical instrument</x:v>
      </x:c>
      <x:c r="Y717" s="4" t="str">
        <x:v>Finished item</x:v>
      </x:c>
      <x:c r="Z717" s="4" t="str">
        <x:v>Manufactured / unresolved</x:v>
      </x:c>
      <x:c r="AA717" s="4" t="str">
        <x:v>Music</x:v>
      </x:c>
      <x:c r="AB717" s="4" t="str">
        <x:v>Shell / chitin</x:v>
      </x:c>
      <x:c r="AC717" s="4" t="str">
        <x:v>Assembly</x:v>
      </x:c>
      <x:c r="AD717" s="4" t="str">
        <x:v>Proposal</x:v>
      </x:c>
      <x:c r="AE717" s="4" t="str">
        <x:f>LOWER(A717&amp;"; "&amp;B717&amp;"; "&amp;D717&amp;"; "&amp;E717&amp;"; "&amp;X717&amp;"; "&amp;Y717&amp;"; "&amp;Z717&amp;"; "&amp;AA717&amp;"; "&amp;AB717&amp;"; "&amp;AC717&amp;"; "&amp;AD717&amp;"; "&amp;V717&amp;"; "&amp;C717&amp;"; "&amp;AH717&amp;"; "&amp;AI717)</x:f>
        <x:v>proposal.collection.slit_shell_drum; slit shell drum; salvage; musical instrument; musical instrument; finished item; manufactured / unresolved; music; shell / chitin; assembly; proposal; slit shell drum; collection expansion; musical instrument; not applicable; t1; finished item</x:v>
      </x:c>
      <x:c r="AF71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7" s="4" t="str">
        <x:v>Finished endpoint or currency. Material tier is separate from finished input tier.</x:v>
      </x:c>
      <x:c r="AH717" s="4" t="str">
        <x:v>T1</x:v>
      </x:c>
      <x:c r="AI717" s="4" t="str">
        <x:v>Finished item</x:v>
      </x:c>
      <x:c r="AJ717" s="4" t="n">
        <x:f>COUNTIFS('Material routes'!$D$6:$D$2205,A717,'Material routes'!$C$6:$C$2205,"Output")</x:f>
        <x:v>1</x:v>
      </x:c>
      <x:c r="AK717" s="4" t="n">
        <x:f>SUM(COUNTIFS('Material routes'!$D$6:$D$2205,A717,'Material routes'!$C$6:$C$2205,"Ingredient candidate"),COUNTIFS('Material routes'!$D$6:$D$2205,A717,'Material routes'!$C$6:$C$2205,"Consumed input"),COUNTIFS('Material routes'!$D$6:$D$2205,A717,'Material routes'!$C$6:$C$2205,"Contained input"),COUNTIFS('Material routes'!$D$6:$D$2205,A717,'Material routes'!$C$6:$C$2205,"Transform input"))</x:f>
        <x:v>0</x:v>
      </x:c>
      <x:c r="AL717" s="4" t="n">
        <x:f>COUNTIFS('Material routes'!$D$6:$D$2205,A717,'Material routes'!$C$6:$C$2205,"Tool candidate")</x:f>
        <x:v>0</x:v>
      </x:c>
      <x:c r="AM717" s="4" t="str">
        <x:f>IF(AJ717&gt;0,"Route listed; review status/completeness",IF(C717="T0","Raw entry feed; no production route","No production route listed"))</x:f>
        <x:v>Route listed; review status/completeness</x:v>
      </x:c>
      <x:c r="AN717" s="4" t="n">
        <x:f>IF(C717="T0",0,IF(C717="T1",1,IF(C717="T2",2,IF(C717="T3",3,IF(C717="T4",4,IF(C717="Unassigned",98,99))))))</x:f>
        <x:v>99</x:v>
      </x:c>
      <x:c r="AZ717"/>
      <x:c r="BA717"/>
      <x:c r="BB717"/>
      <x:c r="BC717"/>
      <x:c r="BD717"/>
      <x:c r="BE717"/>
      <x:c r="BF717"/>
      <x:c r="BG717"/>
      <x:c r="BH717"/>
      <x:c r="BI717"/>
      <x:c r="BJ717"/>
      <x:c r="BK717"/>
      <x:c r="BL717"/>
      <x:c r="BM717"/>
      <x:c r="BN717"/>
      <x:c r="BO717"/>
      <x:c r="BP717"/>
      <x:c r="BQ717"/>
      <x:c r="BR717"/>
      <x:c r="BS717"/>
      <x:c r="BT717"/>
      <x:c r="BU717"/>
      <x:c r="BV717"/>
      <x:c r="BW717"/>
      <x:c r="BX717"/>
      <x:c r="BY717"/>
      <x:c r="BZ717"/>
      <x:c r="CA717"/>
      <x:c r="CB717"/>
      <x:c r="CC717"/>
    </x:row>
    <x:row r="718" ht="115" customHeight="1">
      <x:c r="A718" s="4" t="str">
        <x:v>proposal.collection.metal_frame_drum</x:v>
      </x:c>
      <x:c r="B718" s="4" t="str">
        <x:v>Metal frame drum</x:v>
      </x:c>
      <x:c r="C718" s="4" t="str">
        <x:v>Not applicable</x:v>
      </x:c>
      <x:c r="D718" s="4" t="inlineStr">
        <x:is>
          <x:t xml:space="preserve">Salvage</x:t>
        </x:is>
      </x:c>
      <x:c r="E718" s="4" t="str">
        <x:v>Musical instrument</x:v>
      </x:c>
      <x:c r="F718" s="4" t="str">
        <x:v>New proposal</x:v>
      </x:c>
      <x:c r="G718" s="4" t="inlineStr">
        <x:is>
          <x:t xml:space="preserve">Shallow ring instrument with a minimal hide head. Its recorded physical form is intended to produce, control or support sound in a musical instrument; tuning and playable dimensions remain open.</x:t>
        </x:is>
      </x:c>
      <x:c r="H718" s="4" t="str">
        <x:v>None</x:v>
      </x:c>
      <x:c r="I718" s="4" t="str">
        <x:v>Physical inventory / cargo item; dimensions and packing unresolved</x:v>
      </x:c>
      <x:c r="J718" s="4"/>
      <x:c r="K718" s="4"/>
      <x:c r="L718" s="4" t="str">
        <x:v>Candidate preparation: design.collection.metal_frame_drum. Full inputs are in Crafting browser.</x:v>
      </x:c>
      <x:c r="M718" s="4" t="str">
        <x:v>Candidate workshop or contained preparation route; detailed tools, quantities and conditions unresolved</x:v>
      </x:c>
      <x:c r="N718" s="4" t="str">
        <x:v>Not implemented</x:v>
      </x:c>
      <x:c r="O718" s="4" t="str">
        <x:v>Specific dimensions, yield, fit, performance and service conditions remain open.</x:v>
      </x:c>
      <x:c r="P718" s="4"/>
      <x:c r="Q718" s="4"/>
      <x:c r="R718" s="4"/>
      <x:c r="S718" s="4"/>
      <x:c r="T718" s="4"/>
      <x:c r="U718" s="4" t="str">
        <x:v>Candidate inputs are partial. Resolve tools, supporting materials, energy, recovery and compatibility before recipes become craftable.</x:v>
      </x:c>
      <x:c r="V718" s="4" t="str">
        <x:v>metal frame drum; collection expansion; musical instrument</x:v>
      </x:c>
      <x:c r="W718" s="4" t="str">
        <x:v>New item proposal, October 15, 2026. Setting reference (source proposal): https://github.com/sleepyseamonster/Arc-Dust/blob/f6f98515c005dc3c73cccd9cbc031691745740c6/02-Arc-Dust-Worldbuilding/world/materials/industrial-material-palette.md</x:v>
      </x:c>
      <x:c r="X718" s="4" t="str">
        <x:v>Musical instrument</x:v>
      </x:c>
      <x:c r="Y718" s="4" t="str">
        <x:v>Finished item</x:v>
      </x:c>
      <x:c r="Z718" s="4" t="str">
        <x:v>Manufactured / unresolved</x:v>
      </x:c>
      <x:c r="AA718" s="4" t="str">
        <x:v>Music</x:v>
      </x:c>
      <x:c r="AB718" s="4" t="str">
        <x:v>Mixed / unresolved</x:v>
      </x:c>
      <x:c r="AC718" s="4" t="str">
        <x:v>Assembly</x:v>
      </x:c>
      <x:c r="AD718" s="4" t="str">
        <x:v>Proposal</x:v>
      </x:c>
      <x:c r="AE718" s="4" t="str">
        <x:f>LOWER(A718&amp;"; "&amp;B718&amp;"; "&amp;D718&amp;"; "&amp;E718&amp;"; "&amp;X718&amp;"; "&amp;Y718&amp;"; "&amp;Z718&amp;"; "&amp;AA718&amp;"; "&amp;AB718&amp;"; "&amp;AC718&amp;"; "&amp;AD718&amp;"; "&amp;V718&amp;"; "&amp;C718&amp;"; "&amp;AH718&amp;"; "&amp;AI718)</x:f>
        <x:v>proposal.collection.metal_frame_drum; metal frame drum; salvage; musical instrument; musical instrument; finished item; manufactured / unresolved; music; mixed / unresolved; assembly; proposal; metal frame drum; collection expansion; musical instrument; not applicable; t3; finished item</x:v>
      </x:c>
      <x:c r="AF71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8" s="4" t="str">
        <x:v>Finished endpoint or currency. Material tier is separate from finished input tier.</x:v>
      </x:c>
      <x:c r="AH718" s="4" t="str">
        <x:v>T3</x:v>
      </x:c>
      <x:c r="AI718" s="4" t="str">
        <x:v>Finished item</x:v>
      </x:c>
      <x:c r="AJ718" s="4" t="n">
        <x:f>COUNTIFS('Material routes'!$D$6:$D$2205,A718,'Material routes'!$C$6:$C$2205,"Output")</x:f>
        <x:v>1</x:v>
      </x:c>
      <x:c r="AK718" s="4" t="n">
        <x:f>SUM(COUNTIFS('Material routes'!$D$6:$D$2205,A718,'Material routes'!$C$6:$C$2205,"Ingredient candidate"),COUNTIFS('Material routes'!$D$6:$D$2205,A718,'Material routes'!$C$6:$C$2205,"Consumed input"),COUNTIFS('Material routes'!$D$6:$D$2205,A718,'Material routes'!$C$6:$C$2205,"Contained input"),COUNTIFS('Material routes'!$D$6:$D$2205,A718,'Material routes'!$C$6:$C$2205,"Transform input"))</x:f>
        <x:v>0</x:v>
      </x:c>
      <x:c r="AL718" s="4" t="n">
        <x:f>COUNTIFS('Material routes'!$D$6:$D$2205,A718,'Material routes'!$C$6:$C$2205,"Tool candidate")</x:f>
        <x:v>0</x:v>
      </x:c>
      <x:c r="AM718" s="4" t="str">
        <x:f>IF(AJ718&gt;0,"Route listed; review status/completeness",IF(C718="T0","Raw entry feed; no production route","No production route listed"))</x:f>
        <x:v>Route listed; review status/completeness</x:v>
      </x:c>
      <x:c r="AN718" s="4" t="n">
        <x:f>IF(C718="T0",0,IF(C718="T1",1,IF(C718="T2",2,IF(C718="T3",3,IF(C718="T4",4,IF(C718="Unassigned",98,99))))))</x:f>
        <x:v>99</x:v>
      </x:c>
      <x:c r="AZ718"/>
      <x:c r="BA718"/>
      <x:c r="BB718"/>
      <x:c r="BC718"/>
      <x:c r="BD718"/>
      <x:c r="BE718"/>
      <x:c r="BF718"/>
      <x:c r="BG718"/>
      <x:c r="BH718"/>
      <x:c r="BI718"/>
      <x:c r="BJ718"/>
      <x:c r="BK718"/>
      <x:c r="BL718"/>
      <x:c r="BM718"/>
      <x:c r="BN718"/>
      <x:c r="BO718"/>
      <x:c r="BP718"/>
      <x:c r="BQ718"/>
      <x:c r="BR718"/>
      <x:c r="BS718"/>
      <x:c r="BT718"/>
      <x:c r="BU718"/>
      <x:c r="BV718"/>
      <x:c r="BW718"/>
      <x:c r="BX718"/>
      <x:c r="BY718"/>
      <x:c r="BZ718"/>
      <x:c r="CA718"/>
      <x:c r="CB718"/>
      <x:c r="CC718"/>
    </x:row>
    <x:row r="719" ht="115" customHeight="1">
      <x:c r="A719" s="4" t="str">
        <x:v>proposal.collection.shell_clapper_pair</x:v>
      </x:c>
      <x:c r="B719" s="4" t="str">
        <x:v>Shell-clapper pair</x:v>
      </x:c>
      <x:c r="C719" s="4" t="str">
        <x:v>Not applicable</x:v>
      </x:c>
      <x:c r="D719" s="4" t="inlineStr">
        <x:is>
          <x:t xml:space="preserve">Salvage</x:t>
        </x:is>
      </x:c>
      <x:c r="E719" s="4" t="str">
        <x:v>Musical instrument</x:v>
      </x:c>
      <x:c r="F719" s="4" t="str">
        <x:v>New proposal</x:v>
      </x:c>
      <x:c r="G719" s="4" t="inlineStr">
        <x:is>
          <x:t xml:space="preserve">Two shaped shell halves struck together. Its recorded physical form is intended to produce, control or support sound in a musical instrument; tuning and playable dimensions remain open.</x:t>
        </x:is>
      </x:c>
      <x:c r="H719" s="4" t="str">
        <x:v>None</x:v>
      </x:c>
      <x:c r="I719" s="4" t="str">
        <x:v>Physical inventory / cargo item; dimensions and packing unresolved</x:v>
      </x:c>
      <x:c r="J719" s="4"/>
      <x:c r="K719" s="4"/>
      <x:c r="L719" s="4" t="str">
        <x:v>Candidate preparation: design.collection.shell_clapper_pair. Full inputs are in Crafting browser.</x:v>
      </x:c>
      <x:c r="M719" s="4" t="str">
        <x:v>Candidate workshop or contained preparation route; detailed tools, quantities and conditions unresolved</x:v>
      </x:c>
      <x:c r="N719" s="4" t="str">
        <x:v>Not implemented</x:v>
      </x:c>
      <x:c r="O719" s="4" t="str">
        <x:v>Specific dimensions, yield, fit, performance and service conditions remain open.</x:v>
      </x:c>
      <x:c r="P719" s="4"/>
      <x:c r="Q719" s="4"/>
      <x:c r="R719" s="4"/>
      <x:c r="S719" s="4"/>
      <x:c r="T719" s="4"/>
      <x:c r="U719" s="4" t="str">
        <x:v>Candidate inputs are partial. Resolve tools, supporting materials, energy, recovery and compatibility before recipes become craftable.</x:v>
      </x:c>
      <x:c r="V719" s="4" t="str">
        <x:v>shell-clapper pair; collection expansion; musical instrument</x:v>
      </x:c>
      <x:c r="W719" s="4" t="str">
        <x:v>New item proposal, October 15, 2026. Setting reference (source proposal): https://github.com/sleepyseamonster/Arc-Dust/blob/f6f98515c005dc3c73cccd9cbc031691745740c6/02-Arc-Dust-Worldbuilding/world/materials/industrial-material-palette.md</x:v>
      </x:c>
      <x:c r="X719" s="4" t="str">
        <x:v>Musical instrument</x:v>
      </x:c>
      <x:c r="Y719" s="4" t="str">
        <x:v>Finished item</x:v>
      </x:c>
      <x:c r="Z719" s="4" t="str">
        <x:v>Manufactured / unresolved</x:v>
      </x:c>
      <x:c r="AA719" s="4" t="str">
        <x:v>Music</x:v>
      </x:c>
      <x:c r="AB719" s="4" t="str">
        <x:v>Shell / chitin</x:v>
      </x:c>
      <x:c r="AC719" s="4" t="str">
        <x:v>Assembly</x:v>
      </x:c>
      <x:c r="AD719" s="4" t="str">
        <x:v>Proposal</x:v>
      </x:c>
      <x:c r="AE719" s="4" t="str">
        <x:f>LOWER(A719&amp;"; "&amp;B719&amp;"; "&amp;D719&amp;"; "&amp;E719&amp;"; "&amp;X719&amp;"; "&amp;Y719&amp;"; "&amp;Z719&amp;"; "&amp;AA719&amp;"; "&amp;AB719&amp;"; "&amp;AC719&amp;"; "&amp;AD719&amp;"; "&amp;V719&amp;"; "&amp;C719&amp;"; "&amp;AH719&amp;"; "&amp;AI719)</x:f>
        <x:v>proposal.collection.shell_clapper_pair; shell-clapper pair; salvage; musical instrument; musical instrument; finished item; manufactured / unresolved; music; shell / chitin; assembly; proposal; shell-clapper pair; collection expansion; musical instrument; not applicable; t1; finished item</x:v>
      </x:c>
      <x:c r="AF71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9" s="4" t="str">
        <x:v>Finished endpoint or currency. Material tier is separate from finished input tier.</x:v>
      </x:c>
      <x:c r="AH719" s="4" t="str">
        <x:v>T1</x:v>
      </x:c>
      <x:c r="AI719" s="4" t="str">
        <x:v>Finished item</x:v>
      </x:c>
      <x:c r="AJ719" s="4" t="n">
        <x:f>COUNTIFS('Material routes'!$D$6:$D$2205,A719,'Material routes'!$C$6:$C$2205,"Output")</x:f>
        <x:v>1</x:v>
      </x:c>
      <x:c r="AK719" s="4" t="n">
        <x:f>SUM(COUNTIFS('Material routes'!$D$6:$D$2205,A719,'Material routes'!$C$6:$C$2205,"Ingredient candidate"),COUNTIFS('Material routes'!$D$6:$D$2205,A719,'Material routes'!$C$6:$C$2205,"Consumed input"),COUNTIFS('Material routes'!$D$6:$D$2205,A719,'Material routes'!$C$6:$C$2205,"Contained input"),COUNTIFS('Material routes'!$D$6:$D$2205,A719,'Material routes'!$C$6:$C$2205,"Transform input"))</x:f>
        <x:v>2</x:v>
      </x:c>
      <x:c r="AL719" s="4" t="n">
        <x:f>COUNTIFS('Material routes'!$D$6:$D$2205,A719,'Material routes'!$C$6:$C$2205,"Tool candidate")</x:f>
        <x:v>0</x:v>
      </x:c>
      <x:c r="AM719" s="4" t="str">
        <x:f>IF(AJ719&gt;0,"Route listed; review status/completeness",IF(C719="T0","Raw entry feed; no production route","No production route listed"))</x:f>
        <x:v>Route listed; review status/completeness</x:v>
      </x:c>
      <x:c r="AN719" s="4" t="n">
        <x:f>IF(C719="T0",0,IF(C719="T1",1,IF(C719="T2",2,IF(C719="T3",3,IF(C719="T4",4,IF(C719="Unassigned",98,99))))))</x:f>
        <x:v>99</x:v>
      </x:c>
      <x:c r="AZ719"/>
      <x:c r="BA719"/>
      <x:c r="BB719"/>
      <x:c r="BC719"/>
      <x:c r="BD719"/>
      <x:c r="BE719"/>
      <x:c r="BF719"/>
      <x:c r="BG719"/>
      <x:c r="BH719"/>
      <x:c r="BI719"/>
      <x:c r="BJ719"/>
      <x:c r="BK719"/>
      <x:c r="BL719"/>
      <x:c r="BM719"/>
      <x:c r="BN719"/>
      <x:c r="BO719"/>
      <x:c r="BP719"/>
      <x:c r="BQ719"/>
      <x:c r="BR719"/>
      <x:c r="BS719"/>
      <x:c r="BT719"/>
      <x:c r="BU719"/>
      <x:c r="BV719"/>
      <x:c r="BW719"/>
      <x:c r="BX719"/>
      <x:c r="BY719"/>
      <x:c r="BZ719"/>
      <x:c r="CA719"/>
      <x:c r="CB719"/>
      <x:c r="CC719"/>
    </x:row>
    <x:row r="720" ht="115" customHeight="1">
      <x:c r="A720" s="4" t="str">
        <x:v>proposal.collection.bronze_hand_bell</x:v>
      </x:c>
      <x:c r="B720" s="4" t="str">
        <x:v>Bronze hand bell</x:v>
      </x:c>
      <x:c r="C720" s="4" t="str">
        <x:v>Not applicable</x:v>
      </x:c>
      <x:c r="D720" s="4" t="inlineStr">
        <x:is>
          <x:t xml:space="preserve">Salvage</x:t>
        </x:is>
      </x:c>
      <x:c r="E720" s="4" t="str">
        <x:v>Musical instrument</x:v>
      </x:c>
      <x:c r="F720" s="4" t="str">
        <x:v>New proposal</x:v>
      </x:c>
      <x:c r="G720" s="4" t="inlineStr">
        <x:is>
          <x:t xml:space="preserve">Cast bell with a suspended striker. Its recorded physical form is intended to produce, control or support sound in a musical instrument; tuning and playable dimensions remain open.</x:t>
        </x:is>
      </x:c>
      <x:c r="H720" s="4" t="str">
        <x:v>None</x:v>
      </x:c>
      <x:c r="I720" s="4" t="str">
        <x:v>Physical inventory / cargo item; dimensions and packing unresolved</x:v>
      </x:c>
      <x:c r="J720" s="4"/>
      <x:c r="K720" s="4"/>
      <x:c r="L720" s="4" t="str">
        <x:v>Candidate preparation: design.collection.bronze_hand_bell. Full inputs are in Crafting browser.</x:v>
      </x:c>
      <x:c r="M720" s="4" t="str">
        <x:v>Candidate workshop or contained preparation route; detailed tools, quantities and conditions unresolved</x:v>
      </x:c>
      <x:c r="N720" s="4" t="str">
        <x:v>Not implemented</x:v>
      </x:c>
      <x:c r="O720" s="4" t="str">
        <x:v>Specific dimensions, yield, fit, performance and service conditions remain open.</x:v>
      </x:c>
      <x:c r="P720" s="4"/>
      <x:c r="Q720" s="4"/>
      <x:c r="R720" s="4"/>
      <x:c r="S720" s="4"/>
      <x:c r="T720" s="4"/>
      <x:c r="U720" s="4" t="str">
        <x:v>Candidate inputs are partial. Resolve tools, supporting materials, energy, recovery and compatibility before recipes become craftable.</x:v>
      </x:c>
      <x:c r="V720" s="4" t="str">
        <x:v>bronze hand bell; collection expansion; musical instrument</x:v>
      </x:c>
      <x:c r="W720" s="4" t="str">
        <x:v>New item proposal, October 15, 2026. Setting reference (source proposal): https://github.com/sleepyseamonster/Arc-Dust/blob/f6f98515c005dc3c73cccd9cbc031691745740c6/02-Arc-Dust-Worldbuilding/world/materials/industrial-material-palette.md</x:v>
      </x:c>
      <x:c r="X720" s="4" t="str">
        <x:v>Musical instrument</x:v>
      </x:c>
      <x:c r="Y720" s="4" t="str">
        <x:v>Finished item</x:v>
      </x:c>
      <x:c r="Z720" s="4" t="str">
        <x:v>Manufactured / unresolved</x:v>
      </x:c>
      <x:c r="AA720" s="4" t="str">
        <x:v>Music</x:v>
      </x:c>
      <x:c r="AB720" s="4" t="str">
        <x:v>Metal</x:v>
      </x:c>
      <x:c r="AC720" s="4" t="str">
        <x:v>Assembly</x:v>
      </x:c>
      <x:c r="AD720" s="4" t="str">
        <x:v>Proposal</x:v>
      </x:c>
      <x:c r="AE720" s="4" t="str">
        <x:f>LOWER(A720&amp;"; "&amp;B720&amp;"; "&amp;D720&amp;"; "&amp;E720&amp;"; "&amp;X720&amp;"; "&amp;Y720&amp;"; "&amp;Z720&amp;"; "&amp;AA720&amp;"; "&amp;AB720&amp;"; "&amp;AC720&amp;"; "&amp;AD720&amp;"; "&amp;V720&amp;"; "&amp;C720&amp;"; "&amp;AH720&amp;"; "&amp;AI720)</x:f>
        <x:v>proposal.collection.bronze_hand_bell; bronze hand bell; salvage; musical instrument; musical instrument; finished item; manufactured / unresolved; music; metal; assembly; proposal; bronze hand bell; collection expansion; musical instrument; not applicable; t2; finished item</x:v>
      </x:c>
      <x:c r="AF720"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0" s="4" t="str">
        <x:v>Finished endpoint or currency. Material tier is separate from finished input tier.</x:v>
      </x:c>
      <x:c r="AH720" s="4" t="str">
        <x:v>T2</x:v>
      </x:c>
      <x:c r="AI720" s="4" t="str">
        <x:v>Finished item</x:v>
      </x:c>
      <x:c r="AJ720" s="4" t="n">
        <x:f>COUNTIFS('Material routes'!$D$6:$D$2205,A720,'Material routes'!$C$6:$C$2205,"Output")</x:f>
        <x:v>1</x:v>
      </x:c>
      <x:c r="AK720" s="4" t="n">
        <x:f>SUM(COUNTIFS('Material routes'!$D$6:$D$2205,A720,'Material routes'!$C$6:$C$2205,"Ingredient candidate"),COUNTIFS('Material routes'!$D$6:$D$2205,A720,'Material routes'!$C$6:$C$2205,"Consumed input"),COUNTIFS('Material routes'!$D$6:$D$2205,A720,'Material routes'!$C$6:$C$2205,"Contained input"),COUNTIFS('Material routes'!$D$6:$D$2205,A720,'Material routes'!$C$6:$C$2205,"Transform input"))</x:f>
        <x:v>2</x:v>
      </x:c>
      <x:c r="AL720" s="4" t="n">
        <x:f>COUNTIFS('Material routes'!$D$6:$D$2205,A720,'Material routes'!$C$6:$C$2205,"Tool candidate")</x:f>
        <x:v>0</x:v>
      </x:c>
      <x:c r="AM720" s="4" t="str">
        <x:f>IF(AJ720&gt;0,"Route listed; review status/completeness",IF(C720="T0","Raw entry feed; no production route","No production route listed"))</x:f>
        <x:v>Route listed; review status/completeness</x:v>
      </x:c>
      <x:c r="AN720" s="4" t="n">
        <x:f>IF(C720="T0",0,IF(C720="T1",1,IF(C720="T2",2,IF(C720="T3",3,IF(C720="T4",4,IF(C720="Unassigned",98,99))))))</x:f>
        <x:v>99</x:v>
      </x:c>
      <x:c r="AZ720"/>
      <x:c r="BA720"/>
      <x:c r="BB720"/>
      <x:c r="BC720"/>
      <x:c r="BD720"/>
      <x:c r="BE720"/>
      <x:c r="BF720"/>
      <x:c r="BG720"/>
      <x:c r="BH720"/>
      <x:c r="BI720"/>
      <x:c r="BJ720"/>
      <x:c r="BK720"/>
      <x:c r="BL720"/>
      <x:c r="BM720"/>
      <x:c r="BN720"/>
      <x:c r="BO720"/>
      <x:c r="BP720"/>
      <x:c r="BQ720"/>
      <x:c r="BR720"/>
      <x:c r="BS720"/>
      <x:c r="BT720"/>
      <x:c r="BU720"/>
      <x:c r="BV720"/>
      <x:c r="BW720"/>
      <x:c r="BX720"/>
      <x:c r="BY720"/>
      <x:c r="BZ720"/>
      <x:c r="CA720"/>
      <x:c r="CB720"/>
      <x:c r="CC720"/>
    </x:row>
    <x:row r="721" ht="115" customHeight="1">
      <x:c r="A721" s="4" t="str">
        <x:v>proposal.collection.iron_cup_bell_chime</x:v>
      </x:c>
      <x:c r="B721" s="4" t="str">
        <x:v>Iron cup-bell chime</x:v>
      </x:c>
      <x:c r="C721" s="4" t="str">
        <x:v>Not applicable</x:v>
      </x:c>
      <x:c r="D721" s="4" t="inlineStr">
        <x:is>
          <x:t xml:space="preserve">Salvage</x:t>
        </x:is>
      </x:c>
      <x:c r="E721" s="4" t="str">
        <x:v>Musical instrument</x:v>
      </x:c>
      <x:c r="F721" s="4" t="str">
        <x:v>New proposal</x:v>
      </x:c>
      <x:c r="G721" s="4" t="inlineStr">
        <x:is>
          <x:t xml:space="preserve">Several tuned metal cups suspended from a frame. Its recorded physical form is intended to produce, control or support sound in a musical instrument; tuning and playable dimensions remain open.</x:t>
        </x:is>
      </x:c>
      <x:c r="H721" s="4" t="str">
        <x:v>None</x:v>
      </x:c>
      <x:c r="I721" s="4" t="str">
        <x:v>Physical inventory / cargo item; dimensions and packing unresolved</x:v>
      </x:c>
      <x:c r="J721" s="4"/>
      <x:c r="K721" s="4"/>
      <x:c r="L721" s="4" t="str">
        <x:v>Candidate preparation: design.collection.iron_cup_bell_chime. Full inputs are in Crafting browser.</x:v>
      </x:c>
      <x:c r="M721" s="4" t="str">
        <x:v>Candidate workshop or contained preparation route; detailed tools, quantities and conditions unresolved</x:v>
      </x:c>
      <x:c r="N721" s="4" t="str">
        <x:v>Not implemented</x:v>
      </x:c>
      <x:c r="O721" s="4" t="str">
        <x:v>Specific dimensions, yield, fit, performance and service conditions remain open.</x:v>
      </x:c>
      <x:c r="P721" s="4"/>
      <x:c r="Q721" s="4"/>
      <x:c r="R721" s="4"/>
      <x:c r="S721" s="4"/>
      <x:c r="T721" s="4"/>
      <x:c r="U721" s="4" t="str">
        <x:v>Candidate inputs are partial. Resolve tools, supporting materials, energy, recovery and compatibility before recipes become craftable.</x:v>
      </x:c>
      <x:c r="V721" s="4" t="str">
        <x:v>iron cup-bell chime; collection expansion; musical instrument</x:v>
      </x:c>
      <x:c r="W721" s="4" t="str">
        <x:v>New item proposal, October 15, 2026. Setting reference (source proposal): https://github.com/sleepyseamonster/Arc-Dust/blob/f6f98515c005dc3c73cccd9cbc031691745740c6/02-Arc-Dust-Worldbuilding/world/materials/industrial-material-palette.md</x:v>
      </x:c>
      <x:c r="X721" s="4" t="str">
        <x:v>Musical instrument</x:v>
      </x:c>
      <x:c r="Y721" s="4" t="str">
        <x:v>Finished item</x:v>
      </x:c>
      <x:c r="Z721" s="4" t="str">
        <x:v>Manufactured / unresolved</x:v>
      </x:c>
      <x:c r="AA721" s="4" t="str">
        <x:v>Music</x:v>
      </x:c>
      <x:c r="AB721" s="4" t="str">
        <x:v>Metal</x:v>
      </x:c>
      <x:c r="AC721" s="4" t="str">
        <x:v>Assembly</x:v>
      </x:c>
      <x:c r="AD721" s="4" t="str">
        <x:v>Proposal</x:v>
      </x:c>
      <x:c r="AE721" s="4" t="str">
        <x:f>LOWER(A721&amp;"; "&amp;B721&amp;"; "&amp;D721&amp;"; "&amp;E721&amp;"; "&amp;X721&amp;"; "&amp;Y721&amp;"; "&amp;Z721&amp;"; "&amp;AA721&amp;"; "&amp;AB721&amp;"; "&amp;AC721&amp;"; "&amp;AD721&amp;"; "&amp;V721&amp;"; "&amp;C721&amp;"; "&amp;AH721&amp;"; "&amp;AI721)</x:f>
        <x:v>proposal.collection.iron_cup_bell_chime; iron cup-bell chime; salvage; musical instrument; musical instrument; finished item; manufactured / unresolved; music; metal; assembly; proposal; iron cup-bell chime; collection expansion; musical instrument; not applicable; t3; finished item</x:v>
      </x:c>
      <x:c r="AF721"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1" s="4" t="str">
        <x:v>Finished endpoint or currency. Material tier is separate from finished input tier.</x:v>
      </x:c>
      <x:c r="AH721" s="4" t="str">
        <x:v>T3</x:v>
      </x:c>
      <x:c r="AI721" s="4" t="str">
        <x:v>Finished item</x:v>
      </x:c>
      <x:c r="AJ721" s="4" t="n">
        <x:f>COUNTIFS('Material routes'!$D$6:$D$2205,A721,'Material routes'!$C$6:$C$2205,"Output")</x:f>
        <x:v>1</x:v>
      </x:c>
      <x:c r="AK721" s="4" t="n">
        <x:f>SUM(COUNTIFS('Material routes'!$D$6:$D$2205,A721,'Material routes'!$C$6:$C$2205,"Ingredient candidate"),COUNTIFS('Material routes'!$D$6:$D$2205,A721,'Material routes'!$C$6:$C$2205,"Consumed input"),COUNTIFS('Material routes'!$D$6:$D$2205,A721,'Material routes'!$C$6:$C$2205,"Contained input"),COUNTIFS('Material routes'!$D$6:$D$2205,A721,'Material routes'!$C$6:$C$2205,"Transform input"))</x:f>
        <x:v>0</x:v>
      </x:c>
      <x:c r="AL721" s="4" t="n">
        <x:f>COUNTIFS('Material routes'!$D$6:$D$2205,A721,'Material routes'!$C$6:$C$2205,"Tool candidate")</x:f>
        <x:v>0</x:v>
      </x:c>
      <x:c r="AM721" s="4" t="str">
        <x:f>IF(AJ721&gt;0,"Route listed; review status/completeness",IF(C721="T0","Raw entry feed; no production route","No production route listed"))</x:f>
        <x:v>Route listed; review status/completeness</x:v>
      </x:c>
      <x:c r="AN721" s="4" t="n">
        <x:f>IF(C721="T0",0,IF(C721="T1",1,IF(C721="T2",2,IF(C721="T3",3,IF(C721="T4",4,IF(C721="Unassigned",98,99))))))</x:f>
        <x:v>99</x:v>
      </x:c>
      <x:c r="AZ721"/>
      <x:c r="BA721"/>
      <x:c r="BB721"/>
      <x:c r="BC721"/>
      <x:c r="BD721"/>
      <x:c r="BE721"/>
      <x:c r="BF721"/>
      <x:c r="BG721"/>
      <x:c r="BH721"/>
      <x:c r="BI721"/>
      <x:c r="BJ721"/>
      <x:c r="BK721"/>
      <x:c r="BL721"/>
      <x:c r="BM721"/>
      <x:c r="BN721"/>
      <x:c r="BO721"/>
      <x:c r="BP721"/>
      <x:c r="BQ721"/>
      <x:c r="BR721"/>
      <x:c r="BS721"/>
      <x:c r="BT721"/>
      <x:c r="BU721"/>
      <x:c r="BV721"/>
      <x:c r="BW721"/>
      <x:c r="BX721"/>
      <x:c r="BY721"/>
      <x:c r="BZ721"/>
      <x:c r="CA721"/>
      <x:c r="CB721"/>
      <x:c r="CC721"/>
    </x:row>
    <x:row r="722" ht="115" customHeight="1">
      <x:c r="A722" s="4" t="str">
        <x:v>proposal.collection.stone_bar_resonator</x:v>
      </x:c>
      <x:c r="B722" s="4" t="str">
        <x:v>Stone-bar resonator</x:v>
      </x:c>
      <x:c r="C722" s="4" t="str">
        <x:v>Not applicable</x:v>
      </x:c>
      <x:c r="D722" s="4" t="inlineStr">
        <x:is>
          <x:t xml:space="preserve">Salvage</x:t>
        </x:is>
      </x:c>
      <x:c r="E722" s="4" t="str">
        <x:v>Musical instrument</x:v>
      </x:c>
      <x:c r="F722" s="4" t="str">
        <x:v>New proposal</x:v>
      </x:c>
      <x:c r="G722" s="4" t="inlineStr">
        <x:is>
          <x:t xml:space="preserve">Tuned stone bars mounted over a shell resonance cavity. Its recorded physical form is intended to produce, control or support sound in a musical instrument; tuning and playable dimensions remain open.</x:t>
        </x:is>
      </x:c>
      <x:c r="H722" s="4" t="str">
        <x:v>None</x:v>
      </x:c>
      <x:c r="I722" s="4" t="str">
        <x:v>Physical inventory / cargo item; dimensions and packing unresolved</x:v>
      </x:c>
      <x:c r="J722" s="4"/>
      <x:c r="K722" s="4"/>
      <x:c r="L722" s="4" t="str">
        <x:v>Candidate preparation: design.collection.stone_bar_resonator. Full inputs are in Crafting browser.</x:v>
      </x:c>
      <x:c r="M722" s="4" t="str">
        <x:v>Candidate workshop or contained preparation route; detailed tools, quantities and conditions unresolved</x:v>
      </x:c>
      <x:c r="N722" s="4" t="str">
        <x:v>Not implemented</x:v>
      </x:c>
      <x:c r="O722" s="4" t="str">
        <x:v>Specific dimensions, yield, fit, performance and service conditions remain open.</x:v>
      </x:c>
      <x:c r="P722" s="4"/>
      <x:c r="Q722" s="4"/>
      <x:c r="R722" s="4"/>
      <x:c r="S722" s="4"/>
      <x:c r="T722" s="4"/>
      <x:c r="U722" s="4" t="str">
        <x:v>Candidate inputs are partial. Resolve tools, supporting materials, energy, recovery and compatibility before recipes become craftable.</x:v>
      </x:c>
      <x:c r="V722" s="4" t="str">
        <x:v>stone-bar resonator; collection expansion; musical instrument</x:v>
      </x:c>
      <x:c r="W722" s="4" t="str">
        <x:v>New item proposal, October 15, 2026. Setting reference (source proposal): https://github.com/sleepyseamonster/Arc-Dust/blob/f6f98515c005dc3c73cccd9cbc031691745740c6/02-Arc-Dust-Worldbuilding/world/materials/industrial-material-palette.md</x:v>
      </x:c>
      <x:c r="X722" s="4" t="str">
        <x:v>Musical instrument</x:v>
      </x:c>
      <x:c r="Y722" s="4" t="str">
        <x:v>Finished item</x:v>
      </x:c>
      <x:c r="Z722" s="4" t="str">
        <x:v>Manufactured / unresolved</x:v>
      </x:c>
      <x:c r="AA722" s="4" t="str">
        <x:v>Music</x:v>
      </x:c>
      <x:c r="AB722" s="4" t="str">
        <x:v>Shell and mineral</x:v>
      </x:c>
      <x:c r="AC722" s="4" t="str">
        <x:v>Assembly</x:v>
      </x:c>
      <x:c r="AD722" s="4" t="str">
        <x:v>Proposal</x:v>
      </x:c>
      <x:c r="AE722" s="4" t="str">
        <x:f>LOWER(A722&amp;"; "&amp;B722&amp;"; "&amp;D722&amp;"; "&amp;E722&amp;"; "&amp;X722&amp;"; "&amp;Y722&amp;"; "&amp;Z722&amp;"; "&amp;AA722&amp;"; "&amp;AB722&amp;"; "&amp;AC722&amp;"; "&amp;AD722&amp;"; "&amp;V722&amp;"; "&amp;C722&amp;"; "&amp;AH722&amp;"; "&amp;AI722)</x:f>
        <x:v>proposal.collection.stone_bar_resonator; stone-bar resonator; salvage; musical instrument; musical instrument; finished item; manufactured / unresolved; music; shell and mineral; assembly; proposal; stone-bar resonator; collection expansion; musical instrument; not applicable; t2; finished item</x:v>
      </x:c>
      <x:c r="AF722"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2" s="4" t="str">
        <x:v>Finished endpoint or currency. Material tier is separate from finished input tier.</x:v>
      </x:c>
      <x:c r="AH722" s="4" t="str">
        <x:v>T2</x:v>
      </x:c>
      <x:c r="AI722" s="4" t="str">
        <x:v>Finished item</x:v>
      </x:c>
      <x:c r="AJ722" s="4" t="n">
        <x:f>COUNTIFS('Material routes'!$D$6:$D$2205,A722,'Material routes'!$C$6:$C$2205,"Output")</x:f>
        <x:v>1</x:v>
      </x:c>
      <x:c r="AK722" s="4" t="n">
        <x:f>SUM(COUNTIFS('Material routes'!$D$6:$D$2205,A722,'Material routes'!$C$6:$C$2205,"Ingredient candidate"),COUNTIFS('Material routes'!$D$6:$D$2205,A722,'Material routes'!$C$6:$C$2205,"Consumed input"),COUNTIFS('Material routes'!$D$6:$D$2205,A722,'Material routes'!$C$6:$C$2205,"Contained input"),COUNTIFS('Material routes'!$D$6:$D$2205,A722,'Material routes'!$C$6:$C$2205,"Transform input"))</x:f>
        <x:v>0</x:v>
      </x:c>
      <x:c r="AL722" s="4" t="n">
        <x:f>COUNTIFS('Material routes'!$D$6:$D$2205,A722,'Material routes'!$C$6:$C$2205,"Tool candidate")</x:f>
        <x:v>0</x:v>
      </x:c>
      <x:c r="AM722" s="4" t="str">
        <x:f>IF(AJ722&gt;0,"Route listed; review status/completeness",IF(C722="T0","Raw entry feed; no production route","No production route listed"))</x:f>
        <x:v>Route listed; review status/completeness</x:v>
      </x:c>
      <x:c r="AN722" s="4" t="n">
        <x:f>IF(C722="T0",0,IF(C722="T1",1,IF(C722="T2",2,IF(C722="T3",3,IF(C722="T4",4,IF(C722="Unassigned",98,99))))))</x:f>
        <x:v>99</x:v>
      </x:c>
      <x:c r="AZ722"/>
      <x:c r="BA722"/>
      <x:c r="BB722"/>
      <x:c r="BC722"/>
      <x:c r="BD722"/>
      <x:c r="BE722"/>
      <x:c r="BF722"/>
      <x:c r="BG722"/>
      <x:c r="BH722"/>
      <x:c r="BI722"/>
      <x:c r="BJ722"/>
      <x:c r="BK722"/>
      <x:c r="BL722"/>
      <x:c r="BM722"/>
      <x:c r="BN722"/>
      <x:c r="BO722"/>
      <x:c r="BP722"/>
      <x:c r="BQ722"/>
      <x:c r="BR722"/>
      <x:c r="BS722"/>
      <x:c r="BT722"/>
      <x:c r="BU722"/>
      <x:c r="BV722"/>
      <x:c r="BW722"/>
      <x:c r="BX722"/>
      <x:c r="BY722"/>
      <x:c r="BZ722"/>
      <x:c r="CA722"/>
      <x:c r="CB722"/>
      <x:c r="CC722"/>
    </x:row>
    <x:row r="723" ht="115" customHeight="1">
      <x:c r="A723" s="4" t="str">
        <x:v>proposal.collection.steel_tongue_drum</x:v>
      </x:c>
      <x:c r="B723" s="4" t="str">
        <x:v>Steel tongue drum</x:v>
      </x:c>
      <x:c r="C723" s="4" t="str">
        <x:v>Not applicable</x:v>
      </x:c>
      <x:c r="D723" s="4" t="inlineStr">
        <x:is>
          <x:t xml:space="preserve">Salvage</x:t>
        </x:is>
      </x:c>
      <x:c r="E723" s="4" t="str">
        <x:v>Musical instrument</x:v>
      </x:c>
      <x:c r="F723" s="4" t="str">
        <x:v>New proposal</x:v>
      </x:c>
      <x:c r="G723" s="4" t="inlineStr">
        <x:is>
          <x:t xml:space="preserve">Cut metal tongues on a hollow metal body. Its recorded physical form is intended to produce, control or support sound in a musical instrument; tuning and playable dimensions remain open.</x:t>
        </x:is>
      </x:c>
      <x:c r="H723" s="4" t="str">
        <x:v>None</x:v>
      </x:c>
      <x:c r="I723" s="4" t="str">
        <x:v>Physical inventory / cargo item; dimensions and packing unresolved</x:v>
      </x:c>
      <x:c r="J723" s="4"/>
      <x:c r="K723" s="4"/>
      <x:c r="L723" s="4" t="str">
        <x:v>Candidate preparation: design.collection.steel_tongue_drum. Full inputs are in Crafting browser.</x:v>
      </x:c>
      <x:c r="M723" s="4" t="str">
        <x:v>Candidate workshop or contained preparation route; detailed tools, quantities and conditions unresolved</x:v>
      </x:c>
      <x:c r="N723" s="4" t="str">
        <x:v>Not implemented</x:v>
      </x:c>
      <x:c r="O723" s="4" t="str">
        <x:v>Specific dimensions, yield, fit, performance and service conditions remain open.</x:v>
      </x:c>
      <x:c r="P723" s="4"/>
      <x:c r="Q723" s="4"/>
      <x:c r="R723" s="4"/>
      <x:c r="S723" s="4"/>
      <x:c r="T723" s="4"/>
      <x:c r="U723" s="4" t="str">
        <x:v>Candidate inputs are partial. Resolve tools, supporting materials, energy, recovery and compatibility before recipes become craftable.</x:v>
      </x:c>
      <x:c r="V723" s="4" t="str">
        <x:v>steel tongue drum; collection expansion; musical instrument</x:v>
      </x:c>
      <x:c r="W723" s="4" t="str">
        <x:v>New item proposal, October 15, 2026. Setting reference (source proposal): https://github.com/sleepyseamonster/Arc-Dust/blob/f6f98515c005dc3c73cccd9cbc031691745740c6/02-Arc-Dust-Worldbuilding/world/materials/industrial-material-palette.md</x:v>
      </x:c>
      <x:c r="X723" s="4" t="str">
        <x:v>Musical instrument</x:v>
      </x:c>
      <x:c r="Y723" s="4" t="str">
        <x:v>Finished item</x:v>
      </x:c>
      <x:c r="Z723" s="4" t="str">
        <x:v>Manufactured / unresolved</x:v>
      </x:c>
      <x:c r="AA723" s="4" t="str">
        <x:v>Music</x:v>
      </x:c>
      <x:c r="AB723" s="4" t="str">
        <x:v>Metal</x:v>
      </x:c>
      <x:c r="AC723" s="4" t="str">
        <x:v>Assembly</x:v>
      </x:c>
      <x:c r="AD723" s="4" t="str">
        <x:v>Proposal</x:v>
      </x:c>
      <x:c r="AE723" s="4" t="str">
        <x:f>LOWER(A723&amp;"; "&amp;B723&amp;"; "&amp;D723&amp;"; "&amp;E723&amp;"; "&amp;X723&amp;"; "&amp;Y723&amp;"; "&amp;Z723&amp;"; "&amp;AA723&amp;"; "&amp;AB723&amp;"; "&amp;AC723&amp;"; "&amp;AD723&amp;"; "&amp;V723&amp;"; "&amp;C723&amp;"; "&amp;AH723&amp;"; "&amp;AI723)</x:f>
        <x:v>proposal.collection.steel_tongue_drum; steel tongue drum; salvage; musical instrument; musical instrument; finished item; manufactured / unresolved; music; metal; assembly; proposal; steel tongue drum; collection expansion; musical instrument; not applicable; t3; finished item</x:v>
      </x:c>
      <x:c r="AF72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3" s="4" t="str">
        <x:v>Finished endpoint or currency. Material tier is separate from finished input tier.</x:v>
      </x:c>
      <x:c r="AH723" s="4" t="str">
        <x:v>T3</x:v>
      </x:c>
      <x:c r="AI723" s="4" t="str">
        <x:v>Finished item</x:v>
      </x:c>
      <x:c r="AJ723" s="4" t="n">
        <x:f>COUNTIFS('Material routes'!$D$6:$D$2205,A723,'Material routes'!$C$6:$C$2205,"Output")</x:f>
        <x:v>1</x:v>
      </x:c>
      <x:c r="AK723" s="4" t="n">
        <x:f>SUM(COUNTIFS('Material routes'!$D$6:$D$2205,A723,'Material routes'!$C$6:$C$2205,"Ingredient candidate"),COUNTIFS('Material routes'!$D$6:$D$2205,A723,'Material routes'!$C$6:$C$2205,"Consumed input"),COUNTIFS('Material routes'!$D$6:$D$2205,A723,'Material routes'!$C$6:$C$2205,"Contained input"),COUNTIFS('Material routes'!$D$6:$D$2205,A723,'Material routes'!$C$6:$C$2205,"Transform input"))</x:f>
        <x:v>0</x:v>
      </x:c>
      <x:c r="AL723" s="4" t="n">
        <x:f>COUNTIFS('Material routes'!$D$6:$D$2205,A723,'Material routes'!$C$6:$C$2205,"Tool candidate")</x:f>
        <x:v>0</x:v>
      </x:c>
      <x:c r="AM723" s="4" t="str">
        <x:f>IF(AJ723&gt;0,"Route listed; review status/completeness",IF(C723="T0","Raw entry feed; no production route","No production route listed"))</x:f>
        <x:v>Route listed; review status/completeness</x:v>
      </x:c>
      <x:c r="AN723" s="4" t="n">
        <x:f>IF(C723="T0",0,IF(C723="T1",1,IF(C723="T2",2,IF(C723="T3",3,IF(C723="T4",4,IF(C723="Unassigned",98,99))))))</x:f>
        <x:v>99</x:v>
      </x:c>
      <x:c r="AZ723"/>
      <x:c r="BA723"/>
      <x:c r="BB723"/>
      <x:c r="BC723"/>
      <x:c r="BD723"/>
      <x:c r="BE723"/>
      <x:c r="BF723"/>
      <x:c r="BG723"/>
      <x:c r="BH723"/>
      <x:c r="BI723"/>
      <x:c r="BJ723"/>
      <x:c r="BK723"/>
      <x:c r="BL723"/>
      <x:c r="BM723"/>
      <x:c r="BN723"/>
      <x:c r="BO723"/>
      <x:c r="BP723"/>
      <x:c r="BQ723"/>
      <x:c r="BR723"/>
      <x:c r="BS723"/>
      <x:c r="BT723"/>
      <x:c r="BU723"/>
      <x:c r="BV723"/>
      <x:c r="BW723"/>
      <x:c r="BX723"/>
      <x:c r="BY723"/>
      <x:c r="BZ723"/>
      <x:c r="CA723"/>
      <x:c r="CB723"/>
      <x:c r="CC723"/>
    </x:row>
    <x:row r="724" ht="115" customHeight="1">
      <x:c r="A724" s="4" t="str">
        <x:v>proposal.collection.metal_transverse_flute</x:v>
      </x:c>
      <x:c r="B724" s="4" t="str">
        <x:v>Metal transverse flute</x:v>
      </x:c>
      <x:c r="C724" s="4" t="str">
        <x:v>Not applicable</x:v>
      </x:c>
      <x:c r="D724" s="4" t="inlineStr">
        <x:is>
          <x:t xml:space="preserve">Salvage</x:t>
        </x:is>
      </x:c>
      <x:c r="E724" s="4" t="str">
        <x:v>Musical instrument</x:v>
      </x:c>
      <x:c r="F724" s="4" t="str">
        <x:v>New proposal</x:v>
      </x:c>
      <x:c r="G724" s="4" t="inlineStr">
        <x:is>
          <x:t xml:space="preserve">Side-blown metal tube instrument. Its recorded physical form is intended to produce, control or support sound in a musical instrument; tuning and playable dimensions remain open.</x:t>
        </x:is>
      </x:c>
      <x:c r="H724" s="4" t="str">
        <x:v>None</x:v>
      </x:c>
      <x:c r="I724" s="4" t="str">
        <x:v>Physical inventory / cargo item; dimensions and packing unresolved</x:v>
      </x:c>
      <x:c r="J724" s="4"/>
      <x:c r="K724" s="4"/>
      <x:c r="L724" s="4" t="str">
        <x:v>Candidate preparation: design.collection.metal_transverse_flute. Full inputs are in Crafting browser.</x:v>
      </x:c>
      <x:c r="M724" s="4" t="str">
        <x:v>Candidate workshop or contained preparation route; detailed tools, quantities and conditions unresolved</x:v>
      </x:c>
      <x:c r="N724" s="4" t="str">
        <x:v>Not implemented</x:v>
      </x:c>
      <x:c r="O724" s="4" t="str">
        <x:v>Specific dimensions, yield, fit, performance and service conditions remain open.</x:v>
      </x:c>
      <x:c r="P724" s="4"/>
      <x:c r="Q724" s="4"/>
      <x:c r="R724" s="4"/>
      <x:c r="S724" s="4"/>
      <x:c r="T724" s="4"/>
      <x:c r="U724" s="4" t="str">
        <x:v>Candidate inputs are partial. Resolve tools, supporting materials, energy, recovery and compatibility before recipes become craftable.</x:v>
      </x:c>
      <x:c r="V724" s="4" t="str">
        <x:v>metal transverse flute; collection expansion; musical instrument</x:v>
      </x:c>
      <x:c r="W724" s="4" t="str">
        <x:v>New item proposal, October 15, 2026. Setting reference (source proposal): https://github.com/sleepyseamonster/Arc-Dust/blob/f6f98515c005dc3c73cccd9cbc031691745740c6/02-Arc-Dust-Worldbuilding/world/materials/industrial-material-palette.md</x:v>
      </x:c>
      <x:c r="X724" s="4" t="str">
        <x:v>Musical instrument</x:v>
      </x:c>
      <x:c r="Y724" s="4" t="str">
        <x:v>Finished item</x:v>
      </x:c>
      <x:c r="Z724" s="4" t="str">
        <x:v>Manufactured / unresolved</x:v>
      </x:c>
      <x:c r="AA724" s="4" t="str">
        <x:v>Music</x:v>
      </x:c>
      <x:c r="AB724" s="4" t="str">
        <x:v>Metal</x:v>
      </x:c>
      <x:c r="AC724" s="4" t="str">
        <x:v>Assembly</x:v>
      </x:c>
      <x:c r="AD724" s="4" t="str">
        <x:v>Proposal</x:v>
      </x:c>
      <x:c r="AE724" s="4" t="str">
        <x:f>LOWER(A724&amp;"; "&amp;B724&amp;"; "&amp;D724&amp;"; "&amp;E724&amp;"; "&amp;X724&amp;"; "&amp;Y724&amp;"; "&amp;Z724&amp;"; "&amp;AA724&amp;"; "&amp;AB724&amp;"; "&amp;AC724&amp;"; "&amp;AD724&amp;"; "&amp;V724&amp;"; "&amp;C724&amp;"; "&amp;AH724&amp;"; "&amp;AI724)</x:f>
        <x:v>proposal.collection.metal_transverse_flute; metal transverse flute; salvage; musical instrument; musical instrument; finished item; manufactured / unresolved; music; metal; assembly; proposal; metal transverse flute; collection expansion; musical instrument; not applicable; t3; finished item</x:v>
      </x:c>
      <x:c r="AF724"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4" s="4" t="str">
        <x:v>Finished endpoint or currency. Material tier is separate from finished input tier.</x:v>
      </x:c>
      <x:c r="AH724" s="4" t="str">
        <x:v>T3</x:v>
      </x:c>
      <x:c r="AI724" s="4" t="str">
        <x:v>Finished item</x:v>
      </x:c>
      <x:c r="AJ724" s="4" t="n">
        <x:f>COUNTIFS('Material routes'!$D$6:$D$2205,A724,'Material routes'!$C$6:$C$2205,"Output")</x:f>
        <x:v>1</x:v>
      </x:c>
      <x:c r="AK724" s="4" t="n">
        <x:f>SUM(COUNTIFS('Material routes'!$D$6:$D$2205,A724,'Material routes'!$C$6:$C$2205,"Ingredient candidate"),COUNTIFS('Material routes'!$D$6:$D$2205,A724,'Material routes'!$C$6:$C$2205,"Consumed input"),COUNTIFS('Material routes'!$D$6:$D$2205,A724,'Material routes'!$C$6:$C$2205,"Contained input"),COUNTIFS('Material routes'!$D$6:$D$2205,A724,'Material routes'!$C$6:$C$2205,"Transform input"))</x:f>
        <x:v>0</x:v>
      </x:c>
      <x:c r="AL724" s="4" t="n">
        <x:f>COUNTIFS('Material routes'!$D$6:$D$2205,A724,'Material routes'!$C$6:$C$2205,"Tool candidate")</x:f>
        <x:v>0</x:v>
      </x:c>
      <x:c r="AM724" s="4" t="str">
        <x:f>IF(AJ724&gt;0,"Route listed; review status/completeness",IF(C724="T0","Raw entry feed; no production route","No production route listed"))</x:f>
        <x:v>Route listed; review status/completeness</x:v>
      </x:c>
      <x:c r="AN724" s="4" t="n">
        <x:f>IF(C724="T0",0,IF(C724="T1",1,IF(C724="T2",2,IF(C724="T3",3,IF(C724="T4",4,IF(C724="Unassigned",98,99))))))</x:f>
        <x:v>99</x:v>
      </x:c>
      <x:c r="AZ724"/>
      <x:c r="BA724"/>
      <x:c r="BB724"/>
      <x:c r="BC724"/>
      <x:c r="BD724"/>
      <x:c r="BE724"/>
      <x:c r="BF724"/>
      <x:c r="BG724"/>
      <x:c r="BH724"/>
      <x:c r="BI724"/>
      <x:c r="BJ724"/>
      <x:c r="BK724"/>
      <x:c r="BL724"/>
      <x:c r="BM724"/>
      <x:c r="BN724"/>
      <x:c r="BO724"/>
      <x:c r="BP724"/>
      <x:c r="BQ724"/>
      <x:c r="BR724"/>
      <x:c r="BS724"/>
      <x:c r="BT724"/>
      <x:c r="BU724"/>
      <x:c r="BV724"/>
      <x:c r="BW724"/>
      <x:c r="BX724"/>
      <x:c r="BY724"/>
      <x:c r="BZ724"/>
      <x:c r="CA724"/>
      <x:c r="CB724"/>
      <x:c r="CC724"/>
    </x:row>
    <x:row r="725" ht="115" customHeight="1">
      <x:c r="A725" s="4" t="str">
        <x:v>proposal.collection.ceramic_duct_flute</x:v>
      </x:c>
      <x:c r="B725" s="4" t="str">
        <x:v>Ceramic duct flute</x:v>
      </x:c>
      <x:c r="C725" s="4" t="str">
        <x:v>Not applicable</x:v>
      </x:c>
      <x:c r="D725" s="4" t="inlineStr">
        <x:is>
          <x:t xml:space="preserve">Salvage</x:t>
        </x:is>
      </x:c>
      <x:c r="E725" s="4" t="str">
        <x:v>Musical instrument</x:v>
      </x:c>
      <x:c r="F725" s="4" t="str">
        <x:v>New proposal</x:v>
      </x:c>
      <x:c r="G725" s="4" t="inlineStr">
        <x:is>
          <x:t xml:space="preserve">Molded air channel and finger-hole instrument. Its recorded physical form is intended to produce, control or support sound in a musical instrument; tuning and playable dimensions remain open.</x:t>
        </x:is>
      </x:c>
      <x:c r="H725" s="4" t="str">
        <x:v>None</x:v>
      </x:c>
      <x:c r="I725" s="4" t="str">
        <x:v>Physical inventory / cargo item; dimensions and packing unresolved</x:v>
      </x:c>
      <x:c r="J725" s="4"/>
      <x:c r="K725" s="4"/>
      <x:c r="L725" s="4" t="str">
        <x:v>Candidate preparation: design.collection.ceramic_duct_flute. Full inputs are in Crafting browser.</x:v>
      </x:c>
      <x:c r="M725" s="4" t="str">
        <x:v>Candidate workshop or contained preparation route; detailed tools, quantities and conditions unresolved</x:v>
      </x:c>
      <x:c r="N725" s="4" t="str">
        <x:v>Not implemented</x:v>
      </x:c>
      <x:c r="O725" s="4" t="str">
        <x:v>Specific dimensions, yield, fit, performance and service conditions remain open.</x:v>
      </x:c>
      <x:c r="P725" s="4"/>
      <x:c r="Q725" s="4"/>
      <x:c r="R725" s="4"/>
      <x:c r="S725" s="4"/>
      <x:c r="T725" s="4"/>
      <x:c r="U725" s="4" t="str">
        <x:v>Candidate inputs are partial. Resolve tools, supporting materials, energy, recovery and compatibility before recipes become craftable.</x:v>
      </x:c>
      <x:c r="V725" s="4" t="str">
        <x:v>ceramic duct flute; collection expansion; musical instrument</x:v>
      </x:c>
      <x:c r="W725" s="4" t="str">
        <x:v>New item proposal, October 15, 2026. Setting reference (source proposal): https://github.com/sleepyseamonster/Arc-Dust/blob/f6f98515c005dc3c73cccd9cbc031691745740c6/02-Arc-Dust-Worldbuilding/world/materials/industrial-material-palette.md</x:v>
      </x:c>
      <x:c r="X725" s="4" t="str">
        <x:v>Musical instrument</x:v>
      </x:c>
      <x:c r="Y725" s="4" t="str">
        <x:v>Finished item</x:v>
      </x:c>
      <x:c r="Z725" s="4" t="str">
        <x:v>Manufactured / unresolved</x:v>
      </x:c>
      <x:c r="AA725" s="4" t="str">
        <x:v>Music</x:v>
      </x:c>
      <x:c r="AB725" s="4" t="str">
        <x:v>Ceramic</x:v>
      </x:c>
      <x:c r="AC725" s="4" t="str">
        <x:v>Assembly</x:v>
      </x:c>
      <x:c r="AD725" s="4" t="str">
        <x:v>Proposal</x:v>
      </x:c>
      <x:c r="AE725" s="4" t="str">
        <x:f>LOWER(A725&amp;"; "&amp;B725&amp;"; "&amp;D725&amp;"; "&amp;E725&amp;"; "&amp;X725&amp;"; "&amp;Y725&amp;"; "&amp;Z725&amp;"; "&amp;AA725&amp;"; "&amp;AB725&amp;"; "&amp;AC725&amp;"; "&amp;AD725&amp;"; "&amp;V725&amp;"; "&amp;C725&amp;"; "&amp;AH725&amp;"; "&amp;AI725)</x:f>
        <x:v>proposal.collection.ceramic_duct_flute; ceramic duct flute; salvage; musical instrument; musical instrument; finished item; manufactured / unresolved; music; ceramic; assembly; proposal; ceramic duct flute; collection expansion; musical instrument; not applicable; t1; finished item</x:v>
      </x:c>
      <x:c r="AF725"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5" s="4" t="str">
        <x:v>Finished endpoint or currency. Material tier is separate from finished input tier.</x:v>
      </x:c>
      <x:c r="AH725" s="4" t="str">
        <x:v>T1</x:v>
      </x:c>
      <x:c r="AI725" s="4" t="str">
        <x:v>Finished item</x:v>
      </x:c>
      <x:c r="AJ725" s="4" t="n">
        <x:f>COUNTIFS('Material routes'!$D$6:$D$2205,A725,'Material routes'!$C$6:$C$2205,"Output")</x:f>
        <x:v>1</x:v>
      </x:c>
      <x:c r="AK725" s="4" t="n">
        <x:f>SUM(COUNTIFS('Material routes'!$D$6:$D$2205,A725,'Material routes'!$C$6:$C$2205,"Ingredient candidate"),COUNTIFS('Material routes'!$D$6:$D$2205,A725,'Material routes'!$C$6:$C$2205,"Consumed input"),COUNTIFS('Material routes'!$D$6:$D$2205,A725,'Material routes'!$C$6:$C$2205,"Contained input"),COUNTIFS('Material routes'!$D$6:$D$2205,A725,'Material routes'!$C$6:$C$2205,"Transform input"))</x:f>
        <x:v>0</x:v>
      </x:c>
      <x:c r="AL725" s="4" t="n">
        <x:f>COUNTIFS('Material routes'!$D$6:$D$2205,A725,'Material routes'!$C$6:$C$2205,"Tool candidate")</x:f>
        <x:v>0</x:v>
      </x:c>
      <x:c r="AM725" s="4" t="str">
        <x:f>IF(AJ725&gt;0,"Route listed; review status/completeness",IF(C725="T0","Raw entry feed; no production route","No production route listed"))</x:f>
        <x:v>Route listed; review status/completeness</x:v>
      </x:c>
      <x:c r="AN725" s="4" t="n">
        <x:f>IF(C725="T0",0,IF(C725="T1",1,IF(C725="T2",2,IF(C725="T3",3,IF(C725="T4",4,IF(C725="Unassigned",98,99))))))</x:f>
        <x:v>99</x:v>
      </x:c>
      <x:c r="AZ725"/>
      <x:c r="BA725"/>
      <x:c r="BB725"/>
      <x:c r="BC725"/>
      <x:c r="BD725"/>
      <x:c r="BE725"/>
      <x:c r="BF725"/>
      <x:c r="BG725"/>
      <x:c r="BH725"/>
      <x:c r="BI725"/>
      <x:c r="BJ725"/>
      <x:c r="BK725"/>
      <x:c r="BL725"/>
      <x:c r="BM725"/>
      <x:c r="BN725"/>
      <x:c r="BO725"/>
      <x:c r="BP725"/>
      <x:c r="BQ725"/>
      <x:c r="BR725"/>
      <x:c r="BS725"/>
      <x:c r="BT725"/>
      <x:c r="BU725"/>
      <x:c r="BV725"/>
      <x:c r="BW725"/>
      <x:c r="BX725"/>
      <x:c r="BY725"/>
      <x:c r="BZ725"/>
      <x:c r="CA725"/>
      <x:c r="CB725"/>
      <x:c r="CC725"/>
    </x:row>
    <x:row r="726" ht="115" customHeight="1">
      <x:c r="A726" s="4" t="str">
        <x:v>proposal.collection.hollow_horn_flute</x:v>
      </x:c>
      <x:c r="B726" s="4" t="str">
        <x:v>Hollow-horn flute</x:v>
      </x:c>
      <x:c r="C726" s="4" t="str">
        <x:v>Not applicable</x:v>
      </x:c>
      <x:c r="D726" s="4" t="inlineStr">
        <x:is>
          <x:t xml:space="preserve">Salvage</x:t>
        </x:is>
      </x:c>
      <x:c r="E726" s="4" t="str">
        <x:v>Musical instrument</x:v>
      </x:c>
      <x:c r="F726" s="4" t="str">
        <x:v>New proposal</x:v>
      </x:c>
      <x:c r="G726" s="4" t="inlineStr">
        <x:is>
          <x:t xml:space="preserve">Worked fauna horn core used as a wind instrument. Its recorded physical form is intended to produce, control or support sound in a musical instrument; tuning and playable dimensions remain open.</x:t>
        </x:is>
      </x:c>
      <x:c r="H726" s="4" t="str">
        <x:v>None</x:v>
      </x:c>
      <x:c r="I726" s="4" t="str">
        <x:v>Physical inventory / cargo item; dimensions and packing unresolved</x:v>
      </x:c>
      <x:c r="J726" s="4"/>
      <x:c r="K726" s="4"/>
      <x:c r="L726" s="4" t="str">
        <x:v>Candidate preparation: design.collection.hollow_horn_flute. Full inputs are in Crafting browser.</x:v>
      </x:c>
      <x:c r="M726" s="4" t="str">
        <x:v>Candidate workshop or contained preparation route; detailed tools, quantities and conditions unresolved</x:v>
      </x:c>
      <x:c r="N726" s="4" t="str">
        <x:v>Not implemented</x:v>
      </x:c>
      <x:c r="O726" s="4" t="str">
        <x:v>Specific dimensions, yield, fit, performance and service conditions remain open.</x:v>
      </x:c>
      <x:c r="P726" s="4"/>
      <x:c r="Q726" s="4"/>
      <x:c r="R726" s="4"/>
      <x:c r="S726" s="4"/>
      <x:c r="T726" s="4"/>
      <x:c r="U726" s="4" t="str">
        <x:v>Candidate inputs are partial. Resolve tools, supporting materials, energy, recovery and compatibility before recipes become craftable.</x:v>
      </x:c>
      <x:c r="V726" s="4" t="str">
        <x:v>hollow-horn flute; collection expansion; musical instrument</x:v>
      </x:c>
      <x:c r="W726" s="4" t="str">
        <x:v>New item proposal, October 15, 2026. Setting reference (source proposal): https://github.com/sleepyseamonster/Arc-Dust/blob/f6f98515c005dc3c73cccd9cbc031691745740c6/02-Arc-Dust-Worldbuilding/world/materials/industrial-material-palette.md</x:v>
      </x:c>
      <x:c r="X726" s="4" t="str">
        <x:v>Musical instrument</x:v>
      </x:c>
      <x:c r="Y726" s="4" t="str">
        <x:v>Finished item</x:v>
      </x:c>
      <x:c r="Z726" s="4" t="str">
        <x:v>Manufactured / unresolved</x:v>
      </x:c>
      <x:c r="AA726" s="4" t="str">
        <x:v>Music</x:v>
      </x:c>
      <x:c r="AB726" s="4" t="str">
        <x:v>Faunal hard tissue</x:v>
      </x:c>
      <x:c r="AC726" s="4" t="str">
        <x:v>Assembly</x:v>
      </x:c>
      <x:c r="AD726" s="4" t="str">
        <x:v>Proposal</x:v>
      </x:c>
      <x:c r="AE726" s="4" t="str">
        <x:f>LOWER(A726&amp;"; "&amp;B726&amp;"; "&amp;D726&amp;"; "&amp;E726&amp;"; "&amp;X726&amp;"; "&amp;Y726&amp;"; "&amp;Z726&amp;"; "&amp;AA726&amp;"; "&amp;AB726&amp;"; "&amp;AC726&amp;"; "&amp;AD726&amp;"; "&amp;V726&amp;"; "&amp;C726&amp;"; "&amp;AH726&amp;"; "&amp;AI726)</x:f>
        <x:v>proposal.collection.hollow_horn_flute; hollow-horn flute; salvage; musical instrument; musical instrument; finished item; manufactured / unresolved; music; faunal hard tissue; assembly; proposal; hollow-horn flute; collection expansion; musical instrument; not applicable; t0; finished item</x:v>
      </x:c>
      <x:c r="AF72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6" s="4" t="str">
        <x:v>Finished endpoint or currency. Material tier is separate from finished input tier.</x:v>
      </x:c>
      <x:c r="AH726" s="4" t="str">
        <x:v>T0</x:v>
      </x:c>
      <x:c r="AI726" s="4" t="str">
        <x:v>Finished item</x:v>
      </x:c>
      <x:c r="AJ726" s="4" t="n">
        <x:f>COUNTIFS('Material routes'!$D$6:$D$2205,A726,'Material routes'!$C$6:$C$2205,"Output")</x:f>
        <x:v>1</x:v>
      </x:c>
      <x:c r="AK726" s="4" t="n">
        <x:f>SUM(COUNTIFS('Material routes'!$D$6:$D$2205,A726,'Material routes'!$C$6:$C$2205,"Ingredient candidate"),COUNTIFS('Material routes'!$D$6:$D$2205,A726,'Material routes'!$C$6:$C$2205,"Consumed input"),COUNTIFS('Material routes'!$D$6:$D$2205,A726,'Material routes'!$C$6:$C$2205,"Contained input"),COUNTIFS('Material routes'!$D$6:$D$2205,A726,'Material routes'!$C$6:$C$2205,"Transform input"))</x:f>
        <x:v>0</x:v>
      </x:c>
      <x:c r="AL726" s="4" t="n">
        <x:f>COUNTIFS('Material routes'!$D$6:$D$2205,A726,'Material routes'!$C$6:$C$2205,"Tool candidate")</x:f>
        <x:v>0</x:v>
      </x:c>
      <x:c r="AM726" s="4" t="str">
        <x:f>IF(AJ726&gt;0,"Route listed; review status/completeness",IF(C726="T0","Raw entry feed; no production route","No production route listed"))</x:f>
        <x:v>Route listed; review status/completeness</x:v>
      </x:c>
      <x:c r="AN726" s="4" t="n">
        <x:f>IF(C726="T0",0,IF(C726="T1",1,IF(C726="T2",2,IF(C726="T3",3,IF(C726="T4",4,IF(C726="Unassigned",98,99))))))</x:f>
        <x:v>99</x:v>
      </x:c>
      <x:c r="AZ726"/>
      <x:c r="BA726"/>
      <x:c r="BB726"/>
      <x:c r="BC726"/>
      <x:c r="BD726"/>
      <x:c r="BE726"/>
      <x:c r="BF726"/>
      <x:c r="BG726"/>
      <x:c r="BH726"/>
      <x:c r="BI726"/>
      <x:c r="BJ726"/>
      <x:c r="BK726"/>
      <x:c r="BL726"/>
      <x:c r="BM726"/>
      <x:c r="BN726"/>
      <x:c r="BO726"/>
      <x:c r="BP726"/>
      <x:c r="BQ726"/>
      <x:c r="BR726"/>
      <x:c r="BS726"/>
      <x:c r="BT726"/>
      <x:c r="BU726"/>
      <x:c r="BV726"/>
      <x:c r="BW726"/>
      <x:c r="BX726"/>
      <x:c r="BY726"/>
      <x:c r="BZ726"/>
      <x:c r="CA726"/>
      <x:c r="CB726"/>
      <x:c r="CC726"/>
    </x:row>
    <x:row r="727" ht="115" customHeight="1">
      <x:c r="A727" s="4" t="str">
        <x:v>proposal.collection.wing_rib_whistle</x:v>
      </x:c>
      <x:c r="B727" s="4" t="str">
        <x:v>Wing-rib whistle</x:v>
      </x:c>
      <x:c r="C727" s="4" t="str">
        <x:v>Not applicable</x:v>
      </x:c>
      <x:c r="D727" s="4" t="inlineStr">
        <x:is>
          <x:t xml:space="preserve">Salvage</x:t>
        </x:is>
      </x:c>
      <x:c r="E727" s="4" t="str">
        <x:v>Musical instrument</x:v>
      </x:c>
      <x:c r="F727" s="4" t="str">
        <x:v>New proposal</x:v>
      </x:c>
      <x:c r="G727" s="4" t="inlineStr">
        <x:is>
          <x:t xml:space="preserve">Small shaped hard-part whistle. Its recorded physical form is intended to produce, control or support sound in a musical instrument; tuning and playable dimensions remain open.</x:t>
        </x:is>
      </x:c>
      <x:c r="H727" s="4" t="str">
        <x:v>None</x:v>
      </x:c>
      <x:c r="I727" s="4" t="str">
        <x:v>Physical inventory / cargo item; dimensions and packing unresolved</x:v>
      </x:c>
      <x:c r="J727" s="4"/>
      <x:c r="K727" s="4"/>
      <x:c r="L727" s="4" t="str">
        <x:v>Candidate preparation: design.collection.wing_rib_whistle. Full inputs are in Crafting browser.</x:v>
      </x:c>
      <x:c r="M727" s="4" t="str">
        <x:v>Candidate workshop or contained preparation route; detailed tools, quantities and conditions unresolved</x:v>
      </x:c>
      <x:c r="N727" s="4" t="str">
        <x:v>Not implemented</x:v>
      </x:c>
      <x:c r="O727" s="4" t="str">
        <x:v>Specific dimensions, yield, fit, performance and service conditions remain open.</x:v>
      </x:c>
      <x:c r="P727" s="4"/>
      <x:c r="Q727" s="4"/>
      <x:c r="R727" s="4"/>
      <x:c r="S727" s="4"/>
      <x:c r="T727" s="4"/>
      <x:c r="U727" s="4" t="str">
        <x:v>Candidate inputs are partial. Resolve tools, supporting materials, energy, recovery and compatibility before recipes become craftable.</x:v>
      </x:c>
      <x:c r="V727" s="4" t="str">
        <x:v>wing-rib whistle; collection expansion; musical instrument</x:v>
      </x:c>
      <x:c r="W727" s="4" t="str">
        <x:v>New item proposal, October 15, 2026. Setting reference (source proposal): https://github.com/sleepyseamonster/Arc-Dust/blob/f6f98515c005dc3c73cccd9cbc031691745740c6/02-Arc-Dust-Worldbuilding/world/materials/industrial-material-palette.md</x:v>
      </x:c>
      <x:c r="X727" s="4" t="str">
        <x:v>Musical instrument</x:v>
      </x:c>
      <x:c r="Y727" s="4" t="str">
        <x:v>Finished item</x:v>
      </x:c>
      <x:c r="Z727" s="4" t="str">
        <x:v>Manufactured / unresolved</x:v>
      </x:c>
      <x:c r="AA727" s="4" t="str">
        <x:v>Music</x:v>
      </x:c>
      <x:c r="AB727" s="4" t="str">
        <x:v>Faunal hard tissue</x:v>
      </x:c>
      <x:c r="AC727" s="4" t="str">
        <x:v>Assembly</x:v>
      </x:c>
      <x:c r="AD727" s="4" t="str">
        <x:v>Proposal</x:v>
      </x:c>
      <x:c r="AE727" s="4" t="str">
        <x:f>LOWER(A727&amp;"; "&amp;B727&amp;"; "&amp;D727&amp;"; "&amp;E727&amp;"; "&amp;X727&amp;"; "&amp;Y727&amp;"; "&amp;Z727&amp;"; "&amp;AA727&amp;"; "&amp;AB727&amp;"; "&amp;AC727&amp;"; "&amp;AD727&amp;"; "&amp;V727&amp;"; "&amp;C727&amp;"; "&amp;AH727&amp;"; "&amp;AI727)</x:f>
        <x:v>proposal.collection.wing_rib_whistle; wing-rib whistle; salvage; musical instrument; musical instrument; finished item; manufactured / unresolved; music; faunal hard tissue; assembly; proposal; wing-rib whistle; collection expansion; musical instrument; not applicable; t0; finished item</x:v>
      </x:c>
      <x:c r="AF72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7" s="4" t="str">
        <x:v>Finished endpoint or currency. Material tier is separate from finished input tier.</x:v>
      </x:c>
      <x:c r="AH727" s="4" t="str">
        <x:v>T0</x:v>
      </x:c>
      <x:c r="AI727" s="4" t="str">
        <x:v>Finished item</x:v>
      </x:c>
      <x:c r="AJ727" s="4" t="n">
        <x:f>COUNTIFS('Material routes'!$D$6:$D$2205,A727,'Material routes'!$C$6:$C$2205,"Output")</x:f>
        <x:v>1</x:v>
      </x:c>
      <x:c r="AK727" s="4" t="n">
        <x:f>SUM(COUNTIFS('Material routes'!$D$6:$D$2205,A727,'Material routes'!$C$6:$C$2205,"Ingredient candidate"),COUNTIFS('Material routes'!$D$6:$D$2205,A727,'Material routes'!$C$6:$C$2205,"Consumed input"),COUNTIFS('Material routes'!$D$6:$D$2205,A727,'Material routes'!$C$6:$C$2205,"Contained input"),COUNTIFS('Material routes'!$D$6:$D$2205,A727,'Material routes'!$C$6:$C$2205,"Transform input"))</x:f>
        <x:v>0</x:v>
      </x:c>
      <x:c r="AL727" s="4" t="n">
        <x:f>COUNTIFS('Material routes'!$D$6:$D$2205,A727,'Material routes'!$C$6:$C$2205,"Tool candidate")</x:f>
        <x:v>0</x:v>
      </x:c>
      <x:c r="AM727" s="4" t="str">
        <x:f>IF(AJ727&gt;0,"Route listed; review status/completeness",IF(C727="T0","Raw entry feed; no production route","No production route listed"))</x:f>
        <x:v>Route listed; review status/completeness</x:v>
      </x:c>
      <x:c r="AN727" s="4" t="n">
        <x:f>IF(C727="T0",0,IF(C727="T1",1,IF(C727="T2",2,IF(C727="T3",3,IF(C727="T4",4,IF(C727="Unassigned",98,99))))))</x:f>
        <x:v>99</x:v>
      </x:c>
      <x:c r="AZ727"/>
      <x:c r="BA727"/>
      <x:c r="BB727"/>
      <x:c r="BC727"/>
      <x:c r="BD727"/>
      <x:c r="BE727"/>
      <x:c r="BF727"/>
      <x:c r="BG727"/>
      <x:c r="BH727"/>
      <x:c r="BI727"/>
      <x:c r="BJ727"/>
      <x:c r="BK727"/>
      <x:c r="BL727"/>
      <x:c r="BM727"/>
      <x:c r="BN727"/>
      <x:c r="BO727"/>
      <x:c r="BP727"/>
      <x:c r="BQ727"/>
      <x:c r="BR727"/>
      <x:c r="BS727"/>
      <x:c r="BT727"/>
      <x:c r="BU727"/>
      <x:c r="BV727"/>
      <x:c r="BW727"/>
      <x:c r="BX727"/>
      <x:c r="BY727"/>
      <x:c r="BZ727"/>
      <x:c r="CA727"/>
      <x:c r="CB727"/>
      <x:c r="CC727"/>
    </x:row>
    <x:row r="728" ht="115" customHeight="1">
      <x:c r="A728" s="4" t="str">
        <x:v>proposal.collection.shell_chamber_ocarina</x:v>
      </x:c>
      <x:c r="B728" s="4" t="str">
        <x:v>Shell chamber ocarina</x:v>
      </x:c>
      <x:c r="C728" s="4" t="str">
        <x:v>Not applicable</x:v>
      </x:c>
      <x:c r="D728" s="4" t="inlineStr">
        <x:is>
          <x:t xml:space="preserve">Salvage</x:t>
        </x:is>
      </x:c>
      <x:c r="E728" s="4" t="str">
        <x:v>Musical instrument</x:v>
      </x:c>
      <x:c r="F728" s="4" t="str">
        <x:v>New proposal</x:v>
      </x:c>
      <x:c r="G728" s="4" t="inlineStr">
        <x:is>
          <x:t xml:space="preserve">Hollow shell wind instrument with fitted mouthpiece. Its recorded physical form is intended to produce, control or support sound in a musical instrument; tuning and playable dimensions remain open.</x:t>
        </x:is>
      </x:c>
      <x:c r="H728" s="4" t="str">
        <x:v>None</x:v>
      </x:c>
      <x:c r="I728" s="4" t="str">
        <x:v>Physical inventory / cargo item; dimensions and packing unresolved</x:v>
      </x:c>
      <x:c r="J728" s="4"/>
      <x:c r="K728" s="4"/>
      <x:c r="L728" s="4" t="str">
        <x:v>Candidate preparation: design.collection.shell_chamber_ocarina. Full inputs are in Crafting browser.</x:v>
      </x:c>
      <x:c r="M728" s="4" t="str">
        <x:v>Candidate workshop or contained preparation route; detailed tools, quantities and conditions unresolved</x:v>
      </x:c>
      <x:c r="N728" s="4" t="str">
        <x:v>Not implemented</x:v>
      </x:c>
      <x:c r="O728" s="4" t="str">
        <x:v>Specific dimensions, yield, fit, performance and service conditions remain open.</x:v>
      </x:c>
      <x:c r="P728" s="4"/>
      <x:c r="Q728" s="4"/>
      <x:c r="R728" s="4"/>
      <x:c r="S728" s="4"/>
      <x:c r="T728" s="4"/>
      <x:c r="U728" s="4" t="str">
        <x:v>Candidate inputs are partial. Resolve tools, supporting materials, energy, recovery and compatibility before recipes become craftable.</x:v>
      </x:c>
      <x:c r="V728" s="4" t="str">
        <x:v>shell chamber ocarina; collection expansion; musical instrument</x:v>
      </x:c>
      <x:c r="W728" s="4" t="str">
        <x:v>New item proposal, October 15, 2026. Setting reference (source proposal): https://github.com/sleepyseamonster/Arc-Dust/blob/f6f98515c005dc3c73cccd9cbc031691745740c6/02-Arc-Dust-Worldbuilding/world/materials/industrial-material-palette.md</x:v>
      </x:c>
      <x:c r="X728" s="4" t="str">
        <x:v>Musical instrument</x:v>
      </x:c>
      <x:c r="Y728" s="4" t="str">
        <x:v>Finished item</x:v>
      </x:c>
      <x:c r="Z728" s="4" t="str">
        <x:v>Manufactured / unresolved</x:v>
      </x:c>
      <x:c r="AA728" s="4" t="str">
        <x:v>Music</x:v>
      </x:c>
      <x:c r="AB728" s="4" t="str">
        <x:v>Shell and mineral</x:v>
      </x:c>
      <x:c r="AC728" s="4" t="str">
        <x:v>Assembly</x:v>
      </x:c>
      <x:c r="AD728" s="4" t="str">
        <x:v>Proposal</x:v>
      </x:c>
      <x:c r="AE728" s="4" t="str">
        <x:f>LOWER(A728&amp;"; "&amp;B728&amp;"; "&amp;D728&amp;"; "&amp;E728&amp;"; "&amp;X728&amp;"; "&amp;Y728&amp;"; "&amp;Z728&amp;"; "&amp;AA728&amp;"; "&amp;AB728&amp;"; "&amp;AC728&amp;"; "&amp;AD728&amp;"; "&amp;V728&amp;"; "&amp;C728&amp;"; "&amp;AH728&amp;"; "&amp;AI728)</x:f>
        <x:v>proposal.collection.shell_chamber_ocarina; shell chamber ocarina; salvage; musical instrument; musical instrument; finished item; manufactured / unresolved; music; shell and mineral; assembly; proposal; shell chamber ocarina; collection expansion; musical instrument; not applicable; t2; finished item</x:v>
      </x:c>
      <x:c r="AF72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8" s="4" t="str">
        <x:v>Finished endpoint or currency. Material tier is separate from finished input tier.</x:v>
      </x:c>
      <x:c r="AH728" s="4" t="str">
        <x:v>T2</x:v>
      </x:c>
      <x:c r="AI728" s="4" t="str">
        <x:v>Finished item</x:v>
      </x:c>
      <x:c r="AJ728" s="4" t="n">
        <x:f>COUNTIFS('Material routes'!$D$6:$D$2205,A728,'Material routes'!$C$6:$C$2205,"Output")</x:f>
        <x:v>1</x:v>
      </x:c>
      <x:c r="AK728" s="4" t="n">
        <x:f>SUM(COUNTIFS('Material routes'!$D$6:$D$2205,A728,'Material routes'!$C$6:$C$2205,"Ingredient candidate"),COUNTIFS('Material routes'!$D$6:$D$2205,A728,'Material routes'!$C$6:$C$2205,"Consumed input"),COUNTIFS('Material routes'!$D$6:$D$2205,A728,'Material routes'!$C$6:$C$2205,"Contained input"),COUNTIFS('Material routes'!$D$6:$D$2205,A728,'Material routes'!$C$6:$C$2205,"Transform input"))</x:f>
        <x:v>0</x:v>
      </x:c>
      <x:c r="AL728" s="4" t="n">
        <x:f>COUNTIFS('Material routes'!$D$6:$D$2205,A728,'Material routes'!$C$6:$C$2205,"Tool candidate")</x:f>
        <x:v>0</x:v>
      </x:c>
      <x:c r="AM728" s="4" t="str">
        <x:f>IF(AJ728&gt;0,"Route listed; review status/completeness",IF(C728="T0","Raw entry feed; no production route","No production route listed"))</x:f>
        <x:v>Route listed; review status/completeness</x:v>
      </x:c>
      <x:c r="AN728" s="4" t="n">
        <x:f>IF(C728="T0",0,IF(C728="T1",1,IF(C728="T2",2,IF(C728="T3",3,IF(C728="T4",4,IF(C728="Unassigned",98,99))))))</x:f>
        <x:v>99</x:v>
      </x:c>
      <x:c r="AZ728"/>
      <x:c r="BA728"/>
      <x:c r="BB728"/>
      <x:c r="BC728"/>
      <x:c r="BD728"/>
      <x:c r="BE728"/>
      <x:c r="BF728"/>
      <x:c r="BG728"/>
      <x:c r="BH728"/>
      <x:c r="BI728"/>
      <x:c r="BJ728"/>
      <x:c r="BK728"/>
      <x:c r="BL728"/>
      <x:c r="BM728"/>
      <x:c r="BN728"/>
      <x:c r="BO728"/>
      <x:c r="BP728"/>
      <x:c r="BQ728"/>
      <x:c r="BR728"/>
      <x:c r="BS728"/>
      <x:c r="BT728"/>
      <x:c r="BU728"/>
      <x:c r="BV728"/>
      <x:c r="BW728"/>
      <x:c r="BX728"/>
      <x:c r="BY728"/>
      <x:c r="BZ728"/>
      <x:c r="CA728"/>
      <x:c r="CB728"/>
      <x:c r="CC728"/>
    </x:row>
    <x:row r="729" ht="115" customHeight="1">
      <x:c r="A729" s="4" t="str">
        <x:v>proposal.collection.bronze_lip_horn</x:v>
      </x:c>
      <x:c r="B729" s="4" t="str">
        <x:v>Bronze lip horn</x:v>
      </x:c>
      <x:c r="C729" s="4" t="str">
        <x:v>Not applicable</x:v>
      </x:c>
      <x:c r="D729" s="4" t="inlineStr">
        <x:is>
          <x:t xml:space="preserve">Salvage</x:t>
        </x:is>
      </x:c>
      <x:c r="E729" s="4" t="str">
        <x:v>Musical instrument</x:v>
      </x:c>
      <x:c r="F729" s="4" t="str">
        <x:v>New proposal</x:v>
      </x:c>
      <x:c r="G729" s="4" t="inlineStr">
        <x:is>
          <x:t xml:space="preserve">Metal flared wind instrument. Its recorded physical form is intended to produce, control or support sound in a musical instrument; tuning and playable dimensions remain open.</x:t>
        </x:is>
      </x:c>
      <x:c r="H729" s="4" t="str">
        <x:v>None</x:v>
      </x:c>
      <x:c r="I729" s="4" t="str">
        <x:v>Physical inventory / cargo item; dimensions and packing unresolved</x:v>
      </x:c>
      <x:c r="J729" s="4"/>
      <x:c r="K729" s="4"/>
      <x:c r="L729" s="4" t="str">
        <x:v>Candidate preparation: design.collection.bronze_lip_horn. Full inputs are in Crafting browser.</x:v>
      </x:c>
      <x:c r="M729" s="4" t="str">
        <x:v>Candidate workshop or contained preparation route; detailed tools, quantities and conditions unresolved</x:v>
      </x:c>
      <x:c r="N729" s="4" t="str">
        <x:v>Not implemented</x:v>
      </x:c>
      <x:c r="O729" s="4" t="str">
        <x:v>Specific dimensions, yield, fit, performance and service conditions remain open.</x:v>
      </x:c>
      <x:c r="P729" s="4"/>
      <x:c r="Q729" s="4"/>
      <x:c r="R729" s="4"/>
      <x:c r="S729" s="4"/>
      <x:c r="T729" s="4"/>
      <x:c r="U729" s="4" t="str">
        <x:v>Candidate inputs are partial. Resolve tools, supporting materials, energy, recovery and compatibility before recipes become craftable.</x:v>
      </x:c>
      <x:c r="V729" s="4" t="str">
        <x:v>bronze lip horn; collection expansion; musical instrument</x:v>
      </x:c>
      <x:c r="W729" s="4" t="str">
        <x:v>New item proposal, October 15, 2026. Setting reference (source proposal): https://github.com/sleepyseamonster/Arc-Dust/blob/f6f98515c005dc3c73cccd9cbc031691745740c6/02-Arc-Dust-Worldbuilding/world/materials/industrial-material-palette.md</x:v>
      </x:c>
      <x:c r="X729" s="4" t="str">
        <x:v>Musical instrument</x:v>
      </x:c>
      <x:c r="Y729" s="4" t="str">
        <x:v>Finished item</x:v>
      </x:c>
      <x:c r="Z729" s="4" t="str">
        <x:v>Manufactured / unresolved</x:v>
      </x:c>
      <x:c r="AA729" s="4" t="str">
        <x:v>Music</x:v>
      </x:c>
      <x:c r="AB729" s="4" t="str">
        <x:v>Metal</x:v>
      </x:c>
      <x:c r="AC729" s="4" t="str">
        <x:v>Assembly</x:v>
      </x:c>
      <x:c r="AD729" s="4" t="str">
        <x:v>Proposal</x:v>
      </x:c>
      <x:c r="AE729" s="4" t="str">
        <x:f>LOWER(A729&amp;"; "&amp;B729&amp;"; "&amp;D729&amp;"; "&amp;E729&amp;"; "&amp;X729&amp;"; "&amp;Y729&amp;"; "&amp;Z729&amp;"; "&amp;AA729&amp;"; "&amp;AB729&amp;"; "&amp;AC729&amp;"; "&amp;AD729&amp;"; "&amp;V729&amp;"; "&amp;C729&amp;"; "&amp;AH729&amp;"; "&amp;AI729)</x:f>
        <x:v>proposal.collection.bronze_lip_horn; bronze lip horn; salvage; musical instrument; musical instrument; finished item; manufactured / unresolved; music; metal; assembly; proposal; bronze lip horn; collection expansion; musical instrument; not applicable; t2; finished item</x:v>
      </x:c>
      <x:c r="AF72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9" s="4" t="str">
        <x:v>Finished endpoint or currency. Material tier is separate from finished input tier.</x:v>
      </x:c>
      <x:c r="AH729" s="4" t="str">
        <x:v>T2</x:v>
      </x:c>
      <x:c r="AI729" s="4" t="str">
        <x:v>Finished item</x:v>
      </x:c>
      <x:c r="AJ729" s="4" t="n">
        <x:f>COUNTIFS('Material routes'!$D$6:$D$2205,A729,'Material routes'!$C$6:$C$2205,"Output")</x:f>
        <x:v>1</x:v>
      </x:c>
      <x:c r="AK729" s="4" t="n">
        <x:f>SUM(COUNTIFS('Material routes'!$D$6:$D$2205,A729,'Material routes'!$C$6:$C$2205,"Ingredient candidate"),COUNTIFS('Material routes'!$D$6:$D$2205,A729,'Material routes'!$C$6:$C$2205,"Consumed input"),COUNTIFS('Material routes'!$D$6:$D$2205,A729,'Material routes'!$C$6:$C$2205,"Contained input"),COUNTIFS('Material routes'!$D$6:$D$2205,A729,'Material routes'!$C$6:$C$2205,"Transform input"))</x:f>
        <x:v>0</x:v>
      </x:c>
      <x:c r="AL729" s="4" t="n">
        <x:f>COUNTIFS('Material routes'!$D$6:$D$2205,A729,'Material routes'!$C$6:$C$2205,"Tool candidate")</x:f>
        <x:v>0</x:v>
      </x:c>
      <x:c r="AM729" s="4" t="str">
        <x:f>IF(AJ729&gt;0,"Route listed; review status/completeness",IF(C729="T0","Raw entry feed; no production route","No production route listed"))</x:f>
        <x:v>Route listed; review status/completeness</x:v>
      </x:c>
      <x:c r="AN729" s="4" t="n">
        <x:f>IF(C729="T0",0,IF(C729="T1",1,IF(C729="T2",2,IF(C729="T3",3,IF(C729="T4",4,IF(C729="Unassigned",98,99))))))</x:f>
        <x:v>99</x:v>
      </x:c>
      <x:c r="AZ729"/>
      <x:c r="BA729"/>
      <x:c r="BB729"/>
      <x:c r="BC729"/>
      <x:c r="BD729"/>
      <x:c r="BE729"/>
      <x:c r="BF729"/>
      <x:c r="BG729"/>
      <x:c r="BH729"/>
      <x:c r="BI729"/>
      <x:c r="BJ729"/>
      <x:c r="BK729"/>
      <x:c r="BL729"/>
      <x:c r="BM729"/>
      <x:c r="BN729"/>
      <x:c r="BO729"/>
      <x:c r="BP729"/>
      <x:c r="BQ729"/>
      <x:c r="BR729"/>
      <x:c r="BS729"/>
      <x:c r="BT729"/>
      <x:c r="BU729"/>
      <x:c r="BV729"/>
      <x:c r="BW729"/>
      <x:c r="BX729"/>
      <x:c r="BY729"/>
      <x:c r="BZ729"/>
      <x:c r="CA729"/>
      <x:c r="CB729"/>
      <x:c r="CC729"/>
    </x:row>
    <x:row r="730" ht="115" customHeight="1">
      <x:c r="A730" s="4" t="str">
        <x:v>proposal.collection.metal_free_reed_mouth_organ</x:v>
      </x:c>
      <x:c r="B730" s="4" t="str">
        <x:v>Metal free-reed mouth organ</x:v>
      </x:c>
      <x:c r="C730" s="4" t="str">
        <x:v>Not applicable</x:v>
      </x:c>
      <x:c r="D730" s="4" t="inlineStr">
        <x:is>
          <x:t xml:space="preserve">Salvage</x:t>
        </x:is>
      </x:c>
      <x:c r="E730" s="4" t="str">
        <x:v>Musical instrument</x:v>
      </x:c>
      <x:c r="F730" s="4" t="str">
        <x:v>New proposal</x:v>
      </x:c>
      <x:c r="G730" s="4" t="inlineStr">
        <x:is>
          <x:t xml:space="preserve">Small metal reed bank with a fitted mouthpiece. Its recorded physical form is intended to produce, control or support sound in a musical instrument; tuning and playable dimensions remain open.</x:t>
        </x:is>
      </x:c>
      <x:c r="H730" s="4" t="str">
        <x:v>None</x:v>
      </x:c>
      <x:c r="I730" s="4" t="str">
        <x:v>Physical inventory / cargo item; dimensions and packing unresolved</x:v>
      </x:c>
      <x:c r="J730" s="4"/>
      <x:c r="K730" s="4"/>
      <x:c r="L730" s="4" t="str">
        <x:v>Candidate preparation: design.collection.metal_free_reed_mouth_organ. Full inputs are in Crafting browser.</x:v>
      </x:c>
      <x:c r="M730" s="4" t="str">
        <x:v>Candidate workshop or contained preparation route; detailed tools, quantities and conditions unresolved</x:v>
      </x:c>
      <x:c r="N730" s="4" t="str">
        <x:v>Not implemented</x:v>
      </x:c>
      <x:c r="O730" s="4" t="str">
        <x:v>Specific dimensions, yield, fit, performance and service conditions remain open.</x:v>
      </x:c>
      <x:c r="P730" s="4"/>
      <x:c r="Q730" s="4"/>
      <x:c r="R730" s="4"/>
      <x:c r="S730" s="4"/>
      <x:c r="T730" s="4"/>
      <x:c r="U730" s="4" t="str">
        <x:v>Candidate inputs are partial. Resolve tools, supporting materials, energy, recovery and compatibility before recipes become craftable.</x:v>
      </x:c>
      <x:c r="V730" s="4" t="str">
        <x:v>metal free-reed mouth organ; collection expansion; musical instrument</x:v>
      </x:c>
      <x:c r="W730" s="4" t="str">
        <x:v>New item proposal, October 15, 2026. Setting reference (source proposal): https://github.com/sleepyseamonster/Arc-Dust/blob/f6f98515c005dc3c73cccd9cbc031691745740c6/02-Arc-Dust-Worldbuilding/world/materials/industrial-material-palette.md</x:v>
      </x:c>
      <x:c r="X730" s="4" t="str">
        <x:v>Musical instrument</x:v>
      </x:c>
      <x:c r="Y730" s="4" t="str">
        <x:v>Finished item</x:v>
      </x:c>
      <x:c r="Z730" s="4" t="str">
        <x:v>Manufactured / unresolved</x:v>
      </x:c>
      <x:c r="AA730" s="4" t="str">
        <x:v>Music</x:v>
      </x:c>
      <x:c r="AB730" s="4" t="str">
        <x:v>Metal</x:v>
      </x:c>
      <x:c r="AC730" s="4" t="str">
        <x:v>Assembly</x:v>
      </x:c>
      <x:c r="AD730" s="4" t="str">
        <x:v>Proposal</x:v>
      </x:c>
      <x:c r="AE730" s="4" t="str">
        <x:f>LOWER(A730&amp;"; "&amp;B730&amp;"; "&amp;D730&amp;"; "&amp;E730&amp;"; "&amp;X730&amp;"; "&amp;Y730&amp;"; "&amp;Z730&amp;"; "&amp;AA730&amp;"; "&amp;AB730&amp;"; "&amp;AC730&amp;"; "&amp;AD730&amp;"; "&amp;V730&amp;"; "&amp;C730&amp;"; "&amp;AH730&amp;"; "&amp;AI730)</x:f>
        <x:v>proposal.collection.metal_free_reed_mouth_organ; metal free-reed mouth organ; salvage; musical instrument; musical instrument; finished item; manufactured / unresolved; music; metal; assembly; proposal; metal free-reed mouth organ; collection expansion; musical instrument; not applicable; t4; finished item</x:v>
      </x:c>
      <x:c r="AF730"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30" s="4" t="str">
        <x:v>Finished endpoint or currency. Material tier is separate from finished input tier.</x:v>
      </x:c>
      <x:c r="AH730" s="4" t="str">
        <x:v>T4</x:v>
      </x:c>
      <x:c r="AI730" s="4" t="str">
        <x:v>Finished item</x:v>
      </x:c>
      <x:c r="AJ730" s="4" t="n">
        <x:f>COUNTIFS('Material routes'!$D$6:$D$2205,A730,'Material routes'!$C$6:$C$2205,"Output")</x:f>
        <x:v>1</x:v>
      </x:c>
      <x:c r="AK730" s="4" t="n">
        <x:f>SUM(COUNTIFS('Material routes'!$D$6:$D$2205,A730,'Material routes'!$C$6:$C$2205,"Ingredient candidate"),COUNTIFS('Material routes'!$D$6:$D$2205,A730,'Material routes'!$C$6:$C$2205,"Consumed input"),COUNTIFS('Material routes'!$D$6:$D$2205,A730,'Material routes'!$C$6:$C$2205,"Contained input"),COUNTIFS('Material routes'!$D$6:$D$2205,A730,'Material routes'!$C$6:$C$2205,"Transform input"))</x:f>
        <x:v>0</x:v>
      </x:c>
      <x:c r="AL730" s="4" t="n">
        <x:f>COUNTIFS('Material routes'!$D$6:$D$2205,A730,'Material routes'!$C$6:$C$2205,"Tool candidate")</x:f>
        <x:v>0</x:v>
      </x:c>
      <x:c r="AM730" s="4" t="str">
        <x:f>IF(AJ730&gt;0,"Route listed; review status/completeness",IF(C730="T0","Raw entry feed; no production route","No production route listed"))</x:f>
        <x:v>Route listed; review status/completeness</x:v>
      </x:c>
      <x:c r="AN730" s="4" t="n">
        <x:f>IF(C730="T0",0,IF(C730="T1",1,IF(C730="T2",2,IF(C730="T3",3,IF(C730="T4",4,IF(C730="Unassigned",98,99))))))</x:f>
        <x:v>99</x:v>
      </x:c>
      <x:c r="AZ730"/>
      <x:c r="BA730"/>
      <x:c r="BB730"/>
      <x:c r="BC730"/>
      <x:c r="BD730"/>
      <x:c r="BE730"/>
      <x:c r="BF730"/>
      <x:c r="BG730"/>
      <x:c r="BH730"/>
      <x:c r="BI730"/>
      <x:c r="BJ730"/>
      <x:c r="BK730"/>
      <x:c r="BL730"/>
      <x:c r="BM730"/>
      <x:c r="BN730"/>
      <x:c r="BO730"/>
      <x:c r="BP730"/>
      <x:c r="BQ730"/>
      <x:c r="BR730"/>
      <x:c r="BS730"/>
      <x:c r="BT730"/>
      <x:c r="BU730"/>
      <x:c r="BV730"/>
      <x:c r="BW730"/>
      <x:c r="BX730"/>
      <x:c r="BY730"/>
      <x:c r="BZ730"/>
      <x:c r="CA730"/>
      <x:c r="CB730"/>
      <x:c r="CC730"/>
    </x:row>
    <x:row r="731" ht="115" customHeight="1">
      <x:c r="A731" s="4" t="str">
        <x:v>proposal.collection.wire_strung_shell_lyre</x:v>
      </x:c>
      <x:c r="B731" s="4" t="str">
        <x:v>Wire-strung shell lyre</x:v>
      </x:c>
      <x:c r="C731" s="4" t="str">
        <x:v>Not applicable</x:v>
      </x:c>
      <x:c r="D731" s="4" t="inlineStr">
        <x:is>
          <x:t xml:space="preserve">Salvage</x:t>
        </x:is>
      </x:c>
      <x:c r="E731" s="4" t="str">
        <x:v>Musical instrument</x:v>
      </x:c>
      <x:c r="F731" s="4" t="str">
        <x:v>New proposal</x:v>
      </x:c>
      <x:c r="G731" s="4" t="inlineStr">
        <x:is>
          <x:t xml:space="preserve">Scarce conductive wire or steel strings on a shell frame. Its recorded physical form is intended to produce, control or support sound in a musical instrument; tuning and playable dimensions remain open.</x:t>
        </x:is>
      </x:c>
      <x:c r="H731" s="4" t="str">
        <x:v>None</x:v>
      </x:c>
      <x:c r="I731" s="4" t="str">
        <x:v>Physical inventory / cargo item; dimensions and packing unresolved</x:v>
      </x:c>
      <x:c r="J731" s="4"/>
      <x:c r="K731" s="4"/>
      <x:c r="L731" s="4" t="str">
        <x:v>Candidate preparation: design.collection.wire_strung_shell_lyre. Full inputs are in Crafting browser.</x:v>
      </x:c>
      <x:c r="M731" s="4" t="str">
        <x:v>Candidate workshop or contained preparation route; detailed tools, quantities and conditions unresolved</x:v>
      </x:c>
      <x:c r="N731" s="4" t="str">
        <x:v>Not implemented</x:v>
      </x:c>
      <x:c r="O731" s="4" t="str">
        <x:v>Specific dimensions, yield, fit, performance and service conditions remain open.</x:v>
      </x:c>
      <x:c r="P731" s="4"/>
      <x:c r="Q731" s="4"/>
      <x:c r="R731" s="4"/>
      <x:c r="S731" s="4"/>
      <x:c r="T731" s="4"/>
      <x:c r="U731" s="4" t="str">
        <x:v>Candidate inputs are partial. Resolve tools, supporting materials, energy, recovery and compatibility before recipes become craftable.</x:v>
      </x:c>
      <x:c r="V731" s="4" t="str">
        <x:v>wire-strung shell lyre; collection expansion; musical instrument</x:v>
      </x:c>
      <x:c r="W731" s="4" t="str">
        <x:v>New item proposal, October 15, 2026. Setting reference (source proposal): https://github.com/sleepyseamonster/Arc-Dust/blob/f6f98515c005dc3c73cccd9cbc031691745740c6/02-Arc-Dust-Worldbuilding/world/materials/industrial-material-palette.md</x:v>
      </x:c>
      <x:c r="X731" s="4" t="str">
        <x:v>Musical instrument</x:v>
      </x:c>
      <x:c r="Y731" s="4" t="str">
        <x:v>Finished item</x:v>
      </x:c>
      <x:c r="Z731" s="4" t="str">
        <x:v>Manufactured / unresolved</x:v>
      </x:c>
      <x:c r="AA731" s="4" t="str">
        <x:v>Music</x:v>
      </x:c>
      <x:c r="AB731" s="4" t="str">
        <x:v>Metal and shell</x:v>
      </x:c>
      <x:c r="AC731" s="4" t="str">
        <x:v>Assembly</x:v>
      </x:c>
      <x:c r="AD731" s="4" t="str">
        <x:v>Proposal</x:v>
      </x:c>
      <x:c r="AE731" s="4" t="str">
        <x:f>LOWER(A731&amp;"; "&amp;B731&amp;"; "&amp;D731&amp;"; "&amp;E731&amp;"; "&amp;X731&amp;"; "&amp;Y731&amp;"; "&amp;Z731&amp;"; "&amp;AA731&amp;"; "&amp;AB731&amp;"; "&amp;AC731&amp;"; "&amp;AD731&amp;"; "&amp;V731&amp;"; "&amp;C731&amp;"; "&amp;AH731&amp;"; "&amp;AI731)</x:f>
        <x:v>proposal.collection.wire_strung_shell_lyre; wire-strung shell lyre; salvage; musical instrument; musical instrument; finished item; manufactured / unresolved; music; metal and shell; assembly; proposal; wire-strung shell lyre; collection expansion; musical instrument; not applicable; t4; finished item</x:v>
      </x:c>
      <x:c r="AF731" s="4" t="inlineStr">
        <x:is>
          <x:t xml:space="preserve">Collection expansion classification. Distinct type, use and material family; new item proposal unless author direction is marked. Author direction October 16: all remaining Cultural objects are Salvage; remove the cultural items section. Preserve item identity, descriptions, condition, tiers, uses and recipe semantics.</x:t>
        </x:is>
      </x:c>
      <x:c r="AG731" s="4" t="str">
        <x:v>Finished endpoint or currency. Material tier is separate from finished input tier.</x:v>
      </x:c>
      <x:c r="AH731" s="4" t="str">
        <x:v>T4</x:v>
      </x:c>
      <x:c r="AI731" s="4" t="str">
        <x:v>Finished item</x:v>
      </x:c>
      <x:c r="AJ731" s="4" t="n">
        <x:f>COUNTIFS('Material routes'!$D$6:$D$2205,A731,'Material routes'!$C$6:$C$2205,"Output")</x:f>
        <x:v>1</x:v>
      </x:c>
      <x:c r="AK731" s="4" t="n">
        <x:f>SUM(COUNTIFS('Material routes'!$D$6:$D$2205,A731,'Material routes'!$C$6:$C$2205,"Ingredient candidate"),COUNTIFS('Material routes'!$D$6:$D$2205,A731,'Material routes'!$C$6:$C$2205,"Consumed input"),COUNTIFS('Material routes'!$D$6:$D$2205,A731,'Material routes'!$C$6:$C$2205,"Contained input"),COUNTIFS('Material routes'!$D$6:$D$2205,A731,'Material routes'!$C$6:$C$2205,"Transform input"))</x:f>
        <x:v>0</x:v>
      </x:c>
      <x:c r="AL731" s="4" t="n">
        <x:f>COUNTIFS('Material routes'!$D$6:$D$2205,A731,'Material routes'!$C$6:$C$2205,"Tool candidate")</x:f>
        <x:v>0</x:v>
      </x:c>
      <x:c r="AM731" s="4" t="str">
        <x:f>IF(AJ731&gt;0,"Route listed; review status/completeness",IF(C731="T0","Raw entry feed; no production route","No production route listed"))</x:f>
        <x:v>Route listed; review status/completeness</x:v>
      </x:c>
      <x:c r="AN731" s="4" t="n">
        <x:f>IF(C731="T0",0,IF(C731="T1",1,IF(C731="T2",2,IF(C731="T3",3,IF(C731="T4",4,IF(C731="Unassigned",98,99))))))</x:f>
        <x:v>99</x:v>
      </x:c>
      <x:c r="AZ731"/>
      <x:c r="BA731"/>
      <x:c r="BB731"/>
      <x:c r="BC731"/>
      <x:c r="BD731"/>
      <x:c r="BE731"/>
      <x:c r="BF731"/>
      <x:c r="BG731"/>
      <x:c r="BH731"/>
      <x:c r="BI731"/>
      <x:c r="BJ731"/>
      <x:c r="BK731"/>
      <x:c r="BL731"/>
      <x:c r="BM731"/>
      <x:c r="BN731"/>
      <x:c r="BO731"/>
      <x:c r="BP731"/>
      <x:c r="BQ731"/>
      <x:c r="BR731"/>
      <x:c r="BS731"/>
      <x:c r="BT731"/>
      <x:c r="BU731"/>
      <x:c r="BV731"/>
      <x:c r="BW731"/>
      <x:c r="BX731"/>
      <x:c r="BY731"/>
      <x:c r="BZ731"/>
      <x:c r="CA731"/>
      <x:c r="CB731"/>
      <x:c r="CC731"/>
    </x:row>
    <x:row r="732" ht="115" customHeight="1">
      <x:c r="A732" s="4" t="str">
        <x:v>proposal.collection.tendon_strung_metal_zither</x:v>
      </x:c>
      <x:c r="B732" s="4" t="str">
        <x:v>Tendon-strung metal zither</x:v>
      </x:c>
      <x:c r="C732" s="4" t="str">
        <x:v>Not applicable</x:v>
      </x:c>
      <x:c r="D732" s="4" t="inlineStr">
        <x:is>
          <x:t xml:space="preserve">Salvage</x:t>
        </x:is>
      </x:c>
      <x:c r="E732" s="4" t="str">
        <x:v>Musical instrument</x:v>
      </x:c>
      <x:c r="F732" s="4" t="str">
        <x:v>New proposal</x:v>
      </x:c>
      <x:c r="G732" s="4" t="inlineStr">
        <x:is>
          <x:t xml:space="preserve">Prepared tendon strings on a resonant metal tray. Its recorded physical form is intended to produce, control or support sound in a musical instrument; tuning and playable dimensions remain open.</x:t>
        </x:is>
      </x:c>
      <x:c r="H732" s="4" t="str">
        <x:v>None</x:v>
      </x:c>
      <x:c r="I732" s="4" t="str">
        <x:v>Physical inventory / cargo item; dimensions and packing unresolved</x:v>
      </x:c>
      <x:c r="J732" s="4"/>
      <x:c r="K732" s="4"/>
      <x:c r="L732" s="4" t="str">
        <x:v>Candidate preparation: design.collection.tendon_strung_metal_zither. Full inputs are in Crafting browser.</x:v>
      </x:c>
      <x:c r="M732" s="4" t="str">
        <x:v>Candidate workshop or contained preparation route; detailed tools, quantities and conditions unresolved</x:v>
      </x:c>
      <x:c r="N732" s="4" t="str">
        <x:v>Not implemented</x:v>
      </x:c>
      <x:c r="O732" s="4" t="str">
        <x:v>Specific dimensions, yield, fit, performance and service conditions remain open.</x:v>
      </x:c>
      <x:c r="P732" s="4"/>
      <x:c r="Q732" s="4"/>
      <x:c r="R732" s="4"/>
      <x:c r="S732" s="4"/>
      <x:c r="T732" s="4"/>
      <x:c r="U732" s="4" t="str">
        <x:v>Candidate inputs are partial. Resolve tools, supporting materials, energy, recovery and compatibility before recipes become craftable.</x:v>
      </x:c>
      <x:c r="V732" s="4" t="str">
        <x:v>tendon-strung metal zither; collection expansion; musical instrument</x:v>
      </x:c>
      <x:c r="W732" s="4" t="str">
        <x:v>New item proposal, October 15, 2026. Setting reference (source proposal): https://github.com/sleepyseamonster/Arc-Dust/blob/f6f98515c005dc3c73cccd9cbc031691745740c6/02-Arc-Dust-Worldbuilding/world/materials/industrial-material-palette.md</x:v>
      </x:c>
      <x:c r="X732" s="4" t="str">
        <x:v>Musical instrument</x:v>
      </x:c>
      <x:c r="Y732" s="4" t="str">
        <x:v>Finished item</x:v>
      </x:c>
      <x:c r="Z732" s="4" t="str">
        <x:v>Manufactured / unresolved</x:v>
      </x:c>
      <x:c r="AA732" s="4" t="str">
        <x:v>Music</x:v>
      </x:c>
      <x:c r="AB732" s="4" t="str">
        <x:v>Mixed / unresolved</x:v>
      </x:c>
      <x:c r="AC732" s="4" t="str">
        <x:v>Assembly</x:v>
      </x:c>
      <x:c r="AD732" s="4" t="str">
        <x:v>Proposal</x:v>
      </x:c>
      <x:c r="AE732" s="4" t="str">
        <x:f>LOWER(A732&amp;"; "&amp;B732&amp;"; "&amp;D732&amp;"; "&amp;E732&amp;"; "&amp;X732&amp;"; "&amp;Y732&amp;"; "&amp;Z732&amp;"; "&amp;AA732&amp;"; "&amp;AB732&amp;"; "&amp;AC732&amp;"; "&amp;AD732&amp;"; "&amp;V732&amp;"; "&amp;C732&amp;"; "&amp;AH732&amp;"; "&amp;AI732)</x:f>
        <x:v>proposal.collection.tendon_strung_metal_zither; tendon-strung metal zither; salvage; musical instrument; musical instrument; finished item; manufactured / unresolved; music; mixed / unresolved; assembly; proposal; tendon-strung metal zither; collection expansion; musical instrument; not applicable; t3; finished item</x:v>
      </x:c>
      <x:c r="AF732"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32" s="4" t="str">
        <x:v>Finished endpoint or currency. Material tier is separate from finished input tier.</x:v>
      </x:c>
      <x:c r="AH732" s="4" t="str">
        <x:v>T3</x:v>
      </x:c>
      <x:c r="AI732" s="4" t="str">
        <x:v>Finished item</x:v>
      </x:c>
      <x:c r="AJ732" s="4" t="n">
        <x:f>COUNTIFS('Material routes'!$D$6:$D$2205,A732,'Material routes'!$C$6:$C$2205,"Output")</x:f>
        <x:v>1</x:v>
      </x:c>
      <x:c r="AK732" s="4" t="n">
        <x:f>SUM(COUNTIFS('Material routes'!$D$6:$D$2205,A732,'Material routes'!$C$6:$C$2205,"Ingredient candidate"),COUNTIFS('Material routes'!$D$6:$D$2205,A732,'Material routes'!$C$6:$C$2205,"Consumed input"),COUNTIFS('Material routes'!$D$6:$D$2205,A732,'Material routes'!$C$6:$C$2205,"Contained input"),COUNTIFS('Material routes'!$D$6:$D$2205,A732,'Material routes'!$C$6:$C$2205,"Transform input"))</x:f>
        <x:v>0</x:v>
      </x:c>
      <x:c r="AL732" s="4" t="n">
        <x:f>COUNTIFS('Material routes'!$D$6:$D$2205,A732,'Material routes'!$C$6:$C$2205,"Tool candidate")</x:f>
        <x:v>0</x:v>
      </x:c>
      <x:c r="AM732" s="4" t="str">
        <x:f>IF(AJ732&gt;0,"Route listed; review status/completeness",IF(C732="T0","Raw entry feed; no production route","No production route listed"))</x:f>
        <x:v>Route listed; review status/completeness</x:v>
      </x:c>
      <x:c r="AN732" s="4" t="n">
        <x:f>IF(C732="T0",0,IF(C732="T1",1,IF(C732="T2",2,IF(C732="T3",3,IF(C732="T4",4,IF(C732="Unassigned",98,99))))))</x:f>
        <x:v>99</x:v>
      </x:c>
      <x:c r="AZ732"/>
      <x:c r="BA732"/>
      <x:c r="BB732"/>
      <x:c r="BC732"/>
      <x:c r="BD732"/>
      <x:c r="BE732"/>
      <x:c r="BF732"/>
      <x:c r="BG732"/>
      <x:c r="BH732"/>
      <x:c r="BI732"/>
      <x:c r="BJ732"/>
      <x:c r="BK732"/>
      <x:c r="BL732"/>
      <x:c r="BM732"/>
      <x:c r="BN732"/>
      <x:c r="BO732"/>
      <x:c r="BP732"/>
      <x:c r="BQ732"/>
      <x:c r="BR732"/>
      <x:c r="BS732"/>
      <x:c r="BT732"/>
      <x:c r="BU732"/>
      <x:c r="BV732"/>
      <x:c r="BW732"/>
      <x:c r="BX732"/>
      <x:c r="BY732"/>
      <x:c r="BZ732"/>
      <x:c r="CA732"/>
      <x:c r="CB732"/>
      <x:c r="CC732"/>
    </x:row>
    <x:row r="733" ht="115" customHeight="1">
      <x:c r="A733" s="4" t="str">
        <x:v>proposal.collection.steel_jaw_harp</x:v>
      </x:c>
      <x:c r="B733" s="4" t="str">
        <x:v>Steel jaw harp</x:v>
      </x:c>
      <x:c r="C733" s="4" t="str">
        <x:v>Not applicable</x:v>
      </x:c>
      <x:c r="D733" s="4" t="inlineStr">
        <x:is>
          <x:t xml:space="preserve">Salvage</x:t>
        </x:is>
      </x:c>
      <x:c r="E733" s="4" t="str">
        <x:v>Musical instrument</x:v>
      </x:c>
      <x:c r="F733" s="4" t="str">
        <x:v>New proposal</x:v>
      </x:c>
      <x:c r="G733" s="4" t="inlineStr">
        <x:is>
          <x:t xml:space="preserve">Plucked spring tongue in a compact metal frame. Its recorded physical form is intended to produce, control or support sound in a musical instrument; tuning and playable dimensions remain open.</x:t>
        </x:is>
      </x:c>
      <x:c r="H733" s="4" t="str">
        <x:v>None</x:v>
      </x:c>
      <x:c r="I733" s="4" t="str">
        <x:v>Physical inventory / cargo item; dimensions and packing unresolved</x:v>
      </x:c>
      <x:c r="J733" s="4"/>
      <x:c r="K733" s="4"/>
      <x:c r="L733" s="4" t="str">
        <x:v>Candidate preparation: design.collection.steel_jaw_harp. Full inputs are in Crafting browser.</x:v>
      </x:c>
      <x:c r="M733" s="4" t="str">
        <x:v>Candidate workshop or contained preparation route; detailed tools, quantities and conditions unresolved</x:v>
      </x:c>
      <x:c r="N733" s="4" t="str">
        <x:v>Not implemented</x:v>
      </x:c>
      <x:c r="O733" s="4" t="str">
        <x:v>Specific dimensions, yield, fit, performance and service conditions remain open.</x:v>
      </x:c>
      <x:c r="P733" s="4"/>
      <x:c r="Q733" s="4"/>
      <x:c r="R733" s="4"/>
      <x:c r="S733" s="4"/>
      <x:c r="T733" s="4"/>
      <x:c r="U733" s="4" t="str">
        <x:v>Candidate inputs are partial. Resolve tools, supporting materials, energy, recovery and compatibility before recipes become craftable.</x:v>
      </x:c>
      <x:c r="V733" s="4" t="str">
        <x:v>steel jaw harp; collection expansion; musical instrument</x:v>
      </x:c>
      <x:c r="W733" s="4" t="str">
        <x:v>New item proposal, October 15, 2026. Setting reference (source proposal): https://github.com/sleepyseamonster/Arc-Dust/blob/f6f98515c005dc3c73cccd9cbc031691745740c6/02-Arc-Dust-Worldbuilding/world/materials/industrial-material-palette.md</x:v>
      </x:c>
      <x:c r="X733" s="4" t="str">
        <x:v>Musical instrument</x:v>
      </x:c>
      <x:c r="Y733" s="4" t="str">
        <x:v>Finished item</x:v>
      </x:c>
      <x:c r="Z733" s="4" t="str">
        <x:v>Manufactured / unresolved</x:v>
      </x:c>
      <x:c r="AA733" s="4" t="str">
        <x:v>Music</x:v>
      </x:c>
      <x:c r="AB733" s="4" t="str">
        <x:v>Metal</x:v>
      </x:c>
      <x:c r="AC733" s="4" t="str">
        <x:v>Assembly</x:v>
      </x:c>
      <x:c r="AD733" s="4" t="str">
        <x:v>Proposal</x:v>
      </x:c>
      <x:c r="AE733" s="4" t="str">
        <x:f>LOWER(A733&amp;"; "&amp;B733&amp;"; "&amp;D733&amp;"; "&amp;E733&amp;"; "&amp;X733&amp;"; "&amp;Y733&amp;"; "&amp;Z733&amp;"; "&amp;AA733&amp;"; "&amp;AB733&amp;"; "&amp;AC733&amp;"; "&amp;AD733&amp;"; "&amp;V733&amp;"; "&amp;C733&amp;"; "&amp;AH733&amp;"; "&amp;AI733)</x:f>
        <x:v>proposal.collection.steel_jaw_harp; steel jaw harp; salvage; musical instrument; musical instrument; finished item; manufactured / unresolved; music; metal; assembly; proposal; steel jaw harp; collection expansion; musical instrument; not applicable; t3; finished item</x:v>
      </x:c>
      <x:c r="AF73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33" s="4" t="str">
        <x:v>Finished endpoint or currency. Material tier is separate from finished input tier.</x:v>
      </x:c>
      <x:c r="AH733" s="4" t="str">
        <x:v>T3</x:v>
      </x:c>
      <x:c r="AI733" s="4" t="str">
        <x:v>Finished item</x:v>
      </x:c>
      <x:c r="AJ733" s="4" t="n">
        <x:f>COUNTIFS('Material routes'!$D$6:$D$2205,A733,'Material routes'!$C$6:$C$2205,"Output")</x:f>
        <x:v>1</x:v>
      </x:c>
      <x:c r="AK733" s="4" t="n">
        <x:f>SUM(COUNTIFS('Material routes'!$D$6:$D$2205,A733,'Material routes'!$C$6:$C$2205,"Ingredient candidate"),COUNTIFS('Material routes'!$D$6:$D$2205,A733,'Material routes'!$C$6:$C$2205,"Consumed input"),COUNTIFS('Material routes'!$D$6:$D$2205,A733,'Material routes'!$C$6:$C$2205,"Contained input"),COUNTIFS('Material routes'!$D$6:$D$2205,A733,'Material routes'!$C$6:$C$2205,"Transform input"))</x:f>
        <x:v>0</x:v>
      </x:c>
      <x:c r="AL733" s="4" t="n">
        <x:f>COUNTIFS('Material routes'!$D$6:$D$2205,A733,'Material routes'!$C$6:$C$2205,"Tool candidate")</x:f>
        <x:v>0</x:v>
      </x:c>
      <x:c r="AM733" s="4" t="str">
        <x:f>IF(AJ733&gt;0,"Route listed; review status/completeness",IF(C733="T0","Raw entry feed; no production route","No production route listed"))</x:f>
        <x:v>Route listed; review status/completeness</x:v>
      </x:c>
      <x:c r="AN733" s="4" t="n">
        <x:f>IF(C733="T0",0,IF(C733="T1",1,IF(C733="T2",2,IF(C733="T3",3,IF(C733="T4",4,IF(C733="Unassigned",98,99))))))</x:f>
        <x:v>99</x:v>
      </x:c>
      <x:c r="AZ733"/>
      <x:c r="BA733"/>
      <x:c r="BB733"/>
      <x:c r="BC733"/>
      <x:c r="BD733"/>
      <x:c r="BE733"/>
      <x:c r="BF733"/>
      <x:c r="BG733"/>
      <x:c r="BH733"/>
      <x:c r="BI733"/>
      <x:c r="BJ733"/>
      <x:c r="BK733"/>
      <x:c r="BL733"/>
      <x:c r="BM733"/>
      <x:c r="BN733"/>
      <x:c r="BO733"/>
      <x:c r="BP733"/>
      <x:c r="BQ733"/>
      <x:c r="BR733"/>
      <x:c r="BS733"/>
      <x:c r="BT733"/>
      <x:c r="BU733"/>
      <x:c r="BV733"/>
      <x:c r="BW733"/>
      <x:c r="BX733"/>
      <x:c r="BY733"/>
      <x:c r="BZ733"/>
      <x:c r="CA733"/>
      <x:c r="CB733"/>
      <x:c r="CC733"/>
    </x:row>
    <x:row r="734" ht="115" customHeight="1">
      <x:c r="A734" s="4" t="str">
        <x:v>proposal.collection.folding_vertical_wing_shade</x:v>
      </x:c>
      <x:c r="B734" s="4" t="str">
        <x:v>Folding vertical wing shade</x:v>
      </x:c>
      <x:c r="C734" s="4" t="str">
        <x:v>Not applicable</x:v>
      </x:c>
      <x:c r="D734" s="4" t="inlineStr">
        <x:is>
          <x:t xml:space="preserve">Salvage</x:t>
        </x:is>
      </x:c>
      <x:c r="E734" s="4" t="inlineStr">
        <x:is>
          <x:t xml:space="preserve">Shelter &amp; rest</x:t>
        </x:is>
      </x:c>
      <x:c r="F734" s="4" t="str">
        <x:v>New proposal</x:v>
      </x:c>
      <x:c r="G734" s="4" t="inlineStr">
        <x:is>
          <x:t xml:space="preserve">Upright inner-wing panel for directional sun shade. It is intended to place a physical screen between the low sun and the user or equipment; orientation, supports and wind retention matter to the final arrangement.</x:t>
        </x:is>
      </x:c>
      <x:c r="H734" s="4" t="str">
        <x:v>None</x:v>
      </x:c>
      <x:c r="I734" s="4" t="str">
        <x:v>Physical inventory / cargo item; dimensions and packing unresolved</x:v>
      </x:c>
      <x:c r="J734" s="4"/>
      <x:c r="K734" s="4"/>
      <x:c r="L734" s="4" t="str">
        <x:v>Candidate preparation: design.collection.folding_vertical_wing_shade. Full inputs are in Crafting browser.</x:v>
      </x:c>
      <x:c r="M734" s="4" t="str">
        <x:v>Candidate workshop or contained preparation route; detailed tools, quantities and conditions unresolved</x:v>
      </x:c>
      <x:c r="N734" s="4" t="str">
        <x:v>Not implemented</x:v>
      </x:c>
      <x:c r="O734" s="4" t="str">
        <x:v>Specific dimensions, yield, fit, performance and service conditions remain open.</x:v>
      </x:c>
      <x:c r="P734" s="4"/>
      <x:c r="Q734" s="4"/>
      <x:c r="R734" s="4"/>
      <x:c r="S734" s="4"/>
      <x:c r="T734" s="4"/>
      <x:c r="U734" s="4" t="str">
        <x:v>Candidate inputs are partial. Resolve tools, supporting materials, energy, recovery and compatibility before recipes become craftable.</x:v>
      </x:c>
      <x:c r="V734" s="4" t="inlineStr">
        <x:is>
          <x:t xml:space="preserve">folding vertical wing shade; collection expansion; shelter item; Proposed shelter kit content; camp goods; Shelter &amp; rest</x:t>
        </x:is>
      </x:c>
      <x:c r="W734" s="4" t="str">
        <x:v>New item proposal, October 15, 2026. Setting reference (source proposal): https://github.com/sleepyseamonster/Arc-Dust/blob/f6f98515c005dc3c73cccd9cbc031691745740c6/02-Arc-Dust-Worldbuilding/world/materials/industrial-material-palette.md</x:v>
      </x:c>
      <x:c r="X734" s="4" t="str">
        <x:v>Shelter item</x:v>
      </x:c>
      <x:c r="Y734" s="4" t="str">
        <x:v>Finished item</x:v>
      </x:c>
      <x:c r="Z734" s="4" t="str">
        <x:v>Manufactured / unresolved</x:v>
      </x:c>
      <x:c r="AA734" s="4" t="str">
        <x:v>Sun shading</x:v>
      </x:c>
      <x:c r="AB734" s="4" t="str">
        <x:v>Wing membrane and frame</x:v>
      </x:c>
      <x:c r="AC734" s="4" t="str">
        <x:v>Assembly</x:v>
      </x:c>
      <x:c r="AD734" s="4" t="str">
        <x:v>Proposal</x:v>
      </x:c>
      <x:c r="AE734" s="4" t="str">
        <x:f>LOWER(A734&amp;"; "&amp;B734&amp;"; "&amp;D734&amp;"; "&amp;E734&amp;"; "&amp;X734&amp;"; "&amp;Y734&amp;"; "&amp;Z734&amp;"; "&amp;AA734&amp;"; "&amp;AB734&amp;"; "&amp;AC734&amp;"; "&amp;AD734&amp;"; "&amp;V734&amp;"; "&amp;C734&amp;"; "&amp;AH734&amp;"; "&amp;AI734)</x:f>
        <x:v>proposal.collection.folding_vertical_wing_shade; folding vertical wing shade; salvage; shelter &amp; rest; shelter item; finished item; manufactured / unresolved; sun shading; wing membrane and frame; assembly; proposal; folding vertical wing shade; collection expansion; shelter item; proposed shelter kit content; camp goods; shelter &amp; rest; not applicable; t4; finished item</x:v>
      </x:c>
      <x:c r="AF734"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4" s="4" t="str">
        <x:v>Finished endpoint or currency. Material tier is separate from finished input tier.</x:v>
      </x:c>
      <x:c r="AH734" s="4" t="str">
        <x:v>T4</x:v>
      </x:c>
      <x:c r="AI734" s="4" t="str">
        <x:v>Finished item</x:v>
      </x:c>
      <x:c r="AJ734" s="4" t="n">
        <x:f>COUNTIFS('Material routes'!$D$6:$D$2205,A734,'Material routes'!$C$6:$C$2205,"Output")</x:f>
        <x:v>1</x:v>
      </x:c>
      <x:c r="AK734" s="4" t="n">
        <x:f>SUM(COUNTIFS('Material routes'!$D$6:$D$2205,A734,'Material routes'!$C$6:$C$2205,"Ingredient candidate"),COUNTIFS('Material routes'!$D$6:$D$2205,A734,'Material routes'!$C$6:$C$2205,"Consumed input"),COUNTIFS('Material routes'!$D$6:$D$2205,A734,'Material routes'!$C$6:$C$2205,"Contained input"),COUNTIFS('Material routes'!$D$6:$D$2205,A734,'Material routes'!$C$6:$C$2205,"Transform input"))</x:f>
        <x:v>1</x:v>
      </x:c>
      <x:c r="AL734" s="4" t="n">
        <x:f>COUNTIFS('Material routes'!$D$6:$D$2205,A734,'Material routes'!$C$6:$C$2205,"Tool candidate")</x:f>
        <x:v>0</x:v>
      </x:c>
      <x:c r="AM734" s="4" t="str">
        <x:f>IF(AJ734&gt;0,"Route listed; review status/completeness",IF(C734="T0","Raw entry feed; no production route","No production route listed"))</x:f>
        <x:v>Route listed; review status/completeness</x:v>
      </x:c>
      <x:c r="AN734" s="4" t="n">
        <x:f>IF(C734="T0",0,IF(C734="T1",1,IF(C734="T2",2,IF(C734="T3",3,IF(C734="T4",4,IF(C734="Unassigned",98,99))))))</x:f>
        <x:v>99</x:v>
      </x:c>
      <x:c r="AZ734"/>
      <x:c r="BA734"/>
      <x:c r="BB734"/>
      <x:c r="BC734"/>
      <x:c r="BD734"/>
      <x:c r="BE734"/>
      <x:c r="BF734"/>
      <x:c r="BG734"/>
      <x:c r="BH734"/>
      <x:c r="BI734"/>
      <x:c r="BJ734"/>
      <x:c r="BK734"/>
      <x:c r="BL734"/>
      <x:c r="BM734"/>
      <x:c r="BN734"/>
      <x:c r="BO734"/>
      <x:c r="BP734"/>
      <x:c r="BQ734"/>
      <x:c r="BR734"/>
      <x:c r="BS734"/>
      <x:c r="BT734"/>
      <x:c r="BU734"/>
      <x:c r="BV734"/>
      <x:c r="BW734"/>
      <x:c r="BX734"/>
      <x:c r="BY734"/>
      <x:c r="BZ734"/>
      <x:c r="CA734"/>
      <x:c r="CB734"/>
      <x:c r="CC734"/>
    </x:row>
    <x:row r="735" ht="115" customHeight="1">
      <x:c r="A735" s="4" t="str">
        <x:v>proposal.collection.low_wing_roof_panel</x:v>
      </x:c>
      <x:c r="B735" s="4" t="str">
        <x:v>Low wing-roof panel</x:v>
      </x:c>
      <x:c r="C735" s="4" t="str">
        <x:v>Not applicable</x:v>
      </x:c>
      <x:c r="D735" s="4" t="inlineStr">
        <x:is>
          <x:t xml:space="preserve">Salvage</x:t>
        </x:is>
      </x:c>
      <x:c r="E735" s="4" t="inlineStr">
        <x:is>
          <x:t xml:space="preserve">Shelter &amp; rest</x:t>
        </x:is>
      </x:c>
      <x:c r="F735" s="4" t="str">
        <x:v>New proposal</x:v>
      </x:c>
      <x:c r="G735" s="4" t="inlineStr">
        <x:is>
          <x:t xml:space="preserve">Overhead wing membrane roof section. It is intended to place a physical screen between the low sun and the user or equipment; orientation, supports and wind retention matter to the final arrangement.</x:t>
        </x:is>
      </x:c>
      <x:c r="H735" s="4" t="str">
        <x:v>None</x:v>
      </x:c>
      <x:c r="I735" s="4" t="str">
        <x:v>Physical inventory / cargo item; dimensions and packing unresolved</x:v>
      </x:c>
      <x:c r="J735" s="4"/>
      <x:c r="K735" s="4"/>
      <x:c r="L735" s="4" t="str">
        <x:v>Candidate preparation: design.collection.low_wing_roof_panel. Full inputs are in Crafting browser.</x:v>
      </x:c>
      <x:c r="M735" s="4" t="str">
        <x:v>Candidate workshop or contained preparation route; detailed tools, quantities and conditions unresolved</x:v>
      </x:c>
      <x:c r="N735" s="4" t="str">
        <x:v>Not implemented</x:v>
      </x:c>
      <x:c r="O735" s="4" t="str">
        <x:v>Specific dimensions, yield, fit, performance and service conditions remain open.</x:v>
      </x:c>
      <x:c r="P735" s="4"/>
      <x:c r="Q735" s="4"/>
      <x:c r="R735" s="4"/>
      <x:c r="S735" s="4"/>
      <x:c r="T735" s="4"/>
      <x:c r="U735" s="4" t="str">
        <x:v>Candidate inputs are partial. Resolve tools, supporting materials, energy, recovery and compatibility before recipes become craftable.</x:v>
      </x:c>
      <x:c r="V735" s="4" t="inlineStr">
        <x:is>
          <x:t xml:space="preserve">low wing-roof panel; collection expansion; shelter item; Proposed shelter kit content; camp goods; Shelter &amp; rest</x:t>
        </x:is>
      </x:c>
      <x:c r="W735" s="4" t="str">
        <x:v>New item proposal, October 15, 2026. Setting reference (source proposal): https://github.com/sleepyseamonster/Arc-Dust/blob/f6f98515c005dc3c73cccd9cbc031691745740c6/02-Arc-Dust-Worldbuilding/world/materials/industrial-material-palette.md</x:v>
      </x:c>
      <x:c r="X735" s="4" t="str">
        <x:v>Shelter item</x:v>
      </x:c>
      <x:c r="Y735" s="4" t="str">
        <x:v>Finished item</x:v>
      </x:c>
      <x:c r="Z735" s="4" t="str">
        <x:v>Manufactured / unresolved</x:v>
      </x:c>
      <x:c r="AA735" s="4" t="str">
        <x:v>Sun shading</x:v>
      </x:c>
      <x:c r="AB735" s="4" t="str">
        <x:v>Wing membrane and frame</x:v>
      </x:c>
      <x:c r="AC735" s="4" t="str">
        <x:v>Assembly</x:v>
      </x:c>
      <x:c r="AD735" s="4" t="str">
        <x:v>Proposal</x:v>
      </x:c>
      <x:c r="AE735" s="4" t="str">
        <x:f>LOWER(A735&amp;"; "&amp;B735&amp;"; "&amp;D735&amp;"; "&amp;E735&amp;"; "&amp;X735&amp;"; "&amp;Y735&amp;"; "&amp;Z735&amp;"; "&amp;AA735&amp;"; "&amp;AB735&amp;"; "&amp;AC735&amp;"; "&amp;AD735&amp;"; "&amp;V735&amp;"; "&amp;C735&amp;"; "&amp;AH735&amp;"; "&amp;AI735)</x:f>
        <x:v>proposal.collection.low_wing_roof_panel; low wing-roof panel; salvage; shelter &amp; rest; shelter item; finished item; manufactured / unresolved; sun shading; wing membrane and frame; assembly; proposal; low wing-roof panel; collection expansion; shelter item; proposed shelter kit content; camp goods; shelter &amp; rest; not applicable; t2; finished item</x:v>
      </x:c>
      <x:c r="AF735"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5" s="4" t="str">
        <x:v>Finished endpoint or currency. Material tier is separate from finished input tier.</x:v>
      </x:c>
      <x:c r="AH735" s="4" t="str">
        <x:v>T2</x:v>
      </x:c>
      <x:c r="AI735" s="4" t="str">
        <x:v>Finished item</x:v>
      </x:c>
      <x:c r="AJ735" s="4" t="n">
        <x:f>COUNTIFS('Material routes'!$D$6:$D$2205,A735,'Material routes'!$C$6:$C$2205,"Output")</x:f>
        <x:v>1</x:v>
      </x:c>
      <x:c r="AK735" s="4" t="n">
        <x:f>SUM(COUNTIFS('Material routes'!$D$6:$D$2205,A735,'Material routes'!$C$6:$C$2205,"Ingredient candidate"),COUNTIFS('Material routes'!$D$6:$D$2205,A735,'Material routes'!$C$6:$C$2205,"Consumed input"),COUNTIFS('Material routes'!$D$6:$D$2205,A735,'Material routes'!$C$6:$C$2205,"Contained input"),COUNTIFS('Material routes'!$D$6:$D$2205,A735,'Material routes'!$C$6:$C$2205,"Transform input"))</x:f>
        <x:v>1</x:v>
      </x:c>
      <x:c r="AL735" s="4" t="n">
        <x:f>COUNTIFS('Material routes'!$D$6:$D$2205,A735,'Material routes'!$C$6:$C$2205,"Tool candidate")</x:f>
        <x:v>0</x:v>
      </x:c>
      <x:c r="AM735" s="4" t="str">
        <x:f>IF(AJ735&gt;0,"Route listed; review status/completeness",IF(C735="T0","Raw entry feed; no production route","No production route listed"))</x:f>
        <x:v>Route listed; review status/completeness</x:v>
      </x:c>
      <x:c r="AN735" s="4" t="n">
        <x:f>IF(C735="T0",0,IF(C735="T1",1,IF(C735="T2",2,IF(C735="T3",3,IF(C735="T4",4,IF(C735="Unassigned",98,99))))))</x:f>
        <x:v>99</x:v>
      </x:c>
      <x:c r="AZ735"/>
      <x:c r="BA735"/>
      <x:c r="BB735"/>
      <x:c r="BC735"/>
      <x:c r="BD735"/>
      <x:c r="BE735"/>
      <x:c r="BF735"/>
      <x:c r="BG735"/>
      <x:c r="BH735"/>
      <x:c r="BI735"/>
      <x:c r="BJ735"/>
      <x:c r="BK735"/>
      <x:c r="BL735"/>
      <x:c r="BM735"/>
      <x:c r="BN735"/>
      <x:c r="BO735"/>
      <x:c r="BP735"/>
      <x:c r="BQ735"/>
      <x:c r="BR735"/>
      <x:c r="BS735"/>
      <x:c r="BT735"/>
      <x:c r="BU735"/>
      <x:c r="BV735"/>
      <x:c r="BW735"/>
      <x:c r="BX735"/>
      <x:c r="BY735"/>
      <x:c r="BZ735"/>
      <x:c r="CA735"/>
      <x:c r="CB735"/>
      <x:c r="CC735"/>
    </x:row>
    <x:row r="736" ht="115" customHeight="1">
      <x:c r="A736" s="4" t="str">
        <x:v>proposal.collection.segmented_shelter_pole_set</x:v>
      </x:c>
      <x:c r="B736" s="4" t="str">
        <x:v>Segmented shelter pole set</x:v>
      </x:c>
      <x:c r="C736" s="4" t="str">
        <x:v>Not applicable</x:v>
      </x:c>
      <x:c r="D736" s="4" t="inlineStr">
        <x:is>
          <x:t xml:space="preserve">Salvage</x:t>
        </x:is>
      </x:c>
      <x:c r="E736" s="4" t="inlineStr">
        <x:is>
          <x:t xml:space="preserve">Shelter &amp; rest</x:t>
        </x:is>
      </x:c>
      <x:c r="F736" s="4" t="str">
        <x:v>New proposal</x:v>
      </x:c>
      <x:c r="G736" s="4" t="inlineStr">
        <x:is>
          <x:t xml:space="preserve">Packable metal supports for a proposed camp arrangement. It supports a physical resting arrangement through shelter, positioning or retention rather than supplying an automatic recovery bonus.</x:t>
        </x:is>
      </x:c>
      <x:c r="H736" s="4" t="str">
        <x:v>None</x:v>
      </x:c>
      <x:c r="I736" s="4" t="str">
        <x:v>Physical inventory / cargo item; dimensions and packing unresolved</x:v>
      </x:c>
      <x:c r="J736" s="4"/>
      <x:c r="K736" s="4"/>
      <x:c r="L736" s="4" t="str">
        <x:v>Candidate preparation: design.collection.segmented_shelter_pole_set. Full inputs are in Crafting browser.</x:v>
      </x:c>
      <x:c r="M736" s="4" t="str">
        <x:v>Candidate workshop or contained preparation route; detailed tools, quantities and conditions unresolved</x:v>
      </x:c>
      <x:c r="N736" s="4" t="str">
        <x:v>Not implemented</x:v>
      </x:c>
      <x:c r="O736" s="4" t="str">
        <x:v>Specific dimensions, yield, fit, performance and service conditions remain open.</x:v>
      </x:c>
      <x:c r="P736" s="4"/>
      <x:c r="Q736" s="4"/>
      <x:c r="R736" s="4"/>
      <x:c r="S736" s="4"/>
      <x:c r="T736" s="4"/>
      <x:c r="U736" s="4" t="str">
        <x:v>Candidate inputs are partial. Resolve tools, supporting materials, energy, recovery and compatibility before recipes become craftable.</x:v>
      </x:c>
      <x:c r="V736" s="4" t="inlineStr">
        <x:is>
          <x:t xml:space="preserve">segmented shelter pole set; collection expansion; shelter item; Proposed shelter kit content; camp goods; Shelter &amp; rest</x:t>
        </x:is>
      </x:c>
      <x:c r="W736" s="4" t="str">
        <x:v>New item proposal, October 15, 2026. Setting reference (source proposal): https://github.com/sleepyseamonster/Arc-Dust/blob/f6f98515c005dc3c73cccd9cbc031691745740c6/02-Arc-Dust-Worldbuilding/world/materials/industrial-material-palette.md</x:v>
      </x:c>
      <x:c r="X736" s="4" t="str">
        <x:v>Shelter item</x:v>
      </x:c>
      <x:c r="Y736" s="4" t="str">
        <x:v>Finished item</x:v>
      </x:c>
      <x:c r="Z736" s="4" t="str">
        <x:v>Manufactured / unresolved</x:v>
      </x:c>
      <x:c r="AA736" s="4" t="str">
        <x:v>Camp rest</x:v>
      </x:c>
      <x:c r="AB736" s="4" t="str">
        <x:v>Metal</x:v>
      </x:c>
      <x:c r="AC736" s="4" t="str">
        <x:v>Assembly</x:v>
      </x:c>
      <x:c r="AD736" s="4" t="str">
        <x:v>Proposal</x:v>
      </x:c>
      <x:c r="AE736" s="4" t="str">
        <x:f>LOWER(A736&amp;"; "&amp;B736&amp;"; "&amp;D736&amp;"; "&amp;E736&amp;"; "&amp;X736&amp;"; "&amp;Y736&amp;"; "&amp;Z736&amp;"; "&amp;AA736&amp;"; "&amp;AB736&amp;"; "&amp;AC736&amp;"; "&amp;AD736&amp;"; "&amp;V736&amp;"; "&amp;C736&amp;"; "&amp;AH736&amp;"; "&amp;AI736)</x:f>
        <x:v>proposal.collection.segmented_shelter_pole_set; segmented shelter pole set; salvage; shelter &amp; rest; shelter item; finished item; manufactured / unresolved; camp rest; metal; assembly; proposal; segmented shelter pole set; collection expansion; shelter item; proposed shelter kit content; camp goods; shelter &amp; rest; not applicable; t3; finished item</x:v>
      </x:c>
      <x:c r="AF736"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6" s="4" t="str">
        <x:v>Finished endpoint or currency. Material tier is separate from finished input tier.</x:v>
      </x:c>
      <x:c r="AH736" s="4" t="str">
        <x:v>T3</x:v>
      </x:c>
      <x:c r="AI736" s="4" t="str">
        <x:v>Finished item</x:v>
      </x:c>
      <x:c r="AJ736" s="4" t="n">
        <x:f>COUNTIFS('Material routes'!$D$6:$D$2205,A736,'Material routes'!$C$6:$C$2205,"Output")</x:f>
        <x:v>1</x:v>
      </x:c>
      <x:c r="AK736" s="4" t="n">
        <x:f>SUM(COUNTIFS('Material routes'!$D$6:$D$2205,A736,'Material routes'!$C$6:$C$2205,"Ingredient candidate"),COUNTIFS('Material routes'!$D$6:$D$2205,A736,'Material routes'!$C$6:$C$2205,"Consumed input"),COUNTIFS('Material routes'!$D$6:$D$2205,A736,'Material routes'!$C$6:$C$2205,"Contained input"),COUNTIFS('Material routes'!$D$6:$D$2205,A736,'Material routes'!$C$6:$C$2205,"Transform input"))</x:f>
        <x:v>1</x:v>
      </x:c>
      <x:c r="AL736" s="4" t="n">
        <x:f>COUNTIFS('Material routes'!$D$6:$D$2205,A736,'Material routes'!$C$6:$C$2205,"Tool candidate")</x:f>
        <x:v>0</x:v>
      </x:c>
      <x:c r="AM736" s="4" t="str">
        <x:f>IF(AJ736&gt;0,"Route listed; review status/completeness",IF(C736="T0","Raw entry feed; no production route","No production route listed"))</x:f>
        <x:v>Route listed; review status/completeness</x:v>
      </x:c>
      <x:c r="AN736" s="4" t="n">
        <x:f>IF(C736="T0",0,IF(C736="T1",1,IF(C736="T2",2,IF(C736="T3",3,IF(C736="T4",4,IF(C736="Unassigned",98,99))))))</x:f>
        <x:v>99</x:v>
      </x:c>
      <x:c r="AZ736"/>
      <x:c r="BA736"/>
      <x:c r="BB736"/>
      <x:c r="BC736"/>
      <x:c r="BD736"/>
      <x:c r="BE736"/>
      <x:c r="BF736"/>
      <x:c r="BG736"/>
      <x:c r="BH736"/>
      <x:c r="BI736"/>
      <x:c r="BJ736"/>
      <x:c r="BK736"/>
      <x:c r="BL736"/>
      <x:c r="BM736"/>
      <x:c r="BN736"/>
      <x:c r="BO736"/>
      <x:c r="BP736"/>
      <x:c r="BQ736"/>
      <x:c r="BR736"/>
      <x:c r="BS736"/>
      <x:c r="BT736"/>
      <x:c r="BU736"/>
      <x:c r="BV736"/>
      <x:c r="BW736"/>
      <x:c r="BX736"/>
      <x:c r="BY736"/>
      <x:c r="BZ736"/>
      <x:c r="CA736"/>
      <x:c r="CB736"/>
      <x:c r="CC736"/>
    </x:row>
    <x:row r="737" ht="115" customHeight="1">
      <x:c r="A737" s="4" t="str">
        <x:v>proposal.collection.ground_anchor_stake_set</x:v>
      </x:c>
      <x:c r="B737" s="4" t="str">
        <x:v>Ground-anchor stake set</x:v>
      </x:c>
      <x:c r="C737" s="4" t="str">
        <x:v>Not applicable</x:v>
      </x:c>
      <x:c r="D737" s="4" t="inlineStr">
        <x:is>
          <x:t xml:space="preserve">Salvage</x:t>
        </x:is>
      </x:c>
      <x:c r="E737" s="4" t="inlineStr">
        <x:is>
          <x:t xml:space="preserve">Shelter &amp; rest</x:t>
        </x:is>
      </x:c>
      <x:c r="F737" s="4" t="str">
        <x:v>New proposal</x:v>
      </x:c>
      <x:c r="G737" s="4" t="inlineStr">
        <x:is>
          <x:t xml:space="preserve">Retains camp lines in suitable ground. It supports a physical resting arrangement through shelter, positioning or retention rather than supplying an automatic recovery bonus.</x:t>
        </x:is>
      </x:c>
      <x:c r="H737" s="4" t="str">
        <x:v>None</x:v>
      </x:c>
      <x:c r="I737" s="4" t="str">
        <x:v>Physical inventory / cargo item; dimensions and packing unresolved</x:v>
      </x:c>
      <x:c r="J737" s="4"/>
      <x:c r="K737" s="4"/>
      <x:c r="L737" s="4" t="str">
        <x:v>Candidate preparation: design.collection.ground_anchor_stake_set. Full inputs are in Crafting browser.</x:v>
      </x:c>
      <x:c r="M737" s="4" t="str">
        <x:v>Candidate workshop or contained preparation route; detailed tools, quantities and conditions unresolved</x:v>
      </x:c>
      <x:c r="N737" s="4" t="str">
        <x:v>Not implemented</x:v>
      </x:c>
      <x:c r="O737" s="4" t="str">
        <x:v>Specific dimensions, yield, fit, performance and service conditions remain open.</x:v>
      </x:c>
      <x:c r="P737" s="4"/>
      <x:c r="Q737" s="4"/>
      <x:c r="R737" s="4"/>
      <x:c r="S737" s="4"/>
      <x:c r="T737" s="4"/>
      <x:c r="U737" s="4" t="str">
        <x:v>Candidate inputs are partial. Resolve tools, supporting materials, energy, recovery and compatibility before recipes become craftable.</x:v>
      </x:c>
      <x:c r="V737" s="4" t="inlineStr">
        <x:is>
          <x:t xml:space="preserve">ground-anchor stake set; collection expansion; shelter item; Proposed shelter kit content; camp goods; Shelter &amp; rest</x:t>
        </x:is>
      </x:c>
      <x:c r="W737" s="4" t="str">
        <x:v>New item proposal, October 15, 2026. Setting reference (source proposal): https://github.com/sleepyseamonster/Arc-Dust/blob/f6f98515c005dc3c73cccd9cbc031691745740c6/02-Arc-Dust-Worldbuilding/world/materials/industrial-material-palette.md</x:v>
      </x:c>
      <x:c r="X737" s="4" t="str">
        <x:v>Shelter item</x:v>
      </x:c>
      <x:c r="Y737" s="4" t="str">
        <x:v>Finished item</x:v>
      </x:c>
      <x:c r="Z737" s="4" t="str">
        <x:v>Manufactured / unresolved</x:v>
      </x:c>
      <x:c r="AA737" s="4" t="str">
        <x:v>Camp rest</x:v>
      </x:c>
      <x:c r="AB737" s="4" t="str">
        <x:v>Metal</x:v>
      </x:c>
      <x:c r="AC737" s="4" t="str">
        <x:v>Assembly</x:v>
      </x:c>
      <x:c r="AD737" s="4" t="str">
        <x:v>Proposal</x:v>
      </x:c>
      <x:c r="AE737" s="4" t="str">
        <x:f>LOWER(A737&amp;"; "&amp;B737&amp;"; "&amp;D737&amp;"; "&amp;E737&amp;"; "&amp;X737&amp;"; "&amp;Y737&amp;"; "&amp;Z737&amp;"; "&amp;AA737&amp;"; "&amp;AB737&amp;"; "&amp;AC737&amp;"; "&amp;AD737&amp;"; "&amp;V737&amp;"; "&amp;C737&amp;"; "&amp;AH737&amp;"; "&amp;AI737)</x:f>
        <x:v>proposal.collection.ground_anchor_stake_set; ground-anchor stake set; salvage; shelter &amp; rest; shelter item; finished item; manufactured / unresolved; camp rest; metal; assembly; proposal; ground-anchor stake set; collection expansion; shelter item; proposed shelter kit content; camp goods; shelter &amp; rest; not applicable; t2; finished item</x:v>
      </x:c>
      <x:c r="AF737"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7" s="4" t="str">
        <x:v>Finished endpoint or currency. Material tier is separate from finished input tier.</x:v>
      </x:c>
      <x:c r="AH737" s="4" t="str">
        <x:v>T2</x:v>
      </x:c>
      <x:c r="AI737" s="4" t="str">
        <x:v>Finished item</x:v>
      </x:c>
      <x:c r="AJ737" s="4" t="n">
        <x:f>COUNTIFS('Material routes'!$D$6:$D$2205,A737,'Material routes'!$C$6:$C$2205,"Output")</x:f>
        <x:v>1</x:v>
      </x:c>
      <x:c r="AK737" s="4" t="n">
        <x:f>SUM(COUNTIFS('Material routes'!$D$6:$D$2205,A737,'Material routes'!$C$6:$C$2205,"Ingredient candidate"),COUNTIFS('Material routes'!$D$6:$D$2205,A737,'Material routes'!$C$6:$C$2205,"Consumed input"),COUNTIFS('Material routes'!$D$6:$D$2205,A737,'Material routes'!$C$6:$C$2205,"Contained input"),COUNTIFS('Material routes'!$D$6:$D$2205,A737,'Material routes'!$C$6:$C$2205,"Transform input"))</x:f>
        <x:v>5</x:v>
      </x:c>
      <x:c r="AL737" s="4" t="n">
        <x:f>COUNTIFS('Material routes'!$D$6:$D$2205,A737,'Material routes'!$C$6:$C$2205,"Tool candidate")</x:f>
        <x:v>0</x:v>
      </x:c>
      <x:c r="AM737" s="4" t="str">
        <x:f>IF(AJ737&gt;0,"Route listed; review status/completeness",IF(C737="T0","Raw entry feed; no production route","No production route listed"))</x:f>
        <x:v>Route listed; review status/completeness</x:v>
      </x:c>
      <x:c r="AN737" s="4" t="n">
        <x:f>IF(C737="T0",0,IF(C737="T1",1,IF(C737="T2",2,IF(C737="T3",3,IF(C737="T4",4,IF(C737="Unassigned",98,99))))))</x:f>
        <x:v>99</x:v>
      </x:c>
      <x:c r="AZ737"/>
      <x:c r="BA737"/>
      <x:c r="BB737"/>
      <x:c r="BC737"/>
      <x:c r="BD737"/>
      <x:c r="BE737"/>
      <x:c r="BF737"/>
      <x:c r="BG737"/>
      <x:c r="BH737"/>
      <x:c r="BI737"/>
      <x:c r="BJ737"/>
      <x:c r="BK737"/>
      <x:c r="BL737"/>
      <x:c r="BM737"/>
      <x:c r="BN737"/>
      <x:c r="BO737"/>
      <x:c r="BP737"/>
      <x:c r="BQ737"/>
      <x:c r="BR737"/>
      <x:c r="BS737"/>
      <x:c r="BT737"/>
      <x:c r="BU737"/>
      <x:c r="BV737"/>
      <x:c r="BW737"/>
      <x:c r="BX737"/>
      <x:c r="BY737"/>
      <x:c r="BZ737"/>
      <x:c r="CA737"/>
      <x:c r="CB737"/>
      <x:c r="CC737"/>
    </x:row>
    <x:row r="738" ht="115" customHeight="1">
      <x:c r="A738" s="4" t="str">
        <x:v>proposal.collection.tendon_guyline_bundle</x:v>
      </x:c>
      <x:c r="B738" s="4" t="str">
        <x:v>Tendon guyline bundle</x:v>
      </x:c>
      <x:c r="C738" s="4" t="str">
        <x:v>Not applicable</x:v>
      </x:c>
      <x:c r="D738" s="4" t="inlineStr">
        <x:is>
          <x:t xml:space="preserve">Salvage</x:t>
        </x:is>
      </x:c>
      <x:c r="E738" s="4" t="inlineStr">
        <x:is>
          <x:t xml:space="preserve">Shelter &amp; rest</x:t>
        </x:is>
      </x:c>
      <x:c r="F738" s="4" t="str">
        <x:v>New proposal</x:v>
      </x:c>
      <x:c r="G738" s="4" t="inlineStr">
        <x:is>
          <x:t xml:space="preserve">Prepared biological lines for shelter anchoring. It supports a physical resting arrangement through shelter, positioning or retention rather than supplying an automatic recovery bonus.</x:t>
        </x:is>
      </x:c>
      <x:c r="H738" s="4" t="str">
        <x:v>None</x:v>
      </x:c>
      <x:c r="I738" s="4" t="str">
        <x:v>Physical inventory / cargo item; dimensions and packing unresolved</x:v>
      </x:c>
      <x:c r="J738" s="4"/>
      <x:c r="K738" s="4"/>
      <x:c r="L738" s="4" t="str">
        <x:v>Candidate preparation: design.collection.tendon_guyline_bundle. Full inputs are in Crafting browser.</x:v>
      </x:c>
      <x:c r="M738" s="4" t="str">
        <x:v>Candidate workshop or contained preparation route; detailed tools, quantities and conditions unresolved</x:v>
      </x:c>
      <x:c r="N738" s="4" t="str">
        <x:v>Not implemented</x:v>
      </x:c>
      <x:c r="O738" s="4" t="str">
        <x:v>Specific dimensions, yield, fit, performance and service conditions remain open.</x:v>
      </x:c>
      <x:c r="P738" s="4"/>
      <x:c r="Q738" s="4"/>
      <x:c r="R738" s="4"/>
      <x:c r="S738" s="4"/>
      <x:c r="T738" s="4"/>
      <x:c r="U738" s="4" t="str">
        <x:v>Candidate inputs are partial. Resolve tools, supporting materials, energy, recovery and compatibility before recipes become craftable.</x:v>
      </x:c>
      <x:c r="V738" s="4" t="inlineStr">
        <x:is>
          <x:t xml:space="preserve">tendon guyline bundle; collection expansion; shelter item; Proposed shelter kit content; camp goods; Shelter &amp; rest</x:t>
        </x:is>
      </x:c>
      <x:c r="W738" s="4" t="str">
        <x:v>New item proposal, October 15, 2026. Setting reference (source proposal): https://github.com/sleepyseamonster/Arc-Dust/blob/f6f98515c005dc3c73cccd9cbc031691745740c6/02-Arc-Dust-Worldbuilding/world/materials/industrial-material-palette.md</x:v>
      </x:c>
      <x:c r="X738" s="4" t="str">
        <x:v>Shelter item</x:v>
      </x:c>
      <x:c r="Y738" s="4" t="str">
        <x:v>Finished item</x:v>
      </x:c>
      <x:c r="Z738" s="4" t="str">
        <x:v>Manufactured / unresolved</x:v>
      </x:c>
      <x:c r="AA738" s="4" t="str">
        <x:v>Camp rest</x:v>
      </x:c>
      <x:c r="AB738" s="4" t="str">
        <x:v>Faunal fiber</x:v>
      </x:c>
      <x:c r="AC738" s="4" t="str">
        <x:v>Assembly</x:v>
      </x:c>
      <x:c r="AD738" s="4" t="str">
        <x:v>Proposal</x:v>
      </x:c>
      <x:c r="AE738" s="4" t="str">
        <x:f>LOWER(A738&amp;"; "&amp;B738&amp;"; "&amp;D738&amp;"; "&amp;E738&amp;"; "&amp;X738&amp;"; "&amp;Y738&amp;"; "&amp;Z738&amp;"; "&amp;AA738&amp;"; "&amp;AB738&amp;"; "&amp;AC738&amp;"; "&amp;AD738&amp;"; "&amp;V738&amp;"; "&amp;C738&amp;"; "&amp;AH738&amp;"; "&amp;AI738)</x:f>
        <x:v>proposal.collection.tendon_guyline_bundle; tendon guyline bundle; salvage; shelter &amp; rest; shelter item; finished item; manufactured / unresolved; camp rest; faunal fiber; assembly; proposal; tendon guyline bundle; collection expansion; shelter item; proposed shelter kit content; camp goods; shelter &amp; rest; not applicable; t1; finished item</x:v>
      </x:c>
      <x:c r="AF738"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8" s="4" t="str">
        <x:v>Finished endpoint or currency. Material tier is separate from finished input tier.</x:v>
      </x:c>
      <x:c r="AH738" s="4" t="str">
        <x:v>T1</x:v>
      </x:c>
      <x:c r="AI738" s="4" t="str">
        <x:v>Finished item</x:v>
      </x:c>
      <x:c r="AJ738" s="4" t="n">
        <x:f>COUNTIFS('Material routes'!$D$6:$D$2205,A738,'Material routes'!$C$6:$C$2205,"Output")</x:f>
        <x:v>1</x:v>
      </x:c>
      <x:c r="AK738" s="4" t="n">
        <x:f>SUM(COUNTIFS('Material routes'!$D$6:$D$2205,A738,'Material routes'!$C$6:$C$2205,"Ingredient candidate"),COUNTIFS('Material routes'!$D$6:$D$2205,A738,'Material routes'!$C$6:$C$2205,"Consumed input"),COUNTIFS('Material routes'!$D$6:$D$2205,A738,'Material routes'!$C$6:$C$2205,"Contained input"),COUNTIFS('Material routes'!$D$6:$D$2205,A738,'Material routes'!$C$6:$C$2205,"Transform input"))</x:f>
        <x:v>1</x:v>
      </x:c>
      <x:c r="AL738" s="4" t="n">
        <x:f>COUNTIFS('Material routes'!$D$6:$D$2205,A738,'Material routes'!$C$6:$C$2205,"Tool candidate")</x:f>
        <x:v>0</x:v>
      </x:c>
      <x:c r="AM738" s="4" t="str">
        <x:f>IF(AJ738&gt;0,"Route listed; review status/completeness",IF(C738="T0","Raw entry feed; no production route","No production route listed"))</x:f>
        <x:v>Route listed; review status/completeness</x:v>
      </x:c>
      <x:c r="AN738" s="4" t="n">
        <x:f>IF(C738="T0",0,IF(C738="T1",1,IF(C738="T2",2,IF(C738="T3",3,IF(C738="T4",4,IF(C738="Unassigned",98,99))))))</x:f>
        <x:v>99</x:v>
      </x:c>
      <x:c r="AZ738"/>
      <x:c r="BA738"/>
      <x:c r="BB738"/>
      <x:c r="BC738"/>
      <x:c r="BD738"/>
      <x:c r="BE738"/>
      <x:c r="BF738"/>
      <x:c r="BG738"/>
      <x:c r="BH738"/>
      <x:c r="BI738"/>
      <x:c r="BJ738"/>
      <x:c r="BK738"/>
      <x:c r="BL738"/>
      <x:c r="BM738"/>
      <x:c r="BN738"/>
      <x:c r="BO738"/>
      <x:c r="BP738"/>
      <x:c r="BQ738"/>
      <x:c r="BR738"/>
      <x:c r="BS738"/>
      <x:c r="BT738"/>
      <x:c r="BU738"/>
      <x:c r="BV738"/>
      <x:c r="BW738"/>
      <x:c r="BX738"/>
      <x:c r="BY738"/>
      <x:c r="BZ738"/>
      <x:c r="CA738"/>
      <x:c r="CB738"/>
      <x:c r="CC738"/>
    </x:row>
    <x:row r="739" ht="115" customHeight="1">
      <x:c r="A739" s="4" t="str">
        <x:v>proposal.collection.husk_sheet_grit_screen</x:v>
      </x:c>
      <x:c r="B739" s="4" t="str">
        <x:v>Husk-sheet grit screen</x:v>
      </x:c>
      <x:c r="C739" s="4" t="str">
        <x:v>Not applicable</x:v>
      </x:c>
      <x:c r="D739" s="4" t="inlineStr">
        <x:is>
          <x:t xml:space="preserve">Salvage</x:t>
        </x:is>
      </x:c>
      <x:c r="E739" s="4" t="inlineStr">
        <x:is>
          <x:t xml:space="preserve">Shelter &amp; rest</x:t>
        </x:is>
      </x:c>
      <x:c r="F739" s="4" t="str">
        <x:v>New proposal</x:v>
      </x:c>
      <x:c r="G739" s="4" t="inlineStr">
        <x:is>
          <x:t xml:space="preserve">Replaceable wind-facing grit screen, no filtration rating. It supports a physical resting arrangement through shelter, positioning or retention rather than supplying an automatic recovery bonus.</x:t>
        </x:is>
      </x:c>
      <x:c r="H739" s="4" t="str">
        <x:v>None</x:v>
      </x:c>
      <x:c r="I739" s="4" t="str">
        <x:v>Physical inventory / cargo item; dimensions and packing unresolved</x:v>
      </x:c>
      <x:c r="J739" s="4"/>
      <x:c r="K739" s="4"/>
      <x:c r="L739" s="4" t="str">
        <x:v>Candidate preparation: design.collection.husk_sheet_grit_screen. Full inputs are in Crafting browser.</x:v>
      </x:c>
      <x:c r="M739" s="4" t="str">
        <x:v>Candidate workshop or contained preparation route; detailed tools, quantities and conditions unresolved</x:v>
      </x:c>
      <x:c r="N739" s="4" t="str">
        <x:v>Not implemented</x:v>
      </x:c>
      <x:c r="O739" s="4" t="str">
        <x:v>Specific dimensions, yield, fit, performance and service conditions remain open.</x:v>
      </x:c>
      <x:c r="P739" s="4"/>
      <x:c r="Q739" s="4"/>
      <x:c r="R739" s="4"/>
      <x:c r="S739" s="4"/>
      <x:c r="T739" s="4"/>
      <x:c r="U739" s="4" t="str">
        <x:v>Candidate inputs are partial. Resolve tools, supporting materials, energy, recovery and compatibility before recipes become craftable.</x:v>
      </x:c>
      <x:c r="V739" s="4" t="inlineStr">
        <x:is>
          <x:t xml:space="preserve">husk-sheet grit screen; collection expansion; shelter item; Proposed shelter kit content; camp goods; Shelter &amp; rest</x:t>
        </x:is>
      </x:c>
      <x:c r="W739" s="4" t="str">
        <x:v>New item proposal, October 15, 2026. Setting reference (source proposal): https://github.com/sleepyseamonster/Arc-Dust/blob/f6f98515c005dc3c73cccd9cbc031691745740c6/02-Arc-Dust-Worldbuilding/world/materials/industrial-material-palette.md</x:v>
      </x:c>
      <x:c r="X739" s="4" t="str">
        <x:v>Shelter item</x:v>
      </x:c>
      <x:c r="Y739" s="4" t="str">
        <x:v>Finished item</x:v>
      </x:c>
      <x:c r="Z739" s="4" t="str">
        <x:v>Manufactured / unresolved</x:v>
      </x:c>
      <x:c r="AA739" s="4" t="str">
        <x:v>Camp rest</x:v>
      </x:c>
      <x:c r="AB739" s="4" t="str">
        <x:v>Husk fiber</x:v>
      </x:c>
      <x:c r="AC739" s="4" t="str">
        <x:v>Assembly</x:v>
      </x:c>
      <x:c r="AD739" s="4" t="str">
        <x:v>Proposal</x:v>
      </x:c>
      <x:c r="AE739" s="4" t="str">
        <x:f>LOWER(A739&amp;"; "&amp;B739&amp;"; "&amp;D739&amp;"; "&amp;E739&amp;"; "&amp;X739&amp;"; "&amp;Y739&amp;"; "&amp;Z739&amp;"; "&amp;AA739&amp;"; "&amp;AB739&amp;"; "&amp;AC739&amp;"; "&amp;AD739&amp;"; "&amp;V739&amp;"; "&amp;C739&amp;"; "&amp;AH739&amp;"; "&amp;AI739)</x:f>
        <x:v>proposal.collection.husk_sheet_grit_screen; husk-sheet grit screen; salvage; shelter &amp; rest; shelter item; finished item; manufactured / unresolved; camp rest; husk fiber; assembly; proposal; husk-sheet grit screen; collection expansion; shelter item; proposed shelter kit content; camp goods; shelter &amp; rest; not applicable; t2; finished item</x:v>
      </x:c>
      <x:c r="AF739"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9" s="4" t="str">
        <x:v>Finished endpoint or currency. Material tier is separate from finished input tier.</x:v>
      </x:c>
      <x:c r="AH739" s="4" t="str">
        <x:v>T2</x:v>
      </x:c>
      <x:c r="AI739" s="4" t="str">
        <x:v>Finished item</x:v>
      </x:c>
      <x:c r="AJ739" s="4" t="n">
        <x:f>COUNTIFS('Material routes'!$D$6:$D$2205,A739,'Material routes'!$C$6:$C$2205,"Output")</x:f>
        <x:v>1</x:v>
      </x:c>
      <x:c r="AK739" s="4" t="n">
        <x:f>SUM(COUNTIFS('Material routes'!$D$6:$D$2205,A739,'Material routes'!$C$6:$C$2205,"Ingredient candidate"),COUNTIFS('Material routes'!$D$6:$D$2205,A739,'Material routes'!$C$6:$C$2205,"Consumed input"),COUNTIFS('Material routes'!$D$6:$D$2205,A739,'Material routes'!$C$6:$C$2205,"Contained input"),COUNTIFS('Material routes'!$D$6:$D$2205,A739,'Material routes'!$C$6:$C$2205,"Transform input"))</x:f>
        <x:v>1</x:v>
      </x:c>
      <x:c r="AL739" s="4" t="n">
        <x:f>COUNTIFS('Material routes'!$D$6:$D$2205,A739,'Material routes'!$C$6:$C$2205,"Tool candidate")</x:f>
        <x:v>0</x:v>
      </x:c>
      <x:c r="AM739" s="4" t="str">
        <x:f>IF(AJ739&gt;0,"Route listed; review status/completeness",IF(C739="T0","Raw entry feed; no production route","No production route listed"))</x:f>
        <x:v>Route listed; review status/completeness</x:v>
      </x:c>
      <x:c r="AN739" s="4" t="n">
        <x:f>IF(C739="T0",0,IF(C739="T1",1,IF(C739="T2",2,IF(C739="T3",3,IF(C739="T4",4,IF(C739="Unassigned",98,99))))))</x:f>
        <x:v>99</x:v>
      </x:c>
      <x:c r="AZ739"/>
      <x:c r="BA739"/>
      <x:c r="BB739"/>
      <x:c r="BC739"/>
      <x:c r="BD739"/>
      <x:c r="BE739"/>
      <x:c r="BF739"/>
      <x:c r="BG739"/>
      <x:c r="BH739"/>
      <x:c r="BI739"/>
      <x:c r="BJ739"/>
      <x:c r="BK739"/>
      <x:c r="BL739"/>
      <x:c r="BM739"/>
      <x:c r="BN739"/>
      <x:c r="BO739"/>
      <x:c r="BP739"/>
      <x:c r="BQ739"/>
      <x:c r="BR739"/>
      <x:c r="BS739"/>
      <x:c r="BT739"/>
      <x:c r="BU739"/>
      <x:c r="BV739"/>
      <x:c r="BW739"/>
      <x:c r="BX739"/>
      <x:c r="BY739"/>
      <x:c r="BZ739"/>
      <x:c r="CA739"/>
      <x:c r="CB739"/>
      <x:c r="CC739"/>
    </x:row>
    <x:row r="740" ht="115" customHeight="1">
      <x:c r="A740" s="4" t="str">
        <x:v>proposal.collection.shell_ground_rest_panel</x:v>
      </x:c>
      <x:c r="B740" s="4" t="str">
        <x:v>Shell ground-rest panel</x:v>
      </x:c>
      <x:c r="C740" s="4" t="str">
        <x:v>Not applicable</x:v>
      </x:c>
      <x:c r="D740" s="4" t="inlineStr">
        <x:is>
          <x:t xml:space="preserve">Salvage</x:t>
        </x:is>
      </x:c>
      <x:c r="E740" s="4" t="inlineStr">
        <x:is>
          <x:t xml:space="preserve">Shelter &amp; rest</x:t>
        </x:is>
      </x:c>
      <x:c r="F740" s="4" t="str">
        <x:v>New proposal</x:v>
      </x:c>
      <x:c r="G740" s="4" t="inlineStr">
        <x:is>
          <x:t xml:space="preserve">Raised resting surface with little textile demand. It supports a physical resting arrangement through shelter, positioning or retention rather than supplying an automatic recovery bonus.</x:t>
        </x:is>
      </x:c>
      <x:c r="H740" s="4" t="str">
        <x:v>None</x:v>
      </x:c>
      <x:c r="I740" s="4" t="str">
        <x:v>Physical inventory / cargo item; dimensions and packing unresolved</x:v>
      </x:c>
      <x:c r="J740" s="4"/>
      <x:c r="K740" s="4"/>
      <x:c r="L740" s="4" t="str">
        <x:v>Candidate preparation: design.collection.shell_ground_rest_panel. Full inputs are in Crafting browser.</x:v>
      </x:c>
      <x:c r="M740" s="4" t="str">
        <x:v>Candidate workshop or contained preparation route; detailed tools, quantities and conditions unresolved</x:v>
      </x:c>
      <x:c r="N740" s="4" t="str">
        <x:v>Not implemented</x:v>
      </x:c>
      <x:c r="O740" s="4" t="str">
        <x:v>Specific dimensions, yield, fit, performance and service conditions remain open.</x:v>
      </x:c>
      <x:c r="P740" s="4"/>
      <x:c r="Q740" s="4"/>
      <x:c r="R740" s="4"/>
      <x:c r="S740" s="4"/>
      <x:c r="T740" s="4"/>
      <x:c r="U740" s="4" t="str">
        <x:v>Candidate inputs are partial. Resolve tools, supporting materials, energy, recovery and compatibility before recipes become craftable.</x:v>
      </x:c>
      <x:c r="V740" s="4" t="inlineStr">
        <x:is>
          <x:t xml:space="preserve">shell ground-rest panel; collection expansion; shelter item; Proposed shelter kit content; camp goods; Shelter &amp; rest</x:t>
        </x:is>
      </x:c>
      <x:c r="W740" s="4" t="str">
        <x:v>New item proposal, October 15, 2026. Setting reference (source proposal): https://github.com/sleepyseamonster/Arc-Dust/blob/f6f98515c005dc3c73cccd9cbc031691745740c6/02-Arc-Dust-Worldbuilding/world/materials/industrial-material-palette.md</x:v>
      </x:c>
      <x:c r="X740" s="4" t="str">
        <x:v>Shelter item</x:v>
      </x:c>
      <x:c r="Y740" s="4" t="str">
        <x:v>Finished item</x:v>
      </x:c>
      <x:c r="Z740" s="4" t="str">
        <x:v>Manufactured / unresolved</x:v>
      </x:c>
      <x:c r="AA740" s="4" t="str">
        <x:v>Camp rest</x:v>
      </x:c>
      <x:c r="AB740" s="4" t="str">
        <x:v>Metal and shell</x:v>
      </x:c>
      <x:c r="AC740" s="4" t="str">
        <x:v>Assembly</x:v>
      </x:c>
      <x:c r="AD740" s="4" t="str">
        <x:v>Proposal</x:v>
      </x:c>
      <x:c r="AE740" s="4" t="str">
        <x:f>LOWER(A740&amp;"; "&amp;B740&amp;"; "&amp;D740&amp;"; "&amp;E740&amp;"; "&amp;X740&amp;"; "&amp;Y740&amp;"; "&amp;Z740&amp;"; "&amp;AA740&amp;"; "&amp;AB740&amp;"; "&amp;AC740&amp;"; "&amp;AD740&amp;"; "&amp;V740&amp;"; "&amp;C740&amp;"; "&amp;AH740&amp;"; "&amp;AI740)</x:f>
        <x:v>proposal.collection.shell_ground_rest_panel; shell ground-rest panel; salvage; shelter &amp; rest; shelter item; finished item; manufactured / unresolved; camp rest; metal and shell; assembly; proposal; shell ground-rest panel; collection expansion; shelter item; proposed shelter kit content; camp goods; shelter &amp; rest; not applicable; t2; finished item</x:v>
      </x:c>
      <x:c r="AF740"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40" s="4" t="str">
        <x:v>Finished endpoint or currency. Material tier is separate from finished input tier.</x:v>
      </x:c>
      <x:c r="AH740" s="4" t="str">
        <x:v>T2</x:v>
      </x:c>
      <x:c r="AI740" s="4" t="str">
        <x:v>Finished item</x:v>
      </x:c>
      <x:c r="AJ740" s="4" t="n">
        <x:f>COUNTIFS('Material routes'!$D$6:$D$2205,A740,'Material routes'!$C$6:$C$2205,"Output")</x:f>
        <x:v>1</x:v>
      </x:c>
      <x:c r="AK740" s="4" t="n">
        <x:f>SUM(COUNTIFS('Material routes'!$D$6:$D$2205,A740,'Material routes'!$C$6:$C$2205,"Ingredient candidate"),COUNTIFS('Material routes'!$D$6:$D$2205,A740,'Material routes'!$C$6:$C$2205,"Consumed input"),COUNTIFS('Material routes'!$D$6:$D$2205,A740,'Material routes'!$C$6:$C$2205,"Contained input"),COUNTIFS('Material routes'!$D$6:$D$2205,A740,'Material routes'!$C$6:$C$2205,"Transform input"))</x:f>
        <x:v>1</x:v>
      </x:c>
      <x:c r="AL740" s="4" t="n">
        <x:f>COUNTIFS('Material routes'!$D$6:$D$2205,A740,'Material routes'!$C$6:$C$2205,"Tool candidate")</x:f>
        <x:v>0</x:v>
      </x:c>
      <x:c r="AM740" s="4" t="str">
        <x:f>IF(AJ740&gt;0,"Route listed; review status/completeness",IF(C740="T0","Raw entry feed; no production route","No production route listed"))</x:f>
        <x:v>Route listed; review status/completeness</x:v>
      </x:c>
      <x:c r="AN740" s="4" t="n">
        <x:f>IF(C740="T0",0,IF(C740="T1",1,IF(C740="T2",2,IF(C740="T3",3,IF(C740="T4",4,IF(C740="Unassigned",98,99))))))</x:f>
        <x:v>99</x:v>
      </x:c>
      <x:c r="AZ740"/>
      <x:c r="BA740"/>
      <x:c r="BB740"/>
      <x:c r="BC740"/>
      <x:c r="BD740"/>
      <x:c r="BE740"/>
      <x:c r="BF740"/>
      <x:c r="BG740"/>
      <x:c r="BH740"/>
      <x:c r="BI740"/>
      <x:c r="BJ740"/>
      <x:c r="BK740"/>
      <x:c r="BL740"/>
      <x:c r="BM740"/>
      <x:c r="BN740"/>
      <x:c r="BO740"/>
      <x:c r="BP740"/>
      <x:c r="BQ740"/>
      <x:c r="BR740"/>
      <x:c r="BS740"/>
      <x:c r="BT740"/>
      <x:c r="BU740"/>
      <x:c r="BV740"/>
      <x:c r="BW740"/>
      <x:c r="BX740"/>
      <x:c r="BY740"/>
      <x:c r="BZ740"/>
      <x:c r="CA740"/>
      <x:c r="CB740"/>
      <x:c r="CC740"/>
    </x:row>
    <x:row r="741" ht="115" customHeight="1">
      <x:c r="A741" s="4" t="str">
        <x:v>proposal.collection.folding_privacy_partition</x:v>
      </x:c>
      <x:c r="B741" s="4" t="str">
        <x:v>Folding privacy partition</x:v>
      </x:c>
      <x:c r="C741" s="4" t="str">
        <x:v>Not applicable</x:v>
      </x:c>
      <x:c r="D741" s="4" t="inlineStr">
        <x:is>
          <x:t xml:space="preserve">Salvage</x:t>
        </x:is>
      </x:c>
      <x:c r="E741" s="4" t="inlineStr">
        <x:is>
          <x:t xml:space="preserve">Shelter &amp; rest</x:t>
        </x:is>
      </x:c>
      <x:c r="F741" s="4" t="str">
        <x:v>New proposal</x:v>
      </x:c>
      <x:c r="G741" s="4" t="inlineStr">
        <x:is>
          <x:t xml:space="preserve">Pressed-husk panel on a reusable frame. It supports a physical resting arrangement through shelter, positioning or retention rather than supplying an automatic recovery bonus.</x:t>
        </x:is>
      </x:c>
      <x:c r="H741" s="4" t="str">
        <x:v>None</x:v>
      </x:c>
      <x:c r="I741" s="4" t="str">
        <x:v>Physical inventory / cargo item; dimensions and packing unresolved</x:v>
      </x:c>
      <x:c r="J741" s="4"/>
      <x:c r="K741" s="4"/>
      <x:c r="L741" s="4" t="str">
        <x:v>Candidate preparation: design.collection.folding_privacy_partition. Full inputs are in Crafting browser.</x:v>
      </x:c>
      <x:c r="M741" s="4" t="str">
        <x:v>Candidate workshop or contained preparation route; detailed tools, quantities and conditions unresolved</x:v>
      </x:c>
      <x:c r="N741" s="4" t="str">
        <x:v>Not implemented</x:v>
      </x:c>
      <x:c r="O741" s="4" t="str">
        <x:v>Specific dimensions, yield, fit, performance and service conditions remain open.</x:v>
      </x:c>
      <x:c r="P741" s="4"/>
      <x:c r="Q741" s="4"/>
      <x:c r="R741" s="4"/>
      <x:c r="S741" s="4"/>
      <x:c r="T741" s="4"/>
      <x:c r="U741" s="4" t="str">
        <x:v>Candidate inputs are partial. Resolve tools, supporting materials, energy, recovery and compatibility before recipes become craftable.</x:v>
      </x:c>
      <x:c r="V741" s="4" t="inlineStr">
        <x:is>
          <x:t xml:space="preserve">folding privacy partition; collection expansion; shelter item; Proposed shelter kit content; camp goods; Shelter &amp; rest</x:t>
        </x:is>
      </x:c>
      <x:c r="W741" s="4" t="str">
        <x:v>New item proposal, October 15, 2026. Setting reference (source proposal): https://github.com/sleepyseamonster/Arc-Dust/blob/f6f98515c005dc3c73cccd9cbc031691745740c6/02-Arc-Dust-Worldbuilding/world/materials/industrial-material-palette.md</x:v>
      </x:c>
      <x:c r="X741" s="4" t="str">
        <x:v>Shelter item</x:v>
      </x:c>
      <x:c r="Y741" s="4" t="str">
        <x:v>Finished item</x:v>
      </x:c>
      <x:c r="Z741" s="4" t="str">
        <x:v>Manufactured / unresolved</x:v>
      </x:c>
      <x:c r="AA741" s="4" t="str">
        <x:v>Camp rest</x:v>
      </x:c>
      <x:c r="AB741" s="4" t="str">
        <x:v>Husk fiber</x:v>
      </x:c>
      <x:c r="AC741" s="4" t="str">
        <x:v>Assembly</x:v>
      </x:c>
      <x:c r="AD741" s="4" t="str">
        <x:v>Proposal</x:v>
      </x:c>
      <x:c r="AE741" s="4" t="str">
        <x:f>LOWER(A741&amp;"; "&amp;B741&amp;"; "&amp;D741&amp;"; "&amp;E741&amp;"; "&amp;X741&amp;"; "&amp;Y741&amp;"; "&amp;Z741&amp;"; "&amp;AA741&amp;"; "&amp;AB741&amp;"; "&amp;AC741&amp;"; "&amp;AD741&amp;"; "&amp;V741&amp;"; "&amp;C741&amp;"; "&amp;AH741&amp;"; "&amp;AI741)</x:f>
        <x:v>proposal.collection.folding_privacy_partition; folding privacy partition; salvage; shelter &amp; rest; shelter item; finished item; manufactured / unresolved; camp rest; husk fiber; assembly; proposal; folding privacy partition; collection expansion; shelter item; proposed shelter kit content; camp goods; shelter &amp; rest; not applicable; t2; finished item</x:v>
      </x:c>
      <x:c r="AF741"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41" s="4" t="str">
        <x:v>Finished endpoint or currency. Material tier is separate from finished input tier.</x:v>
      </x:c>
      <x:c r="AH741" s="4" t="str">
        <x:v>T2</x:v>
      </x:c>
      <x:c r="AI741" s="4" t="str">
        <x:v>Finished item</x:v>
      </x:c>
      <x:c r="AJ741" s="4" t="n">
        <x:f>COUNTIFS('Material routes'!$D$6:$D$2205,A741,'Material routes'!$C$6:$C$2205,"Output")</x:f>
        <x:v>1</x:v>
      </x:c>
      <x:c r="AK741" s="4" t="n">
        <x:f>SUM(COUNTIFS('Material routes'!$D$6:$D$2205,A741,'Material routes'!$C$6:$C$2205,"Ingredient candidate"),COUNTIFS('Material routes'!$D$6:$D$2205,A741,'Material routes'!$C$6:$C$2205,"Consumed input"),COUNTIFS('Material routes'!$D$6:$D$2205,A741,'Material routes'!$C$6:$C$2205,"Contained input"),COUNTIFS('Material routes'!$D$6:$D$2205,A741,'Material routes'!$C$6:$C$2205,"Transform input"))</x:f>
        <x:v>1</x:v>
      </x:c>
      <x:c r="AL741" s="4" t="n">
        <x:f>COUNTIFS('Material routes'!$D$6:$D$2205,A741,'Material routes'!$C$6:$C$2205,"Tool candidate")</x:f>
        <x:v>0</x:v>
      </x:c>
      <x:c r="AM741" s="4" t="str">
        <x:f>IF(AJ741&gt;0,"Route listed; review status/completeness",IF(C741="T0","Raw entry feed; no production route","No production route listed"))</x:f>
        <x:v>Route listed; review status/completeness</x:v>
      </x:c>
      <x:c r="AN741" s="4" t="n">
        <x:f>IF(C741="T0",0,IF(C741="T1",1,IF(C741="T2",2,IF(C741="T3",3,IF(C741="T4",4,IF(C741="Unassigned",98,99))))))</x:f>
        <x:v>99</x:v>
      </x:c>
      <x:c r="AZ741"/>
      <x:c r="BA741"/>
      <x:c r="BB741"/>
      <x:c r="BC741"/>
      <x:c r="BD741"/>
      <x:c r="BE741"/>
      <x:c r="BF741"/>
      <x:c r="BG741"/>
      <x:c r="BH741"/>
      <x:c r="BI741"/>
      <x:c r="BJ741"/>
      <x:c r="BK741"/>
      <x:c r="BL741"/>
      <x:c r="BM741"/>
      <x:c r="BN741"/>
      <x:c r="BO741"/>
      <x:c r="BP741"/>
      <x:c r="BQ741"/>
      <x:c r="BR741"/>
      <x:c r="BS741"/>
      <x:c r="BT741"/>
      <x:c r="BU741"/>
      <x:c r="BV741"/>
      <x:c r="BW741"/>
      <x:c r="BX741"/>
      <x:c r="BY741"/>
      <x:c r="BZ741"/>
      <x:c r="CA741"/>
      <x:c r="CB741"/>
      <x:c r="CC741"/>
    </x:row>
    <x:row r="742" ht="115" customHeight="1">
      <x:c r="A742" s="4" t="str">
        <x:v>proposal.collection.canister_shelter_docking_stand</x:v>
      </x:c>
      <x:c r="B742" s="4" t="str">
        <x:v>Canister shelter docking stand</x:v>
      </x:c>
      <x:c r="C742" s="4" t="str">
        <x:v>Not applicable</x:v>
      </x:c>
      <x:c r="D742" s="4" t="inlineStr">
        <x:is>
          <x:t xml:space="preserve">Salvage</x:t>
        </x:is>
      </x:c>
      <x:c r="E742" s="4" t="inlineStr">
        <x:is>
          <x:t xml:space="preserve">Shelter &amp; rest</x:t>
        </x:is>
      </x:c>
      <x:c r="F742" s="4" t="str">
        <x:v>New proposal</x:v>
      </x:c>
      <x:c r="G742" s="4" t="inlineStr">
        <x:is>
          <x:t xml:space="preserve">Keeps a canister upright near a resting place. It supports a physical resting arrangement through shelter, positioning or retention rather than supplying an automatic recovery bonus.</x:t>
        </x:is>
      </x:c>
      <x:c r="H742" s="4" t="str">
        <x:v>None</x:v>
      </x:c>
      <x:c r="I742" s="4" t="str">
        <x:v>Physical inventory / cargo item; dimensions and packing unresolved</x:v>
      </x:c>
      <x:c r="J742" s="4"/>
      <x:c r="K742" s="4"/>
      <x:c r="L742" s="4" t="str">
        <x:v>Candidate preparation: design.collection.canister_shelter_docking_stand. Full inputs are in Crafting browser.</x:v>
      </x:c>
      <x:c r="M742" s="4" t="str">
        <x:v>Candidate workshop or contained preparation route; detailed tools, quantities and conditions unresolved</x:v>
      </x:c>
      <x:c r="N742" s="4" t="str">
        <x:v>Not implemented</x:v>
      </x:c>
      <x:c r="O742" s="4" t="str">
        <x:v>Specific dimensions, yield, fit, performance and service conditions remain open.</x:v>
      </x:c>
      <x:c r="P742" s="4"/>
      <x:c r="Q742" s="4"/>
      <x:c r="R742" s="4"/>
      <x:c r="S742" s="4"/>
      <x:c r="T742" s="4"/>
      <x:c r="U742" s="4" t="str">
        <x:v>Candidate inputs are partial. Resolve tools, supporting materials, energy, recovery and compatibility before recipes become craftable.</x:v>
      </x:c>
      <x:c r="V742" s="4" t="inlineStr">
        <x:is>
          <x:t xml:space="preserve">canister shelter docking stand; collection expansion; shelter item; Proposed shelter kit content; camp goods; Shelter &amp; rest</x:t>
        </x:is>
      </x:c>
      <x:c r="W742" s="4" t="str">
        <x:v>New item proposal, October 15, 2026. Setting reference (source proposal): https://github.com/sleepyseamonster/Arc-Dust/blob/f6f98515c005dc3c73cccd9cbc031691745740c6/02-Arc-Dust-Worldbuilding/world/materials/industrial-material-palette.md</x:v>
      </x:c>
      <x:c r="X742" s="4" t="str">
        <x:v>Shelter item</x:v>
      </x:c>
      <x:c r="Y742" s="4" t="str">
        <x:v>Finished item</x:v>
      </x:c>
      <x:c r="Z742" s="4" t="str">
        <x:v>Manufactured / unresolved</x:v>
      </x:c>
      <x:c r="AA742" s="4" t="str">
        <x:v>Camp rest</x:v>
      </x:c>
      <x:c r="AB742" s="4" t="str">
        <x:v>Ceramic and metal</x:v>
      </x:c>
      <x:c r="AC742" s="4" t="str">
        <x:v>Assembly</x:v>
      </x:c>
      <x:c r="AD742" s="4" t="str">
        <x:v>Proposal</x:v>
      </x:c>
      <x:c r="AE742" s="4" t="str">
        <x:f>LOWER(A742&amp;"; "&amp;B742&amp;"; "&amp;D742&amp;"; "&amp;E742&amp;"; "&amp;X742&amp;"; "&amp;Y742&amp;"; "&amp;Z742&amp;"; "&amp;AA742&amp;"; "&amp;AB742&amp;"; "&amp;AC742&amp;"; "&amp;AD742&amp;"; "&amp;V742&amp;"; "&amp;C742&amp;"; "&amp;AH742&amp;"; "&amp;AI742)</x:f>
        <x:v>proposal.collection.canister_shelter_docking_stand; canister shelter docking stand; salvage; shelter &amp; rest; shelter item; finished item; manufactured / unresolved; camp rest; ceramic and metal; assembly; proposal; canister shelter docking stand; collection expansion; shelter item; proposed shelter kit content; camp goods; shelter &amp; rest; not applicable; t4; finished item</x:v>
      </x:c>
      <x:c r="AF742"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42" s="4" t="str">
        <x:v>Finished endpoint or currency. Material tier is separate from finished input tier.</x:v>
      </x:c>
      <x:c r="AH742" s="4" t="str">
        <x:v>T4</x:v>
      </x:c>
      <x:c r="AI742" s="4" t="str">
        <x:v>Finished item</x:v>
      </x:c>
      <x:c r="AJ742" s="4" t="n">
        <x:f>COUNTIFS('Material routes'!$D$6:$D$2205,A742,'Material routes'!$C$6:$C$2205,"Output")</x:f>
        <x:v>1</x:v>
      </x:c>
      <x:c r="AK742" s="4" t="n">
        <x:f>SUM(COUNTIFS('Material routes'!$D$6:$D$2205,A742,'Material routes'!$C$6:$C$2205,"Ingredient candidate"),COUNTIFS('Material routes'!$D$6:$D$2205,A742,'Material routes'!$C$6:$C$2205,"Consumed input"),COUNTIFS('Material routes'!$D$6:$D$2205,A742,'Material routes'!$C$6:$C$2205,"Contained input"),COUNTIFS('Material routes'!$D$6:$D$2205,A742,'Material routes'!$C$6:$C$2205,"Transform input"))</x:f>
        <x:v>1</x:v>
      </x:c>
      <x:c r="AL742" s="4" t="n">
        <x:f>COUNTIFS('Material routes'!$D$6:$D$2205,A742,'Material routes'!$C$6:$C$2205,"Tool candidate")</x:f>
        <x:v>0</x:v>
      </x:c>
      <x:c r="AM742" s="4" t="str">
        <x:f>IF(AJ742&gt;0,"Route listed; review status/completeness",IF(C742="T0","Raw entry feed; no production route","No production route listed"))</x:f>
        <x:v>Route listed; review status/completeness</x:v>
      </x:c>
      <x:c r="AN742" s="4" t="n">
        <x:f>IF(C742="T0",0,IF(C742="T1",1,IF(C742="T2",2,IF(C742="T3",3,IF(C742="T4",4,IF(C742="Unassigned",98,99))))))</x:f>
        <x:v>99</x:v>
      </x:c>
      <x:c r="AZ742"/>
      <x:c r="BA742"/>
      <x:c r="BB742"/>
      <x:c r="BC742"/>
      <x:c r="BD742"/>
      <x:c r="BE742"/>
      <x:c r="BF742"/>
      <x:c r="BG742"/>
      <x:c r="BH742"/>
      <x:c r="BI742"/>
      <x:c r="BJ742"/>
      <x:c r="BK742"/>
      <x:c r="BL742"/>
      <x:c r="BM742"/>
      <x:c r="BN742"/>
      <x:c r="BO742"/>
      <x:c r="BP742"/>
      <x:c r="BQ742"/>
      <x:c r="BR742"/>
      <x:c r="BS742"/>
      <x:c r="BT742"/>
      <x:c r="BU742"/>
      <x:c r="BV742"/>
      <x:c r="BW742"/>
      <x:c r="BX742"/>
      <x:c r="BY742"/>
      <x:c r="BZ742"/>
      <x:c r="CA742"/>
      <x:c r="CB742"/>
      <x:c r="CC742"/>
    </x:row>
    <x:row r="743" ht="115" customHeight="1">
      <x:c r="A743" s="4" t="str">
        <x:v>proposal.collection.shelter_repair_patch_roll</x:v>
      </x:c>
      <x:c r="B743" s="4" t="str">
        <x:v>Shelter repair patch roll</x:v>
      </x:c>
      <x:c r="C743" s="4" t="str">
        <x:v>Not applicable</x:v>
      </x:c>
      <x:c r="D743" s="4" t="inlineStr">
        <x:is>
          <x:t xml:space="preserve">Salvage</x:t>
        </x:is>
      </x:c>
      <x:c r="E743" s="4" t="inlineStr">
        <x:is>
          <x:t xml:space="preserve">Shelter &amp; rest</x:t>
        </x:is>
      </x:c>
      <x:c r="F743" s="4" t="str">
        <x:v>New proposal</x:v>
      </x:c>
      <x:c r="G743" s="4" t="inlineStr">
        <x:is>
          <x:t xml:space="preserve">Prepared membrane patches and retainers for the kit. It supports a physical resting arrangement through shelter, positioning or retention rather than supplying an automatic recovery bonus.</x:t>
        </x:is>
      </x:c>
      <x:c r="H743" s="4" t="str">
        <x:v>None</x:v>
      </x:c>
      <x:c r="I743" s="4" t="str">
        <x:v>Physical inventory / cargo item; dimensions and packing unresolved</x:v>
      </x:c>
      <x:c r="J743" s="4"/>
      <x:c r="K743" s="4"/>
      <x:c r="L743" s="4" t="str">
        <x:v>Candidate preparation: design.collection.shelter_repair_patch_roll. Full inputs are in Crafting browser.</x:v>
      </x:c>
      <x:c r="M743" s="4" t="str">
        <x:v>Candidate workshop or contained preparation route; detailed tools, quantities and conditions unresolved</x:v>
      </x:c>
      <x:c r="N743" s="4" t="str">
        <x:v>Not implemented</x:v>
      </x:c>
      <x:c r="O743" s="4" t="str">
        <x:v>Specific dimensions, yield, fit, performance and service conditions remain open.</x:v>
      </x:c>
      <x:c r="P743" s="4"/>
      <x:c r="Q743" s="4"/>
      <x:c r="R743" s="4"/>
      <x:c r="S743" s="4"/>
      <x:c r="T743" s="4"/>
      <x:c r="U743" s="4" t="str">
        <x:v>Candidate inputs are partial. Resolve tools, supporting materials, energy, recovery and compatibility before recipes become craftable.</x:v>
      </x:c>
      <x:c r="V743" s="4" t="inlineStr">
        <x:is>
          <x:t xml:space="preserve">shelter repair patch roll; collection expansion; shelter item; Proposed shelter kit content; camp goods; Shelter &amp; rest</x:t>
        </x:is>
      </x:c>
      <x:c r="W743" s="4" t="str">
        <x:v>New item proposal, October 15, 2026. Setting reference (source proposal): https://github.com/sleepyseamonster/Arc-Dust/blob/f6f98515c005dc3c73cccd9cbc031691745740c6/02-Arc-Dust-Worldbuilding/world/materials/industrial-material-palette.md</x:v>
      </x:c>
      <x:c r="X743" s="4" t="str">
        <x:v>Shelter item</x:v>
      </x:c>
      <x:c r="Y743" s="4" t="str">
        <x:v>Finished item</x:v>
      </x:c>
      <x:c r="Z743" s="4" t="str">
        <x:v>Manufactured / unresolved</x:v>
      </x:c>
      <x:c r="AA743" s="4" t="str">
        <x:v>Camp rest</x:v>
      </x:c>
      <x:c r="AB743" s="4" t="str">
        <x:v>Faunal membrane</x:v>
      </x:c>
      <x:c r="AC743" s="4" t="str">
        <x:v>Assembly</x:v>
      </x:c>
      <x:c r="AD743" s="4" t="str">
        <x:v>Proposal</x:v>
      </x:c>
      <x:c r="AE743" s="4" t="str">
        <x:f>LOWER(A743&amp;"; "&amp;B743&amp;"; "&amp;D743&amp;"; "&amp;E743&amp;"; "&amp;X743&amp;"; "&amp;Y743&amp;"; "&amp;Z743&amp;"; "&amp;AA743&amp;"; "&amp;AB743&amp;"; "&amp;AC743&amp;"; "&amp;AD743&amp;"; "&amp;V743&amp;"; "&amp;C743&amp;"; "&amp;AH743&amp;"; "&amp;AI743)</x:f>
        <x:v>proposal.collection.shelter_repair_patch_roll; shelter repair patch roll; salvage; shelter &amp; rest; shelter item; finished item; manufactured / unresolved; camp rest; faunal membrane; assembly; proposal; shelter repair patch roll; collection expansion; shelter item; proposed shelter kit content; camp goods; shelter &amp; rest; not applicable; t3; finished item</x:v>
      </x:c>
      <x:c r="AF743"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43" s="4" t="str">
        <x:v>Finished endpoint or currency. Material tier is separate from finished input tier.</x:v>
      </x:c>
      <x:c r="AH743" s="4" t="str">
        <x:v>T3</x:v>
      </x:c>
      <x:c r="AI743" s="4" t="str">
        <x:v>Finished item</x:v>
      </x:c>
      <x:c r="AJ743" s="4" t="n">
        <x:f>COUNTIFS('Material routes'!$D$6:$D$2205,A743,'Material routes'!$C$6:$C$2205,"Output")</x:f>
        <x:v>1</x:v>
      </x:c>
      <x:c r="AK743" s="4" t="n">
        <x:f>SUM(COUNTIFS('Material routes'!$D$6:$D$2205,A743,'Material routes'!$C$6:$C$2205,"Ingredient candidate"),COUNTIFS('Material routes'!$D$6:$D$2205,A743,'Material routes'!$C$6:$C$2205,"Consumed input"),COUNTIFS('Material routes'!$D$6:$D$2205,A743,'Material routes'!$C$6:$C$2205,"Contained input"),COUNTIFS('Material routes'!$D$6:$D$2205,A743,'Material routes'!$C$6:$C$2205,"Transform input"))</x:f>
        <x:v>1</x:v>
      </x:c>
      <x:c r="AL743" s="4" t="n">
        <x:f>COUNTIFS('Material routes'!$D$6:$D$2205,A743,'Material routes'!$C$6:$C$2205,"Tool candidate")</x:f>
        <x:v>0</x:v>
      </x:c>
      <x:c r="AM743" s="4" t="str">
        <x:f>IF(AJ743&gt;0,"Route listed; review status/completeness",IF(C743="T0","Raw entry feed; no production route","No production route listed"))</x:f>
        <x:v>Route listed; review status/completeness</x:v>
      </x:c>
      <x:c r="AN743" s="4" t="n">
        <x:f>IF(C743="T0",0,IF(C743="T1",1,IF(C743="T2",2,IF(C743="T3",3,IF(C743="T4",4,IF(C743="Unassigned",98,99))))))</x:f>
        <x:v>99</x:v>
      </x:c>
      <x:c r="AZ743"/>
      <x:c r="BA743"/>
      <x:c r="BB743"/>
      <x:c r="BC743"/>
      <x:c r="BD743"/>
      <x:c r="BE743"/>
      <x:c r="BF743"/>
      <x:c r="BG743"/>
      <x:c r="BH743"/>
      <x:c r="BI743"/>
      <x:c r="BJ743"/>
      <x:c r="BK743"/>
      <x:c r="BL743"/>
      <x:c r="BM743"/>
      <x:c r="BN743"/>
      <x:c r="BO743"/>
      <x:c r="BP743"/>
      <x:c r="BQ743"/>
      <x:c r="BR743"/>
      <x:c r="BS743"/>
      <x:c r="BT743"/>
      <x:c r="BU743"/>
      <x:c r="BV743"/>
      <x:c r="BW743"/>
      <x:c r="BX743"/>
      <x:c r="BY743"/>
      <x:c r="BZ743"/>
      <x:c r="CA743"/>
      <x:c r="CB743"/>
      <x:c r="CC743"/>
    </x:row>
    <x:row r="744" ht="115" customHeight="1">
      <x:c r="A744" s="4" t="str">
        <x:v>proposal.collection.round_iron_buckler</x:v>
      </x:c>
      <x:c r="B744" s="4" t="str">
        <x:v>Round iron buckler</x:v>
      </x:c>
      <x:c r="C744" s="4" t="str">
        <x:v>Not applicable</x:v>
      </x:c>
      <x:c r="D744" s="4" t="inlineStr">
        <x:is>
          <x:t xml:space="preserve">Armor</x:t>
        </x:is>
      </x:c>
      <x:c r="E744" s="4" t="str">
        <x:v>Shield</x:v>
      </x:c>
      <x:c r="F744" s="4" t="str">
        <x:v>New proposal</x:v>
      </x:c>
      <x:c r="G744" s="4" t="inlineStr">
        <x:is>
          <x:t xml:space="preserve">Small hand shield with a metal grip. It is intended to interpose a physical guard against a threat, with handling, coverage and protective performance determined by the final design.</x:t>
        </x:is>
      </x:c>
      <x:c r="H744" s="4" t="str">
        <x:v>None</x:v>
      </x:c>
      <x:c r="I744" s="4" t="str">
        <x:v>Physical inventory / cargo item; dimensions and packing unresolved</x:v>
      </x:c>
      <x:c r="J744" s="4"/>
      <x:c r="K744" s="4"/>
      <x:c r="L744" s="4" t="str">
        <x:v>Candidate preparation: design.collection.round_iron_buckler. Full inputs are in Crafting browser.</x:v>
      </x:c>
      <x:c r="M744" s="4" t="str">
        <x:v>Candidate workshop or contained preparation route; detailed tools, quantities and conditions unresolved</x:v>
      </x:c>
      <x:c r="N744" s="4" t="str">
        <x:v>Not implemented</x:v>
      </x:c>
      <x:c r="O744" s="4" t="str">
        <x:v>Specific dimensions, yield, fit, performance and service conditions remain open.</x:v>
      </x:c>
      <x:c r="P744" s="4"/>
      <x:c r="Q744" s="4"/>
      <x:c r="R744" s="4"/>
      <x:c r="S744" s="4"/>
      <x:c r="T744" s="4"/>
      <x:c r="U744" s="4" t="str">
        <x:v>Candidate inputs are partial. Resolve tools, supporting materials, energy, recovery and compatibility before recipes become craftable.</x:v>
      </x:c>
      <x:c r="V744" s="4" t="str">
        <x:v>round iron buckler; collection expansion; shield</x:v>
      </x:c>
      <x:c r="W744" s="4" t="str">
        <x:v>New item proposal, October 15, 2026. Setting reference (source proposal): https://github.com/sleepyseamonster/Arc-Dust/blob/f6f98515c005dc3c73cccd9cbc031691745740c6/02-Arc-Dust-Worldbuilding/world/materials/industrial-material-palette.md</x:v>
      </x:c>
      <x:c r="X744" s="4" t="str">
        <x:v>Shield</x:v>
      </x:c>
      <x:c r="Y744" s="4" t="str">
        <x:v>Finished item</x:v>
      </x:c>
      <x:c r="Z744" s="4" t="str">
        <x:v>Manufactured / unresolved</x:v>
      </x:c>
      <x:c r="AA744" s="4" t="str">
        <x:v>Defensive combat</x:v>
      </x:c>
      <x:c r="AB744" s="4" t="str">
        <x:v>Metal</x:v>
      </x:c>
      <x:c r="AC744" s="4" t="str">
        <x:v>Assembly</x:v>
      </x:c>
      <x:c r="AD744" s="4" t="str">
        <x:v>Proposal</x:v>
      </x:c>
      <x:c r="AE744" s="4" t="str">
        <x:f>LOWER(A744&amp;"; "&amp;B744&amp;"; "&amp;D744&amp;"; "&amp;E744&amp;"; "&amp;X744&amp;"; "&amp;Y744&amp;"; "&amp;Z744&amp;"; "&amp;AA744&amp;"; "&amp;AB744&amp;"; "&amp;AC744&amp;"; "&amp;AD744&amp;"; "&amp;V744&amp;"; "&amp;C744&amp;"; "&amp;AH744&amp;"; "&amp;AI744)</x:f>
        <x:v>proposal.collection.round_iron_buckler; round iron buckler; armor; shield; shield; finished item; manufactured / unresolved; defensive combat; metal; assembly; proposal; round iron buckler; collection expansion; shield; not applicable; t2; finished item</x:v>
      </x:c>
      <x:c r="AF74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4" s="4" t="str">
        <x:v>Finished endpoint or currency. Material tier is separate from finished input tier.</x:v>
      </x:c>
      <x:c r="AH744" s="4" t="str">
        <x:v>T2</x:v>
      </x:c>
      <x:c r="AI744" s="4" t="str">
        <x:v>Finished item</x:v>
      </x:c>
      <x:c r="AJ744" s="4" t="n">
        <x:f>COUNTIFS('Material routes'!$D$6:$D$2205,A744,'Material routes'!$C$6:$C$2205,"Output")</x:f>
        <x:v>1</x:v>
      </x:c>
      <x:c r="AK744" s="4" t="n">
        <x:f>SUM(COUNTIFS('Material routes'!$D$6:$D$2205,A744,'Material routes'!$C$6:$C$2205,"Ingredient candidate"),COUNTIFS('Material routes'!$D$6:$D$2205,A744,'Material routes'!$C$6:$C$2205,"Consumed input"),COUNTIFS('Material routes'!$D$6:$D$2205,A744,'Material routes'!$C$6:$C$2205,"Contained input"),COUNTIFS('Material routes'!$D$6:$D$2205,A744,'Material routes'!$C$6:$C$2205,"Transform input"))</x:f>
        <x:v>0</x:v>
      </x:c>
      <x:c r="AL744" s="4" t="n">
        <x:f>COUNTIFS('Material routes'!$D$6:$D$2205,A744,'Material routes'!$C$6:$C$2205,"Tool candidate")</x:f>
        <x:v>0</x:v>
      </x:c>
      <x:c r="AM744" s="4" t="str">
        <x:f>IF(AJ744&gt;0,"Route listed; review status/completeness",IF(C744="T0","Raw entry feed; no production route","No production route listed"))</x:f>
        <x:v>Route listed; review status/completeness</x:v>
      </x:c>
      <x:c r="AN744" s="4" t="n">
        <x:f>IF(C744="T0",0,IF(C744="T1",1,IF(C744="T2",2,IF(C744="T3",3,IF(C744="T4",4,IF(C744="Unassigned",98,99))))))</x:f>
        <x:v>99</x:v>
      </x:c>
      <x:c r="AZ744"/>
      <x:c r="BA744"/>
      <x:c r="BB744"/>
      <x:c r="BC744"/>
      <x:c r="BD744"/>
      <x:c r="BE744"/>
      <x:c r="BF744"/>
      <x:c r="BG744"/>
      <x:c r="BH744"/>
      <x:c r="BI744"/>
      <x:c r="BJ744"/>
      <x:c r="BK744"/>
      <x:c r="BL744"/>
      <x:c r="BM744"/>
      <x:c r="BN744"/>
      <x:c r="BO744"/>
      <x:c r="BP744"/>
      <x:c r="BQ744"/>
      <x:c r="BR744"/>
      <x:c r="BS744"/>
      <x:c r="BT744"/>
      <x:c r="BU744"/>
      <x:c r="BV744"/>
      <x:c r="BW744"/>
      <x:c r="BX744"/>
      <x:c r="BY744"/>
      <x:c r="BZ744"/>
      <x:c r="CA744"/>
      <x:c r="CB744"/>
      <x:c r="CC744"/>
    </x:row>
    <x:row r="745" ht="115" customHeight="1">
      <x:c r="A745" s="4" t="str">
        <x:v>proposal.collection.riveted_steel_round_shield</x:v>
      </x:c>
      <x:c r="B745" s="4" t="str">
        <x:v>Riveted steel round shield</x:v>
      </x:c>
      <x:c r="C745" s="4" t="str">
        <x:v>Not applicable</x:v>
      </x:c>
      <x:c r="D745" s="4" t="inlineStr">
        <x:is>
          <x:t xml:space="preserve">Armor</x:t>
        </x:is>
      </x:c>
      <x:c r="E745" s="4" t="str">
        <x:v>Shield</x:v>
      </x:c>
      <x:c r="F745" s="4" t="str">
        <x:v>New proposal</x:v>
      </x:c>
      <x:c r="G745" s="4" t="inlineStr">
        <x:is>
          <x:t xml:space="preserve">Broader metal shield with replaceable handle fittings. It is intended to interpose a physical guard against a threat, with handling, coverage and protective performance determined by the final design.</x:t>
        </x:is>
      </x:c>
      <x:c r="H745" s="4" t="str">
        <x:v>None</x:v>
      </x:c>
      <x:c r="I745" s="4" t="str">
        <x:v>Physical inventory / cargo item; dimensions and packing unresolved</x:v>
      </x:c>
      <x:c r="J745" s="4"/>
      <x:c r="K745" s="4"/>
      <x:c r="L745" s="4" t="str">
        <x:v>Candidate preparation: design.collection.riveted_steel_round_shield. Full inputs are in Crafting browser.</x:v>
      </x:c>
      <x:c r="M745" s="4" t="str">
        <x:v>Candidate workshop or contained preparation route; detailed tools, quantities and conditions unresolved</x:v>
      </x:c>
      <x:c r="N745" s="4" t="str">
        <x:v>Not implemented</x:v>
      </x:c>
      <x:c r="O745" s="4" t="str">
        <x:v>Specific dimensions, yield, fit, performance and service conditions remain open.</x:v>
      </x:c>
      <x:c r="P745" s="4"/>
      <x:c r="Q745" s="4"/>
      <x:c r="R745" s="4"/>
      <x:c r="S745" s="4"/>
      <x:c r="T745" s="4"/>
      <x:c r="U745" s="4" t="str">
        <x:v>Candidate inputs are partial. Resolve tools, supporting materials, energy, recovery and compatibility before recipes become craftable.</x:v>
      </x:c>
      <x:c r="V745" s="4" t="str">
        <x:v>riveted steel round shield; collection expansion; shield</x:v>
      </x:c>
      <x:c r="W745" s="4" t="str">
        <x:v>New item proposal, October 15, 2026. Setting reference (source proposal): https://github.com/sleepyseamonster/Arc-Dust/blob/f6f98515c005dc3c73cccd9cbc031691745740c6/02-Arc-Dust-Worldbuilding/world/materials/industrial-material-palette.md</x:v>
      </x:c>
      <x:c r="X745" s="4" t="str">
        <x:v>Shield</x:v>
      </x:c>
      <x:c r="Y745" s="4" t="str">
        <x:v>Finished item</x:v>
      </x:c>
      <x:c r="Z745" s="4" t="str">
        <x:v>Manufactured / unresolved</x:v>
      </x:c>
      <x:c r="AA745" s="4" t="str">
        <x:v>Defensive combat</x:v>
      </x:c>
      <x:c r="AB745" s="4" t="str">
        <x:v>Metal</x:v>
      </x:c>
      <x:c r="AC745" s="4" t="str">
        <x:v>Assembly</x:v>
      </x:c>
      <x:c r="AD745" s="4" t="str">
        <x:v>Proposal</x:v>
      </x:c>
      <x:c r="AE745" s="4" t="str">
        <x:f>LOWER(A745&amp;"; "&amp;B745&amp;"; "&amp;D745&amp;"; "&amp;E745&amp;"; "&amp;X745&amp;"; "&amp;Y745&amp;"; "&amp;Z745&amp;"; "&amp;AA745&amp;"; "&amp;AB745&amp;"; "&amp;AC745&amp;"; "&amp;AD745&amp;"; "&amp;V745&amp;"; "&amp;C745&amp;"; "&amp;AH745&amp;"; "&amp;AI745)</x:f>
        <x:v>proposal.collection.riveted_steel_round_shield; riveted steel round shield; armor; shield; shield; finished item; manufactured / unresolved; defensive combat; metal; assembly; proposal; riveted steel round shield; collection expansion; shield; not applicable; t2; finished item</x:v>
      </x:c>
      <x:c r="AF74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5" s="4" t="str">
        <x:v>Finished endpoint or currency. Material tier is separate from finished input tier.</x:v>
      </x:c>
      <x:c r="AH745" s="4" t="str">
        <x:v>T2</x:v>
      </x:c>
      <x:c r="AI745" s="4" t="str">
        <x:v>Finished item</x:v>
      </x:c>
      <x:c r="AJ745" s="4" t="n">
        <x:f>COUNTIFS('Material routes'!$D$6:$D$2205,A745,'Material routes'!$C$6:$C$2205,"Output")</x:f>
        <x:v>1</x:v>
      </x:c>
      <x:c r="AK745" s="4" t="n">
        <x:f>SUM(COUNTIFS('Material routes'!$D$6:$D$2205,A745,'Material routes'!$C$6:$C$2205,"Ingredient candidate"),COUNTIFS('Material routes'!$D$6:$D$2205,A745,'Material routes'!$C$6:$C$2205,"Consumed input"),COUNTIFS('Material routes'!$D$6:$D$2205,A745,'Material routes'!$C$6:$C$2205,"Contained input"),COUNTIFS('Material routes'!$D$6:$D$2205,A745,'Material routes'!$C$6:$C$2205,"Transform input"))</x:f>
        <x:v>0</x:v>
      </x:c>
      <x:c r="AL745" s="4" t="n">
        <x:f>COUNTIFS('Material routes'!$D$6:$D$2205,A745,'Material routes'!$C$6:$C$2205,"Tool candidate")</x:f>
        <x:v>0</x:v>
      </x:c>
      <x:c r="AM745" s="4" t="str">
        <x:f>IF(AJ745&gt;0,"Route listed; review status/completeness",IF(C745="T0","Raw entry feed; no production route","No production route listed"))</x:f>
        <x:v>Route listed; review status/completeness</x:v>
      </x:c>
      <x:c r="AN745" s="4" t="n">
        <x:f>IF(C745="T0",0,IF(C745="T1",1,IF(C745="T2",2,IF(C745="T3",3,IF(C745="T4",4,IF(C745="Unassigned",98,99))))))</x:f>
        <x:v>99</x:v>
      </x:c>
      <x:c r="AZ745"/>
      <x:c r="BA745"/>
      <x:c r="BB745"/>
      <x:c r="BC745"/>
      <x:c r="BD745"/>
      <x:c r="BE745"/>
      <x:c r="BF745"/>
      <x:c r="BG745"/>
      <x:c r="BH745"/>
      <x:c r="BI745"/>
      <x:c r="BJ745"/>
      <x:c r="BK745"/>
      <x:c r="BL745"/>
      <x:c r="BM745"/>
      <x:c r="BN745"/>
      <x:c r="BO745"/>
      <x:c r="BP745"/>
      <x:c r="BQ745"/>
      <x:c r="BR745"/>
      <x:c r="BS745"/>
      <x:c r="BT745"/>
      <x:c r="BU745"/>
      <x:c r="BV745"/>
      <x:c r="BW745"/>
      <x:c r="BX745"/>
      <x:c r="BY745"/>
      <x:c r="BZ745"/>
      <x:c r="CA745"/>
      <x:c r="CB745"/>
      <x:c r="CC745"/>
    </x:row>
    <x:row r="746" ht="115" customHeight="1">
      <x:c r="A746" s="4" t="str">
        <x:v>proposal.collection.broad_chitin_shield</x:v>
      </x:c>
      <x:c r="B746" s="4" t="str">
        <x:v>Broad chitin shield</x:v>
      </x:c>
      <x:c r="C746" s="4" t="str">
        <x:v>Not applicable</x:v>
      </x:c>
      <x:c r="D746" s="4" t="inlineStr">
        <x:is>
          <x:t xml:space="preserve">Armor</x:t>
        </x:is>
      </x:c>
      <x:c r="E746" s="4" t="str">
        <x:v>Shield</x:v>
      </x:c>
      <x:c r="F746" s="4" t="str">
        <x:v>New proposal</x:v>
      </x:c>
      <x:c r="G746" s="4" t="inlineStr">
        <x:is>
          <x:t xml:space="preserve">Cheap shell plate with a reinforced grip. It is intended to interpose a physical guard against a threat, with handling, coverage and protective performance determined by the final design.</x:t>
        </x:is>
      </x:c>
      <x:c r="H746" s="4" t="str">
        <x:v>None</x:v>
      </x:c>
      <x:c r="I746" s="4" t="str">
        <x:v>Physical inventory / cargo item; dimensions and packing unresolved</x:v>
      </x:c>
      <x:c r="J746" s="4"/>
      <x:c r="K746" s="4"/>
      <x:c r="L746" s="4" t="str">
        <x:v>Candidate preparation: design.collection.broad_chitin_shield. Full inputs are in Crafting browser.</x:v>
      </x:c>
      <x:c r="M746" s="4" t="str">
        <x:v>Candidate workshop or contained preparation route; detailed tools, quantities and conditions unresolved</x:v>
      </x:c>
      <x:c r="N746" s="4" t="str">
        <x:v>Not implemented</x:v>
      </x:c>
      <x:c r="O746" s="4" t="str">
        <x:v>Specific dimensions, yield, fit, performance and service conditions remain open.</x:v>
      </x:c>
      <x:c r="P746" s="4"/>
      <x:c r="Q746" s="4"/>
      <x:c r="R746" s="4"/>
      <x:c r="S746" s="4"/>
      <x:c r="T746" s="4"/>
      <x:c r="U746" s="4" t="str">
        <x:v>Candidate inputs are partial. Resolve tools, supporting materials, energy, recovery and compatibility before recipes become craftable.</x:v>
      </x:c>
      <x:c r="V746" s="4" t="str">
        <x:v>broad chitin shield; collection expansion; shield</x:v>
      </x:c>
      <x:c r="W746" s="4" t="str">
        <x:v>New item proposal, October 15, 2026. Setting reference (source proposal): https://github.com/sleepyseamonster/Arc-Dust/blob/f6f98515c005dc3c73cccd9cbc031691745740c6/02-Arc-Dust-Worldbuilding/world/materials/industrial-material-palette.md</x:v>
      </x:c>
      <x:c r="X746" s="4" t="str">
        <x:v>Shield</x:v>
      </x:c>
      <x:c r="Y746" s="4" t="str">
        <x:v>Finished item</x:v>
      </x:c>
      <x:c r="Z746" s="4" t="str">
        <x:v>Manufactured / unresolved</x:v>
      </x:c>
      <x:c r="AA746" s="4" t="str">
        <x:v>Defensive combat</x:v>
      </x:c>
      <x:c r="AB746" s="4" t="str">
        <x:v>Metal and shell</x:v>
      </x:c>
      <x:c r="AC746" s="4" t="str">
        <x:v>Assembly</x:v>
      </x:c>
      <x:c r="AD746" s="4" t="str">
        <x:v>Proposal</x:v>
      </x:c>
      <x:c r="AE746" s="4" t="str">
        <x:f>LOWER(A746&amp;"; "&amp;B746&amp;"; "&amp;D746&amp;"; "&amp;E746&amp;"; "&amp;X746&amp;"; "&amp;Y746&amp;"; "&amp;Z746&amp;"; "&amp;AA746&amp;"; "&amp;AB746&amp;"; "&amp;AC746&amp;"; "&amp;AD746&amp;"; "&amp;V746&amp;"; "&amp;C746&amp;"; "&amp;AH746&amp;"; "&amp;AI746)</x:f>
        <x:v>proposal.collection.broad_chitin_shield; broad chitin shield; armor; shield; shield; finished item; manufactured / unresolved; defensive combat; metal and shell; assembly; proposal; broad chitin shield; collection expansion; shield; not applicable; t2; finished item</x:v>
      </x:c>
      <x:c r="AF74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46" s="4" t="str">
        <x:v>Finished endpoint or currency. Material tier is separate from finished input tier.</x:v>
      </x:c>
      <x:c r="AH746" s="4" t="str">
        <x:v>T2</x:v>
      </x:c>
      <x:c r="AI746" s="4" t="str">
        <x:v>Finished item</x:v>
      </x:c>
      <x:c r="AJ746" s="4" t="n">
        <x:f>COUNTIFS('Material routes'!$D$6:$D$2205,A746,'Material routes'!$C$6:$C$2205,"Output")</x:f>
        <x:v>1</x:v>
      </x:c>
      <x:c r="AK746" s="4" t="n">
        <x:f>SUM(COUNTIFS('Material routes'!$D$6:$D$2205,A746,'Material routes'!$C$6:$C$2205,"Ingredient candidate"),COUNTIFS('Material routes'!$D$6:$D$2205,A746,'Material routes'!$C$6:$C$2205,"Consumed input"),COUNTIFS('Material routes'!$D$6:$D$2205,A746,'Material routes'!$C$6:$C$2205,"Contained input"),COUNTIFS('Material routes'!$D$6:$D$2205,A746,'Material routes'!$C$6:$C$2205,"Transform input"))</x:f>
        <x:v>0</x:v>
      </x:c>
      <x:c r="AL746" s="4" t="n">
        <x:f>COUNTIFS('Material routes'!$D$6:$D$2205,A746,'Material routes'!$C$6:$C$2205,"Tool candidate")</x:f>
        <x:v>0</x:v>
      </x:c>
      <x:c r="AM746" s="4" t="str">
        <x:f>IF(AJ746&gt;0,"Route listed; review status/completeness",IF(C746="T0","Raw entry feed; no production route","No production route listed"))</x:f>
        <x:v>Route listed; review status/completeness</x:v>
      </x:c>
      <x:c r="AN746" s="4" t="n">
        <x:f>IF(C746="T0",0,IF(C746="T1",1,IF(C746="T2",2,IF(C746="T3",3,IF(C746="T4",4,IF(C746="Unassigned",98,99))))))</x:f>
        <x:v>99</x:v>
      </x:c>
      <x:c r="AZ746"/>
      <x:c r="BA746"/>
      <x:c r="BB746"/>
      <x:c r="BC746"/>
      <x:c r="BD746"/>
      <x:c r="BE746"/>
      <x:c r="BF746"/>
      <x:c r="BG746"/>
      <x:c r="BH746"/>
      <x:c r="BI746"/>
      <x:c r="BJ746"/>
      <x:c r="BK746"/>
      <x:c r="BL746"/>
      <x:c r="BM746"/>
      <x:c r="BN746"/>
      <x:c r="BO746"/>
      <x:c r="BP746"/>
      <x:c r="BQ746"/>
      <x:c r="BR746"/>
      <x:c r="BS746"/>
      <x:c r="BT746"/>
      <x:c r="BU746"/>
      <x:c r="BV746"/>
      <x:c r="BW746"/>
      <x:c r="BX746"/>
      <x:c r="BY746"/>
      <x:c r="BZ746"/>
      <x:c r="CA746"/>
      <x:c r="CB746"/>
      <x:c r="CC746"/>
    </x:row>
    <x:row r="747" ht="115" customHeight="1">
      <x:c r="A747" s="4"/>
      <x:c r="B747" s="4"/>
      <x:c r="C747" s="4"/>
      <x:c r="D747" s="4"/>
      <x:c r="E747" s="4"/>
      <x:c r="F747" s="4"/>
      <x:c r="G747" s="4"/>
      <x:c r="H747" s="4"/>
      <x:c r="I747" s="4"/>
      <x:c r="J747" s="4"/>
      <x:c r="M747" s="4"/>
      <x:c r="N747" s="4"/>
      <x:c r="O747" s="4"/>
      <x:c r="P747" s="4"/>
      <x:c r="V747" s="4"/>
      <x:c r="W747" s="4"/>
      <x:c r="X747" s="4"/>
      <x:c r="Y747" s="4"/>
      <x:c r="Z747" s="4"/>
      <x:c r="AA747" s="4"/>
      <x:c r="AB747" s="4"/>
      <x:c r="AC747" s="4"/>
      <x:c r="AD747" s="4"/>
      <x:c r="AE747" s="4"/>
      <x:c r="AF747" s="4"/>
      <x:c r="AG747" s="4"/>
      <x:c r="AH747" s="4"/>
      <x:c r="AI747" s="4"/>
      <x:c r="AJ747" s="4"/>
      <x:c r="AK747" s="4"/>
      <x:c r="AL747" s="4"/>
      <x:c r="AM747" s="4"/>
      <x:c r="AN747" s="4"/>
      <x:c r="AZ747"/>
      <x:c r="BA747"/>
      <x:c r="BB747"/>
      <x:c r="BC747"/>
      <x:c r="BD747"/>
      <x:c r="BE747"/>
      <x:c r="BF747"/>
      <x:c r="BG747"/>
      <x:c r="BH747"/>
      <x:c r="BI747"/>
      <x:c r="BJ747"/>
      <x:c r="BK747"/>
      <x:c r="BL747"/>
      <x:c r="BM747"/>
      <x:c r="BN747"/>
      <x:c r="BO747"/>
      <x:c r="BP747"/>
      <x:c r="BQ747"/>
      <x:c r="BR747"/>
      <x:c r="BS747"/>
      <x:c r="BT747"/>
      <x:c r="BU747"/>
      <x:c r="BV747"/>
      <x:c r="BW747"/>
      <x:c r="BX747"/>
      <x:c r="BY747"/>
      <x:c r="BZ747"/>
      <x:c r="CA747"/>
      <x:c r="CB747"/>
      <x:c r="CC747"/>
    </x:row>
    <x:row r="748" ht="115" customHeight="1">
      <x:c r="A748" s="4" t="str">
        <x:v>proposal.collection.tall_iron_pavise</x:v>
      </x:c>
      <x:c r="B748" s="4" t="str">
        <x:v>Tall iron pavise</x:v>
      </x:c>
      <x:c r="C748" s="4" t="str">
        <x:v>Not applicable</x:v>
      </x:c>
      <x:c r="D748" s="4" t="inlineStr">
        <x:is>
          <x:t xml:space="preserve">Armor</x:t>
        </x:is>
      </x:c>
      <x:c r="E748" s="4" t="str">
        <x:v>Shield</x:v>
      </x:c>
      <x:c r="F748" s="4" t="str">
        <x:v>New proposal</x:v>
      </x:c>
      <x:c r="G748" s="4" t="inlineStr">
        <x:is>
          <x:t xml:space="preserve">Set-down metal shield for a fixed position. It is intended to interpose a physical guard against a threat, with handling, coverage and protective performance determined by the final design.</x:t>
        </x:is>
      </x:c>
      <x:c r="H748" s="4" t="str">
        <x:v>None</x:v>
      </x:c>
      <x:c r="I748" s="4" t="str">
        <x:v>Physical inventory / cargo item; dimensions and packing unresolved</x:v>
      </x:c>
      <x:c r="J748" s="4"/>
      <x:c r="K748" s="4"/>
      <x:c r="L748" s="4" t="str">
        <x:v>Candidate preparation: design.collection.tall_iron_pavise. Full inputs are in Crafting browser.</x:v>
      </x:c>
      <x:c r="M748" s="4" t="str">
        <x:v>Candidate workshop or contained preparation route; detailed tools, quantities and conditions unresolved</x:v>
      </x:c>
      <x:c r="N748" s="4" t="str">
        <x:v>Not implemented</x:v>
      </x:c>
      <x:c r="O748" s="4" t="str">
        <x:v>Specific dimensions, yield, fit, performance and service conditions remain open.</x:v>
      </x:c>
      <x:c r="P748" s="4"/>
      <x:c r="Q748" s="4"/>
      <x:c r="R748" s="4"/>
      <x:c r="S748" s="4"/>
      <x:c r="T748" s="4"/>
      <x:c r="U748" s="4" t="str">
        <x:v>Candidate inputs are partial. Resolve tools, supporting materials, energy, recovery and compatibility before recipes become craftable.</x:v>
      </x:c>
      <x:c r="V748" s="4" t="str">
        <x:v>tall iron pavise; collection expansion; shield</x:v>
      </x:c>
      <x:c r="W748" s="4" t="str">
        <x:v>New item proposal, October 15, 2026. Setting reference (source proposal): https://github.com/sleepyseamonster/Arc-Dust/blob/f6f98515c005dc3c73cccd9cbc031691745740c6/02-Arc-Dust-Worldbuilding/world/materials/industrial-material-palette.md</x:v>
      </x:c>
      <x:c r="X748" s="4" t="str">
        <x:v>Shield</x:v>
      </x:c>
      <x:c r="Y748" s="4" t="str">
        <x:v>Finished item</x:v>
      </x:c>
      <x:c r="Z748" s="4" t="str">
        <x:v>Manufactured / unresolved</x:v>
      </x:c>
      <x:c r="AA748" s="4" t="str">
        <x:v>Defensive combat</x:v>
      </x:c>
      <x:c r="AB748" s="4" t="str">
        <x:v>Metal</x:v>
      </x:c>
      <x:c r="AC748" s="4" t="str">
        <x:v>Assembly</x:v>
      </x:c>
      <x:c r="AD748" s="4" t="str">
        <x:v>Proposal</x:v>
      </x:c>
      <x:c r="AE748" s="4" t="str">
        <x:f>LOWER(A748&amp;"; "&amp;B748&amp;"; "&amp;D748&amp;"; "&amp;E748&amp;"; "&amp;X748&amp;"; "&amp;Y748&amp;"; "&amp;Z748&amp;"; "&amp;AA748&amp;"; "&amp;AB748&amp;"; "&amp;AC748&amp;"; "&amp;AD748&amp;"; "&amp;V748&amp;"; "&amp;C748&amp;"; "&amp;AH748&amp;"; "&amp;AI748)</x:f>
        <x:v>proposal.collection.tall_iron_pavise; tall iron pavise; armor; shield; shield; finished item; manufactured / unresolved; defensive combat; metal; assembly; proposal; tall iron pavise; collection expansion; shield; not applicable; t3; finished item</x:v>
      </x:c>
      <x:c r="AF74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8" s="4" t="str">
        <x:v>Finished endpoint or currency. Material tier is separate from finished input tier.</x:v>
      </x:c>
      <x:c r="AH748" s="4" t="str">
        <x:v>T3</x:v>
      </x:c>
      <x:c r="AI748" s="4" t="str">
        <x:v>Finished item</x:v>
      </x:c>
      <x:c r="AJ748" s="4" t="n">
        <x:f>COUNTIFS('Material routes'!$D$6:$D$2205,A748,'Material routes'!$C$6:$C$2205,"Output")</x:f>
        <x:v>1</x:v>
      </x:c>
      <x:c r="AK748" s="4" t="n">
        <x:f>SUM(COUNTIFS('Material routes'!$D$6:$D$2205,A748,'Material routes'!$C$6:$C$2205,"Ingredient candidate"),COUNTIFS('Material routes'!$D$6:$D$2205,A748,'Material routes'!$C$6:$C$2205,"Consumed input"),COUNTIFS('Material routes'!$D$6:$D$2205,A748,'Material routes'!$C$6:$C$2205,"Contained input"),COUNTIFS('Material routes'!$D$6:$D$2205,A748,'Material routes'!$C$6:$C$2205,"Transform input"))</x:f>
        <x:v>0</x:v>
      </x:c>
      <x:c r="AL748" s="4" t="n">
        <x:f>COUNTIFS('Material routes'!$D$6:$D$2205,A748,'Material routes'!$C$6:$C$2205,"Tool candidate")</x:f>
        <x:v>0</x:v>
      </x:c>
      <x:c r="AM748" s="4" t="str">
        <x:f>IF(AJ748&gt;0,"Route listed; review status/completeness",IF(C748="T0","Raw entry feed; no production route","No production route listed"))</x:f>
        <x:v>Route listed; review status/completeness</x:v>
      </x:c>
      <x:c r="AN748" s="4" t="n">
        <x:f>IF(C748="T0",0,IF(C748="T1",1,IF(C748="T2",2,IF(C748="T3",3,IF(C748="T4",4,IF(C748="Unassigned",98,99))))))</x:f>
        <x:v>99</x:v>
      </x:c>
      <x:c r="AZ748"/>
      <x:c r="BA748"/>
      <x:c r="BB748"/>
      <x:c r="BC748"/>
      <x:c r="BD748"/>
      <x:c r="BE748"/>
      <x:c r="BF748"/>
      <x:c r="BG748"/>
      <x:c r="BH748"/>
      <x:c r="BI748"/>
      <x:c r="BJ748"/>
      <x:c r="BK748"/>
      <x:c r="BL748"/>
      <x:c r="BM748"/>
      <x:c r="BN748"/>
      <x:c r="BO748"/>
      <x:c r="BP748"/>
      <x:c r="BQ748"/>
      <x:c r="BR748"/>
      <x:c r="BS748"/>
      <x:c r="BT748"/>
      <x:c r="BU748"/>
      <x:c r="BV748"/>
      <x:c r="BW748"/>
      <x:c r="BX748"/>
      <x:c r="BY748"/>
      <x:c r="BZ748"/>
      <x:c r="CA748"/>
      <x:c r="CB748"/>
      <x:c r="CC748"/>
    </x:row>
    <x:row r="749" ht="115" customHeight="1">
      <x:c r="A749" s="4" t="str">
        <x:v>proposal.collection.folding_wing_frame_screen_shield</x:v>
      </x:c>
      <x:c r="B749" s="4" t="str">
        <x:v>Folding wing-frame screen shield</x:v>
      </x:c>
      <x:c r="C749" s="4" t="str">
        <x:v>Not applicable</x:v>
      </x:c>
      <x:c r="D749" s="4" t="inlineStr">
        <x:is>
          <x:t xml:space="preserve">Armor</x:t>
        </x:is>
      </x:c>
      <x:c r="E749" s="4" t="str">
        <x:v>Shield</x:v>
      </x:c>
      <x:c r="F749" s="4" t="str">
        <x:v>New proposal</x:v>
      </x:c>
      <x:c r="G749" s="4" t="inlineStr">
        <x:is>
          <x:t xml:space="preserve">Light frame with membrane screening, limited physical protection proposed. It is intended to interpose a physical guard against a threat, with handling, coverage and protective performance determined by the final design.</x:t>
        </x:is>
      </x:c>
      <x:c r="H749" s="4" t="str">
        <x:v>None</x:v>
      </x:c>
      <x:c r="I749" s="4" t="str">
        <x:v>Physical inventory / cargo item; dimensions and packing unresolved</x:v>
      </x:c>
      <x:c r="J749" s="4"/>
      <x:c r="K749" s="4"/>
      <x:c r="L749" s="4" t="str">
        <x:v>Candidate preparation: design.collection.folding_wing_frame_screen_shield. Full inputs are in Crafting browser.</x:v>
      </x:c>
      <x:c r="M749" s="4" t="str">
        <x:v>Candidate workshop or contained preparation route; detailed tools, quantities and conditions unresolved</x:v>
      </x:c>
      <x:c r="N749" s="4" t="str">
        <x:v>Not implemented</x:v>
      </x:c>
      <x:c r="O749" s="4" t="str">
        <x:v>Specific dimensions, yield, fit, performance and service conditions remain open.</x:v>
      </x:c>
      <x:c r="P749" s="4"/>
      <x:c r="Q749" s="4"/>
      <x:c r="R749" s="4"/>
      <x:c r="S749" s="4"/>
      <x:c r="T749" s="4"/>
      <x:c r="U749" s="4" t="str">
        <x:v>Candidate inputs are partial. Resolve tools, supporting materials, energy, recovery and compatibility before recipes become craftable.</x:v>
      </x:c>
      <x:c r="V749" s="4" t="str">
        <x:v>folding wing-frame screen shield; collection expansion; shield</x:v>
      </x:c>
      <x:c r="W749" s="4" t="str">
        <x:v>New item proposal, October 15, 2026. Setting reference (source proposal): https://github.com/sleepyseamonster/Arc-Dust/blob/f6f98515c005dc3c73cccd9cbc031691745740c6/02-Arc-Dust-Worldbuilding/world/materials/industrial-material-palette.md</x:v>
      </x:c>
      <x:c r="X749" s="4" t="str">
        <x:v>Shield</x:v>
      </x:c>
      <x:c r="Y749" s="4" t="str">
        <x:v>Finished item</x:v>
      </x:c>
      <x:c r="Z749" s="4" t="str">
        <x:v>Manufactured / unresolved</x:v>
      </x:c>
      <x:c r="AA749" s="4" t="str">
        <x:v>Defensive combat</x:v>
      </x:c>
      <x:c r="AB749" s="4" t="str">
        <x:v>Wing membrane and frame</x:v>
      </x:c>
      <x:c r="AC749" s="4" t="str">
        <x:v>Assembly</x:v>
      </x:c>
      <x:c r="AD749" s="4" t="str">
        <x:v>Proposal</x:v>
      </x:c>
      <x:c r="AE749" s="4" t="str">
        <x:f>LOWER(A749&amp;"; "&amp;B749&amp;"; "&amp;D749&amp;"; "&amp;E749&amp;"; "&amp;X749&amp;"; "&amp;Y749&amp;"; "&amp;Z749&amp;"; "&amp;AA749&amp;"; "&amp;AB749&amp;"; "&amp;AC749&amp;"; "&amp;AD749&amp;"; "&amp;V749&amp;"; "&amp;C749&amp;"; "&amp;AH749&amp;"; "&amp;AI749)</x:f>
        <x:v>proposal.collection.folding_wing_frame_screen_shield; folding wing-frame screen shield; armor; shield; shield; finished item; manufactured / unresolved; defensive combat; wing membrane and frame; assembly; proposal; folding wing-frame screen shield; collection expansion; shield; not applicable; t4; finished item</x:v>
      </x:c>
      <x:c r="AF74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9" s="4" t="str">
        <x:v>Finished endpoint or currency. Material tier is separate from finished input tier.</x:v>
      </x:c>
      <x:c r="AH749" s="4" t="str">
        <x:v>T4</x:v>
      </x:c>
      <x:c r="AI749" s="4" t="str">
        <x:v>Finished item</x:v>
      </x:c>
      <x:c r="AJ749" s="4" t="n">
        <x:f>COUNTIFS('Material routes'!$D$6:$D$2205,A749,'Material routes'!$C$6:$C$2205,"Output")</x:f>
        <x:v>1</x:v>
      </x:c>
      <x:c r="AK749" s="4" t="n">
        <x:f>SUM(COUNTIFS('Material routes'!$D$6:$D$2205,A749,'Material routes'!$C$6:$C$2205,"Ingredient candidate"),COUNTIFS('Material routes'!$D$6:$D$2205,A749,'Material routes'!$C$6:$C$2205,"Consumed input"),COUNTIFS('Material routes'!$D$6:$D$2205,A749,'Material routes'!$C$6:$C$2205,"Contained input"),COUNTIFS('Material routes'!$D$6:$D$2205,A749,'Material routes'!$C$6:$C$2205,"Transform input"))</x:f>
        <x:v>0</x:v>
      </x:c>
      <x:c r="AL749" s="4" t="n">
        <x:f>COUNTIFS('Material routes'!$D$6:$D$2205,A749,'Material routes'!$C$6:$C$2205,"Tool candidate")</x:f>
        <x:v>0</x:v>
      </x:c>
      <x:c r="AM749" s="4" t="str">
        <x:f>IF(AJ749&gt;0,"Route listed; review status/completeness",IF(C749="T0","Raw entry feed; no production route","No production route listed"))</x:f>
        <x:v>Route listed; review status/completeness</x:v>
      </x:c>
      <x:c r="AN749" s="4" t="n">
        <x:f>IF(C749="T0",0,IF(C749="T1",1,IF(C749="T2",2,IF(C749="T3",3,IF(C749="T4",4,IF(C749="Unassigned",98,99))))))</x:f>
        <x:v>99</x:v>
      </x:c>
      <x:c r="AZ749"/>
      <x:c r="BA749"/>
      <x:c r="BB749"/>
      <x:c r="BC749"/>
      <x:c r="BD749"/>
      <x:c r="BE749"/>
      <x:c r="BF749"/>
      <x:c r="BG749"/>
      <x:c r="BH749"/>
      <x:c r="BI749"/>
      <x:c r="BJ749"/>
      <x:c r="BK749"/>
      <x:c r="BL749"/>
      <x:c r="BM749"/>
      <x:c r="BN749"/>
      <x:c r="BO749"/>
      <x:c r="BP749"/>
      <x:c r="BQ749"/>
      <x:c r="BR749"/>
      <x:c r="BS749"/>
      <x:c r="BT749"/>
      <x:c r="BU749"/>
      <x:c r="BV749"/>
      <x:c r="BW749"/>
      <x:c r="BX749"/>
      <x:c r="BY749"/>
      <x:c r="BZ749"/>
      <x:c r="CA749"/>
      <x:c r="CB749"/>
      <x:c r="CC749"/>
    </x:row>
    <x:row r="750" ht="115" customHeight="1">
      <x:c r="A750" s="4"/>
      <x:c r="B750" s="4"/>
      <x:c r="C750" s="4"/>
      <x:c r="D750" s="4"/>
      <x:c r="E750" s="4"/>
      <x:c r="F750" s="4"/>
      <x:c r="G750" s="4"/>
      <x:c r="H750" s="4"/>
      <x:c r="I750" s="4"/>
      <x:c r="J750" s="4"/>
      <x:c r="K750" s="4"/>
      <x:c r="L750" s="4"/>
      <x:c r="M750" s="4"/>
      <x:c r="N750" s="4"/>
      <x:c r="O750" s="4"/>
      <x:c r="P750" s="4"/>
      <x:c r="Q750" s="4"/>
      <x:c r="R750" s="4"/>
      <x:c r="S750" s="4"/>
      <x:c r="T750" s="4"/>
      <x:c r="U750" s="4"/>
      <x:c r="V750" s="4"/>
      <x:c r="W750" s="4"/>
      <x:c r="X750" s="4"/>
      <x:c r="Y750" s="4"/>
      <x:c r="Z750" s="4"/>
      <x:c r="AA750" s="4"/>
      <x:c r="AB750" s="4"/>
      <x:c r="AC750" s="4"/>
      <x:c r="AD750" s="4"/>
      <x:c r="AE750" s="4"/>
      <x:c r="AF750" s="4"/>
      <x:c r="AG750" s="4"/>
      <x:c r="AH750" s="4"/>
      <x:c r="AI750" s="4"/>
      <x:c r="AJ750" s="4"/>
      <x:c r="AK750" s="4"/>
      <x:c r="AL750" s="4"/>
      <x:c r="AM750" s="4"/>
      <x:c r="AN750" s="4"/>
      <x:c r="AZ750"/>
      <x:c r="BA750"/>
      <x:c r="BB750"/>
      <x:c r="BC750"/>
      <x:c r="BD750"/>
      <x:c r="BE750"/>
      <x:c r="BF750"/>
      <x:c r="BG750"/>
      <x:c r="BH750"/>
      <x:c r="BI750"/>
      <x:c r="BJ750"/>
      <x:c r="BK750"/>
      <x:c r="BL750"/>
      <x:c r="BM750"/>
      <x:c r="BN750"/>
      <x:c r="BO750"/>
      <x:c r="BP750"/>
      <x:c r="BQ750"/>
      <x:c r="BR750"/>
      <x:c r="BS750"/>
      <x:c r="BT750"/>
      <x:c r="BU750"/>
      <x:c r="BV750"/>
      <x:c r="BW750"/>
      <x:c r="BX750"/>
      <x:c r="BY750"/>
      <x:c r="BZ750"/>
      <x:c r="CA750"/>
      <x:c r="CB750"/>
      <x:c r="CC750"/>
    </x:row>
    <x:row r="751" ht="115" customHeight="1">
      <x:c r="A751" s="4" t="str">
        <x:v>proposal.collection.layered_husk_shield</x:v>
      </x:c>
      <x:c r="B751" s="4" t="str">
        <x:v>Layered husk shield</x:v>
      </x:c>
      <x:c r="C751" s="4" t="str">
        <x:v>Not applicable</x:v>
      </x:c>
      <x:c r="D751" s="4" t="inlineStr">
        <x:is>
          <x:t xml:space="preserve">Armor</x:t>
        </x:is>
      </x:c>
      <x:c r="E751" s="4" t="str">
        <x:v>Shield</x:v>
      </x:c>
      <x:c r="F751" s="4" t="str">
        <x:v>New proposal</x:v>
      </x:c>
      <x:c r="G751" s="4" t="inlineStr">
        <x:is>
          <x:t xml:space="preserve">Costly bonded husk panels for a light shield. It is intended to interpose a physical guard against a threat, with handling, coverage and protective performance determined by the final design.</x:t>
        </x:is>
      </x:c>
      <x:c r="H751" s="4" t="str">
        <x:v>None</x:v>
      </x:c>
      <x:c r="I751" s="4" t="str">
        <x:v>Physical inventory / cargo item; dimensions and packing unresolved</x:v>
      </x:c>
      <x:c r="J751" s="4"/>
      <x:c r="K751" s="4"/>
      <x:c r="L751" s="4" t="str">
        <x:v>Candidate preparation: design.collection.layered_husk_shield. Full inputs are in Crafting browser.</x:v>
      </x:c>
      <x:c r="M751" s="4" t="str">
        <x:v>Candidate workshop or contained preparation route; detailed tools, quantities and conditions unresolved</x:v>
      </x:c>
      <x:c r="N751" s="4" t="str">
        <x:v>Not implemented</x:v>
      </x:c>
      <x:c r="O751" s="4" t="str">
        <x:v>Specific dimensions, yield, fit, performance and service conditions remain open.</x:v>
      </x:c>
      <x:c r="P751" s="4"/>
      <x:c r="Q751" s="4"/>
      <x:c r="R751" s="4"/>
      <x:c r="S751" s="4"/>
      <x:c r="T751" s="4"/>
      <x:c r="U751" s="4" t="str">
        <x:v>Candidate inputs are partial. Resolve tools, supporting materials, energy, recovery and compatibility before recipes become craftable.</x:v>
      </x:c>
      <x:c r="V751" s="4" t="str">
        <x:v>layered husk shield; collection expansion; shield</x:v>
      </x:c>
      <x:c r="W751" s="4" t="str">
        <x:v>New item proposal, October 15, 2026. Setting reference (source proposal): https://github.com/sleepyseamonster/Arc-Dust/blob/f6f98515c005dc3c73cccd9cbc031691745740c6/02-Arc-Dust-Worldbuilding/world/materials/industrial-material-palette.md</x:v>
      </x:c>
      <x:c r="X751" s="4" t="str">
        <x:v>Shield</x:v>
      </x:c>
      <x:c r="Y751" s="4" t="str">
        <x:v>Finished item</x:v>
      </x:c>
      <x:c r="Z751" s="4" t="str">
        <x:v>Manufactured / unresolved</x:v>
      </x:c>
      <x:c r="AA751" s="4" t="str">
        <x:v>Defensive combat</x:v>
      </x:c>
      <x:c r="AB751" s="4" t="str">
        <x:v>Mixed / unresolved</x:v>
      </x:c>
      <x:c r="AC751" s="4" t="str">
        <x:v>Assembly</x:v>
      </x:c>
      <x:c r="AD751" s="4" t="str">
        <x:v>Proposal</x:v>
      </x:c>
      <x:c r="AE751" s="4" t="str">
        <x:f>LOWER(A751&amp;"; "&amp;B751&amp;"; "&amp;D751&amp;"; "&amp;E751&amp;"; "&amp;X751&amp;"; "&amp;Y751&amp;"; "&amp;Z751&amp;"; "&amp;AA751&amp;"; "&amp;AB751&amp;"; "&amp;AC751&amp;"; "&amp;AD751&amp;"; "&amp;V751&amp;"; "&amp;C751&amp;"; "&amp;AH751&amp;"; "&amp;AI751)</x:f>
        <x:v>proposal.collection.layered_husk_shield; layered husk shield; armor; shield; shield; finished item; manufactured / unresolved; defensive combat; mixed / unresolved; assembly; proposal; layered husk shield; collection expansion; shield; not applicable; t3; finished item</x:v>
      </x:c>
      <x:c r="AF75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1" s="4" t="str">
        <x:v>Finished endpoint or currency. Material tier is separate from finished input tier.</x:v>
      </x:c>
      <x:c r="AH751" s="4" t="str">
        <x:v>T3</x:v>
      </x:c>
      <x:c r="AI751" s="4" t="str">
        <x:v>Finished item</x:v>
      </x:c>
      <x:c r="AJ751" s="4" t="n">
        <x:f>COUNTIFS('Material routes'!$D$6:$D$2205,A751,'Material routes'!$C$6:$C$2205,"Output")</x:f>
        <x:v>1</x:v>
      </x:c>
      <x:c r="AK751" s="4" t="n">
        <x:f>SUM(COUNTIFS('Material routes'!$D$6:$D$2205,A751,'Material routes'!$C$6:$C$2205,"Ingredient candidate"),COUNTIFS('Material routes'!$D$6:$D$2205,A751,'Material routes'!$C$6:$C$2205,"Consumed input"),COUNTIFS('Material routes'!$D$6:$D$2205,A751,'Material routes'!$C$6:$C$2205,"Contained input"),COUNTIFS('Material routes'!$D$6:$D$2205,A751,'Material routes'!$C$6:$C$2205,"Transform input"))</x:f>
        <x:v>0</x:v>
      </x:c>
      <x:c r="AL751" s="4" t="n">
        <x:f>COUNTIFS('Material routes'!$D$6:$D$2205,A751,'Material routes'!$C$6:$C$2205,"Tool candidate")</x:f>
        <x:v>0</x:v>
      </x:c>
      <x:c r="AM751" s="4" t="str">
        <x:f>IF(AJ751&gt;0,"Route listed; review status/completeness",IF(C751="T0","Raw entry feed; no production route","No production route listed"))</x:f>
        <x:v>Route listed; review status/completeness</x:v>
      </x:c>
      <x:c r="AN751" s="4" t="n">
        <x:f>IF(C751="T0",0,IF(C751="T1",1,IF(C751="T2",2,IF(C751="T3",3,IF(C751="T4",4,IF(C751="Unassigned",98,99))))))</x:f>
        <x:v>99</x:v>
      </x:c>
      <x:c r="AZ751"/>
      <x:c r="BA751"/>
      <x:c r="BB751"/>
      <x:c r="BC751"/>
      <x:c r="BD751"/>
      <x:c r="BE751"/>
      <x:c r="BF751"/>
      <x:c r="BG751"/>
      <x:c r="BH751"/>
      <x:c r="BI751"/>
      <x:c r="BJ751"/>
      <x:c r="BK751"/>
      <x:c r="BL751"/>
      <x:c r="BM751"/>
      <x:c r="BN751"/>
      <x:c r="BO751"/>
      <x:c r="BP751"/>
      <x:c r="BQ751"/>
      <x:c r="BR751"/>
      <x:c r="BS751"/>
      <x:c r="BT751"/>
      <x:c r="BU751"/>
      <x:c r="BV751"/>
      <x:c r="BW751"/>
      <x:c r="BX751"/>
      <x:c r="BY751"/>
      <x:c r="BZ751"/>
      <x:c r="CA751"/>
      <x:c r="CB751"/>
      <x:c r="CC751"/>
    </x:row>
    <x:row r="752" ht="115" customHeight="1">
      <x:c r="A752" s="4" t="str">
        <x:v>proposal.collection.steel_rimmed_shell_shield</x:v>
      </x:c>
      <x:c r="B752" s="4" t="str">
        <x:v>Steel-rimmed shell shield</x:v>
      </x:c>
      <x:c r="C752" s="4" t="str">
        <x:v>Not applicable</x:v>
      </x:c>
      <x:c r="D752" s="4" t="inlineStr">
        <x:is>
          <x:t xml:space="preserve">Armor</x:t>
        </x:is>
      </x:c>
      <x:c r="E752" s="4" t="str">
        <x:v>Shield</x:v>
      </x:c>
      <x:c r="F752" s="4" t="str">
        <x:v>New proposal</x:v>
      </x:c>
      <x:c r="G752" s="4" t="inlineStr">
        <x:is>
          <x:t xml:space="preserve">Metal rim protects a replaceable shell center. It is intended to interpose a physical guard against a threat, with handling, coverage and protective performance determined by the final design.</x:t>
        </x:is>
      </x:c>
      <x:c r="H752" s="4" t="str">
        <x:v>None</x:v>
      </x:c>
      <x:c r="I752" s="4" t="str">
        <x:v>Physical inventory / cargo item; dimensions and packing unresolved</x:v>
      </x:c>
      <x:c r="J752" s="4"/>
      <x:c r="K752" s="4"/>
      <x:c r="L752" s="4" t="str">
        <x:v>Candidate preparation: design.collection.steel_rimmed_shell_shield. Full inputs are in Crafting browser.</x:v>
      </x:c>
      <x:c r="M752" s="4" t="str">
        <x:v>Candidate workshop or contained preparation route; detailed tools, quantities and conditions unresolved</x:v>
      </x:c>
      <x:c r="N752" s="4" t="str">
        <x:v>Not implemented</x:v>
      </x:c>
      <x:c r="O752" s="4" t="str">
        <x:v>Specific dimensions, yield, fit, performance and service conditions remain open.</x:v>
      </x:c>
      <x:c r="P752" s="4"/>
      <x:c r="Q752" s="4"/>
      <x:c r="R752" s="4"/>
      <x:c r="S752" s="4"/>
      <x:c r="T752" s="4"/>
      <x:c r="U752" s="4" t="str">
        <x:v>Candidate inputs are partial. Resolve tools, supporting materials, energy, recovery and compatibility before recipes become craftable.</x:v>
      </x:c>
      <x:c r="V752" s="4" t="str">
        <x:v>steel-rimmed shell shield; collection expansion; shield</x:v>
      </x:c>
      <x:c r="W752" s="4" t="str">
        <x:v>New item proposal, October 15, 2026. Setting reference (source proposal): https://github.com/sleepyseamonster/Arc-Dust/blob/f6f98515c005dc3c73cccd9cbc031691745740c6/02-Arc-Dust-Worldbuilding/world/materials/industrial-material-palette.md</x:v>
      </x:c>
      <x:c r="X752" s="4" t="str">
        <x:v>Shield</x:v>
      </x:c>
      <x:c r="Y752" s="4" t="str">
        <x:v>Finished item</x:v>
      </x:c>
      <x:c r="Z752" s="4" t="str">
        <x:v>Manufactured / unresolved</x:v>
      </x:c>
      <x:c r="AA752" s="4" t="str">
        <x:v>Defensive combat</x:v>
      </x:c>
      <x:c r="AB752" s="4" t="str">
        <x:v>Metal and shell</x:v>
      </x:c>
      <x:c r="AC752" s="4" t="str">
        <x:v>Assembly</x:v>
      </x:c>
      <x:c r="AD752" s="4" t="str">
        <x:v>Proposal</x:v>
      </x:c>
      <x:c r="AE752" s="4" t="str">
        <x:f>LOWER(A752&amp;"; "&amp;B752&amp;"; "&amp;D752&amp;"; "&amp;E752&amp;"; "&amp;X752&amp;"; "&amp;Y752&amp;"; "&amp;Z752&amp;"; "&amp;AA752&amp;"; "&amp;AB752&amp;"; "&amp;AC752&amp;"; "&amp;AD752&amp;"; "&amp;V752&amp;"; "&amp;C752&amp;"; "&amp;AH752&amp;"; "&amp;AI752)</x:f>
        <x:v>proposal.collection.steel_rimmed_shell_shield; steel-rimmed shell shield; armor; shield; shield; finished item; manufactured / unresolved; defensive combat; metal and shell; assembly; proposal; steel-rimmed shell shield; collection expansion; shield; not applicable; t2; finished item</x:v>
      </x:c>
      <x:c r="AF75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2" s="4" t="str">
        <x:v>Finished endpoint or currency. Material tier is separate from finished input tier.</x:v>
      </x:c>
      <x:c r="AH752" s="4" t="str">
        <x:v>T2</x:v>
      </x:c>
      <x:c r="AI752" s="4" t="str">
        <x:v>Finished item</x:v>
      </x:c>
      <x:c r="AJ752" s="4" t="n">
        <x:f>COUNTIFS('Material routes'!$D$6:$D$2205,A752,'Material routes'!$C$6:$C$2205,"Output")</x:f>
        <x:v>1</x:v>
      </x:c>
      <x:c r="AK752" s="4" t="n">
        <x:f>SUM(COUNTIFS('Material routes'!$D$6:$D$2205,A752,'Material routes'!$C$6:$C$2205,"Ingredient candidate"),COUNTIFS('Material routes'!$D$6:$D$2205,A752,'Material routes'!$C$6:$C$2205,"Consumed input"),COUNTIFS('Material routes'!$D$6:$D$2205,A752,'Material routes'!$C$6:$C$2205,"Contained input"),COUNTIFS('Material routes'!$D$6:$D$2205,A752,'Material routes'!$C$6:$C$2205,"Transform input"))</x:f>
        <x:v>1</x:v>
      </x:c>
      <x:c r="AL752" s="4" t="n">
        <x:f>COUNTIFS('Material routes'!$D$6:$D$2205,A752,'Material routes'!$C$6:$C$2205,"Tool candidate")</x:f>
        <x:v>0</x:v>
      </x:c>
      <x:c r="AM752" s="4" t="str">
        <x:f>IF(AJ752&gt;0,"Route listed; review status/completeness",IF(C752="T0","Raw entry feed; no production route","No production route listed"))</x:f>
        <x:v>Route listed; review status/completeness</x:v>
      </x:c>
      <x:c r="AN752" s="4" t="n">
        <x:f>IF(C752="T0",0,IF(C752="T1",1,IF(C752="T2",2,IF(C752="T3",3,IF(C752="T4",4,IF(C752="Unassigned",98,99))))))</x:f>
        <x:v>99</x:v>
      </x:c>
      <x:c r="AZ752"/>
      <x:c r="BA752"/>
      <x:c r="BB752"/>
      <x:c r="BC752"/>
      <x:c r="BD752"/>
      <x:c r="BE752"/>
      <x:c r="BF752"/>
      <x:c r="BG752"/>
      <x:c r="BH752"/>
      <x:c r="BI752"/>
      <x:c r="BJ752"/>
      <x:c r="BK752"/>
      <x:c r="BL752"/>
      <x:c r="BM752"/>
      <x:c r="BN752"/>
      <x:c r="BO752"/>
      <x:c r="BP752"/>
      <x:c r="BQ752"/>
      <x:c r="BR752"/>
      <x:c r="BS752"/>
      <x:c r="BT752"/>
      <x:c r="BU752"/>
      <x:c r="BV752"/>
      <x:c r="BW752"/>
      <x:c r="BX752"/>
      <x:c r="BY752"/>
      <x:c r="BZ752"/>
      <x:c r="CA752"/>
      <x:c r="CB752"/>
      <x:c r="CC752"/>
    </x:row>
    <x:row r="753" ht="115" customHeight="1">
      <x:c r="A753" s="4"/>
      <x:c r="B753" s="4"/>
      <x:c r="C753" s="4"/>
      <x:c r="D753" s="4"/>
      <x:c r="E753" s="4"/>
      <x:c r="F753" s="4"/>
      <x:c r="G753" s="4"/>
      <x:c r="H753" s="4"/>
      <x:c r="I753" s="4"/>
      <x:c r="J753" s="4"/>
      <x:c r="M753" s="4"/>
      <x:c r="N753" s="4"/>
      <x:c r="O753" s="4"/>
      <x:c r="P753" s="4"/>
      <x:c r="V753" s="4"/>
      <x:c r="W753" s="4"/>
      <x:c r="X753" s="4"/>
      <x:c r="Y753" s="4"/>
      <x:c r="Z753" s="4"/>
      <x:c r="AA753" s="4"/>
      <x:c r="AB753" s="4"/>
      <x:c r="AC753" s="4"/>
      <x:c r="AD753" s="4"/>
      <x:c r="AE753" s="4"/>
      <x:c r="AF753" s="4"/>
      <x:c r="AG753" s="4"/>
      <x:c r="AH753" s="4"/>
      <x:c r="AI753" s="4"/>
      <x:c r="AJ753" s="4"/>
      <x:c r="AK753" s="4"/>
      <x:c r="AL753" s="4"/>
      <x:c r="AM753" s="4"/>
      <x:c r="AN753" s="4"/>
      <x:c r="AZ753"/>
      <x:c r="BA753"/>
      <x:c r="BB753"/>
      <x:c r="BC753"/>
      <x:c r="BD753"/>
      <x:c r="BE753"/>
      <x:c r="BF753"/>
      <x:c r="BG753"/>
      <x:c r="BH753"/>
      <x:c r="BI753"/>
      <x:c r="BJ753"/>
      <x:c r="BK753"/>
      <x:c r="BL753"/>
      <x:c r="BM753"/>
      <x:c r="BN753"/>
      <x:c r="BO753"/>
      <x:c r="BP753"/>
      <x:c r="BQ753"/>
      <x:c r="BR753"/>
      <x:c r="BS753"/>
      <x:c r="BT753"/>
      <x:c r="BU753"/>
      <x:c r="BV753"/>
      <x:c r="BW753"/>
      <x:c r="BX753"/>
      <x:c r="BY753"/>
      <x:c r="BZ753"/>
      <x:c r="CA753"/>
      <x:c r="CB753"/>
      <x:c r="CC753"/>
    </x:row>
    <x:row r="754" ht="115" customHeight="1">
      <x:c r="A754" s="4" t="str">
        <x:v>proposal.collection.elbow_strapped_work_shield</x:v>
      </x:c>
      <x:c r="B754" s="4" t="str">
        <x:v>Elbow-strapped work shield</x:v>
      </x:c>
      <x:c r="C754" s="4" t="str">
        <x:v>Not applicable</x:v>
      </x:c>
      <x:c r="D754" s="4" t="inlineStr">
        <x:is>
          <x:t xml:space="preserve">Armor</x:t>
        </x:is>
      </x:c>
      <x:c r="E754" s="4" t="str">
        <x:v>Shield</x:v>
      </x:c>
      <x:c r="F754" s="4" t="str">
        <x:v>New proposal</x:v>
      </x:c>
      <x:c r="G754" s="4" t="inlineStr">
        <x:is>
          <x:t xml:space="preserve">Small arm shield leaving a limited hand grip. It is intended to interpose a physical guard against a threat, with handling, coverage and protective performance determined by the final design.</x:t>
        </x:is>
      </x:c>
      <x:c r="H754" s="4" t="str">
        <x:v>None</x:v>
      </x:c>
      <x:c r="I754" s="4" t="str">
        <x:v>Physical inventory / cargo item; dimensions and packing unresolved</x:v>
      </x:c>
      <x:c r="J754" s="4"/>
      <x:c r="K754" s="4"/>
      <x:c r="L754" s="4" t="str">
        <x:v>Candidate preparation: design.collection.elbow_strapped_work_shield. Full inputs are in Crafting browser.</x:v>
      </x:c>
      <x:c r="M754" s="4" t="str">
        <x:v>Candidate workshop or contained preparation route; detailed tools, quantities and conditions unresolved</x:v>
      </x:c>
      <x:c r="N754" s="4" t="str">
        <x:v>Not implemented</x:v>
      </x:c>
      <x:c r="O754" s="4" t="str">
        <x:v>Specific dimensions, yield, fit, performance and service conditions remain open.</x:v>
      </x:c>
      <x:c r="P754" s="4"/>
      <x:c r="Q754" s="4"/>
      <x:c r="R754" s="4"/>
      <x:c r="S754" s="4"/>
      <x:c r="T754" s="4"/>
      <x:c r="U754" s="4" t="str">
        <x:v>Candidate inputs are partial. Resolve tools, supporting materials, energy, recovery and compatibility before recipes become craftable.</x:v>
      </x:c>
      <x:c r="V754" s="4" t="str">
        <x:v>elbow-strapped work shield; collection expansion; shield</x:v>
      </x:c>
      <x:c r="W754" s="4" t="str">
        <x:v>New item proposal, October 15, 2026. Setting reference (source proposal): https://github.com/sleepyseamonster/Arc-Dust/blob/f6f98515c005dc3c73cccd9cbc031691745740c6/02-Arc-Dust-Worldbuilding/world/materials/industrial-material-palette.md</x:v>
      </x:c>
      <x:c r="X754" s="4" t="str">
        <x:v>Shield</x:v>
      </x:c>
      <x:c r="Y754" s="4" t="str">
        <x:v>Finished item</x:v>
      </x:c>
      <x:c r="Z754" s="4" t="str">
        <x:v>Manufactured / unresolved</x:v>
      </x:c>
      <x:c r="AA754" s="4" t="str">
        <x:v>Defensive combat</x:v>
      </x:c>
      <x:c r="AB754" s="4" t="str">
        <x:v>Mixed / unresolved</x:v>
      </x:c>
      <x:c r="AC754" s="4" t="str">
        <x:v>Assembly</x:v>
      </x:c>
      <x:c r="AD754" s="4" t="str">
        <x:v>Proposal</x:v>
      </x:c>
      <x:c r="AE754" s="4" t="str">
        <x:f>LOWER(A754&amp;"; "&amp;B754&amp;"; "&amp;D754&amp;"; "&amp;E754&amp;"; "&amp;X754&amp;"; "&amp;Y754&amp;"; "&amp;Z754&amp;"; "&amp;AA754&amp;"; "&amp;AB754&amp;"; "&amp;AC754&amp;"; "&amp;AD754&amp;"; "&amp;V754&amp;"; "&amp;C754&amp;"; "&amp;AH754&amp;"; "&amp;AI754)</x:f>
        <x:v>proposal.collection.elbow_strapped_work_shield; elbow-strapped work shield; armor; shield; shield; finished item; manufactured / unresolved; defensive combat; mixed / unresolved; assembly; proposal; elbow-strapped work shield; collection expansion; shield; not applicable; t3; finished item</x:v>
      </x:c>
      <x:c r="AF75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4" s="4" t="str">
        <x:v>Finished endpoint or currency. Material tier is separate from finished input tier.</x:v>
      </x:c>
      <x:c r="AH754" s="4" t="str">
        <x:v>T3</x:v>
      </x:c>
      <x:c r="AI754" s="4" t="str">
        <x:v>Finished item</x:v>
      </x:c>
      <x:c r="AJ754" s="4" t="n">
        <x:f>COUNTIFS('Material routes'!$D$6:$D$2205,A754,'Material routes'!$C$6:$C$2205,"Output")</x:f>
        <x:v>1</x:v>
      </x:c>
      <x:c r="AK754" s="4" t="n">
        <x:f>SUM(COUNTIFS('Material routes'!$D$6:$D$2205,A754,'Material routes'!$C$6:$C$2205,"Ingredient candidate"),COUNTIFS('Material routes'!$D$6:$D$2205,A754,'Material routes'!$C$6:$C$2205,"Consumed input"),COUNTIFS('Material routes'!$D$6:$D$2205,A754,'Material routes'!$C$6:$C$2205,"Contained input"),COUNTIFS('Material routes'!$D$6:$D$2205,A754,'Material routes'!$C$6:$C$2205,"Transform input"))</x:f>
        <x:v>0</x:v>
      </x:c>
      <x:c r="AL754" s="4" t="n">
        <x:f>COUNTIFS('Material routes'!$D$6:$D$2205,A754,'Material routes'!$C$6:$C$2205,"Tool candidate")</x:f>
        <x:v>0</x:v>
      </x:c>
      <x:c r="AM754" s="4" t="str">
        <x:f>IF(AJ754&gt;0,"Route listed; review status/completeness",IF(C754="T0","Raw entry feed; no production route","No production route listed"))</x:f>
        <x:v>Route listed; review status/completeness</x:v>
      </x:c>
      <x:c r="AN754" s="4" t="n">
        <x:f>IF(C754="T0",0,IF(C754="T1",1,IF(C754="T2",2,IF(C754="T3",3,IF(C754="T4",4,IF(C754="Unassigned",98,99))))))</x:f>
        <x:v>99</x:v>
      </x:c>
      <x:c r="AZ754"/>
      <x:c r="BA754"/>
      <x:c r="BB754"/>
      <x:c r="BC754"/>
      <x:c r="BD754"/>
      <x:c r="BE754"/>
      <x:c r="BF754"/>
      <x:c r="BG754"/>
      <x:c r="BH754"/>
      <x:c r="BI754"/>
      <x:c r="BJ754"/>
      <x:c r="BK754"/>
      <x:c r="BL754"/>
      <x:c r="BM754"/>
      <x:c r="BN754"/>
      <x:c r="BO754"/>
      <x:c r="BP754"/>
      <x:c r="BQ754"/>
      <x:c r="BR754"/>
      <x:c r="BS754"/>
      <x:c r="BT754"/>
      <x:c r="BU754"/>
      <x:c r="BV754"/>
      <x:c r="BW754"/>
      <x:c r="BX754"/>
      <x:c r="BY754"/>
      <x:c r="BZ754"/>
      <x:c r="CA754"/>
      <x:c r="CB754"/>
      <x:c r="CC754"/>
    </x:row>
    <x:row r="755" ht="115" customHeight="1">
      <x:c r="A755" s="4" t="str">
        <x:v>proposal.collection.knee_braced_ground_shield</x:v>
      </x:c>
      <x:c r="B755" s="4" t="str">
        <x:v>Knee-braced ground shield</x:v>
      </x:c>
      <x:c r="C755" s="4" t="str">
        <x:v>Not applicable</x:v>
      </x:c>
      <x:c r="D755" s="4" t="inlineStr">
        <x:is>
          <x:t xml:space="preserve">Armor</x:t>
        </x:is>
      </x:c>
      <x:c r="E755" s="4" t="str">
        <x:v>Shield</x:v>
      </x:c>
      <x:c r="F755" s="4" t="str">
        <x:v>New proposal</x:v>
      </x:c>
      <x:c r="G755" s="4" t="inlineStr">
        <x:is>
          <x:t xml:space="preserve">Braced shield for low stationary cover. It is intended to interpose a physical guard against a threat, with handling, coverage and protective performance determined by the final design.</x:t>
        </x:is>
      </x:c>
      <x:c r="H755" s="4" t="str">
        <x:v>None</x:v>
      </x:c>
      <x:c r="I755" s="4" t="str">
        <x:v>Physical inventory / cargo item; dimensions and packing unresolved</x:v>
      </x:c>
      <x:c r="J755" s="4"/>
      <x:c r="K755" s="4"/>
      <x:c r="L755" s="4" t="str">
        <x:v>Candidate preparation: design.collection.knee_braced_ground_shield. Full inputs are in Crafting browser.</x:v>
      </x:c>
      <x:c r="M755" s="4" t="str">
        <x:v>Candidate workshop or contained preparation route; detailed tools, quantities and conditions unresolved</x:v>
      </x:c>
      <x:c r="N755" s="4" t="str">
        <x:v>Not implemented</x:v>
      </x:c>
      <x:c r="O755" s="4" t="str">
        <x:v>Specific dimensions, yield, fit, performance and service conditions remain open.</x:v>
      </x:c>
      <x:c r="P755" s="4"/>
      <x:c r="Q755" s="4"/>
      <x:c r="R755" s="4"/>
      <x:c r="S755" s="4"/>
      <x:c r="T755" s="4"/>
      <x:c r="U755" s="4" t="str">
        <x:v>Candidate inputs are partial. Resolve tools, supporting materials, energy, recovery and compatibility before recipes become craftable.</x:v>
      </x:c>
      <x:c r="V755" s="4" t="str">
        <x:v>knee-braced ground shield; collection expansion; shield</x:v>
      </x:c>
      <x:c r="W755" s="4" t="str">
        <x:v>New item proposal, October 15, 2026. Setting reference (source proposal): https://github.com/sleepyseamonster/Arc-Dust/blob/f6f98515c005dc3c73cccd9cbc031691745740c6/02-Arc-Dust-Worldbuilding/world/materials/industrial-material-palette.md</x:v>
      </x:c>
      <x:c r="X755" s="4" t="str">
        <x:v>Shield</x:v>
      </x:c>
      <x:c r="Y755" s="4" t="str">
        <x:v>Finished item</x:v>
      </x:c>
      <x:c r="Z755" s="4" t="str">
        <x:v>Manufactured / unresolved</x:v>
      </x:c>
      <x:c r="AA755" s="4" t="str">
        <x:v>Defensive combat</x:v>
      </x:c>
      <x:c r="AB755" s="4" t="str">
        <x:v>Metal</x:v>
      </x:c>
      <x:c r="AC755" s="4" t="str">
        <x:v>Assembly</x:v>
      </x:c>
      <x:c r="AD755" s="4" t="str">
        <x:v>Proposal</x:v>
      </x:c>
      <x:c r="AE755" s="4" t="str">
        <x:f>LOWER(A755&amp;"; "&amp;B755&amp;"; "&amp;D755&amp;"; "&amp;E755&amp;"; "&amp;X755&amp;"; "&amp;Y755&amp;"; "&amp;Z755&amp;"; "&amp;AA755&amp;"; "&amp;AB755&amp;"; "&amp;AC755&amp;"; "&amp;AD755&amp;"; "&amp;V755&amp;"; "&amp;C755&amp;"; "&amp;AH755&amp;"; "&amp;AI755)</x:f>
        <x:v>proposal.collection.knee_braced_ground_shield; knee-braced ground shield; armor; shield; shield; finished item; manufactured / unresolved; defensive combat; metal; assembly; proposal; knee-braced ground shield; collection expansion; shield; not applicable; t3; finished item</x:v>
      </x:c>
      <x:c r="AF75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5" s="4" t="str">
        <x:v>Finished endpoint or currency. Material tier is separate from finished input tier.</x:v>
      </x:c>
      <x:c r="AH755" s="4" t="str">
        <x:v>T3</x:v>
      </x:c>
      <x:c r="AI755" s="4" t="str">
        <x:v>Finished item</x:v>
      </x:c>
      <x:c r="AJ755" s="4" t="n">
        <x:f>COUNTIFS('Material routes'!$D$6:$D$2205,A755,'Material routes'!$C$6:$C$2205,"Output")</x:f>
        <x:v>1</x:v>
      </x:c>
      <x:c r="AK755" s="4" t="n">
        <x:f>SUM(COUNTIFS('Material routes'!$D$6:$D$2205,A755,'Material routes'!$C$6:$C$2205,"Ingredient candidate"),COUNTIFS('Material routes'!$D$6:$D$2205,A755,'Material routes'!$C$6:$C$2205,"Consumed input"),COUNTIFS('Material routes'!$D$6:$D$2205,A755,'Material routes'!$C$6:$C$2205,"Contained input"),COUNTIFS('Material routes'!$D$6:$D$2205,A755,'Material routes'!$C$6:$C$2205,"Transform input"))</x:f>
        <x:v>0</x:v>
      </x:c>
      <x:c r="AL755" s="4" t="n">
        <x:f>COUNTIFS('Material routes'!$D$6:$D$2205,A755,'Material routes'!$C$6:$C$2205,"Tool candidate")</x:f>
        <x:v>0</x:v>
      </x:c>
      <x:c r="AM755" s="4" t="str">
        <x:f>IF(AJ755&gt;0,"Route listed; review status/completeness",IF(C755="T0","Raw entry feed; no production route","No production route listed"))</x:f>
        <x:v>Route listed; review status/completeness</x:v>
      </x:c>
      <x:c r="AN755" s="4" t="n">
        <x:f>IF(C755="T0",0,IF(C755="T1",1,IF(C755="T2",2,IF(C755="T3",3,IF(C755="T4",4,IF(C755="Unassigned",98,99))))))</x:f>
        <x:v>99</x:v>
      </x:c>
      <x:c r="AZ755"/>
      <x:c r="BA755"/>
      <x:c r="BB755"/>
      <x:c r="BC755"/>
      <x:c r="BD755"/>
      <x:c r="BE755"/>
      <x:c r="BF755"/>
      <x:c r="BG755"/>
      <x:c r="BH755"/>
      <x:c r="BI755"/>
      <x:c r="BJ755"/>
      <x:c r="BK755"/>
      <x:c r="BL755"/>
      <x:c r="BM755"/>
      <x:c r="BN755"/>
      <x:c r="BO755"/>
      <x:c r="BP755"/>
      <x:c r="BQ755"/>
      <x:c r="BR755"/>
      <x:c r="BS755"/>
      <x:c r="BT755"/>
      <x:c r="BU755"/>
      <x:c r="BV755"/>
      <x:c r="BW755"/>
      <x:c r="BX755"/>
      <x:c r="BY755"/>
      <x:c r="BZ755"/>
      <x:c r="CA755"/>
      <x:c r="CB755"/>
      <x:c r="CC755"/>
    </x:row>
    <x:row r="756" ht="115" customHeight="1">
      <x:c r="A756" s="4" t="str">
        <x:v>proposal.collection.segmented_tower_shield</x:v>
      </x:c>
      <x:c r="B756" s="4" t="str">
        <x:v>Segmented tower shield</x:v>
      </x:c>
      <x:c r="C756" s="4" t="str">
        <x:v>Not applicable</x:v>
      </x:c>
      <x:c r="D756" s="4" t="inlineStr">
        <x:is>
          <x:t xml:space="preserve">Armor</x:t>
        </x:is>
      </x:c>
      <x:c r="E756" s="4" t="str">
        <x:v>Shield</x:v>
      </x:c>
      <x:c r="F756" s="4" t="str">
        <x:v>New proposal</x:v>
      </x:c>
      <x:c r="G756" s="4" t="inlineStr">
        <x:is>
          <x:t xml:space="preserve">Linked metal panels with a serviceable grip frame. It is intended to interpose a physical guard against a threat, with handling, coverage and protective performance determined by the final design.</x:t>
        </x:is>
      </x:c>
      <x:c r="H756" s="4" t="str">
        <x:v>None</x:v>
      </x:c>
      <x:c r="I756" s="4" t="str">
        <x:v>Physical inventory / cargo item; dimensions and packing unresolved</x:v>
      </x:c>
      <x:c r="J756" s="4"/>
      <x:c r="K756" s="4"/>
      <x:c r="L756" s="4" t="str">
        <x:v>Candidate preparation: design.collection.segmented_tower_shield. Full inputs are in Crafting browser.</x:v>
      </x:c>
      <x:c r="M756" s="4" t="str">
        <x:v>Candidate workshop or contained preparation route; detailed tools, quantities and conditions unresolved</x:v>
      </x:c>
      <x:c r="N756" s="4" t="str">
        <x:v>Not implemented</x:v>
      </x:c>
      <x:c r="O756" s="4" t="str">
        <x:v>Specific dimensions, yield, fit, performance and service conditions remain open.</x:v>
      </x:c>
      <x:c r="P756" s="4"/>
      <x:c r="Q756" s="4"/>
      <x:c r="R756" s="4"/>
      <x:c r="S756" s="4"/>
      <x:c r="T756" s="4"/>
      <x:c r="U756" s="4" t="str">
        <x:v>Candidate inputs are partial. Resolve tools, supporting materials, energy, recovery and compatibility before recipes become craftable.</x:v>
      </x:c>
      <x:c r="V756" s="4" t="str">
        <x:v>segmented tower shield; collection expansion; shield</x:v>
      </x:c>
      <x:c r="W756" s="4" t="str">
        <x:v>New item proposal, October 15, 2026. Setting reference (source proposal): https://github.com/sleepyseamonster/Arc-Dust/blob/f6f98515c005dc3c73cccd9cbc031691745740c6/02-Arc-Dust-Worldbuilding/world/materials/industrial-material-palette.md</x:v>
      </x:c>
      <x:c r="X756" s="4" t="str">
        <x:v>Shield</x:v>
      </x:c>
      <x:c r="Y756" s="4" t="str">
        <x:v>Finished item</x:v>
      </x:c>
      <x:c r="Z756" s="4" t="str">
        <x:v>Manufactured / unresolved</x:v>
      </x:c>
      <x:c r="AA756" s="4" t="str">
        <x:v>Defensive combat</x:v>
      </x:c>
      <x:c r="AB756" s="4" t="str">
        <x:v>Metal and shell</x:v>
      </x:c>
      <x:c r="AC756" s="4" t="str">
        <x:v>Assembly</x:v>
      </x:c>
      <x:c r="AD756" s="4" t="str">
        <x:v>Proposal</x:v>
      </x:c>
      <x:c r="AE756" s="4" t="str">
        <x:f>LOWER(A756&amp;"; "&amp;B756&amp;"; "&amp;D756&amp;"; "&amp;E756&amp;"; "&amp;X756&amp;"; "&amp;Y756&amp;"; "&amp;Z756&amp;"; "&amp;AA756&amp;"; "&amp;AB756&amp;"; "&amp;AC756&amp;"; "&amp;AD756&amp;"; "&amp;V756&amp;"; "&amp;C756&amp;"; "&amp;AH756&amp;"; "&amp;AI756)</x:f>
        <x:v>proposal.collection.segmented_tower_shield; segmented tower shield; armor; shield; shield; finished item; manufactured / unresolved; defensive combat; metal and shell; assembly; proposal; segmented tower shield; collection expansion; shield; not applicable; t3; finished item</x:v>
      </x:c>
      <x:c r="AF7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6" s="4" t="str">
        <x:v>Finished endpoint or currency. Material tier is separate from finished input tier.</x:v>
      </x:c>
      <x:c r="AH756" s="4" t="str">
        <x:v>T3</x:v>
      </x:c>
      <x:c r="AI756" s="4" t="str">
        <x:v>Finished item</x:v>
      </x:c>
      <x:c r="AJ756" s="4" t="n">
        <x:f>COUNTIFS('Material routes'!$D$6:$D$2205,A756,'Material routes'!$C$6:$C$2205,"Output")</x:f>
        <x:v>1</x:v>
      </x:c>
      <x:c r="AK756" s="4" t="n">
        <x:f>SUM(COUNTIFS('Material routes'!$D$6:$D$2205,A756,'Material routes'!$C$6:$C$2205,"Ingredient candidate"),COUNTIFS('Material routes'!$D$6:$D$2205,A756,'Material routes'!$C$6:$C$2205,"Consumed input"),COUNTIFS('Material routes'!$D$6:$D$2205,A756,'Material routes'!$C$6:$C$2205,"Contained input"),COUNTIFS('Material routes'!$D$6:$D$2205,A756,'Material routes'!$C$6:$C$2205,"Transform input"))</x:f>
        <x:v>0</x:v>
      </x:c>
      <x:c r="AL756" s="4" t="n">
        <x:f>COUNTIFS('Material routes'!$D$6:$D$2205,A756,'Material routes'!$C$6:$C$2205,"Tool candidate")</x:f>
        <x:v>0</x:v>
      </x:c>
      <x:c r="AM756" s="4" t="str">
        <x:f>IF(AJ756&gt;0,"Route listed; review status/completeness",IF(C756="T0","Raw entry feed; no production route","No production route listed"))</x:f>
        <x:v>Route listed; review status/completeness</x:v>
      </x:c>
      <x:c r="AN756" s="4" t="n">
        <x:f>IF(C756="T0",0,IF(C756="T1",1,IF(C756="T2",2,IF(C756="T3",3,IF(C756="T4",4,IF(C756="Unassigned",98,99))))))</x:f>
        <x:v>99</x:v>
      </x:c>
      <x:c r="AZ756"/>
      <x:c r="BA756"/>
      <x:c r="BB756"/>
      <x:c r="BC756"/>
      <x:c r="BD756"/>
      <x:c r="BE756"/>
      <x:c r="BF756"/>
      <x:c r="BG756"/>
      <x:c r="BH756"/>
      <x:c r="BI756"/>
      <x:c r="BJ756"/>
      <x:c r="BK756"/>
      <x:c r="BL756"/>
      <x:c r="BM756"/>
      <x:c r="BN756"/>
      <x:c r="BO756"/>
      <x:c r="BP756"/>
      <x:c r="BQ756"/>
      <x:c r="BR756"/>
      <x:c r="BS756"/>
      <x:c r="BT756"/>
      <x:c r="BU756"/>
      <x:c r="BV756"/>
      <x:c r="BW756"/>
      <x:c r="BX756"/>
      <x:c r="BY756"/>
      <x:c r="BZ756"/>
      <x:c r="CA756"/>
      <x:c r="CB756"/>
      <x:c r="CC756"/>
    </x:row>
    <x:row r="757" ht="115" customHeight="1">
      <x:c r="A757" s="4"/>
      <x:c r="B757" s="4"/>
      <x:c r="C757" s="4"/>
      <x:c r="D757" s="4"/>
      <x:c r="E757" s="4"/>
      <x:c r="F757" s="4"/>
      <x:c r="G757" s="4"/>
      <x:c r="H757" s="4"/>
      <x:c r="I757" s="4"/>
      <x:c r="J757" s="4"/>
      <x:c r="K757" s="4"/>
      <x:c r="L757" s="4"/>
      <x:c r="M757" s="4"/>
      <x:c r="N757" s="4"/>
      <x:c r="O757" s="4"/>
      <x:c r="P757" s="4"/>
      <x:c r="Q757" s="4"/>
      <x:c r="R757" s="4"/>
      <x:c r="S757" s="4"/>
      <x:c r="T757" s="4"/>
      <x:c r="U757" s="4"/>
      <x:c r="V757" s="4"/>
      <x:c r="W757" s="4"/>
      <x:c r="X757" s="4"/>
      <x:c r="Y757" s="4"/>
      <x:c r="Z757" s="4"/>
      <x:c r="AA757" s="4"/>
      <x:c r="AB757" s="4"/>
      <x:c r="AC757" s="4"/>
      <x:c r="AD757" s="4"/>
      <x:c r="AE757" s="4"/>
      <x:c r="AF757" s="4"/>
      <x:c r="AG757" s="4"/>
      <x:c r="AH757" s="4"/>
      <x:c r="AI757" s="4"/>
      <x:c r="AJ757" s="4"/>
      <x:c r="AK757" s="4"/>
      <x:c r="AL757" s="4"/>
      <x:c r="AM757" s="4"/>
      <x:c r="AN757" s="4"/>
      <x:c r="AZ757"/>
      <x:c r="BA757"/>
      <x:c r="BB757"/>
      <x:c r="BC757"/>
      <x:c r="BD757"/>
      <x:c r="BE757"/>
      <x:c r="BF757"/>
      <x:c r="BG757"/>
      <x:c r="BH757"/>
      <x:c r="BI757"/>
      <x:c r="BJ757"/>
      <x:c r="BK757"/>
      <x:c r="BL757"/>
      <x:c r="BM757"/>
      <x:c r="BN757"/>
      <x:c r="BO757"/>
      <x:c r="BP757"/>
      <x:c r="BQ757"/>
      <x:c r="BR757"/>
      <x:c r="BS757"/>
      <x:c r="BT757"/>
      <x:c r="BU757"/>
      <x:c r="BV757"/>
      <x:c r="BW757"/>
      <x:c r="BX757"/>
      <x:c r="BY757"/>
      <x:c r="BZ757"/>
      <x:c r="CA757"/>
      <x:c r="CB757"/>
      <x:c r="CC757"/>
    </x:row>
    <x:row r="758" ht="115" customHeight="1">
      <x:c r="A758" s="4"/>
      <x:c r="B758" s="4"/>
      <x:c r="C758" s="4"/>
      <x:c r="D758" s="4"/>
      <x:c r="E758" s="4"/>
      <x:c r="F758" s="4"/>
      <x:c r="G758" s="4"/>
      <x:c r="H758" s="4"/>
      <x:c r="I758" s="4"/>
      <x:c r="J758" s="4"/>
      <x:c r="K758" s="4"/>
      <x:c r="L758" s="4"/>
      <x:c r="M758" s="4"/>
      <x:c r="N758" s="4"/>
      <x:c r="O758" s="4"/>
      <x:c r="P758" s="4"/>
      <x:c r="Q758" s="4"/>
      <x:c r="R758" s="4"/>
      <x:c r="S758" s="4"/>
      <x:c r="T758" s="4"/>
      <x:c r="U758" s="4"/>
      <x:c r="V758" s="4"/>
      <x:c r="W758" s="4"/>
      <x:c r="X758" s="4"/>
      <x:c r="Y758" s="4"/>
      <x:c r="Z758" s="4"/>
      <x:c r="AA758" s="4"/>
      <x:c r="AB758" s="4"/>
      <x:c r="AC758" s="4"/>
      <x:c r="AD758" s="4"/>
      <x:c r="AE758" s="4"/>
      <x:c r="AF758" s="4"/>
      <x:c r="AG758" s="4"/>
      <x:c r="AH758" s="4"/>
      <x:c r="AI758" s="4"/>
      <x:c r="AJ758" s="4"/>
      <x:c r="AK758" s="4"/>
      <x:c r="AL758" s="4"/>
      <x:c r="AM758" s="4"/>
      <x:c r="AN758" s="4"/>
      <x:c r="AZ758"/>
      <x:c r="BA758"/>
      <x:c r="BB758"/>
      <x:c r="BC758"/>
      <x:c r="BD758"/>
      <x:c r="BE758"/>
      <x:c r="BF758"/>
      <x:c r="BG758"/>
      <x:c r="BH758"/>
      <x:c r="BI758"/>
      <x:c r="BJ758"/>
      <x:c r="BK758"/>
      <x:c r="BL758"/>
      <x:c r="BM758"/>
      <x:c r="BN758"/>
      <x:c r="BO758"/>
      <x:c r="BP758"/>
      <x:c r="BQ758"/>
      <x:c r="BR758"/>
      <x:c r="BS758"/>
      <x:c r="BT758"/>
      <x:c r="BU758"/>
      <x:c r="BV758"/>
      <x:c r="BW758"/>
      <x:c r="BX758"/>
      <x:c r="BY758"/>
      <x:c r="BZ758"/>
      <x:c r="CA758"/>
      <x:c r="CB758"/>
      <x:c r="CC758"/>
    </x:row>
    <x:row r="759" ht="115" customHeight="1">
      <x:c r="A759" s="4" t="str">
        <x:v>proposal.collection.insulated_handle_shield</x:v>
      </x:c>
      <x:c r="B759" s="4" t="str">
        <x:v>Insulated-handle shield</x:v>
      </x:c>
      <x:c r="C759" s="4" t="str">
        <x:v>Not applicable</x:v>
      </x:c>
      <x:c r="D759" s="4" t="inlineStr">
        <x:is>
          <x:t xml:space="preserve">Armor</x:t>
        </x:is>
      </x:c>
      <x:c r="E759" s="4" t="str">
        <x:v>Shield</x:v>
      </x:c>
      <x:c r="F759" s="4" t="str">
        <x:v>New proposal</x:v>
      </x:c>
      <x:c r="G759" s="4" t="inlineStr">
        <x:is>
          <x:t xml:space="preserve">Shield with separated handle contacts, no voltage rating. It is intended to interpose a physical guard against a threat, with handling, coverage and protective performance determined by the final design.</x:t>
        </x:is>
      </x:c>
      <x:c r="H759" s="4" t="str">
        <x:v>None</x:v>
      </x:c>
      <x:c r="I759" s="4" t="str">
        <x:v>Physical inventory / cargo item; dimensions and packing unresolved</x:v>
      </x:c>
      <x:c r="J759" s="4"/>
      <x:c r="K759" s="4"/>
      <x:c r="L759" s="4" t="str">
        <x:v>Candidate preparation: design.collection.insulated_handle_shield. Full inputs are in Crafting browser.</x:v>
      </x:c>
      <x:c r="M759" s="4" t="str">
        <x:v>Candidate workshop or contained preparation route; detailed tools, quantities and conditions unresolved</x:v>
      </x:c>
      <x:c r="N759" s="4" t="str">
        <x:v>Not implemented</x:v>
      </x:c>
      <x:c r="O759" s="4" t="str">
        <x:v>Specific dimensions, yield, fit, performance and service conditions remain open.</x:v>
      </x:c>
      <x:c r="P759" s="4"/>
      <x:c r="Q759" s="4"/>
      <x:c r="R759" s="4"/>
      <x:c r="S759" s="4"/>
      <x:c r="T759" s="4"/>
      <x:c r="U759" s="4" t="str">
        <x:v>Candidate inputs are partial. Resolve tools, supporting materials, energy, recovery and compatibility before recipes become craftable.</x:v>
      </x:c>
      <x:c r="V759" s="4" t="str">
        <x:v>insulated-handle shield; collection expansion; shield</x:v>
      </x:c>
      <x:c r="W759" s="4" t="str">
        <x:v>New item proposal, October 15, 2026. Setting reference (source proposal): https://github.com/sleepyseamonster/Arc-Dust/blob/f6f98515c005dc3c73cccd9cbc031691745740c6/02-Arc-Dust-Worldbuilding/world/materials/industrial-material-palette.md</x:v>
      </x:c>
      <x:c r="X759" s="4" t="str">
        <x:v>Shield</x:v>
      </x:c>
      <x:c r="Y759" s="4" t="str">
        <x:v>Finished item</x:v>
      </x:c>
      <x:c r="Z759" s="4" t="str">
        <x:v>Manufactured / unresolved</x:v>
      </x:c>
      <x:c r="AA759" s="4" t="str">
        <x:v>Defensive combat</x:v>
      </x:c>
      <x:c r="AB759" s="4" t="str">
        <x:v>Mixed / unresolved</x:v>
      </x:c>
      <x:c r="AC759" s="4" t="str">
        <x:v>Assembly</x:v>
      </x:c>
      <x:c r="AD759" s="4" t="str">
        <x:v>Proposal</x:v>
      </x:c>
      <x:c r="AE759" s="4" t="str">
        <x:f>LOWER(A759&amp;"; "&amp;B759&amp;"; "&amp;D759&amp;"; "&amp;E759&amp;"; "&amp;X759&amp;"; "&amp;Y759&amp;"; "&amp;Z759&amp;"; "&amp;AA759&amp;"; "&amp;AB759&amp;"; "&amp;AC759&amp;"; "&amp;AD759&amp;"; "&amp;V759&amp;"; "&amp;C759&amp;"; "&amp;AH759&amp;"; "&amp;AI759)</x:f>
        <x:v>proposal.collection.insulated_handle_shield; insulated-handle shield; armor; shield; shield; finished item; manufactured / unresolved; defensive combat; mixed / unresolved; assembly; proposal; insulated-handle shield; collection expansion; shield; not applicable; t3; finished item</x:v>
      </x:c>
      <x:c r="AF75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9" s="4" t="str">
        <x:v>Finished endpoint or currency. Material tier is separate from finished input tier.</x:v>
      </x:c>
      <x:c r="AH759" s="4" t="str">
        <x:v>T3</x:v>
      </x:c>
      <x:c r="AI759" s="4" t="str">
        <x:v>Finished item</x:v>
      </x:c>
      <x:c r="AJ759" s="4" t="n">
        <x:f>COUNTIFS('Material routes'!$D$6:$D$2205,A759,'Material routes'!$C$6:$C$2205,"Output")</x:f>
        <x:v>1</x:v>
      </x:c>
      <x:c r="AK759" s="4" t="n">
        <x:f>SUM(COUNTIFS('Material routes'!$D$6:$D$2205,A759,'Material routes'!$C$6:$C$2205,"Ingredient candidate"),COUNTIFS('Material routes'!$D$6:$D$2205,A759,'Material routes'!$C$6:$C$2205,"Consumed input"),COUNTIFS('Material routes'!$D$6:$D$2205,A759,'Material routes'!$C$6:$C$2205,"Contained input"),COUNTIFS('Material routes'!$D$6:$D$2205,A759,'Material routes'!$C$6:$C$2205,"Transform input"))</x:f>
        <x:v>0</x:v>
      </x:c>
      <x:c r="AL759" s="4" t="n">
        <x:f>COUNTIFS('Material routes'!$D$6:$D$2205,A759,'Material routes'!$C$6:$C$2205,"Tool candidate")</x:f>
        <x:v>0</x:v>
      </x:c>
      <x:c r="AM759" s="4" t="str">
        <x:f>IF(AJ759&gt;0,"Route listed; review status/completeness",IF(C759="T0","Raw entry feed; no production route","No production route listed"))</x:f>
        <x:v>Route listed; review status/completeness</x:v>
      </x:c>
      <x:c r="AN759" s="4" t="n">
        <x:f>IF(C759="T0",0,IF(C759="T1",1,IF(C759="T2",2,IF(C759="T3",3,IF(C759="T4",4,IF(C759="Unassigned",98,99))))))</x:f>
        <x:v>99</x:v>
      </x:c>
      <x:c r="AZ759"/>
      <x:c r="BA759"/>
      <x:c r="BB759"/>
      <x:c r="BC759"/>
      <x:c r="BD759"/>
      <x:c r="BE759"/>
      <x:c r="BF759"/>
      <x:c r="BG759"/>
      <x:c r="BH759"/>
      <x:c r="BI759"/>
      <x:c r="BJ759"/>
      <x:c r="BK759"/>
      <x:c r="BL759"/>
      <x:c r="BM759"/>
      <x:c r="BN759"/>
      <x:c r="BO759"/>
      <x:c r="BP759"/>
      <x:c r="BQ759"/>
      <x:c r="BR759"/>
      <x:c r="BS759"/>
      <x:c r="BT759"/>
      <x:c r="BU759"/>
      <x:c r="BV759"/>
      <x:c r="BW759"/>
      <x:c r="BX759"/>
      <x:c r="BY759"/>
      <x:c r="BZ759"/>
      <x:c r="CA759"/>
      <x:c r="CB759"/>
      <x:c r="CC759"/>
    </x:row>
    <x:row r="760" ht="115" customHeight="1">
      <x:c r="A760" s="4"/>
      <x:c r="B760" s="4"/>
      <x:c r="C760" s="4"/>
      <x:c r="D760" s="4"/>
      <x:c r="E760" s="4"/>
      <x:c r="F760" s="4"/>
      <x:c r="G760" s="4"/>
      <x:c r="H760" s="4"/>
      <x:c r="I760" s="4"/>
      <x:c r="J760" s="4"/>
      <x:c r="M760" s="4"/>
      <x:c r="N760" s="4"/>
      <x:c r="O760" s="4"/>
      <x:c r="P760" s="4"/>
      <x:c r="V760" s="4"/>
      <x:c r="W760" s="4"/>
      <x:c r="X760" s="4"/>
      <x:c r="Y760" s="4"/>
      <x:c r="Z760" s="4"/>
      <x:c r="AA760" s="4"/>
      <x:c r="AB760" s="4"/>
      <x:c r="AC760" s="4"/>
      <x:c r="AD760" s="4"/>
      <x:c r="AE760" s="4"/>
      <x:c r="AF760" s="4"/>
      <x:c r="AG760" s="4"/>
      <x:c r="AH760" s="4"/>
      <x:c r="AI760" s="4"/>
      <x:c r="AJ760" s="4"/>
      <x:c r="AK760" s="4"/>
      <x:c r="AL760" s="4"/>
      <x:c r="AM760" s="4"/>
      <x:c r="AN760" s="4"/>
      <x:c r="AZ760"/>
      <x:c r="BA760"/>
      <x:c r="BB760"/>
      <x:c r="BC760"/>
      <x:c r="BD760"/>
      <x:c r="BE760"/>
      <x:c r="BF760"/>
      <x:c r="BG760"/>
      <x:c r="BH760"/>
      <x:c r="BI760"/>
      <x:c r="BJ760"/>
      <x:c r="BK760"/>
      <x:c r="BL760"/>
      <x:c r="BM760"/>
      <x:c r="BN760"/>
      <x:c r="BO760"/>
      <x:c r="BP760"/>
      <x:c r="BQ760"/>
      <x:c r="BR760"/>
      <x:c r="BS760"/>
      <x:c r="BT760"/>
      <x:c r="BU760"/>
      <x:c r="BV760"/>
      <x:c r="BW760"/>
      <x:c r="BX760"/>
      <x:c r="BY760"/>
      <x:c r="BZ760"/>
      <x:c r="CA760"/>
      <x:c r="CB760"/>
      <x:c r="CC760"/>
    </x:row>
    <x:row r="761" ht="115" customHeight="1">
      <x:c r="A761" s="4" t="str">
        <x:v>proposal.collection.magnet_clamp_utility_shield</x:v>
      </x:c>
      <x:c r="B761" s="4" t="str">
        <x:v>Magnet-clamp utility shield</x:v>
      </x:c>
      <x:c r="C761" s="4" t="str">
        <x:v>Not applicable</x:v>
      </x:c>
      <x:c r="D761" s="4" t="inlineStr">
        <x:is>
          <x:t xml:space="preserve">Armor</x:t>
        </x:is>
      </x:c>
      <x:c r="E761" s="4" t="str">
        <x:v>Shield</x:v>
      </x:c>
      <x:c r="F761" s="4" t="str">
        <x:v>New proposal</x:v>
      </x:c>
      <x:c r="G761" s="4" t="inlineStr">
        <x:is>
          <x:t xml:space="preserve">Utility face with removable magnetic attachment, combat behavior open. It is intended to interpose a physical guard against a threat, with handling, coverage and protective performance determined by the final design.</x:t>
        </x:is>
      </x:c>
      <x:c r="H761" s="4" t="str">
        <x:v>None</x:v>
      </x:c>
      <x:c r="I761" s="4" t="str">
        <x:v>Physical inventory / cargo item; dimensions and packing unresolved</x:v>
      </x:c>
      <x:c r="J761" s="4"/>
      <x:c r="K761" s="4"/>
      <x:c r="L761" s="4" t="str">
        <x:v>Candidate preparation: design.collection.magnet_clamp_utility_shield. Full inputs are in Crafting browser.</x:v>
      </x:c>
      <x:c r="M761" s="4" t="str">
        <x:v>Candidate workshop or contained preparation route; detailed tools, quantities and conditions unresolved</x:v>
      </x:c>
      <x:c r="N761" s="4" t="str">
        <x:v>Not implemented</x:v>
      </x:c>
      <x:c r="O761" s="4" t="str">
        <x:v>Specific dimensions, yield, fit, performance and service conditions remain open.</x:v>
      </x:c>
      <x:c r="P761" s="4"/>
      <x:c r="Q761" s="4"/>
      <x:c r="R761" s="4"/>
      <x:c r="S761" s="4"/>
      <x:c r="T761" s="4"/>
      <x:c r="U761" s="4" t="str">
        <x:v>Candidate inputs are partial. Resolve tools, supporting materials, energy, recovery and compatibility before recipes become craftable.</x:v>
      </x:c>
      <x:c r="V761" s="4" t="str">
        <x:v>magnet-clamp utility shield; collection expansion; shield</x:v>
      </x:c>
      <x:c r="W761" s="4" t="str">
        <x:v>New item proposal, October 15, 2026. Setting reference (source proposal): https://github.com/sleepyseamonster/Arc-Dust/blob/f6f98515c005dc3c73cccd9cbc031691745740c6/02-Arc-Dust-Worldbuilding/world/materials/industrial-material-palette.md</x:v>
      </x:c>
      <x:c r="X761" s="4" t="str">
        <x:v>Shield</x:v>
      </x:c>
      <x:c r="Y761" s="4" t="str">
        <x:v>Finished item</x:v>
      </x:c>
      <x:c r="Z761" s="4" t="str">
        <x:v>Manufactured / unresolved</x:v>
      </x:c>
      <x:c r="AA761" s="4" t="str">
        <x:v>Defensive combat</x:v>
      </x:c>
      <x:c r="AB761" s="4" t="str">
        <x:v>Metal</x:v>
      </x:c>
      <x:c r="AC761" s="4" t="str">
        <x:v>Assembly</x:v>
      </x:c>
      <x:c r="AD761" s="4" t="str">
        <x:v>Proposal</x:v>
      </x:c>
      <x:c r="AE761" s="4" t="str">
        <x:f>LOWER(A761&amp;"; "&amp;B761&amp;"; "&amp;D761&amp;"; "&amp;E761&amp;"; "&amp;X761&amp;"; "&amp;Y761&amp;"; "&amp;Z761&amp;"; "&amp;AA761&amp;"; "&amp;AB761&amp;"; "&amp;AC761&amp;"; "&amp;AD761&amp;"; "&amp;V761&amp;"; "&amp;C761&amp;"; "&amp;AH761&amp;"; "&amp;AI761)</x:f>
        <x:v>proposal.collection.magnet_clamp_utility_shield; magnet-clamp utility shield; armor; shield; shield; finished item; manufactured / unresolved; defensive combat; metal; assembly; proposal; magnet-clamp utility shield; collection expansion; shield; not applicable; unassigned; finished item</x:v>
      </x:c>
      <x:c r="AF76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61" s="4" t="str">
        <x:v>Finished endpoint or currency. Material tier is separate from finished input tier.</x:v>
      </x:c>
      <x:c r="AH761" s="4" t="str">
        <x:v>Unassigned</x:v>
      </x:c>
      <x:c r="AI761" s="4" t="str">
        <x:v>Finished item</x:v>
      </x:c>
      <x:c r="AJ761" s="4" t="n">
        <x:f>COUNTIFS('Material routes'!$D$6:$D$2205,A761,'Material routes'!$C$6:$C$2205,"Output")</x:f>
        <x:v>1</x:v>
      </x:c>
      <x:c r="AK761" s="4" t="n">
        <x:f>SUM(COUNTIFS('Material routes'!$D$6:$D$2205,A761,'Material routes'!$C$6:$C$2205,"Ingredient candidate"),COUNTIFS('Material routes'!$D$6:$D$2205,A761,'Material routes'!$C$6:$C$2205,"Consumed input"),COUNTIFS('Material routes'!$D$6:$D$2205,A761,'Material routes'!$C$6:$C$2205,"Contained input"),COUNTIFS('Material routes'!$D$6:$D$2205,A761,'Material routes'!$C$6:$C$2205,"Transform input"))</x:f>
        <x:v>0</x:v>
      </x:c>
      <x:c r="AL761" s="4" t="n">
        <x:f>COUNTIFS('Material routes'!$D$6:$D$2205,A761,'Material routes'!$C$6:$C$2205,"Tool candidate")</x:f>
        <x:v>0</x:v>
      </x:c>
      <x:c r="AM761" s="4" t="str">
        <x:f>IF(AJ761&gt;0,"Route listed; review status/completeness",IF(C761="T0","Raw entry feed; no production route","No production route listed"))</x:f>
        <x:v>Route listed; review status/completeness</x:v>
      </x:c>
      <x:c r="AN761" s="4" t="n">
        <x:f>IF(C761="T0",0,IF(C761="T1",1,IF(C761="T2",2,IF(C761="T3",3,IF(C761="T4",4,IF(C761="Unassigned",98,99))))))</x:f>
        <x:v>99</x:v>
      </x:c>
      <x:c r="AZ761"/>
      <x:c r="BA761"/>
      <x:c r="BB761"/>
      <x:c r="BC761"/>
      <x:c r="BD761"/>
      <x:c r="BE761"/>
      <x:c r="BF761"/>
      <x:c r="BG761"/>
      <x:c r="BH761"/>
      <x:c r="BI761"/>
      <x:c r="BJ761"/>
      <x:c r="BK761"/>
      <x:c r="BL761"/>
      <x:c r="BM761"/>
      <x:c r="BN761"/>
      <x:c r="BO761"/>
      <x:c r="BP761"/>
      <x:c r="BQ761"/>
      <x:c r="BR761"/>
      <x:c r="BS761"/>
      <x:c r="BT761"/>
      <x:c r="BU761"/>
      <x:c r="BV761"/>
      <x:c r="BW761"/>
      <x:c r="BX761"/>
      <x:c r="BY761"/>
      <x:c r="BZ761"/>
      <x:c r="CA761"/>
      <x:c r="CB761"/>
      <x:c r="CC761"/>
    </x:row>
    <x:row r="762" ht="115" customHeight="1">
      <x:c r="A762" s="4" t="str">
        <x:v>proposal.collection.replaceable_scale_shield</x:v>
      </x:c>
      <x:c r="B762" s="4" t="str">
        <x:v>Replaceable-scale shield</x:v>
      </x:c>
      <x:c r="C762" s="4" t="str">
        <x:v>Not applicable</x:v>
      </x:c>
      <x:c r="D762" s="4" t="inlineStr">
        <x:is>
          <x:t xml:space="preserve">Armor</x:t>
        </x:is>
      </x:c>
      <x:c r="E762" s="4" t="str">
        <x:v>Shield</x:v>
      </x:c>
      <x:c r="F762" s="4" t="str">
        <x:v>New proposal</x:v>
      </x:c>
      <x:c r="G762" s="4" t="inlineStr">
        <x:is>
          <x:t xml:space="preserve">Small bolted shell scales on a metal back. It is intended to interpose a physical guard against a threat, with handling, coverage and protective performance determined by the final design.</x:t>
        </x:is>
      </x:c>
      <x:c r="H762" s="4" t="str">
        <x:v>None</x:v>
      </x:c>
      <x:c r="I762" s="4" t="str">
        <x:v>Physical inventory / cargo item; dimensions and packing unresolved</x:v>
      </x:c>
      <x:c r="J762" s="4"/>
      <x:c r="K762" s="4"/>
      <x:c r="L762" s="4" t="str">
        <x:v>Candidate preparation: design.collection.replaceable_scale_shield. Full inputs are in Crafting browser.</x:v>
      </x:c>
      <x:c r="M762" s="4" t="str">
        <x:v>Candidate workshop or contained preparation route; detailed tools, quantities and conditions unresolved</x:v>
      </x:c>
      <x:c r="N762" s="4" t="str">
        <x:v>Not implemented</x:v>
      </x:c>
      <x:c r="O762" s="4" t="str">
        <x:v>Specific dimensions, yield, fit, performance and service conditions remain open.</x:v>
      </x:c>
      <x:c r="P762" s="4"/>
      <x:c r="Q762" s="4"/>
      <x:c r="R762" s="4"/>
      <x:c r="S762" s="4"/>
      <x:c r="T762" s="4"/>
      <x:c r="U762" s="4" t="str">
        <x:v>Candidate inputs are partial. Resolve tools, supporting materials, energy, recovery and compatibility before recipes become craftable.</x:v>
      </x:c>
      <x:c r="V762" s="4" t="str">
        <x:v>replaceable-scale shield; collection expansion; shield</x:v>
      </x:c>
      <x:c r="W762" s="4" t="str">
        <x:v>New item proposal, October 15, 2026. Setting reference (source proposal): https://github.com/sleepyseamonster/Arc-Dust/blob/f6f98515c005dc3c73cccd9cbc031691745740c6/02-Arc-Dust-Worldbuilding/world/materials/industrial-material-palette.md</x:v>
      </x:c>
      <x:c r="X762" s="4" t="str">
        <x:v>Shield</x:v>
      </x:c>
      <x:c r="Y762" s="4" t="str">
        <x:v>Finished item</x:v>
      </x:c>
      <x:c r="Z762" s="4" t="str">
        <x:v>Manufactured / unresolved</x:v>
      </x:c>
      <x:c r="AA762" s="4" t="str">
        <x:v>Defensive combat</x:v>
      </x:c>
      <x:c r="AB762" s="4" t="str">
        <x:v>Metal and shell</x:v>
      </x:c>
      <x:c r="AC762" s="4" t="str">
        <x:v>Assembly</x:v>
      </x:c>
      <x:c r="AD762" s="4" t="str">
        <x:v>Proposal</x:v>
      </x:c>
      <x:c r="AE762" s="4" t="str">
        <x:f>LOWER(A762&amp;"; "&amp;B762&amp;"; "&amp;D762&amp;"; "&amp;E762&amp;"; "&amp;X762&amp;"; "&amp;Y762&amp;"; "&amp;Z762&amp;"; "&amp;AA762&amp;"; "&amp;AB762&amp;"; "&amp;AC762&amp;"; "&amp;AD762&amp;"; "&amp;V762&amp;"; "&amp;C762&amp;"; "&amp;AH762&amp;"; "&amp;AI762)</x:f>
        <x:v>proposal.collection.replaceable_scale_shield; replaceable-scale shield; armor; shield; shield; finished item; manufactured / unresolved; defensive combat; metal and shell; assembly; proposal; replaceable-scale shield; collection expansion; shield; not applicable; t3; finished item</x:v>
      </x:c>
      <x:c r="AF76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2" s="4" t="str">
        <x:v>Finished endpoint or currency. Material tier is separate from finished input tier.</x:v>
      </x:c>
      <x:c r="AH762" s="4" t="str">
        <x:v>T3</x:v>
      </x:c>
      <x:c r="AI762" s="4" t="str">
        <x:v>Finished item</x:v>
      </x:c>
      <x:c r="AJ762" s="4" t="n">
        <x:f>COUNTIFS('Material routes'!$D$6:$D$2205,A762,'Material routes'!$C$6:$C$2205,"Output")</x:f>
        <x:v>1</x:v>
      </x:c>
      <x:c r="AK762" s="4" t="n">
        <x:f>SUM(COUNTIFS('Material routes'!$D$6:$D$2205,A762,'Material routes'!$C$6:$C$2205,"Ingredient candidate"),COUNTIFS('Material routes'!$D$6:$D$2205,A762,'Material routes'!$C$6:$C$2205,"Consumed input"),COUNTIFS('Material routes'!$D$6:$D$2205,A762,'Material routes'!$C$6:$C$2205,"Contained input"),COUNTIFS('Material routes'!$D$6:$D$2205,A762,'Material routes'!$C$6:$C$2205,"Transform input"))</x:f>
        <x:v>0</x:v>
      </x:c>
      <x:c r="AL762" s="4" t="n">
        <x:f>COUNTIFS('Material routes'!$D$6:$D$2205,A762,'Material routes'!$C$6:$C$2205,"Tool candidate")</x:f>
        <x:v>0</x:v>
      </x:c>
      <x:c r="AM762" s="4" t="str">
        <x:f>IF(AJ762&gt;0,"Route listed; review status/completeness",IF(C762="T0","Raw entry feed; no production route","No production route listed"))</x:f>
        <x:v>Route listed; review status/completeness</x:v>
      </x:c>
      <x:c r="AN762" s="4" t="n">
        <x:f>IF(C762="T0",0,IF(C762="T1",1,IF(C762="T2",2,IF(C762="T3",3,IF(C762="T4",4,IF(C762="Unassigned",98,99))))))</x:f>
        <x:v>99</x:v>
      </x:c>
      <x:c r="AZ762"/>
      <x:c r="BA762"/>
      <x:c r="BB762"/>
      <x:c r="BC762"/>
      <x:c r="BD762"/>
      <x:c r="BE762"/>
      <x:c r="BF762"/>
      <x:c r="BG762"/>
      <x:c r="BH762"/>
      <x:c r="BI762"/>
      <x:c r="BJ762"/>
      <x:c r="BK762"/>
      <x:c r="BL762"/>
      <x:c r="BM762"/>
      <x:c r="BN762"/>
      <x:c r="BO762"/>
      <x:c r="BP762"/>
      <x:c r="BQ762"/>
      <x:c r="BR762"/>
      <x:c r="BS762"/>
      <x:c r="BT762"/>
      <x:c r="BU762"/>
      <x:c r="BV762"/>
      <x:c r="BW762"/>
      <x:c r="BX762"/>
      <x:c r="BY762"/>
      <x:c r="BZ762"/>
      <x:c r="CA762"/>
      <x:c r="CB762"/>
      <x:c r="CC762"/>
    </x:row>
    <x:row r="763" ht="115" customHeight="1">
      <x:c r="A763" s="4" t="str">
        <x:v>proposal.collection.ancient_plasteel_guard_shield</x:v>
      </x:c>
      <x:c r="B763" s="4" t="str">
        <x:v>Ancient plasteel guard shield</x:v>
      </x:c>
      <x:c r="C763" s="4" t="str">
        <x:v>Not applicable</x:v>
      </x:c>
      <x:c r="D763" s="4" t="inlineStr">
        <x:is>
          <x:t xml:space="preserve">Armor</x:t>
        </x:is>
      </x:c>
      <x:c r="E763" s="4" t="str">
        <x:v>Ancient recovery</x:v>
      </x:c>
      <x:c r="F763" s="4" t="str">
        <x:v>New proposal</x:v>
      </x:c>
      <x:c r="G763" s="4" t="inlineStr">
        <x:is>
          <x:t xml:space="preserve">Rare recovered physical guard with unknown original use. It is intended to interpose a physical guard against a threat, with handling, coverage and protective performance determined by the final design.</x:t>
        </x:is>
      </x:c>
      <x:c r="H763" s="4" t="str">
        <x:v>None</x:v>
      </x:c>
      <x:c r="I763" s="4" t="str">
        <x:v>Physical inventory / cargo item; dimensions and packing unresolved</x:v>
      </x:c>
      <x:c r="J763" s="4"/>
      <x:c r="K763" s="4"/>
      <x:c r="L763" s="4" t="str">
        <x:v>Recover a compatible ancient item</x:v>
      </x:c>
      <x:c r="M763" s="4" t="str">
        <x:v>Identify, inspect and preserve a recovered item; manufacturing unavailable</x:v>
      </x:c>
      <x:c r="N763" s="4" t="str">
        <x:v>Not implemented</x:v>
      </x:c>
      <x:c r="O763" s="4" t="str">
        <x:v>Extremely rare ancient recovery. Power, interface, durability and authenticity unresolved.</x:v>
      </x:c>
      <x:c r="P763" s="4" t="str">
        <x:v>Extremely rare</x:v>
      </x:c>
      <x:c r="Q763" s="4"/>
      <x:c r="R763" s="4"/>
      <x:c r="S763" s="4"/>
      <x:c r="T763" s="4"/>
      <x:c r="U763" s="4" t="str">
        <x:v>Ancient item names describe candidate functions, not known working mechanisms.</x:v>
      </x:c>
      <x:c r="V763" s="4" t="str">
        <x:v>ancient plasteel guard shield; collection expansion; shield</x:v>
      </x:c>
      <x:c r="W763" s="4" t="str">
        <x:v>New item proposal, October 15, 2026. Rare ancient recovery; no reproduction route. Setting reference (source proposal): https://github.com/sleepyseamonster/Arc-Dust/blob/f6f98515c005dc3c73cccd9cbc031691745740c6/02-Arc-Dust-Worldbuilding/world/materials/ancient-synthetics.md</x:v>
      </x:c>
      <x:c r="X763" s="4" t="str">
        <x:v>Shield</x:v>
      </x:c>
      <x:c r="Y763" s="4" t="str">
        <x:v>Recovered part</x:v>
      </x:c>
      <x:c r="Z763" s="4" t="str">
        <x:v>Ancient technology</x:v>
      </x:c>
      <x:c r="AA763" s="4" t="str">
        <x:v>Defensive combat</x:v>
      </x:c>
      <x:c r="AB763" s="4" t="str">
        <x:v>Ancient composite</x:v>
      </x:c>
      <x:c r="AC763" s="4" t="str">
        <x:v>Assembly</x:v>
      </x:c>
      <x:c r="AD763" s="4" t="str">
        <x:v>Proposal</x:v>
      </x:c>
      <x:c r="AE763" s="4" t="str">
        <x:f>LOWER(A763&amp;"; "&amp;B763&amp;"; "&amp;D763&amp;"; "&amp;E763&amp;"; "&amp;X763&amp;"; "&amp;Y763&amp;"; "&amp;Z763&amp;"; "&amp;AA763&amp;"; "&amp;AB763&amp;"; "&amp;AC763&amp;"; "&amp;AD763&amp;"; "&amp;V763&amp;"; "&amp;C763&amp;"; "&amp;AH763&amp;"; "&amp;AI763)</x:f>
        <x:v>proposal.collection.ancient_plasteel_guard_shield; ancient plasteel guard shield; armor; ancient recovery; shield; recovered part; ancient technology; defensive combat; ancient composite; assembly; proposal; ancient plasteel guard shield; collection expansion; shield; not applicable; not applicable; finished item</x:v>
      </x:c>
      <x:c r="AF763"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3" s="4" t="str">
        <x:v>Recovered item outside contemporary manufacturing tiers.</x:v>
      </x:c>
      <x:c r="AH763" s="4" t="str">
        <x:v>Not applicable</x:v>
      </x:c>
      <x:c r="AI763" s="4" t="str">
        <x:v>Finished item</x:v>
      </x:c>
      <x:c r="AJ763" s="4" t="n">
        <x:f>COUNTIFS('Material routes'!$D$6:$D$2205,A763,'Material routes'!$C$6:$C$2205,"Output")</x:f>
        <x:v>0</x:v>
      </x:c>
      <x:c r="AK763" s="4" t="n">
        <x:f>SUM(COUNTIFS('Material routes'!$D$6:$D$2205,A763,'Material routes'!$C$6:$C$2205,"Ingredient candidate"),COUNTIFS('Material routes'!$D$6:$D$2205,A763,'Material routes'!$C$6:$C$2205,"Consumed input"),COUNTIFS('Material routes'!$D$6:$D$2205,A763,'Material routes'!$C$6:$C$2205,"Contained input"),COUNTIFS('Material routes'!$D$6:$D$2205,A763,'Material routes'!$C$6:$C$2205,"Transform input"))</x:f>
        <x:v>0</x:v>
      </x:c>
      <x:c r="AL763" s="4" t="n">
        <x:f>COUNTIFS('Material routes'!$D$6:$D$2205,A763,'Material routes'!$C$6:$C$2205,"Tool candidate")</x:f>
        <x:v>0</x:v>
      </x:c>
      <x:c r="AM763" s="4" t="str">
        <x:f>IF(AJ763&gt;0,"Route listed; review status/completeness",IF(C763="T0","Raw entry feed; no production route","No production route listed"))</x:f>
        <x:v>No production route listed</x:v>
      </x:c>
      <x:c r="AN763" s="4" t="n">
        <x:f>IF(C763="T0",0,IF(C763="T1",1,IF(C763="T2",2,IF(C763="T3",3,IF(C763="T4",4,IF(C763="Unassigned",98,99))))))</x:f>
        <x:v>99</x:v>
      </x:c>
      <x:c r="AZ763"/>
      <x:c r="BA763"/>
      <x:c r="BB763"/>
      <x:c r="BC763"/>
      <x:c r="BD763"/>
      <x:c r="BE763"/>
      <x:c r="BF763"/>
      <x:c r="BG763"/>
      <x:c r="BH763"/>
      <x:c r="BI763"/>
      <x:c r="BJ763"/>
      <x:c r="BK763"/>
      <x:c r="BL763"/>
      <x:c r="BM763"/>
      <x:c r="BN763"/>
      <x:c r="BO763"/>
      <x:c r="BP763"/>
      <x:c r="BQ763"/>
      <x:c r="BR763"/>
      <x:c r="BS763"/>
      <x:c r="BT763"/>
      <x:c r="BU763"/>
      <x:c r="BV763"/>
      <x:c r="BW763"/>
      <x:c r="BX763"/>
      <x:c r="BY763"/>
      <x:c r="BZ763"/>
      <x:c r="CA763"/>
      <x:c r="CB763"/>
      <x:c r="CC763"/>
    </x:row>
    <x:row r="764" ht="115" customHeight="1">
      <x:c r="A764" s="4" t="str">
        <x:v>proposal.collection.tendon_ankle_tripline</x:v>
      </x:c>
      <x:c r="B764" s="4" t="str">
        <x:v>Tendon ankle tripline</x:v>
      </x:c>
      <x:c r="C764" s="4" t="str">
        <x:v>Not applicable</x:v>
      </x:c>
      <x:c r="D764" s="4" t="str">
        <x:v>Weapons</x:v>
      </x:c>
      <x:c r="E764" s="4" t="str">
        <x:v>Trap</x:v>
      </x:c>
      <x:c r="F764" s="4" t="str">
        <x:v>New proposal</x:v>
      </x:c>
      <x:c r="G764" s="4" t="inlineStr">
        <x:is>
          <x:t xml:space="preserve">Low tension line intended to obstruct a path. It is intended to obstruct movement through a selected space. Placement, triggering and interaction with people, fauna or equipment remain design decisions.</x:t>
        </x:is>
      </x:c>
      <x:c r="H764" s="4" t="str">
        <x:v>None</x:v>
      </x:c>
      <x:c r="I764" s="4" t="str">
        <x:v>Physical inventory / cargo item; dimensions and packing unresolved</x:v>
      </x:c>
      <x:c r="J764" s="4"/>
      <x:c r="K764" s="4"/>
      <x:c r="L764" s="4" t="str">
        <x:v>Candidate preparation: design.collection.tendon_ankle_tripline. Full inputs are in Crafting browser.</x:v>
      </x:c>
      <x:c r="M764" s="4" t="str">
        <x:v>Candidate workshop or contained preparation route; detailed tools, quantities and conditions unresolved</x:v>
      </x:c>
      <x:c r="N764" s="4" t="str">
        <x:v>Not implemented</x:v>
      </x:c>
      <x:c r="O764" s="4" t="str">
        <x:v>Specific dimensions, yield, fit, performance and service conditions remain open.</x:v>
      </x:c>
      <x:c r="P764" s="4"/>
      <x:c r="Q764" s="4"/>
      <x:c r="R764" s="4"/>
      <x:c r="S764" s="4"/>
      <x:c r="T764" s="4"/>
      <x:c r="U764" s="4" t="str">
        <x:v>Candidate inputs are partial. Resolve tools, supporting materials, energy, recovery and compatibility before recipes become craftable.</x:v>
      </x:c>
      <x:c r="V764" s="4" t="str">
        <x:v>tendon ankle tripline; collection expansion; trap</x:v>
      </x:c>
      <x:c r="W764" s="4" t="str">
        <x:v>New item proposal, October 15, 2026. Setting reference (source proposal): https://github.com/sleepyseamonster/Arc-Dust/blob/f6f98515c005dc3c73cccd9cbc031691745740c6/02-Arc-Dust-Worldbuilding/world/materials/industrial-material-palette.md</x:v>
      </x:c>
      <x:c r="X764" s="4" t="str">
        <x:v>Trap</x:v>
      </x:c>
      <x:c r="Y764" s="4" t="str">
        <x:v>Finished item</x:v>
      </x:c>
      <x:c r="Z764" s="4" t="str">
        <x:v>Manufactured / unresolved</x:v>
      </x:c>
      <x:c r="AA764" s="4" t="str">
        <x:v>Area denial</x:v>
      </x:c>
      <x:c r="AB764" s="4" t="str">
        <x:v>Mixed / unresolved</x:v>
      </x:c>
      <x:c r="AC764" s="4" t="str">
        <x:v>Assembly</x:v>
      </x:c>
      <x:c r="AD764" s="4" t="str">
        <x:v>Proposal</x:v>
      </x:c>
      <x:c r="AE764" s="4" t="str">
        <x:f>LOWER(A764&amp;"; "&amp;B764&amp;"; "&amp;D764&amp;"; "&amp;E764&amp;"; "&amp;X764&amp;"; "&amp;Y764&amp;"; "&amp;Z764&amp;"; "&amp;AA764&amp;"; "&amp;AB764&amp;"; "&amp;AC764&amp;"; "&amp;AD764&amp;"; "&amp;V764&amp;"; "&amp;C764&amp;"; "&amp;AH764&amp;"; "&amp;AI764)</x:f>
        <x:v>proposal.collection.tendon_ankle_tripline; tendon ankle tripline; weapons; trap; trap; finished item; manufactured / unresolved; area denial; mixed / unresolved; assembly; proposal; tendon ankle tripline; collection expansion; trap; not applicable; unassigned; finished item</x:v>
      </x:c>
      <x:c r="AF764" s="4" t="str">
        <x:v>Collection expansion classification. Distinct type, use and material family; new item proposal unless author direction is marked. October 15 audit: classification/handling clarified; item identity, design status and material tier preserved.</x:v>
      </x:c>
      <x:c r="AG764" s="4" t="str">
        <x:v>Finished endpoint or currency. Material tier is separate from finished input tier.</x:v>
      </x:c>
      <x:c r="AH764" s="4" t="str">
        <x:v>Unassigned</x:v>
      </x:c>
      <x:c r="AI764" s="4" t="str">
        <x:v>Finished item</x:v>
      </x:c>
      <x:c r="AJ764" s="4" t="n">
        <x:f>COUNTIFS('Material routes'!$D$6:$D$2205,A764,'Material routes'!$C$6:$C$2205,"Output")</x:f>
        <x:v>1</x:v>
      </x:c>
      <x:c r="AK764" s="4" t="n">
        <x:f>SUM(COUNTIFS('Material routes'!$D$6:$D$2205,A764,'Material routes'!$C$6:$C$2205,"Ingredient candidate"),COUNTIFS('Material routes'!$D$6:$D$2205,A764,'Material routes'!$C$6:$C$2205,"Consumed input"),COUNTIFS('Material routes'!$D$6:$D$2205,A764,'Material routes'!$C$6:$C$2205,"Contained input"),COUNTIFS('Material routes'!$D$6:$D$2205,A764,'Material routes'!$C$6:$C$2205,"Transform input"))</x:f>
        <x:v>0</x:v>
      </x:c>
      <x:c r="AL764" s="4" t="n">
        <x:f>COUNTIFS('Material routes'!$D$6:$D$2205,A764,'Material routes'!$C$6:$C$2205,"Tool candidate")</x:f>
        <x:v>0</x:v>
      </x:c>
      <x:c r="AM764" s="4" t="str">
        <x:f>IF(AJ764&gt;0,"Route listed; review status/completeness",IF(C764="T0","Raw entry feed; no production route","No production route listed"))</x:f>
        <x:v>Route listed; review status/completeness</x:v>
      </x:c>
      <x:c r="AN764" s="4" t="n">
        <x:f>IF(C764="T0",0,IF(C764="T1",1,IF(C764="T2",2,IF(C764="T3",3,IF(C764="T4",4,IF(C764="Unassigned",98,99))))))</x:f>
        <x:v>99</x:v>
      </x:c>
      <x:c r="AZ764"/>
      <x:c r="BA764"/>
      <x:c r="BB764"/>
      <x:c r="BC764"/>
      <x:c r="BD764"/>
      <x:c r="BE764"/>
      <x:c r="BF764"/>
      <x:c r="BG764"/>
      <x:c r="BH764"/>
      <x:c r="BI764"/>
      <x:c r="BJ764"/>
      <x:c r="BK764"/>
      <x:c r="BL764"/>
      <x:c r="BM764"/>
      <x:c r="BN764"/>
      <x:c r="BO764"/>
      <x:c r="BP764"/>
      <x:c r="BQ764"/>
      <x:c r="BR764"/>
      <x:c r="BS764"/>
      <x:c r="BT764"/>
      <x:c r="BU764"/>
      <x:c r="BV764"/>
      <x:c r="BW764"/>
      <x:c r="BX764"/>
      <x:c r="BY764"/>
      <x:c r="BZ764"/>
      <x:c r="CA764"/>
      <x:c r="CB764"/>
      <x:c r="CC764"/>
    </x:row>
    <x:row r="765" ht="115" customHeight="1">
      <x:c r="A765" s="4" t="str">
        <x:v>proposal.collection.rattle_alarm_tripline</x:v>
      </x:c>
      <x:c r="B765" s="4" t="str">
        <x:v>Rattle alarm tripline</x:v>
      </x:c>
      <x:c r="C765" s="4" t="str">
        <x:v>Not applicable</x:v>
      </x:c>
      <x:c r="D765" s="4" t="str">
        <x:v>Weapons</x:v>
      </x:c>
      <x:c r="E765" s="4" t="str">
        <x:v>Trap</x:v>
      </x:c>
      <x:c r="F765" s="4" t="str">
        <x:v>New proposal</x:v>
      </x:c>
      <x:c r="G765" s="4" t="inlineStr">
        <x:is>
          <x:t xml:space="preserve">Tripline that shakes shell pieces as an audible alarm. It is intended to give a detectable warning when its recorded trigger is disturbed; placement, reset and useful warning range remain open.</x:t>
        </x:is>
      </x:c>
      <x:c r="H765" s="4" t="str">
        <x:v>None</x:v>
      </x:c>
      <x:c r="I765" s="4" t="str">
        <x:v>Physical inventory / cargo item; dimensions and packing unresolved</x:v>
      </x:c>
      <x:c r="J765" s="4"/>
      <x:c r="K765" s="4"/>
      <x:c r="L765" s="4" t="str">
        <x:v>Candidate preparation: design.collection.rattle_alarm_tripline. Full inputs are in Crafting browser.</x:v>
      </x:c>
      <x:c r="M765" s="4" t="str">
        <x:v>Candidate workshop or contained preparation route; detailed tools, quantities and conditions unresolved</x:v>
      </x:c>
      <x:c r="N765" s="4" t="str">
        <x:v>Not implemented</x:v>
      </x:c>
      <x:c r="O765" s="4" t="str">
        <x:v>Specific dimensions, yield, fit, performance and service conditions remain open.</x:v>
      </x:c>
      <x:c r="P765" s="4"/>
      <x:c r="Q765" s="4"/>
      <x:c r="R765" s="4"/>
      <x:c r="S765" s="4"/>
      <x:c r="T765" s="4"/>
      <x:c r="U765" s="4" t="str">
        <x:v>Candidate inputs are partial. Resolve tools, supporting materials, energy, recovery and compatibility before recipes become craftable.</x:v>
      </x:c>
      <x:c r="V765" s="4" t="str">
        <x:v>rattle alarm tripline; collection expansion; trap</x:v>
      </x:c>
      <x:c r="W765" s="4" t="str">
        <x:v>New item proposal, October 15, 2026. Setting reference (source proposal): https://github.com/sleepyseamonster/Arc-Dust/blob/f6f98515c005dc3c73cccd9cbc031691745740c6/02-Arc-Dust-Worldbuilding/world/materials/industrial-material-palette.md</x:v>
      </x:c>
      <x:c r="X765" s="4" t="str">
        <x:v>Trap</x:v>
      </x:c>
      <x:c r="Y765" s="4" t="str">
        <x:v>Finished item</x:v>
      </x:c>
      <x:c r="Z765" s="4" t="str">
        <x:v>Manufactured / unresolved</x:v>
      </x:c>
      <x:c r="AA765" s="4" t="str">
        <x:v>Warning and detection</x:v>
      </x:c>
      <x:c r="AB765" s="4" t="str">
        <x:v>Mixed / unresolved</x:v>
      </x:c>
      <x:c r="AC765" s="4" t="str">
        <x:v>Assembly</x:v>
      </x:c>
      <x:c r="AD765" s="4" t="str">
        <x:v>Proposal</x:v>
      </x:c>
      <x:c r="AE765" s="4" t="str">
        <x:f>LOWER(A765&amp;"; "&amp;B765&amp;"; "&amp;D765&amp;"; "&amp;E765&amp;"; "&amp;X765&amp;"; "&amp;Y765&amp;"; "&amp;Z765&amp;"; "&amp;AA765&amp;"; "&amp;AB765&amp;"; "&amp;AC765&amp;"; "&amp;AD765&amp;"; "&amp;V765&amp;"; "&amp;C765&amp;"; "&amp;AH765&amp;"; "&amp;AI765)</x:f>
        <x:v>proposal.collection.rattle_alarm_tripline; rattle alarm tripline; weapons; trap; trap; finished item; manufactured / unresolved; warning and detection; mixed / unresolved; assembly; proposal; rattle alarm tripline; collection expansion; trap; not applicable; unassigned; finished item</x:v>
      </x:c>
      <x:c r="AF765" s="4" t="str">
        <x:v>Collection expansion classification. Distinct type, use and material family; new item proposal unless author direction is marked. October 15 audit: classification/handling clarified; item identity, design status and material tier preserved.</x:v>
      </x:c>
      <x:c r="AG765" s="4" t="str">
        <x:v>Finished endpoint or currency. Material tier is separate from finished input tier.</x:v>
      </x:c>
      <x:c r="AH765" s="4" t="str">
        <x:v>Unassigned</x:v>
      </x:c>
      <x:c r="AI765" s="4" t="str">
        <x:v>Finished item</x:v>
      </x:c>
      <x:c r="AJ765" s="4" t="n">
        <x:f>COUNTIFS('Material routes'!$D$6:$D$2205,A765,'Material routes'!$C$6:$C$2205,"Output")</x:f>
        <x:v>1</x:v>
      </x:c>
      <x:c r="AK765" s="4" t="n">
        <x:f>SUM(COUNTIFS('Material routes'!$D$6:$D$2205,A765,'Material routes'!$C$6:$C$2205,"Ingredient candidate"),COUNTIFS('Material routes'!$D$6:$D$2205,A765,'Material routes'!$C$6:$C$2205,"Consumed input"),COUNTIFS('Material routes'!$D$6:$D$2205,A765,'Material routes'!$C$6:$C$2205,"Contained input"),COUNTIFS('Material routes'!$D$6:$D$2205,A765,'Material routes'!$C$6:$C$2205,"Transform input"))</x:f>
        <x:v>0</x:v>
      </x:c>
      <x:c r="AL765" s="4" t="n">
        <x:f>COUNTIFS('Material routes'!$D$6:$D$2205,A765,'Material routes'!$C$6:$C$2205,"Tool candidate")</x:f>
        <x:v>0</x:v>
      </x:c>
      <x:c r="AM765" s="4" t="str">
        <x:f>IF(AJ765&gt;0,"Route listed; review status/completeness",IF(C765="T0","Raw entry feed; no production route","No production route listed"))</x:f>
        <x:v>Route listed; review status/completeness</x:v>
      </x:c>
      <x:c r="AN765" s="4" t="n">
        <x:f>IF(C765="T0",0,IF(C765="T1",1,IF(C765="T2",2,IF(C765="T3",3,IF(C765="T4",4,IF(C765="Unassigned",98,99))))))</x:f>
        <x:v>99</x:v>
      </x:c>
      <x:c r="AZ765"/>
      <x:c r="BA765"/>
      <x:c r="BB765"/>
      <x:c r="BC765"/>
      <x:c r="BD765"/>
      <x:c r="BE765"/>
      <x:c r="BF765"/>
      <x:c r="BG765"/>
      <x:c r="BH765"/>
      <x:c r="BI765"/>
      <x:c r="BJ765"/>
      <x:c r="BK765"/>
      <x:c r="BL765"/>
      <x:c r="BM765"/>
      <x:c r="BN765"/>
      <x:c r="BO765"/>
      <x:c r="BP765"/>
      <x:c r="BQ765"/>
      <x:c r="BR765"/>
      <x:c r="BS765"/>
      <x:c r="BT765"/>
      <x:c r="BU765"/>
      <x:c r="BV765"/>
      <x:c r="BW765"/>
      <x:c r="BX765"/>
      <x:c r="BY765"/>
      <x:c r="BZ765"/>
      <x:c r="CA765"/>
      <x:c r="CB765"/>
      <x:c r="CC765"/>
    </x:row>
    <x:row r="766" ht="115" customHeight="1">
      <x:c r="A766" s="4" t="str">
        <x:v>proposal.collection.metal_bell_alarm_tether</x:v>
      </x:c>
      <x:c r="B766" s="4" t="str">
        <x:v>Metal bell alarm tether</x:v>
      </x:c>
      <x:c r="C766" s="4" t="str">
        <x:v>Not applicable</x:v>
      </x:c>
      <x:c r="D766" s="4" t="str">
        <x:v>Weapons</x:v>
      </x:c>
      <x:c r="E766" s="4" t="str">
        <x:v>Trap</x:v>
      </x:c>
      <x:c r="F766" s="4" t="str">
        <x:v>New proposal</x:v>
      </x:c>
      <x:c r="G766" s="4" t="inlineStr">
        <x:is>
          <x:t xml:space="preserve">Contact line connected to a small bell. It is intended to give a detectable warning when its recorded trigger is disturbed; placement, reset and useful warning range remain open.</x:t>
        </x:is>
      </x:c>
      <x:c r="H766" s="4" t="str">
        <x:v>None</x:v>
      </x:c>
      <x:c r="I766" s="4" t="str">
        <x:v>Physical inventory / cargo item; dimensions and packing unresolved</x:v>
      </x:c>
      <x:c r="J766" s="4"/>
      <x:c r="K766" s="4"/>
      <x:c r="L766" s="4" t="str">
        <x:v>Candidate preparation: design.collection.metal_bell_alarm_tether. Full inputs are in Crafting browser.</x:v>
      </x:c>
      <x:c r="M766" s="4" t="str">
        <x:v>Candidate workshop or contained preparation route; detailed tools, quantities and conditions unresolved</x:v>
      </x:c>
      <x:c r="N766" s="4" t="str">
        <x:v>Not implemented</x:v>
      </x:c>
      <x:c r="O766" s="4" t="str">
        <x:v>Specific dimensions, yield, fit, performance and service conditions remain open.</x:v>
      </x:c>
      <x:c r="P766" s="4"/>
      <x:c r="Q766" s="4"/>
      <x:c r="R766" s="4"/>
      <x:c r="S766" s="4"/>
      <x:c r="T766" s="4"/>
      <x:c r="U766" s="4" t="str">
        <x:v>Candidate inputs are partial. Resolve tools, supporting materials, energy, recovery and compatibility before recipes become craftable.</x:v>
      </x:c>
      <x:c r="V766" s="4" t="str">
        <x:v>metal bell alarm tether; collection expansion; trap</x:v>
      </x:c>
      <x:c r="W766" s="4" t="str">
        <x:v>New item proposal, October 15, 2026. Setting reference (source proposal): https://github.com/sleepyseamonster/Arc-Dust/blob/f6f98515c005dc3c73cccd9cbc031691745740c6/02-Arc-Dust-Worldbuilding/world/materials/industrial-material-palette.md</x:v>
      </x:c>
      <x:c r="X766" s="4" t="str">
        <x:v>Trap</x:v>
      </x:c>
      <x:c r="Y766" s="4" t="str">
        <x:v>Finished item</x:v>
      </x:c>
      <x:c r="Z766" s="4" t="str">
        <x:v>Manufactured / unresolved</x:v>
      </x:c>
      <x:c r="AA766" s="4" t="str">
        <x:v>Warning and detection</x:v>
      </x:c>
      <x:c r="AB766" s="4" t="str">
        <x:v>Mixed / unresolved</x:v>
      </x:c>
      <x:c r="AC766" s="4" t="str">
        <x:v>Assembly</x:v>
      </x:c>
      <x:c r="AD766" s="4" t="str">
        <x:v>Proposal</x:v>
      </x:c>
      <x:c r="AE766" s="4" t="str">
        <x:f>LOWER(A766&amp;"; "&amp;B766&amp;"; "&amp;D766&amp;"; "&amp;E766&amp;"; "&amp;X766&amp;"; "&amp;Y766&amp;"; "&amp;Z766&amp;"; "&amp;AA766&amp;"; "&amp;AB766&amp;"; "&amp;AC766&amp;"; "&amp;AD766&amp;"; "&amp;V766&amp;"; "&amp;C766&amp;"; "&amp;AH766&amp;"; "&amp;AI766)</x:f>
        <x:v>proposal.collection.metal_bell_alarm_tether; metal bell alarm tether; weapons; trap; trap; finished item; manufactured / unresolved; warning and detection; mixed / unresolved; assembly; proposal; metal bell alarm tether; collection expansion; trap; not applicable; unassigned; finished item</x:v>
      </x:c>
      <x:c r="AF766" s="4" t="str">
        <x:v>Collection expansion classification. Distinct type, use and material family; new item proposal unless author direction is marked. October 15 audit: classification/handling clarified; item identity, design status and material tier preserved.</x:v>
      </x:c>
      <x:c r="AG766" s="4" t="str">
        <x:v>Finished endpoint or currency. Material tier is separate from finished input tier.</x:v>
      </x:c>
      <x:c r="AH766" s="4" t="str">
        <x:v>Unassigned</x:v>
      </x:c>
      <x:c r="AI766" s="4" t="str">
        <x:v>Finished item</x:v>
      </x:c>
      <x:c r="AJ766" s="4" t="n">
        <x:f>COUNTIFS('Material routes'!$D$6:$D$2205,A766,'Material routes'!$C$6:$C$2205,"Output")</x:f>
        <x:v>1</x:v>
      </x:c>
      <x:c r="AK766" s="4" t="n">
        <x:f>SUM(COUNTIFS('Material routes'!$D$6:$D$2205,A766,'Material routes'!$C$6:$C$2205,"Ingredient candidate"),COUNTIFS('Material routes'!$D$6:$D$2205,A766,'Material routes'!$C$6:$C$2205,"Consumed input"),COUNTIFS('Material routes'!$D$6:$D$2205,A766,'Material routes'!$C$6:$C$2205,"Contained input"),COUNTIFS('Material routes'!$D$6:$D$2205,A766,'Material routes'!$C$6:$C$2205,"Transform input"))</x:f>
        <x:v>0</x:v>
      </x:c>
      <x:c r="AL766" s="4" t="n">
        <x:f>COUNTIFS('Material routes'!$D$6:$D$2205,A766,'Material routes'!$C$6:$C$2205,"Tool candidate")</x:f>
        <x:v>0</x:v>
      </x:c>
      <x:c r="AM766" s="4" t="str">
        <x:f>IF(AJ766&gt;0,"Route listed; review status/completeness",IF(C766="T0","Raw entry feed; no production route","No production route listed"))</x:f>
        <x:v>Route listed; review status/completeness</x:v>
      </x:c>
      <x:c r="AN766" s="4" t="n">
        <x:f>IF(C766="T0",0,IF(C766="T1",1,IF(C766="T2",2,IF(C766="T3",3,IF(C766="T4",4,IF(C766="Unassigned",98,99))))))</x:f>
        <x:v>99</x:v>
      </x:c>
      <x:c r="AZ766"/>
      <x:c r="BA766"/>
      <x:c r="BB766"/>
      <x:c r="BC766"/>
      <x:c r="BD766"/>
      <x:c r="BE766"/>
      <x:c r="BF766"/>
      <x:c r="BG766"/>
      <x:c r="BH766"/>
      <x:c r="BI766"/>
      <x:c r="BJ766"/>
      <x:c r="BK766"/>
      <x:c r="BL766"/>
      <x:c r="BM766"/>
      <x:c r="BN766"/>
      <x:c r="BO766"/>
      <x:c r="BP766"/>
      <x:c r="BQ766"/>
      <x:c r="BR766"/>
      <x:c r="BS766"/>
      <x:c r="BT766"/>
      <x:c r="BU766"/>
      <x:c r="BV766"/>
      <x:c r="BW766"/>
      <x:c r="BX766"/>
      <x:c r="BY766"/>
      <x:c r="BZ766"/>
      <x:c r="CA766"/>
      <x:c r="CB766"/>
      <x:c r="CC766"/>
    </x:row>
    <x:row r="767" ht="115" customHeight="1">
      <x:c r="A767" s="4" t="str">
        <x:v>proposal.collection.folding_hooked_trip_frame</x:v>
      </x:c>
      <x:c r="B767" s="4" t="str">
        <x:v>Folding hooked trip frame</x:v>
      </x:c>
      <x:c r="C767" s="4" t="str">
        <x:v>Not applicable</x:v>
      </x:c>
      <x:c r="D767" s="4" t="str">
        <x:v>Weapons</x:v>
      </x:c>
      <x:c r="E767" s="4" t="str">
        <x:v>Trap</x:v>
      </x:c>
      <x:c r="F767" s="4" t="str">
        <x:v>New proposal</x:v>
      </x:c>
      <x:c r="G767" s="4" t="inlineStr">
        <x:is>
          <x:t xml:space="preserve">Low reusable frame intended to catch a passing foot. It is intended to obstruct movement through a selected space. Placement, triggering and interaction with people, fauna or equipment remain design decisions.</x:t>
        </x:is>
      </x:c>
      <x:c r="H767" s="4" t="str">
        <x:v>None</x:v>
      </x:c>
      <x:c r="I767" s="4" t="str">
        <x:v>Physical inventory / cargo item; dimensions and packing unresolved</x:v>
      </x:c>
      <x:c r="J767" s="4"/>
      <x:c r="K767" s="4"/>
      <x:c r="L767" s="4" t="str">
        <x:v>Candidate preparation: design.collection.folding_hooked_trip_frame. Full inputs are in Crafting browser.</x:v>
      </x:c>
      <x:c r="M767" s="4" t="str">
        <x:v>Candidate workshop or contained preparation route; detailed tools, quantities and conditions unresolved</x:v>
      </x:c>
      <x:c r="N767" s="4" t="str">
        <x:v>Not implemented</x:v>
      </x:c>
      <x:c r="O767" s="4" t="str">
        <x:v>Specific dimensions, yield, fit, performance and service conditions remain open.</x:v>
      </x:c>
      <x:c r="P767" s="4"/>
      <x:c r="Q767" s="4"/>
      <x:c r="R767" s="4"/>
      <x:c r="S767" s="4"/>
      <x:c r="T767" s="4"/>
      <x:c r="U767" s="4" t="str">
        <x:v>Candidate inputs are partial. Resolve tools, supporting materials, energy, recovery and compatibility before recipes become craftable.</x:v>
      </x:c>
      <x:c r="V767" s="4" t="str">
        <x:v>folding hooked trip frame; collection expansion; trap</x:v>
      </x:c>
      <x:c r="W767" s="4" t="str">
        <x:v>New item proposal, October 15, 2026. Setting reference (source proposal): https://github.com/sleepyseamonster/Arc-Dust/blob/f6f98515c005dc3c73cccd9cbc031691745740c6/02-Arc-Dust-Worldbuilding/world/materials/industrial-material-palette.md</x:v>
      </x:c>
      <x:c r="X767" s="4" t="str">
        <x:v>Trap</x:v>
      </x:c>
      <x:c r="Y767" s="4" t="str">
        <x:v>Finished item</x:v>
      </x:c>
      <x:c r="Z767" s="4" t="str">
        <x:v>Manufactured / unresolved</x:v>
      </x:c>
      <x:c r="AA767" s="4" t="str">
        <x:v>Area denial</x:v>
      </x:c>
      <x:c r="AB767" s="4" t="str">
        <x:v>Metal</x:v>
      </x:c>
      <x:c r="AC767" s="4" t="str">
        <x:v>Assembly</x:v>
      </x:c>
      <x:c r="AD767" s="4" t="str">
        <x:v>Proposal</x:v>
      </x:c>
      <x:c r="AE767" s="4" t="str">
        <x:f>LOWER(A767&amp;"; "&amp;B767&amp;"; "&amp;D767&amp;"; "&amp;E767&amp;"; "&amp;X767&amp;"; "&amp;Y767&amp;"; "&amp;Z767&amp;"; "&amp;AA767&amp;"; "&amp;AB767&amp;"; "&amp;AC767&amp;"; "&amp;AD767&amp;"; "&amp;V767&amp;"; "&amp;C767&amp;"; "&amp;AH767&amp;"; "&amp;AI767)</x:f>
        <x:v>proposal.collection.folding_hooked_trip_frame; folding hooked trip frame; weapons; trap; trap; finished item; manufactured / unresolved; area denial; metal; assembly; proposal; folding hooked trip frame; collection expansion; trap; not applicable; t4; finished item</x:v>
      </x:c>
      <x:c r="AF767" s="4" t="str">
        <x:v>Collection expansion classification. Distinct type, use and material family; new item proposal unless author direction is marked. October 15 audit: classification/handling clarified; item identity, design status and material tier preserved.</x:v>
      </x:c>
      <x:c r="AG767" s="4" t="str">
        <x:v>Finished endpoint or currency. Material tier is separate from finished input tier.</x:v>
      </x:c>
      <x:c r="AH767" s="4" t="str">
        <x:v>T4</x:v>
      </x:c>
      <x:c r="AI767" s="4" t="str">
        <x:v>Finished item</x:v>
      </x:c>
      <x:c r="AJ767" s="4" t="n">
        <x:f>COUNTIFS('Material routes'!$D$6:$D$2205,A767,'Material routes'!$C$6:$C$2205,"Output")</x:f>
        <x:v>1</x:v>
      </x:c>
      <x:c r="AK767" s="4" t="n">
        <x:f>SUM(COUNTIFS('Material routes'!$D$6:$D$2205,A767,'Material routes'!$C$6:$C$2205,"Ingredient candidate"),COUNTIFS('Material routes'!$D$6:$D$2205,A767,'Material routes'!$C$6:$C$2205,"Consumed input"),COUNTIFS('Material routes'!$D$6:$D$2205,A767,'Material routes'!$C$6:$C$2205,"Contained input"),COUNTIFS('Material routes'!$D$6:$D$2205,A767,'Material routes'!$C$6:$C$2205,"Transform input"))</x:f>
        <x:v>0</x:v>
      </x:c>
      <x:c r="AL767" s="4" t="n">
        <x:f>COUNTIFS('Material routes'!$D$6:$D$2205,A767,'Material routes'!$C$6:$C$2205,"Tool candidate")</x:f>
        <x:v>0</x:v>
      </x:c>
      <x:c r="AM767" s="4" t="str">
        <x:f>IF(AJ767&gt;0,"Route listed; review status/completeness",IF(C767="T0","Raw entry feed; no production route","No production route listed"))</x:f>
        <x:v>Route listed; review status/completeness</x:v>
      </x:c>
      <x:c r="AN767" s="4" t="n">
        <x:f>IF(C767="T0",0,IF(C767="T1",1,IF(C767="T2",2,IF(C767="T3",3,IF(C767="T4",4,IF(C767="Unassigned",98,99))))))</x:f>
        <x:v>99</x:v>
      </x:c>
      <x:c r="AZ767"/>
      <x:c r="BA767"/>
      <x:c r="BB767"/>
      <x:c r="BC767"/>
      <x:c r="BD767"/>
      <x:c r="BE767"/>
      <x:c r="BF767"/>
      <x:c r="BG767"/>
      <x:c r="BH767"/>
      <x:c r="BI767"/>
      <x:c r="BJ767"/>
      <x:c r="BK767"/>
      <x:c r="BL767"/>
      <x:c r="BM767"/>
      <x:c r="BN767"/>
      <x:c r="BO767"/>
      <x:c r="BP767"/>
      <x:c r="BQ767"/>
      <x:c r="BR767"/>
      <x:c r="BS767"/>
      <x:c r="BT767"/>
      <x:c r="BU767"/>
      <x:c r="BV767"/>
      <x:c r="BW767"/>
      <x:c r="BX767"/>
      <x:c r="BY767"/>
      <x:c r="BZ767"/>
      <x:c r="CA767"/>
      <x:c r="CB767"/>
      <x:c r="CC767"/>
    </x:row>
    <x:row r="768" ht="115" customHeight="1">
      <x:c r="A768" s="4"/>
      <x:c r="B768" s="4"/>
      <x:c r="C768" s="4"/>
      <x:c r="D768" s="4"/>
      <x:c r="E768" s="4"/>
      <x:c r="F768" s="4"/>
      <x:c r="G768" s="4"/>
      <x:c r="H768" s="4"/>
      <x:c r="I768" s="4"/>
      <x:c r="J768" s="4"/>
      <x:c r="K768" s="4"/>
      <x:c r="L768" s="4"/>
      <x:c r="M768" s="4"/>
      <x:c r="N768" s="4"/>
      <x:c r="O768" s="4"/>
      <x:c r="P768" s="4"/>
      <x:c r="Q768" s="4"/>
      <x:c r="R768" s="4"/>
      <x:c r="S768" s="4"/>
      <x:c r="T768" s="4"/>
      <x:c r="U768" s="4"/>
      <x:c r="V768" s="4"/>
      <x:c r="W768" s="4"/>
      <x:c r="X768" s="4"/>
      <x:c r="Y768" s="4"/>
      <x:c r="Z768" s="4"/>
      <x:c r="AA768" s="4"/>
      <x:c r="AB768" s="4"/>
      <x:c r="AC768" s="4"/>
      <x:c r="AD768" s="4"/>
      <x:c r="AE768" s="4"/>
      <x:c r="AF768" s="4"/>
      <x:c r="AG768" s="4"/>
      <x:c r="AH768" s="4"/>
      <x:c r="AI768" s="4"/>
      <x:c r="AJ768" s="4"/>
      <x:c r="AK768" s="4"/>
      <x:c r="AL768" s="4"/>
      <x:c r="AM768" s="4"/>
      <x:c r="AN768" s="4"/>
      <x:c r="AZ768"/>
      <x:c r="BA768"/>
      <x:c r="BB768"/>
      <x:c r="BC768"/>
      <x:c r="BD768"/>
      <x:c r="BE768"/>
      <x:c r="BF768"/>
      <x:c r="BG768"/>
      <x:c r="BH768"/>
      <x:c r="BI768"/>
      <x:c r="BJ768"/>
      <x:c r="BK768"/>
      <x:c r="BL768"/>
      <x:c r="BM768"/>
      <x:c r="BN768"/>
      <x:c r="BO768"/>
      <x:c r="BP768"/>
      <x:c r="BQ768"/>
      <x:c r="BR768"/>
      <x:c r="BS768"/>
      <x:c r="BT768"/>
      <x:c r="BU768"/>
      <x:c r="BV768"/>
      <x:c r="BW768"/>
      <x:c r="BX768"/>
      <x:c r="BY768"/>
      <x:c r="BZ768"/>
      <x:c r="CA768"/>
      <x:c r="CB768"/>
      <x:c r="CC768"/>
    </x:row>
    <x:row r="769" ht="115" customHeight="1">
      <x:c r="A769" s="4"/>
      <x:c r="B769" s="4"/>
      <x:c r="C769" s="4"/>
      <x:c r="D769" s="4"/>
      <x:c r="E769" s="4"/>
      <x:c r="F769" s="4"/>
      <x:c r="G769" s="4"/>
      <x:c r="H769" s="4"/>
      <x:c r="I769" s="4"/>
      <x:c r="J769" s="4"/>
      <x:c r="K769" s="4"/>
      <x:c r="L769" s="4"/>
      <x:c r="M769" s="4"/>
      <x:c r="N769" s="4"/>
      <x:c r="O769" s="4"/>
      <x:c r="P769" s="4"/>
      <x:c r="Q769" s="4"/>
      <x:c r="R769" s="4"/>
      <x:c r="S769" s="4"/>
      <x:c r="T769" s="4"/>
      <x:c r="U769" s="4"/>
      <x:c r="V769" s="4"/>
      <x:c r="W769" s="4"/>
      <x:c r="X769" s="4"/>
      <x:c r="Y769" s="4"/>
      <x:c r="Z769" s="4"/>
      <x:c r="AA769" s="4"/>
      <x:c r="AB769" s="4"/>
      <x:c r="AC769" s="4"/>
      <x:c r="AD769" s="4"/>
      <x:c r="AE769" s="4"/>
      <x:c r="AF769" s="4"/>
      <x:c r="AG769" s="4"/>
      <x:c r="AH769" s="4"/>
      <x:c r="AI769" s="4"/>
      <x:c r="AJ769" s="4"/>
      <x:c r="AK769" s="4"/>
      <x:c r="AL769" s="4"/>
      <x:c r="AM769" s="4"/>
      <x:c r="AN769" s="4"/>
      <x:c r="AZ769"/>
      <x:c r="BA769"/>
      <x:c r="BB769"/>
      <x:c r="BC769"/>
      <x:c r="BD769"/>
      <x:c r="BE769"/>
      <x:c r="BF769"/>
      <x:c r="BG769"/>
      <x:c r="BH769"/>
      <x:c r="BI769"/>
      <x:c r="BJ769"/>
      <x:c r="BK769"/>
      <x:c r="BL769"/>
      <x:c r="BM769"/>
      <x:c r="BN769"/>
      <x:c r="BO769"/>
      <x:c r="BP769"/>
      <x:c r="BQ769"/>
      <x:c r="BR769"/>
      <x:c r="BS769"/>
      <x:c r="BT769"/>
      <x:c r="BU769"/>
      <x:c r="BV769"/>
      <x:c r="BW769"/>
      <x:c r="BX769"/>
      <x:c r="BY769"/>
      <x:c r="BZ769"/>
      <x:c r="CA769"/>
      <x:c r="CB769"/>
      <x:c r="CC769"/>
    </x:row>
    <x:row r="770" ht="115" customHeight="1">
      <x:c r="A770" s="4" t="str">
        <x:v>proposal.collection.shell_spine_scatter_mat</x:v>
      </x:c>
      <x:c r="B770" s="4" t="str">
        <x:v>Shell-spine scatter mat</x:v>
      </x:c>
      <x:c r="C770" s="4" t="str">
        <x:v>Not applicable</x:v>
      </x:c>
      <x:c r="D770" s="4" t="str">
        <x:v>Weapons</x:v>
      </x:c>
      <x:c r="E770" s="4" t="str">
        <x:v>Trap</x:v>
      </x:c>
      <x:c r="F770" s="4" t="str">
        <x:v>New proposal</x:v>
      </x:c>
      <x:c r="G770" s="4" t="inlineStr">
        <x:is>
          <x:t xml:space="preserve">Loose hard spines retained on a small prepared carrier. It is intended to obstruct movement through a selected space. Placement, triggering and interaction with people, fauna or equipment remain design decisions.</x:t>
        </x:is>
      </x:c>
      <x:c r="H770" s="4" t="str">
        <x:v>None</x:v>
      </x:c>
      <x:c r="I770" s="4" t="str">
        <x:v>Physical inventory / cargo item; dimensions and packing unresolved</x:v>
      </x:c>
      <x:c r="J770" s="4"/>
      <x:c r="K770" s="4"/>
      <x:c r="L770" s="4" t="str">
        <x:v>Candidate preparation: design.collection.shell_spine_scatter_mat. Full inputs are in Crafting browser.</x:v>
      </x:c>
      <x:c r="M770" s="4" t="str">
        <x:v>Candidate workshop or contained preparation route; detailed tools, quantities and conditions unresolved</x:v>
      </x:c>
      <x:c r="N770" s="4" t="str">
        <x:v>Not implemented</x:v>
      </x:c>
      <x:c r="O770" s="4" t="str">
        <x:v>Specific dimensions, yield, fit, performance and service conditions remain open.</x:v>
      </x:c>
      <x:c r="P770" s="4"/>
      <x:c r="Q770" s="4"/>
      <x:c r="R770" s="4"/>
      <x:c r="S770" s="4"/>
      <x:c r="T770" s="4"/>
      <x:c r="U770" s="4" t="str">
        <x:v>Candidate inputs are partial. Resolve tools, supporting materials, energy, recovery and compatibility before recipes become craftable.</x:v>
      </x:c>
      <x:c r="V770" s="4" t="str">
        <x:v>shell-spine scatter mat; collection expansion; trap</x:v>
      </x:c>
      <x:c r="W770" s="4" t="str">
        <x:v>New item proposal, October 15, 2026. Setting reference (source proposal): https://github.com/sleepyseamonster/Arc-Dust/blob/f6f98515c005dc3c73cccd9cbc031691745740c6/02-Arc-Dust-Worldbuilding/world/materials/industrial-material-palette.md</x:v>
      </x:c>
      <x:c r="X770" s="4" t="str">
        <x:v>Trap</x:v>
      </x:c>
      <x:c r="Y770" s="4" t="str">
        <x:v>Finished item</x:v>
      </x:c>
      <x:c r="Z770" s="4" t="str">
        <x:v>Manufactured / unresolved</x:v>
      </x:c>
      <x:c r="AA770" s="4" t="str">
        <x:v>Area denial</x:v>
      </x:c>
      <x:c r="AB770" s="4" t="str">
        <x:v>Husk fiber and shell</x:v>
      </x:c>
      <x:c r="AC770" s="4" t="str">
        <x:v>Assembly</x:v>
      </x:c>
      <x:c r="AD770" s="4" t="str">
        <x:v>Proposal</x:v>
      </x:c>
      <x:c r="AE770" s="4" t="str">
        <x:f>LOWER(A770&amp;"; "&amp;B770&amp;"; "&amp;D770&amp;"; "&amp;E770&amp;"; "&amp;X770&amp;"; "&amp;Y770&amp;"; "&amp;Z770&amp;"; "&amp;AA770&amp;"; "&amp;AB770&amp;"; "&amp;AC770&amp;"; "&amp;AD770&amp;"; "&amp;V770&amp;"; "&amp;C770&amp;"; "&amp;AH770&amp;"; "&amp;AI770)</x:f>
        <x:v>proposal.collection.shell_spine_scatter_mat; shell-spine scatter mat; weapons; trap; trap; finished item; manufactured / unresolved; area denial; husk fiber and shell; assembly; proposal; shell-spine scatter mat; collection expansion; trap; not applicable; t2; finished item</x:v>
      </x:c>
      <x:c r="AF770" s="4" t="str">
        <x:v>Collection expansion classification. Distinct type, use and material family; new item proposal unless author direction is marked. October 15 audit: classification/handling clarified; item identity, design status and material tier preserved.</x:v>
      </x:c>
      <x:c r="AG770" s="4" t="str">
        <x:v>Finished endpoint or currency. Material tier is separate from finished input tier.</x:v>
      </x:c>
      <x:c r="AH770" s="4" t="str">
        <x:v>T2</x:v>
      </x:c>
      <x:c r="AI770" s="4" t="str">
        <x:v>Finished item</x:v>
      </x:c>
      <x:c r="AJ770" s="4" t="n">
        <x:f>COUNTIFS('Material routes'!$D$6:$D$2205,A770,'Material routes'!$C$6:$C$2205,"Output")</x:f>
        <x:v>1</x:v>
      </x:c>
      <x:c r="AK770" s="4" t="n">
        <x:f>SUM(COUNTIFS('Material routes'!$D$6:$D$2205,A770,'Material routes'!$C$6:$C$2205,"Ingredient candidate"),COUNTIFS('Material routes'!$D$6:$D$2205,A770,'Material routes'!$C$6:$C$2205,"Consumed input"),COUNTIFS('Material routes'!$D$6:$D$2205,A770,'Material routes'!$C$6:$C$2205,"Contained input"),COUNTIFS('Material routes'!$D$6:$D$2205,A770,'Material routes'!$C$6:$C$2205,"Transform input"))</x:f>
        <x:v>0</x:v>
      </x:c>
      <x:c r="AL770" s="4" t="n">
        <x:f>COUNTIFS('Material routes'!$D$6:$D$2205,A770,'Material routes'!$C$6:$C$2205,"Tool candidate")</x:f>
        <x:v>0</x:v>
      </x:c>
      <x:c r="AM770" s="4" t="str">
        <x:f>IF(AJ770&gt;0,"Route listed; review status/completeness",IF(C770="T0","Raw entry feed; no production route","No production route listed"))</x:f>
        <x:v>Route listed; review status/completeness</x:v>
      </x:c>
      <x:c r="AN770" s="4" t="n">
        <x:f>IF(C770="T0",0,IF(C770="T1",1,IF(C770="T2",2,IF(C770="T3",3,IF(C770="T4",4,IF(C770="Unassigned",98,99))))))</x:f>
        <x:v>99</x:v>
      </x:c>
      <x:c r="AZ770"/>
      <x:c r="BA770"/>
      <x:c r="BB770"/>
      <x:c r="BC770"/>
      <x:c r="BD770"/>
      <x:c r="BE770"/>
      <x:c r="BF770"/>
      <x:c r="BG770"/>
      <x:c r="BH770"/>
      <x:c r="BI770"/>
      <x:c r="BJ770"/>
      <x:c r="BK770"/>
      <x:c r="BL770"/>
      <x:c r="BM770"/>
      <x:c r="BN770"/>
      <x:c r="BO770"/>
      <x:c r="BP770"/>
      <x:c r="BQ770"/>
      <x:c r="BR770"/>
      <x:c r="BS770"/>
      <x:c r="BT770"/>
      <x:c r="BU770"/>
      <x:c r="BV770"/>
      <x:c r="BW770"/>
      <x:c r="BX770"/>
      <x:c r="BY770"/>
      <x:c r="BZ770"/>
      <x:c r="CA770"/>
      <x:c r="CB770"/>
      <x:c r="CC770"/>
    </x:row>
    <x:row r="771" ht="115" customHeight="1">
      <x:c r="A771" s="4" t="str">
        <x:v>proposal.collection.collapsible_wheel_chock</x:v>
      </x:c>
      <x:c r="B771" s="4" t="str">
        <x:v>Collapsible wheel chock</x:v>
      </x:c>
      <x:c r="C771" s="4" t="str">
        <x:v>Not applicable</x:v>
      </x:c>
      <x:c r="D771" s="4" t="str">
        <x:v>Weapons</x:v>
      </x:c>
      <x:c r="E771" s="4" t="str">
        <x:v>Trap</x:v>
      </x:c>
      <x:c r="F771" s="4" t="str">
        <x:v>New proposal</x:v>
      </x:c>
      <x:c r="G771" s="4" t="inlineStr">
        <x:is>
          <x:t xml:space="preserve">Blocks a suitable wheel or rolling load. It is intended to obstruct movement through a selected space. Placement, triggering and interaction with people, fauna or equipment remain design decisions.</x:t>
        </x:is>
      </x:c>
      <x:c r="H771" s="4" t="str">
        <x:v>None</x:v>
      </x:c>
      <x:c r="I771" s="4" t="str">
        <x:v>Physical inventory / cargo item; dimensions and packing unresolved</x:v>
      </x:c>
      <x:c r="J771" s="4"/>
      <x:c r="K771" s="4"/>
      <x:c r="L771" s="4" t="str">
        <x:v>Candidate preparation: design.collection.collapsible_wheel_chock. Full inputs are in Crafting browser.</x:v>
      </x:c>
      <x:c r="M771" s="4" t="str">
        <x:v>Candidate workshop or contained preparation route; detailed tools, quantities and conditions unresolved</x:v>
      </x:c>
      <x:c r="N771" s="4" t="str">
        <x:v>Not implemented</x:v>
      </x:c>
      <x:c r="O771" s="4" t="str">
        <x:v>Specific dimensions, yield, fit, performance and service conditions remain open.</x:v>
      </x:c>
      <x:c r="P771" s="4"/>
      <x:c r="Q771" s="4"/>
      <x:c r="R771" s="4"/>
      <x:c r="S771" s="4"/>
      <x:c r="T771" s="4"/>
      <x:c r="U771" s="4" t="str">
        <x:v>Candidate inputs are partial. Resolve tools, supporting materials, energy, recovery and compatibility before recipes become craftable.</x:v>
      </x:c>
      <x:c r="V771" s="4" t="str">
        <x:v>collapsible wheel chock; collection expansion; trap</x:v>
      </x:c>
      <x:c r="W771" s="4" t="str">
        <x:v>New item proposal, October 15, 2026. Setting reference (source proposal): https://github.com/sleepyseamonster/Arc-Dust/blob/f6f98515c005dc3c73cccd9cbc031691745740c6/02-Arc-Dust-Worldbuilding/world/materials/industrial-material-palette.md</x:v>
      </x:c>
      <x:c r="X771" s="4" t="str">
        <x:v>Trap</x:v>
      </x:c>
      <x:c r="Y771" s="4" t="str">
        <x:v>Finished item</x:v>
      </x:c>
      <x:c r="Z771" s="4" t="str">
        <x:v>Manufactured / unresolved</x:v>
      </x:c>
      <x:c r="AA771" s="4" t="str">
        <x:v>Area denial</x:v>
      </x:c>
      <x:c r="AB771" s="4" t="str">
        <x:v>Metal</x:v>
      </x:c>
      <x:c r="AC771" s="4" t="str">
        <x:v>Assembly</x:v>
      </x:c>
      <x:c r="AD771" s="4" t="str">
        <x:v>Proposal</x:v>
      </x:c>
      <x:c r="AE771" s="4" t="str">
        <x:f>LOWER(A771&amp;"; "&amp;B771&amp;"; "&amp;D771&amp;"; "&amp;E771&amp;"; "&amp;X771&amp;"; "&amp;Y771&amp;"; "&amp;Z771&amp;"; "&amp;AA771&amp;"; "&amp;AB771&amp;"; "&amp;AC771&amp;"; "&amp;AD771&amp;"; "&amp;V771&amp;"; "&amp;C771&amp;"; "&amp;AH771&amp;"; "&amp;AI771)</x:f>
        <x:v>proposal.collection.collapsible_wheel_chock; collapsible wheel chock; weapons; trap; trap; finished item; manufactured / unresolved; area denial; metal; assembly; proposal; collapsible wheel chock; collection expansion; trap; not applicable; t3; finished item</x:v>
      </x:c>
      <x:c r="AF771" s="4" t="str">
        <x:v>Collection expansion classification. Distinct type, use and material family; new item proposal unless author direction is marked. October 15 audit: classification/handling clarified; item identity, design status and material tier preserved.</x:v>
      </x:c>
      <x:c r="AG771" s="4" t="str">
        <x:v>Finished endpoint or currency. Material tier is separate from finished input tier.</x:v>
      </x:c>
      <x:c r="AH771" s="4" t="str">
        <x:v>T3</x:v>
      </x:c>
      <x:c r="AI771" s="4" t="str">
        <x:v>Finished item</x:v>
      </x:c>
      <x:c r="AJ771" s="4" t="n">
        <x:f>COUNTIFS('Material routes'!$D$6:$D$2205,A771,'Material routes'!$C$6:$C$2205,"Output")</x:f>
        <x:v>1</x:v>
      </x:c>
      <x:c r="AK771" s="4" t="n">
        <x:f>SUM(COUNTIFS('Material routes'!$D$6:$D$2205,A771,'Material routes'!$C$6:$C$2205,"Ingredient candidate"),COUNTIFS('Material routes'!$D$6:$D$2205,A771,'Material routes'!$C$6:$C$2205,"Consumed input"),COUNTIFS('Material routes'!$D$6:$D$2205,A771,'Material routes'!$C$6:$C$2205,"Contained input"),COUNTIFS('Material routes'!$D$6:$D$2205,A771,'Material routes'!$C$6:$C$2205,"Transform input"))</x:f>
        <x:v>0</x:v>
      </x:c>
      <x:c r="AL771" s="4" t="n">
        <x:f>COUNTIFS('Material routes'!$D$6:$D$2205,A771,'Material routes'!$C$6:$C$2205,"Tool candidate")</x:f>
        <x:v>0</x:v>
      </x:c>
      <x:c r="AM771" s="4" t="str">
        <x:f>IF(AJ771&gt;0,"Route listed; review status/completeness",IF(C771="T0","Raw entry feed; no production route","No production route listed"))</x:f>
        <x:v>Route listed; review status/completeness</x:v>
      </x:c>
      <x:c r="AN771" s="4" t="n">
        <x:f>IF(C771="T0",0,IF(C771="T1",1,IF(C771="T2",2,IF(C771="T3",3,IF(C771="T4",4,IF(C771="Unassigned",98,99))))))</x:f>
        <x:v>99</x:v>
      </x:c>
      <x:c r="AZ771"/>
      <x:c r="BA771"/>
      <x:c r="BB771"/>
      <x:c r="BC771"/>
      <x:c r="BD771"/>
      <x:c r="BE771"/>
      <x:c r="BF771"/>
      <x:c r="BG771"/>
      <x:c r="BH771"/>
      <x:c r="BI771"/>
      <x:c r="BJ771"/>
      <x:c r="BK771"/>
      <x:c r="BL771"/>
      <x:c r="BM771"/>
      <x:c r="BN771"/>
      <x:c r="BO771"/>
      <x:c r="BP771"/>
      <x:c r="BQ771"/>
      <x:c r="BR771"/>
      <x:c r="BS771"/>
      <x:c r="BT771"/>
      <x:c r="BU771"/>
      <x:c r="BV771"/>
      <x:c r="BW771"/>
      <x:c r="BX771"/>
      <x:c r="BY771"/>
      <x:c r="BZ771"/>
      <x:c r="CA771"/>
      <x:c r="CB771"/>
      <x:c r="CC771"/>
    </x:row>
    <x:row r="772" ht="115" customHeight="1">
      <x:c r="A772" s="4" t="str">
        <x:v>proposal.collection.cable_snag_hoop</x:v>
      </x:c>
      <x:c r="B772" s="4" t="str">
        <x:v>Cable snag hoop</x:v>
      </x:c>
      <x:c r="C772" s="4" t="str">
        <x:v>Not applicable</x:v>
      </x:c>
      <x:c r="D772" s="4" t="str">
        <x:v>Weapons</x:v>
      </x:c>
      <x:c r="E772" s="4" t="str">
        <x:v>Trap</x:v>
      </x:c>
      <x:c r="F772" s="4" t="str">
        <x:v>New proposal</x:v>
      </x:c>
      <x:c r="G772" s="4" t="inlineStr">
        <x:is>
          <x:t xml:space="preserve">Metal loop intended to foul moving equipment. It is intended to obstruct movement through a selected space. Placement, triggering and interaction with people, fauna or equipment remain design decisions.</x:t>
        </x:is>
      </x:c>
      <x:c r="H772" s="4" t="str">
        <x:v>None</x:v>
      </x:c>
      <x:c r="I772" s="4" t="str">
        <x:v>Physical inventory / cargo item; dimensions and packing unresolved</x:v>
      </x:c>
      <x:c r="J772" s="4"/>
      <x:c r="K772" s="4"/>
      <x:c r="L772" s="4" t="str">
        <x:v>Candidate preparation: design.collection.cable_snag_hoop. Full inputs are in Crafting browser.</x:v>
      </x:c>
      <x:c r="M772" s="4" t="str">
        <x:v>Candidate workshop or contained preparation route; detailed tools, quantities and conditions unresolved</x:v>
      </x:c>
      <x:c r="N772" s="4" t="str">
        <x:v>Not implemented</x:v>
      </x:c>
      <x:c r="O772" s="4" t="str">
        <x:v>Specific dimensions, yield, fit, performance and service conditions remain open.</x:v>
      </x:c>
      <x:c r="P772" s="4"/>
      <x:c r="Q772" s="4"/>
      <x:c r="R772" s="4"/>
      <x:c r="S772" s="4"/>
      <x:c r="T772" s="4"/>
      <x:c r="U772" s="4" t="str">
        <x:v>Candidate inputs are partial. Resolve tools, supporting materials, energy, recovery and compatibility before recipes become craftable.</x:v>
      </x:c>
      <x:c r="V772" s="4" t="str">
        <x:v>cable snag hoop; collection expansion; trap</x:v>
      </x:c>
      <x:c r="W772" s="4" t="str">
        <x:v>New item proposal, October 15, 2026. Setting reference (source proposal): https://github.com/sleepyseamonster/Arc-Dust/blob/f6f98515c005dc3c73cccd9cbc031691745740c6/02-Arc-Dust-Worldbuilding/world/materials/industrial-material-palette.md</x:v>
      </x:c>
      <x:c r="X772" s="4" t="str">
        <x:v>Trap</x:v>
      </x:c>
      <x:c r="Y772" s="4" t="str">
        <x:v>Finished item</x:v>
      </x:c>
      <x:c r="Z772" s="4" t="str">
        <x:v>Manufactured / unresolved</x:v>
      </x:c>
      <x:c r="AA772" s="4" t="str">
        <x:v>Area denial</x:v>
      </x:c>
      <x:c r="AB772" s="4" t="str">
        <x:v>Metal</x:v>
      </x:c>
      <x:c r="AC772" s="4" t="str">
        <x:v>Assembly</x:v>
      </x:c>
      <x:c r="AD772" s="4" t="str">
        <x:v>Proposal</x:v>
      </x:c>
      <x:c r="AE772" s="4" t="str">
        <x:f>LOWER(A772&amp;"; "&amp;B772&amp;"; "&amp;D772&amp;"; "&amp;E772&amp;"; "&amp;X772&amp;"; "&amp;Y772&amp;"; "&amp;Z772&amp;"; "&amp;AA772&amp;"; "&amp;AB772&amp;"; "&amp;AC772&amp;"; "&amp;AD772&amp;"; "&amp;V772&amp;"; "&amp;C772&amp;"; "&amp;AH772&amp;"; "&amp;AI772)</x:f>
        <x:v>proposal.collection.cable_snag_hoop; cable snag hoop; weapons; trap; trap; finished item; manufactured / unresolved; area denial; metal; assembly; proposal; cable snag hoop; collection expansion; trap; not applicable; t2; finished item</x:v>
      </x:c>
      <x:c r="AF772" s="4" t="str">
        <x:v>Collection expansion classification. Distinct type, use and material family; new item proposal unless author direction is marked. October 15 audit: classification/handling clarified; item identity, design status and material tier preserved.</x:v>
      </x:c>
      <x:c r="AG772" s="4" t="str">
        <x:v>Finished endpoint or currency. Material tier is separate from finished input tier.</x:v>
      </x:c>
      <x:c r="AH772" s="4" t="str">
        <x:v>T2</x:v>
      </x:c>
      <x:c r="AI772" s="4" t="str">
        <x:v>Finished item</x:v>
      </x:c>
      <x:c r="AJ772" s="4" t="n">
        <x:f>COUNTIFS('Material routes'!$D$6:$D$2205,A772,'Material routes'!$C$6:$C$2205,"Output")</x:f>
        <x:v>1</x:v>
      </x:c>
      <x:c r="AK772" s="4" t="n">
        <x:f>SUM(COUNTIFS('Material routes'!$D$6:$D$2205,A772,'Material routes'!$C$6:$C$2205,"Ingredient candidate"),COUNTIFS('Material routes'!$D$6:$D$2205,A772,'Material routes'!$C$6:$C$2205,"Consumed input"),COUNTIFS('Material routes'!$D$6:$D$2205,A772,'Material routes'!$C$6:$C$2205,"Contained input"),COUNTIFS('Material routes'!$D$6:$D$2205,A772,'Material routes'!$C$6:$C$2205,"Transform input"))</x:f>
        <x:v>0</x:v>
      </x:c>
      <x:c r="AL772" s="4" t="n">
        <x:f>COUNTIFS('Material routes'!$D$6:$D$2205,A772,'Material routes'!$C$6:$C$2205,"Tool candidate")</x:f>
        <x:v>0</x:v>
      </x:c>
      <x:c r="AM772" s="4" t="str">
        <x:f>IF(AJ772&gt;0,"Route listed; review status/completeness",IF(C772="T0","Raw entry feed; no production route","No production route listed"))</x:f>
        <x:v>Route listed; review status/completeness</x:v>
      </x:c>
      <x:c r="AN772" s="4" t="n">
        <x:f>IF(C772="T0",0,IF(C772="T1",1,IF(C772="T2",2,IF(C772="T3",3,IF(C772="T4",4,IF(C772="Unassigned",98,99))))))</x:f>
        <x:v>99</x:v>
      </x:c>
      <x:c r="AZ772"/>
      <x:c r="BA772"/>
      <x:c r="BB772"/>
      <x:c r="BC772"/>
      <x:c r="BD772"/>
      <x:c r="BE772"/>
      <x:c r="BF772"/>
      <x:c r="BG772"/>
      <x:c r="BH772"/>
      <x:c r="BI772"/>
      <x:c r="BJ772"/>
      <x:c r="BK772"/>
      <x:c r="BL772"/>
      <x:c r="BM772"/>
      <x:c r="BN772"/>
      <x:c r="BO772"/>
      <x:c r="BP772"/>
      <x:c r="BQ772"/>
      <x:c r="BR772"/>
      <x:c r="BS772"/>
      <x:c r="BT772"/>
      <x:c r="BU772"/>
      <x:c r="BV772"/>
      <x:c r="BW772"/>
      <x:c r="BX772"/>
      <x:c r="BY772"/>
      <x:c r="BZ772"/>
      <x:c r="CA772"/>
      <x:c r="CB772"/>
      <x:c r="CC772"/>
    </x:row>
    <x:row r="773" ht="115" customHeight="1">
      <x:c r="A773" s="4"/>
      <x:c r="B773" s="4"/>
      <x:c r="C773" s="4"/>
      <x:c r="D773" s="4"/>
      <x:c r="E773" s="4"/>
      <x:c r="F773" s="4"/>
      <x:c r="G773" s="4"/>
      <x:c r="H773" s="4"/>
      <x:c r="I773" s="4"/>
      <x:c r="J773" s="4"/>
      <x:c r="K773" s="4"/>
      <x:c r="L773" s="4"/>
      <x:c r="M773" s="4"/>
      <x:c r="N773" s="4"/>
      <x:c r="O773" s="4"/>
      <x:c r="P773" s="4"/>
      <x:c r="Q773" s="4"/>
      <x:c r="R773" s="4"/>
      <x:c r="S773" s="4"/>
      <x:c r="T773" s="4"/>
      <x:c r="U773" s="4"/>
      <x:c r="V773" s="4"/>
      <x:c r="W773" s="4"/>
      <x:c r="X773" s="4"/>
      <x:c r="Y773" s="4"/>
      <x:c r="Z773" s="4"/>
      <x:c r="AA773" s="4"/>
      <x:c r="AB773" s="4"/>
      <x:c r="AC773" s="4"/>
      <x:c r="AD773" s="4"/>
      <x:c r="AE773" s="4"/>
      <x:c r="AF773" s="4"/>
      <x:c r="AG773" s="4"/>
      <x:c r="AH773" s="4"/>
      <x:c r="AI773" s="4"/>
      <x:c r="AJ773" s="4"/>
      <x:c r="AK773" s="4"/>
      <x:c r="AL773" s="4"/>
      <x:c r="AM773" s="4"/>
      <x:c r="AN773" s="4"/>
      <x:c r="AZ773"/>
      <x:c r="BA773"/>
      <x:c r="BB773"/>
      <x:c r="BC773"/>
      <x:c r="BD773"/>
      <x:c r="BE773"/>
      <x:c r="BF773"/>
      <x:c r="BG773"/>
      <x:c r="BH773"/>
      <x:c r="BI773"/>
      <x:c r="BJ773"/>
      <x:c r="BK773"/>
      <x:c r="BL773"/>
      <x:c r="BM773"/>
      <x:c r="BN773"/>
      <x:c r="BO773"/>
      <x:c r="BP773"/>
      <x:c r="BQ773"/>
      <x:c r="BR773"/>
      <x:c r="BS773"/>
      <x:c r="BT773"/>
      <x:c r="BU773"/>
      <x:c r="BV773"/>
      <x:c r="BW773"/>
      <x:c r="BX773"/>
      <x:c r="BY773"/>
      <x:c r="BZ773"/>
      <x:c r="CA773"/>
      <x:c r="CB773"/>
      <x:c r="CC773"/>
    </x:row>
    <x:row r="774" ht="115" customHeight="1">
      <x:c r="A774" s="4"/>
      <x:c r="B774" s="4"/>
      <x:c r="C774" s="4"/>
      <x:c r="D774" s="4"/>
      <x:c r="E774" s="4"/>
      <x:c r="F774" s="4"/>
      <x:c r="G774" s="4"/>
      <x:c r="H774" s="4"/>
      <x:c r="I774" s="4"/>
      <x:c r="J774" s="4"/>
      <x:c r="K774" s="4"/>
      <x:c r="L774" s="4"/>
      <x:c r="M774" s="4"/>
      <x:c r="N774" s="4"/>
      <x:c r="O774" s="4"/>
      <x:c r="P774" s="4"/>
      <x:c r="Q774" s="4"/>
      <x:c r="R774" s="4"/>
      <x:c r="S774" s="4"/>
      <x:c r="T774" s="4"/>
      <x:c r="U774" s="4"/>
      <x:c r="V774" s="4"/>
      <x:c r="W774" s="4"/>
      <x:c r="X774" s="4"/>
      <x:c r="Y774" s="4"/>
      <x:c r="Z774" s="4"/>
      <x:c r="AA774" s="4"/>
      <x:c r="AB774" s="4"/>
      <x:c r="AC774" s="4"/>
      <x:c r="AD774" s="4"/>
      <x:c r="AE774" s="4"/>
      <x:c r="AF774" s="4"/>
      <x:c r="AG774" s="4"/>
      <x:c r="AH774" s="4"/>
      <x:c r="AI774" s="4"/>
      <x:c r="AJ774" s="4"/>
      <x:c r="AK774" s="4"/>
      <x:c r="AL774" s="4"/>
      <x:c r="AM774" s="4"/>
      <x:c r="AN774" s="4"/>
      <x:c r="AZ774"/>
      <x:c r="BA774"/>
      <x:c r="BB774"/>
      <x:c r="BC774"/>
      <x:c r="BD774"/>
      <x:c r="BE774"/>
      <x:c r="BF774"/>
      <x:c r="BG774"/>
      <x:c r="BH774"/>
      <x:c r="BI774"/>
      <x:c r="BJ774"/>
      <x:c r="BK774"/>
      <x:c r="BL774"/>
      <x:c r="BM774"/>
      <x:c r="BN774"/>
      <x:c r="BO774"/>
      <x:c r="BP774"/>
      <x:c r="BQ774"/>
      <x:c r="BR774"/>
      <x:c r="BS774"/>
      <x:c r="BT774"/>
      <x:c r="BU774"/>
      <x:c r="BV774"/>
      <x:c r="BW774"/>
      <x:c r="BX774"/>
      <x:c r="BY774"/>
      <x:c r="BZ774"/>
      <x:c r="CA774"/>
      <x:c r="CB774"/>
      <x:c r="CC774"/>
    </x:row>
    <x:row r="775" ht="115" customHeight="1">
      <x:c r="A775" s="4" t="str">
        <x:v>proposal.collection.counterweight_net_drop</x:v>
      </x:c>
      <x:c r="B775" s="4" t="str">
        <x:v>Counterweight net drop</x:v>
      </x:c>
      <x:c r="C775" s="4" t="str">
        <x:v>Not applicable</x:v>
      </x:c>
      <x:c r="D775" s="4" t="str">
        <x:v>Weapons</x:v>
      </x:c>
      <x:c r="E775" s="4" t="str">
        <x:v>Trap</x:v>
      </x:c>
      <x:c r="F775" s="4" t="str">
        <x:v>New proposal</x:v>
      </x:c>
      <x:c r="G775" s="4" t="inlineStr">
        <x:is>
          <x:t xml:space="preserve">Open cord lattice released by a mechanical latch. It is intended to influence or manage a selected creature through its recorded mechanism; target species and response require design.</x:t>
        </x:is>
      </x:c>
      <x:c r="H775" s="4" t="str">
        <x:v>None</x:v>
      </x:c>
      <x:c r="I775" s="4" t="str">
        <x:v>Physical inventory / cargo item; dimensions and packing unresolved</x:v>
      </x:c>
      <x:c r="J775" s="4"/>
      <x:c r="K775" s="4"/>
      <x:c r="L775" s="4" t="str">
        <x:v>Candidate preparation: design.collection.counterweight_net_drop. Full inputs are in Crafting browser.</x:v>
      </x:c>
      <x:c r="M775" s="4" t="str">
        <x:v>Candidate workshop or contained preparation route; detailed tools, quantities and conditions unresolved</x:v>
      </x:c>
      <x:c r="N775" s="4" t="str">
        <x:v>Not implemented</x:v>
      </x:c>
      <x:c r="O775" s="4" t="str">
        <x:v>Specific dimensions, yield, fit, performance and service conditions remain open.</x:v>
      </x:c>
      <x:c r="P775" s="4"/>
      <x:c r="Q775" s="4"/>
      <x:c r="R775" s="4"/>
      <x:c r="S775" s="4"/>
      <x:c r="T775" s="4"/>
      <x:c r="U775" s="4" t="str">
        <x:v>Candidate inputs are partial. Resolve tools, supporting materials, energy, recovery and compatibility before recipes become craftable.</x:v>
      </x:c>
      <x:c r="V775" s="4" t="str">
        <x:v>counterweight net drop; collection expansion; trap</x:v>
      </x:c>
      <x:c r="W775" s="4" t="str">
        <x:v>New item proposal, October 15, 2026. Setting reference (source proposal): https://github.com/sleepyseamonster/Arc-Dust/blob/f6f98515c005dc3c73cccd9cbc031691745740c6/02-Arc-Dust-Worldbuilding/world/materials/industrial-material-palette.md</x:v>
      </x:c>
      <x:c r="X775" s="4" t="str">
        <x:v>Trap</x:v>
      </x:c>
      <x:c r="Y775" s="4" t="str">
        <x:v>Finished item</x:v>
      </x:c>
      <x:c r="Z775" s="4" t="str">
        <x:v>Manufactured / unresolved</x:v>
      </x:c>
      <x:c r="AA775" s="4" t="str">
        <x:v>Fauna interaction</x:v>
      </x:c>
      <x:c r="AB775" s="4" t="str">
        <x:v>Mixed / unresolved</x:v>
      </x:c>
      <x:c r="AC775" s="4" t="str">
        <x:v>Assembly</x:v>
      </x:c>
      <x:c r="AD775" s="4" t="str">
        <x:v>Proposal</x:v>
      </x:c>
      <x:c r="AE775" s="4" t="str">
        <x:f>LOWER(A775&amp;"; "&amp;B775&amp;"; "&amp;D775&amp;"; "&amp;E775&amp;"; "&amp;X775&amp;"; "&amp;Y775&amp;"; "&amp;Z775&amp;"; "&amp;AA775&amp;"; "&amp;AB775&amp;"; "&amp;AC775&amp;"; "&amp;AD775&amp;"; "&amp;V775&amp;"; "&amp;C775&amp;"; "&amp;AH775&amp;"; "&amp;AI775)</x:f>
        <x:v>proposal.collection.counterweight_net_drop; counterweight net drop; weapons; trap; trap; finished item; manufactured / unresolved; fauna interaction; mixed / unresolved; assembly; proposal; counterweight net drop; collection expansion; trap; not applicable; t4; finished item</x:v>
      </x:c>
      <x:c r="AF775" s="4" t="str">
        <x:v>Collection expansion classification. Distinct type, use and material family; new item proposal unless author direction is marked. October 15 audit: classification/handling clarified; item identity, design status and material tier preserved.</x:v>
      </x:c>
      <x:c r="AG775" s="4" t="str">
        <x:v>Finished endpoint or currency. Material tier is separate from finished input tier.</x:v>
      </x:c>
      <x:c r="AH775" s="4" t="str">
        <x:v>T4</x:v>
      </x:c>
      <x:c r="AI775" s="4" t="str">
        <x:v>Finished item</x:v>
      </x:c>
      <x:c r="AJ775" s="4" t="n">
        <x:f>COUNTIFS('Material routes'!$D$6:$D$2205,A775,'Material routes'!$C$6:$C$2205,"Output")</x:f>
        <x:v>1</x:v>
      </x:c>
      <x:c r="AK775" s="4" t="n">
        <x:f>SUM(COUNTIFS('Material routes'!$D$6:$D$2205,A775,'Material routes'!$C$6:$C$2205,"Ingredient candidate"),COUNTIFS('Material routes'!$D$6:$D$2205,A775,'Material routes'!$C$6:$C$2205,"Consumed input"),COUNTIFS('Material routes'!$D$6:$D$2205,A775,'Material routes'!$C$6:$C$2205,"Contained input"),COUNTIFS('Material routes'!$D$6:$D$2205,A775,'Material routes'!$C$6:$C$2205,"Transform input"))</x:f>
        <x:v>0</x:v>
      </x:c>
      <x:c r="AL775" s="4" t="n">
        <x:f>COUNTIFS('Material routes'!$D$6:$D$2205,A775,'Material routes'!$C$6:$C$2205,"Tool candidate")</x:f>
        <x:v>0</x:v>
      </x:c>
      <x:c r="AM775" s="4" t="str">
        <x:f>IF(AJ775&gt;0,"Route listed; review status/completeness",IF(C775="T0","Raw entry feed; no production route","No production route listed"))</x:f>
        <x:v>Route listed; review status/completeness</x:v>
      </x:c>
      <x:c r="AN775" s="4" t="n">
        <x:f>IF(C775="T0",0,IF(C775="T1",1,IF(C775="T2",2,IF(C775="T3",3,IF(C775="T4",4,IF(C775="Unassigned",98,99))))))</x:f>
        <x:v>99</x:v>
      </x:c>
      <x:c r="AZ775"/>
      <x:c r="BA775"/>
      <x:c r="BB775"/>
      <x:c r="BC775"/>
      <x:c r="BD775"/>
      <x:c r="BE775"/>
      <x:c r="BF775"/>
      <x:c r="BG775"/>
      <x:c r="BH775"/>
      <x:c r="BI775"/>
      <x:c r="BJ775"/>
      <x:c r="BK775"/>
      <x:c r="BL775"/>
      <x:c r="BM775"/>
      <x:c r="BN775"/>
      <x:c r="BO775"/>
      <x:c r="BP775"/>
      <x:c r="BQ775"/>
      <x:c r="BR775"/>
      <x:c r="BS775"/>
      <x:c r="BT775"/>
      <x:c r="BU775"/>
      <x:c r="BV775"/>
      <x:c r="BW775"/>
      <x:c r="BX775"/>
      <x:c r="BY775"/>
      <x:c r="BZ775"/>
      <x:c r="CA775"/>
      <x:c r="CB775"/>
      <x:c r="CC775"/>
    </x:row>
    <x:row r="776" ht="115" customHeight="1">
      <x:c r="A776" s="4" t="str">
        <x:v>proposal.collection.pressure_plate_shell_clacker</x:v>
      </x:c>
      <x:c r="B776" s="4" t="str">
        <x:v>Pressure-plate shell clacker</x:v>
      </x:c>
      <x:c r="C776" s="4" t="str">
        <x:v>Not applicable</x:v>
      </x:c>
      <x:c r="D776" s="4" t="str">
        <x:v>Weapons</x:v>
      </x:c>
      <x:c r="E776" s="4" t="str">
        <x:v>Trap</x:v>
      </x:c>
      <x:c r="F776" s="4" t="str">
        <x:v>New proposal</x:v>
      </x:c>
      <x:c r="G776" s="4" t="inlineStr">
        <x:is>
          <x:t xml:space="preserve">Foot contact produces a loud mechanical signal. It is intended to give a detectable warning when its recorded trigger is disturbed; placement, reset and useful warning range remain open.</x:t>
        </x:is>
      </x:c>
      <x:c r="H776" s="4" t="str">
        <x:v>None</x:v>
      </x:c>
      <x:c r="I776" s="4" t="str">
        <x:v>Physical inventory / cargo item; dimensions and packing unresolved</x:v>
      </x:c>
      <x:c r="J776" s="4"/>
      <x:c r="K776" s="4"/>
      <x:c r="L776" s="4" t="str">
        <x:v>Candidate preparation: design.collection.pressure_plate_shell_clacker. Full inputs are in Crafting browser.</x:v>
      </x:c>
      <x:c r="M776" s="4" t="str">
        <x:v>Candidate workshop or contained preparation route; detailed tools, quantities and conditions unresolved</x:v>
      </x:c>
      <x:c r="N776" s="4" t="str">
        <x:v>Not implemented</x:v>
      </x:c>
      <x:c r="O776" s="4" t="str">
        <x:v>Specific dimensions, yield, fit, performance and service conditions remain open.</x:v>
      </x:c>
      <x:c r="P776" s="4"/>
      <x:c r="Q776" s="4"/>
      <x:c r="R776" s="4"/>
      <x:c r="S776" s="4"/>
      <x:c r="T776" s="4"/>
      <x:c r="U776" s="4" t="str">
        <x:v>Candidate inputs are partial. Resolve tools, supporting materials, energy, recovery and compatibility before recipes become craftable.</x:v>
      </x:c>
      <x:c r="V776" s="4" t="str">
        <x:v>pressure-plate shell clacker; collection expansion; trap</x:v>
      </x:c>
      <x:c r="W776" s="4" t="str">
        <x:v>New item proposal, October 15, 2026. Setting reference (source proposal): https://github.com/sleepyseamonster/Arc-Dust/blob/f6f98515c005dc3c73cccd9cbc031691745740c6/02-Arc-Dust-Worldbuilding/world/materials/industrial-material-palette.md</x:v>
      </x:c>
      <x:c r="X776" s="4" t="str">
        <x:v>Trap</x:v>
      </x:c>
      <x:c r="Y776" s="4" t="str">
        <x:v>Finished item</x:v>
      </x:c>
      <x:c r="Z776" s="4" t="str">
        <x:v>Manufactured / unresolved</x:v>
      </x:c>
      <x:c r="AA776" s="4" t="str">
        <x:v>Warning and detection</x:v>
      </x:c>
      <x:c r="AB776" s="4" t="str">
        <x:v>Metal and shell</x:v>
      </x:c>
      <x:c r="AC776" s="4" t="str">
        <x:v>Assembly</x:v>
      </x:c>
      <x:c r="AD776" s="4" t="str">
        <x:v>Proposal</x:v>
      </x:c>
      <x:c r="AE776" s="4" t="str">
        <x:f>LOWER(A776&amp;"; "&amp;B776&amp;"; "&amp;D776&amp;"; "&amp;E776&amp;"; "&amp;X776&amp;"; "&amp;Y776&amp;"; "&amp;Z776&amp;"; "&amp;AA776&amp;"; "&amp;AB776&amp;"; "&amp;AC776&amp;"; "&amp;AD776&amp;"; "&amp;V776&amp;"; "&amp;C776&amp;"; "&amp;AH776&amp;"; "&amp;AI776)</x:f>
        <x:v>proposal.collection.pressure_plate_shell_clacker; pressure-plate shell clacker; weapons; trap; trap; finished item; manufactured / unresolved; warning and detection; metal and shell; assembly; proposal; pressure-plate shell clacker; collection expansion; trap; not applicable; unassigned; finished item</x:v>
      </x:c>
      <x:c r="AF776" s="4" t="str">
        <x:v>Collection expansion classification. Distinct type, use and material family; new item proposal unless author direction is marked. October 15 audit: classification/handling clarified; item identity, design status and material tier preserved.</x:v>
      </x:c>
      <x:c r="AG776" s="4" t="str">
        <x:v>Finished endpoint or currency. Material tier is separate from finished input tier.</x:v>
      </x:c>
      <x:c r="AH776" s="4" t="str">
        <x:v>Unassigned</x:v>
      </x:c>
      <x:c r="AI776" s="4" t="str">
        <x:v>Finished item</x:v>
      </x:c>
      <x:c r="AJ776" s="4" t="n">
        <x:f>COUNTIFS('Material routes'!$D$6:$D$2205,A776,'Material routes'!$C$6:$C$2205,"Output")</x:f>
        <x:v>1</x:v>
      </x:c>
      <x:c r="AK776" s="4" t="n">
        <x:f>SUM(COUNTIFS('Material routes'!$D$6:$D$2205,A776,'Material routes'!$C$6:$C$2205,"Ingredient candidate"),COUNTIFS('Material routes'!$D$6:$D$2205,A776,'Material routes'!$C$6:$C$2205,"Consumed input"),COUNTIFS('Material routes'!$D$6:$D$2205,A776,'Material routes'!$C$6:$C$2205,"Contained input"),COUNTIFS('Material routes'!$D$6:$D$2205,A776,'Material routes'!$C$6:$C$2205,"Transform input"))</x:f>
        <x:v>0</x:v>
      </x:c>
      <x:c r="AL776" s="4" t="n">
        <x:f>COUNTIFS('Material routes'!$D$6:$D$2205,A776,'Material routes'!$C$6:$C$2205,"Tool candidate")</x:f>
        <x:v>0</x:v>
      </x:c>
      <x:c r="AM776" s="4" t="str">
        <x:f>IF(AJ776&gt;0,"Route listed; review status/completeness",IF(C776="T0","Raw entry feed; no production route","No production route listed"))</x:f>
        <x:v>Route listed; review status/completeness</x:v>
      </x:c>
      <x:c r="AN776" s="4" t="n">
        <x:f>IF(C776="T0",0,IF(C776="T1",1,IF(C776="T2",2,IF(C776="T3",3,IF(C776="T4",4,IF(C776="Unassigned",98,99))))))</x:f>
        <x:v>99</x:v>
      </x:c>
      <x:c r="AZ776"/>
      <x:c r="BA776"/>
      <x:c r="BB776"/>
      <x:c r="BC776"/>
      <x:c r="BD776"/>
      <x:c r="BE776"/>
      <x:c r="BF776"/>
      <x:c r="BG776"/>
      <x:c r="BH776"/>
      <x:c r="BI776"/>
      <x:c r="BJ776"/>
      <x:c r="BK776"/>
      <x:c r="BL776"/>
      <x:c r="BM776"/>
      <x:c r="BN776"/>
      <x:c r="BO776"/>
      <x:c r="BP776"/>
      <x:c r="BQ776"/>
      <x:c r="BR776"/>
      <x:c r="BS776"/>
      <x:c r="BT776"/>
      <x:c r="BU776"/>
      <x:c r="BV776"/>
      <x:c r="BW776"/>
      <x:c r="BX776"/>
      <x:c r="BY776"/>
      <x:c r="BZ776"/>
      <x:c r="CA776"/>
      <x:c r="CB776"/>
      <x:c r="CC776"/>
    </x:row>
    <x:row r="777" ht="115" customHeight="1">
      <x:c r="A777" s="4"/>
      <x:c r="B777" s="4"/>
      <x:c r="C777" s="4"/>
      <x:c r="D777" s="4"/>
      <x:c r="E777" s="4"/>
      <x:c r="F777" s="4"/>
      <x:c r="G777" s="4"/>
      <x:c r="H777" s="4"/>
      <x:c r="I777" s="4"/>
      <x:c r="J777" s="4"/>
      <x:c r="K777" s="4"/>
      <x:c r="L777" s="4"/>
      <x:c r="M777" s="4"/>
      <x:c r="N777" s="4"/>
      <x:c r="O777" s="4"/>
      <x:c r="P777" s="4"/>
      <x:c r="Q777" s="4"/>
      <x:c r="R777" s="4"/>
      <x:c r="S777" s="4"/>
      <x:c r="T777" s="4"/>
      <x:c r="U777" s="4"/>
      <x:c r="V777" s="4"/>
      <x:c r="W777" s="4"/>
      <x:c r="X777" s="4"/>
      <x:c r="Y777" s="4"/>
      <x:c r="Z777" s="4"/>
      <x:c r="AA777" s="4"/>
      <x:c r="AB777" s="4"/>
      <x:c r="AC777" s="4"/>
      <x:c r="AD777" s="4"/>
      <x:c r="AE777" s="4"/>
      <x:c r="AF777" s="4"/>
      <x:c r="AG777" s="4"/>
      <x:c r="AH777" s="4"/>
      <x:c r="AI777" s="4"/>
      <x:c r="AJ777" s="4"/>
      <x:c r="AK777" s="4"/>
      <x:c r="AL777" s="4"/>
      <x:c r="AM777" s="4"/>
      <x:c r="AN777" s="4"/>
      <x:c r="AZ777"/>
      <x:c r="BA777"/>
      <x:c r="BB777"/>
      <x:c r="BC777"/>
      <x:c r="BD777"/>
      <x:c r="BE777"/>
      <x:c r="BF777"/>
      <x:c r="BG777"/>
      <x:c r="BH777"/>
      <x:c r="BI777"/>
      <x:c r="BJ777"/>
      <x:c r="BK777"/>
      <x:c r="BL777"/>
      <x:c r="BM777"/>
      <x:c r="BN777"/>
      <x:c r="BO777"/>
      <x:c r="BP777"/>
      <x:c r="BQ777"/>
      <x:c r="BR777"/>
      <x:c r="BS777"/>
      <x:c r="BT777"/>
      <x:c r="BU777"/>
      <x:c r="BV777"/>
      <x:c r="BW777"/>
      <x:c r="BX777"/>
      <x:c r="BY777"/>
      <x:c r="BZ777"/>
      <x:c r="CA777"/>
      <x:c r="CB777"/>
      <x:c r="CC777"/>
    </x:row>
    <x:row r="778" ht="115" customHeight="1">
      <x:c r="A778" s="4" t="str">
        <x:v>proposal.collection.fauna_scent_lure_station</x:v>
      </x:c>
      <x:c r="B778" s="4" t="str">
        <x:v>Fauna scent lure station</x:v>
      </x:c>
      <x:c r="C778" s="4" t="str">
        <x:v>Not applicable</x:v>
      </x:c>
      <x:c r="D778" s="4" t="str">
        <x:v>Weapons</x:v>
      </x:c>
      <x:c r="E778" s="4" t="str">
        <x:v>Trap</x:v>
      </x:c>
      <x:c r="F778" s="4" t="str">
        <x:v>New proposal</x:v>
      </x:c>
      <x:c r="G778" s="4" t="inlineStr">
        <x:is>
          <x:t xml:space="preserve">Holds a sealed scent carrier for a designed target species. It is intended to influence or manage a selected creature through its recorded mechanism; target species and response require design.</x:t>
        </x:is>
      </x:c>
      <x:c r="H778" s="4" t="str">
        <x:v>None</x:v>
      </x:c>
      <x:c r="I778" s="4" t="str">
        <x:v>Physical inventory / cargo item; dimensions and packing unresolved</x:v>
      </x:c>
      <x:c r="J778" s="4"/>
      <x:c r="K778" s="4"/>
      <x:c r="L778" s="4" t="str">
        <x:v>Candidate preparation: design.collection.fauna_scent_lure_station. Full inputs are in Crafting browser.</x:v>
      </x:c>
      <x:c r="M778" s="4" t="str">
        <x:v>Candidate workshop or contained preparation route; detailed tools, quantities and conditions unresolved</x:v>
      </x:c>
      <x:c r="N778" s="4" t="str">
        <x:v>Not implemented</x:v>
      </x:c>
      <x:c r="O778" s="4" t="str">
        <x:v>Specific dimensions, yield, fit, performance and service conditions remain open.</x:v>
      </x:c>
      <x:c r="P778" s="4"/>
      <x:c r="Q778" s="4"/>
      <x:c r="R778" s="4"/>
      <x:c r="S778" s="4"/>
      <x:c r="T778" s="4"/>
      <x:c r="U778" s="4" t="str">
        <x:v>Candidate inputs are partial. Resolve tools, supporting materials, energy, recovery and compatibility before recipes become craftable.</x:v>
      </x:c>
      <x:c r="V778" s="4" t="str">
        <x:v>fauna scent lure station; collection expansion; trap</x:v>
      </x:c>
      <x:c r="W778" s="4" t="str">
        <x:v>New item proposal, October 15, 2026. Setting reference (source proposal): https://github.com/sleepyseamonster/Arc-Dust/blob/f6f98515c005dc3c73cccd9cbc031691745740c6/02-Arc-Dust-Worldbuilding/world/materials/industrial-material-palette.md</x:v>
      </x:c>
      <x:c r="X778" s="4" t="str">
        <x:v>Trap</x:v>
      </x:c>
      <x:c r="Y778" s="4" t="str">
        <x:v>Finished item</x:v>
      </x:c>
      <x:c r="Z778" s="4" t="str">
        <x:v>Manufactured / unresolved</x:v>
      </x:c>
      <x:c r="AA778" s="4" t="str">
        <x:v>Fauna interaction</x:v>
      </x:c>
      <x:c r="AB778" s="4" t="str">
        <x:v>Mixed / unresolved</x:v>
      </x:c>
      <x:c r="AC778" s="4" t="str">
        <x:v>Assembly</x:v>
      </x:c>
      <x:c r="AD778" s="4" t="str">
        <x:v>Proposal</x:v>
      </x:c>
      <x:c r="AE778" s="4" t="str">
        <x:f>LOWER(A778&amp;"; "&amp;B778&amp;"; "&amp;D778&amp;"; "&amp;E778&amp;"; "&amp;X778&amp;"; "&amp;Y778&amp;"; "&amp;Z778&amp;"; "&amp;AA778&amp;"; "&amp;AB778&amp;"; "&amp;AC778&amp;"; "&amp;AD778&amp;"; "&amp;V778&amp;"; "&amp;C778&amp;"; "&amp;AH778&amp;"; "&amp;AI778)</x:f>
        <x:v>proposal.collection.fauna_scent_lure_station; fauna scent lure station; weapons; trap; trap; finished item; manufactured / unresolved; fauna interaction; mixed / unresolved; assembly; proposal; fauna scent lure station; collection expansion; trap; not applicable; unassigned; finished item</x:v>
      </x:c>
      <x:c r="AF778" s="4" t="str">
        <x:v>Collection expansion classification. Distinct type, use and material family; new item proposal unless author direction is marked. October 15 audit: classification/handling clarified; item identity, design status and material tier preserved.</x:v>
      </x:c>
      <x:c r="AG778" s="4" t="str">
        <x:v>Finished endpoint or currency. Material tier is separate from finished input tier.</x:v>
      </x:c>
      <x:c r="AH778" s="4" t="str">
        <x:v>Unassigned</x:v>
      </x:c>
      <x:c r="AI778" s="4" t="str">
        <x:v>Finished item</x:v>
      </x:c>
      <x:c r="AJ778" s="4" t="n">
        <x:f>COUNTIFS('Material routes'!$D$6:$D$2205,A778,'Material routes'!$C$6:$C$2205,"Output")</x:f>
        <x:v>1</x:v>
      </x:c>
      <x:c r="AK778" s="4" t="n">
        <x:f>SUM(COUNTIFS('Material routes'!$D$6:$D$2205,A778,'Material routes'!$C$6:$C$2205,"Ingredient candidate"),COUNTIFS('Material routes'!$D$6:$D$2205,A778,'Material routes'!$C$6:$C$2205,"Consumed input"),COUNTIFS('Material routes'!$D$6:$D$2205,A778,'Material routes'!$C$6:$C$2205,"Contained input"),COUNTIFS('Material routes'!$D$6:$D$2205,A778,'Material routes'!$C$6:$C$2205,"Transform input"))</x:f>
        <x:v>0</x:v>
      </x:c>
      <x:c r="AL778" s="4" t="n">
        <x:f>COUNTIFS('Material routes'!$D$6:$D$2205,A778,'Material routes'!$C$6:$C$2205,"Tool candidate")</x:f>
        <x:v>0</x:v>
      </x:c>
      <x:c r="AM778" s="4" t="str">
        <x:f>IF(AJ778&gt;0,"Route listed; review status/completeness",IF(C778="T0","Raw entry feed; no production route","No production route listed"))</x:f>
        <x:v>Route listed; review status/completeness</x:v>
      </x:c>
      <x:c r="AN778" s="4" t="n">
        <x:f>IF(C778="T0",0,IF(C778="T1",1,IF(C778="T2",2,IF(C778="T3",3,IF(C778="T4",4,IF(C778="Unassigned",98,99))))))</x:f>
        <x:v>99</x:v>
      </x:c>
      <x:c r="AZ778"/>
      <x:c r="BA778"/>
      <x:c r="BB778"/>
      <x:c r="BC778"/>
      <x:c r="BD778"/>
      <x:c r="BE778"/>
      <x:c r="BF778"/>
      <x:c r="BG778"/>
      <x:c r="BH778"/>
      <x:c r="BI778"/>
      <x:c r="BJ778"/>
      <x:c r="BK778"/>
      <x:c r="BL778"/>
      <x:c r="BM778"/>
      <x:c r="BN778"/>
      <x:c r="BO778"/>
      <x:c r="BP778"/>
      <x:c r="BQ778"/>
      <x:c r="BR778"/>
      <x:c r="BS778"/>
      <x:c r="BT778"/>
      <x:c r="BU778"/>
      <x:c r="BV778"/>
      <x:c r="BW778"/>
      <x:c r="BX778"/>
      <x:c r="BY778"/>
      <x:c r="BZ778"/>
      <x:c r="CA778"/>
      <x:c r="CB778"/>
      <x:c r="CC778"/>
    </x:row>
    <x:row r="779" ht="115" customHeight="1">
      <x:c r="A779" s="4" t="str">
        <x:v>proposal.collection.magnetic_salvage_catch_plate</x:v>
      </x:c>
      <x:c r="B779" s="4" t="str">
        <x:v>Magnetic salvage catch plate</x:v>
      </x:c>
      <x:c r="C779" s="4" t="str">
        <x:v>Not applicable</x:v>
      </x:c>
      <x:c r="D779" s="4" t="inlineStr">
        <x:is>
          <x:t xml:space="preserve">Crafting components</x:t>
        </x:is>
      </x:c>
      <x:c r="E779" s="4" t="str">
        <x:v>Trap</x:v>
      </x:c>
      <x:c r="F779" s="4" t="str">
        <x:v>New proposal</x:v>
      </x:c>
      <x:c r="G779" s="4" t="inlineStr">
        <x:is>
          <x:t xml:space="preserve">Catches compatible loose ferrous machine pieces. It is intended to gather or retain a selected resource so it can be recovered and carried onward.</x:t>
        </x:is>
      </x:c>
      <x:c r="H779" s="4" t="str">
        <x:v>None</x:v>
      </x:c>
      <x:c r="I779" s="4" t="str">
        <x:v>Physical inventory / cargo item; dimensions and packing unresolved</x:v>
      </x:c>
      <x:c r="J779" s="4"/>
      <x:c r="K779" s="4"/>
      <x:c r="L779" s="4" t="str">
        <x:v>Candidate preparation: design.collection.magnetic_salvage_catch_plate. Full inputs are in Crafting browser.</x:v>
      </x:c>
      <x:c r="M779" s="4" t="str">
        <x:v>Candidate workshop or contained preparation route; detailed tools, quantities and conditions unresolved</x:v>
      </x:c>
      <x:c r="N779" s="4" t="str">
        <x:v>Not implemented</x:v>
      </x:c>
      <x:c r="O779" s="4" t="str">
        <x:v>Specific dimensions, yield, fit, performance and service conditions remain open.</x:v>
      </x:c>
      <x:c r="P779" s="4"/>
      <x:c r="Q779" s="4"/>
      <x:c r="R779" s="4"/>
      <x:c r="S779" s="4"/>
      <x:c r="T779" s="4"/>
      <x:c r="U779" s="4" t="str">
        <x:v>Candidate inputs are partial. Resolve tools, supporting materials, energy, recovery and compatibility before recipes become craftable.</x:v>
      </x:c>
      <x:c r="V779" s="4" t="str">
        <x:v>magnetic salvage catch plate; collection expansion; trap</x:v>
      </x:c>
      <x:c r="W779" s="4" t="str">
        <x:v>New item proposal, October 15, 2026. Setting reference (source proposal): https://github.com/sleepyseamonster/Arc-Dust/blob/f6f98515c005dc3c73cccd9cbc031691745740c6/02-Arc-Dust-Worldbuilding/world/materials/industrial-material-palette.md</x:v>
      </x:c>
      <x:c r="X779" s="4" t="str">
        <x:v>Trap</x:v>
      </x:c>
      <x:c r="Y779" s="4" t="str">
        <x:v>Finished item</x:v>
      </x:c>
      <x:c r="Z779" s="4" t="str">
        <x:v>Manufactured / unresolved</x:v>
      </x:c>
      <x:c r="AA779" s="4" t="str">
        <x:v>Resource collection</x:v>
      </x:c>
      <x:c r="AB779" s="4" t="str">
        <x:v>Metal</x:v>
      </x:c>
      <x:c r="AC779" s="4" t="str">
        <x:v>Assembly</x:v>
      </x:c>
      <x:c r="AD779" s="4" t="str">
        <x:v>Proposal</x:v>
      </x:c>
      <x:c r="AE779" s="4" t="str">
        <x:f>LOWER(A779&amp;"; "&amp;B779&amp;"; "&amp;D779&amp;"; "&amp;E779&amp;"; "&amp;X779&amp;"; "&amp;Y779&amp;"; "&amp;Z779&amp;"; "&amp;AA779&amp;"; "&amp;AB779&amp;"; "&amp;AC779&amp;"; "&amp;AD779&amp;"; "&amp;V779&amp;"; "&amp;C779&amp;"; "&amp;AH779&amp;"; "&amp;AI779)</x:f>
        <x:v>proposal.collection.magnetic_salvage_catch_plate; magnetic salvage catch plate; crafting components; trap; trap; finished item; manufactured / unresolved; resource collection; metal; assembly; proposal; magnetic salvage catch plate; collection expansion; trap; not applicable; unassigned; finished item</x:v>
      </x:c>
      <x:c r="AF77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779" s="4" t="str">
        <x:v>Finished endpoint or currency. Material tier is separate from finished input tier.</x:v>
      </x:c>
      <x:c r="AH779" s="4" t="str">
        <x:v>Unassigned</x:v>
      </x:c>
      <x:c r="AI779" s="4" t="str">
        <x:v>Finished item</x:v>
      </x:c>
      <x:c r="AJ779" s="4" t="n">
        <x:f>COUNTIFS('Material routes'!$D$6:$D$2205,A779,'Material routes'!$C$6:$C$2205,"Output")</x:f>
        <x:v>1</x:v>
      </x:c>
      <x:c r="AK779" s="4" t="n">
        <x:f>SUM(COUNTIFS('Material routes'!$D$6:$D$2205,A779,'Material routes'!$C$6:$C$2205,"Ingredient candidate"),COUNTIFS('Material routes'!$D$6:$D$2205,A779,'Material routes'!$C$6:$C$2205,"Consumed input"),COUNTIFS('Material routes'!$D$6:$D$2205,A779,'Material routes'!$C$6:$C$2205,"Contained input"),COUNTIFS('Material routes'!$D$6:$D$2205,A779,'Material routes'!$C$6:$C$2205,"Transform input"))</x:f>
        <x:v>0</x:v>
      </x:c>
      <x:c r="AL779" s="4" t="n">
        <x:f>COUNTIFS('Material routes'!$D$6:$D$2205,A779,'Material routes'!$C$6:$C$2205,"Tool candidate")</x:f>
        <x:v>0</x:v>
      </x:c>
      <x:c r="AM779" s="4" t="str">
        <x:f>IF(AJ779&gt;0,"Route listed; review status/completeness",IF(C779="T0","Raw entry feed; no production route","No production route listed"))</x:f>
        <x:v>Route listed; review status/completeness</x:v>
      </x:c>
      <x:c r="AN779" s="4" t="n">
        <x:f>IF(C779="T0",0,IF(C779="T1",1,IF(C779="T2",2,IF(C779="T3",3,IF(C779="T4",4,IF(C779="Unassigned",98,99))))))</x:f>
        <x:v>99</x:v>
      </x:c>
      <x:c r="AZ779"/>
      <x:c r="BA779"/>
      <x:c r="BB779"/>
      <x:c r="BC779"/>
      <x:c r="BD779"/>
      <x:c r="BE779"/>
      <x:c r="BF779"/>
      <x:c r="BG779"/>
      <x:c r="BH779"/>
      <x:c r="BI779"/>
      <x:c r="BJ779"/>
      <x:c r="BK779"/>
      <x:c r="BL779"/>
      <x:c r="BM779"/>
      <x:c r="BN779"/>
      <x:c r="BO779"/>
      <x:c r="BP779"/>
      <x:c r="BQ779"/>
      <x:c r="BR779"/>
      <x:c r="BS779"/>
      <x:c r="BT779"/>
      <x:c r="BU779"/>
      <x:c r="BV779"/>
      <x:c r="BW779"/>
      <x:c r="BX779"/>
      <x:c r="BY779"/>
      <x:c r="BZ779"/>
      <x:c r="CA779"/>
      <x:c r="CB779"/>
      <x:c r="CC779"/>
    </x:row>
    <x:row r="780" ht="115" customHeight="1">
      <x:c r="A780" s="4" t="str">
        <x:v>proposal.collection.dirtboard_lane_snag_bar</x:v>
      </x:c>
      <x:c r="B780" s="4" t="str">
        <x:v>Dirtboard lane snag bar</x:v>
      </x:c>
      <x:c r="C780" s="4" t="str">
        <x:v>Not applicable</x:v>
      </x:c>
      <x:c r="D780" s="4" t="inlineStr">
        <x:is>
          <x:t xml:space="preserve">Salvage</x:t>
        </x:is>
      </x:c>
      <x:c r="E780" s="4" t="str">
        <x:v>Trap</x:v>
      </x:c>
      <x:c r="F780" s="4" t="str">
        <x:v>New proposal</x:v>
      </x:c>
      <x:c r="G780" s="4" t="inlineStr">
        <x:is>
          <x:t xml:space="preserve">Prepared low obstacle for a designed traversal encounter. It is intended to obstruct movement through a selected space. Placement, triggering and interaction with people, fauna or equipment remain design decisions.</x:t>
        </x:is>
      </x:c>
      <x:c r="H780" s="4" t="str">
        <x:v>None</x:v>
      </x:c>
      <x:c r="I780" s="4" t="str">
        <x:v>Physical inventory / cargo item; dimensions and packing unresolved</x:v>
      </x:c>
      <x:c r="J780" s="4"/>
      <x:c r="K780" s="4"/>
      <x:c r="L780" s="4" t="str">
        <x:v>Candidate preparation: design.collection.dirtboard_lane_snag_bar. Full inputs are in Crafting browser.</x:v>
      </x:c>
      <x:c r="M780" s="4" t="str">
        <x:v>Candidate workshop or contained preparation route; detailed tools, quantities and conditions unresolved</x:v>
      </x:c>
      <x:c r="N780" s="4" t="str">
        <x:v>Not implemented</x:v>
      </x:c>
      <x:c r="O780" s="4" t="str">
        <x:v>Specific dimensions, yield, fit, performance and service conditions remain open.</x:v>
      </x:c>
      <x:c r="P780" s="4"/>
      <x:c r="Q780" s="4"/>
      <x:c r="R780" s="4"/>
      <x:c r="S780" s="4"/>
      <x:c r="T780" s="4"/>
      <x:c r="U780" s="4" t="str">
        <x:v>Candidate inputs are partial. Resolve tools, supporting materials, energy, recovery and compatibility before recipes become craftable.</x:v>
      </x:c>
      <x:c r="V780" s="4" t="str">
        <x:v>dirtboard lane snag bar; collection expansion; trap</x:v>
      </x:c>
      <x:c r="W780" s="4" t="str">
        <x:v>New item proposal, October 15, 2026. Setting reference (source proposal): https://github.com/sleepyseamonster/Arc-Dust/blob/f6f98515c005dc3c73cccd9cbc031691745740c6/02-Arc-Dust-Worldbuilding/world/materials/industrial-material-palette.md</x:v>
      </x:c>
      <x:c r="X780" s="4" t="str">
        <x:v>Trap</x:v>
      </x:c>
      <x:c r="Y780" s="4" t="str">
        <x:v>Finished item</x:v>
      </x:c>
      <x:c r="Z780" s="4" t="str">
        <x:v>Manufactured / unresolved</x:v>
      </x:c>
      <x:c r="AA780" s="4" t="str">
        <x:v>Area denial</x:v>
      </x:c>
      <x:c r="AB780" s="4" t="str">
        <x:v>Metal</x:v>
      </x:c>
      <x:c r="AC780" s="4" t="str">
        <x:v>Assembly</x:v>
      </x:c>
      <x:c r="AD780" s="4" t="str">
        <x:v>Proposal</x:v>
      </x:c>
      <x:c r="AE780" s="4" t="str">
        <x:f>LOWER(A780&amp;"; "&amp;B780&amp;"; "&amp;D780&amp;"; "&amp;E780&amp;"; "&amp;X780&amp;"; "&amp;Y780&amp;"; "&amp;Z780&amp;"; "&amp;AA780&amp;"; "&amp;AB780&amp;"; "&amp;AC780&amp;"; "&amp;AD780&amp;"; "&amp;V780&amp;"; "&amp;C780&amp;"; "&amp;AH780&amp;"; "&amp;AI780)</x:f>
        <x:v>proposal.collection.dirtboard_lane_snag_bar; dirtboard lane snag bar; salvage; trap; trap; finished item; manufactured / unresolved; area denial; metal; assembly; proposal; dirtboard lane snag bar; collection expansion; trap; not applicable; t2; finished item</x:v>
      </x:c>
      <x:c r="AF78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780" s="4" t="str">
        <x:v>Finished endpoint or currency. Material tier is separate from finished input tier.</x:v>
      </x:c>
      <x:c r="AH780" s="4" t="str">
        <x:v>T2</x:v>
      </x:c>
      <x:c r="AI780" s="4" t="str">
        <x:v>Finished item</x:v>
      </x:c>
      <x:c r="AJ780" s="4" t="n">
        <x:f>COUNTIFS('Material routes'!$D$6:$D$2205,A780,'Material routes'!$C$6:$C$2205,"Output")</x:f>
        <x:v>1</x:v>
      </x:c>
      <x:c r="AK780" s="4" t="n">
        <x:f>SUM(COUNTIFS('Material routes'!$D$6:$D$2205,A780,'Material routes'!$C$6:$C$2205,"Ingredient candidate"),COUNTIFS('Material routes'!$D$6:$D$2205,A780,'Material routes'!$C$6:$C$2205,"Consumed input"),COUNTIFS('Material routes'!$D$6:$D$2205,A780,'Material routes'!$C$6:$C$2205,"Contained input"),COUNTIFS('Material routes'!$D$6:$D$2205,A780,'Material routes'!$C$6:$C$2205,"Transform input"))</x:f>
        <x:v>0</x:v>
      </x:c>
      <x:c r="AL780" s="4" t="n">
        <x:f>COUNTIFS('Material routes'!$D$6:$D$2205,A780,'Material routes'!$C$6:$C$2205,"Tool candidate")</x:f>
        <x:v>0</x:v>
      </x:c>
      <x:c r="AM780" s="4" t="str">
        <x:f>IF(AJ780&gt;0,"Route listed; review status/completeness",IF(C780="T0","Raw entry feed; no production route","No production route listed"))</x:f>
        <x:v>Route listed; review status/completeness</x:v>
      </x:c>
      <x:c r="AN780" s="4" t="n">
        <x:f>IF(C780="T0",0,IF(C780="T1",1,IF(C780="T2",2,IF(C780="T3",3,IF(C780="T4",4,IF(C780="Unassigned",98,99))))))</x:f>
        <x:v>99</x:v>
      </x:c>
      <x:c r="AZ780"/>
      <x:c r="BA780"/>
      <x:c r="BB780"/>
      <x:c r="BC780"/>
      <x:c r="BD780"/>
      <x:c r="BE780"/>
      <x:c r="BF780"/>
      <x:c r="BG780"/>
      <x:c r="BH780"/>
      <x:c r="BI780"/>
      <x:c r="BJ780"/>
      <x:c r="BK780"/>
      <x:c r="BL780"/>
      <x:c r="BM780"/>
      <x:c r="BN780"/>
      <x:c r="BO780"/>
      <x:c r="BP780"/>
      <x:c r="BQ780"/>
      <x:c r="BR780"/>
      <x:c r="BS780"/>
      <x:c r="BT780"/>
      <x:c r="BU780"/>
      <x:c r="BV780"/>
      <x:c r="BW780"/>
      <x:c r="BX780"/>
      <x:c r="BY780"/>
      <x:c r="BZ780"/>
      <x:c r="CA780"/>
      <x:c r="CB780"/>
      <x:c r="CC780"/>
    </x:row>
    <x:row r="781" ht="115" customHeight="1">
      <x:c r="A781" s="4"/>
      <x:c r="B781" s="4"/>
      <x:c r="C781" s="4"/>
      <x:c r="D781" s="4"/>
      <x:c r="E781" s="4"/>
      <x:c r="F781" s="4"/>
      <x:c r="G781" s="4"/>
      <x:c r="H781" s="4"/>
      <x:c r="I781" s="4"/>
      <x:c r="J781" s="4"/>
      <x:c r="K781" s="4"/>
      <x:c r="L781" s="4"/>
      <x:c r="M781" s="4"/>
      <x:c r="N781" s="4"/>
      <x:c r="O781" s="4"/>
      <x:c r="P781" s="4"/>
      <x:c r="Q781" s="4"/>
      <x:c r="R781" s="4"/>
      <x:c r="S781" s="4"/>
      <x:c r="T781" s="4"/>
      <x:c r="U781" s="4"/>
      <x:c r="V781" s="4"/>
      <x:c r="W781" s="4"/>
      <x:c r="X781" s="4"/>
      <x:c r="Y781" s="4"/>
      <x:c r="Z781" s="4"/>
      <x:c r="AA781" s="4"/>
      <x:c r="AB781" s="4"/>
      <x:c r="AC781" s="4"/>
      <x:c r="AD781" s="4"/>
      <x:c r="AE781" s="4"/>
      <x:c r="AF781" s="4"/>
      <x:c r="AG781" s="4"/>
      <x:c r="AH781" s="4"/>
      <x:c r="AI781" s="4"/>
      <x:c r="AJ781" s="4"/>
      <x:c r="AK781" s="4"/>
      <x:c r="AL781" s="4"/>
      <x:c r="AM781" s="4"/>
      <x:c r="AN781" s="4"/>
      <x:c r="AZ781"/>
      <x:c r="BA781"/>
      <x:c r="BB781"/>
      <x:c r="BC781"/>
      <x:c r="BD781"/>
      <x:c r="BE781"/>
      <x:c r="BF781"/>
      <x:c r="BG781"/>
      <x:c r="BH781"/>
      <x:c r="BI781"/>
      <x:c r="BJ781"/>
      <x:c r="BK781"/>
      <x:c r="BL781"/>
      <x:c r="BM781"/>
      <x:c r="BN781"/>
      <x:c r="BO781"/>
      <x:c r="BP781"/>
      <x:c r="BQ781"/>
      <x:c r="BR781"/>
      <x:c r="BS781"/>
      <x:c r="BT781"/>
      <x:c r="BU781"/>
      <x:c r="BV781"/>
      <x:c r="BW781"/>
      <x:c r="BX781"/>
      <x:c r="BY781"/>
      <x:c r="BZ781"/>
      <x:c r="CA781"/>
      <x:c r="CB781"/>
      <x:c r="CC781"/>
    </x:row>
    <x:row r="782" ht="115" customHeight="1">
      <x:c r="A782" s="4" t="str">
        <x:v>proposal.collection.static_alarm_contact_line</x:v>
      </x:c>
      <x:c r="B782" s="4" t="str">
        <x:v>Static alarm contact line</x:v>
      </x:c>
      <x:c r="C782" s="4" t="str">
        <x:v>Not applicable</x:v>
      </x:c>
      <x:c r="D782" s="4" t="str">
        <x:v>Weapons</x:v>
      </x:c>
      <x:c r="E782" s="4" t="str">
        <x:v>Trap</x:v>
      </x:c>
      <x:c r="F782" s="4" t="str">
        <x:v>New proposal</x:v>
      </x:c>
      <x:c r="G782" s="4" t="inlineStr">
        <x:is>
          <x:t xml:space="preserve">Contact-triggered warning concept, no electrical attack claim. It is intended to give a detectable warning when its recorded trigger is disturbed; placement, reset and useful warning range remain open.</x:t>
        </x:is>
      </x:c>
      <x:c r="H782" s="4" t="str">
        <x:v>None</x:v>
      </x:c>
      <x:c r="I782" s="4" t="str">
        <x:v>Physical inventory / cargo item; dimensions and packing unresolved</x:v>
      </x:c>
      <x:c r="J782" s="4"/>
      <x:c r="K782" s="4"/>
      <x:c r="L782" s="4" t="str">
        <x:v>Candidate preparation: design.collection.static_alarm_contact_line. Full inputs are in Crafting browser.</x:v>
      </x:c>
      <x:c r="M782" s="4" t="str">
        <x:v>Candidate workshop or contained preparation route; detailed tools, quantities and conditions unresolved</x:v>
      </x:c>
      <x:c r="N782" s="4" t="str">
        <x:v>Not implemented</x:v>
      </x:c>
      <x:c r="O782" s="4" t="str">
        <x:v>Specific dimensions, yield, fit, performance and service conditions remain open.</x:v>
      </x:c>
      <x:c r="P782" s="4"/>
      <x:c r="Q782" s="4"/>
      <x:c r="R782" s="4"/>
      <x:c r="S782" s="4"/>
      <x:c r="T782" s="4"/>
      <x:c r="U782" s="4" t="str">
        <x:v>Candidate inputs are partial. Resolve tools, supporting materials, energy, recovery and compatibility before recipes become craftable.</x:v>
      </x:c>
      <x:c r="V782" s="4" t="str">
        <x:v>static alarm contact line; collection expansion; trap</x:v>
      </x:c>
      <x:c r="W782" s="4" t="str">
        <x:v>New item proposal, October 15, 2026. Setting reference (source proposal): https://github.com/sleepyseamonster/Arc-Dust/blob/f6f98515c005dc3c73cccd9cbc031691745740c6/02-Arc-Dust-Worldbuilding/world/materials/industrial-material-palette.md</x:v>
      </x:c>
      <x:c r="X782" s="4" t="str">
        <x:v>Trap</x:v>
      </x:c>
      <x:c r="Y782" s="4" t="str">
        <x:v>Finished item</x:v>
      </x:c>
      <x:c r="Z782" s="4" t="str">
        <x:v>Manufactured / unresolved</x:v>
      </x:c>
      <x:c r="AA782" s="4" t="str">
        <x:v>Warning and detection</x:v>
      </x:c>
      <x:c r="AB782" s="4" t="str">
        <x:v>Mixed / unresolved</x:v>
      </x:c>
      <x:c r="AC782" s="4" t="str">
        <x:v>Assembly</x:v>
      </x:c>
      <x:c r="AD782" s="4" t="str">
        <x:v>Proposal</x:v>
      </x:c>
      <x:c r="AE782" s="4" t="str">
        <x:f>LOWER(A782&amp;"; "&amp;B782&amp;"; "&amp;D782&amp;"; "&amp;E782&amp;"; "&amp;X782&amp;"; "&amp;Y782&amp;"; "&amp;Z782&amp;"; "&amp;AA782&amp;"; "&amp;AB782&amp;"; "&amp;AC782&amp;"; "&amp;AD782&amp;"; "&amp;V782&amp;"; "&amp;C782&amp;"; "&amp;AH782&amp;"; "&amp;AI782)</x:f>
        <x:v>proposal.collection.static_alarm_contact_line; static alarm contact line; weapons; trap; trap; finished item; manufactured / unresolved; warning and detection; mixed / unresolved; assembly; proposal; static alarm contact line; collection expansion; trap; not applicable; unassigned; finished item</x:v>
      </x:c>
      <x:c r="AF782" s="4" t="str">
        <x:v>Collection expansion classification. Distinct type, use and material family; new item proposal unless author direction is marked. October 15 audit: classification/handling clarified; item identity, design status and material tier preserved.</x:v>
      </x:c>
      <x:c r="AG782" s="4" t="str">
        <x:v>Finished endpoint or currency. Material tier is separate from finished input tier.</x:v>
      </x:c>
      <x:c r="AH782" s="4" t="str">
        <x:v>Unassigned</x:v>
      </x:c>
      <x:c r="AI782" s="4" t="str">
        <x:v>Finished item</x:v>
      </x:c>
      <x:c r="AJ782" s="4" t="n">
        <x:f>COUNTIFS('Material routes'!$D$6:$D$2205,A782,'Material routes'!$C$6:$C$2205,"Output")</x:f>
        <x:v>1</x:v>
      </x:c>
      <x:c r="AK782" s="4" t="n">
        <x:f>SUM(COUNTIFS('Material routes'!$D$6:$D$2205,A782,'Material routes'!$C$6:$C$2205,"Ingredient candidate"),COUNTIFS('Material routes'!$D$6:$D$2205,A782,'Material routes'!$C$6:$C$2205,"Consumed input"),COUNTIFS('Material routes'!$D$6:$D$2205,A782,'Material routes'!$C$6:$C$2205,"Contained input"),COUNTIFS('Material routes'!$D$6:$D$2205,A782,'Material routes'!$C$6:$C$2205,"Transform input"))</x:f>
        <x:v>0</x:v>
      </x:c>
      <x:c r="AL782" s="4" t="n">
        <x:f>COUNTIFS('Material routes'!$D$6:$D$2205,A782,'Material routes'!$C$6:$C$2205,"Tool candidate")</x:f>
        <x:v>0</x:v>
      </x:c>
      <x:c r="AM782" s="4" t="str">
        <x:f>IF(AJ782&gt;0,"Route listed; review status/completeness",IF(C782="T0","Raw entry feed; no production route","No production route listed"))</x:f>
        <x:v>Route listed; review status/completeness</x:v>
      </x:c>
      <x:c r="AN782" s="4" t="n">
        <x:f>IF(C782="T0",0,IF(C782="T1",1,IF(C782="T2",2,IF(C782="T3",3,IF(C782="T4",4,IF(C782="Unassigned",98,99))))))</x:f>
        <x:v>99</x:v>
      </x:c>
      <x:c r="AZ782"/>
      <x:c r="BA782"/>
      <x:c r="BB782"/>
      <x:c r="BC782"/>
      <x:c r="BD782"/>
      <x:c r="BE782"/>
      <x:c r="BF782"/>
      <x:c r="BG782"/>
      <x:c r="BH782"/>
      <x:c r="BI782"/>
      <x:c r="BJ782"/>
      <x:c r="BK782"/>
      <x:c r="BL782"/>
      <x:c r="BM782"/>
      <x:c r="BN782"/>
      <x:c r="BO782"/>
      <x:c r="BP782"/>
      <x:c r="BQ782"/>
      <x:c r="BR782"/>
      <x:c r="BS782"/>
      <x:c r="BT782"/>
      <x:c r="BU782"/>
      <x:c r="BV782"/>
      <x:c r="BW782"/>
      <x:c r="BX782"/>
      <x:c r="BY782"/>
      <x:c r="BZ782"/>
      <x:c r="CA782"/>
      <x:c r="CB782"/>
      <x:c r="CC782"/>
    </x:row>
    <x:row r="783" ht="115" customHeight="1">
      <x:c r="A783" s="4" t="str">
        <x:v>proposal.collection.shaped_stone_sling_pellet</x:v>
      </x:c>
      <x:c r="B783" s="4" t="str">
        <x:v>Shaped stone sling pellet</x:v>
      </x:c>
      <x:c r="C783" s="4" t="str">
        <x:v>Not applicable</x:v>
      </x:c>
      <x:c r="D783" s="4" t="inlineStr">
        <x:is>
          <x:t xml:space="preserve">Ammunition</x:t>
        </x:is>
      </x:c>
      <x:c r="E783" s="4" t="str">
        <x:v>Ammunition</x:v>
      </x:c>
      <x:c r="F783" s="4" t="str">
        <x:v>New proposal</x:v>
      </x:c>
      <x:c r="G783" s="4" t="inlineStr">
        <x:is>
          <x:t xml:space="preserve">Reusable candidate projectile for a tendon sling. It is intended for the recorded weapon role and compatible ammunition or energy feed. Damage, range, handling and operating requirements remain unassigned.</x:t>
        </x:is>
      </x:c>
      <x:c r="H783" s="4" t="str">
        <x:v>None</x:v>
      </x:c>
      <x:c r="I783" s="4" t="str">
        <x:v>Physical inventory / cargo item; dimensions and packing unresolved</x:v>
      </x:c>
      <x:c r="J783" s="4"/>
      <x:c r="K783" s="4"/>
      <x:c r="L783" s="4" t="str">
        <x:v>Candidate preparation: design.collection.shaped_stone_sling_pellet. Full inputs are in Crafting browser.</x:v>
      </x:c>
      <x:c r="M783" s="4" t="str">
        <x:v>Candidate workshop or contained preparation route; detailed tools, quantities and conditions unresolved</x:v>
      </x:c>
      <x:c r="N783" s="4" t="str">
        <x:v>Not implemented</x:v>
      </x:c>
      <x:c r="O783" s="4" t="str">
        <x:v>Specific dimensions, yield, fit, performance and service conditions remain open.</x:v>
      </x:c>
      <x:c r="P783" s="4"/>
      <x:c r="Q783" s="4"/>
      <x:c r="R783" s="4"/>
      <x:c r="S783" s="4"/>
      <x:c r="T783" s="4"/>
      <x:c r="U783" s="4" t="str">
        <x:v>Candidate inputs are partial. Resolve tools, supporting materials, energy, recovery and compatibility before recipes become craftable.</x:v>
      </x:c>
      <x:c r="V783" s="4" t="str">
        <x:v>shaped stone sling pellet; collection expansion; ammunition</x:v>
      </x:c>
      <x:c r="W783" s="4" t="str">
        <x:v>New item proposal, October 15, 2026. Setting reference (source proposal): https://github.com/sleepyseamonster/Arc-Dust/blob/f6f98515c005dc3c73cccd9cbc031691745740c6/02-Arc-Dust-Worldbuilding/world/materials/industrial-material-palette.md</x:v>
      </x:c>
      <x:c r="X783" s="4" t="str">
        <x:v>Ammunition</x:v>
      </x:c>
      <x:c r="Y783" s="4" t="str">
        <x:v>Finished item</x:v>
      </x:c>
      <x:c r="Z783" s="4" t="str">
        <x:v>Manufactured / unresolved</x:v>
      </x:c>
      <x:c r="AA783" s="4" t="str">
        <x:v>Offensive combat</x:v>
      </x:c>
      <x:c r="AB783" s="4" t="str">
        <x:v>Mineral</x:v>
      </x:c>
      <x:c r="AC783" s="4" t="str">
        <x:v>Assembly</x:v>
      </x:c>
      <x:c r="AD783" s="4" t="str">
        <x:v>Proposal</x:v>
      </x:c>
      <x:c r="AE783" s="4" t="str">
        <x:f>LOWER(A783&amp;"; "&amp;B783&amp;"; "&amp;D783&amp;"; "&amp;E783&amp;"; "&amp;X783&amp;"; "&amp;Y783&amp;"; "&amp;Z783&amp;"; "&amp;AA783&amp;"; "&amp;AB783&amp;"; "&amp;AC783&amp;"; "&amp;AD783&amp;"; "&amp;V783&amp;"; "&amp;C783&amp;"; "&amp;AH783&amp;"; "&amp;AI783)</x:f>
        <x:v>proposal.collection.shaped_stone_sling_pellet; shaped stone sling pellet; ammunition; ammunition; ammunition; finished item; manufactured / unresolved; offensive combat; mineral; assembly; proposal; shaped stone sling pellet; collection expansion; ammunition; not applicable; t1; finished item</x:v>
      </x:c>
      <x:c r="AF78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3" s="4" t="str">
        <x:v>Finished endpoint or currency. Material tier is separate from finished input tier.</x:v>
      </x:c>
      <x:c r="AH783" s="4" t="str">
        <x:v>T1</x:v>
      </x:c>
      <x:c r="AI783" s="4" t="str">
        <x:v>Finished item</x:v>
      </x:c>
      <x:c r="AJ783" s="4" t="n">
        <x:f>COUNTIFS('Material routes'!$D$6:$D$2205,A783,'Material routes'!$C$6:$C$2205,"Output")</x:f>
        <x:v>1</x:v>
      </x:c>
      <x:c r="AK783" s="4" t="n">
        <x:f>SUM(COUNTIFS('Material routes'!$D$6:$D$2205,A783,'Material routes'!$C$6:$C$2205,"Ingredient candidate"),COUNTIFS('Material routes'!$D$6:$D$2205,A783,'Material routes'!$C$6:$C$2205,"Consumed input"),COUNTIFS('Material routes'!$D$6:$D$2205,A783,'Material routes'!$C$6:$C$2205,"Contained input"),COUNTIFS('Material routes'!$D$6:$D$2205,A783,'Material routes'!$C$6:$C$2205,"Transform input"))</x:f>
        <x:v>0</x:v>
      </x:c>
      <x:c r="AL783" s="4" t="n">
        <x:f>COUNTIFS('Material routes'!$D$6:$D$2205,A783,'Material routes'!$C$6:$C$2205,"Tool candidate")</x:f>
        <x:v>0</x:v>
      </x:c>
      <x:c r="AM783" s="4" t="str">
        <x:f>IF(AJ783&gt;0,"Route listed; review status/completeness",IF(C783="T0","Raw entry feed; no production route","No production route listed"))</x:f>
        <x:v>Route listed; review status/completeness</x:v>
      </x:c>
      <x:c r="AN783" s="4" t="n">
        <x:f>IF(C783="T0",0,IF(C783="T1",1,IF(C783="T2",2,IF(C783="T3",3,IF(C783="T4",4,IF(C783="Unassigned",98,99))))))</x:f>
        <x:v>99</x:v>
      </x:c>
      <x:c r="AZ783"/>
      <x:c r="BA783"/>
      <x:c r="BB783"/>
      <x:c r="BC783"/>
      <x:c r="BD783"/>
      <x:c r="BE783"/>
      <x:c r="BF783"/>
      <x:c r="BG783"/>
      <x:c r="BH783"/>
      <x:c r="BI783"/>
      <x:c r="BJ783"/>
      <x:c r="BK783"/>
      <x:c r="BL783"/>
      <x:c r="BM783"/>
      <x:c r="BN783"/>
      <x:c r="BO783"/>
      <x:c r="BP783"/>
      <x:c r="BQ783"/>
      <x:c r="BR783"/>
      <x:c r="BS783"/>
      <x:c r="BT783"/>
      <x:c r="BU783"/>
      <x:c r="BV783"/>
      <x:c r="BW783"/>
      <x:c r="BX783"/>
      <x:c r="BY783"/>
      <x:c r="BZ783"/>
      <x:c r="CA783"/>
      <x:c r="CB783"/>
      <x:c r="CC783"/>
    </x:row>
    <x:row r="784" ht="115" customHeight="1">
      <x:c r="A784" s="4" t="str">
        <x:v>proposal.collection.steel_broadhead_bolt</x:v>
      </x:c>
      <x:c r="B784" s="4" t="str">
        <x:v>Steel broadhead bolt</x:v>
      </x:c>
      <x:c r="C784" s="4" t="str">
        <x:v>Not applicable</x:v>
      </x:c>
      <x:c r="D784" s="4" t="inlineStr">
        <x:is>
          <x:t xml:space="preserve">Ammunition</x:t>
        </x:is>
      </x:c>
      <x:c r="E784" s="4" t="str">
        <x:v>Ammunition</x:v>
      </x:c>
      <x:c r="F784" s="4" t="str">
        <x:v>New proposal</x:v>
      </x:c>
      <x:c r="G784" s="4" t="inlineStr">
        <x:is>
          <x:t xml:space="preserve">Recoverable crossbow projectile with metal shaft. It is intended for the recorded weapon role and compatible ammunition or energy feed. Damage, range, handling and operating requirements remain unassigned.</x:t>
        </x:is>
      </x:c>
      <x:c r="H784" s="4" t="str">
        <x:v>None</x:v>
      </x:c>
      <x:c r="I784" s="4" t="str">
        <x:v>Physical inventory / cargo item; dimensions and packing unresolved</x:v>
      </x:c>
      <x:c r="J784" s="4"/>
      <x:c r="K784" s="4"/>
      <x:c r="L784" s="4" t="str">
        <x:v>Candidate preparation: design.collection.steel_broadhead_bolt. Full inputs are in Crafting browser.</x:v>
      </x:c>
      <x:c r="M784" s="4" t="str">
        <x:v>Candidate workshop or contained preparation route; detailed tools, quantities and conditions unresolved</x:v>
      </x:c>
      <x:c r="N784" s="4" t="str">
        <x:v>Not implemented</x:v>
      </x:c>
      <x:c r="O784" s="4" t="str">
        <x:v>Specific dimensions, yield, fit, performance and service conditions remain open.</x:v>
      </x:c>
      <x:c r="P784" s="4"/>
      <x:c r="Q784" s="4"/>
      <x:c r="R784" s="4"/>
      <x:c r="S784" s="4"/>
      <x:c r="T784" s="4"/>
      <x:c r="U784" s="4" t="str">
        <x:v>Candidate inputs are partial. Resolve tools, supporting materials, energy, recovery and compatibility before recipes become craftable.</x:v>
      </x:c>
      <x:c r="V784" s="4" t="str">
        <x:v>steel broadhead bolt; collection expansion; ammunition</x:v>
      </x:c>
      <x:c r="W784" s="4" t="str">
        <x:v>New item proposal, October 15, 2026. Setting reference (source proposal): https://github.com/sleepyseamonster/Arc-Dust/blob/f6f98515c005dc3c73cccd9cbc031691745740c6/02-Arc-Dust-Worldbuilding/world/materials/industrial-material-palette.md</x:v>
      </x:c>
      <x:c r="X784" s="4" t="str">
        <x:v>Ammunition</x:v>
      </x:c>
      <x:c r="Y784" s="4" t="str">
        <x:v>Finished item</x:v>
      </x:c>
      <x:c r="Z784" s="4" t="str">
        <x:v>Manufactured / unresolved</x:v>
      </x:c>
      <x:c r="AA784" s="4" t="str">
        <x:v>Offensive combat</x:v>
      </x:c>
      <x:c r="AB784" s="4" t="str">
        <x:v>Metal</x:v>
      </x:c>
      <x:c r="AC784" s="4" t="str">
        <x:v>Assembly</x:v>
      </x:c>
      <x:c r="AD784" s="4" t="str">
        <x:v>Proposal</x:v>
      </x:c>
      <x:c r="AE784" s="4" t="str">
        <x:f>LOWER(A784&amp;"; "&amp;B784&amp;"; "&amp;D784&amp;"; "&amp;E784&amp;"; "&amp;X784&amp;"; "&amp;Y784&amp;"; "&amp;Z784&amp;"; "&amp;AA784&amp;"; "&amp;AB784&amp;"; "&amp;AC784&amp;"; "&amp;AD784&amp;"; "&amp;V784&amp;"; "&amp;C784&amp;"; "&amp;AH784&amp;"; "&amp;AI784)</x:f>
        <x:v>proposal.collection.steel_broadhead_bolt; steel broadhead bolt; ammunition; ammunition; ammunition; finished item; manufactured / unresolved; offensive combat; metal; assembly; proposal; steel broadhead bolt; collection expansion; ammunition; not applicable; t2; finished item</x:v>
      </x:c>
      <x:c r="AF784"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4" s="4" t="str">
        <x:v>Finished endpoint or currency. Material tier is separate from finished input tier.</x:v>
      </x:c>
      <x:c r="AH784" s="4" t="str">
        <x:v>T2</x:v>
      </x:c>
      <x:c r="AI784" s="4" t="str">
        <x:v>Finished item</x:v>
      </x:c>
      <x:c r="AJ784" s="4" t="n">
        <x:f>COUNTIFS('Material routes'!$D$6:$D$2205,A784,'Material routes'!$C$6:$C$2205,"Output")</x:f>
        <x:v>1</x:v>
      </x:c>
      <x:c r="AK784" s="4" t="n">
        <x:f>SUM(COUNTIFS('Material routes'!$D$6:$D$2205,A784,'Material routes'!$C$6:$C$2205,"Ingredient candidate"),COUNTIFS('Material routes'!$D$6:$D$2205,A784,'Material routes'!$C$6:$C$2205,"Consumed input"),COUNTIFS('Material routes'!$D$6:$D$2205,A784,'Material routes'!$C$6:$C$2205,"Contained input"),COUNTIFS('Material routes'!$D$6:$D$2205,A784,'Material routes'!$C$6:$C$2205,"Transform input"))</x:f>
        <x:v>0</x:v>
      </x:c>
      <x:c r="AL784" s="4" t="n">
        <x:f>COUNTIFS('Material routes'!$D$6:$D$2205,A784,'Material routes'!$C$6:$C$2205,"Tool candidate")</x:f>
        <x:v>0</x:v>
      </x:c>
      <x:c r="AM784" s="4" t="str">
        <x:f>IF(AJ784&gt;0,"Route listed; review status/completeness",IF(C784="T0","Raw entry feed; no production route","No production route listed"))</x:f>
        <x:v>Route listed; review status/completeness</x:v>
      </x:c>
      <x:c r="AN784" s="4" t="n">
        <x:f>IF(C784="T0",0,IF(C784="T1",1,IF(C784="T2",2,IF(C784="T3",3,IF(C784="T4",4,IF(C784="Unassigned",98,99))))))</x:f>
        <x:v>99</x:v>
      </x:c>
      <x:c r="AZ784"/>
      <x:c r="BA784"/>
      <x:c r="BB784"/>
      <x:c r="BC784"/>
      <x:c r="BD784"/>
      <x:c r="BE784"/>
      <x:c r="BF784"/>
      <x:c r="BG784"/>
      <x:c r="BH784"/>
      <x:c r="BI784"/>
      <x:c r="BJ784"/>
      <x:c r="BK784"/>
      <x:c r="BL784"/>
      <x:c r="BM784"/>
      <x:c r="BN784"/>
      <x:c r="BO784"/>
      <x:c r="BP784"/>
      <x:c r="BQ784"/>
      <x:c r="BR784"/>
      <x:c r="BS784"/>
      <x:c r="BT784"/>
      <x:c r="BU784"/>
      <x:c r="BV784"/>
      <x:c r="BW784"/>
      <x:c r="BX784"/>
      <x:c r="BY784"/>
      <x:c r="BZ784"/>
      <x:c r="CA784"/>
      <x:c r="CB784"/>
      <x:c r="CC784"/>
    </x:row>
    <x:row r="785" ht="115" customHeight="1">
      <x:c r="A785" s="4" t="str">
        <x:v>proposal.collection.heavy_siege_bolt</x:v>
      </x:c>
      <x:c r="B785" s="4" t="str">
        <x:v>Heavy siege bolt</x:v>
      </x:c>
      <x:c r="C785" s="4" t="str">
        <x:v>Not applicable</x:v>
      </x:c>
      <x:c r="D785" s="4" t="inlineStr">
        <x:is>
          <x:t xml:space="preserve">Ammunition</x:t>
        </x:is>
      </x:c>
      <x:c r="E785" s="4" t="str">
        <x:v>Ammunition</x:v>
      </x:c>
      <x:c r="F785" s="4" t="str">
        <x:v>New proposal</x:v>
      </x:c>
      <x:c r="G785" s="4" t="inlineStr">
        <x:is>
          <x:t xml:space="preserve">Large projectile for a crank-wound launcher. It is intended for the recorded weapon role and compatible ammunition or energy feed. Damage, range, handling and operating requirements remain unassigned.</x:t>
        </x:is>
      </x:c>
      <x:c r="H785" s="4" t="str">
        <x:v>None</x:v>
      </x:c>
      <x:c r="I785" s="4" t="str">
        <x:v>Physical inventory / cargo item; dimensions and packing unresolved</x:v>
      </x:c>
      <x:c r="J785" s="4"/>
      <x:c r="K785" s="4"/>
      <x:c r="L785" s="4" t="str">
        <x:v>Candidate preparation: design.collection.heavy_siege_bolt. Full inputs are in Crafting browser.</x:v>
      </x:c>
      <x:c r="M785" s="4" t="str">
        <x:v>Candidate workshop or contained preparation route; detailed tools, quantities and conditions unresolved</x:v>
      </x:c>
      <x:c r="N785" s="4" t="str">
        <x:v>Not implemented</x:v>
      </x:c>
      <x:c r="O785" s="4" t="str">
        <x:v>Specific dimensions, yield, fit, performance and service conditions remain open.</x:v>
      </x:c>
      <x:c r="P785" s="4"/>
      <x:c r="Q785" s="4"/>
      <x:c r="R785" s="4"/>
      <x:c r="S785" s="4"/>
      <x:c r="T785" s="4"/>
      <x:c r="U785" s="4" t="str">
        <x:v>Candidate inputs are partial. Resolve tools, supporting materials, energy, recovery and compatibility before recipes become craftable.</x:v>
      </x:c>
      <x:c r="V785" s="4" t="str">
        <x:v>heavy siege bolt; collection expansion; ammunition</x:v>
      </x:c>
      <x:c r="W785" s="4" t="str">
        <x:v>New item proposal, October 15, 2026. Setting reference (source proposal): https://github.com/sleepyseamonster/Arc-Dust/blob/f6f98515c005dc3c73cccd9cbc031691745740c6/02-Arc-Dust-Worldbuilding/world/materials/industrial-material-palette.md</x:v>
      </x:c>
      <x:c r="X785" s="4" t="str">
        <x:v>Ammunition</x:v>
      </x:c>
      <x:c r="Y785" s="4" t="str">
        <x:v>Finished item</x:v>
      </x:c>
      <x:c r="Z785" s="4" t="str">
        <x:v>Manufactured / unresolved</x:v>
      </x:c>
      <x:c r="AA785" s="4" t="str">
        <x:v>Offensive combat</x:v>
      </x:c>
      <x:c r="AB785" s="4" t="str">
        <x:v>Metal</x:v>
      </x:c>
      <x:c r="AC785" s="4" t="str">
        <x:v>Assembly</x:v>
      </x:c>
      <x:c r="AD785" s="4" t="str">
        <x:v>Proposal</x:v>
      </x:c>
      <x:c r="AE785" s="4" t="str">
        <x:f>LOWER(A785&amp;"; "&amp;B785&amp;"; "&amp;D785&amp;"; "&amp;E785&amp;"; "&amp;X785&amp;"; "&amp;Y785&amp;"; "&amp;Z785&amp;"; "&amp;AA785&amp;"; "&amp;AB785&amp;"; "&amp;AC785&amp;"; "&amp;AD785&amp;"; "&amp;V785&amp;"; "&amp;C785&amp;"; "&amp;AH785&amp;"; "&amp;AI785)</x:f>
        <x:v>proposal.collection.heavy_siege_bolt; heavy siege bolt; ammunition; ammunition; ammunition; finished item; manufactured / unresolved; offensive combat; metal; assembly; proposal; heavy siege bolt; collection expansion; ammunition; not applicable; t3; finished item</x:v>
      </x:c>
      <x:c r="AF785"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5" s="4" t="str">
        <x:v>Finished endpoint or currency. Material tier is separate from finished input tier.</x:v>
      </x:c>
      <x:c r="AH785" s="4" t="str">
        <x:v>T3</x:v>
      </x:c>
      <x:c r="AI785" s="4" t="str">
        <x:v>Finished item</x:v>
      </x:c>
      <x:c r="AJ785" s="4" t="n">
        <x:f>COUNTIFS('Material routes'!$D$6:$D$2205,A785,'Material routes'!$C$6:$C$2205,"Output")</x:f>
        <x:v>1</x:v>
      </x:c>
      <x:c r="AK785" s="4" t="n">
        <x:f>SUM(COUNTIFS('Material routes'!$D$6:$D$2205,A785,'Material routes'!$C$6:$C$2205,"Ingredient candidate"),COUNTIFS('Material routes'!$D$6:$D$2205,A785,'Material routes'!$C$6:$C$2205,"Consumed input"),COUNTIFS('Material routes'!$D$6:$D$2205,A785,'Material routes'!$C$6:$C$2205,"Contained input"),COUNTIFS('Material routes'!$D$6:$D$2205,A785,'Material routes'!$C$6:$C$2205,"Transform input"))</x:f>
        <x:v>0</x:v>
      </x:c>
      <x:c r="AL785" s="4" t="n">
        <x:f>COUNTIFS('Material routes'!$D$6:$D$2205,A785,'Material routes'!$C$6:$C$2205,"Tool candidate")</x:f>
        <x:v>0</x:v>
      </x:c>
      <x:c r="AM785" s="4" t="str">
        <x:f>IF(AJ785&gt;0,"Route listed; review status/completeness",IF(C785="T0","Raw entry feed; no production route","No production route listed"))</x:f>
        <x:v>Route listed; review status/completeness</x:v>
      </x:c>
      <x:c r="AN785" s="4" t="n">
        <x:f>IF(C785="T0",0,IF(C785="T1",1,IF(C785="T2",2,IF(C785="T3",3,IF(C785="T4",4,IF(C785="Unassigned",98,99))))))</x:f>
        <x:v>99</x:v>
      </x:c>
      <x:c r="AZ785"/>
      <x:c r="BA785"/>
      <x:c r="BB785"/>
      <x:c r="BC785"/>
      <x:c r="BD785"/>
      <x:c r="BE785"/>
      <x:c r="BF785"/>
      <x:c r="BG785"/>
      <x:c r="BH785"/>
      <x:c r="BI785"/>
      <x:c r="BJ785"/>
      <x:c r="BK785"/>
      <x:c r="BL785"/>
      <x:c r="BM785"/>
      <x:c r="BN785"/>
      <x:c r="BO785"/>
      <x:c r="BP785"/>
      <x:c r="BQ785"/>
      <x:c r="BR785"/>
      <x:c r="BS785"/>
      <x:c r="BT785"/>
      <x:c r="BU785"/>
      <x:c r="BV785"/>
      <x:c r="BW785"/>
      <x:c r="BX785"/>
      <x:c r="BY785"/>
      <x:c r="BZ785"/>
      <x:c r="CA785"/>
      <x:c r="CB785"/>
      <x:c r="CC785"/>
    </x:row>
    <x:row r="786" ht="115" customHeight="1">
      <x:c r="A786" s="4"/>
      <x:c r="B786" s="4"/>
      <x:c r="C786" s="4"/>
      <x:c r="D786" s="4"/>
      <x:c r="E786" s="4"/>
      <x:c r="F786" s="4"/>
      <x:c r="G786" s="4"/>
      <x:c r="H786" s="4"/>
      <x:c r="I786" s="4"/>
      <x:c r="J786" s="4"/>
      <x:c r="M786" s="4"/>
      <x:c r="N786" s="4"/>
      <x:c r="O786" s="4"/>
      <x:c r="P786" s="4"/>
      <x:c r="V786" s="4"/>
      <x:c r="W786" s="4"/>
      <x:c r="X786" s="4"/>
      <x:c r="Y786" s="4"/>
      <x:c r="Z786" s="4"/>
      <x:c r="AA786" s="4"/>
      <x:c r="AB786" s="4"/>
      <x:c r="AC786" s="4"/>
      <x:c r="AD786" s="4"/>
      <x:c r="AE786" s="4"/>
      <x:c r="AF786" s="4"/>
      <x:c r="AG786" s="4"/>
      <x:c r="AH786" s="4"/>
      <x:c r="AI786" s="4"/>
      <x:c r="AJ786" s="4"/>
      <x:c r="AK786" s="4"/>
      <x:c r="AL786" s="4"/>
      <x:c r="AM786" s="4"/>
      <x:c r="AN786" s="4"/>
      <x:c r="AZ786"/>
      <x:c r="BA786"/>
      <x:c r="BB786"/>
      <x:c r="BC786"/>
      <x:c r="BD786"/>
      <x:c r="BE786"/>
      <x:c r="BF786"/>
      <x:c r="BG786"/>
      <x:c r="BH786"/>
      <x:c r="BI786"/>
      <x:c r="BJ786"/>
      <x:c r="BK786"/>
      <x:c r="BL786"/>
      <x:c r="BM786"/>
      <x:c r="BN786"/>
      <x:c r="BO786"/>
      <x:c r="BP786"/>
      <x:c r="BQ786"/>
      <x:c r="BR786"/>
      <x:c r="BS786"/>
      <x:c r="BT786"/>
      <x:c r="BU786"/>
      <x:c r="BV786"/>
      <x:c r="BW786"/>
      <x:c r="BX786"/>
      <x:c r="BY786"/>
      <x:c r="BZ786"/>
      <x:c r="CA786"/>
      <x:c r="CB786"/>
      <x:c r="CC786"/>
    </x:row>
    <x:row r="787" ht="115" customHeight="1">
      <x:c r="A787" s="4" t="str">
        <x:v>proposal.collection.pressure_launcher_rivet_round</x:v>
      </x:c>
      <x:c r="B787" s="4" t="str">
        <x:v>Pressure-launcher rivet round</x:v>
      </x:c>
      <x:c r="C787" s="4" t="str">
        <x:v>Not applicable</x:v>
      </x:c>
      <x:c r="D787" s="4" t="inlineStr">
        <x:is>
          <x:t xml:space="preserve">Ammunition</x:t>
        </x:is>
      </x:c>
      <x:c r="E787" s="4" t="str">
        <x:v>Ammunition</x:v>
      </x:c>
      <x:c r="F787" s="4" t="str">
        <x:v>New proposal</x:v>
      </x:c>
      <x:c r="G787" s="4" t="inlineStr">
        <x:is>
          <x:t xml:space="preserve">Matched non-explosive projectile for a pressure launcher. It is intended for the recorded weapon role and compatible ammunition or energy feed. Damage, range, handling and operating requirements remain unassigned.</x:t>
        </x:is>
      </x:c>
      <x:c r="H787" s="4" t="str">
        <x:v>None</x:v>
      </x:c>
      <x:c r="I787" s="4" t="str">
        <x:v>Physical inventory / cargo item; dimensions and packing unresolved</x:v>
      </x:c>
      <x:c r="J787" s="4"/>
      <x:c r="K787" s="4"/>
      <x:c r="L787" s="4" t="str">
        <x:v>Candidate preparation: design.collection.pressure_launcher_rivet_round. Full inputs are in Crafting browser.</x:v>
      </x:c>
      <x:c r="M787" s="4" t="str">
        <x:v>Candidate workshop or contained preparation route; detailed tools, quantities and conditions unresolved</x:v>
      </x:c>
      <x:c r="N787" s="4" t="str">
        <x:v>Not implemented</x:v>
      </x:c>
      <x:c r="O787" s="4" t="str">
        <x:v>Specific dimensions, yield, fit, performance and service conditions remain open.</x:v>
      </x:c>
      <x:c r="P787" s="4"/>
      <x:c r="Q787" s="4"/>
      <x:c r="R787" s="4"/>
      <x:c r="S787" s="4"/>
      <x:c r="T787" s="4"/>
      <x:c r="U787" s="4" t="str">
        <x:v>Candidate inputs are partial. Resolve tools, supporting materials, energy, recovery and compatibility before recipes become craftable.</x:v>
      </x:c>
      <x:c r="V787" s="4" t="str">
        <x:v>pressure-launcher rivet round; collection expansion; ammunition</x:v>
      </x:c>
      <x:c r="W787" s="4" t="str">
        <x:v>New item proposal, October 15, 2026. Setting reference (source proposal): https://github.com/sleepyseamonster/Arc-Dust/blob/f6f98515c005dc3c73cccd9cbc031691745740c6/02-Arc-Dust-Worldbuilding/world/materials/industrial-material-palette.md</x:v>
      </x:c>
      <x:c r="X787" s="4" t="str">
        <x:v>Ammunition</x:v>
      </x:c>
      <x:c r="Y787" s="4" t="str">
        <x:v>Finished item</x:v>
      </x:c>
      <x:c r="Z787" s="4" t="str">
        <x:v>Manufactured / unresolved</x:v>
      </x:c>
      <x:c r="AA787" s="4" t="str">
        <x:v>Offensive combat</x:v>
      </x:c>
      <x:c r="AB787" s="4" t="str">
        <x:v>Metal</x:v>
      </x:c>
      <x:c r="AC787" s="4" t="str">
        <x:v>Assembly</x:v>
      </x:c>
      <x:c r="AD787" s="4" t="str">
        <x:v>Proposal</x:v>
      </x:c>
      <x:c r="AE787" s="4" t="str">
        <x:f>LOWER(A787&amp;"; "&amp;B787&amp;"; "&amp;D787&amp;"; "&amp;E787&amp;"; "&amp;X787&amp;"; "&amp;Y787&amp;"; "&amp;Z787&amp;"; "&amp;AA787&amp;"; "&amp;AB787&amp;"; "&amp;AC787&amp;"; "&amp;AD787&amp;"; "&amp;V787&amp;"; "&amp;C787&amp;"; "&amp;AH787&amp;"; "&amp;AI787)</x:f>
        <x:v>proposal.collection.pressure_launcher_rivet_round; pressure-launcher rivet round; ammunition; ammunition; ammunition; finished item; manufactured / unresolved; offensive combat; metal; assembly; proposal; pressure-launcher rivet round; collection expansion; ammunition; not applicable; t2; finished item</x:v>
      </x:c>
      <x:c r="AF78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7" s="4" t="str">
        <x:v>Finished endpoint or currency. Material tier is separate from finished input tier.</x:v>
      </x:c>
      <x:c r="AH787" s="4" t="str">
        <x:v>T2</x:v>
      </x:c>
      <x:c r="AI787" s="4" t="str">
        <x:v>Finished item</x:v>
      </x:c>
      <x:c r="AJ787" s="4" t="n">
        <x:f>COUNTIFS('Material routes'!$D$6:$D$2205,A787,'Material routes'!$C$6:$C$2205,"Output")</x:f>
        <x:v>1</x:v>
      </x:c>
      <x:c r="AK787" s="4" t="n">
        <x:f>SUM(COUNTIFS('Material routes'!$D$6:$D$2205,A787,'Material routes'!$C$6:$C$2205,"Ingredient candidate"),COUNTIFS('Material routes'!$D$6:$D$2205,A787,'Material routes'!$C$6:$C$2205,"Consumed input"),COUNTIFS('Material routes'!$D$6:$D$2205,A787,'Material routes'!$C$6:$C$2205,"Contained input"),COUNTIFS('Material routes'!$D$6:$D$2205,A787,'Material routes'!$C$6:$C$2205,"Transform input"))</x:f>
        <x:v>0</x:v>
      </x:c>
      <x:c r="AL787" s="4" t="n">
        <x:f>COUNTIFS('Material routes'!$D$6:$D$2205,A787,'Material routes'!$C$6:$C$2205,"Tool candidate")</x:f>
        <x:v>0</x:v>
      </x:c>
      <x:c r="AM787" s="4" t="str">
        <x:f>IF(AJ787&gt;0,"Route listed; review status/completeness",IF(C787="T0","Raw entry feed; no production route","No production route listed"))</x:f>
        <x:v>Route listed; review status/completeness</x:v>
      </x:c>
      <x:c r="AN787" s="4" t="n">
        <x:f>IF(C787="T0",0,IF(C787="T1",1,IF(C787="T2",2,IF(C787="T3",3,IF(C787="T4",4,IF(C787="Unassigned",98,99))))))</x:f>
        <x:v>99</x:v>
      </x:c>
      <x:c r="AZ787"/>
      <x:c r="BA787"/>
      <x:c r="BB787"/>
      <x:c r="BC787"/>
      <x:c r="BD787"/>
      <x:c r="BE787"/>
      <x:c r="BF787"/>
      <x:c r="BG787"/>
      <x:c r="BH787"/>
      <x:c r="BI787"/>
      <x:c r="BJ787"/>
      <x:c r="BK787"/>
      <x:c r="BL787"/>
      <x:c r="BM787"/>
      <x:c r="BN787"/>
      <x:c r="BO787"/>
      <x:c r="BP787"/>
      <x:c r="BQ787"/>
      <x:c r="BR787"/>
      <x:c r="BS787"/>
      <x:c r="BT787"/>
      <x:c r="BU787"/>
      <x:c r="BV787"/>
      <x:c r="BW787"/>
      <x:c r="BX787"/>
      <x:c r="BY787"/>
      <x:c r="BZ787"/>
      <x:c r="CA787"/>
      <x:c r="CB787"/>
      <x:c r="CC787"/>
    </x:row>
    <x:row r="788" ht="115" customHeight="1">
      <x:c r="A788" s="4" t="str">
        <x:v>proposal.collection.magnetic_projector_dart</x:v>
      </x:c>
      <x:c r="B788" s="4" t="str">
        <x:v>Magnetic projector dart</x:v>
      </x:c>
      <x:c r="C788" s="4" t="str">
        <x:v>Not applicable</x:v>
      </x:c>
      <x:c r="D788" s="4" t="inlineStr">
        <x:is>
          <x:t xml:space="preserve">Ammunition</x:t>
        </x:is>
      </x:c>
      <x:c r="E788" s="4" t="str">
        <x:v>Ammunition</x:v>
      </x:c>
      <x:c r="F788" s="4" t="str">
        <x:v>New proposal</x:v>
      </x:c>
      <x:c r="G788" s="4" t="inlineStr">
        <x:is>
          <x:t xml:space="preserve">Ferrous projectile with a fitted guide surface. It is intended for the recorded weapon role and compatible ammunition or energy feed. Damage, range, handling and operating requirements remain unassigned.</x:t>
        </x:is>
      </x:c>
      <x:c r="H788" s="4" t="str">
        <x:v>None</x:v>
      </x:c>
      <x:c r="I788" s="4" t="str">
        <x:v>Physical inventory / cargo item; dimensions and packing unresolved</x:v>
      </x:c>
      <x:c r="J788" s="4"/>
      <x:c r="K788" s="4"/>
      <x:c r="L788" s="4" t="str">
        <x:v>Candidate preparation: design.collection.magnetic_projector_dart. Full inputs are in Crafting browser.</x:v>
      </x:c>
      <x:c r="M788" s="4" t="str">
        <x:v>Candidate workshop or contained preparation route; detailed tools, quantities and conditions unresolved</x:v>
      </x:c>
      <x:c r="N788" s="4" t="str">
        <x:v>Not implemented</x:v>
      </x:c>
      <x:c r="O788" s="4" t="str">
        <x:v>Specific dimensions, yield, fit, performance and service conditions remain open.</x:v>
      </x:c>
      <x:c r="P788" s="4"/>
      <x:c r="Q788" s="4"/>
      <x:c r="R788" s="4"/>
      <x:c r="S788" s="4"/>
      <x:c r="T788" s="4"/>
      <x:c r="U788" s="4" t="str">
        <x:v>Candidate inputs are partial. Resolve tools, supporting materials, energy, recovery and compatibility before recipes become craftable.</x:v>
      </x:c>
      <x:c r="V788" s="4" t="str">
        <x:v>magnetic projector dart; collection expansion; ammunition</x:v>
      </x:c>
      <x:c r="W788" s="4" t="str">
        <x:v>New item proposal, October 15, 2026. Setting reference (source proposal): https://github.com/sleepyseamonster/Arc-Dust/blob/f6f98515c005dc3c73cccd9cbc031691745740c6/02-Arc-Dust-Worldbuilding/world/materials/industrial-material-palette.md</x:v>
      </x:c>
      <x:c r="X788" s="4" t="str">
        <x:v>Ammunition</x:v>
      </x:c>
      <x:c r="Y788" s="4" t="str">
        <x:v>Finished item</x:v>
      </x:c>
      <x:c r="Z788" s="4" t="str">
        <x:v>Manufactured / unresolved</x:v>
      </x:c>
      <x:c r="AA788" s="4" t="str">
        <x:v>Offensive combat</x:v>
      </x:c>
      <x:c r="AB788" s="4" t="str">
        <x:v>Metal</x:v>
      </x:c>
      <x:c r="AC788" s="4" t="str">
        <x:v>Assembly</x:v>
      </x:c>
      <x:c r="AD788" s="4" t="str">
        <x:v>Proposal</x:v>
      </x:c>
      <x:c r="AE788" s="4" t="str">
        <x:f>LOWER(A788&amp;"; "&amp;B788&amp;"; "&amp;D788&amp;"; "&amp;E788&amp;"; "&amp;X788&amp;"; "&amp;Y788&amp;"; "&amp;Z788&amp;"; "&amp;AA788&amp;"; "&amp;AB788&amp;"; "&amp;AC788&amp;"; "&amp;AD788&amp;"; "&amp;V788&amp;"; "&amp;C788&amp;"; "&amp;AH788&amp;"; "&amp;AI788)</x:f>
        <x:v>proposal.collection.magnetic_projector_dart; magnetic projector dart; ammunition; ammunition; ammunition; finished item; manufactured / unresolved; offensive combat; metal; assembly; proposal; magnetic projector dart; collection expansion; ammunition; not applicable; t2; finished item</x:v>
      </x:c>
      <x:c r="AF78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8" s="4" t="str">
        <x:v>Finished endpoint or currency. Material tier is separate from finished input tier.</x:v>
      </x:c>
      <x:c r="AH788" s="4" t="str">
        <x:v>T2</x:v>
      </x:c>
      <x:c r="AI788" s="4" t="str">
        <x:v>Finished item</x:v>
      </x:c>
      <x:c r="AJ788" s="4" t="n">
        <x:f>COUNTIFS('Material routes'!$D$6:$D$2205,A788,'Material routes'!$C$6:$C$2205,"Output")</x:f>
        <x:v>1</x:v>
      </x:c>
      <x:c r="AK788" s="4" t="n">
        <x:f>SUM(COUNTIFS('Material routes'!$D$6:$D$2205,A788,'Material routes'!$C$6:$C$2205,"Ingredient candidate"),COUNTIFS('Material routes'!$D$6:$D$2205,A788,'Material routes'!$C$6:$C$2205,"Consumed input"),COUNTIFS('Material routes'!$D$6:$D$2205,A788,'Material routes'!$C$6:$C$2205,"Contained input"),COUNTIFS('Material routes'!$D$6:$D$2205,A788,'Material routes'!$C$6:$C$2205,"Transform input"))</x:f>
        <x:v>0</x:v>
      </x:c>
      <x:c r="AL788" s="4" t="n">
        <x:f>COUNTIFS('Material routes'!$D$6:$D$2205,A788,'Material routes'!$C$6:$C$2205,"Tool candidate")</x:f>
        <x:v>0</x:v>
      </x:c>
      <x:c r="AM788" s="4" t="str">
        <x:f>IF(AJ788&gt;0,"Route listed; review status/completeness",IF(C788="T0","Raw entry feed; no production route","No production route listed"))</x:f>
        <x:v>Route listed; review status/completeness</x:v>
      </x:c>
      <x:c r="AN788" s="4" t="n">
        <x:f>IF(C788="T0",0,IF(C788="T1",1,IF(C788="T2",2,IF(C788="T3",3,IF(C788="T4",4,IF(C788="Unassigned",98,99))))))</x:f>
        <x:v>99</x:v>
      </x:c>
      <x:c r="AZ788"/>
      <x:c r="BA788"/>
      <x:c r="BB788"/>
      <x:c r="BC788"/>
      <x:c r="BD788"/>
      <x:c r="BE788"/>
      <x:c r="BF788"/>
      <x:c r="BG788"/>
      <x:c r="BH788"/>
      <x:c r="BI788"/>
      <x:c r="BJ788"/>
      <x:c r="BK788"/>
      <x:c r="BL788"/>
      <x:c r="BM788"/>
      <x:c r="BN788"/>
      <x:c r="BO788"/>
      <x:c r="BP788"/>
      <x:c r="BQ788"/>
      <x:c r="BR788"/>
      <x:c r="BS788"/>
      <x:c r="BT788"/>
      <x:c r="BU788"/>
      <x:c r="BV788"/>
      <x:c r="BW788"/>
      <x:c r="BX788"/>
      <x:c r="BY788"/>
      <x:c r="BZ788"/>
      <x:c r="CA788"/>
      <x:c r="CB788"/>
      <x:c r="CC788"/>
    </x:row>
    <x:row r="789" ht="115" customHeight="1">
      <x:c r="A789" s="4" t="str">
        <x:v>proposal.collection.coil_carbine_slug</x:v>
      </x:c>
      <x:c r="B789" s="4" t="str">
        <x:v>Coil-carbine slug</x:v>
      </x:c>
      <x:c r="C789" s="4" t="str">
        <x:v>Not applicable</x:v>
      </x:c>
      <x:c r="D789" s="4" t="inlineStr">
        <x:is>
          <x:t xml:space="preserve">Ammunition</x:t>
        </x:is>
      </x:c>
      <x:c r="E789" s="4" t="str">
        <x:v>Ammunition</x:v>
      </x:c>
      <x:c r="F789" s="4" t="str">
        <x:v>New proposal</x:v>
      </x:c>
      <x:c r="G789" s="4" t="inlineStr">
        <x:is>
          <x:t xml:space="preserve">Matched ferrous projectile for a coil weapon. It is intended for the recorded weapon role and compatible ammunition or energy feed. Damage, range, handling and operating requirements remain unassigned.</x:t>
        </x:is>
      </x:c>
      <x:c r="H789" s="4" t="str">
        <x:v>None</x:v>
      </x:c>
      <x:c r="I789" s="4" t="str">
        <x:v>Physical inventory / cargo item; dimensions and packing unresolved</x:v>
      </x:c>
      <x:c r="J789" s="4"/>
      <x:c r="K789" s="4"/>
      <x:c r="L789" s="4" t="str">
        <x:v>Candidate preparation: design.collection.coil_carbine_slug. Full inputs are in Crafting browser.</x:v>
      </x:c>
      <x:c r="M789" s="4" t="str">
        <x:v>Candidate workshop or contained preparation route; detailed tools, quantities and conditions unresolved</x:v>
      </x:c>
      <x:c r="N789" s="4" t="str">
        <x:v>Not implemented</x:v>
      </x:c>
      <x:c r="O789" s="4" t="str">
        <x:v>Specific dimensions, yield, fit, performance and service conditions remain open.</x:v>
      </x:c>
      <x:c r="P789" s="4"/>
      <x:c r="Q789" s="4"/>
      <x:c r="R789" s="4"/>
      <x:c r="S789" s="4"/>
      <x:c r="T789" s="4"/>
      <x:c r="U789" s="4" t="str">
        <x:v>Candidate inputs are partial. Resolve tools, supporting materials, energy, recovery and compatibility before recipes become craftable.</x:v>
      </x:c>
      <x:c r="V789" s="4" t="str">
        <x:v>coil-carbine slug; collection expansion; ammunition</x:v>
      </x:c>
      <x:c r="W789" s="4" t="str">
        <x:v>New item proposal, October 15, 2026. Setting reference (source proposal): https://github.com/sleepyseamonster/Arc-Dust/blob/f6f98515c005dc3c73cccd9cbc031691745740c6/02-Arc-Dust-Worldbuilding/world/materials/industrial-material-palette.md</x:v>
      </x:c>
      <x:c r="X789" s="4" t="str">
        <x:v>Ammunition</x:v>
      </x:c>
      <x:c r="Y789" s="4" t="str">
        <x:v>Finished item</x:v>
      </x:c>
      <x:c r="Z789" s="4" t="str">
        <x:v>Manufactured / unresolved</x:v>
      </x:c>
      <x:c r="AA789" s="4" t="str">
        <x:v>Offensive combat</x:v>
      </x:c>
      <x:c r="AB789" s="4" t="str">
        <x:v>Metal</x:v>
      </x:c>
      <x:c r="AC789" s="4" t="str">
        <x:v>Assembly</x:v>
      </x:c>
      <x:c r="AD789" s="4" t="str">
        <x:v>Proposal</x:v>
      </x:c>
      <x:c r="AE789" s="4" t="str">
        <x:f>LOWER(A789&amp;"; "&amp;B789&amp;"; "&amp;D789&amp;"; "&amp;E789&amp;"; "&amp;X789&amp;"; "&amp;Y789&amp;"; "&amp;Z789&amp;"; "&amp;AA789&amp;"; "&amp;AB789&amp;"; "&amp;AC789&amp;"; "&amp;AD789&amp;"; "&amp;V789&amp;"; "&amp;C789&amp;"; "&amp;AH789&amp;"; "&amp;AI789)</x:f>
        <x:v>proposal.collection.coil_carbine_slug; coil-carbine slug; ammunition; ammunition; ammunition; finished item; manufactured / unresolved; offensive combat; metal; assembly; proposal; coil-carbine slug; collection expansion; ammunition; not applicable; t2; finished item</x:v>
      </x:c>
      <x:c r="AF78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9" s="4" t="str">
        <x:v>Finished endpoint or currency. Material tier is separate from finished input tier.</x:v>
      </x:c>
      <x:c r="AH789" s="4" t="str">
        <x:v>T2</x:v>
      </x:c>
      <x:c r="AI789" s="4" t="str">
        <x:v>Finished item</x:v>
      </x:c>
      <x:c r="AJ789" s="4" t="n">
        <x:f>COUNTIFS('Material routes'!$D$6:$D$2205,A789,'Material routes'!$C$6:$C$2205,"Output")</x:f>
        <x:v>1</x:v>
      </x:c>
      <x:c r="AK789" s="4" t="n">
        <x:f>SUM(COUNTIFS('Material routes'!$D$6:$D$2205,A789,'Material routes'!$C$6:$C$2205,"Ingredient candidate"),COUNTIFS('Material routes'!$D$6:$D$2205,A789,'Material routes'!$C$6:$C$2205,"Consumed input"),COUNTIFS('Material routes'!$D$6:$D$2205,A789,'Material routes'!$C$6:$C$2205,"Contained input"),COUNTIFS('Material routes'!$D$6:$D$2205,A789,'Material routes'!$C$6:$C$2205,"Transform input"))</x:f>
        <x:v>0</x:v>
      </x:c>
      <x:c r="AL789" s="4" t="n">
        <x:f>COUNTIFS('Material routes'!$D$6:$D$2205,A789,'Material routes'!$C$6:$C$2205,"Tool candidate")</x:f>
        <x:v>0</x:v>
      </x:c>
      <x:c r="AM789" s="4" t="str">
        <x:f>IF(AJ789&gt;0,"Route listed; review status/completeness",IF(C789="T0","Raw entry feed; no production route","No production route listed"))</x:f>
        <x:v>Route listed; review status/completeness</x:v>
      </x:c>
      <x:c r="AN789" s="4" t="n">
        <x:f>IF(C789="T0",0,IF(C789="T1",1,IF(C789="T2",2,IF(C789="T3",3,IF(C789="T4",4,IF(C789="Unassigned",98,99))))))</x:f>
        <x:v>99</x:v>
      </x:c>
      <x:c r="AZ789"/>
      <x:c r="BA789"/>
      <x:c r="BB789"/>
      <x:c r="BC789"/>
      <x:c r="BD789"/>
      <x:c r="BE789"/>
      <x:c r="BF789"/>
      <x:c r="BG789"/>
      <x:c r="BH789"/>
      <x:c r="BI789"/>
      <x:c r="BJ789"/>
      <x:c r="BK789"/>
      <x:c r="BL789"/>
      <x:c r="BM789"/>
      <x:c r="BN789"/>
      <x:c r="BO789"/>
      <x:c r="BP789"/>
      <x:c r="BQ789"/>
      <x:c r="BR789"/>
      <x:c r="BS789"/>
      <x:c r="BT789"/>
      <x:c r="BU789"/>
      <x:c r="BV789"/>
      <x:c r="BW789"/>
      <x:c r="BX789"/>
      <x:c r="BY789"/>
      <x:c r="BZ789"/>
      <x:c r="CA789"/>
      <x:c r="CB789"/>
      <x:c r="CC789"/>
    </x:row>
    <x:row r="790" ht="115" customHeight="1">
      <x:c r="A790" s="4" t="str">
        <x:v>proposal.collection.arc_gun_discharge_cartridge</x:v>
      </x:c>
      <x:c r="B790" s="4" t="str">
        <x:v>Arc-gun discharge cartridge</x:v>
      </x:c>
      <x:c r="C790" s="4" t="str">
        <x:v>Not applicable</x:v>
      </x:c>
      <x:c r="D790" s="4" t="inlineStr">
        <x:is>
          <x:t xml:space="preserve">Ammunition</x:t>
        </x:is>
      </x:c>
      <x:c r="E790" s="4" t="str">
        <x:v>Ammunition</x:v>
      </x:c>
      <x:c r="F790" s="4" t="str">
        <x:v>New proposal</x:v>
      </x:c>
      <x:c r="G790" s="4" t="inlineStr">
        <x:is>
          <x:t xml:space="preserve">Candidate electrical pulse supply for the arc ray gun. It is intended for the recorded weapon role and compatible ammunition or energy feed. Damage, range, handling and operating requirements remain unassigned.</x:t>
        </x:is>
      </x:c>
      <x:c r="H790" s="4" t="str">
        <x:v>None</x:v>
      </x:c>
      <x:c r="I790" s="4" t="str">
        <x:v>Physical inventory / cargo item; dimensions and packing unresolved</x:v>
      </x:c>
      <x:c r="J790" s="4"/>
      <x:c r="K790" s="4"/>
      <x:c r="L790" s="4" t="str">
        <x:v>Candidate preparation: design.collection.arc_gun_discharge_cartridge. Full inputs are in Crafting browser.</x:v>
      </x:c>
      <x:c r="M790" s="4" t="str">
        <x:v>Candidate workshop or contained preparation route; detailed tools, quantities and conditions unresolved</x:v>
      </x:c>
      <x:c r="N790" s="4" t="str">
        <x:v>Not implemented</x:v>
      </x:c>
      <x:c r="O790" s="4" t="str">
        <x:v>Specific dimensions, yield, fit, performance and service conditions remain open.</x:v>
      </x:c>
      <x:c r="P790" s="4"/>
      <x:c r="Q790" s="4"/>
      <x:c r="R790" s="4"/>
      <x:c r="S790" s="4"/>
      <x:c r="T790" s="4"/>
      <x:c r="U790" s="4" t="str">
        <x:v>Candidate inputs are partial. Resolve tools, supporting materials, energy, recovery and compatibility before recipes become craftable.</x:v>
      </x:c>
      <x:c r="V790" s="4" t="str">
        <x:v>arc-gun discharge cartridge; collection expansion; ammunition</x:v>
      </x:c>
      <x:c r="W790" s="4" t="str">
        <x:v>New item proposal, October 15, 2026. Setting reference (source proposal): https://github.com/sleepyseamonster/Arc-Dust/blob/f6f98515c005dc3c73cccd9cbc031691745740c6/02-Arc-Dust-Worldbuilding/world/materials/industrial-material-palette.md</x:v>
      </x:c>
      <x:c r="X790" s="4" t="str">
        <x:v>Ammunition</x:v>
      </x:c>
      <x:c r="Y790" s="4" t="str">
        <x:v>Finished item</x:v>
      </x:c>
      <x:c r="Z790" s="4" t="str">
        <x:v>Manufactured / unresolved</x:v>
      </x:c>
      <x:c r="AA790" s="4" t="str">
        <x:v>Offensive combat</x:v>
      </x:c>
      <x:c r="AB790" s="4" t="str">
        <x:v>Mixed / unresolved</x:v>
      </x:c>
      <x:c r="AC790" s="4" t="str">
        <x:v>Assembly</x:v>
      </x:c>
      <x:c r="AD790" s="4" t="str">
        <x:v>Proposal</x:v>
      </x:c>
      <x:c r="AE790" s="4" t="str">
        <x:f>LOWER(A790&amp;"; "&amp;B790&amp;"; "&amp;D790&amp;"; "&amp;E790&amp;"; "&amp;X790&amp;"; "&amp;Y790&amp;"; "&amp;Z790&amp;"; "&amp;AA790&amp;"; "&amp;AB790&amp;"; "&amp;AC790&amp;"; "&amp;AD790&amp;"; "&amp;V790&amp;"; "&amp;C790&amp;"; "&amp;AH790&amp;"; "&amp;AI790)</x:f>
        <x:v>proposal.collection.arc_gun_discharge_cartridge; arc-gun discharge cartridge; ammunition; ammunition; ammunition; finished item; manufactured / unresolved; offensive combat; mixed / unresolved; assembly; proposal; arc-gun discharge cartridge; collection expansion; ammunition; not applicable; unassigned; finished item</x:v>
      </x:c>
      <x:c r="AF790"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0" s="4" t="str">
        <x:v>Finished endpoint or currency. Material tier is separate from finished input tier.</x:v>
      </x:c>
      <x:c r="AH790" s="4" t="str">
        <x:v>Unassigned</x:v>
      </x:c>
      <x:c r="AI790" s="4" t="str">
        <x:v>Finished item</x:v>
      </x:c>
      <x:c r="AJ790" s="4" t="n">
        <x:f>COUNTIFS('Material routes'!$D$6:$D$2205,A790,'Material routes'!$C$6:$C$2205,"Output")</x:f>
        <x:v>1</x:v>
      </x:c>
      <x:c r="AK790" s="4" t="n">
        <x:f>SUM(COUNTIFS('Material routes'!$D$6:$D$2205,A790,'Material routes'!$C$6:$C$2205,"Ingredient candidate"),COUNTIFS('Material routes'!$D$6:$D$2205,A790,'Material routes'!$C$6:$C$2205,"Consumed input"),COUNTIFS('Material routes'!$D$6:$D$2205,A790,'Material routes'!$C$6:$C$2205,"Contained input"),COUNTIFS('Material routes'!$D$6:$D$2205,A790,'Material routes'!$C$6:$C$2205,"Transform input"))</x:f>
        <x:v>1</x:v>
      </x:c>
      <x:c r="AL790" s="4" t="n">
        <x:f>COUNTIFS('Material routes'!$D$6:$D$2205,A790,'Material routes'!$C$6:$C$2205,"Tool candidate")</x:f>
        <x:v>0</x:v>
      </x:c>
      <x:c r="AM790" s="4" t="str">
        <x:f>IF(AJ790&gt;0,"Route listed; review status/completeness",IF(C790="T0","Raw entry feed; no production route","No production route listed"))</x:f>
        <x:v>Route listed; review status/completeness</x:v>
      </x:c>
      <x:c r="AN790" s="4" t="n">
        <x:f>IF(C790="T0",0,IF(C790="T1",1,IF(C790="T2",2,IF(C790="T3",3,IF(C790="T4",4,IF(C790="Unassigned",98,99))))))</x:f>
        <x:v>99</x:v>
      </x:c>
      <x:c r="AZ790"/>
      <x:c r="BA790"/>
      <x:c r="BB790"/>
      <x:c r="BC790"/>
      <x:c r="BD790"/>
      <x:c r="BE790"/>
      <x:c r="BF790"/>
      <x:c r="BG790"/>
      <x:c r="BH790"/>
      <x:c r="BI790"/>
      <x:c r="BJ790"/>
      <x:c r="BK790"/>
      <x:c r="BL790"/>
      <x:c r="BM790"/>
      <x:c r="BN790"/>
      <x:c r="BO790"/>
      <x:c r="BP790"/>
      <x:c r="BQ790"/>
      <x:c r="BR790"/>
      <x:c r="BS790"/>
      <x:c r="BT790"/>
      <x:c r="BU790"/>
      <x:c r="BV790"/>
      <x:c r="BW790"/>
      <x:c r="BX790"/>
      <x:c r="BY790"/>
      <x:c r="BZ790"/>
      <x:c r="CA790"/>
      <x:c r="CB790"/>
      <x:c r="CC790"/>
    </x:row>
    <x:row r="791" ht="115" customHeight="1">
      <x:c r="A791" s="4" t="str">
        <x:v>proposal.collection.laser_blaster_power_cassette</x:v>
      </x:c>
      <x:c r="B791" s="4" t="str">
        <x:v>Laser-blaster power cassette</x:v>
      </x:c>
      <x:c r="C791" s="4" t="str">
        <x:v>Not applicable</x:v>
      </x:c>
      <x:c r="D791" s="4" t="inlineStr">
        <x:is>
          <x:t xml:space="preserve">Ammunition</x:t>
        </x:is>
      </x:c>
      <x:c r="E791" s="4" t="str">
        <x:v>Ancient recovery</x:v>
      </x:c>
      <x:c r="F791" s="4" t="str">
        <x:v>New proposal</x:v>
      </x:c>
      <x:c r="G791" s="4" t="inlineStr">
        <x:is>
          <x:t xml:space="preserve">Rare recovered compatible energy feed, no modern recipe. It is intended for the recorded weapon role and compatible ammunition or energy feed. Damage, range, handling and operating requirements remain unassigned.</x:t>
        </x:is>
      </x:c>
      <x:c r="H791" s="4" t="str">
        <x:v>None</x:v>
      </x:c>
      <x:c r="I791" s="4" t="str">
        <x:v>Physical inventory / cargo item; dimensions and packing unresolved</x:v>
      </x:c>
      <x:c r="J791" s="4"/>
      <x:c r="K791" s="4"/>
      <x:c r="L791" s="4" t="str">
        <x:v>Recover a compatible ancient item</x:v>
      </x:c>
      <x:c r="M791" s="4" t="str">
        <x:v>Identify, inspect and preserve a recovered item; manufacturing unavailable</x:v>
      </x:c>
      <x:c r="N791" s="4" t="str">
        <x:v>Not implemented</x:v>
      </x:c>
      <x:c r="O791" s="4" t="str">
        <x:v>Extremely rare ancient recovery. Power, interface, durability and authenticity unresolved.</x:v>
      </x:c>
      <x:c r="P791" s="4" t="str">
        <x:v>Extremely rare</x:v>
      </x:c>
      <x:c r="Q791" s="4"/>
      <x:c r="R791" s="4"/>
      <x:c r="S791" s="4"/>
      <x:c r="T791" s="4"/>
      <x:c r="U791" s="4" t="str">
        <x:v>Ancient item names describe candidate functions, not known working mechanisms.</x:v>
      </x:c>
      <x:c r="V791" s="4" t="str">
        <x:v>laser-blaster power cassette; collection expansion; ammunition</x:v>
      </x:c>
      <x:c r="W791" s="4" t="str">
        <x:v>New item proposal, October 15, 2026. Rare ancient recovery; no reproduction route. Setting reference (source proposal): https://github.com/sleepyseamonster/Arc-Dust/blob/f6f98515c005dc3c73cccd9cbc031691745740c6/02-Arc-Dust-Worldbuilding/world/materials/ancient-synthetics.md</x:v>
      </x:c>
      <x:c r="X791" s="4" t="str">
        <x:v>Ammunition</x:v>
      </x:c>
      <x:c r="Y791" s="4" t="str">
        <x:v>Recovered part</x:v>
      </x:c>
      <x:c r="Z791" s="4" t="str">
        <x:v>Ancient technology</x:v>
      </x:c>
      <x:c r="AA791" s="4" t="str">
        <x:v>Offensive combat</x:v>
      </x:c>
      <x:c r="AB791" s="4" t="str">
        <x:v>Mixed / unresolved</x:v>
      </x:c>
      <x:c r="AC791" s="4" t="str">
        <x:v>Assembly</x:v>
      </x:c>
      <x:c r="AD791" s="4" t="str">
        <x:v>Proposal</x:v>
      </x:c>
      <x:c r="AE791" s="4" t="str">
        <x:f>LOWER(A791&amp;"; "&amp;B791&amp;"; "&amp;D791&amp;"; "&amp;E791&amp;"; "&amp;X791&amp;"; "&amp;Y791&amp;"; "&amp;Z791&amp;"; "&amp;AA791&amp;"; "&amp;AB791&amp;"; "&amp;AC791&amp;"; "&amp;AD791&amp;"; "&amp;V791&amp;"; "&amp;C791&amp;"; "&amp;AH791&amp;"; "&amp;AI791)</x:f>
        <x:v>proposal.collection.laser_blaster_power_cassette; laser-blaster power cassette; ammunition; ancient recovery; ammunition; recovered part; ancient technology; offensive combat; mixed / unresolved; assembly; proposal; laser-blaster power cassette; collection expansion; ammunition; not applicable; not applicable; finished item</x:v>
      </x:c>
      <x:c r="AF791"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1" s="4" t="str">
        <x:v>Recovered item outside contemporary manufacturing tiers.</x:v>
      </x:c>
      <x:c r="AH791" s="4" t="str">
        <x:v>Not applicable</x:v>
      </x:c>
      <x:c r="AI791" s="4" t="str">
        <x:v>Finished item</x:v>
      </x:c>
      <x:c r="AJ791" s="4" t="n">
        <x:f>COUNTIFS('Material routes'!$D$6:$D$2205,A791,'Material routes'!$C$6:$C$2205,"Output")</x:f>
        <x:v>0</x:v>
      </x:c>
      <x:c r="AK791" s="4" t="n">
        <x:f>SUM(COUNTIFS('Material routes'!$D$6:$D$2205,A791,'Material routes'!$C$6:$C$2205,"Ingredient candidate"),COUNTIFS('Material routes'!$D$6:$D$2205,A791,'Material routes'!$C$6:$C$2205,"Consumed input"),COUNTIFS('Material routes'!$D$6:$D$2205,A791,'Material routes'!$C$6:$C$2205,"Contained input"),COUNTIFS('Material routes'!$D$6:$D$2205,A791,'Material routes'!$C$6:$C$2205,"Transform input"))</x:f>
        <x:v>0</x:v>
      </x:c>
      <x:c r="AL791" s="4" t="n">
        <x:f>COUNTIFS('Material routes'!$D$6:$D$2205,A791,'Material routes'!$C$6:$C$2205,"Tool candidate")</x:f>
        <x:v>0</x:v>
      </x:c>
      <x:c r="AM791" s="4" t="str">
        <x:f>IF(AJ791&gt;0,"Route listed; review status/completeness",IF(C791="T0","Raw entry feed; no production route","No production route listed"))</x:f>
        <x:v>No production route listed</x:v>
      </x:c>
      <x:c r="AN791" s="4" t="n">
        <x:f>IF(C791="T0",0,IF(C791="T1",1,IF(C791="T2",2,IF(C791="T3",3,IF(C791="T4",4,IF(C791="Unassigned",98,99))))))</x:f>
        <x:v>99</x:v>
      </x:c>
      <x:c r="AZ791"/>
      <x:c r="BA791"/>
      <x:c r="BB791"/>
      <x:c r="BC791"/>
      <x:c r="BD791"/>
      <x:c r="BE791"/>
      <x:c r="BF791"/>
      <x:c r="BG791"/>
      <x:c r="BH791"/>
      <x:c r="BI791"/>
      <x:c r="BJ791"/>
      <x:c r="BK791"/>
      <x:c r="BL791"/>
      <x:c r="BM791"/>
      <x:c r="BN791"/>
      <x:c r="BO791"/>
      <x:c r="BP791"/>
      <x:c r="BQ791"/>
      <x:c r="BR791"/>
      <x:c r="BS791"/>
      <x:c r="BT791"/>
      <x:c r="BU791"/>
      <x:c r="BV791"/>
      <x:c r="BW791"/>
      <x:c r="BX791"/>
      <x:c r="BY791"/>
      <x:c r="BZ791"/>
      <x:c r="CA791"/>
      <x:c r="CB791"/>
      <x:c r="CC791"/>
    </x:row>
    <x:row r="792" ht="115" customHeight="1">
      <x:c r="A792" s="4" t="str">
        <x:v>proposal.collection.laser_sword_energy_insert</x:v>
      </x:c>
      <x:c r="B792" s="4" t="str">
        <x:v>Laser-sword energy insert</x:v>
      </x:c>
      <x:c r="C792" s="4" t="str">
        <x:v>Not applicable</x:v>
      </x:c>
      <x:c r="D792" s="4" t="inlineStr">
        <x:is>
          <x:t xml:space="preserve">Ammunition</x:t>
        </x:is>
      </x:c>
      <x:c r="E792" s="4" t="str">
        <x:v>Ancient recovery</x:v>
      </x:c>
      <x:c r="F792" s="4" t="str">
        <x:v>New proposal</x:v>
      </x:c>
      <x:c r="G792" s="4" t="inlineStr">
        <x:is>
          <x:t xml:space="preserve">Rare recovered blade power feed, distinct from a thrown projectile. It is intended for the recorded weapon role and compatible ammunition or energy feed. Damage, range, handling and operating requirements remain unassigned.</x:t>
        </x:is>
      </x:c>
      <x:c r="H792" s="4" t="str">
        <x:v>None</x:v>
      </x:c>
      <x:c r="I792" s="4" t="str">
        <x:v>Physical inventory / cargo item; dimensions and packing unresolved</x:v>
      </x:c>
      <x:c r="J792" s="4"/>
      <x:c r="K792" s="4"/>
      <x:c r="L792" s="4" t="str">
        <x:v>Recover a compatible ancient item</x:v>
      </x:c>
      <x:c r="M792" s="4" t="str">
        <x:v>Identify, inspect and preserve a recovered item; manufacturing unavailable</x:v>
      </x:c>
      <x:c r="N792" s="4" t="str">
        <x:v>Not implemented</x:v>
      </x:c>
      <x:c r="O792" s="4" t="str">
        <x:v>Extremely rare ancient recovery. Power, interface, durability and authenticity unresolved.</x:v>
      </x:c>
      <x:c r="P792" s="4" t="str">
        <x:v>Extremely rare</x:v>
      </x:c>
      <x:c r="Q792" s="4"/>
      <x:c r="R792" s="4"/>
      <x:c r="S792" s="4"/>
      <x:c r="T792" s="4"/>
      <x:c r="U792" s="4" t="str">
        <x:v>Ancient item names describe candidate functions, not known working mechanisms.</x:v>
      </x:c>
      <x:c r="V792" s="4" t="str">
        <x:v>laser-sword energy insert; collection expansion; ammunition</x:v>
      </x:c>
      <x:c r="W792" s="4" t="str">
        <x:v>New item proposal, October 15, 2026. Rare ancient recovery; no reproduction route. Setting reference (source proposal): https://github.com/sleepyseamonster/Arc-Dust/blob/f6f98515c005dc3c73cccd9cbc031691745740c6/02-Arc-Dust-Worldbuilding/world/materials/ancient-synthetics.md</x:v>
      </x:c>
      <x:c r="X792" s="4" t="str">
        <x:v>Ammunition</x:v>
      </x:c>
      <x:c r="Y792" s="4" t="str">
        <x:v>Recovered part</x:v>
      </x:c>
      <x:c r="Z792" s="4" t="str">
        <x:v>Ancient technology</x:v>
      </x:c>
      <x:c r="AA792" s="4" t="str">
        <x:v>Offensive combat</x:v>
      </x:c>
      <x:c r="AB792" s="4" t="str">
        <x:v>Mixed / unresolved</x:v>
      </x:c>
      <x:c r="AC792" s="4" t="str">
        <x:v>Assembly</x:v>
      </x:c>
      <x:c r="AD792" s="4" t="str">
        <x:v>Proposal</x:v>
      </x:c>
      <x:c r="AE792" s="4" t="str">
        <x:f>LOWER(A792&amp;"; "&amp;B792&amp;"; "&amp;D792&amp;"; "&amp;E792&amp;"; "&amp;X792&amp;"; "&amp;Y792&amp;"; "&amp;Z792&amp;"; "&amp;AA792&amp;"; "&amp;AB792&amp;"; "&amp;AC792&amp;"; "&amp;AD792&amp;"; "&amp;V792&amp;"; "&amp;C792&amp;"; "&amp;AH792&amp;"; "&amp;AI792)</x:f>
        <x:v>proposal.collection.laser_sword_energy_insert; laser-sword energy insert; ammunition; ancient recovery; ammunition; recovered part; ancient technology; offensive combat; mixed / unresolved; assembly; proposal; laser-sword energy insert; collection expansion; ammunition; not applicable; not applicable; finished item</x:v>
      </x:c>
      <x:c r="AF792"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2" s="4" t="str">
        <x:v>Recovered item outside contemporary manufacturing tiers.</x:v>
      </x:c>
      <x:c r="AH792" s="4" t="str">
        <x:v>Not applicable</x:v>
      </x:c>
      <x:c r="AI792" s="4" t="str">
        <x:v>Finished item</x:v>
      </x:c>
      <x:c r="AJ792" s="4" t="n">
        <x:f>COUNTIFS('Material routes'!$D$6:$D$2205,A792,'Material routes'!$C$6:$C$2205,"Output")</x:f>
        <x:v>0</x:v>
      </x:c>
      <x:c r="AK792" s="4" t="n">
        <x:f>SUM(COUNTIFS('Material routes'!$D$6:$D$2205,A792,'Material routes'!$C$6:$C$2205,"Ingredient candidate"),COUNTIFS('Material routes'!$D$6:$D$2205,A792,'Material routes'!$C$6:$C$2205,"Consumed input"),COUNTIFS('Material routes'!$D$6:$D$2205,A792,'Material routes'!$C$6:$C$2205,"Contained input"),COUNTIFS('Material routes'!$D$6:$D$2205,A792,'Material routes'!$C$6:$C$2205,"Transform input"))</x:f>
        <x:v>0</x:v>
      </x:c>
      <x:c r="AL792" s="4" t="n">
        <x:f>COUNTIFS('Material routes'!$D$6:$D$2205,A792,'Material routes'!$C$6:$C$2205,"Tool candidate")</x:f>
        <x:v>0</x:v>
      </x:c>
      <x:c r="AM792" s="4" t="str">
        <x:f>IF(AJ792&gt;0,"Route listed; review status/completeness",IF(C792="T0","Raw entry feed; no production route","No production route listed"))</x:f>
        <x:v>No production route listed</x:v>
      </x:c>
      <x:c r="AN792" s="4" t="n">
        <x:f>IF(C792="T0",0,IF(C792="T1",1,IF(C792="T2",2,IF(C792="T3",3,IF(C792="T4",4,IF(C792="Unassigned",98,99))))))</x:f>
        <x:v>99</x:v>
      </x:c>
      <x:c r="AZ792"/>
      <x:c r="BA792"/>
      <x:c r="BB792"/>
      <x:c r="BC792"/>
      <x:c r="BD792"/>
      <x:c r="BE792"/>
      <x:c r="BF792"/>
      <x:c r="BG792"/>
      <x:c r="BH792"/>
      <x:c r="BI792"/>
      <x:c r="BJ792"/>
      <x:c r="BK792"/>
      <x:c r="BL792"/>
      <x:c r="BM792"/>
      <x:c r="BN792"/>
      <x:c r="BO792"/>
      <x:c r="BP792"/>
      <x:c r="BQ792"/>
      <x:c r="BR792"/>
      <x:c r="BS792"/>
      <x:c r="BT792"/>
      <x:c r="BU792"/>
      <x:c r="BV792"/>
      <x:c r="BW792"/>
      <x:c r="BX792"/>
      <x:c r="BY792"/>
      <x:c r="BZ792"/>
      <x:c r="CA792"/>
      <x:c r="CB792"/>
      <x:c r="CC792"/>
    </x:row>
    <x:row r="793" ht="115" customHeight="1">
      <x:c r="A793" s="4" t="str">
        <x:v>proposal.collection.ancient_pulse_rifle_cell</x:v>
      </x:c>
      <x:c r="B793" s="4" t="str">
        <x:v>Ancient pulse-rifle cell</x:v>
      </x:c>
      <x:c r="C793" s="4" t="str">
        <x:v>Not applicable</x:v>
      </x:c>
      <x:c r="D793" s="4" t="inlineStr">
        <x:is>
          <x:t xml:space="preserve">Ammunition</x:t>
        </x:is>
      </x:c>
      <x:c r="E793" s="4" t="str">
        <x:v>Ancient recovery</x:v>
      </x:c>
      <x:c r="F793" s="4" t="str">
        <x:v>New proposal</x:v>
      </x:c>
      <x:c r="G793" s="4" t="inlineStr">
        <x:is>
          <x:t xml:space="preserve">Recovered matched electrical or ancient-energy feed. It is intended for the recorded weapon role and compatible ammunition or energy feed. Damage, range, handling and operating requirements remain unassigned.</x:t>
        </x:is>
      </x:c>
      <x:c r="H793" s="4" t="str">
        <x:v>None</x:v>
      </x:c>
      <x:c r="I793" s="4" t="str">
        <x:v>Physical inventory / cargo item; dimensions and packing unresolved</x:v>
      </x:c>
      <x:c r="J793" s="4"/>
      <x:c r="K793" s="4"/>
      <x:c r="L793" s="4" t="str">
        <x:v>Recover a compatible ancient item</x:v>
      </x:c>
      <x:c r="M793" s="4" t="str">
        <x:v>Identify, inspect and preserve a recovered item; manufacturing unavailable</x:v>
      </x:c>
      <x:c r="N793" s="4" t="str">
        <x:v>Not implemented</x:v>
      </x:c>
      <x:c r="O793" s="4" t="str">
        <x:v>Extremely rare ancient recovery. Power, interface, durability and authenticity unresolved.</x:v>
      </x:c>
      <x:c r="P793" s="4" t="str">
        <x:v>Extremely rare</x:v>
      </x:c>
      <x:c r="Q793" s="4"/>
      <x:c r="R793" s="4"/>
      <x:c r="S793" s="4"/>
      <x:c r="T793" s="4"/>
      <x:c r="U793" s="4" t="str">
        <x:v>Ancient item names describe candidate functions, not known working mechanisms.</x:v>
      </x:c>
      <x:c r="V793" s="4" t="str">
        <x:v>ancient pulse-rifle cell; collection expansion; ammunition</x:v>
      </x:c>
      <x:c r="W793" s="4" t="str">
        <x:v>New item proposal, October 15, 2026. Rare ancient recovery; no reproduction route. Setting reference (source proposal): https://github.com/sleepyseamonster/Arc-Dust/blob/f6f98515c005dc3c73cccd9cbc031691745740c6/02-Arc-Dust-Worldbuilding/world/materials/ancient-synthetics.md</x:v>
      </x:c>
      <x:c r="X793" s="4" t="str">
        <x:v>Ammunition</x:v>
      </x:c>
      <x:c r="Y793" s="4" t="str">
        <x:v>Recovered part</x:v>
      </x:c>
      <x:c r="Z793" s="4" t="str">
        <x:v>Ancient technology</x:v>
      </x:c>
      <x:c r="AA793" s="4" t="str">
        <x:v>Offensive combat</x:v>
      </x:c>
      <x:c r="AB793" s="4" t="str">
        <x:v>Mixed / unresolved</x:v>
      </x:c>
      <x:c r="AC793" s="4" t="str">
        <x:v>Assembly</x:v>
      </x:c>
      <x:c r="AD793" s="4" t="str">
        <x:v>Proposal</x:v>
      </x:c>
      <x:c r="AE793" s="4" t="str">
        <x:f>LOWER(A793&amp;"; "&amp;B793&amp;"; "&amp;D793&amp;"; "&amp;E793&amp;"; "&amp;X793&amp;"; "&amp;Y793&amp;"; "&amp;Z793&amp;"; "&amp;AA793&amp;"; "&amp;AB793&amp;"; "&amp;AC793&amp;"; "&amp;AD793&amp;"; "&amp;V793&amp;"; "&amp;C793&amp;"; "&amp;AH793&amp;"; "&amp;AI793)</x:f>
        <x:v>proposal.collection.ancient_pulse_rifle_cell; ancient pulse-rifle cell; ammunition; ancient recovery; ammunition; recovered part; ancient technology; offensive combat; mixed / unresolved; assembly; proposal; ancient pulse-rifle cell; collection expansion; ammunition; not applicable; not applicable; finished item</x:v>
      </x:c>
      <x:c r="AF793"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3" s="4" t="str">
        <x:v>Recovered item outside contemporary manufacturing tiers.</x:v>
      </x:c>
      <x:c r="AH793" s="4" t="str">
        <x:v>Not applicable</x:v>
      </x:c>
      <x:c r="AI793" s="4" t="str">
        <x:v>Finished item</x:v>
      </x:c>
      <x:c r="AJ793" s="4" t="n">
        <x:f>COUNTIFS('Material routes'!$D$6:$D$2205,A793,'Material routes'!$C$6:$C$2205,"Output")</x:f>
        <x:v>0</x:v>
      </x:c>
      <x:c r="AK793" s="4" t="n">
        <x:f>SUM(COUNTIFS('Material routes'!$D$6:$D$2205,A793,'Material routes'!$C$6:$C$2205,"Ingredient candidate"),COUNTIFS('Material routes'!$D$6:$D$2205,A793,'Material routes'!$C$6:$C$2205,"Consumed input"),COUNTIFS('Material routes'!$D$6:$D$2205,A793,'Material routes'!$C$6:$C$2205,"Contained input"),COUNTIFS('Material routes'!$D$6:$D$2205,A793,'Material routes'!$C$6:$C$2205,"Transform input"))</x:f>
        <x:v>0</x:v>
      </x:c>
      <x:c r="AL793" s="4" t="n">
        <x:f>COUNTIFS('Material routes'!$D$6:$D$2205,A793,'Material routes'!$C$6:$C$2205,"Tool candidate")</x:f>
        <x:v>0</x:v>
      </x:c>
      <x:c r="AM793" s="4" t="str">
        <x:f>IF(AJ793&gt;0,"Route listed; review status/completeness",IF(C793="T0","Raw entry feed; no production route","No production route listed"))</x:f>
        <x:v>No production route listed</x:v>
      </x:c>
      <x:c r="AN793" s="4" t="n">
        <x:f>IF(C793="T0",0,IF(C793="T1",1,IF(C793="T2",2,IF(C793="T3",3,IF(C793="T4",4,IF(C793="Unassigned",98,99))))))</x:f>
        <x:v>99</x:v>
      </x:c>
      <x:c r="AZ793"/>
      <x:c r="BA793"/>
      <x:c r="BB793"/>
      <x:c r="BC793"/>
      <x:c r="BD793"/>
      <x:c r="BE793"/>
      <x:c r="BF793"/>
      <x:c r="BG793"/>
      <x:c r="BH793"/>
      <x:c r="BI793"/>
      <x:c r="BJ793"/>
      <x:c r="BK793"/>
      <x:c r="BL793"/>
      <x:c r="BM793"/>
      <x:c r="BN793"/>
      <x:c r="BO793"/>
      <x:c r="BP793"/>
      <x:c r="BQ793"/>
      <x:c r="BR793"/>
      <x:c r="BS793"/>
      <x:c r="BT793"/>
      <x:c r="BU793"/>
      <x:c r="BV793"/>
      <x:c r="BW793"/>
      <x:c r="BX793"/>
      <x:c r="BY793"/>
      <x:c r="BZ793"/>
      <x:c r="CA793"/>
      <x:c r="CB793"/>
      <x:c r="CC793"/>
    </x:row>
    <x:row r="794" ht="115" customHeight="1">
      <x:c r="A794" s="4" t="str">
        <x:v>proposal.collection.ancient_plasma_lance_charge</x:v>
      </x:c>
      <x:c r="B794" s="4" t="str">
        <x:v>Ancient plasma-lance charge</x:v>
      </x:c>
      <x:c r="C794" s="4" t="str">
        <x:v>Not applicable</x:v>
      </x:c>
      <x:c r="D794" s="4" t="inlineStr">
        <x:is>
          <x:t xml:space="preserve">Ammunition</x:t>
        </x:is>
      </x:c>
      <x:c r="E794" s="4" t="str">
        <x:v>Ancient recovery</x:v>
      </x:c>
      <x:c r="F794" s="4" t="str">
        <x:v>New proposal</x:v>
      </x:c>
      <x:c r="G794" s="4" t="inlineStr">
        <x:is>
          <x:t xml:space="preserve">Recovered contained feed with unknown internal medium. It is intended for the recorded weapon role and compatible ammunition or energy feed. Damage, range, handling and operating requirements remain unassigned.</x:t>
        </x:is>
      </x:c>
      <x:c r="H794" s="4" t="str">
        <x:v>None</x:v>
      </x:c>
      <x:c r="I794" s="4" t="str">
        <x:v>Physical inventory / cargo item; dimensions and packing unresolved</x:v>
      </x:c>
      <x:c r="J794" s="4"/>
      <x:c r="K794" s="4"/>
      <x:c r="L794" s="4" t="str">
        <x:v>Recover a compatible ancient item</x:v>
      </x:c>
      <x:c r="M794" s="4" t="str">
        <x:v>Identify, inspect and preserve a recovered item; manufacturing unavailable</x:v>
      </x:c>
      <x:c r="N794" s="4" t="str">
        <x:v>Not implemented</x:v>
      </x:c>
      <x:c r="O794" s="4" t="str">
        <x:v>Extremely rare ancient recovery. Power, interface, durability and authenticity unresolved.</x:v>
      </x:c>
      <x:c r="P794" s="4" t="str">
        <x:v>Extremely rare</x:v>
      </x:c>
      <x:c r="Q794" s="4"/>
      <x:c r="R794" s="4"/>
      <x:c r="S794" s="4"/>
      <x:c r="T794" s="4"/>
      <x:c r="U794" s="4" t="str">
        <x:v>Ancient item names describe candidate functions, not known working mechanisms.</x:v>
      </x:c>
      <x:c r="V794" s="4" t="str">
        <x:v>ancient plasma-lance charge; collection expansion; ammunition</x:v>
      </x:c>
      <x:c r="W794" s="4" t="str">
        <x:v>New item proposal, October 15, 2026. Rare ancient recovery; no reproduction route. Setting reference (source proposal): https://github.com/sleepyseamonster/Arc-Dust/blob/f6f98515c005dc3c73cccd9cbc031691745740c6/02-Arc-Dust-Worldbuilding/world/materials/ancient-synthetics.md</x:v>
      </x:c>
      <x:c r="X794" s="4" t="str">
        <x:v>Ammunition</x:v>
      </x:c>
      <x:c r="Y794" s="4" t="str">
        <x:v>Recovered part</x:v>
      </x:c>
      <x:c r="Z794" s="4" t="str">
        <x:v>Ancient technology</x:v>
      </x:c>
      <x:c r="AA794" s="4" t="str">
        <x:v>Offensive combat</x:v>
      </x:c>
      <x:c r="AB794" s="4" t="str">
        <x:v>Mixed / unresolved</x:v>
      </x:c>
      <x:c r="AC794" s="4" t="str">
        <x:v>Assembly</x:v>
      </x:c>
      <x:c r="AD794" s="4" t="str">
        <x:v>Proposal</x:v>
      </x:c>
      <x:c r="AE794" s="4" t="str">
        <x:f>LOWER(A794&amp;"; "&amp;B794&amp;"; "&amp;D794&amp;"; "&amp;E794&amp;"; "&amp;X794&amp;"; "&amp;Y794&amp;"; "&amp;Z794&amp;"; "&amp;AA794&amp;"; "&amp;AB794&amp;"; "&amp;AC794&amp;"; "&amp;AD794&amp;"; "&amp;V794&amp;"; "&amp;C794&amp;"; "&amp;AH794&amp;"; "&amp;AI794)</x:f>
        <x:v>proposal.collection.ancient_plasma_lance_charge; ancient plasma-lance charge; ammunition; ancient recovery; ammunition; recovered part; ancient technology; offensive combat; mixed / unresolved; assembly; proposal; ancient plasma-lance charge; collection expansion; ammunition; not applicable; not applicable; finished item</x:v>
      </x:c>
      <x:c r="AF794"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4" s="4" t="str">
        <x:v>Recovered item outside contemporary manufacturing tiers.</x:v>
      </x:c>
      <x:c r="AH794" s="4" t="str">
        <x:v>Not applicable</x:v>
      </x:c>
      <x:c r="AI794" s="4" t="str">
        <x:v>Finished item</x:v>
      </x:c>
      <x:c r="AJ794" s="4" t="n">
        <x:f>COUNTIFS('Material routes'!$D$6:$D$2205,A794,'Material routes'!$C$6:$C$2205,"Output")</x:f>
        <x:v>0</x:v>
      </x:c>
      <x:c r="AK794" s="4" t="n">
        <x:f>SUM(COUNTIFS('Material routes'!$D$6:$D$2205,A794,'Material routes'!$C$6:$C$2205,"Ingredient candidate"),COUNTIFS('Material routes'!$D$6:$D$2205,A794,'Material routes'!$C$6:$C$2205,"Consumed input"),COUNTIFS('Material routes'!$D$6:$D$2205,A794,'Material routes'!$C$6:$C$2205,"Contained input"),COUNTIFS('Material routes'!$D$6:$D$2205,A794,'Material routes'!$C$6:$C$2205,"Transform input"))</x:f>
        <x:v>0</x:v>
      </x:c>
      <x:c r="AL794" s="4" t="n">
        <x:f>COUNTIFS('Material routes'!$D$6:$D$2205,A794,'Material routes'!$C$6:$C$2205,"Tool candidate")</x:f>
        <x:v>0</x:v>
      </x:c>
      <x:c r="AM794" s="4" t="str">
        <x:f>IF(AJ794&gt;0,"Route listed; review status/completeness",IF(C794="T0","Raw entry feed; no production route","No production route listed"))</x:f>
        <x:v>No production route listed</x:v>
      </x:c>
      <x:c r="AN794" s="4" t="n">
        <x:f>IF(C794="T0",0,IF(C794="T1",1,IF(C794="T2",2,IF(C794="T3",3,IF(C794="T4",4,IF(C794="Unassigned",98,99))))))</x:f>
        <x:v>99</x:v>
      </x:c>
      <x:c r="AZ794"/>
      <x:c r="BA794"/>
      <x:c r="BB794"/>
      <x:c r="BC794"/>
      <x:c r="BD794"/>
      <x:c r="BE794"/>
      <x:c r="BF794"/>
      <x:c r="BG794"/>
      <x:c r="BH794"/>
      <x:c r="BI794"/>
      <x:c r="BJ794"/>
      <x:c r="BK794"/>
      <x:c r="BL794"/>
      <x:c r="BM794"/>
      <x:c r="BN794"/>
      <x:c r="BO794"/>
      <x:c r="BP794"/>
      <x:c r="BQ794"/>
      <x:c r="BR794"/>
      <x:c r="BS794"/>
      <x:c r="BT794"/>
      <x:c r="BU794"/>
      <x:c r="BV794"/>
      <x:c r="BW794"/>
      <x:c r="BX794"/>
      <x:c r="BY794"/>
      <x:c r="BZ794"/>
      <x:c r="CA794"/>
      <x:c r="CB794"/>
      <x:c r="CC794"/>
    </x:row>
    <x:row r="795" ht="115" customHeight="1">
      <x:c r="A795" s="4" t="str">
        <x:v>proposal.collection.ancient_microrocket_cluster</x:v>
      </x:c>
      <x:c r="B795" s="4" t="str">
        <x:v>Ancient microrocket cluster</x:v>
      </x:c>
      <x:c r="C795" s="4" t="str">
        <x:v>Not applicable</x:v>
      </x:c>
      <x:c r="D795" s="4" t="inlineStr">
        <x:is>
          <x:t xml:space="preserve">Ammunition</x:t>
        </x:is>
      </x:c>
      <x:c r="E795" s="4" t="str">
        <x:v>Ancient recovery</x:v>
      </x:c>
      <x:c r="F795" s="4" t="str">
        <x:v>New proposal</x:v>
      </x:c>
      <x:c r="G795" s="4" t="inlineStr">
        <x:is>
          <x:t xml:space="preserve">Matched sealed ancient rounds, propellant unspecified. It is intended for the recorded weapon role and compatible ammunition or energy feed. Damage, range, handling and operating requirements remain unassigned.</x:t>
        </x:is>
      </x:c>
      <x:c r="H795" s="4" t="str">
        <x:v>None</x:v>
      </x:c>
      <x:c r="I795" s="4" t="str">
        <x:v>Physical inventory / cargo item; dimensions and packing unresolved</x:v>
      </x:c>
      <x:c r="J795" s="4"/>
      <x:c r="K795" s="4"/>
      <x:c r="L795" s="4" t="str">
        <x:v>Recover a compatible ancient item</x:v>
      </x:c>
      <x:c r="M795" s="4" t="str">
        <x:v>Identify, inspect and preserve a recovered item; manufacturing unavailable</x:v>
      </x:c>
      <x:c r="N795" s="4" t="str">
        <x:v>Not implemented</x:v>
      </x:c>
      <x:c r="O795" s="4" t="str">
        <x:v>Extremely rare ancient recovery. Power, interface, durability and authenticity unresolved.</x:v>
      </x:c>
      <x:c r="P795" s="4" t="str">
        <x:v>Extremely rare</x:v>
      </x:c>
      <x:c r="Q795" s="4"/>
      <x:c r="R795" s="4"/>
      <x:c r="S795" s="4"/>
      <x:c r="T795" s="4"/>
      <x:c r="U795" s="4" t="str">
        <x:v>Ancient item names describe candidate functions, not known working mechanisms.</x:v>
      </x:c>
      <x:c r="V795" s="4" t="str">
        <x:v>ancient microrocket cluster; collection expansion; ammunition</x:v>
      </x:c>
      <x:c r="W795" s="4" t="str">
        <x:v>New item proposal, October 15, 2026. Rare ancient recovery; no reproduction route. Setting reference (source proposal): https://github.com/sleepyseamonster/Arc-Dust/blob/f6f98515c005dc3c73cccd9cbc031691745740c6/02-Arc-Dust-Worldbuilding/world/materials/ancient-synthetics.md</x:v>
      </x:c>
      <x:c r="X795" s="4" t="str">
        <x:v>Ammunition</x:v>
      </x:c>
      <x:c r="Y795" s="4" t="str">
        <x:v>Recovered part</x:v>
      </x:c>
      <x:c r="Z795" s="4" t="str">
        <x:v>Ancient technology</x:v>
      </x:c>
      <x:c r="AA795" s="4" t="str">
        <x:v>Offensive combat</x:v>
      </x:c>
      <x:c r="AB795" s="4" t="str">
        <x:v>Mixed / unresolved</x:v>
      </x:c>
      <x:c r="AC795" s="4" t="str">
        <x:v>Assembly</x:v>
      </x:c>
      <x:c r="AD795" s="4" t="str">
        <x:v>Proposal</x:v>
      </x:c>
      <x:c r="AE795" s="4" t="str">
        <x:f>LOWER(A795&amp;"; "&amp;B795&amp;"; "&amp;D795&amp;"; "&amp;E795&amp;"; "&amp;X795&amp;"; "&amp;Y795&amp;"; "&amp;Z795&amp;"; "&amp;AA795&amp;"; "&amp;AB795&amp;"; "&amp;AC795&amp;"; "&amp;AD795&amp;"; "&amp;V795&amp;"; "&amp;C795&amp;"; "&amp;AH795&amp;"; "&amp;AI795)</x:f>
        <x:v>proposal.collection.ancient_microrocket_cluster; ancient microrocket cluster; ammunition; ancient recovery; ammunition; recovered part; ancient technology; offensive combat; mixed / unresolved; assembly; proposal; ancient microrocket cluster; collection expansion; ammunition; not applicable; not applicable; finished item</x:v>
      </x:c>
      <x:c r="AF795"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5" s="4" t="str">
        <x:v>Recovered item outside contemporary manufacturing tiers.</x:v>
      </x:c>
      <x:c r="AH795" s="4" t="str">
        <x:v>Not applicable</x:v>
      </x:c>
      <x:c r="AI795" s="4" t="str">
        <x:v>Finished item</x:v>
      </x:c>
      <x:c r="AJ795" s="4" t="n">
        <x:f>COUNTIFS('Material routes'!$D$6:$D$2205,A795,'Material routes'!$C$6:$C$2205,"Output")</x:f>
        <x:v>0</x:v>
      </x:c>
      <x:c r="AK795" s="4" t="n">
        <x:f>SUM(COUNTIFS('Material routes'!$D$6:$D$2205,A795,'Material routes'!$C$6:$C$2205,"Ingredient candidate"),COUNTIFS('Material routes'!$D$6:$D$2205,A795,'Material routes'!$C$6:$C$2205,"Consumed input"),COUNTIFS('Material routes'!$D$6:$D$2205,A795,'Material routes'!$C$6:$C$2205,"Contained input"),COUNTIFS('Material routes'!$D$6:$D$2205,A795,'Material routes'!$C$6:$C$2205,"Transform input"))</x:f>
        <x:v>0</x:v>
      </x:c>
      <x:c r="AL795" s="4" t="n">
        <x:f>COUNTIFS('Material routes'!$D$6:$D$2205,A795,'Material routes'!$C$6:$C$2205,"Tool candidate")</x:f>
        <x:v>0</x:v>
      </x:c>
      <x:c r="AM795" s="4" t="str">
        <x:f>IF(AJ795&gt;0,"Route listed; review status/completeness",IF(C795="T0","Raw entry feed; no production route","No production route listed"))</x:f>
        <x:v>No production route listed</x:v>
      </x:c>
      <x:c r="AN795" s="4" t="n">
        <x:f>IF(C795="T0",0,IF(C795="T1",1,IF(C795="T2",2,IF(C795="T3",3,IF(C795="T4",4,IF(C795="Unassigned",98,99))))))</x:f>
        <x:v>99</x:v>
      </x:c>
      <x:c r="AZ795"/>
      <x:c r="BA795"/>
      <x:c r="BB795"/>
      <x:c r="BC795"/>
      <x:c r="BD795"/>
      <x:c r="BE795"/>
      <x:c r="BF795"/>
      <x:c r="BG795"/>
      <x:c r="BH795"/>
      <x:c r="BI795"/>
      <x:c r="BJ795"/>
      <x:c r="BK795"/>
      <x:c r="BL795"/>
      <x:c r="BM795"/>
      <x:c r="BN795"/>
      <x:c r="BO795"/>
      <x:c r="BP795"/>
      <x:c r="BQ795"/>
      <x:c r="BR795"/>
      <x:c r="BS795"/>
      <x:c r="BT795"/>
      <x:c r="BU795"/>
      <x:c r="BV795"/>
      <x:c r="BW795"/>
      <x:c r="BX795"/>
      <x:c r="BY795"/>
      <x:c r="BZ795"/>
      <x:c r="CA795"/>
      <x:c r="CB795"/>
      <x:c r="CC795"/>
    </x:row>
    <x:row r="796" ht="115" customHeight="1">
      <x:c r="A796" s="4" t="str">
        <x:v>proposal.collection.ancient_sonic_pulse_pack</x:v>
      </x:c>
      <x:c r="B796" s="4" t="str">
        <x:v>Ancient sonic pulse pack</x:v>
      </x:c>
      <x:c r="C796" s="4" t="str">
        <x:v>Not applicable</x:v>
      </x:c>
      <x:c r="D796" s="4" t="inlineStr">
        <x:is>
          <x:t xml:space="preserve">Ammunition</x:t>
        </x:is>
      </x:c>
      <x:c r="E796" s="4" t="str">
        <x:v>Ancient recovery</x:v>
      </x:c>
      <x:c r="F796" s="4" t="str">
        <x:v>New proposal</x:v>
      </x:c>
      <x:c r="G796" s="4" t="inlineStr">
        <x:is>
          <x:t xml:space="preserve">Recovered matched power feed for an acoustic weapon. It is intended for the recorded weapon role and compatible ammunition or energy feed. Damage, range, handling and operating requirements remain unassigned.</x:t>
        </x:is>
      </x:c>
      <x:c r="H796" s="4" t="str">
        <x:v>None</x:v>
      </x:c>
      <x:c r="I796" s="4" t="str">
        <x:v>Physical inventory / cargo item; dimensions and packing unresolved</x:v>
      </x:c>
      <x:c r="J796" s="4"/>
      <x:c r="K796" s="4"/>
      <x:c r="L796" s="4" t="str">
        <x:v>Recover a compatible ancient item</x:v>
      </x:c>
      <x:c r="M796" s="4" t="str">
        <x:v>Identify, inspect and preserve a recovered item; manufacturing unavailable</x:v>
      </x:c>
      <x:c r="N796" s="4" t="str">
        <x:v>Not implemented</x:v>
      </x:c>
      <x:c r="O796" s="4" t="str">
        <x:v>Extremely rare ancient recovery. Power, interface, durability and authenticity unresolved.</x:v>
      </x:c>
      <x:c r="P796" s="4" t="str">
        <x:v>Extremely rare</x:v>
      </x:c>
      <x:c r="Q796" s="4"/>
      <x:c r="R796" s="4"/>
      <x:c r="S796" s="4"/>
      <x:c r="T796" s="4"/>
      <x:c r="U796" s="4" t="str">
        <x:v>Ancient item names describe candidate functions, not known working mechanisms.</x:v>
      </x:c>
      <x:c r="V796" s="4" t="str">
        <x:v>ancient sonic pulse pack; collection expansion; ammunition</x:v>
      </x:c>
      <x:c r="W796" s="4" t="str">
        <x:v>New item proposal, October 15, 2026. Rare ancient recovery; no reproduction route. Setting reference (source proposal): https://github.com/sleepyseamonster/Arc-Dust/blob/f6f98515c005dc3c73cccd9cbc031691745740c6/02-Arc-Dust-Worldbuilding/world/materials/ancient-synthetics.md</x:v>
      </x:c>
      <x:c r="X796" s="4" t="str">
        <x:v>Ammunition</x:v>
      </x:c>
      <x:c r="Y796" s="4" t="str">
        <x:v>Recovered part</x:v>
      </x:c>
      <x:c r="Z796" s="4" t="str">
        <x:v>Ancient technology</x:v>
      </x:c>
      <x:c r="AA796" s="4" t="str">
        <x:v>Offensive combat</x:v>
      </x:c>
      <x:c r="AB796" s="4" t="str">
        <x:v>Mixed / unresolved</x:v>
      </x:c>
      <x:c r="AC796" s="4" t="str">
        <x:v>Assembly</x:v>
      </x:c>
      <x:c r="AD796" s="4" t="str">
        <x:v>Proposal</x:v>
      </x:c>
      <x:c r="AE796" s="4" t="str">
        <x:f>LOWER(A796&amp;"; "&amp;B796&amp;"; "&amp;D796&amp;"; "&amp;E796&amp;"; "&amp;X796&amp;"; "&amp;Y796&amp;"; "&amp;Z796&amp;"; "&amp;AA796&amp;"; "&amp;AB796&amp;"; "&amp;AC796&amp;"; "&amp;AD796&amp;"; "&amp;V796&amp;"; "&amp;C796&amp;"; "&amp;AH796&amp;"; "&amp;AI796)</x:f>
        <x:v>proposal.collection.ancient_sonic_pulse_pack; ancient sonic pulse pack; ammunition; ancient recovery; ammunition; recovered part; ancient technology; offensive combat; mixed / unresolved; assembly; proposal; ancient sonic pulse pack; collection expansion; ammunition; not applicable; not applicable; finished item</x:v>
      </x:c>
      <x:c r="AF796"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6" s="4" t="str">
        <x:v>Recovered item outside contemporary manufacturing tiers.</x:v>
      </x:c>
      <x:c r="AH796" s="4" t="str">
        <x:v>Not applicable</x:v>
      </x:c>
      <x:c r="AI796" s="4" t="str">
        <x:v>Finished item</x:v>
      </x:c>
      <x:c r="AJ796" s="4" t="n">
        <x:f>COUNTIFS('Material routes'!$D$6:$D$2205,A796,'Material routes'!$C$6:$C$2205,"Output")</x:f>
        <x:v>0</x:v>
      </x:c>
      <x:c r="AK796" s="4" t="n">
        <x:f>SUM(COUNTIFS('Material routes'!$D$6:$D$2205,A796,'Material routes'!$C$6:$C$2205,"Ingredient candidate"),COUNTIFS('Material routes'!$D$6:$D$2205,A796,'Material routes'!$C$6:$C$2205,"Consumed input"),COUNTIFS('Material routes'!$D$6:$D$2205,A796,'Material routes'!$C$6:$C$2205,"Contained input"),COUNTIFS('Material routes'!$D$6:$D$2205,A796,'Material routes'!$C$6:$C$2205,"Transform input"))</x:f>
        <x:v>0</x:v>
      </x:c>
      <x:c r="AL796" s="4" t="n">
        <x:f>COUNTIFS('Material routes'!$D$6:$D$2205,A796,'Material routes'!$C$6:$C$2205,"Tool candidate")</x:f>
        <x:v>0</x:v>
      </x:c>
      <x:c r="AM796" s="4" t="str">
        <x:f>IF(AJ796&gt;0,"Route listed; review status/completeness",IF(C796="T0","Raw entry feed; no production route","No production route listed"))</x:f>
        <x:v>No production route listed</x:v>
      </x:c>
      <x:c r="AN796" s="4" t="n">
        <x:f>IF(C796="T0",0,IF(C796="T1",1,IF(C796="T2",2,IF(C796="T3",3,IF(C796="T4",4,IF(C796="Unassigned",98,99))))))</x:f>
        <x:v>99</x:v>
      </x:c>
      <x:c r="AZ796"/>
      <x:c r="BA796"/>
      <x:c r="BB796"/>
      <x:c r="BC796"/>
      <x:c r="BD796"/>
      <x:c r="BE796"/>
      <x:c r="BF796"/>
      <x:c r="BG796"/>
      <x:c r="BH796"/>
      <x:c r="BI796"/>
      <x:c r="BJ796"/>
      <x:c r="BK796"/>
      <x:c r="BL796"/>
      <x:c r="BM796"/>
      <x:c r="BN796"/>
      <x:c r="BO796"/>
      <x:c r="BP796"/>
      <x:c r="BQ796"/>
      <x:c r="BR796"/>
      <x:c r="BS796"/>
      <x:c r="BT796"/>
      <x:c r="BU796"/>
      <x:c r="BV796"/>
      <x:c r="BW796"/>
      <x:c r="BX796"/>
      <x:c r="BY796"/>
      <x:c r="BZ796"/>
      <x:c r="CA796"/>
      <x:c r="CB796"/>
      <x:c r="CC796"/>
    </x:row>
    <x:row r="797" ht="115" customHeight="1">
      <x:c r="A797" s="4" t="str">
        <x:v>proposal.audit.selected_culinary_salt_crystals</x:v>
      </x:c>
      <x:c r="B797" s="4" t="str">
        <x:v>Selected culinary salt crystals</x:v>
      </x:c>
      <x:c r="C797" s="4" t="str">
        <x:v>T0</x:v>
      </x:c>
      <x:c r="D797" s="4" t="str">
        <x:v>Mineral resources</x:v>
      </x:c>
      <x:c r="E797" s="4" t="str">
        <x:v>Crafting audit support item</x:v>
      </x:c>
      <x:c r="F797" s="4" t="str">
        <x:v>New proposal</x:v>
      </x:c>
      <x:c r="G797" s="4" t="inlineStr">
        <x:is>
          <x:t xml:space="preserve">Candidate dietary source selected independently of industrial salt; composition must be verified. It supports a food-designated preparation process. Industrial chemicals and unverified biological fractions cannot substitute for selected culinary inputs.</x:t>
        </x:is>
      </x:c>
      <x:c r="H797" s="4" t="str">
        <x:v>None</x:v>
      </x:c>
      <x:c r="I797" s="4" t="str">
        <x:v>Physical item; installed or cargo fit unresolved</x:v>
      </x:c>
      <x:c r="J797" s="4"/>
      <x:c r="K797" s="4"/>
      <x:c r="L797" s="4" t="str">
        <x:v>Collect selected candidate source</x:v>
      </x:c>
      <x:c r="M797" s="4" t="str">
        <x:v>Partial design; tools, quantities, yield and qualification unresolved</x:v>
      </x:c>
      <x:c r="N797" s="4" t="str">
        <x:v>Not implemented</x:v>
      </x:c>
      <x:c r="O797" s="4" t="str">
        <x:v>No free environmental water, ordinary cloth, conventional-fat premise or ancient-material reproduction.</x:v>
      </x:c>
      <x:c r="P797" s="4"/>
      <x:c r="Q797" s="4"/>
      <x:c r="R797" s="4"/>
      <x:c r="S797" s="4"/>
      <x:c r="T797" s="4"/>
      <x:c r="U797" s="4" t="str">
        <x:v>Candidate dietary source selected independently of industrial salt; composition must be verified.</x:v>
      </x:c>
      <x:c r="V797" s="4" t="str">
        <x:v>selected culinary salt crystals; crafting audit</x:v>
      </x:c>
      <x:c r="W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7" s="4" t="str">
        <x:v>Raw material</x:v>
      </x:c>
      <x:c r="Y797" s="4" t="str">
        <x:v>Raw</x:v>
      </x:c>
      <x:c r="Z797" s="4" t="str">
        <x:v>Geological</x:v>
      </x:c>
      <x:c r="AA797" s="4" t="str">
        <x:v>Food preparation</x:v>
      </x:c>
      <x:c r="AB797" s="4" t="str">
        <x:v>Mineral</x:v>
      </x:c>
      <x:c r="AC797" s="4" t="str">
        <x:v>Particles</x:v>
      </x:c>
      <x:c r="AD797" s="4" t="str">
        <x:v>Proposal</x:v>
      </x:c>
      <x:c r="AE797" s="4" t="str">
        <x:f>LOWER(A797&amp;"; "&amp;B797&amp;"; "&amp;D797&amp;"; "&amp;E797&amp;"; "&amp;X797&amp;"; "&amp;Y797&amp;"; "&amp;Z797&amp;"; "&amp;AA797&amp;"; "&amp;AB797&amp;"; "&amp;AC797&amp;"; "&amp;AD797&amp;"; "&amp;V797&amp;"; "&amp;C797&amp;"; "&amp;AH797&amp;"; "&amp;AI797)</x:f>
        <x:v>proposal.audit.selected_culinary_salt_crystals; selected culinary salt crystals; mineral resources; crafting audit support item; raw material; raw; geological; food preparation; mineral; particles; proposal; selected culinary salt crystals; crafting audit; t0; not applicable; material</x:v>
      </x:c>
      <x:c r="AF797" s="4" t="str">
        <x:v>New support/source proposal from item-chain audit; not accepted source canon.</x:v>
      </x:c>
      <x:c r="AG797" s="4" t="str">
        <x:v>Raw entry feed.</x:v>
      </x:c>
      <x:c r="AH797" s="4" t="str">
        <x:v>Not applicable</x:v>
      </x:c>
      <x:c r="AI797" s="4" t="str">
        <x:v>Material</x:v>
      </x:c>
      <x:c r="AJ797" s="4" t="n">
        <x:f>COUNTIFS('Material routes'!$D$6:$D$2205,A797,'Material routes'!$C$6:$C$2205,"Output")</x:f>
        <x:v>0</x:v>
      </x:c>
      <x:c r="AK797" s="4" t="n">
        <x:f>SUM(COUNTIFS('Material routes'!$D$6:$D$2205,A797,'Material routes'!$C$6:$C$2205,"Ingredient candidate"),COUNTIFS('Material routes'!$D$6:$D$2205,A797,'Material routes'!$C$6:$C$2205,"Consumed input"),COUNTIFS('Material routes'!$D$6:$D$2205,A797,'Material routes'!$C$6:$C$2205,"Contained input"),COUNTIFS('Material routes'!$D$6:$D$2205,A797,'Material routes'!$C$6:$C$2205,"Transform input"))</x:f>
        <x:v>1</x:v>
      </x:c>
      <x:c r="AL797" s="4" t="n">
        <x:f>COUNTIFS('Material routes'!$D$6:$D$2205,A797,'Material routes'!$C$6:$C$2205,"Tool candidate")</x:f>
        <x:v>0</x:v>
      </x:c>
      <x:c r="AM797" s="4" t="str">
        <x:f>IF(AJ797&gt;0,"Route listed; review status/completeness",IF(C797="T0","Raw entry feed; no production route","No production route listed"))</x:f>
        <x:v>Raw entry feed; no production route</x:v>
      </x:c>
      <x:c r="AN797" s="4" t="n">
        <x:f>IF(C797="T0",0,IF(C797="T1",1,IF(C797="T2",2,IF(C797="T3",3,IF(C797="T4",4,IF(C797="Unassigned",98,99))))))</x:f>
        <x:v>0</x:v>
      </x:c>
      <x:c r="AZ797"/>
      <x:c r="BA797"/>
      <x:c r="BB797"/>
      <x:c r="BC797"/>
      <x:c r="BD797"/>
      <x:c r="BE797"/>
      <x:c r="BF797"/>
      <x:c r="BG797"/>
      <x:c r="BH797"/>
      <x:c r="BI797"/>
      <x:c r="BJ797"/>
      <x:c r="BK797"/>
      <x:c r="BL797"/>
      <x:c r="BM797"/>
      <x:c r="BN797"/>
      <x:c r="BO797"/>
      <x:c r="BP797"/>
      <x:c r="BQ797"/>
      <x:c r="BR797"/>
      <x:c r="BS797"/>
      <x:c r="BT797"/>
      <x:c r="BU797"/>
      <x:c r="BV797"/>
      <x:c r="BW797"/>
      <x:c r="BX797"/>
      <x:c r="BY797"/>
      <x:c r="BZ797"/>
      <x:c r="CA797"/>
      <x:c r="CB797"/>
      <x:c r="CC797"/>
    </x:row>
    <x:row r="798" ht="115" customHeight="1">
      <x:c r="A798" s="4"/>
      <x:c r="B798" s="4"/>
      <x:c r="C798" s="4"/>
      <x:c r="D798" s="4"/>
      <x:c r="E798" s="4"/>
      <x:c r="F798" s="4"/>
      <x:c r="G798" s="4"/>
      <x:c r="H798" s="4"/>
      <x:c r="I798" s="4"/>
      <x:c r="J798" s="4"/>
      <x:c r="K798" s="4"/>
      <x:c r="L798" s="4"/>
      <x:c r="M798" s="4"/>
      <x:c r="N798" s="4"/>
      <x:c r="O798" s="4"/>
      <x:c r="P798" s="4"/>
      <x:c r="Q798" s="4"/>
      <x:c r="R798" s="4"/>
      <x:c r="S798" s="4"/>
      <x:c r="T798" s="4"/>
      <x:c r="U798" s="4"/>
      <x:c r="V798" s="4"/>
      <x:c r="W798" s="4"/>
      <x:c r="X798" s="4"/>
      <x:c r="Y798" s="4"/>
      <x:c r="Z798" s="4"/>
      <x:c r="AA798" s="4"/>
      <x:c r="AB798" s="4"/>
      <x:c r="AC798" s="4"/>
      <x:c r="AD798" s="4"/>
      <x:c r="AE798" s="4"/>
      <x:c r="AF798" s="4"/>
      <x:c r="AG798" s="4"/>
      <x:c r="AH798" s="4"/>
      <x:c r="AI798" s="4"/>
      <x:c r="AJ798" s="4"/>
      <x:c r="AK798" s="4"/>
      <x:c r="AL798" s="4"/>
      <x:c r="AM798" s="4"/>
      <x:c r="AN798" s="4"/>
      <x:c r="AZ798"/>
      <x:c r="BA798"/>
      <x:c r="BB798"/>
      <x:c r="BC798"/>
      <x:c r="BD798"/>
      <x:c r="BE798"/>
      <x:c r="BF798"/>
      <x:c r="BG798"/>
      <x:c r="BH798"/>
      <x:c r="BI798"/>
      <x:c r="BJ798"/>
      <x:c r="BK798"/>
      <x:c r="BL798"/>
      <x:c r="BM798"/>
      <x:c r="BN798"/>
      <x:c r="BO798"/>
      <x:c r="BP798"/>
      <x:c r="BQ798"/>
      <x:c r="BR798"/>
      <x:c r="BS798"/>
      <x:c r="BT798"/>
      <x:c r="BU798"/>
      <x:c r="BV798"/>
      <x:c r="BW798"/>
      <x:c r="BX798"/>
      <x:c r="BY798"/>
      <x:c r="BZ798"/>
      <x:c r="CA798"/>
      <x:c r="CB798"/>
      <x:c r="CC798"/>
    </x:row>
    <x:row r="799" ht="115" customHeight="1">
      <x:c r="A799" s="4" t="str">
        <x:v>proposal.audit.contained_dry_working_gas</x:v>
      </x:c>
      <x:c r="B799" s="4" t="str">
        <x:v>Contained dry working gas</x:v>
      </x:c>
      <x:c r="C799" s="4" t="str">
        <x:v>T0</x:v>
      </x:c>
      <x:c r="D799" s="4" t="str">
        <x:v>Atmospheric resources</x:v>
      </x:c>
      <x:c r="E799" s="4" t="str">
        <x:v>Crafting audit support item</x:v>
      </x:c>
      <x:c r="F799" s="4" t="str">
        <x:v>New proposal</x:v>
      </x:c>
      <x:c r="G799" s="4" t="inlineStr">
        <x:is>
          <x:t xml:space="preserve">Candidate closed-system gas charge; composition, collection and pressure suitability unresolved. It holds energy in the recorded physical form for a compatible system. Assembly alone does not supply charge, pressure, heat or mechanical preload.</x:t>
        </x:is>
      </x:c>
      <x:c r="H799" s="4" t="str">
        <x:v>None</x:v>
      </x:c>
      <x:c r="I799" s="4" t="str">
        <x:v>Closed compatible vessel required</x:v>
      </x:c>
      <x:c r="J799" s="4"/>
      <x:c r="K799" s="4"/>
      <x:c r="L799" s="4" t="str">
        <x:v>Collect selected candidate source</x:v>
      </x:c>
      <x:c r="M799" s="4" t="str">
        <x:v>Partial design; tools, quantities, yield and qualification unresolved</x:v>
      </x:c>
      <x:c r="N799" s="4" t="str">
        <x:v>Not implemented</x:v>
      </x:c>
      <x:c r="O799" s="4" t="str">
        <x:v>No free environmental water, ordinary cloth, conventional-fat premise or ancient-material reproduction.</x:v>
      </x:c>
      <x:c r="P799" s="4"/>
      <x:c r="Q799" s="4"/>
      <x:c r="R799" s="4"/>
      <x:c r="S799" s="4"/>
      <x:c r="T799" s="4"/>
      <x:c r="U799" s="4" t="str">
        <x:v>Candidate closed-system gas charge; composition, collection and pressure suitability unresolved.</x:v>
      </x:c>
      <x:c r="V799" s="4" t="str">
        <x:v>contained dry working gas; crafting audit</x:v>
      </x:c>
      <x:c r="W7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9" s="4" t="str">
        <x:v>Raw material</x:v>
      </x:c>
      <x:c r="Y799" s="4" t="str">
        <x:v>Raw</x:v>
      </x:c>
      <x:c r="Z799" s="4" t="str">
        <x:v>Atmospheric</x:v>
      </x:c>
      <x:c r="AA799" s="4" t="str">
        <x:v>Energy storage</x:v>
      </x:c>
      <x:c r="AB799" s="4" t="str">
        <x:v>Unresolved</x:v>
      </x:c>
      <x:c r="AC799" s="4" t="str">
        <x:v>Gas</x:v>
      </x:c>
      <x:c r="AD799" s="4" t="str">
        <x:v>Proposal</x:v>
      </x:c>
      <x:c r="AE799" s="4" t="str">
        <x:f>LOWER(A799&amp;"; "&amp;B799&amp;"; "&amp;D799&amp;"; "&amp;E799&amp;"; "&amp;X799&amp;"; "&amp;Y799&amp;"; "&amp;Z799&amp;"; "&amp;AA799&amp;"; "&amp;AB799&amp;"; "&amp;AC799&amp;"; "&amp;AD799&amp;"; "&amp;V799&amp;"; "&amp;C799&amp;"; "&amp;AH799&amp;"; "&amp;AI799)</x:f>
        <x:v>proposal.audit.contained_dry_working_gas; contained dry working gas; atmospheric resources; crafting audit support item; raw material; raw; atmospheric; energy storage; unresolved; gas; proposal; contained dry working gas; crafting audit; t0; not applicable; material</x:v>
      </x:c>
      <x:c r="AF799" s="4" t="str">
        <x:v>New support/source proposal from item-chain audit; not accepted source canon.</x:v>
      </x:c>
      <x:c r="AG799" s="4" t="str">
        <x:v>Raw entry feed.</x:v>
      </x:c>
      <x:c r="AH799" s="4" t="str">
        <x:v>Not applicable</x:v>
      </x:c>
      <x:c r="AI799" s="4" t="str">
        <x:v>Material</x:v>
      </x:c>
      <x:c r="AJ799" s="4" t="n">
        <x:f>COUNTIFS('Material routes'!$D$6:$D$2205,A799,'Material routes'!$C$6:$C$2205,"Output")</x:f>
        <x:v>0</x:v>
      </x:c>
      <x:c r="AK799" s="4" t="n">
        <x:f>SUM(COUNTIFS('Material routes'!$D$6:$D$2205,A799,'Material routes'!$C$6:$C$2205,"Ingredient candidate"),COUNTIFS('Material routes'!$D$6:$D$2205,A799,'Material routes'!$C$6:$C$2205,"Consumed input"),COUNTIFS('Material routes'!$D$6:$D$2205,A799,'Material routes'!$C$6:$C$2205,"Contained input"),COUNTIFS('Material routes'!$D$6:$D$2205,A799,'Material routes'!$C$6:$C$2205,"Transform input"))</x:f>
        <x:v>1</x:v>
      </x:c>
      <x:c r="AL799" s="4" t="n">
        <x:f>COUNTIFS('Material routes'!$D$6:$D$2205,A799,'Material routes'!$C$6:$C$2205,"Tool candidate")</x:f>
        <x:v>0</x:v>
      </x:c>
      <x:c r="AM799" s="4" t="str">
        <x:f>IF(AJ799&gt;0,"Route listed; review status/completeness",IF(C799="T0","Raw entry feed; no production route","No production route listed"))</x:f>
        <x:v>Raw entry feed; no production route</x:v>
      </x:c>
      <x:c r="AN799" s="4" t="n">
        <x:f>IF(C799="T0",0,IF(C799="T1",1,IF(C799="T2",2,IF(C799="T3",3,IF(C799="T4",4,IF(C799="Unassigned",98,99))))))</x:f>
        <x:v>0</x:v>
      </x:c>
      <x:c r="AZ799"/>
      <x:c r="BA799"/>
      <x:c r="BB799"/>
      <x:c r="BC799"/>
      <x:c r="BD799"/>
      <x:c r="BE799"/>
      <x:c r="BF799"/>
      <x:c r="BG799"/>
      <x:c r="BH799"/>
      <x:c r="BI799"/>
      <x:c r="BJ799"/>
      <x:c r="BK799"/>
      <x:c r="BL799"/>
      <x:c r="BM799"/>
      <x:c r="BN799"/>
      <x:c r="BO799"/>
      <x:c r="BP799"/>
      <x:c r="BQ799"/>
      <x:c r="BR799"/>
      <x:c r="BS799"/>
      <x:c r="BT799"/>
      <x:c r="BU799"/>
      <x:c r="BV799"/>
      <x:c r="BW799"/>
      <x:c r="BX799"/>
      <x:c r="BY799"/>
      <x:c r="BZ799"/>
      <x:c r="CA799"/>
      <x:c r="CB799"/>
      <x:c r="CC799"/>
    </x:row>
    <x:row r="800" ht="115" customHeight="1">
      <x:c r="A800" s="4" t="str">
        <x:v>proposal.audit.screened_remanent_magnet_pieces</x:v>
      </x:c>
      <x:c r="B800" s="4" t="str">
        <x:v>Screened remanent magnet pieces</x:v>
      </x:c>
      <x:c r="C800" s="4" t="str">
        <x:v>T1</x:v>
      </x:c>
      <x:c r="D800" s="4" t="str">
        <x:v>Manufactured stock</x:v>
      </x:c>
      <x:c r="E800" s="4" t="str">
        <x:v>Crafting audit support item</x:v>
      </x:c>
      <x:c r="F800" s="4" t="str">
        <x:v>New proposal</x:v>
      </x:c>
      <x:c r="G800" s="4" t="inlineStr">
        <x:is>
          <x:t xml:space="preserve">Sort still-magnetized salvage; this is not magnet creation by smelting magnetite. It is intended for a compatible magnetic holding or collection arrangement. Useful magnetism and mechanical retention must be checked independently.</x:t>
        </x:is>
      </x:c>
      <x:c r="H800" s="4" t="str">
        <x:v>None</x:v>
      </x:c>
      <x:c r="I800" s="4" t="str">
        <x:v>Physical item; installed or cargo fit unresolved</x:v>
      </x:c>
      <x:c r="J800" s="4"/>
      <x:c r="K800" s="4"/>
      <x:c r="L800" s="4" t="str">
        <x:v>Candidate preparation; see normalized crafting routes</x:v>
      </x:c>
      <x:c r="M800" s="4" t="str">
        <x:v>Partial design; tools, quantities, yield and qualification unresolved</x:v>
      </x:c>
      <x:c r="N800" s="4" t="str">
        <x:v>Not implemented</x:v>
      </x:c>
      <x:c r="O800" s="4" t="str">
        <x:v>No free environmental water, ordinary cloth, conventional-fat premise or ancient-material reproduction.</x:v>
      </x:c>
      <x:c r="P800" s="4"/>
      <x:c r="Q800" s="4"/>
      <x:c r="R800" s="4"/>
      <x:c r="S800" s="4"/>
      <x:c r="T800" s="4"/>
      <x:c r="U800" s="4" t="str">
        <x:v>Sort still-magnetized salvage; this is not magnet creation by smelting magnetite.</x:v>
      </x:c>
      <x:c r="V800" s="4" t="str">
        <x:v>screened remanent magnet pieces; crafting audit</x:v>
      </x:c>
      <x:c r="W8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0" s="4" t="str">
        <x:v>Processed material</x:v>
      </x:c>
      <x:c r="Y800" s="4" t="str">
        <x:v>Processed intermediate</x:v>
      </x:c>
      <x:c r="Z800" s="4" t="str">
        <x:v>Manufactured / unresolved</x:v>
      </x:c>
      <x:c r="AA800" s="4" t="str">
        <x:v>Magnetic tools</x:v>
      </x:c>
      <x:c r="AB800" s="4" t="str">
        <x:v>Metal</x:v>
      </x:c>
      <x:c r="AC800" s="4" t="str">
        <x:v>Solid piece</x:v>
      </x:c>
      <x:c r="AD800" s="4" t="str">
        <x:v>Proposal</x:v>
      </x:c>
      <x:c r="AE800" s="4" t="str">
        <x:f>LOWER(A800&amp;"; "&amp;B800&amp;"; "&amp;D800&amp;"; "&amp;E800&amp;"; "&amp;X800&amp;"; "&amp;Y800&amp;"; "&amp;Z800&amp;"; "&amp;AA800&amp;"; "&amp;AB800&amp;"; "&amp;AC800&amp;"; "&amp;AD800&amp;"; "&amp;V800&amp;"; "&amp;C800&amp;"; "&amp;AH800&amp;"; "&amp;AI800)</x:f>
        <x:v>proposal.audit.screened_remanent_magnet_pieces; screened remanent magnet pieces; manufactured stock; crafting audit support item; processed material; processed intermediate; manufactured / unresolved; magnetic tools; metal; solid piece; proposal; screened remanent magnet pieces; crafting audit; t1; not applicable; material</x:v>
      </x:c>
      <x:c r="AF800" s="4" t="str">
        <x:v>New support/source proposal from item-chain audit; not accepted source canon.</x:v>
      </x:c>
      <x:c r="AG800" s="4" t="str">
        <x:v>Selected partial route; processing depth is independent of rarity.</x:v>
      </x:c>
      <x:c r="AH800" s="4" t="str">
        <x:v>Not applicable</x:v>
      </x:c>
      <x:c r="AI800" s="4" t="str">
        <x:v>Material</x:v>
      </x:c>
      <x:c r="AJ800" s="4" t="n">
        <x:f>COUNTIFS('Material routes'!$D$6:$D$2205,A800,'Material routes'!$C$6:$C$2205,"Output")</x:f>
        <x:v>1</x:v>
      </x:c>
      <x:c r="AK800" s="4" t="n">
        <x:f>SUM(COUNTIFS('Material routes'!$D$6:$D$2205,A800,'Material routes'!$C$6:$C$2205,"Ingredient candidate"),COUNTIFS('Material routes'!$D$6:$D$2205,A800,'Material routes'!$C$6:$C$2205,"Consumed input"),COUNTIFS('Material routes'!$D$6:$D$2205,A800,'Material routes'!$C$6:$C$2205,"Contained input"),COUNTIFS('Material routes'!$D$6:$D$2205,A800,'Material routes'!$C$6:$C$2205,"Transform input"))</x:f>
        <x:v>1</x:v>
      </x:c>
      <x:c r="AL800" s="4" t="n">
        <x:f>COUNTIFS('Material routes'!$D$6:$D$2205,A800,'Material routes'!$C$6:$C$2205,"Tool candidate")</x:f>
        <x:v>0</x:v>
      </x:c>
      <x:c r="AM800" s="4" t="str">
        <x:f>IF(AJ800&gt;0,"Route listed; review status/completeness",IF(C800="T0","Raw entry feed; no production route","No production route listed"))</x:f>
        <x:v>Route listed; review status/completeness</x:v>
      </x:c>
      <x:c r="AN800" s="4" t="n">
        <x:f>IF(C800="T0",0,IF(C800="T1",1,IF(C800="T2",2,IF(C800="T3",3,IF(C800="T4",4,IF(C800="Unassigned",98,99))))))</x:f>
        <x:v>1</x:v>
      </x:c>
      <x:c r="AZ800"/>
      <x:c r="BA800"/>
      <x:c r="BB800"/>
      <x:c r="BC800"/>
      <x:c r="BD800"/>
      <x:c r="BE800"/>
      <x:c r="BF800"/>
      <x:c r="BG800"/>
      <x:c r="BH800"/>
      <x:c r="BI800"/>
      <x:c r="BJ800"/>
      <x:c r="BK800"/>
      <x:c r="BL800"/>
      <x:c r="BM800"/>
      <x:c r="BN800"/>
      <x:c r="BO800"/>
      <x:c r="BP800"/>
      <x:c r="BQ800"/>
      <x:c r="BR800"/>
      <x:c r="BS800"/>
      <x:c r="BT800"/>
      <x:c r="BU800"/>
      <x:c r="BV800"/>
      <x:c r="BW800"/>
      <x:c r="BX800"/>
      <x:c r="BY800"/>
      <x:c r="BZ800"/>
      <x:c r="CA800"/>
      <x:c r="CB800"/>
      <x:c r="CC800"/>
    </x:row>
    <x:row r="801" ht="115" customHeight="1">
      <x:c r="A801" s="4" t="str">
        <x:v>proposal.audit.pressed_hide_fastening_strips</x:v>
      </x:c>
      <x:c r="B801" s="4" t="str">
        <x:v>Pressed hide fastening strips</x:v>
      </x:c>
      <x:c r="C801" s="4" t="str">
        <x:v>T2</x:v>
      </x:c>
      <x:c r="D801" s="4" t="str">
        <x:v>Manufactured stock</x:v>
      </x:c>
      <x:c r="E801" s="4" t="str">
        <x:v>Crafting audit support item</x:v>
      </x:c>
      <x:c r="F801" s="4" t="str">
        <x:v>New proposal</x:v>
      </x:c>
      <x:c r="G801" s="4" t="inlineStr">
        <x:is>
          <x:t xml:space="preserve">Narrow strips of scarce processed hide intended for garment fastenings and flexible retaining ties. They join clothing pieces where a rigid metal fitting would be awkward; strip dimensions, attachment method and working strength remain open.</x:t>
        </x:is>
      </x:c>
      <x:c r="H801" s="4" t="str">
        <x:v>None</x:v>
      </x:c>
      <x:c r="I801" s="4" t="str">
        <x:v>Physical item; installed or cargo fit unresolved</x:v>
      </x:c>
      <x:c r="J801" s="4"/>
      <x:c r="K801" s="4"/>
      <x:c r="L801" s="4" t="str">
        <x:v>Candidate preparation; see normalized crafting routes</x:v>
      </x:c>
      <x:c r="M801" s="4" t="str">
        <x:v>Partial design; tools, quantities, yield and qualification unresolved</x:v>
      </x:c>
      <x:c r="N801" s="4" t="str">
        <x:v>Not implemented</x:v>
      </x:c>
      <x:c r="O801" s="4" t="str">
        <x:v>No free environmental water, ordinary cloth, conventional-fat premise or ancient-material reproduction.</x:v>
      </x:c>
      <x:c r="P801" s="4"/>
      <x:c r="Q801" s="4"/>
      <x:c r="R801" s="4"/>
      <x:c r="S801" s="4"/>
      <x:c r="T801" s="4"/>
      <x:c r="U801" s="4" t="str">
        <x:v>Pressed hide fastening strips</x:v>
      </x:c>
      <x:c r="V801" s="4" t="str">
        <x:v>pressed hide fastening strips; crafting audit</x:v>
      </x:c>
      <x:c r="W8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1" s="4" t="str">
        <x:v>Processed material</x:v>
      </x:c>
      <x:c r="Y801" s="4" t="str">
        <x:v>Processed intermediate</x:v>
      </x:c>
      <x:c r="Z801" s="4" t="str">
        <x:v>Manufactured / unresolved</x:v>
      </x:c>
      <x:c r="AA801" s="4" t="str">
        <x:v>Clothing fabrication</x:v>
      </x:c>
      <x:c r="AB801" s="4" t="str">
        <x:v>Hide</x:v>
      </x:c>
      <x:c r="AC801" s="4" t="str">
        <x:v>Solid piece</x:v>
      </x:c>
      <x:c r="AD801" s="4" t="str">
        <x:v>Proposal</x:v>
      </x:c>
      <x:c r="AE801" s="4" t="str">
        <x:f>LOWER(A801&amp;"; "&amp;B801&amp;"; "&amp;D801&amp;"; "&amp;E801&amp;"; "&amp;X801&amp;"; "&amp;Y801&amp;"; "&amp;Z801&amp;"; "&amp;AA801&amp;"; "&amp;AB801&amp;"; "&amp;AC801&amp;"; "&amp;AD801&amp;"; "&amp;V801&amp;"; "&amp;C801&amp;"; "&amp;AH801&amp;"; "&amp;AI801)</x:f>
        <x:v>proposal.audit.pressed_hide_fastening_strips; pressed hide fastening strips; manufactured stock; crafting audit support item; processed material; processed intermediate; manufactured / unresolved; clothing fabrication; hide; solid piece; proposal; pressed hide fastening strips; crafting audit; t2; not applicable; material</x:v>
      </x:c>
      <x:c r="AF801" s="4" t="str">
        <x:v>New support/source proposal from item-chain audit; not accepted source canon.</x:v>
      </x:c>
      <x:c r="AG801" s="4" t="str">
        <x:v>Selected partial route; processing depth is independent of rarity.</x:v>
      </x:c>
      <x:c r="AH801" s="4" t="str">
        <x:v>Not applicable</x:v>
      </x:c>
      <x:c r="AI801" s="4" t="str">
        <x:v>Material</x:v>
      </x:c>
      <x:c r="AJ801" s="4" t="n">
        <x:f>COUNTIFS('Material routes'!$D$6:$D$2205,A801,'Material routes'!$C$6:$C$2205,"Output")</x:f>
        <x:v>1</x:v>
      </x:c>
      <x:c r="AK801" s="4" t="n">
        <x:f>SUM(COUNTIFS('Material routes'!$D$6:$D$2205,A801,'Material routes'!$C$6:$C$2205,"Ingredient candidate"),COUNTIFS('Material routes'!$D$6:$D$2205,A801,'Material routes'!$C$6:$C$2205,"Consumed input"),COUNTIFS('Material routes'!$D$6:$D$2205,A801,'Material routes'!$C$6:$C$2205,"Contained input"),COUNTIFS('Material routes'!$D$6:$D$2205,A801,'Material routes'!$C$6:$C$2205,"Transform input"))</x:f>
        <x:v>16</x:v>
      </x:c>
      <x:c r="AL801" s="4" t="n">
        <x:f>COUNTIFS('Material routes'!$D$6:$D$2205,A801,'Material routes'!$C$6:$C$2205,"Tool candidate")</x:f>
        <x:v>0</x:v>
      </x:c>
      <x:c r="AM801" s="4" t="str">
        <x:f>IF(AJ801&gt;0,"Route listed; review status/completeness",IF(C801="T0","Raw entry feed; no production route","No production route listed"))</x:f>
        <x:v>Route listed; review status/completeness</x:v>
      </x:c>
      <x:c r="AN801" s="4" t="n">
        <x:f>IF(C801="T0",0,IF(C801="T1",1,IF(C801="T2",2,IF(C801="T3",3,IF(C801="T4",4,IF(C801="Unassigned",98,99))))))</x:f>
        <x:v>2</x:v>
      </x:c>
      <x:c r="AZ801"/>
      <x:c r="BA801"/>
      <x:c r="BB801"/>
      <x:c r="BC801"/>
      <x:c r="BD801"/>
      <x:c r="BE801"/>
      <x:c r="BF801"/>
      <x:c r="BG801"/>
      <x:c r="BH801"/>
      <x:c r="BI801"/>
      <x:c r="BJ801"/>
      <x:c r="BK801"/>
      <x:c r="BL801"/>
      <x:c r="BM801"/>
      <x:c r="BN801"/>
      <x:c r="BO801"/>
      <x:c r="BP801"/>
      <x:c r="BQ801"/>
      <x:c r="BR801"/>
      <x:c r="BS801"/>
      <x:c r="BT801"/>
      <x:c r="BU801"/>
      <x:c r="BV801"/>
      <x:c r="BW801"/>
      <x:c r="BX801"/>
      <x:c r="BY801"/>
      <x:c r="BZ801"/>
      <x:c r="CA801"/>
      <x:c r="CB801"/>
      <x:c r="CC801"/>
    </x:row>
    <x:row r="802" ht="115" customHeight="1">
      <x:c r="A802" s="4" t="str">
        <x:v>proposal.audit.drawn_steel_music_wire_stock</x:v>
      </x:c>
      <x:c r="B802" s="4" t="str">
        <x:v>Drawn steel music-wire stock</x:v>
      </x:c>
      <x:c r="C802" s="4" t="str">
        <x:v>T4</x:v>
      </x:c>
      <x:c r="D802" s="4" t="str">
        <x:v>Manufactured stock</x:v>
      </x:c>
      <x:c r="E802" s="4" t="str">
        <x:v>Crafting audit support item</x:v>
      </x:c>
      <x:c r="F802" s="4" t="str">
        <x:v>New proposal</x:v>
      </x:c>
      <x:c r="G802" s="4" t="inlineStr">
        <x:is>
          <x:t xml:space="preserve">Drawn steel wire stock proposed for strings and other tensioned parts in musical instruments. It provides a candidate alternative to scarce biological strings; wire grade, working tension and acoustic tuning still require design.</x:t>
        </x:is>
      </x:c>
      <x:c r="H802" s="4" t="str">
        <x:v>None</x:v>
      </x:c>
      <x:c r="I802" s="4" t="str">
        <x:v>Physical item; installed or cargo fit unresolved</x:v>
      </x:c>
      <x:c r="J802" s="4"/>
      <x:c r="K802" s="4"/>
      <x:c r="L802" s="4" t="str">
        <x:v>Candidate preparation; see normalized crafting routes</x:v>
      </x:c>
      <x:c r="M802" s="4" t="str">
        <x:v>Partial design; tools, quantities, yield and qualification unresolved</x:v>
      </x:c>
      <x:c r="N802" s="4" t="str">
        <x:v>Not implemented</x:v>
      </x:c>
      <x:c r="O802" s="4" t="str">
        <x:v>No free environmental water, ordinary cloth, conventional-fat premise or ancient-material reproduction.</x:v>
      </x:c>
      <x:c r="P802" s="4"/>
      <x:c r="Q802" s="4"/>
      <x:c r="R802" s="4"/>
      <x:c r="S802" s="4"/>
      <x:c r="T802" s="4"/>
      <x:c r="U802" s="4" t="str">
        <x:v>Drawn steel music-wire stock</x:v>
      </x:c>
      <x:c r="V802" s="4" t="str">
        <x:v>drawn steel music-wire stock; crafting audit</x:v>
      </x:c>
      <x:c r="W8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2" s="4" t="str">
        <x:v>Processed material</x:v>
      </x:c>
      <x:c r="Y802" s="4" t="str">
        <x:v>Processed intermediate</x:v>
      </x:c>
      <x:c r="Z802" s="4" t="str">
        <x:v>Manufactured / unresolved</x:v>
      </x:c>
      <x:c r="AA802" s="4" t="str">
        <x:v>Music</x:v>
      </x:c>
      <x:c r="AB802" s="4" t="str">
        <x:v>Metal</x:v>
      </x:c>
      <x:c r="AC802" s="4" t="str">
        <x:v>Solid piece</x:v>
      </x:c>
      <x:c r="AD802" s="4" t="str">
        <x:v>Proposal</x:v>
      </x:c>
      <x:c r="AE802" s="4" t="str">
        <x:f>LOWER(A802&amp;"; "&amp;B802&amp;"; "&amp;D802&amp;"; "&amp;E802&amp;"; "&amp;X802&amp;"; "&amp;Y802&amp;"; "&amp;Z802&amp;"; "&amp;AA802&amp;"; "&amp;AB802&amp;"; "&amp;AC802&amp;"; "&amp;AD802&amp;"; "&amp;V802&amp;"; "&amp;C802&amp;"; "&amp;AH802&amp;"; "&amp;AI802)</x:f>
        <x:v>proposal.audit.drawn_steel_music_wire_stock; drawn steel music-wire stock; manufactured stock; crafting audit support item; processed material; processed intermediate; manufactured / unresolved; music; metal; solid piece; proposal; drawn steel music-wire stock; crafting audit; t4; not applicable; material</x:v>
      </x:c>
      <x:c r="AF802" s="4" t="str">
        <x:v>New support/source proposal from item-chain audit; not accepted source canon.</x:v>
      </x:c>
      <x:c r="AG802" s="4" t="str">
        <x:v>Selected partial route; processing depth is independent of rarity.</x:v>
      </x:c>
      <x:c r="AH802" s="4" t="str">
        <x:v>Not applicable</x:v>
      </x:c>
      <x:c r="AI802" s="4" t="str">
        <x:v>Material</x:v>
      </x:c>
      <x:c r="AJ802" s="4" t="n">
        <x:f>COUNTIFS('Material routes'!$D$6:$D$2205,A802,'Material routes'!$C$6:$C$2205,"Output")</x:f>
        <x:v>1</x:v>
      </x:c>
      <x:c r="AK802" s="4" t="n">
        <x:f>SUM(COUNTIFS('Material routes'!$D$6:$D$2205,A802,'Material routes'!$C$6:$C$2205,"Ingredient candidate"),COUNTIFS('Material routes'!$D$6:$D$2205,A802,'Material routes'!$C$6:$C$2205,"Consumed input"),COUNTIFS('Material routes'!$D$6:$D$2205,A802,'Material routes'!$C$6:$C$2205,"Contained input"),COUNTIFS('Material routes'!$D$6:$D$2205,A802,'Material routes'!$C$6:$C$2205,"Transform input"))</x:f>
        <x:v>1</x:v>
      </x:c>
      <x:c r="AL802" s="4" t="n">
        <x:f>COUNTIFS('Material routes'!$D$6:$D$2205,A802,'Material routes'!$C$6:$C$2205,"Tool candidate")</x:f>
        <x:v>0</x:v>
      </x:c>
      <x:c r="AM802" s="4" t="str">
        <x:f>IF(AJ802&gt;0,"Route listed; review status/completeness",IF(C802="T0","Raw entry feed; no production route","No production route listed"))</x:f>
        <x:v>Route listed; review status/completeness</x:v>
      </x:c>
      <x:c r="AN802" s="4" t="n">
        <x:f>IF(C802="T0",0,IF(C802="T1",1,IF(C802="T2",2,IF(C802="T3",3,IF(C802="T4",4,IF(C802="Unassigned",98,99))))))</x:f>
        <x:v>4</x:v>
      </x:c>
      <x:c r="AZ802"/>
      <x:c r="BA802"/>
      <x:c r="BB802"/>
      <x:c r="BC802"/>
      <x:c r="BD802"/>
      <x:c r="BE802"/>
      <x:c r="BF802"/>
      <x:c r="BG802"/>
      <x:c r="BH802"/>
      <x:c r="BI802"/>
      <x:c r="BJ802"/>
      <x:c r="BK802"/>
      <x:c r="BL802"/>
      <x:c r="BM802"/>
      <x:c r="BN802"/>
      <x:c r="BO802"/>
      <x:c r="BP802"/>
      <x:c r="BQ802"/>
      <x:c r="BR802"/>
      <x:c r="BS802"/>
      <x:c r="BT802"/>
      <x:c r="BU802"/>
      <x:c r="BV802"/>
      <x:c r="BW802"/>
      <x:c r="BX802"/>
      <x:c r="BY802"/>
      <x:c r="BZ802"/>
      <x:c r="CA802"/>
      <x:c r="CB802"/>
      <x:c r="CC802"/>
    </x:row>
    <x:row r="803" ht="115" customHeight="1">
      <x:c r="A803" s="4" t="str">
        <x:v>proposal.audit.mineral_cell_electrolyte_candidate</x:v>
      </x:c>
      <x:c r="B803" s="4" t="str">
        <x:v>Mineral-cell electrolyte candidate</x:v>
      </x:c>
      <x:c r="C803" s="4" t="str">
        <x:v>T2</x:v>
      </x:c>
      <x:c r="D803" s="4" t="inlineStr">
        <x:is>
          <x:t xml:space="preserve">Crafting components</x:t>
        </x:is>
      </x:c>
      <x:c r="E803" s="4" t="str">
        <x:v>Crafting audit support item</x:v>
      </x:c>
      <x:c r="F803" s="4" t="str">
        <x:v>New proposal</x:v>
      </x:c>
      <x:c r="G803" s="4" t="str">
        <x:v>Contained battery-medium hypothesis. Conductivity, electrode compatibility and chemistry require research.</x:v>
      </x:c>
      <x:c r="H803" s="4" t="str">
        <x:v>None</x:v>
      </x:c>
      <x:c r="I803" s="4" t="str">
        <x:v>Physical item; installed or cargo fit unresolved</x:v>
      </x:c>
      <x:c r="J803" s="4"/>
      <x:c r="K803" s="4"/>
      <x:c r="L803" s="4" t="str">
        <x:v>Candidate preparation; see normalized crafting routes</x:v>
      </x:c>
      <x:c r="M803" s="4" t="str">
        <x:v>Partial design; tools, quantities, yield and qualification unresolved</x:v>
      </x:c>
      <x:c r="N803" s="4" t="str">
        <x:v>Not implemented</x:v>
      </x:c>
      <x:c r="O803" s="4" t="str">
        <x:v>No free environmental water, ordinary cloth, conventional-fat premise or ancient-material reproduction.</x:v>
      </x:c>
      <x:c r="P803" s="4"/>
      <x:c r="Q803" s="4"/>
      <x:c r="R803" s="4"/>
      <x:c r="S803" s="4"/>
      <x:c r="T803" s="4"/>
      <x:c r="U803" s="4" t="str">
        <x:v>Contained battery-medium hypothesis. Conductivity, electrode compatibility and chemistry require research.</x:v>
      </x:c>
      <x:c r="V803" s="4" t="str">
        <x:v>mineral-cell electrolyte candidate; crafting audit</x:v>
      </x:c>
      <x:c r="W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3" s="4" t="str">
        <x:v>Chemical material</x:v>
      </x:c>
      <x:c r="Y803" s="4" t="str">
        <x:v>Processed intermediate</x:v>
      </x:c>
      <x:c r="Z803" s="4" t="str">
        <x:v>Manufactured / unresolved</x:v>
      </x:c>
      <x:c r="AA803" s="4" t="str">
        <x:v>Energy storage</x:v>
      </x:c>
      <x:c r="AB803" s="4" t="str">
        <x:v>Biological and mineral mixture</x:v>
      </x:c>
      <x:c r="AC803" s="4" t="str">
        <x:v>Unresolved</x:v>
      </x:c>
      <x:c r="AD803" s="4" t="str">
        <x:v>Proposal</x:v>
      </x:c>
      <x:c r="AE803" s="4" t="str">
        <x:f>LOWER(A803&amp;"; "&amp;B803&amp;"; "&amp;D803&amp;"; "&amp;E803&amp;"; "&amp;X803&amp;"; "&amp;Y803&amp;"; "&amp;Z803&amp;"; "&amp;AA803&amp;"; "&amp;AB803&amp;"; "&amp;AC803&amp;"; "&amp;AD803&amp;"; "&amp;V803&amp;"; "&amp;C803&amp;"; "&amp;AH803&amp;"; "&amp;AI803)</x:f>
        <x:v>proposal.audit.mineral_cell_electrolyte_candidate; mineral-cell electrolyte candidate; crafting components; crafting audit support item; chemical material; processed intermediate; manufactured / unresolved; energy storage; biological and mineral mixture; unresolved; proposal; mineral-cell electrolyte candidate; crafting audit; t2; not applicable; material</x:v>
      </x:c>
      <x:c r="AF803" s="4" t="inlineStr">
        <x:is>
          <x:t xml:space="preserve">New support/source proposal from item-chain audit; not accepted source canon. Author direction October 15: all Processing agents belong in Crafting components; retire the separate Processing agents section. Identity, condition, tiers, properties and recipe roles remain unchanged.</x:t>
        </x:is>
      </x:c>
      <x:c r="AG803" s="4" t="str">
        <x:v>Selected partial route; processing depth is independent of rarity.</x:v>
      </x:c>
      <x:c r="AH803" s="4" t="str">
        <x:v>Not applicable</x:v>
      </x:c>
      <x:c r="AI803" s="4" t="str">
        <x:v>Material</x:v>
      </x:c>
      <x:c r="AJ803" s="4" t="n">
        <x:f>COUNTIFS('Material routes'!$D$6:$D$2205,A803,'Material routes'!$C$6:$C$2205,"Output")</x:f>
        <x:v>1</x:v>
      </x:c>
      <x:c r="AK803" s="4" t="n">
        <x:f>SUM(COUNTIFS('Material routes'!$D$6:$D$2205,A803,'Material routes'!$C$6:$C$2205,"Ingredient candidate"),COUNTIFS('Material routes'!$D$6:$D$2205,A803,'Material routes'!$C$6:$C$2205,"Consumed input"),COUNTIFS('Material routes'!$D$6:$D$2205,A803,'Material routes'!$C$6:$C$2205,"Contained input"),COUNTIFS('Material routes'!$D$6:$D$2205,A803,'Material routes'!$C$6:$C$2205,"Transform input"))</x:f>
        <x:v>3</x:v>
      </x:c>
      <x:c r="AL803" s="4" t="n">
        <x:f>COUNTIFS('Material routes'!$D$6:$D$2205,A803,'Material routes'!$C$6:$C$2205,"Tool candidate")</x:f>
        <x:v>0</x:v>
      </x:c>
      <x:c r="AM803" s="4" t="str">
        <x:f>IF(AJ803&gt;0,"Route listed; review status/completeness",IF(C803="T0","Raw entry feed; no production route","No production route listed"))</x:f>
        <x:v>Route listed; review status/completeness</x:v>
      </x:c>
      <x:c r="AN803" s="4" t="n">
        <x:f>IF(C803="T0",0,IF(C803="T1",1,IF(C803="T2",2,IF(C803="T3",3,IF(C803="T4",4,IF(C803="Unassigned",98,99))))))</x:f>
        <x:v>2</x:v>
      </x:c>
      <x:c r="AZ803"/>
      <x:c r="BA803"/>
      <x:c r="BB803"/>
      <x:c r="BC803"/>
      <x:c r="BD803"/>
      <x:c r="BE803"/>
      <x:c r="BF803"/>
      <x:c r="BG803"/>
      <x:c r="BH803"/>
      <x:c r="BI803"/>
      <x:c r="BJ803"/>
      <x:c r="BK803"/>
      <x:c r="BL803"/>
      <x:c r="BM803"/>
      <x:c r="BN803"/>
      <x:c r="BO803"/>
      <x:c r="BP803"/>
      <x:c r="BQ803"/>
      <x:c r="BR803"/>
      <x:c r="BS803"/>
      <x:c r="BT803"/>
      <x:c r="BU803"/>
      <x:c r="BV803"/>
      <x:c r="BW803"/>
      <x:c r="BX803"/>
      <x:c r="BY803"/>
      <x:c r="BZ803"/>
      <x:c r="CA803"/>
      <x:c r="CB803"/>
      <x:c r="CC803"/>
    </x:row>
    <x:row r="804" ht="115" customHeight="1">
      <x:c r="A804" s="4" t="str">
        <x:v>proposal.audit.graphite_electrode_plate_stock</x:v>
      </x:c>
      <x:c r="B804" s="4" t="str">
        <x:v>Graphite electrode plate stock</x:v>
      </x:c>
      <x:c r="C804" s="4" t="str">
        <x:v>T2</x:v>
      </x:c>
      <x:c r="D804" s="4" t="str">
        <x:v>Manufactured stock</x:v>
      </x:c>
      <x:c r="E804" s="4" t="str">
        <x:v>Crafting audit support item</x:v>
      </x:c>
      <x:c r="F804" s="4" t="str">
        <x:v>New proposal</x:v>
      </x:c>
      <x:c r="G804" s="4" t="inlineStr">
        <x:is>
          <x:t xml:space="preserve">Graphite stock prepared as flat electrode blanks for electrical assemblies. The plates provide candidate conductive surfaces that can be fitted into a designed cell or contact arrangement; chemistry, connections and operating ratings remain unresolved.</x:t>
        </x:is>
      </x:c>
      <x:c r="H804" s="4" t="str">
        <x:v>None</x:v>
      </x:c>
      <x:c r="I804" s="4" t="str">
        <x:v>Physical item; installed or cargo fit unresolved</x:v>
      </x:c>
      <x:c r="J804" s="4"/>
      <x:c r="K804" s="4"/>
      <x:c r="L804" s="4" t="str">
        <x:v>Candidate preparation; see normalized crafting routes</x:v>
      </x:c>
      <x:c r="M804" s="4" t="str">
        <x:v>Partial design; tools, quantities, yield and qualification unresolved</x:v>
      </x:c>
      <x:c r="N804" s="4" t="str">
        <x:v>Not implemented</x:v>
      </x:c>
      <x:c r="O804" s="4" t="str">
        <x:v>No free environmental water, ordinary cloth, conventional-fat premise or ancient-material reproduction.</x:v>
      </x:c>
      <x:c r="P804" s="4"/>
      <x:c r="Q804" s="4"/>
      <x:c r="R804" s="4"/>
      <x:c r="S804" s="4"/>
      <x:c r="T804" s="4"/>
      <x:c r="U804" s="4" t="str">
        <x:v>Graphite electrode plate stock</x:v>
      </x:c>
      <x:c r="V804" s="4" t="str">
        <x:v>graphite electrode plate stock; crafting audit</x:v>
      </x:c>
      <x:c r="W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4" s="4" t="str">
        <x:v>Processed material</x:v>
      </x:c>
      <x:c r="Y804" s="4" t="str">
        <x:v>Processed intermediate</x:v>
      </x:c>
      <x:c r="Z804" s="4" t="str">
        <x:v>Manufactured / unresolved</x:v>
      </x:c>
      <x:c r="AA804" s="4" t="str">
        <x:v>Electrical work</x:v>
      </x:c>
      <x:c r="AB804" s="4" t="str">
        <x:v>Carbonaceous material</x:v>
      </x:c>
      <x:c r="AC804" s="4" t="str">
        <x:v>Solid piece</x:v>
      </x:c>
      <x:c r="AD804" s="4" t="str">
        <x:v>Proposal</x:v>
      </x:c>
      <x:c r="AE804" s="4" t="str">
        <x:f>LOWER(A804&amp;"; "&amp;B804&amp;"; "&amp;D804&amp;"; "&amp;E804&amp;"; "&amp;X804&amp;"; "&amp;Y804&amp;"; "&amp;Z804&amp;"; "&amp;AA804&amp;"; "&amp;AB804&amp;"; "&amp;AC804&amp;"; "&amp;AD804&amp;"; "&amp;V804&amp;"; "&amp;C804&amp;"; "&amp;AH804&amp;"; "&amp;AI804)</x:f>
        <x:v>proposal.audit.graphite_electrode_plate_stock; graphite electrode plate stock; manufactured stock; crafting audit support item; processed material; processed intermediate; manufactured / unresolved; electrical work; carbonaceous material; solid piece; proposal; graphite electrode plate stock; crafting audit; t2; not applicable; material</x:v>
      </x:c>
      <x:c r="AF804" s="4" t="str">
        <x:v>New support/source proposal from item-chain audit; not accepted source canon.</x:v>
      </x:c>
      <x:c r="AG804" s="4" t="str">
        <x:v>Selected partial route; processing depth is independent of rarity.</x:v>
      </x:c>
      <x:c r="AH804" s="4" t="str">
        <x:v>Not applicable</x:v>
      </x:c>
      <x:c r="AI804" s="4" t="str">
        <x:v>Material</x:v>
      </x:c>
      <x:c r="AJ804" s="4" t="n">
        <x:f>COUNTIFS('Material routes'!$D$6:$D$2205,A804,'Material routes'!$C$6:$C$2205,"Output")</x:f>
        <x:v>1</x:v>
      </x:c>
      <x:c r="AK804" s="4" t="n">
        <x:f>SUM(COUNTIFS('Material routes'!$D$6:$D$2205,A804,'Material routes'!$C$6:$C$2205,"Ingredient candidate"),COUNTIFS('Material routes'!$D$6:$D$2205,A804,'Material routes'!$C$6:$C$2205,"Consumed input"),COUNTIFS('Material routes'!$D$6:$D$2205,A804,'Material routes'!$C$6:$C$2205,"Contained input"),COUNTIFS('Material routes'!$D$6:$D$2205,A804,'Material routes'!$C$6:$C$2205,"Transform input"))</x:f>
        <x:v>3</x:v>
      </x:c>
      <x:c r="AL804" s="4" t="n">
        <x:f>COUNTIFS('Material routes'!$D$6:$D$2205,A804,'Material routes'!$C$6:$C$2205,"Tool candidate")</x:f>
        <x:v>0</x:v>
      </x:c>
      <x:c r="AM804" s="4" t="str">
        <x:f>IF(AJ804&gt;0,"Route listed; review status/completeness",IF(C804="T0","Raw entry feed; no production route","No production route listed"))</x:f>
        <x:v>Route listed; review status/completeness</x:v>
      </x:c>
      <x:c r="AN804" s="4" t="n">
        <x:f>IF(C804="T0",0,IF(C804="T1",1,IF(C804="T2",2,IF(C804="T3",3,IF(C804="T4",4,IF(C804="Unassigned",98,99))))))</x:f>
        <x:v>2</x:v>
      </x:c>
      <x:c r="AZ804"/>
      <x:c r="BA804"/>
      <x:c r="BB804"/>
      <x:c r="BC804"/>
      <x:c r="BD804"/>
      <x:c r="BE804"/>
      <x:c r="BF804"/>
      <x:c r="BG804"/>
      <x:c r="BH804"/>
      <x:c r="BI804"/>
      <x:c r="BJ804"/>
      <x:c r="BK804"/>
      <x:c r="BL804"/>
      <x:c r="BM804"/>
      <x:c r="BN804"/>
      <x:c r="BO804"/>
      <x:c r="BP804"/>
      <x:c r="BQ804"/>
      <x:c r="BR804"/>
      <x:c r="BS804"/>
      <x:c r="BT804"/>
      <x:c r="BU804"/>
      <x:c r="BV804"/>
      <x:c r="BW804"/>
      <x:c r="BX804"/>
      <x:c r="BY804"/>
      <x:c r="BZ804"/>
      <x:c r="CA804"/>
      <x:c r="CB804"/>
      <x:c r="CC804"/>
    </x:row>
    <x:row r="805" ht="115" customHeight="1">
      <x:c r="A805" s="4"/>
      <x:c r="B805" s="4"/>
      <x:c r="C805" s="4"/>
      <x:c r="D805" s="4"/>
      <x:c r="E805" s="4"/>
      <x:c r="F805" s="4"/>
      <x:c r="G805" s="4"/>
      <x:c r="H805" s="4"/>
      <x:c r="I805" s="4"/>
      <x:c r="J805" s="4"/>
      <x:c r="K805" s="4"/>
      <x:c r="L805" s="4"/>
      <x:c r="M805" s="4"/>
      <x:c r="N805" s="4"/>
      <x:c r="O805" s="4"/>
      <x:c r="P805" s="4"/>
      <x:c r="Q805" s="4"/>
      <x:c r="R805" s="4"/>
      <x:c r="S805" s="4"/>
      <x:c r="T805" s="4"/>
      <x:c r="U805" s="4"/>
      <x:c r="V805" s="4"/>
      <x:c r="W805" s="4"/>
      <x:c r="X805" s="4"/>
      <x:c r="Y805" s="4"/>
      <x:c r="Z805" s="4"/>
      <x:c r="AA805" s="4"/>
      <x:c r="AB805" s="4"/>
      <x:c r="AC805" s="4"/>
      <x:c r="AD805" s="4"/>
      <x:c r="AE805" s="4"/>
      <x:c r="AF805" s="4"/>
      <x:c r="AG805" s="4"/>
      <x:c r="AH805" s="4"/>
      <x:c r="AI805" s="4"/>
      <x:c r="AJ805" s="4"/>
      <x:c r="AK805" s="4"/>
      <x:c r="AL805" s="4"/>
      <x:c r="AM805" s="4"/>
      <x:c r="AN805" s="4"/>
      <x:c r="AZ805"/>
      <x:c r="BA805"/>
      <x:c r="BB805"/>
      <x:c r="BC805"/>
      <x:c r="BD805"/>
      <x:c r="BE805"/>
      <x:c r="BF805"/>
      <x:c r="BG805"/>
      <x:c r="BH805"/>
      <x:c r="BI805"/>
      <x:c r="BJ805"/>
      <x:c r="BK805"/>
      <x:c r="BL805"/>
      <x:c r="BM805"/>
      <x:c r="BN805"/>
      <x:c r="BO805"/>
      <x:c r="BP805"/>
      <x:c r="BQ805"/>
      <x:c r="BR805"/>
      <x:c r="BS805"/>
      <x:c r="BT805"/>
      <x:c r="BU805"/>
      <x:c r="BV805"/>
      <x:c r="BW805"/>
      <x:c r="BX805"/>
      <x:c r="BY805"/>
      <x:c r="BZ805"/>
      <x:c r="CA805"/>
      <x:c r="CB805"/>
      <x:c r="CC805"/>
    </x:row>
    <x:row r="806" ht="115" customHeight="1">
      <x:c r="A806" s="4" t="str">
        <x:v>proposal.audit.shaped_metal_grip_blank</x:v>
      </x:c>
      <x:c r="B806" s="4" t="str">
        <x:v>Shaped metal grip blank</x:v>
      </x:c>
      <x:c r="C806" s="4" t="str">
        <x:v>T3</x:v>
      </x:c>
      <x:c r="D806" s="4" t="str">
        <x:v>Crafting components</x:v>
      </x:c>
      <x:c r="E806" s="4" t="str">
        <x:v>Crafting audit support item</x:v>
      </x:c>
      <x:c r="F806" s="4" t="str">
        <x:v>New proposal</x:v>
      </x:c>
      <x:c r="G806" s="4" t="inlineStr">
        <x:is>
          <x:t xml:space="preserve">A shaped metal blank awaiting its final grip profile and mounting holes. It supplies the handle body for a tool or other handheld assembly; the finished fit and contact surface depend on the equipment receiving it.</x:t>
        </x:is>
      </x:c>
      <x:c r="H806" s="4" t="str">
        <x:v>None</x:v>
      </x:c>
      <x:c r="I806" s="4" t="str">
        <x:v>Physical item; installed or cargo fit unresolved</x:v>
      </x:c>
      <x:c r="J806" s="4"/>
      <x:c r="K806" s="4"/>
      <x:c r="L806" s="4" t="str">
        <x:v>Candidate preparation; see normalized crafting routes</x:v>
      </x:c>
      <x:c r="M806" s="4" t="str">
        <x:v>Partial design; tools, quantities, yield and qualification unresolved</x:v>
      </x:c>
      <x:c r="N806" s="4" t="str">
        <x:v>Not implemented</x:v>
      </x:c>
      <x:c r="O806" s="4" t="str">
        <x:v>No free environmental water, ordinary cloth, conventional-fat premise or ancient-material reproduction.</x:v>
      </x:c>
      <x:c r="P806" s="4"/>
      <x:c r="Q806" s="4"/>
      <x:c r="R806" s="4"/>
      <x:c r="S806" s="4"/>
      <x:c r="T806" s="4"/>
      <x:c r="U806" s="4" t="str">
        <x:v>Shaped metal grip blank</x:v>
      </x:c>
      <x:c r="V806" s="4" t="str">
        <x:v>shaped metal grip blank; crafting audit</x:v>
      </x:c>
      <x:c r="W8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6" s="4" t="str">
        <x:v>Crafting component</x:v>
      </x:c>
      <x:c r="Y806" s="4" t="str">
        <x:v>Processed intermediate</x:v>
      </x:c>
      <x:c r="Z806" s="4" t="str">
        <x:v>Manufactured / unresolved</x:v>
      </x:c>
      <x:c r="AA806" s="4" t="str">
        <x:v>Equipment fabrication</x:v>
      </x:c>
      <x:c r="AB806" s="4" t="str">
        <x:v>Metal</x:v>
      </x:c>
      <x:c r="AC806" s="4" t="str">
        <x:v>Solid part</x:v>
      </x:c>
      <x:c r="AD806" s="4" t="str">
        <x:v>Proposal</x:v>
      </x:c>
      <x:c r="AE806" s="4" t="str">
        <x:f>LOWER(A806&amp;"; "&amp;B806&amp;"; "&amp;D806&amp;"; "&amp;E806&amp;"; "&amp;X806&amp;"; "&amp;Y806&amp;"; "&amp;Z806&amp;"; "&amp;AA806&amp;"; "&amp;AB806&amp;"; "&amp;AC806&amp;"; "&amp;AD806&amp;"; "&amp;V806&amp;"; "&amp;C806&amp;"; "&amp;AH806&amp;"; "&amp;AI806)</x:f>
        <x:v>proposal.audit.shaped_metal_grip_blank; shaped metal grip blank; crafting components; crafting audit support item; crafting component; processed intermediate; manufactured / unresolved; equipment fabrication; metal; solid part; proposal; shaped metal grip blank; crafting audit; t3; not applicable; component</x:v>
      </x:c>
      <x:c r="AF806" s="4" t="str">
        <x:v>New support/source proposal from item-chain audit; not accepted source canon.</x:v>
      </x:c>
      <x:c r="AG806" s="4" t="str">
        <x:v>Selected partial route; processing depth is independent of rarity.</x:v>
      </x:c>
      <x:c r="AH806" s="4" t="str">
        <x:v>Not applicable</x:v>
      </x:c>
      <x:c r="AI806" s="4" t="str">
        <x:v>Component</x:v>
      </x:c>
      <x:c r="AJ806" s="4" t="n">
        <x:f>COUNTIFS('Material routes'!$D$6:$D$2205,A806,'Material routes'!$C$6:$C$2205,"Output")</x:f>
        <x:v>1</x:v>
      </x:c>
      <x:c r="AK806" s="4" t="n">
        <x:f>SUM(COUNTIFS('Material routes'!$D$6:$D$2205,A806,'Material routes'!$C$6:$C$2205,"Ingredient candidate"),COUNTIFS('Material routes'!$D$6:$D$2205,A806,'Material routes'!$C$6:$C$2205,"Consumed input"),COUNTIFS('Material routes'!$D$6:$D$2205,A806,'Material routes'!$C$6:$C$2205,"Contained input"),COUNTIFS('Material routes'!$D$6:$D$2205,A806,'Material routes'!$C$6:$C$2205,"Transform input"))</x:f>
        <x:v>18</x:v>
      </x:c>
      <x:c r="AL806" s="4" t="n">
        <x:f>COUNTIFS('Material routes'!$D$6:$D$2205,A806,'Material routes'!$C$6:$C$2205,"Tool candidate")</x:f>
        <x:v>0</x:v>
      </x:c>
      <x:c r="AM806" s="4" t="str">
        <x:f>IF(AJ806&gt;0,"Route listed; review status/completeness",IF(C806="T0","Raw entry feed; no production route","No production route listed"))</x:f>
        <x:v>Route listed; review status/completeness</x:v>
      </x:c>
      <x:c r="AN806" s="4" t="n">
        <x:f>IF(C806="T0",0,IF(C806="T1",1,IF(C806="T2",2,IF(C806="T3",3,IF(C806="T4",4,IF(C806="Unassigned",98,99))))))</x:f>
        <x:v>3</x:v>
      </x:c>
      <x:c r="AZ806"/>
      <x:c r="BA806"/>
      <x:c r="BB806"/>
      <x:c r="BC806"/>
      <x:c r="BD806"/>
      <x:c r="BE806"/>
      <x:c r="BF806"/>
      <x:c r="BG806"/>
      <x:c r="BH806"/>
      <x:c r="BI806"/>
      <x:c r="BJ806"/>
      <x:c r="BK806"/>
      <x:c r="BL806"/>
      <x:c r="BM806"/>
      <x:c r="BN806"/>
      <x:c r="BO806"/>
      <x:c r="BP806"/>
      <x:c r="BQ806"/>
      <x:c r="BR806"/>
      <x:c r="BS806"/>
      <x:c r="BT806"/>
      <x:c r="BU806"/>
      <x:c r="BV806"/>
      <x:c r="BW806"/>
      <x:c r="BX806"/>
      <x:c r="BY806"/>
      <x:c r="BZ806"/>
      <x:c r="CA806"/>
      <x:c r="CB806"/>
      <x:c r="CC806"/>
    </x:row>
    <x:row r="807" ht="115" customHeight="1">
      <x:c r="A807" s="4" t="str">
        <x:v>proposal.audit.linked_steel_mail_rings</x:v>
      </x:c>
      <x:c r="B807" s="4" t="str">
        <x:v>Linked steel mail rings</x:v>
      </x:c>
      <x:c r="C807" s="4" t="str">
        <x:v>T4</x:v>
      </x:c>
      <x:c r="D807" s="4" t="str">
        <x:v>Crafting components</x:v>
      </x:c>
      <x:c r="E807" s="4" t="str">
        <x:v>Crafting audit support item</x:v>
      </x:c>
      <x:c r="F807" s="4" t="str">
        <x:v>New proposal</x:v>
      </x:c>
      <x:c r="G807" s="4" t="inlineStr">
        <x:is>
          <x:t xml:space="preserve">Small steel rings linked into a flexible mail section for protective fabrication. The linked structure can follow body movement while covering an area; ring closure, backing, coverage and protective performance remain design questions.</x:t>
        </x:is>
      </x:c>
      <x:c r="H807" s="4" t="str">
        <x:v>None</x:v>
      </x:c>
      <x:c r="I807" s="4" t="str">
        <x:v>Physical item; installed or cargo fit unresolved</x:v>
      </x:c>
      <x:c r="J807" s="4"/>
      <x:c r="K807" s="4"/>
      <x:c r="L807" s="4" t="str">
        <x:v>Candidate preparation; see normalized crafting routes</x:v>
      </x:c>
      <x:c r="M807" s="4" t="str">
        <x:v>Partial design; tools, quantities, yield and qualification unresolved</x:v>
      </x:c>
      <x:c r="N807" s="4" t="str">
        <x:v>Not implemented</x:v>
      </x:c>
      <x:c r="O807" s="4" t="str">
        <x:v>No free environmental water, ordinary cloth, conventional-fat premise or ancient-material reproduction.</x:v>
      </x:c>
      <x:c r="P807" s="4"/>
      <x:c r="Q807" s="4"/>
      <x:c r="R807" s="4"/>
      <x:c r="S807" s="4"/>
      <x:c r="T807" s="4"/>
      <x:c r="U807" s="4" t="str">
        <x:v>Linked steel mail rings</x:v>
      </x:c>
      <x:c r="V807" s="4" t="str">
        <x:v>linked steel mail rings; crafting audit</x:v>
      </x:c>
      <x:c r="W8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7" s="4" t="str">
        <x:v>Crafting component</x:v>
      </x:c>
      <x:c r="Y807" s="4" t="str">
        <x:v>Processed intermediate</x:v>
      </x:c>
      <x:c r="Z807" s="4" t="str">
        <x:v>Manufactured / unresolved</x:v>
      </x:c>
      <x:c r="AA807" s="4" t="str">
        <x:v>Protective fabrication</x:v>
      </x:c>
      <x:c r="AB807" s="4" t="str">
        <x:v>Metal</x:v>
      </x:c>
      <x:c r="AC807" s="4" t="str">
        <x:v>Solid part</x:v>
      </x:c>
      <x:c r="AD807" s="4" t="str">
        <x:v>Proposal</x:v>
      </x:c>
      <x:c r="AE807" s="4" t="str">
        <x:f>LOWER(A807&amp;"; "&amp;B807&amp;"; "&amp;D807&amp;"; "&amp;E807&amp;"; "&amp;X807&amp;"; "&amp;Y807&amp;"; "&amp;Z807&amp;"; "&amp;AA807&amp;"; "&amp;AB807&amp;"; "&amp;AC807&amp;"; "&amp;AD807&amp;"; "&amp;V807&amp;"; "&amp;C807&amp;"; "&amp;AH807&amp;"; "&amp;AI807)</x:f>
        <x:v>proposal.audit.linked_steel_mail_rings; linked steel mail rings; crafting components; crafting audit support item; crafting component; processed intermediate; manufactured / unresolved; protective fabrication; metal; solid part; proposal; linked steel mail rings; crafting audit; t4; not applicable; component</x:v>
      </x:c>
      <x:c r="AF807" s="4" t="str">
        <x:v>New support/source proposal from item-chain audit; not accepted source canon.</x:v>
      </x:c>
      <x:c r="AG807" s="4" t="str">
        <x:v>Selected partial route; processing depth is independent of rarity.</x:v>
      </x:c>
      <x:c r="AH807" s="4" t="str">
        <x:v>Not applicable</x:v>
      </x:c>
      <x:c r="AI807" s="4" t="str">
        <x:v>Component</x:v>
      </x:c>
      <x:c r="AJ807" s="4" t="n">
        <x:f>COUNTIFS('Material routes'!$D$6:$D$2205,A807,'Material routes'!$C$6:$C$2205,"Output")</x:f>
        <x:v>1</x:v>
      </x:c>
      <x:c r="AK807" s="4" t="n">
        <x:f>SUM(COUNTIFS('Material routes'!$D$6:$D$2205,A807,'Material routes'!$C$6:$C$2205,"Ingredient candidate"),COUNTIFS('Material routes'!$D$6:$D$2205,A807,'Material routes'!$C$6:$C$2205,"Consumed input"),COUNTIFS('Material routes'!$D$6:$D$2205,A807,'Material routes'!$C$6:$C$2205,"Contained input"),COUNTIFS('Material routes'!$D$6:$D$2205,A807,'Material routes'!$C$6:$C$2205,"Transform input"))</x:f>
        <x:v>2</x:v>
      </x:c>
      <x:c r="AL807" s="4" t="n">
        <x:f>COUNTIFS('Material routes'!$D$6:$D$2205,A807,'Material routes'!$C$6:$C$2205,"Tool candidate")</x:f>
        <x:v>0</x:v>
      </x:c>
      <x:c r="AM807" s="4" t="str">
        <x:f>IF(AJ807&gt;0,"Route listed; review status/completeness",IF(C807="T0","Raw entry feed; no production route","No production route listed"))</x:f>
        <x:v>Route listed; review status/completeness</x:v>
      </x:c>
      <x:c r="AN807" s="4" t="n">
        <x:f>IF(C807="T0",0,IF(C807="T1",1,IF(C807="T2",2,IF(C807="T3",3,IF(C807="T4",4,IF(C807="Unassigned",98,99))))))</x:f>
        <x:v>4</x:v>
      </x:c>
      <x:c r="AZ807"/>
      <x:c r="BA807"/>
      <x:c r="BB807"/>
      <x:c r="BC807"/>
      <x:c r="BD807"/>
      <x:c r="BE807"/>
      <x:c r="BF807"/>
      <x:c r="BG807"/>
      <x:c r="BH807"/>
      <x:c r="BI807"/>
      <x:c r="BJ807"/>
      <x:c r="BK807"/>
      <x:c r="BL807"/>
      <x:c r="BM807"/>
      <x:c r="BN807"/>
      <x:c r="BO807"/>
      <x:c r="BP807"/>
      <x:c r="BQ807"/>
      <x:c r="BR807"/>
      <x:c r="BS807"/>
      <x:c r="BT807"/>
      <x:c r="BU807"/>
      <x:c r="BV807"/>
      <x:c r="BW807"/>
      <x:c r="BX807"/>
      <x:c r="BY807"/>
      <x:c r="BZ807"/>
      <x:c r="CA807"/>
      <x:c r="CB807"/>
      <x:c r="CC807"/>
    </x:row>
    <x:row r="808" ht="115" customHeight="1">
      <x:c r="A808" s="4" t="str">
        <x:v>proposal.audit.small_metal_hinge_pair</x:v>
      </x:c>
      <x:c r="B808" s="4" t="str">
        <x:v>Small metal hinge pair</x:v>
      </x:c>
      <x:c r="C808" s="4" t="str">
        <x:v>T3</x:v>
      </x:c>
      <x:c r="D808" s="4" t="str">
        <x:v>Crafting components</x:v>
      </x:c>
      <x:c r="E808" s="4" t="str">
        <x:v>Crafting audit support item</x:v>
      </x:c>
      <x:c r="F808" s="4" t="str">
        <x:v>New proposal</x:v>
      </x:c>
      <x:c r="G808" s="4" t="inlineStr">
        <x:is>
          <x:t xml:space="preserve">A matched pair of small metal hinge fittings for a folding or opening assembly. They establish a controlled pivot between two parts; pin size, attachment points and load capacity must be chosen for the host item.</x:t>
        </x:is>
      </x:c>
      <x:c r="H808" s="4" t="str">
        <x:v>None</x:v>
      </x:c>
      <x:c r="I808" s="4" t="str">
        <x:v>Physical item; installed or cargo fit unresolved</x:v>
      </x:c>
      <x:c r="J808" s="4"/>
      <x:c r="K808" s="4"/>
      <x:c r="L808" s="4" t="str">
        <x:v>Candidate preparation; see normalized crafting routes</x:v>
      </x:c>
      <x:c r="M808" s="4" t="str">
        <x:v>Partial design; tools, quantities, yield and qualification unresolved</x:v>
      </x:c>
      <x:c r="N808" s="4" t="str">
        <x:v>Not implemented</x:v>
      </x:c>
      <x:c r="O808" s="4" t="str">
        <x:v>No free environmental water, ordinary cloth, conventional-fat premise or ancient-material reproduction.</x:v>
      </x:c>
      <x:c r="P808" s="4"/>
      <x:c r="Q808" s="4"/>
      <x:c r="R808" s="4"/>
      <x:c r="S808" s="4"/>
      <x:c r="T808" s="4"/>
      <x:c r="U808" s="4" t="str">
        <x:v>Small metal hinge pair</x:v>
      </x:c>
      <x:c r="V808" s="4" t="str">
        <x:v>small metal hinge pair; crafting audit</x:v>
      </x:c>
      <x:c r="W8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8" s="4" t="str">
        <x:v>Crafting component</x:v>
      </x:c>
      <x:c r="Y808" s="4" t="str">
        <x:v>Processed intermediate</x:v>
      </x:c>
      <x:c r="Z808" s="4" t="str">
        <x:v>Manufactured / unresolved</x:v>
      </x:c>
      <x:c r="AA808" s="4" t="str">
        <x:v>Equipment fabrication</x:v>
      </x:c>
      <x:c r="AB808" s="4" t="str">
        <x:v>Metal</x:v>
      </x:c>
      <x:c r="AC808" s="4" t="str">
        <x:v>Solid part</x:v>
      </x:c>
      <x:c r="AD808" s="4" t="str">
        <x:v>Proposal</x:v>
      </x:c>
      <x:c r="AE808" s="4" t="str">
        <x:f>LOWER(A808&amp;"; "&amp;B808&amp;"; "&amp;D808&amp;"; "&amp;E808&amp;"; "&amp;X808&amp;"; "&amp;Y808&amp;"; "&amp;Z808&amp;"; "&amp;AA808&amp;"; "&amp;AB808&amp;"; "&amp;AC808&amp;"; "&amp;AD808&amp;"; "&amp;V808&amp;"; "&amp;C808&amp;"; "&amp;AH808&amp;"; "&amp;AI808)</x:f>
        <x:v>proposal.audit.small_metal_hinge_pair; small metal hinge pair; crafting components; crafting audit support item; crafting component; processed intermediate; manufactured / unresolved; equipment fabrication; metal; solid part; proposal; small metal hinge pair; crafting audit; t3; not applicable; component</x:v>
      </x:c>
      <x:c r="AF808" s="4" t="str">
        <x:v>New support/source proposal from item-chain audit; not accepted source canon.</x:v>
      </x:c>
      <x:c r="AG808" s="4" t="str">
        <x:v>Selected partial route; processing depth is independent of rarity.</x:v>
      </x:c>
      <x:c r="AH808" s="4" t="str">
        <x:v>Not applicable</x:v>
      </x:c>
      <x:c r="AI808" s="4" t="str">
        <x:v>Component</x:v>
      </x:c>
      <x:c r="AJ808" s="4" t="n">
        <x:f>COUNTIFS('Material routes'!$D$6:$D$2205,A808,'Material routes'!$C$6:$C$2205,"Output")</x:f>
        <x:v>1</x:v>
      </x:c>
      <x:c r="AK808" s="4" t="n">
        <x:f>SUM(COUNTIFS('Material routes'!$D$6:$D$2205,A808,'Material routes'!$C$6:$C$2205,"Ingredient candidate"),COUNTIFS('Material routes'!$D$6:$D$2205,A808,'Material routes'!$C$6:$C$2205,"Consumed input"),COUNTIFS('Material routes'!$D$6:$D$2205,A808,'Material routes'!$C$6:$C$2205,"Contained input"),COUNTIFS('Material routes'!$D$6:$D$2205,A808,'Material routes'!$C$6:$C$2205,"Transform input"))</x:f>
        <x:v>8</x:v>
      </x:c>
      <x:c r="AL808" s="4" t="n">
        <x:f>COUNTIFS('Material routes'!$D$6:$D$2205,A808,'Material routes'!$C$6:$C$2205,"Tool candidate")</x:f>
        <x:v>0</x:v>
      </x:c>
      <x:c r="AM808" s="4" t="str">
        <x:f>IF(AJ808&gt;0,"Route listed; review status/completeness",IF(C808="T0","Raw entry feed; no production route","No production route listed"))</x:f>
        <x:v>Route listed; review status/completeness</x:v>
      </x:c>
      <x:c r="AN808" s="4" t="n">
        <x:f>IF(C808="T0",0,IF(C808="T1",1,IF(C808="T2",2,IF(C808="T3",3,IF(C808="T4",4,IF(C808="Unassigned",98,99))))))</x:f>
        <x:v>3</x:v>
      </x:c>
      <x:c r="AZ808"/>
      <x:c r="BA808"/>
      <x:c r="BB808"/>
      <x:c r="BC808"/>
      <x:c r="BD808"/>
      <x:c r="BE808"/>
      <x:c r="BF808"/>
      <x:c r="BG808"/>
      <x:c r="BH808"/>
      <x:c r="BI808"/>
      <x:c r="BJ808"/>
      <x:c r="BK808"/>
      <x:c r="BL808"/>
      <x:c r="BM808"/>
      <x:c r="BN808"/>
      <x:c r="BO808"/>
      <x:c r="BP808"/>
      <x:c r="BQ808"/>
      <x:c r="BR808"/>
      <x:c r="BS808"/>
      <x:c r="BT808"/>
      <x:c r="BU808"/>
      <x:c r="BV808"/>
      <x:c r="BW808"/>
      <x:c r="BX808"/>
      <x:c r="BY808"/>
      <x:c r="BZ808"/>
      <x:c r="CA808"/>
      <x:c r="CB808"/>
      <x:c r="CC808"/>
    </x:row>
    <x:row r="809" ht="115" customHeight="1">
      <x:c r="A809" s="4" t="str">
        <x:v>proposal.audit.bent_wire_spectacle_frame</x:v>
      </x:c>
      <x:c r="B809" s="4" t="str">
        <x:v>Bent-wire spectacle frame</x:v>
      </x:c>
      <x:c r="C809" s="4" t="str">
        <x:v>T3</x:v>
      </x:c>
      <x:c r="D809" s="4" t="str">
        <x:v>Crafting components</x:v>
      </x:c>
      <x:c r="E809" s="4" t="str">
        <x:v>Crafting audit support item</x:v>
      </x:c>
      <x:c r="F809" s="4" t="str">
        <x:v>New proposal</x:v>
      </x:c>
      <x:c r="G809" s="4" t="inlineStr">
        <x:is>
          <x:t xml:space="preserve">A bent-wire frame intended to hold a matched pair of spectacle lenses in front of the eyes. Bridge shape, lens retention and the wearer’s fit still need design; the frame alone supplies no optical correction.</x:t>
        </x:is>
      </x:c>
      <x:c r="H809" s="4" t="str">
        <x:v>None</x:v>
      </x:c>
      <x:c r="I809" s="4" t="str">
        <x:v>Physical item; installed or cargo fit unresolved</x:v>
      </x:c>
      <x:c r="J809" s="4"/>
      <x:c r="K809" s="4"/>
      <x:c r="L809" s="4" t="str">
        <x:v>Candidate preparation; see normalized crafting routes</x:v>
      </x:c>
      <x:c r="M809" s="4" t="str">
        <x:v>Partial design; tools, quantities, yield and qualification unresolved</x:v>
      </x:c>
      <x:c r="N809" s="4" t="str">
        <x:v>Not implemented</x:v>
      </x:c>
      <x:c r="O809" s="4" t="str">
        <x:v>No free environmental water, ordinary cloth, conventional-fat premise or ancient-material reproduction.</x:v>
      </x:c>
      <x:c r="P809" s="4"/>
      <x:c r="Q809" s="4"/>
      <x:c r="R809" s="4"/>
      <x:c r="S809" s="4"/>
      <x:c r="T809" s="4"/>
      <x:c r="U809" s="4" t="str">
        <x:v>Bent-wire spectacle frame</x:v>
      </x:c>
      <x:c r="V809" s="4" t="str">
        <x:v>bent-wire spectacle frame; crafting audit</x:v>
      </x:c>
      <x:c r="W8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9" s="4" t="str">
        <x:v>Crafting component</x:v>
      </x:c>
      <x:c r="Y809" s="4" t="str">
        <x:v>Processed intermediate</x:v>
      </x:c>
      <x:c r="Z809" s="4" t="str">
        <x:v>Manufactured / unresolved</x:v>
      </x:c>
      <x:c r="AA809" s="4" t="str">
        <x:v>Vision</x:v>
      </x:c>
      <x:c r="AB809" s="4" t="str">
        <x:v>Metal</x:v>
      </x:c>
      <x:c r="AC809" s="4" t="str">
        <x:v>Solid part</x:v>
      </x:c>
      <x:c r="AD809" s="4" t="str">
        <x:v>Proposal</x:v>
      </x:c>
      <x:c r="AE809" s="4" t="str">
        <x:f>LOWER(A809&amp;"; "&amp;B809&amp;"; "&amp;D809&amp;"; "&amp;E809&amp;"; "&amp;X809&amp;"; "&amp;Y809&amp;"; "&amp;Z809&amp;"; "&amp;AA809&amp;"; "&amp;AB809&amp;"; "&amp;AC809&amp;"; "&amp;AD809&amp;"; "&amp;V809&amp;"; "&amp;C809&amp;"; "&amp;AH809&amp;"; "&amp;AI809)</x:f>
        <x:v>proposal.audit.bent_wire_spectacle_frame; bent-wire spectacle frame; crafting components; crafting audit support item; crafting component; processed intermediate; manufactured / unresolved; vision; metal; solid part; proposal; bent-wire spectacle frame; crafting audit; t3; not applicable; component</x:v>
      </x:c>
      <x:c r="AF809" s="4" t="str">
        <x:v>New support/source proposal from item-chain audit; not accepted source canon.</x:v>
      </x:c>
      <x:c r="AG809" s="4" t="str">
        <x:v>Selected partial route; processing depth is independent of rarity.</x:v>
      </x:c>
      <x:c r="AH809" s="4" t="str">
        <x:v>Not applicable</x:v>
      </x:c>
      <x:c r="AI809" s="4" t="str">
        <x:v>Component</x:v>
      </x:c>
      <x:c r="AJ809" s="4" t="n">
        <x:f>COUNTIFS('Material routes'!$D$6:$D$2205,A809,'Material routes'!$C$6:$C$2205,"Output")</x:f>
        <x:v>1</x:v>
      </x:c>
      <x:c r="AK809" s="4" t="n">
        <x:f>SUM(COUNTIFS('Material routes'!$D$6:$D$2205,A809,'Material routes'!$C$6:$C$2205,"Ingredient candidate"),COUNTIFS('Material routes'!$D$6:$D$2205,A809,'Material routes'!$C$6:$C$2205,"Consumed input"),COUNTIFS('Material routes'!$D$6:$D$2205,A809,'Material routes'!$C$6:$C$2205,"Contained input"),COUNTIFS('Material routes'!$D$6:$D$2205,A809,'Material routes'!$C$6:$C$2205,"Transform input"))</x:f>
        <x:v>2</x:v>
      </x:c>
      <x:c r="AL809" s="4" t="n">
        <x:f>COUNTIFS('Material routes'!$D$6:$D$2205,A809,'Material routes'!$C$6:$C$2205,"Tool candidate")</x:f>
        <x:v>0</x:v>
      </x:c>
      <x:c r="AM809" s="4" t="str">
        <x:f>IF(AJ809&gt;0,"Route listed; review status/completeness",IF(C809="T0","Raw entry feed; no production route","No production route listed"))</x:f>
        <x:v>Route listed; review status/completeness</x:v>
      </x:c>
      <x:c r="AN809" s="4" t="n">
        <x:f>IF(C809="T0",0,IF(C809="T1",1,IF(C809="T2",2,IF(C809="T3",3,IF(C809="T4",4,IF(C809="Unassigned",98,99))))))</x:f>
        <x:v>3</x:v>
      </x:c>
      <x:c r="AZ809"/>
      <x:c r="BA809"/>
      <x:c r="BB809"/>
      <x:c r="BC809"/>
      <x:c r="BD809"/>
      <x:c r="BE809"/>
      <x:c r="BF809"/>
      <x:c r="BG809"/>
      <x:c r="BH809"/>
      <x:c r="BI809"/>
      <x:c r="BJ809"/>
      <x:c r="BK809"/>
      <x:c r="BL809"/>
      <x:c r="BM809"/>
      <x:c r="BN809"/>
      <x:c r="BO809"/>
      <x:c r="BP809"/>
      <x:c r="BQ809"/>
      <x:c r="BR809"/>
      <x:c r="BS809"/>
      <x:c r="BT809"/>
      <x:c r="BU809"/>
      <x:c r="BV809"/>
      <x:c r="BW809"/>
      <x:c r="BX809"/>
      <x:c r="BY809"/>
      <x:c r="BZ809"/>
      <x:c r="CA809"/>
      <x:c r="CB809"/>
      <x:c r="CC809"/>
    </x:row>
    <x:row r="810" ht="115" customHeight="1">
      <x:c r="A810" s="4"/>
      <x:c r="B810" s="4"/>
      <x:c r="C810" s="4"/>
      <x:c r="D810" s="4"/>
      <x:c r="E810" s="4"/>
      <x:c r="F810" s="4"/>
      <x:c r="G810" s="4"/>
      <x:c r="H810" s="4"/>
      <x:c r="I810" s="4"/>
      <x:c r="J810" s="4"/>
      <x:c r="M810" s="4"/>
      <x:c r="N810" s="4"/>
      <x:c r="O810" s="4"/>
      <x:c r="P810" s="4"/>
      <x:c r="V810" s="4"/>
      <x:c r="W810" s="4"/>
      <x:c r="X810" s="4"/>
      <x:c r="Y810" s="4"/>
      <x:c r="Z810" s="4"/>
      <x:c r="AA810" s="4"/>
      <x:c r="AB810" s="4"/>
      <x:c r="AC810" s="4"/>
      <x:c r="AD810" s="4"/>
      <x:c r="AE810" s="4"/>
      <x:c r="AF810" s="4"/>
      <x:c r="AG810" s="4"/>
      <x:c r="AH810" s="4"/>
      <x:c r="AI810" s="4"/>
      <x:c r="AJ810" s="4"/>
      <x:c r="AK810" s="4"/>
      <x:c r="AL810" s="4"/>
      <x:c r="AM810" s="4"/>
      <x:c r="AN810" s="4"/>
      <x:c r="AZ810"/>
      <x:c r="BA810"/>
      <x:c r="BB810"/>
      <x:c r="BC810"/>
      <x:c r="BD810"/>
      <x:c r="BE810"/>
      <x:c r="BF810"/>
      <x:c r="BG810"/>
      <x:c r="BH810"/>
      <x:c r="BI810"/>
      <x:c r="BJ810"/>
      <x:c r="BK810"/>
      <x:c r="BL810"/>
      <x:c r="BM810"/>
      <x:c r="BN810"/>
      <x:c r="BO810"/>
      <x:c r="BP810"/>
      <x:c r="BQ810"/>
      <x:c r="BR810"/>
      <x:c r="BS810"/>
      <x:c r="BT810"/>
      <x:c r="BU810"/>
      <x:c r="BV810"/>
      <x:c r="BW810"/>
      <x:c r="BX810"/>
      <x:c r="BY810"/>
      <x:c r="BZ810"/>
      <x:c r="CA810"/>
      <x:c r="CB810"/>
      <x:c r="CC810"/>
    </x:row>
    <x:row r="811" ht="115" customHeight="1">
      <x:c r="A811" s="4" t="str">
        <x:v>proposal.audit.fired_ceramic_vessel_blank</x:v>
      </x:c>
      <x:c r="B811" s="4" t="str">
        <x:v>Fired ceramic vessel blank</x:v>
      </x:c>
      <x:c r="C811" s="4" t="str">
        <x:v>T2</x:v>
      </x:c>
      <x:c r="D811" s="4" t="str">
        <x:v>Crafting components</x:v>
      </x:c>
      <x:c r="E811" s="4" t="str">
        <x:v>Crafting audit support item</x:v>
      </x:c>
      <x:c r="F811" s="4" t="str">
        <x:v>New proposal</x:v>
      </x:c>
      <x:c r="G811" s="4" t="inlineStr">
        <x:is>
          <x:t xml:space="preserve">A fired ceramic body awaiting the finishing and fittings needed for a particular vessel. It provides the shaped container shell; seals, contents compatibility and any service rating must be resolved for its intended use.</x:t>
        </x:is>
      </x:c>
      <x:c r="H811" s="4" t="str">
        <x:v>None</x:v>
      </x:c>
      <x:c r="I811" s="4" t="str">
        <x:v>Physical item; installed or cargo fit unresolved</x:v>
      </x:c>
      <x:c r="J811" s="4"/>
      <x:c r="K811" s="4"/>
      <x:c r="L811" s="4" t="str">
        <x:v>Candidate preparation; see normalized crafting routes</x:v>
      </x:c>
      <x:c r="M811" s="4" t="str">
        <x:v>Partial design; tools, quantities, yield and qualification unresolved</x:v>
      </x:c>
      <x:c r="N811" s="4" t="str">
        <x:v>Not implemented</x:v>
      </x:c>
      <x:c r="O811" s="4" t="str">
        <x:v>No free environmental water, ordinary cloth, conventional-fat premise or ancient-material reproduction.</x:v>
      </x:c>
      <x:c r="P811" s="4"/>
      <x:c r="Q811" s="4"/>
      <x:c r="R811" s="4"/>
      <x:c r="S811" s="4"/>
      <x:c r="T811" s="4"/>
      <x:c r="U811" s="4" t="str">
        <x:v>Fired ceramic vessel blank</x:v>
      </x:c>
      <x:c r="V811" s="4" t="str">
        <x:v>fired ceramic vessel blank; crafting audit</x:v>
      </x:c>
      <x:c r="W8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1" s="4" t="str">
        <x:v>Crafting component</x:v>
      </x:c>
      <x:c r="Y811" s="4" t="str">
        <x:v>Processed intermediate</x:v>
      </x:c>
      <x:c r="Z811" s="4" t="str">
        <x:v>Manufactured / unresolved</x:v>
      </x:c>
      <x:c r="AA811" s="4" t="str">
        <x:v>Liquid and bulk containment</x:v>
      </x:c>
      <x:c r="AB811" s="4" t="str">
        <x:v>Ceramic</x:v>
      </x:c>
      <x:c r="AC811" s="4" t="str">
        <x:v>Solid part</x:v>
      </x:c>
      <x:c r="AD811" s="4" t="str">
        <x:v>Proposal</x:v>
      </x:c>
      <x:c r="AE811" s="4" t="str">
        <x:f>LOWER(A811&amp;"; "&amp;B811&amp;"; "&amp;D811&amp;"; "&amp;E811&amp;"; "&amp;X811&amp;"; "&amp;Y811&amp;"; "&amp;Z811&amp;"; "&amp;AA811&amp;"; "&amp;AB811&amp;"; "&amp;AC811&amp;"; "&amp;AD811&amp;"; "&amp;V811&amp;"; "&amp;C811&amp;"; "&amp;AH811&amp;"; "&amp;AI811)</x:f>
        <x:v>proposal.audit.fired_ceramic_vessel_blank; fired ceramic vessel blank; crafting components; crafting audit support item; crafting component; processed intermediate; manufactured / unresolved; liquid and bulk containment; ceramic; solid part; proposal; fired ceramic vessel blank; crafting audit; t2; not applicable; component</x:v>
      </x:c>
      <x:c r="AF811" s="4" t="str">
        <x:v>New support/source proposal from item-chain audit; not accepted source canon.</x:v>
      </x:c>
      <x:c r="AG811" s="4" t="str">
        <x:v>Selected partial route; processing depth is independent of rarity.</x:v>
      </x:c>
      <x:c r="AH811" s="4" t="str">
        <x:v>Not applicable</x:v>
      </x:c>
      <x:c r="AI811" s="4" t="str">
        <x:v>Component</x:v>
      </x:c>
      <x:c r="AJ811" s="4" t="n">
        <x:f>COUNTIFS('Material routes'!$D$6:$D$2205,A811,'Material routes'!$C$6:$C$2205,"Output")</x:f>
        <x:v>1</x:v>
      </x:c>
      <x:c r="AK811" s="4" t="n">
        <x:f>SUM(COUNTIFS('Material routes'!$D$6:$D$2205,A811,'Material routes'!$C$6:$C$2205,"Ingredient candidate"),COUNTIFS('Material routes'!$D$6:$D$2205,A811,'Material routes'!$C$6:$C$2205,"Consumed input"),COUNTIFS('Material routes'!$D$6:$D$2205,A811,'Material routes'!$C$6:$C$2205,"Contained input"),COUNTIFS('Material routes'!$D$6:$D$2205,A811,'Material routes'!$C$6:$C$2205,"Transform input"))</x:f>
        <x:v>4</x:v>
      </x:c>
      <x:c r="AL811" s="4" t="n">
        <x:f>COUNTIFS('Material routes'!$D$6:$D$2205,A811,'Material routes'!$C$6:$C$2205,"Tool candidate")</x:f>
        <x:v>0</x:v>
      </x:c>
      <x:c r="AM811" s="4" t="str">
        <x:f>IF(AJ811&gt;0,"Route listed; review status/completeness",IF(C811="T0","Raw entry feed; no production route","No production route listed"))</x:f>
        <x:v>Route listed; review status/completeness</x:v>
      </x:c>
      <x:c r="AN811" s="4" t="n">
        <x:f>IF(C811="T0",0,IF(C811="T1",1,IF(C811="T2",2,IF(C811="T3",3,IF(C811="T4",4,IF(C811="Unassigned",98,99))))))</x:f>
        <x:v>2</x:v>
      </x:c>
      <x:c r="AZ811"/>
      <x:c r="BA811"/>
      <x:c r="BB811"/>
      <x:c r="BC811"/>
      <x:c r="BD811"/>
      <x:c r="BE811"/>
      <x:c r="BF811"/>
      <x:c r="BG811"/>
      <x:c r="BH811"/>
      <x:c r="BI811"/>
      <x:c r="BJ811"/>
      <x:c r="BK811"/>
      <x:c r="BL811"/>
      <x:c r="BM811"/>
      <x:c r="BN811"/>
      <x:c r="BO811"/>
      <x:c r="BP811"/>
      <x:c r="BQ811"/>
      <x:c r="BR811"/>
      <x:c r="BS811"/>
      <x:c r="BT811"/>
      <x:c r="BU811"/>
      <x:c r="BV811"/>
      <x:c r="BW811"/>
      <x:c r="BX811"/>
      <x:c r="BY811"/>
      <x:c r="BZ811"/>
      <x:c r="CA811"/>
      <x:c r="CB811"/>
      <x:c r="CC811"/>
    </x:row>
    <x:row r="812" ht="115" customHeight="1">
      <x:c r="A812" s="4" t="str">
        <x:v>proposal.audit.membrane_tension_hoop</x:v>
      </x:c>
      <x:c r="B812" s="4" t="str">
        <x:v>Membrane tension hoop</x:v>
      </x:c>
      <x:c r="C812" s="4" t="str">
        <x:v>T3</x:v>
      </x:c>
      <x:c r="D812" s="4" t="str">
        <x:v>Crafting components</x:v>
      </x:c>
      <x:c r="E812" s="4" t="str">
        <x:v>Crafting audit support item</x:v>
      </x:c>
      <x:c r="F812" s="4" t="str">
        <x:v>New proposal</x:v>
      </x:c>
      <x:c r="G812" s="4" t="inlineStr">
        <x:is>
          <x:t xml:space="preserve">A metal hoop intended to retain a prepared membrane under tension on an instrument. It holds the playing surface around its edge; membrane selection, tightening hardware and tuning remain open.</x:t>
        </x:is>
      </x:c>
      <x:c r="H812" s="4" t="str">
        <x:v>None</x:v>
      </x:c>
      <x:c r="I812" s="4" t="str">
        <x:v>Physical item; installed or cargo fit unresolved</x:v>
      </x:c>
      <x:c r="J812" s="4"/>
      <x:c r="K812" s="4"/>
      <x:c r="L812" s="4" t="str">
        <x:v>Candidate preparation; see normalized crafting routes</x:v>
      </x:c>
      <x:c r="M812" s="4" t="str">
        <x:v>Partial design; tools, quantities, yield and qualification unresolved</x:v>
      </x:c>
      <x:c r="N812" s="4" t="str">
        <x:v>Not implemented</x:v>
      </x:c>
      <x:c r="O812" s="4" t="str">
        <x:v>No free environmental water, ordinary cloth, conventional-fat premise or ancient-material reproduction.</x:v>
      </x:c>
      <x:c r="P812" s="4"/>
      <x:c r="Q812" s="4"/>
      <x:c r="R812" s="4"/>
      <x:c r="S812" s="4"/>
      <x:c r="T812" s="4"/>
      <x:c r="U812" s="4" t="str">
        <x:v>Membrane tension hoop</x:v>
      </x:c>
      <x:c r="V812" s="4" t="str">
        <x:v>membrane tension hoop; crafting audit</x:v>
      </x:c>
      <x:c r="W8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2" s="4" t="str">
        <x:v>Crafting component</x:v>
      </x:c>
      <x:c r="Y812" s="4" t="str">
        <x:v>Processed intermediate</x:v>
      </x:c>
      <x:c r="Z812" s="4" t="str">
        <x:v>Manufactured / unresolved</x:v>
      </x:c>
      <x:c r="AA812" s="4" t="str">
        <x:v>Music</x:v>
      </x:c>
      <x:c r="AB812" s="4" t="str">
        <x:v>Metal</x:v>
      </x:c>
      <x:c r="AC812" s="4" t="str">
        <x:v>Solid part</x:v>
      </x:c>
      <x:c r="AD812" s="4" t="str">
        <x:v>Proposal</x:v>
      </x:c>
      <x:c r="AE812" s="4" t="str">
        <x:f>LOWER(A812&amp;"; "&amp;B812&amp;"; "&amp;D812&amp;"; "&amp;E812&amp;"; "&amp;X812&amp;"; "&amp;Y812&amp;"; "&amp;Z812&amp;"; "&amp;AA812&amp;"; "&amp;AB812&amp;"; "&amp;AC812&amp;"; "&amp;AD812&amp;"; "&amp;V812&amp;"; "&amp;C812&amp;"; "&amp;AH812&amp;"; "&amp;AI812)</x:f>
        <x:v>proposal.audit.membrane_tension_hoop; membrane tension hoop; crafting components; crafting audit support item; crafting component; processed intermediate; manufactured / unresolved; music; metal; solid part; proposal; membrane tension hoop; crafting audit; t3; not applicable; component</x:v>
      </x:c>
      <x:c r="AF812" s="4" t="str">
        <x:v>New support/source proposal from item-chain audit; not accepted source canon.</x:v>
      </x:c>
      <x:c r="AG812" s="4" t="str">
        <x:v>Selected partial route; processing depth is independent of rarity.</x:v>
      </x:c>
      <x:c r="AH812" s="4" t="str">
        <x:v>Not applicable</x:v>
      </x:c>
      <x:c r="AI812" s="4" t="str">
        <x:v>Component</x:v>
      </x:c>
      <x:c r="AJ812" s="4" t="n">
        <x:f>COUNTIFS('Material routes'!$D$6:$D$2205,A812,'Material routes'!$C$6:$C$2205,"Output")</x:f>
        <x:v>1</x:v>
      </x:c>
      <x:c r="AK812" s="4" t="n">
        <x:f>SUM(COUNTIFS('Material routes'!$D$6:$D$2205,A812,'Material routes'!$C$6:$C$2205,"Ingredient candidate"),COUNTIFS('Material routes'!$D$6:$D$2205,A812,'Material routes'!$C$6:$C$2205,"Consumed input"),COUNTIFS('Material routes'!$D$6:$D$2205,A812,'Material routes'!$C$6:$C$2205,"Contained input"),COUNTIFS('Material routes'!$D$6:$D$2205,A812,'Material routes'!$C$6:$C$2205,"Transform input"))</x:f>
        <x:v>3</x:v>
      </x:c>
      <x:c r="AL812" s="4" t="n">
        <x:f>COUNTIFS('Material routes'!$D$6:$D$2205,A812,'Material routes'!$C$6:$C$2205,"Tool candidate")</x:f>
        <x:v>0</x:v>
      </x:c>
      <x:c r="AM812" s="4" t="str">
        <x:f>IF(AJ812&gt;0,"Route listed; review status/completeness",IF(C812="T0","Raw entry feed; no production route","No production route listed"))</x:f>
        <x:v>Route listed; review status/completeness</x:v>
      </x:c>
      <x:c r="AN812" s="4" t="n">
        <x:f>IF(C812="T0",0,IF(C812="T1",1,IF(C812="T2",2,IF(C812="T3",3,IF(C812="T4",4,IF(C812="Unassigned",98,99))))))</x:f>
        <x:v>3</x:v>
      </x:c>
      <x:c r="AZ812"/>
      <x:c r="BA812"/>
      <x:c r="BB812"/>
      <x:c r="BC812"/>
      <x:c r="BD812"/>
      <x:c r="BE812"/>
      <x:c r="BF812"/>
      <x:c r="BG812"/>
      <x:c r="BH812"/>
      <x:c r="BI812"/>
      <x:c r="BJ812"/>
      <x:c r="BK812"/>
      <x:c r="BL812"/>
      <x:c r="BM812"/>
      <x:c r="BN812"/>
      <x:c r="BO812"/>
      <x:c r="BP812"/>
      <x:c r="BQ812"/>
      <x:c r="BR812"/>
      <x:c r="BS812"/>
      <x:c r="BT812"/>
      <x:c r="BU812"/>
      <x:c r="BV812"/>
      <x:c r="BW812"/>
      <x:c r="BX812"/>
      <x:c r="BY812"/>
      <x:c r="BZ812"/>
      <x:c r="CA812"/>
      <x:c r="CB812"/>
      <x:c r="CC812"/>
    </x:row>
    <x:row r="813" ht="115" customHeight="1">
      <x:c r="A813" s="4"/>
      <x:c r="B813" s="4"/>
      <x:c r="C813" s="4"/>
      <x:c r="D813" s="4"/>
      <x:c r="E813" s="4"/>
      <x:c r="F813" s="4"/>
      <x:c r="G813" s="4"/>
      <x:c r="H813" s="4"/>
      <x:c r="I813" s="4"/>
      <x:c r="J813" s="4"/>
      <x:c r="K813" s="4"/>
      <x:c r="L813" s="4"/>
      <x:c r="M813" s="4"/>
      <x:c r="N813" s="4"/>
      <x:c r="O813" s="4"/>
      <x:c r="P813" s="4"/>
      <x:c r="Q813" s="4"/>
      <x:c r="R813" s="4"/>
      <x:c r="S813" s="4"/>
      <x:c r="T813" s="4"/>
      <x:c r="U813" s="4"/>
      <x:c r="V813" s="4"/>
      <x:c r="W813" s="4"/>
      <x:c r="X813" s="4"/>
      <x:c r="Y813" s="4"/>
      <x:c r="Z813" s="4"/>
      <x:c r="AA813" s="4"/>
      <x:c r="AB813" s="4"/>
      <x:c r="AC813" s="4"/>
      <x:c r="AD813" s="4"/>
      <x:c r="AE813" s="4"/>
      <x:c r="AF813" s="4"/>
      <x:c r="AG813" s="4"/>
      <x:c r="AH813" s="4"/>
      <x:c r="AI813" s="4"/>
      <x:c r="AJ813" s="4"/>
      <x:c r="AK813" s="4"/>
      <x:c r="AL813" s="4"/>
      <x:c r="AM813" s="4"/>
      <x:c r="AN813" s="4"/>
      <x:c r="AZ813"/>
      <x:c r="BA813"/>
      <x:c r="BB813"/>
      <x:c r="BC813"/>
      <x:c r="BD813"/>
      <x:c r="BE813"/>
      <x:c r="BF813"/>
      <x:c r="BG813"/>
      <x:c r="BH813"/>
      <x:c r="BI813"/>
      <x:c r="BJ813"/>
      <x:c r="BK813"/>
      <x:c r="BL813"/>
      <x:c r="BM813"/>
      <x:c r="BN813"/>
      <x:c r="BO813"/>
      <x:c r="BP813"/>
      <x:c r="BQ813"/>
      <x:c r="BR813"/>
      <x:c r="BS813"/>
      <x:c r="BT813"/>
      <x:c r="BU813"/>
      <x:c r="BV813"/>
      <x:c r="BW813"/>
      <x:c r="BX813"/>
      <x:c r="BY813"/>
      <x:c r="BZ813"/>
      <x:c r="CA813"/>
      <x:c r="CB813"/>
      <x:c r="CC813"/>
    </x:row>
    <x:row r="814" ht="115" customHeight="1">
      <x:c r="A814" s="4"/>
      <x:c r="B814" s="4"/>
      <x:c r="C814" s="4"/>
      <x:c r="D814" s="4"/>
      <x:c r="E814" s="4"/>
      <x:c r="F814" s="4"/>
      <x:c r="G814" s="4"/>
      <x:c r="H814" s="4"/>
      <x:c r="I814" s="4"/>
      <x:c r="J814" s="4"/>
      <x:c r="K814" s="4"/>
      <x:c r="L814" s="4"/>
      <x:c r="M814" s="4"/>
      <x:c r="N814" s="4"/>
      <x:c r="O814" s="4"/>
      <x:c r="P814" s="4"/>
      <x:c r="Q814" s="4"/>
      <x:c r="R814" s="4"/>
      <x:c r="S814" s="4"/>
      <x:c r="T814" s="4"/>
      <x:c r="U814" s="4"/>
      <x:c r="V814" s="4"/>
      <x:c r="W814" s="4"/>
      <x:c r="X814" s="4"/>
      <x:c r="Y814" s="4"/>
      <x:c r="Z814" s="4"/>
      <x:c r="AA814" s="4"/>
      <x:c r="AB814" s="4"/>
      <x:c r="AC814" s="4"/>
      <x:c r="AD814" s="4"/>
      <x:c r="AE814" s="4"/>
      <x:c r="AF814" s="4"/>
      <x:c r="AG814" s="4"/>
      <x:c r="AH814" s="4"/>
      <x:c r="AI814" s="4"/>
      <x:c r="AJ814" s="4"/>
      <x:c r="AK814" s="4"/>
      <x:c r="AL814" s="4"/>
      <x:c r="AM814" s="4"/>
      <x:c r="AN814" s="4"/>
      <x:c r="AZ814"/>
      <x:c r="BA814"/>
      <x:c r="BB814"/>
      <x:c r="BC814"/>
      <x:c r="BD814"/>
      <x:c r="BE814"/>
      <x:c r="BF814"/>
      <x:c r="BG814"/>
      <x:c r="BH814"/>
      <x:c r="BI814"/>
      <x:c r="BJ814"/>
      <x:c r="BK814"/>
      <x:c r="BL814"/>
      <x:c r="BM814"/>
      <x:c r="BN814"/>
      <x:c r="BO814"/>
      <x:c r="BP814"/>
      <x:c r="BQ814"/>
      <x:c r="BR814"/>
      <x:c r="BS814"/>
      <x:c r="BT814"/>
      <x:c r="BU814"/>
      <x:c r="BV814"/>
      <x:c r="BW814"/>
      <x:c r="BX814"/>
      <x:c r="BY814"/>
      <x:c r="BZ814"/>
      <x:c r="CA814"/>
      <x:c r="CB814"/>
      <x:c r="CC814"/>
    </x:row>
    <x:row r="815" ht="115" customHeight="1">
      <x:c r="A815" s="4" t="str">
        <x:v>proposal.audit.cut_metal_reed_set</x:v>
      </x:c>
      <x:c r="B815" s="4" t="str">
        <x:v>Cut metal reed set</x:v>
      </x:c>
      <x:c r="C815" s="4" t="str">
        <x:v>T4</x:v>
      </x:c>
      <x:c r="D815" s="4" t="str">
        <x:v>Crafting components</x:v>
      </x:c>
      <x:c r="E815" s="4" t="str">
        <x:v>Crafting audit support item</x:v>
      </x:c>
      <x:c r="F815" s="4" t="str">
        <x:v>New proposal</x:v>
      </x:c>
      <x:c r="G815" s="4" t="inlineStr">
        <x:is>
          <x:t xml:space="preserve">A set of thin cut metal tongues proposed as vibrating reeds for a musical instrument. Airflow excites the fitted reeds to produce sound; dimensions, mounting and tuning have not yet been specified.</x:t>
        </x:is>
      </x:c>
      <x:c r="H815" s="4" t="str">
        <x:v>None</x:v>
      </x:c>
      <x:c r="I815" s="4" t="str">
        <x:v>Physical item; installed or cargo fit unresolved</x:v>
      </x:c>
      <x:c r="J815" s="4"/>
      <x:c r="K815" s="4"/>
      <x:c r="L815" s="4" t="str">
        <x:v>Candidate preparation; see normalized crafting routes</x:v>
      </x:c>
      <x:c r="M815" s="4" t="str">
        <x:v>Partial design; tools, quantities, yield and qualification unresolved</x:v>
      </x:c>
      <x:c r="N815" s="4" t="str">
        <x:v>Not implemented</x:v>
      </x:c>
      <x:c r="O815" s="4" t="str">
        <x:v>No free environmental water, ordinary cloth, conventional-fat premise or ancient-material reproduction.</x:v>
      </x:c>
      <x:c r="P815" s="4"/>
      <x:c r="Q815" s="4"/>
      <x:c r="R815" s="4"/>
      <x:c r="S815" s="4"/>
      <x:c r="T815" s="4"/>
      <x:c r="U815" s="4" t="str">
        <x:v>Cut metal reed set</x:v>
      </x:c>
      <x:c r="V815" s="4" t="str">
        <x:v>cut metal reed set; crafting audit</x:v>
      </x:c>
      <x:c r="W8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5" s="4" t="str">
        <x:v>Crafting component</x:v>
      </x:c>
      <x:c r="Y815" s="4" t="str">
        <x:v>Processed intermediate</x:v>
      </x:c>
      <x:c r="Z815" s="4" t="str">
        <x:v>Manufactured / unresolved</x:v>
      </x:c>
      <x:c r="AA815" s="4" t="str">
        <x:v>Music</x:v>
      </x:c>
      <x:c r="AB815" s="4" t="str">
        <x:v>Metal</x:v>
      </x:c>
      <x:c r="AC815" s="4" t="str">
        <x:v>Solid part</x:v>
      </x:c>
      <x:c r="AD815" s="4" t="str">
        <x:v>Proposal</x:v>
      </x:c>
      <x:c r="AE815" s="4" t="str">
        <x:f>LOWER(A815&amp;"; "&amp;B815&amp;"; "&amp;D815&amp;"; "&amp;E815&amp;"; "&amp;X815&amp;"; "&amp;Y815&amp;"; "&amp;Z815&amp;"; "&amp;AA815&amp;"; "&amp;AB815&amp;"; "&amp;AC815&amp;"; "&amp;AD815&amp;"; "&amp;V815&amp;"; "&amp;C815&amp;"; "&amp;AH815&amp;"; "&amp;AI815)</x:f>
        <x:v>proposal.audit.cut_metal_reed_set; cut metal reed set; crafting components; crafting audit support item; crafting component; processed intermediate; manufactured / unresolved; music; metal; solid part; proposal; cut metal reed set; crafting audit; t4; not applicable; component</x:v>
      </x:c>
      <x:c r="AF815" s="4" t="str">
        <x:v>New support/source proposal from item-chain audit; not accepted source canon.</x:v>
      </x:c>
      <x:c r="AG815" s="4" t="str">
        <x:v>Selected partial route; processing depth is independent of rarity.</x:v>
      </x:c>
      <x:c r="AH815" s="4" t="str">
        <x:v>Not applicable</x:v>
      </x:c>
      <x:c r="AI815" s="4" t="str">
        <x:v>Component</x:v>
      </x:c>
      <x:c r="AJ815" s="4" t="n">
        <x:f>COUNTIFS('Material routes'!$D$6:$D$2205,A815,'Material routes'!$C$6:$C$2205,"Output")</x:f>
        <x:v>1</x:v>
      </x:c>
      <x:c r="AK815" s="4" t="n">
        <x:f>SUM(COUNTIFS('Material routes'!$D$6:$D$2205,A815,'Material routes'!$C$6:$C$2205,"Ingredient candidate"),COUNTIFS('Material routes'!$D$6:$D$2205,A815,'Material routes'!$C$6:$C$2205,"Consumed input"),COUNTIFS('Material routes'!$D$6:$D$2205,A815,'Material routes'!$C$6:$C$2205,"Contained input"),COUNTIFS('Material routes'!$D$6:$D$2205,A815,'Material routes'!$C$6:$C$2205,"Transform input"))</x:f>
        <x:v>1</x:v>
      </x:c>
      <x:c r="AL815" s="4" t="n">
        <x:f>COUNTIFS('Material routes'!$D$6:$D$2205,A815,'Material routes'!$C$6:$C$2205,"Tool candidate")</x:f>
        <x:v>0</x:v>
      </x:c>
      <x:c r="AM815" s="4" t="str">
        <x:f>IF(AJ815&gt;0,"Route listed; review status/completeness",IF(C815="T0","Raw entry feed; no production route","No production route listed"))</x:f>
        <x:v>Route listed; review status/completeness</x:v>
      </x:c>
      <x:c r="AN815" s="4" t="n">
        <x:f>IF(C815="T0",0,IF(C815="T1",1,IF(C815="T2",2,IF(C815="T3",3,IF(C815="T4",4,IF(C815="Unassigned",98,99))))))</x:f>
        <x:v>4</x:v>
      </x:c>
      <x:c r="AZ815"/>
      <x:c r="BA815"/>
      <x:c r="BB815"/>
      <x:c r="BC815"/>
      <x:c r="BD815"/>
      <x:c r="BE815"/>
      <x:c r="BF815"/>
      <x:c r="BG815"/>
      <x:c r="BH815"/>
      <x:c r="BI815"/>
      <x:c r="BJ815"/>
      <x:c r="BK815"/>
      <x:c r="BL815"/>
      <x:c r="BM815"/>
      <x:c r="BN815"/>
      <x:c r="BO815"/>
      <x:c r="BP815"/>
      <x:c r="BQ815"/>
      <x:c r="BR815"/>
      <x:c r="BS815"/>
      <x:c r="BT815"/>
      <x:c r="BU815"/>
      <x:c r="BV815"/>
      <x:c r="BW815"/>
      <x:c r="BX815"/>
      <x:c r="BY815"/>
      <x:c r="BZ815"/>
      <x:c r="CA815"/>
      <x:c r="CB815"/>
      <x:c r="CC815"/>
    </x:row>
    <x:row r="816" ht="115" customHeight="1">
      <x:c r="A816" s="4" t="str">
        <x:v>proposal.audit.ceramic_whistle_mouthpiece</x:v>
      </x:c>
      <x:c r="B816" s="4" t="str">
        <x:v>Ceramic whistle mouthpiece</x:v>
      </x:c>
      <x:c r="C816" s="4" t="str">
        <x:v>T2</x:v>
      </x:c>
      <x:c r="D816" s="4" t="str">
        <x:v>Crafting components</x:v>
      </x:c>
      <x:c r="E816" s="4" t="str">
        <x:v>Crafting audit support item</x:v>
      </x:c>
      <x:c r="F816" s="4" t="str">
        <x:v>New proposal</x:v>
      </x:c>
      <x:c r="G816" s="4" t="inlineStr">
        <x:is>
          <x:t xml:space="preserve">A ceramic mouthpiece shaped to guide a player’s breath into a whistle or chamber instrument. Its air channel and edge help form the sound; final geometry and the matching resonant body remain to be designed.</x:t>
        </x:is>
      </x:c>
      <x:c r="H816" s="4" t="str">
        <x:v>None</x:v>
      </x:c>
      <x:c r="I816" s="4" t="str">
        <x:v>Physical item; installed or cargo fit unresolved</x:v>
      </x:c>
      <x:c r="J816" s="4"/>
      <x:c r="K816" s="4"/>
      <x:c r="L816" s="4" t="str">
        <x:v>Candidate preparation; see normalized crafting routes</x:v>
      </x:c>
      <x:c r="M816" s="4" t="str">
        <x:v>Partial design; tools, quantities, yield and qualification unresolved</x:v>
      </x:c>
      <x:c r="N816" s="4" t="str">
        <x:v>Not implemented</x:v>
      </x:c>
      <x:c r="O816" s="4" t="str">
        <x:v>No free environmental water, ordinary cloth, conventional-fat premise or ancient-material reproduction.</x:v>
      </x:c>
      <x:c r="P816" s="4"/>
      <x:c r="Q816" s="4"/>
      <x:c r="R816" s="4"/>
      <x:c r="S816" s="4"/>
      <x:c r="T816" s="4"/>
      <x:c r="U816" s="4" t="str">
        <x:v>Ceramic whistle mouthpiece</x:v>
      </x:c>
      <x:c r="V816" s="4" t="str">
        <x:v>ceramic whistle mouthpiece; crafting audit</x:v>
      </x:c>
      <x:c r="W8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6" s="4" t="str">
        <x:v>Crafting component</x:v>
      </x:c>
      <x:c r="Y816" s="4" t="str">
        <x:v>Processed intermediate</x:v>
      </x:c>
      <x:c r="Z816" s="4" t="str">
        <x:v>Manufactured / unresolved</x:v>
      </x:c>
      <x:c r="AA816" s="4" t="str">
        <x:v>Music</x:v>
      </x:c>
      <x:c r="AB816" s="4" t="str">
        <x:v>Ceramic</x:v>
      </x:c>
      <x:c r="AC816" s="4" t="str">
        <x:v>Solid part</x:v>
      </x:c>
      <x:c r="AD816" s="4" t="str">
        <x:v>Proposal</x:v>
      </x:c>
      <x:c r="AE816" s="4" t="str">
        <x:f>LOWER(A816&amp;"; "&amp;B816&amp;"; "&amp;D816&amp;"; "&amp;E816&amp;"; "&amp;X816&amp;"; "&amp;Y816&amp;"; "&amp;Z816&amp;"; "&amp;AA816&amp;"; "&amp;AB816&amp;"; "&amp;AC816&amp;"; "&amp;AD816&amp;"; "&amp;V816&amp;"; "&amp;C816&amp;"; "&amp;AH816&amp;"; "&amp;AI816)</x:f>
        <x:v>proposal.audit.ceramic_whistle_mouthpiece; ceramic whistle mouthpiece; crafting components; crafting audit support item; crafting component; processed intermediate; manufactured / unresolved; music; ceramic; solid part; proposal; ceramic whistle mouthpiece; crafting audit; t2; not applicable; component</x:v>
      </x:c>
      <x:c r="AF816" s="4" t="str">
        <x:v>New support/source proposal from item-chain audit; not accepted source canon.</x:v>
      </x:c>
      <x:c r="AG816" s="4" t="str">
        <x:v>Selected partial route; processing depth is independent of rarity.</x:v>
      </x:c>
      <x:c r="AH816" s="4" t="str">
        <x:v>Not applicable</x:v>
      </x:c>
      <x:c r="AI816" s="4" t="str">
        <x:v>Component</x:v>
      </x:c>
      <x:c r="AJ816" s="4" t="n">
        <x:f>COUNTIFS('Material routes'!$D$6:$D$2205,A816,'Material routes'!$C$6:$C$2205,"Output")</x:f>
        <x:v>1</x:v>
      </x:c>
      <x:c r="AK816" s="4" t="n">
        <x:f>SUM(COUNTIFS('Material routes'!$D$6:$D$2205,A816,'Material routes'!$C$6:$C$2205,"Ingredient candidate"),COUNTIFS('Material routes'!$D$6:$D$2205,A816,'Material routes'!$C$6:$C$2205,"Consumed input"),COUNTIFS('Material routes'!$D$6:$D$2205,A816,'Material routes'!$C$6:$C$2205,"Contained input"),COUNTIFS('Material routes'!$D$6:$D$2205,A816,'Material routes'!$C$6:$C$2205,"Transform input"))</x:f>
        <x:v>1</x:v>
      </x:c>
      <x:c r="AL816" s="4" t="n">
        <x:f>COUNTIFS('Material routes'!$D$6:$D$2205,A816,'Material routes'!$C$6:$C$2205,"Tool candidate")</x:f>
        <x:v>0</x:v>
      </x:c>
      <x:c r="AM816" s="4" t="str">
        <x:f>IF(AJ816&gt;0,"Route listed; review status/completeness",IF(C816="T0","Raw entry feed; no production route","No production route listed"))</x:f>
        <x:v>Route listed; review status/completeness</x:v>
      </x:c>
      <x:c r="AN816" s="4" t="n">
        <x:f>IF(C816="T0",0,IF(C816="T1",1,IF(C816="T2",2,IF(C816="T3",3,IF(C816="T4",4,IF(C816="Unassigned",98,99))))))</x:f>
        <x:v>2</x:v>
      </x:c>
      <x:c r="AZ816"/>
      <x:c r="BA816"/>
      <x:c r="BB816"/>
      <x:c r="BC816"/>
      <x:c r="BD816"/>
      <x:c r="BE816"/>
      <x:c r="BF816"/>
      <x:c r="BG816"/>
      <x:c r="BH816"/>
      <x:c r="BI816"/>
      <x:c r="BJ816"/>
      <x:c r="BK816"/>
      <x:c r="BL816"/>
      <x:c r="BM816"/>
      <x:c r="BN816"/>
      <x:c r="BO816"/>
      <x:c r="BP816"/>
      <x:c r="BQ816"/>
      <x:c r="BR816"/>
      <x:c r="BS816"/>
      <x:c r="BT816"/>
      <x:c r="BU816"/>
      <x:c r="BV816"/>
      <x:c r="BW816"/>
      <x:c r="BX816"/>
      <x:c r="BY816"/>
      <x:c r="BZ816"/>
      <x:c r="CA816"/>
      <x:c r="CB816"/>
      <x:c r="CC816"/>
    </x:row>
    <x:row r="817" ht="115" customHeight="1">
      <x:c r="A817" s="4" t="str">
        <x:v>proposal.audit.threaded_drive_screw</x:v>
      </x:c>
      <x:c r="B817" s="4" t="str">
        <x:v>Threaded drive screw</x:v>
      </x:c>
      <x:c r="C817" s="4" t="str">
        <x:v>T3</x:v>
      </x:c>
      <x:c r="D817" s="4" t="str">
        <x:v>Crafting components</x:v>
      </x:c>
      <x:c r="E817" s="4" t="str">
        <x:v>Crafting audit support item</x:v>
      </x:c>
      <x:c r="F817" s="4" t="str">
        <x:v>New proposal</x:v>
      </x:c>
      <x:c r="G817" s="4" t="inlineStr">
        <x:is>
          <x:t xml:space="preserve">A threaded screw intended to turn rotary input into controlled linear movement inside a mechanism. It needs a matched threaded member, supports and a suitable drive; travel, fit and loading remain unresolved.</x:t>
        </x:is>
      </x:c>
      <x:c r="H817" s="4" t="str">
        <x:v>None</x:v>
      </x:c>
      <x:c r="I817" s="4" t="str">
        <x:v>Physical item; installed or cargo fit unresolved</x:v>
      </x:c>
      <x:c r="J817" s="4"/>
      <x:c r="K817" s="4"/>
      <x:c r="L817" s="4" t="str">
        <x:v>Candidate preparation; see normalized crafting routes</x:v>
      </x:c>
      <x:c r="M817" s="4" t="str">
        <x:v>Partial design; tools, quantities, yield and qualification unresolved</x:v>
      </x:c>
      <x:c r="N817" s="4" t="str">
        <x:v>Not implemented</x:v>
      </x:c>
      <x:c r="O817" s="4" t="str">
        <x:v>No free environmental water, ordinary cloth, conventional-fat premise or ancient-material reproduction.</x:v>
      </x:c>
      <x:c r="P817" s="4"/>
      <x:c r="Q817" s="4"/>
      <x:c r="R817" s="4"/>
      <x:c r="S817" s="4"/>
      <x:c r="T817" s="4"/>
      <x:c r="U817" s="4" t="str">
        <x:v>Threaded drive screw</x:v>
      </x:c>
      <x:c r="V817" s="4" t="str">
        <x:v>threaded drive screw; crafting audit</x:v>
      </x:c>
      <x:c r="W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7" s="4" t="str">
        <x:v>Machine part</x:v>
      </x:c>
      <x:c r="Y817" s="4" t="str">
        <x:v>Processed intermediate</x:v>
      </x:c>
      <x:c r="Z817" s="4" t="str">
        <x:v>Manufactured / unresolved</x:v>
      </x:c>
      <x:c r="AA817" s="4" t="str">
        <x:v>Machinery drive</x:v>
      </x:c>
      <x:c r="AB817" s="4" t="str">
        <x:v>Metal</x:v>
      </x:c>
      <x:c r="AC817" s="4" t="str">
        <x:v>Solid part</x:v>
      </x:c>
      <x:c r="AD817" s="4" t="str">
        <x:v>Proposal</x:v>
      </x:c>
      <x:c r="AE817" s="4" t="str">
        <x:f>LOWER(A817&amp;"; "&amp;B817&amp;"; "&amp;D817&amp;"; "&amp;E817&amp;"; "&amp;X817&amp;"; "&amp;Y817&amp;"; "&amp;Z817&amp;"; "&amp;AA817&amp;"; "&amp;AB817&amp;"; "&amp;AC817&amp;"; "&amp;AD817&amp;"; "&amp;V817&amp;"; "&amp;C817&amp;"; "&amp;AH817&amp;"; "&amp;AI817)</x:f>
        <x:v>proposal.audit.threaded_drive_screw; threaded drive screw; crafting components; crafting audit support item; machine part; processed intermediate; manufactured / unresolved; machinery drive; metal; solid part; proposal; threaded drive screw; crafting audit; t3; not applicable; component</x:v>
      </x:c>
      <x:c r="AF817" s="4" t="str">
        <x:v>New support/source proposal from item-chain audit; not accepted source canon.</x:v>
      </x:c>
      <x:c r="AG817" s="4" t="str">
        <x:v>Selected partial route; processing depth is independent of rarity.</x:v>
      </x:c>
      <x:c r="AH817" s="4" t="str">
        <x:v>Not applicable</x:v>
      </x:c>
      <x:c r="AI817" s="4" t="str">
        <x:v>Component</x:v>
      </x:c>
      <x:c r="AJ817" s="4" t="n">
        <x:f>COUNTIFS('Material routes'!$D$6:$D$2205,A817,'Material routes'!$C$6:$C$2205,"Output")</x:f>
        <x:v>1</x:v>
      </x:c>
      <x:c r="AK817" s="4" t="n">
        <x:f>SUM(COUNTIFS('Material routes'!$D$6:$D$2205,A817,'Material routes'!$C$6:$C$2205,"Ingredient candidate"),COUNTIFS('Material routes'!$D$6:$D$2205,A817,'Material routes'!$C$6:$C$2205,"Consumed input"),COUNTIFS('Material routes'!$D$6:$D$2205,A817,'Material routes'!$C$6:$C$2205,"Contained input"),COUNTIFS('Material routes'!$D$6:$D$2205,A817,'Material routes'!$C$6:$C$2205,"Transform input"))</x:f>
        <x:v>2</x:v>
      </x:c>
      <x:c r="AL817" s="4" t="n">
        <x:f>COUNTIFS('Material routes'!$D$6:$D$2205,A817,'Material routes'!$C$6:$C$2205,"Tool candidate")</x:f>
        <x:v>0</x:v>
      </x:c>
      <x:c r="AM817" s="4" t="str">
        <x:f>IF(AJ817&gt;0,"Route listed; review status/completeness",IF(C817="T0","Raw entry feed; no production route","No production route listed"))</x:f>
        <x:v>Route listed; review status/completeness</x:v>
      </x:c>
      <x:c r="AN817" s="4" t="n">
        <x:f>IF(C817="T0",0,IF(C817="T1",1,IF(C817="T2",2,IF(C817="T3",3,IF(C817="T4",4,IF(C817="Unassigned",98,99))))))</x:f>
        <x:v>3</x:v>
      </x:c>
      <x:c r="AZ817"/>
      <x:c r="BA817"/>
      <x:c r="BB817"/>
      <x:c r="BC817"/>
      <x:c r="BD817"/>
      <x:c r="BE817"/>
      <x:c r="BF817"/>
      <x:c r="BG817"/>
      <x:c r="BH817"/>
      <x:c r="BI817"/>
      <x:c r="BJ817"/>
      <x:c r="BK817"/>
      <x:c r="BL817"/>
      <x:c r="BM817"/>
      <x:c r="BN817"/>
      <x:c r="BO817"/>
      <x:c r="BP817"/>
      <x:c r="BQ817"/>
      <x:c r="BR817"/>
      <x:c r="BS817"/>
      <x:c r="BT817"/>
      <x:c r="BU817"/>
      <x:c r="BV817"/>
      <x:c r="BW817"/>
      <x:c r="BX817"/>
      <x:c r="BY817"/>
      <x:c r="BZ817"/>
      <x:c r="CA817"/>
      <x:c r="CB817"/>
      <x:c r="CC817"/>
    </x:row>
    <x:row r="818" ht="115" customHeight="1">
      <x:c r="A818" s="4" t="str">
        <x:v>proposal.audit.hand_drill_spindle</x:v>
      </x:c>
      <x:c r="B818" s="4" t="str">
        <x:v>Hand-drill spindle</x:v>
      </x:c>
      <x:c r="C818" s="4" t="str">
        <x:v>T3</x:v>
      </x:c>
      <x:c r="D818" s="4" t="str">
        <x:v>Crafting components</x:v>
      </x:c>
      <x:c r="E818" s="4" t="str">
        <x:v>Crafting audit support item</x:v>
      </x:c>
      <x:c r="F818" s="4" t="str">
        <x:v>New proposal</x:v>
      </x:c>
      <x:c r="G818" s="4" t="inlineStr">
        <x:is>
          <x:t xml:space="preserve">The rotating spindle at the center of a hand-drill assembly. It carries motion to a fitted drilling tool; the bit connection, bearings and means of turning the spindle must be matched to the drill.</x:t>
        </x:is>
      </x:c>
      <x:c r="H818" s="4" t="str">
        <x:v>None</x:v>
      </x:c>
      <x:c r="I818" s="4" t="str">
        <x:v>Physical item; installed or cargo fit unresolved</x:v>
      </x:c>
      <x:c r="J818" s="4"/>
      <x:c r="K818" s="4"/>
      <x:c r="L818" s="4" t="str">
        <x:v>Candidate preparation; see normalized crafting routes</x:v>
      </x:c>
      <x:c r="M818" s="4" t="str">
        <x:v>Partial design; tools, quantities, yield and qualification unresolved</x:v>
      </x:c>
      <x:c r="N818" s="4" t="str">
        <x:v>Not implemented</x:v>
      </x:c>
      <x:c r="O818" s="4" t="str">
        <x:v>No free environmental water, ordinary cloth, conventional-fat premise or ancient-material reproduction.</x:v>
      </x:c>
      <x:c r="P818" s="4"/>
      <x:c r="Q818" s="4"/>
      <x:c r="R818" s="4"/>
      <x:c r="S818" s="4"/>
      <x:c r="T818" s="4"/>
      <x:c r="U818" s="4" t="str">
        <x:v>Hand-drill spindle</x:v>
      </x:c>
      <x:c r="V818" s="4" t="str">
        <x:v>hand-drill spindle; crafting audit</x:v>
      </x:c>
      <x:c r="W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8" s="4" t="str">
        <x:v>Machine part</x:v>
      </x:c>
      <x:c r="Y818" s="4" t="str">
        <x:v>Processed intermediate</x:v>
      </x:c>
      <x:c r="Z818" s="4" t="str">
        <x:v>Manufactured / unresolved</x:v>
      </x:c>
      <x:c r="AA818" s="4" t="str">
        <x:v>Machinery repair</x:v>
      </x:c>
      <x:c r="AB818" s="4" t="str">
        <x:v>Metal</x:v>
      </x:c>
      <x:c r="AC818" s="4" t="str">
        <x:v>Solid part</x:v>
      </x:c>
      <x:c r="AD818" s="4" t="str">
        <x:v>Proposal</x:v>
      </x:c>
      <x:c r="AE818" s="4" t="str">
        <x:f>LOWER(A818&amp;"; "&amp;B818&amp;"; "&amp;D818&amp;"; "&amp;E818&amp;"; "&amp;X818&amp;"; "&amp;Y818&amp;"; "&amp;Z818&amp;"; "&amp;AA818&amp;"; "&amp;AB818&amp;"; "&amp;AC818&amp;"; "&amp;AD818&amp;"; "&amp;V818&amp;"; "&amp;C818&amp;"; "&amp;AH818&amp;"; "&amp;AI818)</x:f>
        <x:v>proposal.audit.hand_drill_spindle; hand-drill spindle; crafting components; crafting audit support item; machine part; processed intermediate; manufactured / unresolved; machinery repair; metal; solid part; proposal; hand-drill spindle; crafting audit; t3; not applicable; component</x:v>
      </x:c>
      <x:c r="AF818" s="4" t="str">
        <x:v>New support/source proposal from item-chain audit; not accepted source canon.</x:v>
      </x:c>
      <x:c r="AG818" s="4" t="str">
        <x:v>Selected partial route; processing depth is independent of rarity.</x:v>
      </x:c>
      <x:c r="AH818" s="4" t="str">
        <x:v>Not applicable</x:v>
      </x:c>
      <x:c r="AI818" s="4" t="str">
        <x:v>Component</x:v>
      </x:c>
      <x:c r="AJ818" s="4" t="n">
        <x:f>COUNTIFS('Material routes'!$D$6:$D$2205,A818,'Material routes'!$C$6:$C$2205,"Output")</x:f>
        <x:v>1</x:v>
      </x:c>
      <x:c r="AK818" s="4" t="n">
        <x:f>SUM(COUNTIFS('Material routes'!$D$6:$D$2205,A818,'Material routes'!$C$6:$C$2205,"Ingredient candidate"),COUNTIFS('Material routes'!$D$6:$D$2205,A818,'Material routes'!$C$6:$C$2205,"Consumed input"),COUNTIFS('Material routes'!$D$6:$D$2205,A818,'Material routes'!$C$6:$C$2205,"Contained input"),COUNTIFS('Material routes'!$D$6:$D$2205,A818,'Material routes'!$C$6:$C$2205,"Transform input"))</x:f>
        <x:v>1</x:v>
      </x:c>
      <x:c r="AL818" s="4" t="n">
        <x:f>COUNTIFS('Material routes'!$D$6:$D$2205,A818,'Material routes'!$C$6:$C$2205,"Tool candidate")</x:f>
        <x:v>0</x:v>
      </x:c>
      <x:c r="AM818" s="4" t="str">
        <x:f>IF(AJ818&gt;0,"Route listed; review status/completeness",IF(C818="T0","Raw entry feed; no production route","No production route listed"))</x:f>
        <x:v>Route listed; review status/completeness</x:v>
      </x:c>
      <x:c r="AN818" s="4" t="n">
        <x:f>IF(C818="T0",0,IF(C818="T1",1,IF(C818="T2",2,IF(C818="T3",3,IF(C818="T4",4,IF(C818="Unassigned",98,99))))))</x:f>
        <x:v>3</x:v>
      </x:c>
      <x:c r="AZ818"/>
      <x:c r="BA818"/>
      <x:c r="BB818"/>
      <x:c r="BC818"/>
      <x:c r="BD818"/>
      <x:c r="BE818"/>
      <x:c r="BF818"/>
      <x:c r="BG818"/>
      <x:c r="BH818"/>
      <x:c r="BI818"/>
      <x:c r="BJ818"/>
      <x:c r="BK818"/>
      <x:c r="BL818"/>
      <x:c r="BM818"/>
      <x:c r="BN818"/>
      <x:c r="BO818"/>
      <x:c r="BP818"/>
      <x:c r="BQ818"/>
      <x:c r="BR818"/>
      <x:c r="BS818"/>
      <x:c r="BT818"/>
      <x:c r="BU818"/>
      <x:c r="BV818"/>
      <x:c r="BW818"/>
      <x:c r="BX818"/>
      <x:c r="BY818"/>
      <x:c r="BZ818"/>
      <x:c r="CA818"/>
      <x:c r="CB818"/>
      <x:c r="CC818"/>
    </x:row>
    <x:row r="819" ht="115" customHeight="1">
      <x:c r="A819" s="4" t="str">
        <x:v>proposal.audit.replaceable_drill_bit_insert</x:v>
      </x:c>
      <x:c r="B819" s="4" t="str">
        <x:v>Replaceable drill-bit insert</x:v>
      </x:c>
      <x:c r="C819" s="4" t="str">
        <x:v>T3</x:v>
      </x:c>
      <x:c r="D819" s="4" t="str">
        <x:v>Crafting components</x:v>
      </x:c>
      <x:c r="E819" s="4" t="str">
        <x:v>Crafting audit support item</x:v>
      </x:c>
      <x:c r="F819" s="4" t="str">
        <x:v>New proposal</x:v>
      </x:c>
      <x:c r="G819" s="4" t="inlineStr">
        <x:is>
          <x:t xml:space="preserve">A replaceable cutting insert intended for the working end of a drilling tool. It supplies the wear surface that contacts the workpiece; material, fastening and the compatible drill geometry remain to be selected.</x:t>
        </x:is>
      </x:c>
      <x:c r="H819" s="4" t="str">
        <x:v>None</x:v>
      </x:c>
      <x:c r="I819" s="4" t="str">
        <x:v>Physical item; installed or cargo fit unresolved</x:v>
      </x:c>
      <x:c r="J819" s="4"/>
      <x:c r="K819" s="4"/>
      <x:c r="L819" s="4" t="str">
        <x:v>Candidate preparation; see normalized crafting routes</x:v>
      </x:c>
      <x:c r="M819" s="4" t="str">
        <x:v>Partial design; tools, quantities, yield and qualification unresolved</x:v>
      </x:c>
      <x:c r="N819" s="4" t="str">
        <x:v>Not implemented</x:v>
      </x:c>
      <x:c r="O819" s="4" t="str">
        <x:v>No free environmental water, ordinary cloth, conventional-fat premise or ancient-material reproduction.</x:v>
      </x:c>
      <x:c r="P819" s="4"/>
      <x:c r="Q819" s="4"/>
      <x:c r="R819" s="4"/>
      <x:c r="S819" s="4"/>
      <x:c r="T819" s="4"/>
      <x:c r="U819" s="4" t="str">
        <x:v>Replaceable drill-bit insert</x:v>
      </x:c>
      <x:c r="V819" s="4" t="str">
        <x:v>replaceable drill-bit insert; crafting audit</x:v>
      </x:c>
      <x:c r="W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9" s="4" t="str">
        <x:v>Machine part</x:v>
      </x:c>
      <x:c r="Y819" s="4" t="str">
        <x:v>Processed intermediate</x:v>
      </x:c>
      <x:c r="Z819" s="4" t="str">
        <x:v>Manufactured / unresolved</x:v>
      </x:c>
      <x:c r="AA819" s="4" t="str">
        <x:v>Fabrication</x:v>
      </x:c>
      <x:c r="AB819" s="4" t="str">
        <x:v>Metal</x:v>
      </x:c>
      <x:c r="AC819" s="4" t="str">
        <x:v>Solid part</x:v>
      </x:c>
      <x:c r="AD819" s="4" t="str">
        <x:v>Proposal</x:v>
      </x:c>
      <x:c r="AE819" s="4" t="str">
        <x:f>LOWER(A819&amp;"; "&amp;B819&amp;"; "&amp;D819&amp;"; "&amp;E819&amp;"; "&amp;X819&amp;"; "&amp;Y819&amp;"; "&amp;Z819&amp;"; "&amp;AA819&amp;"; "&amp;AB819&amp;"; "&amp;AC819&amp;"; "&amp;AD819&amp;"; "&amp;V819&amp;"; "&amp;C819&amp;"; "&amp;AH819&amp;"; "&amp;AI819)</x:f>
        <x:v>proposal.audit.replaceable_drill_bit_insert; replaceable drill-bit insert; crafting components; crafting audit support item; machine part; processed intermediate; manufactured / unresolved; fabrication; metal; solid part; proposal; replaceable drill-bit insert; crafting audit; t3; not applicable; component</x:v>
      </x:c>
      <x:c r="AF819" s="4" t="str">
        <x:v>New support/source proposal from item-chain audit; not accepted source canon.</x:v>
      </x:c>
      <x:c r="AG819" s="4" t="str">
        <x:v>Selected partial route; processing depth is independent of rarity.</x:v>
      </x:c>
      <x:c r="AH819" s="4" t="str">
        <x:v>Not applicable</x:v>
      </x:c>
      <x:c r="AI819" s="4" t="str">
        <x:v>Component</x:v>
      </x:c>
      <x:c r="AJ819" s="4" t="n">
        <x:f>COUNTIFS('Material routes'!$D$6:$D$2205,A819,'Material routes'!$C$6:$C$2205,"Output")</x:f>
        <x:v>1</x:v>
      </x:c>
      <x:c r="AK819" s="4" t="n">
        <x:f>SUM(COUNTIFS('Material routes'!$D$6:$D$2205,A819,'Material routes'!$C$6:$C$2205,"Ingredient candidate"),COUNTIFS('Material routes'!$D$6:$D$2205,A819,'Material routes'!$C$6:$C$2205,"Consumed input"),COUNTIFS('Material routes'!$D$6:$D$2205,A819,'Material routes'!$C$6:$C$2205,"Contained input"),COUNTIFS('Material routes'!$D$6:$D$2205,A819,'Material routes'!$C$6:$C$2205,"Transform input"))</x:f>
        <x:v>1</x:v>
      </x:c>
      <x:c r="AL819" s="4" t="n">
        <x:f>COUNTIFS('Material routes'!$D$6:$D$2205,A819,'Material routes'!$C$6:$C$2205,"Tool candidate")</x:f>
        <x:v>0</x:v>
      </x:c>
      <x:c r="AM819" s="4" t="str">
        <x:f>IF(AJ819&gt;0,"Route listed; review status/completeness",IF(C819="T0","Raw entry feed; no production route","No production route listed"))</x:f>
        <x:v>Route listed; review status/completeness</x:v>
      </x:c>
      <x:c r="AN819" s="4" t="n">
        <x:f>IF(C819="T0",0,IF(C819="T1",1,IF(C819="T2",2,IF(C819="T3",3,IF(C819="T4",4,IF(C819="Unassigned",98,99))))))</x:f>
        <x:v>3</x:v>
      </x:c>
      <x:c r="AZ819"/>
      <x:c r="BA819"/>
      <x:c r="BB819"/>
      <x:c r="BC819"/>
      <x:c r="BD819"/>
      <x:c r="BE819"/>
      <x:c r="BF819"/>
      <x:c r="BG819"/>
      <x:c r="BH819"/>
      <x:c r="BI819"/>
      <x:c r="BJ819"/>
      <x:c r="BK819"/>
      <x:c r="BL819"/>
      <x:c r="BM819"/>
      <x:c r="BN819"/>
      <x:c r="BO819"/>
      <x:c r="BP819"/>
      <x:c r="BQ819"/>
      <x:c r="BR819"/>
      <x:c r="BS819"/>
      <x:c r="BT819"/>
      <x:c r="BU819"/>
      <x:c r="BV819"/>
      <x:c r="BW819"/>
      <x:c r="BX819"/>
      <x:c r="BY819"/>
      <x:c r="BZ819"/>
      <x:c r="CA819"/>
      <x:c r="CB819"/>
      <x:c r="CC819"/>
    </x:row>
    <x:row r="820" ht="115" customHeight="1">
      <x:c r="A820" s="4" t="str">
        <x:v>proposal.audit.compact_latch_and_trigger_pack</x:v>
      </x:c>
      <x:c r="B820" s="4" t="str">
        <x:v>Compact latch and trigger pack</x:v>
      </x:c>
      <x:c r="C820" s="4" t="str">
        <x:v>T4</x:v>
      </x:c>
      <x:c r="D820" s="4" t="str">
        <x:v>Crafting components</x:v>
      </x:c>
      <x:c r="E820" s="4" t="str">
        <x:v>Crafting audit support item</x:v>
      </x:c>
      <x:c r="F820" s="4" t="str">
        <x:v>New proposal</x:v>
      </x:c>
      <x:c r="G820" s="4" t="inlineStr">
        <x:is>
          <x:t xml:space="preserve">A compact mechanical pack combining a retaining latch with a release trigger. It holds and releases a matched mechanism on command; travel, reset method and safe loading depend on the host equipment.</x:t>
        </x:is>
      </x:c>
      <x:c r="H820" s="4" t="str">
        <x:v>None</x:v>
      </x:c>
      <x:c r="I820" s="4" t="str">
        <x:v>Physical item; installed or cargo fit unresolved</x:v>
      </x:c>
      <x:c r="J820" s="4"/>
      <x:c r="K820" s="4"/>
      <x:c r="L820" s="4" t="str">
        <x:v>Candidate preparation; see normalized crafting routes</x:v>
      </x:c>
      <x:c r="M820" s="4" t="str">
        <x:v>Partial design; tools, quantities, yield and qualification unresolved</x:v>
      </x:c>
      <x:c r="N820" s="4" t="str">
        <x:v>Not implemented</x:v>
      </x:c>
      <x:c r="O820" s="4" t="str">
        <x:v>No free environmental water, ordinary cloth, conventional-fat premise or ancient-material reproduction.</x:v>
      </x:c>
      <x:c r="P820" s="4"/>
      <x:c r="Q820" s="4"/>
      <x:c r="R820" s="4"/>
      <x:c r="S820" s="4"/>
      <x:c r="T820" s="4"/>
      <x:c r="U820" s="4" t="str">
        <x:v>Compact latch and trigger pack</x:v>
      </x:c>
      <x:c r="V820" s="4" t="str">
        <x:v>compact latch and trigger pack; crafting audit</x:v>
      </x:c>
      <x:c r="W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0" s="4" t="str">
        <x:v>Crafting component</x:v>
      </x:c>
      <x:c r="Y820" s="4" t="str">
        <x:v>Processed intermediate</x:v>
      </x:c>
      <x:c r="Z820" s="4" t="str">
        <x:v>Manufactured / unresolved</x:v>
      </x:c>
      <x:c r="AA820" s="4" t="str">
        <x:v>Equipment fabrication</x:v>
      </x:c>
      <x:c r="AB820" s="4" t="str">
        <x:v>Metal</x:v>
      </x:c>
      <x:c r="AC820" s="4" t="str">
        <x:v>Solid part</x:v>
      </x:c>
      <x:c r="AD820" s="4" t="str">
        <x:v>Proposal</x:v>
      </x:c>
      <x:c r="AE820" s="4" t="str">
        <x:f>LOWER(A820&amp;"; "&amp;B820&amp;"; "&amp;D820&amp;"; "&amp;E820&amp;"; "&amp;X820&amp;"; "&amp;Y820&amp;"; "&amp;Z820&amp;"; "&amp;AA820&amp;"; "&amp;AB820&amp;"; "&amp;AC820&amp;"; "&amp;AD820&amp;"; "&amp;V820&amp;"; "&amp;C820&amp;"; "&amp;AH820&amp;"; "&amp;AI820)</x:f>
        <x:v>proposal.audit.compact_latch_and_trigger_pack; compact latch and trigger pack; crafting components; crafting audit support item; crafting component; processed intermediate; manufactured / unresolved; equipment fabrication; metal; solid part; proposal; compact latch and trigger pack; crafting audit; t4; not applicable; component</x:v>
      </x:c>
      <x:c r="AF820" s="4" t="str">
        <x:v>New support/source proposal from item-chain audit; not accepted source canon.</x:v>
      </x:c>
      <x:c r="AG820" s="4" t="str">
        <x:v>Selected partial route; processing depth is independent of rarity.</x:v>
      </x:c>
      <x:c r="AH820" s="4" t="str">
        <x:v>Not applicable</x:v>
      </x:c>
      <x:c r="AI820" s="4" t="str">
        <x:v>Component</x:v>
      </x:c>
      <x:c r="AJ820" s="4" t="n">
        <x:f>COUNTIFS('Material routes'!$D$6:$D$2205,A820,'Material routes'!$C$6:$C$2205,"Output")</x:f>
        <x:v>1</x:v>
      </x:c>
      <x:c r="AK820" s="4" t="n">
        <x:f>SUM(COUNTIFS('Material routes'!$D$6:$D$2205,A820,'Material routes'!$C$6:$C$2205,"Ingredient candidate"),COUNTIFS('Material routes'!$D$6:$D$2205,A820,'Material routes'!$C$6:$C$2205,"Consumed input"),COUNTIFS('Material routes'!$D$6:$D$2205,A820,'Material routes'!$C$6:$C$2205,"Contained input"),COUNTIFS('Material routes'!$D$6:$D$2205,A820,'Material routes'!$C$6:$C$2205,"Transform input"))</x:f>
        <x:v>11</x:v>
      </x:c>
      <x:c r="AL820" s="4" t="n">
        <x:f>COUNTIFS('Material routes'!$D$6:$D$2205,A820,'Material routes'!$C$6:$C$2205,"Tool candidate")</x:f>
        <x:v>0</x:v>
      </x:c>
      <x:c r="AM820" s="4" t="str">
        <x:f>IF(AJ820&gt;0,"Route listed; review status/completeness",IF(C820="T0","Raw entry feed; no production route","No production route listed"))</x:f>
        <x:v>Route listed; review status/completeness</x:v>
      </x:c>
      <x:c r="AN820" s="4" t="n">
        <x:f>IF(C820="T0",0,IF(C820="T1",1,IF(C820="T2",2,IF(C820="T3",3,IF(C820="T4",4,IF(C820="Unassigned",98,99))))))</x:f>
        <x:v>4</x:v>
      </x:c>
      <x:c r="AZ820"/>
      <x:c r="BA820"/>
      <x:c r="BB820"/>
      <x:c r="BC820"/>
      <x:c r="BD820"/>
      <x:c r="BE820"/>
      <x:c r="BF820"/>
      <x:c r="BG820"/>
      <x:c r="BH820"/>
      <x:c r="BI820"/>
      <x:c r="BJ820"/>
      <x:c r="BK820"/>
      <x:c r="BL820"/>
      <x:c r="BM820"/>
      <x:c r="BN820"/>
      <x:c r="BO820"/>
      <x:c r="BP820"/>
      <x:c r="BQ820"/>
      <x:c r="BR820"/>
      <x:c r="BS820"/>
      <x:c r="BT820"/>
      <x:c r="BU820"/>
      <x:c r="BV820"/>
      <x:c r="BW820"/>
      <x:c r="BX820"/>
      <x:c r="BY820"/>
      <x:c r="BZ820"/>
      <x:c r="CA820"/>
      <x:c r="CB820"/>
      <x:c r="CC820"/>
    </x:row>
    <x:row r="821" ht="115" customHeight="1">
      <x:c r="A821" s="4" t="str">
        <x:v>proposal.audit.valve_poppet_blank</x:v>
      </x:c>
      <x:c r="B821" s="4" t="str">
        <x:v>Valve poppet blank</x:v>
      </x:c>
      <x:c r="C821" s="4" t="str">
        <x:v>T3</x:v>
      </x:c>
      <x:c r="D821" s="4" t="str">
        <x:v>Crafting components</x:v>
      </x:c>
      <x:c r="E821" s="4" t="str">
        <x:v>Crafting audit support item</x:v>
      </x:c>
      <x:c r="F821" s="4" t="str">
        <x:v>New proposal</x:v>
      </x:c>
      <x:c r="G821" s="4" t="inlineStr">
        <x:is>
          <x:t xml:space="preserve">An unfinished valve poppet intended to meet a matching seat inside a flow-control assembly. Its final sealing face and stem require fitting; working medium, pressure and compatibility have not been assigned.</x:t>
        </x:is>
      </x:c>
      <x:c r="H821" s="4" t="str">
        <x:v>None</x:v>
      </x:c>
      <x:c r="I821" s="4" t="str">
        <x:v>Physical item; installed or cargo fit unresolved</x:v>
      </x:c>
      <x:c r="J821" s="4"/>
      <x:c r="K821" s="4"/>
      <x:c r="L821" s="4" t="str">
        <x:v>Candidate preparation; see normalized crafting routes</x:v>
      </x:c>
      <x:c r="M821" s="4" t="str">
        <x:v>Partial design; tools, quantities, yield and qualification unresolved</x:v>
      </x:c>
      <x:c r="N821" s="4" t="str">
        <x:v>Not implemented</x:v>
      </x:c>
      <x:c r="O821" s="4" t="str">
        <x:v>No free environmental water, ordinary cloth, conventional-fat premise or ancient-material reproduction.</x:v>
      </x:c>
      <x:c r="P821" s="4"/>
      <x:c r="Q821" s="4"/>
      <x:c r="R821" s="4"/>
      <x:c r="S821" s="4"/>
      <x:c r="T821" s="4"/>
      <x:c r="U821" s="4" t="str">
        <x:v>Valve poppet blank</x:v>
      </x:c>
      <x:c r="V821" s="4" t="str">
        <x:v>valve poppet blank; crafting audit</x:v>
      </x:c>
      <x:c r="W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1" s="4" t="str">
        <x:v>Machine part</x:v>
      </x:c>
      <x:c r="Y821" s="4" t="str">
        <x:v>Processed intermediate</x:v>
      </x:c>
      <x:c r="Z821" s="4" t="str">
        <x:v>Manufactured / unresolved</x:v>
      </x:c>
      <x:c r="AA821" s="4" t="str">
        <x:v>Machinery repair</x:v>
      </x:c>
      <x:c r="AB821" s="4" t="str">
        <x:v>Metal</x:v>
      </x:c>
      <x:c r="AC821" s="4" t="str">
        <x:v>Solid part</x:v>
      </x:c>
      <x:c r="AD821" s="4" t="str">
        <x:v>Proposal</x:v>
      </x:c>
      <x:c r="AE821" s="4" t="str">
        <x:f>LOWER(A821&amp;"; "&amp;B821&amp;"; "&amp;D821&amp;"; "&amp;E821&amp;"; "&amp;X821&amp;"; "&amp;Y821&amp;"; "&amp;Z821&amp;"; "&amp;AA821&amp;"; "&amp;AB821&amp;"; "&amp;AC821&amp;"; "&amp;AD821&amp;"; "&amp;V821&amp;"; "&amp;C821&amp;"; "&amp;AH821&amp;"; "&amp;AI821)</x:f>
        <x:v>proposal.audit.valve_poppet_blank; valve poppet blank; crafting components; crafting audit support item; machine part; processed intermediate; manufactured / unresolved; machinery repair; metal; solid part; proposal; valve poppet blank; crafting audit; t3; not applicable; component</x:v>
      </x:c>
      <x:c r="AF821" s="4" t="str">
        <x:v>New support/source proposal from item-chain audit; not accepted source canon.</x:v>
      </x:c>
      <x:c r="AG821" s="4" t="str">
        <x:v>Selected partial route; processing depth is independent of rarity.</x:v>
      </x:c>
      <x:c r="AH821" s="4" t="str">
        <x:v>Not applicable</x:v>
      </x:c>
      <x:c r="AI821" s="4" t="str">
        <x:v>Component</x:v>
      </x:c>
      <x:c r="AJ821" s="4" t="n">
        <x:f>COUNTIFS('Material routes'!$D$6:$D$2205,A821,'Material routes'!$C$6:$C$2205,"Output")</x:f>
        <x:v>1</x:v>
      </x:c>
      <x:c r="AK821" s="4" t="n">
        <x:f>SUM(COUNTIFS('Material routes'!$D$6:$D$2205,A821,'Material routes'!$C$6:$C$2205,"Ingredient candidate"),COUNTIFS('Material routes'!$D$6:$D$2205,A821,'Material routes'!$C$6:$C$2205,"Consumed input"),COUNTIFS('Material routes'!$D$6:$D$2205,A821,'Material routes'!$C$6:$C$2205,"Contained input"),COUNTIFS('Material routes'!$D$6:$D$2205,A821,'Material routes'!$C$6:$C$2205,"Transform input"))</x:f>
        <x:v>1</x:v>
      </x:c>
      <x:c r="AL821" s="4" t="n">
        <x:f>COUNTIFS('Material routes'!$D$6:$D$2205,A821,'Material routes'!$C$6:$C$2205,"Tool candidate")</x:f>
        <x:v>0</x:v>
      </x:c>
      <x:c r="AM821" s="4" t="str">
        <x:f>IF(AJ821&gt;0,"Route listed; review status/completeness",IF(C821="T0","Raw entry feed; no production route","No production route listed"))</x:f>
        <x:v>Route listed; review status/completeness</x:v>
      </x:c>
      <x:c r="AN821" s="4" t="n">
        <x:f>IF(C821="T0",0,IF(C821="T1",1,IF(C821="T2",2,IF(C821="T3",3,IF(C821="T4",4,IF(C821="Unassigned",98,99))))))</x:f>
        <x:v>3</x:v>
      </x:c>
      <x:c r="AZ821"/>
      <x:c r="BA821"/>
      <x:c r="BB821"/>
      <x:c r="BC821"/>
      <x:c r="BD821"/>
      <x:c r="BE821"/>
      <x:c r="BF821"/>
      <x:c r="BG821"/>
      <x:c r="BH821"/>
      <x:c r="BI821"/>
      <x:c r="BJ821"/>
      <x:c r="BK821"/>
      <x:c r="BL821"/>
      <x:c r="BM821"/>
      <x:c r="BN821"/>
      <x:c r="BO821"/>
      <x:c r="BP821"/>
      <x:c r="BQ821"/>
      <x:c r="BR821"/>
      <x:c r="BS821"/>
      <x:c r="BT821"/>
      <x:c r="BU821"/>
      <x:c r="BV821"/>
      <x:c r="BW821"/>
      <x:c r="BX821"/>
      <x:c r="BY821"/>
      <x:c r="BZ821"/>
      <x:c r="CA821"/>
      <x:c r="CB821"/>
      <x:c r="CC821"/>
    </x:row>
    <x:row r="822" ht="115" customHeight="1">
      <x:c r="A822" s="4" t="str">
        <x:v>proposal.audit.fitted_pressure_barrel_module</x:v>
      </x:c>
      <x:c r="B822" s="4" t="str">
        <x:v>Fitted pressure-barrel module</x:v>
      </x:c>
      <x:c r="C822" s="4" t="str">
        <x:v>T4</x:v>
      </x:c>
      <x:c r="D822" s="4" t="str">
        <x:v>Crafting components</x:v>
      </x:c>
      <x:c r="E822" s="4" t="str">
        <x:v>Crafting audit support item</x:v>
      </x:c>
      <x:c r="F822" s="4" t="str">
        <x:v>New proposal</x:v>
      </x:c>
      <x:c r="G822" s="4" t="inlineStr">
        <x:is>
          <x:t xml:space="preserve">A barrel module proposed for a matched pressure-driven assembly, using ceramic and metal parts. It guides the designed moving medium or projectile; seals, pressure source and safe operating conditions remain unresolved.</x:t>
        </x:is>
      </x:c>
      <x:c r="H822" s="4" t="str">
        <x:v>None</x:v>
      </x:c>
      <x:c r="I822" s="4" t="str">
        <x:v>Physical item; installed or cargo fit unresolved</x:v>
      </x:c>
      <x:c r="J822" s="4"/>
      <x:c r="K822" s="4"/>
      <x:c r="L822" s="4" t="str">
        <x:v>Candidate preparation; see normalized crafting routes</x:v>
      </x:c>
      <x:c r="M822" s="4" t="str">
        <x:v>Partial design; tools, quantities, yield and qualification unresolved</x:v>
      </x:c>
      <x:c r="N822" s="4" t="str">
        <x:v>Not implemented</x:v>
      </x:c>
      <x:c r="O822" s="4" t="str">
        <x:v>No free environmental water, ordinary cloth, conventional-fat premise or ancient-material reproduction.</x:v>
      </x:c>
      <x:c r="P822" s="4"/>
      <x:c r="Q822" s="4"/>
      <x:c r="R822" s="4"/>
      <x:c r="S822" s="4"/>
      <x:c r="T822" s="4"/>
      <x:c r="U822" s="4" t="str">
        <x:v>Fitted pressure-barrel module</x:v>
      </x:c>
      <x:c r="V822" s="4" t="str">
        <x:v>fitted pressure-barrel module; crafting audit</x:v>
      </x:c>
      <x:c r="W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2" s="4" t="str">
        <x:v>Crafting component</x:v>
      </x:c>
      <x:c r="Y822" s="4" t="str">
        <x:v>Processed intermediate</x:v>
      </x:c>
      <x:c r="Z822" s="4" t="str">
        <x:v>Manufactured / unresolved</x:v>
      </x:c>
      <x:c r="AA822" s="4" t="str">
        <x:v>Equipment fabrication</x:v>
      </x:c>
      <x:c r="AB822" s="4" t="str">
        <x:v>Ceramic and metal</x:v>
      </x:c>
      <x:c r="AC822" s="4" t="str">
        <x:v>Solid part</x:v>
      </x:c>
      <x:c r="AD822" s="4" t="str">
        <x:v>Proposal</x:v>
      </x:c>
      <x:c r="AE822" s="4" t="str">
        <x:f>LOWER(A822&amp;"; "&amp;B822&amp;"; "&amp;D822&amp;"; "&amp;E822&amp;"; "&amp;X822&amp;"; "&amp;Y822&amp;"; "&amp;Z822&amp;"; "&amp;AA822&amp;"; "&amp;AB822&amp;"; "&amp;AC822&amp;"; "&amp;AD822&amp;"; "&amp;V822&amp;"; "&amp;C822&amp;"; "&amp;AH822&amp;"; "&amp;AI822)</x:f>
        <x:v>proposal.audit.fitted_pressure_barrel_module; fitted pressure-barrel module; crafting components; crafting audit support item; crafting component; processed intermediate; manufactured / unresolved; equipment fabrication; ceramic and metal; solid part; proposal; fitted pressure-barrel module; crafting audit; t4; not applicable; component</x:v>
      </x:c>
      <x:c r="AF822" s="4" t="str">
        <x:v>New support/source proposal from item-chain audit; not accepted source canon.</x:v>
      </x:c>
      <x:c r="AG822" s="4" t="str">
        <x:v>Selected partial route; processing depth is independent of rarity.</x:v>
      </x:c>
      <x:c r="AH822" s="4" t="str">
        <x:v>Not applicable</x:v>
      </x:c>
      <x:c r="AI822" s="4" t="str">
        <x:v>Component</x:v>
      </x:c>
      <x:c r="AJ822" s="4" t="n">
        <x:f>COUNTIFS('Material routes'!$D$6:$D$2205,A822,'Material routes'!$C$6:$C$2205,"Output")</x:f>
        <x:v>1</x:v>
      </x:c>
      <x:c r="AK822" s="4" t="n">
        <x:f>SUM(COUNTIFS('Material routes'!$D$6:$D$2205,A822,'Material routes'!$C$6:$C$2205,"Ingredient candidate"),COUNTIFS('Material routes'!$D$6:$D$2205,A822,'Material routes'!$C$6:$C$2205,"Consumed input"),COUNTIFS('Material routes'!$D$6:$D$2205,A822,'Material routes'!$C$6:$C$2205,"Contained input"),COUNTIFS('Material routes'!$D$6:$D$2205,A822,'Material routes'!$C$6:$C$2205,"Transform input"))</x:f>
        <x:v>1</x:v>
      </x:c>
      <x:c r="AL822" s="4" t="n">
        <x:f>COUNTIFS('Material routes'!$D$6:$D$2205,A822,'Material routes'!$C$6:$C$2205,"Tool candidate")</x:f>
        <x:v>0</x:v>
      </x:c>
      <x:c r="AM822" s="4" t="str">
        <x:f>IF(AJ822&gt;0,"Route listed; review status/completeness",IF(C822="T0","Raw entry feed; no production route","No production route listed"))</x:f>
        <x:v>Route listed; review status/completeness</x:v>
      </x:c>
      <x:c r="AN822" s="4" t="n">
        <x:f>IF(C822="T0",0,IF(C822="T1",1,IF(C822="T2",2,IF(C822="T3",3,IF(C822="T4",4,IF(C822="Unassigned",98,99))))))</x:f>
        <x:v>4</x:v>
      </x:c>
      <x:c r="AZ822"/>
      <x:c r="BA822"/>
      <x:c r="BB822"/>
      <x:c r="BC822"/>
      <x:c r="BD822"/>
      <x:c r="BE822"/>
      <x:c r="BF822"/>
      <x:c r="BG822"/>
      <x:c r="BH822"/>
      <x:c r="BI822"/>
      <x:c r="BJ822"/>
      <x:c r="BK822"/>
      <x:c r="BL822"/>
      <x:c r="BM822"/>
      <x:c r="BN822"/>
      <x:c r="BO822"/>
      <x:c r="BP822"/>
      <x:c r="BQ822"/>
      <x:c r="BR822"/>
      <x:c r="BS822"/>
      <x:c r="BT822"/>
      <x:c r="BU822"/>
      <x:c r="BV822"/>
      <x:c r="BW822"/>
      <x:c r="BX822"/>
      <x:c r="BY822"/>
      <x:c r="BZ822"/>
      <x:c r="CA822"/>
      <x:c r="CB822"/>
      <x:c r="CC822"/>
    </x:row>
    <x:row r="823" ht="115" customHeight="1">
      <x:c r="A823" s="4" t="str">
        <x:v>proposal.audit.ceramic_backed_control_switch</x:v>
      </x:c>
      <x:c r="B823" s="4" t="str">
        <x:v>Ceramic-backed control switch</x:v>
      </x:c>
      <x:c r="C823" s="4" t="str">
        <x:v>T4</x:v>
      </x:c>
      <x:c r="D823" s="4" t="str">
        <x:v>Crafting components</x:v>
      </x:c>
      <x:c r="E823" s="4" t="str">
        <x:v>Crafting audit support item</x:v>
      </x:c>
      <x:c r="F823" s="4" t="str">
        <x:v>New proposal</x:v>
      </x:c>
      <x:c r="G823" s="4" t="inlineStr">
        <x:is>
          <x:t xml:space="preserve">A control switch with conductive contacts supported on a ceramic backing. It opens or closes a designed electrical path while keeping the mounting surface separate from the contacts; ratings and wiring remain to be established.</x:t>
        </x:is>
      </x:c>
      <x:c r="H823" s="4" t="str">
        <x:v>None</x:v>
      </x:c>
      <x:c r="I823" s="4" t="str">
        <x:v>Physical item; installed or cargo fit unresolved</x:v>
      </x:c>
      <x:c r="J823" s="4"/>
      <x:c r="K823" s="4"/>
      <x:c r="L823" s="4" t="str">
        <x:v>Candidate preparation; see normalized crafting routes</x:v>
      </x:c>
      <x:c r="M823" s="4" t="str">
        <x:v>Partial design; tools, quantities, yield and qualification unresolved</x:v>
      </x:c>
      <x:c r="N823" s="4" t="str">
        <x:v>Not implemented</x:v>
      </x:c>
      <x:c r="O823" s="4" t="str">
        <x:v>No free environmental water, ordinary cloth, conventional-fat premise or ancient-material reproduction.</x:v>
      </x:c>
      <x:c r="P823" s="4"/>
      <x:c r="Q823" s="4"/>
      <x:c r="R823" s="4"/>
      <x:c r="S823" s="4"/>
      <x:c r="T823" s="4"/>
      <x:c r="U823" s="4" t="str">
        <x:v>Ceramic-backed control switch</x:v>
      </x:c>
      <x:c r="V823" s="4" t="str">
        <x:v>ceramic-backed control switch; crafting audit</x:v>
      </x:c>
      <x:c r="W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3" s="4" t="str">
        <x:v>Crafting component</x:v>
      </x:c>
      <x:c r="Y823" s="4" t="str">
        <x:v>Processed intermediate</x:v>
      </x:c>
      <x:c r="Z823" s="4" t="str">
        <x:v>Manufactured / unresolved</x:v>
      </x:c>
      <x:c r="AA823" s="4" t="str">
        <x:v>Electrical work</x:v>
      </x:c>
      <x:c r="AB823" s="4" t="str">
        <x:v>Ceramic and metal</x:v>
      </x:c>
      <x:c r="AC823" s="4" t="str">
        <x:v>Solid part</x:v>
      </x:c>
      <x:c r="AD823" s="4" t="str">
        <x:v>Proposal</x:v>
      </x:c>
      <x:c r="AE823" s="4" t="str">
        <x:f>LOWER(A823&amp;"; "&amp;B823&amp;"; "&amp;D823&amp;"; "&amp;E823&amp;"; "&amp;X823&amp;"; "&amp;Y823&amp;"; "&amp;Z823&amp;"; "&amp;AA823&amp;"; "&amp;AB823&amp;"; "&amp;AC823&amp;"; "&amp;AD823&amp;"; "&amp;V823&amp;"; "&amp;C823&amp;"; "&amp;AH823&amp;"; "&amp;AI823)</x:f>
        <x:v>proposal.audit.ceramic_backed_control_switch; ceramic-backed control switch; crafting components; crafting audit support item; crafting component; processed intermediate; manufactured / unresolved; electrical work; ceramic and metal; solid part; proposal; ceramic-backed control switch; crafting audit; t4; not applicable; component</x:v>
      </x:c>
      <x:c r="AF823" s="4" t="str">
        <x:v>New support/source proposal from item-chain audit; not accepted source canon.</x:v>
      </x:c>
      <x:c r="AG823" s="4" t="str">
        <x:v>Selected partial route; processing depth is independent of rarity.</x:v>
      </x:c>
      <x:c r="AH823" s="4" t="str">
        <x:v>Not applicable</x:v>
      </x:c>
      <x:c r="AI823" s="4" t="str">
        <x:v>Component</x:v>
      </x:c>
      <x:c r="AJ823" s="4" t="n">
        <x:f>COUNTIFS('Material routes'!$D$6:$D$2205,A823,'Material routes'!$C$6:$C$2205,"Output")</x:f>
        <x:v>1</x:v>
      </x:c>
      <x:c r="AK823" s="4" t="n">
        <x:f>SUM(COUNTIFS('Material routes'!$D$6:$D$2205,A823,'Material routes'!$C$6:$C$2205,"Ingredient candidate"),COUNTIFS('Material routes'!$D$6:$D$2205,A823,'Material routes'!$C$6:$C$2205,"Consumed input"),COUNTIFS('Material routes'!$D$6:$D$2205,A823,'Material routes'!$C$6:$C$2205,"Contained input"),COUNTIFS('Material routes'!$D$6:$D$2205,A823,'Material routes'!$C$6:$C$2205,"Transform input"))</x:f>
        <x:v>10</x:v>
      </x:c>
      <x:c r="AL823" s="4" t="n">
        <x:f>COUNTIFS('Material routes'!$D$6:$D$2205,A823,'Material routes'!$C$6:$C$2205,"Tool candidate")</x:f>
        <x:v>0</x:v>
      </x:c>
      <x:c r="AM823" s="4" t="str">
        <x:f>IF(AJ823&gt;0,"Route listed; review status/completeness",IF(C823="T0","Raw entry feed; no production route","No production route listed"))</x:f>
        <x:v>Route listed; review status/completeness</x:v>
      </x:c>
      <x:c r="AN823" s="4" t="n">
        <x:f>IF(C823="T0",0,IF(C823="T1",1,IF(C823="T2",2,IF(C823="T3",3,IF(C823="T4",4,IF(C823="Unassigned",98,99))))))</x:f>
        <x:v>4</x:v>
      </x:c>
      <x:c r="AZ823"/>
      <x:c r="BA823"/>
      <x:c r="BB823"/>
      <x:c r="BC823"/>
      <x:c r="BD823"/>
      <x:c r="BE823"/>
      <x:c r="BF823"/>
      <x:c r="BG823"/>
      <x:c r="BH823"/>
      <x:c r="BI823"/>
      <x:c r="BJ823"/>
      <x:c r="BK823"/>
      <x:c r="BL823"/>
      <x:c r="BM823"/>
      <x:c r="BN823"/>
      <x:c r="BO823"/>
      <x:c r="BP823"/>
      <x:c r="BQ823"/>
      <x:c r="BR823"/>
      <x:c r="BS823"/>
      <x:c r="BT823"/>
      <x:c r="BU823"/>
      <x:c r="BV823"/>
      <x:c r="BW823"/>
      <x:c r="BX823"/>
      <x:c r="BY823"/>
      <x:c r="BZ823"/>
      <x:c r="CA823"/>
      <x:c r="CB823"/>
      <x:c r="CC823"/>
    </x:row>
    <x:row r="824" ht="115" customHeight="1">
      <x:c r="A824" s="4" t="str">
        <x:v>proposal.audit.fitted_machine_casing</x:v>
      </x:c>
      <x:c r="B824" s="4" t="str">
        <x:v>Fitted machine casing</x:v>
      </x:c>
      <x:c r="C824" s="4" t="str">
        <x:v>T3</x:v>
      </x:c>
      <x:c r="D824" s="4" t="str">
        <x:v>Crafting components</x:v>
      </x:c>
      <x:c r="E824" s="4" t="str">
        <x:v>Crafting audit support item</x:v>
      </x:c>
      <x:c r="F824" s="4" t="str">
        <x:v>New proposal</x:v>
      </x:c>
      <x:c r="G824" s="4" t="inlineStr">
        <x:is>
          <x:t xml:space="preserve">A fitted metal casing intended to surround and locate the parts of a particular machine. It provides mounting and enclosure surfaces; openings, access, seals and internal clearances depend on the mechanism it houses.</x:t>
        </x:is>
      </x:c>
      <x:c r="H824" s="4" t="str">
        <x:v>None</x:v>
      </x:c>
      <x:c r="I824" s="4" t="str">
        <x:v>Physical item; installed or cargo fit unresolved</x:v>
      </x:c>
      <x:c r="J824" s="4"/>
      <x:c r="K824" s="4"/>
      <x:c r="L824" s="4" t="str">
        <x:v>Candidate preparation; see normalized crafting routes</x:v>
      </x:c>
      <x:c r="M824" s="4" t="str">
        <x:v>Partial design; tools, quantities, yield and qualification unresolved</x:v>
      </x:c>
      <x:c r="N824" s="4" t="str">
        <x:v>Not implemented</x:v>
      </x:c>
      <x:c r="O824" s="4" t="str">
        <x:v>No free environmental water, ordinary cloth, conventional-fat premise or ancient-material reproduction.</x:v>
      </x:c>
      <x:c r="P824" s="4"/>
      <x:c r="Q824" s="4"/>
      <x:c r="R824" s="4"/>
      <x:c r="S824" s="4"/>
      <x:c r="T824" s="4"/>
      <x:c r="U824" s="4" t="str">
        <x:v>Fitted machine casing</x:v>
      </x:c>
      <x:c r="V824" s="4" t="str">
        <x:v>fitted machine casing; crafting audit</x:v>
      </x:c>
      <x:c r="W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4" s="4" t="str">
        <x:v>Crafting component</x:v>
      </x:c>
      <x:c r="Y824" s="4" t="str">
        <x:v>Processed intermediate</x:v>
      </x:c>
      <x:c r="Z824" s="4" t="str">
        <x:v>Manufactured / unresolved</x:v>
      </x:c>
      <x:c r="AA824" s="4" t="str">
        <x:v>Equipment fabrication</x:v>
      </x:c>
      <x:c r="AB824" s="4" t="str">
        <x:v>Metal</x:v>
      </x:c>
      <x:c r="AC824" s="4" t="str">
        <x:v>Solid part</x:v>
      </x:c>
      <x:c r="AD824" s="4" t="str">
        <x:v>Proposal</x:v>
      </x:c>
      <x:c r="AE824" s="4" t="str">
        <x:f>LOWER(A824&amp;"; "&amp;B824&amp;"; "&amp;D824&amp;"; "&amp;E824&amp;"; "&amp;X824&amp;"; "&amp;Y824&amp;"; "&amp;Z824&amp;"; "&amp;AA824&amp;"; "&amp;AB824&amp;"; "&amp;AC824&amp;"; "&amp;AD824&amp;"; "&amp;V824&amp;"; "&amp;C824&amp;"; "&amp;AH824&amp;"; "&amp;AI824)</x:f>
        <x:v>proposal.audit.fitted_machine_casing; fitted machine casing; crafting components; crafting audit support item; crafting component; processed intermediate; manufactured / unresolved; equipment fabrication; metal; solid part; proposal; fitted machine casing; crafting audit; t3; not applicable; component</x:v>
      </x:c>
      <x:c r="AF824" s="4" t="str">
        <x:v>New support/source proposal from item-chain audit; not accepted source canon.</x:v>
      </x:c>
      <x:c r="AG824" s="4" t="str">
        <x:v>Selected partial route; processing depth is independent of rarity.</x:v>
      </x:c>
      <x:c r="AH824" s="4" t="str">
        <x:v>Not applicable</x:v>
      </x:c>
      <x:c r="AI824" s="4" t="str">
        <x:v>Component</x:v>
      </x:c>
      <x:c r="AJ824" s="4" t="n">
        <x:f>COUNTIFS('Material routes'!$D$6:$D$2205,A824,'Material routes'!$C$6:$C$2205,"Output")</x:f>
        <x:v>1</x:v>
      </x:c>
      <x:c r="AK824" s="4" t="n">
        <x:f>SUM(COUNTIFS('Material routes'!$D$6:$D$2205,A824,'Material routes'!$C$6:$C$2205,"Ingredient candidate"),COUNTIFS('Material routes'!$D$6:$D$2205,A824,'Material routes'!$C$6:$C$2205,"Consumed input"),COUNTIFS('Material routes'!$D$6:$D$2205,A824,'Material routes'!$C$6:$C$2205,"Contained input"),COUNTIFS('Material routes'!$D$6:$D$2205,A824,'Material routes'!$C$6:$C$2205,"Transform input"))</x:f>
        <x:v>15</x:v>
      </x:c>
      <x:c r="AL824" s="4" t="n">
        <x:f>COUNTIFS('Material routes'!$D$6:$D$2205,A824,'Material routes'!$C$6:$C$2205,"Tool candidate")</x:f>
        <x:v>0</x:v>
      </x:c>
      <x:c r="AM824" s="4" t="str">
        <x:f>IF(AJ824&gt;0,"Route listed; review status/completeness",IF(C824="T0","Raw entry feed; no production route","No production route listed"))</x:f>
        <x:v>Route listed; review status/completeness</x:v>
      </x:c>
      <x:c r="AN824" s="4" t="n">
        <x:f>IF(C824="T0",0,IF(C824="T1",1,IF(C824="T2",2,IF(C824="T3",3,IF(C824="T4",4,IF(C824="Unassigned",98,99))))))</x:f>
        <x:v>3</x:v>
      </x:c>
      <x:c r="AZ824"/>
      <x:c r="BA824"/>
      <x:c r="BB824"/>
      <x:c r="BC824"/>
      <x:c r="BD824"/>
      <x:c r="BE824"/>
      <x:c r="BF824"/>
      <x:c r="BG824"/>
      <x:c r="BH824"/>
      <x:c r="BI824"/>
      <x:c r="BJ824"/>
      <x:c r="BK824"/>
      <x:c r="BL824"/>
      <x:c r="BM824"/>
      <x:c r="BN824"/>
      <x:c r="BO824"/>
      <x:c r="BP824"/>
      <x:c r="BQ824"/>
      <x:c r="BR824"/>
      <x:c r="BS824"/>
      <x:c r="BT824"/>
      <x:c r="BU824"/>
      <x:c r="BV824"/>
      <x:c r="BW824"/>
      <x:c r="BX824"/>
      <x:c r="BY824"/>
      <x:c r="BZ824"/>
      <x:c r="CA824"/>
      <x:c r="CB824"/>
      <x:c r="CC824"/>
    </x:row>
    <x:row r="825" ht="115" customHeight="1">
      <x:c r="A825" s="4" t="str">
        <x:v>proposal.audit.recovered_radio_detector_element</x:v>
      </x:c>
      <x:c r="B825" s="4" t="str">
        <x:v>Recovered radio detector element</x:v>
      </x:c>
      <x:c r="C825" s="4" t="str">
        <x:v>Not applicable</x:v>
      </x:c>
      <x:c r="D825" s="4" t="inlineStr">
        <x:is>
          <x:t xml:space="preserve">Salvage</x:t>
        </x:is>
      </x:c>
      <x:c r="E825" s="4" t="str">
        <x:v>Crafting audit support item</x:v>
      </x:c>
      <x:c r="F825" s="4" t="str">
        <x:v>New proposal</x:v>
      </x:c>
      <x:c r="G825" s="4" t="inlineStr">
        <x:is>
          <x:t xml:space="preserve">Unqualified recovered detector candidate; operation and interface remain research dependent. It is proposed for a matched radio assembly, with detection, transduction, power and performance dependent on further design and qualification.</x:t>
        </x:is>
      </x:c>
      <x:c r="H825" s="4" t="str">
        <x:v>None</x:v>
      </x:c>
      <x:c r="I825" s="4" t="str">
        <x:v>Physical item; installed or cargo fit unresolved</x:v>
      </x:c>
      <x:c r="J825" s="4"/>
      <x:c r="K825" s="4"/>
      <x:c r="L825" s="4" t="str">
        <x:v>Recover compatible mechanism</x:v>
      </x:c>
      <x:c r="M825" s="4" t="str">
        <x:v>Partial design; tools, quantities, yield and qualification unresolved</x:v>
      </x:c>
      <x:c r="N825" s="4" t="str">
        <x:v>Not implemented</x:v>
      </x:c>
      <x:c r="O825" s="4" t="str">
        <x:v>No free environmental water, ordinary cloth, conventional-fat premise or ancient-material reproduction.</x:v>
      </x:c>
      <x:c r="P825" s="4"/>
      <x:c r="Q825" s="4"/>
      <x:c r="R825" s="4"/>
      <x:c r="S825" s="4"/>
      <x:c r="T825" s="4"/>
      <x:c r="U825" s="4" t="str">
        <x:v>Unqualified recovered detector candidate; operation and interface remain research dependent.</x:v>
      </x:c>
      <x:c r="V825" s="4" t="str">
        <x:v>recovered radio detector element; crafting audit</x:v>
      </x:c>
      <x:c r="W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5" s="4" t="str">
        <x:v>Machine part</x:v>
      </x:c>
      <x:c r="Y825" s="4" t="str">
        <x:v>Recovered part</x:v>
      </x:c>
      <x:c r="Z825" s="4" t="str">
        <x:v>Recovered machinery</x:v>
      </x:c>
      <x:c r="AA825" s="4" t="str">
        <x:v>Radio communication</x:v>
      </x:c>
      <x:c r="AB825" s="4" t="str">
        <x:v>Mixed / unresolved</x:v>
      </x:c>
      <x:c r="AC825" s="4" t="str">
        <x:v>Assembly</x:v>
      </x:c>
      <x:c r="AD825" s="4" t="str">
        <x:v>Proposal</x:v>
      </x:c>
      <x:c r="AE825" s="4" t="str">
        <x:f>LOWER(A825&amp;"; "&amp;B825&amp;"; "&amp;D825&amp;"; "&amp;E825&amp;"; "&amp;X825&amp;"; "&amp;Y825&amp;"; "&amp;Z825&amp;"; "&amp;AA825&amp;"; "&amp;AB825&amp;"; "&amp;AC825&amp;"; "&amp;AD825&amp;"; "&amp;V825&amp;"; "&amp;C825&amp;"; "&amp;AH825&amp;"; "&amp;AI825)</x:f>
        <x:v>proposal.audit.recovered_radio_detector_element; recovered radio detector element; salvage; crafting audit support item; machine part; recovered part; recovered machinery; radio communication; mixed / unresolved; assembly; proposal; recovered radio detector element; crafting audit; not applicable; not applicable; component</x:v>
      </x:c>
      <x:c r="AF825" s="4" t="inlineStr">
        <x:is>
          <x:t xml:space="preserve">New support/source proposal from item-chain audit; not accepted source canon. Author direction October 15: all Recovered mechanisms entries belong in Salvage; retire the separate Recovered mechanisms section. Identity, condition, tiers, properties and recipe roles remain unchanged.</x:t>
        </x:is>
      </x:c>
      <x:c r="AG825" s="4" t="str">
        <x:v>Recovered mechanism outside manufacturing tiers.</x:v>
      </x:c>
      <x:c r="AH825" s="4" t="str">
        <x:v>Not applicable</x:v>
      </x:c>
      <x:c r="AI825" s="4" t="str">
        <x:v>Component</x:v>
      </x:c>
      <x:c r="AJ825" s="4" t="n">
        <x:f>COUNTIFS('Material routes'!$D$6:$D$2205,A825,'Material routes'!$C$6:$C$2205,"Output")</x:f>
        <x:v>0</x:v>
      </x:c>
      <x:c r="AK825" s="4" t="n">
        <x:f>SUM(COUNTIFS('Material routes'!$D$6:$D$2205,A825,'Material routes'!$C$6:$C$2205,"Ingredient candidate"),COUNTIFS('Material routes'!$D$6:$D$2205,A825,'Material routes'!$C$6:$C$2205,"Consumed input"),COUNTIFS('Material routes'!$D$6:$D$2205,A825,'Material routes'!$C$6:$C$2205,"Contained input"),COUNTIFS('Material routes'!$D$6:$D$2205,A825,'Material routes'!$C$6:$C$2205,"Transform input"))</x:f>
        <x:v>1</x:v>
      </x:c>
      <x:c r="AL825" s="4" t="n">
        <x:f>COUNTIFS('Material routes'!$D$6:$D$2205,A825,'Material routes'!$C$6:$C$2205,"Tool candidate")</x:f>
        <x:v>0</x:v>
      </x:c>
      <x:c r="AM825" s="4" t="str">
        <x:f>IF(AJ825&gt;0,"Route listed; review status/completeness",IF(C825="T0","Raw entry feed; no production route","No production route listed"))</x:f>
        <x:v>No production route listed</x:v>
      </x:c>
      <x:c r="AN825" s="4" t="n">
        <x:f>IF(C825="T0",0,IF(C825="T1",1,IF(C825="T2",2,IF(C825="T3",3,IF(C825="T4",4,IF(C825="Unassigned",98,99))))))</x:f>
        <x:v>99</x:v>
      </x:c>
      <x:c r="AZ825"/>
      <x:c r="BA825"/>
      <x:c r="BB825"/>
      <x:c r="BC825"/>
      <x:c r="BD825"/>
      <x:c r="BE825"/>
      <x:c r="BF825"/>
      <x:c r="BG825"/>
      <x:c r="BH825"/>
      <x:c r="BI825"/>
      <x:c r="BJ825"/>
      <x:c r="BK825"/>
      <x:c r="BL825"/>
      <x:c r="BM825"/>
      <x:c r="BN825"/>
      <x:c r="BO825"/>
      <x:c r="BP825"/>
      <x:c r="BQ825"/>
      <x:c r="BR825"/>
      <x:c r="BS825"/>
      <x:c r="BT825"/>
      <x:c r="BU825"/>
      <x:c r="BV825"/>
      <x:c r="BW825"/>
      <x:c r="BX825"/>
      <x:c r="BY825"/>
      <x:c r="BZ825"/>
      <x:c r="CA825"/>
      <x:c r="CB825"/>
      <x:c r="CC825"/>
    </x:row>
    <x:row r="826" ht="115" customHeight="1">
      <x:c r="A826" s="4" t="str">
        <x:v>proposal.audit.recovered_acoustic_receiver_capsule</x:v>
      </x:c>
      <x:c r="B826" s="4" t="str">
        <x:v>Recovered acoustic receiver capsule</x:v>
      </x:c>
      <x:c r="C826" s="4" t="str">
        <x:v>Not applicable</x:v>
      </x:c>
      <x:c r="D826" s="4" t="inlineStr">
        <x:is>
          <x:t xml:space="preserve">Salvage</x:t>
        </x:is>
      </x:c>
      <x:c r="E826" s="4" t="str">
        <x:v>Crafting audit support item</x:v>
      </x:c>
      <x:c r="F826" s="4" t="str">
        <x:v>New proposal</x:v>
      </x:c>
      <x:c r="G826" s="4" t="inlineStr">
        <x:is>
          <x:t xml:space="preserve">Matched recovered transducer candidate; no assumed miniaturized production. It is proposed for a matched radio assembly, with detection, transduction, power and performance dependent on further design and qualification.</x:t>
        </x:is>
      </x:c>
      <x:c r="H826" s="4" t="str">
        <x:v>None</x:v>
      </x:c>
      <x:c r="I826" s="4" t="str">
        <x:v>Physical item; installed or cargo fit unresolved</x:v>
      </x:c>
      <x:c r="J826" s="4"/>
      <x:c r="K826" s="4"/>
      <x:c r="L826" s="4" t="str">
        <x:v>Recover compatible mechanism</x:v>
      </x:c>
      <x:c r="M826" s="4" t="str">
        <x:v>Partial design; tools, quantities, yield and qualification unresolved</x:v>
      </x:c>
      <x:c r="N826" s="4" t="str">
        <x:v>Not implemented</x:v>
      </x:c>
      <x:c r="O826" s="4" t="str">
        <x:v>No free environmental water, ordinary cloth, conventional-fat premise or ancient-material reproduction.</x:v>
      </x:c>
      <x:c r="P826" s="4"/>
      <x:c r="Q826" s="4"/>
      <x:c r="R826" s="4"/>
      <x:c r="S826" s="4"/>
      <x:c r="T826" s="4"/>
      <x:c r="U826" s="4" t="str">
        <x:v>Matched recovered transducer candidate; no assumed miniaturized production.</x:v>
      </x:c>
      <x:c r="V826" s="4" t="str">
        <x:v>recovered acoustic receiver capsule; crafting audit</x:v>
      </x:c>
      <x:c r="W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6" s="4" t="str">
        <x:v>Machine part</x:v>
      </x:c>
      <x:c r="Y826" s="4" t="str">
        <x:v>Recovered part</x:v>
      </x:c>
      <x:c r="Z826" s="4" t="str">
        <x:v>Recovered machinery</x:v>
      </x:c>
      <x:c r="AA826" s="4" t="str">
        <x:v>Radio communication</x:v>
      </x:c>
      <x:c r="AB826" s="4" t="str">
        <x:v>Mixed / unresolved</x:v>
      </x:c>
      <x:c r="AC826" s="4" t="str">
        <x:v>Assembly</x:v>
      </x:c>
      <x:c r="AD826" s="4" t="str">
        <x:v>Proposal</x:v>
      </x:c>
      <x:c r="AE826" s="4" t="str">
        <x:f>LOWER(A826&amp;"; "&amp;B826&amp;"; "&amp;D826&amp;"; "&amp;E826&amp;"; "&amp;X826&amp;"; "&amp;Y826&amp;"; "&amp;Z826&amp;"; "&amp;AA826&amp;"; "&amp;AB826&amp;"; "&amp;AC826&amp;"; "&amp;AD826&amp;"; "&amp;V826&amp;"; "&amp;C826&amp;"; "&amp;AH826&amp;"; "&amp;AI826)</x:f>
        <x:v>proposal.audit.recovered_acoustic_receiver_capsule; recovered acoustic receiver capsule; salvage; crafting audit support item; machine part; recovered part; recovered machinery; radio communication; mixed / unresolved; assembly; proposal; recovered acoustic receiver capsule; crafting audit; not applicable; not applicable; component</x:v>
      </x:c>
      <x:c r="AF826" s="4" t="inlineStr">
        <x:is>
          <x:t xml:space="preserve">New support/source proposal from item-chain audit; not accepted source canon. Author direction October 15: all Recovered mechanisms entries belong in Salvage; retire the separate Recovered mechanisms section. Identity, condition, tiers, properties and recipe roles remain unchanged.</x:t>
        </x:is>
      </x:c>
      <x:c r="AG826" s="4" t="str">
        <x:v>Recovered mechanism outside manufacturing tiers.</x:v>
      </x:c>
      <x:c r="AH826" s="4" t="str">
        <x:v>Not applicable</x:v>
      </x:c>
      <x:c r="AI826" s="4" t="str">
        <x:v>Component</x:v>
      </x:c>
      <x:c r="AJ826" s="4" t="n">
        <x:f>COUNTIFS('Material routes'!$D$6:$D$2205,A826,'Material routes'!$C$6:$C$2205,"Output")</x:f>
        <x:v>0</x:v>
      </x:c>
      <x:c r="AK826" s="4" t="n">
        <x:f>SUM(COUNTIFS('Material routes'!$D$6:$D$2205,A826,'Material routes'!$C$6:$C$2205,"Ingredient candidate"),COUNTIFS('Material routes'!$D$6:$D$2205,A826,'Material routes'!$C$6:$C$2205,"Consumed input"),COUNTIFS('Material routes'!$D$6:$D$2205,A826,'Material routes'!$C$6:$C$2205,"Contained input"),COUNTIFS('Material routes'!$D$6:$D$2205,A826,'Material routes'!$C$6:$C$2205,"Transform input"))</x:f>
        <x:v>1</x:v>
      </x:c>
      <x:c r="AL826" s="4" t="n">
        <x:f>COUNTIFS('Material routes'!$D$6:$D$2205,A826,'Material routes'!$C$6:$C$2205,"Tool candidate")</x:f>
        <x:v>0</x:v>
      </x:c>
      <x:c r="AM826" s="4" t="str">
        <x:f>IF(AJ826&gt;0,"Route listed; review status/completeness",IF(C826="T0","Raw entry feed; no production route","No production route listed"))</x:f>
        <x:v>No production route listed</x:v>
      </x:c>
      <x:c r="AN826" s="4" t="n">
        <x:f>IF(C826="T0",0,IF(C826="T1",1,IF(C826="T2",2,IF(C826="T3",3,IF(C826="T4",4,IF(C826="Unassigned",98,99))))))</x:f>
        <x:v>99</x:v>
      </x:c>
      <x:c r="AZ826"/>
      <x:c r="BA826"/>
      <x:c r="BB826"/>
      <x:c r="BC826"/>
      <x:c r="BD826"/>
      <x:c r="BE826"/>
      <x:c r="BF826"/>
      <x:c r="BG826"/>
      <x:c r="BH826"/>
      <x:c r="BI826"/>
      <x:c r="BJ826"/>
      <x:c r="BK826"/>
      <x:c r="BL826"/>
      <x:c r="BM826"/>
      <x:c r="BN826"/>
      <x:c r="BO826"/>
      <x:c r="BP826"/>
      <x:c r="BQ826"/>
      <x:c r="BR826"/>
      <x:c r="BS826"/>
      <x:c r="BT826"/>
      <x:c r="BU826"/>
      <x:c r="BV826"/>
      <x:c r="BW826"/>
      <x:c r="BX826"/>
      <x:c r="BY826"/>
      <x:c r="BZ826"/>
      <x:c r="CA826"/>
      <x:c r="CB826"/>
      <x:c r="CC826"/>
    </x:row>
    <x:row r="827" ht="115" customHeight="1">
      <x:c r="A827" s="4" t="str">
        <x:v>proposal.audit.supported_iron_heating_element</x:v>
      </x:c>
      <x:c r="B827" s="4" t="str">
        <x:v>Supported iron heating element</x:v>
      </x:c>
      <x:c r="C827" s="4" t="str">
        <x:v>T3</x:v>
      </x:c>
      <x:c r="D827" s="4" t="str">
        <x:v>Crafting components</x:v>
      </x:c>
      <x:c r="E827" s="4" t="str">
        <x:v>Crafting audit support item</x:v>
      </x:c>
      <x:c r="F827" s="4" t="str">
        <x:v>New proposal</x:v>
      </x:c>
      <x:c r="G827" s="4" t="inlineStr">
        <x:is>
          <x:t xml:space="preserve">An iron heating element carried on ceramic and metal supports. It is proposed for a controlled electrical-heating assembly; the power source, heat control and safe service conditions remain unresolved.</x:t>
        </x:is>
      </x:c>
      <x:c r="H827" s="4" t="str">
        <x:v>None</x:v>
      </x:c>
      <x:c r="I827" s="4" t="str">
        <x:v>Physical item; installed or cargo fit unresolved</x:v>
      </x:c>
      <x:c r="J827" s="4"/>
      <x:c r="K827" s="4"/>
      <x:c r="L827" s="4" t="str">
        <x:v>Candidate preparation; see normalized crafting routes</x:v>
      </x:c>
      <x:c r="M827" s="4" t="str">
        <x:v>Partial design; tools, quantities, yield and qualification unresolved</x:v>
      </x:c>
      <x:c r="N827" s="4" t="str">
        <x:v>Not implemented</x:v>
      </x:c>
      <x:c r="O827" s="4" t="str">
        <x:v>No free environmental water, ordinary cloth, conventional-fat premise or ancient-material reproduction.</x:v>
      </x:c>
      <x:c r="P827" s="4"/>
      <x:c r="Q827" s="4"/>
      <x:c r="R827" s="4"/>
      <x:c r="S827" s="4"/>
      <x:c r="T827" s="4"/>
      <x:c r="U827" s="4" t="str">
        <x:v>Supported iron heating element</x:v>
      </x:c>
      <x:c r="V827" s="4" t="str">
        <x:v>supported iron heating element; crafting audit</x:v>
      </x:c>
      <x:c r="W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7" s="4" t="str">
        <x:v>Machine part</x:v>
      </x:c>
      <x:c r="Y827" s="4" t="str">
        <x:v>Processed intermediate</x:v>
      </x:c>
      <x:c r="Z827" s="4" t="str">
        <x:v>Manufactured / unresolved</x:v>
      </x:c>
      <x:c r="AA827" s="4" t="str">
        <x:v>Electrical work</x:v>
      </x:c>
      <x:c r="AB827" s="4" t="str">
        <x:v>Ceramic and metal</x:v>
      </x:c>
      <x:c r="AC827" s="4" t="str">
        <x:v>Solid part</x:v>
      </x:c>
      <x:c r="AD827" s="4" t="str">
        <x:v>Proposal</x:v>
      </x:c>
      <x:c r="AE827" s="4" t="str">
        <x:f>LOWER(A827&amp;"; "&amp;B827&amp;"; "&amp;D827&amp;"; "&amp;E827&amp;"; "&amp;X827&amp;"; "&amp;Y827&amp;"; "&amp;Z827&amp;"; "&amp;AA827&amp;"; "&amp;AB827&amp;"; "&amp;AC827&amp;"; "&amp;AD827&amp;"; "&amp;V827&amp;"; "&amp;C827&amp;"; "&amp;AH827&amp;"; "&amp;AI827)</x:f>
        <x:v>proposal.audit.supported_iron_heating_element; supported iron heating element; crafting components; crafting audit support item; machine part; processed intermediate; manufactured / unresolved; electrical work; ceramic and metal; solid part; proposal; supported iron heating element; crafting audit; t3; not applicable; component</x:v>
      </x:c>
      <x:c r="AF827" s="4" t="str">
        <x:v>New support/source proposal from item-chain audit; not accepted source canon.</x:v>
      </x:c>
      <x:c r="AG827" s="4" t="str">
        <x:v>Selected partial route; processing depth is independent of rarity.</x:v>
      </x:c>
      <x:c r="AH827" s="4" t="str">
        <x:v>Not applicable</x:v>
      </x:c>
      <x:c r="AI827" s="4" t="str">
        <x:v>Component</x:v>
      </x:c>
      <x:c r="AJ827" s="4" t="n">
        <x:f>COUNTIFS('Material routes'!$D$6:$D$2205,A827,'Material routes'!$C$6:$C$2205,"Output")</x:f>
        <x:v>1</x:v>
      </x:c>
      <x:c r="AK827" s="4" t="n">
        <x:f>SUM(COUNTIFS('Material routes'!$D$6:$D$2205,A827,'Material routes'!$C$6:$C$2205,"Ingredient candidate"),COUNTIFS('Material routes'!$D$6:$D$2205,A827,'Material routes'!$C$6:$C$2205,"Consumed input"),COUNTIFS('Material routes'!$D$6:$D$2205,A827,'Material routes'!$C$6:$C$2205,"Contained input"),COUNTIFS('Material routes'!$D$6:$D$2205,A827,'Material routes'!$C$6:$C$2205,"Transform input"))</x:f>
        <x:v>1</x:v>
      </x:c>
      <x:c r="AL827" s="4" t="n">
        <x:f>COUNTIFS('Material routes'!$D$6:$D$2205,A827,'Material routes'!$C$6:$C$2205,"Tool candidate")</x:f>
        <x:v>0</x:v>
      </x:c>
      <x:c r="AM827" s="4" t="str">
        <x:f>IF(AJ827&gt;0,"Route listed; review status/completeness",IF(C827="T0","Raw entry feed; no production route","No production route listed"))</x:f>
        <x:v>Route listed; review status/completeness</x:v>
      </x:c>
      <x:c r="AN827" s="4" t="n">
        <x:f>IF(C827="T0",0,IF(C827="T1",1,IF(C827="T2",2,IF(C827="T3",3,IF(C827="T4",4,IF(C827="Unassigned",98,99))))))</x:f>
        <x:v>3</x:v>
      </x:c>
      <x:c r="AZ827"/>
      <x:c r="BA827"/>
      <x:c r="BB827"/>
      <x:c r="BC827"/>
      <x:c r="BD827"/>
      <x:c r="BE827"/>
      <x:c r="BF827"/>
      <x:c r="BG827"/>
      <x:c r="BH827"/>
      <x:c r="BI827"/>
      <x:c r="BJ827"/>
      <x:c r="BK827"/>
      <x:c r="BL827"/>
      <x:c r="BM827"/>
      <x:c r="BN827"/>
      <x:c r="BO827"/>
      <x:c r="BP827"/>
      <x:c r="BQ827"/>
      <x:c r="BR827"/>
      <x:c r="BS827"/>
      <x:c r="BT827"/>
      <x:c r="BU827"/>
      <x:c r="BV827"/>
      <x:c r="BW827"/>
      <x:c r="BX827"/>
      <x:c r="BY827"/>
      <x:c r="BZ827"/>
      <x:c r="CA827"/>
      <x:c r="CB827"/>
      <x:c r="CC827"/>
    </x:row>
    <x:row r="828" ht="115" customHeight="1">
      <x:c r="A828" s="4" t="str">
        <x:v>proposal.audit.controlled_heating_firing_kiln</x:v>
      </x:c>
      <x:c r="B828" s="4" t="str">
        <x:v>Controlled-heating firing kiln</x:v>
      </x:c>
      <x:c r="C828" s="4" t="str">
        <x:v>Not applicable</x:v>
      </x:c>
      <x:c r="D828" s="4" t="inlineStr">
        <x:is>
          <x:t xml:space="preserve">Crafting stations</x:t>
        </x:is>
      </x:c>
      <x:c r="E828" s="4" t="str">
        <x:v>Crafting audit support item</x:v>
      </x:c>
      <x:c r="F828" s="4" t="str">
        <x:v>New proposal</x:v>
      </x:c>
      <x:c r="G828" s="4" t="str">
        <x:v>Candidate stationary kiln. Qualified external power, thermal controls and atmosphere management remain unresolved.</x:v>
      </x:c>
      <x:c r="H828" s="4" t="str">
        <x:v>None</x:v>
      </x:c>
      <x:c r="I828" s="4" t="str">
        <x:v>Physical item; installed or cargo fit unresolved</x:v>
      </x:c>
      <x:c r="J828" s="4"/>
      <x:c r="K828" s="4"/>
      <x:c r="L828" s="4" t="str">
        <x:v>Candidate preparation; see normalized crafting routes</x:v>
      </x:c>
      <x:c r="M828" s="4" t="str">
        <x:v>Partial design; tools, quantities, yield and qualification unresolved</x:v>
      </x:c>
      <x:c r="N828" s="4" t="str">
        <x:v>Not implemented</x:v>
      </x:c>
      <x:c r="O828" s="4" t="str">
        <x:v>No free environmental water, ordinary cloth, conventional-fat premise or ancient-material reproduction.</x:v>
      </x:c>
      <x:c r="P828" s="4"/>
      <x:c r="Q828" s="4"/>
      <x:c r="R828" s="4"/>
      <x:c r="S828" s="4"/>
      <x:c r="T828" s="4"/>
      <x:c r="U828" s="4" t="str">
        <x:v>Candidate stationary kiln. Qualified external power, thermal controls and atmosphere management remain unresolved.</x:v>
      </x:c>
      <x:c r="V828" s="4" t="str">
        <x:v>controlled-heating firing kiln; crafting audit</x:v>
      </x:c>
      <x:c r="W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8" s="4" t="str">
        <x:v>Machine</x:v>
      </x:c>
      <x:c r="Y828" s="4" t="str">
        <x:v>Finished item</x:v>
      </x:c>
      <x:c r="Z828" s="4" t="str">
        <x:v>Manufactured / unresolved</x:v>
      </x:c>
      <x:c r="AA828" s="4" t="str">
        <x:v>Glass and ceramics</x:v>
      </x:c>
      <x:c r="AB828" s="4" t="str">
        <x:v>Ceramic and metal</x:v>
      </x:c>
      <x:c r="AC828" s="4" t="str">
        <x:v>Assembly</x:v>
      </x:c>
      <x:c r="AD828" s="4" t="str">
        <x:v>Proposal</x:v>
      </x:c>
      <x:c r="AE828" s="4" t="str">
        <x:f>LOWER(A828&amp;"; "&amp;B828&amp;"; "&amp;D828&amp;"; "&amp;E828&amp;"; "&amp;X828&amp;"; "&amp;Y828&amp;"; "&amp;Z828&amp;"; "&amp;AA828&amp;"; "&amp;AB828&amp;"; "&amp;AC828&amp;"; "&amp;AD828&amp;"; "&amp;V828&amp;"; "&amp;C828&amp;"; "&amp;AH828&amp;"; "&amp;AI828)</x:f>
        <x:v>proposal.audit.controlled_heating_firing_kiln; controlled-heating firing kiln; crafting stations; crafting audit support item; machine; finished item; manufactured / unresolved; glass and ceramics; ceramic and metal; assembly; proposal; controlled-heating firing kiln; crafting audit; not applicable; t4; finished item</x:v>
      </x:c>
      <x:c r="AF828" s="4" t="str">
        <x:v>New support/source proposal from item-chain audit; not accepted source canon.</x:v>
      </x:c>
      <x:c r="AG828" s="4" t="str">
        <x:v>Selected partial route; processing depth is independent of rarity.</x:v>
      </x:c>
      <x:c r="AH828" s="4" t="str">
        <x:v>T4</x:v>
      </x:c>
      <x:c r="AI828" s="4" t="str">
        <x:v>Finished item</x:v>
      </x:c>
      <x:c r="AJ828" s="4" t="n">
        <x:f>COUNTIFS('Material routes'!$D$6:$D$2205,A828,'Material routes'!$C$6:$C$2205,"Output")</x:f>
        <x:v>1</x:v>
      </x:c>
      <x:c r="AK828" s="4" t="n">
        <x:f>SUM(COUNTIFS('Material routes'!$D$6:$D$2205,A828,'Material routes'!$C$6:$C$2205,"Ingredient candidate"),COUNTIFS('Material routes'!$D$6:$D$2205,A828,'Material routes'!$C$6:$C$2205,"Consumed input"),COUNTIFS('Material routes'!$D$6:$D$2205,A828,'Material routes'!$C$6:$C$2205,"Contained input"),COUNTIFS('Material routes'!$D$6:$D$2205,A828,'Material routes'!$C$6:$C$2205,"Transform input"))</x:f>
        <x:v>0</x:v>
      </x:c>
      <x:c r="AL828" s="4" t="n">
        <x:f>COUNTIFS('Material routes'!$D$6:$D$2205,A828,'Material routes'!$C$6:$C$2205,"Tool candidate")</x:f>
        <x:v>3</x:v>
      </x:c>
      <x:c r="AM828" s="4" t="str">
        <x:f>IF(AJ828&gt;0,"Route listed; review status/completeness",IF(C828="T0","Raw entry feed; no production route","No production route listed"))</x:f>
        <x:v>Route listed; review status/completeness</x:v>
      </x:c>
      <x:c r="AN828" s="4" t="n">
        <x:f>IF(C828="T0",0,IF(C828="T1",1,IF(C828="T2",2,IF(C828="T3",3,IF(C828="T4",4,IF(C828="Unassigned",98,99))))))</x:f>
        <x:v>99</x:v>
      </x:c>
      <x:c r="AZ828"/>
      <x:c r="BA828"/>
      <x:c r="BB828"/>
      <x:c r="BC828"/>
      <x:c r="BD828"/>
      <x:c r="BE828"/>
      <x:c r="BF828"/>
      <x:c r="BG828"/>
      <x:c r="BH828"/>
      <x:c r="BI828"/>
      <x:c r="BJ828"/>
      <x:c r="BK828"/>
      <x:c r="BL828"/>
      <x:c r="BM828"/>
      <x:c r="BN828"/>
      <x:c r="BO828"/>
      <x:c r="BP828"/>
      <x:c r="BQ828"/>
      <x:c r="BR828"/>
      <x:c r="BS828"/>
      <x:c r="BT828"/>
      <x:c r="BU828"/>
      <x:c r="BV828"/>
      <x:c r="BW828"/>
      <x:c r="BX828"/>
      <x:c r="BY828"/>
      <x:c r="BZ828"/>
      <x:c r="CA828"/>
      <x:c r="CB828"/>
      <x:c r="CC828"/>
    </x:row>
    <x:row r="829" ht="115" customHeight="1">
      <x:c r="A829" s="4" t="str">
        <x:v>proposal.audit.metalworking_hand_saw</x:v>
      </x:c>
      <x:c r="B829" s="4" t="str">
        <x:v>Metalworking hand saw</x:v>
      </x:c>
      <x:c r="C829" s="4" t="str">
        <x:v>Not applicable</x:v>
      </x:c>
      <x:c r="D829" s="4" t="inlineStr">
        <x:is>
          <x:t xml:space="preserve">Salvage</x:t>
        </x:is>
      </x:c>
      <x:c r="E829" s="4" t="str">
        <x:v>Crafting audit support item</x:v>
      </x:c>
      <x:c r="F829" s="4" t="str">
        <x:v>New proposal</x:v>
      </x:c>
      <x:c r="G829" s="4" t="inlineStr">
        <x:is>
          <x:t xml:space="preserve">A hand-operated saw intended for cutting suitably matched metal stock. Its toothed blade and frame provide a candidate workshop cutting tool; blade manufacture, supported materials and useful cutting capacity require design.</x:t>
        </x:is>
      </x:c>
      <x:c r="H829" s="4" t="str">
        <x:v>None</x:v>
      </x:c>
      <x:c r="I829" s="4" t="str">
        <x:v>Physical item; installed or cargo fit unresolved</x:v>
      </x:c>
      <x:c r="J829" s="4"/>
      <x:c r="K829" s="4"/>
      <x:c r="L829" s="4" t="str">
        <x:v>Candidate preparation; see normalized crafting routes</x:v>
      </x:c>
      <x:c r="M829" s="4" t="str">
        <x:v>Partial design; tools, quantities, yield and qualification unresolved</x:v>
      </x:c>
      <x:c r="N829" s="4" t="str">
        <x:v>Not implemented</x:v>
      </x:c>
      <x:c r="O829" s="4" t="str">
        <x:v>No free environmental water, ordinary cloth, conventional-fat premise or ancient-material reproduction.</x:v>
      </x:c>
      <x:c r="P829" s="4"/>
      <x:c r="Q829" s="4"/>
      <x:c r="R829" s="4"/>
      <x:c r="S829" s="4"/>
      <x:c r="T829" s="4"/>
      <x:c r="U829" s="4" t="str">
        <x:v>Metalworking hand saw</x:v>
      </x:c>
      <x:c r="V829" s="4" t="str">
        <x:v>metalworking hand saw; crafting audit</x:v>
      </x:c>
      <x:c r="W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9" s="4" t="str">
        <x:v>Tool</x:v>
      </x:c>
      <x:c r="Y829" s="4" t="str">
        <x:v>Finished item</x:v>
      </x:c>
      <x:c r="Z829" s="4" t="str">
        <x:v>Manufactured / unresolved</x:v>
      </x:c>
      <x:c r="AA829" s="4" t="str">
        <x:v>Fabrication</x:v>
      </x:c>
      <x:c r="AB829" s="4" t="str">
        <x:v>Metal</x:v>
      </x:c>
      <x:c r="AC829" s="4" t="str">
        <x:v>Assembly</x:v>
      </x:c>
      <x:c r="AD829" s="4" t="str">
        <x:v>Proposal</x:v>
      </x:c>
      <x:c r="AE829" s="4" t="str">
        <x:f>LOWER(A829&amp;"; "&amp;B829&amp;"; "&amp;D829&amp;"; "&amp;E829&amp;"; "&amp;X829&amp;"; "&amp;Y829&amp;"; "&amp;Z829&amp;"; "&amp;AA829&amp;"; "&amp;AB829&amp;"; "&amp;AC829&amp;"; "&amp;AD829&amp;"; "&amp;V829&amp;"; "&amp;C829&amp;"; "&amp;AH829&amp;"; "&amp;AI829)</x:f>
        <x:v>proposal.audit.metalworking_hand_saw; metalworking hand saw; salvage; crafting audit support item; tool; finished item; manufactured / unresolved; fabrication; metal; assembly; proposal; metalworking hand saw; crafting audit; not applicable; t3; finished item</x:v>
      </x:c>
      <x:c r="AF829"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829" s="4" t="str">
        <x:v>Selected partial route; processing depth is independent of rarity.</x:v>
      </x:c>
      <x:c r="AH829" s="4" t="str">
        <x:v>T3</x:v>
      </x:c>
      <x:c r="AI829" s="4" t="str">
        <x:v>Finished item</x:v>
      </x:c>
      <x:c r="AJ829" s="4" t="n">
        <x:f>COUNTIFS('Material routes'!$D$6:$D$2205,A829,'Material routes'!$C$6:$C$2205,"Output")</x:f>
        <x:v>1</x:v>
      </x:c>
      <x:c r="AK829" s="4" t="n">
        <x:f>SUM(COUNTIFS('Material routes'!$D$6:$D$2205,A829,'Material routes'!$C$6:$C$2205,"Ingredient candidate"),COUNTIFS('Material routes'!$D$6:$D$2205,A829,'Material routes'!$C$6:$C$2205,"Consumed input"),COUNTIFS('Material routes'!$D$6:$D$2205,A829,'Material routes'!$C$6:$C$2205,"Contained input"),COUNTIFS('Material routes'!$D$6:$D$2205,A829,'Material routes'!$C$6:$C$2205,"Transform input"))</x:f>
        <x:v>0</x:v>
      </x:c>
      <x:c r="AL829" s="4" t="n">
        <x:f>COUNTIFS('Material routes'!$D$6:$D$2205,A829,'Material routes'!$C$6:$C$2205,"Tool candidate")</x:f>
        <x:v>0</x:v>
      </x:c>
      <x:c r="AM829" s="4" t="str">
        <x:f>IF(AJ829&gt;0,"Route listed; review status/completeness",IF(C829="T0","Raw entry feed; no production route","No production route listed"))</x:f>
        <x:v>Route listed; review status/completeness</x:v>
      </x:c>
      <x:c r="AN829" s="4" t="n">
        <x:f>IF(C829="T0",0,IF(C829="T1",1,IF(C829="T2",2,IF(C829="T3",3,IF(C829="T4",4,IF(C829="Unassigned",98,99))))))</x:f>
        <x:v>99</x:v>
      </x:c>
      <x:c r="AZ829"/>
      <x:c r="BA829"/>
      <x:c r="BB829"/>
      <x:c r="BC829"/>
      <x:c r="BD829"/>
      <x:c r="BE829"/>
      <x:c r="BF829"/>
      <x:c r="BG829"/>
      <x:c r="BH829"/>
      <x:c r="BI829"/>
      <x:c r="BJ829"/>
      <x:c r="BK829"/>
      <x:c r="BL829"/>
      <x:c r="BM829"/>
      <x:c r="BN829"/>
      <x:c r="BO829"/>
      <x:c r="BP829"/>
      <x:c r="BQ829"/>
      <x:c r="BR829"/>
      <x:c r="BS829"/>
      <x:c r="BT829"/>
      <x:c r="BU829"/>
      <x:c r="BV829"/>
      <x:c r="BW829"/>
      <x:c r="BX829"/>
      <x:c r="BY829"/>
      <x:c r="BZ829"/>
      <x:c r="CA829"/>
      <x:c r="CB829"/>
      <x:c r="CC829"/>
    </x:row>
    <x:row r="830" ht="115" customHeight="1">
      <x:c r="A830" s="4" t="str">
        <x:v>proposal.audit.workshop_winding_mandrel</x:v>
      </x:c>
      <x:c r="B830" s="4" t="str">
        <x:v>Workshop winding mandrel</x:v>
      </x:c>
      <x:c r="C830" s="4" t="str">
        <x:v>Not applicable</x:v>
      </x:c>
      <x:c r="D830" s="4" t="inlineStr">
        <x:is>
          <x:t xml:space="preserve">Salvage</x:t>
        </x:is>
      </x:c>
      <x:c r="E830" s="4" t="str">
        <x:v>Crafting audit support item</x:v>
      </x:c>
      <x:c r="F830" s="4" t="str">
        <x:v>New proposal</x:v>
      </x:c>
      <x:c r="G830" s="4" t="inlineStr">
        <x:is>
          <x:t xml:space="preserve">A workshop mandrel used as a forming support while winding wire into a chosen coil shape. It controls the form during preparation and is removed or retained according to the assembly; winding dimensions and conductor treatment remain open.</x:t>
        </x:is>
      </x:c>
      <x:c r="H830" s="4" t="str">
        <x:v>None</x:v>
      </x:c>
      <x:c r="I830" s="4" t="str">
        <x:v>Physical item; installed or cargo fit unresolved</x:v>
      </x:c>
      <x:c r="J830" s="4"/>
      <x:c r="K830" s="4"/>
      <x:c r="L830" s="4" t="str">
        <x:v>Candidate preparation; see normalized crafting routes</x:v>
      </x:c>
      <x:c r="M830" s="4" t="str">
        <x:v>Partial design; tools, quantities, yield and qualification unresolved</x:v>
      </x:c>
      <x:c r="N830" s="4" t="str">
        <x:v>Not implemented</x:v>
      </x:c>
      <x:c r="O830" s="4" t="str">
        <x:v>No free environmental water, ordinary cloth, conventional-fat premise or ancient-material reproduction.</x:v>
      </x:c>
      <x:c r="P830" s="4"/>
      <x:c r="Q830" s="4"/>
      <x:c r="R830" s="4"/>
      <x:c r="S830" s="4"/>
      <x:c r="T830" s="4"/>
      <x:c r="U830" s="4" t="str">
        <x:v>Workshop winding mandrel</x:v>
      </x:c>
      <x:c r="V830" s="4" t="str">
        <x:v>workshop winding mandrel; crafting audit</x:v>
      </x:c>
      <x:c r="W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0" s="4" t="str">
        <x:v>Tool</x:v>
      </x:c>
      <x:c r="Y830" s="4" t="str">
        <x:v>Finished item</x:v>
      </x:c>
      <x:c r="Z830" s="4" t="str">
        <x:v>Manufactured / unresolved</x:v>
      </x:c>
      <x:c r="AA830" s="4" t="str">
        <x:v>Electrical work</x:v>
      </x:c>
      <x:c r="AB830" s="4" t="str">
        <x:v>Metal</x:v>
      </x:c>
      <x:c r="AC830" s="4" t="str">
        <x:v>Assembly</x:v>
      </x:c>
      <x:c r="AD830" s="4" t="str">
        <x:v>Proposal</x:v>
      </x:c>
      <x:c r="AE830" s="4" t="str">
        <x:f>LOWER(A830&amp;"; "&amp;B830&amp;"; "&amp;D830&amp;"; "&amp;E830&amp;"; "&amp;X830&amp;"; "&amp;Y830&amp;"; "&amp;Z830&amp;"; "&amp;AA830&amp;"; "&amp;AB830&amp;"; "&amp;AC830&amp;"; "&amp;AD830&amp;"; "&amp;V830&amp;"; "&amp;C830&amp;"; "&amp;AH830&amp;"; "&amp;AI830)</x:f>
        <x:v>proposal.audit.workshop_winding_mandrel; workshop winding mandrel; salvage; crafting audit support item; tool; finished item; manufactured / unresolved; electrical work; metal; assembly; proposal; workshop winding mandrel; crafting audit; not applicable; t2; finished item</x:v>
      </x:c>
      <x:c r="AF830"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0" s="4" t="str">
        <x:v>Selected partial route; processing depth is independent of rarity.</x:v>
      </x:c>
      <x:c r="AH830" s="4" t="str">
        <x:v>T2</x:v>
      </x:c>
      <x:c r="AI830" s="4" t="str">
        <x:v>Finished item</x:v>
      </x:c>
      <x:c r="AJ830" s="4" t="n">
        <x:f>COUNTIFS('Material routes'!$D$6:$D$2205,A830,'Material routes'!$C$6:$C$2205,"Output")</x:f>
        <x:v>1</x:v>
      </x:c>
      <x:c r="AK830" s="4" t="n">
        <x:f>SUM(COUNTIFS('Material routes'!$D$6:$D$2205,A830,'Material routes'!$C$6:$C$2205,"Ingredient candidate"),COUNTIFS('Material routes'!$D$6:$D$2205,A830,'Material routes'!$C$6:$C$2205,"Consumed input"),COUNTIFS('Material routes'!$D$6:$D$2205,A830,'Material routes'!$C$6:$C$2205,"Contained input"),COUNTIFS('Material routes'!$D$6:$D$2205,A830,'Material routes'!$C$6:$C$2205,"Transform input"))</x:f>
        <x:v>0</x:v>
      </x:c>
      <x:c r="AL830" s="4" t="n">
        <x:f>COUNTIFS('Material routes'!$D$6:$D$2205,A830,'Material routes'!$C$6:$C$2205,"Tool candidate")</x:f>
        <x:v>1</x:v>
      </x:c>
      <x:c r="AM830" s="4" t="str">
        <x:f>IF(AJ830&gt;0,"Route listed; review status/completeness",IF(C830="T0","Raw entry feed; no production route","No production route listed"))</x:f>
        <x:v>Route listed; review status/completeness</x:v>
      </x:c>
      <x:c r="AN830" s="4" t="n">
        <x:f>IF(C830="T0",0,IF(C830="T1",1,IF(C830="T2",2,IF(C830="T3",3,IF(C830="T4",4,IF(C830="Unassigned",98,99))))))</x:f>
        <x:v>99</x:v>
      </x:c>
      <x:c r="AZ830"/>
      <x:c r="BA830"/>
      <x:c r="BB830"/>
      <x:c r="BC830"/>
      <x:c r="BD830"/>
      <x:c r="BE830"/>
      <x:c r="BF830"/>
      <x:c r="BG830"/>
      <x:c r="BH830"/>
      <x:c r="BI830"/>
      <x:c r="BJ830"/>
      <x:c r="BK830"/>
      <x:c r="BL830"/>
      <x:c r="BM830"/>
      <x:c r="BN830"/>
      <x:c r="BO830"/>
      <x:c r="BP830"/>
      <x:c r="BQ830"/>
      <x:c r="BR830"/>
      <x:c r="BS830"/>
      <x:c r="BT830"/>
      <x:c r="BU830"/>
      <x:c r="BV830"/>
      <x:c r="BW830"/>
      <x:c r="BX830"/>
      <x:c r="BY830"/>
      <x:c r="BZ830"/>
      <x:c r="CA830"/>
      <x:c r="CB830"/>
      <x:c r="CC830"/>
    </x:row>
    <x:row r="831" ht="115" customHeight="1">
      <x:c r="A831" s="4" t="str">
        <x:v>proposal.audit.food_preparation_screen</x:v>
      </x:c>
      <x:c r="B831" s="4" t="str">
        <x:v>Food preparation screen</x:v>
      </x:c>
      <x:c r="C831" s="4" t="str">
        <x:v>Not applicable</x:v>
      </x:c>
      <x:c r="D831" s="4" t="inlineStr">
        <x:is>
          <x:t xml:space="preserve">Salvage</x:t>
        </x:is>
      </x:c>
      <x:c r="E831" s="4" t="inlineStr">
        <x:is>
          <x:t xml:space="preserve">Cooking &amp; ignition</x:t>
        </x:is>
      </x:c>
      <x:c r="F831" s="4" t="str">
        <x:v>New proposal</x:v>
      </x:c>
      <x:c r="G831" s="4" t="str">
        <x:v>Open tendon lattice for contained food separation; no ordinary cloth or industrial chemical contact.</x:v>
      </x:c>
      <x:c r="H831" s="4" t="str">
        <x:v>None</x:v>
      </x:c>
      <x:c r="I831" s="4" t="str">
        <x:v>Physical item; installed or cargo fit unresolved</x:v>
      </x:c>
      <x:c r="J831" s="4"/>
      <x:c r="K831" s="4"/>
      <x:c r="L831" s="4" t="str">
        <x:v>Candidate preparation; see normalized crafting routes</x:v>
      </x:c>
      <x:c r="M831" s="4" t="str">
        <x:v>Partial design; tools, quantities, yield and qualification unresolved</x:v>
      </x:c>
      <x:c r="N831" s="4" t="str">
        <x:v>Not implemented</x:v>
      </x:c>
      <x:c r="O831" s="4" t="str">
        <x:v>No free environmental water, ordinary cloth, conventional-fat premise or ancient-material reproduction.</x:v>
      </x:c>
      <x:c r="P831" s="4"/>
      <x:c r="Q831" s="4"/>
      <x:c r="R831" s="4"/>
      <x:c r="S831" s="4"/>
      <x:c r="T831" s="4"/>
      <x:c r="U831" s="4" t="str">
        <x:v>Open tendon lattice for contained food separation; no ordinary cloth or industrial chemical contact.</x:v>
      </x:c>
      <x:c r="V831" s="4" t="inlineStr">
        <x:is>
          <x:t xml:space="preserve">food preparation screen; crafting audit; Crafting audit support item; camp goods; Cooking &amp; ignition</x:t>
        </x:is>
      </x:c>
      <x:c r="W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1" s="4" t="str">
        <x:v>Tool</x:v>
      </x:c>
      <x:c r="Y831" s="4" t="str">
        <x:v>Finished item</x:v>
      </x:c>
      <x:c r="Z831" s="4" t="str">
        <x:v>Manufactured / unresolved</x:v>
      </x:c>
      <x:c r="AA831" s="4" t="str">
        <x:v>Food preparation</x:v>
      </x:c>
      <x:c r="AB831" s="4" t="str">
        <x:v>Faunal fiber and shell</x:v>
      </x:c>
      <x:c r="AC831" s="4" t="str">
        <x:v>Assembly</x:v>
      </x:c>
      <x:c r="AD831" s="4" t="str">
        <x:v>Proposal</x:v>
      </x:c>
      <x:c r="AE831" s="4" t="str">
        <x:f>LOWER(A831&amp;"; "&amp;B831&amp;"; "&amp;D831&amp;"; "&amp;E831&amp;"; "&amp;X831&amp;"; "&amp;Y831&amp;"; "&amp;Z831&amp;"; "&amp;AA831&amp;"; "&amp;AB831&amp;"; "&amp;AC831&amp;"; "&amp;AD831&amp;"; "&amp;V831&amp;"; "&amp;C831&amp;"; "&amp;AH831&amp;"; "&amp;AI831)</x:f>
        <x:v>proposal.audit.food_preparation_screen; food preparation screen; salvage; cooking &amp; ignition; tool; finished item; manufactured / unresolved; food preparation; faunal fiber and shell; assembly; proposal; food preparation screen; crafting audit; crafting audit support item; camp goods; cooking &amp; ignition; not applicable; t1; finished item</x:v>
      </x:c>
      <x:c r="AF831"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Crafting audit support item. Author direction October 16: all Camp items are Salvage; retire the Camp items section. Item identity, condition, tiers, purposes and recipe semantics remain unchanged.</x:t>
        </x:is>
      </x:c>
      <x:c r="AG831" s="4" t="str">
        <x:v>Selected partial route; processing depth is independent of rarity.</x:v>
      </x:c>
      <x:c r="AH831" s="4" t="str">
        <x:v>T1</x:v>
      </x:c>
      <x:c r="AI831" s="4" t="str">
        <x:v>Finished item</x:v>
      </x:c>
      <x:c r="AJ831" s="4" t="n">
        <x:f>COUNTIFS('Material routes'!$D$6:$D$2205,A831,'Material routes'!$C$6:$C$2205,"Output")</x:f>
        <x:v>1</x:v>
      </x:c>
      <x:c r="AK831" s="4" t="n">
        <x:f>SUM(COUNTIFS('Material routes'!$D$6:$D$2205,A831,'Material routes'!$C$6:$C$2205,"Ingredient candidate"),COUNTIFS('Material routes'!$D$6:$D$2205,A831,'Material routes'!$C$6:$C$2205,"Consumed input"),COUNTIFS('Material routes'!$D$6:$D$2205,A831,'Material routes'!$C$6:$C$2205,"Contained input"),COUNTIFS('Material routes'!$D$6:$D$2205,A831,'Material routes'!$C$6:$C$2205,"Transform input"))</x:f>
        <x:v>0</x:v>
      </x:c>
      <x:c r="AL831" s="4" t="n">
        <x:f>COUNTIFS('Material routes'!$D$6:$D$2205,A831,'Material routes'!$C$6:$C$2205,"Tool candidate")</x:f>
        <x:v>1</x:v>
      </x:c>
      <x:c r="AM831" s="4" t="str">
        <x:f>IF(AJ831&gt;0,"Route listed; review status/completeness",IF(C831="T0","Raw entry feed; no production route","No production route listed"))</x:f>
        <x:v>Route listed; review status/completeness</x:v>
      </x:c>
      <x:c r="AN831" s="4" t="n">
        <x:f>IF(C831="T0",0,IF(C831="T1",1,IF(C831="T2",2,IF(C831="T3",3,IF(C831="T4",4,IF(C831="Unassigned",98,99))))))</x:f>
        <x:v>99</x:v>
      </x:c>
      <x:c r="AZ831"/>
      <x:c r="BA831"/>
      <x:c r="BB831"/>
      <x:c r="BC831"/>
      <x:c r="BD831"/>
      <x:c r="BE831"/>
      <x:c r="BF831"/>
      <x:c r="BG831"/>
      <x:c r="BH831"/>
      <x:c r="BI831"/>
      <x:c r="BJ831"/>
      <x:c r="BK831"/>
      <x:c r="BL831"/>
      <x:c r="BM831"/>
      <x:c r="BN831"/>
      <x:c r="BO831"/>
      <x:c r="BP831"/>
      <x:c r="BQ831"/>
      <x:c r="BR831"/>
      <x:c r="BS831"/>
      <x:c r="BT831"/>
      <x:c r="BU831"/>
      <x:c r="BV831"/>
      <x:c r="BW831"/>
      <x:c r="BX831"/>
      <x:c r="BY831"/>
      <x:c r="BZ831"/>
      <x:c r="CA831"/>
      <x:c r="CB831"/>
      <x:c r="CC831"/>
    </x:row>
    <x:row r="832" ht="115" customHeight="1">
      <x:c r="A832" s="4" t="str">
        <x:v>proposal.audit.metal_glassworking_blowpipe</x:v>
      </x:c>
      <x:c r="B832" s="4" t="str">
        <x:v>Metal glassworking blowpipe</x:v>
      </x:c>
      <x:c r="C832" s="4" t="str">
        <x:v>Not applicable</x:v>
      </x:c>
      <x:c r="D832" s="4" t="inlineStr">
        <x:is>
          <x:t xml:space="preserve">Salvage</x:t>
        </x:is>
      </x:c>
      <x:c r="E832" s="4" t="str">
        <x:v>Crafting audit support item</x:v>
      </x:c>
      <x:c r="F832" s="4" t="str">
        <x:v>New proposal</x:v>
      </x:c>
      <x:c r="G832" s="4" t="inlineStr">
        <x:is>
          <x:t xml:space="preserve">Candidate hot-work tool for forming glass vessels; qualified heat and working atmosphere required. It is intended for a matched glassworking or ceramic process, with composition, forming and controlled heat determining the useful result.</x:t>
        </x:is>
      </x:c>
      <x:c r="H832" s="4" t="str">
        <x:v>None</x:v>
      </x:c>
      <x:c r="I832" s="4" t="str">
        <x:v>Physical item; installed or cargo fit unresolved</x:v>
      </x:c>
      <x:c r="J832" s="4"/>
      <x:c r="K832" s="4"/>
      <x:c r="L832" s="4" t="str">
        <x:v>Candidate preparation; see normalized crafting routes</x:v>
      </x:c>
      <x:c r="M832" s="4" t="str">
        <x:v>Partial design; tools, quantities, yield and qualification unresolved</x:v>
      </x:c>
      <x:c r="N832" s="4" t="str">
        <x:v>Not implemented</x:v>
      </x:c>
      <x:c r="O832" s="4" t="str">
        <x:v>No free environmental water, ordinary cloth, conventional-fat premise or ancient-material reproduction.</x:v>
      </x:c>
      <x:c r="P832" s="4"/>
      <x:c r="Q832" s="4"/>
      <x:c r="R832" s="4"/>
      <x:c r="S832" s="4"/>
      <x:c r="T832" s="4"/>
      <x:c r="U832" s="4" t="str">
        <x:v>Candidate hot-work tool for forming glass vessels; qualified heat and working atmosphere required.</x:v>
      </x:c>
      <x:c r="V832" s="4" t="str">
        <x:v>metal glassworking blowpipe; crafting audit</x:v>
      </x:c>
      <x:c r="W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2" s="4" t="str">
        <x:v>Tool</x:v>
      </x:c>
      <x:c r="Y832" s="4" t="str">
        <x:v>Finished item</x:v>
      </x:c>
      <x:c r="Z832" s="4" t="str">
        <x:v>Manufactured / unresolved</x:v>
      </x:c>
      <x:c r="AA832" s="4" t="str">
        <x:v>Glass and ceramics</x:v>
      </x:c>
      <x:c r="AB832" s="4" t="str">
        <x:v>Metal</x:v>
      </x:c>
      <x:c r="AC832" s="4" t="str">
        <x:v>Assembly</x:v>
      </x:c>
      <x:c r="AD832" s="4" t="str">
        <x:v>Proposal</x:v>
      </x:c>
      <x:c r="AE832" s="4" t="str">
        <x:f>LOWER(A832&amp;"; "&amp;B832&amp;"; "&amp;D832&amp;"; "&amp;E832&amp;"; "&amp;X832&amp;"; "&amp;Y832&amp;"; "&amp;Z832&amp;"; "&amp;AA832&amp;"; "&amp;AB832&amp;"; "&amp;AC832&amp;"; "&amp;AD832&amp;"; "&amp;V832&amp;"; "&amp;C832&amp;"; "&amp;AH832&amp;"; "&amp;AI832)</x:f>
        <x:v>proposal.audit.metal_glassworking_blowpipe; metal glassworking blowpipe; salvage; crafting audit support item; tool; finished item; manufactured / unresolved; glass and ceramics; metal; assembly; proposal; metal glassworking blowpipe; crafting audit; not applicable; t3; finished item</x:v>
      </x:c>
      <x:c r="AF832"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832" s="4" t="str">
        <x:v>Selected partial route; processing depth is independent of rarity.</x:v>
      </x:c>
      <x:c r="AH832" s="4" t="str">
        <x:v>T3</x:v>
      </x:c>
      <x:c r="AI832" s="4" t="str">
        <x:v>Finished item</x:v>
      </x:c>
      <x:c r="AJ832" s="4" t="n">
        <x:f>COUNTIFS('Material routes'!$D$6:$D$2205,A832,'Material routes'!$C$6:$C$2205,"Output")</x:f>
        <x:v>1</x:v>
      </x:c>
      <x:c r="AK832" s="4" t="n">
        <x:f>SUM(COUNTIFS('Material routes'!$D$6:$D$2205,A832,'Material routes'!$C$6:$C$2205,"Ingredient candidate"),COUNTIFS('Material routes'!$D$6:$D$2205,A832,'Material routes'!$C$6:$C$2205,"Consumed input"),COUNTIFS('Material routes'!$D$6:$D$2205,A832,'Material routes'!$C$6:$C$2205,"Contained input"),COUNTIFS('Material routes'!$D$6:$D$2205,A832,'Material routes'!$C$6:$C$2205,"Transform input"))</x:f>
        <x:v>0</x:v>
      </x:c>
      <x:c r="AL832" s="4" t="n">
        <x:f>COUNTIFS('Material routes'!$D$6:$D$2205,A832,'Material routes'!$C$6:$C$2205,"Tool candidate")</x:f>
        <x:v>1</x:v>
      </x:c>
      <x:c r="AM832" s="4" t="str">
        <x:f>IF(AJ832&gt;0,"Route listed; review status/completeness",IF(C832="T0","Raw entry feed; no production route","No production route listed"))</x:f>
        <x:v>Route listed; review status/completeness</x:v>
      </x:c>
      <x:c r="AN832" s="4" t="n">
        <x:f>IF(C832="T0",0,IF(C832="T1",1,IF(C832="T2",2,IF(C832="T3",3,IF(C832="T4",4,IF(C832="Unassigned",98,99))))))</x:f>
        <x:v>99</x:v>
      </x:c>
      <x:c r="AZ832"/>
      <x:c r="BA832"/>
      <x:c r="BB832"/>
      <x:c r="BC832"/>
      <x:c r="BD832"/>
      <x:c r="BE832"/>
      <x:c r="BF832"/>
      <x:c r="BG832"/>
      <x:c r="BH832"/>
      <x:c r="BI832"/>
      <x:c r="BJ832"/>
      <x:c r="BK832"/>
      <x:c r="BL832"/>
      <x:c r="BM832"/>
      <x:c r="BN832"/>
      <x:c r="BO832"/>
      <x:c r="BP832"/>
      <x:c r="BQ832"/>
      <x:c r="BR832"/>
      <x:c r="BS832"/>
      <x:c r="BT832"/>
      <x:c r="BU832"/>
      <x:c r="BV832"/>
      <x:c r="BW832"/>
      <x:c r="BX832"/>
      <x:c r="BY832"/>
      <x:c r="BZ832"/>
      <x:c r="CA832"/>
      <x:c r="CB832"/>
      <x:c r="CC832"/>
    </x:row>
    <x:row r="833">
      <x:c r="A833" s="4" t="inlineStr">
        <x:is>
          <x:t xml:space="preserve">proposal.ancient.heat_exchange_comb</x:t>
        </x:is>
      </x:c>
      <x:c r="B833" s="4" t="inlineStr">
        <x:is>
          <x:t xml:space="preserve">Ancient heat-exchange comb</x:t>
        </x:is>
      </x:c>
      <x:c r="C833" s="4" t="inlineStr">
        <x:is>
          <x:t xml:space="preserve">T0</x:t>
        </x:is>
      </x:c>
      <x:c r="D833" s="4" t="inlineStr">
        <x:is>
          <x:t xml:space="preserve">Ancient salvage</x:t>
        </x:is>
      </x:c>
      <x:c r="E833" s="4" t="inlineStr">
        <x:is>
          <x:t xml:space="preserve">Ancient recovery</x:t>
        </x:is>
      </x:c>
      <x:c r="F833" s="4" t="inlineStr">
        <x:is>
          <x:t xml:space="preserve">New proposal</x:t>
        </x:is>
      </x:c>
      <x:c r="G833" s="4" t="inlineStr">
        <x:is>
          <x:t xml:space="preserve">A fan of impossibly thin black metal fins, partly fused together by old damage. Salvaged from buried machinery; an intact section might serve as a cooling component after inspection.</x:t>
        </x:is>
      </x:c>
      <x:c r="H833" s="4" t="inlineStr">
        <x:is>
          <x:t xml:space="preserve">None</x:t>
        </x:is>
      </x:c>
      <x:c r="I833" s="4" t="inlineStr">
        <x:is>
          <x:t xml:space="preserve">Physical inventory / cargo item; dimensions and packing unresolved</x:t>
        </x:is>
      </x:c>
      <x:c r="J833" s="4"/>
      <x:c r="K833"/>
      <x:c r="L833" t="inlineStr">
        <x:is>
          <x:t xml:space="preserve">Recover from buried ancient machinery; specific sites and recovery methods remain proposals.</x:t>
        </x:is>
      </x:c>
      <x:c r="M833" s="4" t="inlineStr">
        <x:is>
          <x:t xml:space="preserve">Inspect and preserve the original. No manufacturing or internal repair recipe established.</x:t>
        </x:is>
      </x:c>
      <x:c r="N833" s="4" t="inlineStr">
        <x:is>
          <x:t xml:space="preserve">Not implemented</x:t>
        </x:is>
      </x:c>
      <x:c r="O833" s="4" t="inlineStr">
        <x:is>
          <x:t xml:space="preserve">Extremely rare. Condition, compatibility, operating requirements and remaining useful life are unresolved.</x:t>
        </x:is>
      </x:c>
      <x:c r="P833" s="4" t="inlineStr">
        <x:is>
          <x:t xml:space="preserve">Extremely rare</x:t>
        </x:is>
      </x:c>
      <x:c r="Q833" s="4"/>
      <x:c r="R833"/>
      <x:c r="S833"/>
      <x:c r="T833"/>
      <x:c r="U833" t="inlineStr">
        <x:is>
          <x:t xml:space="preserve">Artwork direction: A broken crescent of closely spaced black metal fins. Condition and compatibility determine usefulness; original manufacture remains beyond established contemporary crafting.</x:t>
        </x:is>
      </x:c>
      <x:c r="V833" s="4" t="inlineStr">
        <x:is>
          <x:t xml:space="preserve">ancient heat-exchange comb; ancient salvage; as-found recovery</x:t>
        </x:is>
      </x:c>
      <x:c r="W833" s="4" t="inlineStr">
        <x:is>
          <x:t xml:space="preserve">Author requested creation of these three brainstorm proposals, October 15, 2026. Setting constraints: Docs/WORLD_BASIS.md#material-culture.</x:t>
        </x:is>
      </x:c>
      <x:c r="X833" s="4" t="inlineStr">
        <x:is>
          <x:t xml:space="preserve">Machine part</x:t>
        </x:is>
      </x:c>
      <x:c r="Y833" s="4" t="inlineStr">
        <x:is>
          <x:t xml:space="preserve">Recovered part</x:t>
        </x:is>
      </x:c>
      <x:c r="Z833" s="4" t="inlineStr">
        <x:is>
          <x:t xml:space="preserve">Ancient technology</x:t>
        </x:is>
      </x:c>
      <x:c r="AA833" s="4" t="inlineStr">
        <x:is>
          <x:t xml:space="preserve">Machinery repair</x:t>
        </x:is>
      </x:c>
      <x:c r="AB833" s="4" t="inlineStr">
        <x:is>
          <x:t xml:space="preserve">Metal</x:t>
        </x:is>
      </x:c>
      <x:c r="AC833" s="4" t="inlineStr">
        <x:is>
          <x:t xml:space="preserve">Assembly</x:t>
        </x:is>
      </x:c>
      <x:c r="AD833" s="4" t="inlineStr">
        <x:is>
          <x:t xml:space="preserve">Proposal</x:t>
        </x:is>
      </x:c>
      <x:c r="AE833" s="4" t="str">
        <x:f>LOWER(A833&amp;"; "&amp;B833&amp;"; "&amp;D833&amp;"; "&amp;E833&amp;"; "&amp;X833&amp;"; "&amp;Y833&amp;"; "&amp;Z833&amp;"; "&amp;AA833&amp;"; "&amp;AB833&amp;"; "&amp;AC833&amp;"; "&amp;AD833&amp;"; "&amp;V833&amp;"; "&amp;C833&amp;"; "&amp;AH833&amp;"; "&amp;AI833)</x:f>
        <x:v>proposal.ancient.heat_exchange_comb; ancient heat-exchange comb; ancient salvage; ancient recovery; machine part; recovered part; ancient technology; machinery repair; metal; assembly; proposal; ancient heat-exchange comb; ancient salvage; as-found recovery; t0; t0; component</x:v>
      </x:c>
      <x:c r="AF833" s="4" t="inlineStr">
        <x:is>
          <x:t xml:space="preserve">Author-selected brainstorm proposal; catalog creation does not establish functioning technology or a recipe.</x:t>
        </x:is>
      </x:c>
      <x:c r="AG833" s="4" t="inlineStr">
        <x:is>
          <x:t xml:space="preserve">T0 is the as-found recovery stage. Inspection and qualification of a compatible original would require a separate readiness record; rarity is independent of tier.</x:t>
        </x:is>
      </x:c>
      <x:c r="AH833" s="4" t="inlineStr">
        <x:is>
          <x:t xml:space="preserve">T0</x:t>
        </x:is>
      </x:c>
      <x:c r="AI833" s="4" t="inlineStr">
        <x:is>
          <x:t xml:space="preserve">Component</x:t>
        </x:is>
      </x:c>
      <x:c r="AJ833" s="4">
        <x:f>COUNTIFS('Material routes'!$D$6:$D$2205,A833,'Material routes'!$C$6:$C$2205,"Output")</x:f>
        <x:v>0</x:v>
      </x:c>
      <x:c r="AK833" s="4">
        <x:f>SUM(COUNTIFS('Material routes'!$D$6:$D$2205,A833,'Material routes'!$C$6:$C$2205,"Ingredient candidate"),COUNTIFS('Material routes'!$D$6:$D$2205,A833,'Material routes'!$C$6:$C$2205,"Consumed input"),COUNTIFS('Material routes'!$D$6:$D$2205,A833,'Material routes'!$C$6:$C$2205,"Contained input"),COUNTIFS('Material routes'!$D$6:$D$2205,A833,'Material routes'!$C$6:$C$2205,"Transform input"))</x:f>
        <x:v>0</x:v>
      </x:c>
      <x:c r="AL833" s="4">
        <x:f>COUNTIFS('Material routes'!$D$6:$D$2205,A833,'Material routes'!$C$6:$C$2205,"Tool candidate")</x:f>
        <x:v>0</x:v>
      </x:c>
      <x:c r="AM833" s="4" t="str">
        <x:f>IF(AJ833&gt;0,"Route listed; review status/completeness",IF(C833="T0","Raw entry feed; no production route","No production route listed"))</x:f>
        <x:v>Raw entry feed; no production route</x:v>
      </x:c>
      <x:c r="AN833" s="4">
        <x:f>IF(C833="T0",0,IF(C833="T1",1,IF(C833="T2",2,IF(C833="T3",3,IF(C833="T4",4,IF(C833="Unassigned",98,99))))))</x:f>
        <x:v>0</x:v>
      </x:c>
    </x:row>
    <x:row r="834">
      <x:c r="A834" s="4" t="inlineStr">
        <x:is>
          <x:t xml:space="preserve">proposal.ancient.service_recorder</x:t>
        </x:is>
      </x:c>
      <x:c r="B834" s="4" t="inlineStr">
        <x:is>
          <x:t xml:space="preserve">Ancient service recorder</x:t>
        </x:is>
      </x:c>
      <x:c r="C834" s="4" t="inlineStr">
        <x:is>
          <x:t xml:space="preserve">T0</x:t>
        </x:is>
      </x:c>
      <x:c r="D834" s="4" t="inlineStr">
        <x:is>
          <x:t xml:space="preserve">Ancient salvage</x:t>
        </x:is>
      </x:c>
      <x:c r="E834" s="4" t="inlineStr">
        <x:is>
          <x:t xml:space="preserve">Ancient recovery</x:t>
        </x:is>
      </x:c>
      <x:c r="F834" s="4" t="inlineStr">
        <x:is>
          <x:t xml:space="preserve">New proposal</x:t>
        </x:is>
      </x:c>
      <x:c r="G834" s="4" t="inlineStr">
        <x:is>
          <x:t xml:space="preserve">A palm-sized, sealed capsule recovered from a war machine's maintenance compartment. It may contain fault records or fragments of the machine's last movements, if someone can read it.</x:t>
        </x:is>
      </x:c>
      <x:c r="H834" s="4" t="inlineStr">
        <x:is>
          <x:t xml:space="preserve">None</x:t>
        </x:is>
      </x:c>
      <x:c r="I834" s="4" t="inlineStr">
        <x:is>
          <x:t xml:space="preserve">Physical inventory / cargo item; dimensions and packing unresolved</x:t>
        </x:is>
      </x:c>
      <x:c r="J834" s="4"/>
      <x:c r="K834"/>
      <x:c r="L834" t="inlineStr">
        <x:is>
          <x:t xml:space="preserve">Recover from buried ancient machinery; specific sites and recovery methods remain proposals.</x:t>
        </x:is>
      </x:c>
      <x:c r="M834" s="4" t="inlineStr">
        <x:is>
          <x:t xml:space="preserve">Inspect and preserve the original. No manufacturing or internal repair recipe established.</x:t>
        </x:is>
      </x:c>
      <x:c r="N834" s="4" t="inlineStr">
        <x:is>
          <x:t xml:space="preserve">Not implemented</x:t>
        </x:is>
      </x:c>
      <x:c r="O834" s="4" t="inlineStr">
        <x:is>
          <x:t xml:space="preserve">Extremely rare. Condition, compatibility, operating requirements and remaining useful life are unresolved.</x:t>
        </x:is>
      </x:c>
      <x:c r="P834" s="4" t="inlineStr">
        <x:is>
          <x:t xml:space="preserve">Extremely rare</x:t>
        </x:is>
      </x:c>
      <x:c r="Q834" s="4"/>
      <x:c r="R834"/>
      <x:c r="S834"/>
      <x:c r="T834"/>
      <x:c r="U834" t="inlineStr">
        <x:is>
          <x:t xml:space="preserve">Artwork direction: A blunt hexagonal capsule with recessed contacts and worn markings. Condition and compatibility determine usefulness; original manufacture remains beyond established contemporary crafting.</x:t>
        </x:is>
      </x:c>
      <x:c r="V834" s="4" t="inlineStr">
        <x:is>
          <x:t xml:space="preserve">ancient service recorder; ancient salvage; as-found recovery</x:t>
        </x:is>
      </x:c>
      <x:c r="W834" s="4" t="inlineStr">
        <x:is>
          <x:t xml:space="preserve">Author requested creation of these three brainstorm proposals, October 15, 2026. Setting constraints: Docs/WORLD_BASIS.md#material-culture.</x:t>
        </x:is>
      </x:c>
      <x:c r="X834" s="4" t="inlineStr">
        <x:is>
          <x:t xml:space="preserve">Machine part</x:t>
        </x:is>
      </x:c>
      <x:c r="Y834" s="4" t="inlineStr">
        <x:is>
          <x:t xml:space="preserve">Recovered part</x:t>
        </x:is>
      </x:c>
      <x:c r="Z834" s="4" t="inlineStr">
        <x:is>
          <x:t xml:space="preserve">Ancient technology</x:t>
        </x:is>
      </x:c>
      <x:c r="AA834" s="4" t="inlineStr">
        <x:is>
          <x:t xml:space="preserve">Use unresolved</x:t>
        </x:is>
      </x:c>
      <x:c r="AB834" s="4" t="inlineStr">
        <x:is>
          <x:t xml:space="preserve">Unresolved</x:t>
        </x:is>
      </x:c>
      <x:c r="AC834" s="4" t="inlineStr">
        <x:is>
          <x:t xml:space="preserve">Assembly</x:t>
        </x:is>
      </x:c>
      <x:c r="AD834" s="4" t="inlineStr">
        <x:is>
          <x:t xml:space="preserve">Proposal</x:t>
        </x:is>
      </x:c>
      <x:c r="AE834" s="4" t="str">
        <x:f>LOWER(A834&amp;"; "&amp;B834&amp;"; "&amp;D834&amp;"; "&amp;E834&amp;"; "&amp;X834&amp;"; "&amp;Y834&amp;"; "&amp;Z834&amp;"; "&amp;AA834&amp;"; "&amp;AB834&amp;"; "&amp;AC834&amp;"; "&amp;AD834&amp;"; "&amp;V834&amp;"; "&amp;C834&amp;"; "&amp;AH834&amp;"; "&amp;AI834)</x:f>
        <x:v>proposal.ancient.service_recorder; ancient service recorder; ancient salvage; ancient recovery; machine part; recovered part; ancient technology; use unresolved; unresolved; assembly; proposal; ancient service recorder; ancient salvage; as-found recovery; t0; t0; component</x:v>
      </x:c>
      <x:c r="AF834" s="4" t="inlineStr">
        <x:is>
          <x:t xml:space="preserve">Author-selected brainstorm proposal; catalog creation does not establish functioning technology or a recipe.</x:t>
        </x:is>
      </x:c>
      <x:c r="AG834" s="4" t="inlineStr">
        <x:is>
          <x:t xml:space="preserve">T0 is the as-found recovery stage. Inspection and qualification of a compatible original would require a separate readiness record; rarity is independent of tier.</x:t>
        </x:is>
      </x:c>
      <x:c r="AH834" s="4" t="inlineStr">
        <x:is>
          <x:t xml:space="preserve">T0</x:t>
        </x:is>
      </x:c>
      <x:c r="AI834" s="4" t="inlineStr">
        <x:is>
          <x:t xml:space="preserve">Component</x:t>
        </x:is>
      </x:c>
      <x:c r="AJ834" s="4">
        <x:f>COUNTIFS('Material routes'!$D$6:$D$2205,A834,'Material routes'!$C$6:$C$2205,"Output")</x:f>
        <x:v>0</x:v>
      </x:c>
      <x:c r="AK834" s="4">
        <x:f>SUM(COUNTIFS('Material routes'!$D$6:$D$2205,A834,'Material routes'!$C$6:$C$2205,"Ingredient candidate"),COUNTIFS('Material routes'!$D$6:$D$2205,A834,'Material routes'!$C$6:$C$2205,"Consumed input"),COUNTIFS('Material routes'!$D$6:$D$2205,A834,'Material routes'!$C$6:$C$2205,"Contained input"),COUNTIFS('Material routes'!$D$6:$D$2205,A834,'Material routes'!$C$6:$C$2205,"Transform input"))</x:f>
        <x:v>0</x:v>
      </x:c>
      <x:c r="AL834" s="4">
        <x:f>COUNTIFS('Material routes'!$D$6:$D$2205,A834,'Material routes'!$C$6:$C$2205,"Tool candidate")</x:f>
        <x:v>0</x:v>
      </x:c>
      <x:c r="AM834" s="4" t="str">
        <x:f>IF(AJ834&gt;0,"Route listed; review status/completeness",IF(C834="T0","Raw entry feed; no production route","No production route listed"))</x:f>
        <x:v>Raw entry feed; no production route</x:v>
      </x:c>
      <x:c r="AN834" s="4">
        <x:f>IF(C834="T0",0,IF(C834="T1",1,IF(C834="T2",2,IF(C834="T3",3,IF(C834="T4",4,IF(C834="Unassigned",98,99))))))</x:f>
        <x:v>0</x:v>
      </x:c>
    </x:row>
    <x:row r="835">
      <x:c r="A835" s="4" t="inlineStr">
        <x:is>
          <x:t xml:space="preserve">proposal.ancient.vibration_isolation_mount</x:t>
        </x:is>
      </x:c>
      <x:c r="B835" s="4" t="inlineStr">
        <x:is>
          <x:t xml:space="preserve">Ancient vibration-isolation mount</x:t>
        </x:is>
      </x:c>
      <x:c r="C835" s="4" t="inlineStr">
        <x:is>
          <x:t xml:space="preserve">T0</x:t>
        </x:is>
      </x:c>
      <x:c r="D835" s="4" t="inlineStr">
        <x:is>
          <x:t xml:space="preserve">Ancient salvage</x:t>
        </x:is>
      </x:c>
      <x:c r="E835" s="4" t="inlineStr">
        <x:is>
          <x:t xml:space="preserve">Ancient recovery</x:t>
        </x:is>
      </x:c>
      <x:c r="F835" s="4" t="inlineStr">
        <x:is>
          <x:t xml:space="preserve">New proposal</x:t>
        </x:is>
      </x:c>
      <x:c r="G835" s="4" t="inlineStr">
        <x:is>
          <x:t xml:space="preserve">Two heavy mounting rings joined by an intricate internal suspension. A surviving example could protect delicate machinery from movement and impact, provided its fittings match.</x:t>
        </x:is>
      </x:c>
      <x:c r="H835" s="4" t="inlineStr">
        <x:is>
          <x:t xml:space="preserve">None</x:t>
        </x:is>
      </x:c>
      <x:c r="I835" s="4" t="inlineStr">
        <x:is>
          <x:t xml:space="preserve">Physical inventory / cargo item; dimensions and packing unresolved</x:t>
        </x:is>
      </x:c>
      <x:c r="J835" s="4"/>
      <x:c r="K835"/>
      <x:c r="L835" t="inlineStr">
        <x:is>
          <x:t xml:space="preserve">Recover from buried ancient machinery; specific sites and recovery methods remain proposals.</x:t>
        </x:is>
      </x:c>
      <x:c r="M835" s="4" t="inlineStr">
        <x:is>
          <x:t xml:space="preserve">Inspect and preserve the original. No manufacturing or internal repair recipe established.</x:t>
        </x:is>
      </x:c>
      <x:c r="N835" s="4" t="inlineStr">
        <x:is>
          <x:t xml:space="preserve">Not implemented</x:t>
        </x:is>
      </x:c>
      <x:c r="O835" s="4" t="inlineStr">
        <x:is>
          <x:t xml:space="preserve">Extremely rare. Condition, compatibility, operating requirements and remaining useful life are unresolved.</x:t>
        </x:is>
      </x:c>
      <x:c r="P835" s="4" t="inlineStr">
        <x:is>
          <x:t xml:space="preserve">Extremely rare</x:t>
        </x:is>
      </x:c>
      <x:c r="Q835" s="4"/>
      <x:c r="R835"/>
      <x:c r="S835"/>
      <x:c r="T835"/>
      <x:c r="U835" t="inlineStr">
        <x:is>
          <x:t xml:space="preserve">Artwork direction: Nested rings with an off-center suspended core. Condition and compatibility determine usefulness; original manufacture remains beyond established contemporary crafting.</x:t>
        </x:is>
      </x:c>
      <x:c r="V835" s="4" t="inlineStr">
        <x:is>
          <x:t xml:space="preserve">ancient vibration-isolation mount; ancient salvage; as-found recovery</x:t>
        </x:is>
      </x:c>
      <x:c r="W835" s="4" t="inlineStr">
        <x:is>
          <x:t xml:space="preserve">Author requested creation of these three brainstorm proposals, October 15, 2026. Setting constraints: Docs/WORLD_BASIS.md#material-culture.</x:t>
        </x:is>
      </x:c>
      <x:c r="X835" s="4" t="inlineStr">
        <x:is>
          <x:t xml:space="preserve">Machine part</x:t>
        </x:is>
      </x:c>
      <x:c r="Y835" s="4" t="inlineStr">
        <x:is>
          <x:t xml:space="preserve">Recovered part</x:t>
        </x:is>
      </x:c>
      <x:c r="Z835" s="4" t="inlineStr">
        <x:is>
          <x:t xml:space="preserve">Ancient technology</x:t>
        </x:is>
      </x:c>
      <x:c r="AA835" s="4" t="inlineStr">
        <x:is>
          <x:t xml:space="preserve">Machinery repair</x:t>
        </x:is>
      </x:c>
      <x:c r="AB835" s="4" t="inlineStr">
        <x:is>
          <x:t xml:space="preserve">Unresolved</x:t>
        </x:is>
      </x:c>
      <x:c r="AC835" s="4" t="inlineStr">
        <x:is>
          <x:t xml:space="preserve">Assembly</x:t>
        </x:is>
      </x:c>
      <x:c r="AD835" s="4" t="inlineStr">
        <x:is>
          <x:t xml:space="preserve">Proposal</x:t>
        </x:is>
      </x:c>
      <x:c r="AE835" s="4" t="str">
        <x:f>LOWER(A835&amp;"; "&amp;B835&amp;"; "&amp;D835&amp;"; "&amp;E835&amp;"; "&amp;X835&amp;"; "&amp;Y835&amp;"; "&amp;Z835&amp;"; "&amp;AA835&amp;"; "&amp;AB835&amp;"; "&amp;AC835&amp;"; "&amp;AD835&amp;"; "&amp;V835&amp;"; "&amp;C835&amp;"; "&amp;AH835&amp;"; "&amp;AI835)</x:f>
        <x:v>proposal.ancient.vibration_isolation_mount; ancient vibration-isolation mount; ancient salvage; ancient recovery; machine part; recovered part; ancient technology; machinery repair; unresolved; assembly; proposal; ancient vibration-isolation mount; ancient salvage; as-found recovery; t0; t0; component</x:v>
      </x:c>
      <x:c r="AF835" s="4" t="inlineStr">
        <x:is>
          <x:t xml:space="preserve">Author-selected brainstorm proposal; catalog creation does not establish functioning technology or a recipe.</x:t>
        </x:is>
      </x:c>
      <x:c r="AG835" s="4" t="inlineStr">
        <x:is>
          <x:t xml:space="preserve">T0 is the as-found recovery stage. Inspection and qualification of a compatible original would require a separate readiness record; rarity is independent of tier.</x:t>
        </x:is>
      </x:c>
      <x:c r="AH835" s="4" t="inlineStr">
        <x:is>
          <x:t xml:space="preserve">T0</x:t>
        </x:is>
      </x:c>
      <x:c r="AI835" s="4" t="inlineStr">
        <x:is>
          <x:t xml:space="preserve">Component</x:t>
        </x:is>
      </x:c>
      <x:c r="AJ835" s="4">
        <x:f>COUNTIFS('Material routes'!$D$6:$D$2205,A835,'Material routes'!$C$6:$C$2205,"Output")</x:f>
        <x:v>0</x:v>
      </x:c>
      <x:c r="AK835" s="4">
        <x:f>SUM(COUNTIFS('Material routes'!$D$6:$D$2205,A835,'Material routes'!$C$6:$C$2205,"Ingredient candidate"),COUNTIFS('Material routes'!$D$6:$D$2205,A835,'Material routes'!$C$6:$C$2205,"Consumed input"),COUNTIFS('Material routes'!$D$6:$D$2205,A835,'Material routes'!$C$6:$C$2205,"Contained input"),COUNTIFS('Material routes'!$D$6:$D$2205,A835,'Material routes'!$C$6:$C$2205,"Transform input"))</x:f>
        <x:v>0</x:v>
      </x:c>
      <x:c r="AL835" s="4">
        <x:f>COUNTIFS('Material routes'!$D$6:$D$2205,A835,'Material routes'!$C$6:$C$2205,"Tool candidate")</x:f>
        <x:v>0</x:v>
      </x:c>
      <x:c r="AM835" s="4" t="str">
        <x:f>IF(AJ835&gt;0,"Route listed; review status/completeness",IF(C835="T0","Raw entry feed; no production route","No production route listed"))</x:f>
        <x:v>Raw entry feed; no production route</x:v>
      </x:c>
      <x:c r="AN835" s="4">
        <x:f>IF(C835="T0",0,IF(C835="T1",1,IF(C835="T2",2,IF(C835="T3",3,IF(C835="T4",4,IF(C835="Unassigned",98,99))))))</x:f>
        <x:v>0</x:v>
      </x:c>
    </x:row>
    <x:row r="836">
      <x:c r="C836" s="4" t="inlineStr">
        <x:is>
          <x:t xml:space="preserve">T0</x:t>
        </x:is>
      </x:c>
      <x:c r="D836" s="9" t="inlineStr">
        <x:is>
          <x:t xml:space="preserve">Biological resources</x:t>
        </x:is>
      </x:c>
      <x:c r="E836" s="9" t="inlineStr">
        <x:is>
          <x:t xml:space="preserve">Faunal hard-part feedstock</x:t>
        </x:is>
      </x:c>
      <x:c r="F836" s="9" t="inlineStr">
        <x:is>
          <x:t xml:space="preserve">New proposal</x:t>
        </x:is>
      </x:c>
      <x:c r="G836" s="9" t="inlineStr">
        <x:is>
          <x:t xml:space="preserve">Candidate textured feed for tool grips, foot-contact surfaces and cargo-rest friction pads. It provides candidate material or a shaped starting piece for making other objects, with the final form set by the receiving design.</x:t>
        </x:is>
      </x:c>
      <x:c r="H836" s="9" t="inlineStr">
        <x:is>
          <x:t xml:space="preserve">None</x:t>
        </x:is>
      </x:c>
      <x:c r="I836" s="9" t="inlineStr">
        <x:is>
          <x:t xml:space="preserve">Gathered raw cargo: Legger or local storage; packing and containment unresolved</x:t>
        </x:is>
      </x:c>
      <x:c r="J836" s="13"/>
      <x:c r="K836" s="0"/>
      <x:c r="L836" s="0" t="inlineStr">
        <x:is>
          <x:t xml:space="preserve">Gather naturally shed or recover intact gripping-pad scales from a selected fauna species; anatomy and collection method proposed.</x:t>
        </x:is>
      </x:c>
      <x:c r="M836" s="9" t="inlineStr">
        <x:is>
          <x:t xml:space="preserve">Sort intact textured faces for later trimming and backing trials. No adhesive, attachment method or recipe assigned.</x:t>
        </x:is>
      </x:c>
      <x:c r="N836" s="9" t="inlineStr">
        <x:is>
          <x:t xml:space="preserve">Not implemented</x:t>
        </x:is>
      </x:c>
      <x:c r="O836" s="9" t="inlineStr">
        <x:is>
          <x:t xml:space="preserve">Grip under dust, wear rate and safe preparation remain untested. Not a finished boot sole or guaranteed climbing aid.</x:t>
        </x:is>
      </x:c>
      <x:c r="P836" s="17"/>
      <x:c r="Q836" s="0"/>
      <x:c r="R836" s="0"/>
      <x:c r="S836" s="0"/>
      <x:c r="T836" s="0"/>
      <x:c r="U836" s="0" t="inlineStr">
        <x:is>
          <x:t xml:space="preserve">Source species, proposed anatomy, collection, processing, grade, yield, mass and value remain open.</x:t>
        </x:is>
      </x:c>
      <x:c r="V836" s="11" t="inlineStr">
        <x:is>
          <x:t xml:space="preserve">grip scales; traction pad; footpad lamellae</x:t>
        </x:is>
      </x:c>
      <x:c r="W836" s="0" t="inlineStr">
        <x:is>
          <x:t xml:space="preserve">Author-requested local brainstorm, October 15, 2026. See BIOLOGICAL_RESOURCE_PROPOSALS_2026-10-15.json and Docs/WORLD_BASIS.md. Not a retrieved source-lore claim.</x:t>
        </x:is>
      </x:c>
      <x:c r="X836" s="4" t="inlineStr">
        <x:is>
          <x:t xml:space="preserve">Raw material</x:t>
        </x:is>
      </x:c>
      <x:c r="Y836" s="4" t="inlineStr">
        <x:is>
          <x:t xml:space="preserve">Raw</x:t>
        </x:is>
      </x:c>
      <x:c r="Z836" s="4" t="inlineStr">
        <x:is>
          <x:t xml:space="preserve">Fauna</x:t>
        </x:is>
      </x:c>
      <x:c r="AA836" s="4" t="inlineStr">
        <x:is>
          <x:t xml:space="preserve">Fabrication</x:t>
        </x:is>
      </x:c>
      <x:c r="AB836" s="4" t="inlineStr">
        <x:is>
          <x:t xml:space="preserve">Faunal hard tissue</x:t>
        </x:is>
      </x:c>
      <x:c r="AC836" s="4" t="inlineStr">
        <x:is>
          <x:t xml:space="preserve">Shell plate</x:t>
        </x:is>
      </x:c>
      <x:c r="AD836" s="4" t="inlineStr">
        <x:is>
          <x:t xml:space="preserve">Proposal</x:t>
        </x:is>
      </x:c>
      <x:c r="AE836" s="4" t="str">
        <x:f>LOWER(A836&amp;"; "&amp;B836&amp;"; "&amp;D836&amp;"; "&amp;E836&amp;"; "&amp;X836&amp;"; "&amp;Y836&amp;"; "&amp;Z836&amp;"; "&amp;AA836&amp;"; "&amp;AB836&amp;"; "&amp;AC836&amp;"; "&amp;AD836&amp;"; "&amp;V836&amp;"; "&amp;C836&amp;"; "&amp;AH836&amp;"; "&amp;AI836)</x:f>
        <x:v>proposal.bio.gripping_pad_scales; faunal gripping-pad scales; biological resources; faunal hard-part feedstock; raw material; raw; fauna; fabrication; faunal hard tissue; shell plate; proposal; grip scales; traction pad; footpad lamellae; t0; not applicable; material</x:v>
      </x:c>
      <x:c r="AF836" s="4" t="inlineStr">
        <x:is>
          <x:t xml:space="preserve">Naturally textured contact faces, rather than structural shell plates, wing membranes or raw hide. Specific anatomy and material performance remain proposals.</x:t>
        </x:is>
      </x:c>
      <x:c r="AZ836"/>
      <x:c r="BA836"/>
      <x:c r="BB836"/>
      <x:c r="BC836"/>
      <x:c r="BD836"/>
      <x:c r="BE836"/>
      <x:c r="BF836"/>
      <x:c r="BG836"/>
      <x:c r="BH836"/>
      <x:c r="BI836"/>
      <x:c r="BJ836"/>
      <x:c r="BK836"/>
      <x:c r="BL836"/>
      <x:c r="BM836"/>
      <x:c r="BN836"/>
      <x:c r="BO836"/>
      <x:c r="BP836"/>
      <x:c r="BQ836"/>
      <x:c r="BR836"/>
      <x:c r="BS836"/>
      <x:c r="BT836"/>
      <x:c r="BU836"/>
      <x:c r="BV836"/>
      <x:c r="BW836"/>
      <x:c r="BX836"/>
      <x:c r="BY836"/>
      <x:c r="BZ836"/>
      <x:c r="CA836"/>
      <x:c r="CB836"/>
      <x:c r="CC836"/>
      <x:c r="A836" s="0" t="inlineStr">
        <x:is>
          <x:t xml:space="preserve">proposal.bio.gripping_pad_scales</x:t>
        </x:is>
      </x:c>
      <x:c r="B836" s="9" t="inlineStr">
        <x:is>
          <x:t xml:space="preserve">Faunal gripping-pad scales</x:t>
        </x:is>
      </x:c>
      <x:c r="AG836" s="4" t="inlineStr">
        <x:is>
          <x:t xml:space="preserve">T0 raw harvested or gathered input. Classification does not establish processing performance or a recipe.</x:t>
        </x:is>
      </x:c>
      <x:c r="AH836" s="4" t="inlineStr">
        <x:is>
          <x:t xml:space="preserve">Not applicable</x:t>
        </x:is>
      </x:c>
      <x:c r="AI836" s="4" t="inlineStr">
        <x:is>
          <x:t xml:space="preserve">Material</x:t>
        </x:is>
      </x:c>
      <x:c r="AJ836" s="4">
        <x:f>COUNTIFS('Material routes'!$D$6:$D$2205,A836,'Material routes'!$C$6:$C$2205,"Output")</x:f>
        <x:v>0</x:v>
      </x:c>
      <x:c r="AK836" s="4">
        <x:f>SUM(COUNTIFS('Material routes'!$D$6:$D$2205,A836,'Material routes'!$C$6:$C$2205,"Ingredient candidate"),COUNTIFS('Material routes'!$D$6:$D$2205,A836,'Material routes'!$C$6:$C$2205,"Consumed input"),COUNTIFS('Material routes'!$D$6:$D$2205,A836,'Material routes'!$C$6:$C$2205,"Contained input"),COUNTIFS('Material routes'!$D$6:$D$2205,A836,'Material routes'!$C$6:$C$2205,"Transform input"))</x:f>
        <x:v>0</x:v>
      </x:c>
      <x:c r="AL836" s="4">
        <x:f>COUNTIFS('Material routes'!$D$6:$D$2205,A836,'Material routes'!$C$6:$C$2205,"Tool candidate")</x:f>
        <x:v>0</x:v>
      </x:c>
      <x:c r="AM836" s="4" t="str">
        <x:f>IF(AJ836&gt;0,"Route listed; review status/completeness",IF(C836="T0","Raw entry feed; no production route","No production route listed"))</x:f>
        <x:v>Raw entry feed; no production route</x:v>
      </x:c>
      <x:c r="AN836" s="14">
        <x:f>IF(C836="T0",0,IF(C836="T1",1,IF(C836="T2",2,IF(C836="T3",3,IF(C836="T4",4,IF(C836="Unassigned",98,99))))))</x:f>
        <x:v>0</x:v>
      </x:c>
    </x:row>
    <x:row r="837">
      <x:c r="C837" s="4" t="inlineStr">
        <x:is>
          <x:t xml:space="preserve">T0</x:t>
        </x:is>
      </x:c>
      <x:c r="D837" s="9" t="inlineStr">
        <x:is>
          <x:t xml:space="preserve">Biological resources</x:t>
        </x:is>
      </x:c>
      <x:c r="E837" s="9" t="inlineStr">
        <x:is>
          <x:t xml:space="preserve">Faunal hard-part feedstock</x:t>
        </x:is>
      </x:c>
      <x:c r="F837" s="9" t="inlineStr">
        <x:is>
          <x:t xml:space="preserve">New proposal</x:t>
        </x:is>
      </x:c>
      <x:c r="G837" s="9" t="inlineStr">
        <x:is>
          <x:t xml:space="preserve">Candidate thin resonating feed for mechanical sounders, rattles and acoustic instrument experiments.</x:t>
        </x:is>
      </x:c>
      <x:c r="H837" s="9" t="inlineStr">
        <x:is>
          <x:t xml:space="preserve">None</x:t>
        </x:is>
      </x:c>
      <x:c r="I837" s="9" t="inlineStr">
        <x:is>
          <x:t xml:space="preserve">Gathered raw cargo: Legger or local storage; packing and containment unresolved</x:t>
        </x:is>
      </x:c>
      <x:c r="J837" s="13"/>
      <x:c r="K837" s="0"/>
      <x:c r="L837" s="0" t="inlineStr">
        <x:is>
          <x:t xml:space="preserve">Recover intact dry plates from a proposed sound-producing structure in selected fauna; species and anatomy unresolved.</x:t>
        </x:is>
      </x:c>
      <x:c r="M837" s="9" t="inlineStr">
        <x:is>
          <x:t xml:space="preserve">Inspect for cracks and sort by dimensions before resonance trials. No tuning process or finished instrument recipe assigned.</x:t>
        </x:is>
      </x:c>
      <x:c r="N837" s="9" t="inlineStr">
        <x:is>
          <x:t xml:space="preserve">Not implemented</x:t>
        </x:is>
      </x:c>
      <x:c r="O837" s="9" t="inlineStr">
        <x:is>
          <x:t xml:space="preserve">Frequency, loudness and durability remain undefined. No electrical sensing, supernatural resonance or guaranteed lure effect.</x:t>
        </x:is>
      </x:c>
      <x:c r="P837" s="17"/>
      <x:c r="Q837" s="0"/>
      <x:c r="R837" s="0"/>
      <x:c r="S837" s="0"/>
      <x:c r="T837" s="0"/>
      <x:c r="U837" s="0" t="inlineStr">
        <x:is>
          <x:t xml:space="preserve">Source species, proposed anatomy, collection, processing, grade, yield, mass and value remain open.</x:t>
        </x:is>
      </x:c>
      <x:c r="V837" s="11" t="inlineStr">
        <x:is>
          <x:t xml:space="preserve">sound plate; stridulation plate; resonating shell</x:t>
        </x:is>
      </x:c>
      <x:c r="W837" s="0" t="inlineStr">
        <x:is>
          <x:t xml:space="preserve">Author-requested local brainstorm, October 15, 2026. See BIOLOGICAL_RESOURCE_PROPOSALS_2026-10-15.json and Docs/WORLD_BASIS.md. Not a retrieved source-lore claim.</x:t>
        </x:is>
      </x:c>
      <x:c r="X837" s="4" t="inlineStr">
        <x:is>
          <x:t xml:space="preserve">Raw material</x:t>
        </x:is>
      </x:c>
      <x:c r="Y837" s="4" t="inlineStr">
        <x:is>
          <x:t xml:space="preserve">Raw</x:t>
        </x:is>
      </x:c>
      <x:c r="Z837" s="4" t="inlineStr">
        <x:is>
          <x:t xml:space="preserve">Fauna</x:t>
        </x:is>
      </x:c>
      <x:c r="AA837" s="4" t="inlineStr">
        <x:is>
          <x:t xml:space="preserve">Fabrication</x:t>
        </x:is>
      </x:c>
      <x:c r="AB837" s="4" t="inlineStr">
        <x:is>
          <x:t xml:space="preserve">Faunal hard tissue</x:t>
        </x:is>
      </x:c>
      <x:c r="AC837" s="4" t="inlineStr">
        <x:is>
          <x:t xml:space="preserve">Shell plate</x:t>
        </x:is>
      </x:c>
      <x:c r="AD837" s="4" t="inlineStr">
        <x:is>
          <x:t xml:space="preserve">Proposal</x:t>
        </x:is>
      </x:c>
      <x:c r="AE837" s="4" t="str">
        <x:f>LOWER(A837&amp;"; "&amp;B837&amp;"; "&amp;D837&amp;"; "&amp;E837&amp;"; "&amp;X837&amp;"; "&amp;Y837&amp;"; "&amp;Z837&amp;"; "&amp;AA837&amp;"; "&amp;AB837&amp;"; "&amp;AC837&amp;"; "&amp;AD837&amp;"; "&amp;V837&amp;"; "&amp;C837&amp;"; "&amp;AH837&amp;"; "&amp;AI837)</x:f>
        <x:v>proposal.bio.resonance_plates; faunal resonance plates; biological resources; faunal hard-part feedstock; raw material; raw; fauna; fabrication; faunal hard tissue; shell plate; proposal; sound plate; stridulation plate; resonating shell; t0; not applicable; material</x:v>
      </x:c>
      <x:c r="AF837" s="4" t="inlineStr">
        <x:is>
          <x:t xml:space="preserve">Selected for acoustic response, rather than the bulk structural use of ordinary shell plates. Specific anatomy and material performance remain proposals.</x:t>
        </x:is>
      </x:c>
      <x:c r="AZ837"/>
      <x:c r="BA837"/>
      <x:c r="BB837"/>
      <x:c r="BC837"/>
      <x:c r="BD837"/>
      <x:c r="BE837"/>
      <x:c r="BF837"/>
      <x:c r="BG837"/>
      <x:c r="BH837"/>
      <x:c r="BI837"/>
      <x:c r="BJ837"/>
      <x:c r="BK837"/>
      <x:c r="BL837"/>
      <x:c r="BM837"/>
      <x:c r="BN837"/>
      <x:c r="BO837"/>
      <x:c r="BP837"/>
      <x:c r="BQ837"/>
      <x:c r="BR837"/>
      <x:c r="BS837"/>
      <x:c r="BT837"/>
      <x:c r="BU837"/>
      <x:c r="BV837"/>
      <x:c r="BW837"/>
      <x:c r="BX837"/>
      <x:c r="BY837"/>
      <x:c r="BZ837"/>
      <x:c r="CA837"/>
      <x:c r="CB837"/>
      <x:c r="CC837"/>
      <x:c r="A837" s="0" t="inlineStr">
        <x:is>
          <x:t xml:space="preserve">proposal.bio.resonance_plates</x:t>
        </x:is>
      </x:c>
      <x:c r="B837" s="9" t="inlineStr">
        <x:is>
          <x:t xml:space="preserve">Faunal resonance plates</x:t>
        </x:is>
      </x:c>
      <x:c r="AG837" s="4" t="inlineStr">
        <x:is>
          <x:t xml:space="preserve">T0 raw harvested or gathered input. Classification does not establish processing performance or a recipe.</x:t>
        </x:is>
      </x:c>
      <x:c r="AH837" s="4" t="inlineStr">
        <x:is>
          <x:t xml:space="preserve">Not applicable</x:t>
        </x:is>
      </x:c>
      <x:c r="AI837" s="4" t="inlineStr">
        <x:is>
          <x:t xml:space="preserve">Material</x:t>
        </x:is>
      </x:c>
      <x:c r="AJ837" s="4">
        <x:f>COUNTIFS('Material routes'!$D$6:$D$2205,A837,'Material routes'!$C$6:$C$2205,"Output")</x:f>
        <x:v>0</x:v>
      </x:c>
      <x:c r="AK837" s="4">
        <x:f>SUM(COUNTIFS('Material routes'!$D$6:$D$2205,A837,'Material routes'!$C$6:$C$2205,"Ingredient candidate"),COUNTIFS('Material routes'!$D$6:$D$2205,A837,'Material routes'!$C$6:$C$2205,"Consumed input"),COUNTIFS('Material routes'!$D$6:$D$2205,A837,'Material routes'!$C$6:$C$2205,"Contained input"),COUNTIFS('Material routes'!$D$6:$D$2205,A837,'Material routes'!$C$6:$C$2205,"Transform input"))</x:f>
        <x:v>0</x:v>
      </x:c>
      <x:c r="AL837" s="4">
        <x:f>COUNTIFS('Material routes'!$D$6:$D$2205,A837,'Material routes'!$C$6:$C$2205,"Tool candidate")</x:f>
        <x:v>0</x:v>
      </x:c>
      <x:c r="AM837" s="4" t="str">
        <x:f>IF(AJ837&gt;0,"Route listed; review status/completeness",IF(C837="T0","Raw entry feed; no production route","No production route listed"))</x:f>
        <x:v>Raw entry feed; no production route</x:v>
      </x:c>
      <x:c r="AN837" s="14">
        <x:f>IF(C837="T0",0,IF(C837="T1",1,IF(C837="T2",2,IF(C837="T3",3,IF(C837="T4",4,IF(C837="Unassigned",98,99))))))</x:f>
        <x:v>0</x:v>
      </x:c>
    </x:row>
    <x:row r="838">
      <x:c r="C838" s="4" t="inlineStr">
        <x:is>
          <x:t xml:space="preserve">T0</x:t>
        </x:is>
      </x:c>
      <x:c r="D838" s="9" t="inlineStr">
        <x:is>
          <x:t xml:space="preserve">Biological resources</x:t>
        </x:is>
      </x:c>
      <x:c r="E838" s="9" t="inlineStr">
        <x:is>
          <x:t xml:space="preserve">Faunal hard-part feedstock</x:t>
        </x:is>
      </x:c>
      <x:c r="F838" s="9" t="inlineStr">
        <x:is>
          <x:t xml:space="preserve">New proposal</x:t>
        </x:is>
      </x:c>
      <x:c r="G838" s="9" t="inlineStr">
        <x:is>
          <x:t xml:space="preserve">Candidate mineral-rich abrasive feed for surface finishing and workshop polishing trials. It is intended to prepare or change a workpiece’s surface before a later fitting, coating or use; the treatment must suit that material.</x:t>
        </x:is>
      </x:c>
      <x:c r="H838" s="9" t="inlineStr">
        <x:is>
          <x:t xml:space="preserve">None</x:t>
        </x:is>
      </x:c>
      <x:c r="I838" s="9" t="inlineStr">
        <x:is>
          <x:t xml:space="preserve">Gathered raw cargo: Legger or local storage; packing and containment unresolved</x:t>
        </x:is>
      </x:c>
      <x:c r="J838" s="13"/>
      <x:c r="K838" s="0"/>
      <x:c r="L838" s="0" t="inlineStr">
        <x:is>
          <x:t xml:space="preserve">Recover loose hard granules from a proposed internal grinding chamber in selected fauna; species, anatomy and yield unresolved.</x:t>
        </x:is>
      </x:c>
      <x:c r="M838" s="9" t="inlineStr">
        <x:is>
          <x:t xml:space="preserve">Segregate contaminated material and assess dry grading and containment before abrasive trials. No decontamination process or recipe assigned.</x:t>
        </x:is>
      </x:c>
      <x:c r="N838" s="9" t="inlineStr">
        <x:is>
          <x:t xml:space="preserve">Not implemented</x:t>
        </x:is>
      </x:c>
      <x:c r="O838" s="9" t="inlineStr">
        <x:is>
          <x:t xml:space="preserve">Internal faunal residues may be toxic. Hardness, contamination and safe processing remain unknown; not food or a finished abrasive disc.</x:t>
        </x:is>
      </x:c>
      <x:c r="P838" s="17"/>
      <x:c r="Q838" s="0"/>
      <x:c r="R838" s="0"/>
      <x:c r="S838" s="0"/>
      <x:c r="T838" s="0"/>
      <x:c r="U838" s="0" t="inlineStr">
        <x:is>
          <x:t xml:space="preserve">Source species, proposed anatomy, collection, processing, grade, yield, mass and value remain open.</x:t>
        </x:is>
      </x:c>
      <x:c r="V838" s="11" t="inlineStr">
        <x:is>
          <x:t xml:space="preserve">grinding granules; gut grit; biological abrasive feed</x:t>
        </x:is>
      </x:c>
      <x:c r="W838" s="0" t="inlineStr">
        <x:is>
          <x:t xml:space="preserve">Author-requested local brainstorm, October 15, 2026. See BIOLOGICAL_RESOURCE_PROPOSALS_2026-10-15.json and Docs/WORLD_BASIS.md. Not a retrieved source-lore claim.</x:t>
        </x:is>
      </x:c>
      <x:c r="X838" s="4" t="inlineStr">
        <x:is>
          <x:t xml:space="preserve">Raw material</x:t>
        </x:is>
      </x:c>
      <x:c r="Y838" s="4" t="inlineStr">
        <x:is>
          <x:t xml:space="preserve">Raw</x:t>
        </x:is>
      </x:c>
      <x:c r="Z838" s="4" t="inlineStr">
        <x:is>
          <x:t xml:space="preserve">Fauna</x:t>
        </x:is>
      </x:c>
      <x:c r="AA838" s="4" t="inlineStr">
        <x:is>
          <x:t xml:space="preserve">Surface finishing</x:t>
        </x:is>
      </x:c>
      <x:c r="AB838" s="4" t="inlineStr">
        <x:is>
          <x:t xml:space="preserve">Biological and mineral mixture</x:t>
        </x:is>
      </x:c>
      <x:c r="AC838" s="4" t="inlineStr">
        <x:is>
          <x:t xml:space="preserve">Particles</x:t>
        </x:is>
      </x:c>
      <x:c r="AD838" s="4" t="inlineStr">
        <x:is>
          <x:t xml:space="preserve">Proposal</x:t>
        </x:is>
      </x:c>
      <x:c r="AE838" s="4" t="str">
        <x:f>LOWER(A838&amp;"; "&amp;B838&amp;"; "&amp;D838&amp;"; "&amp;E838&amp;"; "&amp;X838&amp;"; "&amp;Y838&amp;"; "&amp;Z838&amp;"; "&amp;AA838&amp;"; "&amp;AB838&amp;"; "&amp;AC838&amp;"; "&amp;AD838&amp;"; "&amp;V838&amp;"; "&amp;C838&amp;"; "&amp;AH838&amp;"; "&amp;AI838)</x:f>
        <x:v>proposal.bio.grinding_grit; faunal grinding grit; biological resources; faunal hard-part feedstock; raw material; raw; fauna; surface finishing; biological and mineral mixture; particles; proposal; grinding granules; gut grit; biological abrasive feed; t0; not applicable; material</x:v>
      </x:c>
      <x:c r="AF838" s="4" t="inlineStr">
        <x:is>
          <x:t xml:space="preserve">Solid mechanically recovered grit, separate from digestive etchant, droppings and geological sand. Specific anatomy and material performance remain proposals.</x:t>
        </x:is>
      </x:c>
      <x:c r="AZ838"/>
      <x:c r="BA838"/>
      <x:c r="BB838"/>
      <x:c r="BC838"/>
      <x:c r="BD838"/>
      <x:c r="BE838"/>
      <x:c r="BF838"/>
      <x:c r="BG838"/>
      <x:c r="BH838"/>
      <x:c r="BI838"/>
      <x:c r="BJ838"/>
      <x:c r="BK838"/>
      <x:c r="BL838"/>
      <x:c r="BM838"/>
      <x:c r="BN838"/>
      <x:c r="BO838"/>
      <x:c r="BP838"/>
      <x:c r="BQ838"/>
      <x:c r="BR838"/>
      <x:c r="BS838"/>
      <x:c r="BT838"/>
      <x:c r="BU838"/>
      <x:c r="BV838"/>
      <x:c r="BW838"/>
      <x:c r="BX838"/>
      <x:c r="BY838"/>
      <x:c r="BZ838"/>
      <x:c r="CA838"/>
      <x:c r="CB838"/>
      <x:c r="CC838"/>
      <x:c r="A838" s="0" t="inlineStr">
        <x:is>
          <x:t xml:space="preserve">proposal.bio.grinding_grit</x:t>
        </x:is>
      </x:c>
      <x:c r="B838" s="9" t="inlineStr">
        <x:is>
          <x:t xml:space="preserve">Faunal grinding grit</x:t>
        </x:is>
      </x:c>
      <x:c r="AG838" s="4" t="inlineStr">
        <x:is>
          <x:t xml:space="preserve">T0 raw harvested or gathered input. Classification does not establish processing performance or a recipe.</x:t>
        </x:is>
      </x:c>
      <x:c r="AH838" s="4" t="inlineStr">
        <x:is>
          <x:t xml:space="preserve">Not applicable</x:t>
        </x:is>
      </x:c>
      <x:c r="AI838" s="4" t="inlineStr">
        <x:is>
          <x:t xml:space="preserve">Material</x:t>
        </x:is>
      </x:c>
      <x:c r="AJ838" s="4">
        <x:f>COUNTIFS('Material routes'!$D$6:$D$2205,A838,'Material routes'!$C$6:$C$2205,"Output")</x:f>
        <x:v>0</x:v>
      </x:c>
      <x:c r="AK838" s="4">
        <x:f>SUM(COUNTIFS('Material routes'!$D$6:$D$2205,A838,'Material routes'!$C$6:$C$2205,"Ingredient candidate"),COUNTIFS('Material routes'!$D$6:$D$2205,A838,'Material routes'!$C$6:$C$2205,"Consumed input"),COUNTIFS('Material routes'!$D$6:$D$2205,A838,'Material routes'!$C$6:$C$2205,"Contained input"),COUNTIFS('Material routes'!$D$6:$D$2205,A838,'Material routes'!$C$6:$C$2205,"Transform input"))</x:f>
        <x:v>0</x:v>
      </x:c>
      <x:c r="AL838" s="4">
        <x:f>COUNTIFS('Material routes'!$D$6:$D$2205,A838,'Material routes'!$C$6:$C$2205,"Tool candidate")</x:f>
        <x:v>0</x:v>
      </x:c>
      <x:c r="AM838" s="4" t="str">
        <x:f>IF(AJ838&gt;0,"Route listed; review status/completeness",IF(C838="T0","Raw entry feed; no production route","No production route listed"))</x:f>
        <x:v>Raw entry feed; no production route</x:v>
      </x:c>
      <x:c r="AN838" s="14">
        <x:f>IF(C838="T0",0,IF(C838="T1",1,IF(C838="T2",2,IF(C838="T3",3,IF(C838="T4",4,IF(C838="Unassigned",98,99))))))</x:f>
        <x:v>0</x:v>
      </x:c>
    </x:row>
    <x:row r="839">
      <x:c r="C839" s="4" t="inlineStr">
        <x:is>
          <x:t xml:space="preserve">T0</x:t>
        </x:is>
      </x:c>
      <x:c r="D839" s="9" t="inlineStr">
        <x:is>
          <x:t xml:space="preserve">Biological resources</x:t>
        </x:is>
      </x:c>
      <x:c r="E839" s="9" t="inlineStr">
        <x:is>
          <x:t xml:space="preserve">Faunal hard-part feedstock</x:t>
        </x:is>
      </x:c>
      <x:c r="F839" s="9" t="inlineStr">
        <x:is>
          <x:t xml:space="preserve">New proposal</x:t>
        </x:is>
      </x:c>
      <x:c r="G839" s="9" t="inlineStr">
        <x:is>
          <x:t xml:space="preserve">Candidate slender hard-part blanks for small mechanical pivots and hinge-pin fitting trials. It provides candidate material or a shaped starting piece for making other objects, with the final form set by the receiving design.</x:t>
        </x:is>
      </x:c>
      <x:c r="H839" s="9" t="inlineStr">
        <x:is>
          <x:t xml:space="preserve">None</x:t>
        </x:is>
      </x:c>
      <x:c r="I839" s="9" t="inlineStr">
        <x:is>
          <x:t xml:space="preserve">Gathered raw cargo: Legger or local storage; packing and containment unresolved</x:t>
        </x:is>
      </x:c>
      <x:c r="J839" s="13"/>
      <x:c r="K839" s="0"/>
      <x:c r="L839" s="0" t="inlineStr">
        <x:is>
          <x:t xml:space="preserve">Recover straight mineralized rods from a proposed articulating mouthpart in selected fauna; species and extraction method unresolved.</x:t>
        </x:is>
      </x:c>
      <x:c r="M839" s="9" t="inlineStr">
        <x:is>
          <x:t xml:space="preserve">Inspect for cracks and grade by straightness and diameter before fitting trials. No precision machining or component recipe assigned.</x:t>
        </x:is>
      </x:c>
      <x:c r="N839" s="9" t="inlineStr">
        <x:is>
          <x:t xml:space="preserve">Not implemented</x:t>
        </x:is>
      </x:c>
      <x:c r="O839" s="9" t="inlineStr">
        <x:is>
          <x:t xml:space="preserve">Brittleness, tolerances and load capacity remain unverified. Not a finished replacement joint pin or approved load-bearing component.</x:t>
        </x:is>
      </x:c>
      <x:c r="P839" s="17"/>
      <x:c r="Q839" s="0"/>
      <x:c r="R839" s="0"/>
      <x:c r="S839" s="0"/>
      <x:c r="T839" s="0"/>
      <x:c r="U839" s="0" t="inlineStr">
        <x:is>
          <x:t xml:space="preserve">Source species, proposed anatomy, collection, processing, grade, yield, mass and value remain open.</x:t>
        </x:is>
      </x:c>
      <x:c r="V839" s="11" t="inlineStr">
        <x:is>
          <x:t xml:space="preserve">faunal pivot rod; mouthpart hinge rod; mineralized pin blank</x:t>
        </x:is>
      </x:c>
      <x:c r="W839" s="0" t="inlineStr">
        <x:is>
          <x:t xml:space="preserve">Author-requested local brainstorm, October 15, 2026. See BIOLOGICAL_RESOURCE_PROPOSALS_2026-10-15.json and Docs/WORLD_BASIS.md. Not a retrieved source-lore claim.</x:t>
        </x:is>
      </x:c>
      <x:c r="X839" s="4" t="inlineStr">
        <x:is>
          <x:t xml:space="preserve">Raw material</x:t>
        </x:is>
      </x:c>
      <x:c r="Y839" s="4" t="inlineStr">
        <x:is>
          <x:t xml:space="preserve">Raw</x:t>
        </x:is>
      </x:c>
      <x:c r="Z839" s="4" t="inlineStr">
        <x:is>
          <x:t xml:space="preserve">Fauna</x:t>
        </x:is>
      </x:c>
      <x:c r="AA839" s="4" t="inlineStr">
        <x:is>
          <x:t xml:space="preserve">Fabrication</x:t>
        </x:is>
      </x:c>
      <x:c r="AB839" s="4" t="inlineStr">
        <x:is>
          <x:t xml:space="preserve">Faunal hard tissue</x:t>
        </x:is>
      </x:c>
      <x:c r="AC839" s="4" t="inlineStr">
        <x:is>
          <x:t xml:space="preserve">Solid piece</x:t>
        </x:is>
      </x:c>
      <x:c r="AD839" s="4" t="inlineStr">
        <x:is>
          <x:t xml:space="preserve">Proposal</x:t>
        </x:is>
      </x:c>
      <x:c r="AE839" s="4" t="str">
        <x:f>LOWER(A839&amp;"; "&amp;B839&amp;"; "&amp;D839&amp;"; "&amp;E839&amp;"; "&amp;X839&amp;"; "&amp;Y839&amp;"; "&amp;Z839&amp;"; "&amp;AA839&amp;"; "&amp;AB839&amp;"; "&amp;AC839&amp;"; "&amp;AD839&amp;"; "&amp;V839&amp;"; "&amp;C839&amp;"; "&amp;AH839&amp;"; "&amp;AI839)</x:f>
        <x:v>proposal.bio.mineralized_hinge_rods; mineralized hinge rods; biological resources; faunal hard-part feedstock; raw material; raw; fauna; fabrication; faunal hard tissue; solid piece; proposal; faunal pivot rod; mouthpart hinge rod; mineralized pin blank; t0; not applicable; material</x:v>
      </x:c>
      <x:c r="AF839" s="4" t="inlineStr">
        <x:is>
          <x:t xml:space="preserve">Straight pivot blanks, separate from joint-socket cups, claw tips, horn cores and manufactured joint pins. Specific anatomy and material performance remain proposals.</x:t>
        </x:is>
      </x:c>
      <x:c r="AZ839"/>
      <x:c r="BA839"/>
      <x:c r="BB839"/>
      <x:c r="BC839"/>
      <x:c r="BD839"/>
      <x:c r="BE839"/>
      <x:c r="BF839"/>
      <x:c r="BG839"/>
      <x:c r="BH839"/>
      <x:c r="BI839"/>
      <x:c r="BJ839"/>
      <x:c r="BK839"/>
      <x:c r="BL839"/>
      <x:c r="BM839"/>
      <x:c r="BN839"/>
      <x:c r="BO839"/>
      <x:c r="BP839"/>
      <x:c r="BQ839"/>
      <x:c r="BR839"/>
      <x:c r="BS839"/>
      <x:c r="BT839"/>
      <x:c r="BU839"/>
      <x:c r="BV839"/>
      <x:c r="BW839"/>
      <x:c r="BX839"/>
      <x:c r="BY839"/>
      <x:c r="BZ839"/>
      <x:c r="CA839"/>
      <x:c r="CB839"/>
      <x:c r="CC839"/>
      <x:c r="A839" s="0" t="inlineStr">
        <x:is>
          <x:t xml:space="preserve">proposal.bio.mineralized_hinge_rods</x:t>
        </x:is>
      </x:c>
      <x:c r="B839" s="9" t="inlineStr">
        <x:is>
          <x:t xml:space="preserve">Mineralized hinge rods</x:t>
        </x:is>
      </x:c>
      <x:c r="AG839" s="4" t="inlineStr">
        <x:is>
          <x:t xml:space="preserve">T0 raw harvested or gathered input. Classification does not establish processing performance or a recipe.</x:t>
        </x:is>
      </x:c>
      <x:c r="AH839" s="4" t="inlineStr">
        <x:is>
          <x:t xml:space="preserve">Not applicable</x:t>
        </x:is>
      </x:c>
      <x:c r="AI839" s="4" t="inlineStr">
        <x:is>
          <x:t xml:space="preserve">Material</x:t>
        </x:is>
      </x:c>
      <x:c r="AJ839" s="4">
        <x:f>COUNTIFS('Material routes'!$D$6:$D$2205,A839,'Material routes'!$C$6:$C$2205,"Output")</x:f>
        <x:v>0</x:v>
      </x:c>
      <x:c r="AK839" s="4">
        <x:f>SUM(COUNTIFS('Material routes'!$D$6:$D$2205,A839,'Material routes'!$C$6:$C$2205,"Ingredient candidate"),COUNTIFS('Material routes'!$D$6:$D$2205,A839,'Material routes'!$C$6:$C$2205,"Consumed input"),COUNTIFS('Material routes'!$D$6:$D$2205,A839,'Material routes'!$C$6:$C$2205,"Contained input"),COUNTIFS('Material routes'!$D$6:$D$2205,A839,'Material routes'!$C$6:$C$2205,"Transform input"))</x:f>
        <x:v>0</x:v>
      </x:c>
      <x:c r="AL839" s="4">
        <x:f>COUNTIFS('Material routes'!$D$6:$D$2205,A839,'Material routes'!$C$6:$C$2205,"Tool candidate")</x:f>
        <x:v>0</x:v>
      </x:c>
      <x:c r="AM839" s="4" t="str">
        <x:f>IF(AJ839&gt;0,"Route listed; review status/completeness",IF(C839="T0","Raw entry feed; no production route","No production route listed"))</x:f>
        <x:v>Raw entry feed; no production route</x:v>
      </x:c>
      <x:c r="AN839" s="14">
        <x:f>IF(C839="T0",0,IF(C839="T1",1,IF(C839="T2",2,IF(C839="T3",3,IF(C839="T4",4,IF(C839="Unassigned",98,99))))))</x:f>
        <x:v>0</x:v>
      </x:c>
    </x:row>
    <x:row r="840">
      <x:c r="A840" s="4" t="inlineStr">
        <x:is>
          <x:t xml:space="preserve">proposal.camp.divided_warming_pot</x:t>
        </x:is>
      </x:c>
      <x:c r="B840" s="4" t="inlineStr">
        <x:is>
          <x:t xml:space="preserve">Divided meal-warming pot</x:t>
        </x:is>
      </x:c>
      <x:c r="C840" s="4" t="inlineStr">
        <x:is>
          <x:t xml:space="preserve">T2</x:t>
        </x:is>
      </x:c>
      <x:c r="D840" s="4" t="inlineStr">
        <x:is>
          <x:t xml:space="preserve">Salvage</x:t>
        </x:is>
      </x:c>
      <x:c r="E840" s="4" t="inlineStr">
        <x:is>
          <x:t xml:space="preserve">Cooking &amp; ignition</x:t>
        </x:is>
      </x:c>
      <x:c r="F840" s="4" t="inlineStr">
        <x:is>
          <x:t xml:space="preserve">New proposal</x:t>
        </x:is>
      </x:c>
      <x:c r="G840" s="4" t="inlineStr">
        <x:is>
          <x:t xml:space="preserve">Two removable ceramic meal cups sit in a shared metal cradle, keeping separate Phagia preparations apart while warming above a compatible managed heat source. Distinct from the catalog's single-chamber cooking pot; no water bath or ordinary fire assumed.</x:t>
        </x:is>
      </x:c>
      <x:c r="H840" s="4" t="inlineStr">
        <x:is>
          <x:t xml:space="preserve">None</x:t>
        </x:is>
      </x:c>
      <x:c r="I840" s="4" t="inlineStr">
        <x:is>
          <x:t xml:space="preserve">Physical inventory / cargo item; dimensions and packing unresolved</x:t>
        </x:is>
      </x:c>
      <x:c r="J840" s="4"/>
      <x:c r="K840"/>
      <x:c r="L840" t="inlineStr">
        <x:is>
          <x:t xml:space="preserve">Proposed contemporary fabrication or trade; availability and manufacturing details remain open.</x:t>
        </x:is>
      </x:c>
      <x:c r="M840" s="4" t="inlineStr">
        <x:is>
          <x:t xml:space="preserve">Candidate finished object using qualified T1 stock; no quantities, recipe, production time or yield authored.</x:t>
        </x:is>
      </x:c>
      <x:c r="N840" s="4" t="inlineStr">
        <x:is>
          <x:t xml:space="preserve">Not implemented</x:t>
        </x:is>
      </x:c>
      <x:c r="O840" s="4" t="inlineStr">
        <x:is>
          <x:t xml:space="preserve">Dimensions, material grade, safe operating limits and compatibility remain design work. Food-heating concepts require a setting-compatible managed heat source; no free-water cooking, wooden parts or cloth assumed.</x:t>
        </x:is>
      </x:c>
      <x:c r="P840" s="4"/>
      <x:c r="Q840" s="4"/>
      <x:c r="R840"/>
      <x:c r="S840"/>
      <x:c r="T840"/>
      <x:c r="U840" t="inlineStr">
        <x:is>
          <x:t xml:space="preserve">Artwork direction: An oval metal cradle holding two round ceramic inserts, one lid tipped aside. Fit, safe use and manufacturing details remain proposals.</x:t>
        </x:is>
      </x:c>
      <x:c r="V840" s="4" t="inlineStr">
        <x:is>
          <x:t xml:space="preserve">divided meal-warming pot; camp life; everyday object; Camp household; camp goods; Cooking &amp; ignition</x:t>
        </x:is>
      </x:c>
      <x:c r="W840" s="4" t="inlineStr">
        <x:is>
          <x:t xml:space="preserve">Author requested seven more everyday camp-life objects, October 15, 2026. Specific designs remain brainstorming proposals. Setting constraints: Docs/WORLD_BASIS.md#material-culture.</x:t>
        </x:is>
      </x:c>
      <x:c r="X840" s="4" t="inlineStr">
        <x:is>
          <x:t xml:space="preserve">Household utensil</x:t>
        </x:is>
      </x:c>
      <x:c r="Y840" s="4" t="inlineStr">
        <x:is>
          <x:t xml:space="preserve">Finished item</x:t>
        </x:is>
      </x:c>
      <x:c r="Z840" s="4" t="inlineStr">
        <x:is>
          <x:t xml:space="preserve">Manufactured / unresolved</x:t>
        </x:is>
      </x:c>
      <x:c r="AA840" s="4" t="inlineStr">
        <x:is>
          <x:t xml:space="preserve">Cooking</x:t>
        </x:is>
      </x:c>
      <x:c r="AB840" s="4" t="inlineStr">
        <x:is>
          <x:t xml:space="preserve">Ceramic and metal</x:t>
        </x:is>
      </x:c>
      <x:c r="AC840" s="4" t="inlineStr">
        <x:is>
          <x:t xml:space="preserve">Assembly</x:t>
        </x:is>
      </x:c>
      <x:c r="AD840" s="4" t="inlineStr">
        <x:is>
          <x:t xml:space="preserve">Proposal</x:t>
        </x:is>
      </x:c>
      <x:c r="AE840" s="4" t="str">
        <x:f>LOWER(A840&amp;"; "&amp;B840&amp;"; "&amp;D840&amp;"; "&amp;E840&amp;"; "&amp;X840&amp;"; "&amp;Y840&amp;"; "&amp;Z840&amp;"; "&amp;AA840&amp;"; "&amp;AB840&amp;"; "&amp;AC840&amp;"; "&amp;AD840&amp;"; "&amp;V840&amp;"; "&amp;C840&amp;"; "&amp;AH840&amp;"; "&amp;AI840)</x:f>
        <x:v>proposal.camp.divided_warming_pot; divided meal-warming pot; salvage; cooking &amp; ignition; household utensil; finished item; manufactured / unresolved; cooking; ceramic and metal; assembly; proposal; divided meal-warming pot; camp life; everyday object; camp household; camp goods; cooking &amp; ignition; t2; t1; finished item</x:v>
      </x:c>
      <x:c r="AF840" s="4" t="inlineStr">
        <x:is>
          <x:t xml:space="preserve">Author-requested everyday camp-life expansion; organization and intended use are proposals, not implemented actions. Author camp organization: Camp items / Cooking &amp; ignition; previous category/subtype: Everyday objects / Camp household. Author direction October 16: all Camp items are Salvage; retire the Camp items section. Item identity, condition, tiers, purposes and recipe semantics remain unchanged.</x:t>
        </x:is>
      </x:c>
      <x:c r="AG840" s="4" t="inlineStr">
        <x:is>
          <x:t xml:space="preserve">Proposed T2 finished object using qualified T1 stock. A planning tier does not establish an executable recipe, material quantities, performance or availability.</x:t>
        </x:is>
      </x:c>
      <x:c r="AH840" s="4" t="inlineStr">
        <x:is>
          <x:t xml:space="preserve">T1</x:t>
        </x:is>
      </x:c>
      <x:c r="AI840" s="4" t="inlineStr">
        <x:is>
          <x:t xml:space="preserve">Finished item</x:t>
        </x:is>
      </x:c>
      <x:c r="AJ840" s="4">
        <x:f>COUNTIFS('Material routes'!$D$6:$D$2205,A840,'Material routes'!$C$6:$C$2205,"Output")</x:f>
        <x:v>0</x:v>
      </x:c>
      <x:c r="AK840" s="4">
        <x:f>SUM(COUNTIFS('Material routes'!$D$6:$D$2205,A840,'Material routes'!$C$6:$C$2205,"Ingredient candidate"),COUNTIFS('Material routes'!$D$6:$D$2205,A840,'Material routes'!$C$6:$C$2205,"Consumed input"),COUNTIFS('Material routes'!$D$6:$D$2205,A840,'Material routes'!$C$6:$C$2205,"Contained input"),COUNTIFS('Material routes'!$D$6:$D$2205,A840,'Material routes'!$C$6:$C$2205,"Transform input"))</x:f>
        <x:v>0</x:v>
      </x:c>
      <x:c r="AL840" s="4">
        <x:f>COUNTIFS('Material routes'!$D$6:$D$2205,A840,'Material routes'!$C$6:$C$2205,"Tool candidate")</x:f>
        <x:v>0</x:v>
      </x:c>
      <x:c r="AM840" s="4" t="str">
        <x:f>IF(AJ840&gt;0,"Route listed; review status/completeness",IF(C840="T0","Raw entry feed; no production route","No production route listed"))</x:f>
        <x:v>No production route listed</x:v>
      </x:c>
      <x:c r="AN840" s="4">
        <x:f>IF(C840="T0",0,IF(C840="T1",1,IF(C840="T2",2,IF(C840="T3",3,IF(C840="T4",4,IF(C840="Unassigned",98,99))))))</x:f>
        <x:v>2</x:v>
      </x:c>
    </x:row>
    <x:row r="841">
      <x:c r="A841" s="4" t="inlineStr">
        <x:is>
          <x:t xml:space="preserve">proposal.camp.pot_lid_rest</x:t>
        </x:is>
      </x:c>
      <x:c r="B841" s="4" t="inlineStr">
        <x:is>
          <x:t xml:space="preserve">Folding pot-lid rest</x:t>
        </x:is>
      </x:c>
      <x:c r="C841" s="4" t="inlineStr">
        <x:is>
          <x:t xml:space="preserve">T2</x:t>
        </x:is>
      </x:c>
      <x:c r="D841" s="4" t="inlineStr">
        <x:is>
          <x:t xml:space="preserve">Salvage</x:t>
        </x:is>
      </x:c>
      <x:c r="E841" s="4" t="inlineStr">
        <x:is>
          <x:t xml:space="preserve">Cooking &amp; ignition</x:t>
        </x:is>
      </x:c>
      <x:c r="F841" s="4" t="inlineStr">
        <x:is>
          <x:t xml:space="preserve">New proposal</x:t>
        </x:is>
      </x:c>
      <x:c r="G841" s="4" t="inlineStr">
        <x:is>
          <x:t xml:space="preserve">A low folding metal stand holds a removed cooking lid upright, keeping its inner surface away from ground grit. Fit and hot-contact stability need design.</x:t>
        </x:is>
      </x:c>
      <x:c r="H841" s="4" t="inlineStr">
        <x:is>
          <x:t xml:space="preserve">None</x:t>
        </x:is>
      </x:c>
      <x:c r="I841" s="4" t="inlineStr">
        <x:is>
          <x:t xml:space="preserve">Physical inventory / cargo item; dimensions and packing unresolved</x:t>
        </x:is>
      </x:c>
      <x:c r="J841" s="4"/>
      <x:c r="K841"/>
      <x:c r="L841" t="inlineStr">
        <x:is>
          <x:t xml:space="preserve">Proposed contemporary fabrication or trade; availability and manufacturing details remain open.</x:t>
        </x:is>
      </x:c>
      <x:c r="M841" s="4" t="inlineStr">
        <x:is>
          <x:t xml:space="preserve">Candidate finished object using qualified T1 stock; no quantities, recipe, production time or yield authored.</x:t>
        </x:is>
      </x:c>
      <x:c r="N841" s="4" t="inlineStr">
        <x:is>
          <x:t xml:space="preserve">Not implemented</x:t>
        </x:is>
      </x:c>
      <x:c r="O841" s="4" t="inlineStr">
        <x:is>
          <x:t xml:space="preserve">Dimensions, material grade, safe operating limits and compatibility remain design work. Food-heating concepts require a setting-compatible managed heat source; no free-water cooking, wooden parts or cloth assumed.</x:t>
        </x:is>
      </x:c>
      <x:c r="P841" s="4"/>
      <x:c r="Q841" s="4"/>
      <x:c r="R841"/>
      <x:c r="S841"/>
      <x:c r="T841"/>
      <x:c r="U841" t="inlineStr">
        <x:is>
          <x:t xml:space="preserve">Artwork direction: A small crossed metal stand with two raised hooks supporting a round lid edge. Fit, safe use and manufacturing details remain proposals.</x:t>
        </x:is>
      </x:c>
      <x:c r="V841" s="4" t="inlineStr">
        <x:is>
          <x:t xml:space="preserve">folding pot-lid rest; camp life; everyday object; Camp household; camp goods; Cooking &amp; ignition</x:t>
        </x:is>
      </x:c>
      <x:c r="W841" s="4" t="inlineStr">
        <x:is>
          <x:t xml:space="preserve">Author requested seven more everyday camp-life objects, October 15, 2026. Specific designs remain brainstorming proposals. Setting constraints: Docs/WORLD_BASIS.md#material-culture.</x:t>
        </x:is>
      </x:c>
      <x:c r="X841" s="4" t="inlineStr">
        <x:is>
          <x:t xml:space="preserve">Household utensil</x:t>
        </x:is>
      </x:c>
      <x:c r="Y841" s="4" t="inlineStr">
        <x:is>
          <x:t xml:space="preserve">Finished item</x:t>
        </x:is>
      </x:c>
      <x:c r="Z841" s="4" t="inlineStr">
        <x:is>
          <x:t xml:space="preserve">Manufactured / unresolved</x:t>
        </x:is>
      </x:c>
      <x:c r="AA841" s="4" t="inlineStr">
        <x:is>
          <x:t xml:space="preserve">Food preparation</x:t>
        </x:is>
      </x:c>
      <x:c r="AB841" s="4" t="inlineStr">
        <x:is>
          <x:t xml:space="preserve">Metal</x:t>
        </x:is>
      </x:c>
      <x:c r="AC841" s="4" t="inlineStr">
        <x:is>
          <x:t xml:space="preserve">Assembly</x:t>
        </x:is>
      </x:c>
      <x:c r="AD841" s="4" t="inlineStr">
        <x:is>
          <x:t xml:space="preserve">Proposal</x:t>
        </x:is>
      </x:c>
      <x:c r="AE841" s="4" t="str">
        <x:f>LOWER(A841&amp;"; "&amp;B841&amp;"; "&amp;D841&amp;"; "&amp;E841&amp;"; "&amp;X841&amp;"; "&amp;Y841&amp;"; "&amp;Z841&amp;"; "&amp;AA841&amp;"; "&amp;AB841&amp;"; "&amp;AC841&amp;"; "&amp;AD841&amp;"; "&amp;V841&amp;"; "&amp;C841&amp;"; "&amp;AH841&amp;"; "&amp;AI841)</x:f>
        <x:v>proposal.camp.pot_lid_rest; folding pot-lid rest; salvage; cooking &amp; ignition; household utensil; finished item; manufactured / unresolved; food preparation; metal; assembly; proposal; folding pot-lid rest; camp life; everyday object; camp household; camp goods; cooking &amp; ignition; t2; t1; finished item</x:v>
      </x:c>
      <x:c r="AF841" s="4" t="inlineStr">
        <x:is>
          <x:t xml:space="preserve">Author-requested everyday camp-life expansion; organization and intended use are proposals, not implemented actions. Author camp organization: Camp items / Cooking &amp; ignition; previous category/subtype: Everyday objects / Camp household. Author direction October 16: all Camp items are Salvage; retire the Camp items section. Item identity, condition, tiers, purposes and recipe semantics remain unchanged.</x:t>
        </x:is>
      </x:c>
      <x:c r="AG841" s="4" t="inlineStr">
        <x:is>
          <x:t xml:space="preserve">Proposed T2 finished object using qualified T1 stock. A planning tier does not establish an executable recipe, material quantities, performance or availability.</x:t>
        </x:is>
      </x:c>
      <x:c r="AH841" s="4" t="inlineStr">
        <x:is>
          <x:t xml:space="preserve">T1</x:t>
        </x:is>
      </x:c>
      <x:c r="AI841" s="4" t="inlineStr">
        <x:is>
          <x:t xml:space="preserve">Finished item</x:t>
        </x:is>
      </x:c>
      <x:c r="AJ841" s="4">
        <x:f>COUNTIFS('Material routes'!$D$6:$D$2205,A841,'Material routes'!$C$6:$C$2205,"Output")</x:f>
        <x:v>0</x:v>
      </x:c>
      <x:c r="AK841" s="4">
        <x:f>SUM(COUNTIFS('Material routes'!$D$6:$D$2205,A841,'Material routes'!$C$6:$C$2205,"Ingredient candidate"),COUNTIFS('Material routes'!$D$6:$D$2205,A841,'Material routes'!$C$6:$C$2205,"Consumed input"),COUNTIFS('Material routes'!$D$6:$D$2205,A841,'Material routes'!$C$6:$C$2205,"Contained input"),COUNTIFS('Material routes'!$D$6:$D$2205,A841,'Material routes'!$C$6:$C$2205,"Transform input"))</x:f>
        <x:v>0</x:v>
      </x:c>
      <x:c r="AL841" s="4">
        <x:f>COUNTIFS('Material routes'!$D$6:$D$2205,A841,'Material routes'!$C$6:$C$2205,"Tool candidate")</x:f>
        <x:v>0</x:v>
      </x:c>
      <x:c r="AM841" s="4" t="str">
        <x:f>IF(AJ841&gt;0,"Route listed; review status/completeness",IF(C841="T0","Raw entry feed; no production route","No production route listed"))</x:f>
        <x:v>No production route listed</x:v>
      </x:c>
      <x:c r="AN841" s="4">
        <x:f>IF(C841="T0",0,IF(C841="T1",1,IF(C841="T2",2,IF(C841="T3",3,IF(C841="T4",4,IF(C841="Unassigned",98,99))))))</x:f>
        <x:v>2</x:v>
      </x:c>
    </x:row>
    <x:row r="842">
      <x:c r="A842" s="4" t="inlineStr">
        <x:is>
          <x:t xml:space="preserve">proposal.camp.cam_tie_down_buckle</x:t>
        </x:is>
      </x:c>
      <x:c r="B842" s="4" t="inlineStr">
        <x:is>
          <x:t xml:space="preserve">Cam-lever tie-down buckle</x:t>
        </x:is>
      </x:c>
      <x:c r="C842" s="4" t="inlineStr">
        <x:is>
          <x:t xml:space="preserve">T2</x:t>
        </x:is>
      </x:c>
      <x:c r="D842" s="4" t="inlineStr">
        <x:is>
          <x:t xml:space="preserve">Salvage</x:t>
        </x:is>
      </x:c>
      <x:c r="E842" s="4" t="inlineStr">
        <x:is>
          <x:t xml:space="preserve">Shelter &amp; rest</x:t>
        </x:is>
      </x:c>
      <x:c r="F842" s="4" t="inlineStr">
        <x:is>
          <x:t xml:space="preserve">New proposal</x:t>
        </x:is>
      </x:c>
      <x:c r="G842" s="4" t="inlineStr">
        <x:is>
          <x:t xml:space="preserve">A broad metal cam lever grips a compatible existing camp binding to secure bundled gear or a shelter edge. It supplies a fastener, not extra line; holding force and binding compatibility remain undefined.</x:t>
        </x:is>
      </x:c>
      <x:c r="H842" s="4" t="inlineStr">
        <x:is>
          <x:t xml:space="preserve">None</x:t>
        </x:is>
      </x:c>
      <x:c r="I842" s="4" t="inlineStr">
        <x:is>
          <x:t xml:space="preserve">Physical inventory / cargo item; dimensions and packing unresolved</x:t>
        </x:is>
      </x:c>
      <x:c r="J842" s="4"/>
      <x:c r="K842"/>
      <x:c r="L842" t="inlineStr">
        <x:is>
          <x:t xml:space="preserve">Proposed contemporary fabrication or trade; availability and manufacturing details remain open.</x:t>
        </x:is>
      </x:c>
      <x:c r="M842" s="4" t="inlineStr">
        <x:is>
          <x:t xml:space="preserve">Candidate finished object using qualified T1 stock; no quantities, recipe, production time or yield authored.</x:t>
        </x:is>
      </x:c>
      <x:c r="N842" s="4" t="inlineStr">
        <x:is>
          <x:t xml:space="preserve">Not implemented</x:t>
        </x:is>
      </x:c>
      <x:c r="O842" s="4" t="inlineStr">
        <x:is>
          <x:t xml:space="preserve">Dimensions, material grade, safe operating limits and compatibility remain design work. Food-heating concepts require a setting-compatible managed heat source; no free-water cooking, wooden parts or cloth assumed.</x:t>
        </x:is>
      </x:c>
      <x:c r="P842" s="4"/>
      <x:c r="Q842" s="4"/>
      <x:c r="R842"/>
      <x:c r="S842"/>
      <x:c r="T842"/>
      <x:c r="U842" t="inlineStr">
        <x:is>
          <x:t xml:space="preserve">Artwork direction: A flattened oval buckle with a lifted ribbed lever and two open binding slots. Fit, safe use and manufacturing details remain proposals.</x:t>
        </x:is>
      </x:c>
      <x:c r="V842" s="4" t="inlineStr">
        <x:is>
          <x:t xml:space="preserve">cam-lever tie-down buckle; camp life; everyday object; Camp household; camp goods; Shelter &amp; rest</x:t>
        </x:is>
      </x:c>
      <x:c r="W842" s="4" t="inlineStr">
        <x:is>
          <x:t xml:space="preserve">Author requested seven more everyday camp-life objects, October 15, 2026. Specific designs remain brainstorming proposals. Setting constraints: Docs/WORLD_BASIS.md#material-culture.</x:t>
        </x:is>
      </x:c>
      <x:c r="X842" s="4" t="inlineStr">
        <x:is>
          <x:t xml:space="preserve">Shelter item</x:t>
        </x:is>
      </x:c>
      <x:c r="Y842" s="4" t="inlineStr">
        <x:is>
          <x:t xml:space="preserve">Finished item</x:t>
        </x:is>
      </x:c>
      <x:c r="Z842" s="4" t="inlineStr">
        <x:is>
          <x:t xml:space="preserve">Manufactured / unresolved</x:t>
        </x:is>
      </x:c>
      <x:c r="AA842" s="4" t="inlineStr">
        <x:is>
          <x:t xml:space="preserve">Binding and construction</x:t>
        </x:is>
      </x:c>
      <x:c r="AB842" s="4" t="inlineStr">
        <x:is>
          <x:t xml:space="preserve">Metal</x:t>
        </x:is>
      </x:c>
      <x:c r="AC842" s="4" t="inlineStr">
        <x:is>
          <x:t xml:space="preserve">Assembly</x:t>
        </x:is>
      </x:c>
      <x:c r="AD842" s="4" t="inlineStr">
        <x:is>
          <x:t xml:space="preserve">Proposal</x:t>
        </x:is>
      </x:c>
      <x:c r="AE842" s="4" t="str">
        <x:f>LOWER(A842&amp;"; "&amp;B842&amp;"; "&amp;D842&amp;"; "&amp;E842&amp;"; "&amp;X842&amp;"; "&amp;Y842&amp;"; "&amp;Z842&amp;"; "&amp;AA842&amp;"; "&amp;AB842&amp;"; "&amp;AC842&amp;"; "&amp;AD842&amp;"; "&amp;V842&amp;"; "&amp;C842&amp;"; "&amp;AH842&amp;"; "&amp;AI842)</x:f>
        <x:v>proposal.camp.cam_tie_down_buckle; cam-lever tie-down buckle; salvage; shelter &amp; rest; shelter item; finished item; manufactured / unresolved; binding and construction; metal; assembly; proposal; cam-lever tie-down buckle; camp life; everyday object; camp household; camp goods; shelter &amp; rest; t2; t1; finished item</x:v>
      </x:c>
      <x:c r="AF842" s="4" t="inlineStr">
        <x:is>
          <x:t xml:space="preserve">Author-requested everyday camp-life expansion; organization and intended use are proposals, not implemented actions. Author camp organization: Camp items / Shelter &amp; rest; previous category/subtype: Everyday objects / Camp household. Author direction October 16: all Camp items are Salvage; retire the Camp items section. Item identity, condition, tiers, purposes and recipe semantics remain unchanged.</x:t>
        </x:is>
      </x:c>
      <x:c r="AG842" s="4" t="inlineStr">
        <x:is>
          <x:t xml:space="preserve">Proposed T2 finished object using qualified T1 stock. A planning tier does not establish an executable recipe, material quantities, performance or availability.</x:t>
        </x:is>
      </x:c>
      <x:c r="AH842" s="4" t="inlineStr">
        <x:is>
          <x:t xml:space="preserve">T1</x:t>
        </x:is>
      </x:c>
      <x:c r="AI842" s="4" t="inlineStr">
        <x:is>
          <x:t xml:space="preserve">Finished item</x:t>
        </x:is>
      </x:c>
      <x:c r="AJ842" s="4">
        <x:f>COUNTIFS('Material routes'!$D$6:$D$2205,A842,'Material routes'!$C$6:$C$2205,"Output")</x:f>
        <x:v>0</x:v>
      </x:c>
      <x:c r="AK842" s="4">
        <x:f>SUM(COUNTIFS('Material routes'!$D$6:$D$2205,A842,'Material routes'!$C$6:$C$2205,"Ingredient candidate"),COUNTIFS('Material routes'!$D$6:$D$2205,A842,'Material routes'!$C$6:$C$2205,"Consumed input"),COUNTIFS('Material routes'!$D$6:$D$2205,A842,'Material routes'!$C$6:$C$2205,"Contained input"),COUNTIFS('Material routes'!$D$6:$D$2205,A842,'Material routes'!$C$6:$C$2205,"Transform input"))</x:f>
        <x:v>0</x:v>
      </x:c>
      <x:c r="AL842" s="4">
        <x:f>COUNTIFS('Material routes'!$D$6:$D$2205,A842,'Material routes'!$C$6:$C$2205,"Tool candidate")</x:f>
        <x:v>0</x:v>
      </x:c>
      <x:c r="AM842" s="4" t="str">
        <x:f>IF(AJ842&gt;0,"Route listed; review status/completeness",IF(C842="T0","Raw entry feed; no production route","No production route listed"))</x:f>
        <x:v>No production route listed</x:v>
      </x:c>
      <x:c r="AN842" s="4">
        <x:f>IF(C842="T0",0,IF(C842="T1",1,IF(C842="T2",2,IF(C842="T3",3,IF(C842="T4",4,IF(C842="Unassigned",98,99))))))</x:f>
        <x:v>2</x:v>
      </x:c>
    </x:row>
    <x:row r="843">
      <x:c r="A843" s="4" t="inlineStr">
        <x:is>
          <x:t xml:space="preserve">proposal.camp.guyline_tensioner</x:t>
        </x:is>
      </x:c>
      <x:c r="B843" s="4" t="inlineStr">
        <x:is>
          <x:t xml:space="preserve">Three-hole guyline tensioner</x:t>
        </x:is>
      </x:c>
      <x:c r="C843" s="4" t="inlineStr">
        <x:is>
          <x:t xml:space="preserve">T2</x:t>
        </x:is>
      </x:c>
      <x:c r="D843" s="4" t="inlineStr">
        <x:is>
          <x:t xml:space="preserve">Salvage</x:t>
        </x:is>
      </x:c>
      <x:c r="E843" s="4" t="inlineStr">
        <x:is>
          <x:t xml:space="preserve">Shelter &amp; rest</x:t>
        </x:is>
      </x:c>
      <x:c r="F843" s="4" t="inlineStr">
        <x:is>
          <x:t xml:space="preserve">New proposal</x:t>
        </x:is>
      </x:c>
      <x:c r="G843" s="4" t="inlineStr">
        <x:is>
          <x:t xml:space="preserve">A small perforated metal plate adjusts the working length of a compatible existing shelter line. Complements the existing guyline bundle and ground stakes; it is neither a new line supply nor a ground anchor.</x:t>
        </x:is>
      </x:c>
      <x:c r="H843" s="4" t="inlineStr">
        <x:is>
          <x:t xml:space="preserve">None</x:t>
        </x:is>
      </x:c>
      <x:c r="I843" s="4" t="inlineStr">
        <x:is>
          <x:t xml:space="preserve">Physical inventory / cargo item; dimensions and packing unresolved</x:t>
        </x:is>
      </x:c>
      <x:c r="J843" s="4"/>
      <x:c r="K843"/>
      <x:c r="L843" t="inlineStr">
        <x:is>
          <x:t xml:space="preserve">Proposed contemporary fabrication or trade; availability and manufacturing details remain open.</x:t>
        </x:is>
      </x:c>
      <x:c r="M843" s="4" t="inlineStr">
        <x:is>
          <x:t xml:space="preserve">Candidate finished object using qualified T1 stock; no quantities, recipe, production time or yield authored.</x:t>
        </x:is>
      </x:c>
      <x:c r="N843" s="4" t="inlineStr">
        <x:is>
          <x:t xml:space="preserve">Not implemented</x:t>
        </x:is>
      </x:c>
      <x:c r="O843" s="4" t="inlineStr">
        <x:is>
          <x:t xml:space="preserve">Dimensions, material grade, safe operating limits and compatibility remain design work. Food-heating concepts require a setting-compatible managed heat source; no free-water cooking, wooden parts or cloth assumed.</x:t>
        </x:is>
      </x:c>
      <x:c r="P843" s="4"/>
      <x:c r="Q843" s="4"/>
      <x:c r="R843"/>
      <x:c r="S843"/>
      <x:c r="T843"/>
      <x:c r="U843" t="inlineStr">
        <x:is>
          <x:t xml:space="preserve">Artwork direction: A rounded triangular metal plate with three differently spaced holes and worn edges. Fit, safe use and manufacturing details remain proposals.</x:t>
        </x:is>
      </x:c>
      <x:c r="V843" s="4" t="inlineStr">
        <x:is>
          <x:t xml:space="preserve">three-hole guyline tensioner; camp life; everyday object; Camp household; camp goods; Shelter &amp; rest</x:t>
        </x:is>
      </x:c>
      <x:c r="W843" s="4" t="inlineStr">
        <x:is>
          <x:t xml:space="preserve">Author requested seven more everyday camp-life objects, October 15, 2026. Specific designs remain brainstorming proposals. Setting constraints: Docs/WORLD_BASIS.md#material-culture.</x:t>
        </x:is>
      </x:c>
      <x:c r="X843" s="4" t="inlineStr">
        <x:is>
          <x:t xml:space="preserve">Shelter item</x:t>
        </x:is>
      </x:c>
      <x:c r="Y843" s="4" t="inlineStr">
        <x:is>
          <x:t xml:space="preserve">Finished item</x:t>
        </x:is>
      </x:c>
      <x:c r="Z843" s="4" t="inlineStr">
        <x:is>
          <x:t xml:space="preserve">Manufactured / unresolved</x:t>
        </x:is>
      </x:c>
      <x:c r="AA843" s="4" t="inlineStr">
        <x:is>
          <x:t xml:space="preserve">Binding and construction</x:t>
        </x:is>
      </x:c>
      <x:c r="AB843" s="4" t="inlineStr">
        <x:is>
          <x:t xml:space="preserve">Metal</x:t>
        </x:is>
      </x:c>
      <x:c r="AC843" s="4" t="inlineStr">
        <x:is>
          <x:t xml:space="preserve">Solid part</x:t>
        </x:is>
      </x:c>
      <x:c r="AD843" s="4" t="inlineStr">
        <x:is>
          <x:t xml:space="preserve">Proposal</x:t>
        </x:is>
      </x:c>
      <x:c r="AE843" s="4" t="str">
        <x:f>LOWER(A843&amp;"; "&amp;B843&amp;"; "&amp;D843&amp;"; "&amp;E843&amp;"; "&amp;X843&amp;"; "&amp;Y843&amp;"; "&amp;Z843&amp;"; "&amp;AA843&amp;"; "&amp;AB843&amp;"; "&amp;AC843&amp;"; "&amp;AD843&amp;"; "&amp;V843&amp;"; "&amp;C843&amp;"; "&amp;AH843&amp;"; "&amp;AI843)</x:f>
        <x:v>proposal.camp.guyline_tensioner; three-hole guyline tensioner; salvage; shelter &amp; rest; shelter item; finished item; manufactured / unresolved; binding and construction; metal; solid part; proposal; three-hole guyline tensioner; camp life; everyday object; camp household; camp goods; shelter &amp; rest; t2; t1; finished item</x:v>
      </x:c>
      <x:c r="AF843" s="4" t="inlineStr">
        <x:is>
          <x:t xml:space="preserve">Author-requested everyday camp-life expansion; organization and intended use are proposals, not implemented actions. Author camp organization: Camp items / Shelter &amp; rest; previous category/subtype: Everyday objects / Camp household. Author direction October 16: all Camp items are Salvage; retire the Camp items section. Item identity, condition, tiers, purposes and recipe semantics remain unchanged.</x:t>
        </x:is>
      </x:c>
      <x:c r="AG843" s="4" t="inlineStr">
        <x:is>
          <x:t xml:space="preserve">Proposed T2 finished object using qualified T1 stock. A planning tier does not establish an executable recipe, material quantities, performance or availability.</x:t>
        </x:is>
      </x:c>
      <x:c r="AH843" s="4" t="inlineStr">
        <x:is>
          <x:t xml:space="preserve">T1</x:t>
        </x:is>
      </x:c>
      <x:c r="AI843" s="4" t="inlineStr">
        <x:is>
          <x:t xml:space="preserve">Finished item</x:t>
        </x:is>
      </x:c>
      <x:c r="AJ843" s="4">
        <x:f>COUNTIFS('Material routes'!$D$6:$D$2205,A843,'Material routes'!$C$6:$C$2205,"Output")</x:f>
        <x:v>0</x:v>
      </x:c>
      <x:c r="AK843" s="4">
        <x:f>SUM(COUNTIFS('Material routes'!$D$6:$D$2205,A843,'Material routes'!$C$6:$C$2205,"Ingredient candidate"),COUNTIFS('Material routes'!$D$6:$D$2205,A843,'Material routes'!$C$6:$C$2205,"Consumed input"),COUNTIFS('Material routes'!$D$6:$D$2205,A843,'Material routes'!$C$6:$C$2205,"Contained input"),COUNTIFS('Material routes'!$D$6:$D$2205,A843,'Material routes'!$C$6:$C$2205,"Transform input"))</x:f>
        <x:v>0</x:v>
      </x:c>
      <x:c r="AL843" s="4">
        <x:f>COUNTIFS('Material routes'!$D$6:$D$2205,A843,'Material routes'!$C$6:$C$2205,"Tool candidate")</x:f>
        <x:v>0</x:v>
      </x:c>
      <x:c r="AM843" s="4" t="str">
        <x:f>IF(AJ843&gt;0,"Route listed; review status/completeness",IF(C843="T0","Raw entry feed; no production route","No production route listed"))</x:f>
        <x:v>No production route listed</x:v>
      </x:c>
      <x:c r="AN843" s="4">
        <x:f>IF(C843="T0",0,IF(C843="T1",1,IF(C843="T2",2,IF(C843="T3",3,IF(C843="T4",4,IF(C843="Unassigned",98,99))))))</x:f>
        <x:v>2</x:v>
      </x:c>
    </x:row>
    <x:row r="844">
      <x:c r="A844" s="4" t="inlineStr">
        <x:is>
          <x:t xml:space="preserve">proposal.camp.split_ring_hanging_hook</x:t>
        </x:is>
      </x:c>
      <x:c r="B844" s="4" t="inlineStr">
        <x:is>
          <x:t xml:space="preserve">Split-ring hanging hook</x:t>
        </x:is>
      </x:c>
      <x:c r="C844" s="4" t="inlineStr">
        <x:is>
          <x:t xml:space="preserve">T2</x:t>
        </x:is>
      </x:c>
      <x:c r="D844" s="4" t="inlineStr">
        <x:is>
          <x:t xml:space="preserve">Salvage</x:t>
        </x:is>
      </x:c>
      <x:c r="E844" s="4" t="inlineStr">
        <x:is>
          <x:t xml:space="preserve">Shelter &amp; rest</x:t>
        </x:is>
      </x:c>
      <x:c r="F844" s="4" t="inlineStr">
        <x:is>
          <x:t xml:space="preserve">New proposal</x:t>
        </x:is>
      </x:c>
      <x:c r="G844" s="4" t="inlineStr">
        <x:is>
          <x:t xml:space="preserve">A split metal ring and short hanging hook suspend a compatible utensil or small camp object from an existing rail or eye. This is domestic mounting hardware, separate from the grappling hook; it has no climbing rating.</x:t>
        </x:is>
      </x:c>
      <x:c r="H844" s="4" t="inlineStr">
        <x:is>
          <x:t xml:space="preserve">None</x:t>
        </x:is>
      </x:c>
      <x:c r="I844" s="4" t="inlineStr">
        <x:is>
          <x:t xml:space="preserve">Physical inventory / cargo item; dimensions and packing unresolved</x:t>
        </x:is>
      </x:c>
      <x:c r="J844" s="4"/>
      <x:c r="K844"/>
      <x:c r="L844" t="inlineStr">
        <x:is>
          <x:t xml:space="preserve">Proposed contemporary fabrication or trade; availability and manufacturing details remain open.</x:t>
        </x:is>
      </x:c>
      <x:c r="M844" s="4" t="inlineStr">
        <x:is>
          <x:t xml:space="preserve">Candidate finished object using qualified T1 stock; no quantities, recipe, production time or yield authored.</x:t>
        </x:is>
      </x:c>
      <x:c r="N844" s="4" t="inlineStr">
        <x:is>
          <x:t xml:space="preserve">Not implemented</x:t>
        </x:is>
      </x:c>
      <x:c r="O844" s="4" t="inlineStr">
        <x:is>
          <x:t xml:space="preserve">Dimensions, material grade, safe operating limits and compatibility remain design work. Food-heating concepts require a setting-compatible managed heat source; no free-water cooking, wooden parts or cloth assumed.</x:t>
        </x:is>
      </x:c>
      <x:c r="P844" s="4"/>
      <x:c r="Q844" s="4"/>
      <x:c r="R844"/>
      <x:c r="S844"/>
      <x:c r="T844"/>
      <x:c r="U844" t="inlineStr">
        <x:is>
          <x:t xml:space="preserve">Artwork direction: A heavy open ring joined to a compact downward hook with a flattened stop. Fit, safe use and manufacturing details remain proposals.</x:t>
        </x:is>
      </x:c>
      <x:c r="V844" s="4" t="inlineStr">
        <x:is>
          <x:t xml:space="preserve">split-ring hanging hook; camp life; everyday object; Camp household; camp goods; Shelter &amp; rest</x:t>
        </x:is>
      </x:c>
      <x:c r="W844" s="4" t="inlineStr">
        <x:is>
          <x:t xml:space="preserve">Author requested seven more everyday camp-life objects, October 15, 2026. Specific designs remain brainstorming proposals. Setting constraints: Docs/WORLD_BASIS.md#material-culture.</x:t>
        </x:is>
      </x:c>
      <x:c r="X844" s="4" t="inlineStr">
        <x:is>
          <x:t xml:space="preserve">Shelter item</x:t>
        </x:is>
      </x:c>
      <x:c r="Y844" s="4" t="inlineStr">
        <x:is>
          <x:t xml:space="preserve">Finished item</x:t>
        </x:is>
      </x:c>
      <x:c r="Z844" s="4" t="inlineStr">
        <x:is>
          <x:t xml:space="preserve">Manufactured / unresolved</x:t>
        </x:is>
      </x:c>
      <x:c r="AA844" s="4" t="inlineStr">
        <x:is>
          <x:t xml:space="preserve">Equipment mounting</x:t>
        </x:is>
      </x:c>
      <x:c r="AB844" s="4" t="inlineStr">
        <x:is>
          <x:t xml:space="preserve">Metal</x:t>
        </x:is>
      </x:c>
      <x:c r="AC844" s="4" t="inlineStr">
        <x:is>
          <x:t xml:space="preserve">Assembly</x:t>
        </x:is>
      </x:c>
      <x:c r="AD844" s="4" t="inlineStr">
        <x:is>
          <x:t xml:space="preserve">Proposal</x:t>
        </x:is>
      </x:c>
      <x:c r="AE844" s="4" t="str">
        <x:f>LOWER(A844&amp;"; "&amp;B844&amp;"; "&amp;D844&amp;"; "&amp;E844&amp;"; "&amp;X844&amp;"; "&amp;Y844&amp;"; "&amp;Z844&amp;"; "&amp;AA844&amp;"; "&amp;AB844&amp;"; "&amp;AC844&amp;"; "&amp;AD844&amp;"; "&amp;V844&amp;"; "&amp;C844&amp;"; "&amp;AH844&amp;"; "&amp;AI844)</x:f>
        <x:v>proposal.camp.split_ring_hanging_hook; split-ring hanging hook; salvage; shelter &amp; rest; shelter item; finished item; manufactured / unresolved; equipment mounting; metal; assembly; proposal; split-ring hanging hook; camp life; everyday object; camp household; camp goods; shelter &amp; rest; t2; t1; finished item</x:v>
      </x:c>
      <x:c r="AF844" s="4" t="inlineStr">
        <x:is>
          <x:t xml:space="preserve">Author-requested everyday camp-life expansion; organization and intended use are proposals, not implemented actions. Author camp organization: Camp items / Shelter &amp; rest; previous category/subtype: Everyday objects / Camp household. Author direction October 16: all Camp items are Salvage; retire the Camp items section. Item identity, condition, tiers, purposes and recipe semantics remain unchanged.</x:t>
        </x:is>
      </x:c>
      <x:c r="AG844" s="4" t="inlineStr">
        <x:is>
          <x:t xml:space="preserve">Proposed T2 finished object using qualified T1 stock. A planning tier does not establish an executable recipe, material quantities, performance or availability.</x:t>
        </x:is>
      </x:c>
      <x:c r="AH844" s="4" t="inlineStr">
        <x:is>
          <x:t xml:space="preserve">T1</x:t>
        </x:is>
      </x:c>
      <x:c r="AI844" s="4" t="inlineStr">
        <x:is>
          <x:t xml:space="preserve">Finished item</x:t>
        </x:is>
      </x:c>
      <x:c r="AJ844" s="4">
        <x:f>COUNTIFS('Material routes'!$D$6:$D$2205,A844,'Material routes'!$C$6:$C$2205,"Output")</x:f>
        <x:v>0</x:v>
      </x:c>
      <x:c r="AK844" s="4">
        <x:f>SUM(COUNTIFS('Material routes'!$D$6:$D$2205,A844,'Material routes'!$C$6:$C$2205,"Ingredient candidate"),COUNTIFS('Material routes'!$D$6:$D$2205,A844,'Material routes'!$C$6:$C$2205,"Consumed input"),COUNTIFS('Material routes'!$D$6:$D$2205,A844,'Material routes'!$C$6:$C$2205,"Contained input"),COUNTIFS('Material routes'!$D$6:$D$2205,A844,'Material routes'!$C$6:$C$2205,"Transform input"))</x:f>
        <x:v>0</x:v>
      </x:c>
      <x:c r="AL844" s="4">
        <x:f>COUNTIFS('Material routes'!$D$6:$D$2205,A844,'Material routes'!$C$6:$C$2205,"Tool candidate")</x:f>
        <x:v>0</x:v>
      </x:c>
      <x:c r="AM844" s="4" t="str">
        <x:f>IF(AJ844&gt;0,"Route listed; review status/completeness",IF(C844="T0","Raw entry feed; no production route","No production route listed"))</x:f>
        <x:v>No production route listed</x:v>
      </x:c>
      <x:c r="AN844" s="4">
        <x:f>IF(C844="T0",0,IF(C844="T1",1,IF(C844="T2",2,IF(C844="T3",3,IF(C844="T4",4,IF(C844="Unassigned",98,99))))))</x:f>
        <x:v>2</x:v>
      </x:c>
    </x:row>
    <x:row r="845">
      <x:c r="A845" s="4" t="inlineStr">
        <x:is>
          <x:t xml:space="preserve">proposal.camp.hinged_utensil_case</x:t>
        </x:is>
      </x:c>
      <x:c r="B845" s="4" t="inlineStr">
        <x:is>
          <x:t xml:space="preserve">Hinged camp utensil case</x:t>
        </x:is>
      </x:c>
      <x:c r="C845" s="4" t="inlineStr">
        <x:is>
          <x:t xml:space="preserve">T2</x:t>
        </x:is>
      </x:c>
      <x:c r="D845" s="4" t="inlineStr">
        <x:is>
          <x:t xml:space="preserve">Salvage</x:t>
        </x:is>
      </x:c>
      <x:c r="E845" s="4" t="inlineStr">
        <x:is>
          <x:t xml:space="preserve">Food service &amp; storage</x:t>
        </x:is>
      </x:c>
      <x:c r="F845" s="4" t="inlineStr">
        <x:is>
          <x:t xml:space="preserve">New proposal</x:t>
        </x:is>
      </x:c>
      <x:c r="G845" s="4" t="inlineStr">
        <x:is>
          <x:t xml:space="preserve">A narrow metal case with internal dividers keeps eating tools together and separates their working ends from loose cargo grit. Closure details remain open; the case is not an airtight or sterile container.</x:t>
        </x:is>
      </x:c>
      <x:c r="H845" s="4" t="inlineStr">
        <x:is>
          <x:t xml:space="preserve">None</x:t>
        </x:is>
      </x:c>
      <x:c r="I845" s="4" t="inlineStr">
        <x:is>
          <x:t xml:space="preserve">Physical inventory / cargo item; dimensions and packing unresolved</x:t>
        </x:is>
      </x:c>
      <x:c r="J845" s="4"/>
      <x:c r="K845"/>
      <x:c r="L845" t="inlineStr">
        <x:is>
          <x:t xml:space="preserve">Proposed contemporary fabrication or trade; availability and manufacturing details remain open.</x:t>
        </x:is>
      </x:c>
      <x:c r="M845" s="4" t="inlineStr">
        <x:is>
          <x:t xml:space="preserve">Candidate finished object using qualified T1 stock; no quantities, recipe, production time or yield authored.</x:t>
        </x:is>
      </x:c>
      <x:c r="N845" s="4" t="inlineStr">
        <x:is>
          <x:t xml:space="preserve">Not implemented</x:t>
        </x:is>
      </x:c>
      <x:c r="O845" s="4" t="inlineStr">
        <x:is>
          <x:t xml:space="preserve">Dimensions, material grade, safe operating limits and compatibility remain design work. Food-heating concepts require a setting-compatible managed heat source; no free-water cooking, wooden parts or cloth assumed.</x:t>
        </x:is>
      </x:c>
      <x:c r="P845" s="4"/>
      <x:c r="Q845" s="4"/>
      <x:c r="R845"/>
      <x:c r="S845"/>
      <x:c r="T845"/>
      <x:c r="U845" t="inlineStr">
        <x:is>
          <x:t xml:space="preserve">Artwork direction: A long shallow metal case opened to reveal three narrow utensil channels. Fit, safe use and manufacturing details remain proposals.</x:t>
        </x:is>
      </x:c>
      <x:c r="V845" s="4" t="inlineStr">
        <x:is>
          <x:t xml:space="preserve">hinged camp utensil case; camp life; everyday object; Camp household; camp goods; Food service &amp; storage</x:t>
        </x:is>
      </x:c>
      <x:c r="W845" s="4" t="inlineStr">
        <x:is>
          <x:t xml:space="preserve">Author requested seven more everyday camp-life objects, October 15, 2026. Specific designs remain brainstorming proposals. Setting constraints: Docs/WORLD_BASIS.md#material-culture.</x:t>
        </x:is>
      </x:c>
      <x:c r="X845" s="4" t="inlineStr">
        <x:is>
          <x:t xml:space="preserve">Household utensil</x:t>
        </x:is>
      </x:c>
      <x:c r="Y845" s="4" t="inlineStr">
        <x:is>
          <x:t xml:space="preserve">Finished item</x:t>
        </x:is>
      </x:c>
      <x:c r="Z845" s="4" t="inlineStr">
        <x:is>
          <x:t xml:space="preserve">Manufactured / unresolved</x:t>
        </x:is>
      </x:c>
      <x:c r="AA845" s="4" t="inlineStr">
        <x:is>
          <x:t xml:space="preserve">Cargo organization</x:t>
        </x:is>
      </x:c>
      <x:c r="AB845" s="4" t="inlineStr">
        <x:is>
          <x:t xml:space="preserve">Metal</x:t>
        </x:is>
      </x:c>
      <x:c r="AC845" s="4" t="inlineStr">
        <x:is>
          <x:t xml:space="preserve">Assembly</x:t>
        </x:is>
      </x:c>
      <x:c r="AD845" s="4" t="inlineStr">
        <x:is>
          <x:t xml:space="preserve">Proposal</x:t>
        </x:is>
      </x:c>
      <x:c r="AE845" s="4" t="str">
        <x:f>LOWER(A845&amp;"; "&amp;B845&amp;"; "&amp;D845&amp;"; "&amp;E845&amp;"; "&amp;X845&amp;"; "&amp;Y845&amp;"; "&amp;Z845&amp;"; "&amp;AA845&amp;"; "&amp;AB845&amp;"; "&amp;AC845&amp;"; "&amp;AD845&amp;"; "&amp;V845&amp;"; "&amp;C845&amp;"; "&amp;AH845&amp;"; "&amp;AI845)</x:f>
        <x:v>proposal.camp.hinged_utensil_case; hinged camp utensil case; salvage; food service &amp; storage; household utensil; finished item; manufactured / unresolved; cargo organization; metal; assembly; proposal; hinged camp utensil case; camp life; everyday object; camp household; camp goods; food service &amp; storage; t2; t1; finished item</x:v>
      </x:c>
      <x:c r="AF845" s="4" t="inlineStr">
        <x:is>
          <x:t xml:space="preserve">Author-requested everyday camp-life expansion; organization and intended use are proposals, not implemented actions. Author camp organization: Camp items / Food service &amp; storage; previous category/subtype: Everyday objects / Camp household. Author direction October 16: all Camp items are Salvage; retire the Camp items section. Item identity, condition, tiers, purposes and recipe semantics remain unchanged.</x:t>
        </x:is>
      </x:c>
      <x:c r="AG845" s="4" t="inlineStr">
        <x:is>
          <x:t xml:space="preserve">Proposed T2 finished object using qualified T1 stock. A planning tier does not establish an executable recipe, material quantities, performance or availability.</x:t>
        </x:is>
      </x:c>
      <x:c r="AH845" s="4" t="inlineStr">
        <x:is>
          <x:t xml:space="preserve">T1</x:t>
        </x:is>
      </x:c>
      <x:c r="AI845" s="4" t="inlineStr">
        <x:is>
          <x:t xml:space="preserve">Finished item</x:t>
        </x:is>
      </x:c>
      <x:c r="AJ845" s="4">
        <x:f>COUNTIFS('Material routes'!$D$6:$D$2205,A845,'Material routes'!$C$6:$C$2205,"Output")</x:f>
        <x:v>0</x:v>
      </x:c>
      <x:c r="AK845" s="4">
        <x:f>SUM(COUNTIFS('Material routes'!$D$6:$D$2205,A845,'Material routes'!$C$6:$C$2205,"Ingredient candidate"),COUNTIFS('Material routes'!$D$6:$D$2205,A845,'Material routes'!$C$6:$C$2205,"Consumed input"),COUNTIFS('Material routes'!$D$6:$D$2205,A845,'Material routes'!$C$6:$C$2205,"Contained input"),COUNTIFS('Material routes'!$D$6:$D$2205,A845,'Material routes'!$C$6:$C$2205,"Transform input"))</x:f>
        <x:v>0</x:v>
      </x:c>
      <x:c r="AL845" s="4">
        <x:f>COUNTIFS('Material routes'!$D$6:$D$2205,A845,'Material routes'!$C$6:$C$2205,"Tool candidate")</x:f>
        <x:v>0</x:v>
      </x:c>
      <x:c r="AM845" s="4" t="str">
        <x:f>IF(AJ845&gt;0,"Route listed; review status/completeness",IF(C845="T0","Raw entry feed; no production route","No production route listed"))</x:f>
        <x:v>No production route listed</x:v>
      </x:c>
      <x:c r="AN845" s="4">
        <x:f>IF(C845="T0",0,IF(C845="T1",1,IF(C845="T2",2,IF(C845="T3",3,IF(C845="T4",4,IF(C845="Unassigned",98,99))))))</x:f>
        <x:v>2</x:v>
      </x:c>
    </x:row>
    <x:row r="846">
      <x:c r="A846" s="4" t="inlineStr">
        <x:is>
          <x:t xml:space="preserve">proposal.camp.folding_grit_pan</x:t>
        </x:is>
      </x:c>
      <x:c r="B846" s="4" t="inlineStr">
        <x:is>
          <x:t xml:space="preserve">Folding grit pan</x:t>
        </x:is>
      </x:c>
      <x:c r="C846" s="4" t="inlineStr">
        <x:is>
          <x:t xml:space="preserve">T2</x:t>
        </x:is>
      </x:c>
      <x:c r="D846" s="4" t="inlineStr">
        <x:is>
          <x:t xml:space="preserve">Salvage</x:t>
        </x:is>
      </x:c>
      <x:c r="E846" s="4" t="inlineStr">
        <x:is>
          <x:t xml:space="preserve">Cleaning &amp; personal care</x:t>
        </x:is>
      </x:c>
      <x:c r="F846" s="4" t="inlineStr">
        <x:is>
          <x:t xml:space="preserve">New proposal</x:t>
        </x:is>
      </x:c>
      <x:c r="G846" s="4" t="inlineStr">
        <x:is>
          <x:t xml:space="preserve">A shallow metal pan collects grit swept from camp surfaces with the existing dust brush. Its short hinged handle folds flat for packing; the pan is dedicated to cleaning rather than food service.</x:t>
        </x:is>
      </x:c>
      <x:c r="H846" s="4" t="inlineStr">
        <x:is>
          <x:t xml:space="preserve">None</x:t>
        </x:is>
      </x:c>
      <x:c r="I846" s="4" t="inlineStr">
        <x:is>
          <x:t xml:space="preserve">Physical inventory / cargo item; dimensions and packing unresolved</x:t>
        </x:is>
      </x:c>
      <x:c r="J846" s="4"/>
      <x:c r="K846"/>
      <x:c r="L846" t="inlineStr">
        <x:is>
          <x:t xml:space="preserve">Proposed contemporary fabrication or trade; availability and manufacturing details remain open.</x:t>
        </x:is>
      </x:c>
      <x:c r="M846" s="4" t="inlineStr">
        <x:is>
          <x:t xml:space="preserve">Candidate finished object using qualified T1 stock; no quantities, recipe, production time or yield authored.</x:t>
        </x:is>
      </x:c>
      <x:c r="N846" s="4" t="inlineStr">
        <x:is>
          <x:t xml:space="preserve">Not implemented</x:t>
        </x:is>
      </x:c>
      <x:c r="O846" s="4" t="inlineStr">
        <x:is>
          <x:t xml:space="preserve">Dimensions, material grade, safe operating limits and compatibility remain design work. Food-heating concepts require a setting-compatible managed heat source; no free-water cooking, wooden parts or cloth assumed.</x:t>
        </x:is>
      </x:c>
      <x:c r="P846" s="4"/>
      <x:c r="Q846" s="4"/>
      <x:c r="R846"/>
      <x:c r="S846"/>
      <x:c r="T846"/>
      <x:c r="U846" t="inlineStr">
        <x:is>
          <x:t xml:space="preserve">Artwork direction: A broad shallow scoop with a straight lip and a short handle folded across its back. Fit, safe use and manufacturing details remain proposals.</x:t>
        </x:is>
      </x:c>
      <x:c r="V846" s="4" t="inlineStr">
        <x:is>
          <x:t xml:space="preserve">folding grit pan; camp life; everyday object; Camp household; camp goods; Cleaning &amp; personal care</x:t>
        </x:is>
      </x:c>
      <x:c r="W846" s="4" t="inlineStr">
        <x:is>
          <x:t xml:space="preserve">Author requested seven more everyday camp-life objects, October 15, 2026. Specific designs remain brainstorming proposals. Setting constraints: Docs/WORLD_BASIS.md#material-culture.</x:t>
        </x:is>
      </x:c>
      <x:c r="X846" s="4" t="inlineStr">
        <x:is>
          <x:t xml:space="preserve">Household utensil</x:t>
        </x:is>
      </x:c>
      <x:c r="Y846" s="4" t="inlineStr">
        <x:is>
          <x:t xml:space="preserve">Finished item</x:t>
        </x:is>
      </x:c>
      <x:c r="Z846" s="4" t="inlineStr">
        <x:is>
          <x:t xml:space="preserve">Manufactured / unresolved</x:t>
        </x:is>
      </x:c>
      <x:c r="AA846" s="4" t="inlineStr">
        <x:is>
          <x:t xml:space="preserve">Cleaning</x:t>
        </x:is>
      </x:c>
      <x:c r="AB846" s="4" t="inlineStr">
        <x:is>
          <x:t xml:space="preserve">Metal</x:t>
        </x:is>
      </x:c>
      <x:c r="AC846" s="4" t="inlineStr">
        <x:is>
          <x:t xml:space="preserve">Assembly</x:t>
        </x:is>
      </x:c>
      <x:c r="AD846" s="4" t="inlineStr">
        <x:is>
          <x:t xml:space="preserve">Proposal</x:t>
        </x:is>
      </x:c>
      <x:c r="AE846" s="4" t="str">
        <x:f>LOWER(A846&amp;"; "&amp;B846&amp;"; "&amp;D846&amp;"; "&amp;E846&amp;"; "&amp;X846&amp;"; "&amp;Y846&amp;"; "&amp;Z846&amp;"; "&amp;AA846&amp;"; "&amp;AB846&amp;"; "&amp;AC846&amp;"; "&amp;AD846&amp;"; "&amp;V846&amp;"; "&amp;C846&amp;"; "&amp;AH846&amp;"; "&amp;AI846)</x:f>
        <x:v>proposal.camp.folding_grit_pan; folding grit pan; salvage; cleaning &amp; personal care; household utensil; finished item; manufactured / unresolved; cleaning; metal; assembly; proposal; folding grit pan; camp life; everyday object; camp household; camp goods; cleaning &amp; personal care; t2; t1; finished item</x:v>
      </x:c>
      <x:c r="AF846" s="4" t="inlineStr">
        <x:is>
          <x:t xml:space="preserve">Author-requested everyday camp-life expansion; organization and intended use are proposals, not implemented actions. Author camp organization: Camp items / Cleaning &amp; personal care; previous category/subtype: Everyday objects / Camp household. Author direction October 16: all Camp items are Salvage; retire the Camp items section. Item identity, condition, tiers, purposes and recipe semantics remain unchanged.</x:t>
        </x:is>
      </x:c>
      <x:c r="AG846" s="4" t="inlineStr">
        <x:is>
          <x:t xml:space="preserve">Proposed T2 finished object using qualified T1 stock. A planning tier does not establish an executable recipe, material quantities, performance or availability.</x:t>
        </x:is>
      </x:c>
      <x:c r="AH846" s="4" t="inlineStr">
        <x:is>
          <x:t xml:space="preserve">T1</x:t>
        </x:is>
      </x:c>
      <x:c r="AI846" s="4" t="inlineStr">
        <x:is>
          <x:t xml:space="preserve">Finished item</x:t>
        </x:is>
      </x:c>
      <x:c r="AJ846" s="4">
        <x:f>COUNTIFS('Material routes'!$D$6:$D$2205,A846,'Material routes'!$C$6:$C$2205,"Output")</x:f>
        <x:v>0</x:v>
      </x:c>
      <x:c r="AK846" s="4">
        <x:f>SUM(COUNTIFS('Material routes'!$D$6:$D$2205,A846,'Material routes'!$C$6:$C$2205,"Ingredient candidate"),COUNTIFS('Material routes'!$D$6:$D$2205,A846,'Material routes'!$C$6:$C$2205,"Consumed input"),COUNTIFS('Material routes'!$D$6:$D$2205,A846,'Material routes'!$C$6:$C$2205,"Contained input"),COUNTIFS('Material routes'!$D$6:$D$2205,A846,'Material routes'!$C$6:$C$2205,"Transform input"))</x:f>
        <x:v>0</x:v>
      </x:c>
      <x:c r="AL846" s="4">
        <x:f>COUNTIFS('Material routes'!$D$6:$D$2205,A846,'Material routes'!$C$6:$C$2205,"Tool candidate")</x:f>
        <x:v>0</x:v>
      </x:c>
      <x:c r="AM846" s="4" t="str">
        <x:f>IF(AJ846&gt;0,"Route listed; review status/completeness",IF(C846="T0","Raw entry feed; no production route","No production route listed"))</x:f>
        <x:v>No production route listed</x:v>
      </x:c>
      <x:c r="AN846" s="4">
        <x:f>IF(C846="T0",0,IF(C846="T1",1,IF(C846="T2",2,IF(C846="T3",3,IF(C846="T4",4,IF(C846="Unassigned",98,99))))))</x:f>
        <x:v>2</x:v>
      </x:c>
    </x:row>
    <x:row r="847">
      <x:c r="A847" s="9" t="inlineStr">
        <x:is>
          <x:t xml:space="preserve">proposal.legger.articulated_joint_guards</x:t>
        </x:is>
      </x:c>
      <x:c r="B847" s="9" t="inlineStr">
        <x:is>
          <x:t xml:space="preserve">Articulated joint guards</x:t>
        </x:is>
      </x:c>
      <x:c r="C847" s="4" t="inlineStr">
        <x:is>
          <x:t xml:space="preserve">Not applicable</x:t>
        </x:is>
      </x:c>
      <x:c r="D847" s="9" t="inlineStr">
        <x:is>
          <x:t xml:space="preserve">Legger armor</x:t>
        </x:is>
      </x:c>
      <x:c r="E847" s="9" t="inlineStr">
        <x:is>
          <x:t xml:space="preserve">Legger armor</x:t>
        </x:is>
      </x:c>
      <x:c r="F847" s="9" t="inlineStr">
        <x:is>
          <x:t xml:space="preserve">New proposal</x:t>
        </x:is>
      </x:c>
      <x:c r="G847" s="9" t="inlineStr">
        <x:is>
          <x:t xml:space="preserve">Overlapping curved metal scales cover the exposed outside of a Legger leg joint, opening and closing around its movement. Intended to take glancing scrapes while leaving the joint's working clearance open; distinct from a rigid chassis panel.</x:t>
        </x:is>
      </x:c>
      <x:c r="H847" s="9" t="inlineStr">
        <x:is>
          <x:t xml:space="preserve">Legger fitment unresolved</x:t>
        </x:is>
      </x:c>
      <x:c r="I847" s="9" t="inlineStr">
        <x:is>
          <x:t xml:space="preserve">Legger attachment / replacement intended; physical cargo policy unchanged</x:t>
        </x:is>
      </x:c>
      <x:c r="J847" s="13"/>
      <x:c r="K847"/>
      <x:c r="L847" t="inlineStr">
        <x:is>
          <x:t xml:space="preserve">Proposed contemporary fabrication or specialist trade; availability unresolved.</x:t>
        </x:is>
      </x:c>
      <x:c r="M847" s="9" t="inlineStr">
        <x:is>
          <x:t xml:space="preserve">Candidate finished armor using existing material families. No recipe, input quantities, production time or yield authored.</x:t>
        </x:is>
      </x:c>
      <x:c r="N847" s="9" t="inlineStr">
        <x:is>
          <x:t xml:space="preserve">Not implemented</x:t>
        </x:is>
      </x:c>
      <x:c r="O847" s="9" t="inlineStr">
        <x:is>
          <x:t xml:space="preserve">The overlap can trap grit or bind if fitted poorly. Joint travel, cleaning access, attachment points and added moving mass need qualification; no damage reduction or immunity established.</x:t>
        </x:is>
      </x:c>
      <x:c r="P847" s="17"/>
      <x:c r="Q847"/>
      <x:c r="R847"/>
      <x:c r="S847"/>
      <x:c r="T847"/>
      <x:c r="U847" t="inlineStr">
        <x:is>
          <x:t xml:space="preserve">Artwork direction: Three overlapping crescent-shaped metal scales around an open circular joint, with two visible hinge pins. Fit, mass, fastening, removal, repair and performance remain proposals.</x:t>
        </x:is>
      </x:c>
      <x:c r="V847" s="11" t="inlineStr">
        <x:is>
          <x:t xml:space="preserve">legger; leger; joint armor; articulated scales; leg joint guards</x:t>
        </x:is>
      </x:c>
      <x:c r="W847" s="9" t="inlineStr">
        <x:is>
          <x:t xml:space="preserve">Author requested three more Legger armor items, October 15, 2026. New local brainstorming proposals grounded in Docs/WORLD_BASIS.md#the-legger and #material-culture.</x:t>
        </x:is>
      </x:c>
      <x:c r="X847" s="4" t="inlineStr">
        <x:is>
          <x:t xml:space="preserve">Armor</x:t>
        </x:is>
      </x:c>
      <x:c r="Y847" s="4" t="inlineStr">
        <x:is>
          <x:t xml:space="preserve">Finished item</x:t>
        </x:is>
      </x:c>
      <x:c r="Z847" s="4" t="inlineStr">
        <x:is>
          <x:t xml:space="preserve">Manufactured / unresolved</x:t>
        </x:is>
      </x:c>
      <x:c r="AA847" s="4" t="inlineStr">
        <x:is>
          <x:t xml:space="preserve">Protection</x:t>
        </x:is>
      </x:c>
      <x:c r="AB847" s="4" t="inlineStr">
        <x:is>
          <x:t xml:space="preserve">Metal</x:t>
        </x:is>
      </x:c>
      <x:c r="AC847" s="4" t="inlineStr">
        <x:is>
          <x:t xml:space="preserve">Assembly</x:t>
        </x:is>
      </x:c>
      <x:c r="AD847" s="4" t="inlineStr">
        <x:is>
          <x:t xml:space="preserve">Proposal</x:t>
        </x:is>
      </x:c>
      <x:c r="AE847" s="4" t="str">
        <x:f>LOWER(A847&amp;"; "&amp;B847&amp;"; "&amp;D847&amp;"; "&amp;E847&amp;"; "&amp;X847&amp;"; "&amp;Y847&amp;"; "&amp;Z847&amp;"; "&amp;AA847&amp;"; "&amp;AB847&amp;"; "&amp;AC847&amp;"; "&amp;AD847&amp;"; "&amp;V847&amp;"; "&amp;C847&amp;"; "&amp;AH847&amp;"; "&amp;AI847)</x:f>
        <x:v>proposal.legger.articulated_joint_guards; articulated joint guards; legger armor; legger armor; armor; finished item; manufactured / unresolved; protection; metal; assembly; proposal; legger; leger; joint armor; articulated scales; leg joint guards; not applicable; unassigned; finished item</x:v>
      </x:c>
      <x:c r="AF847" s="4" t="inlineStr">
        <x:is>
          <x:t xml:space="preserve">Author-requested Legger armor expansion. Intended coverage only; does not establish a working equipment slot or protection behavior.</x:t>
        </x:is>
      </x:c>
      <x:c r="AG847" s="4" t="inlineStr">
        <x:is>
          <x:t xml:space="preserve">Finished endpoint; material tier is not applicable. Input tiers require an authored recipe.</x:t>
        </x:is>
      </x:c>
      <x:c r="AH847" s="4" t="inlineStr">
        <x:is>
          <x:t xml:space="preserve">Unassigned</x:t>
        </x:is>
      </x:c>
      <x:c r="AI847" s="4" t="inlineStr">
        <x:is>
          <x:t xml:space="preserve">Finished item</x:t>
        </x:is>
      </x:c>
      <x:c r="AJ847" s="4">
        <x:f>COUNTIFS('Material routes'!$D$6:$D$2205,A847,'Material routes'!$C$6:$C$2205,"Output")</x:f>
        <x:v>0</x:v>
      </x:c>
      <x:c r="AK847" s="4">
        <x:f>SUM(COUNTIFS('Material routes'!$D$6:$D$2205,A847,'Material routes'!$C$6:$C$2205,"Ingredient candidate"),COUNTIFS('Material routes'!$D$6:$D$2205,A847,'Material routes'!$C$6:$C$2205,"Consumed input"),COUNTIFS('Material routes'!$D$6:$D$2205,A847,'Material routes'!$C$6:$C$2205,"Contained input"),COUNTIFS('Material routes'!$D$6:$D$2205,A847,'Material routes'!$C$6:$C$2205,"Transform input"))</x:f>
        <x:v>0</x:v>
      </x:c>
      <x:c r="AL847" s="4">
        <x:f>COUNTIFS('Material routes'!$D$6:$D$2205,A847,'Material routes'!$C$6:$C$2205,"Tool candidate")</x:f>
        <x:v>0</x:v>
      </x:c>
      <x:c r="AM847" s="4" t="str">
        <x:f>IF(AJ847&gt;0,"Route listed; review status/completeness",IF(C847="T0","Raw entry feed; no production route","No production route listed"))</x:f>
        <x:v>No production route listed</x:v>
      </x:c>
      <x:c r="AN847" s="14">
        <x:f>IF(C847="T0",0,IF(C847="T1",1,IF(C847="T2",2,IF(C847="T3",3,IF(C847="T4",4,IF(C847="Unassigned",98,99))))))</x:f>
        <x:v>99</x:v>
      </x:c>
    </x:row>
    <x:row r="848">
      <x:c r="A848" s="9" t="inlineStr">
        <x:is>
          <x:t xml:space="preserve">proposal.legger.cargo_flank_screens</x:t>
        </x:is>
      </x:c>
      <x:c r="B848" s="9" t="inlineStr">
        <x:is>
          <x:t xml:space="preserve">Cargo flank screens</x:t>
        </x:is>
      </x:c>
      <x:c r="C848" s="4" t="inlineStr">
        <x:is>
          <x:t xml:space="preserve">Not applicable</x:t>
        </x:is>
      </x:c>
      <x:c r="D848" s="9" t="inlineStr">
        <x:is>
          <x:t xml:space="preserve">Legger armor</x:t>
        </x:is>
      </x:c>
      <x:c r="E848" s="9" t="inlineStr">
        <x:is>
          <x:t xml:space="preserve">Legger armor</x:t>
        </x:is>
      </x:c>
      <x:c r="F848" s="9" t="inlineStr">
        <x:is>
          <x:t xml:space="preserve">New proposal</x:t>
        </x:is>
      </x:c>
      <x:c r="G848" s="9" t="inlineStr">
        <x:is>
          <x:t xml:space="preserve">A paired set of bowed metal ribs stands outside the Legger's existing cargo mounts. Intended to intercept side contact before it reaches carried canisters or cases, with open gaps for checking bindings and unloading. These are guards, not new containers or cargo mounts.</x:t>
        </x:is>
      </x:c>
      <x:c r="H848" s="9" t="inlineStr">
        <x:is>
          <x:t xml:space="preserve">Legger fitment unresolved</x:t>
        </x:is>
      </x:c>
      <x:c r="I848" s="9" t="inlineStr">
        <x:is>
          <x:t xml:space="preserve">Legger attachment / replacement intended; physical cargo policy unchanged</x:t>
        </x:is>
      </x:c>
      <x:c r="J848" s="13"/>
      <x:c r="K848"/>
      <x:c r="L848" t="inlineStr">
        <x:is>
          <x:t xml:space="preserve">Proposed contemporary fabrication or specialist trade; availability unresolved.</x:t>
        </x:is>
      </x:c>
      <x:c r="M848" s="9" t="inlineStr">
        <x:is>
          <x:t xml:space="preserve">Candidate finished armor using existing material families. No recipe, input quantities, production time or yield authored.</x:t>
        </x:is>
      </x:c>
      <x:c r="N848" s="9" t="inlineStr">
        <x:is>
          <x:t xml:space="preserve">Not implemented</x:t>
        </x:is>
      </x:c>
      <x:c r="O848" s="9" t="inlineStr">
        <x:is>
          <x:t xml:space="preserve">Open ribs leave gaps in coverage and increase the carrier's width. Snagging, turning clearance, cargo access, mounting load and breakaway behavior need design. Storage capacity and remote access are unchanged; no ballistic rating established.</x:t>
        </x:is>
      </x:c>
      <x:c r="P848" s="17"/>
      <x:c r="Q848"/>
      <x:c r="R848"/>
      <x:c r="S848"/>
      <x:c r="T848"/>
      <x:c r="U848" t="inlineStr">
        <x:is>
          <x:t xml:space="preserve">Artwork direction: A matched pair of outward-bowed rib guards, each with three narrow vertical bars and a short upper mounting rail. Fit, mass, fastening, removal, repair and performance remain proposals.</x:t>
        </x:is>
      </x:c>
      <x:c r="V848" s="11" t="inlineStr">
        <x:is>
          <x:t xml:space="preserve">legger; leger; cargo armor; flank screens; side guards; canister protection</x:t>
        </x:is>
      </x:c>
      <x:c r="W848" s="9" t="inlineStr">
        <x:is>
          <x:t xml:space="preserve">Author requested three more Legger armor items, October 15, 2026. New local brainstorming proposals grounded in Docs/WORLD_BASIS.md#the-legger and #material-culture.</x:t>
        </x:is>
      </x:c>
      <x:c r="X848" s="4" t="inlineStr">
        <x:is>
          <x:t xml:space="preserve">Armor</x:t>
        </x:is>
      </x:c>
      <x:c r="Y848" s="4" t="inlineStr">
        <x:is>
          <x:t xml:space="preserve">Finished item</x:t>
        </x:is>
      </x:c>
      <x:c r="Z848" s="4" t="inlineStr">
        <x:is>
          <x:t xml:space="preserve">Manufactured / unresolved</x:t>
        </x:is>
      </x:c>
      <x:c r="AA848" s="4" t="inlineStr">
        <x:is>
          <x:t xml:space="preserve">Protection</x:t>
        </x:is>
      </x:c>
      <x:c r="AB848" s="4" t="inlineStr">
        <x:is>
          <x:t xml:space="preserve">Metal</x:t>
        </x:is>
      </x:c>
      <x:c r="AC848" s="4" t="inlineStr">
        <x:is>
          <x:t xml:space="preserve">Assembly</x:t>
        </x:is>
      </x:c>
      <x:c r="AD848" s="4" t="inlineStr">
        <x:is>
          <x:t xml:space="preserve">Proposal</x:t>
        </x:is>
      </x:c>
      <x:c r="AE848" s="4" t="str">
        <x:f>LOWER(A848&amp;"; "&amp;B848&amp;"; "&amp;D848&amp;"; "&amp;E848&amp;"; "&amp;X848&amp;"; "&amp;Y848&amp;"; "&amp;Z848&amp;"; "&amp;AA848&amp;"; "&amp;AB848&amp;"; "&amp;AC848&amp;"; "&amp;AD848&amp;"; "&amp;V848&amp;"; "&amp;C848&amp;"; "&amp;AH848&amp;"; "&amp;AI848)</x:f>
        <x:v>proposal.legger.cargo_flank_screens; cargo flank screens; legger armor; legger armor; armor; finished item; manufactured / unresolved; protection; metal; assembly; proposal; legger; leger; cargo armor; flank screens; side guards; canister protection; not applicable; unassigned; finished item</x:v>
      </x:c>
      <x:c r="AF848" s="4" t="inlineStr">
        <x:is>
          <x:t xml:space="preserve">Author-requested Legger armor expansion. Intended coverage only; does not establish a working equipment slot or protection behavior.</x:t>
        </x:is>
      </x:c>
      <x:c r="AG848" s="4" t="inlineStr">
        <x:is>
          <x:t xml:space="preserve">Finished endpoint; material tier is not applicable. Input tiers require an authored recipe.</x:t>
        </x:is>
      </x:c>
      <x:c r="AH848" s="4" t="inlineStr">
        <x:is>
          <x:t xml:space="preserve">Unassigned</x:t>
        </x:is>
      </x:c>
      <x:c r="AI848" s="4" t="inlineStr">
        <x:is>
          <x:t xml:space="preserve">Finished item</x:t>
        </x:is>
      </x:c>
      <x:c r="AJ848" s="4">
        <x:f>COUNTIFS('Material routes'!$D$6:$D$2205,A848,'Material routes'!$C$6:$C$2205,"Output")</x:f>
        <x:v>0</x:v>
      </x:c>
      <x:c r="AK848" s="4">
        <x:f>SUM(COUNTIFS('Material routes'!$D$6:$D$2205,A848,'Material routes'!$C$6:$C$2205,"Ingredient candidate"),COUNTIFS('Material routes'!$D$6:$D$2205,A848,'Material routes'!$C$6:$C$2205,"Consumed input"),COUNTIFS('Material routes'!$D$6:$D$2205,A848,'Material routes'!$C$6:$C$2205,"Contained input"),COUNTIFS('Material routes'!$D$6:$D$2205,A848,'Material routes'!$C$6:$C$2205,"Transform input"))</x:f>
        <x:v>0</x:v>
      </x:c>
      <x:c r="AL848" s="4">
        <x:f>COUNTIFS('Material routes'!$D$6:$D$2205,A848,'Material routes'!$C$6:$C$2205,"Tool candidate")</x:f>
        <x:v>0</x:v>
      </x:c>
      <x:c r="AM848" s="4" t="str">
        <x:f>IF(AJ848&gt;0,"Route listed; review status/completeness",IF(C848="T0","Raw entry feed; no production route","No production route listed"))</x:f>
        <x:v>No production route listed</x:v>
      </x:c>
      <x:c r="AN848" s="14">
        <x:f>IF(C848="T0",0,IF(C848="T1",1,IF(C848="T2",2,IF(C848="T3",3,IF(C848="T4",4,IF(C848="Unassigned",98,99))))))</x:f>
        <x:v>99</x:v>
      </x:c>
    </x:row>
    <x:row r="849">
      <x:c r="A849" s="9" t="inlineStr">
        <x:is>
          <x:t xml:space="preserve">proposal.legger.dorsal_shingle_carapace</x:t>
        </x:is>
      </x:c>
      <x:c r="B849" s="9" t="inlineStr">
        <x:is>
          <x:t xml:space="preserve">Dorsal shingle carapace</x:t>
        </x:is>
      </x:c>
      <x:c r="C849" s="4" t="inlineStr">
        <x:is>
          <x:t xml:space="preserve">Not applicable</x:t>
        </x:is>
      </x:c>
      <x:c r="D849" s="9" t="inlineStr">
        <x:is>
          <x:t xml:space="preserve">Legger armor</x:t>
        </x:is>
      </x:c>
      <x:c r="E849" s="9" t="inlineStr">
        <x:is>
          <x:t xml:space="preserve">Legger armor</x:t>
        </x:is>
      </x:c>
      <x:c r="F849" s="9" t="inlineStr">
        <x:is>
          <x:t xml:space="preserve">New proposal</x:t>
        </x:is>
      </x:c>
      <x:c r="G849" s="9" t="inlineStr">
        <x:is>
          <x:t xml:space="preserve">Overlapping worked chitin plates form a raised protective ridge over the upper chassis, with individually replaceable shingles and a lift-away section for service access. Intended for falling grit and glancing overhead contact, complementing the existing underside belly pan.</x:t>
        </x:is>
      </x:c>
      <x:c r="H849" s="9" t="inlineStr">
        <x:is>
          <x:t xml:space="preserve">Legger fitment unresolved</x:t>
        </x:is>
      </x:c>
      <x:c r="I849" s="9" t="inlineStr">
        <x:is>
          <x:t xml:space="preserve">Legger attachment / replacement intended; physical cargo policy unchanged</x:t>
        </x:is>
      </x:c>
      <x:c r="J849" s="13"/>
      <x:c r="K849"/>
      <x:c r="L849" t="inlineStr">
        <x:is>
          <x:t xml:space="preserve">Proposed contemporary fabrication or specialist trade; availability unresolved.</x:t>
        </x:is>
      </x:c>
      <x:c r="M849" s="9" t="inlineStr">
        <x:is>
          <x:t xml:space="preserve">Candidate finished armor using existing material families. No recipe, input quantities, production time or yield authored.</x:t>
        </x:is>
      </x:c>
      <x:c r="N849" s="9" t="inlineStr">
        <x:is>
          <x:t xml:space="preserve">Not implemented</x:t>
        </x:is>
      </x:c>
      <x:c r="O849" s="9" t="inlineStr">
        <x:is>
          <x:t xml:space="preserve">Cheap raw shell still requires careful shaping and mounting. Brittle edges, debris trapped beneath overlaps, available headroom, service access and interference with existing fittings need review. This is not a shelter, saddle or extra cargo surface; no protection values established.</x:t>
        </x:is>
      </x:c>
      <x:c r="P849" s="17"/>
      <x:c r="Q849"/>
      <x:c r="R849"/>
      <x:c r="S849"/>
      <x:c r="T849"/>
      <x:c r="U849" t="inlineStr">
        <x:is>
          <x:t xml:space="preserve">Artwork direction: Five broad overlapping shell shingles forming a shallow peaked ridge, with a narrow central seam and small metal fasteners. Fit, mass, fastening, removal, repair and performance remain proposals.</x:t>
        </x:is>
      </x:c>
      <x:c r="V849" s="11" t="inlineStr">
        <x:is>
          <x:t xml:space="preserve">legger; leger; dorsal armor; shell shingles; upper chassis; carapace</x:t>
        </x:is>
      </x:c>
      <x:c r="W849" s="9" t="inlineStr">
        <x:is>
          <x:t xml:space="preserve">Author requested three more Legger armor items, October 15, 2026. New local brainstorming proposals grounded in Docs/WORLD_BASIS.md#the-legger and #material-culture.</x:t>
        </x:is>
      </x:c>
      <x:c r="X849" s="4" t="inlineStr">
        <x:is>
          <x:t xml:space="preserve">Armor</x:t>
        </x:is>
      </x:c>
      <x:c r="Y849" s="4" t="inlineStr">
        <x:is>
          <x:t xml:space="preserve">Finished item</x:t>
        </x:is>
      </x:c>
      <x:c r="Z849" s="4" t="inlineStr">
        <x:is>
          <x:t xml:space="preserve">Manufactured / unresolved</x:t>
        </x:is>
      </x:c>
      <x:c r="AA849" s="4" t="inlineStr">
        <x:is>
          <x:t xml:space="preserve">Protection</x:t>
        </x:is>
      </x:c>
      <x:c r="AB849" s="4" t="inlineStr">
        <x:is>
          <x:t xml:space="preserve">Shell / chitin</x:t>
        </x:is>
      </x:c>
      <x:c r="AC849" s="4" t="inlineStr">
        <x:is>
          <x:t xml:space="preserve">Assembly</x:t>
        </x:is>
      </x:c>
      <x:c r="AD849" s="4" t="inlineStr">
        <x:is>
          <x:t xml:space="preserve">Proposal</x:t>
        </x:is>
      </x:c>
      <x:c r="AE849" s="4" t="str">
        <x:f>LOWER(A849&amp;"; "&amp;B849&amp;"; "&amp;D849&amp;"; "&amp;E849&amp;"; "&amp;X849&amp;"; "&amp;Y849&amp;"; "&amp;Z849&amp;"; "&amp;AA849&amp;"; "&amp;AB849&amp;"; "&amp;AC849&amp;"; "&amp;AD849&amp;"; "&amp;V849&amp;"; "&amp;C849&amp;"; "&amp;AH849&amp;"; "&amp;AI849)</x:f>
        <x:v>proposal.legger.dorsal_shingle_carapace; dorsal shingle carapace; legger armor; legger armor; armor; finished item; manufactured / unresolved; protection; shell / chitin; assembly; proposal; legger; leger; dorsal armor; shell shingles; upper chassis; carapace; not applicable; unassigned; finished item</x:v>
      </x:c>
      <x:c r="AF849" s="4" t="inlineStr">
        <x:is>
          <x:t xml:space="preserve">Author-requested Legger armor expansion. Intended coverage only; does not establish a working equipment slot or protection behavior.</x:t>
        </x:is>
      </x:c>
      <x:c r="AG849" s="4" t="inlineStr">
        <x:is>
          <x:t xml:space="preserve">Finished endpoint; material tier is not applicable. Input tiers require an authored recipe.</x:t>
        </x:is>
      </x:c>
      <x:c r="AH849" s="4" t="inlineStr">
        <x:is>
          <x:t xml:space="preserve">Unassigned</x:t>
        </x:is>
      </x:c>
      <x:c r="AI849" s="4" t="inlineStr">
        <x:is>
          <x:t xml:space="preserve">Finished item</x:t>
        </x:is>
      </x:c>
      <x:c r="AJ849" s="4">
        <x:f>COUNTIFS('Material routes'!$D$6:$D$2205,A849,'Material routes'!$C$6:$C$2205,"Output")</x:f>
        <x:v>0</x:v>
      </x:c>
      <x:c r="AK849" s="4">
        <x:f>SUM(COUNTIFS('Material routes'!$D$6:$D$2205,A849,'Material routes'!$C$6:$C$2205,"Ingredient candidate"),COUNTIFS('Material routes'!$D$6:$D$2205,A849,'Material routes'!$C$6:$C$2205,"Consumed input"),COUNTIFS('Material routes'!$D$6:$D$2205,A849,'Material routes'!$C$6:$C$2205,"Contained input"),COUNTIFS('Material routes'!$D$6:$D$2205,A849,'Material routes'!$C$6:$C$2205,"Transform input"))</x:f>
        <x:v>0</x:v>
      </x:c>
      <x:c r="AL849" s="4">
        <x:f>COUNTIFS('Material routes'!$D$6:$D$2205,A849,'Material routes'!$C$6:$C$2205,"Tool candidate")</x:f>
        <x:v>0</x:v>
      </x:c>
      <x:c r="AM849" s="4" t="str">
        <x:f>IF(AJ849&gt;0,"Route listed; review status/completeness",IF(C849="T0","Raw entry feed; no production route","No production route listed"))</x:f>
        <x:v>No production route listed</x:v>
      </x:c>
      <x:c r="AN849" s="14">
        <x:f>IF(C849="T0",0,IF(C849="T1",1,IF(C849="T2",2,IF(C849="T3",3,IF(C849="T4",4,IF(C849="Unassigned",98,99))))))</x:f>
        <x:v>99</x:v>
      </x:c>
    </x:row>
    <x:row r="850">
      <x:c r="A850" s="4" t="inlineStr">
        <x:is>
          <x:t xml:space="preserve">proposal.salvage.expedition_cookpot</x:t>
        </x:is>
      </x:c>
      <x:c r="B850" s="4" t="inlineStr">
        <x:is>
          <x:t xml:space="preserve">Dented expedition cookpot</x:t>
        </x:is>
      </x:c>
      <x:c r="C850" s="4" t="inlineStr">
        <x:is>
          <x:t xml:space="preserve">T0</x:t>
        </x:is>
      </x:c>
      <x:c r="D850" s="4" t="inlineStr">
        <x:is>
          <x:t xml:space="preserve">Salvage</x:t>
        </x:is>
      </x:c>
      <x:c r="E850" s="4" t="inlineStr">
        <x:is>
          <x:t xml:space="preserve">Cooking &amp; ignition</x:t>
        </x:is>
      </x:c>
      <x:c r="F850" s="4" t="inlineStr">
        <x:is>
          <x:t xml:space="preserve">New proposal</x:t>
        </x:is>
      </x:c>
      <x:c r="G850" s="4" t="inlineStr">
        <x:is>
          <x:t xml:space="preserve">A battered metal meal pot recovered from an old camp. An intact body could return to food-heating service after cleaning and inspection; a split one is a metal-recovery candidate. No ordinary combustion or free-water cooking assumed.</x:t>
        </x:is>
      </x:c>
      <x:c r="H850" s="4" t="inlineStr">
        <x:is>
          <x:t xml:space="preserve">None</x:t>
        </x:is>
      </x:c>
      <x:c r="I850" s="4" t="inlineStr">
        <x:is>
          <x:t xml:space="preserve">Physical inventory / cargo item; dimensions and packing unresolved</x:t>
        </x:is>
      </x:c>
      <x:c r="J850" s="4"/>
      <x:c r="K850"/>
      <x:c r="L850" t="inlineStr">
        <x:is>
          <x:t xml:space="preserve">Search abandoned camps, failed expedition sites, scattered gear and discarded settler or Booter equipment. Specific sites and drop rules remain proposals.</x:t>
        </x:is>
      </x:c>
      <x:c r="M850" s="4" t="inlineStr">
        <x:is>
          <x:t xml:space="preserve">Recover and inspect the physical item before reuse, repair or material recovery. No recipe, salvage yield or automatic conversion into usable gear is authored.</x:t>
        </x:is>
      </x:c>
      <x:c r="N850" s="4" t="inlineStr">
        <x:is>
          <x:t xml:space="preserve">Not implemented</x:t>
        </x:is>
      </x:c>
      <x:c r="O850" s="4" t="inlineStr">
        <x:is>
          <x:t xml:space="preserve">As-found condition does not establish safe operation or compatible fit. Contents, stored energy and usable parts are not granted by finding the outer item.</x:t>
        </x:is>
      </x:c>
      <x:c r="P850" s="4" t="inlineStr">
        <x:is>
          <x:t xml:space="preserve">Common</x:t>
        </x:is>
      </x:c>
      <x:c r="Q850" s="4"/>
      <x:c r="R850"/>
      <x:c r="S850"/>
      <x:c r="T850"/>
      <x:c r="U850" t="inlineStr">
        <x:is>
          <x:t xml:space="preserve">Artwork direction: A squat dented pot with one bent loop handle and a badly fitting lid. Fit, safe use and manufacturing details remain proposals.</x:t>
        </x:is>
      </x:c>
      <x:c r="V850" s="4" t="inlineStr">
        <x:is>
          <x:t xml:space="preserve">dented expedition cookpot; camp life; everyday object; Expedition recovery; Cooking &amp; ignition</x:t>
        </x:is>
      </x:c>
      <x:c r="W850"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0" s="4" t="inlineStr">
        <x:is>
          <x:t xml:space="preserve">Household utensil</x:t>
        </x:is>
      </x:c>
      <x:c r="Y850" s="4" t="inlineStr">
        <x:is>
          <x:t xml:space="preserve">Recovered part</x:t>
        </x:is>
      </x:c>
      <x:c r="Z850" s="4" t="inlineStr">
        <x:is>
          <x:t xml:space="preserve">Industrial salvage</x:t>
        </x:is>
      </x:c>
      <x:c r="AA850" s="4" t="inlineStr">
        <x:is>
          <x:t xml:space="preserve">Cooking</x:t>
        </x:is>
      </x:c>
      <x:c r="AB850" s="4" t="inlineStr">
        <x:is>
          <x:t xml:space="preserve">Metal</x:t>
        </x:is>
      </x:c>
      <x:c r="AC850" s="4" t="inlineStr">
        <x:is>
          <x:t xml:space="preserve">Assembly</x:t>
        </x:is>
      </x:c>
      <x:c r="AD850" s="4" t="inlineStr">
        <x:is>
          <x:t xml:space="preserve">Proposal</x:t>
        </x:is>
      </x:c>
      <x:c r="AE850" s="4" t="str">
        <x:f>LOWER(A850&amp;"; "&amp;B850&amp;"; "&amp;D850&amp;"; "&amp;E850&amp;"; "&amp;X850&amp;"; "&amp;Y850&amp;"; "&amp;Z850&amp;"; "&amp;AA850&amp;"; "&amp;AB850&amp;"; "&amp;AC850&amp;"; "&amp;AD850&amp;"; "&amp;V850&amp;"; "&amp;C850&amp;"; "&amp;AH850&amp;"; "&amp;AI850)</x:f>
        <x:v>proposal.salvage.expedition_cookpot; dented expedition cookpot; salvage; cooking &amp; ignition; household utensil; recovered part; industrial salvage; cooking; metal; assembly; proposal; dented expedition cookpot; camp life; everyday object; expedition recovery; cooking &amp; ignition; t0; t0; component</x:v>
      </x:c>
      <x:c r="AF850" s="4" t="inlineStr">
        <x:is>
          <x:t xml:space="preserve">Author-requested expedition salvage concept. Recovery category records where and in what condition it is found; qualification for reuse remains unresolved. Author correction: all cooking equipment and related household food-preparation records belong in Camp items, including the cooking station and damaged cooking vessels. Classification does not repair salvage or establish working equipment. Author direction October 16: all Camp items are Salvage; retire the Camp items section. Item identity, condition, tiers, purposes and recipe semantics remain unchanged.</x:t>
        </x:is>
      </x:c>
      <x:c r="AG850" s="4" t="inlineStr">
        <x:is>
          <x:t xml:space="preserve">T0 is the as-found recovery stage, independent of original manufacturing complexity or rarity. A qualified reusable form requires a separate readiness record; no repair recipe or free replacement item is implied.</x:t>
        </x:is>
      </x:c>
      <x:c r="AH850" s="4" t="inlineStr">
        <x:is>
          <x:t xml:space="preserve">T0</x:t>
        </x:is>
      </x:c>
      <x:c r="AI850" s="4" t="inlineStr">
        <x:is>
          <x:t xml:space="preserve">Component</x:t>
        </x:is>
      </x:c>
      <x:c r="AJ850" s="4">
        <x:f>COUNTIFS('Material routes'!$D$6:$D$2205,A850,'Material routes'!$C$6:$C$2205,"Output")</x:f>
        <x:v>0</x:v>
      </x:c>
      <x:c r="AK850" s="4">
        <x:f>SUM(COUNTIFS('Material routes'!$D$6:$D$2205,A850,'Material routes'!$C$6:$C$2205,"Ingredient candidate"),COUNTIFS('Material routes'!$D$6:$D$2205,A850,'Material routes'!$C$6:$C$2205,"Consumed input"),COUNTIFS('Material routes'!$D$6:$D$2205,A850,'Material routes'!$C$6:$C$2205,"Contained input"),COUNTIFS('Material routes'!$D$6:$D$2205,A850,'Material routes'!$C$6:$C$2205,"Transform input"))</x:f>
        <x:v>0</x:v>
      </x:c>
      <x:c r="AL850" s="4">
        <x:f>COUNTIFS('Material routes'!$D$6:$D$2205,A850,'Material routes'!$C$6:$C$2205,"Tool candidate")</x:f>
        <x:v>0</x:v>
      </x:c>
      <x:c r="AM850" s="4" t="str">
        <x:f>IF(AJ850&gt;0,"Route listed; review status/completeness",IF(C850="T0","Raw entry feed; no production route","No production route listed"))</x:f>
        <x:v>Raw entry feed; no production route</x:v>
      </x:c>
      <x:c r="AN850" s="4">
        <x:f>IF(C850="T0",0,IF(C850="T1",1,IF(C850="T2",2,IF(C850="T3",3,IF(C850="T4",4,IF(C850="Unassigned",98,99))))))</x:f>
        <x:v>0</x:v>
      </x:c>
    </x:row>
    <x:row r="851">
      <x:c r="A851" s="4" t="inlineStr">
        <x:is>
          <x:t xml:space="preserve">proposal.salvage.buckled_pack_frame</x:t>
        </x:is>
      </x:c>
      <x:c r="B851" s="4" t="inlineStr">
        <x:is>
          <x:t xml:space="preserve">Buckled pack frame</x:t>
        </x:is>
      </x:c>
      <x:c r="C851" s="4" t="inlineStr">
        <x:is>
          <x:t xml:space="preserve">T0</x:t>
        </x:is>
      </x:c>
      <x:c r="D851" s="4" t="inlineStr">
        <x:is>
          <x:t xml:space="preserve">Salvage</x:t>
        </x:is>
      </x:c>
      <x:c r="E851" s="4" t="inlineStr">
        <x:is>
          <x:t xml:space="preserve">Expedition recovery</x:t>
        </x:is>
      </x:c>
      <x:c r="F851" s="4" t="inlineStr">
        <x:is>
          <x:t xml:space="preserve">New proposal</x:t>
        </x:is>
      </x:c>
      <x:c r="G851" s="4" t="inlineStr">
        <x:is>
          <x:t xml:space="preserve">An exposed metal carrying frame with a bent crossbar and missing bindings. It may supply matching brackets or become a repair candidate for an existing pack; recovering it does not produce a complete backpack.</x:t>
        </x:is>
      </x:c>
      <x:c r="H851" s="4" t="inlineStr">
        <x:is>
          <x:t xml:space="preserve">None</x:t>
        </x:is>
      </x:c>
      <x:c r="I851" s="4" t="inlineStr">
        <x:is>
          <x:t xml:space="preserve">Physical inventory / cargo item; dimensions and packing unresolved</x:t>
        </x:is>
      </x:c>
      <x:c r="J851" s="4"/>
      <x:c r="K851"/>
      <x:c r="L851" t="inlineStr">
        <x:is>
          <x:t xml:space="preserve">Search abandoned camps, failed expedition sites, scattered gear and discarded settler or Booter equipment. Specific sites and drop rules remain proposals.</x:t>
        </x:is>
      </x:c>
      <x:c r="M851" s="4" t="inlineStr">
        <x:is>
          <x:t xml:space="preserve">Recover and inspect the physical item before reuse, repair or material recovery. No recipe, salvage yield or automatic conversion into usable gear is authored.</x:t>
        </x:is>
      </x:c>
      <x:c r="N851" s="4" t="inlineStr">
        <x:is>
          <x:t xml:space="preserve">Not implemented</x:t>
        </x:is>
      </x:c>
      <x:c r="O851" s="4" t="inlineStr">
        <x:is>
          <x:t xml:space="preserve">As-found condition does not establish safe operation or compatible fit. Contents, stored energy and usable parts are not granted by finding the outer item.</x:t>
        </x:is>
      </x:c>
      <x:c r="P851" s="4" t="inlineStr">
        <x:is>
          <x:t xml:space="preserve">Common</x:t>
        </x:is>
      </x:c>
      <x:c r="Q851" s="4"/>
      <x:c r="R851"/>
      <x:c r="S851"/>
      <x:c r="T851"/>
      <x:c r="U851" t="inlineStr">
        <x:is>
          <x:t xml:space="preserve">Artwork direction: A narrow ladder-like frame with a skewed crossbar and two bare attachment eyes. Fit, safe use and manufacturing details remain proposals.</x:t>
        </x:is>
      </x:c>
      <x:c r="V851" s="4" t="inlineStr">
        <x:is>
          <x:t xml:space="preserve">buckled pack frame; camp life; everyday object</x:t>
        </x:is>
      </x:c>
      <x:c r="W851"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1" s="4" t="inlineStr">
        <x:is>
          <x:t xml:space="preserve">Carrier</x:t>
        </x:is>
      </x:c>
      <x:c r="Y851" s="4" t="inlineStr">
        <x:is>
          <x:t xml:space="preserve">Recovered part</x:t>
        </x:is>
      </x:c>
      <x:c r="Z851" s="4" t="inlineStr">
        <x:is>
          <x:t xml:space="preserve">Industrial salvage</x:t>
        </x:is>
      </x:c>
      <x:c r="AA851" s="4" t="inlineStr">
        <x:is>
          <x:t xml:space="preserve">Cargo organization</x:t>
        </x:is>
      </x:c>
      <x:c r="AB851" s="4" t="inlineStr">
        <x:is>
          <x:t xml:space="preserve">Metal</x:t>
        </x:is>
      </x:c>
      <x:c r="AC851" s="4" t="inlineStr">
        <x:is>
          <x:t xml:space="preserve">Assembly</x:t>
        </x:is>
      </x:c>
      <x:c r="AD851" s="4" t="inlineStr">
        <x:is>
          <x:t xml:space="preserve">Proposal</x:t>
        </x:is>
      </x:c>
      <x:c r="AE851" s="4" t="str">
        <x:f>LOWER(A851&amp;"; "&amp;B851&amp;"; "&amp;D851&amp;"; "&amp;E851&amp;"; "&amp;X851&amp;"; "&amp;Y851&amp;"; "&amp;Z851&amp;"; "&amp;AA851&amp;"; "&amp;AB851&amp;"; "&amp;AC851&amp;"; "&amp;AD851&amp;"; "&amp;V851&amp;"; "&amp;C851&amp;"; "&amp;AH851&amp;"; "&amp;AI851)</x:f>
        <x:v>proposal.salvage.buckled_pack_frame; buckled pack frame; salvage; expedition recovery; carrier; recovered part; industrial salvage; cargo organization; metal; assembly; proposal; buckled pack frame; camp life; everyday object; t0; t0; component</x:v>
      </x:c>
      <x:c r="AF851" s="4" t="inlineStr">
        <x:is>
          <x:t xml:space="preserve">Author-requested expedition salvage concept. Recovery category records where and in what condition it is found; qualification for reuse remains unresolved.</x:t>
        </x:is>
      </x:c>
      <x:c r="AG851" s="4" t="inlineStr">
        <x:is>
          <x:t xml:space="preserve">T0 is the as-found recovery stage, independent of original manufacturing complexity or rarity. A qualified reusable form requires a separate readiness record; no repair recipe or free replacement item is implied.</x:t>
        </x:is>
      </x:c>
      <x:c r="AH851" s="4" t="inlineStr">
        <x:is>
          <x:t xml:space="preserve">T0</x:t>
        </x:is>
      </x:c>
      <x:c r="AI851" s="4" t="inlineStr">
        <x:is>
          <x:t xml:space="preserve">Component</x:t>
        </x:is>
      </x:c>
      <x:c r="AJ851" s="4">
        <x:f>COUNTIFS('Material routes'!$D$6:$D$2205,A851,'Material routes'!$C$6:$C$2205,"Output")</x:f>
        <x:v>0</x:v>
      </x:c>
      <x:c r="AK851" s="4">
        <x:f>SUM(COUNTIFS('Material routes'!$D$6:$D$2205,A851,'Material routes'!$C$6:$C$2205,"Ingredient candidate"),COUNTIFS('Material routes'!$D$6:$D$2205,A851,'Material routes'!$C$6:$C$2205,"Consumed input"),COUNTIFS('Material routes'!$D$6:$D$2205,A851,'Material routes'!$C$6:$C$2205,"Contained input"),COUNTIFS('Material routes'!$D$6:$D$2205,A851,'Material routes'!$C$6:$C$2205,"Transform input"))</x:f>
        <x:v>0</x:v>
      </x:c>
      <x:c r="AL851" s="4">
        <x:f>COUNTIFS('Material routes'!$D$6:$D$2205,A851,'Material routes'!$C$6:$C$2205,"Tool candidate")</x:f>
        <x:v>0</x:v>
      </x:c>
      <x:c r="AM851" s="4" t="str">
        <x:f>IF(AJ851&gt;0,"Route listed; review status/completeness",IF(C851="T0","Raw entry feed; no production route","No production route listed"))</x:f>
        <x:v>Raw entry feed; no production route</x:v>
      </x:c>
      <x:c r="AN851" s="4">
        <x:f>IF(C851="T0",0,IF(C851="T1",1,IF(C851="T2",2,IF(C851="T3",3,IF(C851="T4",4,IF(C851="Unassigned",98,99))))))</x:f>
        <x:v>0</x:v>
      </x:c>
    </x:row>
    <x:row r="852">
      <x:c r="A852" s="4" t="inlineStr">
        <x:is>
          <x:t xml:space="preserve">proposal.salvage.mixed_field_fasteners</x:t>
        </x:is>
      </x:c>
      <x:c r="B852" s="4" t="inlineStr">
        <x:is>
          <x:t xml:space="preserve">Mixed field-repair fasteners</x:t>
        </x:is>
      </x:c>
      <x:c r="C852" s="4" t="inlineStr">
        <x:is>
          <x:t xml:space="preserve">T0</x:t>
        </x:is>
      </x:c>
      <x:c r="D852" s="4" t="inlineStr">
        <x:is>
          <x:t xml:space="preserve">Salvage</x:t>
        </x:is>
      </x:c>
      <x:c r="E852" s="4" t="inlineStr">
        <x:is>
          <x:t xml:space="preserve">Expedition recovery</x:t>
        </x:is>
      </x:c>
      <x:c r="F852" s="4" t="inlineStr">
        <x:is>
          <x:t xml:space="preserve">New proposal</x:t>
        </x:is>
      </x:c>
      <x:c r="G852" s="4" t="inlineStr">
        <x:is>
          <x:t xml:space="preserve">A recovered handful of pins, rivets, retainers and short bolts from an abandoned repair pouch or tray. Sorting and fit checks could recover useful replacements; this differs from bent nails/rivets intended mainly as refining feed.</x:t>
        </x:is>
      </x:c>
      <x:c r="H852" s="4" t="inlineStr">
        <x:is>
          <x:t xml:space="preserve">None</x:t>
        </x:is>
      </x:c>
      <x:c r="I852" s="4" t="inlineStr">
        <x:is>
          <x:t xml:space="preserve">Physical inventory / cargo item; dimensions and packing unresolved</x:t>
        </x:is>
      </x:c>
      <x:c r="J852" s="4"/>
      <x:c r="K852"/>
      <x:c r="L852" t="inlineStr">
        <x:is>
          <x:t xml:space="preserve">Search abandoned camps, failed expedition sites, scattered gear and discarded settler or Booter equipment. Specific sites and drop rules remain proposals.</x:t>
        </x:is>
      </x:c>
      <x:c r="M852" s="4" t="inlineStr">
        <x:is>
          <x:t xml:space="preserve">Recover and inspect the physical item before reuse, repair or material recovery. No recipe, salvage yield or automatic conversion into usable gear is authored.</x:t>
        </x:is>
      </x:c>
      <x:c r="N852" s="4" t="inlineStr">
        <x:is>
          <x:t xml:space="preserve">Not implemented</x:t>
        </x:is>
      </x:c>
      <x:c r="O852" s="4" t="inlineStr">
        <x:is>
          <x:t xml:space="preserve">As-found condition does not establish safe operation or compatible fit. Contents, stored energy and usable parts are not granted by finding the outer item.</x:t>
        </x:is>
      </x:c>
      <x:c r="P852" s="4" t="inlineStr">
        <x:is>
          <x:t xml:space="preserve">Common</x:t>
        </x:is>
      </x:c>
      <x:c r="Q852" s="4"/>
      <x:c r="R852"/>
      <x:c r="S852"/>
      <x:c r="T852"/>
      <x:c r="U852" t="inlineStr">
        <x:is>
          <x:t xml:space="preserve">Artwork direction: A shallow folded metal tray holding mismatched pins, a split retainer and short bolts. Fit, safe use and manufacturing details remain proposals.</x:t>
        </x:is>
      </x:c>
      <x:c r="V852" s="4" t="inlineStr">
        <x:is>
          <x:t xml:space="preserve">mixed field-repair fasteners; camp life; everyday object</x:t>
        </x:is>
      </x:c>
      <x:c r="W852"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2" s="4" t="inlineStr">
        <x:is>
          <x:t xml:space="preserve">Crafting component</x:t>
        </x:is>
      </x:c>
      <x:c r="Y852" s="4" t="inlineStr">
        <x:is>
          <x:t xml:space="preserve">Recovered part</x:t>
        </x:is>
      </x:c>
      <x:c r="Z852" s="4" t="inlineStr">
        <x:is>
          <x:t xml:space="preserve">Industrial salvage</x:t>
        </x:is>
      </x:c>
      <x:c r="AA852" s="4" t="inlineStr">
        <x:is>
          <x:t xml:space="preserve">Equipment repair</x:t>
        </x:is>
      </x:c>
      <x:c r="AB852" s="4" t="inlineStr">
        <x:is>
          <x:t xml:space="preserve">Metal</x:t>
        </x:is>
      </x:c>
      <x:c r="AC852" s="4" t="inlineStr">
        <x:is>
          <x:t xml:space="preserve">Bundle</x:t>
        </x:is>
      </x:c>
      <x:c r="AD852" s="4" t="inlineStr">
        <x:is>
          <x:t xml:space="preserve">Proposal</x:t>
        </x:is>
      </x:c>
      <x:c r="AE852" s="4" t="str">
        <x:f>LOWER(A852&amp;"; "&amp;B852&amp;"; "&amp;D852&amp;"; "&amp;E852&amp;"; "&amp;X852&amp;"; "&amp;Y852&amp;"; "&amp;Z852&amp;"; "&amp;AA852&amp;"; "&amp;AB852&amp;"; "&amp;AC852&amp;"; "&amp;AD852&amp;"; "&amp;V852&amp;"; "&amp;C852&amp;"; "&amp;AH852&amp;"; "&amp;AI852)</x:f>
        <x:v>proposal.salvage.mixed_field_fasteners; mixed field-repair fasteners; salvage; expedition recovery; crafting component; recovered part; industrial salvage; equipment repair; metal; bundle; proposal; mixed field-repair fasteners; camp life; everyday object; t0; t0; component</x:v>
      </x:c>
      <x:c r="AF852" s="4" t="inlineStr">
        <x:is>
          <x:t xml:space="preserve">Author-requested expedition salvage concept. Recovery category records where and in what condition it is found; qualification for reuse remains unresolved.</x:t>
        </x:is>
      </x:c>
      <x:c r="AG852" s="4" t="inlineStr">
        <x:is>
          <x:t xml:space="preserve">T0 is the as-found recovery stage, independent of original manufacturing complexity or rarity. A qualified reusable form requires a separate readiness record; no repair recipe or free replacement item is implied.</x:t>
        </x:is>
      </x:c>
      <x:c r="AH852" s="4" t="inlineStr">
        <x:is>
          <x:t xml:space="preserve">T0</x:t>
        </x:is>
      </x:c>
      <x:c r="AI852" s="4" t="inlineStr">
        <x:is>
          <x:t xml:space="preserve">Component</x:t>
        </x:is>
      </x:c>
      <x:c r="AJ852" s="4">
        <x:f>COUNTIFS('Material routes'!$D$6:$D$2205,A852,'Material routes'!$C$6:$C$2205,"Output")</x:f>
        <x:v>0</x:v>
      </x:c>
      <x:c r="AK852" s="4">
        <x:f>SUM(COUNTIFS('Material routes'!$D$6:$D$2205,A852,'Material routes'!$C$6:$C$2205,"Ingredient candidate"),COUNTIFS('Material routes'!$D$6:$D$2205,A852,'Material routes'!$C$6:$C$2205,"Consumed input"),COUNTIFS('Material routes'!$D$6:$D$2205,A852,'Material routes'!$C$6:$C$2205,"Contained input"),COUNTIFS('Material routes'!$D$6:$D$2205,A852,'Material routes'!$C$6:$C$2205,"Transform input"))</x:f>
        <x:v>0</x:v>
      </x:c>
      <x:c r="AL852" s="4">
        <x:f>COUNTIFS('Material routes'!$D$6:$D$2205,A852,'Material routes'!$C$6:$C$2205,"Tool candidate")</x:f>
        <x:v>0</x:v>
      </x:c>
      <x:c r="AM852" s="4" t="str">
        <x:f>IF(AJ852&gt;0,"Route listed; review status/completeness",IF(C852="T0","Raw entry feed; no production route","No production route listed"))</x:f>
        <x:v>Raw entry feed; no production route</x:v>
      </x:c>
      <x:c r="AN852" s="4">
        <x:f>IF(C852="T0",0,IF(C852="T1",1,IF(C852="T2",2,IF(C852="T3",3,IF(C852="T4",4,IF(C852="Unassigned",98,99))))))</x:f>
        <x:v>0</x:v>
      </x:c>
    </x:row>
    <x:row r="853">
      <x:c r="A853" s="4" t="inlineStr">
        <x:is>
          <x:t xml:space="preserve">proposal.salvage.cracked_haul_canister</x:t>
        </x:is>
      </x:c>
      <x:c r="B853" s="4" t="inlineStr">
        <x:is>
          <x:t xml:space="preserve">Cracked empty haul canister</x:t>
        </x:is>
      </x:c>
      <x:c r="C853" s="4" t="inlineStr">
        <x:is>
          <x:t xml:space="preserve">T0</x:t>
        </x:is>
      </x:c>
      <x:c r="D853" s="4" t="inlineStr">
        <x:is>
          <x:t xml:space="preserve">Salvage</x:t>
        </x:is>
      </x:c>
      <x:c r="E853" s="4" t="inlineStr">
        <x:is>
          <x:t xml:space="preserve">Expedition recovery</x:t>
        </x:is>
      </x:c>
      <x:c r="F853" s="4" t="inlineStr">
        <x:is>
          <x:t xml:space="preserve">New proposal</x:t>
        </x:is>
      </x:c>
      <x:c r="G853" s="4" t="inlineStr">
        <x:is>
          <x:t xml:space="preserve">A discarded transport canister with a cracked seam and missing closure. Its body, collar or fittings may be worth recovering after inspection. It supplies no chemicals, food or living algae reserve and is not ready for containment service.</x:t>
        </x:is>
      </x:c>
      <x:c r="H853" s="4" t="inlineStr">
        <x:is>
          <x:t xml:space="preserve">None</x:t>
        </x:is>
      </x:c>
      <x:c r="I853" s="4" t="inlineStr">
        <x:is>
          <x:t xml:space="preserve">Physical inventory / cargo item; dimensions and packing unresolved</x:t>
        </x:is>
      </x:c>
      <x:c r="J853" s="4"/>
      <x:c r="K853"/>
      <x:c r="L853" t="inlineStr">
        <x:is>
          <x:t xml:space="preserve">Search abandoned camps, failed expedition sites, scattered gear and discarded settler or Booter equipment. Specific sites and drop rules remain proposals.</x:t>
        </x:is>
      </x:c>
      <x:c r="M853" s="4" t="inlineStr">
        <x:is>
          <x:t xml:space="preserve">Recover and inspect the physical item before reuse, repair or material recovery. No recipe, salvage yield or automatic conversion into usable gear is authored.</x:t>
        </x:is>
      </x:c>
      <x:c r="N853" s="4" t="inlineStr">
        <x:is>
          <x:t xml:space="preserve">Not implemented</x:t>
        </x:is>
      </x:c>
      <x:c r="O853" s="4" t="inlineStr">
        <x:is>
          <x:t xml:space="preserve">As-found condition does not establish safe operation or compatible fit. Contents, stored energy and usable parts are not granted by finding the outer item.</x:t>
        </x:is>
      </x:c>
      <x:c r="P853" s="4" t="inlineStr">
        <x:is>
          <x:t xml:space="preserve">Common</x:t>
        </x:is>
      </x:c>
      <x:c r="Q853" s="4"/>
      <x:c r="R853"/>
      <x:c r="S853"/>
      <x:c r="T853"/>
      <x:c r="U853" t="inlineStr">
        <x:is>
          <x:t xml:space="preserve">Artwork direction: A short cylindrical canister with an exposed mouth, split side seam and uneven base. Fit, safe use and manufacturing details remain proposals.</x:t>
        </x:is>
      </x:c>
      <x:c r="V853" s="4" t="inlineStr">
        <x:is>
          <x:t xml:space="preserve">cracked empty haul canister; camp life; everyday object</x:t>
        </x:is>
      </x:c>
      <x:c r="W853"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3" s="4" t="inlineStr">
        <x:is>
          <x:t xml:space="preserve">Container</x:t>
        </x:is>
      </x:c>
      <x:c r="Y853" s="4" t="inlineStr">
        <x:is>
          <x:t xml:space="preserve">Recovered part</x:t>
        </x:is>
      </x:c>
      <x:c r="Z853" s="4" t="inlineStr">
        <x:is>
          <x:t xml:space="preserve">Industrial salvage</x:t>
        </x:is>
      </x:c>
      <x:c r="AA853" s="4" t="inlineStr">
        <x:is>
          <x:t xml:space="preserve">Liquid and bulk containment</x:t>
        </x:is>
      </x:c>
      <x:c r="AB853" s="4" t="inlineStr">
        <x:is>
          <x:t xml:space="preserve">Metal</x:t>
        </x:is>
      </x:c>
      <x:c r="AC853" s="4" t="inlineStr">
        <x:is>
          <x:t xml:space="preserve">Assembly</x:t>
        </x:is>
      </x:c>
      <x:c r="AD853" s="4" t="inlineStr">
        <x:is>
          <x:t xml:space="preserve">Proposal</x:t>
        </x:is>
      </x:c>
      <x:c r="AE853" s="4" t="str">
        <x:f>LOWER(A853&amp;"; "&amp;B853&amp;"; "&amp;D853&amp;"; "&amp;E853&amp;"; "&amp;X853&amp;"; "&amp;Y853&amp;"; "&amp;Z853&amp;"; "&amp;AA853&amp;"; "&amp;AB853&amp;"; "&amp;AC853&amp;"; "&amp;AD853&amp;"; "&amp;V853&amp;"; "&amp;C853&amp;"; "&amp;AH853&amp;"; "&amp;AI853)</x:f>
        <x:v>proposal.salvage.cracked_haul_canister; cracked empty haul canister; salvage; expedition recovery; container; recovered part; industrial salvage; liquid and bulk containment; metal; assembly; proposal; cracked empty haul canister; camp life; everyday object; t0; t0; component</x:v>
      </x:c>
      <x:c r="AF853" s="4" t="inlineStr">
        <x:is>
          <x:t xml:space="preserve">Author-requested expedition salvage concept. Recovery category records where and in what condition it is found; qualification for reuse remains unresolved.</x:t>
        </x:is>
      </x:c>
      <x:c r="AG853" s="4" t="inlineStr">
        <x:is>
          <x:t xml:space="preserve">T0 is the as-found recovery stage, independent of original manufacturing complexity or rarity. A qualified reusable form requires a separate readiness record; no repair recipe or free replacement item is implied.</x:t>
        </x:is>
      </x:c>
      <x:c r="AH853" s="4" t="inlineStr">
        <x:is>
          <x:t xml:space="preserve">T0</x:t>
        </x:is>
      </x:c>
      <x:c r="AI853" s="4" t="inlineStr">
        <x:is>
          <x:t xml:space="preserve">Component</x:t>
        </x:is>
      </x:c>
      <x:c r="AJ853" s="4">
        <x:f>COUNTIFS('Material routes'!$D$6:$D$2205,A853,'Material routes'!$C$6:$C$2205,"Output")</x:f>
        <x:v>0</x:v>
      </x:c>
      <x:c r="AK853" s="4">
        <x:f>SUM(COUNTIFS('Material routes'!$D$6:$D$2205,A853,'Material routes'!$C$6:$C$2205,"Ingredient candidate"),COUNTIFS('Material routes'!$D$6:$D$2205,A853,'Material routes'!$C$6:$C$2205,"Consumed input"),COUNTIFS('Material routes'!$D$6:$D$2205,A853,'Material routes'!$C$6:$C$2205,"Contained input"),COUNTIFS('Material routes'!$D$6:$D$2205,A853,'Material routes'!$C$6:$C$2205,"Transform input"))</x:f>
        <x:v>0</x:v>
      </x:c>
      <x:c r="AL853" s="4">
        <x:f>COUNTIFS('Material routes'!$D$6:$D$2205,A853,'Material routes'!$C$6:$C$2205,"Tool candidate")</x:f>
        <x:v>0</x:v>
      </x:c>
      <x:c r="AM853" s="4" t="str">
        <x:f>IF(AJ853&gt;0,"Route listed; review status/completeness",IF(C853="T0","Raw entry feed; no production route","No production route listed"))</x:f>
        <x:v>Raw entry feed; no production route</x:v>
      </x:c>
      <x:c r="AN853" s="4">
        <x:f>IF(C853="T0",0,IF(C853="T1",1,IF(C853="T2",2,IF(C853="T3",3,IF(C853="T4",4,IF(C853="Unassigned",98,99))))))</x:f>
        <x:v>0</x:v>
      </x:c>
    </x:row>
    <x:row r="854">
      <x:c r="A854" s="4" t="inlineStr">
        <x:is>
          <x:t xml:space="preserve">proposal.salvage.worn_boot_sole_plates</x:t>
        </x:is>
      </x:c>
      <x:c r="B854" s="4" t="inlineStr">
        <x:is>
          <x:t xml:space="preserve">Worn boot sole plates</x:t>
        </x:is>
      </x:c>
      <x:c r="C854" s="4" t="inlineStr">
        <x:is>
          <x:t xml:space="preserve">T0</x:t>
        </x:is>
      </x:c>
      <x:c r="D854" s="4" t="inlineStr">
        <x:is>
          <x:t xml:space="preserve">Salvage</x:t>
        </x:is>
      </x:c>
      <x:c r="E854" s="4" t="inlineStr">
        <x:is>
          <x:t xml:space="preserve">Expedition recovery</x:t>
        </x:is>
      </x:c>
      <x:c r="F854" s="4" t="inlineStr">
        <x:is>
          <x:t xml:space="preserve">New proposal</x:t>
        </x:is>
      </x:c>
      <x:c r="G854" s="4" t="inlineStr">
        <x:is>
          <x:t xml:space="preserve">A mismatched pair of worn metal sole pieces found among discarded travel gear. Surviving tread and fixing holes may be repair references or donor parts, without granting a complete wearable pair of boots.</x:t>
        </x:is>
      </x:c>
      <x:c r="H854" s="4" t="inlineStr">
        <x:is>
          <x:t xml:space="preserve">None</x:t>
        </x:is>
      </x:c>
      <x:c r="I854" s="4" t="inlineStr">
        <x:is>
          <x:t xml:space="preserve">Physical inventory / cargo item; dimensions and packing unresolved</x:t>
        </x:is>
      </x:c>
      <x:c r="J854" s="4"/>
      <x:c r="K854"/>
      <x:c r="L854" t="inlineStr">
        <x:is>
          <x:t xml:space="preserve">Search abandoned camps, failed expedition sites, scattered gear and discarded settler or Booter equipment. Specific sites and drop rules remain proposals.</x:t>
        </x:is>
      </x:c>
      <x:c r="M854" s="4" t="inlineStr">
        <x:is>
          <x:t xml:space="preserve">Recover and inspect the physical item before reuse, repair or material recovery. No recipe, salvage yield or automatic conversion into usable gear is authored.</x:t>
        </x:is>
      </x:c>
      <x:c r="N854" s="4" t="inlineStr">
        <x:is>
          <x:t xml:space="preserve">Not implemented</x:t>
        </x:is>
      </x:c>
      <x:c r="O854" s="4" t="inlineStr">
        <x:is>
          <x:t xml:space="preserve">As-found condition does not establish safe operation or compatible fit. Contents, stored energy and usable parts are not granted by finding the outer item.</x:t>
        </x:is>
      </x:c>
      <x:c r="P854" s="4" t="inlineStr">
        <x:is>
          <x:t xml:space="preserve">Common</x:t>
        </x:is>
      </x:c>
      <x:c r="Q854" s="4"/>
      <x:c r="R854"/>
      <x:c r="S854"/>
      <x:c r="T854"/>
      <x:c r="U854" t="inlineStr">
        <x:is>
          <x:t xml:space="preserve">Artwork direction: Two uneven foot-shaped metal plates, one deeply worn and missing its heel edge. Fit, safe use and manufacturing details remain proposals.</x:t>
        </x:is>
      </x:c>
      <x:c r="V854" s="4" t="inlineStr">
        <x:is>
          <x:t xml:space="preserve">worn boot sole plates; camp life; everyday object</x:t>
        </x:is>
      </x:c>
      <x:c r="W854"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4" s="4" t="inlineStr">
        <x:is>
          <x:t xml:space="preserve">Crafting component</x:t>
        </x:is>
      </x:c>
      <x:c r="Y854" s="4" t="inlineStr">
        <x:is>
          <x:t xml:space="preserve">Recovered part</x:t>
        </x:is>
      </x:c>
      <x:c r="Z854" s="4" t="inlineStr">
        <x:is>
          <x:t xml:space="preserve">Industrial salvage</x:t>
        </x:is>
      </x:c>
      <x:c r="AA854" s="4" t="inlineStr">
        <x:is>
          <x:t xml:space="preserve">Equipment repair</x:t>
        </x:is>
      </x:c>
      <x:c r="AB854" s="4" t="inlineStr">
        <x:is>
          <x:t xml:space="preserve">Metal</x:t>
        </x:is>
      </x:c>
      <x:c r="AC854" s="4" t="inlineStr">
        <x:is>
          <x:t xml:space="preserve">Bundle</x:t>
        </x:is>
      </x:c>
      <x:c r="AD854" s="4" t="inlineStr">
        <x:is>
          <x:t xml:space="preserve">Proposal</x:t>
        </x:is>
      </x:c>
      <x:c r="AE854" s="4" t="str">
        <x:f>LOWER(A854&amp;"; "&amp;B854&amp;"; "&amp;D854&amp;"; "&amp;E854&amp;"; "&amp;X854&amp;"; "&amp;Y854&amp;"; "&amp;Z854&amp;"; "&amp;AA854&amp;"; "&amp;AB854&amp;"; "&amp;AC854&amp;"; "&amp;AD854&amp;"; "&amp;V854&amp;"; "&amp;C854&amp;"; "&amp;AH854&amp;"; "&amp;AI854)</x:f>
        <x:v>proposal.salvage.worn_boot_sole_plates; worn boot sole plates; salvage; expedition recovery; crafting component; recovered part; industrial salvage; equipment repair; metal; bundle; proposal; worn boot sole plates; camp life; everyday object; t0; t0; component</x:v>
      </x:c>
      <x:c r="AF854" s="4" t="inlineStr">
        <x:is>
          <x:t xml:space="preserve">Author-requested expedition salvage concept. Recovery category records where and in what condition it is found; qualification for reuse remains unresolved.</x:t>
        </x:is>
      </x:c>
      <x:c r="AG854" s="4" t="inlineStr">
        <x:is>
          <x:t xml:space="preserve">T0 is the as-found recovery stage, independent of original manufacturing complexity or rarity. A qualified reusable form requires a separate readiness record; no repair recipe or free replacement item is implied.</x:t>
        </x:is>
      </x:c>
      <x:c r="AH854" s="4" t="inlineStr">
        <x:is>
          <x:t xml:space="preserve">T0</x:t>
        </x:is>
      </x:c>
      <x:c r="AI854" s="4" t="inlineStr">
        <x:is>
          <x:t xml:space="preserve">Component</x:t>
        </x:is>
      </x:c>
      <x:c r="AJ854" s="4">
        <x:f>COUNTIFS('Material routes'!$D$6:$D$2205,A854,'Material routes'!$C$6:$C$2205,"Output")</x:f>
        <x:v>0</x:v>
      </x:c>
      <x:c r="AK854" s="4">
        <x:f>SUM(COUNTIFS('Material routes'!$D$6:$D$2205,A854,'Material routes'!$C$6:$C$2205,"Ingredient candidate"),COUNTIFS('Material routes'!$D$6:$D$2205,A854,'Material routes'!$C$6:$C$2205,"Consumed input"),COUNTIFS('Material routes'!$D$6:$D$2205,A854,'Material routes'!$C$6:$C$2205,"Contained input"),COUNTIFS('Material routes'!$D$6:$D$2205,A854,'Material routes'!$C$6:$C$2205,"Transform input"))</x:f>
        <x:v>0</x:v>
      </x:c>
      <x:c r="AL854" s="4">
        <x:f>COUNTIFS('Material routes'!$D$6:$D$2205,A854,'Material routes'!$C$6:$C$2205,"Tool candidate")</x:f>
        <x:v>0</x:v>
      </x:c>
      <x:c r="AM854" s="4" t="str">
        <x:f>IF(AJ854&gt;0,"Route listed; review status/completeness",IF(C854="T0","Raw entry feed; no production route","No production route listed"))</x:f>
        <x:v>Raw entry feed; no production route</x:v>
      </x:c>
      <x:c r="AN854" s="4">
        <x:f>IF(C854="T0",0,IF(C854="T1",1,IF(C854="T2",2,IF(C854="T3",3,IF(C854="T4",4,IF(C854="Unassigned",98,99))))))</x:f>
        <x:v>0</x:v>
      </x:c>
    </x:row>
    <x:row r="855">
      <x:c r="A855" s="4" t="inlineStr">
        <x:is>
          <x:t xml:space="preserve">proposal.salvage.weathered_route_plates</x:t>
        </x:is>
      </x:c>
      <x:c r="B855" s="4" t="inlineStr">
        <x:is>
          <x:t xml:space="preserve">Weathered expedition route plates</x:t>
        </x:is>
      </x:c>
      <x:c r="C855" s="4" t="inlineStr">
        <x:is>
          <x:t xml:space="preserve">T0</x:t>
        </x:is>
      </x:c>
      <x:c r="D855" s="4" t="inlineStr">
        <x:is>
          <x:t xml:space="preserve">Salvage</x:t>
        </x:is>
      </x:c>
      <x:c r="E855" s="4" t="inlineStr">
        <x:is>
          <x:t xml:space="preserve">Expedition recovery</x:t>
        </x:is>
      </x:c>
      <x:c r="F855" s="4" t="inlineStr">
        <x:is>
          <x:t xml:space="preserve">New proposal</x:t>
        </x:is>
      </x:c>
      <x:c r="G855" s="4" t="inlineStr">
        <x:is>
          <x:t xml:space="preserve">Small inscribed metal plates recovered from a previous expedition's belongings. Surviving marks might provide a route clue or record of intent after interpretation; accuracy, age and useful information remain open. They do not automatically reveal map locations.</x:t>
        </x:is>
      </x:c>
      <x:c r="H855" s="4" t="inlineStr">
        <x:is>
          <x:t xml:space="preserve">None</x:t>
        </x:is>
      </x:c>
      <x:c r="I855" s="4" t="inlineStr">
        <x:is>
          <x:t xml:space="preserve">Physical inventory / cargo item; dimensions and packing unresolved</x:t>
        </x:is>
      </x:c>
      <x:c r="J855" s="4"/>
      <x:c r="K855"/>
      <x:c r="L855" t="inlineStr">
        <x:is>
          <x:t xml:space="preserve">Search abandoned camps, failed expedition sites, scattered gear and discarded settler or Booter equipment. Specific sites and drop rules remain proposals.</x:t>
        </x:is>
      </x:c>
      <x:c r="M855" s="4" t="inlineStr">
        <x:is>
          <x:t xml:space="preserve">Recover and inspect the physical item before reuse, repair or material recovery. No recipe, salvage yield or automatic conversion into usable gear is authored.</x:t>
        </x:is>
      </x:c>
      <x:c r="N855" s="4" t="inlineStr">
        <x:is>
          <x:t xml:space="preserve">Not implemented</x:t>
        </x:is>
      </x:c>
      <x:c r="O855" s="4" t="inlineStr">
        <x:is>
          <x:t xml:space="preserve">As-found condition does not establish safe operation or compatible fit. Contents, stored energy and usable parts are not granted by finding the outer item.</x:t>
        </x:is>
      </x:c>
      <x:c r="P855" s="4" t="inlineStr">
        <x:is>
          <x:t xml:space="preserve">Common</x:t>
        </x:is>
      </x:c>
      <x:c r="Q855" s="4"/>
      <x:c r="R855"/>
      <x:c r="S855"/>
      <x:c r="T855"/>
      <x:c r="U855" t="inlineStr">
        <x:is>
          <x:t xml:space="preserve">Artwork direction: Three overlapping rectangular plates with scratched lines and a broken hanging hole. Fit, safe use and manufacturing details remain proposals.</x:t>
        </x:is>
      </x:c>
      <x:c r="V855" s="4" t="inlineStr">
        <x:is>
          <x:t xml:space="preserve">weathered expedition route plates; camp life; everyday object</x:t>
        </x:is>
      </x:c>
      <x:c r="W855"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5" s="4" t="inlineStr">
        <x:is>
          <x:t xml:space="preserve">Document</x:t>
        </x:is>
      </x:c>
      <x:c r="Y855" s="4" t="inlineStr">
        <x:is>
          <x:t xml:space="preserve">Recovered part</x:t>
        </x:is>
      </x:c>
      <x:c r="Z855" s="4" t="inlineStr">
        <x:is>
          <x:t xml:space="preserve">Industrial salvage</x:t>
        </x:is>
      </x:c>
      <x:c r="AA855" s="4" t="inlineStr">
        <x:is>
          <x:t xml:space="preserve">Writing and records</x:t>
        </x:is>
      </x:c>
      <x:c r="AB855" s="4" t="inlineStr">
        <x:is>
          <x:t xml:space="preserve">Metal</x:t>
        </x:is>
      </x:c>
      <x:c r="AC855" s="4" t="inlineStr">
        <x:is>
          <x:t xml:space="preserve">Bundle</x:t>
        </x:is>
      </x:c>
      <x:c r="AD855" s="4" t="inlineStr">
        <x:is>
          <x:t xml:space="preserve">Proposal</x:t>
        </x:is>
      </x:c>
      <x:c r="AE855" s="4" t="str">
        <x:f>LOWER(A855&amp;"; "&amp;B855&amp;"; "&amp;D855&amp;"; "&amp;E855&amp;"; "&amp;X855&amp;"; "&amp;Y855&amp;"; "&amp;Z855&amp;"; "&amp;AA855&amp;"; "&amp;AB855&amp;"; "&amp;AC855&amp;"; "&amp;AD855&amp;"; "&amp;V855&amp;"; "&amp;C855&amp;"; "&amp;AH855&amp;"; "&amp;AI855)</x:f>
        <x:v>proposal.salvage.weathered_route_plates; weathered expedition route plates; salvage; expedition recovery; document; recovered part; industrial salvage; writing and records; metal; bundle; proposal; weathered expedition route plates; camp life; everyday object; t0; t0; component</x:v>
      </x:c>
      <x:c r="AF855" s="4" t="inlineStr">
        <x:is>
          <x:t xml:space="preserve">Author-requested expedition salvage concept. Recovery category records where and in what condition it is found; qualification for reuse remains unresolved.</x:t>
        </x:is>
      </x:c>
      <x:c r="AG855" s="4" t="inlineStr">
        <x:is>
          <x:t xml:space="preserve">T0 is the as-found recovery stage, independent of original manufacturing complexity or rarity. A qualified reusable form requires a separate readiness record; no repair recipe or free replacement item is implied.</x:t>
        </x:is>
      </x:c>
      <x:c r="AH855" s="4" t="inlineStr">
        <x:is>
          <x:t xml:space="preserve">T0</x:t>
        </x:is>
      </x:c>
      <x:c r="AI855" s="4" t="inlineStr">
        <x:is>
          <x:t xml:space="preserve">Component</x:t>
        </x:is>
      </x:c>
      <x:c r="AJ855" s="4">
        <x:f>COUNTIFS('Material routes'!$D$6:$D$2205,A855,'Material routes'!$C$6:$C$2205,"Output")</x:f>
        <x:v>0</x:v>
      </x:c>
      <x:c r="AK855" s="4">
        <x:f>SUM(COUNTIFS('Material routes'!$D$6:$D$2205,A855,'Material routes'!$C$6:$C$2205,"Ingredient candidate"),COUNTIFS('Material routes'!$D$6:$D$2205,A855,'Material routes'!$C$6:$C$2205,"Consumed input"),COUNTIFS('Material routes'!$D$6:$D$2205,A855,'Material routes'!$C$6:$C$2205,"Contained input"),COUNTIFS('Material routes'!$D$6:$D$2205,A855,'Material routes'!$C$6:$C$2205,"Transform input"))</x:f>
        <x:v>0</x:v>
      </x:c>
      <x:c r="AL855" s="4">
        <x:f>COUNTIFS('Material routes'!$D$6:$D$2205,A855,'Material routes'!$C$6:$C$2205,"Tool candidate")</x:f>
        <x:v>0</x:v>
      </x:c>
      <x:c r="AM855" s="4" t="str">
        <x:f>IF(AJ855&gt;0,"Route listed; review status/completeness",IF(C855="T0","Raw entry feed; no production route","No production route listed"))</x:f>
        <x:v>Raw entry feed; no production route</x:v>
      </x:c>
      <x:c r="AN855" s="4">
        <x:f>IF(C855="T0",0,IF(C855="T1",1,IF(C855="T2",2,IF(C855="T3",3,IF(C855="T4",4,IF(C855="Unassigned",98,99))))))</x:f>
        <x:v>0</x:v>
      </x:c>
    </x:row>
    <x:row r="856">
      <x:c r="A856" s="4" t="inlineStr">
        <x:is>
          <x:t xml:space="preserve">proposal.salvage.damaged_sail_hinge</x:t>
        </x:is>
      </x:c>
      <x:c r="B856" s="4" t="inlineStr">
        <x:is>
          <x:t xml:space="preserve">Damaged folding-sail hinge</x:t>
        </x:is>
      </x:c>
      <x:c r="C856" s="4" t="inlineStr">
        <x:is>
          <x:t xml:space="preserve">T0</x:t>
        </x:is>
      </x:c>
      <x:c r="D856" s="4" t="inlineStr">
        <x:is>
          <x:t xml:space="preserve">Salvage</x:t>
        </x:is>
      </x:c>
      <x:c r="E856" s="4" t="inlineStr">
        <x:is>
          <x:t xml:space="preserve">Expedition recovery</x:t>
        </x:is>
      </x:c>
      <x:c r="F856" s="4" t="inlineStr">
        <x:is>
          <x:t xml:space="preserve">New proposal</x:t>
        </x:is>
      </x:c>
      <x:c r="G856" s="4" t="inlineStr">
        <x:is>
          <x:t xml:space="preserve">A seized hinge and stop from an abandoned Booter's sail frame. Matching pins or bearing surfaces could be repair donors after inspection. No wing membrane, complete sail or universal compatibility is supplied.</x:t>
        </x:is>
      </x:c>
      <x:c r="H856" s="4" t="inlineStr">
        <x:is>
          <x:t xml:space="preserve">None</x:t>
        </x:is>
      </x:c>
      <x:c r="I856" s="4" t="inlineStr">
        <x:is>
          <x:t xml:space="preserve">Physical inventory / cargo item; dimensions and packing unresolved</x:t>
        </x:is>
      </x:c>
      <x:c r="J856" s="4"/>
      <x:c r="K856"/>
      <x:c r="L856" t="inlineStr">
        <x:is>
          <x:t xml:space="preserve">Search abandoned camps, failed expedition sites, scattered gear and discarded settler or Booter equipment. Specific sites and drop rules remain proposals.</x:t>
        </x:is>
      </x:c>
      <x:c r="M856" s="4" t="inlineStr">
        <x:is>
          <x:t xml:space="preserve">Recover and inspect the physical item before reuse, repair or material recovery. No recipe, salvage yield or automatic conversion into usable gear is authored.</x:t>
        </x:is>
      </x:c>
      <x:c r="N856" s="4" t="inlineStr">
        <x:is>
          <x:t xml:space="preserve">Not implemented</x:t>
        </x:is>
      </x:c>
      <x:c r="O856" s="4" t="inlineStr">
        <x:is>
          <x:t xml:space="preserve">As-found condition does not establish safe operation or compatible fit. Contents, stored energy and usable parts are not granted by finding the outer item.</x:t>
        </x:is>
      </x:c>
      <x:c r="P856" s="4" t="inlineStr">
        <x:is>
          <x:t xml:space="preserve">Uncommon</x:t>
        </x:is>
      </x:c>
      <x:c r="Q856" s="4"/>
      <x:c r="R856"/>
      <x:c r="S856"/>
      <x:c r="T856"/>
      <x:c r="U856" t="inlineStr">
        <x:is>
          <x:t xml:space="preserve">Artwork direction: Two folded metal hinge arms around an offset pivot, with one broken stop tooth. Fit, safe use and manufacturing details remain proposals.</x:t>
        </x:is>
      </x:c>
      <x:c r="V856" s="4" t="inlineStr">
        <x:is>
          <x:t xml:space="preserve">damaged folding-sail hinge; camp life; everyday object</x:t>
        </x:is>
      </x:c>
      <x:c r="W856"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6" s="4" t="inlineStr">
        <x:is>
          <x:t xml:space="preserve">Machine part</x:t>
        </x:is>
      </x:c>
      <x:c r="Y856" s="4" t="inlineStr">
        <x:is>
          <x:t xml:space="preserve">Recovered part</x:t>
        </x:is>
      </x:c>
      <x:c r="Z856" s="4" t="inlineStr">
        <x:is>
          <x:t xml:space="preserve">Industrial salvage</x:t>
        </x:is>
      </x:c>
      <x:c r="AA856" s="4" t="inlineStr">
        <x:is>
          <x:t xml:space="preserve">Equipment repair</x:t>
        </x:is>
      </x:c>
      <x:c r="AB856" s="4" t="inlineStr">
        <x:is>
          <x:t xml:space="preserve">Metal</x:t>
        </x:is>
      </x:c>
      <x:c r="AC856" s="4" t="inlineStr">
        <x:is>
          <x:t xml:space="preserve">Assembly</x:t>
        </x:is>
      </x:c>
      <x:c r="AD856" s="4" t="inlineStr">
        <x:is>
          <x:t xml:space="preserve">Proposal</x:t>
        </x:is>
      </x:c>
      <x:c r="AE856" s="4" t="str">
        <x:f>LOWER(A856&amp;"; "&amp;B856&amp;"; "&amp;D856&amp;"; "&amp;E856&amp;"; "&amp;X856&amp;"; "&amp;Y856&amp;"; "&amp;Z856&amp;"; "&amp;AA856&amp;"; "&amp;AB856&amp;"; "&amp;AC856&amp;"; "&amp;AD856&amp;"; "&amp;V856&amp;"; "&amp;C856&amp;"; "&amp;AH856&amp;"; "&amp;AI856)</x:f>
        <x:v>proposal.salvage.damaged_sail_hinge; damaged folding-sail hinge; salvage; expedition recovery; machine part; recovered part; industrial salvage; equipment repair; metal; assembly; proposal; damaged folding-sail hinge; camp life; everyday object; t0; t0; component</x:v>
      </x:c>
      <x:c r="AF856" s="4" t="inlineStr">
        <x:is>
          <x:t xml:space="preserve">Author-requested expedition salvage concept. Recovery category records where and in what condition it is found; qualification for reuse remains unresolved.</x:t>
        </x:is>
      </x:c>
      <x:c r="AG856" s="4" t="inlineStr">
        <x:is>
          <x:t xml:space="preserve">T0 is the as-found recovery stage, independent of original manufacturing complexity or rarity. A qualified reusable form requires a separate readiness record; no repair recipe or free replacement item is implied.</x:t>
        </x:is>
      </x:c>
      <x:c r="AH856" s="4" t="inlineStr">
        <x:is>
          <x:t xml:space="preserve">T0</x:t>
        </x:is>
      </x:c>
      <x:c r="AI856" s="4" t="inlineStr">
        <x:is>
          <x:t xml:space="preserve">Component</x:t>
        </x:is>
      </x:c>
      <x:c r="AJ856" s="4">
        <x:f>COUNTIFS('Material routes'!$D$6:$D$2205,A856,'Material routes'!$C$6:$C$2205,"Output")</x:f>
        <x:v>0</x:v>
      </x:c>
      <x:c r="AK856" s="4">
        <x:f>SUM(COUNTIFS('Material routes'!$D$6:$D$2205,A856,'Material routes'!$C$6:$C$2205,"Ingredient candidate"),COUNTIFS('Material routes'!$D$6:$D$2205,A856,'Material routes'!$C$6:$C$2205,"Consumed input"),COUNTIFS('Material routes'!$D$6:$D$2205,A856,'Material routes'!$C$6:$C$2205,"Contained input"),COUNTIFS('Material routes'!$D$6:$D$2205,A856,'Material routes'!$C$6:$C$2205,"Transform input"))</x:f>
        <x:v>0</x:v>
      </x:c>
      <x:c r="AL856" s="4">
        <x:f>COUNTIFS('Material routes'!$D$6:$D$2205,A856,'Material routes'!$C$6:$C$2205,"Tool candidate")</x:f>
        <x:v>0</x:v>
      </x:c>
      <x:c r="AM856" s="4" t="str">
        <x:f>IF(AJ856&gt;0,"Route listed; review status/completeness",IF(C856="T0","Raw entry feed; no production route","No production route listed"))</x:f>
        <x:v>Raw entry feed; no production route</x:v>
      </x:c>
      <x:c r="AN856" s="4">
        <x:f>IF(C856="T0",0,IF(C856="T1",1,IF(C856="T2",2,IF(C856="T3",3,IF(C856="T4",4,IF(C856="Unassigned",98,99))))))</x:f>
        <x:v>0</x:v>
      </x:c>
    </x:row>
    <x:row r="857">
      <x:c r="A857" s="4" t="inlineStr">
        <x:is>
          <x:t xml:space="preserve">proposal.salvage.seized_hand_drill</x:t>
        </x:is>
      </x:c>
      <x:c r="B857" s="4" t="inlineStr">
        <x:is>
          <x:t xml:space="preserve">Seized hand-crank drill</x:t>
        </x:is>
      </x:c>
      <x:c r="C857" s="4" t="inlineStr">
        <x:is>
          <x:t xml:space="preserve">T0</x:t>
        </x:is>
      </x:c>
      <x:c r="D857" s="4" t="inlineStr">
        <x:is>
          <x:t xml:space="preserve">Salvage</x:t>
        </x:is>
      </x:c>
      <x:c r="E857" s="4" t="inlineStr">
        <x:is>
          <x:t xml:space="preserve">Expedition recovery</x:t>
        </x:is>
      </x:c>
      <x:c r="F857" s="4" t="inlineStr">
        <x:is>
          <x:t xml:space="preserve">New proposal</x:t>
        </x:is>
      </x:c>
      <x:c r="G857" s="4" t="inlineStr">
        <x:is>
          <x:t xml:space="preserve">A neglected manual drill with a jammed gear train, recovered from abandoned field tools. It may retain useful jaws, gears or a repairable body. Working motion and cutting ability require qualification; the find is distinct from a ready-to-use drill.</x:t>
        </x:is>
      </x:c>
      <x:c r="H857" s="4" t="inlineStr">
        <x:is>
          <x:t xml:space="preserve">None</x:t>
        </x:is>
      </x:c>
      <x:c r="I857" s="4" t="inlineStr">
        <x:is>
          <x:t xml:space="preserve">Physical inventory / cargo item; dimensions and packing unresolved</x:t>
        </x:is>
      </x:c>
      <x:c r="J857" s="4"/>
      <x:c r="K857"/>
      <x:c r="L857" t="inlineStr">
        <x:is>
          <x:t xml:space="preserve">Search abandoned camps, failed expedition sites, scattered gear and discarded settler or Booter equipment. Specific sites and drop rules remain proposals.</x:t>
        </x:is>
      </x:c>
      <x:c r="M857" s="4" t="inlineStr">
        <x:is>
          <x:t xml:space="preserve">Recover and inspect the physical item before reuse, repair or material recovery. No recipe, salvage yield or automatic conversion into usable gear is authored.</x:t>
        </x:is>
      </x:c>
      <x:c r="N857" s="4" t="inlineStr">
        <x:is>
          <x:t xml:space="preserve">Not implemented</x:t>
        </x:is>
      </x:c>
      <x:c r="O857" s="4" t="inlineStr">
        <x:is>
          <x:t xml:space="preserve">As-found condition does not establish safe operation or compatible fit. Contents, stored energy and usable parts are not granted by finding the outer item.</x:t>
        </x:is>
      </x:c>
      <x:c r="P857" s="4" t="inlineStr">
        <x:is>
          <x:t xml:space="preserve">Uncommon</x:t>
        </x:is>
      </x:c>
      <x:c r="Q857" s="4"/>
      <x:c r="R857"/>
      <x:c r="S857"/>
      <x:c r="T857"/>
      <x:c r="U857" t="inlineStr">
        <x:is>
          <x:t xml:space="preserve">Artwork direction: A compact crank drill with exposed rusty gears, a crooked grip and an empty chuck. Fit, safe use and manufacturing details remain proposals.</x:t>
        </x:is>
      </x:c>
      <x:c r="V857" s="4" t="inlineStr">
        <x:is>
          <x:t xml:space="preserve">seized hand-crank drill; camp life; everyday object</x:t>
        </x:is>
      </x:c>
      <x:c r="W857"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7" s="4" t="inlineStr">
        <x:is>
          <x:t xml:space="preserve">Tool</x:t>
        </x:is>
      </x:c>
      <x:c r="Y857" s="4" t="inlineStr">
        <x:is>
          <x:t xml:space="preserve">Recovered part</x:t>
        </x:is>
      </x:c>
      <x:c r="Z857" s="4" t="inlineStr">
        <x:is>
          <x:t xml:space="preserve">Industrial salvage</x:t>
        </x:is>
      </x:c>
      <x:c r="AA857" s="4" t="inlineStr">
        <x:is>
          <x:t xml:space="preserve">Fabrication</x:t>
        </x:is>
      </x:c>
      <x:c r="AB857" s="4" t="inlineStr">
        <x:is>
          <x:t xml:space="preserve">Metal</x:t>
        </x:is>
      </x:c>
      <x:c r="AC857" s="4" t="inlineStr">
        <x:is>
          <x:t xml:space="preserve">Assembly</x:t>
        </x:is>
      </x:c>
      <x:c r="AD857" s="4" t="inlineStr">
        <x:is>
          <x:t xml:space="preserve">Proposal</x:t>
        </x:is>
      </x:c>
      <x:c r="AE857" s="4" t="str">
        <x:f>LOWER(A857&amp;"; "&amp;B857&amp;"; "&amp;D857&amp;"; "&amp;E857&amp;"; "&amp;X857&amp;"; "&amp;Y857&amp;"; "&amp;Z857&amp;"; "&amp;AA857&amp;"; "&amp;AB857&amp;"; "&amp;AC857&amp;"; "&amp;AD857&amp;"; "&amp;V857&amp;"; "&amp;C857&amp;"; "&amp;AH857&amp;"; "&amp;AI857)</x:f>
        <x:v>proposal.salvage.seized_hand_drill; seized hand-crank drill; salvage; expedition recovery; tool; recovered part; industrial salvage; fabrication; metal; assembly; proposal; seized hand-crank drill; camp life; everyday object; t0; t0; component</x:v>
      </x:c>
      <x:c r="AF857" s="4" t="inlineStr">
        <x:is>
          <x:t xml:space="preserve">Author-requested expedition salvage concept. Recovery category records where and in what condition it is found; qualification for reuse remains unresolved.</x:t>
        </x:is>
      </x:c>
      <x:c r="AG857" s="4" t="inlineStr">
        <x:is>
          <x:t xml:space="preserve">T0 is the as-found recovery stage, independent of original manufacturing complexity or rarity. A qualified reusable form requires a separate readiness record; no repair recipe or free replacement item is implied.</x:t>
        </x:is>
      </x:c>
      <x:c r="AH857" s="4" t="inlineStr">
        <x:is>
          <x:t xml:space="preserve">T0</x:t>
        </x:is>
      </x:c>
      <x:c r="AI857" s="4" t="inlineStr">
        <x:is>
          <x:t xml:space="preserve">Component</x:t>
        </x:is>
      </x:c>
      <x:c r="AJ857" s="4">
        <x:f>COUNTIFS('Material routes'!$D$6:$D$2205,A857,'Material routes'!$C$6:$C$2205,"Output")</x:f>
        <x:v>0</x:v>
      </x:c>
      <x:c r="AK857" s="4">
        <x:f>SUM(COUNTIFS('Material routes'!$D$6:$D$2205,A857,'Material routes'!$C$6:$C$2205,"Ingredient candidate"),COUNTIFS('Material routes'!$D$6:$D$2205,A857,'Material routes'!$C$6:$C$2205,"Consumed input"),COUNTIFS('Material routes'!$D$6:$D$2205,A857,'Material routes'!$C$6:$C$2205,"Contained input"),COUNTIFS('Material routes'!$D$6:$D$2205,A857,'Material routes'!$C$6:$C$2205,"Transform input"))</x:f>
        <x:v>0</x:v>
      </x:c>
      <x:c r="AL857" s="4">
        <x:f>COUNTIFS('Material routes'!$D$6:$D$2205,A857,'Material routes'!$C$6:$C$2205,"Tool candidate")</x:f>
        <x:v>0</x:v>
      </x:c>
      <x:c r="AM857" s="4" t="str">
        <x:f>IF(AJ857&gt;0,"Route listed; review status/completeness",IF(C857="T0","Raw entry feed; no production route","No production route listed"))</x:f>
        <x:v>Raw entry feed; no production route</x:v>
      </x:c>
      <x:c r="AN857" s="4">
        <x:f>IF(C857="T0",0,IF(C857="T1",1,IF(C857="T2",2,IF(C857="T3",3,IF(C857="T4",4,IF(C857="Unassigned",98,99))))))</x:f>
        <x:v>0</x:v>
      </x:c>
    </x:row>
    <x:row r="858">
      <x:c r="A858" s="4" t="inlineStr">
        <x:is>
          <x:t xml:space="preserve">proposal.salvage.cracked_expedition_spectacles</x:t>
        </x:is>
      </x:c>
      <x:c r="B858" s="4" t="inlineStr">
        <x:is>
          <x:t xml:space="preserve">Cracked expedition spectacles</x:t>
        </x:is>
      </x:c>
      <x:c r="C858" s="4" t="inlineStr">
        <x:is>
          <x:t xml:space="preserve">T0</x:t>
        </x:is>
      </x:c>
      <x:c r="D858" s="4" t="inlineStr">
        <x:is>
          <x:t xml:space="preserve">Salvage</x:t>
        </x:is>
      </x:c>
      <x:c r="E858" s="4" t="inlineStr">
        <x:is>
          <x:t xml:space="preserve">Expedition recovery</x:t>
        </x:is>
      </x:c>
      <x:c r="F858" s="4" t="inlineStr">
        <x:is>
          <x:t xml:space="preserve">New proposal</x:t>
        </x:is>
      </x:c>
      <x:c r="G858" s="4" t="inlineStr">
        <x:is>
          <x:t xml:space="preserve">Rare discarded eyewear with one cracked lens and a damaged frame. A surviving lens or bridge could be valuable to a specialist, but optical quality, wearer fit and safe reuse remain unresolved. No special vision effect is assigned.</x:t>
        </x:is>
      </x:c>
      <x:c r="H858" s="4" t="inlineStr">
        <x:is>
          <x:t xml:space="preserve">None</x:t>
        </x:is>
      </x:c>
      <x:c r="I858" s="4" t="inlineStr">
        <x:is>
          <x:t xml:space="preserve">Physical inventory / cargo item; dimensions and packing unresolved</x:t>
        </x:is>
      </x:c>
      <x:c r="J858" s="4"/>
      <x:c r="K858"/>
      <x:c r="L858" t="inlineStr">
        <x:is>
          <x:t xml:space="preserve">Search abandoned camps, failed expedition sites, scattered gear and discarded settler or Booter equipment. Specific sites and drop rules remain proposals.</x:t>
        </x:is>
      </x:c>
      <x:c r="M858" s="4" t="inlineStr">
        <x:is>
          <x:t xml:space="preserve">Recover and inspect the physical item before reuse, repair or material recovery. No recipe, salvage yield or automatic conversion into usable gear is authored.</x:t>
        </x:is>
      </x:c>
      <x:c r="N858" s="4" t="inlineStr">
        <x:is>
          <x:t xml:space="preserve">Not implemented</x:t>
        </x:is>
      </x:c>
      <x:c r="O858" s="4" t="inlineStr">
        <x:is>
          <x:t xml:space="preserve">As-found condition does not establish safe operation or compatible fit. Contents, stored energy and usable parts are not granted by finding the outer item.</x:t>
        </x:is>
      </x:c>
      <x:c r="P858" s="4" t="inlineStr">
        <x:is>
          <x:t xml:space="preserve">Rare</x:t>
        </x:is>
      </x:c>
      <x:c r="Q858" s="4"/>
      <x:c r="R858"/>
      <x:c r="S858"/>
      <x:c r="T858"/>
      <x:c r="U858" t="inlineStr">
        <x:is>
          <x:t xml:space="preserve">Artwork direction: A folded metal spectacle frame with one intact lens, one radiating crack and a bent arm. Fit, safe use and manufacturing details remain proposals.</x:t>
        </x:is>
      </x:c>
      <x:c r="V858" s="4" t="inlineStr">
        <x:is>
          <x:t xml:space="preserve">cracked expedition spectacles; camp life; everyday object</x:t>
        </x:is>
      </x:c>
      <x:c r="W858"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8" s="4" t="inlineStr">
        <x:is>
          <x:t xml:space="preserve">Wearable</x:t>
        </x:is>
      </x:c>
      <x:c r="Y858" s="4" t="inlineStr">
        <x:is>
          <x:t xml:space="preserve">Recovered part</x:t>
        </x:is>
      </x:c>
      <x:c r="Z858" s="4" t="inlineStr">
        <x:is>
          <x:t xml:space="preserve">Industrial salvage</x:t>
        </x:is>
      </x:c>
      <x:c r="AA858" s="4" t="inlineStr">
        <x:is>
          <x:t xml:space="preserve">Vision</x:t>
        </x:is>
      </x:c>
      <x:c r="AB858" s="4" t="inlineStr">
        <x:is>
          <x:t xml:space="preserve">Glass and metal</x:t>
        </x:is>
      </x:c>
      <x:c r="AC858" s="4" t="inlineStr">
        <x:is>
          <x:t xml:space="preserve">Assembly</x:t>
        </x:is>
      </x:c>
      <x:c r="AD858" s="4" t="inlineStr">
        <x:is>
          <x:t xml:space="preserve">Proposal</x:t>
        </x:is>
      </x:c>
      <x:c r="AE858" s="4" t="str">
        <x:f>LOWER(A858&amp;"; "&amp;B858&amp;"; "&amp;D858&amp;"; "&amp;E858&amp;"; "&amp;X858&amp;"; "&amp;Y858&amp;"; "&amp;Z858&amp;"; "&amp;AA858&amp;"; "&amp;AB858&amp;"; "&amp;AC858&amp;"; "&amp;AD858&amp;"; "&amp;V858&amp;"; "&amp;C858&amp;"; "&amp;AH858&amp;"; "&amp;AI858)</x:f>
        <x:v>proposal.salvage.cracked_expedition_spectacles; cracked expedition spectacles; salvage; expedition recovery; wearable; recovered part; industrial salvage; vision; glass and metal; assembly; proposal; cracked expedition spectacles; camp life; everyday object; t0; t0; component</x:v>
      </x:c>
      <x:c r="AF858" s="4" t="inlineStr">
        <x:is>
          <x:t xml:space="preserve">Author-requested expedition salvage concept. Recovery category records where and in what condition it is found; qualification for reuse remains unresolved.</x:t>
        </x:is>
      </x:c>
      <x:c r="AG858" s="4" t="inlineStr">
        <x:is>
          <x:t xml:space="preserve">T0 is the as-found recovery stage, independent of original manufacturing complexity or rarity. A qualified reusable form requires a separate readiness record; no repair recipe or free replacement item is implied.</x:t>
        </x:is>
      </x:c>
      <x:c r="AH858" s="4" t="inlineStr">
        <x:is>
          <x:t xml:space="preserve">T0</x:t>
        </x:is>
      </x:c>
      <x:c r="AI858" s="4" t="inlineStr">
        <x:is>
          <x:t xml:space="preserve">Component</x:t>
        </x:is>
      </x:c>
      <x:c r="AJ858" s="4">
        <x:f>COUNTIFS('Material routes'!$D$6:$D$2205,A858,'Material routes'!$C$6:$C$2205,"Output")</x:f>
        <x:v>0</x:v>
      </x:c>
      <x:c r="AK858" s="4">
        <x:f>SUM(COUNTIFS('Material routes'!$D$6:$D$2205,A858,'Material routes'!$C$6:$C$2205,"Ingredient candidate"),COUNTIFS('Material routes'!$D$6:$D$2205,A858,'Material routes'!$C$6:$C$2205,"Consumed input"),COUNTIFS('Material routes'!$D$6:$D$2205,A858,'Material routes'!$C$6:$C$2205,"Contained input"),COUNTIFS('Material routes'!$D$6:$D$2205,A858,'Material routes'!$C$6:$C$2205,"Transform input"))</x:f>
        <x:v>0</x:v>
      </x:c>
      <x:c r="AL858" s="4">
        <x:f>COUNTIFS('Material routes'!$D$6:$D$2205,A858,'Material routes'!$C$6:$C$2205,"Tool candidate")</x:f>
        <x:v>0</x:v>
      </x:c>
      <x:c r="AM858" s="4" t="str">
        <x:f>IF(AJ858&gt;0,"Route listed; review status/completeness",IF(C858="T0","Raw entry feed; no production route","No production route listed"))</x:f>
        <x:v>Raw entry feed; no production route</x:v>
      </x:c>
      <x:c r="AN858" s="4">
        <x:f>IF(C858="T0",0,IF(C858="T1",1,IF(C858="T2",2,IF(C858="T3",3,IF(C858="T4",4,IF(C858="Unassigned",98,99))))))</x:f>
        <x:v>0</x:v>
      </x:c>
    </x:row>
    <x:row r="859">
      <x:c r="A859" s="4"/>
      <x:c r="B859" s="4"/>
      <x:c r="C859" s="4"/>
      <x:c r="D859" s="4"/>
      <x:c r="E859" s="4"/>
      <x:c r="F859" s="4"/>
      <x:c r="G859" s="4"/>
      <x:c r="H859" s="4"/>
      <x:c r="I859" s="4"/>
      <x:c r="J859" s="4"/>
      <x:c r="K859"/>
      <x:c r="L859"/>
      <x:c r="M859" s="4"/>
      <x:c r="N859" s="4"/>
      <x:c r="O859" s="4"/>
      <x:c r="P859" s="4"/>
      <x:c r="Q859" s="4"/>
      <x:c r="R859"/>
      <x:c r="S859"/>
      <x:c r="T859"/>
      <x:c r="U859"/>
      <x:c r="V859" s="4"/>
      <x:c r="W859" s="4"/>
      <x:c r="X859" s="4"/>
      <x:c r="Y859" s="4"/>
      <x:c r="Z859" s="4"/>
      <x:c r="AA859" s="4"/>
      <x:c r="AB859" s="4"/>
      <x:c r="AC859" s="4"/>
      <x:c r="AD859" s="4"/>
      <x:c r="AE859" s="4"/>
      <x:c r="AF859" s="4"/>
      <x:c r="AG859" s="4"/>
      <x:c r="AH859" s="4"/>
      <x:c r="AI859" s="4"/>
      <x:c r="AJ859" s="4"/>
      <x:c r="AK859" s="4"/>
      <x:c r="AL859" s="4"/>
      <x:c r="AM859" s="4"/>
      <x:c r="AN859" s="4"/>
    </x:row>
    <x:row r="860">
      <x:c r="A860" s="4" t="inlineStr">
        <x:is>
          <x:t xml:space="preserve">proposal.stock.perforated_iron_sheet</x:t>
        </x:is>
      </x:c>
      <x:c r="B860" s="4" t="inlineStr">
        <x:is>
          <x:t xml:space="preserve">Perforated iron sheet stock</x:t>
        </x:is>
      </x:c>
      <x:c r="C860" s="4" t="inlineStr">
        <x:is>
          <x:t xml:space="preserve">T2</x:t>
        </x:is>
      </x:c>
      <x:c r="D860" s="4" t="inlineStr">
        <x:is>
          <x:t xml:space="preserve">Manufactured stock</x:t>
        </x:is>
      </x:c>
      <x:c r="E860" s="4" t="inlineStr">
        <x:is>
          <x:t xml:space="preserve">Fabrication stock</x:t>
        </x:is>
      </x:c>
      <x:c r="F860" s="4" t="inlineStr">
        <x:is>
          <x:t xml:space="preserve">New proposal</x:t>
        </x:is>
      </x:c>
      <x:c r="G860" s="4" t="inlineStr">
        <x:is>
          <x:t xml:space="preserve">Worked iron sheet with a repeating pattern of punched openings, intended for ventilation faces, sorting screens or protective equipment covers. Hole pattern and useful clearances await design; this is stock rather than a finished filter.</x:t>
        </x:is>
      </x:c>
      <x:c r="H860" s="4" t="inlineStr">
        <x:is>
          <x:t xml:space="preserve">None</x:t>
        </x:is>
      </x:c>
      <x:c r="I860" s="4" t="inlineStr">
        <x:is>
          <x:t xml:space="preserve">Physical inventory / cargo item; dimensions and packing unresolved</x:t>
        </x:is>
      </x:c>
      <x:c r="J860" s="4"/>
      <x:c r="K860"/>
      <x:c r="L860" t="inlineStr">
        <x:is>
          <x:t xml:space="preserve">Proposed workshop manufacture or trade in prepared stock; regional access and availability remain undefined.</x:t>
        </x:is>
      </x:c>
      <x:c r="M860" s="4" t="inlineStr">
        <x:is>
          <x:t xml:space="preserve">Candidate intermediate stock for later fitted fabrication. Processing inputs and planning stage are proposed; no executable recipe, material quantity, yield or manufacturing time is authored.</x:t>
        </x:is>
      </x:c>
      <x:c r="N860" s="4" t="inlineStr">
        <x:is>
          <x:t xml:space="preserve">Not implemented</x:t>
        </x:is>
      </x:c>
      <x:c r="O860" s="4" t="inlineStr">
        <x:is>
          <x:t xml:space="preserve">Dimensions, material grade, tolerances, service conditions and compatibility remain open. A shaped blank does not grant a fitted component, certified protection or an operating machine.</x:t>
        </x:is>
      </x:c>
      <x:c r="P860" s="4"/>
      <x:c r="Q860" s="4"/>
      <x:c r="R860"/>
      <x:c r="S860"/>
      <x:c r="T860"/>
      <x:c r="U860" t="inlineStr">
        <x:is>
          <x:t xml:space="preserve">Artwork direction: A slightly curved iron sheet with rows of punched holes and an unfinished edge. Fit, safe use and manufacturing details remain proposals.</x:t>
        </x:is>
      </x:c>
      <x:c r="V860" s="4" t="inlineStr">
        <x:is>
          <x:t xml:space="preserve">perforated iron sheet stock; manufactured stock; fabrication stock</x:t>
        </x:is>
      </x:c>
      <x:c r="W860" s="4" t="inlineStr">
        <x:is>
          <x:t xml:space="preserve">Author requested eight more Manufactured stock items, October 15, 2026. Specific materials, processing stages and uses remain design proposals. Setting constraints: Docs/WORLD_BASIS.md#material-culture.</x:t>
        </x:is>
      </x:c>
      <x:c r="X860" s="4" t="inlineStr">
        <x:is>
          <x:t xml:space="preserve">Processed material</x:t>
        </x:is>
      </x:c>
      <x:c r="Y860" s="4" t="inlineStr">
        <x:is>
          <x:t xml:space="preserve">Processed intermediate</x:t>
        </x:is>
      </x:c>
      <x:c r="Z860" s="4" t="inlineStr">
        <x:is>
          <x:t xml:space="preserve">Manufactured / unresolved</x:t>
        </x:is>
      </x:c>
      <x:c r="AA860" s="4" t="inlineStr">
        <x:is>
          <x:t xml:space="preserve">Fabrication</x:t>
        </x:is>
      </x:c>
      <x:c r="AB860" s="4" t="inlineStr">
        <x:is>
          <x:t xml:space="preserve">Metal</x:t>
        </x:is>
      </x:c>
      <x:c r="AC860" s="4" t="inlineStr">
        <x:is>
          <x:t xml:space="preserve">Sheet</x:t>
        </x:is>
      </x:c>
      <x:c r="AD860" s="4" t="inlineStr">
        <x:is>
          <x:t xml:space="preserve">Proposal</x:t>
        </x:is>
      </x:c>
      <x:c r="AE860" s="4" t="str">
        <x:f>LOWER(A860&amp;"; "&amp;B860&amp;"; "&amp;D860&amp;"; "&amp;E860&amp;"; "&amp;X860&amp;"; "&amp;Y860&amp;"; "&amp;Z860&amp;"; "&amp;AA860&amp;"; "&amp;AB860&amp;"; "&amp;AC860&amp;"; "&amp;AD860&amp;"; "&amp;V860&amp;"; "&amp;C860&amp;"; "&amp;AH860&amp;"; "&amp;AI860)</x:f>
        <x:v>proposal.stock.perforated_iron_sheet; perforated iron sheet stock; manufactured stock; fabrication stock; processed material; processed intermediate; manufactured / unresolved; fabrication; metal; sheet; proposal; perforated iron sheet stock; manufactured stock; fabrication stock; t2; t1; material</x:v>
      </x:c>
      <x:c r="AF860" s="4" t="inlineStr">
        <x:is>
          <x:t xml:space="preserve">Author-requested expansion of manufactured stock: worked materials awaiting fitted fabrication, separate from finished equipment and as-found salvage.</x:t>
        </x:is>
      </x:c>
      <x:c r="AG860" s="4" t="inlineStr">
        <x:is>
          <x:t xml:space="preserve">Proposed T2 stock using qualified T1 metal or ceramic feed. The planning stage does not establish a recipe, production access or material performance.</x:t>
        </x:is>
      </x:c>
      <x:c r="AH860" s="4" t="inlineStr">
        <x:is>
          <x:t xml:space="preserve">T1</x:t>
        </x:is>
      </x:c>
      <x:c r="AI860" s="4" t="inlineStr">
        <x:is>
          <x:t xml:space="preserve">Material</x:t>
        </x:is>
      </x:c>
      <x:c r="AJ860" s="4">
        <x:f>COUNTIFS('Material routes'!$D$6:$D$2205,A860,'Material routes'!$C$6:$C$2205,"Output")</x:f>
        <x:v>0</x:v>
      </x:c>
      <x:c r="AK860" s="4">
        <x:f>SUM(COUNTIFS('Material routes'!$D$6:$D$2205,A860,'Material routes'!$C$6:$C$2205,"Ingredient candidate"),COUNTIFS('Material routes'!$D$6:$D$2205,A860,'Material routes'!$C$6:$C$2205,"Consumed input"),COUNTIFS('Material routes'!$D$6:$D$2205,A860,'Material routes'!$C$6:$C$2205,"Contained input"),COUNTIFS('Material routes'!$D$6:$D$2205,A860,'Material routes'!$C$6:$C$2205,"Transform input"))</x:f>
        <x:v>0</x:v>
      </x:c>
      <x:c r="AL860" s="4">
        <x:f>COUNTIFS('Material routes'!$D$6:$D$2205,A860,'Material routes'!$C$6:$C$2205,"Tool candidate")</x:f>
        <x:v>0</x:v>
      </x:c>
      <x:c r="AM860" s="4" t="str">
        <x:f>IF(AJ860&gt;0,"Route listed; review status/completeness",IF(C860="T0","Raw entry feed; no production route","No production route listed"))</x:f>
        <x:v>No production route listed</x:v>
      </x:c>
      <x:c r="AN860" s="4">
        <x:f>IF(C860="T0",0,IF(C860="T1",1,IF(C860="T2",2,IF(C860="T3",3,IF(C860="T4",4,IF(C860="Unassigned",98,99))))))</x:f>
        <x:v>2</x:v>
      </x:c>
    </x:row>
    <x:row r="861">
      <x:c r="A861" s="4" t="inlineStr">
        <x:is>
          <x:t xml:space="preserve">proposal.stock.flanged_iron_channel</x:t>
        </x:is>
      </x:c>
      <x:c r="B861" s="4" t="inlineStr">
        <x:is>
          <x:t xml:space="preserve">Flanged iron channel stock</x:t>
        </x:is>
      </x:c>
      <x:c r="C861" s="4" t="inlineStr">
        <x:is>
          <x:t xml:space="preserve">T2</x:t>
        </x:is>
      </x:c>
      <x:c r="D861" s="4" t="inlineStr">
        <x:is>
          <x:t xml:space="preserve">Manufactured stock</x:t>
        </x:is>
      </x:c>
      <x:c r="E861" s="4" t="inlineStr">
        <x:is>
          <x:t xml:space="preserve">Fabrication stock</x:t>
        </x:is>
      </x:c>
      <x:c r="F861" s="4" t="inlineStr">
        <x:is>
          <x:t xml:space="preserve">New proposal</x:t>
        </x:is>
      </x:c>
      <x:c r="G861" s="4" t="inlineStr">
        <x:is>
          <x:t xml:space="preserve">Lengths of worked iron folded into a shallow channel with outward mounting lips. Candidate stock for lightweight frames, camp fittings and casing supports; it needs cutting and fitting before assembly.</x:t>
        </x:is>
      </x:c>
      <x:c r="H861" s="4" t="inlineStr">
        <x:is>
          <x:t xml:space="preserve">None</x:t>
        </x:is>
      </x:c>
      <x:c r="I861" s="4" t="inlineStr">
        <x:is>
          <x:t xml:space="preserve">Physical inventory / cargo item; dimensions and packing unresolved</x:t>
        </x:is>
      </x:c>
      <x:c r="J861" s="4"/>
      <x:c r="K861"/>
      <x:c r="L861" t="inlineStr">
        <x:is>
          <x:t xml:space="preserve">Proposed workshop manufacture or trade in prepared stock; regional access and availability remain undefined.</x:t>
        </x:is>
      </x:c>
      <x:c r="M861" s="4" t="inlineStr">
        <x:is>
          <x:t xml:space="preserve">Candidate intermediate stock for later fitted fabrication. Processing inputs and planning stage are proposed; no executable recipe, material quantity, yield or manufacturing time is authored.</x:t>
        </x:is>
      </x:c>
      <x:c r="N861" s="4" t="inlineStr">
        <x:is>
          <x:t xml:space="preserve">Not implemented</x:t>
        </x:is>
      </x:c>
      <x:c r="O861" s="4" t="inlineStr">
        <x:is>
          <x:t xml:space="preserve">Dimensions, material grade, tolerances, service conditions and compatibility remain open. A shaped blank does not grant a fitted component, certified protection or an operating machine.</x:t>
        </x:is>
      </x:c>
      <x:c r="P861" s="4"/>
      <x:c r="Q861" s="4"/>
      <x:c r="R861"/>
      <x:c r="S861"/>
      <x:c r="T861"/>
      <x:c r="U861" t="inlineStr">
        <x:is>
          <x:t xml:space="preserve">Artwork direction: Three staggered lengths of shallow U-shaped iron channel with flat outward lips. Fit, safe use and manufacturing details remain proposals.</x:t>
        </x:is>
      </x:c>
      <x:c r="V861" s="4" t="inlineStr">
        <x:is>
          <x:t xml:space="preserve">flanged iron channel stock; manufactured stock; fabrication stock</x:t>
        </x:is>
      </x:c>
      <x:c r="W861" s="4" t="inlineStr">
        <x:is>
          <x:t xml:space="preserve">Author requested eight more Manufactured stock items, October 15, 2026. Specific materials, processing stages and uses remain design proposals. Setting constraints: Docs/WORLD_BASIS.md#material-culture.</x:t>
        </x:is>
      </x:c>
      <x:c r="X861" s="4" t="inlineStr">
        <x:is>
          <x:t xml:space="preserve">Processed material</x:t>
        </x:is>
      </x:c>
      <x:c r="Y861" s="4" t="inlineStr">
        <x:is>
          <x:t xml:space="preserve">Processed intermediate</x:t>
        </x:is>
      </x:c>
      <x:c r="Z861" s="4" t="inlineStr">
        <x:is>
          <x:t xml:space="preserve">Manufactured / unresolved</x:t>
        </x:is>
      </x:c>
      <x:c r="AA861" s="4" t="inlineStr">
        <x:is>
          <x:t xml:space="preserve">Equipment fabrication</x:t>
        </x:is>
      </x:c>
      <x:c r="AB861" s="4" t="inlineStr">
        <x:is>
          <x:t xml:space="preserve">Metal</x:t>
        </x:is>
      </x:c>
      <x:c r="AC861" s="4" t="inlineStr">
        <x:is>
          <x:t xml:space="preserve">Solid piece</x:t>
        </x:is>
      </x:c>
      <x:c r="AD861" s="4" t="inlineStr">
        <x:is>
          <x:t xml:space="preserve">Proposal</x:t>
        </x:is>
      </x:c>
      <x:c r="AE861" s="4" t="str">
        <x:f>LOWER(A861&amp;"; "&amp;B861&amp;"; "&amp;D861&amp;"; "&amp;E861&amp;"; "&amp;X861&amp;"; "&amp;Y861&amp;"; "&amp;Z861&amp;"; "&amp;AA861&amp;"; "&amp;AB861&amp;"; "&amp;AC861&amp;"; "&amp;AD861&amp;"; "&amp;V861&amp;"; "&amp;C861&amp;"; "&amp;AH861&amp;"; "&amp;AI861)</x:f>
        <x:v>proposal.stock.flanged_iron_channel; flanged iron channel stock; manufactured stock; fabrication stock; processed material; processed intermediate; manufactured / unresolved; equipment fabrication; metal; solid piece; proposal; flanged iron channel stock; manufactured stock; fabrication stock; t2; t1; material</x:v>
      </x:c>
      <x:c r="AF861" s="4" t="inlineStr">
        <x:is>
          <x:t xml:space="preserve">Author-requested expansion of manufactured stock: worked materials awaiting fitted fabrication, separate from finished equipment and as-found salvage.</x:t>
        </x:is>
      </x:c>
      <x:c r="AG861" s="4" t="inlineStr">
        <x:is>
          <x:t xml:space="preserve">Proposed T2 stock using qualified T1 metal or ceramic feed. The planning stage does not establish a recipe, production access or material performance.</x:t>
        </x:is>
      </x:c>
      <x:c r="AH861" s="4" t="inlineStr">
        <x:is>
          <x:t xml:space="preserve">T1</x:t>
        </x:is>
      </x:c>
      <x:c r="AI861" s="4" t="inlineStr">
        <x:is>
          <x:t xml:space="preserve">Material</x:t>
        </x:is>
      </x:c>
      <x:c r="AJ861" s="4">
        <x:f>COUNTIFS('Material routes'!$D$6:$D$2205,A861,'Material routes'!$C$6:$C$2205,"Output")</x:f>
        <x:v>0</x:v>
      </x:c>
      <x:c r="AK861" s="4">
        <x:f>SUM(COUNTIFS('Material routes'!$D$6:$D$2205,A861,'Material routes'!$C$6:$C$2205,"Ingredient candidate"),COUNTIFS('Material routes'!$D$6:$D$2205,A861,'Material routes'!$C$6:$C$2205,"Consumed input"),COUNTIFS('Material routes'!$D$6:$D$2205,A861,'Material routes'!$C$6:$C$2205,"Contained input"),COUNTIFS('Material routes'!$D$6:$D$2205,A861,'Material routes'!$C$6:$C$2205,"Transform input"))</x:f>
        <x:v>0</x:v>
      </x:c>
      <x:c r="AL861" s="4">
        <x:f>COUNTIFS('Material routes'!$D$6:$D$2205,A861,'Material routes'!$C$6:$C$2205,"Tool candidate")</x:f>
        <x:v>0</x:v>
      </x:c>
      <x:c r="AM861" s="4" t="str">
        <x:f>IF(AJ861&gt;0,"Route listed; review status/completeness",IF(C861="T0","Raw entry feed; no production route","No production route listed"))</x:f>
        <x:v>No production route listed</x:v>
      </x:c>
      <x:c r="AN861" s="4">
        <x:f>IF(C861="T0",0,IF(C861="T1",1,IF(C861="T2",2,IF(C861="T3",3,IF(C861="T4",4,IF(C861="Unassigned",98,99))))))</x:f>
        <x:v>2</x:v>
      </x:c>
    </x:row>
    <x:row r="862">
      <x:c r="A862" s="4" t="inlineStr">
        <x:is>
          <x:t xml:space="preserve">proposal.stock.corrugated_steel_sheet</x:t>
        </x:is>
      </x:c>
      <x:c r="B862" s="4" t="inlineStr">
        <x:is>
          <x:t xml:space="preserve">Corrugated steel sheet stock</x:t>
        </x:is>
      </x:c>
      <x:c r="C862" s="4" t="inlineStr">
        <x:is>
          <x:t xml:space="preserve">T3</x:t>
        </x:is>
      </x:c>
      <x:c r="D862" s="4" t="inlineStr">
        <x:is>
          <x:t xml:space="preserve">Manufactured stock</x:t>
        </x:is>
      </x:c>
      <x:c r="E862" s="4" t="inlineStr">
        <x:is>
          <x:t xml:space="preserve">Fabrication stock</x:t>
        </x:is>
      </x:c>
      <x:c r="F862" s="4" t="inlineStr">
        <x:is>
          <x:t xml:space="preserve">New proposal</x:t>
        </x:is>
      </x:c>
      <x:c r="G862" s="4" t="inlineStr">
        <x:is>
          <x:t xml:space="preserve">Prepared steel sheet formed into parallel ridges for proposed housings, stiffened covers or wind-facing panels. It remains an unfitted sheet; strength, weight and acceptable forming methods are undecided.</x:t>
        </x:is>
      </x:c>
      <x:c r="H862" s="4" t="inlineStr">
        <x:is>
          <x:t xml:space="preserve">None</x:t>
        </x:is>
      </x:c>
      <x:c r="I862" s="4" t="inlineStr">
        <x:is>
          <x:t xml:space="preserve">Physical inventory / cargo item; dimensions and packing unresolved</x:t>
        </x:is>
      </x:c>
      <x:c r="J862" s="4"/>
      <x:c r="K862"/>
      <x:c r="L862" t="inlineStr">
        <x:is>
          <x:t xml:space="preserve">Proposed workshop manufacture or trade in prepared stock; regional access and availability remain undefined.</x:t>
        </x:is>
      </x:c>
      <x:c r="M862" s="4" t="inlineStr">
        <x:is>
          <x:t xml:space="preserve">Candidate intermediate stock for later fitted fabrication. Processing inputs and planning stage are proposed; no executable recipe, material quantity, yield or manufacturing time is authored.</x:t>
        </x:is>
      </x:c>
      <x:c r="N862" s="4" t="inlineStr">
        <x:is>
          <x:t xml:space="preserve">Not implemented</x:t>
        </x:is>
      </x:c>
      <x:c r="O862" s="4" t="inlineStr">
        <x:is>
          <x:t xml:space="preserve">Dimensions, material grade, tolerances, service conditions and compatibility remain open. A shaped blank does not grant a fitted component, certified protection or an operating machine.</x:t>
        </x:is>
      </x:c>
      <x:c r="P862" s="4"/>
      <x:c r="Q862" s="4"/>
      <x:c r="R862"/>
      <x:c r="S862"/>
      <x:c r="T862"/>
      <x:c r="U862" t="inlineStr">
        <x:is>
          <x:t xml:space="preserve">Artwork direction: A short steel sheet with five broad corrugations and uneven cut ends. Fit, safe use and manufacturing details remain proposals.</x:t>
        </x:is>
      </x:c>
      <x:c r="V862" s="4" t="inlineStr">
        <x:is>
          <x:t xml:space="preserve">corrugated steel sheet stock; manufactured stock; fabrication stock</x:t>
        </x:is>
      </x:c>
      <x:c r="W862" s="4" t="inlineStr">
        <x:is>
          <x:t xml:space="preserve">Author requested eight more Manufactured stock items, October 15, 2026. Specific materials, processing stages and uses remain design proposals. Setting constraints: Docs/WORLD_BASIS.md#material-culture.</x:t>
        </x:is>
      </x:c>
      <x:c r="X862" s="4" t="inlineStr">
        <x:is>
          <x:t xml:space="preserve">Processed material</x:t>
        </x:is>
      </x:c>
      <x:c r="Y862" s="4" t="inlineStr">
        <x:is>
          <x:t xml:space="preserve">Processed intermediate</x:t>
        </x:is>
      </x:c>
      <x:c r="Z862" s="4" t="inlineStr">
        <x:is>
          <x:t xml:space="preserve">Manufactured / unresolved</x:t>
        </x:is>
      </x:c>
      <x:c r="AA862" s="4" t="inlineStr">
        <x:is>
          <x:t xml:space="preserve">Equipment fabrication</x:t>
        </x:is>
      </x:c>
      <x:c r="AB862" s="4" t="inlineStr">
        <x:is>
          <x:t xml:space="preserve">Metal</x:t>
        </x:is>
      </x:c>
      <x:c r="AC862" s="4" t="inlineStr">
        <x:is>
          <x:t xml:space="preserve">Sheet</x:t>
        </x:is>
      </x:c>
      <x:c r="AD862" s="4" t="inlineStr">
        <x:is>
          <x:t xml:space="preserve">Proposal</x:t>
        </x:is>
      </x:c>
      <x:c r="AE862" s="4" t="str">
        <x:f>LOWER(A862&amp;"; "&amp;B862&amp;"; "&amp;D862&amp;"; "&amp;E862&amp;"; "&amp;X862&amp;"; "&amp;Y862&amp;"; "&amp;Z862&amp;"; "&amp;AA862&amp;"; "&amp;AB862&amp;"; "&amp;AC862&amp;"; "&amp;AD862&amp;"; "&amp;V862&amp;"; "&amp;C862&amp;"; "&amp;AH862&amp;"; "&amp;AI862)</x:f>
        <x:v>proposal.stock.corrugated_steel_sheet; corrugated steel sheet stock; manufactured stock; fabrication stock; processed material; processed intermediate; manufactured / unresolved; equipment fabrication; metal; sheet; proposal; corrugated steel sheet stock; manufactured stock; fabrication stock; t3; t2; material</x:v>
      </x:c>
      <x:c r="AF862" s="4" t="inlineStr">
        <x:is>
          <x:t xml:space="preserve">Author-requested expansion of manufactured stock: worked materials awaiting fitted fabrication, separate from finished equipment and as-found salvage.</x:t>
        </x:is>
      </x:c>
      <x:c r="AG862" s="4" t="inlineStr">
        <x:is>
          <x:t xml:space="preserve">Proposed T3 forming stock using T2 steel stock. Forming sequence, tooling and resulting properties remain proposals.</x:t>
        </x:is>
      </x:c>
      <x:c r="AH862" s="4" t="inlineStr">
        <x:is>
          <x:t xml:space="preserve">T2</x:t>
        </x:is>
      </x:c>
      <x:c r="AI862" s="4" t="inlineStr">
        <x:is>
          <x:t xml:space="preserve">Material</x:t>
        </x:is>
      </x:c>
      <x:c r="AJ862" s="4">
        <x:f>COUNTIFS('Material routes'!$D$6:$D$2205,A862,'Material routes'!$C$6:$C$2205,"Output")</x:f>
        <x:v>0</x:v>
      </x:c>
      <x:c r="AK862" s="4">
        <x:f>SUM(COUNTIFS('Material routes'!$D$6:$D$2205,A862,'Material routes'!$C$6:$C$2205,"Ingredient candidate"),COUNTIFS('Material routes'!$D$6:$D$2205,A862,'Material routes'!$C$6:$C$2205,"Consumed input"),COUNTIFS('Material routes'!$D$6:$D$2205,A862,'Material routes'!$C$6:$C$2205,"Contained input"),COUNTIFS('Material routes'!$D$6:$D$2205,A862,'Material routes'!$C$6:$C$2205,"Transform input"))</x:f>
        <x:v>0</x:v>
      </x:c>
      <x:c r="AL862" s="4">
        <x:f>COUNTIFS('Material routes'!$D$6:$D$2205,A862,'Material routes'!$C$6:$C$2205,"Tool candidate")</x:f>
        <x:v>0</x:v>
      </x:c>
      <x:c r="AM862" s="4" t="str">
        <x:f>IF(AJ862&gt;0,"Route listed; review status/completeness",IF(C862="T0","Raw entry feed; no production route","No production route listed"))</x:f>
        <x:v>No production route listed</x:v>
      </x:c>
      <x:c r="AN862" s="4">
        <x:f>IF(C862="T0",0,IF(C862="T1",1,IF(C862="T2",2,IF(C862="T3",3,IF(C862="T4",4,IF(C862="Unassigned",98,99))))))</x:f>
        <x:v>3</x:v>
      </x:c>
    </x:row>
    <x:row r="863">
      <x:c r="A863" s="4" t="inlineStr">
        <x:is>
          <x:t xml:space="preserve">proposal.stock.hollow_ceramic_tube_blanks</x:t>
        </x:is>
      </x:c>
      <x:c r="B863" s="4" t="inlineStr">
        <x:is>
          <x:t xml:space="preserve">Hollow ceramic tube blanks</x:t>
        </x:is>
      </x:c>
      <x:c r="C863" s="4" t="inlineStr">
        <x:is>
          <x:t xml:space="preserve">T2</x:t>
        </x:is>
      </x:c>
      <x:c r="D863" s="4" t="inlineStr">
        <x:is>
          <x:t xml:space="preserve">Manufactured stock</x:t>
        </x:is>
      </x:c>
      <x:c r="E863" s="4" t="inlineStr">
        <x:is>
          <x:t xml:space="preserve">Fabrication stock</x:t>
        </x:is>
      </x:c>
      <x:c r="F863" s="4" t="inlineStr">
        <x:is>
          <x:t xml:space="preserve">New proposal</x:t>
        </x:is>
      </x:c>
      <x:c r="G863" s="4" t="inlineStr">
        <x:is>
          <x:t xml:space="preserve">Unfitted fired ceramic tube lengths for selected spacers, protected guides or candidate nonconductive passages. Cutting, bore finish and service qualification remain necessary; no voltage, heat or chemical rating is assigned.</x:t>
        </x:is>
      </x:c>
      <x:c r="H863" s="4" t="inlineStr">
        <x:is>
          <x:t xml:space="preserve">None</x:t>
        </x:is>
      </x:c>
      <x:c r="I863" s="4" t="inlineStr">
        <x:is>
          <x:t xml:space="preserve">Physical inventory / cargo item; dimensions and packing unresolved</x:t>
        </x:is>
      </x:c>
      <x:c r="J863" s="4"/>
      <x:c r="K863"/>
      <x:c r="L863" t="inlineStr">
        <x:is>
          <x:t xml:space="preserve">Proposed workshop manufacture or trade in prepared stock; regional access and availability remain undefined.</x:t>
        </x:is>
      </x:c>
      <x:c r="M863" s="4" t="inlineStr">
        <x:is>
          <x:t xml:space="preserve">Candidate intermediate stock for later fitted fabrication. Processing inputs and planning stage are proposed; no executable recipe, material quantity, yield or manufacturing time is authored.</x:t>
        </x:is>
      </x:c>
      <x:c r="N863" s="4" t="inlineStr">
        <x:is>
          <x:t xml:space="preserve">Not implemented</x:t>
        </x:is>
      </x:c>
      <x:c r="O863" s="4" t="inlineStr">
        <x:is>
          <x:t xml:space="preserve">Dimensions, material grade, tolerances, service conditions and compatibility remain open. A shaped blank does not grant a fitted component, certified protection or an operating machine.</x:t>
        </x:is>
      </x:c>
      <x:c r="P863" s="4"/>
      <x:c r="Q863" s="4"/>
      <x:c r="R863"/>
      <x:c r="S863"/>
      <x:c r="T863"/>
      <x:c r="U863" t="inlineStr">
        <x:is>
          <x:t xml:space="preserve">Artwork direction: Three thick-walled ceramic tubes of different lengths, their rough open bores visible. Fit, safe use and manufacturing details remain proposals.</x:t>
        </x:is>
      </x:c>
      <x:c r="V863" s="4" t="inlineStr">
        <x:is>
          <x:t xml:space="preserve">hollow ceramic tube blanks; manufactured stock; fabrication stock</x:t>
        </x:is>
      </x:c>
      <x:c r="W863" s="4" t="inlineStr">
        <x:is>
          <x:t xml:space="preserve">Author requested eight more Manufactured stock items, October 15, 2026. Specific materials, processing stages and uses remain design proposals. Setting constraints: Docs/WORLD_BASIS.md#material-culture.</x:t>
        </x:is>
      </x:c>
      <x:c r="X863" s="4" t="inlineStr">
        <x:is>
          <x:t xml:space="preserve">Processed material</x:t>
        </x:is>
      </x:c>
      <x:c r="Y863" s="4" t="inlineStr">
        <x:is>
          <x:t xml:space="preserve">Processed intermediate</x:t>
        </x:is>
      </x:c>
      <x:c r="Z863" s="4" t="inlineStr">
        <x:is>
          <x:t xml:space="preserve">Manufactured / unresolved</x:t>
        </x:is>
      </x:c>
      <x:c r="AA863" s="4" t="inlineStr">
        <x:is>
          <x:t xml:space="preserve">Fabrication</x:t>
        </x:is>
      </x:c>
      <x:c r="AB863" s="4" t="inlineStr">
        <x:is>
          <x:t xml:space="preserve">Ceramic</x:t>
        </x:is>
      </x:c>
      <x:c r="AC863" s="4" t="inlineStr">
        <x:is>
          <x:t xml:space="preserve">Solid piece</x:t>
        </x:is>
      </x:c>
      <x:c r="AD863" s="4" t="inlineStr">
        <x:is>
          <x:t xml:space="preserve">Proposal</x:t>
        </x:is>
      </x:c>
      <x:c r="AE863" s="4" t="str">
        <x:f>LOWER(A863&amp;"; "&amp;B863&amp;"; "&amp;D863&amp;"; "&amp;E863&amp;"; "&amp;X863&amp;"; "&amp;Y863&amp;"; "&amp;Z863&amp;"; "&amp;AA863&amp;"; "&amp;AB863&amp;"; "&amp;AC863&amp;"; "&amp;AD863&amp;"; "&amp;V863&amp;"; "&amp;C863&amp;"; "&amp;AH863&amp;"; "&amp;AI863)</x:f>
        <x:v>proposal.stock.hollow_ceramic_tube_blanks; hollow ceramic tube blanks; manufactured stock; fabrication stock; processed material; processed intermediate; manufactured / unresolved; fabrication; ceramic; solid piece; proposal; hollow ceramic tube blanks; manufactured stock; fabrication stock; t2; t1; material</x:v>
      </x:c>
      <x:c r="AF863" s="4" t="inlineStr">
        <x:is>
          <x:t xml:space="preserve">Author-requested expansion of manufactured stock: worked materials awaiting fitted fabrication, separate from finished equipment and as-found salvage.</x:t>
        </x:is>
      </x:c>
      <x:c r="AG863" s="4" t="inlineStr">
        <x:is>
          <x:t xml:space="preserve">Proposed T2 stock using qualified T1 metal or ceramic feed. The planning stage does not establish a recipe, production access or material performance.</x:t>
        </x:is>
      </x:c>
      <x:c r="AH863" s="4" t="inlineStr">
        <x:is>
          <x:t xml:space="preserve">T1</x:t>
        </x:is>
      </x:c>
      <x:c r="AI863" s="4" t="inlineStr">
        <x:is>
          <x:t xml:space="preserve">Material</x:t>
        </x:is>
      </x:c>
      <x:c r="AJ863" s="4">
        <x:f>COUNTIFS('Material routes'!$D$6:$D$2205,A863,'Material routes'!$C$6:$C$2205,"Output")</x:f>
        <x:v>0</x:v>
      </x:c>
      <x:c r="AK863" s="4">
        <x:f>SUM(COUNTIFS('Material routes'!$D$6:$D$2205,A863,'Material routes'!$C$6:$C$2205,"Ingredient candidate"),COUNTIFS('Material routes'!$D$6:$D$2205,A863,'Material routes'!$C$6:$C$2205,"Consumed input"),COUNTIFS('Material routes'!$D$6:$D$2205,A863,'Material routes'!$C$6:$C$2205,"Contained input"),COUNTIFS('Material routes'!$D$6:$D$2205,A863,'Material routes'!$C$6:$C$2205,"Transform input"))</x:f>
        <x:v>0</x:v>
      </x:c>
      <x:c r="AL863" s="4">
        <x:f>COUNTIFS('Material routes'!$D$6:$D$2205,A863,'Material routes'!$C$6:$C$2205,"Tool candidate")</x:f>
        <x:v>0</x:v>
      </x:c>
      <x:c r="AM863" s="4" t="str">
        <x:f>IF(AJ863&gt;0,"Route listed; review status/completeness",IF(C863="T0","Raw entry feed; no production route","No production route listed"))</x:f>
        <x:v>No production route listed</x:v>
      </x:c>
      <x:c r="AN863" s="4">
        <x:f>IF(C863="T0",0,IF(C863="T1",1,IF(C863="T2",2,IF(C863="T3",3,IF(C863="T4",4,IF(C863="Unassigned",98,99))))))</x:f>
        <x:v>2</x:v>
      </x:c>
    </x:row>
    <x:row r="864">
      <x:c r="A864" s="4" t="inlineStr">
        <x:is>
          <x:t xml:space="preserve">proposal.stock.fired_ceramic_ring_blanks</x:t>
        </x:is>
      </x:c>
      <x:c r="B864" s="4" t="inlineStr">
        <x:is>
          <x:t xml:space="preserve">Fired ceramic ring blanks</x:t>
        </x:is>
      </x:c>
      <x:c r="C864" s="4" t="inlineStr">
        <x:is>
          <x:t xml:space="preserve">T2</x:t>
        </x:is>
      </x:c>
      <x:c r="D864" s="4" t="inlineStr">
        <x:is>
          <x:t xml:space="preserve">Manufactured stock</x:t>
        </x:is>
      </x:c>
      <x:c r="E864" s="4" t="inlineStr">
        <x:is>
          <x:t xml:space="preserve">Fabrication stock</x:t>
        </x:is>
      </x:c>
      <x:c r="F864" s="4" t="inlineStr">
        <x:is>
          <x:t xml:space="preserve">New proposal</x:t>
        </x:is>
      </x:c>
      <x:c r="G864" s="4" t="inlineStr">
        <x:is>
          <x:t xml:space="preserve">Rough fired ceramic rings awaiting grinding and matching to a particular assembly. They supply stock for potential collars or spacers, distinct from the catalog's fitted insulating spacer and matched spacer sets.</x:t>
        </x:is>
      </x:c>
      <x:c r="H864" s="4" t="inlineStr">
        <x:is>
          <x:t xml:space="preserve">None</x:t>
        </x:is>
      </x:c>
      <x:c r="I864" s="4" t="inlineStr">
        <x:is>
          <x:t xml:space="preserve">Physical inventory / cargo item; dimensions and packing unresolved</x:t>
        </x:is>
      </x:c>
      <x:c r="J864" s="4"/>
      <x:c r="K864"/>
      <x:c r="L864" t="inlineStr">
        <x:is>
          <x:t xml:space="preserve">Proposed workshop manufacture or trade in prepared stock; regional access and availability remain undefined.</x:t>
        </x:is>
      </x:c>
      <x:c r="M864" s="4" t="inlineStr">
        <x:is>
          <x:t xml:space="preserve">Candidate intermediate stock for later fitted fabrication. Processing inputs and planning stage are proposed; no executable recipe, material quantity, yield or manufacturing time is authored.</x:t>
        </x:is>
      </x:c>
      <x:c r="N864" s="4" t="inlineStr">
        <x:is>
          <x:t xml:space="preserve">Not implemented</x:t>
        </x:is>
      </x:c>
      <x:c r="O864" s="4" t="inlineStr">
        <x:is>
          <x:t xml:space="preserve">Dimensions, material grade, tolerances, service conditions and compatibility remain open. A shaped blank does not grant a fitted component, certified protection or an operating machine.</x:t>
        </x:is>
      </x:c>
      <x:c r="P864" s="4"/>
      <x:c r="Q864" s="4"/>
      <x:c r="R864"/>
      <x:c r="S864"/>
      <x:c r="T864"/>
      <x:c r="U864" t="inlineStr">
        <x:is>
          <x:t xml:space="preserve">Artwork direction: A small stack of thick ceramic rings with rough rims and mismatched inner openings. Fit, safe use and manufacturing details remain proposals.</x:t>
        </x:is>
      </x:c>
      <x:c r="V864" s="4" t="inlineStr">
        <x:is>
          <x:t xml:space="preserve">fired ceramic ring blanks; manufactured stock; fabrication stock</x:t>
        </x:is>
      </x:c>
      <x:c r="W864" s="4" t="inlineStr">
        <x:is>
          <x:t xml:space="preserve">Author requested eight more Manufactured stock items, October 15, 2026. Specific materials, processing stages and uses remain design proposals. Setting constraints: Docs/WORLD_BASIS.md#material-culture.</x:t>
        </x:is>
      </x:c>
      <x:c r="X864" s="4" t="inlineStr">
        <x:is>
          <x:t xml:space="preserve">Processed material</x:t>
        </x:is>
      </x:c>
      <x:c r="Y864" s="4" t="inlineStr">
        <x:is>
          <x:t xml:space="preserve">Processed intermediate</x:t>
        </x:is>
      </x:c>
      <x:c r="Z864" s="4" t="inlineStr">
        <x:is>
          <x:t xml:space="preserve">Manufactured / unresolved</x:t>
        </x:is>
      </x:c>
      <x:c r="AA864" s="4" t="inlineStr">
        <x:is>
          <x:t xml:space="preserve">Fabrication</x:t>
        </x:is>
      </x:c>
      <x:c r="AB864" s="4" t="inlineStr">
        <x:is>
          <x:t xml:space="preserve">Ceramic</x:t>
        </x:is>
      </x:c>
      <x:c r="AC864" s="4" t="inlineStr">
        <x:is>
          <x:t xml:space="preserve">Solid piece</x:t>
        </x:is>
      </x:c>
      <x:c r="AD864" s="4" t="inlineStr">
        <x:is>
          <x:t xml:space="preserve">Proposal</x:t>
        </x:is>
      </x:c>
      <x:c r="AE864" s="4" t="str">
        <x:f>LOWER(A864&amp;"; "&amp;B864&amp;"; "&amp;D864&amp;"; "&amp;E864&amp;"; "&amp;X864&amp;"; "&amp;Y864&amp;"; "&amp;Z864&amp;"; "&amp;AA864&amp;"; "&amp;AB864&amp;"; "&amp;AC864&amp;"; "&amp;AD864&amp;"; "&amp;V864&amp;"; "&amp;C864&amp;"; "&amp;AH864&amp;"; "&amp;AI864)</x:f>
        <x:v>proposal.stock.fired_ceramic_ring_blanks; fired ceramic ring blanks; manufactured stock; fabrication stock; processed material; processed intermediate; manufactured / unresolved; fabrication; ceramic; solid piece; proposal; fired ceramic ring blanks; manufactured stock; fabrication stock; t2; t1; material</x:v>
      </x:c>
      <x:c r="AF864" s="4" t="inlineStr">
        <x:is>
          <x:t xml:space="preserve">Author-requested expansion of manufactured stock: worked materials awaiting fitted fabrication, separate from finished equipment and as-found salvage.</x:t>
        </x:is>
      </x:c>
      <x:c r="AG864" s="4" t="inlineStr">
        <x:is>
          <x:t xml:space="preserve">Proposed T2 stock using qualified T1 metal or ceramic feed. The planning stage does not establish a recipe, production access or material performance.</x:t>
        </x:is>
      </x:c>
      <x:c r="AH864" s="4" t="inlineStr">
        <x:is>
          <x:t xml:space="preserve">T1</x:t>
        </x:is>
      </x:c>
      <x:c r="AI864" s="4" t="inlineStr">
        <x:is>
          <x:t xml:space="preserve">Material</x:t>
        </x:is>
      </x:c>
      <x:c r="AJ864" s="4">
        <x:f>COUNTIFS('Material routes'!$D$6:$D$2205,A864,'Material routes'!$C$6:$C$2205,"Output")</x:f>
        <x:v>0</x:v>
      </x:c>
      <x:c r="AK864" s="4">
        <x:f>SUM(COUNTIFS('Material routes'!$D$6:$D$2205,A864,'Material routes'!$C$6:$C$2205,"Ingredient candidate"),COUNTIFS('Material routes'!$D$6:$D$2205,A864,'Material routes'!$C$6:$C$2205,"Consumed input"),COUNTIFS('Material routes'!$D$6:$D$2205,A864,'Material routes'!$C$6:$C$2205,"Contained input"),COUNTIFS('Material routes'!$D$6:$D$2205,A864,'Material routes'!$C$6:$C$2205,"Transform input"))</x:f>
        <x:v>0</x:v>
      </x:c>
      <x:c r="AL864" s="4">
        <x:f>COUNTIFS('Material routes'!$D$6:$D$2205,A864,'Material routes'!$C$6:$C$2205,"Tool candidate")</x:f>
        <x:v>0</x:v>
      </x:c>
      <x:c r="AM864" s="4" t="str">
        <x:f>IF(AJ864&gt;0,"Route listed; review status/completeness",IF(C864="T0","Raw entry feed; no production route","No production route listed"))</x:f>
        <x:v>No production route listed</x:v>
      </x:c>
      <x:c r="AN864" s="4">
        <x:f>IF(C864="T0",0,IF(C864="T1",1,IF(C864="T2",2,IF(C864="T3",3,IF(C864="T4",4,IF(C864="Unassigned",98,99))))))</x:f>
        <x:v>2</x:v>
      </x:c>
    </x:row>
    <x:row r="865">
      <x:c r="A865" s="4" t="inlineStr">
        <x:is>
          <x:t xml:space="preserve">proposal.stock.laminated_mica_shims</x:t>
        </x:is>
      </x:c>
      <x:c r="B865" s="4" t="inlineStr">
        <x:is>
          <x:t xml:space="preserve">Laminated mica shim stock</x:t>
        </x:is>
      </x:c>
      <x:c r="C865" s="4" t="inlineStr">
        <x:is>
          <x:t xml:space="preserve">T3</x:t>
        </x:is>
      </x:c>
      <x:c r="D865" s="4" t="inlineStr">
        <x:is>
          <x:t xml:space="preserve">Manufactured stock</x:t>
        </x:is>
      </x:c>
      <x:c r="E865" s="4" t="inlineStr">
        <x:is>
          <x:t xml:space="preserve">Fabrication stock</x:t>
        </x:is>
      </x:c>
      <x:c r="F865" s="4" t="inlineStr">
        <x:is>
          <x:t xml:space="preserve">New proposal</x:t>
        </x:is>
      </x:c>
      <x:c r="G865" s="4" t="inlineStr">
        <x:is>
          <x:t xml:space="preserve">Thin layered mica strips proposed for fitted gap adjustment and separation between compatible surfaces. Thickness, binder choice and useful insulating behavior require qualification; this is not a guaranteed electrical barrier.</x:t>
        </x:is>
      </x:c>
      <x:c r="H865" s="4" t="inlineStr">
        <x:is>
          <x:t xml:space="preserve">None</x:t>
        </x:is>
      </x:c>
      <x:c r="I865" s="4" t="inlineStr">
        <x:is>
          <x:t xml:space="preserve">Physical inventory / cargo item; dimensions and packing unresolved</x:t>
        </x:is>
      </x:c>
      <x:c r="J865" s="4"/>
      <x:c r="K865"/>
      <x:c r="L865" t="inlineStr">
        <x:is>
          <x:t xml:space="preserve">Proposed workshop manufacture or trade in prepared stock; regional access and availability remain undefined.</x:t>
        </x:is>
      </x:c>
      <x:c r="M865" s="4" t="inlineStr">
        <x:is>
          <x:t xml:space="preserve">Candidate intermediate stock for later fitted fabrication. Processing inputs and planning stage are proposed; no executable recipe, material quantity, yield or manufacturing time is authored.</x:t>
        </x:is>
      </x:c>
      <x:c r="N865" s="4" t="inlineStr">
        <x:is>
          <x:t xml:space="preserve">Not implemented</x:t>
        </x:is>
      </x:c>
      <x:c r="O865" s="4" t="inlineStr">
        <x:is>
          <x:t xml:space="preserve">Dimensions, material grade, tolerances, service conditions and compatibility remain open. A shaped blank does not grant a fitted component, certified protection or an operating machine.</x:t>
        </x:is>
      </x:c>
      <x:c r="P865" s="4"/>
      <x:c r="Q865" s="4"/>
      <x:c r="R865"/>
      <x:c r="S865"/>
      <x:c r="T865"/>
      <x:c r="U865" t="inlineStr">
        <x:is>
          <x:t xml:space="preserve">Artwork direction: A fan of thin amber-grey mineral strips showing layered edges and staggered lengths. Fit, safe use and manufacturing details remain proposals.</x:t>
        </x:is>
      </x:c>
      <x:c r="V865" s="4" t="inlineStr">
        <x:is>
          <x:t xml:space="preserve">laminated mica shim stock; manufactured stock; fabrication stock</x:t>
        </x:is>
      </x:c>
      <x:c r="W865" s="4" t="inlineStr">
        <x:is>
          <x:t xml:space="preserve">Author requested eight more Manufactured stock items, October 15, 2026. Specific materials, processing stages and uses remain design proposals. Setting constraints: Docs/WORLD_BASIS.md#material-culture.</x:t>
        </x:is>
      </x:c>
      <x:c r="X865" s="4" t="inlineStr">
        <x:is>
          <x:t xml:space="preserve">Processed material</x:t>
        </x:is>
      </x:c>
      <x:c r="Y865" s="4" t="inlineStr">
        <x:is>
          <x:t xml:space="preserve">Processed intermediate</x:t>
        </x:is>
      </x:c>
      <x:c r="Z865" s="4" t="inlineStr">
        <x:is>
          <x:t xml:space="preserve">Manufactured / unresolved</x:t>
        </x:is>
      </x:c>
      <x:c r="AA865" s="4" t="inlineStr">
        <x:is>
          <x:t xml:space="preserve">Equipment fabrication</x:t>
        </x:is>
      </x:c>
      <x:c r="AB865" s="4" t="inlineStr">
        <x:is>
          <x:t xml:space="preserve">Mineral</x:t>
        </x:is>
      </x:c>
      <x:c r="AC865" s="4" t="inlineStr">
        <x:is>
          <x:t xml:space="preserve">Strip</x:t>
        </x:is>
      </x:c>
      <x:c r="AD865" s="4" t="inlineStr">
        <x:is>
          <x:t xml:space="preserve">Proposal</x:t>
        </x:is>
      </x:c>
      <x:c r="AE865" s="4" t="str">
        <x:f>LOWER(A865&amp;"; "&amp;B865&amp;"; "&amp;D865&amp;"; "&amp;E865&amp;"; "&amp;X865&amp;"; "&amp;Y865&amp;"; "&amp;Z865&amp;"; "&amp;AA865&amp;"; "&amp;AB865&amp;"; "&amp;AC865&amp;"; "&amp;AD865&amp;"; "&amp;V865&amp;"; "&amp;C865&amp;"; "&amp;AH865&amp;"; "&amp;AI865)</x:f>
        <x:v>proposal.stock.laminated_mica_shims; laminated mica shim stock; manufactured stock; fabrication stock; processed material; processed intermediate; manufactured / unresolved; equipment fabrication; mineral; strip; proposal; laminated mica shim stock; manufactured stock; fabrication stock; t3; t2; material</x:v>
      </x:c>
      <x:c r="AF865" s="4" t="inlineStr">
        <x:is>
          <x:t xml:space="preserve">Author-requested expansion of manufactured stock: worked materials awaiting fitted fabrication, separate from finished equipment and as-found salvage.</x:t>
        </x:is>
      </x:c>
      <x:c r="AG865" s="4" t="inlineStr">
        <x:is>
          <x:t xml:space="preserve">Proposed T3 finishing and thickness-selection stage using T2 mica composite sheet. Composition, separation method and tolerances remain unresolved.</x:t>
        </x:is>
      </x:c>
      <x:c r="AH865" s="4" t="inlineStr">
        <x:is>
          <x:t xml:space="preserve">T2</x:t>
        </x:is>
      </x:c>
      <x:c r="AI865" s="4" t="inlineStr">
        <x:is>
          <x:t xml:space="preserve">Material</x:t>
        </x:is>
      </x:c>
      <x:c r="AJ865" s="4">
        <x:f>COUNTIFS('Material routes'!$D$6:$D$2205,A865,'Material routes'!$C$6:$C$2205,"Output")</x:f>
        <x:v>0</x:v>
      </x:c>
      <x:c r="AK865" s="4">
        <x:f>SUM(COUNTIFS('Material routes'!$D$6:$D$2205,A865,'Material routes'!$C$6:$C$2205,"Ingredient candidate"),COUNTIFS('Material routes'!$D$6:$D$2205,A865,'Material routes'!$C$6:$C$2205,"Consumed input"),COUNTIFS('Material routes'!$D$6:$D$2205,A865,'Material routes'!$C$6:$C$2205,"Contained input"),COUNTIFS('Material routes'!$D$6:$D$2205,A865,'Material routes'!$C$6:$C$2205,"Transform input"))</x:f>
        <x:v>0</x:v>
      </x:c>
      <x:c r="AL865" s="4">
        <x:f>COUNTIFS('Material routes'!$D$6:$D$2205,A865,'Material routes'!$C$6:$C$2205,"Tool candidate")</x:f>
        <x:v>0</x:v>
      </x:c>
      <x:c r="AM865" s="4" t="str">
        <x:f>IF(AJ865&gt;0,"Route listed; review status/completeness",IF(C865="T0","Raw entry feed; no production route","No production route listed"))</x:f>
        <x:v>No production route listed</x:v>
      </x:c>
      <x:c r="AN865" s="4">
        <x:f>IF(C865="T0",0,IF(C865="T1",1,IF(C865="T2",2,IF(C865="T3",3,IF(C865="T4",4,IF(C865="Unassigned",98,99))))))</x:f>
        <x:v>3</x:v>
      </x:c>
    </x:row>
    <x:row r="866">
      <x:c r="A866" s="4" t="inlineStr">
        <x:is>
          <x:t xml:space="preserve">proposal.stock.copper_capillary_tube</x:t>
        </x:is>
      </x:c>
      <x:c r="B866" s="4" t="inlineStr">
        <x:is>
          <x:t xml:space="preserve">Copper capillary tube stock</x:t>
        </x:is>
      </x:c>
      <x:c r="C866" s="4" t="inlineStr">
        <x:is>
          <x:t xml:space="preserve">T3</x:t>
        </x:is>
      </x:c>
      <x:c r="D866" s="4" t="inlineStr">
        <x:is>
          <x:t xml:space="preserve">Manufactured stock</x:t>
        </x:is>
      </x:c>
      <x:c r="E866" s="4" t="inlineStr">
        <x:is>
          <x:t xml:space="preserve">Fabrication stock</x:t>
        </x:is>
      </x:c>
      <x:c r="F866" s="4" t="inlineStr">
        <x:is>
          <x:t xml:space="preserve">New proposal</x:t>
        </x:is>
      </x:c>
      <x:c r="G866" s="4" t="inlineStr">
        <x:is>
          <x:t xml:space="preserve">Fine-bore copper tubing proposed for fitted instrument passages or the controlled transfer of compatible contained substances. It does not imply a water system, safe biological contact or a particular flow rate; bore consistency and cleaning remain open.</x:t>
        </x:is>
      </x:c>
      <x:c r="H866" s="4" t="inlineStr">
        <x:is>
          <x:t xml:space="preserve">None</x:t>
        </x:is>
      </x:c>
      <x:c r="I866" s="4" t="inlineStr">
        <x:is>
          <x:t xml:space="preserve">Physical inventory / cargo item; dimensions and packing unresolved</x:t>
        </x:is>
      </x:c>
      <x:c r="J866" s="4"/>
      <x:c r="K866"/>
      <x:c r="L866" t="inlineStr">
        <x:is>
          <x:t xml:space="preserve">Proposed workshop manufacture or trade in prepared stock; regional access and availability remain undefined.</x:t>
        </x:is>
      </x:c>
      <x:c r="M866" s="4" t="inlineStr">
        <x:is>
          <x:t xml:space="preserve">Candidate intermediate stock for later fitted fabrication. Processing inputs and planning stage are proposed; no executable recipe, material quantity, yield or manufacturing time is authored.</x:t>
        </x:is>
      </x:c>
      <x:c r="N866" s="4" t="inlineStr">
        <x:is>
          <x:t xml:space="preserve">Not implemented</x:t>
        </x:is>
      </x:c>
      <x:c r="O866" s="4" t="inlineStr">
        <x:is>
          <x:t xml:space="preserve">Dimensions, material grade, tolerances, service conditions and compatibility remain open. A shaped blank does not grant a fitted component, certified protection or an operating machine.</x:t>
        </x:is>
      </x:c>
      <x:c r="P866" s="4"/>
      <x:c r="Q866" s="4"/>
      <x:c r="R866"/>
      <x:c r="S866"/>
      <x:c r="T866"/>
      <x:c r="U866" t="inlineStr">
        <x:is>
          <x:t xml:space="preserve">Artwork direction: A loose coil of narrow copper tube with two short straight offcuts showing tiny open bores. Fit, safe use and manufacturing details remain proposals.</x:t>
        </x:is>
      </x:c>
      <x:c r="V866" s="4" t="inlineStr">
        <x:is>
          <x:t xml:space="preserve">copper capillary tube stock; manufactured stock; fabrication stock</x:t>
        </x:is>
      </x:c>
      <x:c r="W866" s="4" t="inlineStr">
        <x:is>
          <x:t xml:space="preserve">Author requested eight more Manufactured stock items, October 15, 2026. Specific materials, processing stages and uses remain design proposals. Setting constraints: Docs/WORLD_BASIS.md#material-culture.</x:t>
        </x:is>
      </x:c>
      <x:c r="X866" s="4" t="inlineStr">
        <x:is>
          <x:t xml:space="preserve">Processed material</x:t>
        </x:is>
      </x:c>
      <x:c r="Y866" s="4" t="inlineStr">
        <x:is>
          <x:t xml:space="preserve">Processed intermediate</x:t>
        </x:is>
      </x:c>
      <x:c r="Z866" s="4" t="inlineStr">
        <x:is>
          <x:t xml:space="preserve">Manufactured / unresolved</x:t>
        </x:is>
      </x:c>
      <x:c r="AA866" s="4" t="inlineStr">
        <x:is>
          <x:t xml:space="preserve">Equipment fabrication</x:t>
        </x:is>
      </x:c>
      <x:c r="AB866" s="4" t="inlineStr">
        <x:is>
          <x:t xml:space="preserve">Metal</x:t>
        </x:is>
      </x:c>
      <x:c r="AC866" s="4" t="inlineStr">
        <x:is>
          <x:t xml:space="preserve">Solid piece</x:t>
        </x:is>
      </x:c>
      <x:c r="AD866" s="4" t="inlineStr">
        <x:is>
          <x:t xml:space="preserve">Proposal</x:t>
        </x:is>
      </x:c>
      <x:c r="AE866" s="4" t="str">
        <x:f>LOWER(A866&amp;"; "&amp;B866&amp;"; "&amp;D866&amp;"; "&amp;E866&amp;"; "&amp;X866&amp;"; "&amp;Y866&amp;"; "&amp;Z866&amp;"; "&amp;AA866&amp;"; "&amp;AB866&amp;"; "&amp;AC866&amp;"; "&amp;AD866&amp;"; "&amp;V866&amp;"; "&amp;C866&amp;"; "&amp;AH866&amp;"; "&amp;AI866)</x:f>
        <x:v>proposal.stock.copper_capillary_tube; copper capillary tube stock; manufactured stock; fabrication stock; processed material; processed intermediate; manufactured / unresolved; equipment fabrication; metal; solid piece; proposal; copper capillary tube stock; manufactured stock; fabrication stock; t3; t2; material</x:v>
      </x:c>
      <x:c r="AF866" s="4" t="inlineStr">
        <x:is>
          <x:t xml:space="preserve">Author-requested expansion of manufactured stock: worked materials awaiting fitted fabrication, separate from finished equipment and as-found salvage.</x:t>
        </x:is>
      </x:c>
      <x:c r="AG866" s="4" t="inlineStr">
        <x:is>
          <x:t xml:space="preserve">Proposed T3 fine forming from T2 drawn copper stock. Tooling, bore control and process qualification are not established.</x:t>
        </x:is>
      </x:c>
      <x:c r="AH866" s="4" t="inlineStr">
        <x:is>
          <x:t xml:space="preserve">T2</x:t>
        </x:is>
      </x:c>
      <x:c r="AI866" s="4" t="inlineStr">
        <x:is>
          <x:t xml:space="preserve">Material</x:t>
        </x:is>
      </x:c>
      <x:c r="AJ866" s="4">
        <x:f>COUNTIFS('Material routes'!$D$6:$D$2205,A866,'Material routes'!$C$6:$C$2205,"Output")</x:f>
        <x:v>0</x:v>
      </x:c>
      <x:c r="AK866" s="4">
        <x:f>SUM(COUNTIFS('Material routes'!$D$6:$D$2205,A866,'Material routes'!$C$6:$C$2205,"Ingredient candidate"),COUNTIFS('Material routes'!$D$6:$D$2205,A866,'Material routes'!$C$6:$C$2205,"Consumed input"),COUNTIFS('Material routes'!$D$6:$D$2205,A866,'Material routes'!$C$6:$C$2205,"Contained input"),COUNTIFS('Material routes'!$D$6:$D$2205,A866,'Material routes'!$C$6:$C$2205,"Transform input"))</x:f>
        <x:v>0</x:v>
      </x:c>
      <x:c r="AL866" s="4">
        <x:f>COUNTIFS('Material routes'!$D$6:$D$2205,A866,'Material routes'!$C$6:$C$2205,"Tool candidate")</x:f>
        <x:v>0</x:v>
      </x:c>
      <x:c r="AM866" s="4" t="str">
        <x:f>IF(AJ866&gt;0,"Route listed; review status/completeness",IF(C866="T0","Raw entry feed; no production route","No production route listed"))</x:f>
        <x:v>No production route listed</x:v>
      </x:c>
      <x:c r="AN866" s="4">
        <x:f>IF(C866="T0",0,IF(C866="T1",1,IF(C866="T2",2,IF(C866="T3",3,IF(C866="T4",4,IF(C866="Unassigned",98,99))))))</x:f>
        <x:v>3</x:v>
      </x:c>
    </x:row>
    <x:row r="867">
      <x:c r="A867" s="4" t="inlineStr">
        <x:is>
          <x:t xml:space="preserve">proposal.stock.hammered_bronze_foil</x:t>
        </x:is>
      </x:c>
      <x:c r="B867" s="4" t="inlineStr">
        <x:is>
          <x:t xml:space="preserve">Hammered bronze foil stock</x:t>
        </x:is>
      </x:c>
      <x:c r="C867" s="4" t="inlineStr">
        <x:is>
          <x:t xml:space="preserve">T3</x:t>
        </x:is>
      </x:c>
      <x:c r="D867" s="4" t="inlineStr">
        <x:is>
          <x:t xml:space="preserve">Manufactured stock</x:t>
        </x:is>
      </x:c>
      <x:c r="E867" s="4" t="inlineStr">
        <x:is>
          <x:t xml:space="preserve">Fabrication stock</x:t>
        </x:is>
      </x:c>
      <x:c r="F867" s="4" t="inlineStr">
        <x:is>
          <x:t xml:space="preserve">New proposal</x:t>
        </x:is>
      </x:c>
      <x:c r="G867" s="4" t="inlineStr">
        <x:is>
          <x:t xml:space="preserve">Very thin worked bronze sheets proposed for decorative cladding, shaped labels or selected fitted metal layers. Thickness, alloy, joining and durability remain undecided; it is distinct from thicker drawn bronze strip stock.</x:t>
        </x:is>
      </x:c>
      <x:c r="H867" s="4" t="inlineStr">
        <x:is>
          <x:t xml:space="preserve">None</x:t>
        </x:is>
      </x:c>
      <x:c r="I867" s="4" t="inlineStr">
        <x:is>
          <x:t xml:space="preserve">Physical inventory / cargo item; dimensions and packing unresolved</x:t>
        </x:is>
      </x:c>
      <x:c r="J867" s="4"/>
      <x:c r="K867"/>
      <x:c r="L867" t="inlineStr">
        <x:is>
          <x:t xml:space="preserve">Proposed workshop manufacture or trade in prepared stock; regional access and availability remain undefined.</x:t>
        </x:is>
      </x:c>
      <x:c r="M867" s="4" t="inlineStr">
        <x:is>
          <x:t xml:space="preserve">Candidate intermediate stock for later fitted fabrication. Processing inputs and planning stage are proposed; no executable recipe, material quantity, yield or manufacturing time is authored.</x:t>
        </x:is>
      </x:c>
      <x:c r="N867" s="4" t="inlineStr">
        <x:is>
          <x:t xml:space="preserve">Not implemented</x:t>
        </x:is>
      </x:c>
      <x:c r="O867" s="4" t="inlineStr">
        <x:is>
          <x:t xml:space="preserve">Dimensions, material grade, tolerances, service conditions and compatibility remain open. A shaped blank does not grant a fitted component, certified protection or an operating machine.</x:t>
        </x:is>
      </x:c>
      <x:c r="P867" s="4"/>
      <x:c r="Q867" s="4"/>
      <x:c r="R867"/>
      <x:c r="S867"/>
      <x:c r="T867"/>
      <x:c r="U867" t="inlineStr">
        <x:is>
          <x:t xml:space="preserve">Artwork direction: Several thin warm-brown metal leaves with curled corners and small hammer facets. Fit, safe use and manufacturing details remain proposals.</x:t>
        </x:is>
      </x:c>
      <x:c r="V867" s="4" t="inlineStr">
        <x:is>
          <x:t xml:space="preserve">hammered bronze foil stock; manufactured stock; fabrication stock</x:t>
        </x:is>
      </x:c>
      <x:c r="W867" s="4" t="inlineStr">
        <x:is>
          <x:t xml:space="preserve">Author requested eight more Manufactured stock items, October 15, 2026. Specific materials, processing stages and uses remain design proposals. Setting constraints: Docs/WORLD_BASIS.md#material-culture.</x:t>
        </x:is>
      </x:c>
      <x:c r="X867" s="4" t="inlineStr">
        <x:is>
          <x:t xml:space="preserve">Processed material</x:t>
        </x:is>
      </x:c>
      <x:c r="Y867" s="4" t="inlineStr">
        <x:is>
          <x:t xml:space="preserve">Processed intermediate</x:t>
        </x:is>
      </x:c>
      <x:c r="Z867" s="4" t="inlineStr">
        <x:is>
          <x:t xml:space="preserve">Manufactured / unresolved</x:t>
        </x:is>
      </x:c>
      <x:c r="AA867" s="4" t="inlineStr">
        <x:is>
          <x:t xml:space="preserve">Fabrication</x:t>
        </x:is>
      </x:c>
      <x:c r="AB867" s="4" t="inlineStr">
        <x:is>
          <x:t xml:space="preserve">Metal</x:t>
        </x:is>
      </x:c>
      <x:c r="AC867" s="4" t="inlineStr">
        <x:is>
          <x:t xml:space="preserve">Sheet</x:t>
        </x:is>
      </x:c>
      <x:c r="AD867" s="4" t="inlineStr">
        <x:is>
          <x:t xml:space="preserve">Proposal</x:t>
        </x:is>
      </x:c>
      <x:c r="AE867" s="4" t="str">
        <x:f>LOWER(A867&amp;"; "&amp;B867&amp;"; "&amp;D867&amp;"; "&amp;E867&amp;"; "&amp;X867&amp;"; "&amp;Y867&amp;"; "&amp;Z867&amp;"; "&amp;AA867&amp;"; "&amp;AB867&amp;"; "&amp;AC867&amp;"; "&amp;AD867&amp;"; "&amp;V867&amp;"; "&amp;C867&amp;"; "&amp;AH867&amp;"; "&amp;AI867)</x:f>
        <x:v>proposal.stock.hammered_bronze_foil; hammered bronze foil stock; manufactured stock; fabrication stock; processed material; processed intermediate; manufactured / unresolved; fabrication; metal; sheet; proposal; hammered bronze foil stock; manufactured stock; fabrication stock; t3; t2; material</x:v>
      </x:c>
      <x:c r="AF867" s="4" t="inlineStr">
        <x:is>
          <x:t xml:space="preserve">Author-requested expansion of manufactured stock: worked materials awaiting fitted fabrication, separate from finished equipment and as-found salvage.</x:t>
        </x:is>
      </x:c>
      <x:c r="AG867" s="4" t="inlineStr">
        <x:is>
          <x:t xml:space="preserve">Proposed T3 thinning and finishing using T2 bronze stock. Annealing, hammering sequence, usable thickness and yield remain design work.</x:t>
        </x:is>
      </x:c>
      <x:c r="AH867" s="4" t="inlineStr">
        <x:is>
          <x:t xml:space="preserve">T2</x:t>
        </x:is>
      </x:c>
      <x:c r="AI867" s="4" t="inlineStr">
        <x:is>
          <x:t xml:space="preserve">Material</x:t>
        </x:is>
      </x:c>
      <x:c r="AJ867" s="4">
        <x:f>COUNTIFS('Material routes'!$D$6:$D$2205,A867,'Material routes'!$C$6:$C$2205,"Output")</x:f>
        <x:v>0</x:v>
      </x:c>
      <x:c r="AK867" s="4">
        <x:f>SUM(COUNTIFS('Material routes'!$D$6:$D$2205,A867,'Material routes'!$C$6:$C$2205,"Ingredient candidate"),COUNTIFS('Material routes'!$D$6:$D$2205,A867,'Material routes'!$C$6:$C$2205,"Consumed input"),COUNTIFS('Material routes'!$D$6:$D$2205,A867,'Material routes'!$C$6:$C$2205,"Contained input"),COUNTIFS('Material routes'!$D$6:$D$2205,A867,'Material routes'!$C$6:$C$2205,"Transform input"))</x:f>
        <x:v>0</x:v>
      </x:c>
      <x:c r="AL867" s="4">
        <x:f>COUNTIFS('Material routes'!$D$6:$D$2205,A867,'Material routes'!$C$6:$C$2205,"Tool candidate")</x:f>
        <x:v>0</x:v>
      </x:c>
      <x:c r="AM867" s="4" t="str">
        <x:f>IF(AJ867&gt;0,"Route listed; review status/completeness",IF(C867="T0","Raw entry feed; no production route","No production route listed"))</x:f>
        <x:v>No production route listed</x:v>
      </x:c>
      <x:c r="AN867" s="4">
        <x:f>IF(C867="T0",0,IF(C867="T1",1,IF(C867="T2",2,IF(C867="T3",3,IF(C867="T4",4,IF(C867="Unassigned",98,99))))))</x:f>
        <x:v>3</x:v>
      </x:c>
    </x:row>
    <x:row r="868">
      <x:c r="A868" s="4" t="inlineStr">
        <x:is>
          <x:t xml:space="preserve">author.station.workbench</x:t>
        </x:is>
      </x:c>
      <x:c r="B868" s="4" t="inlineStr">
        <x:is>
          <x:t xml:space="preserve">Workbench</x:t>
        </x:is>
      </x:c>
      <x:c r="C868" s="4" t="inlineStr">
        <x:is>
          <x:t xml:space="preserve">T2</x:t>
        </x:is>
      </x:c>
      <x:c r="D868" s="4" t="inlineStr">
        <x:is>
          <x:t xml:space="preserve">Crafting stations</x:t>
        </x:is>
      </x:c>
      <x:c r="E868" s="4" t="inlineStr">
        <x:is>
          <x:t xml:space="preserve">Camp crafting station</x:t>
        </x:is>
      </x:c>
      <x:c r="F868" s="4" t="inlineStr">
        <x:is>
          <x:t xml:space="preserve">New proposal</x:t>
        </x:is>
      </x:c>
      <x:c r="G868" s="4" t="inlineStr">
        <x:is>
          <x:t xml:space="preserve">General camp work surface for fitting parts, assembling tools and repairing ordinary gear. The existing Camp Loop trial uses its workbench to craft an empty Arc Battery; this catalog entry does not expand the trial recipe roster.</x:t>
        </x:is>
      </x:c>
      <x:c r="H868" s="4" t="inlineStr">
        <x:is>
          <x:t xml:space="preserve">None</x:t>
        </x:is>
      </x:c>
      <x:c r="I868" s="4" t="inlineStr">
        <x:is>
          <x:t xml:space="preserve">Placed camp facility; transport, assembly and footprint unresolved. The Legger is not a crafting platform.</x:t>
        </x:is>
      </x:c>
      <x:c r="J868" s="4"/>
      <x:c r="K868"/>
      <x:c r="L868" t="inlineStr">
        <x:is>
          <x:t xml:space="preserve">Proposed camp construction or specialist trade; construction recipe and availability unresolved.</x:t>
        </x:is>
      </x:c>
      <x:c r="M868" s="4" t="inlineStr">
        <x:is>
          <x:t xml:space="preserve">Station function and candidate material families only. No station construction recipe, quantities, yield, power cost or production time established.</x:t>
        </x:is>
      </x:c>
      <x:c r="N868" s="4" t="inlineStr">
        <x:is>
          <x:t xml:space="preserve">Workbench and empty-battery crafting are recorded in the CampWorkstations20261014 reference-trial receipt. This update creates only a catalog representation, not production placement or fresh runtime validation.</x:t>
        </x:is>
      </x:c>
      <x:c r="O868" s="4" t="inlineStr">
        <x:is>
          <x:t xml:space="preserve">No wood, ordinary cloth, natural free water or plant feedstocks. Utilities, containment, process qualification and physical placement require design.</x:t>
        </x:is>
      </x:c>
      <x:c r="P868" s="4"/>
      <x:c r="Q868" s="4"/>
      <x:c r="R868"/>
      <x:c r="S868"/>
      <x:c r="T868"/>
      <x:c r="U868" t="inlineStr">
        <x:is>
          <x:t xml:space="preserve">Artwork direction: A worn metal worktop on a braced iron frame, with a vise and shallow shell parts tray; no wooden boards. Fit, safe use and manufacturing details remain proposals.</x:t>
        </x:is>
      </x:c>
      <x:c r="V868" s="4" t="inlineStr">
        <x:is>
          <x:t xml:space="preserve">regular workbench; assembly bench; repair bench; empty battery crafting</x:t>
        </x:is>
      </x:c>
      <x:c r="W868"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8" s="4" t="inlineStr">
        <x:is>
          <x:t xml:space="preserve">Machine</x:t>
        </x:is>
      </x:c>
      <x:c r="Y868" s="4" t="inlineStr">
        <x:is>
          <x:t xml:space="preserve">Finished item</x:t>
        </x:is>
      </x:c>
      <x:c r="Z868" s="4" t="inlineStr">
        <x:is>
          <x:t xml:space="preserve">Manufactured / unresolved</x:t>
        </x:is>
      </x:c>
      <x:c r="AA868" s="4" t="inlineStr">
        <x:is>
          <x:t xml:space="preserve">Equipment fabrication</x:t>
        </x:is>
      </x:c>
      <x:c r="AB868" s="4" t="inlineStr">
        <x:is>
          <x:t xml:space="preserve">Metal and shell</x:t>
        </x:is>
      </x:c>
      <x:c r="AC868" s="4" t="inlineStr">
        <x:is>
          <x:t xml:space="preserve">Assembly</x:t>
        </x:is>
      </x:c>
      <x:c r="AD868" s="4" t="inlineStr">
        <x:is>
          <x:t xml:space="preserve">Author direction</x:t>
        </x:is>
      </x:c>
      <x:c r="AE868" s="4" t="str">
        <x:f>LOWER(A868&amp;"; "&amp;B868&amp;"; "&amp;D868&amp;"; "&amp;E868&amp;"; "&amp;X868&amp;"; "&amp;Y868&amp;"; "&amp;Z868&amp;"; "&amp;AA868&amp;"; "&amp;AB868&amp;"; "&amp;AC868&amp;"; "&amp;AD868&amp;"; "&amp;V868&amp;"; "&amp;C868&amp;"; "&amp;AH868&amp;"; "&amp;AI868)</x:f>
        <x:v>author.station.workbench; workbench; crafting stations; camp crafting station; machine; finished item; manufactured / unresolved; equipment fabrication; metal and shell; assembly; author direction; regular workbench; assembly bench; repair bench; empty battery crafting; t2; t1; finished item</x:v>
      </x:c>
      <x:c r="AF868" s="4" t="inlineStr">
        <x:is>
          <x:t xml:space="preserve">Placed camp facility hosting a defined crafting operation; supporting hand tools, process vessels, upgrade parts and ingredients remain separate items.</x:t>
        </x:is>
      </x:c>
      <x:c r="AG868" s="4" t="inlineStr">
        <x:is>
          <x:t xml:space="preserve">Proposed T2 construction from craft-ready T1 stock. Construction tier is independent of the tier of products processed here; no construction recipe is approved.</x:t>
        </x:is>
      </x:c>
      <x:c r="AH868" s="4" t="inlineStr">
        <x:is>
          <x:t xml:space="preserve">T1</x:t>
        </x:is>
      </x:c>
      <x:c r="AI868" s="4" t="inlineStr">
        <x:is>
          <x:t xml:space="preserve">Finished item</x:t>
        </x:is>
      </x:c>
      <x:c r="AJ868" s="4">
        <x:f>COUNTIFS('Material routes'!$D$6:$D$2205,A868,'Material routes'!$C$6:$C$2205,"Output")</x:f>
        <x:v>0</x:v>
      </x:c>
      <x:c r="AK868" s="4">
        <x:f>SUM(COUNTIFS('Material routes'!$D$6:$D$2205,A868,'Material routes'!$C$6:$C$2205,"Ingredient candidate"),COUNTIFS('Material routes'!$D$6:$D$2205,A868,'Material routes'!$C$6:$C$2205,"Consumed input"),COUNTIFS('Material routes'!$D$6:$D$2205,A868,'Material routes'!$C$6:$C$2205,"Contained input"),COUNTIFS('Material routes'!$D$6:$D$2205,A868,'Material routes'!$C$6:$C$2205,"Transform input"))</x:f>
        <x:v>0</x:v>
      </x:c>
      <x:c r="AL868" s="4">
        <x:f>COUNTIFS('Material routes'!$D$6:$D$2205,A868,'Material routes'!$C$6:$C$2205,"Tool candidate")</x:f>
        <x:v>0</x:v>
      </x:c>
      <x:c r="AM868" s="4" t="str">
        <x:f>IF(AJ868&gt;0,"Route listed; review status/completeness",IF(C868="T0","Raw entry feed; no production route","No production route listed"))</x:f>
        <x:v>No production route listed</x:v>
      </x:c>
      <x:c r="AN868" s="4">
        <x:f>IF(C868="T0",0,IF(C868="T1",1,IF(C868="T2",2,IF(C868="T3",3,IF(C868="T4",4,IF(C868="Unassigned",98,99))))))</x:f>
        <x:v>2</x:v>
      </x:c>
    </x:row>
    <x:row r="869">
      <x:c r="A869" s="4" t="inlineStr">
        <x:is>
          <x:t xml:space="preserve">author.station.ironstone_refinery</x:t>
        </x:is>
      </x:c>
      <x:c r="B869" s="4" t="inlineStr">
        <x:is>
          <x:t xml:space="preserve">Ironstone refinery</x:t>
        </x:is>
      </x:c>
      <x:c r="C869" s="4" t="inlineStr">
        <x:is>
          <x:t xml:space="preserve">T2</x:t>
        </x:is>
      </x:c>
      <x:c r="D869" s="4" t="inlineStr">
        <x:is>
          <x:t xml:space="preserve">Crafting stations</x:t>
        </x:is>
      </x:c>
      <x:c r="E869" s="4" t="inlineStr">
        <x:is>
          <x:t xml:space="preserve">Camp crafting station</x:t>
        </x:is>
      </x:c>
      <x:c r="F869" s="4" t="inlineStr">
        <x:is>
          <x:t xml:space="preserve">New proposal</x:t>
        </x:is>
      </x:c>
      <x:c r="G869" s="4" t="inlineStr">
        <x:is>
          <x:t xml:space="preserve">Camp facility for breaking down and separating raw Ironstone Ore into coarse aggregate, iron-rich concentrate, mineral sand and mineral dust. Represents the existing manual Ironstone sorter; further refining or smelting would require separately designed operations.</x:t>
        </x:is>
      </x:c>
      <x:c r="H869" s="4" t="inlineStr">
        <x:is>
          <x:t xml:space="preserve">None</x:t>
        </x:is>
      </x:c>
      <x:c r="I869" s="4" t="inlineStr">
        <x:is>
          <x:t xml:space="preserve">Placed camp facility; transport, assembly and footprint unresolved. The Legger is not a crafting platform.</x:t>
        </x:is>
      </x:c>
      <x:c r="J869" s="4"/>
      <x:c r="K869"/>
      <x:c r="L869" t="inlineStr">
        <x:is>
          <x:t xml:space="preserve">Proposed camp construction or specialist trade; construction recipe and availability unresolved.</x:t>
        </x:is>
      </x:c>
      <x:c r="M869" s="4" t="inlineStr">
        <x:is>
          <x:t xml:space="preserve">Station function and candidate material families only. No station construction recipe, quantities, yield, power cost or production time established.</x:t>
        </x:is>
      </x:c>
      <x:c r="N869" s="4" t="inlineStr">
        <x:is>
          <x:t xml:space="preserve">Manual sorting with a finite output tray is recorded in CampIronstone20261014. Catalog name adopts the author's Ironstone refinery label; runtime sorter naming and recipes remain unchanged.</x:t>
        </x:is>
      </x:c>
      <x:c r="O869" s="4" t="inlineStr">
        <x:is>
          <x:t xml:space="preserve">Mineral dust is not Arc Dust and cannot charge Arc Batteries. Sorting does not produce refined metal automatically. No wood, natural free water or new smelting capability introduced.</x:t>
        </x:is>
      </x:c>
      <x:c r="P869" s="4"/>
      <x:c r="Q869" s="4"/>
      <x:c r="R869"/>
      <x:c r="S869"/>
      <x:c r="T869"/>
      <x:c r="U869" t="inlineStr">
        <x:is>
          <x:t xml:space="preserve">Artwork direction: A low iron-framed sorting machine with a hopper, screened channels and separate ceramic output bins. Fit, safe use and manufacturing details remain proposals.</x:t>
        </x:is>
      </x:c>
      <x:c r="V869" s="4" t="inlineStr">
        <x:is>
          <x:t xml:space="preserve">ironstone sorter; manual ironstone sorter; ore sorting; ore refinery</x:t>
        </x:is>
      </x:c>
      <x:c r="W869"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9" s="4" t="inlineStr">
        <x:is>
          <x:t xml:space="preserve">Machine</x:t>
        </x:is>
      </x:c>
      <x:c r="Y869" s="4" t="inlineStr">
        <x:is>
          <x:t xml:space="preserve">Finished item</x:t>
        </x:is>
      </x:c>
      <x:c r="Z869" s="4" t="inlineStr">
        <x:is>
          <x:t xml:space="preserve">Manufactured / unresolved</x:t>
        </x:is>
      </x:c>
      <x:c r="AA869" s="4" t="inlineStr">
        <x:is>
          <x:t xml:space="preserve">Metal refining</x:t>
        </x:is>
      </x:c>
      <x:c r="AB869" s="4" t="inlineStr">
        <x:is>
          <x:t xml:space="preserve">Ceramic and metal</x:t>
        </x:is>
      </x:c>
      <x:c r="AC869" s="4" t="inlineStr">
        <x:is>
          <x:t xml:space="preserve">Assembly</x:t>
        </x:is>
      </x:c>
      <x:c r="AD869" s="4" t="inlineStr">
        <x:is>
          <x:t xml:space="preserve">Author direction</x:t>
        </x:is>
      </x:c>
      <x:c r="AE869" s="4" t="str">
        <x:f>LOWER(A869&amp;"; "&amp;B869&amp;"; "&amp;D869&amp;"; "&amp;E869&amp;"; "&amp;X869&amp;"; "&amp;Y869&amp;"; "&amp;Z869&amp;"; "&amp;AA869&amp;"; "&amp;AB869&amp;"; "&amp;AC869&amp;"; "&amp;AD869&amp;"; "&amp;V869&amp;"; "&amp;C869&amp;"; "&amp;AH869&amp;"; "&amp;AI869)</x:f>
        <x:v>author.station.ironstone_refinery; ironstone refinery; crafting stations; camp crafting station; machine; finished item; manufactured / unresolved; metal refining; ceramic and metal; assembly; author direction; ironstone sorter; manual ironstone sorter; ore sorting; ore refinery; t2; t1; finished item</x:v>
      </x:c>
      <x:c r="AF869" s="4" t="inlineStr">
        <x:is>
          <x:t xml:space="preserve">Placed camp facility hosting a defined crafting operation; supporting hand tools, process vessels, upgrade parts and ingredients remain separate items.</x:t>
        </x:is>
      </x:c>
      <x:c r="AG869" s="4" t="inlineStr">
        <x:is>
          <x:t xml:space="preserve">Proposed T2 construction from craft-ready T1 stock. Construction tier is independent of the tier of products processed here; no construction recipe is approved.</x:t>
        </x:is>
      </x:c>
      <x:c r="AH869" s="4" t="inlineStr">
        <x:is>
          <x:t xml:space="preserve">T1</x:t>
        </x:is>
      </x:c>
      <x:c r="AI869" s="4" t="inlineStr">
        <x:is>
          <x:t xml:space="preserve">Finished item</x:t>
        </x:is>
      </x:c>
      <x:c r="AJ869" s="4">
        <x:f>COUNTIFS('Material routes'!$D$6:$D$2205,A869,'Material routes'!$C$6:$C$2205,"Output")</x:f>
        <x:v>0</x:v>
      </x:c>
      <x:c r="AK869" s="4">
        <x:f>SUM(COUNTIFS('Material routes'!$D$6:$D$2205,A869,'Material routes'!$C$6:$C$2205,"Ingredient candidate"),COUNTIFS('Material routes'!$D$6:$D$2205,A869,'Material routes'!$C$6:$C$2205,"Consumed input"),COUNTIFS('Material routes'!$D$6:$D$2205,A869,'Material routes'!$C$6:$C$2205,"Contained input"),COUNTIFS('Material routes'!$D$6:$D$2205,A869,'Material routes'!$C$6:$C$2205,"Transform input"))</x:f>
        <x:v>0</x:v>
      </x:c>
      <x:c r="AL869" s="4">
        <x:f>COUNTIFS('Material routes'!$D$6:$D$2205,A869,'Material routes'!$C$6:$C$2205,"Tool candidate")</x:f>
        <x:v>0</x:v>
      </x:c>
      <x:c r="AM869" s="4" t="str">
        <x:f>IF(AJ869&gt;0,"Route listed; review status/completeness",IF(C869="T0","Raw entry feed; no production route","No production route listed"))</x:f>
        <x:v>No production route listed</x:v>
      </x:c>
      <x:c r="AN869" s="4">
        <x:f>IF(C869="T0",0,IF(C869="T1",1,IF(C869="T2",2,IF(C869="T3",3,IF(C869="T4",4,IF(C869="Unassigned",98,99))))))</x:f>
        <x:v>2</x:v>
      </x:c>
    </x:row>
    <x:row r="870">
      <x:c r="A870" s="4" t="inlineStr">
        <x:is>
          <x:t xml:space="preserve">author.station.dust_refinery</x:t>
        </x:is>
      </x:c>
      <x:c r="B870" s="4" t="inlineStr">
        <x:is>
          <x:t xml:space="preserve">Dust refinery</x:t>
        </x:is>
      </x:c>
      <x:c r="C870" s="4" t="inlineStr">
        <x:is>
          <x:t xml:space="preserve">T2</x:t>
        </x:is>
      </x:c>
      <x:c r="D870" s="4" t="inlineStr">
        <x:is>
          <x:t xml:space="preserve">Crafting stations</x:t>
        </x:is>
      </x:c>
      <x:c r="E870" s="4" t="inlineStr">
        <x:is>
          <x:t xml:space="preserve">Camp crafting station</x:t>
        </x:is>
      </x:c>
      <x:c r="F870" s="4" t="inlineStr">
        <x:is>
          <x:t xml:space="preserve">New proposal</x:t>
        </x:is>
      </x:c>
      <x:c r="G870" s="4" t="inlineStr">
        <x:is>
          <x:t xml:space="preserve">Refine collected Arc Dust into Arc Energy and charge an existing empty Arc Battery. Accept a dust canister and an empty battery, retain the canister and unused dust, and return the same battery charged; dust alone does not create a battery casing.</x:t>
        </x:is>
      </x:c>
      <x:c r="H870" s="4" t="inlineStr">
        <x:is>
          <x:t xml:space="preserve">None</x:t>
        </x:is>
      </x:c>
      <x:c r="I870" s="4" t="inlineStr">
        <x:is>
          <x:t xml:space="preserve">Placed camp facility; transport, assembly and footprint unresolved. The Legger is not a crafting platform.</x:t>
        </x:is>
      </x:c>
      <x:c r="J870" s="4"/>
      <x:c r="K870"/>
      <x:c r="L870" t="inlineStr">
        <x:is>
          <x:t xml:space="preserve">Proposed camp construction or specialist trade; construction recipe and availability unresolved.</x:t>
        </x:is>
      </x:c>
      <x:c r="M870" s="4" t="inlineStr">
        <x:is>
          <x:t xml:space="preserve">Station function and candidate material families only. No station construction recipe, quantities, yield, power cost or production time established.</x:t>
        </x:is>
      </x:c>
      <x:c r="N870" s="4" t="inlineStr">
        <x:is>
          <x:t xml:space="preserve">Canister/battery docking and Arc-Dust charging are recorded in CampWorkstations20261014. Existing trial costs remain trial balance; this catalog entry adds no runtime service.</x:t>
        </x:is>
      </x:c>
      <x:c r="O870" s="4" t="inlineStr">
        <x:is>
          <x:t xml:space="preserve">Requires collected Arc Dust and a compatible existing empty Arc Battery. Preserve battery and canister identity, leftover contents and energy accounting. Ordinary mineral dust is ineligible; no free battery holder or duplicated charge.</x:t>
        </x:is>
      </x:c>
      <x:c r="P870" s="4"/>
      <x:c r="Q870" s="4"/>
      <x:c r="R870"/>
      <x:c r="S870"/>
      <x:c r="T870"/>
      <x:c r="U870" t="inlineStr">
        <x:is>
          <x:t xml:space="preserve">Artwork direction: A ceramic-insulated metal apparatus with separate canister and battery sockets linked through a compact refining chamber. Fit, safe use and manufacturing details remain proposals.</x:t>
        </x:is>
      </x:c>
      <x:c r="V870" s="4" t="inlineStr">
        <x:is>
          <x:t xml:space="preserve">arc dust refinery; arc battery charger; battery charging station</x:t>
        </x:is>
      </x:c>
      <x:c r="W870"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0" s="4" t="inlineStr">
        <x:is>
          <x:t xml:space="preserve">Machine</x:t>
        </x:is>
      </x:c>
      <x:c r="Y870" s="4" t="inlineStr">
        <x:is>
          <x:t xml:space="preserve">Finished item</x:t>
        </x:is>
      </x:c>
      <x:c r="Z870" s="4" t="inlineStr">
        <x:is>
          <x:t xml:space="preserve">Manufactured / unresolved</x:t>
        </x:is>
      </x:c>
      <x:c r="AA870" s="4" t="inlineStr">
        <x:is>
          <x:t xml:space="preserve">Energy processing</x:t>
        </x:is>
      </x:c>
      <x:c r="AB870" s="4" t="inlineStr">
        <x:is>
          <x:t xml:space="preserve">Ceramic and metal</x:t>
        </x:is>
      </x:c>
      <x:c r="AC870" s="4" t="inlineStr">
        <x:is>
          <x:t xml:space="preserve">Assembly</x:t>
        </x:is>
      </x:c>
      <x:c r="AD870" s="4" t="inlineStr">
        <x:is>
          <x:t xml:space="preserve">Author direction</x:t>
        </x:is>
      </x:c>
      <x:c r="AE870" s="4" t="str">
        <x:f>LOWER(A870&amp;"; "&amp;B870&amp;"; "&amp;D870&amp;"; "&amp;E870&amp;"; "&amp;X870&amp;"; "&amp;Y870&amp;"; "&amp;Z870&amp;"; "&amp;AA870&amp;"; "&amp;AB870&amp;"; "&amp;AC870&amp;"; "&amp;AD870&amp;"; "&amp;V870&amp;"; "&amp;C870&amp;"; "&amp;AH870&amp;"; "&amp;AI870)</x:f>
        <x:v>author.station.dust_refinery; dust refinery; crafting stations; camp crafting station; machine; finished item; manufactured / unresolved; energy processing; ceramic and metal; assembly; author direction; arc dust refinery; arc battery charger; battery charging station; t2; t1; finished item</x:v>
      </x:c>
      <x:c r="AF870" s="4" t="inlineStr">
        <x:is>
          <x:t xml:space="preserve">Placed camp facility hosting a defined crafting operation; supporting hand tools, process vessels, upgrade parts and ingredients remain separate items.</x:t>
        </x:is>
      </x:c>
      <x:c r="AG870" s="4" t="inlineStr">
        <x:is>
          <x:t xml:space="preserve">Proposed T2 construction from craft-ready T1 stock. Construction tier is independent of the tier of products processed here; no construction recipe is approved.</x:t>
        </x:is>
      </x:c>
      <x:c r="AH870" s="4" t="inlineStr">
        <x:is>
          <x:t xml:space="preserve">T1</x:t>
        </x:is>
      </x:c>
      <x:c r="AI870" s="4" t="inlineStr">
        <x:is>
          <x:t xml:space="preserve">Finished item</x:t>
        </x:is>
      </x:c>
      <x:c r="AJ870" s="4">
        <x:f>COUNTIFS('Material routes'!$D$6:$D$2205,A870,'Material routes'!$C$6:$C$2205,"Output")</x:f>
        <x:v>0</x:v>
      </x:c>
      <x:c r="AK870" s="4">
        <x:f>SUM(COUNTIFS('Material routes'!$D$6:$D$2205,A870,'Material routes'!$C$6:$C$2205,"Ingredient candidate"),COUNTIFS('Material routes'!$D$6:$D$2205,A870,'Material routes'!$C$6:$C$2205,"Consumed input"),COUNTIFS('Material routes'!$D$6:$D$2205,A870,'Material routes'!$C$6:$C$2205,"Contained input"),COUNTIFS('Material routes'!$D$6:$D$2205,A870,'Material routes'!$C$6:$C$2205,"Transform input"))</x:f>
        <x:v>0</x:v>
      </x:c>
      <x:c r="AL870" s="4">
        <x:f>COUNTIFS('Material routes'!$D$6:$D$2205,A870,'Material routes'!$C$6:$C$2205,"Tool candidate")</x:f>
        <x:v>0</x:v>
      </x:c>
      <x:c r="AM870" s="4" t="str">
        <x:f>IF(AJ870&gt;0,"Route listed; review status/completeness",IF(C870="T0","Raw entry feed; no production route","No production route listed"))</x:f>
        <x:v>No production route listed</x:v>
      </x:c>
      <x:c r="AN870" s="4">
        <x:f>IF(C870="T0",0,IF(C870="T1",1,IF(C870="T2",2,IF(C870="T3",3,IF(C870="T4",4,IF(C870="Unassigned",98,99))))))</x:f>
        <x:v>2</x:v>
      </x:c>
    </x:row>
    <x:row r="871">
      <x:c r="A871" s="4" t="inlineStr">
        <x:is>
          <x:t xml:space="preserve">proposal.station.salvage_dismantling_bench</x:t>
        </x:is>
      </x:c>
      <x:c r="B871" s="4" t="inlineStr">
        <x:is>
          <x:t xml:space="preserve">Salvage dismantling bench</x:t>
        </x:is>
      </x:c>
      <x:c r="C871" s="4" t="inlineStr">
        <x:is>
          <x:t xml:space="preserve">T2</x:t>
        </x:is>
      </x:c>
      <x:c r="D871" s="4" t="inlineStr">
        <x:is>
          <x:t xml:space="preserve">Crafting stations</x:t>
        </x:is>
      </x:c>
      <x:c r="E871" s="4" t="inlineStr">
        <x:is>
          <x:t xml:space="preserve">Camp crafting station</x:t>
        </x:is>
      </x:c>
      <x:c r="F871" s="4" t="inlineStr">
        <x:is>
          <x:t xml:space="preserve">New proposal</x:t>
        </x:is>
      </x:c>
      <x:c r="G871" s="4" t="inlineStr">
        <x:is>
          <x:t xml:space="preserve">Secure recovered scrap and damaged mechanisms for inspection and careful disassembly. Candidate outputs are sorted scrap and individually qualified reusable parts; dismantling does not guarantee repair or reproduce ancient technology.</x:t>
        </x:is>
      </x:c>
      <x:c r="H871" s="4" t="inlineStr">
        <x:is>
          <x:t xml:space="preserve">None</x:t>
        </x:is>
      </x:c>
      <x:c r="I871" s="4" t="inlineStr">
        <x:is>
          <x:t xml:space="preserve">Placed camp facility; transport, assembly and footprint unresolved. The Legger is not a crafting platform.</x:t>
        </x:is>
      </x:c>
      <x:c r="J871" s="4"/>
      <x:c r="K871"/>
      <x:c r="L871" t="inlineStr">
        <x:is>
          <x:t xml:space="preserve">Proposed camp construction or specialist trade; construction recipe and availability unresolved.</x:t>
        </x:is>
      </x:c>
      <x:c r="M871" s="4" t="inlineStr">
        <x:is>
          <x:t xml:space="preserve">Station function and candidate material families only. No station construction recipe, quantities, yield, power cost or production time established.</x:t>
        </x:is>
      </x:c>
      <x:c r="N871" s="4" t="inlineStr">
        <x:is>
          <x:t xml:space="preserve">Catalog proposal; station not implemented by this update.</x:t>
        </x:is>
      </x:c>
      <x:c r="O871" s="4" t="inlineStr">
        <x:is>
          <x:t xml:space="preserve">No wood, ordinary cloth, natural free water or plant feedstocks. Utilities, containment, process qualification and physical placement require design.</x:t>
        </x:is>
      </x:c>
      <x:c r="P871" s="4"/>
      <x:c r="Q871" s="4"/>
      <x:c r="R871"/>
      <x:c r="S871"/>
      <x:c r="T871"/>
      <x:c r="U871" t="inlineStr">
        <x:is>
          <x:t xml:space="preserve">Artwork direction: A scarred iron bench with restraint jaws, removable shell catch trays and a few dismantled metal housings. Fit, safe use and manufacturing details remain proposals.</x:t>
        </x:is>
      </x:c>
      <x:c r="V871" s="4" t="inlineStr">
        <x:is>
          <x:t xml:space="preserve">scrapping station; salvage inspection; dismantling table</x:t>
        </x:is>
      </x:c>
      <x:c r="W871"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1" s="4" t="inlineStr">
        <x:is>
          <x:t xml:space="preserve">Machine</x:t>
        </x:is>
      </x:c>
      <x:c r="Y871" s="4" t="inlineStr">
        <x:is>
          <x:t xml:space="preserve">Finished item</x:t>
        </x:is>
      </x:c>
      <x:c r="Z871" s="4" t="inlineStr">
        <x:is>
          <x:t xml:space="preserve">Manufactured / unresolved</x:t>
        </x:is>
      </x:c>
      <x:c r="AA871" s="4" t="inlineStr">
        <x:is>
          <x:t xml:space="preserve">Equipment repair</x:t>
        </x:is>
      </x:c>
      <x:c r="AB871" s="4" t="inlineStr">
        <x:is>
          <x:t xml:space="preserve">Metal and shell</x:t>
        </x:is>
      </x:c>
      <x:c r="AC871" s="4" t="inlineStr">
        <x:is>
          <x:t xml:space="preserve">Assembly</x:t>
        </x:is>
      </x:c>
      <x:c r="AD871" s="4" t="inlineStr">
        <x:is>
          <x:t xml:space="preserve">Proposal</x:t>
        </x:is>
      </x:c>
      <x:c r="AE871" s="4" t="str">
        <x:f>LOWER(A871&amp;"; "&amp;B871&amp;"; "&amp;D871&amp;"; "&amp;E871&amp;"; "&amp;X871&amp;"; "&amp;Y871&amp;"; "&amp;Z871&amp;"; "&amp;AA871&amp;"; "&amp;AB871&amp;"; "&amp;AC871&amp;"; "&amp;AD871&amp;"; "&amp;V871&amp;"; "&amp;C871&amp;"; "&amp;AH871&amp;"; "&amp;AI871)</x:f>
        <x:v>proposal.station.salvage_dismantling_bench; salvage dismantling bench; crafting stations; camp crafting station; machine; finished item; manufactured / unresolved; equipment repair; metal and shell; assembly; proposal; scrapping station; salvage inspection; dismantling table; t2; t1; finished item</x:v>
      </x:c>
      <x:c r="AF871" s="4" t="inlineStr">
        <x:is>
          <x:t xml:space="preserve">Placed camp facility hosting a defined crafting operation; supporting hand tools, process vessels, upgrade parts and ingredients remain separate items.</x:t>
        </x:is>
      </x:c>
      <x:c r="AG871" s="4" t="inlineStr">
        <x:is>
          <x:t xml:space="preserve">Proposed T2 construction from craft-ready T1 stock. Construction tier is independent of the tier of products processed here; no construction recipe is approved.</x:t>
        </x:is>
      </x:c>
      <x:c r="AH871" s="4" t="inlineStr">
        <x:is>
          <x:t xml:space="preserve">T1</x:t>
        </x:is>
      </x:c>
      <x:c r="AI871" s="4" t="inlineStr">
        <x:is>
          <x:t xml:space="preserve">Finished item</x:t>
        </x:is>
      </x:c>
      <x:c r="AJ871" s="4">
        <x:f>COUNTIFS('Material routes'!$D$6:$D$2205,A871,'Material routes'!$C$6:$C$2205,"Output")</x:f>
        <x:v>0</x:v>
      </x:c>
      <x:c r="AK871" s="4">
        <x:f>SUM(COUNTIFS('Material routes'!$D$6:$D$2205,A871,'Material routes'!$C$6:$C$2205,"Ingredient candidate"),COUNTIFS('Material routes'!$D$6:$D$2205,A871,'Material routes'!$C$6:$C$2205,"Consumed input"),COUNTIFS('Material routes'!$D$6:$D$2205,A871,'Material routes'!$C$6:$C$2205,"Contained input"),COUNTIFS('Material routes'!$D$6:$D$2205,A871,'Material routes'!$C$6:$C$2205,"Transform input"))</x:f>
        <x:v>0</x:v>
      </x:c>
      <x:c r="AL871" s="4">
        <x:f>COUNTIFS('Material routes'!$D$6:$D$2205,A871,'Material routes'!$C$6:$C$2205,"Tool candidate")</x:f>
        <x:v>0</x:v>
      </x:c>
      <x:c r="AM871" s="4" t="str">
        <x:f>IF(AJ871&gt;0,"Route listed; review status/completeness",IF(C871="T0","Raw entry feed; no production route","No production route listed"))</x:f>
        <x:v>No production route listed</x:v>
      </x:c>
      <x:c r="AN871" s="4">
        <x:f>IF(C871="T0",0,IF(C871="T1",1,IF(C871="T2",2,IF(C871="T3",3,IF(C871="T4",4,IF(C871="Unassigned",98,99))))))</x:f>
        <x:v>2</x:v>
      </x:c>
    </x:row>
    <x:row r="872">
      <x:c r="A872" s="4" t="inlineStr">
        <x:is>
          <x:t xml:space="preserve">proposal.station.husk_processing_table</x:t>
        </x:is>
      </x:c>
      <x:c r="B872" s="4" t="inlineStr">
        <x:is>
          <x:t xml:space="preserve">Husk processing table</x:t>
        </x:is>
      </x:c>
      <x:c r="C872" s="4" t="inlineStr">
        <x:is>
          <x:t xml:space="preserve">T2</x:t>
        </x:is>
      </x:c>
      <x:c r="D872" s="4" t="inlineStr">
        <x:is>
          <x:t xml:space="preserve">Crafting stations</x:t>
        </x:is>
      </x:c>
      <x:c r="E872" s="4" t="inlineStr">
        <x:is>
          <x:t xml:space="preserve">Camp crafting station</x:t>
        </x:is>
      </x:c>
      <x:c r="F872" s="4" t="inlineStr">
        <x:is>
          <x:t xml:space="preserve">New proposal</x:t>
        </x:is>
      </x:c>
      <x:c r="G872" s="4" t="inlineStr">
        <x:is>
          <x:t xml:space="preserve">Hold shell husks and shed plates for scraping chitin/icore fibers and sorting useful shell pieces. Supplies candidate fiber feed for husk paper and later pressing; cheap raw shell does not imply cheap finished textiles.</x:t>
        </x:is>
      </x:c>
      <x:c r="H872" s="4" t="inlineStr">
        <x:is>
          <x:t xml:space="preserve">None</x:t>
        </x:is>
      </x:c>
      <x:c r="I872" s="4" t="inlineStr">
        <x:is>
          <x:t xml:space="preserve">Placed camp facility; transport, assembly and footprint unresolved. The Legger is not a crafting platform.</x:t>
        </x:is>
      </x:c>
      <x:c r="J872" s="4"/>
      <x:c r="K872"/>
      <x:c r="L872" t="inlineStr">
        <x:is>
          <x:t xml:space="preserve">Proposed camp construction or specialist trade; construction recipe and availability unresolved.</x:t>
        </x:is>
      </x:c>
      <x:c r="M872" s="4" t="inlineStr">
        <x:is>
          <x:t xml:space="preserve">Station function and candidate material families only. No station construction recipe, quantities, yield, power cost or production time established.</x:t>
        </x:is>
      </x:c>
      <x:c r="N872" s="4" t="inlineStr">
        <x:is>
          <x:t xml:space="preserve">Catalog proposal; station not implemented by this update.</x:t>
        </x:is>
      </x:c>
      <x:c r="O872" s="4" t="inlineStr">
        <x:is>
          <x:t xml:space="preserve">No wood, ordinary cloth, natural free water or plant feedstocks. Utilities, containment, process qualification and physical placement require design.</x:t>
        </x:is>
      </x:c>
      <x:c r="P872" s="4"/>
      <x:c r="Q872" s="4"/>
      <x:c r="R872"/>
      <x:c r="S872"/>
      <x:c r="T872"/>
      <x:c r="U872" t="inlineStr">
        <x:is>
          <x:t xml:space="preserve">Artwork direction: A shallow metal table with shell clamping jaws, a scraper rail and divided fiber collection trays. Fit, safe use and manufacturing details remain proposals.</x:t>
        </x:is>
      </x:c>
      <x:c r="V872" s="4" t="inlineStr">
        <x:is>
          <x:t xml:space="preserve">shell scraping station; icore extraction; chitin processing</x:t>
        </x:is>
      </x:c>
      <x:c r="W872"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2" s="4" t="inlineStr">
        <x:is>
          <x:t xml:space="preserve">Machine</x:t>
        </x:is>
      </x:c>
      <x:c r="Y872" s="4" t="inlineStr">
        <x:is>
          <x:t xml:space="preserve">Finished item</x:t>
        </x:is>
      </x:c>
      <x:c r="Z872" s="4" t="inlineStr">
        <x:is>
          <x:t xml:space="preserve">Manufactured / unresolved</x:t>
        </x:is>
      </x:c>
      <x:c r="AA872" s="4" t="inlineStr">
        <x:is>
          <x:t xml:space="preserve">Fiber processing</x:t>
        </x:is>
      </x:c>
      <x:c r="AB872" s="4" t="inlineStr">
        <x:is>
          <x:t xml:space="preserve">Metal and shell</x:t>
        </x:is>
      </x:c>
      <x:c r="AC872" s="4" t="inlineStr">
        <x:is>
          <x:t xml:space="preserve">Assembly</x:t>
        </x:is>
      </x:c>
      <x:c r="AD872" s="4" t="inlineStr">
        <x:is>
          <x:t xml:space="preserve">Proposal</x:t>
        </x:is>
      </x:c>
      <x:c r="AE872" s="4" t="str">
        <x:f>LOWER(A872&amp;"; "&amp;B872&amp;"; "&amp;D872&amp;"; "&amp;E872&amp;"; "&amp;X872&amp;"; "&amp;Y872&amp;"; "&amp;Z872&amp;"; "&amp;AA872&amp;"; "&amp;AB872&amp;"; "&amp;AC872&amp;"; "&amp;AD872&amp;"; "&amp;V872&amp;"; "&amp;C872&amp;"; "&amp;AH872&amp;"; "&amp;AI872)</x:f>
        <x:v>proposal.station.husk_processing_table; husk processing table; crafting stations; camp crafting station; machine; finished item; manufactured / unresolved; fiber processing; metal and shell; assembly; proposal; shell scraping station; icore extraction; chitin processing; t2; t1; finished item</x:v>
      </x:c>
      <x:c r="AF872" s="4" t="inlineStr">
        <x:is>
          <x:t xml:space="preserve">Placed camp facility hosting a defined crafting operation; supporting hand tools, process vessels, upgrade parts and ingredients remain separate items.</x:t>
        </x:is>
      </x:c>
      <x:c r="AG872" s="4" t="inlineStr">
        <x:is>
          <x:t xml:space="preserve">Proposed T2 construction from craft-ready T1 stock. Construction tier is independent of the tier of products processed here; no construction recipe is approved.</x:t>
        </x:is>
      </x:c>
      <x:c r="AH872" s="4" t="inlineStr">
        <x:is>
          <x:t xml:space="preserve">T1</x:t>
        </x:is>
      </x:c>
      <x:c r="AI872" s="4" t="inlineStr">
        <x:is>
          <x:t xml:space="preserve">Finished item</x:t>
        </x:is>
      </x:c>
      <x:c r="AJ872" s="4">
        <x:f>COUNTIFS('Material routes'!$D$6:$D$2205,A872,'Material routes'!$C$6:$C$2205,"Output")</x:f>
        <x:v>0</x:v>
      </x:c>
      <x:c r="AK872" s="4">
        <x:f>SUM(COUNTIFS('Material routes'!$D$6:$D$2205,A872,'Material routes'!$C$6:$C$2205,"Ingredient candidate"),COUNTIFS('Material routes'!$D$6:$D$2205,A872,'Material routes'!$C$6:$C$2205,"Consumed input"),COUNTIFS('Material routes'!$D$6:$D$2205,A872,'Material routes'!$C$6:$C$2205,"Contained input"),COUNTIFS('Material routes'!$D$6:$D$2205,A872,'Material routes'!$C$6:$C$2205,"Transform input"))</x:f>
        <x:v>0</x:v>
      </x:c>
      <x:c r="AL872" s="4">
        <x:f>COUNTIFS('Material routes'!$D$6:$D$2205,A872,'Material routes'!$C$6:$C$2205,"Tool candidate")</x:f>
        <x:v>0</x:v>
      </x:c>
      <x:c r="AM872" s="4" t="str">
        <x:f>IF(AJ872&gt;0,"Route listed; review status/completeness",IF(C872="T0","Raw entry feed; no production route","No production route listed"))</x:f>
        <x:v>No production route listed</x:v>
      </x:c>
      <x:c r="AN872" s="4">
        <x:f>IF(C872="T0",0,IF(C872="T1",1,IF(C872="T2",2,IF(C872="T3",3,IF(C872="T4",4,IF(C872="Unassigned",98,99))))))</x:f>
        <x:v>2</x:v>
      </x:c>
    </x:row>
    <x:row r="873">
      <x:c r="A873" s="4" t="inlineStr">
        <x:is>
          <x:t xml:space="preserve">proposal.station.husk_fiber_press</x:t>
        </x:is>
      </x:c>
      <x:c r="B873" s="4" t="inlineStr">
        <x:is>
          <x:t xml:space="preserve">Husk-fiber press</x:t>
        </x:is>
      </x:c>
      <x:c r="C873" s="4" t="inlineStr">
        <x:is>
          <x:t xml:space="preserve">T3</x:t>
        </x:is>
      </x:c>
      <x:c r="D873" s="4" t="inlineStr">
        <x:is>
          <x:t xml:space="preserve">Crafting stations</x:t>
        </x:is>
      </x:c>
      <x:c r="E873" s="4" t="inlineStr">
        <x:is>
          <x:t xml:space="preserve">Camp crafting station</x:t>
        </x:is>
      </x:c>
      <x:c r="F873" s="4" t="inlineStr">
        <x:is>
          <x:t xml:space="preserve">New proposal</x:t>
        </x:is>
      </x:c>
      <x:c r="G873" s="4" t="inlineStr">
        <x:is>
          <x:t xml:space="preserve">Press prepared husk-fiber feed into candidate paper sheets or difficult dense fiber stock using process-specific tooling. Paper and garment-grade material remain separate processes; pressing alone does not supply ordinary cloth or bypass costly textile preparation.</x:t>
        </x:is>
      </x:c>
      <x:c r="H873" s="4" t="inlineStr">
        <x:is>
          <x:t xml:space="preserve">None</x:t>
        </x:is>
      </x:c>
      <x:c r="I873" s="4" t="inlineStr">
        <x:is>
          <x:t xml:space="preserve">Placed camp facility; transport, assembly and footprint unresolved. The Legger is not a crafting platform.</x:t>
        </x:is>
      </x:c>
      <x:c r="J873" s="4"/>
      <x:c r="K873"/>
      <x:c r="L873" t="inlineStr">
        <x:is>
          <x:t xml:space="preserve">Proposed camp construction or specialist trade; construction recipe and availability unresolved.</x:t>
        </x:is>
      </x:c>
      <x:c r="M873" s="4" t="inlineStr">
        <x:is>
          <x:t xml:space="preserve">Station function and candidate material families only. No station construction recipe, quantities, yield, power cost or production time established.</x:t>
        </x:is>
      </x:c>
      <x:c r="N873" s="4" t="inlineStr">
        <x:is>
          <x:t xml:space="preserve">Catalog proposal; station not implemented by this update.</x:t>
        </x:is>
      </x:c>
      <x:c r="O873" s="4" t="inlineStr">
        <x:is>
          <x:t xml:space="preserve">No wood, ordinary cloth, natural free water or plant feedstocks. Utilities, containment, process qualification and physical placement require design.</x:t>
        </x:is>
      </x:c>
      <x:c r="P873" s="4"/>
      <x:c r="Q873" s="4"/>
      <x:c r="R873"/>
      <x:c r="S873"/>
      <x:c r="T873"/>
      <x:c r="U873" t="inlineStr">
        <x:is>
          <x:t xml:space="preserve">Artwork direction: An iron screw press with broad removable platens, a shallow ceramic forming tray and rough husk sheets. Fit, safe use and manufacturing details remain proposals.</x:t>
        </x:is>
      </x:c>
      <x:c r="V873" s="4" t="inlineStr">
        <x:is>
          <x:t xml:space="preserve">paper press; fiber pressing; pressed husk station</x:t>
        </x:is>
      </x:c>
      <x:c r="W873"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3" s="4" t="inlineStr">
        <x:is>
          <x:t xml:space="preserve">Machine</x:t>
        </x:is>
      </x:c>
      <x:c r="Y873" s="4" t="inlineStr">
        <x:is>
          <x:t xml:space="preserve">Finished item</x:t>
        </x:is>
      </x:c>
      <x:c r="Z873" s="4" t="inlineStr">
        <x:is>
          <x:t xml:space="preserve">Manufactured / unresolved</x:t>
        </x:is>
      </x:c>
      <x:c r="AA873" s="4" t="inlineStr">
        <x:is>
          <x:t xml:space="preserve">Paper making</x:t>
        </x:is>
      </x:c>
      <x:c r="AB873" s="4" t="inlineStr">
        <x:is>
          <x:t xml:space="preserve">Ceramic and metal</x:t>
        </x:is>
      </x:c>
      <x:c r="AC873" s="4" t="inlineStr">
        <x:is>
          <x:t xml:space="preserve">Assembly</x:t>
        </x:is>
      </x:c>
      <x:c r="AD873" s="4" t="inlineStr">
        <x:is>
          <x:t xml:space="preserve">Proposal</x:t>
        </x:is>
      </x:c>
      <x:c r="AE873" s="4" t="str">
        <x:f>LOWER(A873&amp;"; "&amp;B873&amp;"; "&amp;D873&amp;"; "&amp;E873&amp;"; "&amp;X873&amp;"; "&amp;Y873&amp;"; "&amp;Z873&amp;"; "&amp;AA873&amp;"; "&amp;AB873&amp;"; "&amp;AC873&amp;"; "&amp;AD873&amp;"; "&amp;V873&amp;"; "&amp;C873&amp;"; "&amp;AH873&amp;"; "&amp;AI873)</x:f>
        <x:v>proposal.station.husk_fiber_press; husk-fiber press; crafting stations; camp crafting station; machine; finished item; manufactured / unresolved; paper making; ceramic and metal; assembly; proposal; paper press; fiber pressing; pressed husk station; t3; t2; finished item</x:v>
      </x:c>
      <x:c r="AF873" s="4" t="inlineStr">
        <x:is>
          <x:t xml:space="preserve">Placed camp facility hosting a defined crafting operation; supporting hand tools, process vessels, upgrade parts and ingredients remain separate items.</x:t>
        </x:is>
      </x:c>
      <x:c r="AG873" s="4" t="inlineStr">
        <x:is>
          <x:t xml:space="preserve">Proposed T3 precision press assembly using T2 fitted screw, frame and platen parts. Output tier and difficult textile processing are separate questions.</x:t>
        </x:is>
      </x:c>
      <x:c r="AH873" s="4" t="inlineStr">
        <x:is>
          <x:t xml:space="preserve">T2</x:t>
        </x:is>
      </x:c>
      <x:c r="AI873" s="4" t="inlineStr">
        <x:is>
          <x:t xml:space="preserve">Finished item</x:t>
        </x:is>
      </x:c>
      <x:c r="AJ873" s="4">
        <x:f>COUNTIFS('Material routes'!$D$6:$D$2205,A873,'Material routes'!$C$6:$C$2205,"Output")</x:f>
        <x:v>0</x:v>
      </x:c>
      <x:c r="AK873" s="4">
        <x:f>SUM(COUNTIFS('Material routes'!$D$6:$D$2205,A873,'Material routes'!$C$6:$C$2205,"Ingredient candidate"),COUNTIFS('Material routes'!$D$6:$D$2205,A873,'Material routes'!$C$6:$C$2205,"Consumed input"),COUNTIFS('Material routes'!$D$6:$D$2205,A873,'Material routes'!$C$6:$C$2205,"Contained input"),COUNTIFS('Material routes'!$D$6:$D$2205,A873,'Material routes'!$C$6:$C$2205,"Transform input"))</x:f>
        <x:v>0</x:v>
      </x:c>
      <x:c r="AL873" s="4">
        <x:f>COUNTIFS('Material routes'!$D$6:$D$2205,A873,'Material routes'!$C$6:$C$2205,"Tool candidate")</x:f>
        <x:v>0</x:v>
      </x:c>
      <x:c r="AM873" s="4" t="str">
        <x:f>IF(AJ873&gt;0,"Route listed; review status/completeness",IF(C873="T0","Raw entry feed; no production route","No production route listed"))</x:f>
        <x:v>No production route listed</x:v>
      </x:c>
      <x:c r="AN873" s="4">
        <x:f>IF(C873="T0",0,IF(C873="T1",1,IF(C873="T2",2,IF(C873="T3",3,IF(C873="T4",4,IF(C873="Unassigned",98,99))))))</x:f>
        <x:v>3</x:v>
      </x:c>
    </x:row>
    <x:row r="874">
      <x:c r="A874" s="4" t="inlineStr">
        <x:is>
          <x:t xml:space="preserve">proposal.station.ceramic_forming_bench</x:t>
        </x:is>
      </x:c>
      <x:c r="B874" s="4" t="inlineStr">
        <x:is>
          <x:t xml:space="preserve">Ceramic forming bench</x:t>
        </x:is>
      </x:c>
      <x:c r="C874" s="4" t="inlineStr">
        <x:is>
          <x:t xml:space="preserve">T2</x:t>
        </x:is>
      </x:c>
      <x:c r="D874" s="4" t="inlineStr">
        <x:is>
          <x:t xml:space="preserve">Crafting stations</x:t>
        </x:is>
      </x:c>
      <x:c r="E874" s="4" t="inlineStr">
        <x:is>
          <x:t xml:space="preserve">Camp crafting station</x:t>
        </x:is>
      </x:c>
      <x:c r="F874" s="4" t="inlineStr">
        <x:is>
          <x:t xml:space="preserve">New proposal</x:t>
        </x:is>
      </x:c>
      <x:c r="G874" s="4" t="inlineStr">
        <x:is>
          <x:t xml:space="preserve">Prepare and shape qualified ceramic feed into unfired vessels, molds or fitted blanks before drying and kiln firing. Complements the existing firing kiln; binder chemistry, usable process liquids and feed suitability must be selected explicitly.</x:t>
        </x:is>
      </x:c>
      <x:c r="H874" s="4" t="inlineStr">
        <x:is>
          <x:t xml:space="preserve">None</x:t>
        </x:is>
      </x:c>
      <x:c r="I874" s="4" t="inlineStr">
        <x:is>
          <x:t xml:space="preserve">Placed camp facility; transport, assembly and footprint unresolved. The Legger is not a crafting platform.</x:t>
        </x:is>
      </x:c>
      <x:c r="J874" s="4"/>
      <x:c r="K874"/>
      <x:c r="L874" t="inlineStr">
        <x:is>
          <x:t xml:space="preserve">Proposed camp construction or specialist trade; construction recipe and availability unresolved.</x:t>
        </x:is>
      </x:c>
      <x:c r="M874" s="4" t="inlineStr">
        <x:is>
          <x:t xml:space="preserve">Station function and candidate material families only. No station construction recipe, quantities, yield, power cost or production time established.</x:t>
        </x:is>
      </x:c>
      <x:c r="N874" s="4" t="inlineStr">
        <x:is>
          <x:t xml:space="preserve">Catalog proposal; station not implemented by this update.</x:t>
        </x:is>
      </x:c>
      <x:c r="O874" s="4" t="inlineStr">
        <x:is>
          <x:t xml:space="preserve">No wood, ordinary cloth, natural free water or plant feedstocks. Utilities, containment, process qualification and physical placement require design.</x:t>
        </x:is>
      </x:c>
      <x:c r="P874" s="4"/>
      <x:c r="Q874" s="4"/>
      <x:c r="R874"/>
      <x:c r="S874"/>
      <x:c r="T874"/>
      <x:c r="U874" t="inlineStr">
        <x:is>
          <x:t xml:space="preserve">Artwork direction: A metal forming table with ceramic molds, shaping tools and an unfired vessel on a removable tray. Fit, safe use and manufacturing details remain proposals.</x:t>
        </x:is>
      </x:c>
      <x:c r="V874" s="4" t="inlineStr">
        <x:is>
          <x:t xml:space="preserve">pottery station; ceramic shaping; mold forming bench</x:t>
        </x:is>
      </x:c>
      <x:c r="W874"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4" s="4" t="inlineStr">
        <x:is>
          <x:t xml:space="preserve">Machine</x:t>
        </x:is>
      </x:c>
      <x:c r="Y874" s="4" t="inlineStr">
        <x:is>
          <x:t xml:space="preserve">Finished item</x:t>
        </x:is>
      </x:c>
      <x:c r="Z874" s="4" t="inlineStr">
        <x:is>
          <x:t xml:space="preserve">Manufactured / unresolved</x:t>
        </x:is>
      </x:c>
      <x:c r="AA874" s="4" t="inlineStr">
        <x:is>
          <x:t xml:space="preserve">Glass and ceramics</x:t>
        </x:is>
      </x:c>
      <x:c r="AB874" s="4" t="inlineStr">
        <x:is>
          <x:t xml:space="preserve">Ceramic and metal</x:t>
        </x:is>
      </x:c>
      <x:c r="AC874" s="4" t="inlineStr">
        <x:is>
          <x:t xml:space="preserve">Assembly</x:t>
        </x:is>
      </x:c>
      <x:c r="AD874" s="4" t="inlineStr">
        <x:is>
          <x:t xml:space="preserve">Proposal</x:t>
        </x:is>
      </x:c>
      <x:c r="AE874" s="4" t="str">
        <x:f>LOWER(A874&amp;"; "&amp;B874&amp;"; "&amp;D874&amp;"; "&amp;E874&amp;"; "&amp;X874&amp;"; "&amp;Y874&amp;"; "&amp;Z874&amp;"; "&amp;AA874&amp;"; "&amp;AB874&amp;"; "&amp;AC874&amp;"; "&amp;AD874&amp;"; "&amp;V874&amp;"; "&amp;C874&amp;"; "&amp;AH874&amp;"; "&amp;AI874)</x:f>
        <x:v>proposal.station.ceramic_forming_bench; ceramic forming bench; crafting stations; camp crafting station; machine; finished item; manufactured / unresolved; glass and ceramics; ceramic and metal; assembly; proposal; pottery station; ceramic shaping; mold forming bench; t2; t1; finished item</x:v>
      </x:c>
      <x:c r="AF874" s="4" t="inlineStr">
        <x:is>
          <x:t xml:space="preserve">Placed camp facility hosting a defined crafting operation; supporting hand tools, process vessels, upgrade parts and ingredients remain separate items.</x:t>
        </x:is>
      </x:c>
      <x:c r="AG874" s="4" t="inlineStr">
        <x:is>
          <x:t xml:space="preserve">Proposed T2 construction from craft-ready T1 stock. Construction tier is independent of the tier of products processed here; no construction recipe is approved.</x:t>
        </x:is>
      </x:c>
      <x:c r="AH874" s="4" t="inlineStr">
        <x:is>
          <x:t xml:space="preserve">T1</x:t>
        </x:is>
      </x:c>
      <x:c r="AI874" s="4" t="inlineStr">
        <x:is>
          <x:t xml:space="preserve">Finished item</x:t>
        </x:is>
      </x:c>
      <x:c r="AJ874" s="4">
        <x:f>COUNTIFS('Material routes'!$D$6:$D$2205,A874,'Material routes'!$C$6:$C$2205,"Output")</x:f>
        <x:v>0</x:v>
      </x:c>
      <x:c r="AK874" s="4">
        <x:f>SUM(COUNTIFS('Material routes'!$D$6:$D$2205,A874,'Material routes'!$C$6:$C$2205,"Ingredient candidate"),COUNTIFS('Material routes'!$D$6:$D$2205,A874,'Material routes'!$C$6:$C$2205,"Consumed input"),COUNTIFS('Material routes'!$D$6:$D$2205,A874,'Material routes'!$C$6:$C$2205,"Contained input"),COUNTIFS('Material routes'!$D$6:$D$2205,A874,'Material routes'!$C$6:$C$2205,"Transform input"))</x:f>
        <x:v>0</x:v>
      </x:c>
      <x:c r="AL874" s="4">
        <x:f>COUNTIFS('Material routes'!$D$6:$D$2205,A874,'Material routes'!$C$6:$C$2205,"Tool candidate")</x:f>
        <x:v>0</x:v>
      </x:c>
      <x:c r="AM874" s="4" t="str">
        <x:f>IF(AJ874&gt;0,"Route listed; review status/completeness",IF(C874="T0","Raw entry feed; no production route","No production route listed"))</x:f>
        <x:v>No production route listed</x:v>
      </x:c>
      <x:c r="AN874" s="4">
        <x:f>IF(C874="T0",0,IF(C874="T1",1,IF(C874="T2",2,IF(C874="T3",3,IF(C874="T4",4,IF(C874="Unassigned",98,99))))))</x:f>
        <x:v>2</x:v>
      </x:c>
    </x:row>
    <x:row r="875">
      <x:c r="A875" s="4" t="inlineStr">
        <x:is>
          <x:t xml:space="preserve">proposal.station.contained_chemical_processing_station</x:t>
        </x:is>
      </x:c>
      <x:c r="B875" s="4" t="inlineStr">
        <x:is>
          <x:t xml:space="preserve">Contained chemical processing station</x:t>
        </x:is>
      </x:c>
      <x:c r="C875" s="4" t="inlineStr">
        <x:is>
          <x:t xml:space="preserve">T3</x:t>
        </x:is>
      </x:c>
      <x:c r="D875" s="4" t="inlineStr">
        <x:is>
          <x:t xml:space="preserve">Crafting stations</x:t>
        </x:is>
      </x:c>
      <x:c r="E875" s="4" t="inlineStr">
        <x:is>
          <x:t xml:space="preserve">Camp crafting station</x:t>
        </x:is>
      </x:c>
      <x:c r="F875" s="4" t="inlineStr">
        <x:is>
          <x:t xml:space="preserve">New proposal</x:t>
        </x:is>
      </x:c>
      <x:c r="G875" s="4" t="inlineStr">
        <x:is>
          <x:t xml:space="preserve">Process separately contained faunal and mineral feedstocks into candidate industrial binders, sealants, lubricants or other processing agents. Select compatible vessels and a qualified process for each product; keep industrial chemicals separate from Phagia and food equipment.</x:t>
        </x:is>
      </x:c>
      <x:c r="H875" s="4" t="inlineStr">
        <x:is>
          <x:t xml:space="preserve">None</x:t>
        </x:is>
      </x:c>
      <x:c r="I875" s="4" t="inlineStr">
        <x:is>
          <x:t xml:space="preserve">Placed camp facility; transport, assembly and footprint unresolved. The Legger is not a crafting platform.</x:t>
        </x:is>
      </x:c>
      <x:c r="J875" s="4"/>
      <x:c r="K875"/>
      <x:c r="L875" t="inlineStr">
        <x:is>
          <x:t xml:space="preserve">Proposed camp construction or specialist trade; construction recipe and availability unresolved.</x:t>
        </x:is>
      </x:c>
      <x:c r="M875" s="4" t="inlineStr">
        <x:is>
          <x:t xml:space="preserve">Station function and candidate material families only. No station construction recipe, quantities, yield, power cost or production time established.</x:t>
        </x:is>
      </x:c>
      <x:c r="N875" s="4" t="inlineStr">
        <x:is>
          <x:t xml:space="preserve">Catalog proposal; station not implemented by this update.</x:t>
        </x:is>
      </x:c>
      <x:c r="O875" s="4" t="inlineStr">
        <x:is>
          <x:t xml:space="preserve">No wood, ordinary cloth, natural free water or plant feedstocks. Utilities, containment, process qualification and physical placement require design.</x:t>
        </x:is>
      </x:c>
      <x:c r="P875" s="4"/>
      <x:c r="Q875" s="4"/>
      <x:c r="R875"/>
      <x:c r="S875"/>
      <x:c r="T875"/>
      <x:c r="U875" t="inlineStr">
        <x:is>
          <x:t xml:space="preserve">Artwork direction: A bunded metal worktop with covered ceramic vessels, short fitted lines and sealed collection jars. Fit, safe use and manufacturing details remain proposals.</x:t>
        </x:is>
      </x:c>
      <x:c r="V875" s="4" t="inlineStr">
        <x:is>
          <x:t xml:space="preserve">chemical workbench; sealant station; lubricant processing; binder preparation</x:t>
        </x:is>
      </x:c>
      <x:c r="W875"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5" s="4" t="inlineStr">
        <x:is>
          <x:t xml:space="preserve">Machine</x:t>
        </x:is>
      </x:c>
      <x:c r="Y875" s="4" t="inlineStr">
        <x:is>
          <x:t xml:space="preserve">Finished item</x:t>
        </x:is>
      </x:c>
      <x:c r="Z875" s="4" t="inlineStr">
        <x:is>
          <x:t xml:space="preserve">Manufactured / unresolved</x:t>
        </x:is>
      </x:c>
      <x:c r="AA875" s="4" t="inlineStr">
        <x:is>
          <x:t xml:space="preserve">Chemical processing</x:t>
        </x:is>
      </x:c>
      <x:c r="AB875" s="4" t="inlineStr">
        <x:is>
          <x:t xml:space="preserve">Ceramic and metal</x:t>
        </x:is>
      </x:c>
      <x:c r="AC875" s="4" t="inlineStr">
        <x:is>
          <x:t xml:space="preserve">Assembly</x:t>
        </x:is>
      </x:c>
      <x:c r="AD875" s="4" t="inlineStr">
        <x:is>
          <x:t xml:space="preserve">Proposal</x:t>
        </x:is>
      </x:c>
      <x:c r="AE875" s="4" t="str">
        <x:f>LOWER(A875&amp;"; "&amp;B875&amp;"; "&amp;D875&amp;"; "&amp;E875&amp;"; "&amp;X875&amp;"; "&amp;Y875&amp;"; "&amp;Z875&amp;"; "&amp;AA875&amp;"; "&amp;AB875&amp;"; "&amp;AC875&amp;"; "&amp;AD875&amp;"; "&amp;V875&amp;"; "&amp;C875&amp;"; "&amp;AH875&amp;"; "&amp;AI875)</x:f>
        <x:v>proposal.station.contained_chemical_processing_station; contained chemical processing station; crafting stations; camp crafting station; machine; finished item; manufactured / unresolved; chemical processing; ceramic and metal; assembly; proposal; chemical workbench; sealant station; lubricant processing; binder preparation; t3; t2; finished item</x:v>
      </x:c>
      <x:c r="AF875" s="4" t="inlineStr">
        <x:is>
          <x:t xml:space="preserve">Placed camp facility hosting a defined crafting operation; supporting hand tools, process vessels, upgrade parts and ingredients remain separate items.</x:t>
        </x:is>
      </x:c>
      <x:c r="AG875" s="4" t="inlineStr">
        <x:is>
          <x:t xml:space="preserve">Proposed T3 station assembly from T2 containment and fitted process parts. No universal chemistry or process qualification implied.</x:t>
        </x:is>
      </x:c>
      <x:c r="AH875" s="4" t="inlineStr">
        <x:is>
          <x:t xml:space="preserve">T2</x:t>
        </x:is>
      </x:c>
      <x:c r="AI875" s="4" t="inlineStr">
        <x:is>
          <x:t xml:space="preserve">Finished item</x:t>
        </x:is>
      </x:c>
      <x:c r="AJ875" s="4">
        <x:f>COUNTIFS('Material routes'!$D$6:$D$2205,A875,'Material routes'!$C$6:$C$2205,"Output")</x:f>
        <x:v>0</x:v>
      </x:c>
      <x:c r="AK875" s="4">
        <x:f>SUM(COUNTIFS('Material routes'!$D$6:$D$2205,A875,'Material routes'!$C$6:$C$2205,"Ingredient candidate"),COUNTIFS('Material routes'!$D$6:$D$2205,A875,'Material routes'!$C$6:$C$2205,"Consumed input"),COUNTIFS('Material routes'!$D$6:$D$2205,A875,'Material routes'!$C$6:$C$2205,"Contained input"),COUNTIFS('Material routes'!$D$6:$D$2205,A875,'Material routes'!$C$6:$C$2205,"Transform input"))</x:f>
        <x:v>0</x:v>
      </x:c>
      <x:c r="AL875" s="4">
        <x:f>COUNTIFS('Material routes'!$D$6:$D$2205,A875,'Material routes'!$C$6:$C$2205,"Tool candidate")</x:f>
        <x:v>0</x:v>
      </x:c>
      <x:c r="AM875" s="4" t="str">
        <x:f>IF(AJ875&gt;0,"Route listed; review status/completeness",IF(C875="T0","Raw entry feed; no production route","No production route listed"))</x:f>
        <x:v>No production route listed</x:v>
      </x:c>
      <x:c r="AN875" s="4">
        <x:f>IF(C875="T0",0,IF(C875="T1",1,IF(C875="T2",2,IF(C875="T3",3,IF(C875="T4",4,IF(C875="Unassigned",98,99))))))</x:f>
        <x:v>3</x:v>
      </x:c>
    </x:row>
    <x:row r="876">
      <x:c r="A876" s="4" t="inlineStr">
        <x:is>
          <x:t xml:space="preserve">proposal.station.legger_service_stand</x:t>
        </x:is>
      </x:c>
      <x:c r="B876" s="4" t="inlineStr">
        <x:is>
          <x:t xml:space="preserve">Legger service stand</x:t>
        </x:is>
      </x:c>
      <x:c r="C876" s="4" t="inlineStr">
        <x:is>
          <x:t xml:space="preserve">T2</x:t>
        </x:is>
      </x:c>
      <x:c r="D876" s="4" t="inlineStr">
        <x:is>
          <x:t xml:space="preserve">Crafting stations</x:t>
        </x:is>
      </x:c>
      <x:c r="E876" s="4" t="inlineStr">
        <x:is>
          <x:t xml:space="preserve">Camp crafting station</x:t>
        </x:is>
      </x:c>
      <x:c r="F876" s="4" t="inlineStr">
        <x:is>
          <x:t xml:space="preserve">New proposal</x:t>
        </x:is>
      </x:c>
      <x:c r="G876" s="4" t="inlineStr">
        <x:is>
          <x:t xml:space="preserve">Support accessible Legger assemblies during inspection, cleaning, lubrication and replacement of compatible mechanical parts. Requires the Legger's physical presence and appropriate tools; service outcomes depend on parts and access rather than automatic full repair.</x:t>
        </x:is>
      </x:c>
      <x:c r="H876" s="4" t="inlineStr">
        <x:is>
          <x:t xml:space="preserve">None</x:t>
        </x:is>
      </x:c>
      <x:c r="I876" s="4" t="inlineStr">
        <x:is>
          <x:t xml:space="preserve">Placed camp facility; transport, assembly and footprint unresolved. The Legger is not a crafting platform.</x:t>
        </x:is>
      </x:c>
      <x:c r="J876" s="4"/>
      <x:c r="K876"/>
      <x:c r="L876" t="inlineStr">
        <x:is>
          <x:t xml:space="preserve">Proposed camp construction or specialist trade; construction recipe and availability unresolved.</x:t>
        </x:is>
      </x:c>
      <x:c r="M876" s="4" t="inlineStr">
        <x:is>
          <x:t xml:space="preserve">Station function and candidate material families only. No station construction recipe, quantities, yield, power cost or production time established.</x:t>
        </x:is>
      </x:c>
      <x:c r="N876" s="4" t="inlineStr">
        <x:is>
          <x:t xml:space="preserve">Catalog proposal; station not implemented by this update.</x:t>
        </x:is>
      </x:c>
      <x:c r="O876" s="4" t="inlineStr">
        <x:is>
          <x:t xml:space="preserve">No wood, ordinary cloth, natural free water or plant feedstocks. Utilities, containment, process qualification and physical placement require design.</x:t>
        </x:is>
      </x:c>
      <x:c r="P876" s="4"/>
      <x:c r="Q876" s="4"/>
      <x:c r="R876"/>
      <x:c r="S876"/>
      <x:c r="T876"/>
      <x:c r="U876" t="inlineStr">
        <x:is>
          <x:t xml:space="preserve">Artwork direction: A low braced metal service frame with adjustable support saddles and a side tool tray, sized beside a bipedal companion. Fit, safe use and manufacturing details remain proposals.</x:t>
        </x:is>
      </x:c>
      <x:c r="V876" s="4" t="inlineStr">
        <x:is>
          <x:t xml:space="preserve">legger repair station; companion service bay; mechanical maintenance stand</x:t>
        </x:is>
      </x:c>
      <x:c r="W876"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6" s="4" t="inlineStr">
        <x:is>
          <x:t xml:space="preserve">Machine</x:t>
        </x:is>
      </x:c>
      <x:c r="Y876" s="4" t="inlineStr">
        <x:is>
          <x:t xml:space="preserve">Finished item</x:t>
        </x:is>
      </x:c>
      <x:c r="Z876" s="4" t="inlineStr">
        <x:is>
          <x:t xml:space="preserve">Manufactured / unresolved</x:t>
        </x:is>
      </x:c>
      <x:c r="AA876" s="4" t="inlineStr">
        <x:is>
          <x:t xml:space="preserve">Machinery repair</x:t>
        </x:is>
      </x:c>
      <x:c r="AB876" s="4" t="inlineStr">
        <x:is>
          <x:t xml:space="preserve">Metal</x:t>
        </x:is>
      </x:c>
      <x:c r="AC876" s="4" t="inlineStr">
        <x:is>
          <x:t xml:space="preserve">Assembly</x:t>
        </x:is>
      </x:c>
      <x:c r="AD876" s="4" t="inlineStr">
        <x:is>
          <x:t xml:space="preserve">Proposal</x:t>
        </x:is>
      </x:c>
      <x:c r="AE876" s="4" t="str">
        <x:f>LOWER(A876&amp;"; "&amp;B876&amp;"; "&amp;D876&amp;"; "&amp;E876&amp;"; "&amp;X876&amp;"; "&amp;Y876&amp;"; "&amp;Z876&amp;"; "&amp;AA876&amp;"; "&amp;AB876&amp;"; "&amp;AC876&amp;"; "&amp;AD876&amp;"; "&amp;V876&amp;"; "&amp;C876&amp;"; "&amp;AH876&amp;"; "&amp;AI876)</x:f>
        <x:v>proposal.station.legger_service_stand; legger service stand; crafting stations; camp crafting station; machine; finished item; manufactured / unresolved; machinery repair; metal; assembly; proposal; legger repair station; companion service bay; mechanical maintenance stand; t2; t1; finished item</x:v>
      </x:c>
      <x:c r="AF876" s="4" t="inlineStr">
        <x:is>
          <x:t xml:space="preserve">Placed camp facility hosting a defined crafting operation; supporting hand tools, process vessels, upgrade parts and ingredients remain separate items.</x:t>
        </x:is>
      </x:c>
      <x:c r="AG876" s="4" t="inlineStr">
        <x:is>
          <x:t xml:space="preserve">Proposed T2 construction from craft-ready T1 stock. Construction tier is independent of the tier of products processed here; no construction recipe is approved.</x:t>
        </x:is>
      </x:c>
      <x:c r="AH876" s="4" t="inlineStr">
        <x:is>
          <x:t xml:space="preserve">T1</x:t>
        </x:is>
      </x:c>
      <x:c r="AI876" s="4" t="inlineStr">
        <x:is>
          <x:t xml:space="preserve">Finished item</x:t>
        </x:is>
      </x:c>
      <x:c r="AJ876" s="4">
        <x:f>COUNTIFS('Material routes'!$D$6:$D$2205,A876,'Material routes'!$C$6:$C$2205,"Output")</x:f>
        <x:v>0</x:v>
      </x:c>
      <x:c r="AK876" s="4">
        <x:f>SUM(COUNTIFS('Material routes'!$D$6:$D$2205,A876,'Material routes'!$C$6:$C$2205,"Ingredient candidate"),COUNTIFS('Material routes'!$D$6:$D$2205,A876,'Material routes'!$C$6:$C$2205,"Consumed input"),COUNTIFS('Material routes'!$D$6:$D$2205,A876,'Material routes'!$C$6:$C$2205,"Contained input"),COUNTIFS('Material routes'!$D$6:$D$2205,A876,'Material routes'!$C$6:$C$2205,"Transform input"))</x:f>
        <x:v>0</x:v>
      </x:c>
      <x:c r="AL876" s="4">
        <x:f>COUNTIFS('Material routes'!$D$6:$D$2205,A876,'Material routes'!$C$6:$C$2205,"Tool candidate")</x:f>
        <x:v>0</x:v>
      </x:c>
      <x:c r="AM876" s="4" t="str">
        <x:f>IF(AJ876&gt;0,"Route listed; review status/completeness",IF(C876="T0","Raw entry feed; no production route","No production route listed"))</x:f>
        <x:v>No production route listed</x:v>
      </x:c>
      <x:c r="AN876" s="4">
        <x:f>IF(C876="T0",0,IF(C876="T1",1,IF(C876="T2",2,IF(C876="T3",3,IF(C876="T4",4,IF(C876="Unassigned",98,99))))))</x:f>
        <x:v>2</x:v>
      </x:c>
    </x:row>
    <x:row r="877">
      <x:c r="A877" s="4" t="inlineStr">
        <x:is>
          <x:t xml:space="preserve">proposal.bio.tracheal_tubes</x:t>
        </x:is>
      </x:c>
      <x:c r="B877" s="4" t="inlineStr">
        <x:is>
          <x:t xml:space="preserve">Faunal tracheal tubes</x:t>
        </x:is>
      </x:c>
      <x:c r="C877" s="4" t="inlineStr">
        <x:is>
          <x:t xml:space="preserve">T0</x:t>
        </x:is>
      </x:c>
      <x:c r="D877" s="4" t="inlineStr">
        <x:is>
          <x:t xml:space="preserve">Biological resources</x:t>
        </x:is>
      </x:c>
      <x:c r="E877" s="4" t="inlineStr">
        <x:is>
          <x:t xml:space="preserve">Raw faunal material</x:t>
        </x:is>
      </x:c>
      <x:c r="F877" s="4" t="inlineStr">
        <x:is>
          <x:t xml:space="preserve">New proposal</x:t>
        </x:is>
      </x:c>
      <x:c r="G877" s="4" t="inlineStr">
        <x:is>
          <x:t xml:space="preserve">Hollow, ring-supported airway structures proposed as raw feed for short protective conduits or small passages after cleaning and qualification. Distinct from flat breathing-filter plates and antenna sheaths; no useful flow rate or pressure rating established.</x:t>
        </x:is>
      </x:c>
      <x:c r="H877" s="4" t="inlineStr">
        <x:is>
          <x:t xml:space="preserve">None</x:t>
        </x:is>
      </x:c>
      <x:c r="I877" s="4" t="inlineStr">
        <x:is>
          <x:t xml:space="preserve">Physical harvested cargo; container, packing, mass and handling policy unresolved.</x:t>
        </x:is>
      </x:c>
      <x:c r="J877" s="4"/>
      <x:c r="K877"/>
      <x:c r="L877" t="inlineStr">
        <x:is>
          <x:t xml:space="preserve">Recover intact ring-supported airway sections from a proposed insectoid fauna source; species and extraction method unresolved.</x:t>
        </x:is>
      </x:c>
      <x:c r="M877" s="4" t="inlineStr">
        <x:is>
          <x:t xml:space="preserve">Inspect, segregate and qualify raw feed before selecting a later preparation route. No processing recipe, yield or performance established.</x:t>
        </x:is>
      </x:c>
      <x:c r="N877" s="4" t="inlineStr">
        <x:is>
          <x:t xml:space="preserve">Not implemented</x:t>
        </x:is>
      </x:c>
      <x:c r="O877" s="4" t="inlineStr">
        <x:is>
          <x:t xml:space="preserve">Fragility, internal contamination, dimensions and compatibility remain unknown. Not a breathing aid, certified filter, pressure hose or finished canister line.</x:t>
        </x:is>
      </x:c>
      <x:c r="P877" s="4"/>
      <x:c r="Q877" s="4"/>
      <x:c r="R877"/>
      <x:c r="S877"/>
      <x:c r="T877"/>
      <x:c r="U877" t="inlineStr">
        <x:is>
          <x:t xml:space="preserve">Artwork direction: Several short pale-brown hollow tubes with visible reinforcing rings and broken branching ends. Fit, safe use and manufacturing details remain proposals.</x:t>
        </x:is>
      </x:c>
      <x:c r="V877" s="4" t="inlineStr">
        <x:is>
          <x:t xml:space="preserve">tracheal tubes; ringed airway tubes; raw biological conduits</x:t>
        </x:is>
      </x:c>
      <x:c r="W877"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7" s="4" t="inlineStr">
        <x:is>
          <x:t xml:space="preserve">Raw material</x:t>
        </x:is>
      </x:c>
      <x:c r="Y877" s="4" t="inlineStr">
        <x:is>
          <x:t xml:space="preserve">Raw</x:t>
        </x:is>
      </x:c>
      <x:c r="Z877" s="4" t="inlineStr">
        <x:is>
          <x:t xml:space="preserve">Fauna</x:t>
        </x:is>
      </x:c>
      <x:c r="AA877" s="4" t="inlineStr">
        <x:is>
          <x:t xml:space="preserve">Fabrication</x:t>
        </x:is>
      </x:c>
      <x:c r="AB877" s="4" t="inlineStr">
        <x:is>
          <x:t xml:space="preserve">Faunal hard tissue</x:t>
        </x:is>
      </x:c>
      <x:c r="AC877" s="4" t="inlineStr">
        <x:is>
          <x:t xml:space="preserve">Solid piece</x:t>
        </x:is>
      </x:c>
      <x:c r="AD877" s="4" t="inlineStr">
        <x:is>
          <x:t xml:space="preserve">Proposal</x:t>
        </x:is>
      </x:c>
      <x:c r="AE877" s="4" t="str">
        <x:f>LOWER(A877&amp;"; "&amp;B877&amp;"; "&amp;D877&amp;"; "&amp;E877&amp;"; "&amp;X877&amp;"; "&amp;Y877&amp;"; "&amp;Z877&amp;"; "&amp;AA877&amp;"; "&amp;AB877&amp;"; "&amp;AC877&amp;"; "&amp;AD877&amp;"; "&amp;V877&amp;"; "&amp;C877&amp;"; "&amp;AH877&amp;"; "&amp;AI877)</x:f>
        <x:v>proposal.bio.tracheal_tubes; faunal tracheal tubes; biological resources; raw faunal material; raw material; raw; fauna; fabrication; faunal hard tissue; solid piece; proposal; tracheal tubes; ringed airway tubes; raw biological conduits; t0; t0; material</x:v>
      </x:c>
      <x:c r="AF877" s="4" t="inlineStr">
        <x:is>
          <x:t xml:space="preserve">Author-invited biological-resource expansion. Anatomically distinct raw feeds rather than finished tools, processing agents or general edible fauna.</x:t>
        </x:is>
      </x:c>
      <x:c r="AG877" s="4" t="inlineStr">
        <x:is>
          <x:t xml:space="preserve">T0 as harvested, before inspection and preparation establish craft-ready T1 material. Potential use does not establish suitability or a recipe.</x:t>
        </x:is>
      </x:c>
      <x:c r="AH877" s="4" t="inlineStr">
        <x:is>
          <x:t xml:space="preserve">T0</x:t>
        </x:is>
      </x:c>
      <x:c r="AI877" s="4" t="inlineStr">
        <x:is>
          <x:t xml:space="preserve">Material</x:t>
        </x:is>
      </x:c>
      <x:c r="AJ877" s="4">
        <x:f>COUNTIFS('Material routes'!$D$6:$D$2205,A877,'Material routes'!$C$6:$C$2205,"Output")</x:f>
        <x:v>0</x:v>
      </x:c>
      <x:c r="AK877" s="4">
        <x:f>SUM(COUNTIFS('Material routes'!$D$6:$D$2205,A877,'Material routes'!$C$6:$C$2205,"Ingredient candidate"),COUNTIFS('Material routes'!$D$6:$D$2205,A877,'Material routes'!$C$6:$C$2205,"Consumed input"),COUNTIFS('Material routes'!$D$6:$D$2205,A877,'Material routes'!$C$6:$C$2205,"Contained input"),COUNTIFS('Material routes'!$D$6:$D$2205,A877,'Material routes'!$C$6:$C$2205,"Transform input"))</x:f>
        <x:v>0</x:v>
      </x:c>
      <x:c r="AL877" s="4">
        <x:f>COUNTIFS('Material routes'!$D$6:$D$2205,A877,'Material routes'!$C$6:$C$2205,"Tool candidate")</x:f>
        <x:v>0</x:v>
      </x:c>
      <x:c r="AM877" s="4" t="str">
        <x:f>IF(AJ877&gt;0,"Route listed; review status/completeness",IF(C877="T0","Raw entry feed; no production route","No production route listed"))</x:f>
        <x:v>Raw entry feed; no production route</x:v>
      </x:c>
      <x:c r="AN877" s="4">
        <x:f>IF(C877="T0",0,IF(C877="T1",1,IF(C877="T2",2,IF(C877="T3",3,IF(C877="T4",4,IF(C877="Unassigned",98,99))))))</x:f>
        <x:v>0</x:v>
      </x:c>
    </x:row>
    <x:row r="878">
      <x:c r="A878" s="4" t="inlineStr">
        <x:is>
          <x:t xml:space="preserve">proposal.bio.gut_lining_sacs</x:t>
        </x:is>
      </x:c>
      <x:c r="B878" s="4" t="inlineStr">
        <x:is>
          <x:t xml:space="preserve">Faunal gut-lining sacs</x:t>
        </x:is>
      </x:c>
      <x:c r="C878" s="4" t="inlineStr">
        <x:is>
          <x:t xml:space="preserve">T0</x:t>
        </x:is>
      </x:c>
      <x:c r="D878" s="4" t="inlineStr">
        <x:is>
          <x:t xml:space="preserve">Biological resources</x:t>
        </x:is>
      </x:c>
      <x:c r="E878" s="4" t="inlineStr">
        <x:is>
          <x:t xml:space="preserve">Raw faunal material</x:t>
        </x:is>
      </x:c>
      <x:c r="F878" s="4" t="inlineStr">
        <x:is>
          <x:t xml:space="preserve">New proposal</x:t>
        </x:is>
      </x:c>
      <x:c r="G878" s="4" t="inlineStr">
        <x:is>
          <x:t xml:space="preserve">Flexible lining structures proposed as membrane feed for experimental industrial vessel liners or replaceable internal barriers. Distinct from joint membrane and raw hide; any chemical-service use requires compatibility testing and a separate fitted design.</x:t>
        </x:is>
      </x:c>
      <x:c r="H878" s="4" t="inlineStr">
        <x:is>
          <x:t xml:space="preserve">None</x:t>
        </x:is>
      </x:c>
      <x:c r="I878" s="4" t="inlineStr">
        <x:is>
          <x:t xml:space="preserve">Physical harvested cargo; container, packing, mass and handling policy unresolved.</x:t>
        </x:is>
      </x:c>
      <x:c r="J878" s="4"/>
      <x:c r="K878"/>
      <x:c r="L878" t="inlineStr">
        <x:is>
          <x:t xml:space="preserve">Recover from a selected fauna species; anatomy, source availability and collection method remain proposals.</x:t>
        </x:is>
      </x:c>
      <x:c r="M878" s="4" t="inlineStr">
        <x:is>
          <x:t xml:space="preserve">Inspect, segregate and qualify raw feed before selecting a later preparation route. No processing recipe, yield or performance established.</x:t>
        </x:is>
      </x:c>
      <x:c r="N878" s="4" t="inlineStr">
        <x:is>
          <x:t xml:space="preserve">Not implemented</x:t>
        </x:is>
      </x:c>
      <x:c r="O878" s="4" t="inlineStr">
        <x:is>
          <x:t xml:space="preserve">Internal residues may be toxic. Recovery does not guarantee chemical resistance, a leakproof container, safe food contact or a finished seal. Species, stabilization and service life unresolved.</x:t>
        </x:is>
      </x:c>
      <x:c r="P878" s="4"/>
      <x:c r="Q878" s="4"/>
      <x:c r="R878"/>
      <x:c r="S878"/>
      <x:c r="T878"/>
      <x:c r="U878" t="inlineStr">
        <x:is>
          <x:t xml:space="preserve">Artwork direction: Two collapsed translucent amber sacs with uneven folded rims, shown as raw unattached tissue. Fit, safe use and manufacturing details remain proposals.</x:t>
        </x:is>
      </x:c>
      <x:c r="V878" s="4" t="inlineStr">
        <x:is>
          <x:t xml:space="preserve">gut lining; digestive membrane sacs; biological liner feed</x:t>
        </x:is>
      </x:c>
      <x:c r="W878"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8" s="4" t="inlineStr">
        <x:is>
          <x:t xml:space="preserve">Raw material</x:t>
        </x:is>
      </x:c>
      <x:c r="Y878" s="4" t="inlineStr">
        <x:is>
          <x:t xml:space="preserve">Raw</x:t>
        </x:is>
      </x:c>
      <x:c r="Z878" s="4" t="inlineStr">
        <x:is>
          <x:t xml:space="preserve">Fauna</x:t>
        </x:is>
      </x:c>
      <x:c r="AA878" s="4" t="inlineStr">
        <x:is>
          <x:t xml:space="preserve">Liquid and bulk containment</x:t>
        </x:is>
      </x:c>
      <x:c r="AB878" s="4" t="inlineStr">
        <x:is>
          <x:t xml:space="preserve">Faunal tissue</x:t>
        </x:is>
      </x:c>
      <x:c r="AC878" s="4" t="inlineStr">
        <x:is>
          <x:t xml:space="preserve">Membrane</x:t>
        </x:is>
      </x:c>
      <x:c r="AD878" s="4" t="inlineStr">
        <x:is>
          <x:t xml:space="preserve">Proposal</x:t>
        </x:is>
      </x:c>
      <x:c r="AE878" s="4" t="str">
        <x:f>LOWER(A878&amp;"; "&amp;B878&amp;"; "&amp;D878&amp;"; "&amp;E878&amp;"; "&amp;X878&amp;"; "&amp;Y878&amp;"; "&amp;Z878&amp;"; "&amp;AA878&amp;"; "&amp;AB878&amp;"; "&amp;AC878&amp;"; "&amp;AD878&amp;"; "&amp;V878&amp;"; "&amp;C878&amp;"; "&amp;AH878&amp;"; "&amp;AI878)</x:f>
        <x:v>proposal.bio.gut_lining_sacs; faunal gut-lining sacs; biological resources; raw faunal material; raw material; raw; fauna; liquid and bulk containment; faunal tissue; membrane; proposal; gut lining; digestive membrane sacs; biological liner feed; t0; t0; material</x:v>
      </x:c>
      <x:c r="AF878" s="4" t="inlineStr">
        <x:is>
          <x:t xml:space="preserve">Author-invited biological-resource expansion. Anatomically distinct raw feeds rather than finished tools, processing agents or general edible fauna.</x:t>
        </x:is>
      </x:c>
      <x:c r="AG878" s="4" t="inlineStr">
        <x:is>
          <x:t xml:space="preserve">T0 as harvested, before inspection and preparation establish craft-ready T1 material. Potential use does not establish suitability or a recipe.</x:t>
        </x:is>
      </x:c>
      <x:c r="AH878" s="4" t="inlineStr">
        <x:is>
          <x:t xml:space="preserve">T0</x:t>
        </x:is>
      </x:c>
      <x:c r="AI878" s="4" t="inlineStr">
        <x:is>
          <x:t xml:space="preserve">Material</x:t>
        </x:is>
      </x:c>
      <x:c r="AJ878" s="4">
        <x:f>COUNTIFS('Material routes'!$D$6:$D$2205,A878,'Material routes'!$C$6:$C$2205,"Output")</x:f>
        <x:v>0</x:v>
      </x:c>
      <x:c r="AK878" s="4">
        <x:f>SUM(COUNTIFS('Material routes'!$D$6:$D$2205,A878,'Material routes'!$C$6:$C$2205,"Ingredient candidate"),COUNTIFS('Material routes'!$D$6:$D$2205,A878,'Material routes'!$C$6:$C$2205,"Consumed input"),COUNTIFS('Material routes'!$D$6:$D$2205,A878,'Material routes'!$C$6:$C$2205,"Contained input"),COUNTIFS('Material routes'!$D$6:$D$2205,A878,'Material routes'!$C$6:$C$2205,"Transform input"))</x:f>
        <x:v>0</x:v>
      </x:c>
      <x:c r="AL878" s="4">
        <x:f>COUNTIFS('Material routes'!$D$6:$D$2205,A878,'Material routes'!$C$6:$C$2205,"Tool candidate")</x:f>
        <x:v>0</x:v>
      </x:c>
      <x:c r="AM878" s="4" t="str">
        <x:f>IF(AJ878&gt;0,"Route listed; review status/completeness",IF(C878="T0","Raw entry feed; no production route","No production route listed"))</x:f>
        <x:v>Raw entry feed; no production route</x:v>
      </x:c>
      <x:c r="AN878" s="4">
        <x:f>IF(C878="T0",0,IF(C878="T1",1,IF(C878="T2",2,IF(C878="T3",3,IF(C878="T4",4,IF(C878="Unassigned",98,99))))))</x:f>
        <x:v>0</x:v>
      </x:c>
    </x:row>
    <x:row r="879">
      <x:c r="A879" s="4" t="inlineStr">
        <x:is>
          <x:t xml:space="preserve">proposal.bio.pigment_nodules</x:t>
        </x:is>
      </x:c>
      <x:c r="B879" s="4" t="inlineStr">
        <x:is>
          <x:t xml:space="preserve">Faunal pigment nodules</x:t>
        </x:is>
      </x:c>
      <x:c r="C879" s="4" t="inlineStr">
        <x:is>
          <x:t xml:space="preserve">T0</x:t>
        </x:is>
      </x:c>
      <x:c r="D879" s="4" t="inlineStr">
        <x:is>
          <x:t xml:space="preserve">Biological resources</x:t>
        </x:is>
      </x:c>
      <x:c r="E879" s="4" t="inlineStr">
        <x:is>
          <x:t xml:space="preserve">Raw faunal material</x:t>
        </x:is>
      </x:c>
      <x:c r="F879" s="4" t="inlineStr">
        <x:is>
          <x:t xml:space="preserve">New proposal</x:t>
        </x:is>
      </x:c>
      <x:c r="G879" s="4" t="inlineStr">
        <x:is>
          <x:t xml:space="preserve">Localized color-bearing deposits proposed as raw pigment feed for coatings, paper marking or decorative inlay trials. These solid deposits are separate from mineral-rich ichor and the existing prepared shell-pigment suspension.</x:t>
        </x:is>
      </x:c>
      <x:c r="H879" s="4" t="inlineStr">
        <x:is>
          <x:t xml:space="preserve">None</x:t>
        </x:is>
      </x:c>
      <x:c r="I879" s="4" t="inlineStr">
        <x:is>
          <x:t xml:space="preserve">Physical harvested cargo; container, packing, mass and handling policy unresolved.</x:t>
        </x:is>
      </x:c>
      <x:c r="J879" s="4"/>
      <x:c r="K879"/>
      <x:c r="L879" t="inlineStr">
        <x:is>
          <x:t xml:space="preserve">Recover localized color-bearing deposits from a selected fauna integument; species, deposit structure and useful yield remain proposals.</x:t>
        </x:is>
      </x:c>
      <x:c r="M879" s="4" t="inlineStr">
        <x:is>
          <x:t xml:space="preserve">Inspect, segregate and qualify raw feed before selecting a later preparation route. No processing recipe, yield or performance established.</x:t>
        </x:is>
      </x:c>
      <x:c r="N879" s="4" t="inlineStr">
        <x:is>
          <x:t xml:space="preserve">Not implemented</x:t>
        </x:is>
      </x:c>
      <x:c r="O879" s="4" t="inlineStr">
        <x:is>
          <x:t xml:space="preserve">Color stability, toxicity, particle preparation and binder compatibility are unverified. No dye, paint, cosmetic or food coloring is supplied as harvested.</x:t>
        </x:is>
      </x:c>
      <x:c r="P879" s="4"/>
      <x:c r="Q879" s="4"/>
      <x:c r="R879"/>
      <x:c r="S879"/>
      <x:c r="T879"/>
      <x:c r="U879" t="inlineStr">
        <x:is>
          <x:t xml:space="preserve">Artwork direction: Several irregular ochre, dark red and charcoal nodules with fractured colored interiors. Fit, safe use and manufacturing details remain proposals.</x:t>
        </x:is>
      </x:c>
      <x:c r="V879" s="4" t="inlineStr">
        <x:is>
          <x:t xml:space="preserve">pigment bodies; faunal color deposits; raw biological pigment</x:t>
        </x:is>
      </x:c>
      <x:c r="W879"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9" s="4" t="inlineStr">
        <x:is>
          <x:t xml:space="preserve">Raw material</x:t>
        </x:is>
      </x:c>
      <x:c r="Y879" s="4" t="inlineStr">
        <x:is>
          <x:t xml:space="preserve">Raw</x:t>
        </x:is>
      </x:c>
      <x:c r="Z879" s="4" t="inlineStr">
        <x:is>
          <x:t xml:space="preserve">Fauna</x:t>
        </x:is>
      </x:c>
      <x:c r="AA879" s="4" t="inlineStr">
        <x:is>
          <x:t xml:space="preserve">Decoration</x:t>
        </x:is>
      </x:c>
      <x:c r="AB879" s="4" t="inlineStr">
        <x:is>
          <x:t xml:space="preserve">Biological and mineral mixture</x:t>
        </x:is>
      </x:c>
      <x:c r="AC879" s="4" t="inlineStr">
        <x:is>
          <x:t xml:space="preserve">Solid piece</x:t>
        </x:is>
      </x:c>
      <x:c r="AD879" s="4" t="inlineStr">
        <x:is>
          <x:t xml:space="preserve">Proposal</x:t>
        </x:is>
      </x:c>
      <x:c r="AE879" s="4" t="str">
        <x:f>LOWER(A879&amp;"; "&amp;B879&amp;"; "&amp;D879&amp;"; "&amp;E879&amp;"; "&amp;X879&amp;"; "&amp;Y879&amp;"; "&amp;Z879&amp;"; "&amp;AA879&amp;"; "&amp;AB879&amp;"; "&amp;AC879&amp;"; "&amp;AD879&amp;"; "&amp;V879&amp;"; "&amp;C879&amp;"; "&amp;AH879&amp;"; "&amp;AI879)</x:f>
        <x:v>proposal.bio.pigment_nodules; faunal pigment nodules; biological resources; raw faunal material; raw material; raw; fauna; decoration; biological and mineral mixture; solid piece; proposal; pigment bodies; faunal color deposits; raw biological pigment; t0; t0; material</x:v>
      </x:c>
      <x:c r="AF879" s="4" t="inlineStr">
        <x:is>
          <x:t xml:space="preserve">Author-invited biological-resource expansion. Anatomically distinct raw feeds rather than finished tools, processing agents or general edible fauna.</x:t>
        </x:is>
      </x:c>
      <x:c r="AG879" s="4" t="inlineStr">
        <x:is>
          <x:t xml:space="preserve">T0 as harvested, before inspection and preparation establish craft-ready T1 material. Potential use does not establish suitability or a recipe.</x:t>
        </x:is>
      </x:c>
      <x:c r="AH879" s="4" t="inlineStr">
        <x:is>
          <x:t xml:space="preserve">T0</x:t>
        </x:is>
      </x:c>
      <x:c r="AI879" s="4" t="inlineStr">
        <x:is>
          <x:t xml:space="preserve">Material</x:t>
        </x:is>
      </x:c>
      <x:c r="AJ879" s="4">
        <x:f>COUNTIFS('Material routes'!$D$6:$D$2205,A879,'Material routes'!$C$6:$C$2205,"Output")</x:f>
        <x:v>0</x:v>
      </x:c>
      <x:c r="AK879" s="4">
        <x:f>SUM(COUNTIFS('Material routes'!$D$6:$D$2205,A879,'Material routes'!$C$6:$C$2205,"Ingredient candidate"),COUNTIFS('Material routes'!$D$6:$D$2205,A879,'Material routes'!$C$6:$C$2205,"Consumed input"),COUNTIFS('Material routes'!$D$6:$D$2205,A879,'Material routes'!$C$6:$C$2205,"Contained input"),COUNTIFS('Material routes'!$D$6:$D$2205,A879,'Material routes'!$C$6:$C$2205,"Transform input"))</x:f>
        <x:v>0</x:v>
      </x:c>
      <x:c r="AL879" s="4">
        <x:f>COUNTIFS('Material routes'!$D$6:$D$2205,A879,'Material routes'!$C$6:$C$2205,"Tool candidate")</x:f>
        <x:v>0</x:v>
      </x:c>
      <x:c r="AM879" s="4" t="str">
        <x:f>IF(AJ879&gt;0,"Route listed; review status/completeness",IF(C879="T0","Raw entry feed; no production route","No production route listed"))</x:f>
        <x:v>Raw entry feed; no production route</x:v>
      </x:c>
      <x:c r="AN879" s="4">
        <x:f>IF(C879="T0",0,IF(C879="T1",1,IF(C879="T2",2,IF(C879="T3",3,IF(C879="T4",4,IF(C879="Unassigned",98,99))))))</x:f>
        <x:v>0</x:v>
      </x:c>
    </x:row>
    <x:row r="880">
      <x:c r="A880" s="4" t="inlineStr">
        <x:is>
          <x:t xml:space="preserve">proposal.bio.spring_arches</x:t>
        </x:is>
      </x:c>
      <x:c r="B880" s="4" t="inlineStr">
        <x:is>
          <x:t xml:space="preserve">Faunal spring arches</x:t>
        </x:is>
      </x:c>
      <x:c r="C880" s="4" t="inlineStr">
        <x:is>
          <x:t xml:space="preserve">T0</x:t>
        </x:is>
      </x:c>
      <x:c r="D880" s="4" t="inlineStr">
        <x:is>
          <x:t xml:space="preserve">Biological resources</x:t>
        </x:is>
      </x:c>
      <x:c r="E880" s="4" t="inlineStr">
        <x:is>
          <x:t xml:space="preserve">Raw faunal material</x:t>
        </x:is>
      </x:c>
      <x:c r="F880" s="4" t="inlineStr">
        <x:is>
          <x:t xml:space="preserve">New proposal</x:t>
        </x:is>
      </x:c>
      <x:c r="G880" s="4" t="inlineStr">
        <x:is>
          <x:t xml:space="preserve">Curved resilient cuticle structures proposed as raw feed for small spring elements, flexing catches or vibration-isolating spacers. Selected for possible elastic response rather than the straight pivot geometry of mineralized hinge rods or structural wing ribs.</x:t>
        </x:is>
      </x:c>
      <x:c r="H880" s="4" t="inlineStr">
        <x:is>
          <x:t xml:space="preserve">None</x:t>
        </x:is>
      </x:c>
      <x:c r="I880" s="4" t="inlineStr">
        <x:is>
          <x:t xml:space="preserve">Physical harvested cargo; container, packing, mass and handling policy unresolved.</x:t>
        </x:is>
      </x:c>
      <x:c r="J880" s="4"/>
      <x:c r="K880"/>
      <x:c r="L880" t="inlineStr">
        <x:is>
          <x:t xml:space="preserve">Recover bowed cuticle structures from a proposed spring-loaded fauna joint; source anatomy and extraction remain speculative.</x:t>
        </x:is>
      </x:c>
      <x:c r="M880" s="4" t="inlineStr">
        <x:is>
          <x:t xml:space="preserve">Inspect, segregate and qualify raw feed before selecting a later preparation route. No processing recipe, yield or performance established.</x:t>
        </x:is>
      </x:c>
      <x:c r="N880" s="4" t="inlineStr">
        <x:is>
          <x:t xml:space="preserve">Not implemented</x:t>
        </x:is>
      </x:c>
      <x:c r="O880" s="4" t="inlineStr">
        <x:is>
          <x:t xml:space="preserve">Elastic recovery, fatigue, brittleness after drying and load limits are unknown. Not an installed spring, guaranteed shock absorber or source of stored electricity.</x:t>
        </x:is>
      </x:c>
      <x:c r="P880" s="4"/>
      <x:c r="Q880" s="4"/>
      <x:c r="R880"/>
      <x:c r="S880"/>
      <x:c r="T880"/>
      <x:c r="U880" t="inlineStr">
        <x:is>
          <x:t xml:space="preserve">Artwork direction: Three compact dark cuticle arches with thickened ends and a smooth bowed middle. Fit, safe use and manufacturing details remain proposals.</x:t>
        </x:is>
      </x:c>
      <x:c r="V880" s="4" t="inlineStr">
        <x:is>
          <x:t xml:space="preserve">resilient cuticle arches; biological spring blanks; flexure feed</x:t>
        </x:is>
      </x:c>
      <x:c r="W880"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0" s="4" t="inlineStr">
        <x:is>
          <x:t xml:space="preserve">Raw material</x:t>
        </x:is>
      </x:c>
      <x:c r="Y880" s="4" t="inlineStr">
        <x:is>
          <x:t xml:space="preserve">Raw</x:t>
        </x:is>
      </x:c>
      <x:c r="Z880" s="4" t="inlineStr">
        <x:is>
          <x:t xml:space="preserve">Fauna</x:t>
        </x:is>
      </x:c>
      <x:c r="AA880" s="4" t="inlineStr">
        <x:is>
          <x:t xml:space="preserve">Fabrication</x:t>
        </x:is>
      </x:c>
      <x:c r="AB880" s="4" t="inlineStr">
        <x:is>
          <x:t xml:space="preserve">Faunal hard tissue</x:t>
        </x:is>
      </x:c>
      <x:c r="AC880" s="4" t="inlineStr">
        <x:is>
          <x:t xml:space="preserve">Solid piece</x:t>
        </x:is>
      </x:c>
      <x:c r="AD880" s="4" t="inlineStr">
        <x:is>
          <x:t xml:space="preserve">Proposal</x:t>
        </x:is>
      </x:c>
      <x:c r="AE880" s="4" t="str">
        <x:f>LOWER(A880&amp;"; "&amp;B880&amp;"; "&amp;D880&amp;"; "&amp;E880&amp;"; "&amp;X880&amp;"; "&amp;Y880&amp;"; "&amp;Z880&amp;"; "&amp;AA880&amp;"; "&amp;AB880&amp;"; "&amp;AC880&amp;"; "&amp;AD880&amp;"; "&amp;V880&amp;"; "&amp;C880&amp;"; "&amp;AH880&amp;"; "&amp;AI880)</x:f>
        <x:v>proposal.bio.spring_arches; faunal spring arches; biological resources; raw faunal material; raw material; raw; fauna; fabrication; faunal hard tissue; solid piece; proposal; resilient cuticle arches; biological spring blanks; flexure feed; t0; t0; material</x:v>
      </x:c>
      <x:c r="AF880" s="4" t="inlineStr">
        <x:is>
          <x:t xml:space="preserve">Author-invited biological-resource expansion. Anatomically distinct raw feeds rather than finished tools, processing agents or general edible fauna.</x:t>
        </x:is>
      </x:c>
      <x:c r="AG880" s="4" t="inlineStr">
        <x:is>
          <x:t xml:space="preserve">T0 as harvested, before inspection and preparation establish craft-ready T1 material. Potential use does not establish suitability or a recipe.</x:t>
        </x:is>
      </x:c>
      <x:c r="AH880" s="4" t="inlineStr">
        <x:is>
          <x:t xml:space="preserve">T0</x:t>
        </x:is>
      </x:c>
      <x:c r="AI880" s="4" t="inlineStr">
        <x:is>
          <x:t xml:space="preserve">Material</x:t>
        </x:is>
      </x:c>
      <x:c r="AJ880" s="4">
        <x:f>COUNTIFS('Material routes'!$D$6:$D$2205,A880,'Material routes'!$C$6:$C$2205,"Output")</x:f>
        <x:v>0</x:v>
      </x:c>
      <x:c r="AK880" s="4">
        <x:f>SUM(COUNTIFS('Material routes'!$D$6:$D$2205,A880,'Material routes'!$C$6:$C$2205,"Ingredient candidate"),COUNTIFS('Material routes'!$D$6:$D$2205,A880,'Material routes'!$C$6:$C$2205,"Consumed input"),COUNTIFS('Material routes'!$D$6:$D$2205,A880,'Material routes'!$C$6:$C$2205,"Contained input"),COUNTIFS('Material routes'!$D$6:$D$2205,A880,'Material routes'!$C$6:$C$2205,"Transform input"))</x:f>
        <x:v>0</x:v>
      </x:c>
      <x:c r="AL880" s="4">
        <x:f>COUNTIFS('Material routes'!$D$6:$D$2205,A880,'Material routes'!$C$6:$C$2205,"Tool candidate")</x:f>
        <x:v>0</x:v>
      </x:c>
      <x:c r="AM880" s="4" t="str">
        <x:f>IF(AJ880&gt;0,"Route listed; review status/completeness",IF(C880="T0","Raw entry feed; no production route","No production route listed"))</x:f>
        <x:v>Raw entry feed; no production route</x:v>
      </x:c>
      <x:c r="AN880" s="4">
        <x:f>IF(C880="T0",0,IF(C880="T1",1,IF(C880="T2",2,IF(C880="T3",3,IF(C880="T4",4,IF(C880="Unassigned",98,99))))))</x:f>
        <x:v>0</x:v>
      </x:c>
    </x:row>
    <x:row r="881">
      <x:c r="A881" s="4" t="inlineStr">
        <x:is>
          <x:t xml:space="preserve">proposal.bio.balance_stones</x:t>
        </x:is>
      </x:c>
      <x:c r="B881" s="4" t="inlineStr">
        <x:is>
          <x:t xml:space="preserve">Faunal balance stones</x:t>
        </x:is>
      </x:c>
      <x:c r="C881" s="4" t="inlineStr">
        <x:is>
          <x:t xml:space="preserve">T0</x:t>
        </x:is>
      </x:c>
      <x:c r="D881" s="4" t="inlineStr">
        <x:is>
          <x:t xml:space="preserve">Biological resources</x:t>
        </x:is>
      </x:c>
      <x:c r="E881" s="4" t="inlineStr">
        <x:is>
          <x:t xml:space="preserve">Raw faunal material</x:t>
        </x:is>
      </x:c>
      <x:c r="F881" s="4" t="inlineStr">
        <x:is>
          <x:t xml:space="preserve">New proposal</x:t>
        </x:is>
      </x:c>
      <x:c r="G881" s="4" t="inlineStr">
        <x:is>
          <x:t xml:space="preserve">Small dense nodules from proposed balance-sensing structures, considered as raw bead blanks, tiny counterweight feed or decorative inserts. Distinct from digestive grinding grit: these are individually recovered nodules rather than bulk abrasive granules.</x:t>
        </x:is>
      </x:c>
      <x:c r="H881" s="4" t="inlineStr">
        <x:is>
          <x:t xml:space="preserve">None</x:t>
        </x:is>
      </x:c>
      <x:c r="I881" s="4" t="inlineStr">
        <x:is>
          <x:t xml:space="preserve">Physical harvested cargo; container, packing, mass and handling policy unresolved.</x:t>
        </x:is>
      </x:c>
      <x:c r="J881" s="4"/>
      <x:c r="K881"/>
      <x:c r="L881" t="inlineStr">
        <x:is>
          <x:t xml:space="preserve">Recover individual mineralized nodules from a proposed sensory balance structure in selected fauna; anatomy and occurrence unresolved.</x:t>
        </x:is>
      </x:c>
      <x:c r="M881" s="4" t="inlineStr">
        <x:is>
          <x:t xml:space="preserve">Inspect, segregate and qualify raw feed before selecting a later preparation route. No processing recipe, yield or performance established.</x:t>
        </x:is>
      </x:c>
      <x:c r="N881" s="4" t="inlineStr">
        <x:is>
          <x:t xml:space="preserve">Not implemented</x:t>
        </x:is>
      </x:c>
      <x:c r="O881" s="4" t="inlineStr">
        <x:is>
          <x:t xml:space="preserve">Size, density consistency, workability and useful yield unknown. No gemstone value, precision bearing quality or sensory power is granted to harvested nodules.</x:t>
        </x:is>
      </x:c>
      <x:c r="P881" s="4"/>
      <x:c r="Q881" s="4"/>
      <x:c r="R881"/>
      <x:c r="S881"/>
      <x:c r="T881"/>
      <x:c r="U881" t="inlineStr">
        <x:is>
          <x:t xml:space="preserve">Artwork direction: A few smooth pale oval nodules beside a split mineralized bead showing faint concentric layers. Fit, safe use and manufacturing details remain proposals.</x:t>
        </x:is>
      </x:c>
      <x:c r="V881" s="4" t="inlineStr">
        <x:is>
          <x:t xml:space="preserve">balance nodules; statolith-like stones; faunal bead blanks</x:t>
        </x:is>
      </x:c>
      <x:c r="W881"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1" s="4" t="inlineStr">
        <x:is>
          <x:t xml:space="preserve">Raw material</x:t>
        </x:is>
      </x:c>
      <x:c r="Y881" s="4" t="inlineStr">
        <x:is>
          <x:t xml:space="preserve">Raw</x:t>
        </x:is>
      </x:c>
      <x:c r="Z881" s="4" t="inlineStr">
        <x:is>
          <x:t xml:space="preserve">Fauna</x:t>
        </x:is>
      </x:c>
      <x:c r="AA881" s="4" t="inlineStr">
        <x:is>
          <x:t xml:space="preserve">Fabrication</x:t>
        </x:is>
      </x:c>
      <x:c r="AB881" s="4" t="inlineStr">
        <x:is>
          <x:t xml:space="preserve">Biological and mineral mixture</x:t>
        </x:is>
      </x:c>
      <x:c r="AC881" s="4" t="inlineStr">
        <x:is>
          <x:t xml:space="preserve">Solid piece</x:t>
        </x:is>
      </x:c>
      <x:c r="AD881" s="4" t="inlineStr">
        <x:is>
          <x:t xml:space="preserve">Proposal</x:t>
        </x:is>
      </x:c>
      <x:c r="AE881" s="4" t="str">
        <x:f>LOWER(A881&amp;"; "&amp;B881&amp;"; "&amp;D881&amp;"; "&amp;E881&amp;"; "&amp;X881&amp;"; "&amp;Y881&amp;"; "&amp;Z881&amp;"; "&amp;AA881&amp;"; "&amp;AB881&amp;"; "&amp;AC881&amp;"; "&amp;AD881&amp;"; "&amp;V881&amp;"; "&amp;C881&amp;"; "&amp;AH881&amp;"; "&amp;AI881)</x:f>
        <x:v>proposal.bio.balance_stones; faunal balance stones; biological resources; raw faunal material; raw material; raw; fauna; fabrication; biological and mineral mixture; solid piece; proposal; balance nodules; statolith-like stones; faunal bead blanks; t0; t0; material</x:v>
      </x:c>
      <x:c r="AF881" s="4" t="inlineStr">
        <x:is>
          <x:t xml:space="preserve">Author-invited biological-resource expansion. Anatomically distinct raw feeds rather than finished tools, processing agents or general edible fauna.</x:t>
        </x:is>
      </x:c>
      <x:c r="AG881" s="4" t="inlineStr">
        <x:is>
          <x:t xml:space="preserve">T0 as harvested, before inspection and preparation establish craft-ready T1 material. Potential use does not establish suitability or a recipe.</x:t>
        </x:is>
      </x:c>
      <x:c r="AH881" s="4" t="inlineStr">
        <x:is>
          <x:t xml:space="preserve">T0</x:t>
        </x:is>
      </x:c>
      <x:c r="AI881" s="4" t="inlineStr">
        <x:is>
          <x:t xml:space="preserve">Material</x:t>
        </x:is>
      </x:c>
      <x:c r="AJ881" s="4">
        <x:f>COUNTIFS('Material routes'!$D$6:$D$2205,A881,'Material routes'!$C$6:$C$2205,"Output")</x:f>
        <x:v>0</x:v>
      </x:c>
      <x:c r="AK881" s="4">
        <x:f>SUM(COUNTIFS('Material routes'!$D$6:$D$2205,A881,'Material routes'!$C$6:$C$2205,"Ingredient candidate"),COUNTIFS('Material routes'!$D$6:$D$2205,A881,'Material routes'!$C$6:$C$2205,"Consumed input"),COUNTIFS('Material routes'!$D$6:$D$2205,A881,'Material routes'!$C$6:$C$2205,"Contained input"),COUNTIFS('Material routes'!$D$6:$D$2205,A881,'Material routes'!$C$6:$C$2205,"Transform input"))</x:f>
        <x:v>0</x:v>
      </x:c>
      <x:c r="AL881" s="4">
        <x:f>COUNTIFS('Material routes'!$D$6:$D$2205,A881,'Material routes'!$C$6:$C$2205,"Tool candidate")</x:f>
        <x:v>0</x:v>
      </x:c>
      <x:c r="AM881" s="4" t="str">
        <x:f>IF(AJ881&gt;0,"Route listed; review status/completeness",IF(C881="T0","Raw entry feed; no production route","No production route listed"))</x:f>
        <x:v>Raw entry feed; no production route</x:v>
      </x:c>
      <x:c r="AN881" s="4">
        <x:f>IF(C881="T0",0,IF(C881="T1",1,IF(C881="T2",2,IF(C881="T3",3,IF(C881="T4",4,IF(C881="Unassigned",98,99))))))</x:f>
        <x:v>0</x:v>
      </x:c>
    </x:row>
    <x:row r="882">
      <x:c r="A882" s="4" t="inlineStr">
        <x:is>
          <x:t xml:space="preserve">proposal.bio.grooming_comb_plates</x:t>
        </x:is>
      </x:c>
      <x:c r="B882" s="4" t="inlineStr">
        <x:is>
          <x:t xml:space="preserve">Faunal grooming-comb plates</x:t>
        </x:is>
      </x:c>
      <x:c r="C882" s="4" t="inlineStr">
        <x:is>
          <x:t xml:space="preserve">T0</x:t>
        </x:is>
      </x:c>
      <x:c r="D882" s="4" t="inlineStr">
        <x:is>
          <x:t xml:space="preserve">Biological resources</x:t>
        </x:is>
      </x:c>
      <x:c r="E882" s="4" t="inlineStr">
        <x:is>
          <x:t xml:space="preserve">Raw faunal material</x:t>
        </x:is>
      </x:c>
      <x:c r="F882" s="4" t="inlineStr">
        <x:is>
          <x:t xml:space="preserve">New proposal</x:t>
        </x:is>
      </x:c>
      <x:c r="G882" s="4" t="inlineStr">
        <x:is>
          <x:t xml:space="preserve">Fine-toothed hard plates from proposed grooming limbs, considered as blanks for small cleaning combs, fiber-separating tools or scraper inserts. The raw plate differs from loose sensory bristles, gripping-pad scales and the finished household shell comb.</x:t>
        </x:is>
      </x:c>
      <x:c r="H882" s="4" t="inlineStr">
        <x:is>
          <x:t xml:space="preserve">None</x:t>
        </x:is>
      </x:c>
      <x:c r="I882" s="4" t="inlineStr">
        <x:is>
          <x:t xml:space="preserve">Physical harvested cargo; container, packing, mass and handling policy unresolved.</x:t>
        </x:is>
      </x:c>
      <x:c r="J882" s="4"/>
      <x:c r="K882"/>
      <x:c r="L882" t="inlineStr">
        <x:is>
          <x:t xml:space="preserve">Recover intact toothed plates from a proposed grooming limb or shed appendage; source species and recovery method unresolved.</x:t>
        </x:is>
      </x:c>
      <x:c r="M882" s="4" t="inlineStr">
        <x:is>
          <x:t xml:space="preserve">Inspect, segregate and qualify raw feed before selecting a later preparation route. No processing recipe, yield or performance established.</x:t>
        </x:is>
      </x:c>
      <x:c r="N882" s="4" t="inlineStr">
        <x:is>
          <x:t xml:space="preserve">Not implemented</x:t>
        </x:is>
      </x:c>
      <x:c r="O882" s="4" t="inlineStr">
        <x:is>
          <x:t xml:space="preserve">Tooth spacing, wear, contamination and grip mounting require qualification. Not a finished brush, certified filter or proof of effortless husk-fiber separation.</x:t>
        </x:is>
      </x:c>
      <x:c r="P882" s="4"/>
      <x:c r="Q882" s="4"/>
      <x:c r="R882"/>
      <x:c r="S882"/>
      <x:c r="T882"/>
      <x:c r="U882" t="inlineStr">
        <x:is>
          <x:t xml:space="preserve">Artwork direction: Two narrow chitin plates with closely spaced integral teeth, one retaining a rough attachment edge. Fit, safe use and manufacturing details remain proposals.</x:t>
        </x:is>
      </x:c>
      <x:c r="V882" s="4" t="inlineStr">
        <x:is>
          <x:t xml:space="preserve">grooming lamellae; toothed faunal plates; raw chitin combs</x:t>
        </x:is>
      </x:c>
      <x:c r="W882"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2" s="4" t="inlineStr">
        <x:is>
          <x:t xml:space="preserve">Raw material</x:t>
        </x:is>
      </x:c>
      <x:c r="Y882" s="4" t="inlineStr">
        <x:is>
          <x:t xml:space="preserve">Raw</x:t>
        </x:is>
      </x:c>
      <x:c r="Z882" s="4" t="inlineStr">
        <x:is>
          <x:t xml:space="preserve">Fauna</x:t>
        </x:is>
      </x:c>
      <x:c r="AA882" s="4" t="inlineStr">
        <x:is>
          <x:t xml:space="preserve">Fiber processing</x:t>
        </x:is>
      </x:c>
      <x:c r="AB882" s="4" t="inlineStr">
        <x:is>
          <x:t xml:space="preserve">Faunal hard tissue</x:t>
        </x:is>
      </x:c>
      <x:c r="AC882" s="4" t="inlineStr">
        <x:is>
          <x:t xml:space="preserve">Shell plate</x:t>
        </x:is>
      </x:c>
      <x:c r="AD882" s="4" t="inlineStr">
        <x:is>
          <x:t xml:space="preserve">Proposal</x:t>
        </x:is>
      </x:c>
      <x:c r="AE882" s="4" t="str">
        <x:f>LOWER(A882&amp;"; "&amp;B882&amp;"; "&amp;D882&amp;"; "&amp;E882&amp;"; "&amp;X882&amp;"; "&amp;Y882&amp;"; "&amp;Z882&amp;"; "&amp;AA882&amp;"; "&amp;AB882&amp;"; "&amp;AC882&amp;"; "&amp;AD882&amp;"; "&amp;V882&amp;"; "&amp;C882&amp;"; "&amp;AH882&amp;"; "&amp;AI882)</x:f>
        <x:v>proposal.bio.grooming_comb_plates; faunal grooming-comb plates; biological resources; raw faunal material; raw material; raw; fauna; fiber processing; faunal hard tissue; shell plate; proposal; grooming lamellae; toothed faunal plates; raw chitin combs; t0; t0; material</x:v>
      </x:c>
      <x:c r="AF882" s="4" t="inlineStr">
        <x:is>
          <x:t xml:space="preserve">Author-invited biological-resource expansion. Anatomically distinct raw feeds rather than finished tools, processing agents or general edible fauna.</x:t>
        </x:is>
      </x:c>
      <x:c r="AG882" s="4" t="inlineStr">
        <x:is>
          <x:t xml:space="preserve">T0 as harvested, before inspection and preparation establish craft-ready T1 material. Potential use does not establish suitability or a recipe.</x:t>
        </x:is>
      </x:c>
      <x:c r="AH882" s="4" t="inlineStr">
        <x:is>
          <x:t xml:space="preserve">T0</x:t>
        </x:is>
      </x:c>
      <x:c r="AI882" s="4" t="inlineStr">
        <x:is>
          <x:t xml:space="preserve">Material</x:t>
        </x:is>
      </x:c>
      <x:c r="AJ882" s="4">
        <x:f>COUNTIFS('Material routes'!$D$6:$D$2205,A882,'Material routes'!$C$6:$C$2205,"Output")</x:f>
        <x:v>0</x:v>
      </x:c>
      <x:c r="AK882" s="4">
        <x:f>SUM(COUNTIFS('Material routes'!$D$6:$D$2205,A882,'Material routes'!$C$6:$C$2205,"Ingredient candidate"),COUNTIFS('Material routes'!$D$6:$D$2205,A882,'Material routes'!$C$6:$C$2205,"Consumed input"),COUNTIFS('Material routes'!$D$6:$D$2205,A882,'Material routes'!$C$6:$C$2205,"Contained input"),COUNTIFS('Material routes'!$D$6:$D$2205,A882,'Material routes'!$C$6:$C$2205,"Transform input"))</x:f>
        <x:v>0</x:v>
      </x:c>
      <x:c r="AL882" s="4">
        <x:f>COUNTIFS('Material routes'!$D$6:$D$2205,A882,'Material routes'!$C$6:$C$2205,"Tool candidate")</x:f>
        <x:v>0</x:v>
      </x:c>
      <x:c r="AM882" s="4" t="str">
        <x:f>IF(AJ882&gt;0,"Route listed; review status/completeness",IF(C882="T0","Raw entry feed; no production route","No production route listed"))</x:f>
        <x:v>Raw entry feed; no production route</x:v>
      </x:c>
      <x:c r="AN882" s="4">
        <x:f>IF(C882="T0",0,IF(C882="T1",1,IF(C882="T2",2,IF(C882="T3",3,IF(C882="T4",4,IF(C882="Unassigned",98,99))))))</x:f>
        <x:v>0</x:v>
      </x:c>
    </x:row>
    <x:row r="883">
      <x:c r="A883" s="4" t="inlineStr">
        <x:is>
          <x:t xml:space="preserve">proposal.salvage.sand_choked_cable_winch</x:t>
        </x:is>
      </x:c>
      <x:c r="B883" s="4" t="inlineStr">
        <x:is>
          <x:t xml:space="preserve">Sand-choked cable winch</x:t>
        </x:is>
      </x:c>
      <x:c r="C883" s="4" t="inlineStr">
        <x:is>
          <x:t xml:space="preserve">T0</x:t>
        </x:is>
      </x:c>
      <x:c r="D883" s="4" t="inlineStr">
        <x:is>
          <x:t xml:space="preserve">Salvage</x:t>
        </x:is>
      </x:c>
      <x:c r="E883" s="4" t="inlineStr">
        <x:is>
          <x:t xml:space="preserve">Abandoned hauling machinery</x:t>
        </x:is>
      </x:c>
      <x:c r="F883" s="4" t="inlineStr">
        <x:is>
          <x:t xml:space="preserve">New proposal</x:t>
        </x:is>
      </x:c>
      <x:c r="G883" s="4" t="inlineStr">
        <x:is>
          <x:t xml:space="preserve">A seized hand-crank winch recovered from an abandoned canyon lift or expedition hauling point. Packed grit jams the exposed gearing and the retaining pawl is damaged. The bare drum, gear teeth and mounting frame may offer repair donors or metal-recovery feed after inspection; recovering the assembly does not provide a working hoist or usable cable.</x:t>
        </x:is>
      </x:c>
      <x:c r="H883" s="4" t="inlineStr">
        <x:is>
          <x:t xml:space="preserve">None</x:t>
        </x:is>
      </x:c>
      <x:c r="I883" s="4" t="inlineStr">
        <x:is>
          <x:t xml:space="preserve">Recovered physical cargo; dimensions, mass and carrier fit unresolved.</x:t>
        </x:is>
      </x:c>
      <x:c r="J883" s="4"/>
      <x:c r="K883"/>
      <x:c r="L883" t="inlineStr">
        <x:is>
          <x:t xml:space="preserve">Recover from a proposed abandoned canyon lift or expedition hauling point. Specific sites, frequency and recovery requirements remain design work.</x:t>
        </x:is>
      </x:c>
      <x:c r="M883" s="4" t="inlineStr">
        <x:is>
          <x:t xml:space="preserve">Inspect and dismantle for potentially reusable drum, gears, pawl or mounting brackets, or assess as a whole-machine repair candidate. No salvage yield, repair recipe or working replacement parts granted automatically.</x:t>
        </x:is>
      </x:c>
      <x:c r="N883" s="4" t="inlineStr">
        <x:is>
          <x:t xml:space="preserve">Not implemented</x:t>
        </x:is>
      </x:c>
      <x:c r="O883" s="4" t="inlineStr">
        <x:is>
          <x:t xml:space="preserve">Seized gearing, damaged retaining pawl and hidden wear may prevent reuse. No usable cable, reliable brake, supported load, stored energy or working lifting action is supplied. Metal construction; no wooden handles or frame assumed.</x:t>
        </x:is>
      </x:c>
      <x:c r="P883" s="4"/>
      <x:c r="Q883" s="4"/>
      <x:c r="R883"/>
      <x:c r="S883"/>
      <x:c r="T883"/>
      <x:c r="U883" t="inlineStr">
        <x:is>
          <x:t xml:space="preserve">Recovery sites, physical size, carrying mass, inspection criteria, useful donor parts and repair route remain proposals. Visual direction: empty grooved drum, exposed grit-packed gears, bent iron frame and broken all-metal crank.</x:t>
        </x:is>
      </x:c>
      <x:c r="V883" s="4" t="inlineStr">
        <x:is>
          <x:t xml:space="preserve">seized cable winch; abandoned canyon hoist; grit-jammed hauling gear; damaged hand-crank winch</x:t>
        </x:is>
      </x:c>
      <x:c r="W883" s="4" t="inlineStr">
        <x:is>
          <x:t xml:space="preserve">Author requested one new salvage brainstorm item, October 15, 2026. New game proposal under Docs/WORLD_BASIS.md; no source-lore anatomy, named location or historical event is asserted. Setting constraints: Docs/WORLD_BASIS.md#material-culture.</x:t>
        </x:is>
      </x:c>
      <x:c r="X883" s="4" t="inlineStr">
        <x:is>
          <x:t xml:space="preserve">Machine</x:t>
        </x:is>
      </x:c>
      <x:c r="Y883" s="4" t="inlineStr">
        <x:is>
          <x:t xml:space="preserve">Recovered part</x:t>
        </x:is>
      </x:c>
      <x:c r="Z883" s="4" t="inlineStr">
        <x:is>
          <x:t xml:space="preserve">Industrial salvage</x:t>
        </x:is>
      </x:c>
      <x:c r="AA883" s="4" t="inlineStr">
        <x:is>
          <x:t xml:space="preserve">Machinery repair</x:t>
        </x:is>
      </x:c>
      <x:c r="AB883" s="4" t="inlineStr">
        <x:is>
          <x:t xml:space="preserve">Metal</x:t>
        </x:is>
      </x:c>
      <x:c r="AC883" s="4" t="inlineStr">
        <x:is>
          <x:t xml:space="preserve">Assembly</x:t>
        </x:is>
      </x:c>
      <x:c r="AD883" s="4" t="inlineStr">
        <x:is>
          <x:t xml:space="preserve">Proposal</x:t>
        </x:is>
      </x:c>
      <x:c r="AE883" s="4" t="str">
        <x:f>LOWER(A883&amp;"; "&amp;B883&amp;"; "&amp;D883&amp;"; "&amp;E883&amp;"; "&amp;X883&amp;"; "&amp;Y883&amp;"; "&amp;Z883&amp;"; "&amp;AA883&amp;"; "&amp;AB883&amp;"; "&amp;AC883&amp;"; "&amp;AD883&amp;"; "&amp;V883&amp;"; "&amp;C883&amp;"; "&amp;AH883&amp;"; "&amp;AI883)</x:f>
        <x:v>proposal.salvage.sand_choked_cable_winch; sand-choked cable winch; salvage; abandoned hauling machinery; machine; recovered part; industrial salvage; machinery repair; metal; assembly; proposal; seized cable winch; abandoned canyon hoist; grit-jammed hauling gear; damaged hand-crank winch; t0; t0; component</x:v>
      </x:c>
      <x:c r="AF883" s="4" t="inlineStr">
        <x:is>
          <x:t xml:space="preserve">As-found damaged contemporary hauling machinery, distinct from loose cable scrap, manufactured ratchet parts and ready-to-use traversal tools. Neither ancient technology nor a working tool is assumed.</x:t>
        </x:is>
      </x:c>
      <x:c r="AG883" s="4" t="inlineStr">
        <x:is>
          <x:t xml:space="preserve">T0 as recovered in unknown condition. A qualified reusable mechanism would need a separate T1 readiness record; original complexity does not establish usability.</x:t>
        </x:is>
      </x:c>
      <x:c r="AH883" s="4" t="inlineStr">
        <x:is>
          <x:t xml:space="preserve">T0</x:t>
        </x:is>
      </x:c>
      <x:c r="AI883" s="4" t="inlineStr">
        <x:is>
          <x:t xml:space="preserve">Component</x:t>
        </x:is>
      </x:c>
      <x:c r="AJ883" s="4">
        <x:f>COUNTIFS('Material routes'!$D$6:$D$2205,A883,'Material routes'!$C$6:$C$2205,"Output")</x:f>
        <x:v>0</x:v>
      </x:c>
      <x:c r="AK883" s="4">
        <x:f>SUM(COUNTIFS('Material routes'!$D$6:$D$2205,A883,'Material routes'!$C$6:$C$2205,"Ingredient candidate"),COUNTIFS('Material routes'!$D$6:$D$2205,A883,'Material routes'!$C$6:$C$2205,"Consumed input"),COUNTIFS('Material routes'!$D$6:$D$2205,A883,'Material routes'!$C$6:$C$2205,"Contained input"),COUNTIFS('Material routes'!$D$6:$D$2205,A883,'Material routes'!$C$6:$C$2205,"Transform input"))</x:f>
        <x:v>0</x:v>
      </x:c>
      <x:c r="AL883" s="4">
        <x:f>COUNTIFS('Material routes'!$D$6:$D$2205,A883,'Material routes'!$C$6:$C$2205,"Tool candidate")</x:f>
        <x:v>0</x:v>
      </x:c>
      <x:c r="AM883" s="4" t="str">
        <x:f>IF(AJ883&gt;0,"Route listed; review status/completeness",IF(C883="T0","Raw entry feed; no production route","No production route listed"))</x:f>
        <x:v>Raw entry feed; no production route</x:v>
      </x:c>
      <x:c r="AN883" s="4">
        <x:f>IF(C883="T0",0,IF(C883="T1",1,IF(C883="T2",2,IF(C883="T3",3,IF(C883="T4",4,IF(C883="Unassigned",98,99))))))</x:f>
        <x:v>0</x:v>
      </x:c>
    </x:row>
    <x:row r="884">
      <x:c r="A884" s="4" t="inlineStr">
        <x:is>
          <x:t xml:space="preserve">proposal.accessory.folding_grounding_rod</x:t>
        </x:is>
      </x:c>
      <x:c r="B884" s="4" t="inlineStr">
        <x:is>
          <x:t xml:space="preserve">Folding static-grounding rod</x:t>
        </x:is>
      </x:c>
      <x:c r="C884" s="4" t="inlineStr">
        <x:is>
          <x:t xml:space="preserve">T2</x:t>
        </x:is>
      </x:c>
      <x:c r="D884" s="4" t="inlineStr">
        <x:is>
          <x:t xml:space="preserve">Tools</x:t>
        </x:is>
      </x:c>
      <x:c r="E884" s="4" t="inlineStr">
        <x:is>
          <x:t xml:space="preserve">Personal utility accessory</x:t>
        </x:is>
      </x:c>
      <x:c r="F884" s="4" t="inlineStr">
        <x:is>
          <x:t xml:space="preserve">New proposal</x:t>
        </x:is>
      </x:c>
      <x:c r="G884" s="4" t="inlineStr">
        <x:is>
          <x:t xml:space="preserve">A short jointed metal probe carried as a candidate ground-contact accessory for the existing Static grounding kit. Intended to provide a deliberately placed contact point when suitable ground is available; it is not a shelter anchor or a complete grounding system.</x:t>
        </x:is>
      </x:c>
      <x:c r="H884" s="4" t="inlineStr">
        <x:is>
          <x:t xml:space="preserve">Unassigned; no new slot approved</x:t>
        </x:is>
      </x:c>
      <x:c r="I884" s="4" t="inlineStr">
        <x:is>
          <x:t xml:space="preserve">Booter-carried personal utility gear; mounting, packing, dimensions and mass unresolved.</x:t>
        </x:is>
      </x:c>
      <x:c r="J884" s="4"/>
      <x:c r="K884"/>
      <x:c r="L884" t="inlineStr">
        <x:is>
          <x:t xml:space="preserve">Proposed contemporary craft or specialist trade; availability and construction recipe unresolved.</x:t>
        </x:is>
      </x:c>
      <x:c r="M884" s="4" t="inlineStr">
        <x:is>
          <x:t xml:space="preserve">Candidate compact finished accessory using selected prepared stock. No ingredient quantities, crafting time, yield or executable recipe authored.</x:t>
        </x:is>
      </x:c>
      <x:c r="N884" s="4" t="inlineStr">
        <x:is>
          <x:t xml:space="preserve">Not implemented</x:t>
        </x:is>
      </x:c>
      <x:c r="O884" s="4" t="inlineStr">
        <x:is>
          <x:t xml:space="preserve">Dry rock, loose dust and unknown terrain conductivity may prevent effective contact. Lead, body contact and controlled discharge remain separate requirements. No lightning protection, insulation or storm immunity.</x:t>
        </x:is>
      </x:c>
      <x:c r="P884" s="4"/>
      <x:c r="Q884" s="4"/>
      <x:c r="R884"/>
      <x:c r="S884"/>
      <x:c r="T884"/>
      <x:c r="U884" t="inlineStr">
        <x:is>
          <x:t xml:space="preserve">Artwork direction: A folded two-section copper-colored metal rod with a tapered end, locking joint and lead attachment eye. Fit, safe use and manufacturing details remain proposals.</x:t>
        </x:is>
      </x:c>
      <x:c r="V884" s="4" t="inlineStr">
        <x:is>
          <x:t xml:space="preserve">static grounding rod; folding earth probe; ground-contact accessory</x:t>
        </x:is>
      </x:c>
      <x:c r="W884"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4" s="4" t="inlineStr">
        <x:is>
          <x:t xml:space="preserve">Tool</x:t>
        </x:is>
      </x:c>
      <x:c r="Y884" s="4" t="inlineStr">
        <x:is>
          <x:t xml:space="preserve">Finished item</x:t>
        </x:is>
      </x:c>
      <x:c r="Z884" s="4" t="inlineStr">
        <x:is>
          <x:t xml:space="preserve">Manufactured / unresolved</x:t>
        </x:is>
      </x:c>
      <x:c r="AA884" s="4" t="inlineStr">
        <x:is>
          <x:t xml:space="preserve">Static management</x:t>
        </x:is>
      </x:c>
      <x:c r="AB884" s="4" t="inlineStr">
        <x:is>
          <x:t xml:space="preserve">Metal</x:t>
        </x:is>
      </x:c>
      <x:c r="AC884" s="4" t="inlineStr">
        <x:is>
          <x:t xml:space="preserve">Assembly</x:t>
        </x:is>
      </x:c>
      <x:c r="AD884" s="4" t="inlineStr">
        <x:is>
          <x:t xml:space="preserve">Proposal</x:t>
        </x:is>
      </x:c>
      <x:c r="AE884" s="4" t="str">
        <x:f>LOWER(A884&amp;"; "&amp;B884&amp;"; "&amp;D884&amp;"; "&amp;E884&amp;"; "&amp;X884&amp;"; "&amp;Y884&amp;"; "&amp;Z884&amp;"; "&amp;AA884&amp;"; "&amp;AB884&amp;"; "&amp;AC884&amp;"; "&amp;AD884&amp;"; "&amp;V884&amp;"; "&amp;C884&amp;"; "&amp;AH884&amp;"; "&amp;AI884)</x:f>
        <x:v>proposal.accessory.folding_grounding_rod; folding static-grounding rod; tools; personal utility accessory; tool; finished item; manufactured / unresolved; static management; metal; assembly; proposal; static grounding rod; folding earth probe; ground-contact accessory; t2; t1; finished item</x:v>
      </x:c>
      <x:c r="AF884" s="4" t="inlineStr">
        <x:is>
          <x:t xml:space="preserve">Author-requested simple personal accessory expansion. These compact supporting utilities are grouped in Accessories; item type, tier and gameplay compatibility remain separate classifications.</x:t>
        </x:is>
      </x:c>
      <x:c r="AG884" s="4" t="inlineStr">
        <x:is>
          <x:t xml:space="preserve">Proposed T2 finished accessory using qualified T1 stock. Construction details, usability, scarcity and equipment effects are not established by the planning tier.</x:t>
        </x:is>
      </x:c>
      <x:c r="AH884" s="4" t="inlineStr">
        <x:is>
          <x:t xml:space="preserve">T1</x:t>
        </x:is>
      </x:c>
      <x:c r="AI884" s="4" t="inlineStr">
        <x:is>
          <x:t xml:space="preserve">Finished item</x:t>
        </x:is>
      </x:c>
      <x:c r="AJ884" s="4">
        <x:f>COUNTIFS('Material routes'!$D$6:$D$2205,A884,'Material routes'!$C$6:$C$2205,"Output")</x:f>
        <x:v>0</x:v>
      </x:c>
      <x:c r="AK884" s="4">
        <x:f>SUM(COUNTIFS('Material routes'!$D$6:$D$2205,A884,'Material routes'!$C$6:$C$2205,"Ingredient candidate"),COUNTIFS('Material routes'!$D$6:$D$2205,A884,'Material routes'!$C$6:$C$2205,"Consumed input"),COUNTIFS('Material routes'!$D$6:$D$2205,A884,'Material routes'!$C$6:$C$2205,"Contained input"),COUNTIFS('Material routes'!$D$6:$D$2205,A884,'Material routes'!$C$6:$C$2205,"Transform input"))</x:f>
        <x:v>0</x:v>
      </x:c>
      <x:c r="AL884" s="4">
        <x:f>COUNTIFS('Material routes'!$D$6:$D$2205,A884,'Material routes'!$C$6:$C$2205,"Tool candidate")</x:f>
        <x:v>0</x:v>
      </x:c>
      <x:c r="AM884" s="4" t="str">
        <x:f>IF(AJ884&gt;0,"Route listed; review status/completeness",IF(C884="T0","Raw entry feed; no production route","No production route listed"))</x:f>
        <x:v>No production route listed</x:v>
      </x:c>
      <x:c r="AN884" s="4">
        <x:f>IF(C884="T0",0,IF(C884="T1",1,IF(C884="T2",2,IF(C884="T3",3,IF(C884="T4",4,IF(C884="Unassigned",98,99))))))</x:f>
        <x:v>2</x:v>
      </x:c>
    </x:row>
    <x:row r="885">
      <x:c r="A885" s="4" t="inlineStr">
        <x:is>
          <x:t xml:space="preserve">proposal.accessory.static_discharge_wand</x:t>
        </x:is>
      </x:c>
      <x:c r="B885" s="4" t="inlineStr">
        <x:is>
          <x:t xml:space="preserve">Static-discharge contact wand</x:t>
        </x:is>
      </x:c>
      <x:c r="C885" s="4" t="inlineStr">
        <x:is>
          <x:t xml:space="preserve">T2</x:t>
        </x:is>
      </x:c>
      <x:c r="D885" s="4" t="inlineStr">
        <x:is>
          <x:t xml:space="preserve">Salvage</x:t>
        </x:is>
      </x:c>
      <x:c r="E885" s="4" t="inlineStr">
        <x:is>
          <x:t xml:space="preserve">Personal utility accessory</x:t>
        </x:is>
      </x:c>
      <x:c r="F885" s="4" t="inlineStr">
        <x:is>
          <x:t xml:space="preserve">New proposal</x:t>
        </x:is>
      </x:c>
      <x:c r="G885" s="4" t="inlineStr">
        <x:is>
          <x:t xml:space="preserve">A compact contact wand proposed for deliberately equalizing accumulated static between compatible equipment and an established discharge path. A ceramic-separated grip and replaceable metal contact distinguish it from the ground probe itself; the actual discharge-control mechanism remains undefined.</x:t>
        </x:is>
      </x:c>
      <x:c r="H885" s="4" t="inlineStr">
        <x:is>
          <x:t xml:space="preserve">Unassigned; no new slot approved</x:t>
        </x:is>
      </x:c>
      <x:c r="I885" s="4" t="inlineStr">
        <x:is>
          <x:t xml:space="preserve">Booter-carried personal utility gear; mounting, packing, dimensions and mass unresolved.</x:t>
        </x:is>
      </x:c>
      <x:c r="J885" s="4"/>
      <x:c r="K885"/>
      <x:c r="L885" t="inlineStr">
        <x:is>
          <x:t xml:space="preserve">Proposed contemporary craft or specialist trade; availability and construction recipe unresolved.</x:t>
        </x:is>
      </x:c>
      <x:c r="M885" s="4" t="inlineStr">
        <x:is>
          <x:t xml:space="preserve">Candidate compact finished accessory using selected prepared stock. No ingredient quantities, crafting time, yield or executable recipe authored.</x:t>
        </x:is>
      </x:c>
      <x:c r="N885" s="4" t="inlineStr">
        <x:is>
          <x:t xml:space="preserve">Not implemented</x:t>
        </x:is>
      </x:c>
      <x:c r="O885" s="4" t="inlineStr">
        <x:is>
          <x:t xml:space="preserve">Requires a compatible controlled discharge path; touching a surface alone is not established as safe or effective. Ceramic is not automatically voltage-rated. No live-power servicing, lightning protection or immunity granted.</x:t>
        </x:is>
      </x:c>
      <x:c r="P885" s="4"/>
      <x:c r="Q885" s="4"/>
      <x:c r="R885"/>
      <x:c r="S885"/>
      <x:c r="T885"/>
      <x:c r="U885" t="inlineStr">
        <x:is>
          <x:t xml:space="preserve">Artwork direction: A short dark metal contact tip on a thick ceramic grip with a recessed lead eye. Fit, safe use and manufacturing details remain proposals.</x:t>
        </x:is>
      </x:c>
      <x:c r="V885" s="4" t="inlineStr">
        <x:is>
          <x:t xml:space="preserve">static discharge wand; charge contact probe</x:t>
        </x:is>
      </x:c>
      <x:c r="W885"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5" s="4" t="inlineStr">
        <x:is>
          <x:t xml:space="preserve">Tool</x:t>
        </x:is>
      </x:c>
      <x:c r="Y885" s="4" t="inlineStr">
        <x:is>
          <x:t xml:space="preserve">Finished item</x:t>
        </x:is>
      </x:c>
      <x:c r="Z885" s="4" t="inlineStr">
        <x:is>
          <x:t xml:space="preserve">Manufactured / unresolved</x:t>
        </x:is>
      </x:c>
      <x:c r="AA885" s="4" t="inlineStr">
        <x:is>
          <x:t xml:space="preserve">Static management</x:t>
        </x:is>
      </x:c>
      <x:c r="AB885" s="4" t="inlineStr">
        <x:is>
          <x:t xml:space="preserve">Ceramic and metal</x:t>
        </x:is>
      </x:c>
      <x:c r="AC885" s="4" t="inlineStr">
        <x:is>
          <x:t xml:space="preserve">Assembly</x:t>
        </x:is>
      </x:c>
      <x:c r="AD885" s="4" t="inlineStr">
        <x:is>
          <x:t xml:space="preserve">Proposal</x:t>
        </x:is>
      </x:c>
      <x:c r="AE885" s="4" t="str">
        <x:f>LOWER(A885&amp;"; "&amp;B885&amp;"; "&amp;D885&amp;"; "&amp;E885&amp;"; "&amp;X885&amp;"; "&amp;Y885&amp;"; "&amp;Z885&amp;"; "&amp;AA885&amp;"; "&amp;AB885&amp;"; "&amp;AC885&amp;"; "&amp;AD885&amp;"; "&amp;V885&amp;"; "&amp;C885&amp;"; "&amp;AH885&amp;"; "&amp;AI885)</x:f>
        <x:v>proposal.accessory.static_discharge_wand; static-discharge contact wand; salvage; personal utility accessory; tool; finished item; manufactured / unresolved; static management; ceramic and metal; assembly; proposal; static discharge wand; charge contact probe; t2; t1; finished item</x:v>
      </x:c>
      <x:c r="AF885" s="4" t="inlineStr">
        <x:is>
          <x:t xml:space="preserve">Author-requested simple personal accessory expansion. These compact supporting utilities are grouped in Accessories; item type, tier and gameplay compatibility remain separate classifications.</x:t>
        </x:is>
      </x:c>
      <x:c r="AG885" s="4" t="inlineStr">
        <x:is>
          <x:t xml:space="preserve">Proposed T2 finished accessory using qualified T1 stock. Construction details, usability, scarcity and equipment effects are not established by the planning tier.</x:t>
        </x:is>
      </x:c>
      <x:c r="AH885" s="4" t="inlineStr">
        <x:is>
          <x:t xml:space="preserve">T1</x:t>
        </x:is>
      </x:c>
      <x:c r="AI885" s="4" t="inlineStr">
        <x:is>
          <x:t xml:space="preserve">Finished item</x:t>
        </x:is>
      </x:c>
      <x:c r="AJ885" s="4">
        <x:f>COUNTIFS('Material routes'!$D$6:$D$2205,A885,'Material routes'!$C$6:$C$2205,"Output")</x:f>
        <x:v>0</x:v>
      </x:c>
      <x:c r="AK885" s="4">
        <x:f>SUM(COUNTIFS('Material routes'!$D$6:$D$2205,A885,'Material routes'!$C$6:$C$2205,"Ingredient candidate"),COUNTIFS('Material routes'!$D$6:$D$2205,A885,'Material routes'!$C$6:$C$2205,"Consumed input"),COUNTIFS('Material routes'!$D$6:$D$2205,A885,'Material routes'!$C$6:$C$2205,"Contained input"),COUNTIFS('Material routes'!$D$6:$D$2205,A885,'Material routes'!$C$6:$C$2205,"Transform input"))</x:f>
        <x:v>0</x:v>
      </x:c>
      <x:c r="AL885" s="4">
        <x:f>COUNTIFS('Material routes'!$D$6:$D$2205,A885,'Material routes'!$C$6:$C$2205,"Tool candidate")</x:f>
        <x:v>0</x:v>
      </x:c>
      <x:c r="AM885" s="4" t="str">
        <x:f>IF(AJ885&gt;0,"Route listed; review status/completeness",IF(C885="T0","Raw entry feed; no production route","No production route listed"))</x:f>
        <x:v>No production route listed</x:v>
      </x:c>
      <x:c r="AN885" s="4">
        <x:f>IF(C885="T0",0,IF(C885="T1",1,IF(C885="T2",2,IF(C885="T3",3,IF(C885="T4",4,IF(C885="Unassigned",98,99))))))</x:f>
        <x:v>2</x:v>
      </x:c>
    </x:row>
    <x:row r="886">
      <x:c r="A886" s="4" t="inlineStr">
        <x:is>
          <x:t xml:space="preserve">proposal.accessory.grounding_drag_chain</x:t>
        </x:is>
      </x:c>
      <x:c r="B886" s="4" t="inlineStr">
        <x:is>
          <x:t xml:space="preserve">Grounding drag chain</x:t>
        </x:is>
      </x:c>
      <x:c r="C886" s="4" t="inlineStr">
        <x:is>
          <x:t xml:space="preserve">T2</x:t>
        </x:is>
      </x:c>
      <x:c r="D886" s="4" t="inlineStr">
        <x:is>
          <x:t xml:space="preserve">Tools</x:t>
        </x:is>
      </x:c>
      <x:c r="E886" s="4" t="inlineStr">
        <x:is>
          <x:t xml:space="preserve">Personal utility accessory</x:t>
        </x:is>
      </x:c>
      <x:c r="F886" s="4" t="inlineStr">
        <x:is>
          <x:t xml:space="preserve">New proposal</x:t>
        </x:is>
      </x:c>
      <x:c r="G886" s="4" t="inlineStr">
        <x:is>
          <x:t xml:space="preserve">A short replaceable trailing metal chain proposed as a personal static-contact accessory on suitable surfaces. Its intended role is maintaining intermittent ground contact while moving, distinct from the deliberately placed grounding rod and the complete grounding kit.</x:t>
        </x:is>
      </x:c>
      <x:c r="H886" s="4" t="inlineStr">
        <x:is>
          <x:t xml:space="preserve">Unassigned; no new slot approved</x:t>
        </x:is>
      </x:c>
      <x:c r="I886" s="4" t="inlineStr">
        <x:is>
          <x:t xml:space="preserve">Booter-carried personal utility gear; mounting, packing, dimensions and mass unresolved.</x:t>
        </x:is>
      </x:c>
      <x:c r="J886" s="4"/>
      <x:c r="K886"/>
      <x:c r="L886" t="inlineStr">
        <x:is>
          <x:t xml:space="preserve">Proposed contemporary craft or specialist trade; availability and construction recipe unresolved.</x:t>
        </x:is>
      </x:c>
      <x:c r="M886" s="4" t="inlineStr">
        <x:is>
          <x:t xml:space="preserve">Candidate compact finished accessory using selected prepared stock. No ingredient quantities, crafting time, yield or executable recipe authored.</x:t>
        </x:is>
      </x:c>
      <x:c r="N886" s="4" t="inlineStr">
        <x:is>
          <x:t xml:space="preserve">Not implemented</x:t>
        </x:is>
      </x:c>
      <x:c r="O886" s="4" t="inlineStr">
        <x:is>
          <x:t xml:space="preserve">Contact may be interrupted or ineffective on dry terrain. Snagging, release, conductivity and compatibility remain unresolved. No automatic discharge, isolation, lightning protection or storm immunity.</x:t>
        </x:is>
      </x:c>
      <x:c r="P886" s="4"/>
      <x:c r="Q886" s="4"/>
      <x:c r="R886"/>
      <x:c r="S886"/>
      <x:c r="T886"/>
      <x:c r="U886" t="inlineStr">
        <x:is>
          <x:t xml:space="preserve">Artwork direction: A compact coil of small metal links ending in a flattened worn contact link and a plain attachment loop. Fit, safe use and manufacturing details remain proposals.</x:t>
        </x:is>
      </x:c>
      <x:c r="V886" s="4" t="inlineStr">
        <x:is>
          <x:t xml:space="preserve">static drag chain; trailing ground contact</x:t>
        </x:is>
      </x:c>
      <x:c r="W886"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6" s="4" t="inlineStr">
        <x:is>
          <x:t xml:space="preserve">Wearable</x:t>
        </x:is>
      </x:c>
      <x:c r="Y886" s="4" t="inlineStr">
        <x:is>
          <x:t xml:space="preserve">Finished item</x:t>
        </x:is>
      </x:c>
      <x:c r="Z886" s="4" t="inlineStr">
        <x:is>
          <x:t xml:space="preserve">Manufactured / unresolved</x:t>
        </x:is>
      </x:c>
      <x:c r="AA886" s="4" t="inlineStr">
        <x:is>
          <x:t xml:space="preserve">Static management</x:t>
        </x:is>
      </x:c>
      <x:c r="AB886" s="4" t="inlineStr">
        <x:is>
          <x:t xml:space="preserve">Metal</x:t>
        </x:is>
      </x:c>
      <x:c r="AC886" s="4" t="inlineStr">
        <x:is>
          <x:t xml:space="preserve">Assembly</x:t>
        </x:is>
      </x:c>
      <x:c r="AD886" s="4" t="inlineStr">
        <x:is>
          <x:t xml:space="preserve">Proposal</x:t>
        </x:is>
      </x:c>
      <x:c r="AE886" s="4" t="str">
        <x:f>LOWER(A886&amp;"; "&amp;B886&amp;"; "&amp;D886&amp;"; "&amp;E886&amp;"; "&amp;X886&amp;"; "&amp;Y886&amp;"; "&amp;Z886&amp;"; "&amp;AA886&amp;"; "&amp;AB886&amp;"; "&amp;AC886&amp;"; "&amp;AD886&amp;"; "&amp;V886&amp;"; "&amp;C886&amp;"; "&amp;AH886&amp;"; "&amp;AI886)</x:f>
        <x:v>proposal.accessory.grounding_drag_chain; grounding drag chain; tools; personal utility accessory; wearable; finished item; manufactured / unresolved; static management; metal; assembly; proposal; static drag chain; trailing ground contact; t2; t1; finished item</x:v>
      </x:c>
      <x:c r="AF886" s="4" t="inlineStr">
        <x:is>
          <x:t xml:space="preserve">Author-requested simple personal accessory expansion. These compact supporting utilities are grouped in Accessories; item type, tier and gameplay compatibility remain separate classifications.</x:t>
        </x:is>
      </x:c>
      <x:c r="AG886" s="4" t="inlineStr">
        <x:is>
          <x:t xml:space="preserve">Proposed T2 finished accessory using qualified T1 stock. Construction details, usability, scarcity and equipment effects are not established by the planning tier.</x:t>
        </x:is>
      </x:c>
      <x:c r="AH886" s="4" t="inlineStr">
        <x:is>
          <x:t xml:space="preserve">T1</x:t>
        </x:is>
      </x:c>
      <x:c r="AI886" s="4" t="inlineStr">
        <x:is>
          <x:t xml:space="preserve">Finished item</x:t>
        </x:is>
      </x:c>
      <x:c r="AJ886" s="4">
        <x:f>COUNTIFS('Material routes'!$D$6:$D$2205,A886,'Material routes'!$C$6:$C$2205,"Output")</x:f>
        <x:v>0</x:v>
      </x:c>
      <x:c r="AK886" s="4">
        <x:f>SUM(COUNTIFS('Material routes'!$D$6:$D$2205,A886,'Material routes'!$C$6:$C$2205,"Ingredient candidate"),COUNTIFS('Material routes'!$D$6:$D$2205,A886,'Material routes'!$C$6:$C$2205,"Consumed input"),COUNTIFS('Material routes'!$D$6:$D$2205,A886,'Material routes'!$C$6:$C$2205,"Contained input"),COUNTIFS('Material routes'!$D$6:$D$2205,A886,'Material routes'!$C$6:$C$2205,"Transform input"))</x:f>
        <x:v>0</x:v>
      </x:c>
      <x:c r="AL886" s="4">
        <x:f>COUNTIFS('Material routes'!$D$6:$D$2205,A886,'Material routes'!$C$6:$C$2205,"Tool candidate")</x:f>
        <x:v>0</x:v>
      </x:c>
      <x:c r="AM886" s="4" t="str">
        <x:f>IF(AJ886&gt;0,"Route listed; review status/completeness",IF(C886="T0","Raw entry feed; no production route","No production route listed"))</x:f>
        <x:v>No production route listed</x:v>
      </x:c>
      <x:c r="AN886" s="4">
        <x:f>IF(C886="T0",0,IF(C886="T1",1,IF(C886="T2",2,IF(C886="T3",3,IF(C886="T4",4,IF(C886="Unassigned",98,99))))))</x:f>
        <x:v>2</x:v>
      </x:c>
    </x:row>
    <x:row r="887">
      <x:c r="A887" s="4" t="inlineStr">
        <x:is>
          <x:t xml:space="preserve">proposal.accessory.spectacle_keeper_chain</x:t>
        </x:is>
      </x:c>
      <x:c r="B887" s="4" t="inlineStr">
        <x:is>
          <x:t xml:space="preserve">Spectacle keeper chain</x:t>
        </x:is>
      </x:c>
      <x:c r="C887" s="4" t="inlineStr">
        <x:is>
          <x:t xml:space="preserve">T2</x:t>
        </x:is>
      </x:c>
      <x:c r="D887" s="4" t="inlineStr">
        <x:is>
          <x:t xml:space="preserve">Salvage</x:t>
        </x:is>
      </x:c>
      <x:c r="E887" s="4" t="inlineStr">
        <x:is>
          <x:t xml:space="preserve">Personal utility accessory</x:t>
        </x:is>
      </x:c>
      <x:c r="F887" s="4" t="inlineStr">
        <x:is>
          <x:t xml:space="preserve">New proposal</x:t>
        </x:is>
      </x:c>
      <x:c r="G887" s="4" t="inlineStr">
        <x:is>
          <x:t xml:space="preserve">A fine metal chain with adjustable end loops intended to keep an existing pair of spectacles close when removed. It supplies retention only, preserving the value of scarce eyewear without adding lenses or optical effects.</x:t>
        </x:is>
      </x:c>
      <x:c r="H887" s="4" t="inlineStr">
        <x:is>
          <x:t xml:space="preserve">Unassigned; no new slot approved</x:t>
        </x:is>
      </x:c>
      <x:c r="I887" s="4" t="inlineStr">
        <x:is>
          <x:t xml:space="preserve">Booter-carried personal utility gear; mounting, packing, dimensions and mass unresolved.</x:t>
        </x:is>
      </x:c>
      <x:c r="J887" s="4"/>
      <x:c r="K887"/>
      <x:c r="L887" t="inlineStr">
        <x:is>
          <x:t xml:space="preserve">Proposed contemporary craft or specialist trade; availability and construction recipe unresolved.</x:t>
        </x:is>
      </x:c>
      <x:c r="M887" s="4" t="inlineStr">
        <x:is>
          <x:t xml:space="preserve">Candidate compact finished accessory using selected prepared stock. No ingredient quantities, crafting time, yield or executable recipe authored.</x:t>
        </x:is>
      </x:c>
      <x:c r="N887" s="4" t="inlineStr">
        <x:is>
          <x:t xml:space="preserve">Not implemented</x:t>
        </x:is>
      </x:c>
      <x:c r="O887" s="4" t="inlineStr">
        <x:is>
          <x:t xml:space="preserve">Frame fit, snag release, neck comfort and attachment security require design. Does not prevent lens breakage or supply spectacles.</x:t>
        </x:is>
      </x:c>
      <x:c r="P887" s="4"/>
      <x:c r="Q887" s="4"/>
      <x:c r="R887"/>
      <x:c r="S887"/>
      <x:c r="T887"/>
      <x:c r="U887" t="inlineStr">
        <x:is>
          <x:t xml:space="preserve">Artwork direction: A fine dull-metal chain laid in a loop with two small adjustable wire eyeglass retainers. Fit, safe use and manufacturing details remain proposals.</x:t>
        </x:is>
      </x:c>
      <x:c r="V887" s="4" t="inlineStr">
        <x:is>
          <x:t xml:space="preserve">eyeglass retaining chain; spectacles neck chain</x:t>
        </x:is>
      </x:c>
      <x:c r="W887"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7" s="4" t="inlineStr">
        <x:is>
          <x:t xml:space="preserve">Wearable</x:t>
        </x:is>
      </x:c>
      <x:c r="Y887" s="4" t="inlineStr">
        <x:is>
          <x:t xml:space="preserve">Finished item</x:t>
        </x:is>
      </x:c>
      <x:c r="Z887" s="4" t="inlineStr">
        <x:is>
          <x:t xml:space="preserve">Manufactured / unresolved</x:t>
        </x:is>
      </x:c>
      <x:c r="AA887" s="4" t="inlineStr">
        <x:is>
          <x:t xml:space="preserve">Survival provision</x:t>
        </x:is>
      </x:c>
      <x:c r="AB887" s="4" t="inlineStr">
        <x:is>
          <x:t xml:space="preserve">Metal</x:t>
        </x:is>
      </x:c>
      <x:c r="AC887" s="4" t="inlineStr">
        <x:is>
          <x:t xml:space="preserve">Assembly</x:t>
        </x:is>
      </x:c>
      <x:c r="AD887" s="4" t="inlineStr">
        <x:is>
          <x:t xml:space="preserve">Proposal</x:t>
        </x:is>
      </x:c>
      <x:c r="AE887" s="4" t="str">
        <x:f>LOWER(A887&amp;"; "&amp;B887&amp;"; "&amp;D887&amp;"; "&amp;E887&amp;"; "&amp;X887&amp;"; "&amp;Y887&amp;"; "&amp;Z887&amp;"; "&amp;AA887&amp;"; "&amp;AB887&amp;"; "&amp;AC887&amp;"; "&amp;AD887&amp;"; "&amp;V887&amp;"; "&amp;C887&amp;"; "&amp;AH887&amp;"; "&amp;AI887)</x:f>
        <x:v>proposal.accessory.spectacle_keeper_chain; spectacle keeper chain; salvage; personal utility accessory; wearable; finished item; manufactured / unresolved; survival provision; metal; assembly; proposal; eyeglass retaining chain; spectacles neck chain; t2; t1; finished item</x:v>
      </x:c>
      <x:c r="AF887" s="4" t="inlineStr">
        <x:is>
          <x:t xml:space="preserve">Author-requested simple personal accessory expansion. These compact supporting utilities are grouped in Accessories; item type, tier and gameplay compatibility remain separate classifications.</x:t>
        </x:is>
      </x:c>
      <x:c r="AG887" s="4" t="inlineStr">
        <x:is>
          <x:t xml:space="preserve">Proposed T2 finished accessory using qualified T1 stock. Construction details, usability, scarcity and equipment effects are not established by the planning tier.</x:t>
        </x:is>
      </x:c>
      <x:c r="AH887" s="4" t="inlineStr">
        <x:is>
          <x:t xml:space="preserve">T1</x:t>
        </x:is>
      </x:c>
      <x:c r="AI887" s="4" t="inlineStr">
        <x:is>
          <x:t xml:space="preserve">Finished item</x:t>
        </x:is>
      </x:c>
      <x:c r="AJ887" s="4">
        <x:f>COUNTIFS('Material routes'!$D$6:$D$2205,A887,'Material routes'!$C$6:$C$2205,"Output")</x:f>
        <x:v>0</x:v>
      </x:c>
      <x:c r="AK887" s="4">
        <x:f>SUM(COUNTIFS('Material routes'!$D$6:$D$2205,A887,'Material routes'!$C$6:$C$2205,"Ingredient candidate"),COUNTIFS('Material routes'!$D$6:$D$2205,A887,'Material routes'!$C$6:$C$2205,"Consumed input"),COUNTIFS('Material routes'!$D$6:$D$2205,A887,'Material routes'!$C$6:$C$2205,"Contained input"),COUNTIFS('Material routes'!$D$6:$D$2205,A887,'Material routes'!$C$6:$C$2205,"Transform input"))</x:f>
        <x:v>0</x:v>
      </x:c>
      <x:c r="AL887" s="4">
        <x:f>COUNTIFS('Material routes'!$D$6:$D$2205,A887,'Material routes'!$C$6:$C$2205,"Tool candidate")</x:f>
        <x:v>0</x:v>
      </x:c>
      <x:c r="AM887" s="4" t="str">
        <x:f>IF(AJ887&gt;0,"Route listed; review status/completeness",IF(C887="T0","Raw entry feed; no production route","No production route listed"))</x:f>
        <x:v>No production route listed</x:v>
      </x:c>
      <x:c r="AN887" s="4">
        <x:f>IF(C887="T0",0,IF(C887="T1",1,IF(C887="T2",2,IF(C887="T3",3,IF(C887="T4",4,IF(C887="Unassigned",98,99))))))</x:f>
        <x:v>2</x:v>
      </x:c>
    </x:row>
    <x:row r="888">
      <x:c r="A888" s="4" t="inlineStr">
        <x:is>
          <x:t xml:space="preserve">proposal.accessory.pocket_sighting_compass</x:t>
        </x:is>
      </x:c>
      <x:c r="B888" s="4" t="inlineStr">
        <x:is>
          <x:t xml:space="preserve">Pocket sighting compass</x:t>
        </x:is>
      </x:c>
      <x:c r="C888" s="4" t="inlineStr">
        <x:is>
          <x:t xml:space="preserve">T2</x:t>
        </x:is>
      </x:c>
      <x:c r="D888" s="4" t="inlineStr">
        <x:is>
          <x:t xml:space="preserve">Tools</x:t>
        </x:is>
      </x:c>
      <x:c r="E888" s="4" t="inlineStr">
        <x:is>
          <x:t xml:space="preserve">Personal utility accessory</x:t>
        </x:is>
      </x:c>
      <x:c r="F888" s="4" t="inlineStr">
        <x:is>
          <x:t xml:space="preserve">New proposal</x:t>
        </x:is>
      </x:c>
      <x:c r="G888" s="4" t="inlineStr">
        <x:is>
          <x:t xml:space="preserve">A small magnetic needle and marked sighting rim proposed for comparing travel bearings where local conditions permit. Intended as a simple navigation aid, not a map reveal or guaranteed route home.</x:t>
        </x:is>
      </x:c>
      <x:c r="H888" s="4" t="inlineStr">
        <x:is>
          <x:t xml:space="preserve">Unassigned; no new slot approved</x:t>
        </x:is>
      </x:c>
      <x:c r="I888" s="4" t="inlineStr">
        <x:is>
          <x:t xml:space="preserve">Booter-carried personal utility gear; mounting, packing, dimensions and mass unresolved.</x:t>
        </x:is>
      </x:c>
      <x:c r="J888" s="4"/>
      <x:c r="K888"/>
      <x:c r="L888" t="inlineStr">
        <x:is>
          <x:t xml:space="preserve">Proposed contemporary craft or specialist trade; availability and construction recipe unresolved.</x:t>
        </x:is>
      </x:c>
      <x:c r="M888" s="4" t="inlineStr">
        <x:is>
          <x:t xml:space="preserve">Candidate compact finished accessory using selected prepared stock. No ingredient quantities, crafting time, yield or executable recipe authored.</x:t>
        </x:is>
      </x:c>
      <x:c r="N888" s="4" t="inlineStr">
        <x:is>
          <x:t xml:space="preserve">Not implemented</x:t>
        </x:is>
      </x:c>
      <x:c r="O888" s="4" t="inlineStr">
        <x:is>
          <x:t xml:space="preserve">Planetary magnetic reference, local interference, calibration and practical availability are unresolved. No stable north direction, reliable storm reading or automatic navigation is assumed.</x:t>
        </x:is>
      </x:c>
      <x:c r="P888" s="4"/>
      <x:c r="Q888" s="4"/>
      <x:c r="R888"/>
      <x:c r="S888"/>
      <x:c r="T888"/>
      <x:c r="U888" t="inlineStr">
        <x:is>
          <x:t xml:space="preserve">Artwork direction: A shallow round metal case with a dry pivoted needle, scratched bearing ring and folding sighting tab. Fit, safe use and manufacturing details remain proposals.</x:t>
        </x:is>
      </x:c>
      <x:c r="V888" s="4" t="inlineStr">
        <x:is>
          <x:t xml:space="preserve">pocket compass; sighting compass; bearing aid</x:t>
        </x:is>
      </x:c>
      <x:c r="W888"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8" s="4" t="inlineStr">
        <x:is>
          <x:t xml:space="preserve">Tool</x:t>
        </x:is>
      </x:c>
      <x:c r="Y888" s="4" t="inlineStr">
        <x:is>
          <x:t xml:space="preserve">Finished item</x:t>
        </x:is>
      </x:c>
      <x:c r="Z888" s="4" t="inlineStr">
        <x:is>
          <x:t xml:space="preserve">Manufactured / unresolved</x:t>
        </x:is>
      </x:c>
      <x:c r="AA888" s="4" t="inlineStr">
        <x:is>
          <x:t xml:space="preserve">Traversal</x:t>
        </x:is>
      </x:c>
      <x:c r="AB888" s="4" t="inlineStr">
        <x:is>
          <x:t xml:space="preserve">Metal</x:t>
        </x:is>
      </x:c>
      <x:c r="AC888" s="4" t="inlineStr">
        <x:is>
          <x:t xml:space="preserve">Assembly</x:t>
        </x:is>
      </x:c>
      <x:c r="AD888" s="4" t="inlineStr">
        <x:is>
          <x:t xml:space="preserve">Proposal</x:t>
        </x:is>
      </x:c>
      <x:c r="AE888" s="4" t="str">
        <x:f>LOWER(A888&amp;"; "&amp;B888&amp;"; "&amp;D888&amp;"; "&amp;E888&amp;"; "&amp;X888&amp;"; "&amp;Y888&amp;"; "&amp;Z888&amp;"; "&amp;AA888&amp;"; "&amp;AB888&amp;"; "&amp;AC888&amp;"; "&amp;AD888&amp;"; "&amp;V888&amp;"; "&amp;C888&amp;"; "&amp;AH888&amp;"; "&amp;AI888)</x:f>
        <x:v>proposal.accessory.pocket_sighting_compass; pocket sighting compass; tools; personal utility accessory; tool; finished item; manufactured / unresolved; traversal; metal; assembly; proposal; pocket compass; sighting compass; bearing aid; t2; t1; finished item</x:v>
      </x:c>
      <x:c r="AF888" s="4" t="inlineStr">
        <x:is>
          <x:t xml:space="preserve">Author-requested simple personal accessory expansion. These compact supporting utilities are grouped in Accessories; item type, tier and gameplay compatibility remain separate classifications.</x:t>
        </x:is>
      </x:c>
      <x:c r="AG888" s="4" t="inlineStr">
        <x:is>
          <x:t xml:space="preserve">Proposed T2 finished accessory using qualified T1 stock. Construction details, usability, scarcity and equipment effects are not established by the planning tier.</x:t>
        </x:is>
      </x:c>
      <x:c r="AH888" s="4" t="inlineStr">
        <x:is>
          <x:t xml:space="preserve">T1</x:t>
        </x:is>
      </x:c>
      <x:c r="AI888" s="4" t="inlineStr">
        <x:is>
          <x:t xml:space="preserve">Finished item</x:t>
        </x:is>
      </x:c>
      <x:c r="AJ888" s="4">
        <x:f>COUNTIFS('Material routes'!$D$6:$D$2205,A888,'Material routes'!$C$6:$C$2205,"Output")</x:f>
        <x:v>0</x:v>
      </x:c>
      <x:c r="AK888" s="4">
        <x:f>SUM(COUNTIFS('Material routes'!$D$6:$D$2205,A888,'Material routes'!$C$6:$C$2205,"Ingredient candidate"),COUNTIFS('Material routes'!$D$6:$D$2205,A888,'Material routes'!$C$6:$C$2205,"Consumed input"),COUNTIFS('Material routes'!$D$6:$D$2205,A888,'Material routes'!$C$6:$C$2205,"Contained input"),COUNTIFS('Material routes'!$D$6:$D$2205,A888,'Material routes'!$C$6:$C$2205,"Transform input"))</x:f>
        <x:v>0</x:v>
      </x:c>
      <x:c r="AL888" s="4">
        <x:f>COUNTIFS('Material routes'!$D$6:$D$2205,A888,'Material routes'!$C$6:$C$2205,"Tool candidate")</x:f>
        <x:v>0</x:v>
      </x:c>
      <x:c r="AM888" s="4" t="str">
        <x:f>IF(AJ888&gt;0,"Route listed; review status/completeness",IF(C888="T0","Raw entry feed; no production route","No production route listed"))</x:f>
        <x:v>No production route listed</x:v>
      </x:c>
      <x:c r="AN888" s="4">
        <x:f>IF(C888="T0",0,IF(C888="T1",1,IF(C888="T2",2,IF(C888="T3",3,IF(C888="T4",4,IF(C888="Unassigned",98,99))))))</x:f>
        <x:v>2</x:v>
      </x:c>
    </x:row>
    <x:row r="889">
      <x:c r="A889" s="4" t="inlineStr">
        <x:is>
          <x:t xml:space="preserve">proposal.accessory.metal_signal_mirror</x:t>
        </x:is>
      </x:c>
      <x:c r="B889" s="4" t="inlineStr">
        <x:is>
          <x:t xml:space="preserve">Polished-metal signal mirror</x:t>
        </x:is>
      </x:c>
      <x:c r="C889" s="4" t="inlineStr">
        <x:is>
          <x:t xml:space="preserve">T2</x:t>
        </x:is>
      </x:c>
      <x:c r="D889" s="4" t="inlineStr">
        <x:is>
          <x:t xml:space="preserve">Salvage</x:t>
        </x:is>
      </x:c>
      <x:c r="E889" s="4" t="inlineStr">
        <x:is>
          <x:t xml:space="preserve">Personal utility accessory</x:t>
        </x:is>
      </x:c>
      <x:c r="F889" s="4" t="inlineStr">
        <x:is>
          <x:t xml:space="preserve">New proposal</x:t>
        </x:is>
      </x:c>
      <x:c r="G889" s="4" t="inlineStr">
        <x:is>
          <x:t xml:space="preserve">A palm-sized polished metal plate proposed for deliberate reflected-light signals across visible canyon gaps. A central sighting opening helps align the intended signal; low twilight light and canyon geometry constrain its usefulness.</x:t>
        </x:is>
      </x:c>
      <x:c r="H889" s="4" t="inlineStr">
        <x:is>
          <x:t xml:space="preserve">Unassigned; no new slot approved</x:t>
        </x:is>
      </x:c>
      <x:c r="I889" s="4" t="inlineStr">
        <x:is>
          <x:t xml:space="preserve">Booter-carried personal utility gear; mounting, packing, dimensions and mass unresolved.</x:t>
        </x:is>
      </x:c>
      <x:c r="J889" s="4"/>
      <x:c r="K889"/>
      <x:c r="L889" t="inlineStr">
        <x:is>
          <x:t xml:space="preserve">Proposed contemporary craft or specialist trade; availability and construction recipe unresolved.</x:t>
        </x:is>
      </x:c>
      <x:c r="M889" s="4" t="inlineStr">
        <x:is>
          <x:t xml:space="preserve">Candidate compact finished accessory using selected prepared stock. No ingredient quantities, crafting time, yield or executable recipe authored.</x:t>
        </x:is>
      </x:c>
      <x:c r="N889" s="4" t="inlineStr">
        <x:is>
          <x:t xml:space="preserve">Not implemented</x:t>
        </x:is>
      </x:c>
      <x:c r="O889" s="4" t="inlineStr">
        <x:is>
          <x:t xml:space="preserve">Requires suitable incident light and line of sight. No self-generated beam, guaranteed range, coded language or ability to summon remote companions is established.</x:t>
        </x:is>
      </x:c>
      <x:c r="P889" s="4"/>
      <x:c r="Q889" s="4"/>
      <x:c r="R889"/>
      <x:c r="S889"/>
      <x:c r="T889"/>
      <x:c r="U889" t="inlineStr">
        <x:is>
          <x:t xml:space="preserve">Artwork direction: A small polished oval metal plate with a central sighting hole, dull reverse and tether eye. Fit, safe use and manufacturing details remain proposals.</x:t>
        </x:is>
      </x:c>
      <x:c r="V889" s="4" t="inlineStr">
        <x:is>
          <x:t xml:space="preserve">signal mirror; canyon light signal; polished signaling plate</x:t>
        </x:is>
      </x:c>
      <x:c r="W889"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9" s="4" t="inlineStr">
        <x:is>
          <x:t xml:space="preserve">Tool</x:t>
        </x:is>
      </x:c>
      <x:c r="Y889" s="4" t="inlineStr">
        <x:is>
          <x:t xml:space="preserve">Finished item</x:t>
        </x:is>
      </x:c>
      <x:c r="Z889" s="4" t="inlineStr">
        <x:is>
          <x:t xml:space="preserve">Manufactured / unresolved</x:t>
        </x:is>
      </x:c>
      <x:c r="AA889" s="4" t="inlineStr">
        <x:is>
          <x:t xml:space="preserve">Public communication</x:t>
        </x:is>
      </x:c>
      <x:c r="AB889" s="4" t="inlineStr">
        <x:is>
          <x:t xml:space="preserve">Metal</x:t>
        </x:is>
      </x:c>
      <x:c r="AC889" s="4" t="inlineStr">
        <x:is>
          <x:t xml:space="preserve">Assembly</x:t>
        </x:is>
      </x:c>
      <x:c r="AD889" s="4" t="inlineStr">
        <x:is>
          <x:t xml:space="preserve">Proposal</x:t>
        </x:is>
      </x:c>
      <x:c r="AE889" s="4" t="str">
        <x:f>LOWER(A889&amp;"; "&amp;B889&amp;"; "&amp;D889&amp;"; "&amp;E889&amp;"; "&amp;X889&amp;"; "&amp;Y889&amp;"; "&amp;Z889&amp;"; "&amp;AA889&amp;"; "&amp;AB889&amp;"; "&amp;AC889&amp;"; "&amp;AD889&amp;"; "&amp;V889&amp;"; "&amp;C889&amp;"; "&amp;AH889&amp;"; "&amp;AI889)</x:f>
        <x:v>proposal.accessory.metal_signal_mirror; polished-metal signal mirror; salvage; personal utility accessory; tool; finished item; manufactured / unresolved; public communication; metal; assembly; proposal; signal mirror; canyon light signal; polished signaling plate; t2; t1; finished item</x:v>
      </x:c>
      <x:c r="AF889" s="4" t="inlineStr">
        <x:is>
          <x:t xml:space="preserve">Author-requested simple personal accessory expansion. These compact supporting utilities are grouped in Accessories; item type, tier and gameplay compatibility remain separate classifications.</x:t>
        </x:is>
      </x:c>
      <x:c r="AG889" s="4" t="inlineStr">
        <x:is>
          <x:t xml:space="preserve">Proposed T2 finished accessory using qualified T1 stock. Construction details, usability, scarcity and equipment effects are not established by the planning tier.</x:t>
        </x:is>
      </x:c>
      <x:c r="AH889" s="4" t="inlineStr">
        <x:is>
          <x:t xml:space="preserve">T1</x:t>
        </x:is>
      </x:c>
      <x:c r="AI889" s="4" t="inlineStr">
        <x:is>
          <x:t xml:space="preserve">Finished item</x:t>
        </x:is>
      </x:c>
      <x:c r="AJ889" s="4">
        <x:f>COUNTIFS('Material routes'!$D$6:$D$2205,A889,'Material routes'!$C$6:$C$2205,"Output")</x:f>
        <x:v>0</x:v>
      </x:c>
      <x:c r="AK889" s="4">
        <x:f>SUM(COUNTIFS('Material routes'!$D$6:$D$2205,A889,'Material routes'!$C$6:$C$2205,"Ingredient candidate"),COUNTIFS('Material routes'!$D$6:$D$2205,A889,'Material routes'!$C$6:$C$2205,"Consumed input"),COUNTIFS('Material routes'!$D$6:$D$2205,A889,'Material routes'!$C$6:$C$2205,"Contained input"),COUNTIFS('Material routes'!$D$6:$D$2205,A889,'Material routes'!$C$6:$C$2205,"Transform input"))</x:f>
        <x:v>0</x:v>
      </x:c>
      <x:c r="AL889" s="4">
        <x:f>COUNTIFS('Material routes'!$D$6:$D$2205,A889,'Material routes'!$C$6:$C$2205,"Tool candidate")</x:f>
        <x:v>0</x:v>
      </x:c>
      <x:c r="AM889" s="4" t="str">
        <x:f>IF(AJ889&gt;0,"Route listed; review status/completeness",IF(C889="T0","Raw entry feed; no production route","No production route listed"))</x:f>
        <x:v>No production route listed</x:v>
      </x:c>
      <x:c r="AN889" s="4">
        <x:f>IF(C889="T0",0,IF(C889="T1",1,IF(C889="T2",2,IF(C889="T3",3,IF(C889="T4",4,IF(C889="Unassigned",98,99))))))</x:f>
        <x:v>2</x:v>
      </x:c>
    </x:row>
    <x:row r="890">
      <x:c r="A890" s="4" t="inlineStr">
        <x:is>
          <x:t xml:space="preserve">proposal.accessory.mechanical_travel_counter</x:t>
        </x:is>
      </x:c>
      <x:c r="B890" s="4" t="inlineStr">
        <x:is>
          <x:t xml:space="preserve">Mechanical travel counter</x:t>
        </x:is>
      </x:c>
      <x:c r="C890" s="4" t="inlineStr">
        <x:is>
          <x:t xml:space="preserve">T2</x:t>
        </x:is>
      </x:c>
      <x:c r="D890" s="4" t="inlineStr">
        <x:is>
          <x:t xml:space="preserve">Salvage</x:t>
        </x:is>
      </x:c>
      <x:c r="E890" s="4" t="inlineStr">
        <x:is>
          <x:t xml:space="preserve">Personal utility accessory</x:t>
        </x:is>
      </x:c>
      <x:c r="F890" s="4" t="inlineStr">
        <x:is>
          <x:t xml:space="preserve">New proposal</x:t>
        </x:is>
      </x:c>
      <x:c r="G890" s="4" t="inlineStr">
        <x:is>
          <x:t xml:space="preserve">A pocket thumb-operated counting wheel for manually recording chosen travel intervals, turns or supply checks. It retains a simple count without requiring paper, power or automatic tracking.</x:t>
        </x:is>
      </x:c>
      <x:c r="H890" s="4" t="inlineStr">
        <x:is>
          <x:t xml:space="preserve">Unassigned; no new slot approved</x:t>
        </x:is>
      </x:c>
      <x:c r="I890" s="4" t="inlineStr">
        <x:is>
          <x:t xml:space="preserve">Booter-carried personal utility gear; mounting, packing, dimensions and mass unresolved.</x:t>
        </x:is>
      </x:c>
      <x:c r="J890" s="4"/>
      <x:c r="K890"/>
      <x:c r="L890" t="inlineStr">
        <x:is>
          <x:t xml:space="preserve">Proposed contemporary craft or specialist trade; availability and construction recipe unresolved.</x:t>
        </x:is>
      </x:c>
      <x:c r="M890" s="4" t="inlineStr">
        <x:is>
          <x:t xml:space="preserve">Candidate compact finished accessory using selected prepared stock. No ingredient quantities, crafting time, yield or executable recipe authored.</x:t>
        </x:is>
      </x:c>
      <x:c r="N890" s="4" t="inlineStr">
        <x:is>
          <x:t xml:space="preserve">Not implemented</x:t>
        </x:is>
      </x:c>
      <x:c r="O890" s="4" t="inlineStr">
        <x:is>
          <x:t xml:space="preserve">The player must choose what each increment means. It does not measure distance, track position, count steps automatically or replace the existing reusable writing tablet.</x:t>
        </x:is>
      </x:c>
      <x:c r="P890" s="4"/>
      <x:c r="Q890" s="4"/>
      <x:c r="R890"/>
      <x:c r="S890"/>
      <x:c r="T890"/>
      <x:c r="U890" t="inlineStr">
        <x:is>
          <x:t xml:space="preserve">Artwork direction: A flat metal capsule with an exposed knurled counting wheel, number window and recessed reset catch. Fit, safe use and manufacturing details remain proposals.</x:t>
        </x:is>
      </x:c>
      <x:c r="V890" s="4" t="inlineStr">
        <x:is>
          <x:t xml:space="preserve">manual travel tally; thumb counter; expedition interval counter</x:t>
        </x:is>
      </x:c>
      <x:c r="W890"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0" s="4" t="inlineStr">
        <x:is>
          <x:t xml:space="preserve">Tool</x:t>
        </x:is>
      </x:c>
      <x:c r="Y890" s="4" t="inlineStr">
        <x:is>
          <x:t xml:space="preserve">Finished item</x:t>
        </x:is>
      </x:c>
      <x:c r="Z890" s="4" t="inlineStr">
        <x:is>
          <x:t xml:space="preserve">Manufactured / unresolved</x:t>
        </x:is>
      </x:c>
      <x:c r="AA890" s="4" t="inlineStr">
        <x:is>
          <x:t xml:space="preserve">Writing and records</x:t>
        </x:is>
      </x:c>
      <x:c r="AB890" s="4" t="inlineStr">
        <x:is>
          <x:t xml:space="preserve">Metal</x:t>
        </x:is>
      </x:c>
      <x:c r="AC890" s="4" t="inlineStr">
        <x:is>
          <x:t xml:space="preserve">Assembly</x:t>
        </x:is>
      </x:c>
      <x:c r="AD890" s="4" t="inlineStr">
        <x:is>
          <x:t xml:space="preserve">Proposal</x:t>
        </x:is>
      </x:c>
      <x:c r="AE890" s="4" t="str">
        <x:f>LOWER(A890&amp;"; "&amp;B890&amp;"; "&amp;D890&amp;"; "&amp;E890&amp;"; "&amp;X890&amp;"; "&amp;Y890&amp;"; "&amp;Z890&amp;"; "&amp;AA890&amp;"; "&amp;AB890&amp;"; "&amp;AC890&amp;"; "&amp;AD890&amp;"; "&amp;V890&amp;"; "&amp;C890&amp;"; "&amp;AH890&amp;"; "&amp;AI890)</x:f>
        <x:v>proposal.accessory.mechanical_travel_counter; mechanical travel counter; salvage; personal utility accessory; tool; finished item; manufactured / unresolved; writing and records; metal; assembly; proposal; manual travel tally; thumb counter; expedition interval counter; t2; t1; finished item</x:v>
      </x:c>
      <x:c r="AF890" s="4" t="inlineStr">
        <x:is>
          <x:t xml:space="preserve">Author-requested simple personal accessory expansion. These compact supporting utilities are grouped in Accessories; item type, tier and gameplay compatibility remain separate classifications.</x:t>
        </x:is>
      </x:c>
      <x:c r="AG890" s="4" t="inlineStr">
        <x:is>
          <x:t xml:space="preserve">Proposed T2 finished accessory using qualified T1 stock. Construction details, usability, scarcity and equipment effects are not established by the planning tier.</x:t>
        </x:is>
      </x:c>
      <x:c r="AH890" s="4" t="inlineStr">
        <x:is>
          <x:t xml:space="preserve">T1</x:t>
        </x:is>
      </x:c>
      <x:c r="AI890" s="4" t="inlineStr">
        <x:is>
          <x:t xml:space="preserve">Finished item</x:t>
        </x:is>
      </x:c>
      <x:c r="AJ890" s="4">
        <x:f>COUNTIFS('Material routes'!$D$6:$D$2205,A890,'Material routes'!$C$6:$C$2205,"Output")</x:f>
        <x:v>0</x:v>
      </x:c>
      <x:c r="AK890" s="4">
        <x:f>SUM(COUNTIFS('Material routes'!$D$6:$D$2205,A890,'Material routes'!$C$6:$C$2205,"Ingredient candidate"),COUNTIFS('Material routes'!$D$6:$D$2205,A890,'Material routes'!$C$6:$C$2205,"Consumed input"),COUNTIFS('Material routes'!$D$6:$D$2205,A890,'Material routes'!$C$6:$C$2205,"Contained input"),COUNTIFS('Material routes'!$D$6:$D$2205,A890,'Material routes'!$C$6:$C$2205,"Transform input"))</x:f>
        <x:v>0</x:v>
      </x:c>
      <x:c r="AL890" s="4">
        <x:f>COUNTIFS('Material routes'!$D$6:$D$2205,A890,'Material routes'!$C$6:$C$2205,"Tool candidate")</x:f>
        <x:v>0</x:v>
      </x:c>
      <x:c r="AM890" s="4" t="str">
        <x:f>IF(AJ890&gt;0,"Route listed; review status/completeness",IF(C890="T0","Raw entry feed; no production route","No production route listed"))</x:f>
        <x:v>No production route listed</x:v>
      </x:c>
      <x:c r="AN890" s="4">
        <x:f>IF(C890="T0",0,IF(C890="T1",1,IF(C890="T2",2,IF(C890="T3",3,IF(C890="T4",4,IF(C890="Unassigned",98,99))))))</x:f>
        <x:v>2</x:v>
      </x:c>
    </x:row>
    <x:row r="891">
      <x:c r="A891" s="4"/>
      <x:c r="B891" s="4"/>
      <x:c r="C891" s="4"/>
      <x:c r="D891" s="4"/>
      <x:c r="E891" s="4"/>
      <x:c r="F891" s="4"/>
      <x:c r="G891" s="4"/>
      <x:c r="H891" s="4"/>
      <x:c r="I891" s="4"/>
      <x:c r="J891" s="4"/>
      <x:c r="K891"/>
      <x:c r="L891"/>
      <x:c r="M891" s="4"/>
      <x:c r="N891" s="4"/>
      <x:c r="O891" s="4"/>
      <x:c r="P891" s="4"/>
      <x:c r="Q891" s="4"/>
      <x:c r="R891"/>
      <x:c r="S891"/>
      <x:c r="T891"/>
      <x:c r="U891"/>
      <x:c r="V891" s="4"/>
      <x:c r="W891" s="4"/>
      <x:c r="X891" s="4"/>
      <x:c r="Y891" s="4"/>
      <x:c r="Z891" s="4"/>
      <x:c r="AA891" s="4"/>
      <x:c r="AB891" s="4"/>
      <x:c r="AC891" s="4"/>
      <x:c r="AD891" s="4"/>
      <x:c r="AE891" s="4"/>
      <x:c r="AF891" s="4"/>
      <x:c r="AG891" s="4"/>
      <x:c r="AH891" s="4"/>
      <x:c r="AI891" s="4"/>
      <x:c r="AJ891" s="4"/>
      <x:c r="AK891" s="4"/>
      <x:c r="AL891" s="4"/>
      <x:c r="AM891" s="4"/>
      <x:c r="AN891" s="4"/>
    </x:row>
    <x:row r="892">
      <x:c r="A892" s="4" t="inlineStr">
        <x:is>
          <x:t xml:space="preserve">proposal.accessory.personal_cord_reel</x:t>
        </x:is>
      </x:c>
      <x:c r="B892" s="4" t="inlineStr">
        <x:is>
          <x:t xml:space="preserve">Personal cord reel</x:t>
        </x:is>
      </x:c>
      <x:c r="C892" s="4" t="inlineStr">
        <x:is>
          <x:t xml:space="preserve">T2</x:t>
        </x:is>
      </x:c>
      <x:c r="D892" s="4" t="inlineStr">
        <x:is>
          <x:t xml:space="preserve">Salvage</x:t>
        </x:is>
      </x:c>
      <x:c r="E892" s="4" t="inlineStr">
        <x:is>
          <x:t xml:space="preserve">Personal utility accessory</x:t>
        </x:is>
      </x:c>
      <x:c r="F892" s="4" t="inlineStr">
        <x:is>
          <x:t xml:space="preserve">New proposal</x:t>
        </x:is>
      </x:c>
      <x:c r="G892" s="4" t="inlineStr">
        <x:is>
          <x:t xml:space="preserve">A simple open spool carried to keep an existing length of prepared tendon cord or metal line organized and accessible. Unlike the retracting tool tether, it has no spring mechanism and serves general line storage and controlled payout.</x:t>
        </x:is>
      </x:c>
      <x:c r="H892" s="4" t="inlineStr">
        <x:is>
          <x:t xml:space="preserve">Unassigned; no new slot approved</x:t>
        </x:is>
      </x:c>
      <x:c r="I892" s="4" t="inlineStr">
        <x:is>
          <x:t xml:space="preserve">Booter-carried personal utility gear; mounting, packing, dimensions and mass unresolved.</x:t>
        </x:is>
      </x:c>
      <x:c r="J892" s="4"/>
      <x:c r="K892"/>
      <x:c r="L892" t="inlineStr">
        <x:is>
          <x:t xml:space="preserve">Proposed contemporary craft or specialist trade; availability and construction recipe unresolved.</x:t>
        </x:is>
      </x:c>
      <x:c r="M892" s="4" t="inlineStr">
        <x:is>
          <x:t xml:space="preserve">Candidate compact finished accessory using selected prepared stock. No ingredient quantities, crafting time, yield or executable recipe authored.</x:t>
        </x:is>
      </x:c>
      <x:c r="N892" s="4" t="inlineStr">
        <x:is>
          <x:t xml:space="preserve">Not implemented</x:t>
        </x:is>
      </x:c>
      <x:c r="O892" s="4" t="inlineStr">
        <x:is>
          <x:t xml:space="preserve">Cord is a separate item and is not created with the reel. Capacity, mounting and compatibility remain unresolved. It is not a winch, brake, rated climbing device or extra inventory space.</x:t>
        </x:is>
      </x:c>
      <x:c r="P892" s="4"/>
      <x:c r="Q892" s="4"/>
      <x:c r="R892"/>
      <x:c r="S892"/>
      <x:c r="T892"/>
      <x:c r="U892" t="inlineStr">
        <x:is>
          <x:t xml:space="preserve">Artwork direction: A flat open metal spool with rounded flanges, a turning finger hole and a narrow line-retaining notch. Fit, safe use and manufacturing details remain proposals.</x:t>
        </x:is>
      </x:c>
      <x:c r="V892" s="4" t="inlineStr">
        <x:is>
          <x:t xml:space="preserve">pocket line spool; cord keeper reel</x:t>
        </x:is>
      </x:c>
      <x:c r="W892"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2" s="4" t="inlineStr">
        <x:is>
          <x:t xml:space="preserve">Tool</x:t>
        </x:is>
      </x:c>
      <x:c r="Y892" s="4" t="inlineStr">
        <x:is>
          <x:t xml:space="preserve">Finished item</x:t>
        </x:is>
      </x:c>
      <x:c r="Z892" s="4" t="inlineStr">
        <x:is>
          <x:t xml:space="preserve">Manufactured / unresolved</x:t>
        </x:is>
      </x:c>
      <x:c r="AA892" s="4" t="inlineStr">
        <x:is>
          <x:t xml:space="preserve">Cargo organization</x:t>
        </x:is>
      </x:c>
      <x:c r="AB892" s="4" t="inlineStr">
        <x:is>
          <x:t xml:space="preserve">Metal</x:t>
        </x:is>
      </x:c>
      <x:c r="AC892" s="4" t="inlineStr">
        <x:is>
          <x:t xml:space="preserve">Assembly</x:t>
        </x:is>
      </x:c>
      <x:c r="AD892" s="4" t="inlineStr">
        <x:is>
          <x:t xml:space="preserve">Proposal</x:t>
        </x:is>
      </x:c>
      <x:c r="AE892" s="4" t="str">
        <x:f>LOWER(A892&amp;"; "&amp;B892&amp;"; "&amp;D892&amp;"; "&amp;E892&amp;"; "&amp;X892&amp;"; "&amp;Y892&amp;"; "&amp;Z892&amp;"; "&amp;AA892&amp;"; "&amp;AB892&amp;"; "&amp;AC892&amp;"; "&amp;AD892&amp;"; "&amp;V892&amp;"; "&amp;C892&amp;"; "&amp;AH892&amp;"; "&amp;AI892)</x:f>
        <x:v>proposal.accessory.personal_cord_reel; personal cord reel; salvage; personal utility accessory; tool; finished item; manufactured / unresolved; cargo organization; metal; assembly; proposal; pocket line spool; cord keeper reel; t2; t1; finished item</x:v>
      </x:c>
      <x:c r="AF892" s="4" t="inlineStr">
        <x:is>
          <x:t xml:space="preserve">Author-requested simple personal accessory expansion. These compact supporting utilities are grouped in Accessories; item type, tier and gameplay compatibility remain separate classifications.</x:t>
        </x:is>
      </x:c>
      <x:c r="AG892" s="4" t="inlineStr">
        <x:is>
          <x:t xml:space="preserve">Proposed T2 finished accessory using qualified T1 stock. Construction details, usability, scarcity and equipment effects are not established by the planning tier.</x:t>
        </x:is>
      </x:c>
      <x:c r="AH892" s="4" t="inlineStr">
        <x:is>
          <x:t xml:space="preserve">T1</x:t>
        </x:is>
      </x:c>
      <x:c r="AI892" s="4" t="inlineStr">
        <x:is>
          <x:t xml:space="preserve">Finished item</x:t>
        </x:is>
      </x:c>
      <x:c r="AJ892" s="4">
        <x:f>COUNTIFS('Material routes'!$D$6:$D$2205,A892,'Material routes'!$C$6:$C$2205,"Output")</x:f>
        <x:v>0</x:v>
      </x:c>
      <x:c r="AK892" s="4">
        <x:f>SUM(COUNTIFS('Material routes'!$D$6:$D$2205,A892,'Material routes'!$C$6:$C$2205,"Ingredient candidate"),COUNTIFS('Material routes'!$D$6:$D$2205,A892,'Material routes'!$C$6:$C$2205,"Consumed input"),COUNTIFS('Material routes'!$D$6:$D$2205,A892,'Material routes'!$C$6:$C$2205,"Contained input"),COUNTIFS('Material routes'!$D$6:$D$2205,A892,'Material routes'!$C$6:$C$2205,"Transform input"))</x:f>
        <x:v>0</x:v>
      </x:c>
      <x:c r="AL892" s="4">
        <x:f>COUNTIFS('Material routes'!$D$6:$D$2205,A892,'Material routes'!$C$6:$C$2205,"Tool candidate")</x:f>
        <x:v>0</x:v>
      </x:c>
      <x:c r="AM892" s="4" t="str">
        <x:f>IF(AJ892&gt;0,"Route listed; review status/completeness",IF(C892="T0","Raw entry feed; no production route","No production route listed"))</x:f>
        <x:v>No production route listed</x:v>
      </x:c>
      <x:c r="AN892" s="4">
        <x:f>IF(C892="T0",0,IF(C892="T1",1,IF(C892="T2",2,IF(C892="T3",3,IF(C892="T4",4,IF(C892="Unassigned",98,99))))))</x:f>
        <x:v>2</x:v>
      </x:c>
    </x:row>
    <x:row r="893">
      <x:c r="A893" s="4" t="inlineStr">
        <x:is>
          <x:t xml:space="preserve">proposal.accessory.folding_wing_hand_fan</x:t>
        </x:is>
      </x:c>
      <x:c r="B893" s="4" t="inlineStr">
        <x:is>
          <x:t xml:space="preserve">Folding wing-membrane hand fan</x:t>
        </x:is>
      </x:c>
      <x:c r="C893" s="4" t="inlineStr">
        <x:is>
          <x:t xml:space="preserve">T2</x:t>
        </x:is>
      </x:c>
      <x:c r="D893" s="4" t="inlineStr">
        <x:is>
          <x:t xml:space="preserve">Salvage</x:t>
        </x:is>
      </x:c>
      <x:c r="E893" s="4" t="inlineStr">
        <x:is>
          <x:t xml:space="preserve">Personal utility accessory</x:t>
        </x:is>
      </x:c>
      <x:c r="F893" s="4" t="inlineStr">
        <x:is>
          <x:t xml:space="preserve">New proposal</x:t>
        </x:is>
      </x:c>
      <x:c r="G893" s="4" t="inlineStr">
        <x:is>
          <x:t xml:space="preserve">A small folding frame carrying a prepared wing-membrane panel, proposed for directing a little local airflow during rest or close work. Uses the existing wing material family without introducing paper cloth, wood or plant reeds.</x:t>
        </x:is>
      </x:c>
      <x:c r="H893" s="4" t="inlineStr">
        <x:is>
          <x:t xml:space="preserve">Unassigned; no new slot approved</x:t>
        </x:is>
      </x:c>
      <x:c r="I893" s="4" t="inlineStr">
        <x:is>
          <x:t xml:space="preserve">Booter-carried personal utility gear; mounting, packing, dimensions and mass unresolved.</x:t>
        </x:is>
      </x:c>
      <x:c r="J893" s="4"/>
      <x:c r="K893"/>
      <x:c r="L893" t="inlineStr">
        <x:is>
          <x:t xml:space="preserve">Proposed contemporary craft or specialist trade; availability and construction recipe unresolved.</x:t>
        </x:is>
      </x:c>
      <x:c r="M893" s="4" t="inlineStr">
        <x:is>
          <x:t xml:space="preserve">Candidate compact finished accessory using selected prepared stock. No ingredient quantities, crafting time, yield or executable recipe authored.</x:t>
        </x:is>
      </x:c>
      <x:c r="N893" s="4" t="inlineStr">
        <x:is>
          <x:t xml:space="preserve">Not implemented</x:t>
        </x:is>
      </x:c>
      <x:c r="O893" s="4" t="inlineStr">
        <x:is>
          <x:t xml:space="preserve">Membrane preparation, frame durability and useful airflow are proposals. No oxygen supply, dust filtration, guaranteed cooling, hydration benefit or substitute for shelter.</x:t>
        </x:is>
      </x:c>
      <x:c r="P893" s="4"/>
      <x:c r="Q893" s="4"/>
      <x:c r="R893"/>
      <x:c r="S893"/>
      <x:c r="T893"/>
      <x:c r="U893" t="inlineStr">
        <x:is>
          <x:t xml:space="preserve">Artwork direction: A small fan of thin metal ribs supporting amber wing membrane, partly folded around a plain metal pivot. Fit, safe use and manufacturing details remain proposals.</x:t>
        </x:is>
      </x:c>
      <x:c r="V893" s="4" t="inlineStr">
        <x:is>
          <x:t xml:space="preserve">wing hand fan; folding personal fan</x:t>
        </x:is>
      </x:c>
      <x:c r="W893"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3" s="4" t="inlineStr">
        <x:is>
          <x:t xml:space="preserve">Tool</x:t>
        </x:is>
      </x:c>
      <x:c r="Y893" s="4" t="inlineStr">
        <x:is>
          <x:t xml:space="preserve">Finished item</x:t>
        </x:is>
      </x:c>
      <x:c r="Z893" s="4" t="inlineStr">
        <x:is>
          <x:t xml:space="preserve">Manufactured / unresolved</x:t>
        </x:is>
      </x:c>
      <x:c r="AA893" s="4" t="inlineStr">
        <x:is>
          <x:t xml:space="preserve">Survival provision</x:t>
        </x:is>
      </x:c>
      <x:c r="AB893" s="4" t="inlineStr">
        <x:is>
          <x:t xml:space="preserve">Wing membrane and frame</x:t>
        </x:is>
      </x:c>
      <x:c r="AC893" s="4" t="inlineStr">
        <x:is>
          <x:t xml:space="preserve">Assembly</x:t>
        </x:is>
      </x:c>
      <x:c r="AD893" s="4" t="inlineStr">
        <x:is>
          <x:t xml:space="preserve">Proposal</x:t>
        </x:is>
      </x:c>
      <x:c r="AE893" s="4" t="str">
        <x:f>LOWER(A893&amp;"; "&amp;B893&amp;"; "&amp;D893&amp;"; "&amp;E893&amp;"; "&amp;X893&amp;"; "&amp;Y893&amp;"; "&amp;Z893&amp;"; "&amp;AA893&amp;"; "&amp;AB893&amp;"; "&amp;AC893&amp;"; "&amp;AD893&amp;"; "&amp;V893&amp;"; "&amp;C893&amp;"; "&amp;AH893&amp;"; "&amp;AI893)</x:f>
        <x:v>proposal.accessory.folding_wing_hand_fan; folding wing-membrane hand fan; salvage; personal utility accessory; tool; finished item; manufactured / unresolved; survival provision; wing membrane and frame; assembly; proposal; wing hand fan; folding personal fan; t2; t1; finished item</x:v>
      </x:c>
      <x:c r="AF893" s="4" t="inlineStr">
        <x:is>
          <x:t xml:space="preserve">Author-requested simple personal accessory expansion. These compact supporting utilities are grouped in Accessories; item type, tier and gameplay compatibility remain separate classifications.</x:t>
        </x:is>
      </x:c>
      <x:c r="AG893" s="4" t="inlineStr">
        <x:is>
          <x:t xml:space="preserve">Proposed T2 finished accessory using qualified T1 stock. Construction details, usability, scarcity and equipment effects are not established by the planning tier.</x:t>
        </x:is>
      </x:c>
      <x:c r="AH893" s="4" t="inlineStr">
        <x:is>
          <x:t xml:space="preserve">T1</x:t>
        </x:is>
      </x:c>
      <x:c r="AI893" s="4" t="inlineStr">
        <x:is>
          <x:t xml:space="preserve">Finished item</x:t>
        </x:is>
      </x:c>
      <x:c r="AJ893" s="4">
        <x:f>COUNTIFS('Material routes'!$D$6:$D$2205,A893,'Material routes'!$C$6:$C$2205,"Output")</x:f>
        <x:v>0</x:v>
      </x:c>
      <x:c r="AK893" s="4">
        <x:f>SUM(COUNTIFS('Material routes'!$D$6:$D$2205,A893,'Material routes'!$C$6:$C$2205,"Ingredient candidate"),COUNTIFS('Material routes'!$D$6:$D$2205,A893,'Material routes'!$C$6:$C$2205,"Consumed input"),COUNTIFS('Material routes'!$D$6:$D$2205,A893,'Material routes'!$C$6:$C$2205,"Contained input"),COUNTIFS('Material routes'!$D$6:$D$2205,A893,'Material routes'!$C$6:$C$2205,"Transform input"))</x:f>
        <x:v>0</x:v>
      </x:c>
      <x:c r="AL893" s="4">
        <x:f>COUNTIFS('Material routes'!$D$6:$D$2205,A893,'Material routes'!$C$6:$C$2205,"Tool candidate")</x:f>
        <x:v>0</x:v>
      </x:c>
      <x:c r="AM893" s="4" t="str">
        <x:f>IF(AJ893&gt;0,"Route listed; review status/completeness",IF(C893="T0","Raw entry feed; no production route","No production route listed"))</x:f>
        <x:v>No production route listed</x:v>
      </x:c>
      <x:c r="AN893" s="4">
        <x:f>IF(C893="T0",0,IF(C893="T1",1,IF(C893="T2",2,IF(C893="T3",3,IF(C893="T4",4,IF(C893="Unassigned",98,99))))))</x:f>
        <x:v>2</x:v>
      </x:c>
    </x:row>
    <x:row r="894">
      <x:c r="A894" s="4"/>
      <x:c r="B894" s="4"/>
      <x:c r="C894" s="4"/>
      <x:c r="D894" s="4"/>
      <x:c r="E894" s="4"/>
      <x:c r="F894" s="4"/>
      <x:c r="G894" s="4"/>
      <x:c r="H894" s="4"/>
      <x:c r="I894" s="4"/>
      <x:c r="J894" s="4"/>
      <x:c r="K894"/>
      <x:c r="L894"/>
      <x:c r="M894" s="4"/>
      <x:c r="N894" s="4"/>
      <x:c r="O894" s="4"/>
      <x:c r="P894" s="4"/>
      <x:c r="Q894" s="4"/>
      <x:c r="R894"/>
      <x:c r="S894"/>
      <x:c r="T894"/>
      <x:c r="U894"/>
      <x:c r="V894" s="4"/>
      <x:c r="W894" s="4"/>
      <x:c r="X894" s="4"/>
      <x:c r="Y894" s="4"/>
      <x:c r="Z894" s="4"/>
      <x:c r="AA894" s="4"/>
      <x:c r="AB894" s="4"/>
      <x:c r="AC894" s="4"/>
      <x:c r="AD894" s="4"/>
      <x:c r="AE894" s="4"/>
      <x:c r="AF894" s="4"/>
      <x:c r="AG894" s="4"/>
      <x:c r="AH894" s="4"/>
      <x:c r="AI894" s="4"/>
      <x:c r="AJ894" s="4"/>
      <x:c r="AK894" s="4"/>
      <x:c r="AL894" s="4"/>
      <x:c r="AM894" s="4"/>
      <x:c r="AN894" s="4"/>
    </x:row>
    <x:row r="895">
      <x:c r="A895" s="4" t="inlineStr">
        <x:is>
          <x:t xml:space="preserve">proposal.accessory.pocket_grit_bellows</x:t>
        </x:is>
      </x:c>
      <x:c r="B895" s="4" t="inlineStr">
        <x:is>
          <x:t xml:space="preserve">Pocket grit bellows</x:t>
        </x:is>
      </x:c>
      <x:c r="C895" s="4" t="inlineStr">
        <x:is>
          <x:t xml:space="preserve">T2</x:t>
        </x:is>
      </x:c>
      <x:c r="D895" s="4" t="inlineStr">
        <x:is>
          <x:t xml:space="preserve">Salvage</x:t>
        </x:is>
      </x:c>
      <x:c r="E895" s="4" t="inlineStr">
        <x:is>
          <x:t xml:space="preserve">Personal utility accessory</x:t>
        </x:is>
      </x:c>
      <x:c r="F895" s="4" t="inlineStr">
        <x:is>
          <x:t xml:space="preserve">New proposal</x:t>
        </x:is>
      </x:c>
      <x:c r="G895" s="4" t="inlineStr">
        <x:is>
          <x:t xml:space="preserve">A palm-sized hand-compressed bellows proposed to dislodge loose dry grit from accessible gear seams before inspection. A small prepared faunal membrane chamber sits between shell cheeks with a short fitted nozzle; no rubber bulb or powered air supply is assumed.</x:t>
        </x:is>
      </x:c>
      <x:c r="H895" s="4" t="inlineStr">
        <x:is>
          <x:t xml:space="preserve">Unassigned; no new slot approved</x:t>
        </x:is>
      </x:c>
      <x:c r="I895" s="4" t="inlineStr">
        <x:is>
          <x:t xml:space="preserve">Booter-carried personal utility gear; mounting, packing, dimensions and mass unresolved.</x:t>
        </x:is>
      </x:c>
      <x:c r="J895" s="4"/>
      <x:c r="K895"/>
      <x:c r="L895" t="inlineStr">
        <x:is>
          <x:t xml:space="preserve">Proposed contemporary craft or specialist trade; availability and construction recipe unresolved.</x:t>
        </x:is>
      </x:c>
      <x:c r="M895" s="4" t="inlineStr">
        <x:is>
          <x:t xml:space="preserve">Candidate compact finished accessory using selected prepared stock. No ingredient quantities, crafting time, yield or executable recipe authored.</x:t>
        </x:is>
      </x:c>
      <x:c r="N895" s="4" t="inlineStr">
        <x:is>
          <x:t xml:space="preserve">Not implemented</x:t>
        </x:is>
      </x:c>
      <x:c r="O895" s="4" t="inlineStr">
        <x:is>
          <x:t xml:space="preserve">Membrane sealing, airflow, nozzle suitability and dust handling need qualification. No breathing air, certified filtration, decontamination or safe cleaning of delicate lenses or live electrical parts is established.</x:t>
        </x:is>
      </x:c>
      <x:c r="P895" s="4"/>
      <x:c r="Q895" s="4"/>
      <x:c r="R895"/>
      <x:c r="S895"/>
      <x:c r="T895"/>
      <x:c r="U895" t="inlineStr">
        <x:is>
          <x:t xml:space="preserve">Artwork direction: Two shallow shell cheek plates enclosing a folded dark membrane chamber and a short ceramic nozzle. Fit, safe use and manufacturing details remain proposals.</x:t>
        </x:is>
      </x:c>
      <x:c r="V895" s="4" t="inlineStr">
        <x:is>
          <x:t xml:space="preserve">personal grit puffer; small hand bellows; dry dust blower</x:t>
        </x:is>
      </x:c>
      <x:c r="W895"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5" s="4" t="inlineStr">
        <x:is>
          <x:t xml:space="preserve">Tool</x:t>
        </x:is>
      </x:c>
      <x:c r="Y895" s="4" t="inlineStr">
        <x:is>
          <x:t xml:space="preserve">Finished item</x:t>
        </x:is>
      </x:c>
      <x:c r="Z895" s="4" t="inlineStr">
        <x:is>
          <x:t xml:space="preserve">Manufactured / unresolved</x:t>
        </x:is>
      </x:c>
      <x:c r="AA895" s="4" t="inlineStr">
        <x:is>
          <x:t xml:space="preserve">Cleaning</x:t>
        </x:is>
      </x:c>
      <x:c r="AB895" s="4" t="inlineStr">
        <x:is>
          <x:t xml:space="preserve">Mixed / unresolved</x:t>
        </x:is>
      </x:c>
      <x:c r="AC895" s="4" t="inlineStr">
        <x:is>
          <x:t xml:space="preserve">Assembly</x:t>
        </x:is>
      </x:c>
      <x:c r="AD895" s="4" t="inlineStr">
        <x:is>
          <x:t xml:space="preserve">Proposal</x:t>
        </x:is>
      </x:c>
      <x:c r="AE895" s="4" t="str">
        <x:f>LOWER(A895&amp;"; "&amp;B895&amp;"; "&amp;D895&amp;"; "&amp;E895&amp;"; "&amp;X895&amp;"; "&amp;Y895&amp;"; "&amp;Z895&amp;"; "&amp;AA895&amp;"; "&amp;AB895&amp;"; "&amp;AC895&amp;"; "&amp;AD895&amp;"; "&amp;V895&amp;"; "&amp;C895&amp;"; "&amp;AH895&amp;"; "&amp;AI895)</x:f>
        <x:v>proposal.accessory.pocket_grit_bellows; pocket grit bellows; salvage; personal utility accessory; tool; finished item; manufactured / unresolved; cleaning; mixed / unresolved; assembly; proposal; personal grit puffer; small hand bellows; dry dust blower; t2; t1; finished item</x:v>
      </x:c>
      <x:c r="AF895" s="4" t="inlineStr">
        <x:is>
          <x:t xml:space="preserve">Author-requested simple personal accessory expansion. These compact supporting utilities are grouped in Accessories; item type, tier and gameplay compatibility remain separate classifications.</x:t>
        </x:is>
      </x:c>
      <x:c r="AG895" s="4" t="inlineStr">
        <x:is>
          <x:t xml:space="preserve">Proposed T2 finished accessory using qualified T1 stock. Construction details, usability, scarcity and equipment effects are not established by the planning tier.</x:t>
        </x:is>
      </x:c>
      <x:c r="AH895" s="4" t="inlineStr">
        <x:is>
          <x:t xml:space="preserve">T1</x:t>
        </x:is>
      </x:c>
      <x:c r="AI895" s="4" t="inlineStr">
        <x:is>
          <x:t xml:space="preserve">Finished item</x:t>
        </x:is>
      </x:c>
      <x:c r="AJ895" s="4">
        <x:f>COUNTIFS('Material routes'!$D$6:$D$2205,A895,'Material routes'!$C$6:$C$2205,"Output")</x:f>
        <x:v>0</x:v>
      </x:c>
      <x:c r="AK895" s="4">
        <x:f>SUM(COUNTIFS('Material routes'!$D$6:$D$2205,A895,'Material routes'!$C$6:$C$2205,"Ingredient candidate"),COUNTIFS('Material routes'!$D$6:$D$2205,A895,'Material routes'!$C$6:$C$2205,"Consumed input"),COUNTIFS('Material routes'!$D$6:$D$2205,A895,'Material routes'!$C$6:$C$2205,"Contained input"),COUNTIFS('Material routes'!$D$6:$D$2205,A895,'Material routes'!$C$6:$C$2205,"Transform input"))</x:f>
        <x:v>0</x:v>
      </x:c>
      <x:c r="AL895" s="4">
        <x:f>COUNTIFS('Material routes'!$D$6:$D$2205,A895,'Material routes'!$C$6:$C$2205,"Tool candidate")</x:f>
        <x:v>0</x:v>
      </x:c>
      <x:c r="AM895" s="4" t="str">
        <x:f>IF(AJ895&gt;0,"Route listed; review status/completeness",IF(C895="T0","Raw entry feed; no production route","No production route listed"))</x:f>
        <x:v>No production route listed</x:v>
      </x:c>
      <x:c r="AN895" s="4">
        <x:f>IF(C895="T0",0,IF(C895="T1",1,IF(C895="T2",2,IF(C895="T3",3,IF(C895="T4",4,IF(C895="Unassigned",98,99))))))</x:f>
        <x:v>2</x:v>
      </x:c>
    </x:row>
    <x:row r="896">
      <x:c r="A896" s="4" t="inlineStr">
        <x:is>
          <x:t xml:space="preserve">proposal.accessory.metal_signal_whistle</x:t>
        </x:is>
      </x:c>
      <x:c r="B896" s="4" t="inlineStr">
        <x:is>
          <x:t xml:space="preserve">Pealess metal signal whistle</x:t>
        </x:is>
      </x:c>
      <x:c r="C896" s="4" t="inlineStr">
        <x:is>
          <x:t xml:space="preserve">T2</x:t>
        </x:is>
      </x:c>
      <x:c r="D896" s="4" t="inlineStr">
        <x:is>
          <x:t xml:space="preserve">Tools</x:t>
        </x:is>
      </x:c>
      <x:c r="E896" s="4" t="inlineStr">
        <x:is>
          <x:t xml:space="preserve">Personal utility accessory</x:t>
        </x:is>
      </x:c>
      <x:c r="F896" s="4" t="inlineStr">
        <x:is>
          <x:t xml:space="preserve">New proposal</x:t>
        </x:is>
      </x:c>
      <x:c r="G896" s="4" t="inlineStr">
        <x:is>
          <x:t xml:space="preserve">A compact metal whistle with no loose internal pea, proposed for deliberate audible signals between nearby travelers. Its utilitarian metal construction and intended signaling role distinguish it from the existing wing-rib musical whistle and ceremonial rattles.</x:t>
        </x:is>
      </x:c>
      <x:c r="H896" s="4" t="inlineStr">
        <x:is>
          <x:t xml:space="preserve">Unassigned; no new slot approved</x:t>
        </x:is>
      </x:c>
      <x:c r="I896" s="4" t="inlineStr">
        <x:is>
          <x:t xml:space="preserve">Booter-carried personal utility gear; mounting, packing, dimensions and mass unresolved.</x:t>
        </x:is>
      </x:c>
      <x:c r="J896" s="4"/>
      <x:c r="K896"/>
      <x:c r="L896" t="inlineStr">
        <x:is>
          <x:t xml:space="preserve">Proposed contemporary craft or specialist trade; availability and construction recipe unresolved.</x:t>
        </x:is>
      </x:c>
      <x:c r="M896" s="4" t="inlineStr">
        <x:is>
          <x:t xml:space="preserve">Candidate compact finished accessory using selected prepared stock. No ingredient quantities, crafting time, yield or executable recipe authored.</x:t>
        </x:is>
      </x:c>
      <x:c r="N896" s="4" t="inlineStr">
        <x:is>
          <x:t xml:space="preserve">Not implemented</x:t>
        </x:is>
      </x:c>
      <x:c r="O896" s="4" t="inlineStr">
        <x:is>
          <x:t xml:space="preserve">Sound production, range, dust tolerance and breathing compatibility remain unresolved. No automatic alarm, accepted signal code, fauna-control effect or remote companion recall is granted.</x:t>
        </x:is>
      </x:c>
      <x:c r="P896" s="4"/>
      <x:c r="Q896" s="4"/>
      <x:c r="R896"/>
      <x:c r="S896"/>
      <x:c r="T896"/>
      <x:c r="U896" t="inlineStr">
        <x:is>
          <x:t xml:space="preserve">Artwork direction: A short flattened metal whistle with a broad mouth slot, open sound chamber and small tether ring. Fit, safe use and manufacturing details remain proposals.</x:t>
        </x:is>
      </x:c>
      <x:c r="V896" s="4" t="inlineStr">
        <x:is>
          <x:t xml:space="preserve">emergency signal whistle; pealess field whistle</x:t>
        </x:is>
      </x:c>
      <x:c r="W896"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6" s="4" t="inlineStr">
        <x:is>
          <x:t xml:space="preserve">Tool</x:t>
        </x:is>
      </x:c>
      <x:c r="Y896" s="4" t="inlineStr">
        <x:is>
          <x:t xml:space="preserve">Finished item</x:t>
        </x:is>
      </x:c>
      <x:c r="Z896" s="4" t="inlineStr">
        <x:is>
          <x:t xml:space="preserve">Manufactured / unresolved</x:t>
        </x:is>
      </x:c>
      <x:c r="AA896" s="4" t="inlineStr">
        <x:is>
          <x:t xml:space="preserve">Public communication</x:t>
        </x:is>
      </x:c>
      <x:c r="AB896" s="4" t="inlineStr">
        <x:is>
          <x:t xml:space="preserve">Metal</x:t>
        </x:is>
      </x:c>
      <x:c r="AC896" s="4" t="inlineStr">
        <x:is>
          <x:t xml:space="preserve">Assembly</x:t>
        </x:is>
      </x:c>
      <x:c r="AD896" s="4" t="inlineStr">
        <x:is>
          <x:t xml:space="preserve">Proposal</x:t>
        </x:is>
      </x:c>
      <x:c r="AE896" s="4" t="str">
        <x:f>LOWER(A896&amp;"; "&amp;B896&amp;"; "&amp;D896&amp;"; "&amp;E896&amp;"; "&amp;X896&amp;"; "&amp;Y896&amp;"; "&amp;Z896&amp;"; "&amp;AA896&amp;"; "&amp;AB896&amp;"; "&amp;AC896&amp;"; "&amp;AD896&amp;"; "&amp;V896&amp;"; "&amp;C896&amp;"; "&amp;AH896&amp;"; "&amp;AI896)</x:f>
        <x:v>proposal.accessory.metal_signal_whistle; pealess metal signal whistle; tools; personal utility accessory; tool; finished item; manufactured / unresolved; public communication; metal; assembly; proposal; emergency signal whistle; pealess field whistle; t2; t1; finished item</x:v>
      </x:c>
      <x:c r="AF896" s="4" t="inlineStr">
        <x:is>
          <x:t xml:space="preserve">Author-requested simple personal accessory expansion. These compact supporting utilities are grouped in Accessories; item type, tier and gameplay compatibility remain separate classifications.</x:t>
        </x:is>
      </x:c>
      <x:c r="AG896" s="4" t="inlineStr">
        <x:is>
          <x:t xml:space="preserve">Proposed T2 finished accessory using qualified T1 stock. Construction details, usability, scarcity and equipment effects are not established by the planning tier.</x:t>
        </x:is>
      </x:c>
      <x:c r="AH896" s="4" t="inlineStr">
        <x:is>
          <x:t xml:space="preserve">T1</x:t>
        </x:is>
      </x:c>
      <x:c r="AI896" s="4" t="inlineStr">
        <x:is>
          <x:t xml:space="preserve">Finished item</x:t>
        </x:is>
      </x:c>
      <x:c r="AJ896" s="4">
        <x:f>COUNTIFS('Material routes'!$D$6:$D$2205,A896,'Material routes'!$C$6:$C$2205,"Output")</x:f>
        <x:v>0</x:v>
      </x:c>
      <x:c r="AK896" s="4">
        <x:f>SUM(COUNTIFS('Material routes'!$D$6:$D$2205,A896,'Material routes'!$C$6:$C$2205,"Ingredient candidate"),COUNTIFS('Material routes'!$D$6:$D$2205,A896,'Material routes'!$C$6:$C$2205,"Consumed input"),COUNTIFS('Material routes'!$D$6:$D$2205,A896,'Material routes'!$C$6:$C$2205,"Contained input"),COUNTIFS('Material routes'!$D$6:$D$2205,A896,'Material routes'!$C$6:$C$2205,"Transform input"))</x:f>
        <x:v>0</x:v>
      </x:c>
      <x:c r="AL896" s="4">
        <x:f>COUNTIFS('Material routes'!$D$6:$D$2205,A896,'Material routes'!$C$6:$C$2205,"Tool candidate")</x:f>
        <x:v>0</x:v>
      </x:c>
      <x:c r="AM896" s="4" t="str">
        <x:f>IF(AJ896&gt;0,"Route listed; review status/completeness",IF(C896="T0","Raw entry feed; no production route","No production route listed"))</x:f>
        <x:v>No production route listed</x:v>
      </x:c>
      <x:c r="AN896" s="4">
        <x:f>IF(C896="T0",0,IF(C896="T1",1,IF(C896="T2",2,IF(C896="T3",3,IF(C896="T4",4,IF(C896="Unassigned",98,99))))))</x:f>
        <x:v>2</x:v>
      </x:c>
    </x:row>
    <x:row r="897">
      <x:c r="A897" s="4" t="inlineStr">
        <x:is>
          <x:t xml:space="preserve">proposal.armor.iron.boots</x:t>
        </x:is>
      </x:c>
      <x:c r="B897" s="4" t="inlineStr">
        <x:is>
          <x:t xml:space="preserve">Iron armored boots</x:t>
        </x:is>
      </x:c>
      <x:c r="C897" s="4" t="inlineStr">
        <x:is>
          <x:t xml:space="preserve">T2</x:t>
        </x:is>
      </x:c>
      <x:c r="D897" s="4" t="inlineStr">
        <x:is>
          <x:t xml:space="preserve">Armor</x:t>
        </x:is>
      </x:c>
      <x:c r="E897" s="4" t="inlineStr">
        <x:is>
          <x:t xml:space="preserve">Iron armor / boots</x:t>
        </x:is>
      </x:c>
      <x:c r="F897" s="4" t="inlineStr">
        <x:is>
          <x:t xml:space="preserve">New proposal</x:t>
        </x:is>
      </x:c>
      <x:c r="G897" s="4" t="inlineStr">
        <x:is>
          <x:t xml:space="preserve">Iron armor family: individually listed armored boots. A matched pair of armored foot coverings, separate from shin guards. Broad worked-iron plates with plain rolled edges and exposed metal fasteners. Construction and protection are proposals; the five family pieces remain separate items.</x:t>
        </x:is>
      </x:c>
      <x:c r="H897" s="4" t="inlineStr">
        <x:is>
          <x:t xml:space="preserve">Unassigned; no new slot approved</x:t>
        </x:is>
      </x:c>
      <x:c r="I897" s="4" t="inlineStr">
        <x:is>
          <x:t xml:space="preserve">Booter-worn armor concept; fitting, packing and spare-cargo rules unresolved.</x:t>
        </x:is>
      </x:c>
      <x:c r="J897" s="4"/>
      <x:c r="K897" s="4"/>
      <x:c r="L897" s="4" t="inlineStr">
        <x:is>
          <x:t xml:space="preserve">Proposed contemporary fabrication or specialist trade; construction recipe unresolved.</x:t>
        </x:is>
      </x:c>
      <x:c r="M897" s="4" t="inlineStr">
        <x:is>
          <x:t xml:space="preserve">Separate fitted piece using selected qualified stock; no whole-set recipe, quantities, yield or production time authored.</x:t>
        </x:is>
      </x:c>
      <x:c r="N897" s="4" t="inlineStr">
        <x:is>
          <x:t xml:space="preserve">Not implemented</x:t>
        </x:is>
      </x:c>
      <x:c r="O897" s="4" t="inlineStr">
        <x:is>
          <x:t xml:space="preserve">Fit, coverage, articulation, mass, durability and protection remain proposals. No wood, ordinary cloth, free-water quenching, set bonuses or new equipment slots.</x:t>
        </x:is>
      </x:c>
      <x:c r="P897" s="4"/>
      <x:c r="Q897" s="4"/>
      <x:c r="R897" s="4"/>
      <x:c r="S897" s="4"/>
      <x:c r="T897" s="4"/>
      <x:c r="U897" s="4" t="inlineStr">
        <x:is>
          <x:t xml:space="preserve">A matched pair of armored foot coverings, separate from shin guards. Visual direction: Broad worked-iron plates with plain rolled edges and exposed metal fasteners. Joining, fit, wearability and performance require design.</x:t>
        </x:is>
      </x:c>
      <x:c r="V897" s="4" t="inlineStr">
        <x:is>
          <x:t xml:space="preserve">iron armor set; iron armor family; iron armor; boots; separate armor piece</x:t>
        </x:is>
      </x:c>
      <x:c r="W89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7" s="4" t="inlineStr">
        <x:is>
          <x:t xml:space="preserve">Armor</x:t>
        </x:is>
      </x:c>
      <x:c r="Y897" s="4" t="inlineStr">
        <x:is>
          <x:t xml:space="preserve">Finished item</x:t>
        </x:is>
      </x:c>
      <x:c r="Z897" s="4" t="inlineStr">
        <x:is>
          <x:t xml:space="preserve">Manufactured / unresolved</x:t>
        </x:is>
      </x:c>
      <x:c r="AA897" s="4" t="inlineStr">
        <x:is>
          <x:t xml:space="preserve">Protection</x:t>
        </x:is>
      </x:c>
      <x:c r="AB897" s="4" t="inlineStr">
        <x:is>
          <x:t xml:space="preserve">Metal</x:t>
        </x:is>
      </x:c>
      <x:c r="AC897" s="4" t="inlineStr">
        <x:is>
          <x:t xml:space="preserve">Assembly</x:t>
        </x:is>
      </x:c>
      <x:c r="AD897" s="4" t="inlineStr">
        <x:is>
          <x:t xml:space="preserve">Proposal</x:t>
        </x:is>
      </x:c>
      <x:c r="AE897" s="4" t="str">
        <x:f>LOWER(A897&amp;"; "&amp;B897&amp;"; "&amp;D897&amp;"; "&amp;E897&amp;"; "&amp;X897&amp;"; "&amp;Y897&amp;"; "&amp;Z897&amp;"; "&amp;AA897&amp;"; "&amp;AB897&amp;"; "&amp;AC897&amp;"; "&amp;AD897&amp;"; "&amp;V897&amp;"; "&amp;C897&amp;"; "&amp;AH897&amp;"; "&amp;AI897)</x:f>
        <x:v>proposal.armor.iron.boots; iron armored boots; armor; iron armor / boots; armor; finished item; manufactured / unresolved; protection; metal; assembly; proposal; iron armor set; iron armor family; iron armor; boots; separate armor piece; t2; t1; finished item</x:v>
      </x:c>
      <x:c r="AF897" s="4" t="inlineStr">
        <x:is>
          <x:t xml:space="preserve">One independently listed armor piece. Family membership is a design grouping, never another inventory item or a set bonus.</x:t>
        </x:is>
      </x:c>
      <x:c r="AG897" s="4" t="inlineStr">
        <x:is>
          <x:t xml:space="preserve">Proposed T2 finished piece using T1 inputs; material grade, fabrication and protection are unresolved.</x:t>
        </x:is>
      </x:c>
      <x:c r="AH897" s="4" t="inlineStr">
        <x:is>
          <x:t xml:space="preserve">T1</x:t>
        </x:is>
      </x:c>
      <x:c r="AI897" s="4" t="inlineStr">
        <x:is>
          <x:t xml:space="preserve">Finished item</x:t>
        </x:is>
      </x:c>
      <x:c r="AJ897" s="4">
        <x:f>COUNTIFS('Material routes'!$D$6:$D$2205,A897,'Material routes'!$C$6:$C$2205,"Output")</x:f>
        <x:v>0</x:v>
      </x:c>
      <x:c r="AK897" s="4">
        <x:f>SUM(COUNTIFS('Material routes'!$D$6:$D$2205,A897,'Material routes'!$C$6:$C$2205,"Ingredient candidate"),COUNTIFS('Material routes'!$D$6:$D$2205,A897,'Material routes'!$C$6:$C$2205,"Consumed input"),COUNTIFS('Material routes'!$D$6:$D$2205,A897,'Material routes'!$C$6:$C$2205,"Contained input"),COUNTIFS('Material routes'!$D$6:$D$2205,A897,'Material routes'!$C$6:$C$2205,"Transform input"))</x:f>
        <x:v>0</x:v>
      </x:c>
      <x:c r="AL897" s="4">
        <x:f>COUNTIFS('Material routes'!$D$6:$D$2205,A897,'Material routes'!$C$6:$C$2205,"Tool candidate")</x:f>
        <x:v>0</x:v>
      </x:c>
      <x:c r="AM897" s="4" t="str">
        <x:f>IF(AJ897&gt;0,"Route listed; review status/completeness",IF(C897="T0","Raw entry feed; no production route","No production route listed"))</x:f>
        <x:v>No production route listed</x:v>
      </x:c>
      <x:c r="AN897" s="4">
        <x:f>IF(C897="T0",0,IF(C897="T1",1,IF(C897="T2",2,IF(C897="T3",3,IF(C897="T4",4,IF(C897="Unassigned",98,99))))))</x:f>
        <x:v>2</x:v>
      </x:c>
    </x:row>
    <x:row r="898">
      <x:c r="A898" s="4" t="inlineStr">
        <x:is>
          <x:t xml:space="preserve">proposal.armor.iron.arms</x:t>
        </x:is>
      </x:c>
      <x:c r="B898" s="4" t="inlineStr">
        <x:is>
          <x:t xml:space="preserve">Iron arm guards</x:t>
        </x:is>
      </x:c>
      <x:c r="C898" s="4" t="inlineStr">
        <x:is>
          <x:t xml:space="preserve">T2</x:t>
        </x:is>
      </x:c>
      <x:c r="D898" s="4" t="inlineStr">
        <x:is>
          <x:t xml:space="preserve">Armor</x:t>
        </x:is>
      </x:c>
      <x:c r="E898" s="4" t="inlineStr">
        <x:is>
          <x:t xml:space="preserve">Iron armor / arms</x:t>
        </x:is>
      </x:c>
      <x:c r="F898" s="4" t="inlineStr">
        <x:is>
          <x:t xml:space="preserve">New proposal</x:t>
        </x:is>
      </x:c>
      <x:c r="G898" s="4" t="inlineStr">
        <x:is>
          <x:t xml:space="preserve">Iron armor family: individually listed arm guards. Paired upper-arm, elbow and forearm guards; no extra glove item or hand-protection claim. Broad worked-iron plates with plain rolled edges and exposed metal fasteners. Construction and protection are proposals; the five family pieces remain separate items.</x:t>
        </x:is>
      </x:c>
      <x:c r="H898" s="4" t="inlineStr">
        <x:is>
          <x:t xml:space="preserve">Unassigned; no new slot approved</x:t>
        </x:is>
      </x:c>
      <x:c r="I898" s="4" t="inlineStr">
        <x:is>
          <x:t xml:space="preserve">Booter-worn armor concept; fitting, packing and spare-cargo rules unresolved.</x:t>
        </x:is>
      </x:c>
      <x:c r="J898" s="4"/>
      <x:c r="K898" s="4"/>
      <x:c r="L898" s="4" t="inlineStr">
        <x:is>
          <x:t xml:space="preserve">Proposed contemporary fabrication or specialist trade; construction recipe unresolved.</x:t>
        </x:is>
      </x:c>
      <x:c r="M898" s="4" t="inlineStr">
        <x:is>
          <x:t xml:space="preserve">Separate fitted piece using selected qualified stock; no whole-set recipe, quantities, yield or production time authored.</x:t>
        </x:is>
      </x:c>
      <x:c r="N898" s="4" t="inlineStr">
        <x:is>
          <x:t xml:space="preserve">Not implemented</x:t>
        </x:is>
      </x:c>
      <x:c r="O898" s="4" t="inlineStr">
        <x:is>
          <x:t xml:space="preserve">Fit, coverage, articulation, mass, durability and protection remain proposals. No wood, ordinary cloth, free-water quenching, set bonuses or new equipment slots.</x:t>
        </x:is>
      </x:c>
      <x:c r="P898" s="4"/>
      <x:c r="Q898" s="4"/>
      <x:c r="R898" s="4"/>
      <x:c r="S898" s="4"/>
      <x:c r="T898" s="4"/>
      <x:c r="U898" s="4" t="inlineStr">
        <x:is>
          <x:t xml:space="preserve">Paired upper-arm, elbow and forearm guards; no extra glove item or hand-protection claim. Visual direction: Broad worked-iron plates with plain rolled edges and exposed metal fasteners. Joining, fit, wearability and performance require design.</x:t>
        </x:is>
      </x:c>
      <x:c r="V898" s="4" t="inlineStr">
        <x:is>
          <x:t xml:space="preserve">iron armor set; iron armor family; iron armor; arms; separate armor piece</x:t>
        </x:is>
      </x:c>
      <x:c r="W89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8" s="4" t="inlineStr">
        <x:is>
          <x:t xml:space="preserve">Armor</x:t>
        </x:is>
      </x:c>
      <x:c r="Y898" s="4" t="inlineStr">
        <x:is>
          <x:t xml:space="preserve">Finished item</x:t>
        </x:is>
      </x:c>
      <x:c r="Z898" s="4" t="inlineStr">
        <x:is>
          <x:t xml:space="preserve">Manufactured / unresolved</x:t>
        </x:is>
      </x:c>
      <x:c r="AA898" s="4" t="inlineStr">
        <x:is>
          <x:t xml:space="preserve">Protection</x:t>
        </x:is>
      </x:c>
      <x:c r="AB898" s="4" t="inlineStr">
        <x:is>
          <x:t xml:space="preserve">Metal</x:t>
        </x:is>
      </x:c>
      <x:c r="AC898" s="4" t="inlineStr">
        <x:is>
          <x:t xml:space="preserve">Assembly</x:t>
        </x:is>
      </x:c>
      <x:c r="AD898" s="4" t="inlineStr">
        <x:is>
          <x:t xml:space="preserve">Proposal</x:t>
        </x:is>
      </x:c>
      <x:c r="AE898" s="4" t="str">
        <x:f>LOWER(A898&amp;"; "&amp;B898&amp;"; "&amp;D898&amp;"; "&amp;E898&amp;"; "&amp;X898&amp;"; "&amp;Y898&amp;"; "&amp;Z898&amp;"; "&amp;AA898&amp;"; "&amp;AB898&amp;"; "&amp;AC898&amp;"; "&amp;AD898&amp;"; "&amp;V898&amp;"; "&amp;C898&amp;"; "&amp;AH898&amp;"; "&amp;AI898)</x:f>
        <x:v>proposal.armor.iron.arms; iron arm guards; armor; iron armor / arms; armor; finished item; manufactured / unresolved; protection; metal; assembly; proposal; iron armor set; iron armor family; iron armor; arms; separate armor piece; t2; t1; finished item</x:v>
      </x:c>
      <x:c r="AF898" s="4" t="inlineStr">
        <x:is>
          <x:t xml:space="preserve">One independently listed armor piece. Family membership is a design grouping, never another inventory item or a set bonus.</x:t>
        </x:is>
      </x:c>
      <x:c r="AG898" s="4" t="inlineStr">
        <x:is>
          <x:t xml:space="preserve">Proposed T2 finished piece using T1 inputs; material grade, fabrication and protection are unresolved.</x:t>
        </x:is>
      </x:c>
      <x:c r="AH898" s="4" t="inlineStr">
        <x:is>
          <x:t xml:space="preserve">T1</x:t>
        </x:is>
      </x:c>
      <x:c r="AI898" s="4" t="inlineStr">
        <x:is>
          <x:t xml:space="preserve">Finished item</x:t>
        </x:is>
      </x:c>
      <x:c r="AJ898" s="4">
        <x:f>COUNTIFS('Material routes'!$D$6:$D$2205,A898,'Material routes'!$C$6:$C$2205,"Output")</x:f>
        <x:v>0</x:v>
      </x:c>
      <x:c r="AK898" s="4">
        <x:f>SUM(COUNTIFS('Material routes'!$D$6:$D$2205,A898,'Material routes'!$C$6:$C$2205,"Ingredient candidate"),COUNTIFS('Material routes'!$D$6:$D$2205,A898,'Material routes'!$C$6:$C$2205,"Consumed input"),COUNTIFS('Material routes'!$D$6:$D$2205,A898,'Material routes'!$C$6:$C$2205,"Contained input"),COUNTIFS('Material routes'!$D$6:$D$2205,A898,'Material routes'!$C$6:$C$2205,"Transform input"))</x:f>
        <x:v>0</x:v>
      </x:c>
      <x:c r="AL898" s="4">
        <x:f>COUNTIFS('Material routes'!$D$6:$D$2205,A898,'Material routes'!$C$6:$C$2205,"Tool candidate")</x:f>
        <x:v>0</x:v>
      </x:c>
      <x:c r="AM898" s="4" t="str">
        <x:f>IF(AJ898&gt;0,"Route listed; review status/completeness",IF(C898="T0","Raw entry feed; no production route","No production route listed"))</x:f>
        <x:v>No production route listed</x:v>
      </x:c>
      <x:c r="AN898" s="4">
        <x:f>IF(C898="T0",0,IF(C898="T1",1,IF(C898="T2",2,IF(C898="T3",3,IF(C898="T4",4,IF(C898="Unassigned",98,99))))))</x:f>
        <x:v>2</x:v>
      </x:c>
    </x:row>
    <x:row r="899">
      <x:c r="A899" s="4" t="inlineStr">
        <x:is>
          <x:t xml:space="preserve">proposal.armor.steel.chest</x:t>
        </x:is>
      </x:c>
      <x:c r="B899" s="4" t="inlineStr">
        <x:is>
          <x:t xml:space="preserve">Steel chestplate</x:t>
        </x:is>
      </x:c>
      <x:c r="C899" s="4" t="inlineStr">
        <x:is>
          <x:t xml:space="preserve">T3</x:t>
        </x:is>
      </x:c>
      <x:c r="D899" s="4" t="inlineStr">
        <x:is>
          <x:t xml:space="preserve">Armor</x:t>
        </x:is>
      </x:c>
      <x:c r="E899" s="4" t="inlineStr">
        <x:is>
          <x:t xml:space="preserve">Steel armor / chest</x:t>
        </x:is>
      </x:c>
      <x:c r="F899" s="4" t="inlineStr">
        <x:is>
          <x:t xml:space="preserve">New proposal</x:t>
        </x:is>
      </x:c>
      <x:c r="G899" s="4" t="inlineStr">
        <x:is>
          <x:t xml:space="preserve">Steel armor family: individually listed chestplate. Torso and upper back; a chest piece does not include arm or leg pieces. Closer-fitting steel plates with overlapping articulation and narrow reinforced edges. Construction and protection are proposals; the five family pieces remain separate items.</x:t>
        </x:is>
      </x:c>
      <x:c r="H899" s="4" t="inlineStr">
        <x:is>
          <x:t xml:space="preserve">Unassigned; no new slot approved</x:t>
        </x:is>
      </x:c>
      <x:c r="I899" s="4" t="inlineStr">
        <x:is>
          <x:t xml:space="preserve">Booter-worn armor concept; fitting, packing and spare-cargo rules unresolved.</x:t>
        </x:is>
      </x:c>
      <x:c r="J899" s="4"/>
      <x:c r="K899" s="4"/>
      <x:c r="L899" s="4" t="inlineStr">
        <x:is>
          <x:t xml:space="preserve">Proposed contemporary fabrication or specialist trade; construction recipe unresolved.</x:t>
        </x:is>
      </x:c>
      <x:c r="M899" s="4" t="inlineStr">
        <x:is>
          <x:t xml:space="preserve">Separate fitted piece using selected qualified stock; no whole-set recipe, quantities, yield or production time authored.</x:t>
        </x:is>
      </x:c>
      <x:c r="N899" s="4" t="inlineStr">
        <x:is>
          <x:t xml:space="preserve">Not implemented</x:t>
        </x:is>
      </x:c>
      <x:c r="O899" s="4" t="inlineStr">
        <x:is>
          <x:t xml:space="preserve">Fit, coverage, articulation, mass, durability and protection remain proposals. No wood, ordinary cloth, free-water quenching, set bonuses or new equipment slots.</x:t>
        </x:is>
      </x:c>
      <x:c r="P899" s="4"/>
      <x:c r="Q899" s="4"/>
      <x:c r="R899" s="4"/>
      <x:c r="S899" s="4"/>
      <x:c r="T899" s="4"/>
      <x:c r="U899" s="4" t="inlineStr">
        <x:is>
          <x:t xml:space="preserve">Torso and upper back; a chest piece does not include arm or leg pieces. Visual direction: Closer-fitting steel plates with overlapping articulation and narrow reinforced edges. Joining, fit, wearability and performance require design.</x:t>
        </x:is>
      </x:c>
      <x:c r="V899" s="4" t="inlineStr">
        <x:is>
          <x:t xml:space="preserve">steel armor set; steel armor family; steel armor; chest; separate armor piece</x:t>
        </x:is>
      </x:c>
      <x:c r="W899"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9" s="4" t="inlineStr">
        <x:is>
          <x:t xml:space="preserve">Armor</x:t>
        </x:is>
      </x:c>
      <x:c r="Y899" s="4" t="inlineStr">
        <x:is>
          <x:t xml:space="preserve">Finished item</x:t>
        </x:is>
      </x:c>
      <x:c r="Z899" s="4" t="inlineStr">
        <x:is>
          <x:t xml:space="preserve">Manufactured / unresolved</x:t>
        </x:is>
      </x:c>
      <x:c r="AA899" s="4" t="inlineStr">
        <x:is>
          <x:t xml:space="preserve">Protection</x:t>
        </x:is>
      </x:c>
      <x:c r="AB899" s="4" t="inlineStr">
        <x:is>
          <x:t xml:space="preserve">Metal</x:t>
        </x:is>
      </x:c>
      <x:c r="AC899" s="4" t="inlineStr">
        <x:is>
          <x:t xml:space="preserve">Assembly</x:t>
        </x:is>
      </x:c>
      <x:c r="AD899" s="4" t="inlineStr">
        <x:is>
          <x:t xml:space="preserve">Proposal</x:t>
        </x:is>
      </x:c>
      <x:c r="AE899" s="4" t="str">
        <x:f>LOWER(A899&amp;"; "&amp;B899&amp;"; "&amp;D899&amp;"; "&amp;E899&amp;"; "&amp;X899&amp;"; "&amp;Y899&amp;"; "&amp;Z899&amp;"; "&amp;AA899&amp;"; "&amp;AB899&amp;"; "&amp;AC899&amp;"; "&amp;AD899&amp;"; "&amp;V899&amp;"; "&amp;C899&amp;"; "&amp;AH899&amp;"; "&amp;AI899)</x:f>
        <x:v>proposal.armor.steel.chest; steel chestplate; armor; steel armor / chest; armor; finished item; manufactured / unresolved; protection; metal; assembly; proposal; steel armor set; steel armor family; steel armor; chest; separate armor piece; t3; t2; finished item</x:v>
      </x:c>
      <x:c r="AF899" s="4" t="inlineStr">
        <x:is>
          <x:t xml:space="preserve">One independently listed armor piece. Family membership is a design grouping, never another inventory item or a set bonus.</x:t>
        </x:is>
      </x:c>
      <x:c r="AG899" s="4" t="inlineStr">
        <x:is>
          <x:t xml:space="preserve">Proposed T3 finished piece using T2 inputs; material grade, fabrication and protection are unresolved.</x:t>
        </x:is>
      </x:c>
      <x:c r="AH899" s="4" t="inlineStr">
        <x:is>
          <x:t xml:space="preserve">T2</x:t>
        </x:is>
      </x:c>
      <x:c r="AI899" s="4" t="inlineStr">
        <x:is>
          <x:t xml:space="preserve">Finished item</x:t>
        </x:is>
      </x:c>
      <x:c r="AJ899" s="4">
        <x:f>COUNTIFS('Material routes'!$D$6:$D$2205,A899,'Material routes'!$C$6:$C$2205,"Output")</x:f>
        <x:v>0</x:v>
      </x:c>
      <x:c r="AK899" s="4">
        <x:f>SUM(COUNTIFS('Material routes'!$D$6:$D$2205,A899,'Material routes'!$C$6:$C$2205,"Ingredient candidate"),COUNTIFS('Material routes'!$D$6:$D$2205,A899,'Material routes'!$C$6:$C$2205,"Consumed input"),COUNTIFS('Material routes'!$D$6:$D$2205,A899,'Material routes'!$C$6:$C$2205,"Contained input"),COUNTIFS('Material routes'!$D$6:$D$2205,A899,'Material routes'!$C$6:$C$2205,"Transform input"))</x:f>
        <x:v>0</x:v>
      </x:c>
      <x:c r="AL899" s="4">
        <x:f>COUNTIFS('Material routes'!$D$6:$D$2205,A899,'Material routes'!$C$6:$C$2205,"Tool candidate")</x:f>
        <x:v>0</x:v>
      </x:c>
      <x:c r="AM899" s="4" t="str">
        <x:f>IF(AJ899&gt;0,"Route listed; review status/completeness",IF(C899="T0","Raw entry feed; no production route","No production route listed"))</x:f>
        <x:v>No production route listed</x:v>
      </x:c>
      <x:c r="AN899" s="4">
        <x:f>IF(C899="T0",0,IF(C899="T1",1,IF(C899="T2",2,IF(C899="T3",3,IF(C899="T4",4,IF(C899="Unassigned",98,99))))))</x:f>
        <x:v>3</x:v>
      </x:c>
    </x:row>
    <x:row r="900">
      <x:c r="A900" s="4" t="inlineStr">
        <x:is>
          <x:t xml:space="preserve">proposal.armor.steel.legs</x:t>
        </x:is>
      </x:c>
      <x:c r="B900" s="4" t="inlineStr">
        <x:is>
          <x:t xml:space="preserve">Steel leg guards</x:t>
        </x:is>
      </x:c>
      <x:c r="C900" s="4" t="inlineStr">
        <x:is>
          <x:t xml:space="preserve">T3</x:t>
        </x:is>
      </x:c>
      <x:c r="D900" s="4" t="inlineStr">
        <x:is>
          <x:t xml:space="preserve">Armor</x:t>
        </x:is>
      </x:c>
      <x:c r="E900" s="4" t="inlineStr">
        <x:is>
          <x:t xml:space="preserve">Steel armor / legs</x:t>
        </x:is>
      </x:c>
      <x:c r="F900" s="4" t="inlineStr">
        <x:is>
          <x:t xml:space="preserve">New proposal</x:t>
        </x:is>
      </x:c>
      <x:c r="G900" s="4" t="inlineStr">
        <x:is>
          <x:t xml:space="preserve">Steel armor family: individually listed leg guards. Paired thigh, knee and shin guards; boots remain a separate item. Closer-fitting steel plates with overlapping articulation and narrow reinforced edges. Construction and protection are proposals; the five family pieces remain separate items.</x:t>
        </x:is>
      </x:c>
      <x:c r="H900" s="4" t="inlineStr">
        <x:is>
          <x:t xml:space="preserve">Unassigned; no new slot approved</x:t>
        </x:is>
      </x:c>
      <x:c r="I900" s="4" t="inlineStr">
        <x:is>
          <x:t xml:space="preserve">Booter-worn armor concept; fitting, packing and spare-cargo rules unresolved.</x:t>
        </x:is>
      </x:c>
      <x:c r="J900" s="4"/>
      <x:c r="K900" s="4"/>
      <x:c r="L900" s="4" t="inlineStr">
        <x:is>
          <x:t xml:space="preserve">Proposed contemporary fabrication or specialist trade; construction recipe unresolved.</x:t>
        </x:is>
      </x:c>
      <x:c r="M900" s="4" t="inlineStr">
        <x:is>
          <x:t xml:space="preserve">Separate fitted piece using selected qualified stock; no whole-set recipe, quantities, yield or production time authored.</x:t>
        </x:is>
      </x:c>
      <x:c r="N900" s="4" t="inlineStr">
        <x:is>
          <x:t xml:space="preserve">Not implemented</x:t>
        </x:is>
      </x:c>
      <x:c r="O900" s="4" t="inlineStr">
        <x:is>
          <x:t xml:space="preserve">Fit, coverage, articulation, mass, durability and protection remain proposals. No wood, ordinary cloth, free-water quenching, set bonuses or new equipment slots.</x:t>
        </x:is>
      </x:c>
      <x:c r="P900" s="4"/>
      <x:c r="Q900" s="4"/>
      <x:c r="R900" s="4"/>
      <x:c r="S900" s="4"/>
      <x:c r="T900" s="4"/>
      <x:c r="U900" s="4" t="inlineStr">
        <x:is>
          <x:t xml:space="preserve">Paired thigh, knee and shin guards; boots remain a separate item. Visual direction: Closer-fitting steel plates with overlapping articulation and narrow reinforced edges. Joining, fit, wearability and performance require design.</x:t>
        </x:is>
      </x:c>
      <x:c r="V900" s="4" t="inlineStr">
        <x:is>
          <x:t xml:space="preserve">steel armor set; steel armor family; steel armor; legs; separate armor piece</x:t>
        </x:is>
      </x:c>
      <x:c r="W900"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0" s="4" t="inlineStr">
        <x:is>
          <x:t xml:space="preserve">Armor</x:t>
        </x:is>
      </x:c>
      <x:c r="Y900" s="4" t="inlineStr">
        <x:is>
          <x:t xml:space="preserve">Finished item</x:t>
        </x:is>
      </x:c>
      <x:c r="Z900" s="4" t="inlineStr">
        <x:is>
          <x:t xml:space="preserve">Manufactured / unresolved</x:t>
        </x:is>
      </x:c>
      <x:c r="AA900" s="4" t="inlineStr">
        <x:is>
          <x:t xml:space="preserve">Protection</x:t>
        </x:is>
      </x:c>
      <x:c r="AB900" s="4" t="inlineStr">
        <x:is>
          <x:t xml:space="preserve">Metal</x:t>
        </x:is>
      </x:c>
      <x:c r="AC900" s="4" t="inlineStr">
        <x:is>
          <x:t xml:space="preserve">Assembly</x:t>
        </x:is>
      </x:c>
      <x:c r="AD900" s="4" t="inlineStr">
        <x:is>
          <x:t xml:space="preserve">Proposal</x:t>
        </x:is>
      </x:c>
      <x:c r="AE900" s="4" t="str">
        <x:f>LOWER(A900&amp;"; "&amp;B900&amp;"; "&amp;D900&amp;"; "&amp;E900&amp;"; "&amp;X900&amp;"; "&amp;Y900&amp;"; "&amp;Z900&amp;"; "&amp;AA900&amp;"; "&amp;AB900&amp;"; "&amp;AC900&amp;"; "&amp;AD900&amp;"; "&amp;V900&amp;"; "&amp;C900&amp;"; "&amp;AH900&amp;"; "&amp;AI900)</x:f>
        <x:v>proposal.armor.steel.legs; steel leg guards; armor; steel armor / legs; armor; finished item; manufactured / unresolved; protection; metal; assembly; proposal; steel armor set; steel armor family; steel armor; legs; separate armor piece; t3; t2; finished item</x:v>
      </x:c>
      <x:c r="AF900" s="4" t="inlineStr">
        <x:is>
          <x:t xml:space="preserve">One independently listed armor piece. Family membership is a design grouping, never another inventory item or a set bonus.</x:t>
        </x:is>
      </x:c>
      <x:c r="AG900" s="4" t="inlineStr">
        <x:is>
          <x:t xml:space="preserve">Proposed T3 finished piece using T2 inputs; material grade, fabrication and protection are unresolved.</x:t>
        </x:is>
      </x:c>
      <x:c r="AH900" s="4" t="inlineStr">
        <x:is>
          <x:t xml:space="preserve">T2</x:t>
        </x:is>
      </x:c>
      <x:c r="AI900" s="4" t="inlineStr">
        <x:is>
          <x:t xml:space="preserve">Finished item</x:t>
        </x:is>
      </x:c>
      <x:c r="AJ900" s="4">
        <x:f>COUNTIFS('Material routes'!$D$6:$D$2205,A900,'Material routes'!$C$6:$C$2205,"Output")</x:f>
        <x:v>0</x:v>
      </x:c>
      <x:c r="AK900" s="4">
        <x:f>SUM(COUNTIFS('Material routes'!$D$6:$D$2205,A900,'Material routes'!$C$6:$C$2205,"Ingredient candidate"),COUNTIFS('Material routes'!$D$6:$D$2205,A900,'Material routes'!$C$6:$C$2205,"Consumed input"),COUNTIFS('Material routes'!$D$6:$D$2205,A900,'Material routes'!$C$6:$C$2205,"Contained input"),COUNTIFS('Material routes'!$D$6:$D$2205,A900,'Material routes'!$C$6:$C$2205,"Transform input"))</x:f>
        <x:v>0</x:v>
      </x:c>
      <x:c r="AL900" s="4">
        <x:f>COUNTIFS('Material routes'!$D$6:$D$2205,A900,'Material routes'!$C$6:$C$2205,"Tool candidate")</x:f>
        <x:v>0</x:v>
      </x:c>
      <x:c r="AM900" s="4" t="str">
        <x:f>IF(AJ900&gt;0,"Route listed; review status/completeness",IF(C900="T0","Raw entry feed; no production route","No production route listed"))</x:f>
        <x:v>No production route listed</x:v>
      </x:c>
      <x:c r="AN900" s="4">
        <x:f>IF(C900="T0",0,IF(C900="T1",1,IF(C900="T2",2,IF(C900="T3",3,IF(C900="T4",4,IF(C900="Unassigned",98,99))))))</x:f>
        <x:v>3</x:v>
      </x:c>
    </x:row>
    <x:row r="901">
      <x:c r="A901" s="4" t="inlineStr">
        <x:is>
          <x:t xml:space="preserve">proposal.armor.steel.boots</x:t>
        </x:is>
      </x:c>
      <x:c r="B901" s="4" t="inlineStr">
        <x:is>
          <x:t xml:space="preserve">Steel armored boots</x:t>
        </x:is>
      </x:c>
      <x:c r="C901" s="4" t="inlineStr">
        <x:is>
          <x:t xml:space="preserve">T3</x:t>
        </x:is>
      </x:c>
      <x:c r="D901" s="4" t="inlineStr">
        <x:is>
          <x:t xml:space="preserve">Armor</x:t>
        </x:is>
      </x:c>
      <x:c r="E901" s="4" t="inlineStr">
        <x:is>
          <x:t xml:space="preserve">Steel armor / boots</x:t>
        </x:is>
      </x:c>
      <x:c r="F901" s="4" t="inlineStr">
        <x:is>
          <x:t xml:space="preserve">New proposal</x:t>
        </x:is>
      </x:c>
      <x:c r="G901" s="4" t="inlineStr">
        <x:is>
          <x:t xml:space="preserve">Steel armor family: individually listed armored boots. A matched pair of armored foot coverings, separate from shin guards. Closer-fitting steel plates with overlapping articulation and narrow reinforced edges. Construction and protection are proposals; the five family pieces remain separate items.</x:t>
        </x:is>
      </x:c>
      <x:c r="H901" s="4" t="inlineStr">
        <x:is>
          <x:t xml:space="preserve">Unassigned; no new slot approved</x:t>
        </x:is>
      </x:c>
      <x:c r="I901" s="4" t="inlineStr">
        <x:is>
          <x:t xml:space="preserve">Booter-worn armor concept; fitting, packing and spare-cargo rules unresolved.</x:t>
        </x:is>
      </x:c>
      <x:c r="J901" s="4"/>
      <x:c r="K901" s="4"/>
      <x:c r="L901" s="4" t="inlineStr">
        <x:is>
          <x:t xml:space="preserve">Proposed contemporary fabrication or specialist trade; construction recipe unresolved.</x:t>
        </x:is>
      </x:c>
      <x:c r="M901" s="4" t="inlineStr">
        <x:is>
          <x:t xml:space="preserve">Separate fitted piece using selected qualified stock; no whole-set recipe, quantities, yield or production time authored.</x:t>
        </x:is>
      </x:c>
      <x:c r="N901" s="4" t="inlineStr">
        <x:is>
          <x:t xml:space="preserve">Not implemented</x:t>
        </x:is>
      </x:c>
      <x:c r="O901" s="4" t="inlineStr">
        <x:is>
          <x:t xml:space="preserve">Fit, coverage, articulation, mass, durability and protection remain proposals. No wood, ordinary cloth, free-water quenching, set bonuses or new equipment slots.</x:t>
        </x:is>
      </x:c>
      <x:c r="P901" s="4"/>
      <x:c r="Q901" s="4"/>
      <x:c r="R901" s="4"/>
      <x:c r="S901" s="4"/>
      <x:c r="T901" s="4"/>
      <x:c r="U901" s="4" t="inlineStr">
        <x:is>
          <x:t xml:space="preserve">A matched pair of armored foot coverings, separate from shin guards. Visual direction: Closer-fitting steel plates with overlapping articulation and narrow reinforced edges. Joining, fit, wearability and performance require design.</x:t>
        </x:is>
      </x:c>
      <x:c r="V901" s="4" t="inlineStr">
        <x:is>
          <x:t xml:space="preserve">steel armor set; steel armor family; steel armor; boots; separate armor piece</x:t>
        </x:is>
      </x:c>
      <x:c r="W901"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1" s="4" t="inlineStr">
        <x:is>
          <x:t xml:space="preserve">Armor</x:t>
        </x:is>
      </x:c>
      <x:c r="Y901" s="4" t="inlineStr">
        <x:is>
          <x:t xml:space="preserve">Finished item</x:t>
        </x:is>
      </x:c>
      <x:c r="Z901" s="4" t="inlineStr">
        <x:is>
          <x:t xml:space="preserve">Manufactured / unresolved</x:t>
        </x:is>
      </x:c>
      <x:c r="AA901" s="4" t="inlineStr">
        <x:is>
          <x:t xml:space="preserve">Protection</x:t>
        </x:is>
      </x:c>
      <x:c r="AB901" s="4" t="inlineStr">
        <x:is>
          <x:t xml:space="preserve">Metal</x:t>
        </x:is>
      </x:c>
      <x:c r="AC901" s="4" t="inlineStr">
        <x:is>
          <x:t xml:space="preserve">Assembly</x:t>
        </x:is>
      </x:c>
      <x:c r="AD901" s="4" t="inlineStr">
        <x:is>
          <x:t xml:space="preserve">Proposal</x:t>
        </x:is>
      </x:c>
      <x:c r="AE901" s="4" t="str">
        <x:f>LOWER(A901&amp;"; "&amp;B901&amp;"; "&amp;D901&amp;"; "&amp;E901&amp;"; "&amp;X901&amp;"; "&amp;Y901&amp;"; "&amp;Z901&amp;"; "&amp;AA901&amp;"; "&amp;AB901&amp;"; "&amp;AC901&amp;"; "&amp;AD901&amp;"; "&amp;V901&amp;"; "&amp;C901&amp;"; "&amp;AH901&amp;"; "&amp;AI901)</x:f>
        <x:v>proposal.armor.steel.boots; steel armored boots; armor; steel armor / boots; armor; finished item; manufactured / unresolved; protection; metal; assembly; proposal; steel armor set; steel armor family; steel armor; boots; separate armor piece; t3; t2; finished item</x:v>
      </x:c>
      <x:c r="AF901" s="4" t="inlineStr">
        <x:is>
          <x:t xml:space="preserve">One independently listed armor piece. Family membership is a design grouping, never another inventory item or a set bonus.</x:t>
        </x:is>
      </x:c>
      <x:c r="AG901" s="4" t="inlineStr">
        <x:is>
          <x:t xml:space="preserve">Proposed T3 finished piece using T2 inputs; material grade, fabrication and protection are unresolved.</x:t>
        </x:is>
      </x:c>
      <x:c r="AH901" s="4" t="inlineStr">
        <x:is>
          <x:t xml:space="preserve">T2</x:t>
        </x:is>
      </x:c>
      <x:c r="AI901" s="4" t="inlineStr">
        <x:is>
          <x:t xml:space="preserve">Finished item</x:t>
        </x:is>
      </x:c>
      <x:c r="AJ901" s="4">
        <x:f>COUNTIFS('Material routes'!$D$6:$D$2205,A901,'Material routes'!$C$6:$C$2205,"Output")</x:f>
        <x:v>0</x:v>
      </x:c>
      <x:c r="AK901" s="4">
        <x:f>SUM(COUNTIFS('Material routes'!$D$6:$D$2205,A901,'Material routes'!$C$6:$C$2205,"Ingredient candidate"),COUNTIFS('Material routes'!$D$6:$D$2205,A901,'Material routes'!$C$6:$C$2205,"Consumed input"),COUNTIFS('Material routes'!$D$6:$D$2205,A901,'Material routes'!$C$6:$C$2205,"Contained input"),COUNTIFS('Material routes'!$D$6:$D$2205,A901,'Material routes'!$C$6:$C$2205,"Transform input"))</x:f>
        <x:v>0</x:v>
      </x:c>
      <x:c r="AL901" s="4">
        <x:f>COUNTIFS('Material routes'!$D$6:$D$2205,A901,'Material routes'!$C$6:$C$2205,"Tool candidate")</x:f>
        <x:v>0</x:v>
      </x:c>
      <x:c r="AM901" s="4" t="str">
        <x:f>IF(AJ901&gt;0,"Route listed; review status/completeness",IF(C901="T0","Raw entry feed; no production route","No production route listed"))</x:f>
        <x:v>No production route listed</x:v>
      </x:c>
      <x:c r="AN901" s="4">
        <x:f>IF(C901="T0",0,IF(C901="T1",1,IF(C901="T2",2,IF(C901="T3",3,IF(C901="T4",4,IF(C901="Unassigned",98,99))))))</x:f>
        <x:v>3</x:v>
      </x:c>
    </x:row>
    <x:row r="902">
      <x:c r="A902" s="4" t="inlineStr">
        <x:is>
          <x:t xml:space="preserve">proposal.armor.steel.arms</x:t>
        </x:is>
      </x:c>
      <x:c r="B902" s="4" t="inlineStr">
        <x:is>
          <x:t xml:space="preserve">Steel arm guards</x:t>
        </x:is>
      </x:c>
      <x:c r="C902" s="4" t="inlineStr">
        <x:is>
          <x:t xml:space="preserve">T3</x:t>
        </x:is>
      </x:c>
      <x:c r="D902" s="4" t="inlineStr">
        <x:is>
          <x:t xml:space="preserve">Armor</x:t>
        </x:is>
      </x:c>
      <x:c r="E902" s="4" t="inlineStr">
        <x:is>
          <x:t xml:space="preserve">Steel armor / arms</x:t>
        </x:is>
      </x:c>
      <x:c r="F902" s="4" t="inlineStr">
        <x:is>
          <x:t xml:space="preserve">New proposal</x:t>
        </x:is>
      </x:c>
      <x:c r="G902" s="4" t="inlineStr">
        <x:is>
          <x:t xml:space="preserve">Steel armor family: individually listed arm guards. Paired upper-arm, elbow and forearm guards; no extra glove item or hand-protection claim. Closer-fitting steel plates with overlapping articulation and narrow reinforced edges. Construction and protection are proposals; the five family pieces remain separate items.</x:t>
        </x:is>
      </x:c>
      <x:c r="H902" s="4" t="inlineStr">
        <x:is>
          <x:t xml:space="preserve">Unassigned; no new slot approved</x:t>
        </x:is>
      </x:c>
      <x:c r="I902" s="4" t="inlineStr">
        <x:is>
          <x:t xml:space="preserve">Booter-worn armor concept; fitting, packing and spare-cargo rules unresolved.</x:t>
        </x:is>
      </x:c>
      <x:c r="J902" s="4"/>
      <x:c r="K902" s="4"/>
      <x:c r="L902" s="4" t="inlineStr">
        <x:is>
          <x:t xml:space="preserve">Proposed contemporary fabrication or specialist trade; construction recipe unresolved.</x:t>
        </x:is>
      </x:c>
      <x:c r="M902" s="4" t="inlineStr">
        <x:is>
          <x:t xml:space="preserve">Separate fitted piece using selected qualified stock; no whole-set recipe, quantities, yield or production time authored.</x:t>
        </x:is>
      </x:c>
      <x:c r="N902" s="4" t="inlineStr">
        <x:is>
          <x:t xml:space="preserve">Not implemented</x:t>
        </x:is>
      </x:c>
      <x:c r="O902" s="4" t="inlineStr">
        <x:is>
          <x:t xml:space="preserve">Fit, coverage, articulation, mass, durability and protection remain proposals. No wood, ordinary cloth, free-water quenching, set bonuses or new equipment slots.</x:t>
        </x:is>
      </x:c>
      <x:c r="P902" s="4"/>
      <x:c r="Q902" s="4"/>
      <x:c r="R902" s="4"/>
      <x:c r="S902" s="4"/>
      <x:c r="T902" s="4"/>
      <x:c r="U902" s="4" t="inlineStr">
        <x:is>
          <x:t xml:space="preserve">Paired upper-arm, elbow and forearm guards; no extra glove item or hand-protection claim. Visual direction: Closer-fitting steel plates with overlapping articulation and narrow reinforced edges. Joining, fit, wearability and performance require design.</x:t>
        </x:is>
      </x:c>
      <x:c r="V902" s="4" t="inlineStr">
        <x:is>
          <x:t xml:space="preserve">steel armor set; steel armor family; steel armor; arms; separate armor piece</x:t>
        </x:is>
      </x:c>
      <x:c r="W902"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2" s="4" t="inlineStr">
        <x:is>
          <x:t xml:space="preserve">Armor</x:t>
        </x:is>
      </x:c>
      <x:c r="Y902" s="4" t="inlineStr">
        <x:is>
          <x:t xml:space="preserve">Finished item</x:t>
        </x:is>
      </x:c>
      <x:c r="Z902" s="4" t="inlineStr">
        <x:is>
          <x:t xml:space="preserve">Manufactured / unresolved</x:t>
        </x:is>
      </x:c>
      <x:c r="AA902" s="4" t="inlineStr">
        <x:is>
          <x:t xml:space="preserve">Protection</x:t>
        </x:is>
      </x:c>
      <x:c r="AB902" s="4" t="inlineStr">
        <x:is>
          <x:t xml:space="preserve">Metal</x:t>
        </x:is>
      </x:c>
      <x:c r="AC902" s="4" t="inlineStr">
        <x:is>
          <x:t xml:space="preserve">Assembly</x:t>
        </x:is>
      </x:c>
      <x:c r="AD902" s="4" t="inlineStr">
        <x:is>
          <x:t xml:space="preserve">Proposal</x:t>
        </x:is>
      </x:c>
      <x:c r="AE902" s="4" t="str">
        <x:f>LOWER(A902&amp;"; "&amp;B902&amp;"; "&amp;D902&amp;"; "&amp;E902&amp;"; "&amp;X902&amp;"; "&amp;Y902&amp;"; "&amp;Z902&amp;"; "&amp;AA902&amp;"; "&amp;AB902&amp;"; "&amp;AC902&amp;"; "&amp;AD902&amp;"; "&amp;V902&amp;"; "&amp;C902&amp;"; "&amp;AH902&amp;"; "&amp;AI902)</x:f>
        <x:v>proposal.armor.steel.arms; steel arm guards; armor; steel armor / arms; armor; finished item; manufactured / unresolved; protection; metal; assembly; proposal; steel armor set; steel armor family; steel armor; arms; separate armor piece; t3; t2; finished item</x:v>
      </x:c>
      <x:c r="AF902" s="4" t="inlineStr">
        <x:is>
          <x:t xml:space="preserve">One independently listed armor piece. Family membership is a design grouping, never another inventory item or a set bonus.</x:t>
        </x:is>
      </x:c>
      <x:c r="AG902" s="4" t="inlineStr">
        <x:is>
          <x:t xml:space="preserve">Proposed T3 finished piece using T2 inputs; material grade, fabrication and protection are unresolved.</x:t>
        </x:is>
      </x:c>
      <x:c r="AH902" s="4" t="inlineStr">
        <x:is>
          <x:t xml:space="preserve">T2</x:t>
        </x:is>
      </x:c>
      <x:c r="AI902" s="4" t="inlineStr">
        <x:is>
          <x:t xml:space="preserve">Finished item</x:t>
        </x:is>
      </x:c>
      <x:c r="AJ902" s="4">
        <x:f>COUNTIFS('Material routes'!$D$6:$D$2205,A902,'Material routes'!$C$6:$C$2205,"Output")</x:f>
        <x:v>0</x:v>
      </x:c>
      <x:c r="AK902" s="4">
        <x:f>SUM(COUNTIFS('Material routes'!$D$6:$D$2205,A902,'Material routes'!$C$6:$C$2205,"Ingredient candidate"),COUNTIFS('Material routes'!$D$6:$D$2205,A902,'Material routes'!$C$6:$C$2205,"Consumed input"),COUNTIFS('Material routes'!$D$6:$D$2205,A902,'Material routes'!$C$6:$C$2205,"Contained input"),COUNTIFS('Material routes'!$D$6:$D$2205,A902,'Material routes'!$C$6:$C$2205,"Transform input"))</x:f>
        <x:v>0</x:v>
      </x:c>
      <x:c r="AL902" s="4">
        <x:f>COUNTIFS('Material routes'!$D$6:$D$2205,A902,'Material routes'!$C$6:$C$2205,"Tool candidate")</x:f>
        <x:v>0</x:v>
      </x:c>
      <x:c r="AM902" s="4" t="str">
        <x:f>IF(AJ902&gt;0,"Route listed; review status/completeness",IF(C902="T0","Raw entry feed; no production route","No production route listed"))</x:f>
        <x:v>No production route listed</x:v>
      </x:c>
      <x:c r="AN902" s="4">
        <x:f>IF(C902="T0",0,IF(C902="T1",1,IF(C902="T2",2,IF(C902="T3",3,IF(C902="T4",4,IF(C902="Unassigned",98,99))))))</x:f>
        <x:v>3</x:v>
      </x:c>
    </x:row>
    <x:row r="903">
      <x:c r="A903" s="4" t="inlineStr">
        <x:is>
          <x:t xml:space="preserve">proposal.armor.steel.helmet</x:t>
        </x:is>
      </x:c>
      <x:c r="B903" s="4" t="inlineStr">
        <x:is>
          <x:t xml:space="preserve">Steel helmet</x:t>
        </x:is>
      </x:c>
      <x:c r="C903" s="4" t="inlineStr">
        <x:is>
          <x:t xml:space="preserve">T3</x:t>
        </x:is>
      </x:c>
      <x:c r="D903" s="4" t="inlineStr">
        <x:is>
          <x:t xml:space="preserve">Armor</x:t>
        </x:is>
      </x:c>
      <x:c r="E903" s="4" t="inlineStr">
        <x:is>
          <x:t xml:space="preserve">Steel armor / helmet</x:t>
        </x:is>
      </x:c>
      <x:c r="F903" s="4" t="inlineStr">
        <x:is>
          <x:t xml:space="preserve">New proposal</x:t>
        </x:is>
      </x:c>
      <x:c r="G903" s="4" t="inlineStr">
        <x:is>
          <x:t xml:space="preserve">Steel armor family: individually listed helmet. Head covering with sight, hearing and canister clearance requiring design. Closer-fitting steel plates with overlapping articulation and narrow reinforced edges. Construction and protection are proposals; the five family pieces remain separate items.</x:t>
        </x:is>
      </x:c>
      <x:c r="H903" s="4" t="inlineStr">
        <x:is>
          <x:t xml:space="preserve">Unassigned; no new slot approved</x:t>
        </x:is>
      </x:c>
      <x:c r="I903" s="4" t="inlineStr">
        <x:is>
          <x:t xml:space="preserve">Booter-worn armor concept; fitting, packing and spare-cargo rules unresolved.</x:t>
        </x:is>
      </x:c>
      <x:c r="J903" s="4"/>
      <x:c r="K903" s="4"/>
      <x:c r="L903" s="4" t="inlineStr">
        <x:is>
          <x:t xml:space="preserve">Proposed contemporary fabrication or specialist trade; construction recipe unresolved.</x:t>
        </x:is>
      </x:c>
      <x:c r="M903" s="4" t="inlineStr">
        <x:is>
          <x:t xml:space="preserve">Separate fitted piece using selected qualified stock; no whole-set recipe, quantities, yield or production time authored.</x:t>
        </x:is>
      </x:c>
      <x:c r="N903" s="4" t="inlineStr">
        <x:is>
          <x:t xml:space="preserve">Not implemented</x:t>
        </x:is>
      </x:c>
      <x:c r="O903" s="4" t="inlineStr">
        <x:is>
          <x:t xml:space="preserve">Fit, coverage, articulation, mass, durability and protection remain proposals. No wood, ordinary cloth, free-water quenching, set bonuses or new equipment slots.</x:t>
        </x:is>
      </x:c>
      <x:c r="P903" s="4"/>
      <x:c r="Q903" s="4"/>
      <x:c r="R903" s="4"/>
      <x:c r="S903" s="4"/>
      <x:c r="T903" s="4"/>
      <x:c r="U903" s="4" t="inlineStr">
        <x:is>
          <x:t xml:space="preserve">Head covering with sight, hearing and canister clearance requiring design. Visual direction: Closer-fitting steel plates with overlapping articulation and narrow reinforced edges. Joining, fit, wearability and performance require design.</x:t>
        </x:is>
      </x:c>
      <x:c r="V903" s="4" t="inlineStr">
        <x:is>
          <x:t xml:space="preserve">steel armor set; steel armor family; steel armor; helmet; separate armor piece</x:t>
        </x:is>
      </x:c>
      <x:c r="W903"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3" s="4" t="inlineStr">
        <x:is>
          <x:t xml:space="preserve">Armor</x:t>
        </x:is>
      </x:c>
      <x:c r="Y903" s="4" t="inlineStr">
        <x:is>
          <x:t xml:space="preserve">Finished item</x:t>
        </x:is>
      </x:c>
      <x:c r="Z903" s="4" t="inlineStr">
        <x:is>
          <x:t xml:space="preserve">Manufactured / unresolved</x:t>
        </x:is>
      </x:c>
      <x:c r="AA903" s="4" t="inlineStr">
        <x:is>
          <x:t xml:space="preserve">Protection</x:t>
        </x:is>
      </x:c>
      <x:c r="AB903" s="4" t="inlineStr">
        <x:is>
          <x:t xml:space="preserve">Metal</x:t>
        </x:is>
      </x:c>
      <x:c r="AC903" s="4" t="inlineStr">
        <x:is>
          <x:t xml:space="preserve">Assembly</x:t>
        </x:is>
      </x:c>
      <x:c r="AD903" s="4" t="inlineStr">
        <x:is>
          <x:t xml:space="preserve">Proposal</x:t>
        </x:is>
      </x:c>
      <x:c r="AE903" s="4" t="str">
        <x:f>LOWER(A903&amp;"; "&amp;B903&amp;"; "&amp;D903&amp;"; "&amp;E903&amp;"; "&amp;X903&amp;"; "&amp;Y903&amp;"; "&amp;Z903&amp;"; "&amp;AA903&amp;"; "&amp;AB903&amp;"; "&amp;AC903&amp;"; "&amp;AD903&amp;"; "&amp;V903&amp;"; "&amp;C903&amp;"; "&amp;AH903&amp;"; "&amp;AI903)</x:f>
        <x:v>proposal.armor.steel.helmet; steel helmet; armor; steel armor / helmet; armor; finished item; manufactured / unresolved; protection; metal; assembly; proposal; steel armor set; steel armor family; steel armor; helmet; separate armor piece; t3; t2; finished item</x:v>
      </x:c>
      <x:c r="AF903" s="4" t="inlineStr">
        <x:is>
          <x:t xml:space="preserve">One independently listed armor piece. Family membership is a design grouping, never another inventory item or a set bonus.</x:t>
        </x:is>
      </x:c>
      <x:c r="AG903" s="4" t="inlineStr">
        <x:is>
          <x:t xml:space="preserve">Proposed T3 finished piece using T2 inputs; material grade, fabrication and protection are unresolved.</x:t>
        </x:is>
      </x:c>
      <x:c r="AH903" s="4" t="inlineStr">
        <x:is>
          <x:t xml:space="preserve">T2</x:t>
        </x:is>
      </x:c>
      <x:c r="AI903" s="4" t="inlineStr">
        <x:is>
          <x:t xml:space="preserve">Finished item</x:t>
        </x:is>
      </x:c>
      <x:c r="AJ903" s="4">
        <x:f>COUNTIFS('Material routes'!$D$6:$D$2205,A903,'Material routes'!$C$6:$C$2205,"Output")</x:f>
        <x:v>0</x:v>
      </x:c>
      <x:c r="AK903" s="4">
        <x:f>SUM(COUNTIFS('Material routes'!$D$6:$D$2205,A903,'Material routes'!$C$6:$C$2205,"Ingredient candidate"),COUNTIFS('Material routes'!$D$6:$D$2205,A903,'Material routes'!$C$6:$C$2205,"Consumed input"),COUNTIFS('Material routes'!$D$6:$D$2205,A903,'Material routes'!$C$6:$C$2205,"Contained input"),COUNTIFS('Material routes'!$D$6:$D$2205,A903,'Material routes'!$C$6:$C$2205,"Transform input"))</x:f>
        <x:v>0</x:v>
      </x:c>
      <x:c r="AL903" s="4">
        <x:f>COUNTIFS('Material routes'!$D$6:$D$2205,A903,'Material routes'!$C$6:$C$2205,"Tool candidate")</x:f>
        <x:v>0</x:v>
      </x:c>
      <x:c r="AM903" s="4" t="str">
        <x:f>IF(AJ903&gt;0,"Route listed; review status/completeness",IF(C903="T0","Raw entry feed; no production route","No production route listed"))</x:f>
        <x:v>No production route listed</x:v>
      </x:c>
      <x:c r="AN903" s="4">
        <x:f>IF(C903="T0",0,IF(C903="T1",1,IF(C903="T2",2,IF(C903="T3",3,IF(C903="T4",4,IF(C903="Unassigned",98,99))))))</x:f>
        <x:v>3</x:v>
      </x:c>
    </x:row>
    <x:row r="904">
      <x:c r="A904" s="4" t="inlineStr">
        <x:is>
          <x:t xml:space="preserve">proposal.armor.chitin.chest</x:t>
        </x:is>
      </x:c>
      <x:c r="B904" s="4" t="inlineStr">
        <x:is>
          <x:t xml:space="preserve">Chitin chestplate</x:t>
        </x:is>
      </x:c>
      <x:c r="C904" s="4" t="inlineStr">
        <x:is>
          <x:t xml:space="preserve">T2</x:t>
        </x:is>
      </x:c>
      <x:c r="D904" s="4" t="inlineStr">
        <x:is>
          <x:t xml:space="preserve">Armor</x:t>
        </x:is>
      </x:c>
      <x:c r="E904" s="4" t="inlineStr">
        <x:is>
          <x:t xml:space="preserve">Chitin armor / chest</x:t>
        </x:is>
      </x:c>
      <x:c r="F904" s="4" t="inlineStr">
        <x:is>
          <x:t xml:space="preserve">New proposal</x:t>
        </x:is>
      </x:c>
      <x:c r="G904" s="4" t="inlineStr">
        <x:is>
          <x:t xml:space="preserve">Chitin armor family: individually listed chestplate. Torso and upper back; a chest piece does not include arm or leg pieces. Layered curved shell plates with visible growth texture and small metal or tendon joining points. Construction and protection are proposals; the five family pieces remain separate items.</x:t>
        </x:is>
      </x:c>
      <x:c r="H904" s="4" t="inlineStr">
        <x:is>
          <x:t xml:space="preserve">Unassigned; no new slot approved</x:t>
        </x:is>
      </x:c>
      <x:c r="I904" s="4" t="inlineStr">
        <x:is>
          <x:t xml:space="preserve">Booter-worn armor concept; fitting, packing and spare-cargo rules unresolved.</x:t>
        </x:is>
      </x:c>
      <x:c r="J904" s="4"/>
      <x:c r="K904" s="4"/>
      <x:c r="L904" s="4" t="inlineStr">
        <x:is>
          <x:t xml:space="preserve">Proposed contemporary fabrication or specialist trade; construction recipe unresolved.</x:t>
        </x:is>
      </x:c>
      <x:c r="M904" s="4" t="inlineStr">
        <x:is>
          <x:t xml:space="preserve">Separate fitted piece using selected qualified stock; no whole-set recipe, quantities, yield or production time authored.</x:t>
        </x:is>
      </x:c>
      <x:c r="N904" s="4" t="inlineStr">
        <x:is>
          <x:t xml:space="preserve">Not implemented</x:t>
        </x:is>
      </x:c>
      <x:c r="O904" s="4" t="inlineStr">
        <x:is>
          <x:t xml:space="preserve">Fit, coverage, articulation, mass, durability and protection remain proposals. No wood, ordinary cloth, free-water quenching, set bonuses or new equipment slots.</x:t>
        </x:is>
      </x:c>
      <x:c r="P904" s="4"/>
      <x:c r="Q904" s="4"/>
      <x:c r="R904" s="4"/>
      <x:c r="S904" s="4"/>
      <x:c r="T904" s="4"/>
      <x:c r="U904" s="4" t="inlineStr">
        <x:is>
          <x:t xml:space="preserve">Torso and upper back; a chest piece does not include arm or leg pieces. Visual direction: Layered curved shell plates with visible growth texture and small metal or tendon joining points. Joining, fit, wearability and performance require design.</x:t>
        </x:is>
      </x:c>
      <x:c r="V904" s="4" t="inlineStr">
        <x:is>
          <x:t xml:space="preserve">chitin armor set; chitin armor family; chitin armor; chest; separate armor piece</x:t>
        </x:is>
      </x:c>
      <x:c r="W904"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4" s="4" t="inlineStr">
        <x:is>
          <x:t xml:space="preserve">Armor</x:t>
        </x:is>
      </x:c>
      <x:c r="Y904" s="4" t="inlineStr">
        <x:is>
          <x:t xml:space="preserve">Finished item</x:t>
        </x:is>
      </x:c>
      <x:c r="Z904" s="4" t="inlineStr">
        <x:is>
          <x:t xml:space="preserve">Manufactured / unresolved</x:t>
        </x:is>
      </x:c>
      <x:c r="AA904" s="4" t="inlineStr">
        <x:is>
          <x:t xml:space="preserve">Protection</x:t>
        </x:is>
      </x:c>
      <x:c r="AB904" s="4" t="inlineStr">
        <x:is>
          <x:t xml:space="preserve">Shell / chitin</x:t>
        </x:is>
      </x:c>
      <x:c r="AC904" s="4" t="inlineStr">
        <x:is>
          <x:t xml:space="preserve">Assembly</x:t>
        </x:is>
      </x:c>
      <x:c r="AD904" s="4" t="inlineStr">
        <x:is>
          <x:t xml:space="preserve">Proposal</x:t>
        </x:is>
      </x:c>
      <x:c r="AE904" s="4" t="str">
        <x:f>LOWER(A904&amp;"; "&amp;B904&amp;"; "&amp;D904&amp;"; "&amp;E904&amp;"; "&amp;X904&amp;"; "&amp;Y904&amp;"; "&amp;Z904&amp;"; "&amp;AA904&amp;"; "&amp;AB904&amp;"; "&amp;AC904&amp;"; "&amp;AD904&amp;"; "&amp;V904&amp;"; "&amp;C904&amp;"; "&amp;AH904&amp;"; "&amp;AI904)</x:f>
        <x:v>proposal.armor.chitin.chest; chitin chestplate; armor; chitin armor / chest; armor; finished item; manufactured / unresolved; protection; shell / chitin; assembly; proposal; chitin armor set; chitin armor family; chitin armor; chest; separate armor piece; t2; t1; finished item</x:v>
      </x:c>
      <x:c r="AF904" s="4" t="inlineStr">
        <x:is>
          <x:t xml:space="preserve">One independently listed armor piece. Family membership is a design grouping, never another inventory item or a set bonus.</x:t>
        </x:is>
      </x:c>
      <x:c r="AG904" s="4" t="inlineStr">
        <x:is>
          <x:t xml:space="preserve">Proposed T2 finished piece using T1 inputs; material grade, fabrication and protection are unresolved.</x:t>
        </x:is>
      </x:c>
      <x:c r="AH904" s="4" t="inlineStr">
        <x:is>
          <x:t xml:space="preserve">T1</x:t>
        </x:is>
      </x:c>
      <x:c r="AI904" s="4" t="inlineStr">
        <x:is>
          <x:t xml:space="preserve">Finished item</x:t>
        </x:is>
      </x:c>
      <x:c r="AJ904" s="4">
        <x:f>COUNTIFS('Material routes'!$D$6:$D$2205,A904,'Material routes'!$C$6:$C$2205,"Output")</x:f>
        <x:v>0</x:v>
      </x:c>
      <x:c r="AK904" s="4">
        <x:f>SUM(COUNTIFS('Material routes'!$D$6:$D$2205,A904,'Material routes'!$C$6:$C$2205,"Ingredient candidate"),COUNTIFS('Material routes'!$D$6:$D$2205,A904,'Material routes'!$C$6:$C$2205,"Consumed input"),COUNTIFS('Material routes'!$D$6:$D$2205,A904,'Material routes'!$C$6:$C$2205,"Contained input"),COUNTIFS('Material routes'!$D$6:$D$2205,A904,'Material routes'!$C$6:$C$2205,"Transform input"))</x:f>
        <x:v>0</x:v>
      </x:c>
      <x:c r="AL904" s="4">
        <x:f>COUNTIFS('Material routes'!$D$6:$D$2205,A904,'Material routes'!$C$6:$C$2205,"Tool candidate")</x:f>
        <x:v>0</x:v>
      </x:c>
      <x:c r="AM904" s="4" t="str">
        <x:f>IF(AJ904&gt;0,"Route listed; review status/completeness",IF(C904="T0","Raw entry feed; no production route","No production route listed"))</x:f>
        <x:v>No production route listed</x:v>
      </x:c>
      <x:c r="AN904" s="4">
        <x:f>IF(C904="T0",0,IF(C904="T1",1,IF(C904="T2",2,IF(C904="T3",3,IF(C904="T4",4,IF(C904="Unassigned",98,99))))))</x:f>
        <x:v>2</x:v>
      </x:c>
    </x:row>
    <x:row r="905">
      <x:c r="A905" s="4" t="inlineStr">
        <x:is>
          <x:t xml:space="preserve">proposal.armor.chitin.legs</x:t>
        </x:is>
      </x:c>
      <x:c r="B905" s="4" t="inlineStr">
        <x:is>
          <x:t xml:space="preserve">Chitin leg guards</x:t>
        </x:is>
      </x:c>
      <x:c r="C905" s="4" t="inlineStr">
        <x:is>
          <x:t xml:space="preserve">T2</x:t>
        </x:is>
      </x:c>
      <x:c r="D905" s="4" t="inlineStr">
        <x:is>
          <x:t xml:space="preserve">Armor</x:t>
        </x:is>
      </x:c>
      <x:c r="E905" s="4" t="inlineStr">
        <x:is>
          <x:t xml:space="preserve">Chitin armor / legs</x:t>
        </x:is>
      </x:c>
      <x:c r="F905" s="4" t="inlineStr">
        <x:is>
          <x:t xml:space="preserve">New proposal</x:t>
        </x:is>
      </x:c>
      <x:c r="G905" s="4" t="inlineStr">
        <x:is>
          <x:t xml:space="preserve">Chitin armor family: individually listed leg guards. Paired thigh, knee and shin guards; boots remain a separate item. Layered curved shell plates with visible growth texture and small metal or tendon joining points. Construction and protection are proposals; the five family pieces remain separate items.</x:t>
        </x:is>
      </x:c>
      <x:c r="H905" s="4" t="inlineStr">
        <x:is>
          <x:t xml:space="preserve">Unassigned; no new slot approved</x:t>
        </x:is>
      </x:c>
      <x:c r="I905" s="4" t="inlineStr">
        <x:is>
          <x:t xml:space="preserve">Booter-worn armor concept; fitting, packing and spare-cargo rules unresolved.</x:t>
        </x:is>
      </x:c>
      <x:c r="J905" s="4"/>
      <x:c r="K905" s="4"/>
      <x:c r="L905" s="4" t="inlineStr">
        <x:is>
          <x:t xml:space="preserve">Proposed contemporary fabrication or specialist trade; construction recipe unresolved.</x:t>
        </x:is>
      </x:c>
      <x:c r="M905" s="4" t="inlineStr">
        <x:is>
          <x:t xml:space="preserve">Separate fitted piece using selected qualified stock; no whole-set recipe, quantities, yield or production time authored.</x:t>
        </x:is>
      </x:c>
      <x:c r="N905" s="4" t="inlineStr">
        <x:is>
          <x:t xml:space="preserve">Not implemented</x:t>
        </x:is>
      </x:c>
      <x:c r="O905" s="4" t="inlineStr">
        <x:is>
          <x:t xml:space="preserve">Fit, coverage, articulation, mass, durability and protection remain proposals. No wood, ordinary cloth, free-water quenching, set bonuses or new equipment slots.</x:t>
        </x:is>
      </x:c>
      <x:c r="P905" s="4"/>
      <x:c r="Q905" s="4"/>
      <x:c r="R905" s="4"/>
      <x:c r="S905" s="4"/>
      <x:c r="T905" s="4"/>
      <x:c r="U905" s="4" t="inlineStr">
        <x:is>
          <x:t xml:space="preserve">Paired thigh, knee and shin guards; boots remain a separate item. Visual direction: Layered curved shell plates with visible growth texture and small metal or tendon joining points. Joining, fit, wearability and performance require design.</x:t>
        </x:is>
      </x:c>
      <x:c r="V905" s="4" t="inlineStr">
        <x:is>
          <x:t xml:space="preserve">chitin armor set; chitin armor family; chitin armor; legs; separate armor piece</x:t>
        </x:is>
      </x:c>
      <x:c r="W905"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5" s="4" t="inlineStr">
        <x:is>
          <x:t xml:space="preserve">Armor</x:t>
        </x:is>
      </x:c>
      <x:c r="Y905" s="4" t="inlineStr">
        <x:is>
          <x:t xml:space="preserve">Finished item</x:t>
        </x:is>
      </x:c>
      <x:c r="Z905" s="4" t="inlineStr">
        <x:is>
          <x:t xml:space="preserve">Manufactured / unresolved</x:t>
        </x:is>
      </x:c>
      <x:c r="AA905" s="4" t="inlineStr">
        <x:is>
          <x:t xml:space="preserve">Protection</x:t>
        </x:is>
      </x:c>
      <x:c r="AB905" s="4" t="inlineStr">
        <x:is>
          <x:t xml:space="preserve">Shell / chitin</x:t>
        </x:is>
      </x:c>
      <x:c r="AC905" s="4" t="inlineStr">
        <x:is>
          <x:t xml:space="preserve">Assembly</x:t>
        </x:is>
      </x:c>
      <x:c r="AD905" s="4" t="inlineStr">
        <x:is>
          <x:t xml:space="preserve">Proposal</x:t>
        </x:is>
      </x:c>
      <x:c r="AE905" s="4" t="str">
        <x:f>LOWER(A905&amp;"; "&amp;B905&amp;"; "&amp;D905&amp;"; "&amp;E905&amp;"; "&amp;X905&amp;"; "&amp;Y905&amp;"; "&amp;Z905&amp;"; "&amp;AA905&amp;"; "&amp;AB905&amp;"; "&amp;AC905&amp;"; "&amp;AD905&amp;"; "&amp;V905&amp;"; "&amp;C905&amp;"; "&amp;AH905&amp;"; "&amp;AI905)</x:f>
        <x:v>proposal.armor.chitin.legs; chitin leg guards; armor; chitin armor / legs; armor; finished item; manufactured / unresolved; protection; shell / chitin; assembly; proposal; chitin armor set; chitin armor family; chitin armor; legs; separate armor piece; t2; t1; finished item</x:v>
      </x:c>
      <x:c r="AF905" s="4" t="inlineStr">
        <x:is>
          <x:t xml:space="preserve">One independently listed armor piece. Family membership is a design grouping, never another inventory item or a set bonus.</x:t>
        </x:is>
      </x:c>
      <x:c r="AG905" s="4" t="inlineStr">
        <x:is>
          <x:t xml:space="preserve">Proposed T2 finished piece using T1 inputs; material grade, fabrication and protection are unresolved.</x:t>
        </x:is>
      </x:c>
      <x:c r="AH905" s="4" t="inlineStr">
        <x:is>
          <x:t xml:space="preserve">T1</x:t>
        </x:is>
      </x:c>
      <x:c r="AI905" s="4" t="inlineStr">
        <x:is>
          <x:t xml:space="preserve">Finished item</x:t>
        </x:is>
      </x:c>
      <x:c r="AJ905" s="4">
        <x:f>COUNTIFS('Material routes'!$D$6:$D$2205,A905,'Material routes'!$C$6:$C$2205,"Output")</x:f>
        <x:v>0</x:v>
      </x:c>
      <x:c r="AK905" s="4">
        <x:f>SUM(COUNTIFS('Material routes'!$D$6:$D$2205,A905,'Material routes'!$C$6:$C$2205,"Ingredient candidate"),COUNTIFS('Material routes'!$D$6:$D$2205,A905,'Material routes'!$C$6:$C$2205,"Consumed input"),COUNTIFS('Material routes'!$D$6:$D$2205,A905,'Material routes'!$C$6:$C$2205,"Contained input"),COUNTIFS('Material routes'!$D$6:$D$2205,A905,'Material routes'!$C$6:$C$2205,"Transform input"))</x:f>
        <x:v>0</x:v>
      </x:c>
      <x:c r="AL905" s="4">
        <x:f>COUNTIFS('Material routes'!$D$6:$D$2205,A905,'Material routes'!$C$6:$C$2205,"Tool candidate")</x:f>
        <x:v>0</x:v>
      </x:c>
      <x:c r="AM905" s="4" t="str">
        <x:f>IF(AJ905&gt;0,"Route listed; review status/completeness",IF(C905="T0","Raw entry feed; no production route","No production route listed"))</x:f>
        <x:v>No production route listed</x:v>
      </x:c>
      <x:c r="AN905" s="4">
        <x:f>IF(C905="T0",0,IF(C905="T1",1,IF(C905="T2",2,IF(C905="T3",3,IF(C905="T4",4,IF(C905="Unassigned",98,99))))))</x:f>
        <x:v>2</x:v>
      </x:c>
    </x:row>
    <x:row r="906">
      <x:c r="A906" s="4" t="inlineStr">
        <x:is>
          <x:t xml:space="preserve">proposal.armor.chitin.boots</x:t>
        </x:is>
      </x:c>
      <x:c r="B906" s="4" t="inlineStr">
        <x:is>
          <x:t xml:space="preserve">Chitin armored boots</x:t>
        </x:is>
      </x:c>
      <x:c r="C906" s="4" t="inlineStr">
        <x:is>
          <x:t xml:space="preserve">T2</x:t>
        </x:is>
      </x:c>
      <x:c r="D906" s="4" t="inlineStr">
        <x:is>
          <x:t xml:space="preserve">Armor</x:t>
        </x:is>
      </x:c>
      <x:c r="E906" s="4" t="inlineStr">
        <x:is>
          <x:t xml:space="preserve">Chitin armor / boots</x:t>
        </x:is>
      </x:c>
      <x:c r="F906" s="4" t="inlineStr">
        <x:is>
          <x:t xml:space="preserve">New proposal</x:t>
        </x:is>
      </x:c>
      <x:c r="G906" s="4" t="inlineStr">
        <x:is>
          <x:t xml:space="preserve">Chitin armor family: individually listed armored boots. A matched pair of armored foot coverings, separate from shin guards. Layered curved shell plates with visible growth texture and small metal or tendon joining points. Construction and protection are proposals; the five family pieces remain separate items.</x:t>
        </x:is>
      </x:c>
      <x:c r="H906" s="4" t="inlineStr">
        <x:is>
          <x:t xml:space="preserve">Unassigned; no new slot approved</x:t>
        </x:is>
      </x:c>
      <x:c r="I906" s="4" t="inlineStr">
        <x:is>
          <x:t xml:space="preserve">Booter-worn armor concept; fitting, packing and spare-cargo rules unresolved.</x:t>
        </x:is>
      </x:c>
      <x:c r="J906" s="4"/>
      <x:c r="K906" s="4"/>
      <x:c r="L906" s="4" t="inlineStr">
        <x:is>
          <x:t xml:space="preserve">Proposed contemporary fabrication or specialist trade; construction recipe unresolved.</x:t>
        </x:is>
      </x:c>
      <x:c r="M906" s="4" t="inlineStr">
        <x:is>
          <x:t xml:space="preserve">Separate fitted piece using selected qualified stock; no whole-set recipe, quantities, yield or production time authored.</x:t>
        </x:is>
      </x:c>
      <x:c r="N906" s="4" t="inlineStr">
        <x:is>
          <x:t xml:space="preserve">Not implemented</x:t>
        </x:is>
      </x:c>
      <x:c r="O906" s="4" t="inlineStr">
        <x:is>
          <x:t xml:space="preserve">Fit, coverage, articulation, mass, durability and protection remain proposals. No wood, ordinary cloth, free-water quenching, set bonuses or new equipment slots.</x:t>
        </x:is>
      </x:c>
      <x:c r="P906" s="4"/>
      <x:c r="Q906" s="4"/>
      <x:c r="R906" s="4"/>
      <x:c r="S906" s="4"/>
      <x:c r="T906" s="4"/>
      <x:c r="U906" s="4" t="inlineStr">
        <x:is>
          <x:t xml:space="preserve">A matched pair of armored foot coverings, separate from shin guards. Visual direction: Layered curved shell plates with visible growth texture and small metal or tendon joining points. Joining, fit, wearability and performance require design.</x:t>
        </x:is>
      </x:c>
      <x:c r="V906" s="4" t="inlineStr">
        <x:is>
          <x:t xml:space="preserve">chitin armor set; chitin armor family; chitin armor; boots; separate armor piece</x:t>
        </x:is>
      </x:c>
      <x:c r="W906"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6" s="4" t="inlineStr">
        <x:is>
          <x:t xml:space="preserve">Armor</x:t>
        </x:is>
      </x:c>
      <x:c r="Y906" s="4" t="inlineStr">
        <x:is>
          <x:t xml:space="preserve">Finished item</x:t>
        </x:is>
      </x:c>
      <x:c r="Z906" s="4" t="inlineStr">
        <x:is>
          <x:t xml:space="preserve">Manufactured / unresolved</x:t>
        </x:is>
      </x:c>
      <x:c r="AA906" s="4" t="inlineStr">
        <x:is>
          <x:t xml:space="preserve">Protection</x:t>
        </x:is>
      </x:c>
      <x:c r="AB906" s="4" t="inlineStr">
        <x:is>
          <x:t xml:space="preserve">Shell / chitin</x:t>
        </x:is>
      </x:c>
      <x:c r="AC906" s="4" t="inlineStr">
        <x:is>
          <x:t xml:space="preserve">Assembly</x:t>
        </x:is>
      </x:c>
      <x:c r="AD906" s="4" t="inlineStr">
        <x:is>
          <x:t xml:space="preserve">Proposal</x:t>
        </x:is>
      </x:c>
      <x:c r="AE906" s="4" t="str">
        <x:f>LOWER(A906&amp;"; "&amp;B906&amp;"; "&amp;D906&amp;"; "&amp;E906&amp;"; "&amp;X906&amp;"; "&amp;Y906&amp;"; "&amp;Z906&amp;"; "&amp;AA906&amp;"; "&amp;AB906&amp;"; "&amp;AC906&amp;"; "&amp;AD906&amp;"; "&amp;V906&amp;"; "&amp;C906&amp;"; "&amp;AH906&amp;"; "&amp;AI906)</x:f>
        <x:v>proposal.armor.chitin.boots; chitin armored boots; armor; chitin armor / boots; armor; finished item; manufactured / unresolved; protection; shell / chitin; assembly; proposal; chitin armor set; chitin armor family; chitin armor; boots; separate armor piece; t2; t1; finished item</x:v>
      </x:c>
      <x:c r="AF906" s="4" t="inlineStr">
        <x:is>
          <x:t xml:space="preserve">One independently listed armor piece. Family membership is a design grouping, never another inventory item or a set bonus.</x:t>
        </x:is>
      </x:c>
      <x:c r="AG906" s="4" t="inlineStr">
        <x:is>
          <x:t xml:space="preserve">Proposed T2 finished piece using T1 inputs; material grade, fabrication and protection are unresolved.</x:t>
        </x:is>
      </x:c>
      <x:c r="AH906" s="4" t="inlineStr">
        <x:is>
          <x:t xml:space="preserve">T1</x:t>
        </x:is>
      </x:c>
      <x:c r="AI906" s="4" t="inlineStr">
        <x:is>
          <x:t xml:space="preserve">Finished item</x:t>
        </x:is>
      </x:c>
      <x:c r="AJ906" s="4">
        <x:f>COUNTIFS('Material routes'!$D$6:$D$2205,A906,'Material routes'!$C$6:$C$2205,"Output")</x:f>
        <x:v>0</x:v>
      </x:c>
      <x:c r="AK906" s="4">
        <x:f>SUM(COUNTIFS('Material routes'!$D$6:$D$2205,A906,'Material routes'!$C$6:$C$2205,"Ingredient candidate"),COUNTIFS('Material routes'!$D$6:$D$2205,A906,'Material routes'!$C$6:$C$2205,"Consumed input"),COUNTIFS('Material routes'!$D$6:$D$2205,A906,'Material routes'!$C$6:$C$2205,"Contained input"),COUNTIFS('Material routes'!$D$6:$D$2205,A906,'Material routes'!$C$6:$C$2205,"Transform input"))</x:f>
        <x:v>0</x:v>
      </x:c>
      <x:c r="AL906" s="4">
        <x:f>COUNTIFS('Material routes'!$D$6:$D$2205,A906,'Material routes'!$C$6:$C$2205,"Tool candidate")</x:f>
        <x:v>0</x:v>
      </x:c>
      <x:c r="AM906" s="4" t="str">
        <x:f>IF(AJ906&gt;0,"Route listed; review status/completeness",IF(C906="T0","Raw entry feed; no production route","No production route listed"))</x:f>
        <x:v>No production route listed</x:v>
      </x:c>
      <x:c r="AN906" s="4">
        <x:f>IF(C906="T0",0,IF(C906="T1",1,IF(C906="T2",2,IF(C906="T3",3,IF(C906="T4",4,IF(C906="Unassigned",98,99))))))</x:f>
        <x:v>2</x:v>
      </x:c>
    </x:row>
    <x:row r="907">
      <x:c r="A907" s="4" t="inlineStr">
        <x:is>
          <x:t xml:space="preserve">proposal.armor.chitin.arms</x:t>
        </x:is>
      </x:c>
      <x:c r="B907" s="4" t="inlineStr">
        <x:is>
          <x:t xml:space="preserve">Chitin arm guards</x:t>
        </x:is>
      </x:c>
      <x:c r="C907" s="4" t="inlineStr">
        <x:is>
          <x:t xml:space="preserve">T2</x:t>
        </x:is>
      </x:c>
      <x:c r="D907" s="4" t="inlineStr">
        <x:is>
          <x:t xml:space="preserve">Armor</x:t>
        </x:is>
      </x:c>
      <x:c r="E907" s="4" t="inlineStr">
        <x:is>
          <x:t xml:space="preserve">Chitin armor / arms</x:t>
        </x:is>
      </x:c>
      <x:c r="F907" s="4" t="inlineStr">
        <x:is>
          <x:t xml:space="preserve">New proposal</x:t>
        </x:is>
      </x:c>
      <x:c r="G907" s="4" t="inlineStr">
        <x:is>
          <x:t xml:space="preserve">Chitin armor family: individually listed arm guards. Paired upper-arm, elbow and forearm guards; no extra glove item or hand-protection claim. Layered curved shell plates with visible growth texture and small metal or tendon joining points. Construction and protection are proposals; the five family pieces remain separate items.</x:t>
        </x:is>
      </x:c>
      <x:c r="H907" s="4" t="inlineStr">
        <x:is>
          <x:t xml:space="preserve">Unassigned; no new slot approved</x:t>
        </x:is>
      </x:c>
      <x:c r="I907" s="4" t="inlineStr">
        <x:is>
          <x:t xml:space="preserve">Booter-worn armor concept; fitting, packing and spare-cargo rules unresolved.</x:t>
        </x:is>
      </x:c>
      <x:c r="J907" s="4"/>
      <x:c r="K907" s="4"/>
      <x:c r="L907" s="4" t="inlineStr">
        <x:is>
          <x:t xml:space="preserve">Proposed contemporary fabrication or specialist trade; construction recipe unresolved.</x:t>
        </x:is>
      </x:c>
      <x:c r="M907" s="4" t="inlineStr">
        <x:is>
          <x:t xml:space="preserve">Separate fitted piece using selected qualified stock; no whole-set recipe, quantities, yield or production time authored.</x:t>
        </x:is>
      </x:c>
      <x:c r="N907" s="4" t="inlineStr">
        <x:is>
          <x:t xml:space="preserve">Not implemented</x:t>
        </x:is>
      </x:c>
      <x:c r="O907" s="4" t="inlineStr">
        <x:is>
          <x:t xml:space="preserve">Fit, coverage, articulation, mass, durability and protection remain proposals. No wood, ordinary cloth, free-water quenching, set bonuses or new equipment slots.</x:t>
        </x:is>
      </x:c>
      <x:c r="P907" s="4"/>
      <x:c r="Q907" s="4"/>
      <x:c r="R907" s="4"/>
      <x:c r="S907" s="4"/>
      <x:c r="T907" s="4"/>
      <x:c r="U907" s="4" t="inlineStr">
        <x:is>
          <x:t xml:space="preserve">Paired upper-arm, elbow and forearm guards; no extra glove item or hand-protection claim. Visual direction: Layered curved shell plates with visible growth texture and small metal or tendon joining points. Joining, fit, wearability and performance require design.</x:t>
        </x:is>
      </x:c>
      <x:c r="V907" s="4" t="inlineStr">
        <x:is>
          <x:t xml:space="preserve">chitin armor set; chitin armor family; chitin armor; arms; separate armor piece</x:t>
        </x:is>
      </x:c>
      <x:c r="W90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7" s="4" t="inlineStr">
        <x:is>
          <x:t xml:space="preserve">Armor</x:t>
        </x:is>
      </x:c>
      <x:c r="Y907" s="4" t="inlineStr">
        <x:is>
          <x:t xml:space="preserve">Finished item</x:t>
        </x:is>
      </x:c>
      <x:c r="Z907" s="4" t="inlineStr">
        <x:is>
          <x:t xml:space="preserve">Manufactured / unresolved</x:t>
        </x:is>
      </x:c>
      <x:c r="AA907" s="4" t="inlineStr">
        <x:is>
          <x:t xml:space="preserve">Protection</x:t>
        </x:is>
      </x:c>
      <x:c r="AB907" s="4" t="inlineStr">
        <x:is>
          <x:t xml:space="preserve">Shell / chitin</x:t>
        </x:is>
      </x:c>
      <x:c r="AC907" s="4" t="inlineStr">
        <x:is>
          <x:t xml:space="preserve">Assembly</x:t>
        </x:is>
      </x:c>
      <x:c r="AD907" s="4" t="inlineStr">
        <x:is>
          <x:t xml:space="preserve">Proposal</x:t>
        </x:is>
      </x:c>
      <x:c r="AE907" s="4" t="str">
        <x:f>LOWER(A907&amp;"; "&amp;B907&amp;"; "&amp;D907&amp;"; "&amp;E907&amp;"; "&amp;X907&amp;"; "&amp;Y907&amp;"; "&amp;Z907&amp;"; "&amp;AA907&amp;"; "&amp;AB907&amp;"; "&amp;AC907&amp;"; "&amp;AD907&amp;"; "&amp;V907&amp;"; "&amp;C907&amp;"; "&amp;AH907&amp;"; "&amp;AI907)</x:f>
        <x:v>proposal.armor.chitin.arms; chitin arm guards; armor; chitin armor / arms; armor; finished item; manufactured / unresolved; protection; shell / chitin; assembly; proposal; chitin armor set; chitin armor family; chitin armor; arms; separate armor piece; t2; t1; finished item</x:v>
      </x:c>
      <x:c r="AF907" s="4" t="inlineStr">
        <x:is>
          <x:t xml:space="preserve">One independently listed armor piece. Family membership is a design grouping, never another inventory item or a set bonus.</x:t>
        </x:is>
      </x:c>
      <x:c r="AG907" s="4" t="inlineStr">
        <x:is>
          <x:t xml:space="preserve">Proposed T2 finished piece using T1 inputs; material grade, fabrication and protection are unresolved.</x:t>
        </x:is>
      </x:c>
      <x:c r="AH907" s="4" t="inlineStr">
        <x:is>
          <x:t xml:space="preserve">T1</x:t>
        </x:is>
      </x:c>
      <x:c r="AI907" s="4" t="inlineStr">
        <x:is>
          <x:t xml:space="preserve">Finished item</x:t>
        </x:is>
      </x:c>
      <x:c r="AJ907" s="4">
        <x:f>COUNTIFS('Material routes'!$D$6:$D$2205,A907,'Material routes'!$C$6:$C$2205,"Output")</x:f>
        <x:v>0</x:v>
      </x:c>
      <x:c r="AK907" s="4">
        <x:f>SUM(COUNTIFS('Material routes'!$D$6:$D$2205,A907,'Material routes'!$C$6:$C$2205,"Ingredient candidate"),COUNTIFS('Material routes'!$D$6:$D$2205,A907,'Material routes'!$C$6:$C$2205,"Consumed input"),COUNTIFS('Material routes'!$D$6:$D$2205,A907,'Material routes'!$C$6:$C$2205,"Contained input"),COUNTIFS('Material routes'!$D$6:$D$2205,A907,'Material routes'!$C$6:$C$2205,"Transform input"))</x:f>
        <x:v>0</x:v>
      </x:c>
      <x:c r="AL907" s="4">
        <x:f>COUNTIFS('Material routes'!$D$6:$D$2205,A907,'Material routes'!$C$6:$C$2205,"Tool candidate")</x:f>
        <x:v>0</x:v>
      </x:c>
      <x:c r="AM907" s="4" t="str">
        <x:f>IF(AJ907&gt;0,"Route listed; review status/completeness",IF(C907="T0","Raw entry feed; no production route","No production route listed"))</x:f>
        <x:v>No production route listed</x:v>
      </x:c>
      <x:c r="AN907" s="4">
        <x:f>IF(C907="T0",0,IF(C907="T1",1,IF(C907="T2",2,IF(C907="T3",3,IF(C907="T4",4,IF(C907="Unassigned",98,99))))))</x:f>
        <x:v>2</x:v>
      </x:c>
    </x:row>
    <x:row r="908">
      <x:c r="A908" s="4" t="inlineStr">
        <x:is>
          <x:t xml:space="preserve">proposal.armor.chitin.helmet</x:t>
        </x:is>
      </x:c>
      <x:c r="B908" s="4" t="inlineStr">
        <x:is>
          <x:t xml:space="preserve">Chitin helmet</x:t>
        </x:is>
      </x:c>
      <x:c r="C908" s="4" t="inlineStr">
        <x:is>
          <x:t xml:space="preserve">T2</x:t>
        </x:is>
      </x:c>
      <x:c r="D908" s="4" t="inlineStr">
        <x:is>
          <x:t xml:space="preserve">Armor</x:t>
        </x:is>
      </x:c>
      <x:c r="E908" s="4" t="inlineStr">
        <x:is>
          <x:t xml:space="preserve">Chitin armor / helmet</x:t>
        </x:is>
      </x:c>
      <x:c r="F908" s="4" t="inlineStr">
        <x:is>
          <x:t xml:space="preserve">New proposal</x:t>
        </x:is>
      </x:c>
      <x:c r="G908" s="4" t="inlineStr">
        <x:is>
          <x:t xml:space="preserve">Chitin armor family: individually listed helmet. Head covering with sight, hearing and canister clearance requiring design. Layered curved shell plates with visible growth texture and small metal or tendon joining points. Construction and protection are proposals; the five family pieces remain separate items.</x:t>
        </x:is>
      </x:c>
      <x:c r="H908" s="4" t="inlineStr">
        <x:is>
          <x:t xml:space="preserve">Unassigned; no new slot approved</x:t>
        </x:is>
      </x:c>
      <x:c r="I908" s="4" t="inlineStr">
        <x:is>
          <x:t xml:space="preserve">Booter-worn armor concept; fitting, packing and spare-cargo rules unresolved.</x:t>
        </x:is>
      </x:c>
      <x:c r="J908" s="4"/>
      <x:c r="K908" s="4"/>
      <x:c r="L908" s="4" t="inlineStr">
        <x:is>
          <x:t xml:space="preserve">Proposed contemporary fabrication or specialist trade; construction recipe unresolved.</x:t>
        </x:is>
      </x:c>
      <x:c r="M908" s="4" t="inlineStr">
        <x:is>
          <x:t xml:space="preserve">Separate fitted piece using selected qualified stock; no whole-set recipe, quantities, yield or production time authored.</x:t>
        </x:is>
      </x:c>
      <x:c r="N908" s="4" t="inlineStr">
        <x:is>
          <x:t xml:space="preserve">Not implemented</x:t>
        </x:is>
      </x:c>
      <x:c r="O908" s="4" t="inlineStr">
        <x:is>
          <x:t xml:space="preserve">Fit, coverage, articulation, mass, durability and protection remain proposals. No wood, ordinary cloth, free-water quenching, set bonuses or new equipment slots.</x:t>
        </x:is>
      </x:c>
      <x:c r="P908" s="4"/>
      <x:c r="Q908" s="4"/>
      <x:c r="R908" s="4"/>
      <x:c r="S908" s="4"/>
      <x:c r="T908" s="4"/>
      <x:c r="U908" s="4" t="inlineStr">
        <x:is>
          <x:t xml:space="preserve">Head covering with sight, hearing and canister clearance requiring design. Visual direction: Layered curved shell plates with visible growth texture and small metal or tendon joining points. Joining, fit, wearability and performance require design.</x:t>
        </x:is>
      </x:c>
      <x:c r="V908" s="4" t="inlineStr">
        <x:is>
          <x:t xml:space="preserve">chitin armor set; chitin armor family; chitin armor; helmet; separate armor piece</x:t>
        </x:is>
      </x:c>
      <x:c r="W90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8" s="4" t="inlineStr">
        <x:is>
          <x:t xml:space="preserve">Armor</x:t>
        </x:is>
      </x:c>
      <x:c r="Y908" s="4" t="inlineStr">
        <x:is>
          <x:t xml:space="preserve">Finished item</x:t>
        </x:is>
      </x:c>
      <x:c r="Z908" s="4" t="inlineStr">
        <x:is>
          <x:t xml:space="preserve">Manufactured / unresolved</x:t>
        </x:is>
      </x:c>
      <x:c r="AA908" s="4" t="inlineStr">
        <x:is>
          <x:t xml:space="preserve">Protection</x:t>
        </x:is>
      </x:c>
      <x:c r="AB908" s="4" t="inlineStr">
        <x:is>
          <x:t xml:space="preserve">Shell / chitin</x:t>
        </x:is>
      </x:c>
      <x:c r="AC908" s="4" t="inlineStr">
        <x:is>
          <x:t xml:space="preserve">Assembly</x:t>
        </x:is>
      </x:c>
      <x:c r="AD908" s="4" t="inlineStr">
        <x:is>
          <x:t xml:space="preserve">Proposal</x:t>
        </x:is>
      </x:c>
      <x:c r="AE908" s="4" t="str">
        <x:f>LOWER(A908&amp;"; "&amp;B908&amp;"; "&amp;D908&amp;"; "&amp;E908&amp;"; "&amp;X908&amp;"; "&amp;Y908&amp;"; "&amp;Z908&amp;"; "&amp;AA908&amp;"; "&amp;AB908&amp;"; "&amp;AC908&amp;"; "&amp;AD908&amp;"; "&amp;V908&amp;"; "&amp;C908&amp;"; "&amp;AH908&amp;"; "&amp;AI908)</x:f>
        <x:v>proposal.armor.chitin.helmet; chitin helmet; armor; chitin armor / helmet; armor; finished item; manufactured / unresolved; protection; shell / chitin; assembly; proposal; chitin armor set; chitin armor family; chitin armor; helmet; separate armor piece; t2; t1; finished item</x:v>
      </x:c>
      <x:c r="AF908" s="4" t="inlineStr">
        <x:is>
          <x:t xml:space="preserve">One independently listed armor piece. Family membership is a design grouping, never another inventory item or a set bonus.</x:t>
        </x:is>
      </x:c>
      <x:c r="AG908" s="4" t="inlineStr">
        <x:is>
          <x:t xml:space="preserve">Proposed T2 finished piece using T1 inputs; material grade, fabrication and protection are unresolved.</x:t>
        </x:is>
      </x:c>
      <x:c r="AH908" s="4" t="inlineStr">
        <x:is>
          <x:t xml:space="preserve">T1</x:t>
        </x:is>
      </x:c>
      <x:c r="AI908" s="4" t="inlineStr">
        <x:is>
          <x:t xml:space="preserve">Finished item</x:t>
        </x:is>
      </x:c>
      <x:c r="AJ908" s="4">
        <x:f>COUNTIFS('Material routes'!$D$6:$D$2205,A908,'Material routes'!$C$6:$C$2205,"Output")</x:f>
        <x:v>0</x:v>
      </x:c>
      <x:c r="AK908" s="4">
        <x:f>SUM(COUNTIFS('Material routes'!$D$6:$D$2205,A908,'Material routes'!$C$6:$C$2205,"Ingredient candidate"),COUNTIFS('Material routes'!$D$6:$D$2205,A908,'Material routes'!$C$6:$C$2205,"Consumed input"),COUNTIFS('Material routes'!$D$6:$D$2205,A908,'Material routes'!$C$6:$C$2205,"Contained input"),COUNTIFS('Material routes'!$D$6:$D$2205,A908,'Material routes'!$C$6:$C$2205,"Transform input"))</x:f>
        <x:v>0</x:v>
      </x:c>
      <x:c r="AL908" s="4">
        <x:f>COUNTIFS('Material routes'!$D$6:$D$2205,A908,'Material routes'!$C$6:$C$2205,"Tool candidate")</x:f>
        <x:v>0</x:v>
      </x:c>
      <x:c r="AM908" s="4" t="str">
        <x:f>IF(AJ908&gt;0,"Route listed; review status/completeness",IF(C908="T0","Raw entry feed; no production route","No production route listed"))</x:f>
        <x:v>No production route listed</x:v>
      </x:c>
      <x:c r="AN908" s="4">
        <x:f>IF(C908="T0",0,IF(C908="T1",1,IF(C908="T2",2,IF(C908="T3",3,IF(C908="T4",4,IF(C908="Unassigned",98,99))))))</x:f>
        <x:v>2</x:v>
      </x:c>
    </x:row>
    <x:row r="909">
      <x:c r="A909" s="4"/>
      <x:c r="B909" s="4"/>
      <x:c r="C909" s="4"/>
      <x:c r="D909" s="4"/>
      <x:c r="E909" s="4"/>
      <x:c r="F909" s="4"/>
      <x:c r="G909" s="4"/>
      <x:c r="H909" s="4"/>
      <x:c r="I909" s="4"/>
      <x:c r="J909" s="4"/>
      <x:c r="K909" s="4"/>
      <x:c r="L909" s="4"/>
      <x:c r="M909" s="4"/>
      <x:c r="N909" s="4"/>
      <x:c r="O909" s="4"/>
      <x:c r="P909" s="4"/>
      <x:c r="Q909" s="4"/>
      <x:c r="R909" s="4"/>
      <x:c r="S909" s="4"/>
      <x:c r="T909" s="4"/>
      <x:c r="U909" s="4"/>
      <x:c r="V909" s="4"/>
      <x:c r="W909" s="4"/>
      <x:c r="X909" s="4"/>
      <x:c r="Y909" s="4"/>
      <x:c r="Z909" s="4"/>
      <x:c r="AA909" s="4"/>
      <x:c r="AB909" s="4"/>
      <x:c r="AC909" s="4"/>
      <x:c r="AD909" s="4"/>
      <x:c r="AE909" s="4"/>
      <x:c r="AF909" s="4"/>
      <x:c r="AG909" s="4"/>
      <x:c r="AH909" s="4"/>
      <x:c r="AI909" s="4"/>
      <x:c r="AJ909" s="4"/>
      <x:c r="AK909" s="4"/>
      <x:c r="AL909" s="4"/>
      <x:c r="AM909" s="4"/>
      <x:c r="AN909" s="4"/>
    </x:row>
    <x:row r="910">
      <x:c r="A910" s="4"/>
      <x:c r="B910" s="4"/>
      <x:c r="C910" s="4"/>
      <x:c r="D910" s="4"/>
      <x:c r="E910" s="4"/>
      <x:c r="F910" s="4"/>
      <x:c r="G910" s="4"/>
      <x:c r="H910" s="4"/>
      <x:c r="I910" s="4"/>
      <x:c r="J910" s="4"/>
      <x:c r="K910" s="4"/>
      <x:c r="L910" s="4"/>
      <x:c r="M910" s="4"/>
      <x:c r="N910" s="4"/>
      <x:c r="O910" s="4"/>
      <x:c r="P910" s="4"/>
      <x:c r="Q910" s="4"/>
      <x:c r="R910" s="4"/>
      <x:c r="S910" s="4"/>
      <x:c r="T910" s="4"/>
      <x:c r="U910" s="4"/>
      <x:c r="V910" s="4"/>
      <x:c r="W910" s="4"/>
      <x:c r="X910" s="4"/>
      <x:c r="Y910" s="4"/>
      <x:c r="Z910" s="4"/>
      <x:c r="AA910" s="4"/>
      <x:c r="AB910" s="4"/>
      <x:c r="AC910" s="4"/>
      <x:c r="AD910" s="4"/>
      <x:c r="AE910" s="4"/>
      <x:c r="AF910" s="4"/>
      <x:c r="AG910" s="4"/>
      <x:c r="AH910" s="4"/>
      <x:c r="AI910" s="4"/>
      <x:c r="AJ910" s="4"/>
      <x:c r="AK910" s="4"/>
      <x:c r="AL910" s="4"/>
      <x:c r="AM910" s="4"/>
      <x:c r="AN910" s="4"/>
    </x:row>
    <x:row r="911">
      <x:c r="A911" s="4"/>
      <x:c r="B911" s="4"/>
      <x:c r="C911" s="4"/>
      <x:c r="D911" s="4"/>
      <x:c r="E911" s="4"/>
      <x:c r="F911" s="4"/>
      <x:c r="G911" s="4"/>
      <x:c r="H911" s="4"/>
      <x:c r="I911" s="4"/>
      <x:c r="J911" s="4"/>
      <x:c r="K911" s="4"/>
      <x:c r="L911" s="4"/>
      <x:c r="M911" s="4"/>
      <x:c r="N911" s="4"/>
      <x:c r="O911" s="4"/>
      <x:c r="P911" s="4"/>
      <x:c r="Q911" s="4"/>
      <x:c r="R911" s="4"/>
      <x:c r="S911" s="4"/>
      <x:c r="T911" s="4"/>
      <x:c r="U911" s="4"/>
      <x:c r="V911" s="4"/>
      <x:c r="W911" s="4"/>
      <x:c r="X911" s="4"/>
      <x:c r="Y911" s="4"/>
      <x:c r="Z911" s="4"/>
      <x:c r="AA911" s="4"/>
      <x:c r="AB911" s="4"/>
      <x:c r="AC911" s="4"/>
      <x:c r="AD911" s="4"/>
      <x:c r="AE911" s="4"/>
      <x:c r="AF911" s="4"/>
      <x:c r="AG911" s="4"/>
      <x:c r="AH911" s="4"/>
      <x:c r="AI911" s="4"/>
      <x:c r="AJ911" s="4"/>
      <x:c r="AK911" s="4"/>
      <x:c r="AL911" s="4"/>
      <x:c r="AM911" s="4"/>
      <x:c r="AN911" s="4"/>
    </x:row>
    <x:row r="912">
      <x:c r="A912" s="4"/>
      <x:c r="B912" s="4"/>
      <x:c r="C912" s="4"/>
      <x:c r="D912" s="4"/>
      <x:c r="E912" s="4"/>
      <x:c r="F912" s="4"/>
      <x:c r="G912" s="4"/>
      <x:c r="H912" s="4"/>
      <x:c r="I912" s="4"/>
      <x:c r="J912" s="4"/>
      <x:c r="K912" s="4"/>
      <x:c r="L912" s="4"/>
      <x:c r="M912" s="4"/>
      <x:c r="N912" s="4"/>
      <x:c r="O912" s="4"/>
      <x:c r="P912" s="4"/>
      <x:c r="Q912" s="4"/>
      <x:c r="R912" s="4"/>
      <x:c r="S912" s="4"/>
      <x:c r="T912" s="4"/>
      <x:c r="U912" s="4"/>
      <x:c r="V912" s="4"/>
      <x:c r="W912" s="4"/>
      <x:c r="X912" s="4"/>
      <x:c r="Y912" s="4"/>
      <x:c r="Z912" s="4"/>
      <x:c r="AA912" s="4"/>
      <x:c r="AB912" s="4"/>
      <x:c r="AC912" s="4"/>
      <x:c r="AD912" s="4"/>
      <x:c r="AE912" s="4"/>
      <x:c r="AF912" s="4"/>
      <x:c r="AG912" s="4"/>
      <x:c r="AH912" s="4"/>
      <x:c r="AI912" s="4"/>
      <x:c r="AJ912" s="4"/>
      <x:c r="AK912" s="4"/>
      <x:c r="AL912" s="4"/>
      <x:c r="AM912" s="4"/>
      <x:c r="AN912" s="4"/>
    </x:row>
    <x:row r="913">
      <x:c r="A913" s="4"/>
      <x:c r="B913" s="4"/>
      <x:c r="C913" s="4"/>
      <x:c r="D913" s="4"/>
      <x:c r="E913" s="4"/>
      <x:c r="F913" s="4"/>
      <x:c r="G913" s="4"/>
      <x:c r="H913" s="4"/>
      <x:c r="I913" s="4"/>
      <x:c r="J913" s="4"/>
      <x:c r="K913" s="4"/>
      <x:c r="L913" s="4"/>
      <x:c r="M913" s="4"/>
      <x:c r="N913" s="4"/>
      <x:c r="O913" s="4"/>
      <x:c r="P913" s="4"/>
      <x:c r="Q913" s="4"/>
      <x:c r="R913" s="4"/>
      <x:c r="S913" s="4"/>
      <x:c r="T913" s="4"/>
      <x:c r="U913" s="4"/>
      <x:c r="V913" s="4"/>
      <x:c r="W913" s="4"/>
      <x:c r="X913" s="4"/>
      <x:c r="Y913" s="4"/>
      <x:c r="Z913" s="4"/>
      <x:c r="AA913" s="4"/>
      <x:c r="AB913" s="4"/>
      <x:c r="AC913" s="4"/>
      <x:c r="AD913" s="4"/>
      <x:c r="AE913" s="4"/>
      <x:c r="AF913" s="4"/>
      <x:c r="AG913" s="4"/>
      <x:c r="AH913" s="4"/>
      <x:c r="AI913" s="4"/>
      <x:c r="AJ913" s="4"/>
      <x:c r="AK913" s="4"/>
      <x:c r="AL913" s="4"/>
      <x:c r="AM913" s="4"/>
      <x:c r="AN913" s="4"/>
    </x:row>
    <x:row r="914">
      <x:c r="A914" s="4" t="inlineStr">
        <x:is>
          <x:t xml:space="preserve">proposal.armor.plasteel.chest</x:t>
        </x:is>
      </x:c>
      <x:c r="B914" s="4" t="inlineStr">
        <x:is>
          <x:t xml:space="preserve">Ancient plasteel chestplate</x:t>
        </x:is>
      </x:c>
      <x:c r="C914" s="4" t="inlineStr">
        <x:is>
          <x:t xml:space="preserve">T0</x:t>
        </x:is>
      </x:c>
      <x:c r="D914" s="4" t="inlineStr">
        <x:is>
          <x:t xml:space="preserve">Armor</x:t>
        </x:is>
      </x:c>
      <x:c r="E914" s="4" t="inlineStr">
        <x:is>
          <x:t xml:space="preserve">Ancient plasteel armor / chest</x:t>
        </x:is>
      </x:c>
      <x:c r="F914" s="4" t="inlineStr">
        <x:is>
          <x:t xml:space="preserve">New proposal</x:t>
        </x:is>
      </x:c>
      <x:c r="G914" s="4" t="inlineStr">
        <x:is>
          <x:t xml:space="preserve">Extremely rare recovered ancient plasteel chestplate, listed as one separate armor item. Torso and upper back; a chest piece does not include arm or leg pieces. Recovered pale composite segments with unfamiliar recessed fittings, wear and mismatched surviving surfaces. Presence does not establish contemporary manufacture or a usable fitted piece.</x:t>
        </x:is>
      </x:c>
      <x:c r="H914" s="4" t="inlineStr">
        <x:is>
          <x:t xml:space="preserve">Unassigned; no new slot approved</x:t>
        </x:is>
      </x:c>
      <x:c r="I914" s="4" t="inlineStr">
        <x:is>
          <x:t xml:space="preserve">Booter-worn armor concept; fitting, packing and spare-cargo rules unresolved.</x:t>
        </x:is>
      </x:c>
      <x:c r="J914" s="4"/>
      <x:c r="K914" s="4"/>
      <x:c r="L914" s="4" t="inlineStr">
        <x:is>
          <x:t xml:space="preserve">Recover a surviving ancient armor piece from a proposed ruin or machine-age cache; sites and availability unresolved.</x:t>
        </x:is>
      </x:c>
      <x:c r="M914" s="4" t="inlineStr">
        <x:is>
          <x:t xml:space="preserve">Inspect and qualify a surviving original for fit and integrity. No contemporary plasteel manufacturing, internal repair or complete-set acquisition route established.</x:t>
        </x:is>
      </x:c>
      <x:c r="N914" s="4" t="inlineStr">
        <x:is>
          <x:t xml:space="preserve">Not implemented</x:t>
        </x:is>
      </x:c>
      <x:c r="O914" s="4" t="inlineStr">
        <x:is>
          <x:t xml:space="preserve">Extremely rare ancient recovery. Fit, integrity, joining and protection are unknown. No contemporary plasteel manufacture, guaranteed usable condition, set bonus or working protective effect.</x:t>
        </x:is>
      </x:c>
      <x:c r="P914" s="4" t="inlineStr">
        <x:is>
          <x:t xml:space="preserve">Extremely rare</x:t>
        </x:is>
      </x:c>
      <x:c r="Q914" s="4"/>
      <x:c r="R914" s="4"/>
      <x:c r="S914" s="4"/>
      <x:c r="T914" s="4"/>
      <x:c r="U914" s="4" t="inlineStr">
        <x:is>
          <x:t xml:space="preserve">Torso and upper back; a chest piece does not include arm or leg pieces. Visual direction: Recovered pale composite segments with unfamiliar recessed fittings, wear and mismatched surviving surfaces. Joining, fit, wearability and performance require design.</x:t>
        </x:is>
      </x:c>
      <x:c r="V914" s="4" t="inlineStr">
        <x:is>
          <x:t xml:space="preserve">plasteel armor set; plasteel armor family; ancient plasteel armor; chest; separate armor piece</x:t>
        </x:is>
      </x:c>
      <x:c r="W914"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4" s="4" t="inlineStr">
        <x:is>
          <x:t xml:space="preserve">Armor</x:t>
        </x:is>
      </x:c>
      <x:c r="Y914" s="4" t="inlineStr">
        <x:is>
          <x:t xml:space="preserve">Recovered part</x:t>
        </x:is>
      </x:c>
      <x:c r="Z914" s="4" t="inlineStr">
        <x:is>
          <x:t xml:space="preserve">Ancient technology</x:t>
        </x:is>
      </x:c>
      <x:c r="AA914" s="4" t="inlineStr">
        <x:is>
          <x:t xml:space="preserve">Protection</x:t>
        </x:is>
      </x:c>
      <x:c r="AB914" s="4" t="inlineStr">
        <x:is>
          <x:t xml:space="preserve">Ancient composite</x:t>
        </x:is>
      </x:c>
      <x:c r="AC914" s="4" t="inlineStr">
        <x:is>
          <x:t xml:space="preserve">Assembly</x:t>
        </x:is>
      </x:c>
      <x:c r="AD914" s="4" t="inlineStr">
        <x:is>
          <x:t xml:space="preserve">Proposal</x:t>
        </x:is>
      </x:c>
      <x:c r="AE914" s="4" t="str">
        <x:f>LOWER(A914&amp;"; "&amp;B914&amp;"; "&amp;D914&amp;"; "&amp;E914&amp;"; "&amp;X914&amp;"; "&amp;Y914&amp;"; "&amp;Z914&amp;"; "&amp;AA914&amp;"; "&amp;AB914&amp;"; "&amp;AC914&amp;"; "&amp;AD914&amp;"; "&amp;V914&amp;"; "&amp;C914&amp;"; "&amp;AH914&amp;"; "&amp;AI914)</x:f>
        <x:v>proposal.armor.plasteel.chest; ancient plasteel chestplate; armor; ancient plasteel armor / chest; armor; recovered part; ancient technology; protection; ancient composite; assembly; proposal; plasteel armor set; plasteel armor family; ancient plasteel armor; chest; separate armor piece; t0; t0; finished item</x:v>
      </x:c>
      <x:c r="AF914" s="4" t="inlineStr">
        <x:is>
          <x:t xml:space="preserve">One independently listed armor piece. Family membership is a design grouping, never another inventory item or a set bonus.</x:t>
        </x:is>
      </x:c>
      <x:c r="AG914" s="4" t="inlineStr">
        <x:is>
          <x:t xml:space="preserve">T0 as found, independent of ancient complexity and extreme rarity. A compatible original would need a separate T1 qualification record before reuse.</x:t>
        </x:is>
      </x:c>
      <x:c r="AH914" s="4" t="inlineStr">
        <x:is>
          <x:t xml:space="preserve">T0</x:t>
        </x:is>
      </x:c>
      <x:c r="AI914" s="4" t="inlineStr">
        <x:is>
          <x:t xml:space="preserve">Finished item</x:t>
        </x:is>
      </x:c>
      <x:c r="AJ914" s="4">
        <x:f>COUNTIFS('Material routes'!$D$6:$D$2205,A914,'Material routes'!$C$6:$C$2205,"Output")</x:f>
        <x:v>0</x:v>
      </x:c>
      <x:c r="AK914" s="4">
        <x:f>SUM(COUNTIFS('Material routes'!$D$6:$D$2205,A914,'Material routes'!$C$6:$C$2205,"Ingredient candidate"),COUNTIFS('Material routes'!$D$6:$D$2205,A914,'Material routes'!$C$6:$C$2205,"Consumed input"),COUNTIFS('Material routes'!$D$6:$D$2205,A914,'Material routes'!$C$6:$C$2205,"Contained input"),COUNTIFS('Material routes'!$D$6:$D$2205,A914,'Material routes'!$C$6:$C$2205,"Transform input"))</x:f>
        <x:v>0</x:v>
      </x:c>
      <x:c r="AL914" s="4">
        <x:f>COUNTIFS('Material routes'!$D$6:$D$2205,A914,'Material routes'!$C$6:$C$2205,"Tool candidate")</x:f>
        <x:v>0</x:v>
      </x:c>
      <x:c r="AM914" s="4" t="str">
        <x:f>IF(AJ914&gt;0,"Route listed; review status/completeness",IF(C914="T0","Raw entry feed; no production route","No production route listed"))</x:f>
        <x:v>Raw entry feed; no production route</x:v>
      </x:c>
      <x:c r="AN914" s="4">
        <x:f>IF(C914="T0",0,IF(C914="T1",1,IF(C914="T2",2,IF(C914="T3",3,IF(C914="T4",4,IF(C914="Unassigned",98,99))))))</x:f>
        <x:v>0</x:v>
      </x:c>
    </x:row>
    <x:row r="915">
      <x:c r="A915" s="4" t="inlineStr">
        <x:is>
          <x:t xml:space="preserve">proposal.armor.plasteel.legs</x:t>
        </x:is>
      </x:c>
      <x:c r="B915" s="4" t="inlineStr">
        <x:is>
          <x:t xml:space="preserve">Ancient plasteel leg guards</x:t>
        </x:is>
      </x:c>
      <x:c r="C915" s="4" t="inlineStr">
        <x:is>
          <x:t xml:space="preserve">T0</x:t>
        </x:is>
      </x:c>
      <x:c r="D915" s="4" t="inlineStr">
        <x:is>
          <x:t xml:space="preserve">Armor</x:t>
        </x:is>
      </x:c>
      <x:c r="E915" s="4" t="inlineStr">
        <x:is>
          <x:t xml:space="preserve">Ancient plasteel armor / legs</x:t>
        </x:is>
      </x:c>
      <x:c r="F915" s="4" t="inlineStr">
        <x:is>
          <x:t xml:space="preserve">New proposal</x:t>
        </x:is>
      </x:c>
      <x:c r="G915" s="4" t="inlineStr">
        <x:is>
          <x:t xml:space="preserve">Extremely rare recovered ancient plasteel leg guards, listed as one separate armor item. Paired thigh, knee and shin guards; boots remain a separate item. Recovered pale composite segments with unfamiliar recessed fittings, wear and mismatched surviving surfaces. Presence does not establish contemporary manufacture or a usable fitted piece.</x:t>
        </x:is>
      </x:c>
      <x:c r="H915" s="4" t="inlineStr">
        <x:is>
          <x:t xml:space="preserve">Unassigned; no new slot approved</x:t>
        </x:is>
      </x:c>
      <x:c r="I915" s="4" t="inlineStr">
        <x:is>
          <x:t xml:space="preserve">Booter-worn armor concept; fitting, packing and spare-cargo rules unresolved.</x:t>
        </x:is>
      </x:c>
      <x:c r="J915" s="4"/>
      <x:c r="K915" s="4"/>
      <x:c r="L915" s="4" t="inlineStr">
        <x:is>
          <x:t xml:space="preserve">Recover a surviving ancient armor piece from a proposed ruin or machine-age cache; sites and availability unresolved.</x:t>
        </x:is>
      </x:c>
      <x:c r="M915" s="4" t="inlineStr">
        <x:is>
          <x:t xml:space="preserve">Inspect and qualify a surviving original for fit and integrity. No contemporary plasteel manufacturing, internal repair or complete-set acquisition route established.</x:t>
        </x:is>
      </x:c>
      <x:c r="N915" s="4" t="inlineStr">
        <x:is>
          <x:t xml:space="preserve">Not implemented</x:t>
        </x:is>
      </x:c>
      <x:c r="O915" s="4" t="inlineStr">
        <x:is>
          <x:t xml:space="preserve">Extremely rare ancient recovery. Fit, integrity, joining and protection are unknown. No contemporary plasteel manufacture, guaranteed usable condition, set bonus or working protective effect.</x:t>
        </x:is>
      </x:c>
      <x:c r="P915" s="4" t="inlineStr">
        <x:is>
          <x:t xml:space="preserve">Extremely rare</x:t>
        </x:is>
      </x:c>
      <x:c r="Q915" s="4"/>
      <x:c r="R915" s="4"/>
      <x:c r="S915" s="4"/>
      <x:c r="T915" s="4"/>
      <x:c r="U915" s="4" t="inlineStr">
        <x:is>
          <x:t xml:space="preserve">Paired thigh, knee and shin guards; boots remain a separate item. Visual direction: Recovered pale composite segments with unfamiliar recessed fittings, wear and mismatched surviving surfaces. Joining, fit, wearability and performance require design.</x:t>
        </x:is>
      </x:c>
      <x:c r="V915" s="4" t="inlineStr">
        <x:is>
          <x:t xml:space="preserve">plasteel armor set; plasteel armor family; ancient plasteel armor; legs; separate armor piece</x:t>
        </x:is>
      </x:c>
      <x:c r="W915"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5" s="4" t="inlineStr">
        <x:is>
          <x:t xml:space="preserve">Armor</x:t>
        </x:is>
      </x:c>
      <x:c r="Y915" s="4" t="inlineStr">
        <x:is>
          <x:t xml:space="preserve">Recovered part</x:t>
        </x:is>
      </x:c>
      <x:c r="Z915" s="4" t="inlineStr">
        <x:is>
          <x:t xml:space="preserve">Ancient technology</x:t>
        </x:is>
      </x:c>
      <x:c r="AA915" s="4" t="inlineStr">
        <x:is>
          <x:t xml:space="preserve">Protection</x:t>
        </x:is>
      </x:c>
      <x:c r="AB915" s="4" t="inlineStr">
        <x:is>
          <x:t xml:space="preserve">Ancient composite</x:t>
        </x:is>
      </x:c>
      <x:c r="AC915" s="4" t="inlineStr">
        <x:is>
          <x:t xml:space="preserve">Assembly</x:t>
        </x:is>
      </x:c>
      <x:c r="AD915" s="4" t="inlineStr">
        <x:is>
          <x:t xml:space="preserve">Proposal</x:t>
        </x:is>
      </x:c>
      <x:c r="AE915" s="4" t="str">
        <x:f>LOWER(A915&amp;"; "&amp;B915&amp;"; "&amp;D915&amp;"; "&amp;E915&amp;"; "&amp;X915&amp;"; "&amp;Y915&amp;"; "&amp;Z915&amp;"; "&amp;AA915&amp;"; "&amp;AB915&amp;"; "&amp;AC915&amp;"; "&amp;AD915&amp;"; "&amp;V915&amp;"; "&amp;C915&amp;"; "&amp;AH915&amp;"; "&amp;AI915)</x:f>
        <x:v>proposal.armor.plasteel.legs; ancient plasteel leg guards; armor; ancient plasteel armor / legs; armor; recovered part; ancient technology; protection; ancient composite; assembly; proposal; plasteel armor set; plasteel armor family; ancient plasteel armor; legs; separate armor piece; t0; t0; finished item</x:v>
      </x:c>
      <x:c r="AF915" s="4" t="inlineStr">
        <x:is>
          <x:t xml:space="preserve">One independently listed armor piece. Family membership is a design grouping, never another inventory item or a set bonus.</x:t>
        </x:is>
      </x:c>
      <x:c r="AG915" s="4" t="inlineStr">
        <x:is>
          <x:t xml:space="preserve">T0 as found, independent of ancient complexity and extreme rarity. A compatible original would need a separate T1 qualification record before reuse.</x:t>
        </x:is>
      </x:c>
      <x:c r="AH915" s="4" t="inlineStr">
        <x:is>
          <x:t xml:space="preserve">T0</x:t>
        </x:is>
      </x:c>
      <x:c r="AI915" s="4" t="inlineStr">
        <x:is>
          <x:t xml:space="preserve">Finished item</x:t>
        </x:is>
      </x:c>
      <x:c r="AJ915" s="4">
        <x:f>COUNTIFS('Material routes'!$D$6:$D$2205,A915,'Material routes'!$C$6:$C$2205,"Output")</x:f>
        <x:v>0</x:v>
      </x:c>
      <x:c r="AK915" s="4">
        <x:f>SUM(COUNTIFS('Material routes'!$D$6:$D$2205,A915,'Material routes'!$C$6:$C$2205,"Ingredient candidate"),COUNTIFS('Material routes'!$D$6:$D$2205,A915,'Material routes'!$C$6:$C$2205,"Consumed input"),COUNTIFS('Material routes'!$D$6:$D$2205,A915,'Material routes'!$C$6:$C$2205,"Contained input"),COUNTIFS('Material routes'!$D$6:$D$2205,A915,'Material routes'!$C$6:$C$2205,"Transform input"))</x:f>
        <x:v>0</x:v>
      </x:c>
      <x:c r="AL915" s="4">
        <x:f>COUNTIFS('Material routes'!$D$6:$D$2205,A915,'Material routes'!$C$6:$C$2205,"Tool candidate")</x:f>
        <x:v>0</x:v>
      </x:c>
      <x:c r="AM915" s="4" t="str">
        <x:f>IF(AJ915&gt;0,"Route listed; review status/completeness",IF(C915="T0","Raw entry feed; no production route","No production route listed"))</x:f>
        <x:v>Raw entry feed; no production route</x:v>
      </x:c>
      <x:c r="AN915" s="4">
        <x:f>IF(C915="T0",0,IF(C915="T1",1,IF(C915="T2",2,IF(C915="T3",3,IF(C915="T4",4,IF(C915="Unassigned",98,99))))))</x:f>
        <x:v>0</x:v>
      </x:c>
    </x:row>
    <x:row r="916">
      <x:c r="A916" s="4" t="inlineStr">
        <x:is>
          <x:t xml:space="preserve">proposal.armor.plasteel.boots</x:t>
        </x:is>
      </x:c>
      <x:c r="B916" s="4" t="inlineStr">
        <x:is>
          <x:t xml:space="preserve">Ancient plasteel armored boots</x:t>
        </x:is>
      </x:c>
      <x:c r="C916" s="4" t="inlineStr">
        <x:is>
          <x:t xml:space="preserve">T0</x:t>
        </x:is>
      </x:c>
      <x:c r="D916" s="4" t="inlineStr">
        <x:is>
          <x:t xml:space="preserve">Armor</x:t>
        </x:is>
      </x:c>
      <x:c r="E916" s="4" t="inlineStr">
        <x:is>
          <x:t xml:space="preserve">Ancient plasteel armor / boots</x:t>
        </x:is>
      </x:c>
      <x:c r="F916" s="4" t="inlineStr">
        <x:is>
          <x:t xml:space="preserve">New proposal</x:t>
        </x:is>
      </x:c>
      <x:c r="G916" s="4" t="inlineStr">
        <x:is>
          <x:t xml:space="preserve">Extremely rare recovered ancient plasteel armored boots, listed as one separate armor item. A matched pair of armored foot coverings, separate from shin guards. Recovered pale composite segments with unfamiliar recessed fittings, wear and mismatched surviving surfaces. Presence does not establish contemporary manufacture or a usable fitted piece.</x:t>
        </x:is>
      </x:c>
      <x:c r="H916" s="4" t="inlineStr">
        <x:is>
          <x:t xml:space="preserve">Unassigned; no new slot approved</x:t>
        </x:is>
      </x:c>
      <x:c r="I916" s="4" t="inlineStr">
        <x:is>
          <x:t xml:space="preserve">Booter-worn armor concept; fitting, packing and spare-cargo rules unresolved.</x:t>
        </x:is>
      </x:c>
      <x:c r="J916" s="4"/>
      <x:c r="K916" s="4"/>
      <x:c r="L916" s="4" t="inlineStr">
        <x:is>
          <x:t xml:space="preserve">Recover a surviving ancient armor piece from a proposed ruin or machine-age cache; sites and availability unresolved.</x:t>
        </x:is>
      </x:c>
      <x:c r="M916" s="4" t="inlineStr">
        <x:is>
          <x:t xml:space="preserve">Inspect and qualify a surviving original for fit and integrity. No contemporary plasteel manufacturing, internal repair or complete-set acquisition route established.</x:t>
        </x:is>
      </x:c>
      <x:c r="N916" s="4" t="inlineStr">
        <x:is>
          <x:t xml:space="preserve">Not implemented</x:t>
        </x:is>
      </x:c>
      <x:c r="O916" s="4" t="inlineStr">
        <x:is>
          <x:t xml:space="preserve">Extremely rare ancient recovery. Fit, integrity, joining and protection are unknown. No contemporary plasteel manufacture, guaranteed usable condition, set bonus or working protective effect.</x:t>
        </x:is>
      </x:c>
      <x:c r="P916" s="4" t="inlineStr">
        <x:is>
          <x:t xml:space="preserve">Extremely rare</x:t>
        </x:is>
      </x:c>
      <x:c r="Q916" s="4"/>
      <x:c r="R916" s="4"/>
      <x:c r="S916" s="4"/>
      <x:c r="T916" s="4"/>
      <x:c r="U916" s="4" t="inlineStr">
        <x:is>
          <x:t xml:space="preserve">A matched pair of armored foot coverings, separate from shin guards. Visual direction: Recovered pale composite segments with unfamiliar recessed fittings, wear and mismatched surviving surfaces. Joining, fit, wearability and performance require design.</x:t>
        </x:is>
      </x:c>
      <x:c r="V916" s="4" t="inlineStr">
        <x:is>
          <x:t xml:space="preserve">plasteel armor set; plasteel armor family; ancient plasteel armor; boots; separate armor piece</x:t>
        </x:is>
      </x:c>
      <x:c r="W916"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6" s="4" t="inlineStr">
        <x:is>
          <x:t xml:space="preserve">Armor</x:t>
        </x:is>
      </x:c>
      <x:c r="Y916" s="4" t="inlineStr">
        <x:is>
          <x:t xml:space="preserve">Recovered part</x:t>
        </x:is>
      </x:c>
      <x:c r="Z916" s="4" t="inlineStr">
        <x:is>
          <x:t xml:space="preserve">Ancient technology</x:t>
        </x:is>
      </x:c>
      <x:c r="AA916" s="4" t="inlineStr">
        <x:is>
          <x:t xml:space="preserve">Protection</x:t>
        </x:is>
      </x:c>
      <x:c r="AB916" s="4" t="inlineStr">
        <x:is>
          <x:t xml:space="preserve">Ancient composite</x:t>
        </x:is>
      </x:c>
      <x:c r="AC916" s="4" t="inlineStr">
        <x:is>
          <x:t xml:space="preserve">Assembly</x:t>
        </x:is>
      </x:c>
      <x:c r="AD916" s="4" t="inlineStr">
        <x:is>
          <x:t xml:space="preserve">Proposal</x:t>
        </x:is>
      </x:c>
      <x:c r="AE916" s="4" t="str">
        <x:f>LOWER(A916&amp;"; "&amp;B916&amp;"; "&amp;D916&amp;"; "&amp;E916&amp;"; "&amp;X916&amp;"; "&amp;Y916&amp;"; "&amp;Z916&amp;"; "&amp;AA916&amp;"; "&amp;AB916&amp;"; "&amp;AC916&amp;"; "&amp;AD916&amp;"; "&amp;V916&amp;"; "&amp;C916&amp;"; "&amp;AH916&amp;"; "&amp;AI916)</x:f>
        <x:v>proposal.armor.plasteel.boots; ancient plasteel armored boots; armor; ancient plasteel armor / boots; armor; recovered part; ancient technology; protection; ancient composite; assembly; proposal; plasteel armor set; plasteel armor family; ancient plasteel armor; boots; separate armor piece; t0; t0; finished item</x:v>
      </x:c>
      <x:c r="AF916" s="4" t="inlineStr">
        <x:is>
          <x:t xml:space="preserve">One independently listed armor piece. Family membership is a design grouping, never another inventory item or a set bonus.</x:t>
        </x:is>
      </x:c>
      <x:c r="AG916" s="4" t="inlineStr">
        <x:is>
          <x:t xml:space="preserve">T0 as found, independent of ancient complexity and extreme rarity. A compatible original would need a separate T1 qualification record before reuse.</x:t>
        </x:is>
      </x:c>
      <x:c r="AH916" s="4" t="inlineStr">
        <x:is>
          <x:t xml:space="preserve">T0</x:t>
        </x:is>
      </x:c>
      <x:c r="AI916" s="4" t="inlineStr">
        <x:is>
          <x:t xml:space="preserve">Finished item</x:t>
        </x:is>
      </x:c>
      <x:c r="AJ916" s="4">
        <x:f>COUNTIFS('Material routes'!$D$6:$D$2205,A916,'Material routes'!$C$6:$C$2205,"Output")</x:f>
        <x:v>0</x:v>
      </x:c>
      <x:c r="AK916" s="4">
        <x:f>SUM(COUNTIFS('Material routes'!$D$6:$D$2205,A916,'Material routes'!$C$6:$C$2205,"Ingredient candidate"),COUNTIFS('Material routes'!$D$6:$D$2205,A916,'Material routes'!$C$6:$C$2205,"Consumed input"),COUNTIFS('Material routes'!$D$6:$D$2205,A916,'Material routes'!$C$6:$C$2205,"Contained input"),COUNTIFS('Material routes'!$D$6:$D$2205,A916,'Material routes'!$C$6:$C$2205,"Transform input"))</x:f>
        <x:v>0</x:v>
      </x:c>
      <x:c r="AL916" s="4">
        <x:f>COUNTIFS('Material routes'!$D$6:$D$2205,A916,'Material routes'!$C$6:$C$2205,"Tool candidate")</x:f>
        <x:v>0</x:v>
      </x:c>
      <x:c r="AM916" s="4" t="str">
        <x:f>IF(AJ916&gt;0,"Route listed; review status/completeness",IF(C916="T0","Raw entry feed; no production route","No production route listed"))</x:f>
        <x:v>Raw entry feed; no production route</x:v>
      </x:c>
      <x:c r="AN916" s="4">
        <x:f>IF(C916="T0",0,IF(C916="T1",1,IF(C916="T2",2,IF(C916="T3",3,IF(C916="T4",4,IF(C916="Unassigned",98,99))))))</x:f>
        <x:v>0</x:v>
      </x:c>
    </x:row>
    <x:row r="917">
      <x:c r="A917" s="4" t="inlineStr">
        <x:is>
          <x:t xml:space="preserve">proposal.armor.plasteel.arms</x:t>
        </x:is>
      </x:c>
      <x:c r="B917" s="4" t="inlineStr">
        <x:is>
          <x:t xml:space="preserve">Ancient plasteel arm guards</x:t>
        </x:is>
      </x:c>
      <x:c r="C917" s="4" t="inlineStr">
        <x:is>
          <x:t xml:space="preserve">T0</x:t>
        </x:is>
      </x:c>
      <x:c r="D917" s="4" t="inlineStr">
        <x:is>
          <x:t xml:space="preserve">Armor</x:t>
        </x:is>
      </x:c>
      <x:c r="E917" s="4" t="inlineStr">
        <x:is>
          <x:t xml:space="preserve">Ancient plasteel armor / arms</x:t>
        </x:is>
      </x:c>
      <x:c r="F917" s="4" t="inlineStr">
        <x:is>
          <x:t xml:space="preserve">New proposal</x:t>
        </x:is>
      </x:c>
      <x:c r="G917" s="4" t="inlineStr">
        <x:is>
          <x:t xml:space="preserve">Extremely rare recovered ancient plasteel arm guards, listed as one separate armor item. Paired upper-arm, elbow and forearm guards; no extra glove item or hand-protection claim. Recovered pale composite segments with unfamiliar recessed fittings, wear and mismatched surviving surfaces. Presence does not establish contemporary manufacture or a usable fitted piece.</x:t>
        </x:is>
      </x:c>
      <x:c r="H917" s="4" t="inlineStr">
        <x:is>
          <x:t xml:space="preserve">Unassigned; no new slot approved</x:t>
        </x:is>
      </x:c>
      <x:c r="I917" s="4" t="inlineStr">
        <x:is>
          <x:t xml:space="preserve">Booter-worn armor concept; fitting, packing and spare-cargo rules unresolved.</x:t>
        </x:is>
      </x:c>
      <x:c r="J917" s="4"/>
      <x:c r="K917" s="4"/>
      <x:c r="L917" s="4" t="inlineStr">
        <x:is>
          <x:t xml:space="preserve">Recover a surviving ancient armor piece from a proposed ruin or machine-age cache; sites and availability unresolved.</x:t>
        </x:is>
      </x:c>
      <x:c r="M917" s="4" t="inlineStr">
        <x:is>
          <x:t xml:space="preserve">Inspect and qualify a surviving original for fit and integrity. No contemporary plasteel manufacturing, internal repair or complete-set acquisition route established.</x:t>
        </x:is>
      </x:c>
      <x:c r="N917" s="4" t="inlineStr">
        <x:is>
          <x:t xml:space="preserve">Not implemented</x:t>
        </x:is>
      </x:c>
      <x:c r="O917" s="4" t="inlineStr">
        <x:is>
          <x:t xml:space="preserve">Extremely rare ancient recovery. Fit, integrity, joining and protection are unknown. No contemporary plasteel manufacture, guaranteed usable condition, set bonus or working protective effect.</x:t>
        </x:is>
      </x:c>
      <x:c r="P917" s="4" t="inlineStr">
        <x:is>
          <x:t xml:space="preserve">Extremely rare</x:t>
        </x:is>
      </x:c>
      <x:c r="Q917" s="4"/>
      <x:c r="R917" s="4"/>
      <x:c r="S917" s="4"/>
      <x:c r="T917" s="4"/>
      <x:c r="U917" s="4" t="inlineStr">
        <x:is>
          <x:t xml:space="preserve">Paired upper-arm, elbow and forearm guards; no extra glove item or hand-protection claim. Visual direction: Recovered pale composite segments with unfamiliar recessed fittings, wear and mismatched surviving surfaces. Joining, fit, wearability and performance require design.</x:t>
        </x:is>
      </x:c>
      <x:c r="V917" s="4" t="inlineStr">
        <x:is>
          <x:t xml:space="preserve">plasteel armor set; plasteel armor family; ancient plasteel armor; arms; separate armor piece</x:t>
        </x:is>
      </x:c>
      <x:c r="W91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7" s="4" t="inlineStr">
        <x:is>
          <x:t xml:space="preserve">Armor</x:t>
        </x:is>
      </x:c>
      <x:c r="Y917" s="4" t="inlineStr">
        <x:is>
          <x:t xml:space="preserve">Recovered part</x:t>
        </x:is>
      </x:c>
      <x:c r="Z917" s="4" t="inlineStr">
        <x:is>
          <x:t xml:space="preserve">Ancient technology</x:t>
        </x:is>
      </x:c>
      <x:c r="AA917" s="4" t="inlineStr">
        <x:is>
          <x:t xml:space="preserve">Protection</x:t>
        </x:is>
      </x:c>
      <x:c r="AB917" s="4" t="inlineStr">
        <x:is>
          <x:t xml:space="preserve">Ancient composite</x:t>
        </x:is>
      </x:c>
      <x:c r="AC917" s="4" t="inlineStr">
        <x:is>
          <x:t xml:space="preserve">Assembly</x:t>
        </x:is>
      </x:c>
      <x:c r="AD917" s="4" t="inlineStr">
        <x:is>
          <x:t xml:space="preserve">Proposal</x:t>
        </x:is>
      </x:c>
      <x:c r="AE917" s="4" t="str">
        <x:f>LOWER(A917&amp;"; "&amp;B917&amp;"; "&amp;D917&amp;"; "&amp;E917&amp;"; "&amp;X917&amp;"; "&amp;Y917&amp;"; "&amp;Z917&amp;"; "&amp;AA917&amp;"; "&amp;AB917&amp;"; "&amp;AC917&amp;"; "&amp;AD917&amp;"; "&amp;V917&amp;"; "&amp;C917&amp;"; "&amp;AH917&amp;"; "&amp;AI917)</x:f>
        <x:v>proposal.armor.plasteel.arms; ancient plasteel arm guards; armor; ancient plasteel armor / arms; armor; recovered part; ancient technology; protection; ancient composite; assembly; proposal; plasteel armor set; plasteel armor family; ancient plasteel armor; arms; separate armor piece; t0; t0; finished item</x:v>
      </x:c>
      <x:c r="AF917" s="4" t="inlineStr">
        <x:is>
          <x:t xml:space="preserve">One independently listed armor piece. Family membership is a design grouping, never another inventory item or a set bonus.</x:t>
        </x:is>
      </x:c>
      <x:c r="AG917" s="4" t="inlineStr">
        <x:is>
          <x:t xml:space="preserve">T0 as found, independent of ancient complexity and extreme rarity. A compatible original would need a separate T1 qualification record before reuse.</x:t>
        </x:is>
      </x:c>
      <x:c r="AH917" s="4" t="inlineStr">
        <x:is>
          <x:t xml:space="preserve">T0</x:t>
        </x:is>
      </x:c>
      <x:c r="AI917" s="4" t="inlineStr">
        <x:is>
          <x:t xml:space="preserve">Finished item</x:t>
        </x:is>
      </x:c>
      <x:c r="AJ917" s="4">
        <x:f>COUNTIFS('Material routes'!$D$6:$D$2205,A917,'Material routes'!$C$6:$C$2205,"Output")</x:f>
        <x:v>0</x:v>
      </x:c>
      <x:c r="AK917" s="4">
        <x:f>SUM(COUNTIFS('Material routes'!$D$6:$D$2205,A917,'Material routes'!$C$6:$C$2205,"Ingredient candidate"),COUNTIFS('Material routes'!$D$6:$D$2205,A917,'Material routes'!$C$6:$C$2205,"Consumed input"),COUNTIFS('Material routes'!$D$6:$D$2205,A917,'Material routes'!$C$6:$C$2205,"Contained input"),COUNTIFS('Material routes'!$D$6:$D$2205,A917,'Material routes'!$C$6:$C$2205,"Transform input"))</x:f>
        <x:v>0</x:v>
      </x:c>
      <x:c r="AL917" s="4">
        <x:f>COUNTIFS('Material routes'!$D$6:$D$2205,A917,'Material routes'!$C$6:$C$2205,"Tool candidate")</x:f>
        <x:v>0</x:v>
      </x:c>
      <x:c r="AM917" s="4" t="str">
        <x:f>IF(AJ917&gt;0,"Route listed; review status/completeness",IF(C917="T0","Raw entry feed; no production route","No production route listed"))</x:f>
        <x:v>Raw entry feed; no production route</x:v>
      </x:c>
      <x:c r="AN917" s="4">
        <x:f>IF(C917="T0",0,IF(C917="T1",1,IF(C917="T2",2,IF(C917="T3",3,IF(C917="T4",4,IF(C917="Unassigned",98,99))))))</x:f>
        <x:v>0</x:v>
      </x:c>
    </x:row>
    <x:row r="918">
      <x:c r="A918" s="4" t="inlineStr">
        <x:is>
          <x:t xml:space="preserve">proposal.armor.plasteel.helmet</x:t>
        </x:is>
      </x:c>
      <x:c r="B918" s="4" t="inlineStr">
        <x:is>
          <x:t xml:space="preserve">Ancient plasteel helmet</x:t>
        </x:is>
      </x:c>
      <x:c r="C918" s="4" t="inlineStr">
        <x:is>
          <x:t xml:space="preserve">T0</x:t>
        </x:is>
      </x:c>
      <x:c r="D918" s="4" t="inlineStr">
        <x:is>
          <x:t xml:space="preserve">Armor</x:t>
        </x:is>
      </x:c>
      <x:c r="E918" s="4" t="inlineStr">
        <x:is>
          <x:t xml:space="preserve">Ancient plasteel armor / helmet</x:t>
        </x:is>
      </x:c>
      <x:c r="F918" s="4" t="inlineStr">
        <x:is>
          <x:t xml:space="preserve">New proposal</x:t>
        </x:is>
      </x:c>
      <x:c r="G918" s="4" t="inlineStr">
        <x:is>
          <x:t xml:space="preserve">Extremely rare recovered ancient plasteel helmet, listed as one separate armor item. Head covering with sight, hearing and canister clearance requiring design. Recovered pale composite segments with unfamiliar recessed fittings, wear and mismatched surviving surfaces. Presence does not establish contemporary manufacture or a usable fitted piece.</x:t>
        </x:is>
      </x:c>
      <x:c r="H918" s="4" t="inlineStr">
        <x:is>
          <x:t xml:space="preserve">Unassigned; no new slot approved</x:t>
        </x:is>
      </x:c>
      <x:c r="I918" s="4" t="inlineStr">
        <x:is>
          <x:t xml:space="preserve">Booter-worn armor concept; fitting, packing and spare-cargo rules unresolved.</x:t>
        </x:is>
      </x:c>
      <x:c r="J918" s="4"/>
      <x:c r="K918" s="4"/>
      <x:c r="L918" s="4" t="inlineStr">
        <x:is>
          <x:t xml:space="preserve">Recover a surviving ancient armor piece from a proposed ruin or machine-age cache; sites and availability unresolved.</x:t>
        </x:is>
      </x:c>
      <x:c r="M918" s="4" t="inlineStr">
        <x:is>
          <x:t xml:space="preserve">Inspect and qualify a surviving original for fit and integrity. No contemporary plasteel manufacturing, internal repair or complete-set acquisition route established.</x:t>
        </x:is>
      </x:c>
      <x:c r="N918" s="4" t="inlineStr">
        <x:is>
          <x:t xml:space="preserve">Not implemented</x:t>
        </x:is>
      </x:c>
      <x:c r="O918" s="4" t="inlineStr">
        <x:is>
          <x:t xml:space="preserve">Extremely rare ancient recovery. Fit, integrity, joining and protection are unknown. No contemporary plasteel manufacture, guaranteed usable condition, set bonus or working protective effect.</x:t>
        </x:is>
      </x:c>
      <x:c r="P918" s="4" t="inlineStr">
        <x:is>
          <x:t xml:space="preserve">Extremely rare</x:t>
        </x:is>
      </x:c>
      <x:c r="Q918" s="4"/>
      <x:c r="R918" s="4"/>
      <x:c r="S918" s="4"/>
      <x:c r="T918" s="4"/>
      <x:c r="U918" s="4" t="inlineStr">
        <x:is>
          <x:t xml:space="preserve">Head covering with sight, hearing and canister clearance requiring design. Visual direction: Recovered pale composite segments with unfamiliar recessed fittings, wear and mismatched surviving surfaces. Joining, fit, wearability and performance require design.</x:t>
        </x:is>
      </x:c>
      <x:c r="V918" s="4" t="inlineStr">
        <x:is>
          <x:t xml:space="preserve">plasteel armor set; plasteel armor family; ancient plasteel armor; helmet; separate armor piece</x:t>
        </x:is>
      </x:c>
      <x:c r="W91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8" s="4" t="inlineStr">
        <x:is>
          <x:t xml:space="preserve">Armor</x:t>
        </x:is>
      </x:c>
      <x:c r="Y918" s="4" t="inlineStr">
        <x:is>
          <x:t xml:space="preserve">Recovered part</x:t>
        </x:is>
      </x:c>
      <x:c r="Z918" s="4" t="inlineStr">
        <x:is>
          <x:t xml:space="preserve">Ancient technology</x:t>
        </x:is>
      </x:c>
      <x:c r="AA918" s="4" t="inlineStr">
        <x:is>
          <x:t xml:space="preserve">Protection</x:t>
        </x:is>
      </x:c>
      <x:c r="AB918" s="4" t="inlineStr">
        <x:is>
          <x:t xml:space="preserve">Ancient composite</x:t>
        </x:is>
      </x:c>
      <x:c r="AC918" s="4" t="inlineStr">
        <x:is>
          <x:t xml:space="preserve">Assembly</x:t>
        </x:is>
      </x:c>
      <x:c r="AD918" s="4" t="inlineStr">
        <x:is>
          <x:t xml:space="preserve">Proposal</x:t>
        </x:is>
      </x:c>
      <x:c r="AE918" s="4" t="str">
        <x:f>LOWER(A918&amp;"; "&amp;B918&amp;"; "&amp;D918&amp;"; "&amp;E918&amp;"; "&amp;X918&amp;"; "&amp;Y918&amp;"; "&amp;Z918&amp;"; "&amp;AA918&amp;"; "&amp;AB918&amp;"; "&amp;AC918&amp;"; "&amp;AD918&amp;"; "&amp;V918&amp;"; "&amp;C918&amp;"; "&amp;AH918&amp;"; "&amp;AI918)</x:f>
        <x:v>proposal.armor.plasteel.helmet; ancient plasteel helmet; armor; ancient plasteel armor / helmet; armor; recovered part; ancient technology; protection; ancient composite; assembly; proposal; plasteel armor set; plasteel armor family; ancient plasteel armor; helmet; separate armor piece; t0; t0; finished item</x:v>
      </x:c>
      <x:c r="AF918" s="4" t="inlineStr">
        <x:is>
          <x:t xml:space="preserve">One independently listed armor piece. Family membership is a design grouping, never another inventory item or a set bonus.</x:t>
        </x:is>
      </x:c>
      <x:c r="AG918" s="4" t="inlineStr">
        <x:is>
          <x:t xml:space="preserve">T0 as found, independent of ancient complexity and extreme rarity. A compatible original would need a separate T1 qualification record before reuse.</x:t>
        </x:is>
      </x:c>
      <x:c r="AH918" s="4" t="inlineStr">
        <x:is>
          <x:t xml:space="preserve">T0</x:t>
        </x:is>
      </x:c>
      <x:c r="AI918" s="4" t="inlineStr">
        <x:is>
          <x:t xml:space="preserve">Finished item</x:t>
        </x:is>
      </x:c>
      <x:c r="AJ918" s="4">
        <x:f>COUNTIFS('Material routes'!$D$6:$D$2205,A918,'Material routes'!$C$6:$C$2205,"Output")</x:f>
        <x:v>0</x:v>
      </x:c>
      <x:c r="AK918" s="4">
        <x:f>SUM(COUNTIFS('Material routes'!$D$6:$D$2205,A918,'Material routes'!$C$6:$C$2205,"Ingredient candidate"),COUNTIFS('Material routes'!$D$6:$D$2205,A918,'Material routes'!$C$6:$C$2205,"Consumed input"),COUNTIFS('Material routes'!$D$6:$D$2205,A918,'Material routes'!$C$6:$C$2205,"Contained input"),COUNTIFS('Material routes'!$D$6:$D$2205,A918,'Material routes'!$C$6:$C$2205,"Transform input"))</x:f>
        <x:v>0</x:v>
      </x:c>
      <x:c r="AL918" s="4">
        <x:f>COUNTIFS('Material routes'!$D$6:$D$2205,A918,'Material routes'!$C$6:$C$2205,"Tool candidate")</x:f>
        <x:v>0</x:v>
      </x:c>
      <x:c r="AM918" s="4" t="str">
        <x:f>IF(AJ918&gt;0,"Route listed; review status/completeness",IF(C918="T0","Raw entry feed; no production route","No production route listed"))</x:f>
        <x:v>Raw entry feed; no production route</x:v>
      </x:c>
      <x:c r="AN918" s="4">
        <x:f>IF(C918="T0",0,IF(C918="T1",1,IF(C918="T2",2,IF(C918="T3",3,IF(C918="T4",4,IF(C918="Unassigned",98,99))))))</x:f>
        <x:v>0</x:v>
      </x:c>
    </x:row>
    <x:row r="919">
      <x:c r="A919" s="4" t="inlineStr">
        <x:is>
          <x:t xml:space="preserve">proposal.culture.engraved_game_tiles</x:t>
        </x:is>
      </x:c>
      <x:c r="B919" s="4" t="inlineStr">
        <x:is>
          <x:t xml:space="preserve">Engraved shell game tiles</x:t>
        </x:is>
      </x:c>
      <x:c r="C919" s="4" t="inlineStr">
        <x:is>
          <x:t xml:space="preserve">T2</x:t>
        </x:is>
      </x:c>
      <x:c r="D919" s="4" t="inlineStr">
        <x:is>
          <x:t xml:space="preserve">Salvage</x:t>
        </x:is>
      </x:c>
      <x:c r="E919" s="4" t="inlineStr">
        <x:is>
          <x:t xml:space="preserve">Cultural life proposal</x:t>
        </x:is>
      </x:c>
      <x:c r="F919" s="4" t="inlineStr">
        <x:is>
          <x:t xml:space="preserve">New proposal</x:t>
        </x:is>
      </x:c>
      <x:c r="G919" s="4" t="inlineStr">
        <x:is>
          <x:t xml:space="preserve">A small matched group of shell tiles with contrasting incised marks, proposed for a portable counting or strategy game during rest stops. The tiles are play pieces rather than currency, devotional offerings or a record of rank; rules and imagery remain to be designed.</x:t>
        </x:is>
      </x:c>
      <x:c r="H919" s="4" t="inlineStr">
        <x:is>
          <x:t xml:space="preserve">None</x:t>
        </x:is>
      </x:c>
      <x:c r="I919" s="4" t="inlineStr">
        <x:is>
          <x:t xml:space="preserve">Physical keepsake, performance prop or leisure object; packing, mass and carrying limits unresolved.</x:t>
        </x:is>
      </x:c>
      <x:c r="J919" s="4"/>
      <x:c r="K919" s="4"/>
      <x:c r="L919" s="4" t="inlineStr">
        <x:is>
          <x:t xml:space="preserve">Proposed artisan work, personal exchange or settlement trade; availability and ownership customs remain undefined.</x:t>
        </x:is>
      </x:c>
      <x:c r="M919" s="4" t="inlineStr">
        <x:is>
          <x:t xml:space="preserve">Candidate finished object using selected prepared stock. No quantities, production time, yield or executable recipe authored.</x:t>
        </x:is>
      </x:c>
      <x:c r="N919" s="4" t="inlineStr">
        <x:is>
          <x:t xml:space="preserve">Not implemented</x:t>
        </x:is>
      </x:c>
      <x:c r="O919" s="4" t="inlineStr">
        <x:is>
          <x:t xml:space="preserve">No game rules, gambling economy, common symbolism or accepted regional tradition established. The listed item is the matched tile group, without an extra bag, board or storage case.</x:t>
        </x:is>
      </x:c>
      <x:c r="P919" s="4"/>
      <x:c r="Q919" s="4"/>
      <x:c r="R919" s="4"/>
      <x:c r="S919" s="4"/>
      <x:c r="T919" s="4"/>
      <x:c r="U919" s="4" t="inlineStr">
        <x:is>
          <x:t xml:space="preserve">Artwork direction: Six small polished shell rectangles with distinct deeply cut geometric marks, arranged beside a short stack. Fit, safe use and manufacturing details remain proposals.</x:t>
        </x:is>
      </x:c>
      <x:c r="V919" s="4" t="inlineStr">
        <x:is>
          <x:t xml:space="preserve">shell game tiles; portable strategy pieces; engraved play tiles</x:t>
        </x:is>
      </x:c>
      <x:c r="W919"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19" s="4" t="inlineStr">
        <x:is>
          <x:t xml:space="preserve">Cultural object</x:t>
        </x:is>
      </x:c>
      <x:c r="Y919" s="4" t="inlineStr">
        <x:is>
          <x:t xml:space="preserve">Finished item</x:t>
        </x:is>
      </x:c>
      <x:c r="Z919" s="4" t="inlineStr">
        <x:is>
          <x:t xml:space="preserve">Manufactured / unresolved</x:t>
        </x:is>
      </x:c>
      <x:c r="AA919" s="4" t="inlineStr">
        <x:is>
          <x:t xml:space="preserve">Culture support</x:t>
        </x:is>
      </x:c>
      <x:c r="AB919" s="4" t="inlineStr">
        <x:is>
          <x:t xml:space="preserve">Shell / chitin</x:t>
        </x:is>
      </x:c>
      <x:c r="AC919" s="4" t="inlineStr">
        <x:is>
          <x:t xml:space="preserve">Assembly</x:t>
        </x:is>
      </x:c>
      <x:c r="AD919" s="4" t="inlineStr">
        <x:is>
          <x:t xml:space="preserve">Proposal</x:t>
        </x:is>
      </x:c>
      <x:c r="AE919" s="4" t="str">
        <x:f>LOWER(A919&amp;"; "&amp;B919&amp;"; "&amp;D919&amp;"; "&amp;E919&amp;"; "&amp;X919&amp;"; "&amp;Y919&amp;"; "&amp;Z919&amp;"; "&amp;AA919&amp;"; "&amp;AB919&amp;"; "&amp;AC919&amp;"; "&amp;AD919&amp;"; "&amp;V919&amp;"; "&amp;C919&amp;"; "&amp;AH919&amp;"; "&amp;AI919)</x:f>
        <x:v>proposal.culture.engraved_game_tiles; engraved shell game tiles; salvage; cultural life proposal; cultural object; finished item; manufactured / unresolved; culture support; shell / chitin; assembly; proposal; shell game tiles; portable strategy pieces; engraved play tiles; t2; t1; finished item</x:v>
      </x:c>
      <x:c r="AF919" s="4" t="inlineStr">
        <x:is>
          <x:t xml:space="preserve">Author-requested cultural-object expansion. Distinct finished objects for proposed leisure, storytelling and craft expression; no existing cultural practice is asserted as canon. Author direction October 16: all remaining Cultural objects are Salvage; remove the cultural items section. Preserve item identity, descriptions, condition, tiers, uses and recipe semantics.</x:t>
        </x:is>
      </x:c>
      <x:c r="AG919" s="4" t="inlineStr">
        <x:is>
          <x:t xml:space="preserve">Proposed T2 finished object using qualified T1 stock. Material preparation, design, construction and useful performance remain unresolved.</x:t>
        </x:is>
      </x:c>
      <x:c r="AH919" s="4" t="inlineStr">
        <x:is>
          <x:t xml:space="preserve">T1</x:t>
        </x:is>
      </x:c>
      <x:c r="AI919" s="4" t="inlineStr">
        <x:is>
          <x:t xml:space="preserve">Finished item</x:t>
        </x:is>
      </x:c>
      <x:c r="AJ919" s="4">
        <x:f>COUNTIFS('Material routes'!$D$6:$D$2205,A919,'Material routes'!$C$6:$C$2205,"Output")</x:f>
        <x:v>0</x:v>
      </x:c>
      <x:c r="AK919" s="4">
        <x:f>SUM(COUNTIFS('Material routes'!$D$6:$D$2205,A919,'Material routes'!$C$6:$C$2205,"Ingredient candidate"),COUNTIFS('Material routes'!$D$6:$D$2205,A919,'Material routes'!$C$6:$C$2205,"Consumed input"),COUNTIFS('Material routes'!$D$6:$D$2205,A919,'Material routes'!$C$6:$C$2205,"Contained input"),COUNTIFS('Material routes'!$D$6:$D$2205,A919,'Material routes'!$C$6:$C$2205,"Transform input"))</x:f>
        <x:v>0</x:v>
      </x:c>
      <x:c r="AL919" s="4">
        <x:f>COUNTIFS('Material routes'!$D$6:$D$2205,A919,'Material routes'!$C$6:$C$2205,"Tool candidate")</x:f>
        <x:v>0</x:v>
      </x:c>
      <x:c r="AM919" s="4" t="str">
        <x:f>IF(AJ919&gt;0,"Route listed; review status/completeness",IF(C919="T0","Raw entry feed; no production route","No production route listed"))</x:f>
        <x:v>No production route listed</x:v>
      </x:c>
      <x:c r="AN919" s="4">
        <x:f>IF(C919="T0",0,IF(C919="T1",1,IF(C919="T2",2,IF(C919="T3",3,IF(C919="T4",4,IF(C919="Unassigned",98,99))))))</x:f>
        <x:v>2</x:v>
      </x:c>
    </x:row>
    <x:row r="920">
      <x:c r="A920" s="4" t="inlineStr">
        <x:is>
          <x:t xml:space="preserve">proposal.culture.ceramic_storytelling_mask</x:t>
        </x:is>
      </x:c>
      <x:c r="B920" s="4" t="inlineStr">
        <x:is>
          <x:t xml:space="preserve">Ceramic storytelling mask</x:t>
        </x:is>
      </x:c>
      <x:c r="C920" s="4" t="inlineStr">
        <x:is>
          <x:t xml:space="preserve">T2</x:t>
        </x:is>
      </x:c>
      <x:c r="D920" s="4" t="inlineStr">
        <x:is>
          <x:t xml:space="preserve">Salvage</x:t>
        </x:is>
      </x:c>
      <x:c r="E920" s="4" t="inlineStr">
        <x:is>
          <x:t xml:space="preserve">Cultural life proposal</x:t>
        </x:is>
      </x:c>
      <x:c r="F920" s="4" t="inlineStr">
        <x:is>
          <x:t xml:space="preserve">New proposal</x:t>
        </x:is>
      </x:c>
      <x:c r="G920" s="4" t="inlineStr">
        <x:is>
          <x:t xml:space="preserve">A stylized ceramic face held or supported during a proposed dramatic retelling. Its exaggerated brow and mouth distinguish a performed character rather than a named ancestor, deity or official role.</x:t>
        </x:is>
      </x:c>
      <x:c r="H920" s="4" t="inlineStr">
        <x:is>
          <x:t xml:space="preserve">None</x:t>
        </x:is>
      </x:c>
      <x:c r="I920" s="4" t="inlineStr">
        <x:is>
          <x:t xml:space="preserve">Physical keepsake, performance prop or leisure object; packing, mass and carrying limits unresolved.</x:t>
        </x:is>
      </x:c>
      <x:c r="J920" s="4"/>
      <x:c r="K920" s="4"/>
      <x:c r="L920" s="4" t="inlineStr">
        <x:is>
          <x:t xml:space="preserve">Proposed artisan work, personal exchange or settlement trade; availability and ownership customs remain undefined.</x:t>
        </x:is>
      </x:c>
      <x:c r="M920" s="4" t="inlineStr">
        <x:is>
          <x:t xml:space="preserve">Candidate finished object using selected prepared stock. No quantities, production time, yield or executable recipe authored.</x:t>
        </x:is>
      </x:c>
      <x:c r="N920" s="4" t="inlineStr">
        <x:is>
          <x:t xml:space="preserve">Not implemented</x:t>
        </x:is>
      </x:c>
      <x:c r="O920" s="4" t="inlineStr">
        <x:is>
          <x:t xml:space="preserve">A performance prop, not protective armor, respiratory equipment or a new wearable slot. Visibility, holding method, character conventions and cultural acceptance remain proposals.</x:t>
        </x:is>
      </x:c>
      <x:c r="P920" s="4"/>
      <x:c r="Q920" s="4"/>
      <x:c r="R920" s="4"/>
      <x:c r="S920" s="4"/>
      <x:c r="T920" s="4"/>
      <x:c r="U920" s="4" t="inlineStr">
        <x:is>
          <x:t xml:space="preserve">Artwork direction: A hollow ochre ceramic face with an exaggerated brow, open eye slots and a plain metal holding loop at one side. Fit, safe use and manufacturing details remain proposals.</x:t>
        </x:is>
      </x:c>
      <x:c r="V920" s="4" t="inlineStr">
        <x:is>
          <x:t xml:space="preserve">story mask; ceramic performance mask; dramatic face prop</x:t>
        </x:is>
      </x:c>
      <x:c r="W920"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0" s="4" t="inlineStr">
        <x:is>
          <x:t xml:space="preserve">Cultural object</x:t>
        </x:is>
      </x:c>
      <x:c r="Y920" s="4" t="inlineStr">
        <x:is>
          <x:t xml:space="preserve">Finished item</x:t>
        </x:is>
      </x:c>
      <x:c r="Z920" s="4" t="inlineStr">
        <x:is>
          <x:t xml:space="preserve">Manufactured / unresolved</x:t>
        </x:is>
      </x:c>
      <x:c r="AA920" s="4" t="inlineStr">
        <x:is>
          <x:t xml:space="preserve">Culture support</x:t>
        </x:is>
      </x:c>
      <x:c r="AB920" s="4" t="inlineStr">
        <x:is>
          <x:t xml:space="preserve">Ceramic and metal</x:t>
        </x:is>
      </x:c>
      <x:c r="AC920" s="4" t="inlineStr">
        <x:is>
          <x:t xml:space="preserve">Assembly</x:t>
        </x:is>
      </x:c>
      <x:c r="AD920" s="4" t="inlineStr">
        <x:is>
          <x:t xml:space="preserve">Proposal</x:t>
        </x:is>
      </x:c>
      <x:c r="AE920" s="4" t="str">
        <x:f>LOWER(A920&amp;"; "&amp;B920&amp;"; "&amp;D920&amp;"; "&amp;E920&amp;"; "&amp;X920&amp;"; "&amp;Y920&amp;"; "&amp;Z920&amp;"; "&amp;AA920&amp;"; "&amp;AB920&amp;"; "&amp;AC920&amp;"; "&amp;AD920&amp;"; "&amp;V920&amp;"; "&amp;C920&amp;"; "&amp;AH920&amp;"; "&amp;AI920)</x:f>
        <x:v>proposal.culture.ceramic_storytelling_mask; ceramic storytelling mask; salvage; cultural life proposal; cultural object; finished item; manufactured / unresolved; culture support; ceramic and metal; assembly; proposal; story mask; ceramic performance mask; dramatic face prop; t2; t1; finished item</x:v>
      </x:c>
      <x:c r="AF920" s="4" t="inlineStr">
        <x:is>
          <x:t xml:space="preserve">Author-requested cultural-object expansion. Distinct finished objects for proposed leisure, storytelling and craft expression; no existing cultural practice is asserted as canon. Author direction October 16: all remaining Cultural objects are Salvage; remove the cultural items section. Preserve item identity, descriptions, condition, tiers, uses and recipe semantics.</x:t>
        </x:is>
      </x:c>
      <x:c r="AG920" s="4" t="inlineStr">
        <x:is>
          <x:t xml:space="preserve">Proposed T2 finished object using qualified T1 stock. Material preparation, design, construction and useful performance remain unresolved.</x:t>
        </x:is>
      </x:c>
      <x:c r="AH920" s="4" t="inlineStr">
        <x:is>
          <x:t xml:space="preserve">T1</x:t>
        </x:is>
      </x:c>
      <x:c r="AI920" s="4" t="inlineStr">
        <x:is>
          <x:t xml:space="preserve">Finished item</x:t>
        </x:is>
      </x:c>
      <x:c r="AJ920" s="4">
        <x:f>COUNTIFS('Material routes'!$D$6:$D$2205,A920,'Material routes'!$C$6:$C$2205,"Output")</x:f>
        <x:v>0</x:v>
      </x:c>
      <x:c r="AK920" s="4">
        <x:f>SUM(COUNTIFS('Material routes'!$D$6:$D$2205,A920,'Material routes'!$C$6:$C$2205,"Ingredient candidate"),COUNTIFS('Material routes'!$D$6:$D$2205,A920,'Material routes'!$C$6:$C$2205,"Consumed input"),COUNTIFS('Material routes'!$D$6:$D$2205,A920,'Material routes'!$C$6:$C$2205,"Contained input"),COUNTIFS('Material routes'!$D$6:$D$2205,A920,'Material routes'!$C$6:$C$2205,"Transform input"))</x:f>
        <x:v>0</x:v>
      </x:c>
      <x:c r="AL920" s="4">
        <x:f>COUNTIFS('Material routes'!$D$6:$D$2205,A920,'Material routes'!$C$6:$C$2205,"Tool candidate")</x:f>
        <x:v>0</x:v>
      </x:c>
      <x:c r="AM920" s="4" t="str">
        <x:f>IF(AJ920&gt;0,"Route listed; review status/completeness",IF(C920="T0","Raw entry feed; no production route","No production route listed"))</x:f>
        <x:v>No production route listed</x:v>
      </x:c>
      <x:c r="AN920" s="4">
        <x:f>IF(C920="T0",0,IF(C920="T1",1,IF(C920="T2",2,IF(C920="T3",3,IF(C920="T4",4,IF(C920="Unassigned",98,99))))))</x:f>
        <x:v>2</x:v>
      </x:c>
    </x:row>
    <x:row r="921">
      <x:c r="A921" s="4"/>
      <x:c r="B921" s="4"/>
      <x:c r="C921" s="4"/>
      <x:c r="D921" s="4"/>
      <x:c r="E921" s="4"/>
      <x:c r="F921" s="4"/>
      <x:c r="G921" s="4"/>
      <x:c r="H921" s="4"/>
      <x:c r="I921" s="4"/>
      <x:c r="J921" s="4"/>
      <x:c r="K921" s="4"/>
      <x:c r="L921" s="4"/>
      <x:c r="M921" s="4"/>
      <x:c r="N921" s="4"/>
      <x:c r="O921" s="4"/>
      <x:c r="P921" s="4"/>
      <x:c r="Q921" s="4"/>
      <x:c r="R921" s="4"/>
      <x:c r="S921" s="4"/>
      <x:c r="T921" s="4"/>
      <x:c r="U921" s="4"/>
      <x:c r="V921" s="4"/>
      <x:c r="W921" s="4"/>
      <x:c r="X921" s="4"/>
      <x:c r="Y921" s="4"/>
      <x:c r="Z921" s="4"/>
      <x:c r="AA921" s="4"/>
      <x:c r="AB921" s="4"/>
      <x:c r="AC921" s="4"/>
      <x:c r="AD921" s="4"/>
      <x:c r="AE921" s="4"/>
      <x:c r="AF921" s="4"/>
      <x:c r="AG921" s="4"/>
      <x:c r="AH921" s="4"/>
      <x:c r="AI921" s="4"/>
      <x:c r="AJ921" s="4"/>
      <x:c r="AK921" s="4"/>
      <x:c r="AL921" s="4"/>
      <x:c r="AM921" s="4"/>
      <x:c r="AN921" s="4"/>
    </x:row>
    <x:row r="922">
      <x:c r="A922" s="4" t="inlineStr">
        <x:is>
          <x:t xml:space="preserve">proposal.culture.husk_paper_songbook</x:t>
        </x:is>
      </x:c>
      <x:c r="B922" s="4" t="inlineStr">
        <x:is>
          <x:t xml:space="preserve">Husk-paper songbook</x:t>
        </x:is>
      </x:c>
      <x:c r="C922" s="4" t="inlineStr">
        <x:is>
          <x:t xml:space="preserve">T3</x:t>
        </x:is>
      </x:c>
      <x:c r="D922" s="4" t="inlineStr">
        <x:is>
          <x:t xml:space="preserve">Salvage</x:t>
        </x:is>
      </x:c>
      <x:c r="E922" s="4" t="inlineStr">
        <x:is>
          <x:t xml:space="preserve">Cultural life proposal</x:t>
        </x:is>
      </x:c>
      <x:c r="F922" s="4" t="inlineStr">
        <x:is>
          <x:t xml:space="preserve">New proposal</x:t>
        </x:is>
      </x:c>
      <x:c r="G922" s="4" t="inlineStr">
        <x:is>
          <x:t xml:space="preserve">A small folio of prepared husk-paper leaves proposed to preserve song words, repeated lines or simple performance marks. It records a repertoire rather than tuning an instrument, claiming a civic office or supplying a devotional text.</x:t>
        </x:is>
      </x:c>
      <x:c r="H922" s="4" t="inlineStr">
        <x:is>
          <x:t xml:space="preserve">None</x:t>
        </x:is>
      </x:c>
      <x:c r="I922" s="4" t="inlineStr">
        <x:is>
          <x:t xml:space="preserve">Physical keepsake, performance prop or leisure object; packing, mass and carrying limits unresolved.</x:t>
        </x:is>
      </x:c>
      <x:c r="J922" s="4"/>
      <x:c r="K922" s="4"/>
      <x:c r="L922" s="4" t="inlineStr">
        <x:is>
          <x:t xml:space="preserve">Proposed artisan work, personal exchange or settlement trade; availability and ownership customs remain undefined.</x:t>
        </x:is>
      </x:c>
      <x:c r="M922" s="4" t="inlineStr">
        <x:is>
          <x:t xml:space="preserve">Candidate finished object using selected prepared stock. No quantities, production time, yield or executable recipe authored.</x:t>
        </x:is>
      </x:c>
      <x:c r="N922" s="4" t="inlineStr">
        <x:is>
          <x:t xml:space="preserve">Not implemented</x:t>
        </x:is>
      </x:c>
      <x:c r="O922" s="4" t="inlineStr">
        <x:is>
          <x:t xml:space="preserve">No actual lyrics, standard musical notation, literacy level, common language, universal tradition or knowledge unlock established. Covers and binding use shell and metal, not wood or cloth.</x:t>
        </x:is>
      </x:c>
      <x:c r="P922" s="4"/>
      <x:c r="Q922" s="4"/>
      <x:c r="R922" s="4"/>
      <x:c r="S922" s="4"/>
      <x:c r="T922" s="4"/>
      <x:c r="U922" s="4" t="inlineStr">
        <x:is>
          <x:t xml:space="preserve">Artwork direction: A slim stack of pale husk-paper leaves between thin shell covers, joined by small metal rings and marked with short repeated lines. Fit, safe use and manufacturing details remain proposals.</x:t>
        </x:is>
      </x:c>
      <x:c r="V922" s="4" t="inlineStr">
        <x:is>
          <x:t xml:space="preserve">song folio; husk-paper songbook; travelers repertoire</x:t>
        </x:is>
      </x:c>
      <x:c r="W922"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2" s="4" t="inlineStr">
        <x:is>
          <x:t xml:space="preserve">Document</x:t>
        </x:is>
      </x:c>
      <x:c r="Y922" s="4" t="inlineStr">
        <x:is>
          <x:t xml:space="preserve">Finished item</x:t>
        </x:is>
      </x:c>
      <x:c r="Z922" s="4" t="inlineStr">
        <x:is>
          <x:t xml:space="preserve">Manufactured / unresolved</x:t>
        </x:is>
      </x:c>
      <x:c r="AA922" s="4" t="inlineStr">
        <x:is>
          <x:t xml:space="preserve">Writing and records</x:t>
        </x:is>
      </x:c>
      <x:c r="AB922" s="4" t="inlineStr">
        <x:is>
          <x:t xml:space="preserve">Mixed / unresolved</x:t>
        </x:is>
      </x:c>
      <x:c r="AC922" s="4" t="inlineStr">
        <x:is>
          <x:t xml:space="preserve">Folio</x:t>
        </x:is>
      </x:c>
      <x:c r="AD922" s="4" t="inlineStr">
        <x:is>
          <x:t xml:space="preserve">Proposal</x:t>
        </x:is>
      </x:c>
      <x:c r="AE922" s="4" t="str">
        <x:f>LOWER(A922&amp;"; "&amp;B922&amp;"; "&amp;D922&amp;"; "&amp;E922&amp;"; "&amp;X922&amp;"; "&amp;Y922&amp;"; "&amp;Z922&amp;"; "&amp;AA922&amp;"; "&amp;AB922&amp;"; "&amp;AC922&amp;"; "&amp;AD922&amp;"; "&amp;V922&amp;"; "&amp;C922&amp;"; "&amp;AH922&amp;"; "&amp;AI922)</x:f>
        <x:v>proposal.culture.husk_paper_songbook; husk-paper songbook; salvage; cultural life proposal; document; finished item; manufactured / unresolved; writing and records; mixed / unresolved; folio; proposal; song folio; husk-paper songbook; travelers repertoire; t3; t2; finished item</x:v>
      </x:c>
      <x:c r="AF922" s="4" t="inlineStr">
        <x:is>
          <x:t xml:space="preserve">Author-requested cultural-object expansion. Distinct finished objects for proposed leisure, storytelling and craft expression; no existing cultural practice is asserted as canon. Author direction October 16: all remaining Cultural objects are Salvage; remove the cultural items section. Preserve item identity, descriptions, condition, tiers, uses and recipe semantics.</x:t>
        </x:is>
      </x:c>
      <x:c r="AG922" s="4" t="inlineStr">
        <x:is>
          <x:t xml:space="preserve">Proposed T3 assembled folio using the existing T2 husk-paper material with prepared covers and metal binding parts. Writing, notation and manufacture remain proposals.</x:t>
        </x:is>
      </x:c>
      <x:c r="AH922" s="4" t="inlineStr">
        <x:is>
          <x:t xml:space="preserve">T2</x:t>
        </x:is>
      </x:c>
      <x:c r="AI922" s="4" t="inlineStr">
        <x:is>
          <x:t xml:space="preserve">Finished item</x:t>
        </x:is>
      </x:c>
      <x:c r="AJ922" s="4">
        <x:f>COUNTIFS('Material routes'!$D$6:$D$2205,A922,'Material routes'!$C$6:$C$2205,"Output")</x:f>
        <x:v>0</x:v>
      </x:c>
      <x:c r="AK922" s="4">
        <x:f>SUM(COUNTIFS('Material routes'!$D$6:$D$2205,A922,'Material routes'!$C$6:$C$2205,"Ingredient candidate"),COUNTIFS('Material routes'!$D$6:$D$2205,A922,'Material routes'!$C$6:$C$2205,"Consumed input"),COUNTIFS('Material routes'!$D$6:$D$2205,A922,'Material routes'!$C$6:$C$2205,"Contained input"),COUNTIFS('Material routes'!$D$6:$D$2205,A922,'Material routes'!$C$6:$C$2205,"Transform input"))</x:f>
        <x:v>0</x:v>
      </x:c>
      <x:c r="AL922" s="4">
        <x:f>COUNTIFS('Material routes'!$D$6:$D$2205,A922,'Material routes'!$C$6:$C$2205,"Tool candidate")</x:f>
        <x:v>0</x:v>
      </x:c>
      <x:c r="AM922" s="4" t="str">
        <x:f>IF(AJ922&gt;0,"Route listed; review status/completeness",IF(C922="T0","Raw entry feed; no production route","No production route listed"))</x:f>
        <x:v>No production route listed</x:v>
      </x:c>
      <x:c r="AN922" s="4">
        <x:f>IF(C922="T0",0,IF(C922="T1",1,IF(C922="T2",2,IF(C922="T3",3,IF(C922="T4",4,IF(C922="Unassigned",98,99))))))</x:f>
        <x:v>3</x:v>
      </x:c>
    </x:row>
    <x:row r="923">
      <x:c r="A923" s="4"/>
      <x:c r="B923" s="4"/>
      <x:c r="C923" s="4"/>
      <x:c r="D923" s="4"/>
      <x:c r="E923" s="4"/>
      <x:c r="F923" s="4"/>
      <x:c r="G923" s="4"/>
      <x:c r="H923" s="4"/>
      <x:c r="I923" s="4"/>
      <x:c r="J923" s="4"/>
      <x:c r="K923" s="4"/>
      <x:c r="L923" s="4"/>
      <x:c r="M923" s="4"/>
      <x:c r="N923" s="4"/>
      <x:c r="O923" s="4"/>
      <x:c r="P923" s="4"/>
      <x:c r="Q923" s="4"/>
      <x:c r="R923" s="4"/>
      <x:c r="S923" s="4"/>
      <x:c r="T923" s="4"/>
      <x:c r="U923" s="4"/>
      <x:c r="V923" s="4"/>
      <x:c r="W923" s="4"/>
      <x:c r="X923" s="4"/>
      <x:c r="Y923" s="4"/>
      <x:c r="Z923" s="4"/>
      <x:c r="AA923" s="4"/>
      <x:c r="AB923" s="4"/>
      <x:c r="AC923" s="4"/>
      <x:c r="AD923" s="4"/>
      <x:c r="AE923" s="4"/>
      <x:c r="AF923" s="4"/>
      <x:c r="AG923" s="4"/>
      <x:c r="AH923" s="4"/>
      <x:c r="AI923" s="4"/>
      <x:c r="AJ923" s="4"/>
      <x:c r="AK923" s="4"/>
      <x:c r="AL923" s="4"/>
      <x:c r="AM923" s="4"/>
      <x:c r="AN923" s="4"/>
    </x:row>
    <x:row r="924">
      <x:c r="A924" s="4" t="inlineStr">
        <x:is>
          <x:t xml:space="preserve">proposal.culture.household_pattern_roller</x:t>
        </x:is>
      </x:c>
      <x:c r="B924" s="4" t="inlineStr">
        <x:is>
          <x:t xml:space="preserve">Household pattern roller</x:t>
        </x:is>
      </x:c>
      <x:c r="C924" s="4" t="inlineStr">
        <x:is>
          <x:t xml:space="preserve">T2</x:t>
        </x:is>
      </x:c>
      <x:c r="D924" s="4" t="inlineStr">
        <x:is>
          <x:t xml:space="preserve">Salvage</x:t>
        </x:is>
      </x:c>
      <x:c r="E924" s="4" t="inlineStr">
        <x:is>
          <x:t xml:space="preserve">Cultural life proposal</x:t>
        </x:is>
      </x:c>
      <x:c r="F924" s="4" t="inlineStr">
        <x:is>
          <x:t xml:space="preserve">New proposal</x:t>
        </x:is>
      </x:c>
      <x:c r="G924" s="4" t="inlineStr">
        <x:is>
          <x:t xml:space="preserve">A small engraved ceramic cylinder on a metal axle, proposed for repeating a decorative motif on compatible unfired clay or prepared marking stock. The motif is a personal or household design rather than an official seal, pilgrimage mark or proof of ownership.</x:t>
        </x:is>
      </x:c>
      <x:c r="H924" s="4" t="inlineStr">
        <x:is>
          <x:t xml:space="preserve">None</x:t>
        </x:is>
      </x:c>
      <x:c r="I924" s="4" t="inlineStr">
        <x:is>
          <x:t xml:space="preserve">Physical keepsake, performance prop or leisure object; packing, mass and carrying limits unresolved.</x:t>
        </x:is>
      </x:c>
      <x:c r="J924" s="4"/>
      <x:c r="K924" s="4"/>
      <x:c r="L924" s="4" t="inlineStr">
        <x:is>
          <x:t xml:space="preserve">Proposed artisan work, personal exchange or settlement trade; availability and ownership customs remain undefined.</x:t>
        </x:is>
      </x:c>
      <x:c r="M924" s="4" t="inlineStr">
        <x:is>
          <x:t xml:space="preserve">Candidate finished object using selected prepared stock. No quantities, production time, yield or executable recipe authored.</x:t>
        </x:is>
      </x:c>
      <x:c r="N924" s="4" t="inlineStr">
        <x:is>
          <x:t xml:space="preserve">Not implemented</x:t>
        </x:is>
      </x:c>
      <x:c r="O924" s="4" t="inlineStr">
        <x:is>
          <x:t xml:space="preserve">Compatible marking media and impression quality require design; no water-based ink, wooden handle or freely available cloth assumed. Motif meanings, inheritance and household customs are unassigned.</x:t>
        </x:is>
      </x:c>
      <x:c r="P924" s="4"/>
      <x:c r="Q924" s="4"/>
      <x:c r="R924" s="4"/>
      <x:c r="S924" s="4"/>
      <x:c r="T924" s="4"/>
      <x:c r="U924" s="4" t="inlineStr">
        <x:is>
          <x:t xml:space="preserve">Artwork direction: A palm-sized ceramic roller engraved with a repeating stepped pattern, mounted on a simple bent-metal handle. Fit, safe use and manufacturing details remain proposals.</x:t>
        </x:is>
      </x:c>
      <x:c r="V924" s="4" t="inlineStr">
        <x:is>
          <x:t xml:space="preserve">decorative pattern roller; household motif cylinder; repeating ceramic stamp</x:t>
        </x:is>
      </x:c>
      <x:c r="W924"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4" s="4" t="inlineStr">
        <x:is>
          <x:t xml:space="preserve">Tool</x:t>
        </x:is>
      </x:c>
      <x:c r="Y924" s="4" t="inlineStr">
        <x:is>
          <x:t xml:space="preserve">Finished item</x:t>
        </x:is>
      </x:c>
      <x:c r="Z924" s="4" t="inlineStr">
        <x:is>
          <x:t xml:space="preserve">Manufactured / unresolved</x:t>
        </x:is>
      </x:c>
      <x:c r="AA924" s="4" t="inlineStr">
        <x:is>
          <x:t xml:space="preserve">Decoration</x:t>
        </x:is>
      </x:c>
      <x:c r="AB924" s="4" t="inlineStr">
        <x:is>
          <x:t xml:space="preserve">Ceramic and metal</x:t>
        </x:is>
      </x:c>
      <x:c r="AC924" s="4" t="inlineStr">
        <x:is>
          <x:t xml:space="preserve">Assembly</x:t>
        </x:is>
      </x:c>
      <x:c r="AD924" s="4" t="inlineStr">
        <x:is>
          <x:t xml:space="preserve">Proposal</x:t>
        </x:is>
      </x:c>
      <x:c r="AE924" s="4" t="str">
        <x:f>LOWER(A924&amp;"; "&amp;B924&amp;"; "&amp;D924&amp;"; "&amp;E924&amp;"; "&amp;X924&amp;"; "&amp;Y924&amp;"; "&amp;Z924&amp;"; "&amp;AA924&amp;"; "&amp;AB924&amp;"; "&amp;AC924&amp;"; "&amp;AD924&amp;"; "&amp;V924&amp;"; "&amp;C924&amp;"; "&amp;AH924&amp;"; "&amp;AI924)</x:f>
        <x:v>proposal.culture.household_pattern_roller; household pattern roller; salvage; cultural life proposal; tool; finished item; manufactured / unresolved; decoration; ceramic and metal; assembly; proposal; decorative pattern roller; household motif cylinder; repeating ceramic stamp; t2; t1; finished item</x:v>
      </x:c>
      <x:c r="AF924" s="4" t="inlineStr">
        <x:is>
          <x:t xml:space="preserve">Author-requested cultural-object expansion. Distinct finished objects for proposed leisure, storytelling and craft expression; no existing cultural practice is asserted as canon. Author direction October 16: all remaining Cultural objects are Salvage; remove the cultural items section. Preserve item identity, descriptions, condition, tiers, uses and recipe semantics.</x:t>
        </x:is>
      </x:c>
      <x:c r="AG924" s="4" t="inlineStr">
        <x:is>
          <x:t xml:space="preserve">Proposed T2 finished object using qualified T1 stock. Material preparation, design, construction and useful performance remain unresolved.</x:t>
        </x:is>
      </x:c>
      <x:c r="AH924" s="4" t="inlineStr">
        <x:is>
          <x:t xml:space="preserve">T1</x:t>
        </x:is>
      </x:c>
      <x:c r="AI924" s="4" t="inlineStr">
        <x:is>
          <x:t xml:space="preserve">Finished item</x:t>
        </x:is>
      </x:c>
      <x:c r="AJ924" s="4">
        <x:f>COUNTIFS('Material routes'!$D$6:$D$2205,A924,'Material routes'!$C$6:$C$2205,"Output")</x:f>
        <x:v>0</x:v>
      </x:c>
      <x:c r="AK924" s="4">
        <x:f>SUM(COUNTIFS('Material routes'!$D$6:$D$2205,A924,'Material routes'!$C$6:$C$2205,"Ingredient candidate"),COUNTIFS('Material routes'!$D$6:$D$2205,A924,'Material routes'!$C$6:$C$2205,"Consumed input"),COUNTIFS('Material routes'!$D$6:$D$2205,A924,'Material routes'!$C$6:$C$2205,"Contained input"),COUNTIFS('Material routes'!$D$6:$D$2205,A924,'Material routes'!$C$6:$C$2205,"Transform input"))</x:f>
        <x:v>0</x:v>
      </x:c>
      <x:c r="AL924" s="4">
        <x:f>COUNTIFS('Material routes'!$D$6:$D$2205,A924,'Material routes'!$C$6:$C$2205,"Tool candidate")</x:f>
        <x:v>0</x:v>
      </x:c>
      <x:c r="AM924" s="4" t="str">
        <x:f>IF(AJ924&gt;0,"Route listed; review status/completeness",IF(C924="T0","Raw entry feed; no production route","No production route listed"))</x:f>
        <x:v>No production route listed</x:v>
      </x:c>
      <x:c r="AN924" s="4">
        <x:f>IF(C924="T0",0,IF(C924="T1",1,IF(C924="T2",2,IF(C924="T3",3,IF(C924="T4",4,IF(C924="Unassigned",98,99))))))</x:f>
        <x:v>2</x:v>
      </x:c>
    </x:row>
    <x:row r="925">
      <x:c r="A925" s="4" t="inlineStr">
        <x:is>
          <x:t xml:space="preserve">proposal.armor.arc_power.chest</x:t>
        </x:is>
      </x:c>
      <x:c r="B925" s="4" t="inlineStr">
        <x:is>
          <x:t xml:space="preserve">Arc power chestplate</x:t>
        </x:is>
      </x:c>
      <x:c r="C925" s="4" t="inlineStr">
        <x:is>
          <x:t xml:space="preserve">T4</x:t>
        </x:is>
      </x:c>
      <x:c r="D925" s="4" t="inlineStr">
        <x:is>
          <x:t xml:space="preserve">Armor</x:t>
        </x:is>
      </x:c>
      <x:c r="E925" s="4" t="inlineStr">
        <x:is>
          <x:t xml:space="preserve">Arc power armor / chest</x:t>
        </x:is>
      </x:c>
      <x:c r="F925" s="4" t="inlineStr">
        <x:is>
          <x:t xml:space="preserve">New proposal</x:t>
        </x:is>
      </x:c>
      <x:c r="G925" s="4" t="inlineStr">
        <x:is>
          <x:t xml:space="preserve">Separate torso and upper-back piece for the Arc power armor family. A rigid metal chest frame carries overlapping plates and a proposed protected battery connection; power distribution and fitting remain design work. Does not include the other armor pieces or supply a battery.</x:t>
        </x:is>
      </x:c>
      <x:c r="H925" s="4" t="inlineStr">
        <x:is>
          <x:t xml:space="preserve">Unassigned; no new slot approved</x:t>
        </x:is>
      </x:c>
      <x:c r="I925" s="4" t="inlineStr">
        <x:is>
          <x:t xml:space="preserve">Booter-worn powered armor concept; fitting, canister clearance, packing and spare-cargo rules unresolved.</x:t>
        </x:is>
      </x:c>
      <x:c r="J925" s="4"/>
      <x:c r="K925" s="4"/>
      <x:c r="L925" s="4" t="inlineStr">
        <x:is>
          <x:t xml:space="preserve">Proposed specialist assembly or trade; no acquisition site, availability or complete-set grant established.</x:t>
        </x:is>
      </x:c>
      <x:c r="M925"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5" s="4" t="inlineStr">
        <x:is>
          <x:t xml:space="preserve">Not implemented</x:t>
        </x:is>
      </x:c>
      <x:c r="O925"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5" s="4"/>
      <x:c r="Q925" s="4"/>
      <x:c r="R925" s="4"/>
      <x:c r="S925" s="4"/>
      <x:c r="T925" s="4"/>
      <x:c r="U925" s="4" t="inlineStr">
        <x:is>
          <x:t xml:space="preserve">Torso coverage, battery mounting and access, electrical isolation, canister clearance, joint attachment and power distribution remain proposals. Battery is a separate existing item; no energy or duplicate holder is granted.</x:t>
        </x:is>
      </x:c>
      <x:c r="V925" s="4" t="inlineStr">
        <x:is>
          <x:t xml:space="preserve">arc power armor; arc powered armor; powered chest armor; torso; separate armor piece</x:t>
        </x:is>
      </x:c>
      <x:c r="W925"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5" s="4" t="inlineStr">
        <x:is>
          <x:t xml:space="preserve">Armor</x:t>
        </x:is>
      </x:c>
      <x:c r="Y925" s="4" t="inlineStr">
        <x:is>
          <x:t xml:space="preserve">Finished item</x:t>
        </x:is>
      </x:c>
      <x:c r="Z925" s="4" t="inlineStr">
        <x:is>
          <x:t xml:space="preserve">Manufactured / unresolved</x:t>
        </x:is>
      </x:c>
      <x:c r="AA925" s="4" t="inlineStr">
        <x:is>
          <x:t xml:space="preserve">Protection</x:t>
        </x:is>
      </x:c>
      <x:c r="AB925" s="4" t="inlineStr">
        <x:is>
          <x:t xml:space="preserve">Metal</x:t>
        </x:is>
      </x:c>
      <x:c r="AC925" s="4" t="inlineStr">
        <x:is>
          <x:t xml:space="preserve">Assembly</x:t>
        </x:is>
      </x:c>
      <x:c r="AD925" s="4" t="inlineStr">
        <x:is>
          <x:t xml:space="preserve">Proposal</x:t>
        </x:is>
      </x:c>
      <x:c r="AE925" s="4" t="str">
        <x:f>LOWER(A925&amp;"; "&amp;B925&amp;"; "&amp;D925&amp;"; "&amp;E925&amp;"; "&amp;X925&amp;"; "&amp;Y925&amp;"; "&amp;Z925&amp;"; "&amp;AA925&amp;"; "&amp;AB925&amp;"; "&amp;AC925&amp;"; "&amp;AD925&amp;"; "&amp;V925&amp;"; "&amp;C925&amp;"; "&amp;AH925&amp;"; "&amp;AI925)</x:f>
        <x:v>proposal.armor.arc_power.chest; arc power chestplate; armor; arc power armor / chest; armor; finished item; manufactured / unresolved; protection; metal; assembly; proposal; arc power armor; arc powered armor; powered chest armor; torso; separate armor piece; t4; t3; finished item</x:v>
      </x:c>
      <x:c r="AF925" s="4" t="inlineStr">
        <x:is>
          <x:t xml:space="preserve">Individually listed piece of the author-requested Arc power armor family. Family membership is a design grouping, not another inventory item or a set bonus.</x:t>
        </x:is>
      </x:c>
      <x:c r="AG925" s="4" t="inlineStr">
        <x:is>
          <x:t xml:space="preserve">Proposed T4 assembly using qualified T3 subassemblies and compatible supporting inputs. Numeric planning tier does not approve a recipe, functioning powered assistance or contemporary ancient-material manufacture.</x:t>
        </x:is>
      </x:c>
      <x:c r="AH925" s="4" t="inlineStr">
        <x:is>
          <x:t xml:space="preserve">T3</x:t>
        </x:is>
      </x:c>
      <x:c r="AI925" s="4" t="inlineStr">
        <x:is>
          <x:t xml:space="preserve">Finished item</x:t>
        </x:is>
      </x:c>
      <x:c r="AJ925" s="4">
        <x:f>COUNTIFS('Material routes'!$D$6:$D$2205,A925,'Material routes'!$C$6:$C$2205,"Output")</x:f>
        <x:v>0</x:v>
      </x:c>
      <x:c r="AK925" s="4">
        <x:f>SUM(COUNTIFS('Material routes'!$D$6:$D$2205,A925,'Material routes'!$C$6:$C$2205,"Ingredient candidate"),COUNTIFS('Material routes'!$D$6:$D$2205,A925,'Material routes'!$C$6:$C$2205,"Consumed input"),COUNTIFS('Material routes'!$D$6:$D$2205,A925,'Material routes'!$C$6:$C$2205,"Contained input"),COUNTIFS('Material routes'!$D$6:$D$2205,A925,'Material routes'!$C$6:$C$2205,"Transform input"))</x:f>
        <x:v>0</x:v>
      </x:c>
      <x:c r="AL925" s="4">
        <x:f>COUNTIFS('Material routes'!$D$6:$D$2205,A925,'Material routes'!$C$6:$C$2205,"Tool candidate")</x:f>
        <x:v>0</x:v>
      </x:c>
      <x:c r="AM925" s="4" t="str">
        <x:f>IF(AJ925&gt;0,"Route listed; review status/completeness",IF(C925="T0","Raw entry feed; no production route","No production route listed"))</x:f>
        <x:v>No production route listed</x:v>
      </x:c>
      <x:c r="AN925" s="4">
        <x:f>IF(C925="T0",0,IF(C925="T1",1,IF(C925="T2",2,IF(C925="T3",3,IF(C925="T4",4,IF(C925="Unassigned",98,99))))))</x:f>
        <x:v>4</x:v>
      </x:c>
    </x:row>
    <x:row r="926">
      <x:c r="A926" s="4" t="inlineStr">
        <x:is>
          <x:t xml:space="preserve">proposal.armor.arc_power.legs</x:t>
        </x:is>
      </x:c>
      <x:c r="B926" s="4" t="inlineStr">
        <x:is>
          <x:t xml:space="preserve">Arc power leg guards</x:t>
        </x:is>
      </x:c>
      <x:c r="C926" s="4" t="inlineStr">
        <x:is>
          <x:t xml:space="preserve">T4</x:t>
        </x:is>
      </x:c>
      <x:c r="D926" s="4" t="inlineStr">
        <x:is>
          <x:t xml:space="preserve">Armor</x:t>
        </x:is>
      </x:c>
      <x:c r="E926" s="4" t="inlineStr">
        <x:is>
          <x:t xml:space="preserve">Arc power armor / legs</x:t>
        </x:is>
      </x:c>
      <x:c r="F926" s="4" t="inlineStr">
        <x:is>
          <x:t xml:space="preserve">New proposal</x:t>
        </x:is>
      </x:c>
      <x:c r="G926" s="4" t="inlineStr">
        <x:is>
          <x:t xml:space="preserve">One separately listed matched pair of thigh, knee and shin guards for the Arc power armor family. External articulated supports and guarded joint housings suggest powered movement assistance; performance is unresolved. Boots remain a separate item.</x:t>
        </x:is>
      </x:c>
      <x:c r="H926" s="4" t="inlineStr">
        <x:is>
          <x:t xml:space="preserve">Unassigned; no new slot approved</x:t>
        </x:is>
      </x:c>
      <x:c r="I926" s="4" t="inlineStr">
        <x:is>
          <x:t xml:space="preserve">Booter-worn powered armor concept; fitting, canister clearance, packing and spare-cargo rules unresolved.</x:t>
        </x:is>
      </x:c>
      <x:c r="J926" s="4"/>
      <x:c r="K926" s="4"/>
      <x:c r="L926" s="4" t="inlineStr">
        <x:is>
          <x:t xml:space="preserve">Proposed specialist assembly or trade; no acquisition site, availability or complete-set grant established.</x:t>
        </x:is>
      </x:c>
      <x:c r="M926"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6" s="4" t="inlineStr">
        <x:is>
          <x:t xml:space="preserve">Not implemented</x:t>
        </x:is>
      </x:c>
      <x:c r="O926"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6" s="4"/>
      <x:c r="Q926" s="4"/>
      <x:c r="R926" s="4"/>
      <x:c r="S926" s="4"/>
      <x:c r="T926" s="4"/>
      <x:c r="U926" s="4" t="inlineStr">
        <x:is>
          <x:t xml:space="preserve">Hip and knee articulation, load transfer, wearer fit, battery connection and behavior without power remain unresolved. No movement or carrying-capacity bonus assigned.</x:t>
        </x:is>
      </x:c>
      <x:c r="V926" s="4" t="inlineStr">
        <x:is>
          <x:t xml:space="preserve">arc power armor; arc powered armor; powered leg armor; thigh knee shin guards; separate armor piece</x:t>
        </x:is>
      </x:c>
      <x:c r="W926"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6" s="4" t="inlineStr">
        <x:is>
          <x:t xml:space="preserve">Armor</x:t>
        </x:is>
      </x:c>
      <x:c r="Y926" s="4" t="inlineStr">
        <x:is>
          <x:t xml:space="preserve">Finished item</x:t>
        </x:is>
      </x:c>
      <x:c r="Z926" s="4" t="inlineStr">
        <x:is>
          <x:t xml:space="preserve">Manufactured / unresolved</x:t>
        </x:is>
      </x:c>
      <x:c r="AA926" s="4" t="inlineStr">
        <x:is>
          <x:t xml:space="preserve">Protection</x:t>
        </x:is>
      </x:c>
      <x:c r="AB926" s="4" t="inlineStr">
        <x:is>
          <x:t xml:space="preserve">Metal</x:t>
        </x:is>
      </x:c>
      <x:c r="AC926" s="4" t="inlineStr">
        <x:is>
          <x:t xml:space="preserve">Assembly</x:t>
        </x:is>
      </x:c>
      <x:c r="AD926" s="4" t="inlineStr">
        <x:is>
          <x:t xml:space="preserve">Proposal</x:t>
        </x:is>
      </x:c>
      <x:c r="AE926" s="4" t="str">
        <x:f>LOWER(A926&amp;"; "&amp;B926&amp;"; "&amp;D926&amp;"; "&amp;E926&amp;"; "&amp;X926&amp;"; "&amp;Y926&amp;"; "&amp;Z926&amp;"; "&amp;AA926&amp;"; "&amp;AB926&amp;"; "&amp;AC926&amp;"; "&amp;AD926&amp;"; "&amp;V926&amp;"; "&amp;C926&amp;"; "&amp;AH926&amp;"; "&amp;AI926)</x:f>
        <x:v>proposal.armor.arc_power.legs; arc power leg guards; armor; arc power armor / legs; armor; finished item; manufactured / unresolved; protection; metal; assembly; proposal; arc power armor; arc powered armor; powered leg armor; thigh knee shin guards; separate armor piece; t4; t3; finished item</x:v>
      </x:c>
      <x:c r="AF926" s="4" t="inlineStr">
        <x:is>
          <x:t xml:space="preserve">Individually listed piece of the author-requested Arc power armor family. Family membership is a design grouping, not another inventory item or a set bonus.</x:t>
        </x:is>
      </x:c>
      <x:c r="AG926" s="4" t="inlineStr">
        <x:is>
          <x:t xml:space="preserve">Proposed T4 assembly using qualified T3 subassemblies and compatible supporting inputs. Numeric planning tier does not approve a recipe, functioning powered assistance or contemporary ancient-material manufacture.</x:t>
        </x:is>
      </x:c>
      <x:c r="AH926" s="4" t="inlineStr">
        <x:is>
          <x:t xml:space="preserve">T3</x:t>
        </x:is>
      </x:c>
      <x:c r="AI926" s="4" t="inlineStr">
        <x:is>
          <x:t xml:space="preserve">Finished item</x:t>
        </x:is>
      </x:c>
      <x:c r="AJ926" s="4">
        <x:f>COUNTIFS('Material routes'!$D$6:$D$2205,A926,'Material routes'!$C$6:$C$2205,"Output")</x:f>
        <x:v>0</x:v>
      </x:c>
      <x:c r="AK926" s="4">
        <x:f>SUM(COUNTIFS('Material routes'!$D$6:$D$2205,A926,'Material routes'!$C$6:$C$2205,"Ingredient candidate"),COUNTIFS('Material routes'!$D$6:$D$2205,A926,'Material routes'!$C$6:$C$2205,"Consumed input"),COUNTIFS('Material routes'!$D$6:$D$2205,A926,'Material routes'!$C$6:$C$2205,"Contained input"),COUNTIFS('Material routes'!$D$6:$D$2205,A926,'Material routes'!$C$6:$C$2205,"Transform input"))</x:f>
        <x:v>0</x:v>
      </x:c>
      <x:c r="AL926" s="4">
        <x:f>COUNTIFS('Material routes'!$D$6:$D$2205,A926,'Material routes'!$C$6:$C$2205,"Tool candidate")</x:f>
        <x:v>0</x:v>
      </x:c>
      <x:c r="AM926" s="4" t="str">
        <x:f>IF(AJ926&gt;0,"Route listed; review status/completeness",IF(C926="T0","Raw entry feed; no production route","No production route listed"))</x:f>
        <x:v>No production route listed</x:v>
      </x:c>
      <x:c r="AN926" s="4">
        <x:f>IF(C926="T0",0,IF(C926="T1",1,IF(C926="T2",2,IF(C926="T3",3,IF(C926="T4",4,IF(C926="Unassigned",98,99))))))</x:f>
        <x:v>4</x:v>
      </x:c>
    </x:row>
    <x:row r="927">
      <x:c r="A927" s="4" t="inlineStr">
        <x:is>
          <x:t xml:space="preserve">proposal.armor.arc_power.boots</x:t>
        </x:is>
      </x:c>
      <x:c r="B927" s="4" t="inlineStr">
        <x:is>
          <x:t xml:space="preserve">Arc power armored boots</x:t>
        </x:is>
      </x:c>
      <x:c r="C927" s="4" t="inlineStr">
        <x:is>
          <x:t xml:space="preserve">T4</x:t>
        </x:is>
      </x:c>
      <x:c r="D927" s="4" t="inlineStr">
        <x:is>
          <x:t xml:space="preserve">Armor</x:t>
        </x:is>
      </x:c>
      <x:c r="E927" s="4" t="inlineStr">
        <x:is>
          <x:t xml:space="preserve">Arc power armor / boots</x:t>
        </x:is>
      </x:c>
      <x:c r="F927" s="4" t="inlineStr">
        <x:is>
          <x:t xml:space="preserve">New proposal</x:t>
        </x:is>
      </x:c>
      <x:c r="G927" s="4" t="inlineStr">
        <x:is>
          <x:t xml:space="preserve">One separately listed matched pair of armored boots for the Arc power armor family. Broad segmented soles and guarded ankle interfaces provide the visual foundation for the powered frame; grip, insulation and load support remain proposals.</x:t>
        </x:is>
      </x:c>
      <x:c r="H927" s="4" t="inlineStr">
        <x:is>
          <x:t xml:space="preserve">Unassigned; no new slot approved</x:t>
        </x:is>
      </x:c>
      <x:c r="I927" s="4" t="inlineStr">
        <x:is>
          <x:t xml:space="preserve">Booter-worn powered armor concept; fitting, canister clearance, packing and spare-cargo rules unresolved.</x:t>
        </x:is>
      </x:c>
      <x:c r="J927" s="4"/>
      <x:c r="K927" s="4"/>
      <x:c r="L927" s="4" t="inlineStr">
        <x:is>
          <x:t xml:space="preserve">Proposed specialist assembly or trade; no acquisition site, availability or complete-set grant established.</x:t>
        </x:is>
      </x:c>
      <x:c r="M927"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7" s="4" t="inlineStr">
        <x:is>
          <x:t xml:space="preserve">Not implemented</x:t>
        </x:is>
      </x:c>
      <x:c r="O927"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7" s="4"/>
      <x:c r="Q927" s="4"/>
      <x:c r="R927" s="4"/>
      <x:c r="S927" s="4"/>
      <x:c r="T927" s="4"/>
      <x:c r="U927" s="4" t="inlineStr">
        <x:is>
          <x:t xml:space="preserve">Sole construction, ankle range, traction, electrical isolation, leg-frame compatibility and unpowered walking remain unresolved. No storm grounding or electrical immunity established.</x:t>
        </x:is>
      </x:c>
      <x:c r="V927" s="4" t="inlineStr">
        <x:is>
          <x:t xml:space="preserve">arc power armor; arc powered armor; powered armored boots; feet; separate armor piece</x:t>
        </x:is>
      </x:c>
      <x:c r="W927"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7" s="4" t="inlineStr">
        <x:is>
          <x:t xml:space="preserve">Armor</x:t>
        </x:is>
      </x:c>
      <x:c r="Y927" s="4" t="inlineStr">
        <x:is>
          <x:t xml:space="preserve">Finished item</x:t>
        </x:is>
      </x:c>
      <x:c r="Z927" s="4" t="inlineStr">
        <x:is>
          <x:t xml:space="preserve">Manufactured / unresolved</x:t>
        </x:is>
      </x:c>
      <x:c r="AA927" s="4" t="inlineStr">
        <x:is>
          <x:t xml:space="preserve">Protection</x:t>
        </x:is>
      </x:c>
      <x:c r="AB927" s="4" t="inlineStr">
        <x:is>
          <x:t xml:space="preserve">Metal</x:t>
        </x:is>
      </x:c>
      <x:c r="AC927" s="4" t="inlineStr">
        <x:is>
          <x:t xml:space="preserve">Assembly</x:t>
        </x:is>
      </x:c>
      <x:c r="AD927" s="4" t="inlineStr">
        <x:is>
          <x:t xml:space="preserve">Proposal</x:t>
        </x:is>
      </x:c>
      <x:c r="AE927" s="4" t="str">
        <x:f>LOWER(A927&amp;"; "&amp;B927&amp;"; "&amp;D927&amp;"; "&amp;E927&amp;"; "&amp;X927&amp;"; "&amp;Y927&amp;"; "&amp;Z927&amp;"; "&amp;AA927&amp;"; "&amp;AB927&amp;"; "&amp;AC927&amp;"; "&amp;AD927&amp;"; "&amp;V927&amp;"; "&amp;C927&amp;"; "&amp;AH927&amp;"; "&amp;AI927)</x:f>
        <x:v>proposal.armor.arc_power.boots; arc power armored boots; armor; arc power armor / boots; armor; finished item; manufactured / unresolved; protection; metal; assembly; proposal; arc power armor; arc powered armor; powered armored boots; feet; separate armor piece; t4; t3; finished item</x:v>
      </x:c>
      <x:c r="AF927" s="4" t="inlineStr">
        <x:is>
          <x:t xml:space="preserve">Individually listed piece of the author-requested Arc power armor family. Family membership is a design grouping, not another inventory item or a set bonus.</x:t>
        </x:is>
      </x:c>
      <x:c r="AG927" s="4" t="inlineStr">
        <x:is>
          <x:t xml:space="preserve">Proposed T4 assembly using qualified T3 subassemblies and compatible supporting inputs. Numeric planning tier does not approve a recipe, functioning powered assistance or contemporary ancient-material manufacture.</x:t>
        </x:is>
      </x:c>
      <x:c r="AH927" s="4" t="inlineStr">
        <x:is>
          <x:t xml:space="preserve">T3</x:t>
        </x:is>
      </x:c>
      <x:c r="AI927" s="4" t="inlineStr">
        <x:is>
          <x:t xml:space="preserve">Finished item</x:t>
        </x:is>
      </x:c>
      <x:c r="AJ927" s="4">
        <x:f>COUNTIFS('Material routes'!$D$6:$D$2205,A927,'Material routes'!$C$6:$C$2205,"Output")</x:f>
        <x:v>0</x:v>
      </x:c>
      <x:c r="AK927" s="4">
        <x:f>SUM(COUNTIFS('Material routes'!$D$6:$D$2205,A927,'Material routes'!$C$6:$C$2205,"Ingredient candidate"),COUNTIFS('Material routes'!$D$6:$D$2205,A927,'Material routes'!$C$6:$C$2205,"Consumed input"),COUNTIFS('Material routes'!$D$6:$D$2205,A927,'Material routes'!$C$6:$C$2205,"Contained input"),COUNTIFS('Material routes'!$D$6:$D$2205,A927,'Material routes'!$C$6:$C$2205,"Transform input"))</x:f>
        <x:v>0</x:v>
      </x:c>
      <x:c r="AL927" s="4">
        <x:f>COUNTIFS('Material routes'!$D$6:$D$2205,A927,'Material routes'!$C$6:$C$2205,"Tool candidate")</x:f>
        <x:v>0</x:v>
      </x:c>
      <x:c r="AM927" s="4" t="str">
        <x:f>IF(AJ927&gt;0,"Route listed; review status/completeness",IF(C927="T0","Raw entry feed; no production route","No production route listed"))</x:f>
        <x:v>No production route listed</x:v>
      </x:c>
      <x:c r="AN927" s="4">
        <x:f>IF(C927="T0",0,IF(C927="T1",1,IF(C927="T2",2,IF(C927="T3",3,IF(C927="T4",4,IF(C927="Unassigned",98,99))))))</x:f>
        <x:v>4</x:v>
      </x:c>
    </x:row>
    <x:row r="928">
      <x:c r="A928" s="4" t="inlineStr">
        <x:is>
          <x:t xml:space="preserve">proposal.armor.arc_power.arms</x:t>
        </x:is>
      </x:c>
      <x:c r="B928" s="4" t="inlineStr">
        <x:is>
          <x:t xml:space="preserve">Arc power arm guards</x:t>
        </x:is>
      </x:c>
      <x:c r="C928" s="4" t="inlineStr">
        <x:is>
          <x:t xml:space="preserve">T4</x:t>
        </x:is>
      </x:c>
      <x:c r="D928" s="4" t="inlineStr">
        <x:is>
          <x:t xml:space="preserve">Armor</x:t>
        </x:is>
      </x:c>
      <x:c r="E928" s="4" t="inlineStr">
        <x:is>
          <x:t xml:space="preserve">Arc power armor / arms</x:t>
        </x:is>
      </x:c>
      <x:c r="F928" s="4" t="inlineStr">
        <x:is>
          <x:t xml:space="preserve">New proposal</x:t>
        </x:is>
      </x:c>
      <x:c r="G928" s="4" t="inlineStr">
        <x:is>
          <x:t xml:space="preserve">One separately listed matched pair of upper-arm, elbow and forearm guards for the Arc power armor family. External support ribs and guarded powered-joint housings carry its industrial silhouette. Hands and gloves are outside this piece's defined coverage.</x:t>
        </x:is>
      </x:c>
      <x:c r="H928" s="4" t="inlineStr">
        <x:is>
          <x:t xml:space="preserve">Unassigned; no new slot approved</x:t>
        </x:is>
      </x:c>
      <x:c r="I928" s="4" t="inlineStr">
        <x:is>
          <x:t xml:space="preserve">Booter-worn powered armor concept; fitting, canister clearance, packing and spare-cargo rules unresolved.</x:t>
        </x:is>
      </x:c>
      <x:c r="J928" s="4"/>
      <x:c r="K928" s="4"/>
      <x:c r="L928" s="4" t="inlineStr">
        <x:is>
          <x:t xml:space="preserve">Proposed specialist assembly or trade; no acquisition site, availability or complete-set grant established.</x:t>
        </x:is>
      </x:c>
      <x:c r="M928"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8" s="4" t="inlineStr">
        <x:is>
          <x:t xml:space="preserve">Not implemented</x:t>
        </x:is>
      </x:c>
      <x:c r="O928"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8" s="4"/>
      <x:c r="Q928" s="4"/>
      <x:c r="R928" s="4"/>
      <x:c r="S928" s="4"/>
      <x:c r="T928" s="4"/>
      <x:c r="U928" s="4" t="inlineStr">
        <x:is>
          <x:t xml:space="preserve">Shoulder and elbow fit, controls, hand clearance, tool handling, joint power and safe unpowered movement remain proposals. No strength or attack bonus assigned.</x:t>
        </x:is>
      </x:c>
      <x:c r="V928" s="4" t="inlineStr">
        <x:is>
          <x:t xml:space="preserve">arc power armor; arc powered armor; powered arm armor; bracers; separate armor piece</x:t>
        </x:is>
      </x:c>
      <x:c r="W928"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8" s="4" t="inlineStr">
        <x:is>
          <x:t xml:space="preserve">Armor</x:t>
        </x:is>
      </x:c>
      <x:c r="Y928" s="4" t="inlineStr">
        <x:is>
          <x:t xml:space="preserve">Finished item</x:t>
        </x:is>
      </x:c>
      <x:c r="Z928" s="4" t="inlineStr">
        <x:is>
          <x:t xml:space="preserve">Manufactured / unresolved</x:t>
        </x:is>
      </x:c>
      <x:c r="AA928" s="4" t="inlineStr">
        <x:is>
          <x:t xml:space="preserve">Protection</x:t>
        </x:is>
      </x:c>
      <x:c r="AB928" s="4" t="inlineStr">
        <x:is>
          <x:t xml:space="preserve">Metal</x:t>
        </x:is>
      </x:c>
      <x:c r="AC928" s="4" t="inlineStr">
        <x:is>
          <x:t xml:space="preserve">Assembly</x:t>
        </x:is>
      </x:c>
      <x:c r="AD928" s="4" t="inlineStr">
        <x:is>
          <x:t xml:space="preserve">Proposal</x:t>
        </x:is>
      </x:c>
      <x:c r="AE928" s="4" t="str">
        <x:f>LOWER(A928&amp;"; "&amp;B928&amp;"; "&amp;D928&amp;"; "&amp;E928&amp;"; "&amp;X928&amp;"; "&amp;Y928&amp;"; "&amp;Z928&amp;"; "&amp;AA928&amp;"; "&amp;AB928&amp;"; "&amp;AC928&amp;"; "&amp;AD928&amp;"; "&amp;V928&amp;"; "&amp;C928&amp;"; "&amp;AH928&amp;"; "&amp;AI928)</x:f>
        <x:v>proposal.armor.arc_power.arms; arc power arm guards; armor; arc power armor / arms; armor; finished item; manufactured / unresolved; protection; metal; assembly; proposal; arc power armor; arc powered armor; powered arm armor; bracers; separate armor piece; t4; t3; finished item</x:v>
      </x:c>
      <x:c r="AF928" s="4" t="inlineStr">
        <x:is>
          <x:t xml:space="preserve">Individually listed piece of the author-requested Arc power armor family. Family membership is a design grouping, not another inventory item or a set bonus.</x:t>
        </x:is>
      </x:c>
      <x:c r="AG928" s="4" t="inlineStr">
        <x:is>
          <x:t xml:space="preserve">Proposed T4 assembly using qualified T3 subassemblies and compatible supporting inputs. Numeric planning tier does not approve a recipe, functioning powered assistance or contemporary ancient-material manufacture.</x:t>
        </x:is>
      </x:c>
      <x:c r="AH928" s="4" t="inlineStr">
        <x:is>
          <x:t xml:space="preserve">T3</x:t>
        </x:is>
      </x:c>
      <x:c r="AI928" s="4" t="inlineStr">
        <x:is>
          <x:t xml:space="preserve">Finished item</x:t>
        </x:is>
      </x:c>
      <x:c r="AJ928" s="4">
        <x:f>COUNTIFS('Material routes'!$D$6:$D$2205,A928,'Material routes'!$C$6:$C$2205,"Output")</x:f>
        <x:v>0</x:v>
      </x:c>
      <x:c r="AK928" s="4">
        <x:f>SUM(COUNTIFS('Material routes'!$D$6:$D$2205,A928,'Material routes'!$C$6:$C$2205,"Ingredient candidate"),COUNTIFS('Material routes'!$D$6:$D$2205,A928,'Material routes'!$C$6:$C$2205,"Consumed input"),COUNTIFS('Material routes'!$D$6:$D$2205,A928,'Material routes'!$C$6:$C$2205,"Contained input"),COUNTIFS('Material routes'!$D$6:$D$2205,A928,'Material routes'!$C$6:$C$2205,"Transform input"))</x:f>
        <x:v>0</x:v>
      </x:c>
      <x:c r="AL928" s="4">
        <x:f>COUNTIFS('Material routes'!$D$6:$D$2205,A928,'Material routes'!$C$6:$C$2205,"Tool candidate")</x:f>
        <x:v>0</x:v>
      </x:c>
      <x:c r="AM928" s="4" t="str">
        <x:f>IF(AJ928&gt;0,"Route listed; review status/completeness",IF(C928="T0","Raw entry feed; no production route","No production route listed"))</x:f>
        <x:v>No production route listed</x:v>
      </x:c>
      <x:c r="AN928" s="4">
        <x:f>IF(C928="T0",0,IF(C928="T1",1,IF(C928="T2",2,IF(C928="T3",3,IF(C928="T4",4,IF(C928="Unassigned",98,99))))))</x:f>
        <x:v>4</x:v>
      </x:c>
    </x:row>
    <x:row r="929">
      <x:c r="A929" s="4" t="inlineStr">
        <x:is>
          <x:t xml:space="preserve">proposal.armor.arc_power.helmet</x:t>
        </x:is>
      </x:c>
      <x:c r="B929" s="4" t="inlineStr">
        <x:is>
          <x:t xml:space="preserve">Arc power helmet</x:t>
        </x:is>
      </x:c>
      <x:c r="C929" s="4" t="inlineStr">
        <x:is>
          <x:t xml:space="preserve">T4</x:t>
        </x:is>
      </x:c>
      <x:c r="D929" s="4" t="inlineStr">
        <x:is>
          <x:t xml:space="preserve">Armor</x:t>
        </x:is>
      </x:c>
      <x:c r="E929" s="4" t="inlineStr">
        <x:is>
          <x:t xml:space="preserve">Arc power armor / helmet</x:t>
        </x:is>
      </x:c>
      <x:c r="F929" s="4" t="inlineStr">
        <x:is>
          <x:t xml:space="preserve">New proposal</x:t>
        </x:is>
      </x:c>
      <x:c r="G929" s="4" t="inlineStr">
        <x:is>
          <x:t xml:space="preserve">Separate head piece for the Arc power armor family. An angular metal shell, recessed viewing opening and protected connection points match the powered frame. Vision, hearing, controls and life-support clearance remain unresolved; the helmet supplies no atmosphere.</x:t>
        </x:is>
      </x:c>
      <x:c r="H929" s="4" t="inlineStr">
        <x:is>
          <x:t xml:space="preserve">Unassigned; no new slot approved</x:t>
        </x:is>
      </x:c>
      <x:c r="I929" s="4" t="inlineStr">
        <x:is>
          <x:t xml:space="preserve">Booter-worn powered armor concept; fitting, canister clearance, packing and spare-cargo rules unresolved.</x:t>
        </x:is>
      </x:c>
      <x:c r="J929" s="4"/>
      <x:c r="K929" s="4"/>
      <x:c r="L929" s="4" t="inlineStr">
        <x:is>
          <x:t xml:space="preserve">Proposed specialist assembly or trade; no acquisition site, availability or complete-set grant established.</x:t>
        </x:is>
      </x:c>
      <x:c r="M929"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9" s="4" t="inlineStr">
        <x:is>
          <x:t xml:space="preserve">Not implemented</x:t>
        </x:is>
      </x:c>
      <x:c r="O929"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9" s="4"/>
      <x:c r="Q929" s="4"/>
      <x:c r="R929" s="4"/>
      <x:c r="S929" s="4"/>
      <x:c r="T929" s="4"/>
      <x:c r="U929" s="4" t="inlineStr">
        <x:is>
          <x:t xml:space="preserve">Viewing material, visibility, hearing, head fit, cabling, controls and canister interface remain open. No enhanced optics, sealed breathing system or automatic targeting established.</x:t>
        </x:is>
      </x:c>
      <x:c r="V929" s="4" t="inlineStr">
        <x:is>
          <x:t xml:space="preserve">arc power armor; arc powered armor; powered armor helmet; head; separate armor piece</x:t>
        </x:is>
      </x:c>
      <x:c r="W929"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9" s="4" t="inlineStr">
        <x:is>
          <x:t xml:space="preserve">Armor</x:t>
        </x:is>
      </x:c>
      <x:c r="Y929" s="4" t="inlineStr">
        <x:is>
          <x:t xml:space="preserve">Finished item</x:t>
        </x:is>
      </x:c>
      <x:c r="Z929" s="4" t="inlineStr">
        <x:is>
          <x:t xml:space="preserve">Manufactured / unresolved</x:t>
        </x:is>
      </x:c>
      <x:c r="AA929" s="4" t="inlineStr">
        <x:is>
          <x:t xml:space="preserve">Protection</x:t>
        </x:is>
      </x:c>
      <x:c r="AB929" s="4" t="inlineStr">
        <x:is>
          <x:t xml:space="preserve">Metal</x:t>
        </x:is>
      </x:c>
      <x:c r="AC929" s="4" t="inlineStr">
        <x:is>
          <x:t xml:space="preserve">Assembly</x:t>
        </x:is>
      </x:c>
      <x:c r="AD929" s="4" t="inlineStr">
        <x:is>
          <x:t xml:space="preserve">Proposal</x:t>
        </x:is>
      </x:c>
      <x:c r="AE929" s="4" t="str">
        <x:f>LOWER(A929&amp;"; "&amp;B929&amp;"; "&amp;D929&amp;"; "&amp;E929&amp;"; "&amp;X929&amp;"; "&amp;Y929&amp;"; "&amp;Z929&amp;"; "&amp;AA929&amp;"; "&amp;AB929&amp;"; "&amp;AC929&amp;"; "&amp;AD929&amp;"; "&amp;V929&amp;"; "&amp;C929&amp;"; "&amp;AH929&amp;"; "&amp;AI929)</x:f>
        <x:v>proposal.armor.arc_power.helmet; arc power helmet; armor; arc power armor / helmet; armor; finished item; manufactured / unresolved; protection; metal; assembly; proposal; arc power armor; arc powered armor; powered armor helmet; head; separate armor piece; t4; t3; finished item</x:v>
      </x:c>
      <x:c r="AF929" s="4" t="inlineStr">
        <x:is>
          <x:t xml:space="preserve">Individually listed piece of the author-requested Arc power armor family. Family membership is a design grouping, not another inventory item or a set bonus.</x:t>
        </x:is>
      </x:c>
      <x:c r="AG929" s="4" t="inlineStr">
        <x:is>
          <x:t xml:space="preserve">Proposed T4 assembly using qualified T3 subassemblies and compatible supporting inputs. Numeric planning tier does not approve a recipe, functioning powered assistance or contemporary ancient-material manufacture.</x:t>
        </x:is>
      </x:c>
      <x:c r="AH929" s="4" t="inlineStr">
        <x:is>
          <x:t xml:space="preserve">T3</x:t>
        </x:is>
      </x:c>
      <x:c r="AI929" s="4" t="inlineStr">
        <x:is>
          <x:t xml:space="preserve">Finished item</x:t>
        </x:is>
      </x:c>
      <x:c r="AJ929" s="4">
        <x:f>COUNTIFS('Material routes'!$D$6:$D$2205,A929,'Material routes'!$C$6:$C$2205,"Output")</x:f>
        <x:v>0</x:v>
      </x:c>
      <x:c r="AK929" s="4">
        <x:f>SUM(COUNTIFS('Material routes'!$D$6:$D$2205,A929,'Material routes'!$C$6:$C$2205,"Ingredient candidate"),COUNTIFS('Material routes'!$D$6:$D$2205,A929,'Material routes'!$C$6:$C$2205,"Consumed input"),COUNTIFS('Material routes'!$D$6:$D$2205,A929,'Material routes'!$C$6:$C$2205,"Contained input"),COUNTIFS('Material routes'!$D$6:$D$2205,A929,'Material routes'!$C$6:$C$2205,"Transform input"))</x:f>
        <x:v>0</x:v>
      </x:c>
      <x:c r="AL929" s="4">
        <x:f>COUNTIFS('Material routes'!$D$6:$D$2205,A929,'Material routes'!$C$6:$C$2205,"Tool candidate")</x:f>
        <x:v>0</x:v>
      </x:c>
      <x:c r="AM929" s="4" t="str">
        <x:f>IF(AJ929&gt;0,"Route listed; review status/completeness",IF(C929="T0","Raw entry feed; no production route","No production route listed"))</x:f>
        <x:v>No production route listed</x:v>
      </x:c>
      <x:c r="AN929" s="4">
        <x:f>IF(C929="T0",0,IF(C929="T1",1,IF(C929="T2",2,IF(C929="T3",3,IF(C929="T4",4,IF(C929="Unassigned",98,99))))))</x:f>
        <x:v>4</x:v>
      </x:c>
    </x:row>
    <x:row r="930">
      <x:c r="A930" s="4" t="inlineStr">
        <x:is>
          <x:t xml:space="preserve">proposal.armor.fur.chest</x:t>
        </x:is>
      </x:c>
      <x:c r="B930" s="4" t="inlineStr">
        <x:is>
          <x:t xml:space="preserve">Fur chest armor</x:t>
        </x:is>
      </x:c>
      <x:c r="C930" s="4" t="inlineStr">
        <x:is>
          <x:t xml:space="preserve">T2</x:t>
        </x:is>
      </x:c>
      <x:c r="D930" s="4" t="inlineStr">
        <x:is>
          <x:t xml:space="preserve">Armor</x:t>
        </x:is>
      </x:c>
      <x:c r="E930" s="4" t="inlineStr">
        <x:is>
          <x:t xml:space="preserve">Fur armor / chest</x:t>
        </x:is>
      </x:c>
      <x:c r="F930" s="4" t="inlineStr">
        <x:is>
          <x:t xml:space="preserve">New proposal</x:t>
        </x:is>
      </x:c>
      <x:c r="G930" s="4" t="inlineStr">
        <x:is>
          <x:t xml:space="preserve">Fur armor family: independently listed protective piece. Torso and upper back; arm and leg protection remain separate. Uses prepared fur-bearing panels; construction and protection remain proposals. Does not include other family pieces.</x:t>
        </x:is>
      </x:c>
      <x:c r="H930" s="4" t="inlineStr">
        <x:is>
          <x:t xml:space="preserve">Unassigned; no new slot approved</x:t>
        </x:is>
      </x:c>
      <x:c r="I930" s="4" t="inlineStr">
        <x:is>
          <x:t xml:space="preserve">Booter-worn armor concept; fitting, packing and spare-cargo rules unresolved.</x:t>
        </x:is>
      </x:c>
      <x:c r="J930" s="4"/>
      <x:c r="K930" s="4"/>
      <x:c r="L930" s="4" t="inlineStr">
        <x:is>
          <x:t xml:space="preserve">Proposed furworking or specialist trade; sourcing, availability and recipe unresolved.</x:t>
        </x:is>
      </x:c>
      <x:c r="M930" s="4" t="inlineStr">
        <x:is>
          <x:t xml:space="preserve">One separately fitted piece made from prepared fur-bearing panels. Fur processing has extremely low usable yield; no ordinary cloth backing, preparation recipe, quantities, yield or production time established.</x:t>
        </x:is>
      </x:c>
      <x:c r="N930" s="4" t="inlineStr">
        <x:is>
          <x:t xml:space="preserve">Not implemented</x:t>
        </x:is>
      </x:c>
      <x:c r="O930"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0" s="4"/>
      <x:c r="Q930" s="4"/>
      <x:c r="R930" s="4"/>
      <x:c r="S930" s="4"/>
      <x:c r="T930" s="4"/>
      <x:c r="U930" s="4" t="inlineStr">
        <x:is>
          <x:t xml:space="preserve">Torso and upper back; arm and leg protection remain separate. Fur sourcing, extremely low processing yield, fastening, fit, wearability and protective performance require design.</x:t>
        </x:is>
      </x:c>
      <x:c r="V930" s="4" t="inlineStr">
        <x:is>
          <x:t xml:space="preserve">fur armor; fur armor set; fur armor family; chest; separate armor piece</x:t>
        </x:is>
      </x:c>
      <x:c r="W930" s="4" t="inlineStr">
        <x:is>
          <x:t xml:space="preserve">Author requested a fur armor family matching the existing separate-piece armor families, October 15, 2026. Docs/WORLD_BASIS.md controls fur scarcity and no-cloth construction. Setting constraints: Docs/WORLD_BASIS.md#material-culture.</x:t>
        </x:is>
      </x:c>
      <x:c r="X930" s="4" t="inlineStr">
        <x:is>
          <x:t xml:space="preserve">Armor</x:t>
        </x:is>
      </x:c>
      <x:c r="Y930" s="4" t="inlineStr">
        <x:is>
          <x:t xml:space="preserve">Finished item</x:t>
        </x:is>
      </x:c>
      <x:c r="Z930" s="4" t="inlineStr">
        <x:is>
          <x:t xml:space="preserve">Manufactured / unresolved</x:t>
        </x:is>
      </x:c>
      <x:c r="AA930" s="4" t="inlineStr">
        <x:is>
          <x:t xml:space="preserve">Protection</x:t>
        </x:is>
      </x:c>
      <x:c r="AB930" s="4" t="inlineStr">
        <x:is>
          <x:t xml:space="preserve">Fur</x:t>
        </x:is>
      </x:c>
      <x:c r="AC930" s="4" t="inlineStr">
        <x:is>
          <x:t xml:space="preserve">Assembly</x:t>
        </x:is>
      </x:c>
      <x:c r="AD930" s="4" t="inlineStr">
        <x:is>
          <x:t xml:space="preserve">Proposal</x:t>
        </x:is>
      </x:c>
      <x:c r="AE930" s="4" t="str">
        <x:f>LOWER(A930&amp;"; "&amp;B930&amp;"; "&amp;D930&amp;"; "&amp;E930&amp;"; "&amp;X930&amp;"; "&amp;Y930&amp;"; "&amp;Z930&amp;"; "&amp;AA930&amp;"; "&amp;AB930&amp;"; "&amp;AC930&amp;"; "&amp;AD930&amp;"; "&amp;V930&amp;"; "&amp;C930&amp;"; "&amp;AH930&amp;"; "&amp;AI930)</x:f>
        <x:v>proposal.armor.fur.chest; fur chest armor; armor; fur armor / chest; armor; finished item; manufactured / unresolved; protection; fur; assembly; proposal; fur armor; fur armor set; fur armor family; chest; separate armor piece; t2; t1; finished item</x:v>
      </x:c>
      <x:c r="AF930" s="4" t="inlineStr">
        <x:is>
          <x:t xml:space="preserve">One independently listed piece in the author-requested fur armor family. Paired guards and boots are one named catalog item per coverage group, matching the existing armor families. No whole-set inventory item.</x:t>
        </x:is>
      </x:c>
      <x:c r="AG930" s="4" t="inlineStr">
        <x:is>
          <x:t xml:space="preserve">Proposed T2 finished piece using qualified T1 fur stock; fur qualification, processing and construction remain unresolved. Tier does not establish protection or rarity.</x:t>
        </x:is>
      </x:c>
      <x:c r="AH930" s="4" t="inlineStr">
        <x:is>
          <x:t xml:space="preserve">T1</x:t>
        </x:is>
      </x:c>
      <x:c r="AI930" s="4" t="inlineStr">
        <x:is>
          <x:t xml:space="preserve">Finished item</x:t>
        </x:is>
      </x:c>
      <x:c r="AJ930" s="4">
        <x:f>COUNTIFS('Material routes'!$D$6:$D$2205,A930,'Material routes'!$C$6:$C$2205,"Output")</x:f>
        <x:v>0</x:v>
      </x:c>
      <x:c r="AK930" s="4">
        <x:f>SUM(COUNTIFS('Material routes'!$D$6:$D$2205,A930,'Material routes'!$C$6:$C$2205,"Ingredient candidate"),COUNTIFS('Material routes'!$D$6:$D$2205,A930,'Material routes'!$C$6:$C$2205,"Consumed input"),COUNTIFS('Material routes'!$D$6:$D$2205,A930,'Material routes'!$C$6:$C$2205,"Contained input"),COUNTIFS('Material routes'!$D$6:$D$2205,A930,'Material routes'!$C$6:$C$2205,"Transform input"))</x:f>
        <x:v>0</x:v>
      </x:c>
      <x:c r="AL930" s="4">
        <x:f>COUNTIFS('Material routes'!$D$6:$D$2205,A930,'Material routes'!$C$6:$C$2205,"Tool candidate")</x:f>
        <x:v>0</x:v>
      </x:c>
      <x:c r="AM930" s="4" t="str">
        <x:f>IF(AJ930&gt;0,"Route listed; review status/completeness",IF(C930="T0","Raw entry feed; no production route","No production route listed"))</x:f>
        <x:v>No production route listed</x:v>
      </x:c>
      <x:c r="AN930" s="4">
        <x:f>IF(C930="T0",0,IF(C930="T1",1,IF(C930="T2",2,IF(C930="T3",3,IF(C930="T4",4,IF(C930="Unassigned",98,99))))))</x:f>
        <x:v>2</x:v>
      </x:c>
    </x:row>
    <x:row r="931">
      <x:c r="A931" s="4" t="inlineStr">
        <x:is>
          <x:t xml:space="preserve">proposal.armor.fur.legs</x:t>
        </x:is>
      </x:c>
      <x:c r="B931" s="4" t="inlineStr">
        <x:is>
          <x:t xml:space="preserve">Fur leg guards</x:t>
        </x:is>
      </x:c>
      <x:c r="C931" s="4" t="inlineStr">
        <x:is>
          <x:t xml:space="preserve">T2</x:t>
        </x:is>
      </x:c>
      <x:c r="D931" s="4" t="inlineStr">
        <x:is>
          <x:t xml:space="preserve">Armor</x:t>
        </x:is>
      </x:c>
      <x:c r="E931" s="4" t="inlineStr">
        <x:is>
          <x:t xml:space="preserve">Fur armor / legs</x:t>
        </x:is>
      </x:c>
      <x:c r="F931" s="4" t="inlineStr">
        <x:is>
          <x:t xml:space="preserve">New proposal</x:t>
        </x:is>
      </x:c>
      <x:c r="G931" s="4" t="inlineStr">
        <x:is>
          <x:t xml:space="preserve">Fur armor family: independently listed protective piece. A matched pair of thigh, knee and shin coverings listed as one item; boots remain separate. Uses prepared fur-bearing panels; construction and protection remain proposals. Does not include other family pieces.</x:t>
        </x:is>
      </x:c>
      <x:c r="H931" s="4" t="inlineStr">
        <x:is>
          <x:t xml:space="preserve">Unassigned; no new slot approved</x:t>
        </x:is>
      </x:c>
      <x:c r="I931" s="4" t="inlineStr">
        <x:is>
          <x:t xml:space="preserve">Booter-worn armor concept; fitting, packing and spare-cargo rules unresolved.</x:t>
        </x:is>
      </x:c>
      <x:c r="J931" s="4"/>
      <x:c r="K931" s="4"/>
      <x:c r="L931" s="4" t="inlineStr">
        <x:is>
          <x:t xml:space="preserve">Proposed furworking or specialist trade; sourcing, availability and recipe unresolved.</x:t>
        </x:is>
      </x:c>
      <x:c r="M931" s="4" t="inlineStr">
        <x:is>
          <x:t xml:space="preserve">One separately fitted piece made from prepared fur-bearing panels. Fur processing has extremely low usable yield; no ordinary cloth backing, preparation recipe, quantities, yield or production time established.</x:t>
        </x:is>
      </x:c>
      <x:c r="N931" s="4" t="inlineStr">
        <x:is>
          <x:t xml:space="preserve">Not implemented</x:t>
        </x:is>
      </x:c>
      <x:c r="O931"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1" s="4"/>
      <x:c r="Q931" s="4"/>
      <x:c r="R931" s="4"/>
      <x:c r="S931" s="4"/>
      <x:c r="T931" s="4"/>
      <x:c r="U931" s="4" t="inlineStr">
        <x:is>
          <x:t xml:space="preserve">A matched pair of thigh, knee and shin coverings listed as one item; boots remain separate. Fur sourcing, extremely low processing yield, fastening, fit, wearability and protective performance require design.</x:t>
        </x:is>
      </x:c>
      <x:c r="V931" s="4" t="inlineStr">
        <x:is>
          <x:t xml:space="preserve">fur armor; fur armor set; fur armor family; legs; separate armor piece</x:t>
        </x:is>
      </x:c>
      <x:c r="W931" s="4" t="inlineStr">
        <x:is>
          <x:t xml:space="preserve">Author requested a fur armor family matching the existing separate-piece armor families, October 15, 2026. Docs/WORLD_BASIS.md controls fur scarcity and no-cloth construction. Setting constraints: Docs/WORLD_BASIS.md#material-culture.</x:t>
        </x:is>
      </x:c>
      <x:c r="X931" s="4" t="inlineStr">
        <x:is>
          <x:t xml:space="preserve">Armor</x:t>
        </x:is>
      </x:c>
      <x:c r="Y931" s="4" t="inlineStr">
        <x:is>
          <x:t xml:space="preserve">Finished item</x:t>
        </x:is>
      </x:c>
      <x:c r="Z931" s="4" t="inlineStr">
        <x:is>
          <x:t xml:space="preserve">Manufactured / unresolved</x:t>
        </x:is>
      </x:c>
      <x:c r="AA931" s="4" t="inlineStr">
        <x:is>
          <x:t xml:space="preserve">Protection</x:t>
        </x:is>
      </x:c>
      <x:c r="AB931" s="4" t="inlineStr">
        <x:is>
          <x:t xml:space="preserve">Fur</x:t>
        </x:is>
      </x:c>
      <x:c r="AC931" s="4" t="inlineStr">
        <x:is>
          <x:t xml:space="preserve">Assembly</x:t>
        </x:is>
      </x:c>
      <x:c r="AD931" s="4" t="inlineStr">
        <x:is>
          <x:t xml:space="preserve">Proposal</x:t>
        </x:is>
      </x:c>
      <x:c r="AE931" s="4" t="str">
        <x:f>LOWER(A931&amp;"; "&amp;B931&amp;"; "&amp;D931&amp;"; "&amp;E931&amp;"; "&amp;X931&amp;"; "&amp;Y931&amp;"; "&amp;Z931&amp;"; "&amp;AA931&amp;"; "&amp;AB931&amp;"; "&amp;AC931&amp;"; "&amp;AD931&amp;"; "&amp;V931&amp;"; "&amp;C931&amp;"; "&amp;AH931&amp;"; "&amp;AI931)</x:f>
        <x:v>proposal.armor.fur.legs; fur leg guards; armor; fur armor / legs; armor; finished item; manufactured / unresolved; protection; fur; assembly; proposal; fur armor; fur armor set; fur armor family; legs; separate armor piece; t2; t1; finished item</x:v>
      </x:c>
      <x:c r="AF931" s="4" t="inlineStr">
        <x:is>
          <x:t xml:space="preserve">One independently listed piece in the author-requested fur armor family. Paired guards and boots are one named catalog item per coverage group, matching the existing armor families. No whole-set inventory item.</x:t>
        </x:is>
      </x:c>
      <x:c r="AG931" s="4" t="inlineStr">
        <x:is>
          <x:t xml:space="preserve">Proposed T2 finished piece using qualified T1 fur stock; fur qualification, processing and construction remain unresolved. Tier does not establish protection or rarity.</x:t>
        </x:is>
      </x:c>
      <x:c r="AH931" s="4" t="inlineStr">
        <x:is>
          <x:t xml:space="preserve">T1</x:t>
        </x:is>
      </x:c>
      <x:c r="AI931" s="4" t="inlineStr">
        <x:is>
          <x:t xml:space="preserve">Finished item</x:t>
        </x:is>
      </x:c>
      <x:c r="AJ931" s="4">
        <x:f>COUNTIFS('Material routes'!$D$6:$D$2205,A931,'Material routes'!$C$6:$C$2205,"Output")</x:f>
        <x:v>0</x:v>
      </x:c>
      <x:c r="AK931" s="4">
        <x:f>SUM(COUNTIFS('Material routes'!$D$6:$D$2205,A931,'Material routes'!$C$6:$C$2205,"Ingredient candidate"),COUNTIFS('Material routes'!$D$6:$D$2205,A931,'Material routes'!$C$6:$C$2205,"Consumed input"),COUNTIFS('Material routes'!$D$6:$D$2205,A931,'Material routes'!$C$6:$C$2205,"Contained input"),COUNTIFS('Material routes'!$D$6:$D$2205,A931,'Material routes'!$C$6:$C$2205,"Transform input"))</x:f>
        <x:v>0</x:v>
      </x:c>
      <x:c r="AL931" s="4">
        <x:f>COUNTIFS('Material routes'!$D$6:$D$2205,A931,'Material routes'!$C$6:$C$2205,"Tool candidate")</x:f>
        <x:v>0</x:v>
      </x:c>
      <x:c r="AM931" s="4" t="str">
        <x:f>IF(AJ931&gt;0,"Route listed; review status/completeness",IF(C931="T0","Raw entry feed; no production route","No production route listed"))</x:f>
        <x:v>No production route listed</x:v>
      </x:c>
      <x:c r="AN931" s="4">
        <x:f>IF(C931="T0",0,IF(C931="T1",1,IF(C931="T2",2,IF(C931="T3",3,IF(C931="T4",4,IF(C931="Unassigned",98,99))))))</x:f>
        <x:v>2</x:v>
      </x:c>
    </x:row>
    <x:row r="932">
      <x:c r="A932" s="4" t="inlineStr">
        <x:is>
          <x:t xml:space="preserve">proposal.armor.fur.boots</x:t>
        </x:is>
      </x:c>
      <x:c r="B932" s="4" t="inlineStr">
        <x:is>
          <x:t xml:space="preserve">Fur armored boots</x:t>
        </x:is>
      </x:c>
      <x:c r="C932" s="4" t="inlineStr">
        <x:is>
          <x:t xml:space="preserve">T2</x:t>
        </x:is>
      </x:c>
      <x:c r="D932" s="4" t="inlineStr">
        <x:is>
          <x:t xml:space="preserve">Armor</x:t>
        </x:is>
      </x:c>
      <x:c r="E932" s="4" t="inlineStr">
        <x:is>
          <x:t xml:space="preserve">Fur armor / boots</x:t>
        </x:is>
      </x:c>
      <x:c r="F932" s="4" t="inlineStr">
        <x:is>
          <x:t xml:space="preserve">New proposal</x:t>
        </x:is>
      </x:c>
      <x:c r="G932" s="4" t="inlineStr">
        <x:is>
          <x:t xml:space="preserve">Fur armor family: independently listed protective piece. A matched pair of protective foot coverings listed as one item, separate from the leg guards. Uses prepared fur-bearing panels; construction and protection remain proposals. Does not include other family pieces.</x:t>
        </x:is>
      </x:c>
      <x:c r="H932" s="4" t="inlineStr">
        <x:is>
          <x:t xml:space="preserve">Unassigned; no new slot approved</x:t>
        </x:is>
      </x:c>
      <x:c r="I932" s="4" t="inlineStr">
        <x:is>
          <x:t xml:space="preserve">Booter-worn armor concept; fitting, packing and spare-cargo rules unresolved.</x:t>
        </x:is>
      </x:c>
      <x:c r="J932" s="4"/>
      <x:c r="K932" s="4"/>
      <x:c r="L932" s="4" t="inlineStr">
        <x:is>
          <x:t xml:space="preserve">Proposed furworking or specialist trade; sourcing, availability and recipe unresolved.</x:t>
        </x:is>
      </x:c>
      <x:c r="M932" s="4" t="inlineStr">
        <x:is>
          <x:t xml:space="preserve">One separately fitted piece made from prepared fur-bearing panels. Fur processing has extremely low usable yield; no ordinary cloth backing, preparation recipe, quantities, yield or production time established.</x:t>
        </x:is>
      </x:c>
      <x:c r="N932" s="4" t="inlineStr">
        <x:is>
          <x:t xml:space="preserve">Not implemented</x:t>
        </x:is>
      </x:c>
      <x:c r="O932"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2" s="4"/>
      <x:c r="Q932" s="4"/>
      <x:c r="R932" s="4"/>
      <x:c r="S932" s="4"/>
      <x:c r="T932" s="4"/>
      <x:c r="U932" s="4" t="inlineStr">
        <x:is>
          <x:t xml:space="preserve">A matched pair of protective foot coverings listed as one item, separate from the leg guards. Fur sourcing, extremely low processing yield, fastening, fit, wearability and protective performance require design.</x:t>
        </x:is>
      </x:c>
      <x:c r="V932" s="4" t="inlineStr">
        <x:is>
          <x:t xml:space="preserve">fur armor; fur armor set; fur armor family; boots; separate armor piece</x:t>
        </x:is>
      </x:c>
      <x:c r="W932" s="4" t="inlineStr">
        <x:is>
          <x:t xml:space="preserve">Author requested a fur armor family matching the existing separate-piece armor families, October 15, 2026. Docs/WORLD_BASIS.md controls fur scarcity and no-cloth construction. Setting constraints: Docs/WORLD_BASIS.md#material-culture.</x:t>
        </x:is>
      </x:c>
      <x:c r="X932" s="4" t="inlineStr">
        <x:is>
          <x:t xml:space="preserve">Armor</x:t>
        </x:is>
      </x:c>
      <x:c r="Y932" s="4" t="inlineStr">
        <x:is>
          <x:t xml:space="preserve">Finished item</x:t>
        </x:is>
      </x:c>
      <x:c r="Z932" s="4" t="inlineStr">
        <x:is>
          <x:t xml:space="preserve">Manufactured / unresolved</x:t>
        </x:is>
      </x:c>
      <x:c r="AA932" s="4" t="inlineStr">
        <x:is>
          <x:t xml:space="preserve">Protection</x:t>
        </x:is>
      </x:c>
      <x:c r="AB932" s="4" t="inlineStr">
        <x:is>
          <x:t xml:space="preserve">Fur</x:t>
        </x:is>
      </x:c>
      <x:c r="AC932" s="4" t="inlineStr">
        <x:is>
          <x:t xml:space="preserve">Assembly</x:t>
        </x:is>
      </x:c>
      <x:c r="AD932" s="4" t="inlineStr">
        <x:is>
          <x:t xml:space="preserve">Proposal</x:t>
        </x:is>
      </x:c>
      <x:c r="AE932" s="4" t="str">
        <x:f>LOWER(A932&amp;"; "&amp;B932&amp;"; "&amp;D932&amp;"; "&amp;E932&amp;"; "&amp;X932&amp;"; "&amp;Y932&amp;"; "&amp;Z932&amp;"; "&amp;AA932&amp;"; "&amp;AB932&amp;"; "&amp;AC932&amp;"; "&amp;AD932&amp;"; "&amp;V932&amp;"; "&amp;C932&amp;"; "&amp;AH932&amp;"; "&amp;AI932)</x:f>
        <x:v>proposal.armor.fur.boots; fur armored boots; armor; fur armor / boots; armor; finished item; manufactured / unresolved; protection; fur; assembly; proposal; fur armor; fur armor set; fur armor family; boots; separate armor piece; t2; t1; finished item</x:v>
      </x:c>
      <x:c r="AF932" s="4" t="inlineStr">
        <x:is>
          <x:t xml:space="preserve">One independently listed piece in the author-requested fur armor family. Paired guards and boots are one named catalog item per coverage group, matching the existing armor families. No whole-set inventory item.</x:t>
        </x:is>
      </x:c>
      <x:c r="AG932" s="4" t="inlineStr">
        <x:is>
          <x:t xml:space="preserve">Proposed T2 finished piece using qualified T1 fur stock; fur qualification, processing and construction remain unresolved. Tier does not establish protection or rarity.</x:t>
        </x:is>
      </x:c>
      <x:c r="AH932" s="4" t="inlineStr">
        <x:is>
          <x:t xml:space="preserve">T1</x:t>
        </x:is>
      </x:c>
      <x:c r="AI932" s="4" t="inlineStr">
        <x:is>
          <x:t xml:space="preserve">Finished item</x:t>
        </x:is>
      </x:c>
      <x:c r="AJ932" s="4">
        <x:f>COUNTIFS('Material routes'!$D$6:$D$2205,A932,'Material routes'!$C$6:$C$2205,"Output")</x:f>
        <x:v>0</x:v>
      </x:c>
      <x:c r="AK932" s="4">
        <x:f>SUM(COUNTIFS('Material routes'!$D$6:$D$2205,A932,'Material routes'!$C$6:$C$2205,"Ingredient candidate"),COUNTIFS('Material routes'!$D$6:$D$2205,A932,'Material routes'!$C$6:$C$2205,"Consumed input"),COUNTIFS('Material routes'!$D$6:$D$2205,A932,'Material routes'!$C$6:$C$2205,"Contained input"),COUNTIFS('Material routes'!$D$6:$D$2205,A932,'Material routes'!$C$6:$C$2205,"Transform input"))</x:f>
        <x:v>0</x:v>
      </x:c>
      <x:c r="AL932" s="4">
        <x:f>COUNTIFS('Material routes'!$D$6:$D$2205,A932,'Material routes'!$C$6:$C$2205,"Tool candidate")</x:f>
        <x:v>0</x:v>
      </x:c>
      <x:c r="AM932" s="4" t="str">
        <x:f>IF(AJ932&gt;0,"Route listed; review status/completeness",IF(C932="T0","Raw entry feed; no production route","No production route listed"))</x:f>
        <x:v>No production route listed</x:v>
      </x:c>
      <x:c r="AN932" s="4">
        <x:f>IF(C932="T0",0,IF(C932="T1",1,IF(C932="T2",2,IF(C932="T3",3,IF(C932="T4",4,IF(C932="Unassigned",98,99))))))</x:f>
        <x:v>2</x:v>
      </x:c>
    </x:row>
    <x:row r="933">
      <x:c r="A933" s="4" t="inlineStr">
        <x:is>
          <x:t xml:space="preserve">proposal.armor.fur.arms</x:t>
        </x:is>
      </x:c>
      <x:c r="B933" s="4" t="inlineStr">
        <x:is>
          <x:t xml:space="preserve">Fur arm guards</x:t>
        </x:is>
      </x:c>
      <x:c r="C933" s="4" t="inlineStr">
        <x:is>
          <x:t xml:space="preserve">T2</x:t>
        </x:is>
      </x:c>
      <x:c r="D933" s="4" t="inlineStr">
        <x:is>
          <x:t xml:space="preserve">Armor</x:t>
        </x:is>
      </x:c>
      <x:c r="E933" s="4" t="inlineStr">
        <x:is>
          <x:t xml:space="preserve">Fur armor / arms</x:t>
        </x:is>
      </x:c>
      <x:c r="F933" s="4" t="inlineStr">
        <x:is>
          <x:t xml:space="preserve">New proposal</x:t>
        </x:is>
      </x:c>
      <x:c r="G933" s="4" t="inlineStr">
        <x:is>
          <x:t xml:space="preserve">Fur armor family: independently listed protective piece. A matched pair of upper-arm, elbow and forearm coverings listed as one item; chest armor remains separate. Uses prepared fur-bearing panels; construction and protection remain proposals. Does not include other family pieces.</x:t>
        </x:is>
      </x:c>
      <x:c r="H933" s="4" t="inlineStr">
        <x:is>
          <x:t xml:space="preserve">Unassigned; no new slot approved</x:t>
        </x:is>
      </x:c>
      <x:c r="I933" s="4" t="inlineStr">
        <x:is>
          <x:t xml:space="preserve">Booter-worn armor concept; fitting, packing and spare-cargo rules unresolved.</x:t>
        </x:is>
      </x:c>
      <x:c r="J933" s="4"/>
      <x:c r="K933" s="4"/>
      <x:c r="L933" s="4" t="inlineStr">
        <x:is>
          <x:t xml:space="preserve">Proposed furworking or specialist trade; sourcing, availability and recipe unresolved.</x:t>
        </x:is>
      </x:c>
      <x:c r="M933" s="4" t="inlineStr">
        <x:is>
          <x:t xml:space="preserve">One separately fitted piece made from prepared fur-bearing panels. Fur processing has extremely low usable yield; no ordinary cloth backing, preparation recipe, quantities, yield or production time established.</x:t>
        </x:is>
      </x:c>
      <x:c r="N933" s="4" t="inlineStr">
        <x:is>
          <x:t xml:space="preserve">Not implemented</x:t>
        </x:is>
      </x:c>
      <x:c r="O933"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3" s="4"/>
      <x:c r="Q933" s="4"/>
      <x:c r="R933" s="4"/>
      <x:c r="S933" s="4"/>
      <x:c r="T933" s="4"/>
      <x:c r="U933" s="4" t="inlineStr">
        <x:is>
          <x:t xml:space="preserve">A matched pair of upper-arm, elbow and forearm coverings listed as one item; chest armor remains separate. Fur sourcing, extremely low processing yield, fastening, fit, wearability and protective performance require design.</x:t>
        </x:is>
      </x:c>
      <x:c r="V933" s="4" t="inlineStr">
        <x:is>
          <x:t xml:space="preserve">fur armor; fur armor set; fur armor family; arms; separate armor piece</x:t>
        </x:is>
      </x:c>
      <x:c r="W933" s="4" t="inlineStr">
        <x:is>
          <x:t xml:space="preserve">Author requested a fur armor family matching the existing separate-piece armor families, October 15, 2026. Docs/WORLD_BASIS.md controls fur scarcity and no-cloth construction. Setting constraints: Docs/WORLD_BASIS.md#material-culture.</x:t>
        </x:is>
      </x:c>
      <x:c r="X933" s="4" t="inlineStr">
        <x:is>
          <x:t xml:space="preserve">Armor</x:t>
        </x:is>
      </x:c>
      <x:c r="Y933" s="4" t="inlineStr">
        <x:is>
          <x:t xml:space="preserve">Finished item</x:t>
        </x:is>
      </x:c>
      <x:c r="Z933" s="4" t="inlineStr">
        <x:is>
          <x:t xml:space="preserve">Manufactured / unresolved</x:t>
        </x:is>
      </x:c>
      <x:c r="AA933" s="4" t="inlineStr">
        <x:is>
          <x:t xml:space="preserve">Protection</x:t>
        </x:is>
      </x:c>
      <x:c r="AB933" s="4" t="inlineStr">
        <x:is>
          <x:t xml:space="preserve">Fur</x:t>
        </x:is>
      </x:c>
      <x:c r="AC933" s="4" t="inlineStr">
        <x:is>
          <x:t xml:space="preserve">Assembly</x:t>
        </x:is>
      </x:c>
      <x:c r="AD933" s="4" t="inlineStr">
        <x:is>
          <x:t xml:space="preserve">Proposal</x:t>
        </x:is>
      </x:c>
      <x:c r="AE933" s="4" t="str">
        <x:f>LOWER(A933&amp;"; "&amp;B933&amp;"; "&amp;D933&amp;"; "&amp;E933&amp;"; "&amp;X933&amp;"; "&amp;Y933&amp;"; "&amp;Z933&amp;"; "&amp;AA933&amp;"; "&amp;AB933&amp;"; "&amp;AC933&amp;"; "&amp;AD933&amp;"; "&amp;V933&amp;"; "&amp;C933&amp;"; "&amp;AH933&amp;"; "&amp;AI933)</x:f>
        <x:v>proposal.armor.fur.arms; fur arm guards; armor; fur armor / arms; armor; finished item; manufactured / unresolved; protection; fur; assembly; proposal; fur armor; fur armor set; fur armor family; arms; separate armor piece; t2; t1; finished item</x:v>
      </x:c>
      <x:c r="AF933" s="4" t="inlineStr">
        <x:is>
          <x:t xml:space="preserve">One independently listed piece in the author-requested fur armor family. Paired guards and boots are one named catalog item per coverage group, matching the existing armor families. No whole-set inventory item.</x:t>
        </x:is>
      </x:c>
      <x:c r="AG933" s="4" t="inlineStr">
        <x:is>
          <x:t xml:space="preserve">Proposed T2 finished piece using qualified T1 fur stock; fur qualification, processing and construction remain unresolved. Tier does not establish protection or rarity.</x:t>
        </x:is>
      </x:c>
      <x:c r="AH933" s="4" t="inlineStr">
        <x:is>
          <x:t xml:space="preserve">T1</x:t>
        </x:is>
      </x:c>
      <x:c r="AI933" s="4" t="inlineStr">
        <x:is>
          <x:t xml:space="preserve">Finished item</x:t>
        </x:is>
      </x:c>
      <x:c r="AJ933" s="4">
        <x:f>COUNTIFS('Material routes'!$D$6:$D$2205,A933,'Material routes'!$C$6:$C$2205,"Output")</x:f>
        <x:v>0</x:v>
      </x:c>
      <x:c r="AK933" s="4">
        <x:f>SUM(COUNTIFS('Material routes'!$D$6:$D$2205,A933,'Material routes'!$C$6:$C$2205,"Ingredient candidate"),COUNTIFS('Material routes'!$D$6:$D$2205,A933,'Material routes'!$C$6:$C$2205,"Consumed input"),COUNTIFS('Material routes'!$D$6:$D$2205,A933,'Material routes'!$C$6:$C$2205,"Contained input"),COUNTIFS('Material routes'!$D$6:$D$2205,A933,'Material routes'!$C$6:$C$2205,"Transform input"))</x:f>
        <x:v>0</x:v>
      </x:c>
      <x:c r="AL933" s="4">
        <x:f>COUNTIFS('Material routes'!$D$6:$D$2205,A933,'Material routes'!$C$6:$C$2205,"Tool candidate")</x:f>
        <x:v>0</x:v>
      </x:c>
      <x:c r="AM933" s="4" t="str">
        <x:f>IF(AJ933&gt;0,"Route listed; review status/completeness",IF(C933="T0","Raw entry feed; no production route","No production route listed"))</x:f>
        <x:v>No production route listed</x:v>
      </x:c>
      <x:c r="AN933" s="4">
        <x:f>IF(C933="T0",0,IF(C933="T1",1,IF(C933="T2",2,IF(C933="T3",3,IF(C933="T4",4,IF(C933="Unassigned",98,99))))))</x:f>
        <x:v>2</x:v>
      </x:c>
    </x:row>
    <x:row r="934">
      <x:c r="A934" s="4" t="inlineStr">
        <x:is>
          <x:t xml:space="preserve">proposal.armor.fur.helmet</x:t>
        </x:is>
      </x:c>
      <x:c r="B934" s="4" t="inlineStr">
        <x:is>
          <x:t xml:space="preserve">Fur helmet</x:t>
        </x:is>
      </x:c>
      <x:c r="C934" s="4" t="inlineStr">
        <x:is>
          <x:t xml:space="preserve">T2</x:t>
        </x:is>
      </x:c>
      <x:c r="D934" s="4" t="inlineStr">
        <x:is>
          <x:t xml:space="preserve">Armor</x:t>
        </x:is>
      </x:c>
      <x:c r="E934" s="4" t="inlineStr">
        <x:is>
          <x:t xml:space="preserve">Fur armor / helmet</x:t>
        </x:is>
      </x:c>
      <x:c r="F934" s="4" t="inlineStr">
        <x:is>
          <x:t xml:space="preserve">New proposal</x:t>
        </x:is>
      </x:c>
      <x:c r="G934" s="4" t="inlineStr">
        <x:is>
          <x:t xml:space="preserve">Fur armor family: independently listed protective piece. Head covering with an open face; neck coverage, hearing and fit remain unresolved. Uses prepared fur-bearing panels; construction and protection remain proposals. Does not include other family pieces.</x:t>
        </x:is>
      </x:c>
      <x:c r="H934" s="4" t="inlineStr">
        <x:is>
          <x:t xml:space="preserve">Unassigned; no new slot approved</x:t>
        </x:is>
      </x:c>
      <x:c r="I934" s="4" t="inlineStr">
        <x:is>
          <x:t xml:space="preserve">Booter-worn armor concept; fitting, packing and spare-cargo rules unresolved.</x:t>
        </x:is>
      </x:c>
      <x:c r="J934" s="4"/>
      <x:c r="K934" s="4"/>
      <x:c r="L934" s="4" t="inlineStr">
        <x:is>
          <x:t xml:space="preserve">Proposed furworking or specialist trade; sourcing, availability and recipe unresolved.</x:t>
        </x:is>
      </x:c>
      <x:c r="M934" s="4" t="inlineStr">
        <x:is>
          <x:t xml:space="preserve">One separately fitted piece made from prepared fur-bearing panels. Fur processing has extremely low usable yield; no ordinary cloth backing, preparation recipe, quantities, yield or production time established.</x:t>
        </x:is>
      </x:c>
      <x:c r="N934" s="4" t="inlineStr">
        <x:is>
          <x:t xml:space="preserve">Not implemented</x:t>
        </x:is>
      </x:c>
      <x:c r="O934"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4" s="4"/>
      <x:c r="Q934" s="4"/>
      <x:c r="R934" s="4"/>
      <x:c r="S934" s="4"/>
      <x:c r="T934" s="4"/>
      <x:c r="U934" s="4" t="inlineStr">
        <x:is>
          <x:t xml:space="preserve">Head covering with an open face; neck coverage, hearing and fit remain unresolved. Fur sourcing, extremely low processing yield, fastening, fit, wearability and protective performance require design.</x:t>
        </x:is>
      </x:c>
      <x:c r="V934" s="4" t="inlineStr">
        <x:is>
          <x:t xml:space="preserve">fur armor; fur armor set; fur armor family; helmet; separate armor piece</x:t>
        </x:is>
      </x:c>
      <x:c r="W934" s="4" t="inlineStr">
        <x:is>
          <x:t xml:space="preserve">Author requested a fur armor family matching the existing separate-piece armor families, October 15, 2026. Docs/WORLD_BASIS.md controls fur scarcity and no-cloth construction. Setting constraints: Docs/WORLD_BASIS.md#material-culture.</x:t>
        </x:is>
      </x:c>
      <x:c r="X934" s="4" t="inlineStr">
        <x:is>
          <x:t xml:space="preserve">Armor</x:t>
        </x:is>
      </x:c>
      <x:c r="Y934" s="4" t="inlineStr">
        <x:is>
          <x:t xml:space="preserve">Finished item</x:t>
        </x:is>
      </x:c>
      <x:c r="Z934" s="4" t="inlineStr">
        <x:is>
          <x:t xml:space="preserve">Manufactured / unresolved</x:t>
        </x:is>
      </x:c>
      <x:c r="AA934" s="4" t="inlineStr">
        <x:is>
          <x:t xml:space="preserve">Protection</x:t>
        </x:is>
      </x:c>
      <x:c r="AB934" s="4" t="inlineStr">
        <x:is>
          <x:t xml:space="preserve">Fur</x:t>
        </x:is>
      </x:c>
      <x:c r="AC934" s="4" t="inlineStr">
        <x:is>
          <x:t xml:space="preserve">Assembly</x:t>
        </x:is>
      </x:c>
      <x:c r="AD934" s="4" t="inlineStr">
        <x:is>
          <x:t xml:space="preserve">Proposal</x:t>
        </x:is>
      </x:c>
      <x:c r="AE934" s="4" t="str">
        <x:f>LOWER(A934&amp;"; "&amp;B934&amp;"; "&amp;D934&amp;"; "&amp;E934&amp;"; "&amp;X934&amp;"; "&amp;Y934&amp;"; "&amp;Z934&amp;"; "&amp;AA934&amp;"; "&amp;AB934&amp;"; "&amp;AC934&amp;"; "&amp;AD934&amp;"; "&amp;V934&amp;"; "&amp;C934&amp;"; "&amp;AH934&amp;"; "&amp;AI934)</x:f>
        <x:v>proposal.armor.fur.helmet; fur helmet; armor; fur armor / helmet; armor; finished item; manufactured / unresolved; protection; fur; assembly; proposal; fur armor; fur armor set; fur armor family; helmet; separate armor piece; t2; t1; finished item</x:v>
      </x:c>
      <x:c r="AF934" s="4" t="inlineStr">
        <x:is>
          <x:t xml:space="preserve">One independently listed piece in the author-requested fur armor family. Paired guards and boots are one named catalog item per coverage group, matching the existing armor families. No whole-set inventory item.</x:t>
        </x:is>
      </x:c>
      <x:c r="AG934" s="4" t="inlineStr">
        <x:is>
          <x:t xml:space="preserve">Proposed T2 finished piece using qualified T1 fur stock; fur qualification, processing and construction remain unresolved. Tier does not establish protection or rarity.</x:t>
        </x:is>
      </x:c>
      <x:c r="AH934" s="4" t="inlineStr">
        <x:is>
          <x:t xml:space="preserve">T1</x:t>
        </x:is>
      </x:c>
      <x:c r="AI934" s="4" t="inlineStr">
        <x:is>
          <x:t xml:space="preserve">Finished item</x:t>
        </x:is>
      </x:c>
      <x:c r="AJ934" s="4">
        <x:f>COUNTIFS('Material routes'!$D$6:$D$2205,A934,'Material routes'!$C$6:$C$2205,"Output")</x:f>
        <x:v>0</x:v>
      </x:c>
      <x:c r="AK934" s="4">
        <x:f>SUM(COUNTIFS('Material routes'!$D$6:$D$2205,A934,'Material routes'!$C$6:$C$2205,"Ingredient candidate"),COUNTIFS('Material routes'!$D$6:$D$2205,A934,'Material routes'!$C$6:$C$2205,"Consumed input"),COUNTIFS('Material routes'!$D$6:$D$2205,A934,'Material routes'!$C$6:$C$2205,"Contained input"),COUNTIFS('Material routes'!$D$6:$D$2205,A934,'Material routes'!$C$6:$C$2205,"Transform input"))</x:f>
        <x:v>0</x:v>
      </x:c>
      <x:c r="AL934" s="4">
        <x:f>COUNTIFS('Material routes'!$D$6:$D$2205,A934,'Material routes'!$C$6:$C$2205,"Tool candidate")</x:f>
        <x:v>0</x:v>
      </x:c>
      <x:c r="AM934" s="4" t="str">
        <x:f>IF(AJ934&gt;0,"Route listed; review status/completeness",IF(C934="T0","Raw entry feed; no production route","No production route listed"))</x:f>
        <x:v>No production route listed</x:v>
      </x:c>
      <x:c r="AN934" s="4">
        <x:f>IF(C934="T0",0,IF(C934="T1",1,IF(C934="T2",2,IF(C934="T3",3,IF(C934="T4",4,IF(C934="Unassigned",98,99))))))</x:f>
        <x:v>2</x:v>
      </x:c>
    </x:row>
    <x:row r="935">
      <x:c r="A935" s="4" t="inlineStr">
        <x:is>
          <x:t xml:space="preserve">proposal.clothing.hide.top</x:t>
        </x:is>
      </x:c>
      <x:c r="B935" s="4" t="inlineStr">
        <x:is>
          <x:t xml:space="preserve">Hide jacket</x:t>
        </x:is>
      </x:c>
      <x:c r="C935" s="4" t="inlineStr">
        <x:is>
          <x:t xml:space="preserve">T2</x:t>
        </x:is>
      </x:c>
      <x:c r="D935" s="4" t="inlineStr">
        <x:is>
          <x:t xml:space="preserve">Clothing</x:t>
        </x:is>
      </x:c>
      <x:c r="E935" s="4" t="inlineStr">
        <x:is>
          <x:t xml:space="preserve">Hide clothing / top</x:t>
        </x:is>
      </x:c>
      <x:c r="F935" s="4" t="inlineStr">
        <x:is>
          <x:t xml:space="preserve">New proposal</x:t>
        </x:is>
      </x:c>
      <x:c r="G935" s="4" t="inlineStr">
        <x:is>
          <x:t xml:space="preserve">Hide clothing family: one separately listed jacket. One upper-body garment; no trousers, gloves, footwear or headwear included. Small fitted hide panels, overlapped seams and simple metal closures. Usable hide yields are extremely low. Functions and performance remain proposals.</x:t>
        </x:is>
      </x:c>
      <x:c r="H935" s="4" t="inlineStr">
        <x:is>
          <x:t xml:space="preserve">Unassigned; no new slot approved</x:t>
        </x:is>
      </x:c>
      <x:c r="I935" s="4" t="inlineStr">
        <x:is>
          <x:t xml:space="preserve">Booter-worn garment concept; fit, packing and canister clearance unresolved.</x:t>
        </x:is>
      </x:c>
      <x:c r="J935" s="4"/>
      <x:c r="K935" s="4"/>
      <x:c r="L935" s="4" t="inlineStr">
        <x:is>
          <x:t xml:space="preserve">Proposed garment craft or trade; availability and price unresolved.</x:t>
        </x:is>
      </x:c>
      <x:c r="M935" s="4" t="inlineStr">
        <x:is>
          <x:t xml:space="preserve">Candidate construction from qualified stock and compatible joining parts. No full-set recipe, quantities, yield or crafting time assigned.</x:t>
        </x:is>
      </x:c>
      <x:c r="N935" s="4" t="inlineStr">
        <x:is>
          <x:t xml:space="preserve">Not implemented</x:t>
        </x:is>
      </x:c>
      <x:c r="O935" s="4" t="inlineStr">
        <x:is>
          <x:t xml:space="preserve">Fit, comfort, flexibility, mass, wear and protective performance require design. No wood, ordinary cloth, conventional abundant hide/fur supply, free-water treatment, set bonus or new equipment slots.</x:t>
        </x:is>
      </x:c>
      <x:c r="P935" s="4"/>
      <x:c r="Q935" s="4"/>
      <x:c r="R935" s="4"/>
      <x:c r="S935" s="4"/>
      <x:c r="T935" s="4"/>
      <x:c r="U935" s="4" t="inlineStr">
        <x:is>
          <x:t xml:space="preserve">One upper-body garment; no trousers, gloves, footwear or headwear included. Appearance: Small fitted hide panels, overlapped seams and simple metal closures. Usable hide yields are extremely low. Joining, sizing, service life and useful performance require design.</x:t>
        </x:is>
      </x:c>
      <x:c r="V935" s="4" t="inlineStr">
        <x:is>
          <x:t xml:space="preserve">hide clothing; hide clothing family; top; separate garment</x:t>
        </x:is>
      </x:c>
      <x:c r="W93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5" s="4" t="inlineStr">
        <x:is>
          <x:t xml:space="preserve">Wearable</x:t>
        </x:is>
      </x:c>
      <x:c r="Y935" s="4" t="inlineStr">
        <x:is>
          <x:t xml:space="preserve">Finished item</x:t>
        </x:is>
      </x:c>
      <x:c r="Z935" s="4" t="inlineStr">
        <x:is>
          <x:t xml:space="preserve">Manufactured / unresolved</x:t>
        </x:is>
      </x:c>
      <x:c r="AA935" s="4" t="inlineStr">
        <x:is>
          <x:t xml:space="preserve">Clothing</x:t>
        </x:is>
      </x:c>
      <x:c r="AB935" s="4" t="inlineStr">
        <x:is>
          <x:t xml:space="preserve">Hide</x:t>
        </x:is>
      </x:c>
      <x:c r="AC935" s="4" t="inlineStr">
        <x:is>
          <x:t xml:space="preserve">Assembly</x:t>
        </x:is>
      </x:c>
      <x:c r="AD935" s="4" t="inlineStr">
        <x:is>
          <x:t xml:space="preserve">Proposal</x:t>
        </x:is>
      </x:c>
      <x:c r="AE935" s="4" t="str">
        <x:f>LOWER(A935&amp;"; "&amp;B935&amp;"; "&amp;D935&amp;"; "&amp;E935&amp;"; "&amp;X935&amp;"; "&amp;Y935&amp;"; "&amp;Z935&amp;"; "&amp;AA935&amp;"; "&amp;AB935&amp;"; "&amp;AC935&amp;"; "&amp;AD935&amp;"; "&amp;V935&amp;"; "&amp;C935&amp;"; "&amp;AH935&amp;"; "&amp;AI935)</x:f>
        <x:v>proposal.clothing.hide.top; hide jacket; clothing; hide clothing / top; wearable; finished item; manufactured / unresolved; clothing; hide; assembly; proposal; hide clothing; hide clothing family; top; separate garment; t2; t1; finished item</x:v>
      </x:c>
      <x:c r="AF935" s="4" t="inlineStr">
        <x:is>
          <x:t xml:space="preserve">Independently listed clothing piece. Family membership is an organizational grouping, not another counted inventory item or a set bonus.</x:t>
        </x:is>
      </x:c>
      <x:c r="AG935" s="4" t="inlineStr">
        <x:is>
          <x:t xml:space="preserve">Proposed T2 garment assembly using T1 inputs. Quantities, stock qualification and recipe remain unresolved.</x:t>
        </x:is>
      </x:c>
      <x:c r="AH935" s="4" t="inlineStr">
        <x:is>
          <x:t xml:space="preserve">T1</x:t>
        </x:is>
      </x:c>
      <x:c r="AI935" s="4" t="inlineStr">
        <x:is>
          <x:t xml:space="preserve">Finished item</x:t>
        </x:is>
      </x:c>
      <x:c r="AJ935" s="4">
        <x:f>COUNTIFS('Material routes'!$D$6:$D$2205,A935,'Material routes'!$C$6:$C$2205,"Output")</x:f>
        <x:v>0</x:v>
      </x:c>
      <x:c r="AK935" s="4">
        <x:f>SUM(COUNTIFS('Material routes'!$D$6:$D$2205,A935,'Material routes'!$C$6:$C$2205,"Ingredient candidate"),COUNTIFS('Material routes'!$D$6:$D$2205,A935,'Material routes'!$C$6:$C$2205,"Consumed input"),COUNTIFS('Material routes'!$D$6:$D$2205,A935,'Material routes'!$C$6:$C$2205,"Contained input"),COUNTIFS('Material routes'!$D$6:$D$2205,A935,'Material routes'!$C$6:$C$2205,"Transform input"))</x:f>
        <x:v>0</x:v>
      </x:c>
      <x:c r="AL935" s="4">
        <x:f>COUNTIFS('Material routes'!$D$6:$D$2205,A935,'Material routes'!$C$6:$C$2205,"Tool candidate")</x:f>
        <x:v>0</x:v>
      </x:c>
      <x:c r="AM935" s="4" t="str">
        <x:f>IF(AJ935&gt;0,"Route listed; review status/completeness",IF(C935="T0","Raw entry feed; no production route","No production route listed"))</x:f>
        <x:v>No production route listed</x:v>
      </x:c>
      <x:c r="AN935" s="4">
        <x:f>IF(C935="T0",0,IF(C935="T1",1,IF(C935="T2",2,IF(C935="T3",3,IF(C935="T4",4,IF(C935="Unassigned",98,99))))))</x:f>
        <x:v>2</x:v>
      </x:c>
    </x:row>
    <x:row r="936">
      <x:c r="A936" s="4" t="inlineStr">
        <x:is>
          <x:t xml:space="preserve">proposal.clothing.hide.legs</x:t>
        </x:is>
      </x:c>
      <x:c r="B936" s="4" t="inlineStr">
        <x:is>
          <x:t xml:space="preserve">Hide trousers</x:t>
        </x:is>
      </x:c>
      <x:c r="C936" s="4" t="inlineStr">
        <x:is>
          <x:t xml:space="preserve">T2</x:t>
        </x:is>
      </x:c>
      <x:c r="D936" s="4" t="inlineStr">
        <x:is>
          <x:t xml:space="preserve">Clothing</x:t>
        </x:is>
      </x:c>
      <x:c r="E936" s="4" t="inlineStr">
        <x:is>
          <x:t xml:space="preserve">Hide clothing / legs</x:t>
        </x:is>
      </x:c>
      <x:c r="F936" s="4" t="inlineStr">
        <x:is>
          <x:t xml:space="preserve">New proposal</x:t>
        </x:is>
      </x:c>
      <x:c r="G936" s="4" t="inlineStr">
        <x:is>
          <x:t xml:space="preserve">Hide clothing family: one separately listed trousers. One lower-body garment; footwear remains separate. Small fitted hide panels, overlapped seams and simple metal closures. Usable hide yields are extremely low. Functions and performance remain proposals.</x:t>
        </x:is>
      </x:c>
      <x:c r="H936" s="4" t="inlineStr">
        <x:is>
          <x:t xml:space="preserve">Unassigned; no new slot approved</x:t>
        </x:is>
      </x:c>
      <x:c r="I936" s="4" t="inlineStr">
        <x:is>
          <x:t xml:space="preserve">Booter-worn garment concept; fit, packing and canister clearance unresolved.</x:t>
        </x:is>
      </x:c>
      <x:c r="J936" s="4"/>
      <x:c r="K936" s="4"/>
      <x:c r="L936" s="4" t="inlineStr">
        <x:is>
          <x:t xml:space="preserve">Proposed garment craft or trade; availability and price unresolved.</x:t>
        </x:is>
      </x:c>
      <x:c r="M936" s="4" t="inlineStr">
        <x:is>
          <x:t xml:space="preserve">Candidate construction from qualified stock and compatible joining parts. No full-set recipe, quantities, yield or crafting time assigned.</x:t>
        </x:is>
      </x:c>
      <x:c r="N936" s="4" t="inlineStr">
        <x:is>
          <x:t xml:space="preserve">Not implemented</x:t>
        </x:is>
      </x:c>
      <x:c r="O936" s="4" t="inlineStr">
        <x:is>
          <x:t xml:space="preserve">Fit, comfort, flexibility, mass, wear and protective performance require design. No wood, ordinary cloth, conventional abundant hide/fur supply, free-water treatment, set bonus or new equipment slots.</x:t>
        </x:is>
      </x:c>
      <x:c r="P936" s="4"/>
      <x:c r="Q936" s="4"/>
      <x:c r="R936" s="4"/>
      <x:c r="S936" s="4"/>
      <x:c r="T936" s="4"/>
      <x:c r="U936" s="4" t="inlineStr">
        <x:is>
          <x:t xml:space="preserve">One lower-body garment; footwear remains separate. Appearance: Small fitted hide panels, overlapped seams and simple metal closures. Usable hide yields are extremely low. Joining, sizing, service life and useful performance require design.</x:t>
        </x:is>
      </x:c>
      <x:c r="V936" s="4" t="inlineStr">
        <x:is>
          <x:t xml:space="preserve">hide clothing; hide clothing family; legs; separate garment</x:t>
        </x:is>
      </x:c>
      <x:c r="W93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6" s="4" t="inlineStr">
        <x:is>
          <x:t xml:space="preserve">Wearable</x:t>
        </x:is>
      </x:c>
      <x:c r="Y936" s="4" t="inlineStr">
        <x:is>
          <x:t xml:space="preserve">Finished item</x:t>
        </x:is>
      </x:c>
      <x:c r="Z936" s="4" t="inlineStr">
        <x:is>
          <x:t xml:space="preserve">Manufactured / unresolved</x:t>
        </x:is>
      </x:c>
      <x:c r="AA936" s="4" t="inlineStr">
        <x:is>
          <x:t xml:space="preserve">Clothing</x:t>
        </x:is>
      </x:c>
      <x:c r="AB936" s="4" t="inlineStr">
        <x:is>
          <x:t xml:space="preserve">Hide</x:t>
        </x:is>
      </x:c>
      <x:c r="AC936" s="4" t="inlineStr">
        <x:is>
          <x:t xml:space="preserve">Assembly</x:t>
        </x:is>
      </x:c>
      <x:c r="AD936" s="4" t="inlineStr">
        <x:is>
          <x:t xml:space="preserve">Proposal</x:t>
        </x:is>
      </x:c>
      <x:c r="AE936" s="4" t="str">
        <x:f>LOWER(A936&amp;"; "&amp;B936&amp;"; "&amp;D936&amp;"; "&amp;E936&amp;"; "&amp;X936&amp;"; "&amp;Y936&amp;"; "&amp;Z936&amp;"; "&amp;AA936&amp;"; "&amp;AB936&amp;"; "&amp;AC936&amp;"; "&amp;AD936&amp;"; "&amp;V936&amp;"; "&amp;C936&amp;"; "&amp;AH936&amp;"; "&amp;AI936)</x:f>
        <x:v>proposal.clothing.hide.legs; hide trousers; clothing; hide clothing / legs; wearable; finished item; manufactured / unresolved; clothing; hide; assembly; proposal; hide clothing; hide clothing family; legs; separate garment; t2; t1; finished item</x:v>
      </x:c>
      <x:c r="AF936" s="4" t="inlineStr">
        <x:is>
          <x:t xml:space="preserve">Independently listed clothing piece. Family membership is an organizational grouping, not another counted inventory item or a set bonus.</x:t>
        </x:is>
      </x:c>
      <x:c r="AG936" s="4" t="inlineStr">
        <x:is>
          <x:t xml:space="preserve">Proposed T2 garment assembly using T1 inputs. Quantities, stock qualification and recipe remain unresolved.</x:t>
        </x:is>
      </x:c>
      <x:c r="AH936" s="4" t="inlineStr">
        <x:is>
          <x:t xml:space="preserve">T1</x:t>
        </x:is>
      </x:c>
      <x:c r="AI936" s="4" t="inlineStr">
        <x:is>
          <x:t xml:space="preserve">Finished item</x:t>
        </x:is>
      </x:c>
      <x:c r="AJ936" s="4">
        <x:f>COUNTIFS('Material routes'!$D$6:$D$2205,A936,'Material routes'!$C$6:$C$2205,"Output")</x:f>
        <x:v>0</x:v>
      </x:c>
      <x:c r="AK936" s="4">
        <x:f>SUM(COUNTIFS('Material routes'!$D$6:$D$2205,A936,'Material routes'!$C$6:$C$2205,"Ingredient candidate"),COUNTIFS('Material routes'!$D$6:$D$2205,A936,'Material routes'!$C$6:$C$2205,"Consumed input"),COUNTIFS('Material routes'!$D$6:$D$2205,A936,'Material routes'!$C$6:$C$2205,"Contained input"),COUNTIFS('Material routes'!$D$6:$D$2205,A936,'Material routes'!$C$6:$C$2205,"Transform input"))</x:f>
        <x:v>0</x:v>
      </x:c>
      <x:c r="AL936" s="4">
        <x:f>COUNTIFS('Material routes'!$D$6:$D$2205,A936,'Material routes'!$C$6:$C$2205,"Tool candidate")</x:f>
        <x:v>0</x:v>
      </x:c>
      <x:c r="AM936" s="4" t="str">
        <x:f>IF(AJ936&gt;0,"Route listed; review status/completeness",IF(C936="T0","Raw entry feed; no production route","No production route listed"))</x:f>
        <x:v>No production route listed</x:v>
      </x:c>
      <x:c r="AN936" s="4">
        <x:f>IF(C936="T0",0,IF(C936="T1",1,IF(C936="T2",2,IF(C936="T3",3,IF(C936="T4",4,IF(C936="Unassigned",98,99))))))</x:f>
        <x:v>2</x:v>
      </x:c>
    </x:row>
    <x:row r="937">
      <x:c r="A937" s="4" t="inlineStr">
        <x:is>
          <x:t xml:space="preserve">proposal.clothing.hide.boots</x:t>
        </x:is>
      </x:c>
      <x:c r="B937" s="4" t="inlineStr">
        <x:is>
          <x:t xml:space="preserve">Hide boots</x:t>
        </x:is>
      </x:c>
      <x:c r="C937" s="4" t="inlineStr">
        <x:is>
          <x:t xml:space="preserve">T2</x:t>
        </x:is>
      </x:c>
      <x:c r="D937" s="4" t="inlineStr">
        <x:is>
          <x:t xml:space="preserve">Clothing</x:t>
        </x:is>
      </x:c>
      <x:c r="E937" s="4" t="inlineStr">
        <x:is>
          <x:t xml:space="preserve">Hide clothing / boots</x:t>
        </x:is>
      </x:c>
      <x:c r="F937" s="4" t="inlineStr">
        <x:is>
          <x:t xml:space="preserve">New proposal</x:t>
        </x:is>
      </x:c>
      <x:c r="G937" s="4" t="inlineStr">
        <x:is>
          <x:t xml:space="preserve">Hide clothing family: one separately listed boots. One matched pair of footwear; no leggings or trousers included. Small fitted hide panels, overlapped seams and simple metal closures. Usable hide yields are extremely low. Functions and performance remain proposals.</x:t>
        </x:is>
      </x:c>
      <x:c r="H937" s="4" t="inlineStr">
        <x:is>
          <x:t xml:space="preserve">Unassigned; no new slot approved</x:t>
        </x:is>
      </x:c>
      <x:c r="I937" s="4" t="inlineStr">
        <x:is>
          <x:t xml:space="preserve">Booter-worn garment concept; fit, packing and canister clearance unresolved.</x:t>
        </x:is>
      </x:c>
      <x:c r="J937" s="4"/>
      <x:c r="K937" s="4"/>
      <x:c r="L937" s="4" t="inlineStr">
        <x:is>
          <x:t xml:space="preserve">Proposed garment craft or trade; availability and price unresolved.</x:t>
        </x:is>
      </x:c>
      <x:c r="M937" s="4" t="inlineStr">
        <x:is>
          <x:t xml:space="preserve">Candidate construction from qualified stock and compatible joining parts. No full-set recipe, quantities, yield or crafting time assigned.</x:t>
        </x:is>
      </x:c>
      <x:c r="N937" s="4" t="inlineStr">
        <x:is>
          <x:t xml:space="preserve">Not implemented</x:t>
        </x:is>
      </x:c>
      <x:c r="O937" s="4" t="inlineStr">
        <x:is>
          <x:t xml:space="preserve">Fit, comfort, flexibility, mass, wear and protective performance require design. No wood, ordinary cloth, conventional abundant hide/fur supply, free-water treatment, set bonus or new equipment slots.</x:t>
        </x:is>
      </x:c>
      <x:c r="P937" s="4"/>
      <x:c r="Q937" s="4"/>
      <x:c r="R937" s="4"/>
      <x:c r="S937" s="4"/>
      <x:c r="T937" s="4"/>
      <x:c r="U937" s="4" t="inlineStr">
        <x:is>
          <x:t xml:space="preserve">One matched pair of footwear; no leggings or trousers included. Appearance: Small fitted hide panels, overlapped seams and simple metal closures. Usable hide yields are extremely low. Joining, sizing, service life and useful performance require design.</x:t>
        </x:is>
      </x:c>
      <x:c r="V937" s="4" t="inlineStr">
        <x:is>
          <x:t xml:space="preserve">hide clothing; hide clothing family; boots; separate garment</x:t>
        </x:is>
      </x:c>
      <x:c r="W937"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7" s="4" t="inlineStr">
        <x:is>
          <x:t xml:space="preserve">Wearable</x:t>
        </x:is>
      </x:c>
      <x:c r="Y937" s="4" t="inlineStr">
        <x:is>
          <x:t xml:space="preserve">Finished item</x:t>
        </x:is>
      </x:c>
      <x:c r="Z937" s="4" t="inlineStr">
        <x:is>
          <x:t xml:space="preserve">Manufactured / unresolved</x:t>
        </x:is>
      </x:c>
      <x:c r="AA937" s="4" t="inlineStr">
        <x:is>
          <x:t xml:space="preserve">Clothing</x:t>
        </x:is>
      </x:c>
      <x:c r="AB937" s="4" t="inlineStr">
        <x:is>
          <x:t xml:space="preserve">Hide</x:t>
        </x:is>
      </x:c>
      <x:c r="AC937" s="4" t="inlineStr">
        <x:is>
          <x:t xml:space="preserve">Assembly</x:t>
        </x:is>
      </x:c>
      <x:c r="AD937" s="4" t="inlineStr">
        <x:is>
          <x:t xml:space="preserve">Proposal</x:t>
        </x:is>
      </x:c>
      <x:c r="AE937" s="4" t="str">
        <x:f>LOWER(A937&amp;"; "&amp;B937&amp;"; "&amp;D937&amp;"; "&amp;E937&amp;"; "&amp;X937&amp;"; "&amp;Y937&amp;"; "&amp;Z937&amp;"; "&amp;AA937&amp;"; "&amp;AB937&amp;"; "&amp;AC937&amp;"; "&amp;AD937&amp;"; "&amp;V937&amp;"; "&amp;C937&amp;"; "&amp;AH937&amp;"; "&amp;AI937)</x:f>
        <x:v>proposal.clothing.hide.boots; hide boots; clothing; hide clothing / boots; wearable; finished item; manufactured / unresolved; clothing; hide; assembly; proposal; hide clothing; hide clothing family; boots; separate garment; t2; t1; finished item</x:v>
      </x:c>
      <x:c r="AF937" s="4" t="inlineStr">
        <x:is>
          <x:t xml:space="preserve">Independently listed clothing piece. Family membership is an organizational grouping, not another counted inventory item or a set bonus.</x:t>
        </x:is>
      </x:c>
      <x:c r="AG937" s="4" t="inlineStr">
        <x:is>
          <x:t xml:space="preserve">Proposed T2 garment assembly using T1 inputs. Quantities, stock qualification and recipe remain unresolved.</x:t>
        </x:is>
      </x:c>
      <x:c r="AH937" s="4" t="inlineStr">
        <x:is>
          <x:t xml:space="preserve">T1</x:t>
        </x:is>
      </x:c>
      <x:c r="AI937" s="4" t="inlineStr">
        <x:is>
          <x:t xml:space="preserve">Finished item</x:t>
        </x:is>
      </x:c>
      <x:c r="AJ937" s="4">
        <x:f>COUNTIFS('Material routes'!$D$6:$D$2205,A937,'Material routes'!$C$6:$C$2205,"Output")</x:f>
        <x:v>0</x:v>
      </x:c>
      <x:c r="AK937" s="4">
        <x:f>SUM(COUNTIFS('Material routes'!$D$6:$D$2205,A937,'Material routes'!$C$6:$C$2205,"Ingredient candidate"),COUNTIFS('Material routes'!$D$6:$D$2205,A937,'Material routes'!$C$6:$C$2205,"Consumed input"),COUNTIFS('Material routes'!$D$6:$D$2205,A937,'Material routes'!$C$6:$C$2205,"Contained input"),COUNTIFS('Material routes'!$D$6:$D$2205,A937,'Material routes'!$C$6:$C$2205,"Transform input"))</x:f>
        <x:v>0</x:v>
      </x:c>
      <x:c r="AL937" s="4">
        <x:f>COUNTIFS('Material routes'!$D$6:$D$2205,A937,'Material routes'!$C$6:$C$2205,"Tool candidate")</x:f>
        <x:v>0</x:v>
      </x:c>
      <x:c r="AM937" s="4" t="str">
        <x:f>IF(AJ937&gt;0,"Route listed; review status/completeness",IF(C937="T0","Raw entry feed; no production route","No production route listed"))</x:f>
        <x:v>No production route listed</x:v>
      </x:c>
      <x:c r="AN937" s="4">
        <x:f>IF(C937="T0",0,IF(C937="T1",1,IF(C937="T2",2,IF(C937="T3",3,IF(C937="T4",4,IF(C937="Unassigned",98,99))))))</x:f>
        <x:v>2</x:v>
      </x:c>
    </x:row>
    <x:row r="938">
      <x:c r="A938" s="4" t="inlineStr">
        <x:is>
          <x:t xml:space="preserve">proposal.clothing.hide.gloves</x:t>
        </x:is>
      </x:c>
      <x:c r="B938" s="4" t="inlineStr">
        <x:is>
          <x:t xml:space="preserve">Hide gloves</x:t>
        </x:is>
      </x:c>
      <x:c r="C938" s="4" t="inlineStr">
        <x:is>
          <x:t xml:space="preserve">T2</x:t>
        </x:is>
      </x:c>
      <x:c r="D938" s="4" t="inlineStr">
        <x:is>
          <x:t xml:space="preserve">Clothing</x:t>
        </x:is>
      </x:c>
      <x:c r="E938" s="4" t="inlineStr">
        <x:is>
          <x:t xml:space="preserve">Hide clothing / gloves</x:t>
        </x:is>
      </x:c>
      <x:c r="F938" s="4" t="inlineStr">
        <x:is>
          <x:t xml:space="preserve">New proposal</x:t>
        </x:is>
      </x:c>
      <x:c r="G938" s="4" t="inlineStr">
        <x:is>
          <x:t xml:space="preserve">Hide clothing family: one separately listed gloves. One matched pair of hand coverings; sleeves and upper-body garment remain separate. Small fitted hide panels, overlapped seams and simple metal closures. Usable hide yields are extremely low. Functions and performance remain proposals.</x:t>
        </x:is>
      </x:c>
      <x:c r="H938" s="4" t="inlineStr">
        <x:is>
          <x:t xml:space="preserve">Unassigned; no new slot approved</x:t>
        </x:is>
      </x:c>
      <x:c r="I938" s="4" t="inlineStr">
        <x:is>
          <x:t xml:space="preserve">Booter-worn garment concept; fit, packing and canister clearance unresolved.</x:t>
        </x:is>
      </x:c>
      <x:c r="J938" s="4"/>
      <x:c r="K938" s="4"/>
      <x:c r="L938" s="4" t="inlineStr">
        <x:is>
          <x:t xml:space="preserve">Proposed garment craft or trade; availability and price unresolved.</x:t>
        </x:is>
      </x:c>
      <x:c r="M938" s="4" t="inlineStr">
        <x:is>
          <x:t xml:space="preserve">Candidate construction from qualified stock and compatible joining parts. No full-set recipe, quantities, yield or crafting time assigned.</x:t>
        </x:is>
      </x:c>
      <x:c r="N938" s="4" t="inlineStr">
        <x:is>
          <x:t xml:space="preserve">Not implemented</x:t>
        </x:is>
      </x:c>
      <x:c r="O938" s="4" t="inlineStr">
        <x:is>
          <x:t xml:space="preserve">Fit, comfort, flexibility, mass, wear and protective performance require design. No wood, ordinary cloth, conventional abundant hide/fur supply, free-water treatment, set bonus or new equipment slots.</x:t>
        </x:is>
      </x:c>
      <x:c r="P938" s="4"/>
      <x:c r="Q938" s="4"/>
      <x:c r="R938" s="4"/>
      <x:c r="S938" s="4"/>
      <x:c r="T938" s="4"/>
      <x:c r="U938" s="4" t="inlineStr">
        <x:is>
          <x:t xml:space="preserve">One matched pair of hand coverings; sleeves and upper-body garment remain separate. Appearance: Small fitted hide panels, overlapped seams and simple metal closures. Usable hide yields are extremely low. Joining, sizing, service life and useful performance require design.</x:t>
        </x:is>
      </x:c>
      <x:c r="V938" s="4" t="inlineStr">
        <x:is>
          <x:t xml:space="preserve">hide clothing; hide clothing family; gloves; separate garment</x:t>
        </x:is>
      </x:c>
      <x:c r="W938"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8" s="4" t="inlineStr">
        <x:is>
          <x:t xml:space="preserve">Wearable</x:t>
        </x:is>
      </x:c>
      <x:c r="Y938" s="4" t="inlineStr">
        <x:is>
          <x:t xml:space="preserve">Finished item</x:t>
        </x:is>
      </x:c>
      <x:c r="Z938" s="4" t="inlineStr">
        <x:is>
          <x:t xml:space="preserve">Manufactured / unresolved</x:t>
        </x:is>
      </x:c>
      <x:c r="AA938" s="4" t="inlineStr">
        <x:is>
          <x:t xml:space="preserve">Clothing</x:t>
        </x:is>
      </x:c>
      <x:c r="AB938" s="4" t="inlineStr">
        <x:is>
          <x:t xml:space="preserve">Hide</x:t>
        </x:is>
      </x:c>
      <x:c r="AC938" s="4" t="inlineStr">
        <x:is>
          <x:t xml:space="preserve">Assembly</x:t>
        </x:is>
      </x:c>
      <x:c r="AD938" s="4" t="inlineStr">
        <x:is>
          <x:t xml:space="preserve">Proposal</x:t>
        </x:is>
      </x:c>
      <x:c r="AE938" s="4" t="str">
        <x:f>LOWER(A938&amp;"; "&amp;B938&amp;"; "&amp;D938&amp;"; "&amp;E938&amp;"; "&amp;X938&amp;"; "&amp;Y938&amp;"; "&amp;Z938&amp;"; "&amp;AA938&amp;"; "&amp;AB938&amp;"; "&amp;AC938&amp;"; "&amp;AD938&amp;"; "&amp;V938&amp;"; "&amp;C938&amp;"; "&amp;AH938&amp;"; "&amp;AI938)</x:f>
        <x:v>proposal.clothing.hide.gloves; hide gloves; clothing; hide clothing / gloves; wearable; finished item; manufactured / unresolved; clothing; hide; assembly; proposal; hide clothing; hide clothing family; gloves; separate garment; t2; t1; finished item</x:v>
      </x:c>
      <x:c r="AF938" s="4" t="inlineStr">
        <x:is>
          <x:t xml:space="preserve">Independently listed clothing piece. Family membership is an organizational grouping, not another counted inventory item or a set bonus.</x:t>
        </x:is>
      </x:c>
      <x:c r="AG938" s="4" t="inlineStr">
        <x:is>
          <x:t xml:space="preserve">Proposed T2 garment assembly using T1 inputs. Quantities, stock qualification and recipe remain unresolved.</x:t>
        </x:is>
      </x:c>
      <x:c r="AH938" s="4" t="inlineStr">
        <x:is>
          <x:t xml:space="preserve">T1</x:t>
        </x:is>
      </x:c>
      <x:c r="AI938" s="4" t="inlineStr">
        <x:is>
          <x:t xml:space="preserve">Finished item</x:t>
        </x:is>
      </x:c>
      <x:c r="AJ938" s="4">
        <x:f>COUNTIFS('Material routes'!$D$6:$D$2205,A938,'Material routes'!$C$6:$C$2205,"Output")</x:f>
        <x:v>0</x:v>
      </x:c>
      <x:c r="AK938" s="4">
        <x:f>SUM(COUNTIFS('Material routes'!$D$6:$D$2205,A938,'Material routes'!$C$6:$C$2205,"Ingredient candidate"),COUNTIFS('Material routes'!$D$6:$D$2205,A938,'Material routes'!$C$6:$C$2205,"Consumed input"),COUNTIFS('Material routes'!$D$6:$D$2205,A938,'Material routes'!$C$6:$C$2205,"Contained input"),COUNTIFS('Material routes'!$D$6:$D$2205,A938,'Material routes'!$C$6:$C$2205,"Transform input"))</x:f>
        <x:v>0</x:v>
      </x:c>
      <x:c r="AL938" s="4">
        <x:f>COUNTIFS('Material routes'!$D$6:$D$2205,A938,'Material routes'!$C$6:$C$2205,"Tool candidate")</x:f>
        <x:v>0</x:v>
      </x:c>
      <x:c r="AM938" s="4" t="str">
        <x:f>IF(AJ938&gt;0,"Route listed; review status/completeness",IF(C938="T0","Raw entry feed; no production route","No production route listed"))</x:f>
        <x:v>No production route listed</x:v>
      </x:c>
      <x:c r="AN938" s="4">
        <x:f>IF(C938="T0",0,IF(C938="T1",1,IF(C938="T2",2,IF(C938="T3",3,IF(C938="T4",4,IF(C938="Unassigned",98,99))))))</x:f>
        <x:v>2</x:v>
      </x:c>
    </x:row>
    <x:row r="939">
      <x:c r="A939" s="4" t="inlineStr">
        <x:is>
          <x:t xml:space="preserve">proposal.clothing.hide.head</x:t>
        </x:is>
      </x:c>
      <x:c r="B939" s="4" t="inlineStr">
        <x:is>
          <x:t xml:space="preserve">Hide hood</x:t>
        </x:is>
      </x:c>
      <x:c r="C939" s="4" t="inlineStr">
        <x:is>
          <x:t xml:space="preserve">T2</x:t>
        </x:is>
      </x:c>
      <x:c r="D939" s="4" t="inlineStr">
        <x:is>
          <x:t xml:space="preserve">Clothing</x:t>
        </x:is>
      </x:c>
      <x:c r="E939" s="4" t="inlineStr">
        <x:is>
          <x:t xml:space="preserve">Hide clothing / head</x:t>
        </x:is>
      </x:c>
      <x:c r="F939" s="4" t="inlineStr">
        <x:is>
          <x:t xml:space="preserve">New proposal</x:t>
        </x:is>
      </x:c>
      <x:c r="G939" s="4" t="inlineStr">
        <x:is>
          <x:t xml:space="preserve">Hide clothing family: one separately listed hood. One head covering; face, sight, hearing and personal canister clearance require design. Small fitted hide panels, overlapped seams and simple metal closures. Usable hide yields are extremely low. Functions and performance remain proposals.</x:t>
        </x:is>
      </x:c>
      <x:c r="H939" s="4" t="inlineStr">
        <x:is>
          <x:t xml:space="preserve">Unassigned; no new slot approved</x:t>
        </x:is>
      </x:c>
      <x:c r="I939" s="4" t="inlineStr">
        <x:is>
          <x:t xml:space="preserve">Booter-worn garment concept; fit, packing and canister clearance unresolved.</x:t>
        </x:is>
      </x:c>
      <x:c r="J939" s="4"/>
      <x:c r="K939" s="4"/>
      <x:c r="L939" s="4" t="inlineStr">
        <x:is>
          <x:t xml:space="preserve">Proposed garment craft or trade; availability and price unresolved.</x:t>
        </x:is>
      </x:c>
      <x:c r="M939" s="4" t="inlineStr">
        <x:is>
          <x:t xml:space="preserve">Candidate construction from qualified stock and compatible joining parts. No full-set recipe, quantities, yield or crafting time assigned.</x:t>
        </x:is>
      </x:c>
      <x:c r="N939" s="4" t="inlineStr">
        <x:is>
          <x:t xml:space="preserve">Not implemented</x:t>
        </x:is>
      </x:c>
      <x:c r="O939" s="4" t="inlineStr">
        <x:is>
          <x:t xml:space="preserve">Fit, comfort, flexibility, mass, wear and protective performance require design. No wood, ordinary cloth, conventional abundant hide/fur supply, free-water treatment, set bonus or new equipment slots.</x:t>
        </x:is>
      </x:c>
      <x:c r="P939" s="4"/>
      <x:c r="Q939" s="4"/>
      <x:c r="R939" s="4"/>
      <x:c r="S939" s="4"/>
      <x:c r="T939" s="4"/>
      <x:c r="U939" s="4" t="inlineStr">
        <x:is>
          <x:t xml:space="preserve">One head covering; face, sight, hearing and personal canister clearance require design. Appearance: Small fitted hide panels, overlapped seams and simple metal closures. Usable hide yields are extremely low. Joining, sizing, service life and useful performance require design.</x:t>
        </x:is>
      </x:c>
      <x:c r="V939" s="4" t="inlineStr">
        <x:is>
          <x:t xml:space="preserve">hide clothing; hide clothing family; head; separate garment</x:t>
        </x:is>
      </x:c>
      <x:c r="W939"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9" s="4" t="inlineStr">
        <x:is>
          <x:t xml:space="preserve">Wearable</x:t>
        </x:is>
      </x:c>
      <x:c r="Y939" s="4" t="inlineStr">
        <x:is>
          <x:t xml:space="preserve">Finished item</x:t>
        </x:is>
      </x:c>
      <x:c r="Z939" s="4" t="inlineStr">
        <x:is>
          <x:t xml:space="preserve">Manufactured / unresolved</x:t>
        </x:is>
      </x:c>
      <x:c r="AA939" s="4" t="inlineStr">
        <x:is>
          <x:t xml:space="preserve">Clothing</x:t>
        </x:is>
      </x:c>
      <x:c r="AB939" s="4" t="inlineStr">
        <x:is>
          <x:t xml:space="preserve">Hide</x:t>
        </x:is>
      </x:c>
      <x:c r="AC939" s="4" t="inlineStr">
        <x:is>
          <x:t xml:space="preserve">Assembly</x:t>
        </x:is>
      </x:c>
      <x:c r="AD939" s="4" t="inlineStr">
        <x:is>
          <x:t xml:space="preserve">Proposal</x:t>
        </x:is>
      </x:c>
      <x:c r="AE939" s="4" t="str">
        <x:f>LOWER(A939&amp;"; "&amp;B939&amp;"; "&amp;D939&amp;"; "&amp;E939&amp;"; "&amp;X939&amp;"; "&amp;Y939&amp;"; "&amp;Z939&amp;"; "&amp;AA939&amp;"; "&amp;AB939&amp;"; "&amp;AC939&amp;"; "&amp;AD939&amp;"; "&amp;V939&amp;"; "&amp;C939&amp;"; "&amp;AH939&amp;"; "&amp;AI939)</x:f>
        <x:v>proposal.clothing.hide.head; hide hood; clothing; hide clothing / head; wearable; finished item; manufactured / unresolved; clothing; hide; assembly; proposal; hide clothing; hide clothing family; head; separate garment; t2; t1; finished item</x:v>
      </x:c>
      <x:c r="AF939" s="4" t="inlineStr">
        <x:is>
          <x:t xml:space="preserve">Independently listed clothing piece. Family membership is an organizational grouping, not another counted inventory item or a set bonus.</x:t>
        </x:is>
      </x:c>
      <x:c r="AG939" s="4" t="inlineStr">
        <x:is>
          <x:t xml:space="preserve">Proposed T2 garment assembly using T1 inputs. Quantities, stock qualification and recipe remain unresolved.</x:t>
        </x:is>
      </x:c>
      <x:c r="AH939" s="4" t="inlineStr">
        <x:is>
          <x:t xml:space="preserve">T1</x:t>
        </x:is>
      </x:c>
      <x:c r="AI939" s="4" t="inlineStr">
        <x:is>
          <x:t xml:space="preserve">Finished item</x:t>
        </x:is>
      </x:c>
      <x:c r="AJ939" s="4">
        <x:f>COUNTIFS('Material routes'!$D$6:$D$2205,A939,'Material routes'!$C$6:$C$2205,"Output")</x:f>
        <x:v>0</x:v>
      </x:c>
      <x:c r="AK939" s="4">
        <x:f>SUM(COUNTIFS('Material routes'!$D$6:$D$2205,A939,'Material routes'!$C$6:$C$2205,"Ingredient candidate"),COUNTIFS('Material routes'!$D$6:$D$2205,A939,'Material routes'!$C$6:$C$2205,"Consumed input"),COUNTIFS('Material routes'!$D$6:$D$2205,A939,'Material routes'!$C$6:$C$2205,"Contained input"),COUNTIFS('Material routes'!$D$6:$D$2205,A939,'Material routes'!$C$6:$C$2205,"Transform input"))</x:f>
        <x:v>0</x:v>
      </x:c>
      <x:c r="AL939" s="4">
        <x:f>COUNTIFS('Material routes'!$D$6:$D$2205,A939,'Material routes'!$C$6:$C$2205,"Tool candidate")</x:f>
        <x:v>0</x:v>
      </x:c>
      <x:c r="AM939" s="4" t="str">
        <x:f>IF(AJ939&gt;0,"Route listed; review status/completeness",IF(C939="T0","Raw entry feed; no production route","No production route listed"))</x:f>
        <x:v>No production route listed</x:v>
      </x:c>
      <x:c r="AN939" s="4">
        <x:f>IF(C939="T0",0,IF(C939="T1",1,IF(C939="T2",2,IF(C939="T3",3,IF(C939="T4",4,IF(C939="Unassigned",98,99))))))</x:f>
        <x:v>2</x:v>
      </x:c>
    </x:row>
    <x:row r="940">
      <x:c r="A940" s="4" t="inlineStr">
        <x:is>
          <x:t xml:space="preserve">proposal.clothing.fur.top</x:t>
        </x:is>
      </x:c>
      <x:c r="B940" s="4" t="inlineStr">
        <x:is>
          <x:t xml:space="preserve">Fur jacket</x:t>
        </x:is>
      </x:c>
      <x:c r="C940" s="4" t="inlineStr">
        <x:is>
          <x:t xml:space="preserve">T2</x:t>
        </x:is>
      </x:c>
      <x:c r="D940" s="4" t="inlineStr">
        <x:is>
          <x:t xml:space="preserve">Clothing</x:t>
        </x:is>
      </x:c>
      <x:c r="E940" s="4" t="inlineStr">
        <x:is>
          <x:t xml:space="preserve">Fur clothing / top</x:t>
        </x:is>
      </x:c>
      <x:c r="F940" s="4" t="inlineStr">
        <x:is>
          <x:t xml:space="preserve">New proposal</x:t>
        </x:is>
      </x:c>
      <x:c r="G940" s="4" t="inlineStr">
        <x:is>
          <x:t xml:space="preserve">Fur clothing family: one separately listed jacket. One upper-body garment; no trousers, gloves, footwear or headwear included. Carefully joined fur-bearing hide patches with restrained trim. Usable fur yields are extremely low; no abundant fur supply assumed. Functions and performance remain proposals.</x:t>
        </x:is>
      </x:c>
      <x:c r="H940" s="4" t="inlineStr">
        <x:is>
          <x:t xml:space="preserve">Unassigned; no new slot approved</x:t>
        </x:is>
      </x:c>
      <x:c r="I940" s="4" t="inlineStr">
        <x:is>
          <x:t xml:space="preserve">Booter-worn garment concept; fit, packing and canister clearance unresolved.</x:t>
        </x:is>
      </x:c>
      <x:c r="J940" s="4"/>
      <x:c r="K940" s="4"/>
      <x:c r="L940" s="4" t="inlineStr">
        <x:is>
          <x:t xml:space="preserve">Proposed garment craft or trade; availability and price unresolved.</x:t>
        </x:is>
      </x:c>
      <x:c r="M940" s="4" t="inlineStr">
        <x:is>
          <x:t xml:space="preserve">Candidate construction from qualified stock and compatible joining parts. No full-set recipe, quantities, yield or crafting time assigned.</x:t>
        </x:is>
      </x:c>
      <x:c r="N940" s="4" t="inlineStr">
        <x:is>
          <x:t xml:space="preserve">Not implemented</x:t>
        </x:is>
      </x:c>
      <x:c r="O940" s="4" t="inlineStr">
        <x:is>
          <x:t xml:space="preserve">Fit, comfort, flexibility, mass, wear and protective performance require design. No wood, ordinary cloth, conventional abundant hide/fur supply, free-water treatment, set bonus or new equipment slots.</x:t>
        </x:is>
      </x:c>
      <x:c r="P940" s="4"/>
      <x:c r="Q940" s="4"/>
      <x:c r="R940" s="4"/>
      <x:c r="S940" s="4"/>
      <x:c r="T940" s="4"/>
      <x:c r="U940" s="4" t="inlineStr">
        <x:is>
          <x:t xml:space="preserve">One upper-body garment; no trousers, gloves, footwear or headwear included. Appearance: Carefully joined fur-bearing hide patches with restrained trim. Usable fur yields are extremely low; no abundant fur supply assumed. Joining, sizing, service life and useful performance require design.</x:t>
        </x:is>
      </x:c>
      <x:c r="V940" s="4" t="inlineStr">
        <x:is>
          <x:t xml:space="preserve">fur clothing; fur clothing family; top; separate garment</x:t>
        </x:is>
      </x:c>
      <x:c r="W940"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0" s="4" t="inlineStr">
        <x:is>
          <x:t xml:space="preserve">Wearable</x:t>
        </x:is>
      </x:c>
      <x:c r="Y940" s="4" t="inlineStr">
        <x:is>
          <x:t xml:space="preserve">Finished item</x:t>
        </x:is>
      </x:c>
      <x:c r="Z940" s="4" t="inlineStr">
        <x:is>
          <x:t xml:space="preserve">Manufactured / unresolved</x:t>
        </x:is>
      </x:c>
      <x:c r="AA940" s="4" t="inlineStr">
        <x:is>
          <x:t xml:space="preserve">Clothing</x:t>
        </x:is>
      </x:c>
      <x:c r="AB940" s="4" t="inlineStr">
        <x:is>
          <x:t xml:space="preserve">Fur</x:t>
        </x:is>
      </x:c>
      <x:c r="AC940" s="4" t="inlineStr">
        <x:is>
          <x:t xml:space="preserve">Assembly</x:t>
        </x:is>
      </x:c>
      <x:c r="AD940" s="4" t="inlineStr">
        <x:is>
          <x:t xml:space="preserve">Proposal</x:t>
        </x:is>
      </x:c>
      <x:c r="AE940" s="4" t="str">
        <x:f>LOWER(A940&amp;"; "&amp;B940&amp;"; "&amp;D940&amp;"; "&amp;E940&amp;"; "&amp;X940&amp;"; "&amp;Y940&amp;"; "&amp;Z940&amp;"; "&amp;AA940&amp;"; "&amp;AB940&amp;"; "&amp;AC940&amp;"; "&amp;AD940&amp;"; "&amp;V940&amp;"; "&amp;C940&amp;"; "&amp;AH940&amp;"; "&amp;AI940)</x:f>
        <x:v>proposal.clothing.fur.top; fur jacket; clothing; fur clothing / top; wearable; finished item; manufactured / unresolved; clothing; fur; assembly; proposal; fur clothing; fur clothing family; top; separate garment; t2; t1; finished item</x:v>
      </x:c>
      <x:c r="AF940" s="4" t="inlineStr">
        <x:is>
          <x:t xml:space="preserve">Independently listed clothing piece. Family membership is an organizational grouping, not another counted inventory item or a set bonus.</x:t>
        </x:is>
      </x:c>
      <x:c r="AG940" s="4" t="inlineStr">
        <x:is>
          <x:t xml:space="preserve">Proposed T2 garment assembly using T1 inputs. Quantities, stock qualification and recipe remain unresolved.</x:t>
        </x:is>
      </x:c>
      <x:c r="AH940" s="4" t="inlineStr">
        <x:is>
          <x:t xml:space="preserve">T1</x:t>
        </x:is>
      </x:c>
      <x:c r="AI940" s="4" t="inlineStr">
        <x:is>
          <x:t xml:space="preserve">Finished item</x:t>
        </x:is>
      </x:c>
      <x:c r="AJ940" s="4">
        <x:f>COUNTIFS('Material routes'!$D$6:$D$2205,A940,'Material routes'!$C$6:$C$2205,"Output")</x:f>
        <x:v>0</x:v>
      </x:c>
      <x:c r="AK940" s="4">
        <x:f>SUM(COUNTIFS('Material routes'!$D$6:$D$2205,A940,'Material routes'!$C$6:$C$2205,"Ingredient candidate"),COUNTIFS('Material routes'!$D$6:$D$2205,A940,'Material routes'!$C$6:$C$2205,"Consumed input"),COUNTIFS('Material routes'!$D$6:$D$2205,A940,'Material routes'!$C$6:$C$2205,"Contained input"),COUNTIFS('Material routes'!$D$6:$D$2205,A940,'Material routes'!$C$6:$C$2205,"Transform input"))</x:f>
        <x:v>0</x:v>
      </x:c>
      <x:c r="AL940" s="4">
        <x:f>COUNTIFS('Material routes'!$D$6:$D$2205,A940,'Material routes'!$C$6:$C$2205,"Tool candidate")</x:f>
        <x:v>0</x:v>
      </x:c>
      <x:c r="AM940" s="4" t="str">
        <x:f>IF(AJ940&gt;0,"Route listed; review status/completeness",IF(C940="T0","Raw entry feed; no production route","No production route listed"))</x:f>
        <x:v>No production route listed</x:v>
      </x:c>
      <x:c r="AN940" s="4">
        <x:f>IF(C940="T0",0,IF(C940="T1",1,IF(C940="T2",2,IF(C940="T3",3,IF(C940="T4",4,IF(C940="Unassigned",98,99))))))</x:f>
        <x:v>2</x:v>
      </x:c>
    </x:row>
    <x:row r="941">
      <x:c r="A941" s="4" t="inlineStr">
        <x:is>
          <x:t xml:space="preserve">proposal.clothing.fur.legs</x:t>
        </x:is>
      </x:c>
      <x:c r="B941" s="4" t="inlineStr">
        <x:is>
          <x:t xml:space="preserve">Fur trousers</x:t>
        </x:is>
      </x:c>
      <x:c r="C941" s="4" t="inlineStr">
        <x:is>
          <x:t xml:space="preserve">T2</x:t>
        </x:is>
      </x:c>
      <x:c r="D941" s="4" t="inlineStr">
        <x:is>
          <x:t xml:space="preserve">Clothing</x:t>
        </x:is>
      </x:c>
      <x:c r="E941" s="4" t="inlineStr">
        <x:is>
          <x:t xml:space="preserve">Fur clothing / legs</x:t>
        </x:is>
      </x:c>
      <x:c r="F941" s="4" t="inlineStr">
        <x:is>
          <x:t xml:space="preserve">New proposal</x:t>
        </x:is>
      </x:c>
      <x:c r="G941" s="4" t="inlineStr">
        <x:is>
          <x:t xml:space="preserve">Fur clothing family: one separately listed trousers. One lower-body garment; footwear remains separate. Carefully joined fur-bearing hide patches with restrained trim. Usable fur yields are extremely low; no abundant fur supply assumed. Functions and performance remain proposals.</x:t>
        </x:is>
      </x:c>
      <x:c r="H941" s="4" t="inlineStr">
        <x:is>
          <x:t xml:space="preserve">Unassigned; no new slot approved</x:t>
        </x:is>
      </x:c>
      <x:c r="I941" s="4" t="inlineStr">
        <x:is>
          <x:t xml:space="preserve">Booter-worn garment concept; fit, packing and canister clearance unresolved.</x:t>
        </x:is>
      </x:c>
      <x:c r="J941" s="4"/>
      <x:c r="K941" s="4"/>
      <x:c r="L941" s="4" t="inlineStr">
        <x:is>
          <x:t xml:space="preserve">Proposed garment craft or trade; availability and price unresolved.</x:t>
        </x:is>
      </x:c>
      <x:c r="M941" s="4" t="inlineStr">
        <x:is>
          <x:t xml:space="preserve">Candidate construction from qualified stock and compatible joining parts. No full-set recipe, quantities, yield or crafting time assigned.</x:t>
        </x:is>
      </x:c>
      <x:c r="N941" s="4" t="inlineStr">
        <x:is>
          <x:t xml:space="preserve">Not implemented</x:t>
        </x:is>
      </x:c>
      <x:c r="O941" s="4" t="inlineStr">
        <x:is>
          <x:t xml:space="preserve">Fit, comfort, flexibility, mass, wear and protective performance require design. No wood, ordinary cloth, conventional abundant hide/fur supply, free-water treatment, set bonus or new equipment slots.</x:t>
        </x:is>
      </x:c>
      <x:c r="P941" s="4"/>
      <x:c r="Q941" s="4"/>
      <x:c r="R941" s="4"/>
      <x:c r="S941" s="4"/>
      <x:c r="T941" s="4"/>
      <x:c r="U941" s="4" t="inlineStr">
        <x:is>
          <x:t xml:space="preserve">One lower-body garment; footwear remains separate. Appearance: Carefully joined fur-bearing hide patches with restrained trim. Usable fur yields are extremely low; no abundant fur supply assumed. Joining, sizing, service life and useful performance require design.</x:t>
        </x:is>
      </x:c>
      <x:c r="V941" s="4" t="inlineStr">
        <x:is>
          <x:t xml:space="preserve">fur clothing; fur clothing family; legs; separate garment</x:t>
        </x:is>
      </x:c>
      <x:c r="W941"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1" s="4" t="inlineStr">
        <x:is>
          <x:t xml:space="preserve">Wearable</x:t>
        </x:is>
      </x:c>
      <x:c r="Y941" s="4" t="inlineStr">
        <x:is>
          <x:t xml:space="preserve">Finished item</x:t>
        </x:is>
      </x:c>
      <x:c r="Z941" s="4" t="inlineStr">
        <x:is>
          <x:t xml:space="preserve">Manufactured / unresolved</x:t>
        </x:is>
      </x:c>
      <x:c r="AA941" s="4" t="inlineStr">
        <x:is>
          <x:t xml:space="preserve">Clothing</x:t>
        </x:is>
      </x:c>
      <x:c r="AB941" s="4" t="inlineStr">
        <x:is>
          <x:t xml:space="preserve">Fur</x:t>
        </x:is>
      </x:c>
      <x:c r="AC941" s="4" t="inlineStr">
        <x:is>
          <x:t xml:space="preserve">Assembly</x:t>
        </x:is>
      </x:c>
      <x:c r="AD941" s="4" t="inlineStr">
        <x:is>
          <x:t xml:space="preserve">Proposal</x:t>
        </x:is>
      </x:c>
      <x:c r="AE941" s="4" t="str">
        <x:f>LOWER(A941&amp;"; "&amp;B941&amp;"; "&amp;D941&amp;"; "&amp;E941&amp;"; "&amp;X941&amp;"; "&amp;Y941&amp;"; "&amp;Z941&amp;"; "&amp;AA941&amp;"; "&amp;AB941&amp;"; "&amp;AC941&amp;"; "&amp;AD941&amp;"; "&amp;V941&amp;"; "&amp;C941&amp;"; "&amp;AH941&amp;"; "&amp;AI941)</x:f>
        <x:v>proposal.clothing.fur.legs; fur trousers; clothing; fur clothing / legs; wearable; finished item; manufactured / unresolved; clothing; fur; assembly; proposal; fur clothing; fur clothing family; legs; separate garment; t2; t1; finished item</x:v>
      </x:c>
      <x:c r="AF941" s="4" t="inlineStr">
        <x:is>
          <x:t xml:space="preserve">Independently listed clothing piece. Family membership is an organizational grouping, not another counted inventory item or a set bonus.</x:t>
        </x:is>
      </x:c>
      <x:c r="AG941" s="4" t="inlineStr">
        <x:is>
          <x:t xml:space="preserve">Proposed T2 garment assembly using T1 inputs. Quantities, stock qualification and recipe remain unresolved.</x:t>
        </x:is>
      </x:c>
      <x:c r="AH941" s="4" t="inlineStr">
        <x:is>
          <x:t xml:space="preserve">T1</x:t>
        </x:is>
      </x:c>
      <x:c r="AI941" s="4" t="inlineStr">
        <x:is>
          <x:t xml:space="preserve">Finished item</x:t>
        </x:is>
      </x:c>
      <x:c r="AJ941" s="4">
        <x:f>COUNTIFS('Material routes'!$D$6:$D$2205,A941,'Material routes'!$C$6:$C$2205,"Output")</x:f>
        <x:v>0</x:v>
      </x:c>
      <x:c r="AK941" s="4">
        <x:f>SUM(COUNTIFS('Material routes'!$D$6:$D$2205,A941,'Material routes'!$C$6:$C$2205,"Ingredient candidate"),COUNTIFS('Material routes'!$D$6:$D$2205,A941,'Material routes'!$C$6:$C$2205,"Consumed input"),COUNTIFS('Material routes'!$D$6:$D$2205,A941,'Material routes'!$C$6:$C$2205,"Contained input"),COUNTIFS('Material routes'!$D$6:$D$2205,A941,'Material routes'!$C$6:$C$2205,"Transform input"))</x:f>
        <x:v>0</x:v>
      </x:c>
      <x:c r="AL941" s="4">
        <x:f>COUNTIFS('Material routes'!$D$6:$D$2205,A941,'Material routes'!$C$6:$C$2205,"Tool candidate")</x:f>
        <x:v>0</x:v>
      </x:c>
      <x:c r="AM941" s="4" t="str">
        <x:f>IF(AJ941&gt;0,"Route listed; review status/completeness",IF(C941="T0","Raw entry feed; no production route","No production route listed"))</x:f>
        <x:v>No production route listed</x:v>
      </x:c>
      <x:c r="AN941" s="4">
        <x:f>IF(C941="T0",0,IF(C941="T1",1,IF(C941="T2",2,IF(C941="T3",3,IF(C941="T4",4,IF(C941="Unassigned",98,99))))))</x:f>
        <x:v>2</x:v>
      </x:c>
    </x:row>
    <x:row r="942">
      <x:c r="A942" s="4" t="inlineStr">
        <x:is>
          <x:t xml:space="preserve">proposal.clothing.fur.boots</x:t>
        </x:is>
      </x:c>
      <x:c r="B942" s="4" t="inlineStr">
        <x:is>
          <x:t xml:space="preserve">Fur boots</x:t>
        </x:is>
      </x:c>
      <x:c r="C942" s="4" t="inlineStr">
        <x:is>
          <x:t xml:space="preserve">T2</x:t>
        </x:is>
      </x:c>
      <x:c r="D942" s="4" t="inlineStr">
        <x:is>
          <x:t xml:space="preserve">Clothing</x:t>
        </x:is>
      </x:c>
      <x:c r="E942" s="4" t="inlineStr">
        <x:is>
          <x:t xml:space="preserve">Fur clothing / boots</x:t>
        </x:is>
      </x:c>
      <x:c r="F942" s="4" t="inlineStr">
        <x:is>
          <x:t xml:space="preserve">New proposal</x:t>
        </x:is>
      </x:c>
      <x:c r="G942" s="4" t="inlineStr">
        <x:is>
          <x:t xml:space="preserve">Fur clothing family: one separately listed boots. One matched pair of footwear; no leggings or trousers included. Carefully joined fur-bearing hide patches with restrained trim. Usable fur yields are extremely low; no abundant fur supply assumed. Functions and performance remain proposals.</x:t>
        </x:is>
      </x:c>
      <x:c r="H942" s="4" t="inlineStr">
        <x:is>
          <x:t xml:space="preserve">Unassigned; no new slot approved</x:t>
        </x:is>
      </x:c>
      <x:c r="I942" s="4" t="inlineStr">
        <x:is>
          <x:t xml:space="preserve">Booter-worn garment concept; fit, packing and canister clearance unresolved.</x:t>
        </x:is>
      </x:c>
      <x:c r="J942" s="4"/>
      <x:c r="K942" s="4"/>
      <x:c r="L942" s="4" t="inlineStr">
        <x:is>
          <x:t xml:space="preserve">Proposed garment craft or trade; availability and price unresolved.</x:t>
        </x:is>
      </x:c>
      <x:c r="M942" s="4" t="inlineStr">
        <x:is>
          <x:t xml:space="preserve">Candidate construction from qualified stock and compatible joining parts. No full-set recipe, quantities, yield or crafting time assigned.</x:t>
        </x:is>
      </x:c>
      <x:c r="N942" s="4" t="inlineStr">
        <x:is>
          <x:t xml:space="preserve">Not implemented</x:t>
        </x:is>
      </x:c>
      <x:c r="O942" s="4" t="inlineStr">
        <x:is>
          <x:t xml:space="preserve">Fit, comfort, flexibility, mass, wear and protective performance require design. No wood, ordinary cloth, conventional abundant hide/fur supply, free-water treatment, set bonus or new equipment slots.</x:t>
        </x:is>
      </x:c>
      <x:c r="P942" s="4"/>
      <x:c r="Q942" s="4"/>
      <x:c r="R942" s="4"/>
      <x:c r="S942" s="4"/>
      <x:c r="T942" s="4"/>
      <x:c r="U942" s="4" t="inlineStr">
        <x:is>
          <x:t xml:space="preserve">One matched pair of footwear; no leggings or trousers included. Appearance: Carefully joined fur-bearing hide patches with restrained trim. Usable fur yields are extremely low; no abundant fur supply assumed. Joining, sizing, service life and useful performance require design.</x:t>
        </x:is>
      </x:c>
      <x:c r="V942" s="4" t="inlineStr">
        <x:is>
          <x:t xml:space="preserve">fur clothing; fur clothing family; boots; separate garment</x:t>
        </x:is>
      </x:c>
      <x:c r="W942"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2" s="4" t="inlineStr">
        <x:is>
          <x:t xml:space="preserve">Wearable</x:t>
        </x:is>
      </x:c>
      <x:c r="Y942" s="4" t="inlineStr">
        <x:is>
          <x:t xml:space="preserve">Finished item</x:t>
        </x:is>
      </x:c>
      <x:c r="Z942" s="4" t="inlineStr">
        <x:is>
          <x:t xml:space="preserve">Manufactured / unresolved</x:t>
        </x:is>
      </x:c>
      <x:c r="AA942" s="4" t="inlineStr">
        <x:is>
          <x:t xml:space="preserve">Clothing</x:t>
        </x:is>
      </x:c>
      <x:c r="AB942" s="4" t="inlineStr">
        <x:is>
          <x:t xml:space="preserve">Fur</x:t>
        </x:is>
      </x:c>
      <x:c r="AC942" s="4" t="inlineStr">
        <x:is>
          <x:t xml:space="preserve">Assembly</x:t>
        </x:is>
      </x:c>
      <x:c r="AD942" s="4" t="inlineStr">
        <x:is>
          <x:t xml:space="preserve">Proposal</x:t>
        </x:is>
      </x:c>
      <x:c r="AE942" s="4" t="str">
        <x:f>LOWER(A942&amp;"; "&amp;B942&amp;"; "&amp;D942&amp;"; "&amp;E942&amp;"; "&amp;X942&amp;"; "&amp;Y942&amp;"; "&amp;Z942&amp;"; "&amp;AA942&amp;"; "&amp;AB942&amp;"; "&amp;AC942&amp;"; "&amp;AD942&amp;"; "&amp;V942&amp;"; "&amp;C942&amp;"; "&amp;AH942&amp;"; "&amp;AI942)</x:f>
        <x:v>proposal.clothing.fur.boots; fur boots; clothing; fur clothing / boots; wearable; finished item; manufactured / unresolved; clothing; fur; assembly; proposal; fur clothing; fur clothing family; boots; separate garment; t2; t1; finished item</x:v>
      </x:c>
      <x:c r="AF942" s="4" t="inlineStr">
        <x:is>
          <x:t xml:space="preserve">Independently listed clothing piece. Family membership is an organizational grouping, not another counted inventory item or a set bonus.</x:t>
        </x:is>
      </x:c>
      <x:c r="AG942" s="4" t="inlineStr">
        <x:is>
          <x:t xml:space="preserve">Proposed T2 garment assembly using T1 inputs. Quantities, stock qualification and recipe remain unresolved.</x:t>
        </x:is>
      </x:c>
      <x:c r="AH942" s="4" t="inlineStr">
        <x:is>
          <x:t xml:space="preserve">T1</x:t>
        </x:is>
      </x:c>
      <x:c r="AI942" s="4" t="inlineStr">
        <x:is>
          <x:t xml:space="preserve">Finished item</x:t>
        </x:is>
      </x:c>
      <x:c r="AJ942" s="4">
        <x:f>COUNTIFS('Material routes'!$D$6:$D$2205,A942,'Material routes'!$C$6:$C$2205,"Output")</x:f>
        <x:v>0</x:v>
      </x:c>
      <x:c r="AK942" s="4">
        <x:f>SUM(COUNTIFS('Material routes'!$D$6:$D$2205,A942,'Material routes'!$C$6:$C$2205,"Ingredient candidate"),COUNTIFS('Material routes'!$D$6:$D$2205,A942,'Material routes'!$C$6:$C$2205,"Consumed input"),COUNTIFS('Material routes'!$D$6:$D$2205,A942,'Material routes'!$C$6:$C$2205,"Contained input"),COUNTIFS('Material routes'!$D$6:$D$2205,A942,'Material routes'!$C$6:$C$2205,"Transform input"))</x:f>
        <x:v>0</x:v>
      </x:c>
      <x:c r="AL942" s="4">
        <x:f>COUNTIFS('Material routes'!$D$6:$D$2205,A942,'Material routes'!$C$6:$C$2205,"Tool candidate")</x:f>
        <x:v>0</x:v>
      </x:c>
      <x:c r="AM942" s="4" t="str">
        <x:f>IF(AJ942&gt;0,"Route listed; review status/completeness",IF(C942="T0","Raw entry feed; no production route","No production route listed"))</x:f>
        <x:v>No production route listed</x:v>
      </x:c>
      <x:c r="AN942" s="4">
        <x:f>IF(C942="T0",0,IF(C942="T1",1,IF(C942="T2",2,IF(C942="T3",3,IF(C942="T4",4,IF(C942="Unassigned",98,99))))))</x:f>
        <x:v>2</x:v>
      </x:c>
    </x:row>
    <x:row r="943">
      <x:c r="A943" s="4" t="inlineStr">
        <x:is>
          <x:t xml:space="preserve">proposal.clothing.fur.gloves</x:t>
        </x:is>
      </x:c>
      <x:c r="B943" s="4" t="inlineStr">
        <x:is>
          <x:t xml:space="preserve">Fur gloves</x:t>
        </x:is>
      </x:c>
      <x:c r="C943" s="4" t="inlineStr">
        <x:is>
          <x:t xml:space="preserve">T2</x:t>
        </x:is>
      </x:c>
      <x:c r="D943" s="4" t="inlineStr">
        <x:is>
          <x:t xml:space="preserve">Clothing</x:t>
        </x:is>
      </x:c>
      <x:c r="E943" s="4" t="inlineStr">
        <x:is>
          <x:t xml:space="preserve">Fur clothing / gloves</x:t>
        </x:is>
      </x:c>
      <x:c r="F943" s="4" t="inlineStr">
        <x:is>
          <x:t xml:space="preserve">New proposal</x:t>
        </x:is>
      </x:c>
      <x:c r="G943" s="4" t="inlineStr">
        <x:is>
          <x:t xml:space="preserve">Fur clothing family: one separately listed gloves. One matched pair of hand coverings; sleeves and upper-body garment remain separate. Carefully joined fur-bearing hide patches with restrained trim. Usable fur yields are extremely low; no abundant fur supply assumed. Functions and performance remain proposals.</x:t>
        </x:is>
      </x:c>
      <x:c r="H943" s="4" t="inlineStr">
        <x:is>
          <x:t xml:space="preserve">Unassigned; no new slot approved</x:t>
        </x:is>
      </x:c>
      <x:c r="I943" s="4" t="inlineStr">
        <x:is>
          <x:t xml:space="preserve">Booter-worn garment concept; fit, packing and canister clearance unresolved.</x:t>
        </x:is>
      </x:c>
      <x:c r="J943" s="4"/>
      <x:c r="K943" s="4"/>
      <x:c r="L943" s="4" t="inlineStr">
        <x:is>
          <x:t xml:space="preserve">Proposed garment craft or trade; availability and price unresolved.</x:t>
        </x:is>
      </x:c>
      <x:c r="M943" s="4" t="inlineStr">
        <x:is>
          <x:t xml:space="preserve">Candidate construction from qualified stock and compatible joining parts. No full-set recipe, quantities, yield or crafting time assigned.</x:t>
        </x:is>
      </x:c>
      <x:c r="N943" s="4" t="inlineStr">
        <x:is>
          <x:t xml:space="preserve">Not implemented</x:t>
        </x:is>
      </x:c>
      <x:c r="O943" s="4" t="inlineStr">
        <x:is>
          <x:t xml:space="preserve">Fit, comfort, flexibility, mass, wear and protective performance require design. No wood, ordinary cloth, conventional abundant hide/fur supply, free-water treatment, set bonus or new equipment slots.</x:t>
        </x:is>
      </x:c>
      <x:c r="P943" s="4"/>
      <x:c r="Q943" s="4"/>
      <x:c r="R943" s="4"/>
      <x:c r="S943" s="4"/>
      <x:c r="T943" s="4"/>
      <x:c r="U943" s="4" t="inlineStr">
        <x:is>
          <x:t xml:space="preserve">One matched pair of hand coverings; sleeves and upper-body garment remain separate. Appearance: Carefully joined fur-bearing hide patches with restrained trim. Usable fur yields are extremely low; no abundant fur supply assumed. Joining, sizing, service life and useful performance require design.</x:t>
        </x:is>
      </x:c>
      <x:c r="V943" s="4" t="inlineStr">
        <x:is>
          <x:t xml:space="preserve">fur clothing; fur clothing family; gloves; separate garment</x:t>
        </x:is>
      </x:c>
      <x:c r="W943"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3" s="4" t="inlineStr">
        <x:is>
          <x:t xml:space="preserve">Wearable</x:t>
        </x:is>
      </x:c>
      <x:c r="Y943" s="4" t="inlineStr">
        <x:is>
          <x:t xml:space="preserve">Finished item</x:t>
        </x:is>
      </x:c>
      <x:c r="Z943" s="4" t="inlineStr">
        <x:is>
          <x:t xml:space="preserve">Manufactured / unresolved</x:t>
        </x:is>
      </x:c>
      <x:c r="AA943" s="4" t="inlineStr">
        <x:is>
          <x:t xml:space="preserve">Clothing</x:t>
        </x:is>
      </x:c>
      <x:c r="AB943" s="4" t="inlineStr">
        <x:is>
          <x:t xml:space="preserve">Fur</x:t>
        </x:is>
      </x:c>
      <x:c r="AC943" s="4" t="inlineStr">
        <x:is>
          <x:t xml:space="preserve">Assembly</x:t>
        </x:is>
      </x:c>
      <x:c r="AD943" s="4" t="inlineStr">
        <x:is>
          <x:t xml:space="preserve">Proposal</x:t>
        </x:is>
      </x:c>
      <x:c r="AE943" s="4" t="str">
        <x:f>LOWER(A943&amp;"; "&amp;B943&amp;"; "&amp;D943&amp;"; "&amp;E943&amp;"; "&amp;X943&amp;"; "&amp;Y943&amp;"; "&amp;Z943&amp;"; "&amp;AA943&amp;"; "&amp;AB943&amp;"; "&amp;AC943&amp;"; "&amp;AD943&amp;"; "&amp;V943&amp;"; "&amp;C943&amp;"; "&amp;AH943&amp;"; "&amp;AI943)</x:f>
        <x:v>proposal.clothing.fur.gloves; fur gloves; clothing; fur clothing / gloves; wearable; finished item; manufactured / unresolved; clothing; fur; assembly; proposal; fur clothing; fur clothing family; gloves; separate garment; t2; t1; finished item</x:v>
      </x:c>
      <x:c r="AF943" s="4" t="inlineStr">
        <x:is>
          <x:t xml:space="preserve">Independently listed clothing piece. Family membership is an organizational grouping, not another counted inventory item or a set bonus.</x:t>
        </x:is>
      </x:c>
      <x:c r="AG943" s="4" t="inlineStr">
        <x:is>
          <x:t xml:space="preserve">Proposed T2 garment assembly using T1 inputs. Quantities, stock qualification and recipe remain unresolved.</x:t>
        </x:is>
      </x:c>
      <x:c r="AH943" s="4" t="inlineStr">
        <x:is>
          <x:t xml:space="preserve">T1</x:t>
        </x:is>
      </x:c>
      <x:c r="AI943" s="4" t="inlineStr">
        <x:is>
          <x:t xml:space="preserve">Finished item</x:t>
        </x:is>
      </x:c>
      <x:c r="AJ943" s="4">
        <x:f>COUNTIFS('Material routes'!$D$6:$D$2205,A943,'Material routes'!$C$6:$C$2205,"Output")</x:f>
        <x:v>0</x:v>
      </x:c>
      <x:c r="AK943" s="4">
        <x:f>SUM(COUNTIFS('Material routes'!$D$6:$D$2205,A943,'Material routes'!$C$6:$C$2205,"Ingredient candidate"),COUNTIFS('Material routes'!$D$6:$D$2205,A943,'Material routes'!$C$6:$C$2205,"Consumed input"),COUNTIFS('Material routes'!$D$6:$D$2205,A943,'Material routes'!$C$6:$C$2205,"Contained input"),COUNTIFS('Material routes'!$D$6:$D$2205,A943,'Material routes'!$C$6:$C$2205,"Transform input"))</x:f>
        <x:v>0</x:v>
      </x:c>
      <x:c r="AL943" s="4">
        <x:f>COUNTIFS('Material routes'!$D$6:$D$2205,A943,'Material routes'!$C$6:$C$2205,"Tool candidate")</x:f>
        <x:v>0</x:v>
      </x:c>
      <x:c r="AM943" s="4" t="str">
        <x:f>IF(AJ943&gt;0,"Route listed; review status/completeness",IF(C943="T0","Raw entry feed; no production route","No production route listed"))</x:f>
        <x:v>No production route listed</x:v>
      </x:c>
      <x:c r="AN943" s="4">
        <x:f>IF(C943="T0",0,IF(C943="T1",1,IF(C943="T2",2,IF(C943="T3",3,IF(C943="T4",4,IF(C943="Unassigned",98,99))))))</x:f>
        <x:v>2</x:v>
      </x:c>
    </x:row>
    <x:row r="944">
      <x:c r="A944" s="4" t="inlineStr">
        <x:is>
          <x:t xml:space="preserve">proposal.clothing.fur.head</x:t>
        </x:is>
      </x:c>
      <x:c r="B944" s="4" t="inlineStr">
        <x:is>
          <x:t xml:space="preserve">Fur hood</x:t>
        </x:is>
      </x:c>
      <x:c r="C944" s="4" t="inlineStr">
        <x:is>
          <x:t xml:space="preserve">T2</x:t>
        </x:is>
      </x:c>
      <x:c r="D944" s="4" t="inlineStr">
        <x:is>
          <x:t xml:space="preserve">Clothing</x:t>
        </x:is>
      </x:c>
      <x:c r="E944" s="4" t="inlineStr">
        <x:is>
          <x:t xml:space="preserve">Fur clothing / head</x:t>
        </x:is>
      </x:c>
      <x:c r="F944" s="4" t="inlineStr">
        <x:is>
          <x:t xml:space="preserve">New proposal</x:t>
        </x:is>
      </x:c>
      <x:c r="G944" s="4" t="inlineStr">
        <x:is>
          <x:t xml:space="preserve">Fur clothing family: one separately listed hood. One head covering; face, sight, hearing and personal canister clearance require design. Carefully joined fur-bearing hide patches with restrained trim. Usable fur yields are extremely low; no abundant fur supply assumed. Functions and performance remain proposals.</x:t>
        </x:is>
      </x:c>
      <x:c r="H944" s="4" t="inlineStr">
        <x:is>
          <x:t xml:space="preserve">Unassigned; no new slot approved</x:t>
        </x:is>
      </x:c>
      <x:c r="I944" s="4" t="inlineStr">
        <x:is>
          <x:t xml:space="preserve">Booter-worn garment concept; fit, packing and canister clearance unresolved.</x:t>
        </x:is>
      </x:c>
      <x:c r="J944" s="4"/>
      <x:c r="K944" s="4"/>
      <x:c r="L944" s="4" t="inlineStr">
        <x:is>
          <x:t xml:space="preserve">Proposed garment craft or trade; availability and price unresolved.</x:t>
        </x:is>
      </x:c>
      <x:c r="M944" s="4" t="inlineStr">
        <x:is>
          <x:t xml:space="preserve">Candidate construction from qualified stock and compatible joining parts. No full-set recipe, quantities, yield or crafting time assigned.</x:t>
        </x:is>
      </x:c>
      <x:c r="N944" s="4" t="inlineStr">
        <x:is>
          <x:t xml:space="preserve">Not implemented</x:t>
        </x:is>
      </x:c>
      <x:c r="O944" s="4" t="inlineStr">
        <x:is>
          <x:t xml:space="preserve">Fit, comfort, flexibility, mass, wear and protective performance require design. No wood, ordinary cloth, conventional abundant hide/fur supply, free-water treatment, set bonus or new equipment slots.</x:t>
        </x:is>
      </x:c>
      <x:c r="P944" s="4"/>
      <x:c r="Q944" s="4"/>
      <x:c r="R944" s="4"/>
      <x:c r="S944" s="4"/>
      <x:c r="T944" s="4"/>
      <x:c r="U944" s="4" t="inlineStr">
        <x:is>
          <x:t xml:space="preserve">One head covering; face, sight, hearing and personal canister clearance require design. Appearance: Carefully joined fur-bearing hide patches with restrained trim. Usable fur yields are extremely low; no abundant fur supply assumed. Joining, sizing, service life and useful performance require design.</x:t>
        </x:is>
      </x:c>
      <x:c r="V944" s="4" t="inlineStr">
        <x:is>
          <x:t xml:space="preserve">fur clothing; fur clothing family; head; separate garment</x:t>
        </x:is>
      </x:c>
      <x:c r="W944"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4" s="4" t="inlineStr">
        <x:is>
          <x:t xml:space="preserve">Wearable</x:t>
        </x:is>
      </x:c>
      <x:c r="Y944" s="4" t="inlineStr">
        <x:is>
          <x:t xml:space="preserve">Finished item</x:t>
        </x:is>
      </x:c>
      <x:c r="Z944" s="4" t="inlineStr">
        <x:is>
          <x:t xml:space="preserve">Manufactured / unresolved</x:t>
        </x:is>
      </x:c>
      <x:c r="AA944" s="4" t="inlineStr">
        <x:is>
          <x:t xml:space="preserve">Clothing</x:t>
        </x:is>
      </x:c>
      <x:c r="AB944" s="4" t="inlineStr">
        <x:is>
          <x:t xml:space="preserve">Fur</x:t>
        </x:is>
      </x:c>
      <x:c r="AC944" s="4" t="inlineStr">
        <x:is>
          <x:t xml:space="preserve">Assembly</x:t>
        </x:is>
      </x:c>
      <x:c r="AD944" s="4" t="inlineStr">
        <x:is>
          <x:t xml:space="preserve">Proposal</x:t>
        </x:is>
      </x:c>
      <x:c r="AE944" s="4" t="str">
        <x:f>LOWER(A944&amp;"; "&amp;B944&amp;"; "&amp;D944&amp;"; "&amp;E944&amp;"; "&amp;X944&amp;"; "&amp;Y944&amp;"; "&amp;Z944&amp;"; "&amp;AA944&amp;"; "&amp;AB944&amp;"; "&amp;AC944&amp;"; "&amp;AD944&amp;"; "&amp;V944&amp;"; "&amp;C944&amp;"; "&amp;AH944&amp;"; "&amp;AI944)</x:f>
        <x:v>proposal.clothing.fur.head; fur hood; clothing; fur clothing / head; wearable; finished item; manufactured / unresolved; clothing; fur; assembly; proposal; fur clothing; fur clothing family; head; separate garment; t2; t1; finished item</x:v>
      </x:c>
      <x:c r="AF944" s="4" t="inlineStr">
        <x:is>
          <x:t xml:space="preserve">Independently listed clothing piece. Family membership is an organizational grouping, not another counted inventory item or a set bonus.</x:t>
        </x:is>
      </x:c>
      <x:c r="AG944" s="4" t="inlineStr">
        <x:is>
          <x:t xml:space="preserve">Proposed T2 garment assembly using T1 inputs. Quantities, stock qualification and recipe remain unresolved.</x:t>
        </x:is>
      </x:c>
      <x:c r="AH944" s="4" t="inlineStr">
        <x:is>
          <x:t xml:space="preserve">T1</x:t>
        </x:is>
      </x:c>
      <x:c r="AI944" s="4" t="inlineStr">
        <x:is>
          <x:t xml:space="preserve">Finished item</x:t>
        </x:is>
      </x:c>
      <x:c r="AJ944" s="4">
        <x:f>COUNTIFS('Material routes'!$D$6:$D$2205,A944,'Material routes'!$C$6:$C$2205,"Output")</x:f>
        <x:v>0</x:v>
      </x:c>
      <x:c r="AK944" s="4">
        <x:f>SUM(COUNTIFS('Material routes'!$D$6:$D$2205,A944,'Material routes'!$C$6:$C$2205,"Ingredient candidate"),COUNTIFS('Material routes'!$D$6:$D$2205,A944,'Material routes'!$C$6:$C$2205,"Consumed input"),COUNTIFS('Material routes'!$D$6:$D$2205,A944,'Material routes'!$C$6:$C$2205,"Contained input"),COUNTIFS('Material routes'!$D$6:$D$2205,A944,'Material routes'!$C$6:$C$2205,"Transform input"))</x:f>
        <x:v>0</x:v>
      </x:c>
      <x:c r="AL944" s="4">
        <x:f>COUNTIFS('Material routes'!$D$6:$D$2205,A944,'Material routes'!$C$6:$C$2205,"Tool candidate")</x:f>
        <x:v>0</x:v>
      </x:c>
      <x:c r="AM944" s="4" t="str">
        <x:f>IF(AJ944&gt;0,"Route listed; review status/completeness",IF(C944="T0","Raw entry feed; no production route","No production route listed"))</x:f>
        <x:v>No production route listed</x:v>
      </x:c>
      <x:c r="AN944" s="4">
        <x:f>IF(C944="T0",0,IF(C944="T1",1,IF(C944="T2",2,IF(C944="T3",3,IF(C944="T4",4,IF(C944="Unassigned",98,99))))))</x:f>
        <x:v>2</x:v>
      </x:c>
    </x:row>
    <x:row r="945">
      <x:c r="A945" s="4" t="inlineStr">
        <x:is>
          <x:t xml:space="preserve">proposal.clothing.fine_chainmail.top</x:t>
        </x:is>
      </x:c>
      <x:c r="B945" s="4" t="inlineStr">
        <x:is>
          <x:t xml:space="preserve">Delicate chainmail jacket</x:t>
        </x:is>
      </x:c>
      <x:c r="C945" s="4" t="inlineStr">
        <x:is>
          <x:t xml:space="preserve">T3</x:t>
        </x:is>
      </x:c>
      <x:c r="D945" s="4" t="inlineStr">
        <x:is>
          <x:t xml:space="preserve">Clothing</x:t>
        </x:is>
      </x:c>
      <x:c r="E945" s="4" t="inlineStr">
        <x:is>
          <x:t xml:space="preserve">Delicate chainmail clothing / top</x:t>
        </x:is>
      </x:c>
      <x:c r="F945" s="4" t="inlineStr">
        <x:is>
          <x:t xml:space="preserve">New proposal</x:t>
        </x:is>
      </x:c>
      <x:c r="G945" s="4" t="inlineStr">
        <x:is>
          <x:t xml:space="preserve">Delicate chainmail clothing family: one separately listed jacket. One upper-body garment; no trousers, gloves, footwear or headwear included. Fine small metal rings with a light drape and narrow rolled edges; no textile backing. Fine-ring work is a labor-intensive proposal. Functions and performance remain proposals.</x:t>
        </x:is>
      </x:c>
      <x:c r="H945" s="4" t="inlineStr">
        <x:is>
          <x:t xml:space="preserve">Unassigned; no new slot approved</x:t>
        </x:is>
      </x:c>
      <x:c r="I945" s="4" t="inlineStr">
        <x:is>
          <x:t xml:space="preserve">Booter-worn garment concept; fit, packing and canister clearance unresolved.</x:t>
        </x:is>
      </x:c>
      <x:c r="J945" s="4"/>
      <x:c r="K945" s="4"/>
      <x:c r="L945" s="4" t="inlineStr">
        <x:is>
          <x:t xml:space="preserve">Proposed garment craft or trade; availability and price unresolved.</x:t>
        </x:is>
      </x:c>
      <x:c r="M945" s="4" t="inlineStr">
        <x:is>
          <x:t xml:space="preserve">Candidate construction from qualified stock and compatible joining parts. No full-set recipe, quantities, yield or crafting time assigned.</x:t>
        </x:is>
      </x:c>
      <x:c r="N945" s="4" t="inlineStr">
        <x:is>
          <x:t xml:space="preserve">Not implemented</x:t>
        </x:is>
      </x:c>
      <x:c r="O945" s="4" t="inlineStr">
        <x:is>
          <x:t xml:space="preserve">Fit, comfort, flexibility, mass, wear and protective performance require design. No wood, ordinary cloth, conventional abundant hide/fur supply, free-water treatment, set bonus or new equipment slots.</x:t>
        </x:is>
      </x:c>
      <x:c r="P945" s="4"/>
      <x:c r="Q945" s="4"/>
      <x:c r="R945" s="4"/>
      <x:c r="S945" s="4"/>
      <x:c r="T945" s="4"/>
      <x:c r="U945" s="4" t="inlineStr">
        <x:is>
          <x:t xml:space="preserve">One upper-body garment; no trousers, gloves, footwear or headwear included. Appearance: Fine small metal rings with a light drape and narrow rolled edges; no textile backing. Fine-ring work is a labor-intensive proposal. Joining, sizing, service life and useful performance require design.</x:t>
        </x:is>
      </x:c>
      <x:c r="V945" s="4" t="inlineStr">
        <x:is>
          <x:t xml:space="preserve">fine chainmail clothing; delicate chainmail clothing family; top; separate garment</x:t>
        </x:is>
      </x:c>
      <x:c r="W94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5" s="4" t="inlineStr">
        <x:is>
          <x:t xml:space="preserve">Wearable</x:t>
        </x:is>
      </x:c>
      <x:c r="Y945" s="4" t="inlineStr">
        <x:is>
          <x:t xml:space="preserve">Finished item</x:t>
        </x:is>
      </x:c>
      <x:c r="Z945" s="4" t="inlineStr">
        <x:is>
          <x:t xml:space="preserve">Manufactured / unresolved</x:t>
        </x:is>
      </x:c>
      <x:c r="AA945" s="4" t="inlineStr">
        <x:is>
          <x:t xml:space="preserve">Clothing</x:t>
        </x:is>
      </x:c>
      <x:c r="AB945" s="4" t="inlineStr">
        <x:is>
          <x:t xml:space="preserve">Metal</x:t>
        </x:is>
      </x:c>
      <x:c r="AC945" s="4" t="inlineStr">
        <x:is>
          <x:t xml:space="preserve">Assembly</x:t>
        </x:is>
      </x:c>
      <x:c r="AD945" s="4" t="inlineStr">
        <x:is>
          <x:t xml:space="preserve">Proposal</x:t>
        </x:is>
      </x:c>
      <x:c r="AE945" s="4" t="str">
        <x:f>LOWER(A945&amp;"; "&amp;B945&amp;"; "&amp;D945&amp;"; "&amp;E945&amp;"; "&amp;X945&amp;"; "&amp;Y945&amp;"; "&amp;Z945&amp;"; "&amp;AA945&amp;"; "&amp;AB945&amp;"; "&amp;AC945&amp;"; "&amp;AD945&amp;"; "&amp;V945&amp;"; "&amp;C945&amp;"; "&amp;AH945&amp;"; "&amp;AI945)</x:f>
        <x:v>proposal.clothing.fine_chainmail.top; delicate chainmail jacket; clothing; delicate chainmail clothing / top; wearable; finished item; manufactured / unresolved; clothing; metal; assembly; proposal; fine chainmail clothing; delicate chainmail clothing family; top; separate garment; t3; t2; finished item</x:v>
      </x:c>
      <x:c r="AF945" s="4" t="inlineStr">
        <x:is>
          <x:t xml:space="preserve">Independently listed clothing piece. Family membership is an organizational grouping, not another counted inventory item or a set bonus.</x:t>
        </x:is>
      </x:c>
      <x:c r="AG945" s="4" t="inlineStr">
        <x:is>
          <x:t xml:space="preserve">Proposed T3 garment assembly using T2 inputs. Quantities, stock qualification and recipe remain unresolved.</x:t>
        </x:is>
      </x:c>
      <x:c r="AH945" s="4" t="inlineStr">
        <x:is>
          <x:t xml:space="preserve">T2</x:t>
        </x:is>
      </x:c>
      <x:c r="AI945" s="4" t="inlineStr">
        <x:is>
          <x:t xml:space="preserve">Finished item</x:t>
        </x:is>
      </x:c>
      <x:c r="AJ945" s="4">
        <x:f>COUNTIFS('Material routes'!$D$6:$D$2205,A945,'Material routes'!$C$6:$C$2205,"Output")</x:f>
        <x:v>0</x:v>
      </x:c>
      <x:c r="AK945" s="4">
        <x:f>SUM(COUNTIFS('Material routes'!$D$6:$D$2205,A945,'Material routes'!$C$6:$C$2205,"Ingredient candidate"),COUNTIFS('Material routes'!$D$6:$D$2205,A945,'Material routes'!$C$6:$C$2205,"Consumed input"),COUNTIFS('Material routes'!$D$6:$D$2205,A945,'Material routes'!$C$6:$C$2205,"Contained input"),COUNTIFS('Material routes'!$D$6:$D$2205,A945,'Material routes'!$C$6:$C$2205,"Transform input"))</x:f>
        <x:v>0</x:v>
      </x:c>
      <x:c r="AL945" s="4">
        <x:f>COUNTIFS('Material routes'!$D$6:$D$2205,A945,'Material routes'!$C$6:$C$2205,"Tool candidate")</x:f>
        <x:v>0</x:v>
      </x:c>
      <x:c r="AM945" s="4" t="str">
        <x:f>IF(AJ945&gt;0,"Route listed; review status/completeness",IF(C945="T0","Raw entry feed; no production route","No production route listed"))</x:f>
        <x:v>No production route listed</x:v>
      </x:c>
      <x:c r="AN945" s="4">
        <x:f>IF(C945="T0",0,IF(C945="T1",1,IF(C945="T2",2,IF(C945="T3",3,IF(C945="T4",4,IF(C945="Unassigned",98,99))))))</x:f>
        <x:v>3</x:v>
      </x:c>
    </x:row>
    <x:row r="946">
      <x:c r="A946" s="4" t="inlineStr">
        <x:is>
          <x:t xml:space="preserve">proposal.clothing.fine_chainmail.legs</x:t>
        </x:is>
      </x:c>
      <x:c r="B946" s="4" t="inlineStr">
        <x:is>
          <x:t xml:space="preserve">Delicate chainmail trousers</x:t>
        </x:is>
      </x:c>
      <x:c r="C946" s="4" t="inlineStr">
        <x:is>
          <x:t xml:space="preserve">T3</x:t>
        </x:is>
      </x:c>
      <x:c r="D946" s="4" t="inlineStr">
        <x:is>
          <x:t xml:space="preserve">Clothing</x:t>
        </x:is>
      </x:c>
      <x:c r="E946" s="4" t="inlineStr">
        <x:is>
          <x:t xml:space="preserve">Delicate chainmail clothing / legs</x:t>
        </x:is>
      </x:c>
      <x:c r="F946" s="4" t="inlineStr">
        <x:is>
          <x:t xml:space="preserve">New proposal</x:t>
        </x:is>
      </x:c>
      <x:c r="G946" s="4" t="inlineStr">
        <x:is>
          <x:t xml:space="preserve">Delicate chainmail clothing family: one separately listed trousers. One lower-body garment; footwear remains separate. Fine small metal rings with a light drape and narrow rolled edges; no textile backing. Fine-ring work is a labor-intensive proposal. Functions and performance remain proposals.</x:t>
        </x:is>
      </x:c>
      <x:c r="H946" s="4" t="inlineStr">
        <x:is>
          <x:t xml:space="preserve">Unassigned; no new slot approved</x:t>
        </x:is>
      </x:c>
      <x:c r="I946" s="4" t="inlineStr">
        <x:is>
          <x:t xml:space="preserve">Booter-worn garment concept; fit, packing and canister clearance unresolved.</x:t>
        </x:is>
      </x:c>
      <x:c r="J946" s="4"/>
      <x:c r="K946" s="4"/>
      <x:c r="L946" s="4" t="inlineStr">
        <x:is>
          <x:t xml:space="preserve">Proposed garment craft or trade; availability and price unresolved.</x:t>
        </x:is>
      </x:c>
      <x:c r="M946" s="4" t="inlineStr">
        <x:is>
          <x:t xml:space="preserve">Candidate construction from qualified stock and compatible joining parts. No full-set recipe, quantities, yield or crafting time assigned.</x:t>
        </x:is>
      </x:c>
      <x:c r="N946" s="4" t="inlineStr">
        <x:is>
          <x:t xml:space="preserve">Not implemented</x:t>
        </x:is>
      </x:c>
      <x:c r="O946" s="4" t="inlineStr">
        <x:is>
          <x:t xml:space="preserve">Fit, comfort, flexibility, mass, wear and protective performance require design. No wood, ordinary cloth, conventional abundant hide/fur supply, free-water treatment, set bonus or new equipment slots.</x:t>
        </x:is>
      </x:c>
      <x:c r="P946" s="4"/>
      <x:c r="Q946" s="4"/>
      <x:c r="R946" s="4"/>
      <x:c r="S946" s="4"/>
      <x:c r="T946" s="4"/>
      <x:c r="U946" s="4" t="inlineStr">
        <x:is>
          <x:t xml:space="preserve">One lower-body garment; footwear remains separate. Appearance: Fine small metal rings with a light drape and narrow rolled edges; no textile backing. Fine-ring work is a labor-intensive proposal. Joining, sizing, service life and useful performance require design.</x:t>
        </x:is>
      </x:c>
      <x:c r="V946" s="4" t="inlineStr">
        <x:is>
          <x:t xml:space="preserve">fine chainmail clothing; delicate chainmail clothing family; legs; separate garment</x:t>
        </x:is>
      </x:c>
      <x:c r="W94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6" s="4" t="inlineStr">
        <x:is>
          <x:t xml:space="preserve">Wearable</x:t>
        </x:is>
      </x:c>
      <x:c r="Y946" s="4" t="inlineStr">
        <x:is>
          <x:t xml:space="preserve">Finished item</x:t>
        </x:is>
      </x:c>
      <x:c r="Z946" s="4" t="inlineStr">
        <x:is>
          <x:t xml:space="preserve">Manufactured / unresolved</x:t>
        </x:is>
      </x:c>
      <x:c r="AA946" s="4" t="inlineStr">
        <x:is>
          <x:t xml:space="preserve">Clothing</x:t>
        </x:is>
      </x:c>
      <x:c r="AB946" s="4" t="inlineStr">
        <x:is>
          <x:t xml:space="preserve">Metal</x:t>
        </x:is>
      </x:c>
      <x:c r="AC946" s="4" t="inlineStr">
        <x:is>
          <x:t xml:space="preserve">Assembly</x:t>
        </x:is>
      </x:c>
      <x:c r="AD946" s="4" t="inlineStr">
        <x:is>
          <x:t xml:space="preserve">Proposal</x:t>
        </x:is>
      </x:c>
      <x:c r="AE946" s="4" t="str">
        <x:f>LOWER(A946&amp;"; "&amp;B946&amp;"; "&amp;D946&amp;"; "&amp;E946&amp;"; "&amp;X946&amp;"; "&amp;Y946&amp;"; "&amp;Z946&amp;"; "&amp;AA946&amp;"; "&amp;AB946&amp;"; "&amp;AC946&amp;"; "&amp;AD946&amp;"; "&amp;V946&amp;"; "&amp;C946&amp;"; "&amp;AH946&amp;"; "&amp;AI946)</x:f>
        <x:v>proposal.clothing.fine_chainmail.legs; delicate chainmail trousers; clothing; delicate chainmail clothing / legs; wearable; finished item; manufactured / unresolved; clothing; metal; assembly; proposal; fine chainmail clothing; delicate chainmail clothing family; legs; separate garment; t3; t2; finished item</x:v>
      </x:c>
      <x:c r="AF946" s="4" t="inlineStr">
        <x:is>
          <x:t xml:space="preserve">Independently listed clothing piece. Family membership is an organizational grouping, not another counted inventory item or a set bonus.</x:t>
        </x:is>
      </x:c>
      <x:c r="AG946" s="4" t="inlineStr">
        <x:is>
          <x:t xml:space="preserve">Proposed T3 garment assembly using T2 inputs. Quantities, stock qualification and recipe remain unresolved.</x:t>
        </x:is>
      </x:c>
      <x:c r="AH946" s="4" t="inlineStr">
        <x:is>
          <x:t xml:space="preserve">T2</x:t>
        </x:is>
      </x:c>
      <x:c r="AI946" s="4" t="inlineStr">
        <x:is>
          <x:t xml:space="preserve">Finished item</x:t>
        </x:is>
      </x:c>
      <x:c r="AJ946" s="4">
        <x:f>COUNTIFS('Material routes'!$D$6:$D$2205,A946,'Material routes'!$C$6:$C$2205,"Output")</x:f>
        <x:v>0</x:v>
      </x:c>
      <x:c r="AK946" s="4">
        <x:f>SUM(COUNTIFS('Material routes'!$D$6:$D$2205,A946,'Material routes'!$C$6:$C$2205,"Ingredient candidate"),COUNTIFS('Material routes'!$D$6:$D$2205,A946,'Material routes'!$C$6:$C$2205,"Consumed input"),COUNTIFS('Material routes'!$D$6:$D$2205,A946,'Material routes'!$C$6:$C$2205,"Contained input"),COUNTIFS('Material routes'!$D$6:$D$2205,A946,'Material routes'!$C$6:$C$2205,"Transform input"))</x:f>
        <x:v>0</x:v>
      </x:c>
      <x:c r="AL946" s="4">
        <x:f>COUNTIFS('Material routes'!$D$6:$D$2205,A946,'Material routes'!$C$6:$C$2205,"Tool candidate")</x:f>
        <x:v>0</x:v>
      </x:c>
      <x:c r="AM946" s="4" t="str">
        <x:f>IF(AJ946&gt;0,"Route listed; review status/completeness",IF(C946="T0","Raw entry feed; no production route","No production route listed"))</x:f>
        <x:v>No production route listed</x:v>
      </x:c>
      <x:c r="AN946" s="4">
        <x:f>IF(C946="T0",0,IF(C946="T1",1,IF(C946="T2",2,IF(C946="T3",3,IF(C946="T4",4,IF(C946="Unassigned",98,99))))))</x:f>
        <x:v>3</x:v>
      </x:c>
    </x:row>
    <x:row r="947">
      <x:c r="A947" s="4" t="inlineStr">
        <x:is>
          <x:t xml:space="preserve">proposal.clothing.fine_chainmail.boots</x:t>
        </x:is>
      </x:c>
      <x:c r="B947" s="4" t="inlineStr">
        <x:is>
          <x:t xml:space="preserve">Delicate chainmail boots</x:t>
        </x:is>
      </x:c>
      <x:c r="C947" s="4" t="inlineStr">
        <x:is>
          <x:t xml:space="preserve">T3</x:t>
        </x:is>
      </x:c>
      <x:c r="D947" s="4" t="inlineStr">
        <x:is>
          <x:t xml:space="preserve">Clothing</x:t>
        </x:is>
      </x:c>
      <x:c r="E947" s="4" t="inlineStr">
        <x:is>
          <x:t xml:space="preserve">Delicate chainmail clothing / boots</x:t>
        </x:is>
      </x:c>
      <x:c r="F947" s="4" t="inlineStr">
        <x:is>
          <x:t xml:space="preserve">New proposal</x:t>
        </x:is>
      </x:c>
      <x:c r="G947" s="4" t="inlineStr">
        <x:is>
          <x:t xml:space="preserve">Delicate chainmail clothing family: one separately listed boots. One matched pair of footwear; no leggings or trousers included. Fine small metal rings with a light drape and narrow rolled edges; no textile backing. Fine-ring work is a labor-intensive proposal. Functions and performance remain proposals.</x:t>
        </x:is>
      </x:c>
      <x:c r="H947" s="4" t="inlineStr">
        <x:is>
          <x:t xml:space="preserve">Unassigned; no new slot approved</x:t>
        </x:is>
      </x:c>
      <x:c r="I947" s="4" t="inlineStr">
        <x:is>
          <x:t xml:space="preserve">Booter-worn garment concept; fit, packing and canister clearance unresolved.</x:t>
        </x:is>
      </x:c>
      <x:c r="J947" s="4"/>
      <x:c r="K947" s="4"/>
      <x:c r="L947" s="4" t="inlineStr">
        <x:is>
          <x:t xml:space="preserve">Proposed garment craft or trade; availability and price unresolved.</x:t>
        </x:is>
      </x:c>
      <x:c r="M947" s="4" t="inlineStr">
        <x:is>
          <x:t xml:space="preserve">Candidate construction from qualified stock and compatible joining parts. No full-set recipe, quantities, yield or crafting time assigned.</x:t>
        </x:is>
      </x:c>
      <x:c r="N947" s="4" t="inlineStr">
        <x:is>
          <x:t xml:space="preserve">Not implemented</x:t>
        </x:is>
      </x:c>
      <x:c r="O947" s="4" t="inlineStr">
        <x:is>
          <x:t xml:space="preserve">Fit, comfort, flexibility, mass, wear and protective performance require design. No wood, ordinary cloth, conventional abundant hide/fur supply, free-water treatment, set bonus or new equipment slots.</x:t>
        </x:is>
      </x:c>
      <x:c r="P947" s="4"/>
      <x:c r="Q947" s="4"/>
      <x:c r="R947" s="4"/>
      <x:c r="S947" s="4"/>
      <x:c r="T947" s="4"/>
      <x:c r="U947" s="4" t="inlineStr">
        <x:is>
          <x:t xml:space="preserve">One matched pair of footwear; no leggings or trousers included. Appearance: Fine small metal rings with a light drape and narrow rolled edges; no textile backing. Fine-ring work is a labor-intensive proposal. Joining, sizing, service life and useful performance require design.</x:t>
        </x:is>
      </x:c>
      <x:c r="V947" s="4" t="inlineStr">
        <x:is>
          <x:t xml:space="preserve">fine chainmail clothing; delicate chainmail clothing family; boots; separate garment</x:t>
        </x:is>
      </x:c>
      <x:c r="W947"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7" s="4" t="inlineStr">
        <x:is>
          <x:t xml:space="preserve">Wearable</x:t>
        </x:is>
      </x:c>
      <x:c r="Y947" s="4" t="inlineStr">
        <x:is>
          <x:t xml:space="preserve">Finished item</x:t>
        </x:is>
      </x:c>
      <x:c r="Z947" s="4" t="inlineStr">
        <x:is>
          <x:t xml:space="preserve">Manufactured / unresolved</x:t>
        </x:is>
      </x:c>
      <x:c r="AA947" s="4" t="inlineStr">
        <x:is>
          <x:t xml:space="preserve">Clothing</x:t>
        </x:is>
      </x:c>
      <x:c r="AB947" s="4" t="inlineStr">
        <x:is>
          <x:t xml:space="preserve">Metal</x:t>
        </x:is>
      </x:c>
      <x:c r="AC947" s="4" t="inlineStr">
        <x:is>
          <x:t xml:space="preserve">Assembly</x:t>
        </x:is>
      </x:c>
      <x:c r="AD947" s="4" t="inlineStr">
        <x:is>
          <x:t xml:space="preserve">Proposal</x:t>
        </x:is>
      </x:c>
      <x:c r="AE947" s="4" t="str">
        <x:f>LOWER(A947&amp;"; "&amp;B947&amp;"; "&amp;D947&amp;"; "&amp;E947&amp;"; "&amp;X947&amp;"; "&amp;Y947&amp;"; "&amp;Z947&amp;"; "&amp;AA947&amp;"; "&amp;AB947&amp;"; "&amp;AC947&amp;"; "&amp;AD947&amp;"; "&amp;V947&amp;"; "&amp;C947&amp;"; "&amp;AH947&amp;"; "&amp;AI947)</x:f>
        <x:v>proposal.clothing.fine_chainmail.boots; delicate chainmail boots; clothing; delicate chainmail clothing / boots; wearable; finished item; manufactured / unresolved; clothing; metal; assembly; proposal; fine chainmail clothing; delicate chainmail clothing family; boots; separate garment; t3; t2; finished item</x:v>
      </x:c>
      <x:c r="AF947" s="4" t="inlineStr">
        <x:is>
          <x:t xml:space="preserve">Independently listed clothing piece. Family membership is an organizational grouping, not another counted inventory item or a set bonus.</x:t>
        </x:is>
      </x:c>
      <x:c r="AG947" s="4" t="inlineStr">
        <x:is>
          <x:t xml:space="preserve">Proposed T3 garment assembly using T2 inputs. Quantities, stock qualification and recipe remain unresolved.</x:t>
        </x:is>
      </x:c>
      <x:c r="AH947" s="4" t="inlineStr">
        <x:is>
          <x:t xml:space="preserve">T2</x:t>
        </x:is>
      </x:c>
      <x:c r="AI947" s="4" t="inlineStr">
        <x:is>
          <x:t xml:space="preserve">Finished item</x:t>
        </x:is>
      </x:c>
      <x:c r="AJ947" s="4">
        <x:f>COUNTIFS('Material routes'!$D$6:$D$2205,A947,'Material routes'!$C$6:$C$2205,"Output")</x:f>
        <x:v>0</x:v>
      </x:c>
      <x:c r="AK947" s="4">
        <x:f>SUM(COUNTIFS('Material routes'!$D$6:$D$2205,A947,'Material routes'!$C$6:$C$2205,"Ingredient candidate"),COUNTIFS('Material routes'!$D$6:$D$2205,A947,'Material routes'!$C$6:$C$2205,"Consumed input"),COUNTIFS('Material routes'!$D$6:$D$2205,A947,'Material routes'!$C$6:$C$2205,"Contained input"),COUNTIFS('Material routes'!$D$6:$D$2205,A947,'Material routes'!$C$6:$C$2205,"Transform input"))</x:f>
        <x:v>0</x:v>
      </x:c>
      <x:c r="AL947" s="4">
        <x:f>COUNTIFS('Material routes'!$D$6:$D$2205,A947,'Material routes'!$C$6:$C$2205,"Tool candidate")</x:f>
        <x:v>0</x:v>
      </x:c>
      <x:c r="AM947" s="4" t="str">
        <x:f>IF(AJ947&gt;0,"Route listed; review status/completeness",IF(C947="T0","Raw entry feed; no production route","No production route listed"))</x:f>
        <x:v>No production route listed</x:v>
      </x:c>
      <x:c r="AN947" s="4">
        <x:f>IF(C947="T0",0,IF(C947="T1",1,IF(C947="T2",2,IF(C947="T3",3,IF(C947="T4",4,IF(C947="Unassigned",98,99))))))</x:f>
        <x:v>3</x:v>
      </x:c>
    </x:row>
    <x:row r="948">
      <x:c r="A948" s="4" t="inlineStr">
        <x:is>
          <x:t xml:space="preserve">proposal.clothing.fine_chainmail.gloves</x:t>
        </x:is>
      </x:c>
      <x:c r="B948" s="4" t="inlineStr">
        <x:is>
          <x:t xml:space="preserve">Delicate chainmail gloves</x:t>
        </x:is>
      </x:c>
      <x:c r="C948" s="4" t="inlineStr">
        <x:is>
          <x:t xml:space="preserve">T3</x:t>
        </x:is>
      </x:c>
      <x:c r="D948" s="4" t="inlineStr">
        <x:is>
          <x:t xml:space="preserve">Clothing</x:t>
        </x:is>
      </x:c>
      <x:c r="E948" s="4" t="inlineStr">
        <x:is>
          <x:t xml:space="preserve">Delicate chainmail clothing / gloves</x:t>
        </x:is>
      </x:c>
      <x:c r="F948" s="4" t="inlineStr">
        <x:is>
          <x:t xml:space="preserve">New proposal</x:t>
        </x:is>
      </x:c>
      <x:c r="G948" s="4" t="inlineStr">
        <x:is>
          <x:t xml:space="preserve">Delicate chainmail clothing family: one separately listed gloves. One matched pair of hand coverings; sleeves and upper-body garment remain separate. Fine small metal rings with a light drape and narrow rolled edges; no textile backing. Fine-ring work is a labor-intensive proposal. Functions and performance remain proposals.</x:t>
        </x:is>
      </x:c>
      <x:c r="H948" s="4" t="inlineStr">
        <x:is>
          <x:t xml:space="preserve">Unassigned; no new slot approved</x:t>
        </x:is>
      </x:c>
      <x:c r="I948" s="4" t="inlineStr">
        <x:is>
          <x:t xml:space="preserve">Booter-worn garment concept; fit, packing and canister clearance unresolved.</x:t>
        </x:is>
      </x:c>
      <x:c r="J948" s="4"/>
      <x:c r="K948" s="4"/>
      <x:c r="L948" s="4" t="inlineStr">
        <x:is>
          <x:t xml:space="preserve">Proposed garment craft or trade; availability and price unresolved.</x:t>
        </x:is>
      </x:c>
      <x:c r="M948" s="4" t="inlineStr">
        <x:is>
          <x:t xml:space="preserve">Candidate construction from qualified stock and compatible joining parts. No full-set recipe, quantities, yield or crafting time assigned.</x:t>
        </x:is>
      </x:c>
      <x:c r="N948" s="4" t="inlineStr">
        <x:is>
          <x:t xml:space="preserve">Not implemented</x:t>
        </x:is>
      </x:c>
      <x:c r="O948" s="4" t="inlineStr">
        <x:is>
          <x:t xml:space="preserve">Fit, comfort, flexibility, mass, wear and protective performance require design. No wood, ordinary cloth, conventional abundant hide/fur supply, free-water treatment, set bonus or new equipment slots.</x:t>
        </x:is>
      </x:c>
      <x:c r="P948" s="4"/>
      <x:c r="Q948" s="4"/>
      <x:c r="R948" s="4"/>
      <x:c r="S948" s="4"/>
      <x:c r="T948" s="4"/>
      <x:c r="U948" s="4" t="inlineStr">
        <x:is>
          <x:t xml:space="preserve">One matched pair of hand coverings; sleeves and upper-body garment remain separate. Appearance: Fine small metal rings with a light drape and narrow rolled edges; no textile backing. Fine-ring work is a labor-intensive proposal. Joining, sizing, service life and useful performance require design.</x:t>
        </x:is>
      </x:c>
      <x:c r="V948" s="4" t="inlineStr">
        <x:is>
          <x:t xml:space="preserve">fine chainmail clothing; delicate chainmail clothing family; gloves; separate garment</x:t>
        </x:is>
      </x:c>
      <x:c r="W948"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8" s="4" t="inlineStr">
        <x:is>
          <x:t xml:space="preserve">Wearable</x:t>
        </x:is>
      </x:c>
      <x:c r="Y948" s="4" t="inlineStr">
        <x:is>
          <x:t xml:space="preserve">Finished item</x:t>
        </x:is>
      </x:c>
      <x:c r="Z948" s="4" t="inlineStr">
        <x:is>
          <x:t xml:space="preserve">Manufactured / unresolved</x:t>
        </x:is>
      </x:c>
      <x:c r="AA948" s="4" t="inlineStr">
        <x:is>
          <x:t xml:space="preserve">Clothing</x:t>
        </x:is>
      </x:c>
      <x:c r="AB948" s="4" t="inlineStr">
        <x:is>
          <x:t xml:space="preserve">Metal</x:t>
        </x:is>
      </x:c>
      <x:c r="AC948" s="4" t="inlineStr">
        <x:is>
          <x:t xml:space="preserve">Assembly</x:t>
        </x:is>
      </x:c>
      <x:c r="AD948" s="4" t="inlineStr">
        <x:is>
          <x:t xml:space="preserve">Proposal</x:t>
        </x:is>
      </x:c>
      <x:c r="AE948" s="4" t="str">
        <x:f>LOWER(A948&amp;"; "&amp;B948&amp;"; "&amp;D948&amp;"; "&amp;E948&amp;"; "&amp;X948&amp;"; "&amp;Y948&amp;"; "&amp;Z948&amp;"; "&amp;AA948&amp;"; "&amp;AB948&amp;"; "&amp;AC948&amp;"; "&amp;AD948&amp;"; "&amp;V948&amp;"; "&amp;C948&amp;"; "&amp;AH948&amp;"; "&amp;AI948)</x:f>
        <x:v>proposal.clothing.fine_chainmail.gloves; delicate chainmail gloves; clothing; delicate chainmail clothing / gloves; wearable; finished item; manufactured / unresolved; clothing; metal; assembly; proposal; fine chainmail clothing; delicate chainmail clothing family; gloves; separate garment; t3; t2; finished item</x:v>
      </x:c>
      <x:c r="AF948" s="4" t="inlineStr">
        <x:is>
          <x:t xml:space="preserve">Independently listed clothing piece. Family membership is an organizational grouping, not another counted inventory item or a set bonus.</x:t>
        </x:is>
      </x:c>
      <x:c r="AG948" s="4" t="inlineStr">
        <x:is>
          <x:t xml:space="preserve">Proposed T3 garment assembly using T2 inputs. Quantities, stock qualification and recipe remain unresolved.</x:t>
        </x:is>
      </x:c>
      <x:c r="AH948" s="4" t="inlineStr">
        <x:is>
          <x:t xml:space="preserve">T2</x:t>
        </x:is>
      </x:c>
      <x:c r="AI948" s="4" t="inlineStr">
        <x:is>
          <x:t xml:space="preserve">Finished item</x:t>
        </x:is>
      </x:c>
      <x:c r="AJ948" s="4">
        <x:f>COUNTIFS('Material routes'!$D$6:$D$2205,A948,'Material routes'!$C$6:$C$2205,"Output")</x:f>
        <x:v>0</x:v>
      </x:c>
      <x:c r="AK948" s="4">
        <x:f>SUM(COUNTIFS('Material routes'!$D$6:$D$2205,A948,'Material routes'!$C$6:$C$2205,"Ingredient candidate"),COUNTIFS('Material routes'!$D$6:$D$2205,A948,'Material routes'!$C$6:$C$2205,"Consumed input"),COUNTIFS('Material routes'!$D$6:$D$2205,A948,'Material routes'!$C$6:$C$2205,"Contained input"),COUNTIFS('Material routes'!$D$6:$D$2205,A948,'Material routes'!$C$6:$C$2205,"Transform input"))</x:f>
        <x:v>0</x:v>
      </x:c>
      <x:c r="AL948" s="4">
        <x:f>COUNTIFS('Material routes'!$D$6:$D$2205,A948,'Material routes'!$C$6:$C$2205,"Tool candidate")</x:f>
        <x:v>0</x:v>
      </x:c>
      <x:c r="AM948" s="4" t="str">
        <x:f>IF(AJ948&gt;0,"Route listed; review status/completeness",IF(C948="T0","Raw entry feed; no production route","No production route listed"))</x:f>
        <x:v>No production route listed</x:v>
      </x:c>
      <x:c r="AN948" s="4">
        <x:f>IF(C948="T0",0,IF(C948="T1",1,IF(C948="T2",2,IF(C948="T3",3,IF(C948="T4",4,IF(C948="Unassigned",98,99))))))</x:f>
        <x:v>3</x:v>
      </x:c>
    </x:row>
    <x:row r="949">
      <x:c r="A949" s="4" t="inlineStr">
        <x:is>
          <x:t xml:space="preserve">proposal.clothing.fine_chainmail.head</x:t>
        </x:is>
      </x:c>
      <x:c r="B949" s="4" t="inlineStr">
        <x:is>
          <x:t xml:space="preserve">Delicate chainmail coif</x:t>
        </x:is>
      </x:c>
      <x:c r="C949" s="4" t="inlineStr">
        <x:is>
          <x:t xml:space="preserve">T3</x:t>
        </x:is>
      </x:c>
      <x:c r="D949" s="4" t="inlineStr">
        <x:is>
          <x:t xml:space="preserve">Clothing</x:t>
        </x:is>
      </x:c>
      <x:c r="E949" s="4" t="inlineStr">
        <x:is>
          <x:t xml:space="preserve">Delicate chainmail clothing / head</x:t>
        </x:is>
      </x:c>
      <x:c r="F949" s="4" t="inlineStr">
        <x:is>
          <x:t xml:space="preserve">New proposal</x:t>
        </x:is>
      </x:c>
      <x:c r="G949" s="4" t="inlineStr">
        <x:is>
          <x:t xml:space="preserve">Delicate chainmail clothing family: one separately listed coif. One head covering; face, sight, hearing and personal canister clearance require design. Fine small metal rings with a light drape and narrow rolled edges; no textile backing. Fine-ring work is a labor-intensive proposal. Functions and performance remain proposals.</x:t>
        </x:is>
      </x:c>
      <x:c r="H949" s="4" t="inlineStr">
        <x:is>
          <x:t xml:space="preserve">Unassigned; no new slot approved</x:t>
        </x:is>
      </x:c>
      <x:c r="I949" s="4" t="inlineStr">
        <x:is>
          <x:t xml:space="preserve">Booter-worn garment concept; fit, packing and canister clearance unresolved.</x:t>
        </x:is>
      </x:c>
      <x:c r="J949" s="4"/>
      <x:c r="K949" s="4"/>
      <x:c r="L949" s="4" t="inlineStr">
        <x:is>
          <x:t xml:space="preserve">Proposed garment craft or trade; availability and price unresolved.</x:t>
        </x:is>
      </x:c>
      <x:c r="M949" s="4" t="inlineStr">
        <x:is>
          <x:t xml:space="preserve">Candidate construction from qualified stock and compatible joining parts. No full-set recipe, quantities, yield or crafting time assigned.</x:t>
        </x:is>
      </x:c>
      <x:c r="N949" s="4" t="inlineStr">
        <x:is>
          <x:t xml:space="preserve">Not implemented</x:t>
        </x:is>
      </x:c>
      <x:c r="O949" s="4" t="inlineStr">
        <x:is>
          <x:t xml:space="preserve">Fit, comfort, flexibility, mass, wear and protective performance require design. No wood, ordinary cloth, conventional abundant hide/fur supply, free-water treatment, set bonus or new equipment slots.</x:t>
        </x:is>
      </x:c>
      <x:c r="P949" s="4"/>
      <x:c r="Q949" s="4"/>
      <x:c r="R949" s="4"/>
      <x:c r="S949" s="4"/>
      <x:c r="T949" s="4"/>
      <x:c r="U949" s="4" t="inlineStr">
        <x:is>
          <x:t xml:space="preserve">One head covering; face, sight, hearing and personal canister clearance require design. Appearance: Fine small metal rings with a light drape and narrow rolled edges; no textile backing. Fine-ring work is a labor-intensive proposal. Joining, sizing, service life and useful performance require design.</x:t>
        </x:is>
      </x:c>
      <x:c r="V949" s="4" t="inlineStr">
        <x:is>
          <x:t xml:space="preserve">fine chainmail clothing; delicate chainmail clothing family; head; separate garment</x:t>
        </x:is>
      </x:c>
      <x:c r="W949"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9" s="4" t="inlineStr">
        <x:is>
          <x:t xml:space="preserve">Wearable</x:t>
        </x:is>
      </x:c>
      <x:c r="Y949" s="4" t="inlineStr">
        <x:is>
          <x:t xml:space="preserve">Finished item</x:t>
        </x:is>
      </x:c>
      <x:c r="Z949" s="4" t="inlineStr">
        <x:is>
          <x:t xml:space="preserve">Manufactured / unresolved</x:t>
        </x:is>
      </x:c>
      <x:c r="AA949" s="4" t="inlineStr">
        <x:is>
          <x:t xml:space="preserve">Clothing</x:t>
        </x:is>
      </x:c>
      <x:c r="AB949" s="4" t="inlineStr">
        <x:is>
          <x:t xml:space="preserve">Metal</x:t>
        </x:is>
      </x:c>
      <x:c r="AC949" s="4" t="inlineStr">
        <x:is>
          <x:t xml:space="preserve">Assembly</x:t>
        </x:is>
      </x:c>
      <x:c r="AD949" s="4" t="inlineStr">
        <x:is>
          <x:t xml:space="preserve">Proposal</x:t>
        </x:is>
      </x:c>
      <x:c r="AE949" s="4" t="str">
        <x:f>LOWER(A949&amp;"; "&amp;B949&amp;"; "&amp;D949&amp;"; "&amp;E949&amp;"; "&amp;X949&amp;"; "&amp;Y949&amp;"; "&amp;Z949&amp;"; "&amp;AA949&amp;"; "&amp;AB949&amp;"; "&amp;AC949&amp;"; "&amp;AD949&amp;"; "&amp;V949&amp;"; "&amp;C949&amp;"; "&amp;AH949&amp;"; "&amp;AI949)</x:f>
        <x:v>proposal.clothing.fine_chainmail.head; delicate chainmail coif; clothing; delicate chainmail clothing / head; wearable; finished item; manufactured / unresolved; clothing; metal; assembly; proposal; fine chainmail clothing; delicate chainmail clothing family; head; separate garment; t3; t2; finished item</x:v>
      </x:c>
      <x:c r="AF949" s="4" t="inlineStr">
        <x:is>
          <x:t xml:space="preserve">Independently listed clothing piece. Family membership is an organizational grouping, not another counted inventory item or a set bonus.</x:t>
        </x:is>
      </x:c>
      <x:c r="AG949" s="4" t="inlineStr">
        <x:is>
          <x:t xml:space="preserve">Proposed T3 garment assembly using T2 inputs. Quantities, stock qualification and recipe remain unresolved.</x:t>
        </x:is>
      </x:c>
      <x:c r="AH949" s="4" t="inlineStr">
        <x:is>
          <x:t xml:space="preserve">T2</x:t>
        </x:is>
      </x:c>
      <x:c r="AI949" s="4" t="inlineStr">
        <x:is>
          <x:t xml:space="preserve">Finished item</x:t>
        </x:is>
      </x:c>
      <x:c r="AJ949" s="4">
        <x:f>COUNTIFS('Material routes'!$D$6:$D$2205,A949,'Material routes'!$C$6:$C$2205,"Output")</x:f>
        <x:v>0</x:v>
      </x:c>
      <x:c r="AK949" s="4">
        <x:f>SUM(COUNTIFS('Material routes'!$D$6:$D$2205,A949,'Material routes'!$C$6:$C$2205,"Ingredient candidate"),COUNTIFS('Material routes'!$D$6:$D$2205,A949,'Material routes'!$C$6:$C$2205,"Consumed input"),COUNTIFS('Material routes'!$D$6:$D$2205,A949,'Material routes'!$C$6:$C$2205,"Contained input"),COUNTIFS('Material routes'!$D$6:$D$2205,A949,'Material routes'!$C$6:$C$2205,"Transform input"))</x:f>
        <x:v>0</x:v>
      </x:c>
      <x:c r="AL949" s="4">
        <x:f>COUNTIFS('Material routes'!$D$6:$D$2205,A949,'Material routes'!$C$6:$C$2205,"Tool candidate")</x:f>
        <x:v>0</x:v>
      </x:c>
      <x:c r="AM949" s="4" t="str">
        <x:f>IF(AJ949&gt;0,"Route listed; review status/completeness",IF(C949="T0","Raw entry feed; no production route","No production route listed"))</x:f>
        <x:v>No production route listed</x:v>
      </x:c>
      <x:c r="AN949" s="4">
        <x:f>IF(C949="T0",0,IF(C949="T1",1,IF(C949="T2",2,IF(C949="T3",3,IF(C949="T4",4,IF(C949="Unassigned",98,99))))))</x:f>
        <x:v>3</x:v>
      </x:c>
    </x:row>
    <x:row r="950">
      <x:c r="A950" s="4" t="inlineStr">
        <x:is>
          <x:t xml:space="preserve">proposal.clothing.insulated.legs</x:t>
        </x:is>
      </x:c>
      <x:c r="B950" s="4" t="inlineStr">
        <x:is>
          <x:t xml:space="preserve">Electrical insulating trousers</x:t>
        </x:is>
      </x:c>
      <x:c r="C950" s="4" t="inlineStr">
        <x:is>
          <x:t xml:space="preserve">T3</x:t>
        </x:is>
      </x:c>
      <x:c r="D950" s="4" t="inlineStr">
        <x:is>
          <x:t xml:space="preserve">Clothing</x:t>
        </x:is>
      </x:c>
      <x:c r="E950" s="4" t="inlineStr">
        <x:is>
          <x:t xml:space="preserve">Electrical insulating clothing / legs</x:t>
        </x:is>
      </x:c>
      <x:c r="F950" s="4" t="inlineStr">
        <x:is>
          <x:t xml:space="preserve">Author-directed concept</x:t>
        </x:is>
      </x:c>
      <x:c r="G950" s="4" t="inlineStr">
        <x:is>
          <x:t xml:space="preserve">Electrical insulating clothing family: one separately listed trousers. One lower-body garment; footwear remains separate. Overlapping qualified husk/hide-derived insulating layers, guarded joins and rigid shell spacers. Specific dielectric materials and service limits remain unresolved. Functions and performance remain proposals.</x:t>
        </x:is>
      </x:c>
      <x:c r="H950" s="4" t="inlineStr">
        <x:is>
          <x:t xml:space="preserve">Unassigned; no new slot approved</x:t>
        </x:is>
      </x:c>
      <x:c r="I950" s="4" t="inlineStr">
        <x:is>
          <x:t xml:space="preserve">Booter-worn garment concept; fit, packing and canister clearance unresolved.</x:t>
        </x:is>
      </x:c>
      <x:c r="J950" s="4"/>
      <x:c r="K950" s="4"/>
      <x:c r="L950" s="4" t="inlineStr">
        <x:is>
          <x:t xml:space="preserve">Proposed garment craft or trade; availability and price unresolved.</x:t>
        </x:is>
      </x:c>
      <x:c r="M950" s="4" t="inlineStr">
        <x:is>
          <x:t xml:space="preserve">Candidate construction from qualified stock and compatible joining parts. No full-set recipe, quantities, yield or crafting time assigned.</x:t>
        </x:is>
      </x:c>
      <x:c r="N950" s="4" t="inlineStr">
        <x:is>
          <x:t xml:space="preserve">Not implemented</x:t>
        </x:is>
      </x:c>
      <x:c r="O950" s="4" t="inlineStr">
        <x:is>
          <x:t xml:space="preserve">Electrical insulation is an intended use, not a qualified safety rating or immunity. Fit, isolation, joins, service limits, wear and performance remain unresolved. No ordinary cloth, wood, sealed breathing system, set bonus or new slots.</x:t>
        </x:is>
      </x:c>
      <x:c r="P950" s="4"/>
      <x:c r="Q950" s="4"/>
      <x:c r="R950" s="4"/>
      <x:c r="S950" s="4"/>
      <x:c r="T950" s="4"/>
      <x:c r="U950" s="4" t="inlineStr">
        <x:is>
          <x:t xml:space="preserve">One lower-body garment; footwear remains separate. Appearance: Overlapping qualified husk/hide-derived insulating layers, guarded joins and rigid shell spacers. Specific dielectric materials and service limits remain unresolved. Joining, sizing, service life and useful performance require design.</x:t>
        </x:is>
      </x:c>
      <x:c r="V950" s="4" t="inlineStr">
        <x:is>
          <x:t xml:space="preserve">insulated clothing; electrical insulating clothing family; legs; separate garment</x:t>
        </x:is>
      </x:c>
      <x:c r="W950"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0" s="4" t="inlineStr">
        <x:is>
          <x:t xml:space="preserve">Wearable</x:t>
        </x:is>
      </x:c>
      <x:c r="Y950" s="4" t="inlineStr">
        <x:is>
          <x:t xml:space="preserve">Finished item</x:t>
        </x:is>
      </x:c>
      <x:c r="Z950" s="4" t="inlineStr">
        <x:is>
          <x:t xml:space="preserve">Manufactured / unresolved</x:t>
        </x:is>
      </x:c>
      <x:c r="AA950" s="4" t="inlineStr">
        <x:is>
          <x:t xml:space="preserve">Electrical insulation</x:t>
        </x:is>
      </x:c>
      <x:c r="AB950" s="4" t="inlineStr">
        <x:is>
          <x:t xml:space="preserve">Mixed / unresolved</x:t>
        </x:is>
      </x:c>
      <x:c r="AC950" s="4" t="inlineStr">
        <x:is>
          <x:t xml:space="preserve">Assembly</x:t>
        </x:is>
      </x:c>
      <x:c r="AD950" s="4" t="inlineStr">
        <x:is>
          <x:t xml:space="preserve">Proposal</x:t>
        </x:is>
      </x:c>
      <x:c r="AE950" s="4" t="str">
        <x:f>LOWER(A950&amp;"; "&amp;B950&amp;"; "&amp;D950&amp;"; "&amp;E950&amp;"; "&amp;X950&amp;"; "&amp;Y950&amp;"; "&amp;Z950&amp;"; "&amp;AA950&amp;"; "&amp;AB950&amp;"; "&amp;AC950&amp;"; "&amp;AD950&amp;"; "&amp;V950&amp;"; "&amp;C950&amp;"; "&amp;AH950&amp;"; "&amp;AI950)</x:f>
        <x:v>proposal.clothing.insulated.legs; electrical insulating trousers; clothing; electrical insulating clothing / legs; wearable; finished item; manufactured / unresolved; electrical insulation; mixed / unresolved; assembly; proposal; insulated clothing; electrical insulating clothing family; legs; separate garment; t3; t2; finished item</x:v>
      </x:c>
      <x:c r="AF950" s="4" t="inlineStr">
        <x:is>
          <x:t xml:space="preserve">Independently listed clothing piece. Family membership is an organizational grouping, not another counted inventory item or a set bonus.</x:t>
        </x:is>
      </x:c>
      <x:c r="AG950" s="4" t="inlineStr">
        <x:is>
          <x:t xml:space="preserve">Proposed T3 garment assembly using T2 inputs. Quantities, stock qualification and recipe remain unresolved.</x:t>
        </x:is>
      </x:c>
      <x:c r="AH950" s="4" t="inlineStr">
        <x:is>
          <x:t xml:space="preserve">T2</x:t>
        </x:is>
      </x:c>
      <x:c r="AI950" s="4" t="inlineStr">
        <x:is>
          <x:t xml:space="preserve">Finished item</x:t>
        </x:is>
      </x:c>
      <x:c r="AJ950" s="4">
        <x:f>COUNTIFS('Material routes'!$D$6:$D$2205,A950,'Material routes'!$C$6:$C$2205,"Output")</x:f>
        <x:v>0</x:v>
      </x:c>
      <x:c r="AK950" s="4">
        <x:f>SUM(COUNTIFS('Material routes'!$D$6:$D$2205,A950,'Material routes'!$C$6:$C$2205,"Ingredient candidate"),COUNTIFS('Material routes'!$D$6:$D$2205,A950,'Material routes'!$C$6:$C$2205,"Consumed input"),COUNTIFS('Material routes'!$D$6:$D$2205,A950,'Material routes'!$C$6:$C$2205,"Contained input"),COUNTIFS('Material routes'!$D$6:$D$2205,A950,'Material routes'!$C$6:$C$2205,"Transform input"))</x:f>
        <x:v>0</x:v>
      </x:c>
      <x:c r="AL950" s="4">
        <x:f>COUNTIFS('Material routes'!$D$6:$D$2205,A950,'Material routes'!$C$6:$C$2205,"Tool candidate")</x:f>
        <x:v>0</x:v>
      </x:c>
      <x:c r="AM950" s="4" t="str">
        <x:f>IF(AJ950&gt;0,"Route listed; review status/completeness",IF(C950="T0","Raw entry feed; no production route","No production route listed"))</x:f>
        <x:v>No production route listed</x:v>
      </x:c>
      <x:c r="AN950" s="4">
        <x:f>IF(C950="T0",0,IF(C950="T1",1,IF(C950="T2",2,IF(C950="T3",3,IF(C950="T4",4,IF(C950="Unassigned",98,99))))))</x:f>
        <x:v>3</x:v>
      </x:c>
    </x:row>
    <x:row r="951">
      <x:c r="A951" s="4" t="inlineStr">
        <x:is>
          <x:t xml:space="preserve">proposal.clothing.insulated.head</x:t>
        </x:is>
      </x:c>
      <x:c r="B951" s="4" t="inlineStr">
        <x:is>
          <x:t xml:space="preserve">Electrical insulating hood</x:t>
        </x:is>
      </x:c>
      <x:c r="C951" s="4" t="inlineStr">
        <x:is>
          <x:t xml:space="preserve">T3</x:t>
        </x:is>
      </x:c>
      <x:c r="D951" s="4" t="inlineStr">
        <x:is>
          <x:t xml:space="preserve">Clothing</x:t>
        </x:is>
      </x:c>
      <x:c r="E951" s="4" t="inlineStr">
        <x:is>
          <x:t xml:space="preserve">Electrical insulating clothing / head</x:t>
        </x:is>
      </x:c>
      <x:c r="F951" s="4" t="inlineStr">
        <x:is>
          <x:t xml:space="preserve">Author-directed concept</x:t>
        </x:is>
      </x:c>
      <x:c r="G951" s="4" t="inlineStr">
        <x:is>
          <x:t xml:space="preserve">Electrical insulating clothing family: one separately listed hood. One head covering; face, sight, hearing and personal canister clearance require design. Overlapping qualified husk/hide-derived insulating layers, guarded joins and rigid shell spacers. Specific dielectric materials and service limits remain unresolved. Functions and performance remain proposals.</x:t>
        </x:is>
      </x:c>
      <x:c r="H951" s="4" t="inlineStr">
        <x:is>
          <x:t xml:space="preserve">Unassigned; no new slot approved</x:t>
        </x:is>
      </x:c>
      <x:c r="I951" s="4" t="inlineStr">
        <x:is>
          <x:t xml:space="preserve">Booter-worn garment concept; fit, packing and canister clearance unresolved.</x:t>
        </x:is>
      </x:c>
      <x:c r="J951" s="4"/>
      <x:c r="K951" s="4"/>
      <x:c r="L951" s="4" t="inlineStr">
        <x:is>
          <x:t xml:space="preserve">Proposed garment craft or trade; availability and price unresolved.</x:t>
        </x:is>
      </x:c>
      <x:c r="M951" s="4" t="inlineStr">
        <x:is>
          <x:t xml:space="preserve">Candidate construction from qualified stock and compatible joining parts. No full-set recipe, quantities, yield or crafting time assigned.</x:t>
        </x:is>
      </x:c>
      <x:c r="N951" s="4" t="inlineStr">
        <x:is>
          <x:t xml:space="preserve">Not implemented</x:t>
        </x:is>
      </x:c>
      <x:c r="O951" s="4" t="inlineStr">
        <x:is>
          <x:t xml:space="preserve">Electrical insulation is an intended use, not a qualified safety rating or immunity. Fit, isolation, joins, service limits, wear and performance remain unresolved. No ordinary cloth, wood, sealed breathing system, set bonus or new slots.</x:t>
        </x:is>
      </x:c>
      <x:c r="P951" s="4"/>
      <x:c r="Q951" s="4"/>
      <x:c r="R951" s="4"/>
      <x:c r="S951" s="4"/>
      <x:c r="T951" s="4"/>
      <x:c r="U951" s="4" t="inlineStr">
        <x:is>
          <x:t xml:space="preserve">One head covering; face, sight, hearing and personal canister clearance require design. Appearance: Overlapping qualified husk/hide-derived insulating layers, guarded joins and rigid shell spacers. Specific dielectric materials and service limits remain unresolved. Joining, sizing, service life and useful performance require design.</x:t>
        </x:is>
      </x:c>
      <x:c r="V951" s="4" t="inlineStr">
        <x:is>
          <x:t xml:space="preserve">insulated clothing; electrical insulating clothing family; head; separate garment</x:t>
        </x:is>
      </x:c>
      <x:c r="W951"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1" s="4" t="inlineStr">
        <x:is>
          <x:t xml:space="preserve">Wearable</x:t>
        </x:is>
      </x:c>
      <x:c r="Y951" s="4" t="inlineStr">
        <x:is>
          <x:t xml:space="preserve">Finished item</x:t>
        </x:is>
      </x:c>
      <x:c r="Z951" s="4" t="inlineStr">
        <x:is>
          <x:t xml:space="preserve">Manufactured / unresolved</x:t>
        </x:is>
      </x:c>
      <x:c r="AA951" s="4" t="inlineStr">
        <x:is>
          <x:t xml:space="preserve">Electrical insulation</x:t>
        </x:is>
      </x:c>
      <x:c r="AB951" s="4" t="inlineStr">
        <x:is>
          <x:t xml:space="preserve">Mixed / unresolved</x:t>
        </x:is>
      </x:c>
      <x:c r="AC951" s="4" t="inlineStr">
        <x:is>
          <x:t xml:space="preserve">Assembly</x:t>
        </x:is>
      </x:c>
      <x:c r="AD951" s="4" t="inlineStr">
        <x:is>
          <x:t xml:space="preserve">Proposal</x:t>
        </x:is>
      </x:c>
      <x:c r="AE951" s="4" t="str">
        <x:f>LOWER(A951&amp;"; "&amp;B951&amp;"; "&amp;D951&amp;"; "&amp;E951&amp;"; "&amp;X951&amp;"; "&amp;Y951&amp;"; "&amp;Z951&amp;"; "&amp;AA951&amp;"; "&amp;AB951&amp;"; "&amp;AC951&amp;"; "&amp;AD951&amp;"; "&amp;V951&amp;"; "&amp;C951&amp;"; "&amp;AH951&amp;"; "&amp;AI951)</x:f>
        <x:v>proposal.clothing.insulated.head; electrical insulating hood; clothing; electrical insulating clothing / head; wearable; finished item; manufactured / unresolved; electrical insulation; mixed / unresolved; assembly; proposal; insulated clothing; electrical insulating clothing family; head; separate garment; t3; t2; finished item</x:v>
      </x:c>
      <x:c r="AF951" s="4" t="inlineStr">
        <x:is>
          <x:t xml:space="preserve">Independently listed clothing piece. Family membership is an organizational grouping, not another counted inventory item or a set bonus.</x:t>
        </x:is>
      </x:c>
      <x:c r="AG951" s="4" t="inlineStr">
        <x:is>
          <x:t xml:space="preserve">Proposed T3 garment assembly using T2 inputs. Quantities, stock qualification and recipe remain unresolved.</x:t>
        </x:is>
      </x:c>
      <x:c r="AH951" s="4" t="inlineStr">
        <x:is>
          <x:t xml:space="preserve">T2</x:t>
        </x:is>
      </x:c>
      <x:c r="AI951" s="4" t="inlineStr">
        <x:is>
          <x:t xml:space="preserve">Finished item</x:t>
        </x:is>
      </x:c>
      <x:c r="AJ951" s="4">
        <x:f>COUNTIFS('Material routes'!$D$6:$D$2205,A951,'Material routes'!$C$6:$C$2205,"Output")</x:f>
        <x:v>0</x:v>
      </x:c>
      <x:c r="AK951" s="4">
        <x:f>SUM(COUNTIFS('Material routes'!$D$6:$D$2205,A951,'Material routes'!$C$6:$C$2205,"Ingredient candidate"),COUNTIFS('Material routes'!$D$6:$D$2205,A951,'Material routes'!$C$6:$C$2205,"Consumed input"),COUNTIFS('Material routes'!$D$6:$D$2205,A951,'Material routes'!$C$6:$C$2205,"Contained input"),COUNTIFS('Material routes'!$D$6:$D$2205,A951,'Material routes'!$C$6:$C$2205,"Transform input"))</x:f>
        <x:v>0</x:v>
      </x:c>
      <x:c r="AL951" s="4">
        <x:f>COUNTIFS('Material routes'!$D$6:$D$2205,A951,'Material routes'!$C$6:$C$2205,"Tool candidate")</x:f>
        <x:v>0</x:v>
      </x:c>
      <x:c r="AM951" s="4" t="str">
        <x:f>IF(AJ951&gt;0,"Route listed; review status/completeness",IF(C951="T0","Raw entry feed; no production route","No production route listed"))</x:f>
        <x:v>No production route listed</x:v>
      </x:c>
      <x:c r="AN951" s="4">
        <x:f>IF(C951="T0",0,IF(C951="T1",1,IF(C951="T2",2,IF(C951="T3",3,IF(C951="T4",4,IF(C951="Unassigned",98,99))))))</x:f>
        <x:v>3</x:v>
      </x:c>
    </x:row>
    <x:row r="952">
      <x:c r="A952" s="4" t="inlineStr">
        <x:is>
          <x:t xml:space="preserve">proposal.clothing.chitin.top</x:t>
        </x:is>
      </x:c>
      <x:c r="B952" s="4" t="inlineStr">
        <x:is>
          <x:t xml:space="preserve">Chitin jacket</x:t>
        </x:is>
      </x:c>
      <x:c r="C952" s="4" t="inlineStr">
        <x:is>
          <x:t xml:space="preserve">T2</x:t>
        </x:is>
      </x:c>
      <x:c r="D952" s="4" t="inlineStr">
        <x:is>
          <x:t xml:space="preserve">Clothing</x:t>
        </x:is>
      </x:c>
      <x:c r="E952" s="4" t="inlineStr">
        <x:is>
          <x:t xml:space="preserve">Chitin clothing / top</x:t>
        </x:is>
      </x:c>
      <x:c r="F952" s="4" t="inlineStr">
        <x:is>
          <x:t xml:space="preserve">New proposal</x:t>
        </x:is>
      </x:c>
      <x:c r="G952" s="4" t="inlineStr">
        <x:is>
          <x:t xml:space="preserve">Chitin clothing family: one separately listed jacket. One upper-body garment; no trousers, gloves, footwear or headwear included. Thin overlapping chitin scales, smooth turned edges and small metal joining points. A flexible clothing silhouette rather than heavy armor plating. Functions and performance remain proposals.</x:t>
        </x:is>
      </x:c>
      <x:c r="H952" s="4" t="inlineStr">
        <x:is>
          <x:t xml:space="preserve">Unassigned; no new slot approved</x:t>
        </x:is>
      </x:c>
      <x:c r="I952" s="4" t="inlineStr">
        <x:is>
          <x:t xml:space="preserve">Booter-worn garment concept; fit, packing and canister clearance unresolved.</x:t>
        </x:is>
      </x:c>
      <x:c r="J952" s="4"/>
      <x:c r="K952" s="4"/>
      <x:c r="L952" s="4" t="inlineStr">
        <x:is>
          <x:t xml:space="preserve">Proposed garment craft or trade; availability and price unresolved.</x:t>
        </x:is>
      </x:c>
      <x:c r="M952" s="4" t="inlineStr">
        <x:is>
          <x:t xml:space="preserve">Candidate construction from qualified stock and compatible joining parts. No full-set recipe, quantities, yield or crafting time assigned.</x:t>
        </x:is>
      </x:c>
      <x:c r="N952" s="4" t="inlineStr">
        <x:is>
          <x:t xml:space="preserve">Not implemented</x:t>
        </x:is>
      </x:c>
      <x:c r="O952" s="4" t="inlineStr">
        <x:is>
          <x:t xml:space="preserve">Fit, comfort, flexibility, mass, wear and protective performance require design. No wood, ordinary cloth, conventional abundant hide/fur supply, free-water treatment, set bonus or new equipment slots.</x:t>
        </x:is>
      </x:c>
      <x:c r="P952" s="4"/>
      <x:c r="Q952" s="4"/>
      <x:c r="R952" s="4"/>
      <x:c r="S952" s="4"/>
      <x:c r="T952" s="4"/>
      <x:c r="U952" s="4" t="inlineStr">
        <x:is>
          <x:t xml:space="preserve">One upper-body garment; no trousers, gloves, footwear or headwear included. Appearance: Thin overlapping chitin scales, smooth turned edges and small metal joining points. A flexible clothing silhouette rather than heavy armor plating. Joining, sizing, service life and useful performance require design.</x:t>
        </x:is>
      </x:c>
      <x:c r="V952" s="4" t="inlineStr">
        <x:is>
          <x:t xml:space="preserve">chitin clothing; chitin clothing family; top; separate garment</x:t>
        </x:is>
      </x:c>
      <x:c r="W952"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2" s="4" t="inlineStr">
        <x:is>
          <x:t xml:space="preserve">Wearable</x:t>
        </x:is>
      </x:c>
      <x:c r="Y952" s="4" t="inlineStr">
        <x:is>
          <x:t xml:space="preserve">Finished item</x:t>
        </x:is>
      </x:c>
      <x:c r="Z952" s="4" t="inlineStr">
        <x:is>
          <x:t xml:space="preserve">Manufactured / unresolved</x:t>
        </x:is>
      </x:c>
      <x:c r="AA952" s="4" t="inlineStr">
        <x:is>
          <x:t xml:space="preserve">Clothing</x:t>
        </x:is>
      </x:c>
      <x:c r="AB952" s="4" t="inlineStr">
        <x:is>
          <x:t xml:space="preserve">Shell / chitin</x:t>
        </x:is>
      </x:c>
      <x:c r="AC952" s="4" t="inlineStr">
        <x:is>
          <x:t xml:space="preserve">Assembly</x:t>
        </x:is>
      </x:c>
      <x:c r="AD952" s="4" t="inlineStr">
        <x:is>
          <x:t xml:space="preserve">Proposal</x:t>
        </x:is>
      </x:c>
      <x:c r="AE952" s="4" t="str">
        <x:f>LOWER(A952&amp;"; "&amp;B952&amp;"; "&amp;D952&amp;"; "&amp;E952&amp;"; "&amp;X952&amp;"; "&amp;Y952&amp;"; "&amp;Z952&amp;"; "&amp;AA952&amp;"; "&amp;AB952&amp;"; "&amp;AC952&amp;"; "&amp;AD952&amp;"; "&amp;V952&amp;"; "&amp;C952&amp;"; "&amp;AH952&amp;"; "&amp;AI952)</x:f>
        <x:v>proposal.clothing.chitin.top; chitin jacket; clothing; chitin clothing / top; wearable; finished item; manufactured / unresolved; clothing; shell / chitin; assembly; proposal; chitin clothing; chitin clothing family; top; separate garment; t2; t1; finished item</x:v>
      </x:c>
      <x:c r="AF952" s="4" t="inlineStr">
        <x:is>
          <x:t xml:space="preserve">Independently listed clothing piece. Family membership is an organizational grouping, not another counted inventory item or a set bonus.</x:t>
        </x:is>
      </x:c>
      <x:c r="AG952" s="4" t="inlineStr">
        <x:is>
          <x:t xml:space="preserve">Proposed T2 garment assembly using T1 inputs. Quantities, stock qualification and recipe remain unresolved.</x:t>
        </x:is>
      </x:c>
      <x:c r="AH952" s="4" t="inlineStr">
        <x:is>
          <x:t xml:space="preserve">T1</x:t>
        </x:is>
      </x:c>
      <x:c r="AI952" s="4" t="inlineStr">
        <x:is>
          <x:t xml:space="preserve">Finished item</x:t>
        </x:is>
      </x:c>
      <x:c r="AJ952" s="4">
        <x:f>COUNTIFS('Material routes'!$D$6:$D$2205,A952,'Material routes'!$C$6:$C$2205,"Output")</x:f>
        <x:v>0</x:v>
      </x:c>
      <x:c r="AK952" s="4">
        <x:f>SUM(COUNTIFS('Material routes'!$D$6:$D$2205,A952,'Material routes'!$C$6:$C$2205,"Ingredient candidate"),COUNTIFS('Material routes'!$D$6:$D$2205,A952,'Material routes'!$C$6:$C$2205,"Consumed input"),COUNTIFS('Material routes'!$D$6:$D$2205,A952,'Material routes'!$C$6:$C$2205,"Contained input"),COUNTIFS('Material routes'!$D$6:$D$2205,A952,'Material routes'!$C$6:$C$2205,"Transform input"))</x:f>
        <x:v>0</x:v>
      </x:c>
      <x:c r="AL952" s="4">
        <x:f>COUNTIFS('Material routes'!$D$6:$D$2205,A952,'Material routes'!$C$6:$C$2205,"Tool candidate")</x:f>
        <x:v>0</x:v>
      </x:c>
      <x:c r="AM952" s="4" t="str">
        <x:f>IF(AJ952&gt;0,"Route listed; review status/completeness",IF(C952="T0","Raw entry feed; no production route","No production route listed"))</x:f>
        <x:v>No production route listed</x:v>
      </x:c>
      <x:c r="AN952" s="4">
        <x:f>IF(C952="T0",0,IF(C952="T1",1,IF(C952="T2",2,IF(C952="T3",3,IF(C952="T4",4,IF(C952="Unassigned",98,99))))))</x:f>
        <x:v>2</x:v>
      </x:c>
    </x:row>
    <x:row r="953">
      <x:c r="A953" s="4" t="inlineStr">
        <x:is>
          <x:t xml:space="preserve">proposal.clothing.chitin.legs</x:t>
        </x:is>
      </x:c>
      <x:c r="B953" s="4" t="inlineStr">
        <x:is>
          <x:t xml:space="preserve">Chitin trousers</x:t>
        </x:is>
      </x:c>
      <x:c r="C953" s="4" t="inlineStr">
        <x:is>
          <x:t xml:space="preserve">T2</x:t>
        </x:is>
      </x:c>
      <x:c r="D953" s="4" t="inlineStr">
        <x:is>
          <x:t xml:space="preserve">Clothing</x:t>
        </x:is>
      </x:c>
      <x:c r="E953" s="4" t="inlineStr">
        <x:is>
          <x:t xml:space="preserve">Chitin clothing / legs</x:t>
        </x:is>
      </x:c>
      <x:c r="F953" s="4" t="inlineStr">
        <x:is>
          <x:t xml:space="preserve">New proposal</x:t>
        </x:is>
      </x:c>
      <x:c r="G953" s="4" t="inlineStr">
        <x:is>
          <x:t xml:space="preserve">Chitin clothing family: one separately listed trousers. One lower-body garment; footwear remains separate. Thin overlapping chitin scales, smooth turned edges and small metal joining points. A flexible clothing silhouette rather than heavy armor plating. Functions and performance remain proposals.</x:t>
        </x:is>
      </x:c>
      <x:c r="H953" s="4" t="inlineStr">
        <x:is>
          <x:t xml:space="preserve">Unassigned; no new slot approved</x:t>
        </x:is>
      </x:c>
      <x:c r="I953" s="4" t="inlineStr">
        <x:is>
          <x:t xml:space="preserve">Booter-worn garment concept; fit, packing and canister clearance unresolved.</x:t>
        </x:is>
      </x:c>
      <x:c r="J953" s="4"/>
      <x:c r="K953" s="4"/>
      <x:c r="L953" s="4" t="inlineStr">
        <x:is>
          <x:t xml:space="preserve">Proposed garment craft or trade; availability and price unresolved.</x:t>
        </x:is>
      </x:c>
      <x:c r="M953" s="4" t="inlineStr">
        <x:is>
          <x:t xml:space="preserve">Candidate construction from qualified stock and compatible joining parts. No full-set recipe, quantities, yield or crafting time assigned.</x:t>
        </x:is>
      </x:c>
      <x:c r="N953" s="4" t="inlineStr">
        <x:is>
          <x:t xml:space="preserve">Not implemented</x:t>
        </x:is>
      </x:c>
      <x:c r="O953" s="4" t="inlineStr">
        <x:is>
          <x:t xml:space="preserve">Fit, comfort, flexibility, mass, wear and protective performance require design. No wood, ordinary cloth, conventional abundant hide/fur supply, free-water treatment, set bonus or new equipment slots.</x:t>
        </x:is>
      </x:c>
      <x:c r="P953" s="4"/>
      <x:c r="Q953" s="4"/>
      <x:c r="R953" s="4"/>
      <x:c r="S953" s="4"/>
      <x:c r="T953" s="4"/>
      <x:c r="U953" s="4" t="inlineStr">
        <x:is>
          <x:t xml:space="preserve">One lower-body garment; footwear remains separate. Appearance: Thin overlapping chitin scales, smooth turned edges and small metal joining points. A flexible clothing silhouette rather than heavy armor plating. Joining, sizing, service life and useful performance require design.</x:t>
        </x:is>
      </x:c>
      <x:c r="V953" s="4" t="inlineStr">
        <x:is>
          <x:t xml:space="preserve">chitin clothing; chitin clothing family; legs; separate garment</x:t>
        </x:is>
      </x:c>
      <x:c r="W953"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3" s="4" t="inlineStr">
        <x:is>
          <x:t xml:space="preserve">Wearable</x:t>
        </x:is>
      </x:c>
      <x:c r="Y953" s="4" t="inlineStr">
        <x:is>
          <x:t xml:space="preserve">Finished item</x:t>
        </x:is>
      </x:c>
      <x:c r="Z953" s="4" t="inlineStr">
        <x:is>
          <x:t xml:space="preserve">Manufactured / unresolved</x:t>
        </x:is>
      </x:c>
      <x:c r="AA953" s="4" t="inlineStr">
        <x:is>
          <x:t xml:space="preserve">Clothing</x:t>
        </x:is>
      </x:c>
      <x:c r="AB953" s="4" t="inlineStr">
        <x:is>
          <x:t xml:space="preserve">Shell / chitin</x:t>
        </x:is>
      </x:c>
      <x:c r="AC953" s="4" t="inlineStr">
        <x:is>
          <x:t xml:space="preserve">Assembly</x:t>
        </x:is>
      </x:c>
      <x:c r="AD953" s="4" t="inlineStr">
        <x:is>
          <x:t xml:space="preserve">Proposal</x:t>
        </x:is>
      </x:c>
      <x:c r="AE953" s="4" t="str">
        <x:f>LOWER(A953&amp;"; "&amp;B953&amp;"; "&amp;D953&amp;"; "&amp;E953&amp;"; "&amp;X953&amp;"; "&amp;Y953&amp;"; "&amp;Z953&amp;"; "&amp;AA953&amp;"; "&amp;AB953&amp;"; "&amp;AC953&amp;"; "&amp;AD953&amp;"; "&amp;V953&amp;"; "&amp;C953&amp;"; "&amp;AH953&amp;"; "&amp;AI953)</x:f>
        <x:v>proposal.clothing.chitin.legs; chitin trousers; clothing; chitin clothing / legs; wearable; finished item; manufactured / unresolved; clothing; shell / chitin; assembly; proposal; chitin clothing; chitin clothing family; legs; separate garment; t2; t1; finished item</x:v>
      </x:c>
      <x:c r="AF953" s="4" t="inlineStr">
        <x:is>
          <x:t xml:space="preserve">Independently listed clothing piece. Family membership is an organizational grouping, not another counted inventory item or a set bonus.</x:t>
        </x:is>
      </x:c>
      <x:c r="AG953" s="4" t="inlineStr">
        <x:is>
          <x:t xml:space="preserve">Proposed T2 garment assembly using T1 inputs. Quantities, stock qualification and recipe remain unresolved.</x:t>
        </x:is>
      </x:c>
      <x:c r="AH953" s="4" t="inlineStr">
        <x:is>
          <x:t xml:space="preserve">T1</x:t>
        </x:is>
      </x:c>
      <x:c r="AI953" s="4" t="inlineStr">
        <x:is>
          <x:t xml:space="preserve">Finished item</x:t>
        </x:is>
      </x:c>
      <x:c r="AJ953" s="4">
        <x:f>COUNTIFS('Material routes'!$D$6:$D$2205,A953,'Material routes'!$C$6:$C$2205,"Output")</x:f>
        <x:v>0</x:v>
      </x:c>
      <x:c r="AK953" s="4">
        <x:f>SUM(COUNTIFS('Material routes'!$D$6:$D$2205,A953,'Material routes'!$C$6:$C$2205,"Ingredient candidate"),COUNTIFS('Material routes'!$D$6:$D$2205,A953,'Material routes'!$C$6:$C$2205,"Consumed input"),COUNTIFS('Material routes'!$D$6:$D$2205,A953,'Material routes'!$C$6:$C$2205,"Contained input"),COUNTIFS('Material routes'!$D$6:$D$2205,A953,'Material routes'!$C$6:$C$2205,"Transform input"))</x:f>
        <x:v>0</x:v>
      </x:c>
      <x:c r="AL953" s="4">
        <x:f>COUNTIFS('Material routes'!$D$6:$D$2205,A953,'Material routes'!$C$6:$C$2205,"Tool candidate")</x:f>
        <x:v>0</x:v>
      </x:c>
      <x:c r="AM953" s="4" t="str">
        <x:f>IF(AJ953&gt;0,"Route listed; review status/completeness",IF(C953="T0","Raw entry feed; no production route","No production route listed"))</x:f>
        <x:v>No production route listed</x:v>
      </x:c>
      <x:c r="AN953" s="4">
        <x:f>IF(C953="T0",0,IF(C953="T1",1,IF(C953="T2",2,IF(C953="T3",3,IF(C953="T4",4,IF(C953="Unassigned",98,99))))))</x:f>
        <x:v>2</x:v>
      </x:c>
    </x:row>
    <x:row r="954">
      <x:c r="A954" s="4" t="inlineStr">
        <x:is>
          <x:t xml:space="preserve">proposal.clothing.chitin.boots</x:t>
        </x:is>
      </x:c>
      <x:c r="B954" s="4" t="inlineStr">
        <x:is>
          <x:t xml:space="preserve">Chitin boots</x:t>
        </x:is>
      </x:c>
      <x:c r="C954" s="4" t="inlineStr">
        <x:is>
          <x:t xml:space="preserve">T2</x:t>
        </x:is>
      </x:c>
      <x:c r="D954" s="4" t="inlineStr">
        <x:is>
          <x:t xml:space="preserve">Clothing</x:t>
        </x:is>
      </x:c>
      <x:c r="E954" s="4" t="inlineStr">
        <x:is>
          <x:t xml:space="preserve">Chitin clothing / boots</x:t>
        </x:is>
      </x:c>
      <x:c r="F954" s="4" t="inlineStr">
        <x:is>
          <x:t xml:space="preserve">New proposal</x:t>
        </x:is>
      </x:c>
      <x:c r="G954" s="4" t="inlineStr">
        <x:is>
          <x:t xml:space="preserve">Chitin clothing family: one separately listed boots. One matched pair of footwear; no leggings or trousers included. Thin overlapping chitin scales, smooth turned edges and small metal joining points. A flexible clothing silhouette rather than heavy armor plating. Functions and performance remain proposals.</x:t>
        </x:is>
      </x:c>
      <x:c r="H954" s="4" t="inlineStr">
        <x:is>
          <x:t xml:space="preserve">Unassigned; no new slot approved</x:t>
        </x:is>
      </x:c>
      <x:c r="I954" s="4" t="inlineStr">
        <x:is>
          <x:t xml:space="preserve">Booter-worn garment concept; fit, packing and canister clearance unresolved.</x:t>
        </x:is>
      </x:c>
      <x:c r="J954" s="4"/>
      <x:c r="K954" s="4"/>
      <x:c r="L954" s="4" t="inlineStr">
        <x:is>
          <x:t xml:space="preserve">Proposed garment craft or trade; availability and price unresolved.</x:t>
        </x:is>
      </x:c>
      <x:c r="M954" s="4" t="inlineStr">
        <x:is>
          <x:t xml:space="preserve">Candidate construction from qualified stock and compatible joining parts. No full-set recipe, quantities, yield or crafting time assigned.</x:t>
        </x:is>
      </x:c>
      <x:c r="N954" s="4" t="inlineStr">
        <x:is>
          <x:t xml:space="preserve">Not implemented</x:t>
        </x:is>
      </x:c>
      <x:c r="O954" s="4" t="inlineStr">
        <x:is>
          <x:t xml:space="preserve">Fit, comfort, flexibility, mass, wear and protective performance require design. No wood, ordinary cloth, conventional abundant hide/fur supply, free-water treatment, set bonus or new equipment slots.</x:t>
        </x:is>
      </x:c>
      <x:c r="P954" s="4"/>
      <x:c r="Q954" s="4"/>
      <x:c r="R954" s="4"/>
      <x:c r="S954" s="4"/>
      <x:c r="T954" s="4"/>
      <x:c r="U954" s="4" t="inlineStr">
        <x:is>
          <x:t xml:space="preserve">One matched pair of footwear; no leggings or trousers included. Appearance: Thin overlapping chitin scales, smooth turned edges and small metal joining points. A flexible clothing silhouette rather than heavy armor plating. Joining, sizing, service life and useful performance require design.</x:t>
        </x:is>
      </x:c>
      <x:c r="V954" s="4" t="inlineStr">
        <x:is>
          <x:t xml:space="preserve">chitin clothing; chitin clothing family; boots; separate garment</x:t>
        </x:is>
      </x:c>
      <x:c r="W954"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4" s="4" t="inlineStr">
        <x:is>
          <x:t xml:space="preserve">Wearable</x:t>
        </x:is>
      </x:c>
      <x:c r="Y954" s="4" t="inlineStr">
        <x:is>
          <x:t xml:space="preserve">Finished item</x:t>
        </x:is>
      </x:c>
      <x:c r="Z954" s="4" t="inlineStr">
        <x:is>
          <x:t xml:space="preserve">Manufactured / unresolved</x:t>
        </x:is>
      </x:c>
      <x:c r="AA954" s="4" t="inlineStr">
        <x:is>
          <x:t xml:space="preserve">Clothing</x:t>
        </x:is>
      </x:c>
      <x:c r="AB954" s="4" t="inlineStr">
        <x:is>
          <x:t xml:space="preserve">Shell / chitin</x:t>
        </x:is>
      </x:c>
      <x:c r="AC954" s="4" t="inlineStr">
        <x:is>
          <x:t xml:space="preserve">Assembly</x:t>
        </x:is>
      </x:c>
      <x:c r="AD954" s="4" t="inlineStr">
        <x:is>
          <x:t xml:space="preserve">Proposal</x:t>
        </x:is>
      </x:c>
      <x:c r="AE954" s="4" t="str">
        <x:f>LOWER(A954&amp;"; "&amp;B954&amp;"; "&amp;D954&amp;"; "&amp;E954&amp;"; "&amp;X954&amp;"; "&amp;Y954&amp;"; "&amp;Z954&amp;"; "&amp;AA954&amp;"; "&amp;AB954&amp;"; "&amp;AC954&amp;"; "&amp;AD954&amp;"; "&amp;V954&amp;"; "&amp;C954&amp;"; "&amp;AH954&amp;"; "&amp;AI954)</x:f>
        <x:v>proposal.clothing.chitin.boots; chitin boots; clothing; chitin clothing / boots; wearable; finished item; manufactured / unresolved; clothing; shell / chitin; assembly; proposal; chitin clothing; chitin clothing family; boots; separate garment; t2; t1; finished item</x:v>
      </x:c>
      <x:c r="AF954" s="4" t="inlineStr">
        <x:is>
          <x:t xml:space="preserve">Independently listed clothing piece. Family membership is an organizational grouping, not another counted inventory item or a set bonus.</x:t>
        </x:is>
      </x:c>
      <x:c r="AG954" s="4" t="inlineStr">
        <x:is>
          <x:t xml:space="preserve">Proposed T2 garment assembly using T1 inputs. Quantities, stock qualification and recipe remain unresolved.</x:t>
        </x:is>
      </x:c>
      <x:c r="AH954" s="4" t="inlineStr">
        <x:is>
          <x:t xml:space="preserve">T1</x:t>
        </x:is>
      </x:c>
      <x:c r="AI954" s="4" t="inlineStr">
        <x:is>
          <x:t xml:space="preserve">Finished item</x:t>
        </x:is>
      </x:c>
      <x:c r="AJ954" s="4">
        <x:f>COUNTIFS('Material routes'!$D$6:$D$2205,A954,'Material routes'!$C$6:$C$2205,"Output")</x:f>
        <x:v>0</x:v>
      </x:c>
      <x:c r="AK954" s="4">
        <x:f>SUM(COUNTIFS('Material routes'!$D$6:$D$2205,A954,'Material routes'!$C$6:$C$2205,"Ingredient candidate"),COUNTIFS('Material routes'!$D$6:$D$2205,A954,'Material routes'!$C$6:$C$2205,"Consumed input"),COUNTIFS('Material routes'!$D$6:$D$2205,A954,'Material routes'!$C$6:$C$2205,"Contained input"),COUNTIFS('Material routes'!$D$6:$D$2205,A954,'Material routes'!$C$6:$C$2205,"Transform input"))</x:f>
        <x:v>0</x:v>
      </x:c>
      <x:c r="AL954" s="4">
        <x:f>COUNTIFS('Material routes'!$D$6:$D$2205,A954,'Material routes'!$C$6:$C$2205,"Tool candidate")</x:f>
        <x:v>0</x:v>
      </x:c>
      <x:c r="AM954" s="4" t="str">
        <x:f>IF(AJ954&gt;0,"Route listed; review status/completeness",IF(C954="T0","Raw entry feed; no production route","No production route listed"))</x:f>
        <x:v>No production route listed</x:v>
      </x:c>
      <x:c r="AN954" s="4">
        <x:f>IF(C954="T0",0,IF(C954="T1",1,IF(C954="T2",2,IF(C954="T3",3,IF(C954="T4",4,IF(C954="Unassigned",98,99))))))</x:f>
        <x:v>2</x:v>
      </x:c>
    </x:row>
    <x:row r="955">
      <x:c r="A955" s="4" t="inlineStr">
        <x:is>
          <x:t xml:space="preserve">proposal.clothing.chitin.gloves</x:t>
        </x:is>
      </x:c>
      <x:c r="B955" s="4" t="inlineStr">
        <x:is>
          <x:t xml:space="preserve">Chitin gloves</x:t>
        </x:is>
      </x:c>
      <x:c r="C955" s="4" t="inlineStr">
        <x:is>
          <x:t xml:space="preserve">T2</x:t>
        </x:is>
      </x:c>
      <x:c r="D955" s="4" t="inlineStr">
        <x:is>
          <x:t xml:space="preserve">Clothing</x:t>
        </x:is>
      </x:c>
      <x:c r="E955" s="4" t="inlineStr">
        <x:is>
          <x:t xml:space="preserve">Chitin clothing / gloves</x:t>
        </x:is>
      </x:c>
      <x:c r="F955" s="4" t="inlineStr">
        <x:is>
          <x:t xml:space="preserve">New proposal</x:t>
        </x:is>
      </x:c>
      <x:c r="G955" s="4" t="inlineStr">
        <x:is>
          <x:t xml:space="preserve">Chitin clothing family: one separately listed gloves. One matched pair of hand coverings; sleeves and upper-body garment remain separate. Thin overlapping chitin scales, smooth turned edges and small metal joining points. A flexible clothing silhouette rather than heavy armor plating. Functions and performance remain proposals.</x:t>
        </x:is>
      </x:c>
      <x:c r="H955" s="4" t="inlineStr">
        <x:is>
          <x:t xml:space="preserve">Unassigned; no new slot approved</x:t>
        </x:is>
      </x:c>
      <x:c r="I955" s="4" t="inlineStr">
        <x:is>
          <x:t xml:space="preserve">Booter-worn garment concept; fit, packing and canister clearance unresolved.</x:t>
        </x:is>
      </x:c>
      <x:c r="J955" s="4"/>
      <x:c r="K955" s="4"/>
      <x:c r="L955" s="4" t="inlineStr">
        <x:is>
          <x:t xml:space="preserve">Proposed garment craft or trade; availability and price unresolved.</x:t>
        </x:is>
      </x:c>
      <x:c r="M955" s="4" t="inlineStr">
        <x:is>
          <x:t xml:space="preserve">Candidate construction from qualified stock and compatible joining parts. No full-set recipe, quantities, yield or crafting time assigned.</x:t>
        </x:is>
      </x:c>
      <x:c r="N955" s="4" t="inlineStr">
        <x:is>
          <x:t xml:space="preserve">Not implemented</x:t>
        </x:is>
      </x:c>
      <x:c r="O955" s="4" t="inlineStr">
        <x:is>
          <x:t xml:space="preserve">Fit, comfort, flexibility, mass, wear and protective performance require design. No wood, ordinary cloth, conventional abundant hide/fur supply, free-water treatment, set bonus or new equipment slots.</x:t>
        </x:is>
      </x:c>
      <x:c r="P955" s="4"/>
      <x:c r="Q955" s="4"/>
      <x:c r="R955" s="4"/>
      <x:c r="S955" s="4"/>
      <x:c r="T955" s="4"/>
      <x:c r="U955" s="4" t="inlineStr">
        <x:is>
          <x:t xml:space="preserve">One matched pair of hand coverings; sleeves and upper-body garment remain separate. Appearance: Thin overlapping chitin scales, smooth turned edges and small metal joining points. A flexible clothing silhouette rather than heavy armor plating. Joining, sizing, service life and useful performance require design.</x:t>
        </x:is>
      </x:c>
      <x:c r="V955" s="4" t="inlineStr">
        <x:is>
          <x:t xml:space="preserve">chitin clothing; chitin clothing family; gloves; separate garment</x:t>
        </x:is>
      </x:c>
      <x:c r="W95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5" s="4" t="inlineStr">
        <x:is>
          <x:t xml:space="preserve">Wearable</x:t>
        </x:is>
      </x:c>
      <x:c r="Y955" s="4" t="inlineStr">
        <x:is>
          <x:t xml:space="preserve">Finished item</x:t>
        </x:is>
      </x:c>
      <x:c r="Z955" s="4" t="inlineStr">
        <x:is>
          <x:t xml:space="preserve">Manufactured / unresolved</x:t>
        </x:is>
      </x:c>
      <x:c r="AA955" s="4" t="inlineStr">
        <x:is>
          <x:t xml:space="preserve">Clothing</x:t>
        </x:is>
      </x:c>
      <x:c r="AB955" s="4" t="inlineStr">
        <x:is>
          <x:t xml:space="preserve">Shell / chitin</x:t>
        </x:is>
      </x:c>
      <x:c r="AC955" s="4" t="inlineStr">
        <x:is>
          <x:t xml:space="preserve">Assembly</x:t>
        </x:is>
      </x:c>
      <x:c r="AD955" s="4" t="inlineStr">
        <x:is>
          <x:t xml:space="preserve">Proposal</x:t>
        </x:is>
      </x:c>
      <x:c r="AE955" s="4" t="str">
        <x:f>LOWER(A955&amp;"; "&amp;B955&amp;"; "&amp;D955&amp;"; "&amp;E955&amp;"; "&amp;X955&amp;"; "&amp;Y955&amp;"; "&amp;Z955&amp;"; "&amp;AA955&amp;"; "&amp;AB955&amp;"; "&amp;AC955&amp;"; "&amp;AD955&amp;"; "&amp;V955&amp;"; "&amp;C955&amp;"; "&amp;AH955&amp;"; "&amp;AI955)</x:f>
        <x:v>proposal.clothing.chitin.gloves; chitin gloves; clothing; chitin clothing / gloves; wearable; finished item; manufactured / unresolved; clothing; shell / chitin; assembly; proposal; chitin clothing; chitin clothing family; gloves; separate garment; t2; t1; finished item</x:v>
      </x:c>
      <x:c r="AF955" s="4" t="inlineStr">
        <x:is>
          <x:t xml:space="preserve">Independently listed clothing piece. Family membership is an organizational grouping, not another counted inventory item or a set bonus.</x:t>
        </x:is>
      </x:c>
      <x:c r="AG955" s="4" t="inlineStr">
        <x:is>
          <x:t xml:space="preserve">Proposed T2 garment assembly using T1 inputs. Quantities, stock qualification and recipe remain unresolved.</x:t>
        </x:is>
      </x:c>
      <x:c r="AH955" s="4" t="inlineStr">
        <x:is>
          <x:t xml:space="preserve">T1</x:t>
        </x:is>
      </x:c>
      <x:c r="AI955" s="4" t="inlineStr">
        <x:is>
          <x:t xml:space="preserve">Finished item</x:t>
        </x:is>
      </x:c>
      <x:c r="AJ955" s="4">
        <x:f>COUNTIFS('Material routes'!$D$6:$D$2205,A955,'Material routes'!$C$6:$C$2205,"Output")</x:f>
        <x:v>0</x:v>
      </x:c>
      <x:c r="AK955" s="4">
        <x:f>SUM(COUNTIFS('Material routes'!$D$6:$D$2205,A955,'Material routes'!$C$6:$C$2205,"Ingredient candidate"),COUNTIFS('Material routes'!$D$6:$D$2205,A955,'Material routes'!$C$6:$C$2205,"Consumed input"),COUNTIFS('Material routes'!$D$6:$D$2205,A955,'Material routes'!$C$6:$C$2205,"Contained input"),COUNTIFS('Material routes'!$D$6:$D$2205,A955,'Material routes'!$C$6:$C$2205,"Transform input"))</x:f>
        <x:v>0</x:v>
      </x:c>
      <x:c r="AL955" s="4">
        <x:f>COUNTIFS('Material routes'!$D$6:$D$2205,A955,'Material routes'!$C$6:$C$2205,"Tool candidate")</x:f>
        <x:v>0</x:v>
      </x:c>
      <x:c r="AM955" s="4" t="str">
        <x:f>IF(AJ955&gt;0,"Route listed; review status/completeness",IF(C955="T0","Raw entry feed; no production route","No production route listed"))</x:f>
        <x:v>No production route listed</x:v>
      </x:c>
      <x:c r="AN955" s="4">
        <x:f>IF(C955="T0",0,IF(C955="T1",1,IF(C955="T2",2,IF(C955="T3",3,IF(C955="T4",4,IF(C955="Unassigned",98,99))))))</x:f>
        <x:v>2</x:v>
      </x:c>
    </x:row>
    <x:row r="956">
      <x:c r="A956" s="4" t="inlineStr">
        <x:is>
          <x:t xml:space="preserve">proposal.clothing.chitin.head</x:t>
        </x:is>
      </x:c>
      <x:c r="B956" s="4" t="inlineStr">
        <x:is>
          <x:t xml:space="preserve">Chitin cap</x:t>
        </x:is>
      </x:c>
      <x:c r="C956" s="4" t="inlineStr">
        <x:is>
          <x:t xml:space="preserve">T2</x:t>
        </x:is>
      </x:c>
      <x:c r="D956" s="4" t="inlineStr">
        <x:is>
          <x:t xml:space="preserve">Clothing</x:t>
        </x:is>
      </x:c>
      <x:c r="E956" s="4" t="inlineStr">
        <x:is>
          <x:t xml:space="preserve">Chitin clothing / head</x:t>
        </x:is>
      </x:c>
      <x:c r="F956" s="4" t="inlineStr">
        <x:is>
          <x:t xml:space="preserve">New proposal</x:t>
        </x:is>
      </x:c>
      <x:c r="G956" s="4" t="inlineStr">
        <x:is>
          <x:t xml:space="preserve">Chitin clothing family: one separately listed cap. One head covering; face, sight, hearing and personal canister clearance require design. Thin overlapping chitin scales, smooth turned edges and small metal joining points. A flexible clothing silhouette rather than heavy armor plating. Functions and performance remain proposals.</x:t>
        </x:is>
      </x:c>
      <x:c r="H956" s="4" t="inlineStr">
        <x:is>
          <x:t xml:space="preserve">Unassigned; no new slot approved</x:t>
        </x:is>
      </x:c>
      <x:c r="I956" s="4" t="inlineStr">
        <x:is>
          <x:t xml:space="preserve">Booter-worn garment concept; fit, packing and canister clearance unresolved.</x:t>
        </x:is>
      </x:c>
      <x:c r="J956" s="4"/>
      <x:c r="K956" s="4"/>
      <x:c r="L956" s="4" t="inlineStr">
        <x:is>
          <x:t xml:space="preserve">Proposed garment craft or trade; availability and price unresolved.</x:t>
        </x:is>
      </x:c>
      <x:c r="M956" s="4" t="inlineStr">
        <x:is>
          <x:t xml:space="preserve">Candidate construction from qualified stock and compatible joining parts. No full-set recipe, quantities, yield or crafting time assigned.</x:t>
        </x:is>
      </x:c>
      <x:c r="N956" s="4" t="inlineStr">
        <x:is>
          <x:t xml:space="preserve">Not implemented</x:t>
        </x:is>
      </x:c>
      <x:c r="O956" s="4" t="inlineStr">
        <x:is>
          <x:t xml:space="preserve">Fit, comfort, flexibility, mass, wear and protective performance require design. No wood, ordinary cloth, conventional abundant hide/fur supply, free-water treatment, set bonus or new equipment slots.</x:t>
        </x:is>
      </x:c>
      <x:c r="P956" s="4"/>
      <x:c r="Q956" s="4"/>
      <x:c r="R956" s="4"/>
      <x:c r="S956" s="4"/>
      <x:c r="T956" s="4"/>
      <x:c r="U956" s="4" t="inlineStr">
        <x:is>
          <x:t xml:space="preserve">One head covering; face, sight, hearing and personal canister clearance require design. Appearance: Thin overlapping chitin scales, smooth turned edges and small metal joining points. A flexible clothing silhouette rather than heavy armor plating. Joining, sizing, service life and useful performance require design.</x:t>
        </x:is>
      </x:c>
      <x:c r="V956" s="4" t="inlineStr">
        <x:is>
          <x:t xml:space="preserve">chitin clothing; chitin clothing family; head; separate garment</x:t>
        </x:is>
      </x:c>
      <x:c r="W95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6" s="4" t="inlineStr">
        <x:is>
          <x:t xml:space="preserve">Wearable</x:t>
        </x:is>
      </x:c>
      <x:c r="Y956" s="4" t="inlineStr">
        <x:is>
          <x:t xml:space="preserve">Finished item</x:t>
        </x:is>
      </x:c>
      <x:c r="Z956" s="4" t="inlineStr">
        <x:is>
          <x:t xml:space="preserve">Manufactured / unresolved</x:t>
        </x:is>
      </x:c>
      <x:c r="AA956" s="4" t="inlineStr">
        <x:is>
          <x:t xml:space="preserve">Clothing</x:t>
        </x:is>
      </x:c>
      <x:c r="AB956" s="4" t="inlineStr">
        <x:is>
          <x:t xml:space="preserve">Shell / chitin</x:t>
        </x:is>
      </x:c>
      <x:c r="AC956" s="4" t="inlineStr">
        <x:is>
          <x:t xml:space="preserve">Assembly</x:t>
        </x:is>
      </x:c>
      <x:c r="AD956" s="4" t="inlineStr">
        <x:is>
          <x:t xml:space="preserve">Proposal</x:t>
        </x:is>
      </x:c>
      <x:c r="AE956" s="4" t="str">
        <x:f>LOWER(A956&amp;"; "&amp;B956&amp;"; "&amp;D956&amp;"; "&amp;E956&amp;"; "&amp;X956&amp;"; "&amp;Y956&amp;"; "&amp;Z956&amp;"; "&amp;AA956&amp;"; "&amp;AB956&amp;"; "&amp;AC956&amp;"; "&amp;AD956&amp;"; "&amp;V956&amp;"; "&amp;C956&amp;"; "&amp;AH956&amp;"; "&amp;AI956)</x:f>
        <x:v>proposal.clothing.chitin.head; chitin cap; clothing; chitin clothing / head; wearable; finished item; manufactured / unresolved; clothing; shell / chitin; assembly; proposal; chitin clothing; chitin clothing family; head; separate garment; t2; t1; finished item</x:v>
      </x:c>
      <x:c r="AF956" s="4" t="inlineStr">
        <x:is>
          <x:t xml:space="preserve">Independently listed clothing piece. Family membership is an organizational grouping, not another counted inventory item or a set bonus.</x:t>
        </x:is>
      </x:c>
      <x:c r="AG956" s="4" t="inlineStr">
        <x:is>
          <x:t xml:space="preserve">Proposed T2 garment assembly using T1 inputs. Quantities, stock qualification and recipe remain unresolved.</x:t>
        </x:is>
      </x:c>
      <x:c r="AH956" s="4" t="inlineStr">
        <x:is>
          <x:t xml:space="preserve">T1</x:t>
        </x:is>
      </x:c>
      <x:c r="AI956" s="4" t="inlineStr">
        <x:is>
          <x:t xml:space="preserve">Finished item</x:t>
        </x:is>
      </x:c>
      <x:c r="AJ956" s="4">
        <x:f>COUNTIFS('Material routes'!$D$6:$D$2205,A956,'Material routes'!$C$6:$C$2205,"Output")</x:f>
        <x:v>0</x:v>
      </x:c>
      <x:c r="AK956" s="4">
        <x:f>SUM(COUNTIFS('Material routes'!$D$6:$D$2205,A956,'Material routes'!$C$6:$C$2205,"Ingredient candidate"),COUNTIFS('Material routes'!$D$6:$D$2205,A956,'Material routes'!$C$6:$C$2205,"Consumed input"),COUNTIFS('Material routes'!$D$6:$D$2205,A956,'Material routes'!$C$6:$C$2205,"Contained input"),COUNTIFS('Material routes'!$D$6:$D$2205,A956,'Material routes'!$C$6:$C$2205,"Transform input"))</x:f>
        <x:v>0</x:v>
      </x:c>
      <x:c r="AL956" s="4">
        <x:f>COUNTIFS('Material routes'!$D$6:$D$2205,A956,'Material routes'!$C$6:$C$2205,"Tool candidate")</x:f>
        <x:v>0</x:v>
      </x:c>
      <x:c r="AM956" s="4" t="str">
        <x:f>IF(AJ956&gt;0,"Route listed; review status/completeness",IF(C956="T0","Raw entry feed; no production route","No production route listed"))</x:f>
        <x:v>No production route listed</x:v>
      </x:c>
      <x:c r="AN956" s="4">
        <x:f>IF(C956="T0",0,IF(C956="T1",1,IF(C956="T2",2,IF(C956="T3",3,IF(C956="T4",4,IF(C956="Unassigned",98,99))))))</x:f>
        <x:v>2</x:v>
      </x:c>
    </x:row>
    <x:row r="957">
      <x:c r="A957" s="4" t="inlineStr">
        <x:is>
          <x:t xml:space="preserve">proposal.armor.shoulder.raised_rim_iron</x:t>
        </x:is>
      </x:c>
      <x:c r="B957" s="4" t="inlineStr">
        <x:is>
          <x:t xml:space="preserve">Raised-rim iron pauldron</x:t>
        </x:is>
      </x:c>
      <x:c r="C957" s="4" t="inlineStr">
        <x:is>
          <x:t xml:space="preserve">T2</x:t>
        </x:is>
      </x:c>
      <x:c r="D957" s="4" t="inlineStr">
        <x:is>
          <x:t xml:space="preserve">Armor</x:t>
        </x:is>
      </x:c>
      <x:c r="E957" s="4" t="inlineStr">
        <x:is>
          <x:t xml:space="preserve">Specialized shoulder armor</x:t>
        </x:is>
      </x:c>
      <x:c r="F957" s="4" t="inlineStr">
        <x:is>
          <x:t xml:space="preserve">New proposal</x:t>
        </x:is>
      </x:c>
      <x:c r="G957" s="4" t="inlineStr">
        <x:is>
          <x:t xml:space="preserve">Single iron shoulder cap with a tall turned rim toward the neck and stepped outer plates. Proposed for a close-combat guard posture; the shape suggests coverage at the neck-shoulder gap without establishing a deflection mechanic.</x:t>
        </x:is>
      </x:c>
      <x:c r="H957" s="4" t="inlineStr">
        <x:is>
          <x:t xml:space="preserve">Unassigned; shoulder side and fit unresolved</x:t>
        </x:is>
      </x:c>
      <x:c r="I957" s="4" t="inlineStr">
        <x:is>
          <x:t xml:space="preserve">Booter-worn shoulder armor concept; fit, fastening and spare-cargo rules unresolved.</x:t>
        </x:is>
      </x:c>
      <x:c r="J957" s="4"/>
      <x:c r="K957" s="4"/>
      <x:c r="L957" s="4" t="inlineStr">
        <x:is>
          <x:t xml:space="preserve">Proposed specialist craft or trade; availability and price unresolved.</x:t>
        </x:is>
      </x:c>
      <x:c r="M957" s="4" t="inlineStr">
        <x:is>
          <x:t xml:space="preserve">Candidate assembly from qualified stock and compatible fasteners. No recipe, input quantity, yield or production time authored.</x:t>
        </x:is>
      </x:c>
      <x:c r="N957" s="4" t="inlineStr">
        <x:is>
          <x:t xml:space="preserve">Not implemented</x:t>
        </x:is>
      </x:c>
      <x:c r="O957" s="4" t="inlineStr">
        <x:is>
          <x:t xml:space="preserve">One shoulder piece, not a paired set, arm guard or complete suit. Side, coverage, articulation, wear, protection and compatibility remain proposals. No numerical resistance, automatic deflection, set bonus, new equipment slot, wood, ordinary cloth or free-water process established.</x:t>
        </x:is>
      </x:c>
      <x:c r="P957" s="4"/>
      <x:c r="Q957" s="4"/>
      <x:c r="R957" s="4"/>
      <x:c r="S957" s="4"/>
      <x:c r="T957" s="4"/>
      <x:c r="U957" s="4" t="inlineStr">
        <x:is>
          <x:t xml:space="preserve">Left/right fitting, neck clearance, raised-arm movement, rivet articulation and compatibility with chest armor require design. No automatic parry or reduced damage assigned.</x:t>
        </x:is>
      </x:c>
      <x:c r="V957" s="4" t="inlineStr">
        <x:is>
          <x:t xml:space="preserve">pauldron; shoulder guard; shoulder armor; iron; raised rim</x:t>
        </x:is>
      </x:c>
      <x:c r="W957" s="4" t="inlineStr">
        <x:is>
          <x:t xml:space="preserve">Author requested three specialized shoulder guard or pauldron styles as individual Armor items, October 16, 2026. Local design proposals governed by Docs/WORLD_BASIS.md. Setting constraints: Docs/WORLD_BASIS.md#material-culture.</x:t>
        </x:is>
      </x:c>
      <x:c r="X957" s="4" t="inlineStr">
        <x:is>
          <x:t xml:space="preserve">Armor</x:t>
        </x:is>
      </x:c>
      <x:c r="Y957" s="4" t="inlineStr">
        <x:is>
          <x:t xml:space="preserve">Finished item</x:t>
        </x:is>
      </x:c>
      <x:c r="Z957" s="4" t="inlineStr">
        <x:is>
          <x:t xml:space="preserve">Manufactured / unresolved</x:t>
        </x:is>
      </x:c>
      <x:c r="AA957" s="4" t="inlineStr">
        <x:is>
          <x:t xml:space="preserve">Protection</x:t>
        </x:is>
      </x:c>
      <x:c r="AB957" s="4" t="inlineStr">
        <x:is>
          <x:t xml:space="preserve">Metal</x:t>
        </x:is>
      </x:c>
      <x:c r="AC957" s="4" t="inlineStr">
        <x:is>
          <x:t xml:space="preserve">Assembly</x:t>
        </x:is>
      </x:c>
      <x:c r="AD957" s="4" t="inlineStr">
        <x:is>
          <x:t xml:space="preserve">Proposal</x:t>
        </x:is>
      </x:c>
      <x:c r="AE957" s="4" t="str">
        <x:f>LOWER(A957&amp;"; "&amp;B957&amp;"; "&amp;D957&amp;"; "&amp;E957&amp;"; "&amp;X957&amp;"; "&amp;Y957&amp;"; "&amp;Z957&amp;"; "&amp;AA957&amp;"; "&amp;AB957&amp;"; "&amp;AC957&amp;"; "&amp;AD957&amp;"; "&amp;V957&amp;"; "&amp;C957&amp;"; "&amp;AH957&amp;"; "&amp;AI957)</x:f>
        <x:v>proposal.armor.shoulder.raised_rim_iron; raised-rim iron pauldron; armor; specialized shoulder armor; armor; finished item; manufactured / unresolved; protection; metal; assembly; proposal; pauldron; shoulder guard; shoulder armor; iron; raised rim; t2; t1; finished item</x:v>
      </x:c>
      <x:c r="AF957" s="4" t="inlineStr">
        <x:is>
          <x:t xml:space="preserve">Author-requested specialized shoulder armor; one distinct independently listed piece per style.</x:t>
        </x:is>
      </x:c>
      <x:c r="AG957" s="4" t="inlineStr">
        <x:is>
          <x:t xml:space="preserve">Proposed T2 finished assembly using qualified T1 inputs; stock, fit, process and protective behavior unresolved.</x:t>
        </x:is>
      </x:c>
      <x:c r="AH957" s="4" t="inlineStr">
        <x:is>
          <x:t xml:space="preserve">T1</x:t>
        </x:is>
      </x:c>
      <x:c r="AI957" s="4" t="inlineStr">
        <x:is>
          <x:t xml:space="preserve">Finished item</x:t>
        </x:is>
      </x:c>
      <x:c r="AJ957" s="4">
        <x:f>COUNTIFS('Material routes'!$D$6:$D$2205,A957,'Material routes'!$C$6:$C$2205,"Output")</x:f>
        <x:v>0</x:v>
      </x:c>
      <x:c r="AK957" s="4">
        <x:f>SUM(COUNTIFS('Material routes'!$D$6:$D$2205,A957,'Material routes'!$C$6:$C$2205,"Ingredient candidate"),COUNTIFS('Material routes'!$D$6:$D$2205,A957,'Material routes'!$C$6:$C$2205,"Consumed input"),COUNTIFS('Material routes'!$D$6:$D$2205,A957,'Material routes'!$C$6:$C$2205,"Contained input"),COUNTIFS('Material routes'!$D$6:$D$2205,A957,'Material routes'!$C$6:$C$2205,"Transform input"))</x:f>
        <x:v>0</x:v>
      </x:c>
      <x:c r="AL957" s="4">
        <x:f>COUNTIFS('Material routes'!$D$6:$D$2205,A957,'Material routes'!$C$6:$C$2205,"Tool candidate")</x:f>
        <x:v>0</x:v>
      </x:c>
      <x:c r="AM957" s="4" t="str">
        <x:f>IF(AJ957&gt;0,"Route listed; review status/completeness",IF(C957="T0","Raw entry feed; no production route","No production route listed"))</x:f>
        <x:v>No production route listed</x:v>
      </x:c>
      <x:c r="AN957" s="4">
        <x:f>IF(C957="T0",0,IF(C957="T1",1,IF(C957="T2",2,IF(C957="T3",3,IF(C957="T4",4,IF(C957="Unassigned",98,99))))))</x:f>
        <x:v>2</x:v>
      </x:c>
    </x:row>
    <x:row r="958">
      <x:c r="A958" s="4" t="inlineStr">
        <x:is>
          <x:t xml:space="preserve">proposal.armor.shoulder.layered_chitin</x:t>
        </x:is>
      </x:c>
      <x:c r="B958" s="4" t="inlineStr">
        <x:is>
          <x:t xml:space="preserve">Layered chitin shoulder guard</x:t>
        </x:is>
      </x:c>
      <x:c r="C958" s="4" t="inlineStr">
        <x:is>
          <x:t xml:space="preserve">T2</x:t>
        </x:is>
      </x:c>
      <x:c r="D958" s="4" t="inlineStr">
        <x:is>
          <x:t xml:space="preserve">Armor</x:t>
        </x:is>
      </x:c>
      <x:c r="E958" s="4" t="inlineStr">
        <x:is>
          <x:t xml:space="preserve">Specialized shoulder armor</x:t>
        </x:is>
      </x:c>
      <x:c r="F958" s="4" t="inlineStr">
        <x:is>
          <x:t xml:space="preserve">New proposal</x:t>
        </x:is>
      </x:c>
      <x:c r="G958" s="4" t="inlineStr">
        <x:is>
          <x:t xml:space="preserve">Single shoulder guard built from overlapping curved shell segments with a downward-swept outer edge. Proposed for a broad movement silhouette and replaceable outer scales; flexibility and coverage remain untested design intentions.</x:t>
        </x:is>
      </x:c>
      <x:c r="H958" s="4" t="inlineStr">
        <x:is>
          <x:t xml:space="preserve">Unassigned; shoulder side and fit unresolved</x:t>
        </x:is>
      </x:c>
      <x:c r="I958" s="4" t="inlineStr">
        <x:is>
          <x:t xml:space="preserve">Booter-worn shoulder armor concept; fit, fastening and spare-cargo rules unresolved.</x:t>
        </x:is>
      </x:c>
      <x:c r="J958" s="4"/>
      <x:c r="K958" s="4"/>
      <x:c r="L958" s="4" t="inlineStr">
        <x:is>
          <x:t xml:space="preserve">Proposed specialist craft or trade; availability and price unresolved.</x:t>
        </x:is>
      </x:c>
      <x:c r="M958" s="4" t="inlineStr">
        <x:is>
          <x:t xml:space="preserve">Candidate assembly from qualified stock and compatible fasteners. No recipe, input quantity, yield or production time authored.</x:t>
        </x:is>
      </x:c>
      <x:c r="N958" s="4" t="inlineStr">
        <x:is>
          <x:t xml:space="preserve">Not implemented</x:t>
        </x:is>
      </x:c>
      <x:c r="O958" s="4" t="inlineStr">
        <x:is>
          <x:t xml:space="preserve">One shoulder piece, not a paired set, arm guard or complete suit. Side, coverage, articulation, wear, protection and compatibility remain proposals. No numerical resistance, automatic deflection, set bonus, new equipment slot, wood, ordinary cloth or free-water process established.</x:t>
        </x:is>
      </x:c>
      <x:c r="P958" s="4"/>
      <x:c r="Q958" s="4"/>
      <x:c r="R958" s="4"/>
      <x:c r="S958" s="4"/>
      <x:c r="T958" s="4"/>
      <x:c r="U958" s="4" t="inlineStr">
        <x:is>
          <x:t xml:space="preserve">Shell selection, edge finishing, joining geometry, replaceability, shoulder range and coverage require design. Abundant raw shell does not establish cheap finished workmanship or superior protection.</x:t>
        </x:is>
      </x:c>
      <x:c r="V958" s="4" t="inlineStr">
        <x:is>
          <x:t xml:space="preserve">pauldron; shoulder guard; shoulder armor; chitin; shell; overlapping segments</x:t>
        </x:is>
      </x:c>
      <x:c r="W958" s="4" t="inlineStr">
        <x:is>
          <x:t xml:space="preserve">Author requested three specialized shoulder guard or pauldron styles as individual Armor items, October 16, 2026. Local design proposals governed by Docs/WORLD_BASIS.md. Setting constraints: Docs/WORLD_BASIS.md#material-culture.</x:t>
        </x:is>
      </x:c>
      <x:c r="X958" s="4" t="inlineStr">
        <x:is>
          <x:t xml:space="preserve">Armor</x:t>
        </x:is>
      </x:c>
      <x:c r="Y958" s="4" t="inlineStr">
        <x:is>
          <x:t xml:space="preserve">Finished item</x:t>
        </x:is>
      </x:c>
      <x:c r="Z958" s="4" t="inlineStr">
        <x:is>
          <x:t xml:space="preserve">Manufactured / unresolved</x:t>
        </x:is>
      </x:c>
      <x:c r="AA958" s="4" t="inlineStr">
        <x:is>
          <x:t xml:space="preserve">Protection</x:t>
        </x:is>
      </x:c>
      <x:c r="AB958" s="4" t="inlineStr">
        <x:is>
          <x:t xml:space="preserve">Shell / chitin</x:t>
        </x:is>
      </x:c>
      <x:c r="AC958" s="4" t="inlineStr">
        <x:is>
          <x:t xml:space="preserve">Assembly</x:t>
        </x:is>
      </x:c>
      <x:c r="AD958" s="4" t="inlineStr">
        <x:is>
          <x:t xml:space="preserve">Proposal</x:t>
        </x:is>
      </x:c>
      <x:c r="AE958" s="4" t="str">
        <x:f>LOWER(A958&amp;"; "&amp;B958&amp;"; "&amp;D958&amp;"; "&amp;E958&amp;"; "&amp;X958&amp;"; "&amp;Y958&amp;"; "&amp;Z958&amp;"; "&amp;AA958&amp;"; "&amp;AB958&amp;"; "&amp;AC958&amp;"; "&amp;AD958&amp;"; "&amp;V958&amp;"; "&amp;C958&amp;"; "&amp;AH958&amp;"; "&amp;AI958)</x:f>
        <x:v>proposal.armor.shoulder.layered_chitin; layered chitin shoulder guard; armor; specialized shoulder armor; armor; finished item; manufactured / unresolved; protection; shell / chitin; assembly; proposal; pauldron; shoulder guard; shoulder armor; chitin; shell; overlapping segments; t2; t1; finished item</x:v>
      </x:c>
      <x:c r="AF958" s="4" t="inlineStr">
        <x:is>
          <x:t xml:space="preserve">Author-requested specialized shoulder armor; one distinct independently listed piece per style.</x:t>
        </x:is>
      </x:c>
      <x:c r="AG958" s="4" t="inlineStr">
        <x:is>
          <x:t xml:space="preserve">Proposed T2 finished assembly using qualified T1 inputs; stock, fit, process and protective behavior unresolved.</x:t>
        </x:is>
      </x:c>
      <x:c r="AH958" s="4" t="inlineStr">
        <x:is>
          <x:t xml:space="preserve">T1</x:t>
        </x:is>
      </x:c>
      <x:c r="AI958" s="4" t="inlineStr">
        <x:is>
          <x:t xml:space="preserve">Finished item</x:t>
        </x:is>
      </x:c>
      <x:c r="AJ958" s="4">
        <x:f>COUNTIFS('Material routes'!$D$6:$D$2205,A958,'Material routes'!$C$6:$C$2205,"Output")</x:f>
        <x:v>0</x:v>
      </x:c>
      <x:c r="AK958" s="4">
        <x:f>SUM(COUNTIFS('Material routes'!$D$6:$D$2205,A958,'Material routes'!$C$6:$C$2205,"Ingredient candidate"),COUNTIFS('Material routes'!$D$6:$D$2205,A958,'Material routes'!$C$6:$C$2205,"Consumed input"),COUNTIFS('Material routes'!$D$6:$D$2205,A958,'Material routes'!$C$6:$C$2205,"Contained input"),COUNTIFS('Material routes'!$D$6:$D$2205,A958,'Material routes'!$C$6:$C$2205,"Transform input"))</x:f>
        <x:v>0</x:v>
      </x:c>
      <x:c r="AL958" s="4">
        <x:f>COUNTIFS('Material routes'!$D$6:$D$2205,A958,'Material routes'!$C$6:$C$2205,"Tool candidate")</x:f>
        <x:v>0</x:v>
      </x:c>
      <x:c r="AM958" s="4" t="str">
        <x:f>IF(AJ958&gt;0,"Route listed; review status/completeness",IF(C958="T0","Raw entry feed; no production route","No production route listed"))</x:f>
        <x:v>No production route listed</x:v>
      </x:c>
      <x:c r="AN958" s="4">
        <x:f>IF(C958="T0",0,IF(C958="T1",1,IF(C958="T2",2,IF(C958="T3",3,IF(C958="T4",4,IF(C958="Unassigned",98,99))))))</x:f>
        <x:v>2</x:v>
      </x:c>
    </x:row>
    <x:row r="959">
      <x:c r="A959" s="4"/>
      <x:c r="B959" s="4"/>
      <x:c r="C959" s="4"/>
      <x:c r="D959" s="4"/>
      <x:c r="E959" s="4"/>
      <x:c r="F959" s="4"/>
      <x:c r="G959" s="4"/>
      <x:c r="H959" s="4"/>
      <x:c r="I959" s="4"/>
      <x:c r="J959" s="4"/>
      <x:c r="K959" s="4"/>
      <x:c r="L959" s="4"/>
      <x:c r="M959" s="4"/>
      <x:c r="N959" s="4"/>
      <x:c r="O959" s="4"/>
      <x:c r="P959" s="4"/>
      <x:c r="Q959" s="4"/>
      <x:c r="R959" s="4"/>
      <x:c r="S959" s="4"/>
      <x:c r="T959" s="4"/>
      <x:c r="U959" s="4"/>
      <x:c r="V959" s="4"/>
      <x:c r="W959" s="4"/>
      <x:c r="X959" s="4"/>
      <x:c r="Y959" s="4"/>
      <x:c r="Z959" s="4"/>
      <x:c r="AA959" s="4"/>
      <x:c r="AB959" s="4"/>
      <x:c r="AC959" s="4"/>
      <x:c r="AD959" s="4"/>
      <x:c r="AE959" s="4"/>
      <x:c r="AF959" s="4"/>
      <x:c r="AG959" s="4"/>
      <x:c r="AH959" s="4"/>
      <x:c r="AI959" s="4"/>
      <x:c r="AJ959" s="4"/>
      <x:c r="AK959" s="4"/>
      <x:c r="AL959" s="4"/>
      <x:c r="AM959" s="4"/>
      <x:c r="AN959" s="4"/>
    </x:row>
    <x:row r="960">
      <x:c r="A960" s="4" t="inlineStr">
        <x:is>
          <x:t xml:space="preserve">proposal.clothing.everyday_wraps.legs</x:t>
        </x:is>
      </x:c>
      <x:c r="B960" s="4" t="inlineStr">
        <x:is>
          <x:t xml:space="preserve">Everyday leg wraps</x:t>
        </x:is>
      </x:c>
      <x:c r="C960" s="4" t="inlineStr">
        <x:is>
          <x:t xml:space="preserve">T2</x:t>
        </x:is>
      </x:c>
      <x:c r="D960" s="4" t="inlineStr">
        <x:is>
          <x:t xml:space="preserve">Clothing</x:t>
        </x:is>
      </x:c>
      <x:c r="E960" s="4" t="inlineStr">
        <x:is>
          <x:t xml:space="preserve">Everyday wraps / legs</x:t>
        </x:is>
      </x:c>
      <x:c r="F960" s="4" t="inlineStr">
        <x:is>
          <x:t xml:space="preserve">New proposal</x:t>
        </x:is>
      </x:c>
      <x:c r="G960" s="4" t="inlineStr">
        <x:is>
          <x:t xml:space="preserve">One matched pair of overlapping spiral leg wraps, secured at the lower thigh and ankle by small metal keepers. Leg covering only; foot wraps remain a separate item.</x:t>
        </x:is>
      </x:c>
      <x:c r="H960" s="4" t="inlineStr">
        <x:is>
          <x:t xml:space="preserve">Unassigned; fit unresolved</x:t>
        </x:is>
      </x:c>
      <x:c r="I960" s="4" t="inlineStr">
        <x:is>
          <x:t xml:space="preserve">Booter-worn wrap garment; fit, packing and personal canister clearance unresolved.</x:t>
        </x:is>
      </x:c>
      <x:c r="J960" s="4"/>
      <x:c r="K960" s="4"/>
      <x:c r="L960" s="4" t="inlineStr">
        <x:is>
          <x:t xml:space="preserve">Proposed simple garment craft or trade; price and availability unresolved.</x:t>
        </x:is>
      </x:c>
      <x:c r="M960"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60" s="4" t="inlineStr">
        <x:is>
          <x:t xml:space="preserve">Not implemented</x:t>
        </x:is>
      </x:c>
      <x:c r="O960"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60" s="4"/>
      <x:c r="Q960" s="4"/>
      <x:c r="R960" s="4"/>
      <x:c r="S960" s="4"/>
      <x:c r="T960" s="4"/>
      <x:c r="U960" s="4" t="inlineStr">
        <x:is>
          <x:t xml:space="preserve">Knee movement, strip overlap, fit and fastening remain unresolved. No armor or mobility benefit assigned.</x:t>
        </x:is>
      </x:c>
      <x:c r="V960" s="4" t="inlineStr">
        <x:is>
          <x:t xml:space="preserve">everyday wraps set; leg bindings; spiral leg wraps; separate garment</x:t>
        </x:is>
      </x:c>
      <x:c r="W960"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60" s="4" t="inlineStr">
        <x:is>
          <x:t xml:space="preserve">Wearable</x:t>
        </x:is>
      </x:c>
      <x:c r="Y960" s="4" t="inlineStr">
        <x:is>
          <x:t xml:space="preserve">Finished item</x:t>
        </x:is>
      </x:c>
      <x:c r="Z960" s="4" t="inlineStr">
        <x:is>
          <x:t xml:space="preserve">Manufactured / unresolved</x:t>
        </x:is>
      </x:c>
      <x:c r="AA960" s="4" t="inlineStr">
        <x:is>
          <x:t xml:space="preserve">Clothing</x:t>
        </x:is>
      </x:c>
      <x:c r="AB960" s="4" t="inlineStr">
        <x:is>
          <x:t xml:space="preserve">Husk fiber</x:t>
        </x:is>
      </x:c>
      <x:c r="AC960" s="4" t="inlineStr">
        <x:is>
          <x:t xml:space="preserve">Assembly</x:t>
        </x:is>
      </x:c>
      <x:c r="AD960" s="4" t="inlineStr">
        <x:is>
          <x:t xml:space="preserve">Proposal</x:t>
        </x:is>
      </x:c>
      <x:c r="AE960" s="4" t="str">
        <x:f>LOWER(A960&amp;"; "&amp;B960&amp;"; "&amp;D960&amp;"; "&amp;E960&amp;"; "&amp;X960&amp;"; "&amp;Y960&amp;"; "&amp;Z960&amp;"; "&amp;AA960&amp;"; "&amp;AB960&amp;"; "&amp;AC960&amp;"; "&amp;AD960&amp;"; "&amp;V960&amp;"; "&amp;C960&amp;"; "&amp;AH960&amp;"; "&amp;AI960)</x:f>
        <x:v>proposal.clothing.everyday_wraps.legs; everyday leg wraps; clothing; everyday wraps / legs; wearable; finished item; manufactured / unresolved; clothing; husk fiber; assembly; proposal; everyday wraps set; leg bindings; spiral leg wraps; separate garment; t2; t1; finished item</x:v>
      </x:c>
      <x:c r="AF960" s="4" t="inlineStr">
        <x:is>
          <x:t xml:space="preserve">One independently listed garment in the everyday-wraps family; the family itself is not an inventory item.</x:t>
        </x:is>
      </x:c>
      <x:c r="AG960" s="4" t="inlineStr">
        <x:is>
          <x:t xml:space="preserve">Proposed T2 garment using qualified T1 strip stock and supporting closures. The necessary fiber preparation and assembly route remain unresolved.</x:t>
        </x:is>
      </x:c>
      <x:c r="AH960" s="4" t="inlineStr">
        <x:is>
          <x:t xml:space="preserve">T1</x:t>
        </x:is>
      </x:c>
      <x:c r="AI960" s="4" t="inlineStr">
        <x:is>
          <x:t xml:space="preserve">Finished item</x:t>
        </x:is>
      </x:c>
      <x:c r="AJ960" s="4">
        <x:f>COUNTIFS('Material routes'!$D$6:$D$2205,A960,'Material routes'!$C$6:$C$2205,"Output")</x:f>
        <x:v>0</x:v>
      </x:c>
      <x:c r="AK960" s="4">
        <x:f>SUM(COUNTIFS('Material routes'!$D$6:$D$2205,A960,'Material routes'!$C$6:$C$2205,"Ingredient candidate"),COUNTIFS('Material routes'!$D$6:$D$2205,A960,'Material routes'!$C$6:$C$2205,"Consumed input"),COUNTIFS('Material routes'!$D$6:$D$2205,A960,'Material routes'!$C$6:$C$2205,"Contained input"),COUNTIFS('Material routes'!$D$6:$D$2205,A960,'Material routes'!$C$6:$C$2205,"Transform input"))</x:f>
        <x:v>0</x:v>
      </x:c>
      <x:c r="AL960" s="4">
        <x:f>COUNTIFS('Material routes'!$D$6:$D$2205,A960,'Material routes'!$C$6:$C$2205,"Tool candidate")</x:f>
        <x:v>0</x:v>
      </x:c>
      <x:c r="AM960" s="4" t="str">
        <x:f>IF(AJ960&gt;0,"Route listed; review status/completeness",IF(C960="T0","Raw entry feed; no production route","No production route listed"))</x:f>
        <x:v>No production route listed</x:v>
      </x:c>
      <x:c r="AN960" s="4">
        <x:f>IF(C960="T0",0,IF(C960="T1",1,IF(C960="T2",2,IF(C960="T3",3,IF(C960="T4",4,IF(C960="Unassigned",98,99))))))</x:f>
        <x:v>2</x:v>
      </x:c>
    </x:row>
    <x:row r="961">
      <x:c r="A961" s="4" t="inlineStr">
        <x:is>
          <x:t xml:space="preserve">proposal.clothing.everyday_wraps.feet</x:t>
        </x:is>
      </x:c>
      <x:c r="B961" s="4" t="inlineStr">
        <x:is>
          <x:t xml:space="preserve">Everyday foot wraps</x:t>
        </x:is>
      </x:c>
      <x:c r="C961" s="4" t="inlineStr">
        <x:is>
          <x:t xml:space="preserve">T2</x:t>
        </x:is>
      </x:c>
      <x:c r="D961" s="4" t="inlineStr">
        <x:is>
          <x:t xml:space="preserve">Clothing</x:t>
        </x:is>
      </x:c>
      <x:c r="E961" s="4" t="inlineStr">
        <x:is>
          <x:t xml:space="preserve">Everyday wraps / feet</x:t>
        </x:is>
      </x:c>
      <x:c r="F961" s="4" t="inlineStr">
        <x:is>
          <x:t xml:space="preserve">New proposal</x:t>
        </x:is>
      </x:c>
      <x:c r="G961" s="4" t="inlineStr">
        <x:is>
          <x:t xml:space="preserve">One matched pair of layered foot wraps with a folded sole section and crossed instep binding. Foot covering only; no separate boots, leg wraps or rigid sole is included.</x:t>
        </x:is>
      </x:c>
      <x:c r="H961" s="4" t="inlineStr">
        <x:is>
          <x:t xml:space="preserve">Unassigned; fit unresolved</x:t>
        </x:is>
      </x:c>
      <x:c r="I961" s="4" t="inlineStr">
        <x:is>
          <x:t xml:space="preserve">Booter-worn wrap garment; fit, packing and personal canister clearance unresolved.</x:t>
        </x:is>
      </x:c>
      <x:c r="J961" s="4"/>
      <x:c r="K961" s="4"/>
      <x:c r="L961" s="4" t="inlineStr">
        <x:is>
          <x:t xml:space="preserve">Proposed simple garment craft or trade; price and availability unresolved.</x:t>
        </x:is>
      </x:c>
      <x:c r="M961"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61" s="4" t="inlineStr">
        <x:is>
          <x:t xml:space="preserve">Not implemented</x:t>
        </x:is>
      </x:c>
      <x:c r="O961"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61" s="4"/>
      <x:c r="Q961" s="4"/>
      <x:c r="R961" s="4"/>
      <x:c r="S961" s="4"/>
      <x:c r="T961" s="4"/>
      <x:c r="U961" s="4" t="inlineStr">
        <x:is>
          <x:t xml:space="preserve">Sole wear, fit, traction, fastening and compatibility with other footwear require design. No hazard protection, electrical insulation or speed bonus established.</x:t>
        </x:is>
      </x:c>
      <x:c r="V961" s="4" t="inlineStr">
        <x:is>
          <x:t xml:space="preserve">everyday wraps set; foot bindings; folded sole wraps; separate garment</x:t>
        </x:is>
      </x:c>
      <x:c r="W961"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61" s="4" t="inlineStr">
        <x:is>
          <x:t xml:space="preserve">Wearable</x:t>
        </x:is>
      </x:c>
      <x:c r="Y961" s="4" t="inlineStr">
        <x:is>
          <x:t xml:space="preserve">Finished item</x:t>
        </x:is>
      </x:c>
      <x:c r="Z961" s="4" t="inlineStr">
        <x:is>
          <x:t xml:space="preserve">Manufactured / unresolved</x:t>
        </x:is>
      </x:c>
      <x:c r="AA961" s="4" t="inlineStr">
        <x:is>
          <x:t xml:space="preserve">Clothing</x:t>
        </x:is>
      </x:c>
      <x:c r="AB961" s="4" t="inlineStr">
        <x:is>
          <x:t xml:space="preserve">Husk fiber</x:t>
        </x:is>
      </x:c>
      <x:c r="AC961" s="4" t="inlineStr">
        <x:is>
          <x:t xml:space="preserve">Assembly</x:t>
        </x:is>
      </x:c>
      <x:c r="AD961" s="4" t="inlineStr">
        <x:is>
          <x:t xml:space="preserve">Proposal</x:t>
        </x:is>
      </x:c>
      <x:c r="AE961" s="4" t="str">
        <x:f>LOWER(A961&amp;"; "&amp;B961&amp;"; "&amp;D961&amp;"; "&amp;E961&amp;"; "&amp;X961&amp;"; "&amp;Y961&amp;"; "&amp;Z961&amp;"; "&amp;AA961&amp;"; "&amp;AB961&amp;"; "&amp;AC961&amp;"; "&amp;AD961&amp;"; "&amp;V961&amp;"; "&amp;C961&amp;"; "&amp;AH961&amp;"; "&amp;AI961)</x:f>
        <x:v>proposal.clothing.everyday_wraps.feet; everyday foot wraps; clothing; everyday wraps / feet; wearable; finished item; manufactured / unresolved; clothing; husk fiber; assembly; proposal; everyday wraps set; foot bindings; folded sole wraps; separate garment; t2; t1; finished item</x:v>
      </x:c>
      <x:c r="AF961" s="4" t="inlineStr">
        <x:is>
          <x:t xml:space="preserve">One independently listed garment in the everyday-wraps family; the family itself is not an inventory item.</x:t>
        </x:is>
      </x:c>
      <x:c r="AG961" s="4" t="inlineStr">
        <x:is>
          <x:t xml:space="preserve">Proposed T2 garment using qualified T1 strip stock and supporting closures. The necessary fiber preparation and assembly route remain unresolved.</x:t>
        </x:is>
      </x:c>
      <x:c r="AH961" s="4" t="inlineStr">
        <x:is>
          <x:t xml:space="preserve">T1</x:t>
        </x:is>
      </x:c>
      <x:c r="AI961" s="4" t="inlineStr">
        <x:is>
          <x:t xml:space="preserve">Finished item</x:t>
        </x:is>
      </x:c>
      <x:c r="AJ961" s="4">
        <x:f>COUNTIFS('Material routes'!$D$6:$D$2205,A961,'Material routes'!$C$6:$C$2205,"Output")</x:f>
        <x:v>0</x:v>
      </x:c>
      <x:c r="AK961" s="4">
        <x:f>SUM(COUNTIFS('Material routes'!$D$6:$D$2205,A961,'Material routes'!$C$6:$C$2205,"Ingredient candidate"),COUNTIFS('Material routes'!$D$6:$D$2205,A961,'Material routes'!$C$6:$C$2205,"Consumed input"),COUNTIFS('Material routes'!$D$6:$D$2205,A961,'Material routes'!$C$6:$C$2205,"Contained input"),COUNTIFS('Material routes'!$D$6:$D$2205,A961,'Material routes'!$C$6:$C$2205,"Transform input"))</x:f>
        <x:v>0</x:v>
      </x:c>
      <x:c r="AL961" s="4">
        <x:f>COUNTIFS('Material routes'!$D$6:$D$2205,A961,'Material routes'!$C$6:$C$2205,"Tool candidate")</x:f>
        <x:v>0</x:v>
      </x:c>
      <x:c r="AM961" s="4" t="str">
        <x:f>IF(AJ961&gt;0,"Route listed; review status/completeness",IF(C961="T0","Raw entry feed; no production route","No production route listed"))</x:f>
        <x:v>No production route listed</x:v>
      </x:c>
      <x:c r="AN961" s="4">
        <x:f>IF(C961="T0",0,IF(C961="T1",1,IF(C961="T2",2,IF(C961="T3",3,IF(C961="T4",4,IF(C961="Unassigned",98,99))))))</x:f>
        <x:v>2</x:v>
      </x:c>
    </x:row>
    <x:row r="962">
      <x:c r="A962" s="4" t="inlineStr">
        <x:is>
          <x:t xml:space="preserve">proposal.clothing.everyday_wraps.hands</x:t>
        </x:is>
      </x:c>
      <x:c r="B962" s="4" t="inlineStr">
        <x:is>
          <x:t xml:space="preserve">Everyday hand wraps</x:t>
        </x:is>
      </x:c>
      <x:c r="C962" s="4" t="inlineStr">
        <x:is>
          <x:t xml:space="preserve">T2</x:t>
        </x:is>
      </x:c>
      <x:c r="D962" s="4" t="inlineStr">
        <x:is>
          <x:t xml:space="preserve">Clothing</x:t>
        </x:is>
      </x:c>
      <x:c r="E962" s="4" t="inlineStr">
        <x:is>
          <x:t xml:space="preserve">Everyday wraps / hands</x:t>
        </x:is>
      </x:c>
      <x:c r="F962" s="4" t="inlineStr">
        <x:is>
          <x:t xml:space="preserve">New proposal</x:t>
        </x:is>
      </x:c>
      <x:c r="G962" s="4" t="inlineStr">
        <x:is>
          <x:t xml:space="preserve">One matched pair of crossed palm and wrist wraps with an open-finger shape for ordinary handling. Covers hands and wrists only; it does not include an arm garment or qualified protective gloves.</x:t>
        </x:is>
      </x:c>
      <x:c r="H962" s="4" t="inlineStr">
        <x:is>
          <x:t xml:space="preserve">Unassigned; fit unresolved</x:t>
        </x:is>
      </x:c>
      <x:c r="I962" s="4" t="inlineStr">
        <x:is>
          <x:t xml:space="preserve">Booter-worn wrap garment; fit, packing and personal canister clearance unresolved.</x:t>
        </x:is>
      </x:c>
      <x:c r="J962" s="4"/>
      <x:c r="K962" s="4"/>
      <x:c r="L962" s="4" t="inlineStr">
        <x:is>
          <x:t xml:space="preserve">Proposed simple garment craft or trade; price and availability unresolved.</x:t>
        </x:is>
      </x:c>
      <x:c r="M962"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62" s="4" t="inlineStr">
        <x:is>
          <x:t xml:space="preserve">Not implemented</x:t>
        </x:is>
      </x:c>
      <x:c r="O962"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62" s="4"/>
      <x:c r="Q962" s="4"/>
      <x:c r="R962" s="4"/>
      <x:c r="S962" s="4"/>
      <x:c r="T962" s="4"/>
      <x:c r="U962" s="4" t="inlineStr">
        <x:is>
          <x:t xml:space="preserve">Grip, finger clearance, fastening and abrasion performance remain open. No electrical or hot-work qualification assigned.</x:t>
        </x:is>
      </x:c>
      <x:c r="V962" s="4" t="inlineStr">
        <x:is>
          <x:t xml:space="preserve">everyday wraps set; palm bindings; wrist wraps; separate garment</x:t>
        </x:is>
      </x:c>
      <x:c r="W962"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62" s="4" t="inlineStr">
        <x:is>
          <x:t xml:space="preserve">Wearable</x:t>
        </x:is>
      </x:c>
      <x:c r="Y962" s="4" t="inlineStr">
        <x:is>
          <x:t xml:space="preserve">Finished item</x:t>
        </x:is>
      </x:c>
      <x:c r="Z962" s="4" t="inlineStr">
        <x:is>
          <x:t xml:space="preserve">Manufactured / unresolved</x:t>
        </x:is>
      </x:c>
      <x:c r="AA962" s="4" t="inlineStr">
        <x:is>
          <x:t xml:space="preserve">Clothing</x:t>
        </x:is>
      </x:c>
      <x:c r="AB962" s="4" t="inlineStr">
        <x:is>
          <x:t xml:space="preserve">Husk fiber</x:t>
        </x:is>
      </x:c>
      <x:c r="AC962" s="4" t="inlineStr">
        <x:is>
          <x:t xml:space="preserve">Assembly</x:t>
        </x:is>
      </x:c>
      <x:c r="AD962" s="4" t="inlineStr">
        <x:is>
          <x:t xml:space="preserve">Proposal</x:t>
        </x:is>
      </x:c>
      <x:c r="AE962" s="4" t="str">
        <x:f>LOWER(A962&amp;"; "&amp;B962&amp;"; "&amp;D962&amp;"; "&amp;E962&amp;"; "&amp;X962&amp;"; "&amp;Y962&amp;"; "&amp;Z962&amp;"; "&amp;AA962&amp;"; "&amp;AB962&amp;"; "&amp;AC962&amp;"; "&amp;AD962&amp;"; "&amp;V962&amp;"; "&amp;C962&amp;"; "&amp;AH962&amp;"; "&amp;AI962)</x:f>
        <x:v>proposal.clothing.everyday_wraps.hands; everyday hand wraps; clothing; everyday wraps / hands; wearable; finished item; manufactured / unresolved; clothing; husk fiber; assembly; proposal; everyday wraps set; palm bindings; wrist wraps; separate garment; t2; t1; finished item</x:v>
      </x:c>
      <x:c r="AF962" s="4" t="inlineStr">
        <x:is>
          <x:t xml:space="preserve">One independently listed garment in the everyday-wraps family; the family itself is not an inventory item.</x:t>
        </x:is>
      </x:c>
      <x:c r="AG962" s="4" t="inlineStr">
        <x:is>
          <x:t xml:space="preserve">Proposed T2 garment using qualified T1 strip stock and supporting closures. The necessary fiber preparation and assembly route remain unresolved.</x:t>
        </x:is>
      </x:c>
      <x:c r="AH962" s="4" t="inlineStr">
        <x:is>
          <x:t xml:space="preserve">T1</x:t>
        </x:is>
      </x:c>
      <x:c r="AI962" s="4" t="inlineStr">
        <x:is>
          <x:t xml:space="preserve">Finished item</x:t>
        </x:is>
      </x:c>
      <x:c r="AJ962" s="4">
        <x:f>COUNTIFS('Material routes'!$D$6:$D$2205,A962,'Material routes'!$C$6:$C$2205,"Output")</x:f>
        <x:v>0</x:v>
      </x:c>
      <x:c r="AK962" s="4">
        <x:f>SUM(COUNTIFS('Material routes'!$D$6:$D$2205,A962,'Material routes'!$C$6:$C$2205,"Ingredient candidate"),COUNTIFS('Material routes'!$D$6:$D$2205,A962,'Material routes'!$C$6:$C$2205,"Consumed input"),COUNTIFS('Material routes'!$D$6:$D$2205,A962,'Material routes'!$C$6:$C$2205,"Contained input"),COUNTIFS('Material routes'!$D$6:$D$2205,A962,'Material routes'!$C$6:$C$2205,"Transform input"))</x:f>
        <x:v>0</x:v>
      </x:c>
      <x:c r="AL962" s="4">
        <x:f>COUNTIFS('Material routes'!$D$6:$D$2205,A962,'Material routes'!$C$6:$C$2205,"Tool candidate")</x:f>
        <x:v>0</x:v>
      </x:c>
      <x:c r="AM962" s="4" t="str">
        <x:f>IF(AJ962&gt;0,"Route listed; review status/completeness",IF(C962="T0","Raw entry feed; no production route","No production route listed"))</x:f>
        <x:v>No production route listed</x:v>
      </x:c>
      <x:c r="AN962" s="4">
        <x:f>IF(C962="T0",0,IF(C962="T1",1,IF(C962="T2",2,IF(C962="T3",3,IF(C962="T4",4,IF(C962="Unassigned",98,99))))))</x:f>
        <x:v>2</x:v>
      </x:c>
    </x:row>
    <x:row r="963">
      <x:c r="A963" s="4" t="inlineStr">
        <x:is>
          <x:t xml:space="preserve">proposal.clothing.everyday_wraps.head</x:t>
        </x:is>
      </x:c>
      <x:c r="B963" s="4" t="inlineStr">
        <x:is>
          <x:t xml:space="preserve">Everyday head wrap</x:t>
        </x:is>
      </x:c>
      <x:c r="C963" s="4" t="inlineStr">
        <x:is>
          <x:t xml:space="preserve">T2</x:t>
        </x:is>
      </x:c>
      <x:c r="D963" s="4" t="inlineStr">
        <x:is>
          <x:t xml:space="preserve">Clothing</x:t>
        </x:is>
      </x:c>
      <x:c r="E963" s="4" t="inlineStr">
        <x:is>
          <x:t xml:space="preserve">Everyday wraps / head</x:t>
        </x:is>
      </x:c>
      <x:c r="F963" s="4" t="inlineStr">
        <x:is>
          <x:t xml:space="preserve">New proposal</x:t>
        </x:is>
      </x:c>
      <x:c r="G963" s="4" t="inlineStr">
        <x:is>
          <x:t xml:space="preserve">One simple layered crown wrap with a short overlapping nape tail and an open face. A plain everyday head covering, distinct from the existing face wrap and specialized hats.</x:t>
        </x:is>
      </x:c>
      <x:c r="H963" s="4" t="inlineStr">
        <x:is>
          <x:t xml:space="preserve">Unassigned; fit unresolved</x:t>
        </x:is>
      </x:c>
      <x:c r="I963" s="4" t="inlineStr">
        <x:is>
          <x:t xml:space="preserve">Booter-worn wrap garment; fit, packing and personal canister clearance unresolved.</x:t>
        </x:is>
      </x:c>
      <x:c r="J963" s="4"/>
      <x:c r="K963" s="4"/>
      <x:c r="L963" s="4" t="inlineStr">
        <x:is>
          <x:t xml:space="preserve">Proposed simple garment craft or trade; price and availability unresolved.</x:t>
        </x:is>
      </x:c>
      <x:c r="M963"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63" s="4" t="inlineStr">
        <x:is>
          <x:t xml:space="preserve">Not implemented</x:t>
        </x:is>
      </x:c>
      <x:c r="O963"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63" s="4"/>
      <x:c r="Q963" s="4"/>
      <x:c r="R963" s="4"/>
      <x:c r="S963" s="4"/>
      <x:c r="T963" s="4"/>
      <x:c r="U963" s="4" t="inlineStr">
        <x:is>
          <x:t xml:space="preserve">Head fit, sight and hearing clearance, fastening, wind retention and canister interface require design. No respirator, sealed atmosphere or specialized optical benefit established.</x:t>
        </x:is>
      </x:c>
      <x:c r="V963" s="4" t="inlineStr">
        <x:is>
          <x:t xml:space="preserve">everyday wraps set; crown binding; head covering; nape wrap; separate garment</x:t>
        </x:is>
      </x:c>
      <x:c r="W963"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63" s="4" t="inlineStr">
        <x:is>
          <x:t xml:space="preserve">Wearable</x:t>
        </x:is>
      </x:c>
      <x:c r="Y963" s="4" t="inlineStr">
        <x:is>
          <x:t xml:space="preserve">Finished item</x:t>
        </x:is>
      </x:c>
      <x:c r="Z963" s="4" t="inlineStr">
        <x:is>
          <x:t xml:space="preserve">Manufactured / unresolved</x:t>
        </x:is>
      </x:c>
      <x:c r="AA963" s="4" t="inlineStr">
        <x:is>
          <x:t xml:space="preserve">Clothing</x:t>
        </x:is>
      </x:c>
      <x:c r="AB963" s="4" t="inlineStr">
        <x:is>
          <x:t xml:space="preserve">Husk fiber</x:t>
        </x:is>
      </x:c>
      <x:c r="AC963" s="4" t="inlineStr">
        <x:is>
          <x:t xml:space="preserve">Assembly</x:t>
        </x:is>
      </x:c>
      <x:c r="AD963" s="4" t="inlineStr">
        <x:is>
          <x:t xml:space="preserve">Proposal</x:t>
        </x:is>
      </x:c>
      <x:c r="AE963" s="4" t="str">
        <x:f>LOWER(A963&amp;"; "&amp;B963&amp;"; "&amp;D963&amp;"; "&amp;E963&amp;"; "&amp;X963&amp;"; "&amp;Y963&amp;"; "&amp;Z963&amp;"; "&amp;AA963&amp;"; "&amp;AB963&amp;"; "&amp;AC963&amp;"; "&amp;AD963&amp;"; "&amp;V963&amp;"; "&amp;C963&amp;"; "&amp;AH963&amp;"; "&amp;AI963)</x:f>
        <x:v>proposal.clothing.everyday_wraps.head; everyday head wrap; clothing; everyday wraps / head; wearable; finished item; manufactured / unresolved; clothing; husk fiber; assembly; proposal; everyday wraps set; crown binding; head covering; nape wrap; separate garment; t2; t1; finished item</x:v>
      </x:c>
      <x:c r="AF963" s="4" t="inlineStr">
        <x:is>
          <x:t xml:space="preserve">One independently listed garment in the everyday-wraps family; the family itself is not an inventory item.</x:t>
        </x:is>
      </x:c>
      <x:c r="AG963" s="4" t="inlineStr">
        <x:is>
          <x:t xml:space="preserve">Proposed T2 garment using qualified T1 strip stock and supporting closures. The necessary fiber preparation and assembly route remain unresolved.</x:t>
        </x:is>
      </x:c>
      <x:c r="AH963" s="4" t="inlineStr">
        <x:is>
          <x:t xml:space="preserve">T1</x:t>
        </x:is>
      </x:c>
      <x:c r="AI963" s="4" t="inlineStr">
        <x:is>
          <x:t xml:space="preserve">Finished item</x:t>
        </x:is>
      </x:c>
      <x:c r="AJ963" s="4">
        <x:f>COUNTIFS('Material routes'!$D$6:$D$2205,A963,'Material routes'!$C$6:$C$2205,"Output")</x:f>
        <x:v>0</x:v>
      </x:c>
      <x:c r="AK963" s="4">
        <x:f>SUM(COUNTIFS('Material routes'!$D$6:$D$2205,A963,'Material routes'!$C$6:$C$2205,"Ingredient candidate"),COUNTIFS('Material routes'!$D$6:$D$2205,A963,'Material routes'!$C$6:$C$2205,"Consumed input"),COUNTIFS('Material routes'!$D$6:$D$2205,A963,'Material routes'!$C$6:$C$2205,"Contained input"),COUNTIFS('Material routes'!$D$6:$D$2205,A963,'Material routes'!$C$6:$C$2205,"Transform input"))</x:f>
        <x:v>0</x:v>
      </x:c>
      <x:c r="AL963" s="4">
        <x:f>COUNTIFS('Material routes'!$D$6:$D$2205,A963,'Material routes'!$C$6:$C$2205,"Tool candidate")</x:f>
        <x:v>0</x:v>
      </x:c>
      <x:c r="AM963" s="4" t="str">
        <x:f>IF(AJ963&gt;0,"Route listed; review status/completeness",IF(C963="T0","Raw entry feed; no production route","No production route listed"))</x:f>
        <x:v>No production route listed</x:v>
      </x:c>
      <x:c r="AN963" s="4">
        <x:f>IF(C963="T0",0,IF(C963="T1",1,IF(C963="T2",2,IF(C963="T3",3,IF(C963="T4",4,IF(C963="Unassigned",98,99))))))</x:f>
        <x:v>2</x:v>
      </x:c>
    </x:row>
    <x:row r="964">
      <x:c r="A964" s="4" t="inlineStr">
        <x:is>
          <x:t xml:space="preserve">proposal.camp.folding_shell_stool</x:t>
        </x:is>
      </x:c>
      <x:c r="B964" s="4" t="inlineStr">
        <x:is>
          <x:t xml:space="preserve">Folding shell stool</x:t>
        </x:is>
      </x:c>
      <x:c r="C964" s="4" t="inlineStr">
        <x:is>
          <x:t xml:space="preserve">T2</x:t>
        </x:is>
      </x:c>
      <x:c r="D964" s="4" t="inlineStr">
        <x:is>
          <x:t xml:space="preserve">Salvage</x:t>
        </x:is>
      </x:c>
      <x:c r="E964" s="4" t="inlineStr">
        <x:is>
          <x:t xml:space="preserve">Camp seating</x:t>
        </x:is>
      </x:c>
      <x:c r="F964" s="4" t="inlineStr">
        <x:is>
          <x:t xml:space="preserve">New proposal</x:t>
        </x:is>
      </x:c>
      <x:c r="G964" s="4" t="inlineStr">
        <x:is>
          <x:t xml:space="preserve">A shallow curved shell seat carried on a folding metal support. A compact sitting place for a settled camp, distinct from the existing ground-rest panel. Load, balance and fold retention remain design work.</x:t>
        </x:is>
      </x:c>
      <x:c r="H964" s="4" t="inlineStr">
        <x:is>
          <x:t xml:space="preserve">None; camp placement unresolved</x:t>
        </x:is>
      </x:c>
      <x:c r="I964" s="4" t="inlineStr">
        <x:is>
          <x:t xml:space="preserve">Physical camp inventory / cargo item; folded size, packing and placement unresolved.</x:t>
        </x:is>
      </x:c>
      <x:c r="J964" s="4"/>
      <x:c r="K964" s="4"/>
      <x:c r="L964" s="4" t="inlineStr">
        <x:is>
          <x:t xml:space="preserve">Proposed contemporary fabrication or trade; availability and price unresolved.</x:t>
        </x:is>
      </x:c>
      <x:c r="M964" s="4" t="inlineStr">
        <x:is>
          <x:t xml:space="preserve">Candidate assembly from qualified shell/metal stock and compatible fittings. No recipe, quantities, yields, dimensions or production time assigned.</x:t>
        </x:is>
      </x:c>
      <x:c r="N964" s="4" t="inlineStr">
        <x:is>
          <x:t xml:space="preserve">Not implemented</x:t>
        </x:is>
      </x:c>
      <x:c r="O964" s="4" t="inlineStr">
        <x:is>
          <x:t xml:space="preserve">Fit, loads, stability, wear, dimensions and useful performance remain proposals. No wood, ordinary cloth, natural-water process, numerical bonus or new equipment slot established.</x:t>
        </x:is>
      </x:c>
      <x:c r="P964" s="4"/>
      <x:c r="Q964" s="4"/>
      <x:c r="R964" s="4"/>
      <x:c r="S964" s="4"/>
      <x:c r="T964" s="4"/>
      <x:c r="U964" s="4" t="inlineStr">
        <x:is>
          <x:t xml:space="preserve">Seat curvature, leg spread, hinge stops, load, stability and folded packing remain unresolved. No rest recovery or comfort statistic assigned.</x:t>
        </x:is>
      </x:c>
      <x:c r="V964" s="4" t="inlineStr">
        <x:is>
          <x:t xml:space="preserve">camp chair; folding seat; shell stool; sitting</x:t>
        </x:is>
      </x:c>
      <x:c r="W964"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4" s="4" t="inlineStr">
        <x:is>
          <x:t xml:space="preserve">Household utensil</x:t>
        </x:is>
      </x:c>
      <x:c r="Y964" s="4" t="inlineStr">
        <x:is>
          <x:t xml:space="preserve">Finished item</x:t>
        </x:is>
      </x:c>
      <x:c r="Z964" s="4" t="inlineStr">
        <x:is>
          <x:t xml:space="preserve">Manufactured / unresolved</x:t>
        </x:is>
      </x:c>
      <x:c r="AA964" s="4" t="inlineStr">
        <x:is>
          <x:t xml:space="preserve">Camp rest</x:t>
        </x:is>
      </x:c>
      <x:c r="AB964" s="4" t="inlineStr">
        <x:is>
          <x:t xml:space="preserve">Metal and shell</x:t>
        </x:is>
      </x:c>
      <x:c r="AC964" s="4" t="inlineStr">
        <x:is>
          <x:t xml:space="preserve">Assembly</x:t>
        </x:is>
      </x:c>
      <x:c r="AD964" s="4" t="inlineStr">
        <x:is>
          <x:t xml:space="preserve">Proposal</x:t>
        </x:is>
      </x:c>
      <x:c r="AE964" s="4" t="str">
        <x:f>LOWER(A964&amp;"; "&amp;B964&amp;"; "&amp;D964&amp;"; "&amp;E964&amp;"; "&amp;X964&amp;"; "&amp;Y964&amp;"; "&amp;Z964&amp;"; "&amp;AA964&amp;"; "&amp;AB964&amp;"; "&amp;AC964&amp;"; "&amp;AD964&amp;"; "&amp;V964&amp;"; "&amp;C964&amp;"; "&amp;AH964&amp;"; "&amp;AI964)</x:f>
        <x:v>proposal.camp.folding_shell_stool; folding shell stool; salvage; camp seating; household utensil; finished item; manufactured / unresolved; camp rest; metal and shell; assembly; proposal; camp chair; folding seat; shell stool; sitting; t2; t1; finished item</x:v>
      </x:c>
      <x:c r="AF964" s="4" t="inlineStr">
        <x:is>
          <x:t xml:space="preserve">Independent everyday camp object; Camp items uses the shared filters and sort order without visible subsection grouping. Author direction October 16: all Camp items are Salvage; retire the Camp items section. Item identity, condition, tiers, purposes and recipe semantics remain unchanged.</x:t>
        </x:is>
      </x:c>
      <x:c r="AG964" s="4" t="inlineStr">
        <x:is>
          <x:t xml:space="preserve">Proposed T2 assembly using qualified T1 stock and compatible fittings; actual recipe and qualification unresolved.</x:t>
        </x:is>
      </x:c>
      <x:c r="AH964" s="4" t="inlineStr">
        <x:is>
          <x:t xml:space="preserve">T1</x:t>
        </x:is>
      </x:c>
      <x:c r="AI964" s="4" t="inlineStr">
        <x:is>
          <x:t xml:space="preserve">Finished item</x:t>
        </x:is>
      </x:c>
      <x:c r="AJ964" s="4">
        <x:f>COUNTIFS('Material routes'!$D$6:$D$2205,A964,'Material routes'!$C$6:$C$2205,"Output")</x:f>
        <x:v>0</x:v>
      </x:c>
      <x:c r="AK964" s="4">
        <x:f>SUM(COUNTIFS('Material routes'!$D$6:$D$2205,A964,'Material routes'!$C$6:$C$2205,"Ingredient candidate"),COUNTIFS('Material routes'!$D$6:$D$2205,A964,'Material routes'!$C$6:$C$2205,"Consumed input"),COUNTIFS('Material routes'!$D$6:$D$2205,A964,'Material routes'!$C$6:$C$2205,"Contained input"),COUNTIFS('Material routes'!$D$6:$D$2205,A964,'Material routes'!$C$6:$C$2205,"Transform input"))</x:f>
        <x:v>0</x:v>
      </x:c>
      <x:c r="AL964" s="4">
        <x:f>COUNTIFS('Material routes'!$D$6:$D$2205,A964,'Material routes'!$C$6:$C$2205,"Tool candidate")</x:f>
        <x:v>0</x:v>
      </x:c>
      <x:c r="AM964" s="4" t="str">
        <x:f>IF(AJ964&gt;0,"Route listed; review status/completeness",IF(C964="T0","Raw entry feed; no production route","No production route listed"))</x:f>
        <x:v>No production route listed</x:v>
      </x:c>
      <x:c r="AN964" s="4">
        <x:f>IF(C964="T0",0,IF(C964="T1",1,IF(C964="T2",2,IF(C964="T3",3,IF(C964="T4",4,IF(C964="Unassigned",98,99))))))</x:f>
        <x:v>2</x:v>
      </x:c>
    </x:row>
    <x:row r="965">
      <x:c r="A965" s="4" t="inlineStr">
        <x:is>
          <x:t xml:space="preserve">proposal.camp.folding_camp_table</x:t>
        </x:is>
      </x:c>
      <x:c r="B965" s="4" t="inlineStr">
        <x:is>
          <x:t xml:space="preserve">Folding camp table</x:t>
        </x:is>
      </x:c>
      <x:c r="C965" s="4" t="inlineStr">
        <x:is>
          <x:t xml:space="preserve">T2</x:t>
        </x:is>
      </x:c>
      <x:c r="D965" s="4" t="inlineStr">
        <x:is>
          <x:t xml:space="preserve">Salvage</x:t>
        </x:is>
      </x:c>
      <x:c r="E965" s="4" t="inlineStr">
        <x:is>
          <x:t xml:space="preserve">Camp furniture</x:t>
        </x:is>
      </x:c>
      <x:c r="F965" s="4" t="inlineStr">
        <x:is>
          <x:t xml:space="preserve">New proposal</x:t>
        </x:is>
      </x:c>
      <x:c r="G965" s="4" t="inlineStr">
        <x:is>
          <x:t xml:space="preserve">Two hinged shell leaves form a small dining and sorting surface on folding metal legs. A camp furniture item distinct from the Workbench crafting station; it grants no crafting capability or extra storage.</x:t>
        </x:is>
      </x:c>
      <x:c r="H965" s="4" t="inlineStr">
        <x:is>
          <x:t xml:space="preserve">None; camp placement unresolved</x:t>
        </x:is>
      </x:c>
      <x:c r="I965" s="4" t="inlineStr">
        <x:is>
          <x:t xml:space="preserve">Physical camp inventory / cargo item; folded size, packing and placement unresolved.</x:t>
        </x:is>
      </x:c>
      <x:c r="J965" s="4"/>
      <x:c r="K965" s="4"/>
      <x:c r="L965" s="4" t="inlineStr">
        <x:is>
          <x:t xml:space="preserve">Proposed contemporary fabrication or trade; availability and price unresolved.</x:t>
        </x:is>
      </x:c>
      <x:c r="M965" s="4" t="inlineStr">
        <x:is>
          <x:t xml:space="preserve">Candidate assembly from qualified shell/metal stock and compatible fittings. No recipe, quantities, yields, dimensions or production time assigned.</x:t>
        </x:is>
      </x:c>
      <x:c r="N965" s="4" t="inlineStr">
        <x:is>
          <x:t xml:space="preserve">Not implemented</x:t>
        </x:is>
      </x:c>
      <x:c r="O965" s="4" t="inlineStr">
        <x:is>
          <x:t xml:space="preserve">Fit, loads, stability, wear, dimensions and useful performance remain proposals. No wood, ordinary cloth, natural-water process, numerical bonus or new equipment slot established.</x:t>
        </x:is>
      </x:c>
      <x:c r="P965" s="4"/>
      <x:c r="Q965" s="4"/>
      <x:c r="R965" s="4"/>
      <x:c r="S965" s="4"/>
      <x:c r="T965" s="4"/>
      <x:c r="U965" s="4" t="inlineStr">
        <x:is>
          <x:t xml:space="preserve">Panel joining, fold locks, leg stability, load and folded volume remain unresolved. Not a crafting station, storage holder or additional inventory capacity.</x:t>
        </x:is>
      </x:c>
      <x:c r="V965" s="4" t="inlineStr">
        <x:is>
          <x:t xml:space="preserve">camp dining table; folding table; shell tabletop; meal surface</x:t>
        </x:is>
      </x:c>
      <x:c r="W965"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5" s="4" t="inlineStr">
        <x:is>
          <x:t xml:space="preserve">Household utensil</x:t>
        </x:is>
      </x:c>
      <x:c r="Y965" s="4" t="inlineStr">
        <x:is>
          <x:t xml:space="preserve">Finished item</x:t>
        </x:is>
      </x:c>
      <x:c r="Z965" s="4" t="inlineStr">
        <x:is>
          <x:t xml:space="preserve">Manufactured / unresolved</x:t>
        </x:is>
      </x:c>
      <x:c r="AA965" s="4" t="inlineStr">
        <x:is>
          <x:t xml:space="preserve">Food service</x:t>
        </x:is>
      </x:c>
      <x:c r="AB965" s="4" t="inlineStr">
        <x:is>
          <x:t xml:space="preserve">Metal and shell</x:t>
        </x:is>
      </x:c>
      <x:c r="AC965" s="4" t="inlineStr">
        <x:is>
          <x:t xml:space="preserve">Assembly</x:t>
        </x:is>
      </x:c>
      <x:c r="AD965" s="4" t="inlineStr">
        <x:is>
          <x:t xml:space="preserve">Proposal</x:t>
        </x:is>
      </x:c>
      <x:c r="AE965" s="4" t="str">
        <x:f>LOWER(A965&amp;"; "&amp;B965&amp;"; "&amp;D965&amp;"; "&amp;E965&amp;"; "&amp;X965&amp;"; "&amp;Y965&amp;"; "&amp;Z965&amp;"; "&amp;AA965&amp;"; "&amp;AB965&amp;"; "&amp;AC965&amp;"; "&amp;AD965&amp;"; "&amp;V965&amp;"; "&amp;C965&amp;"; "&amp;AH965&amp;"; "&amp;AI965)</x:f>
        <x:v>proposal.camp.folding_camp_table; folding camp table; salvage; camp furniture; household utensil; finished item; manufactured / unresolved; food service; metal and shell; assembly; proposal; camp dining table; folding table; shell tabletop; meal surface; t2; t1; finished item</x:v>
      </x:c>
      <x:c r="AF965" s="4" t="inlineStr">
        <x:is>
          <x:t xml:space="preserve">Independent everyday camp object; Camp items uses the shared filters and sort order without visible subsection grouping. Author direction October 16: all Camp items are Salvage; retire the Camp items section. Item identity, condition, tiers, purposes and recipe semantics remain unchanged.</x:t>
        </x:is>
      </x:c>
      <x:c r="AG965" s="4" t="inlineStr">
        <x:is>
          <x:t xml:space="preserve">Proposed T2 assembly using qualified T1 stock and compatible fittings; actual recipe and qualification unresolved.</x:t>
        </x:is>
      </x:c>
      <x:c r="AH965" s="4" t="inlineStr">
        <x:is>
          <x:t xml:space="preserve">T1</x:t>
        </x:is>
      </x:c>
      <x:c r="AI965" s="4" t="inlineStr">
        <x:is>
          <x:t xml:space="preserve">Finished item</x:t>
        </x:is>
      </x:c>
      <x:c r="AJ965" s="4">
        <x:f>COUNTIFS('Material routes'!$D$6:$D$2205,A965,'Material routes'!$C$6:$C$2205,"Output")</x:f>
        <x:v>0</x:v>
      </x:c>
      <x:c r="AK965" s="4">
        <x:f>SUM(COUNTIFS('Material routes'!$D$6:$D$2205,A965,'Material routes'!$C$6:$C$2205,"Ingredient candidate"),COUNTIFS('Material routes'!$D$6:$D$2205,A965,'Material routes'!$C$6:$C$2205,"Consumed input"),COUNTIFS('Material routes'!$D$6:$D$2205,A965,'Material routes'!$C$6:$C$2205,"Contained input"),COUNTIFS('Material routes'!$D$6:$D$2205,A965,'Material routes'!$C$6:$C$2205,"Transform input"))</x:f>
        <x:v>0</x:v>
      </x:c>
      <x:c r="AL965" s="4">
        <x:f>COUNTIFS('Material routes'!$D$6:$D$2205,A965,'Material routes'!$C$6:$C$2205,"Tool candidate")</x:f>
        <x:v>0</x:v>
      </x:c>
      <x:c r="AM965" s="4" t="str">
        <x:f>IF(AJ965&gt;0,"Route listed; review status/completeness",IF(C965="T0","Raw entry feed; no production route","No production route listed"))</x:f>
        <x:v>No production route listed</x:v>
      </x:c>
      <x:c r="AN965" s="4">
        <x:f>IF(C965="T0",0,IF(C965="T1",1,IF(C965="T2",2,IF(C965="T3",3,IF(C965="T4",4,IF(C965="Unassigned",98,99))))))</x:f>
        <x:v>2</x:v>
      </x:c>
    </x:row>
    <x:row r="966">
      <x:c r="A966" s="4" t="inlineStr">
        <x:is>
          <x:t xml:space="preserve">proposal.camp.adjustable_shell_headrest</x:t>
        </x:is>
      </x:c>
      <x:c r="B966" s="4" t="inlineStr">
        <x:is>
          <x:t xml:space="preserve">Adjustable shell headrest</x:t>
        </x:is>
      </x:c>
      <x:c r="C966" s="4" t="inlineStr">
        <x:is>
          <x:t xml:space="preserve">T2</x:t>
        </x:is>
      </x:c>
      <x:c r="D966" s="4" t="inlineStr">
        <x:is>
          <x:t xml:space="preserve">Salvage</x:t>
        </x:is>
      </x:c>
      <x:c r="E966" s="4" t="inlineStr">
        <x:is>
          <x:t xml:space="preserve">Camp resting support</x:t>
        </x:is>
      </x:c>
      <x:c r="F966" s="4" t="inlineStr">
        <x:is>
          <x:t xml:space="preserve">New proposal</x:t>
        </x:is>
      </x:c>
      <x:c r="G966" s="4" t="inlineStr">
        <x:is>
          <x:t xml:space="preserve">A smooth shallow shell saddle on a short notched metal support, intended to position the head above a camp resting surface. Separate from the existing ground-rest panel and bedding; canister clearance and useful support require design.</x:t>
        </x:is>
      </x:c>
      <x:c r="H966" s="4" t="inlineStr">
        <x:is>
          <x:t xml:space="preserve">None; camp placement unresolved</x:t>
        </x:is>
      </x:c>
      <x:c r="I966" s="4" t="inlineStr">
        <x:is>
          <x:t xml:space="preserve">Physical camp inventory / cargo item; folded size, packing and placement unresolved.</x:t>
        </x:is>
      </x:c>
      <x:c r="J966" s="4"/>
      <x:c r="K966" s="4"/>
      <x:c r="L966" s="4" t="inlineStr">
        <x:is>
          <x:t xml:space="preserve">Proposed contemporary fabrication or trade; availability and price unresolved.</x:t>
        </x:is>
      </x:c>
      <x:c r="M966" s="4" t="inlineStr">
        <x:is>
          <x:t xml:space="preserve">Candidate assembly from qualified shell/metal stock and compatible fittings. No recipe, quantities, yields, dimensions or production time assigned.</x:t>
        </x:is>
      </x:c>
      <x:c r="N966" s="4" t="inlineStr">
        <x:is>
          <x:t xml:space="preserve">Not implemented</x:t>
        </x:is>
      </x:c>
      <x:c r="O966" s="4" t="inlineStr">
        <x:is>
          <x:t xml:space="preserve">Fit, loads, stability, wear, dimensions and useful performance remain proposals. No wood, ordinary cloth, natural-water process, numerical bonus or new equipment slot established.</x:t>
        </x:is>
      </x:c>
      <x:c r="P966" s="4"/>
      <x:c r="Q966" s="4"/>
      <x:c r="R966" s="4"/>
      <x:c r="S966" s="4"/>
      <x:c r="T966" s="4"/>
      <x:c r="U966" s="4" t="inlineStr">
        <x:is>
          <x:t xml:space="preserve">Saddle shape, height adjustment, edge finishing, stability, wearer fit and personal canister clearance remain unresolved. No medical, sleep-quality or recovery benefit assigned.</x:t>
        </x:is>
      </x:c>
      <x:c r="V966" s="4" t="inlineStr">
        <x:is>
          <x:t xml:space="preserve">camp headrest; shell neck support; sleeping head support</x:t>
        </x:is>
      </x:c>
      <x:c r="W966"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6" s="4" t="inlineStr">
        <x:is>
          <x:t xml:space="preserve">Household utensil</x:t>
        </x:is>
      </x:c>
      <x:c r="Y966" s="4" t="inlineStr">
        <x:is>
          <x:t xml:space="preserve">Finished item</x:t>
        </x:is>
      </x:c>
      <x:c r="Z966" s="4" t="inlineStr">
        <x:is>
          <x:t xml:space="preserve">Manufactured / unresolved</x:t>
        </x:is>
      </x:c>
      <x:c r="AA966" s="4" t="inlineStr">
        <x:is>
          <x:t xml:space="preserve">Camp rest</x:t>
        </x:is>
      </x:c>
      <x:c r="AB966" s="4" t="inlineStr">
        <x:is>
          <x:t xml:space="preserve">Metal and shell</x:t>
        </x:is>
      </x:c>
      <x:c r="AC966" s="4" t="inlineStr">
        <x:is>
          <x:t xml:space="preserve">Assembly</x:t>
        </x:is>
      </x:c>
      <x:c r="AD966" s="4" t="inlineStr">
        <x:is>
          <x:t xml:space="preserve">Proposal</x:t>
        </x:is>
      </x:c>
      <x:c r="AE966" s="4" t="str">
        <x:f>LOWER(A966&amp;"; "&amp;B966&amp;"; "&amp;D966&amp;"; "&amp;E966&amp;"; "&amp;X966&amp;"; "&amp;Y966&amp;"; "&amp;Z966&amp;"; "&amp;AA966&amp;"; "&amp;AB966&amp;"; "&amp;AC966&amp;"; "&amp;AD966&amp;"; "&amp;V966&amp;"; "&amp;C966&amp;"; "&amp;AH966&amp;"; "&amp;AI966)</x:f>
        <x:v>proposal.camp.adjustable_shell_headrest; adjustable shell headrest; salvage; camp resting support; household utensil; finished item; manufactured / unresolved; camp rest; metal and shell; assembly; proposal; camp headrest; shell neck support; sleeping head support; t2; t1; finished item</x:v>
      </x:c>
      <x:c r="AF966" s="4" t="inlineStr">
        <x:is>
          <x:t xml:space="preserve">Independent everyday camp object; Camp items uses the shared filters and sort order without visible subsection grouping. Author direction October 16: all Camp items are Salvage; retire the Camp items section. Item identity, condition, tiers, purposes and recipe semantics remain unchanged.</x:t>
        </x:is>
      </x:c>
      <x:c r="AG966" s="4" t="inlineStr">
        <x:is>
          <x:t xml:space="preserve">Proposed T2 assembly using qualified T1 stock and compatible fittings; actual recipe and qualification unresolved.</x:t>
        </x:is>
      </x:c>
      <x:c r="AH966" s="4" t="inlineStr">
        <x:is>
          <x:t xml:space="preserve">T1</x:t>
        </x:is>
      </x:c>
      <x:c r="AI966" s="4" t="inlineStr">
        <x:is>
          <x:t xml:space="preserve">Finished item</x:t>
        </x:is>
      </x:c>
      <x:c r="AJ966" s="4">
        <x:f>COUNTIFS('Material routes'!$D$6:$D$2205,A966,'Material routes'!$C$6:$C$2205,"Output")</x:f>
        <x:v>0</x:v>
      </x:c>
      <x:c r="AK966" s="4">
        <x:f>SUM(COUNTIFS('Material routes'!$D$6:$D$2205,A966,'Material routes'!$C$6:$C$2205,"Ingredient candidate"),COUNTIFS('Material routes'!$D$6:$D$2205,A966,'Material routes'!$C$6:$C$2205,"Consumed input"),COUNTIFS('Material routes'!$D$6:$D$2205,A966,'Material routes'!$C$6:$C$2205,"Contained input"),COUNTIFS('Material routes'!$D$6:$D$2205,A966,'Material routes'!$C$6:$C$2205,"Transform input"))</x:f>
        <x:v>0</x:v>
      </x:c>
      <x:c r="AL966" s="4">
        <x:f>COUNTIFS('Material routes'!$D$6:$D$2205,A966,'Material routes'!$C$6:$C$2205,"Tool candidate")</x:f>
        <x:v>0</x:v>
      </x:c>
      <x:c r="AM966" s="4" t="str">
        <x:f>IF(AJ966&gt;0,"Route listed; review status/completeness",IF(C966="T0","Raw entry feed; no production route","No production route listed"))</x:f>
        <x:v>No production route listed</x:v>
      </x:c>
      <x:c r="AN966" s="4">
        <x:f>IF(C966="T0",0,IF(C966="T1",1,IF(C966="T2",2,IF(C966="T3",3,IF(C966="T4",4,IF(C966="Unassigned",98,99))))))</x:f>
        <x:v>2</x:v>
      </x:c>
    </x:row>
    <x:row r="967">
      <x:c r="A967" s="4" t="inlineStr">
        <x:is>
          <x:t xml:space="preserve">proposal.camp.boot_scraper</x:t>
        </x:is>
      </x:c>
      <x:c r="B967" s="4" t="inlineStr">
        <x:is>
          <x:t xml:space="preserve">Camp boot scraper</x:t>
        </x:is>
      </x:c>
      <x:c r="C967" s="4" t="inlineStr">
        <x:is>
          <x:t xml:space="preserve">T2</x:t>
        </x:is>
      </x:c>
      <x:c r="D967" s="4" t="inlineStr">
        <x:is>
          <x:t xml:space="preserve">Salvage</x:t>
        </x:is>
      </x:c>
      <x:c r="E967" s="4" t="inlineStr">
        <x:is>
          <x:t xml:space="preserve">Camp cleaning fixture</x:t>
        </x:is>
      </x:c>
      <x:c r="F967" s="4" t="inlineStr">
        <x:is>
          <x:t xml:space="preserve">New proposal</x:t>
        </x:is>
      </x:c>
      <x:c r="G967" s="4" t="inlineStr">
        <x:is>
          <x:t xml:space="preserve">A low slotted metal scraping edge over a removable shell grit tray, intended to clear loose packed grit from footwear outside a shelter. Unlike the existing dust brush and folding grit pan, this is a fixed scraping fixture with its own catch tray.</x:t>
        </x:is>
      </x:c>
      <x:c r="H967" s="4" t="inlineStr">
        <x:is>
          <x:t xml:space="preserve">None; camp placement unresolved</x:t>
        </x:is>
      </x:c>
      <x:c r="I967" s="4" t="inlineStr">
        <x:is>
          <x:t xml:space="preserve">Physical camp inventory / cargo item; folded size, packing and placement unresolved.</x:t>
        </x:is>
      </x:c>
      <x:c r="J967" s="4"/>
      <x:c r="K967" s="4"/>
      <x:c r="L967" s="4" t="inlineStr">
        <x:is>
          <x:t xml:space="preserve">Proposed contemporary fabrication or trade; availability and price unresolved.</x:t>
        </x:is>
      </x:c>
      <x:c r="M967" s="4" t="inlineStr">
        <x:is>
          <x:t xml:space="preserve">Candidate assembly from qualified shell/metal stock and compatible fittings. No recipe, quantities, yields, dimensions or production time assigned.</x:t>
        </x:is>
      </x:c>
      <x:c r="N967" s="4" t="inlineStr">
        <x:is>
          <x:t xml:space="preserve">Not implemented</x:t>
        </x:is>
      </x:c>
      <x:c r="O967" s="4" t="inlineStr">
        <x:is>
          <x:t xml:space="preserve">Fit, loads, stability, wear, dimensions and useful performance remain proposals. No wood, ordinary cloth, natural-water process, numerical bonus or new equipment slot established.</x:t>
        </x:is>
      </x:c>
      <x:c r="P967" s="4"/>
      <x:c r="Q967" s="4"/>
      <x:c r="R967" s="4"/>
      <x:c r="S967" s="4"/>
      <x:c r="T967" s="4"/>
      <x:c r="U967" s="4" t="inlineStr">
        <x:is>
          <x:t xml:space="preserve">Edge profile, tray retention, tipping resistance, cleaning and footwear compatibility remain unresolved. No footwear repair, durability recovery or mandatory cleaning chore established.</x:t>
        </x:is>
      </x:c>
      <x:c r="V967" s="4" t="inlineStr">
        <x:is>
          <x:t xml:space="preserve">sole scraper; footwear grit cleaner; camp boot cleaning; grit tray</x:t>
        </x:is>
      </x:c>
      <x:c r="W967"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7" s="4" t="inlineStr">
        <x:is>
          <x:t xml:space="preserve">Household utensil</x:t>
        </x:is>
      </x:c>
      <x:c r="Y967" s="4" t="inlineStr">
        <x:is>
          <x:t xml:space="preserve">Finished item</x:t>
        </x:is>
      </x:c>
      <x:c r="Z967" s="4" t="inlineStr">
        <x:is>
          <x:t xml:space="preserve">Manufactured / unresolved</x:t>
        </x:is>
      </x:c>
      <x:c r="AA967" s="4" t="inlineStr">
        <x:is>
          <x:t xml:space="preserve">Cleaning</x:t>
        </x:is>
      </x:c>
      <x:c r="AB967" s="4" t="inlineStr">
        <x:is>
          <x:t xml:space="preserve">Metal and shell</x:t>
        </x:is>
      </x:c>
      <x:c r="AC967" s="4" t="inlineStr">
        <x:is>
          <x:t xml:space="preserve">Assembly</x:t>
        </x:is>
      </x:c>
      <x:c r="AD967" s="4" t="inlineStr">
        <x:is>
          <x:t xml:space="preserve">Proposal</x:t>
        </x:is>
      </x:c>
      <x:c r="AE967" s="4" t="str">
        <x:f>LOWER(A967&amp;"; "&amp;B967&amp;"; "&amp;D967&amp;"; "&amp;E967&amp;"; "&amp;X967&amp;"; "&amp;Y967&amp;"; "&amp;Z967&amp;"; "&amp;AA967&amp;"; "&amp;AB967&amp;"; "&amp;AC967&amp;"; "&amp;AD967&amp;"; "&amp;V967&amp;"; "&amp;C967&amp;"; "&amp;AH967&amp;"; "&amp;AI967)</x:f>
        <x:v>proposal.camp.boot_scraper; camp boot scraper; salvage; camp cleaning fixture; household utensil; finished item; manufactured / unresolved; cleaning; metal and shell; assembly; proposal; sole scraper; footwear grit cleaner; camp boot cleaning; grit tray; t2; t1; finished item</x:v>
      </x:c>
      <x:c r="AF967" s="4" t="inlineStr">
        <x:is>
          <x:t xml:space="preserve">Independent everyday camp object; Camp items uses the shared filters and sort order without visible subsection grouping. Author direction October 16: all Camp items are Salvage; retire the Camp items section. Item identity, condition, tiers, purposes and recipe semantics remain unchanged.</x:t>
        </x:is>
      </x:c>
      <x:c r="AG967" s="4" t="inlineStr">
        <x:is>
          <x:t xml:space="preserve">Proposed T2 assembly using qualified T1 stock and compatible fittings; actual recipe and qualification unresolved.</x:t>
        </x:is>
      </x:c>
      <x:c r="AH967" s="4" t="inlineStr">
        <x:is>
          <x:t xml:space="preserve">T1</x:t>
        </x:is>
      </x:c>
      <x:c r="AI967" s="4" t="inlineStr">
        <x:is>
          <x:t xml:space="preserve">Finished item</x:t>
        </x:is>
      </x:c>
      <x:c r="AJ967" s="4">
        <x:f>COUNTIFS('Material routes'!$D$6:$D$2205,A967,'Material routes'!$C$6:$C$2205,"Output")</x:f>
        <x:v>0</x:v>
      </x:c>
      <x:c r="AK967" s="4">
        <x:f>SUM(COUNTIFS('Material routes'!$D$6:$D$2205,A967,'Material routes'!$C$6:$C$2205,"Ingredient candidate"),COUNTIFS('Material routes'!$D$6:$D$2205,A967,'Material routes'!$C$6:$C$2205,"Consumed input"),COUNTIFS('Material routes'!$D$6:$D$2205,A967,'Material routes'!$C$6:$C$2205,"Contained input"),COUNTIFS('Material routes'!$D$6:$D$2205,A967,'Material routes'!$C$6:$C$2205,"Transform input"))</x:f>
        <x:v>0</x:v>
      </x:c>
      <x:c r="AL967" s="4">
        <x:f>COUNTIFS('Material routes'!$D$6:$D$2205,A967,'Material routes'!$C$6:$C$2205,"Tool candidate")</x:f>
        <x:v>0</x:v>
      </x:c>
      <x:c r="AM967" s="4" t="str">
        <x:f>IF(AJ967&gt;0,"Route listed; review status/completeness",IF(C967="T0","Raw entry feed; no production route","No production route listed"))</x:f>
        <x:v>No production route listed</x:v>
      </x:c>
      <x:c r="AN967" s="4">
        <x:f>IF(C967="T0",0,IF(C967="T1",1,IF(C967="T2",2,IF(C967="T3",3,IF(C967="T4",4,IF(C967="Unassigned",98,99))))))</x:f>
        <x:v>2</x:v>
      </x:c>
    </x:row>
    <x:row r="968">
      <x:c r="A968" s="4" t="inlineStr">
        <x:is>
          <x:t xml:space="preserve">proposal.culture.interlocking_iron_ring_puzzle</x:t>
        </x:is>
      </x:c>
      <x:c r="B968" s="4" t="inlineStr">
        <x:is>
          <x:t xml:space="preserve">Interlocking iron ring puzzle</x:t>
        </x:is>
      </x:c>
      <x:c r="C968" s="4" t="inlineStr">
        <x:is>
          <x:t xml:space="preserve">T2</x:t>
        </x:is>
      </x:c>
      <x:c r="D968" s="4" t="inlineStr">
        <x:is>
          <x:t xml:space="preserve">Salvage</x:t>
        </x:is>
      </x:c>
      <x:c r="E968" s="4" t="inlineStr">
        <x:is>
          <x:t xml:space="preserve">Leisure puzzle</x:t>
        </x:is>
      </x:c>
      <x:c r="F968" s="4" t="inlineStr">
        <x:is>
          <x:t xml:space="preserve">New proposal</x:t>
        </x:is>
      </x:c>
      <x:c r="G968" s="4" t="inlineStr">
        <x:is>
          <x:t xml:space="preserve">A palm-sized disentangling puzzle made from interlinked iron loops and a sliding keeper. Proposed as a simple object for passing time or exchanging puzzle challenges; its exact solvable geometry and any cultural associations remain open.</x:t>
        </x:is>
      </x:c>
      <x:c r="H968" s="4" t="inlineStr">
        <x:is>
          <x:t xml:space="preserve">None</x:t>
        </x:is>
      </x:c>
      <x:c r="I968" s="4" t="inlineStr">
        <x:is>
          <x:t xml:space="preserve">Small physical inventory / cargo object; dimensions and packing unresolved.</x:t>
        </x:is>
      </x:c>
      <x:c r="J968" s="4"/>
      <x:c r="K968" s="4"/>
      <x:c r="L968" s="4" t="inlineStr">
        <x:is>
          <x:t xml:space="preserve">Proposed metalworker craft or trade; availability and price unresolved.</x:t>
        </x:is>
      </x:c>
      <x:c r="M968" s="4" t="inlineStr">
        <x:is>
          <x:t xml:space="preserve">Candidate forming, joining and edge finishing of qualified iron stock into linked loops and a retained sliding keeper. Exact solvable geometry, inputs, quantities and production time remain unresolved.</x:t>
        </x:is>
      </x:c>
      <x:c r="N968" s="4" t="inlineStr">
        <x:is>
          <x:t xml:space="preserve">Not implemented</x:t>
        </x:is>
      </x:c>
      <x:c r="O968" s="4" t="inlineStr">
        <x:is>
          <x:t xml:space="preserve">A cultural leisure object, not a lockpick, restraint or equipment attachment. No minigame, skill gain, morale bonus, reward, canonical custom, wood, ordinary cloth or natural-water process established.</x:t>
        </x:is>
      </x:c>
      <x:c r="P968" s="4"/>
      <x:c r="Q968" s="4"/>
      <x:c r="R968" s="4"/>
      <x:c r="S968" s="4"/>
      <x:c r="T968" s="4"/>
      <x:c r="U968" s="4" t="inlineStr">
        <x:is>
          <x:t xml:space="preserve">Resolve a workable disentangling geometry, whether parts separate or remain captive, edge finishing, scale, presentation and acquisition. No puzzle rules, solution, difficulty, rewards or accepted social tradition assigned.</x:t>
        </x:is>
      </x:c>
      <x:c r="V968" s="4" t="inlineStr">
        <x:is>
          <x:t xml:space="preserve">ring puzzle; iron loop puzzle; disentangling puzzle; leisure object; metal brainteaser</x:t>
        </x:is>
      </x:c>
      <x:c r="W968" s="4" t="inlineStr">
        <x:is>
          <x:t xml:space="preserve">Author requested one more brainstormed cultural object, October 16, 2026. Local leisure-object proposal governed by Docs/WORLD_BASIS.md; no specific culture, institution or traditional custom established. Setting constraints: Docs/WORLD_BASIS.md#material-culture.</x:t>
        </x:is>
      </x:c>
      <x:c r="X968" s="4" t="inlineStr">
        <x:is>
          <x:t xml:space="preserve">Cultural object</x:t>
        </x:is>
      </x:c>
      <x:c r="Y968" s="4" t="inlineStr">
        <x:is>
          <x:t xml:space="preserve">Finished item</x:t>
        </x:is>
      </x:c>
      <x:c r="Z968" s="4" t="inlineStr">
        <x:is>
          <x:t xml:space="preserve">Manufactured / unresolved</x:t>
        </x:is>
      </x:c>
      <x:c r="AA968" s="4" t="inlineStr">
        <x:is>
          <x:t xml:space="preserve">Culture support</x:t>
        </x:is>
      </x:c>
      <x:c r="AB968" s="4" t="inlineStr">
        <x:is>
          <x:t xml:space="preserve">Metal</x:t>
        </x:is>
      </x:c>
      <x:c r="AC968" s="4" t="inlineStr">
        <x:is>
          <x:t xml:space="preserve">Assembly</x:t>
        </x:is>
      </x:c>
      <x:c r="AD968" s="4" t="inlineStr">
        <x:is>
          <x:t xml:space="preserve">Proposal</x:t>
        </x:is>
      </x:c>
      <x:c r="AE968" s="4" t="str">
        <x:f>LOWER(A968&amp;"; "&amp;B968&amp;"; "&amp;D968&amp;"; "&amp;E968&amp;"; "&amp;X968&amp;"; "&amp;Y968&amp;"; "&amp;Z968&amp;"; "&amp;AA968&amp;"; "&amp;AB968&amp;"; "&amp;AC968&amp;"; "&amp;AD968&amp;"; "&amp;V968&amp;"; "&amp;C968&amp;"; "&amp;AH968&amp;"; "&amp;AI968)</x:f>
        <x:v>proposal.culture.interlocking_iron_ring_puzzle; interlocking iron ring puzzle; salvage; leisure puzzle; cultural object; finished item; manufactured / unresolved; culture support; metal; assembly; proposal; ring puzzle; iron loop puzzle; disentangling puzzle; leisure object; metal brainteaser; t2; t1; finished item</x:v>
      </x:c>
      <x:c r="AF968" s="4" t="inlineStr">
        <x:is>
          <x:t xml:space="preserve">Author-requested cultural expansion; one individually listed leisure object with proposed use and appearance. Author direction October 16: all remaining Cultural objects are Salvage; remove the cultural items section. Preserve item identity, descriptions, condition, tiers, uses and recipe semantics.</x:t>
        </x:is>
      </x:c>
      <x:c r="AG968" s="4" t="inlineStr">
        <x:is>
          <x:t xml:space="preserve">Proposed T2 finished object using qualified T1 iron stock; forming, geometry and finishing route unresolved.</x:t>
        </x:is>
      </x:c>
      <x:c r="AH968" s="4" t="inlineStr">
        <x:is>
          <x:t xml:space="preserve">T1</x:t>
        </x:is>
      </x:c>
      <x:c r="AI968" s="4" t="inlineStr">
        <x:is>
          <x:t xml:space="preserve">Finished item</x:t>
        </x:is>
      </x:c>
      <x:c r="AJ968" s="4">
        <x:f>COUNTIFS('Material routes'!$D$6:$D$2205,A968,'Material routes'!$C$6:$C$2205,"Output")</x:f>
        <x:v>0</x:v>
      </x:c>
      <x:c r="AK968" s="4">
        <x:f>SUM(COUNTIFS('Material routes'!$D$6:$D$2205,A968,'Material routes'!$C$6:$C$2205,"Ingredient candidate"),COUNTIFS('Material routes'!$D$6:$D$2205,A968,'Material routes'!$C$6:$C$2205,"Consumed input"),COUNTIFS('Material routes'!$D$6:$D$2205,A968,'Material routes'!$C$6:$C$2205,"Contained input"),COUNTIFS('Material routes'!$D$6:$D$2205,A968,'Material routes'!$C$6:$C$2205,"Transform input"))</x:f>
        <x:v>0</x:v>
      </x:c>
      <x:c r="AL968" s="4">
        <x:f>COUNTIFS('Material routes'!$D$6:$D$2205,A968,'Material routes'!$C$6:$C$2205,"Tool candidate")</x:f>
        <x:v>0</x:v>
      </x:c>
      <x:c r="AM968" s="4" t="str">
        <x:f>IF(AJ968&gt;0,"Route listed; review status/completeness",IF(C968="T0","Raw entry feed; no production route","No production route listed"))</x:f>
        <x:v>No production route listed</x:v>
      </x:c>
      <x:c r="AN968" s="4">
        <x:f>IF(C968="T0",0,IF(C968="T1",1,IF(C968="T2",2,IF(C968="T3",3,IF(C968="T4",4,IF(C968="Unassigned",98,99))))))</x:f>
        <x:v>2</x:v>
      </x:c>
    </x:row>
    <x:row r="969">
      <x:c r="A969" s="4" t="inlineStr">
        <x:is>
          <x:t xml:space="preserve">proposal.clothing.fancy_husk_fiber.trousers</x:t>
        </x:is>
      </x:c>
      <x:c r="B969" s="4" t="inlineStr">
        <x:is>
          <x:t xml:space="preserve">Panelled husk-fiber dress trousers</x:t>
        </x:is>
      </x:c>
      <x:c r="C969" s="4" t="inlineStr">
        <x:is>
          <x:t xml:space="preserve">T3</x:t>
        </x:is>
      </x:c>
      <x:c r="D969" s="4" t="inlineStr">
        <x:is>
          <x:t xml:space="preserve">Clothing</x:t>
        </x:is>
      </x:c>
      <x:c r="E969" s="4" t="inlineStr">
        <x:is>
          <x:t xml:space="preserve">Fancy husk-fiber fashion / trousers</x:t>
        </x:is>
      </x:c>
      <x:c r="F969" s="4" t="inlineStr">
        <x:is>
          <x:t xml:space="preserve">New proposal</x:t>
        </x:is>
      </x:c>
      <x:c r="G969" s="4" t="inlineStr">
        <x:is>
          <x:t xml:space="preserve">One pair of tailored fashion trousers with long narrow pressed panels, a folded waistband and layered side edging. Designed to continue the coat's vertical lines while remaining a separate garment.</x:t>
        </x:is>
      </x:c>
      <x:c r="H969" s="4" t="inlineStr">
        <x:is>
          <x:t xml:space="preserve">Unassigned; fit unresolved</x:t>
        </x:is>
      </x:c>
      <x:c r="I969" s="4" t="inlineStr">
        <x:is>
          <x:t xml:space="preserve">Booter-worn fashion garment; fitting, packing and canister clearance unresolved.</x:t>
        </x:is>
      </x:c>
      <x:c r="J969" s="4"/>
      <x:c r="K969" s="4"/>
      <x:c r="L969" s="4" t="inlineStr">
        <x:is>
          <x:t xml:space="preserve">Proposed specialist fashion craft or high-value trade. Elaborate fashion is very rare and expensive; exact availability, cost and maker remain unresolved.</x:t>
        </x:is>
      </x:c>
      <x:c r="M969"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69" s="4" t="inlineStr">
        <x:is>
          <x:t xml:space="preserve">Not implemented</x:t>
        </x:is>
      </x:c>
      <x:c r="O969" s="4" t="inlineStr">
        <x:is>
          <x:t xml:space="preserve">Fashion clothing, not armor. Material preparation, seams, fit, comfort, wear and performance remain proposals. No ordinary cloth, wood, free-water textile process, social-stat bonus, set bonus or equipment slot introduced.</x:t>
        </x:is>
      </x:c>
      <x:c r="P969" s="4" t="inlineStr">
        <x:is>
          <x:t xml:space="preserve">Very rare</x:t>
        </x:is>
      </x:c>
      <x:c r="Q969" s="4"/>
      <x:c r="R969" s="4"/>
      <x:c r="S969" s="4"/>
      <x:c r="T969" s="4"/>
      <x:c r="U969" s="4" t="inlineStr">
        <x:is>
          <x:t xml:space="preserve">Hip and knee movement, panel joining, fastening, fit and crease retention remain unresolved. No movement or social-stat bonus assigned.</x:t>
        </x:is>
      </x:c>
      <x:c r="V969" s="4" t="inlineStr">
        <x:is>
          <x:t xml:space="preserve">fancy husk fiber set; fashionable textile; formal trousers; panelled legwear; separate garment</x:t>
        </x:is>
      </x:c>
      <x:c r="W969"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69" s="4" t="inlineStr">
        <x:is>
          <x:t xml:space="preserve">Wearable</x:t>
        </x:is>
      </x:c>
      <x:c r="Y969" s="4" t="inlineStr">
        <x:is>
          <x:t xml:space="preserve">Finished item</x:t>
        </x:is>
      </x:c>
      <x:c r="Z969" s="4" t="inlineStr">
        <x:is>
          <x:t xml:space="preserve">Manufactured / unresolved</x:t>
        </x:is>
      </x:c>
      <x:c r="AA969" s="4" t="inlineStr">
        <x:is>
          <x:t xml:space="preserve">Fashion</x:t>
        </x:is>
      </x:c>
      <x:c r="AB969" s="4" t="inlineStr">
        <x:is>
          <x:t xml:space="preserve">Husk fiber</x:t>
        </x:is>
      </x:c>
      <x:c r="AC969" s="4" t="inlineStr">
        <x:is>
          <x:t xml:space="preserve">Assembly</x:t>
        </x:is>
      </x:c>
      <x:c r="AD969" s="4" t="inlineStr">
        <x:is>
          <x:t xml:space="preserve">Proposal</x:t>
        </x:is>
      </x:c>
      <x:c r="AE969" s="4" t="str">
        <x:f>LOWER(A969&amp;"; "&amp;B969&amp;"; "&amp;D969&amp;"; "&amp;E969&amp;"; "&amp;X969&amp;"; "&amp;Y969&amp;"; "&amp;Z969&amp;"; "&amp;AA969&amp;"; "&amp;AB969&amp;"; "&amp;AC969&amp;"; "&amp;AD969&amp;"; "&amp;V969&amp;"; "&amp;C969&amp;"; "&amp;AH969&amp;"; "&amp;AI969)</x:f>
        <x:v>proposal.clothing.fancy_husk_fiber.trousers; panelled husk-fiber dress trousers; clothing; fancy husk-fiber fashion / trousers; wearable; finished item; manufactured / unresolved; fashion; husk fiber; assembly; proposal; fancy husk fiber set; fashionable textile; formal trousers; panelled legwear; separate garment; t3; t2; finished item</x:v>
      </x:c>
      <x:c r="AF969" s="4" t="inlineStr">
        <x:is>
          <x:t xml:space="preserve">One separate fashionable husk-fiber garment; family membership adds no counted outfit. Rarity and value follow the author's elaborate-fashion direction without assigning prices.</x:t>
        </x:is>
      </x:c>
      <x:c r="AG969" s="4" t="inlineStr">
        <x:is>
          <x:t xml:space="preserve">Proposed T3 finished fashion piece assembled from qualified T2 husk-fiber textile inputs and supporting fittings. Exact preparation and construction remain unresolved; rarity is separate from tier.</x:t>
        </x:is>
      </x:c>
      <x:c r="AH969" s="4" t="inlineStr">
        <x:is>
          <x:t xml:space="preserve">T2</x:t>
        </x:is>
      </x:c>
      <x:c r="AI969" s="4" t="inlineStr">
        <x:is>
          <x:t xml:space="preserve">Finished item</x:t>
        </x:is>
      </x:c>
      <x:c r="AJ969" s="4">
        <x:f>COUNTIFS('Material routes'!$D$6:$D$2205,A969,'Material routes'!$C$6:$C$2205,"Output")</x:f>
        <x:v>0</x:v>
      </x:c>
      <x:c r="AK969" s="4">
        <x:f>SUM(COUNTIFS('Material routes'!$D$6:$D$2205,A969,'Material routes'!$C$6:$C$2205,"Ingredient candidate"),COUNTIFS('Material routes'!$D$6:$D$2205,A969,'Material routes'!$C$6:$C$2205,"Consumed input"),COUNTIFS('Material routes'!$D$6:$D$2205,A969,'Material routes'!$C$6:$C$2205,"Contained input"),COUNTIFS('Material routes'!$D$6:$D$2205,A969,'Material routes'!$C$6:$C$2205,"Transform input"))</x:f>
        <x:v>0</x:v>
      </x:c>
      <x:c r="AL969" s="4">
        <x:f>COUNTIFS('Material routes'!$D$6:$D$2205,A969,'Material routes'!$C$6:$C$2205,"Tool candidate")</x:f>
        <x:v>0</x:v>
      </x:c>
      <x:c r="AM969" s="4" t="str">
        <x:f>IF(AJ969&gt;0,"Route listed; review status/completeness",IF(C969="T0","Raw entry feed; no production route","No production route listed"))</x:f>
        <x:v>No production route listed</x:v>
      </x:c>
      <x:c r="AN969" s="4">
        <x:f>IF(C969="T0",0,IF(C969="T1",1,IF(C969="T2",2,IF(C969="T3",3,IF(C969="T4",4,IF(C969="Unassigned",98,99))))))</x:f>
        <x:v>3</x:v>
      </x:c>
    </x:row>
    <x:row r="970">
      <x:c r="A970" s="4" t="inlineStr">
        <x:is>
          <x:t xml:space="preserve">proposal.clothing.fancy_husk_fiber.shoes</x:t>
        </x:is>
      </x:c>
      <x:c r="B970" s="4" t="inlineStr">
        <x:is>
          <x:t xml:space="preserve">Folded husk-fiber court shoes</x:t>
        </x:is>
      </x:c>
      <x:c r="C970" s="4" t="inlineStr">
        <x:is>
          <x:t xml:space="preserve">T3</x:t>
        </x:is>
      </x:c>
      <x:c r="D970" s="4" t="inlineStr">
        <x:is>
          <x:t xml:space="preserve">Clothing</x:t>
        </x:is>
      </x:c>
      <x:c r="E970" s="4" t="inlineStr">
        <x:is>
          <x:t xml:space="preserve">Fancy husk-fiber fashion / shoes</x:t>
        </x:is>
      </x:c>
      <x:c r="F970" s="4" t="inlineStr">
        <x:is>
          <x:t xml:space="preserve">New proposal</x:t>
        </x:is>
      </x:c>
      <x:c r="G970" s="4" t="inlineStr">
        <x:is>
          <x:t xml:space="preserve">One matched pair of decorative closed shoes with folded husk-fiber uppers, layered prepared-fiber soles and a small metal instep clasp. Court is a proposed style label, not an established institution or dress code.</x:t>
        </x:is>
      </x:c>
      <x:c r="H970" s="4" t="inlineStr">
        <x:is>
          <x:t xml:space="preserve">Unassigned; fit unresolved</x:t>
        </x:is>
      </x:c>
      <x:c r="I970" s="4" t="inlineStr">
        <x:is>
          <x:t xml:space="preserve">Booter-worn fashion garment; fitting, packing and canister clearance unresolved.</x:t>
        </x:is>
      </x:c>
      <x:c r="J970" s="4"/>
      <x:c r="K970" s="4"/>
      <x:c r="L970" s="4" t="inlineStr">
        <x:is>
          <x:t xml:space="preserve">Proposed specialist fashion craft or high-value trade. Elaborate fashion is very rare and expensive; exact availability, cost and maker remain unresolved.</x:t>
        </x:is>
      </x:c>
      <x:c r="M970"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70" s="4" t="inlineStr">
        <x:is>
          <x:t xml:space="preserve">Not implemented</x:t>
        </x:is>
      </x:c>
      <x:c r="O970" s="4" t="inlineStr">
        <x:is>
          <x:t xml:space="preserve">Fashion clothing, not armor. Material preparation, seams, fit, comfort, wear and performance remain proposals. No ordinary cloth, wood, free-water textile process, social-stat bonus, set bonus or equipment slot introduced.</x:t>
        </x:is>
      </x:c>
      <x:c r="P970" s="4" t="inlineStr">
        <x:is>
          <x:t xml:space="preserve">Very rare</x:t>
        </x:is>
      </x:c>
      <x:c r="Q970" s="4"/>
      <x:c r="R970" s="4"/>
      <x:c r="S970" s="4"/>
      <x:c r="T970" s="4"/>
      <x:c r="U970" s="4" t="inlineStr">
        <x:is>
          <x:t xml:space="preserve">Sole construction, grip, fit, edge finishing, clasp strength and wear remain design work. No terrain protection or accepted court tradition established.</x:t>
        </x:is>
      </x:c>
      <x:c r="V970" s="4" t="inlineStr">
        <x:is>
          <x:t xml:space="preserve">fancy husk fiber set; fashionable textile; formal shoes; dress footwear; separate garment</x:t>
        </x:is>
      </x:c>
      <x:c r="W970"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70" s="4" t="inlineStr">
        <x:is>
          <x:t xml:space="preserve">Wearable</x:t>
        </x:is>
      </x:c>
      <x:c r="Y970" s="4" t="inlineStr">
        <x:is>
          <x:t xml:space="preserve">Finished item</x:t>
        </x:is>
      </x:c>
      <x:c r="Z970" s="4" t="inlineStr">
        <x:is>
          <x:t xml:space="preserve">Manufactured / unresolved</x:t>
        </x:is>
      </x:c>
      <x:c r="AA970" s="4" t="inlineStr">
        <x:is>
          <x:t xml:space="preserve">Fashion</x:t>
        </x:is>
      </x:c>
      <x:c r="AB970" s="4" t="inlineStr">
        <x:is>
          <x:t xml:space="preserve">Husk fiber</x:t>
        </x:is>
      </x:c>
      <x:c r="AC970" s="4" t="inlineStr">
        <x:is>
          <x:t xml:space="preserve">Assembly</x:t>
        </x:is>
      </x:c>
      <x:c r="AD970" s="4" t="inlineStr">
        <x:is>
          <x:t xml:space="preserve">Proposal</x:t>
        </x:is>
      </x:c>
      <x:c r="AE970" s="4" t="str">
        <x:f>LOWER(A970&amp;"; "&amp;B970&amp;"; "&amp;D970&amp;"; "&amp;E970&amp;"; "&amp;X970&amp;"; "&amp;Y970&amp;"; "&amp;Z970&amp;"; "&amp;AA970&amp;"; "&amp;AB970&amp;"; "&amp;AC970&amp;"; "&amp;AD970&amp;"; "&amp;V970&amp;"; "&amp;C970&amp;"; "&amp;AH970&amp;"; "&amp;AI970)</x:f>
        <x:v>proposal.clothing.fancy_husk_fiber.shoes; folded husk-fiber court shoes; clothing; fancy husk-fiber fashion / shoes; wearable; finished item; manufactured / unresolved; fashion; husk fiber; assembly; proposal; fancy husk fiber set; fashionable textile; formal shoes; dress footwear; separate garment; t3; t2; finished item</x:v>
      </x:c>
      <x:c r="AF970" s="4" t="inlineStr">
        <x:is>
          <x:t xml:space="preserve">One separate fashionable husk-fiber garment; family membership adds no counted outfit. Rarity and value follow the author's elaborate-fashion direction without assigning prices.</x:t>
        </x:is>
      </x:c>
      <x:c r="AG970" s="4" t="inlineStr">
        <x:is>
          <x:t xml:space="preserve">Proposed T3 finished fashion piece assembled from qualified T2 husk-fiber textile inputs and supporting fittings. Exact preparation and construction remain unresolved; rarity is separate from tier.</x:t>
        </x:is>
      </x:c>
      <x:c r="AH970" s="4" t="inlineStr">
        <x:is>
          <x:t xml:space="preserve">T2</x:t>
        </x:is>
      </x:c>
      <x:c r="AI970" s="4" t="inlineStr">
        <x:is>
          <x:t xml:space="preserve">Finished item</x:t>
        </x:is>
      </x:c>
      <x:c r="AJ970" s="4">
        <x:f>COUNTIFS('Material routes'!$D$6:$D$2205,A970,'Material routes'!$C$6:$C$2205,"Output")</x:f>
        <x:v>0</x:v>
      </x:c>
      <x:c r="AK970" s="4">
        <x:f>SUM(COUNTIFS('Material routes'!$D$6:$D$2205,A970,'Material routes'!$C$6:$C$2205,"Ingredient candidate"),COUNTIFS('Material routes'!$D$6:$D$2205,A970,'Material routes'!$C$6:$C$2205,"Consumed input"),COUNTIFS('Material routes'!$D$6:$D$2205,A970,'Material routes'!$C$6:$C$2205,"Contained input"),COUNTIFS('Material routes'!$D$6:$D$2205,A970,'Material routes'!$C$6:$C$2205,"Transform input"))</x:f>
        <x:v>0</x:v>
      </x:c>
      <x:c r="AL970" s="4">
        <x:f>COUNTIFS('Material routes'!$D$6:$D$2205,A970,'Material routes'!$C$6:$C$2205,"Tool candidate")</x:f>
        <x:v>0</x:v>
      </x:c>
      <x:c r="AM970" s="4" t="str">
        <x:f>IF(AJ970&gt;0,"Route listed; review status/completeness",IF(C970="T0","Raw entry feed; no production route","No production route listed"))</x:f>
        <x:v>No production route listed</x:v>
      </x:c>
      <x:c r="AN970" s="4">
        <x:f>IF(C970="T0",0,IF(C970="T1",1,IF(C970="T2",2,IF(C970="T3",3,IF(C970="T4",4,IF(C970="Unassigned",98,99))))))</x:f>
        <x:v>3</x:v>
      </x:c>
    </x:row>
    <x:row r="971">
      <x:c r="A971" s="4" t="inlineStr">
        <x:is>
          <x:t xml:space="preserve">proposal.clothing.fancy_husk_fiber.gloves</x:t>
        </x:is>
      </x:c>
      <x:c r="B971" s="4" t="inlineStr">
        <x:is>
          <x:t xml:space="preserve">Layered-cuff husk-fiber dress gloves</x:t>
        </x:is>
      </x:c>
      <x:c r="C971" s="4" t="inlineStr">
        <x:is>
          <x:t xml:space="preserve">T3</x:t>
        </x:is>
      </x:c>
      <x:c r="D971" s="4" t="inlineStr">
        <x:is>
          <x:t xml:space="preserve">Clothing</x:t>
        </x:is>
      </x:c>
      <x:c r="E971" s="4" t="inlineStr">
        <x:is>
          <x:t xml:space="preserve">Fancy husk-fiber fashion / gloves</x:t>
        </x:is>
      </x:c>
      <x:c r="F971" s="4" t="inlineStr">
        <x:is>
          <x:t xml:space="preserve">New proposal</x:t>
        </x:is>
      </x:c>
      <x:c r="G971" s="4" t="inlineStr">
        <x:is>
          <x:t xml:space="preserve">One matched pair of close-fitting fashion gloves with short layered fan cuffs and tiny metal wrist closures. They echo the coat's pleats without including sleeves or claiming protective performance.</x:t>
        </x:is>
      </x:c>
      <x:c r="H971" s="4" t="inlineStr">
        <x:is>
          <x:t xml:space="preserve">Unassigned; fit unresolved</x:t>
        </x:is>
      </x:c>
      <x:c r="I971" s="4" t="inlineStr">
        <x:is>
          <x:t xml:space="preserve">Booter-worn fashion garment; fitting, packing and canister clearance unresolved.</x:t>
        </x:is>
      </x:c>
      <x:c r="J971" s="4"/>
      <x:c r="K971" s="4"/>
      <x:c r="L971" s="4" t="inlineStr">
        <x:is>
          <x:t xml:space="preserve">Proposed specialist fashion craft or high-value trade. Elaborate fashion is very rare and expensive; exact availability, cost and maker remain unresolved.</x:t>
        </x:is>
      </x:c>
      <x:c r="M971"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71" s="4" t="inlineStr">
        <x:is>
          <x:t xml:space="preserve">Not implemented</x:t>
        </x:is>
      </x:c>
      <x:c r="O971" s="4" t="inlineStr">
        <x:is>
          <x:t xml:space="preserve">Fashion clothing, not armor. Material preparation, seams, fit, comfort, wear and performance remain proposals. No ordinary cloth, wood, free-water textile process, social-stat bonus, set bonus or equipment slot introduced.</x:t>
        </x:is>
      </x:c>
      <x:c r="P971" s="4" t="inlineStr">
        <x:is>
          <x:t xml:space="preserve">Very rare</x:t>
        </x:is>
      </x:c>
      <x:c r="Q971" s="4"/>
      <x:c r="R971" s="4"/>
      <x:c r="S971" s="4"/>
      <x:c r="T971" s="4"/>
      <x:c r="U971" s="4" t="inlineStr">
        <x:is>
          <x:t xml:space="preserve">Finger articulation, joining, fastening, fit and useful wear life remain unresolved. No electrical, thermal or combat protection established.</x:t>
        </x:is>
      </x:c>
      <x:c r="V971" s="4" t="inlineStr">
        <x:is>
          <x:t xml:space="preserve">fancy husk fiber set; fashionable textile; formal gloves; fan cuffs; separate garment</x:t>
        </x:is>
      </x:c>
      <x:c r="W971"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71" s="4" t="inlineStr">
        <x:is>
          <x:t xml:space="preserve">Wearable</x:t>
        </x:is>
      </x:c>
      <x:c r="Y971" s="4" t="inlineStr">
        <x:is>
          <x:t xml:space="preserve">Finished item</x:t>
        </x:is>
      </x:c>
      <x:c r="Z971" s="4" t="inlineStr">
        <x:is>
          <x:t xml:space="preserve">Manufactured / unresolved</x:t>
        </x:is>
      </x:c>
      <x:c r="AA971" s="4" t="inlineStr">
        <x:is>
          <x:t xml:space="preserve">Fashion</x:t>
        </x:is>
      </x:c>
      <x:c r="AB971" s="4" t="inlineStr">
        <x:is>
          <x:t xml:space="preserve">Husk fiber</x:t>
        </x:is>
      </x:c>
      <x:c r="AC971" s="4" t="inlineStr">
        <x:is>
          <x:t xml:space="preserve">Assembly</x:t>
        </x:is>
      </x:c>
      <x:c r="AD971" s="4" t="inlineStr">
        <x:is>
          <x:t xml:space="preserve">Proposal</x:t>
        </x:is>
      </x:c>
      <x:c r="AE971" s="4" t="str">
        <x:f>LOWER(A971&amp;"; "&amp;B971&amp;"; "&amp;D971&amp;"; "&amp;E971&amp;"; "&amp;X971&amp;"; "&amp;Y971&amp;"; "&amp;Z971&amp;"; "&amp;AA971&amp;"; "&amp;AB971&amp;"; "&amp;AC971&amp;"; "&amp;AD971&amp;"; "&amp;V971&amp;"; "&amp;C971&amp;"; "&amp;AH971&amp;"; "&amp;AI971)</x:f>
        <x:v>proposal.clothing.fancy_husk_fiber.gloves; layered-cuff husk-fiber dress gloves; clothing; fancy husk-fiber fashion / gloves; wearable; finished item; manufactured / unresolved; fashion; husk fiber; assembly; proposal; fancy husk fiber set; fashionable textile; formal gloves; fan cuffs; separate garment; t3; t2; finished item</x:v>
      </x:c>
      <x:c r="AF971" s="4" t="inlineStr">
        <x:is>
          <x:t xml:space="preserve">One separate fashionable husk-fiber garment; family membership adds no counted outfit. Rarity and value follow the author's elaborate-fashion direction without assigning prices.</x:t>
        </x:is>
      </x:c>
      <x:c r="AG971" s="4" t="inlineStr">
        <x:is>
          <x:t xml:space="preserve">Proposed T3 finished fashion piece assembled from qualified T2 husk-fiber textile inputs and supporting fittings. Exact preparation and construction remain unresolved; rarity is separate from tier.</x:t>
        </x:is>
      </x:c>
      <x:c r="AH971" s="4" t="inlineStr">
        <x:is>
          <x:t xml:space="preserve">T2</x:t>
        </x:is>
      </x:c>
      <x:c r="AI971" s="4" t="inlineStr">
        <x:is>
          <x:t xml:space="preserve">Finished item</x:t>
        </x:is>
      </x:c>
      <x:c r="AJ971" s="4">
        <x:f>COUNTIFS('Material routes'!$D$6:$D$2205,A971,'Material routes'!$C$6:$C$2205,"Output")</x:f>
        <x:v>0</x:v>
      </x:c>
      <x:c r="AK971" s="4">
        <x:f>SUM(COUNTIFS('Material routes'!$D$6:$D$2205,A971,'Material routes'!$C$6:$C$2205,"Ingredient candidate"),COUNTIFS('Material routes'!$D$6:$D$2205,A971,'Material routes'!$C$6:$C$2205,"Consumed input"),COUNTIFS('Material routes'!$D$6:$D$2205,A971,'Material routes'!$C$6:$C$2205,"Contained input"),COUNTIFS('Material routes'!$D$6:$D$2205,A971,'Material routes'!$C$6:$C$2205,"Transform input"))</x:f>
        <x:v>0</x:v>
      </x:c>
      <x:c r="AL971" s="4">
        <x:f>COUNTIFS('Material routes'!$D$6:$D$2205,A971,'Material routes'!$C$6:$C$2205,"Tool candidate")</x:f>
        <x:v>0</x:v>
      </x:c>
      <x:c r="AM971" s="4" t="str">
        <x:f>IF(AJ971&gt;0,"Route listed; review status/completeness",IF(C971="T0","Raw entry feed; no production route","No production route listed"))</x:f>
        <x:v>No production route listed</x:v>
      </x:c>
      <x:c r="AN971" s="4">
        <x:f>IF(C971="T0",0,IF(C971="T1",1,IF(C971="T2",2,IF(C971="T3",3,IF(C971="T4",4,IF(C971="Unassigned",98,99))))))</x:f>
        <x:v>3</x:v>
      </x:c>
    </x:row>
    <x:row r="972">
      <x:c r="A972" s="4" t="inlineStr">
        <x:is>
          <x:t xml:space="preserve">proposal.clothing.fancy_husk_fiber.headdress</x:t>
        </x:is>
      </x:c>
      <x:c r="B972" s="4" t="inlineStr">
        <x:is>
          <x:t xml:space="preserve">Fan-fold husk-fiber headdress</x:t>
        </x:is>
      </x:c>
      <x:c r="C972" s="4" t="inlineStr">
        <x:is>
          <x:t xml:space="preserve">T3</x:t>
        </x:is>
      </x:c>
      <x:c r="D972" s="4" t="inlineStr">
        <x:is>
          <x:t xml:space="preserve">Clothing</x:t>
        </x:is>
      </x:c>
      <x:c r="E972" s="4" t="inlineStr">
        <x:is>
          <x:t xml:space="preserve">Fancy husk-fiber fashion / headdress</x:t>
        </x:is>
      </x:c>
      <x:c r="F972" s="4" t="inlineStr">
        <x:is>
          <x:t xml:space="preserve">New proposal</x:t>
        </x:is>
      </x:c>
      <x:c r="G972" s="4" t="inlineStr">
        <x:is>
          <x:t xml:space="preserve">One elaborate headpiece with a low fitted crown and an offset fan of folded husk-fiber panels held by a narrow metal comb. A proposed fashion silhouette independent of any faith, faction, rank or ceremonial obligation.</x:t>
        </x:is>
      </x:c>
      <x:c r="H972" s="4" t="inlineStr">
        <x:is>
          <x:t xml:space="preserve">Unassigned; fit unresolved</x:t>
        </x:is>
      </x:c>
      <x:c r="I972" s="4" t="inlineStr">
        <x:is>
          <x:t xml:space="preserve">Booter-worn fashion garment; fitting, packing and canister clearance unresolved.</x:t>
        </x:is>
      </x:c>
      <x:c r="J972" s="4"/>
      <x:c r="K972" s="4"/>
      <x:c r="L972" s="4" t="inlineStr">
        <x:is>
          <x:t xml:space="preserve">Proposed specialist fashion craft or high-value trade. Elaborate fashion is very rare and expensive; exact availability, cost and maker remain unresolved.</x:t>
        </x:is>
      </x:c>
      <x:c r="M972"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72" s="4" t="inlineStr">
        <x:is>
          <x:t xml:space="preserve">Not implemented</x:t>
        </x:is>
      </x:c>
      <x:c r="O972" s="4" t="inlineStr">
        <x:is>
          <x:t xml:space="preserve">Fashion clothing, not armor. Material preparation, seams, fit, comfort, wear and performance remain proposals. No ordinary cloth, wood, free-water textile process, social-stat bonus, set bonus or equipment slot introduced.</x:t>
        </x:is>
      </x:c>
      <x:c r="P972" s="4" t="inlineStr">
        <x:is>
          <x:t xml:space="preserve">Very rare</x:t>
        </x:is>
      </x:c>
      <x:c r="Q972" s="4"/>
      <x:c r="R972" s="4"/>
      <x:c r="S972" s="4"/>
      <x:c r="T972" s="4"/>
      <x:c r="U972" s="4" t="inlineStr">
        <x:is>
          <x:t xml:space="preserve">Fold support, comb fit, wind retention, sight/hearing and canister clearance remain open. No rank, ritual, fashion-stat benefit or protective function established.</x:t>
        </x:is>
      </x:c>
      <x:c r="V972" s="4" t="inlineStr">
        <x:is>
          <x:t xml:space="preserve">fancy husk fiber set; fashionable textile; elaborate headwear; fan fold headpiece; separate garment</x:t>
        </x:is>
      </x:c>
      <x:c r="W972"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72" s="4" t="inlineStr">
        <x:is>
          <x:t xml:space="preserve">Wearable</x:t>
        </x:is>
      </x:c>
      <x:c r="Y972" s="4" t="inlineStr">
        <x:is>
          <x:t xml:space="preserve">Finished item</x:t>
        </x:is>
      </x:c>
      <x:c r="Z972" s="4" t="inlineStr">
        <x:is>
          <x:t xml:space="preserve">Manufactured / unresolved</x:t>
        </x:is>
      </x:c>
      <x:c r="AA972" s="4" t="inlineStr">
        <x:is>
          <x:t xml:space="preserve">Fashion</x:t>
        </x:is>
      </x:c>
      <x:c r="AB972" s="4" t="inlineStr">
        <x:is>
          <x:t xml:space="preserve">Husk fiber</x:t>
        </x:is>
      </x:c>
      <x:c r="AC972" s="4" t="inlineStr">
        <x:is>
          <x:t xml:space="preserve">Assembly</x:t>
        </x:is>
      </x:c>
      <x:c r="AD972" s="4" t="inlineStr">
        <x:is>
          <x:t xml:space="preserve">Proposal</x:t>
        </x:is>
      </x:c>
      <x:c r="AE972" s="4" t="str">
        <x:f>LOWER(A972&amp;"; "&amp;B972&amp;"; "&amp;D972&amp;"; "&amp;E972&amp;"; "&amp;X972&amp;"; "&amp;Y972&amp;"; "&amp;Z972&amp;"; "&amp;AA972&amp;"; "&amp;AB972&amp;"; "&amp;AC972&amp;"; "&amp;AD972&amp;"; "&amp;V972&amp;"; "&amp;C972&amp;"; "&amp;AH972&amp;"; "&amp;AI972)</x:f>
        <x:v>proposal.clothing.fancy_husk_fiber.headdress; fan-fold husk-fiber headdress; clothing; fancy husk-fiber fashion / headdress; wearable; finished item; manufactured / unresolved; fashion; husk fiber; assembly; proposal; fancy husk fiber set; fashionable textile; elaborate headwear; fan fold headpiece; separate garment; t3; t2; finished item</x:v>
      </x:c>
      <x:c r="AF972" s="4" t="inlineStr">
        <x:is>
          <x:t xml:space="preserve">One separate fashionable husk-fiber garment; family membership adds no counted outfit. Rarity and value follow the author's elaborate-fashion direction without assigning prices.</x:t>
        </x:is>
      </x:c>
      <x:c r="AG972" s="4" t="inlineStr">
        <x:is>
          <x:t xml:space="preserve">Proposed T3 finished fashion piece assembled from qualified T2 husk-fiber textile inputs and supporting fittings. Exact preparation and construction remain unresolved; rarity is separate from tier.</x:t>
        </x:is>
      </x:c>
      <x:c r="AH972" s="4" t="inlineStr">
        <x:is>
          <x:t xml:space="preserve">T2</x:t>
        </x:is>
      </x:c>
      <x:c r="AI972" s="4" t="inlineStr">
        <x:is>
          <x:t xml:space="preserve">Finished item</x:t>
        </x:is>
      </x:c>
      <x:c r="AJ972" s="4">
        <x:f>COUNTIFS('Material routes'!$D$6:$D$2205,A972,'Material routes'!$C$6:$C$2205,"Output")</x:f>
        <x:v>0</x:v>
      </x:c>
      <x:c r="AK972" s="4">
        <x:f>SUM(COUNTIFS('Material routes'!$D$6:$D$2205,A972,'Material routes'!$C$6:$C$2205,"Ingredient candidate"),COUNTIFS('Material routes'!$D$6:$D$2205,A972,'Material routes'!$C$6:$C$2205,"Consumed input"),COUNTIFS('Material routes'!$D$6:$D$2205,A972,'Material routes'!$C$6:$C$2205,"Contained input"),COUNTIFS('Material routes'!$D$6:$D$2205,A972,'Material routes'!$C$6:$C$2205,"Transform input"))</x:f>
        <x:v>0</x:v>
      </x:c>
      <x:c r="AL972" s="4">
        <x:f>COUNTIFS('Material routes'!$D$6:$D$2205,A972,'Material routes'!$C$6:$C$2205,"Tool candidate")</x:f>
        <x:v>0</x:v>
      </x:c>
      <x:c r="AM972" s="4" t="str">
        <x:f>IF(AJ972&gt;0,"Route listed; review status/completeness",IF(C972="T0","Raw entry feed; no production route","No production route listed"))</x:f>
        <x:v>No production route listed</x:v>
      </x:c>
      <x:c r="AN972" s="4">
        <x:f>IF(C972="T0",0,IF(C972="T1",1,IF(C972="T2",2,IF(C972="T3",3,IF(C972="T4",4,IF(C972="Unassigned",98,99))))))</x:f>
        <x:v>3</x:v>
      </x:c>
    </x:row>
    <x:row r="973">
      <x:c r="A973" s="4" t="inlineStr">
        <x:is>
          <x:t xml:space="preserve">proposal.clothing.husk_hat</x:t>
        </x:is>
      </x:c>
      <x:c r="B973" s="4" t="inlineStr">
        <x:is>
          <x:t xml:space="preserve">Husk hat</x:t>
        </x:is>
      </x:c>
      <x:c r="C973" s="4" t="inlineStr">
        <x:is>
          <x:t xml:space="preserve">T2</x:t>
        </x:is>
      </x:c>
      <x:c r="D973" s="4" t="inlineStr">
        <x:is>
          <x:t xml:space="preserve">Clothing</x:t>
        </x:is>
      </x:c>
      <x:c r="E973" s="4" t="inlineStr">
        <x:is>
          <x:t xml:space="preserve">Husk headwear</x:t>
        </x:is>
      </x:c>
      <x:c r="F973" s="4" t="inlineStr">
        <x:is>
          <x:t xml:space="preserve">Author-directed concept</x:t>
        </x:is>
      </x:c>
      <x:c r="G973" s="4" t="inlineStr">
        <x:is>
          <x:t xml:space="preserve">A plain low-crowned hat made from thin overlapping husk-shell segments, with a broad downturned brim and small metal joining tabs. Proposed as everyday headwear with a shaded silhouette; fitting and actual shade performance require design.</x:t>
        </x:is>
      </x:c>
      <x:c r="H973" s="4" t="inlineStr">
        <x:is>
          <x:t xml:space="preserve">Head / fit unresolved</x:t>
        </x:is>
      </x:c>
      <x:c r="I973" s="4" t="inlineStr">
        <x:is>
          <x:t xml:space="preserve">Booter-worn hat concept; fit, packing and canister clearance unresolved.</x:t>
        </x:is>
      </x:c>
      <x:c r="J973" s="4"/>
      <x:c r="K973" s="4"/>
      <x:c r="L973" s="4" t="inlineStr">
        <x:is>
          <x:t xml:space="preserve">Proposed shell-working craft or trade; availability and price unresolved.</x:t>
        </x:is>
      </x:c>
      <x:c r="M973" s="4" t="inlineStr">
        <x:is>
          <x:t xml:space="preserve">Candidate shaping and joining of selected thin husk-shell segments, smoothed edges and small metal fasteners. No wood, ordinary cloth or full textile process required by this design; exact inputs, joining and production remain unresolved.</x:t>
        </x:is>
      </x:c>
      <x:c r="N973" s="4" t="inlineStr">
        <x:is>
          <x:t xml:space="preserve">Not implemented</x:t>
        </x:is>
      </x:c>
      <x:c r="O973" s="4" t="inlineStr">
        <x:is>
          <x:t xml:space="preserve">Clothing, not a helmet. Fit, shade coverage, wind retention, wear and comfort remain proposals. No armor, storm resistance, electrical insulation, survival bonus or new equipment slot established.</x:t>
        </x:is>
      </x:c>
      <x:c r="P973" s="4"/>
      <x:c r="Q973" s="4"/>
      <x:c r="R973" s="4"/>
      <x:c r="S973" s="4"/>
      <x:c r="T973" s="4"/>
      <x:c r="U973" s="4" t="inlineStr">
        <x:is>
          <x:t xml:space="preserve">Resolve shell thickness, edge finishing, joining, head fit, ventilation, wind retention and sight/hearing/canister clearance. Abundant raw husks do not establish cheap finished manufacture or a protective rating.</x:t>
        </x:is>
      </x:c>
      <x:c r="V973" s="4" t="inlineStr">
        <x:is>
          <x:t xml:space="preserve">husk hat; shell hat; chitin brim hat; everyday headwear</x:t>
        </x:is>
      </x:c>
      <x:c r="W973" s="4" t="inlineStr">
        <x:is>
          <x:t xml:space="preserve">Author requested a husk hat, October 16, 2026. Local practical clothing proposal governed by Docs/WORLD_BASIS.md. Shaped shell construction avoids ordinary cloth and does not assume easy husk-fiber textile manufacture. Setting constraints: Docs/WORLD_BASIS.md#material-culture.</x:t>
        </x:is>
      </x:c>
      <x:c r="X973" s="4" t="inlineStr">
        <x:is>
          <x:t xml:space="preserve">Wearable</x:t>
        </x:is>
      </x:c>
      <x:c r="Y973" s="4" t="inlineStr">
        <x:is>
          <x:t xml:space="preserve">Finished item</x:t>
        </x:is>
      </x:c>
      <x:c r="Z973" s="4" t="inlineStr">
        <x:is>
          <x:t xml:space="preserve">Manufactured / unresolved</x:t>
        </x:is>
      </x:c>
      <x:c r="AA973" s="4" t="inlineStr">
        <x:is>
          <x:t xml:space="preserve">Clothing</x:t>
        </x:is>
      </x:c>
      <x:c r="AB973" s="4" t="inlineStr">
        <x:is>
          <x:t xml:space="preserve">Shell / chitin</x:t>
        </x:is>
      </x:c>
      <x:c r="AC973" s="4" t="inlineStr">
        <x:is>
          <x:t xml:space="preserve">Assembly</x:t>
        </x:is>
      </x:c>
      <x:c r="AD973" s="4" t="inlineStr">
        <x:is>
          <x:t xml:space="preserve">Proposal</x:t>
        </x:is>
      </x:c>
      <x:c r="AE973" s="4" t="str">
        <x:f>LOWER(A973&amp;"; "&amp;B973&amp;"; "&amp;D973&amp;"; "&amp;E973&amp;"; "&amp;X973&amp;"; "&amp;Y973&amp;"; "&amp;Z973&amp;"; "&amp;AA973&amp;"; "&amp;AB973&amp;"; "&amp;AC973&amp;"; "&amp;AD973&amp;"; "&amp;V973&amp;"; "&amp;C973&amp;"; "&amp;AH973&amp;"; "&amp;AI973)</x:f>
        <x:v>proposal.clothing.husk_hat; husk hat; clothing; husk headwear; wearable; finished item; manufactured / unresolved; clothing; shell / chitin; assembly; proposal; husk hat; shell hat; chitin brim hat; everyday headwear; t2; t1; finished item</x:v>
      </x:c>
      <x:c r="AF973" s="4" t="inlineStr">
        <x:is>
          <x:t xml:space="preserve">Author-requested practical husk hat, separately listed from the elaborate husk-fiber fashion headdress and specialized headwear.</x:t>
        </x:is>
      </x:c>
      <x:c r="AG973" s="4" t="inlineStr">
        <x:is>
          <x:t xml:space="preserve">Proposed T2 finished hat using selected, qualified T1 shell stock and supporting fittings. Exact preparation and construction remain unresolved.</x:t>
        </x:is>
      </x:c>
      <x:c r="AH973" s="4" t="inlineStr">
        <x:is>
          <x:t xml:space="preserve">T1</x:t>
        </x:is>
      </x:c>
      <x:c r="AI973" s="4" t="inlineStr">
        <x:is>
          <x:t xml:space="preserve">Finished item</x:t>
        </x:is>
      </x:c>
      <x:c r="AJ973" s="4">
        <x:f>COUNTIFS('Material routes'!$D$6:$D$2205,A973,'Material routes'!$C$6:$C$2205,"Output")</x:f>
        <x:v>0</x:v>
      </x:c>
      <x:c r="AK973" s="4">
        <x:f>SUM(COUNTIFS('Material routes'!$D$6:$D$2205,A973,'Material routes'!$C$6:$C$2205,"Ingredient candidate"),COUNTIFS('Material routes'!$D$6:$D$2205,A973,'Material routes'!$C$6:$C$2205,"Consumed input"),COUNTIFS('Material routes'!$D$6:$D$2205,A973,'Material routes'!$C$6:$C$2205,"Contained input"),COUNTIFS('Material routes'!$D$6:$D$2205,A973,'Material routes'!$C$6:$C$2205,"Transform input"))</x:f>
        <x:v>0</x:v>
      </x:c>
      <x:c r="AL973" s="4">
        <x:f>COUNTIFS('Material routes'!$D$6:$D$2205,A973,'Material routes'!$C$6:$C$2205,"Tool candidate")</x:f>
        <x:v>0</x:v>
      </x:c>
      <x:c r="AM973" s="4" t="str">
        <x:f>IF(AJ973&gt;0,"Route listed; review status/completeness",IF(C973="T0","Raw entry feed; no production route","No production route listed"))</x:f>
        <x:v>No production route listed</x:v>
      </x:c>
      <x:c r="AN973" s="4">
        <x:f>IF(C973="T0",0,IF(C973="T1",1,IF(C973="T2",2,IF(C973="T3",3,IF(C973="T4",4,IF(C973="Unassigned",98,99))))))</x:f>
        <x:v>2</x:v>
      </x:c>
    </x:row>
    <x:row r="974">
      <x:c r="A974" s="4" t="inlineStr">
        <x:is>
          <x:t xml:space="preserve">proposal.ancient.optical_data_ribbon</x:t>
        </x:is>
      </x:c>
      <x:c r="B974" s="4" t="inlineStr">
        <x:is>
          <x:t xml:space="preserve">Ancient optical data ribbon</x:t>
        </x:is>
      </x:c>
      <x:c r="C974" s="4" t="inlineStr">
        <x:is>
          <x:t xml:space="preserve">T0</x:t>
        </x:is>
      </x:c>
      <x:c r="D974" s="4" t="inlineStr">
        <x:is>
          <x:t xml:space="preserve">Ancient salvage</x:t>
        </x:is>
      </x:c>
      <x:c r="E974" s="4" t="inlineStr">
        <x:is>
          <x:t xml:space="preserve">Ancient recovery</x:t>
        </x:is>
      </x:c>
      <x:c r="F974" s="4" t="inlineStr">
        <x:is>
          <x:t xml:space="preserve">New proposal</x:t>
        </x:is>
      </x:c>
      <x:c r="G974" s="4" t="inlineStr">
        <x:is>
          <x:t xml:space="preserve">A short translucent ribbon held in a protective spool frame, proposed as a removable optical storage medium from an ancient machine. Patterns remain visible along its layers, but no readable message, map or compatible reader is supplied.</x:t>
        </x:is>
      </x:c>
      <x:c r="H974" s="4" t="inlineStr">
        <x:is>
          <x:t xml:space="preserve">None; compatibility unresolved</x:t>
        </x:is>
      </x:c>
      <x:c r="I974" s="4" t="inlineStr">
        <x:is>
          <x:t xml:space="preserve">Physical recovered inventory / cargo item; dimensions, condition and packing unresolved.</x:t>
        </x:is>
      </x:c>
      <x:c r="J974" s="4"/>
      <x:c r="K974" s="4"/>
      <x:c r="L974" s="4" t="inlineStr">
        <x:is>
          <x:t xml:space="preserve">Recover a surviving original from a proposed ancient machine or ruin. Sites, recovery conditions and availability remain unresolved.</x:t>
        </x:is>
      </x:c>
      <x:c r="M974" s="4" t="inlineStr">
        <x:is>
          <x:t xml:space="preserve">As-found original requiring identification and integrity/compatibility qualification before possible reuse. No modern manufacturing, internal repair, recovery yield or crafting recipe established.</x:t>
        </x:is>
      </x:c>
      <x:c r="N974" s="4" t="inlineStr">
        <x:is>
          <x:t xml:space="preserve">Not implemented</x:t>
        </x:is>
      </x:c>
      <x:c r="O974" s="4" t="inlineStr">
        <x:is>
          <x:t xml:space="preserve">Extremely rare. Internal construction, integrity, interfaces, operating requirements and useful life remain unknown. No guaranteed operation, compatible host, reproduced ancient technology, contents or numerical benefit granted.</x:t>
        </x:is>
      </x:c>
      <x:c r="P974" s="4" t="inlineStr">
        <x:is>
          <x:t xml:space="preserve">Extremely rare</x:t>
        </x:is>
      </x:c>
      <x:c r="Q974" s="4"/>
      <x:c r="R974" s="4"/>
      <x:c r="S974" s="4"/>
      <x:c r="T974" s="4"/>
      <x:c r="U974" s="4" t="inlineStr">
        <x:is>
          <x:t xml:space="preserve">Medium composition, retained information, read/write mechanism, corruption, reader compatibility and useful recovery remain unknown. No records, translation, quest information or digital access granted.</x:t>
        </x:is>
      </x:c>
      <x:c r="V974" s="4" t="inlineStr">
        <x:is>
          <x:t xml:space="preserve">ancient salvage; optical data ribbon; recovered storage medium; data spool</x:t>
        </x:is>
      </x:c>
      <x:c r="W974"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4" s="4" t="inlineStr">
        <x:is>
          <x:t xml:space="preserve">Machine part</x:t>
        </x:is>
      </x:c>
      <x:c r="Y974" s="4" t="inlineStr">
        <x:is>
          <x:t xml:space="preserve">Recovered part</x:t>
        </x:is>
      </x:c>
      <x:c r="Z974" s="4" t="inlineStr">
        <x:is>
          <x:t xml:space="preserve">Ancient technology</x:t>
        </x:is>
      </x:c>
      <x:c r="AA974" s="4" t="inlineStr">
        <x:is>
          <x:t xml:space="preserve">Provenance</x:t>
        </x:is>
      </x:c>
      <x:c r="AB974" s="4" t="inlineStr">
        <x:is>
          <x:t xml:space="preserve">Ancient composite</x:t>
        </x:is>
      </x:c>
      <x:c r="AC974" s="4" t="inlineStr">
        <x:is>
          <x:t xml:space="preserve">Assembly</x:t>
        </x:is>
      </x:c>
      <x:c r="AD974" s="4" t="inlineStr">
        <x:is>
          <x:t xml:space="preserve">Proposal</x:t>
        </x:is>
      </x:c>
      <x:c r="AE974" s="4" t="str">
        <x:f>LOWER(A974&amp;"; "&amp;B974&amp;"; "&amp;D974&amp;"; "&amp;E974&amp;"; "&amp;X974&amp;"; "&amp;Y974&amp;"; "&amp;Z974&amp;"; "&amp;AA974&amp;"; "&amp;AB974&amp;"; "&amp;AC974&amp;"; "&amp;AD974&amp;"; "&amp;V974&amp;"; "&amp;C974&amp;"; "&amp;AH974&amp;"; "&amp;AI974)</x:f>
        <x:v>proposal.ancient.optical_data_ribbon; ancient optical data ribbon; ancient salvage; ancient recovery; machine part; recovered part; ancient technology; provenance; ancient composite; assembly; proposal; ancient salvage; optical data ribbon; recovered storage medium; data spool; t0; t0; component</x:v>
      </x:c>
      <x:c r="AF974" s="4" t="inlineStr">
        <x:is>
          <x:t xml:space="preserve">One independently listed ancient recovered original. Proposed historical role does not establish functioning game behavior or reproducible manufacture.</x:t>
        </x:is>
      </x:c>
      <x:c r="AG974" s="4" t="inlineStr">
        <x:is>
          <x:t xml:space="preserve">T0 as found, independent of ancient complexity and extreme rarity. Any qualified craft-ready form would require a separate T1 readiness record.</x:t>
        </x:is>
      </x:c>
      <x:c r="AH974" s="4" t="inlineStr">
        <x:is>
          <x:t xml:space="preserve">T0</x:t>
        </x:is>
      </x:c>
      <x:c r="AI974" s="4" t="inlineStr">
        <x:is>
          <x:t xml:space="preserve">Component</x:t>
        </x:is>
      </x:c>
      <x:c r="AJ974" s="4">
        <x:f>COUNTIFS('Material routes'!$D$6:$D$2205,A974,'Material routes'!$C$6:$C$2205,"Output")</x:f>
        <x:v>0</x:v>
      </x:c>
      <x:c r="AK974" s="4">
        <x:f>SUM(COUNTIFS('Material routes'!$D$6:$D$2205,A974,'Material routes'!$C$6:$C$2205,"Ingredient candidate"),COUNTIFS('Material routes'!$D$6:$D$2205,A974,'Material routes'!$C$6:$C$2205,"Consumed input"),COUNTIFS('Material routes'!$D$6:$D$2205,A974,'Material routes'!$C$6:$C$2205,"Contained input"),COUNTIFS('Material routes'!$D$6:$D$2205,A974,'Material routes'!$C$6:$C$2205,"Transform input"))</x:f>
        <x:v>0</x:v>
      </x:c>
      <x:c r="AL974" s="4">
        <x:f>COUNTIFS('Material routes'!$D$6:$D$2205,A974,'Material routes'!$C$6:$C$2205,"Tool candidate")</x:f>
        <x:v>0</x:v>
      </x:c>
      <x:c r="AM974" s="4" t="str">
        <x:f>IF(AJ974&gt;0,"Route listed; review status/completeness",IF(C974="T0","Raw entry feed; no production route","No production route listed"))</x:f>
        <x:v>Raw entry feed; no production route</x:v>
      </x:c>
      <x:c r="AN974" s="4">
        <x:f>IF(C974="T0",0,IF(C974="T1",1,IF(C974="T2",2,IF(C974="T3",3,IF(C974="T4",4,IF(C974="Unassigned",98,99))))))</x:f>
        <x:v>0</x:v>
      </x:c>
    </x:row>
    <x:row r="975">
      <x:c r="A975" s="4" t="inlineStr">
        <x:is>
          <x:t xml:space="preserve">proposal.ancient.vacuum_pump_core</x:t>
        </x:is>
      </x:c>
      <x:c r="B975" s="4" t="inlineStr">
        <x:is>
          <x:t xml:space="preserve">Ancient vacuum pump core</x:t>
        </x:is>
      </x:c>
      <x:c r="C975" s="4" t="inlineStr">
        <x:is>
          <x:t xml:space="preserve">T0</x:t>
        </x:is>
      </x:c>
      <x:c r="D975" s="4" t="inlineStr">
        <x:is>
          <x:t xml:space="preserve">Ancient salvage</x:t>
        </x:is>
      </x:c>
      <x:c r="E975" s="4" t="inlineStr">
        <x:is>
          <x:t xml:space="preserve">Ancient recovery</x:t>
        </x:is>
      </x:c>
      <x:c r="F975" s="4" t="inlineStr">
        <x:is>
          <x:t xml:space="preserve">New proposal</x:t>
        </x:is>
      </x:c>
      <x:c r="G975" s="4" t="inlineStr">
        <x:is>
          <x:t xml:space="preserve">A dense sealed core with precision ports and nested internal channels, proposed as an atmosphere-handling component from ancient machinery. Distinct from the existing microfluidic routing plate; any pumping function, power supply or compatible installation remains unknown.</x:t>
        </x:is>
      </x:c>
      <x:c r="H975" s="4" t="inlineStr">
        <x:is>
          <x:t xml:space="preserve">None; compatibility unresolved</x:t>
        </x:is>
      </x:c>
      <x:c r="I975" s="4" t="inlineStr">
        <x:is>
          <x:t xml:space="preserve">Physical recovered inventory / cargo item; dimensions, condition and packing unresolved.</x:t>
        </x:is>
      </x:c>
      <x:c r="J975" s="4"/>
      <x:c r="K975" s="4"/>
      <x:c r="L975" s="4" t="inlineStr">
        <x:is>
          <x:t xml:space="preserve">Recover a surviving original from a proposed ancient machine or ruin. Sites, recovery conditions and availability remain unresolved.</x:t>
        </x:is>
      </x:c>
      <x:c r="M975" s="4" t="inlineStr">
        <x:is>
          <x:t xml:space="preserve">As-found original requiring identification and integrity/compatibility qualification before possible reuse. No modern manufacturing, internal repair, recovery yield or crafting recipe established.</x:t>
        </x:is>
      </x:c>
      <x:c r="N975" s="4" t="inlineStr">
        <x:is>
          <x:t xml:space="preserve">Not implemented</x:t>
        </x:is>
      </x:c>
      <x:c r="O975" s="4" t="inlineStr">
        <x:is>
          <x:t xml:space="preserve">Extremely rare. Internal construction, integrity, interfaces, operating requirements and useful life remain unknown. No guaranteed operation, compatible host, reproduced ancient technology, contents or numerical benefit granted.</x:t>
        </x:is>
      </x:c>
      <x:c r="P975" s="4" t="inlineStr">
        <x:is>
          <x:t xml:space="preserve">Extremely rare</x:t>
        </x:is>
      </x:c>
      <x:c r="Q975" s="4"/>
      <x:c r="R975" s="4"/>
      <x:c r="S975" s="4"/>
      <x:c r="T975" s="4"/>
      <x:c r="U975" s="4" t="inlineStr">
        <x:is>
          <x:t xml:space="preserve">Internal mechanism, retained contamination, port standards, power, flow and qualification remain unknown. No vacuum capability, breathable atmosphere or practical process assigned.</x:t>
        </x:is>
      </x:c>
      <x:c r="V975" s="4" t="inlineStr">
        <x:is>
          <x:t xml:space="preserve">ancient salvage; vacuum pump core; atmosphere handling; sealed pump</x:t>
        </x:is>
      </x:c>
      <x:c r="W975"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5" s="4" t="inlineStr">
        <x:is>
          <x:t xml:space="preserve">Machine part</x:t>
        </x:is>
      </x:c>
      <x:c r="Y975" s="4" t="inlineStr">
        <x:is>
          <x:t xml:space="preserve">Recovered part</x:t>
        </x:is>
      </x:c>
      <x:c r="Z975" s="4" t="inlineStr">
        <x:is>
          <x:t xml:space="preserve">Ancient technology</x:t>
        </x:is>
      </x:c>
      <x:c r="AA975" s="4" t="inlineStr">
        <x:is>
          <x:t xml:space="preserve">Chemical processing</x:t>
        </x:is>
      </x:c>
      <x:c r="AB975" s="4" t="inlineStr">
        <x:is>
          <x:t xml:space="preserve">Mixed / unresolved</x:t>
        </x:is>
      </x:c>
      <x:c r="AC975" s="4" t="inlineStr">
        <x:is>
          <x:t xml:space="preserve">Assembly</x:t>
        </x:is>
      </x:c>
      <x:c r="AD975" s="4" t="inlineStr">
        <x:is>
          <x:t xml:space="preserve">Proposal</x:t>
        </x:is>
      </x:c>
      <x:c r="AE975" s="4" t="str">
        <x:f>LOWER(A975&amp;"; "&amp;B975&amp;"; "&amp;D975&amp;"; "&amp;E975&amp;"; "&amp;X975&amp;"; "&amp;Y975&amp;"; "&amp;Z975&amp;"; "&amp;AA975&amp;"; "&amp;AB975&amp;"; "&amp;AC975&amp;"; "&amp;AD975&amp;"; "&amp;V975&amp;"; "&amp;C975&amp;"; "&amp;AH975&amp;"; "&amp;AI975)</x:f>
        <x:v>proposal.ancient.vacuum_pump_core; ancient vacuum pump core; ancient salvage; ancient recovery; machine part; recovered part; ancient technology; chemical processing; mixed / unresolved; assembly; proposal; ancient salvage; vacuum pump core; atmosphere handling; sealed pump; t0; t0; component</x:v>
      </x:c>
      <x:c r="AF975" s="4" t="inlineStr">
        <x:is>
          <x:t xml:space="preserve">One independently listed ancient recovered original. Proposed historical role does not establish functioning game behavior or reproducible manufacture.</x:t>
        </x:is>
      </x:c>
      <x:c r="AG975" s="4" t="inlineStr">
        <x:is>
          <x:t xml:space="preserve">T0 as found, independent of ancient complexity and extreme rarity. Any qualified craft-ready form would require a separate T1 readiness record.</x:t>
        </x:is>
      </x:c>
      <x:c r="AH975" s="4" t="inlineStr">
        <x:is>
          <x:t xml:space="preserve">T0</x:t>
        </x:is>
      </x:c>
      <x:c r="AI975" s="4" t="inlineStr">
        <x:is>
          <x:t xml:space="preserve">Component</x:t>
        </x:is>
      </x:c>
      <x:c r="AJ975" s="4">
        <x:f>COUNTIFS('Material routes'!$D$6:$D$2205,A975,'Material routes'!$C$6:$C$2205,"Output")</x:f>
        <x:v>0</x:v>
      </x:c>
      <x:c r="AK975" s="4">
        <x:f>SUM(COUNTIFS('Material routes'!$D$6:$D$2205,A975,'Material routes'!$C$6:$C$2205,"Ingredient candidate"),COUNTIFS('Material routes'!$D$6:$D$2205,A975,'Material routes'!$C$6:$C$2205,"Consumed input"),COUNTIFS('Material routes'!$D$6:$D$2205,A975,'Material routes'!$C$6:$C$2205,"Contained input"),COUNTIFS('Material routes'!$D$6:$D$2205,A975,'Material routes'!$C$6:$C$2205,"Transform input"))</x:f>
        <x:v>0</x:v>
      </x:c>
      <x:c r="AL975" s="4">
        <x:f>COUNTIFS('Material routes'!$D$6:$D$2205,A975,'Material routes'!$C$6:$C$2205,"Tool candidate")</x:f>
        <x:v>0</x:v>
      </x:c>
      <x:c r="AM975" s="4" t="str">
        <x:f>IF(AJ975&gt;0,"Route listed; review status/completeness",IF(C975="T0","Raw entry feed; no production route","No production route listed"))</x:f>
        <x:v>Raw entry feed; no production route</x:v>
      </x:c>
      <x:c r="AN975" s="4">
        <x:f>IF(C975="T0",0,IF(C975="T1",1,IF(C975="T2",2,IF(C975="T3",3,IF(C975="T4",4,IF(C975="Unassigned",98,99))))))</x:f>
        <x:v>0</x:v>
      </x:c>
    </x:row>
    <x:row r="976">
      <x:c r="A976" s="4" t="inlineStr">
        <x:is>
          <x:t xml:space="preserve">proposal.ancient.phase_change_heat_sink</x:t>
        </x:is>
      </x:c>
      <x:c r="B976" s="4" t="inlineStr">
        <x:is>
          <x:t xml:space="preserve">Ancient phase-change heat sink</x:t>
        </x:is>
      </x:c>
      <x:c r="C976" s="4" t="inlineStr">
        <x:is>
          <x:t xml:space="preserve">T0</x:t>
        </x:is>
      </x:c>
      <x:c r="D976" s="4" t="inlineStr">
        <x:is>
          <x:t xml:space="preserve">Ancient salvage</x:t>
        </x:is>
      </x:c>
      <x:c r="E976" s="4" t="inlineStr">
        <x:is>
          <x:t xml:space="preserve">Ancient recovery</x:t>
        </x:is>
      </x:c>
      <x:c r="F976" s="4" t="inlineStr">
        <x:is>
          <x:t xml:space="preserve">New proposal</x:t>
        </x:is>
      </x:c>
      <x:c r="G976" s="4" t="inlineStr">
        <x:is>
          <x:t xml:space="preserve">A sealed layered thermal block proposed to have buffered heat inside ancient equipment. Unlike the open-finned heat-exchange comb, it has an enclosed internal medium whose state, integrity and remaining usefulness are unknown.</x:t>
        </x:is>
      </x:c>
      <x:c r="H976" s="4" t="inlineStr">
        <x:is>
          <x:t xml:space="preserve">None; compatibility unresolved</x:t>
        </x:is>
      </x:c>
      <x:c r="I976" s="4" t="inlineStr">
        <x:is>
          <x:t xml:space="preserve">Physical recovered inventory / cargo item; dimensions, condition and packing unresolved.</x:t>
        </x:is>
      </x:c>
      <x:c r="J976" s="4"/>
      <x:c r="K976" s="4"/>
      <x:c r="L976" s="4" t="inlineStr">
        <x:is>
          <x:t xml:space="preserve">Recover a surviving original from a proposed ancient machine or ruin. Sites, recovery conditions and availability remain unresolved.</x:t>
        </x:is>
      </x:c>
      <x:c r="M976" s="4" t="inlineStr">
        <x:is>
          <x:t xml:space="preserve">As-found original requiring identification and integrity/compatibility qualification before possible reuse. No modern manufacturing, internal repair, recovery yield or crafting recipe established.</x:t>
        </x:is>
      </x:c>
      <x:c r="N976" s="4" t="inlineStr">
        <x:is>
          <x:t xml:space="preserve">Not implemented</x:t>
        </x:is>
      </x:c>
      <x:c r="O976" s="4" t="inlineStr">
        <x:is>
          <x:t xml:space="preserve">Extremely rare. Internal construction, integrity, interfaces, operating requirements and useful life remain unknown. No guaranteed operation, compatible host, reproduced ancient technology, contents or numerical benefit granted.</x:t>
        </x:is>
      </x:c>
      <x:c r="P976" s="4" t="inlineStr">
        <x:is>
          <x:t xml:space="preserve">Extremely rare</x:t>
        </x:is>
      </x:c>
      <x:c r="Q976" s="4"/>
      <x:c r="R976" s="4"/>
      <x:c r="S976" s="4"/>
      <x:c r="T976" s="4"/>
      <x:c r="U976" s="4" t="inlineStr">
        <x:is>
          <x:t xml:space="preserve">Internal medium, thermal limits, seal integrity, host interface and any reuse remain unknown. No natural water, perpetual cooling, working heat capacity or replenishment process established.</x:t>
        </x:is>
      </x:c>
      <x:c r="V976" s="4" t="inlineStr">
        <x:is>
          <x:t xml:space="preserve">ancient salvage; phase change heat sink; thermal buffer block; sealed heat reservoir</x:t>
        </x:is>
      </x:c>
      <x:c r="W976"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6" s="4" t="inlineStr">
        <x:is>
          <x:t xml:space="preserve">Machine part</x:t>
        </x:is>
      </x:c>
      <x:c r="Y976" s="4" t="inlineStr">
        <x:is>
          <x:t xml:space="preserve">Recovered part</x:t>
        </x:is>
      </x:c>
      <x:c r="Z976" s="4" t="inlineStr">
        <x:is>
          <x:t xml:space="preserve">Ancient technology</x:t>
        </x:is>
      </x:c>
      <x:c r="AA976" s="4" t="inlineStr">
        <x:is>
          <x:t xml:space="preserve">Equipment repair</x:t>
        </x:is>
      </x:c>
      <x:c r="AB976" s="4" t="inlineStr">
        <x:is>
          <x:t xml:space="preserve">Mixed / unresolved</x:t>
        </x:is>
      </x:c>
      <x:c r="AC976" s="4" t="inlineStr">
        <x:is>
          <x:t xml:space="preserve">Assembly</x:t>
        </x:is>
      </x:c>
      <x:c r="AD976" s="4" t="inlineStr">
        <x:is>
          <x:t xml:space="preserve">Proposal</x:t>
        </x:is>
      </x:c>
      <x:c r="AE976" s="4" t="str">
        <x:f>LOWER(A976&amp;"; "&amp;B976&amp;"; "&amp;D976&amp;"; "&amp;E976&amp;"; "&amp;X976&amp;"; "&amp;Y976&amp;"; "&amp;Z976&amp;"; "&amp;AA976&amp;"; "&amp;AB976&amp;"; "&amp;AC976&amp;"; "&amp;AD976&amp;"; "&amp;V976&amp;"; "&amp;C976&amp;"; "&amp;AH976&amp;"; "&amp;AI976)</x:f>
        <x:v>proposal.ancient.phase_change_heat_sink; ancient phase-change heat sink; ancient salvage; ancient recovery; machine part; recovered part; ancient technology; equipment repair; mixed / unresolved; assembly; proposal; ancient salvage; phase change heat sink; thermal buffer block; sealed heat reservoir; t0; t0; component</x:v>
      </x:c>
      <x:c r="AF976" s="4" t="inlineStr">
        <x:is>
          <x:t xml:space="preserve">One independently listed ancient recovered original. Proposed historical role does not establish functioning game behavior or reproducible manufacture.</x:t>
        </x:is>
      </x:c>
      <x:c r="AG976" s="4" t="inlineStr">
        <x:is>
          <x:t xml:space="preserve">T0 as found, independent of ancient complexity and extreme rarity. Any qualified craft-ready form would require a separate T1 readiness record.</x:t>
        </x:is>
      </x:c>
      <x:c r="AH976" s="4" t="inlineStr">
        <x:is>
          <x:t xml:space="preserve">T0</x:t>
        </x:is>
      </x:c>
      <x:c r="AI976" s="4" t="inlineStr">
        <x:is>
          <x:t xml:space="preserve">Component</x:t>
        </x:is>
      </x:c>
      <x:c r="AJ976" s="4">
        <x:f>COUNTIFS('Material routes'!$D$6:$D$2205,A976,'Material routes'!$C$6:$C$2205,"Output")</x:f>
        <x:v>0</x:v>
      </x:c>
      <x:c r="AK976" s="4">
        <x:f>SUM(COUNTIFS('Material routes'!$D$6:$D$2205,A976,'Material routes'!$C$6:$C$2205,"Ingredient candidate"),COUNTIFS('Material routes'!$D$6:$D$2205,A976,'Material routes'!$C$6:$C$2205,"Consumed input"),COUNTIFS('Material routes'!$D$6:$D$2205,A976,'Material routes'!$C$6:$C$2205,"Contained input"),COUNTIFS('Material routes'!$D$6:$D$2205,A976,'Material routes'!$C$6:$C$2205,"Transform input"))</x:f>
        <x:v>0</x:v>
      </x:c>
      <x:c r="AL976" s="4">
        <x:f>COUNTIFS('Material routes'!$D$6:$D$2205,A976,'Material routes'!$C$6:$C$2205,"Tool candidate")</x:f>
        <x:v>0</x:v>
      </x:c>
      <x:c r="AM976" s="4" t="str">
        <x:f>IF(AJ976&gt;0,"Route listed; review status/completeness",IF(C976="T0","Raw entry feed; no production route","No production route listed"))</x:f>
        <x:v>Raw entry feed; no production route</x:v>
      </x:c>
      <x:c r="AN976" s="4">
        <x:f>IF(C976="T0",0,IF(C976="T1",1,IF(C976="T2",2,IF(C976="T3",3,IF(C976="T4",4,IF(C976="Unassigned",98,99))))))</x:f>
        <x:v>0</x:v>
      </x:c>
    </x:row>
    <x:row r="977">
      <x:c r="A977" s="4" t="inlineStr">
        <x:is>
          <x:t xml:space="preserve">proposal.ancient.microtool_turret</x:t>
        </x:is>
      </x:c>
      <x:c r="B977" s="4" t="inlineStr">
        <x:is>
          <x:t xml:space="preserve">Ancient microtool turret</x:t>
        </x:is>
      </x:c>
      <x:c r="C977" s="4" t="inlineStr">
        <x:is>
          <x:t xml:space="preserve">T0</x:t>
        </x:is>
      </x:c>
      <x:c r="D977" s="4" t="inlineStr">
        <x:is>
          <x:t xml:space="preserve">Ancient salvage</x:t>
        </x:is>
      </x:c>
      <x:c r="E977" s="4" t="inlineStr">
        <x:is>
          <x:t xml:space="preserve">Ancient recovery</x:t>
        </x:is>
      </x:c>
      <x:c r="F977" s="4" t="inlineStr">
        <x:is>
          <x:t xml:space="preserve">New proposal</x:t>
        </x:is>
      </x:c>
      <x:c r="G977" s="4" t="inlineStr">
        <x:is>
          <x:t xml:space="preserve">A recovered miniature indexing head with several recessed tool tips, proposed as part of an ancient maintenance manipulator. It is a single incomplete head, not a robot, independent repair device or present-day fabrication station.</x:t>
        </x:is>
      </x:c>
      <x:c r="H977" s="4" t="inlineStr">
        <x:is>
          <x:t xml:space="preserve">None; compatibility unresolved</x:t>
        </x:is>
      </x:c>
      <x:c r="I977" s="4" t="inlineStr">
        <x:is>
          <x:t xml:space="preserve">Physical recovered inventory / cargo item; dimensions, condition and packing unresolved.</x:t>
        </x:is>
      </x:c>
      <x:c r="J977" s="4"/>
      <x:c r="K977" s="4"/>
      <x:c r="L977" s="4" t="inlineStr">
        <x:is>
          <x:t xml:space="preserve">Recover a surviving original from a proposed ancient machine or ruin. Sites, recovery conditions and availability remain unresolved.</x:t>
        </x:is>
      </x:c>
      <x:c r="M977" s="4" t="inlineStr">
        <x:is>
          <x:t xml:space="preserve">As-found original requiring identification and integrity/compatibility qualification before possible reuse. No modern manufacturing, internal repair, recovery yield or crafting recipe established.</x:t>
        </x:is>
      </x:c>
      <x:c r="N977" s="4" t="inlineStr">
        <x:is>
          <x:t xml:space="preserve">Not implemented</x:t>
        </x:is>
      </x:c>
      <x:c r="O977" s="4" t="inlineStr">
        <x:is>
          <x:t xml:space="preserve">Extremely rare. Internal construction, integrity, interfaces, operating requirements and useful life remain unknown. No guaranteed operation, compatible host, reproduced ancient technology, contents or numerical benefit granted.</x:t>
        </x:is>
      </x:c>
      <x:c r="P977" s="4" t="inlineStr">
        <x:is>
          <x:t xml:space="preserve">Extremely rare</x:t>
        </x:is>
      </x:c>
      <x:c r="Q977" s="4"/>
      <x:c r="R977" s="4"/>
      <x:c r="S977" s="4"/>
      <x:c r="T977" s="4"/>
      <x:c r="U977" s="4" t="inlineStr">
        <x:is>
          <x:t xml:space="preserve">Tip identity, rotation, retained precision, drives, controls and compatible manipulator remain unknown. No automatic repair, reverse-engineered fabrication or reproduction of ancient parts granted.</x:t>
        </x:is>
      </x:c>
      <x:c r="V977" s="4" t="inlineStr">
        <x:is>
          <x:t xml:space="preserve">ancient salvage; microtool turret; miniature indexing head; maintenance tool head</x:t>
        </x:is>
      </x:c>
      <x:c r="W977"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7" s="4" t="inlineStr">
        <x:is>
          <x:t xml:space="preserve">Machine part</x:t>
        </x:is>
      </x:c>
      <x:c r="Y977" s="4" t="inlineStr">
        <x:is>
          <x:t xml:space="preserve">Recovered part</x:t>
        </x:is>
      </x:c>
      <x:c r="Z977" s="4" t="inlineStr">
        <x:is>
          <x:t xml:space="preserve">Ancient technology</x:t>
        </x:is>
      </x:c>
      <x:c r="AA977" s="4" t="inlineStr">
        <x:is>
          <x:t xml:space="preserve">Equipment repair</x:t>
        </x:is>
      </x:c>
      <x:c r="AB977" s="4" t="inlineStr">
        <x:is>
          <x:t xml:space="preserve">Ancient composite</x:t>
        </x:is>
      </x:c>
      <x:c r="AC977" s="4" t="inlineStr">
        <x:is>
          <x:t xml:space="preserve">Assembly</x:t>
        </x:is>
      </x:c>
      <x:c r="AD977" s="4" t="inlineStr">
        <x:is>
          <x:t xml:space="preserve">Proposal</x:t>
        </x:is>
      </x:c>
      <x:c r="AE977" s="4" t="str">
        <x:f>LOWER(A977&amp;"; "&amp;B977&amp;"; "&amp;D977&amp;"; "&amp;E977&amp;"; "&amp;X977&amp;"; "&amp;Y977&amp;"; "&amp;Z977&amp;"; "&amp;AA977&amp;"; "&amp;AB977&amp;"; "&amp;AC977&amp;"; "&amp;AD977&amp;"; "&amp;V977&amp;"; "&amp;C977&amp;"; "&amp;AH977&amp;"; "&amp;AI977)</x:f>
        <x:v>proposal.ancient.microtool_turret; ancient microtool turret; ancient salvage; ancient recovery; machine part; recovered part; ancient technology; equipment repair; ancient composite; assembly; proposal; ancient salvage; microtool turret; miniature indexing head; maintenance tool head; t0; t0; component</x:v>
      </x:c>
      <x:c r="AF977" s="4" t="inlineStr">
        <x:is>
          <x:t xml:space="preserve">One independently listed ancient recovered original. Proposed historical role does not establish functioning game behavior or reproducible manufacture.</x:t>
        </x:is>
      </x:c>
      <x:c r="AG977" s="4" t="inlineStr">
        <x:is>
          <x:t xml:space="preserve">T0 as found, independent of ancient complexity and extreme rarity. Any qualified craft-ready form would require a separate T1 readiness record.</x:t>
        </x:is>
      </x:c>
      <x:c r="AH977" s="4" t="inlineStr">
        <x:is>
          <x:t xml:space="preserve">T0</x:t>
        </x:is>
      </x:c>
      <x:c r="AI977" s="4" t="inlineStr">
        <x:is>
          <x:t xml:space="preserve">Component</x:t>
        </x:is>
      </x:c>
      <x:c r="AJ977" s="4">
        <x:f>COUNTIFS('Material routes'!$D$6:$D$2205,A977,'Material routes'!$C$6:$C$2205,"Output")</x:f>
        <x:v>0</x:v>
      </x:c>
      <x:c r="AK977" s="4">
        <x:f>SUM(COUNTIFS('Material routes'!$D$6:$D$2205,A977,'Material routes'!$C$6:$C$2205,"Ingredient candidate"),COUNTIFS('Material routes'!$D$6:$D$2205,A977,'Material routes'!$C$6:$C$2205,"Consumed input"),COUNTIFS('Material routes'!$D$6:$D$2205,A977,'Material routes'!$C$6:$C$2205,"Contained input"),COUNTIFS('Material routes'!$D$6:$D$2205,A977,'Material routes'!$C$6:$C$2205,"Transform input"))</x:f>
        <x:v>0</x:v>
      </x:c>
      <x:c r="AL977" s="4">
        <x:f>COUNTIFS('Material routes'!$D$6:$D$2205,A977,'Material routes'!$C$6:$C$2205,"Tool candidate")</x:f>
        <x:v>0</x:v>
      </x:c>
      <x:c r="AM977" s="4" t="str">
        <x:f>IF(AJ977&gt;0,"Route listed; review status/completeness",IF(C977="T0","Raw entry feed; no production route","No production route listed"))</x:f>
        <x:v>Raw entry feed; no production route</x:v>
      </x:c>
      <x:c r="AN977" s="4">
        <x:f>IF(C977="T0",0,IF(C977="T1",1,IF(C977="T2",2,IF(C977="T3",3,IF(C977="T4",4,IF(C977="Unassigned",98,99))))))</x:f>
        <x:v>0</x:v>
      </x:c>
    </x:row>
    <x:row r="978">
      <x:c r="A978" s="4" t="inlineStr">
        <x:is>
          <x:t xml:space="preserve">proposal.ancient.spectral_filter_disk</x:t>
        </x:is>
      </x:c>
      <x:c r="B978" s="4" t="inlineStr">
        <x:is>
          <x:t xml:space="preserve">Ancient spectral filter disk</x:t>
        </x:is>
      </x:c>
      <x:c r="C978" s="4" t="inlineStr">
        <x:is>
          <x:t xml:space="preserve">T0</x:t>
        </x:is>
      </x:c>
      <x:c r="D978" s="4" t="inlineStr">
        <x:is>
          <x:t xml:space="preserve">Ancient salvage</x:t>
        </x:is>
      </x:c>
      <x:c r="E978" s="4" t="inlineStr">
        <x:is>
          <x:t xml:space="preserve">Ancient recovery</x:t>
        </x:is>
      </x:c>
      <x:c r="F978" s="4" t="inlineStr">
        <x:is>
          <x:t xml:space="preserve">New proposal</x:t>
        </x:is>
      </x:c>
      <x:c r="G978" s="4" t="inlineStr">
        <x:is>
          <x:t xml:space="preserve">A thin multilayer optical disk retained in a precision ring, proposed to have selected light bands inside an ancient sensor. It is distinct from a focusing mount or sensor eye; intact coatings and any compatible viewing device remain unverified.</x:t>
        </x:is>
      </x:c>
      <x:c r="H978" s="4" t="inlineStr">
        <x:is>
          <x:t xml:space="preserve">None; compatibility unresolved</x:t>
        </x:is>
      </x:c>
      <x:c r="I978" s="4" t="inlineStr">
        <x:is>
          <x:t xml:space="preserve">Physical recovered inventory / cargo item; dimensions, condition and packing unresolved.</x:t>
        </x:is>
      </x:c>
      <x:c r="J978" s="4"/>
      <x:c r="K978" s="4"/>
      <x:c r="L978" s="4" t="inlineStr">
        <x:is>
          <x:t xml:space="preserve">Recover a surviving original from a proposed ancient machine or ruin. Sites, recovery conditions and availability remain unresolved.</x:t>
        </x:is>
      </x:c>
      <x:c r="M978" s="4" t="inlineStr">
        <x:is>
          <x:t xml:space="preserve">As-found original requiring identification and integrity/compatibility qualification before possible reuse. No modern manufacturing, internal repair, recovery yield or crafting recipe established.</x:t>
        </x:is>
      </x:c>
      <x:c r="N978" s="4" t="inlineStr">
        <x:is>
          <x:t xml:space="preserve">Not implemented</x:t>
        </x:is>
      </x:c>
      <x:c r="O978" s="4" t="inlineStr">
        <x:is>
          <x:t xml:space="preserve">Extremely rare. Internal construction, integrity, interfaces, operating requirements and useful life remain unknown. No guaranteed operation, compatible host, reproduced ancient technology, contents or numerical benefit granted.</x:t>
        </x:is>
      </x:c>
      <x:c r="P978" s="4" t="inlineStr">
        <x:is>
          <x:t xml:space="preserve">Extremely rare</x:t>
        </x:is>
      </x:c>
      <x:c r="Q978" s="4"/>
      <x:c r="R978" s="4"/>
      <x:c r="S978" s="4"/>
      <x:c r="T978" s="4"/>
      <x:c r="U978" s="4" t="inlineStr">
        <x:is>
          <x:t xml:space="preserve">Optical composition, coating integrity, wavelength response, mounting and qualification remain unknown. No enhanced vision, eye protection, cloaking or sensor performance established.</x:t>
        </x:is>
      </x:c>
      <x:c r="V978" s="4" t="inlineStr">
        <x:is>
          <x:t xml:space="preserve">ancient salvage; spectral filter disk; multilayer optic; sensor filter</x:t>
        </x:is>
      </x:c>
      <x:c r="W978"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8" s="4" t="inlineStr">
        <x:is>
          <x:t xml:space="preserve">Machine part</x:t>
        </x:is>
      </x:c>
      <x:c r="Y978" s="4" t="inlineStr">
        <x:is>
          <x:t xml:space="preserve">Recovered part</x:t>
        </x:is>
      </x:c>
      <x:c r="Z978" s="4" t="inlineStr">
        <x:is>
          <x:t xml:space="preserve">Ancient technology</x:t>
        </x:is>
      </x:c>
      <x:c r="AA978" s="4" t="inlineStr">
        <x:is>
          <x:t xml:space="preserve">Vision</x:t>
        </x:is>
      </x:c>
      <x:c r="AB978" s="4" t="inlineStr">
        <x:is>
          <x:t xml:space="preserve">Glass and metal</x:t>
        </x:is>
      </x:c>
      <x:c r="AC978" s="4" t="inlineStr">
        <x:is>
          <x:t xml:space="preserve">Assembly</x:t>
        </x:is>
      </x:c>
      <x:c r="AD978" s="4" t="inlineStr">
        <x:is>
          <x:t xml:space="preserve">Proposal</x:t>
        </x:is>
      </x:c>
      <x:c r="AE978" s="4" t="str">
        <x:f>LOWER(A978&amp;"; "&amp;B978&amp;"; "&amp;D978&amp;"; "&amp;E978&amp;"; "&amp;X978&amp;"; "&amp;Y978&amp;"; "&amp;Z978&amp;"; "&amp;AA978&amp;"; "&amp;AB978&amp;"; "&amp;AC978&amp;"; "&amp;AD978&amp;"; "&amp;V978&amp;"; "&amp;C978&amp;"; "&amp;AH978&amp;"; "&amp;AI978)</x:f>
        <x:v>proposal.ancient.spectral_filter_disk; ancient spectral filter disk; ancient salvage; ancient recovery; machine part; recovered part; ancient technology; vision; glass and metal; assembly; proposal; ancient salvage; spectral filter disk; multilayer optic; sensor filter; t0; t0; component</x:v>
      </x:c>
      <x:c r="AF978" s="4" t="inlineStr">
        <x:is>
          <x:t xml:space="preserve">One independently listed ancient recovered original. Proposed historical role does not establish functioning game behavior or reproducible manufacture.</x:t>
        </x:is>
      </x:c>
      <x:c r="AG978" s="4" t="inlineStr">
        <x:is>
          <x:t xml:space="preserve">T0 as found, independent of ancient complexity and extreme rarity. Any qualified craft-ready form would require a separate T1 readiness record.</x:t>
        </x:is>
      </x:c>
      <x:c r="AH978" s="4" t="inlineStr">
        <x:is>
          <x:t xml:space="preserve">T0</x:t>
        </x:is>
      </x:c>
      <x:c r="AI978" s="4" t="inlineStr">
        <x:is>
          <x:t xml:space="preserve">Component</x:t>
        </x:is>
      </x:c>
      <x:c r="AJ978" s="4">
        <x:f>COUNTIFS('Material routes'!$D$6:$D$2205,A978,'Material routes'!$C$6:$C$2205,"Output")</x:f>
        <x:v>0</x:v>
      </x:c>
      <x:c r="AK978" s="4">
        <x:f>SUM(COUNTIFS('Material routes'!$D$6:$D$2205,A978,'Material routes'!$C$6:$C$2205,"Ingredient candidate"),COUNTIFS('Material routes'!$D$6:$D$2205,A978,'Material routes'!$C$6:$C$2205,"Consumed input"),COUNTIFS('Material routes'!$D$6:$D$2205,A978,'Material routes'!$C$6:$C$2205,"Contained input"),COUNTIFS('Material routes'!$D$6:$D$2205,A978,'Material routes'!$C$6:$C$2205,"Transform input"))</x:f>
        <x:v>0</x:v>
      </x:c>
      <x:c r="AL978" s="4">
        <x:f>COUNTIFS('Material routes'!$D$6:$D$2205,A978,'Material routes'!$C$6:$C$2205,"Tool candidate")</x:f>
        <x:v>0</x:v>
      </x:c>
      <x:c r="AM978" s="4" t="str">
        <x:f>IF(AJ978&gt;0,"Route listed; review status/completeness",IF(C978="T0","Raw entry feed; no production route","No production route listed"))</x:f>
        <x:v>Raw entry feed; no production route</x:v>
      </x:c>
      <x:c r="AN978" s="4">
        <x:f>IF(C978="T0",0,IF(C978="T1",1,IF(C978="T2",2,IF(C978="T3",3,IF(C978="T4",4,IF(C978="Unassigned",98,99))))))</x:f>
        <x:v>0</x:v>
      </x:c>
    </x:row>
    <x:row r="979">
      <x:c r="C979"/>
      <x:c r="D979"/>
      <x:c r="E979"/>
      <x:c r="F979"/>
      <x:c r="G979"/>
      <x:c r="H979"/>
      <x:c r="I979"/>
      <x:c r="J979"/>
      <x:c r="K979"/>
      <x:c r="L979"/>
      <x:c r="M979"/>
      <x:c r="N979"/>
      <x:c r="O979"/>
      <x:c r="P979"/>
      <x:c r="Q979"/>
      <x:c r="R979"/>
      <x:c r="S979"/>
      <x:c r="T979"/>
      <x:c r="U979"/>
      <x:c r="V979"/>
      <x:c r="W979"/>
      <x:c r="X979"/>
      <x:c r="Y979"/>
      <x:c r="Z979"/>
      <x:c r="AA979"/>
      <x:c r="AB979"/>
      <x:c r="AC979"/>
      <x:c r="AD979"/>
      <x:c r="AE979"/>
      <x:c r="AF979"/>
      <x:c r="AZ979"/>
      <x:c r="BA979"/>
      <x:c r="BB979"/>
      <x:c r="BC979"/>
      <x:c r="BD979"/>
      <x:c r="BE979"/>
      <x:c r="BF979"/>
      <x:c r="BG979"/>
      <x:c r="BH979"/>
      <x:c r="BI979"/>
      <x:c r="BJ979"/>
      <x:c r="BK979"/>
      <x:c r="BL979"/>
      <x:c r="BM979"/>
      <x:c r="BN979"/>
      <x:c r="BO979"/>
      <x:c r="BP979"/>
      <x:c r="BQ979"/>
      <x:c r="BR979"/>
      <x:c r="BS979"/>
      <x:c r="BT979"/>
      <x:c r="BU979"/>
      <x:c r="BV979"/>
      <x:c r="BW979"/>
      <x:c r="BX979"/>
      <x:c r="BY979"/>
      <x:c r="BZ979"/>
      <x:c r="CA979"/>
      <x:c r="CB979"/>
      <x:c r="CC979"/>
    </x:row>
    <x:row r="980">
      <x:c r="C980"/>
      <x:c r="D980"/>
      <x:c r="E980"/>
      <x:c r="F980"/>
      <x:c r="G980"/>
      <x:c r="H980"/>
      <x:c r="I980"/>
      <x:c r="J980"/>
      <x:c r="K980"/>
      <x:c r="L980"/>
      <x:c r="M980"/>
      <x:c r="N980"/>
      <x:c r="O980"/>
      <x:c r="P980"/>
      <x:c r="Q980"/>
      <x:c r="R980"/>
      <x:c r="S980"/>
      <x:c r="T980"/>
      <x:c r="U980"/>
      <x:c r="V980"/>
      <x:c r="W980"/>
      <x:c r="X980"/>
      <x:c r="Y980"/>
      <x:c r="Z980"/>
      <x:c r="AA980"/>
      <x:c r="AB980"/>
      <x:c r="AC980"/>
      <x:c r="AD980"/>
      <x:c r="AE980"/>
      <x:c r="AF980"/>
      <x:c r="AZ980"/>
      <x:c r="BA980"/>
      <x:c r="BB980"/>
      <x:c r="BC980"/>
      <x:c r="BD980"/>
      <x:c r="BE980"/>
      <x:c r="BF980"/>
      <x:c r="BG980"/>
      <x:c r="BH980"/>
      <x:c r="BI980"/>
      <x:c r="BJ980"/>
      <x:c r="BK980"/>
      <x:c r="BL980"/>
      <x:c r="BM980"/>
      <x:c r="BN980"/>
      <x:c r="BO980"/>
      <x:c r="BP980"/>
      <x:c r="BQ980"/>
      <x:c r="BR980"/>
      <x:c r="BS980"/>
      <x:c r="BT980"/>
      <x:c r="BU980"/>
      <x:c r="BV980"/>
      <x:c r="BW980"/>
      <x:c r="BX980"/>
      <x:c r="BY980"/>
      <x:c r="BZ980"/>
      <x:c r="CA980"/>
      <x:c r="CB980"/>
      <x:c r="CC980"/>
    </x:row>
    <x:row r="981">
      <x:c r="C981"/>
      <x:c r="D981"/>
      <x:c r="E981"/>
      <x:c r="F981"/>
      <x:c r="G981"/>
      <x:c r="H981"/>
      <x:c r="I981"/>
      <x:c r="J981"/>
      <x:c r="K981"/>
      <x:c r="L981"/>
      <x:c r="M981"/>
      <x:c r="N981"/>
      <x:c r="O981"/>
      <x:c r="P981"/>
      <x:c r="Q981"/>
      <x:c r="R981"/>
      <x:c r="S981"/>
      <x:c r="T981"/>
      <x:c r="U981"/>
      <x:c r="V981"/>
      <x:c r="W981"/>
      <x:c r="X981"/>
      <x:c r="Y981"/>
      <x:c r="Z981"/>
      <x:c r="AA981"/>
      <x:c r="AB981"/>
      <x:c r="AC981"/>
      <x:c r="AD981"/>
      <x:c r="AE981"/>
      <x:c r="AF981"/>
      <x:c r="AZ981"/>
      <x:c r="BA981"/>
      <x:c r="BB981"/>
      <x:c r="BC981"/>
      <x:c r="BD981"/>
      <x:c r="BE981"/>
      <x:c r="BF981"/>
      <x:c r="BG981"/>
      <x:c r="BH981"/>
      <x:c r="BI981"/>
      <x:c r="BJ981"/>
      <x:c r="BK981"/>
      <x:c r="BL981"/>
      <x:c r="BM981"/>
      <x:c r="BN981"/>
      <x:c r="BO981"/>
      <x:c r="BP981"/>
      <x:c r="BQ981"/>
      <x:c r="BR981"/>
      <x:c r="BS981"/>
      <x:c r="BT981"/>
      <x:c r="BU981"/>
      <x:c r="BV981"/>
      <x:c r="BW981"/>
      <x:c r="BX981"/>
      <x:c r="BY981"/>
      <x:c r="BZ981"/>
      <x:c r="CA981"/>
      <x:c r="CB981"/>
      <x:c r="CC981"/>
    </x:row>
    <x:row r="982">
      <x:c r="C982"/>
      <x:c r="D982"/>
      <x:c r="E982"/>
      <x:c r="F982"/>
      <x:c r="G982"/>
      <x:c r="H982"/>
      <x:c r="I982"/>
      <x:c r="J982"/>
      <x:c r="K982"/>
      <x:c r="L982"/>
      <x:c r="M982"/>
      <x:c r="N982"/>
      <x:c r="O982"/>
      <x:c r="P982"/>
      <x:c r="Q982"/>
      <x:c r="R982"/>
      <x:c r="S982"/>
      <x:c r="T982"/>
      <x:c r="U982"/>
      <x:c r="V982"/>
      <x:c r="W982"/>
      <x:c r="X982"/>
      <x:c r="Y982"/>
      <x:c r="Z982"/>
      <x:c r="AA982"/>
      <x:c r="AB982"/>
      <x:c r="AC982"/>
      <x:c r="AD982"/>
      <x:c r="AE982"/>
      <x:c r="AF982"/>
      <x:c r="AZ982"/>
      <x:c r="BA982"/>
      <x:c r="BB982"/>
      <x:c r="BC982"/>
      <x:c r="BD982"/>
      <x:c r="BE982"/>
      <x:c r="BF982"/>
      <x:c r="BG982"/>
      <x:c r="BH982"/>
      <x:c r="BI982"/>
      <x:c r="BJ982"/>
      <x:c r="BK982"/>
      <x:c r="BL982"/>
      <x:c r="BM982"/>
      <x:c r="BN982"/>
      <x:c r="BO982"/>
      <x:c r="BP982"/>
      <x:c r="BQ982"/>
      <x:c r="BR982"/>
      <x:c r="BS982"/>
      <x:c r="BT982"/>
      <x:c r="BU982"/>
      <x:c r="BV982"/>
      <x:c r="BW982"/>
      <x:c r="BX982"/>
      <x:c r="BY982"/>
      <x:c r="BZ982"/>
      <x:c r="CA982"/>
      <x:c r="CB982"/>
      <x:c r="CC982"/>
    </x:row>
    <x:row r="983">
      <x:c r="C983"/>
      <x:c r="D983"/>
      <x:c r="E983"/>
      <x:c r="F983"/>
      <x:c r="G983"/>
      <x:c r="H983"/>
      <x:c r="I983"/>
      <x:c r="J983"/>
      <x:c r="K983"/>
      <x:c r="L983"/>
      <x:c r="M983"/>
      <x:c r="N983"/>
      <x:c r="O983"/>
      <x:c r="P983"/>
      <x:c r="Q983"/>
      <x:c r="R983"/>
      <x:c r="S983"/>
      <x:c r="T983"/>
      <x:c r="U983"/>
      <x:c r="V983"/>
      <x:c r="W983"/>
      <x:c r="X983"/>
      <x:c r="Y983"/>
      <x:c r="Z983"/>
      <x:c r="AA983"/>
      <x:c r="AB983"/>
      <x:c r="AC983"/>
      <x:c r="AD983"/>
      <x:c r="AE983"/>
      <x:c r="AF983"/>
      <x:c r="AZ983"/>
      <x:c r="BA983"/>
      <x:c r="BB983"/>
      <x:c r="BC983"/>
      <x:c r="BD983"/>
      <x:c r="BE983"/>
      <x:c r="BF983"/>
      <x:c r="BG983"/>
      <x:c r="BH983"/>
      <x:c r="BI983"/>
      <x:c r="BJ983"/>
      <x:c r="BK983"/>
      <x:c r="BL983"/>
      <x:c r="BM983"/>
      <x:c r="BN983"/>
      <x:c r="BO983"/>
      <x:c r="BP983"/>
      <x:c r="BQ983"/>
      <x:c r="BR983"/>
      <x:c r="BS983"/>
      <x:c r="BT983"/>
      <x:c r="BU983"/>
      <x:c r="BV983"/>
      <x:c r="BW983"/>
      <x:c r="BX983"/>
      <x:c r="BY983"/>
      <x:c r="BZ983"/>
      <x:c r="CA983"/>
      <x:c r="CB983"/>
      <x:c r="CC983"/>
    </x:row>
    <x:row r="984">
      <x:c r="C984"/>
      <x:c r="D984"/>
      <x:c r="E984"/>
      <x:c r="F984"/>
      <x:c r="G984"/>
      <x:c r="H984"/>
      <x:c r="I984"/>
      <x:c r="J984"/>
      <x:c r="K984"/>
      <x:c r="L984"/>
      <x:c r="M984"/>
      <x:c r="N984"/>
      <x:c r="O984"/>
      <x:c r="P984"/>
      <x:c r="Q984"/>
      <x:c r="R984"/>
      <x:c r="S984"/>
      <x:c r="T984"/>
      <x:c r="U984"/>
      <x:c r="V984"/>
      <x:c r="W984"/>
      <x:c r="X984"/>
      <x:c r="Y984"/>
      <x:c r="Z984"/>
      <x:c r="AA984"/>
      <x:c r="AB984"/>
      <x:c r="AC984"/>
      <x:c r="AD984"/>
      <x:c r="AE984"/>
      <x:c r="AF984"/>
      <x:c r="AZ984"/>
      <x:c r="BA984"/>
      <x:c r="BB984"/>
      <x:c r="BC984"/>
      <x:c r="BD984"/>
      <x:c r="BE984"/>
      <x:c r="BF984"/>
      <x:c r="BG984"/>
      <x:c r="BH984"/>
      <x:c r="BI984"/>
      <x:c r="BJ984"/>
      <x:c r="BK984"/>
      <x:c r="BL984"/>
      <x:c r="BM984"/>
      <x:c r="BN984"/>
      <x:c r="BO984"/>
      <x:c r="BP984"/>
      <x:c r="BQ984"/>
      <x:c r="BR984"/>
      <x:c r="BS984"/>
      <x:c r="BT984"/>
      <x:c r="BU984"/>
      <x:c r="BV984"/>
      <x:c r="BW984"/>
      <x:c r="BX984"/>
      <x:c r="BY984"/>
      <x:c r="BZ984"/>
      <x:c r="CA984"/>
      <x:c r="CB984"/>
      <x:c r="CC984"/>
    </x:row>
    <x:row r="985">
      <x:c r="C985"/>
      <x:c r="D985"/>
      <x:c r="E985"/>
      <x:c r="F985"/>
      <x:c r="G985"/>
      <x:c r="H985"/>
      <x:c r="I985"/>
      <x:c r="J985"/>
      <x:c r="K985"/>
      <x:c r="L985"/>
      <x:c r="M985"/>
      <x:c r="N985"/>
      <x:c r="O985"/>
      <x:c r="P985"/>
      <x:c r="Q985"/>
      <x:c r="R985"/>
      <x:c r="S985"/>
      <x:c r="T985"/>
      <x:c r="U985"/>
      <x:c r="V985"/>
      <x:c r="W985"/>
      <x:c r="X985"/>
      <x:c r="Y985"/>
      <x:c r="Z985"/>
      <x:c r="AA985"/>
      <x:c r="AB985"/>
      <x:c r="AC985"/>
      <x:c r="AD985"/>
      <x:c r="AE985"/>
      <x:c r="AF985"/>
      <x:c r="AZ985"/>
      <x:c r="BA985"/>
      <x:c r="BB985"/>
      <x:c r="BC985"/>
      <x:c r="BD985"/>
      <x:c r="BE985"/>
      <x:c r="BF985"/>
      <x:c r="BG985"/>
      <x:c r="BH985"/>
      <x:c r="BI985"/>
      <x:c r="BJ985"/>
      <x:c r="BK985"/>
      <x:c r="BL985"/>
      <x:c r="BM985"/>
      <x:c r="BN985"/>
      <x:c r="BO985"/>
      <x:c r="BP985"/>
      <x:c r="BQ985"/>
      <x:c r="BR985"/>
      <x:c r="BS985"/>
      <x:c r="BT985"/>
      <x:c r="BU985"/>
      <x:c r="BV985"/>
      <x:c r="BW985"/>
      <x:c r="BX985"/>
      <x:c r="BY985"/>
      <x:c r="BZ985"/>
      <x:c r="CA985"/>
      <x:c r="CB985"/>
      <x:c r="CC985"/>
    </x:row>
    <x:row r="986">
      <x:c r="C986"/>
      <x:c r="D986"/>
      <x:c r="E986"/>
      <x:c r="F986"/>
      <x:c r="G986"/>
      <x:c r="H986"/>
      <x:c r="I986"/>
      <x:c r="J986"/>
      <x:c r="K986"/>
      <x:c r="L986"/>
      <x:c r="M986"/>
      <x:c r="N986"/>
      <x:c r="O986"/>
      <x:c r="P986"/>
      <x:c r="Q986"/>
      <x:c r="R986"/>
      <x:c r="S986"/>
      <x:c r="T986"/>
      <x:c r="U986"/>
      <x:c r="V986"/>
      <x:c r="W986"/>
      <x:c r="X986"/>
      <x:c r="Y986"/>
      <x:c r="Z986"/>
      <x:c r="AA986"/>
      <x:c r="AB986"/>
      <x:c r="AC986"/>
      <x:c r="AD986"/>
      <x:c r="AE986"/>
      <x:c r="AF986"/>
      <x:c r="AZ986"/>
      <x:c r="BA986"/>
      <x:c r="BB986"/>
      <x:c r="BC986"/>
      <x:c r="BD986"/>
      <x:c r="BE986"/>
      <x:c r="BF986"/>
      <x:c r="BG986"/>
      <x:c r="BH986"/>
      <x:c r="BI986"/>
      <x:c r="BJ986"/>
      <x:c r="BK986"/>
      <x:c r="BL986"/>
      <x:c r="BM986"/>
      <x:c r="BN986"/>
      <x:c r="BO986"/>
      <x:c r="BP986"/>
      <x:c r="BQ986"/>
      <x:c r="BR986"/>
      <x:c r="BS986"/>
      <x:c r="BT986"/>
      <x:c r="BU986"/>
      <x:c r="BV986"/>
      <x:c r="BW986"/>
      <x:c r="BX986"/>
      <x:c r="BY986"/>
      <x:c r="BZ986"/>
      <x:c r="CA986"/>
      <x:c r="CB986"/>
      <x:c r="CC986"/>
    </x:row>
    <x:row r="987">
      <x:c r="C987"/>
      <x:c r="D987"/>
      <x:c r="E987"/>
      <x:c r="F987"/>
      <x:c r="G987"/>
      <x:c r="H987"/>
      <x:c r="I987"/>
      <x:c r="J987"/>
      <x:c r="K987"/>
      <x:c r="L987"/>
      <x:c r="M987"/>
      <x:c r="N987"/>
      <x:c r="O987"/>
      <x:c r="P987"/>
      <x:c r="Q987"/>
      <x:c r="R987"/>
      <x:c r="S987"/>
      <x:c r="T987"/>
      <x:c r="U987"/>
      <x:c r="V987"/>
      <x:c r="W987"/>
      <x:c r="X987"/>
      <x:c r="Y987"/>
      <x:c r="Z987"/>
      <x:c r="AA987"/>
      <x:c r="AB987"/>
      <x:c r="AC987"/>
      <x:c r="AD987"/>
      <x:c r="AE987"/>
      <x:c r="AF987"/>
      <x:c r="AZ987"/>
      <x:c r="BA987"/>
      <x:c r="BB987"/>
      <x:c r="BC987"/>
      <x:c r="BD987"/>
      <x:c r="BE987"/>
      <x:c r="BF987"/>
      <x:c r="BG987"/>
      <x:c r="BH987"/>
      <x:c r="BI987"/>
      <x:c r="BJ987"/>
      <x:c r="BK987"/>
      <x:c r="BL987"/>
      <x:c r="BM987"/>
      <x:c r="BN987"/>
      <x:c r="BO987"/>
      <x:c r="BP987"/>
      <x:c r="BQ987"/>
      <x:c r="BR987"/>
      <x:c r="BS987"/>
      <x:c r="BT987"/>
      <x:c r="BU987"/>
      <x:c r="BV987"/>
      <x:c r="BW987"/>
      <x:c r="BX987"/>
      <x:c r="BY987"/>
      <x:c r="BZ987"/>
      <x:c r="CA987"/>
      <x:c r="CB987"/>
      <x:c r="CC987"/>
    </x:row>
    <x:row r="988">
      <x:c r="C988"/>
      <x:c r="D988"/>
      <x:c r="E988"/>
      <x:c r="F988"/>
      <x:c r="G988"/>
      <x:c r="H988"/>
      <x:c r="I988"/>
      <x:c r="J988"/>
      <x:c r="K988"/>
      <x:c r="L988"/>
      <x:c r="M988"/>
      <x:c r="N988"/>
      <x:c r="O988"/>
      <x:c r="P988"/>
      <x:c r="Q988"/>
      <x:c r="R988"/>
      <x:c r="S988"/>
      <x:c r="T988"/>
      <x:c r="U988"/>
      <x:c r="V988"/>
      <x:c r="W988"/>
      <x:c r="X988"/>
      <x:c r="Y988"/>
      <x:c r="Z988"/>
      <x:c r="AA988"/>
      <x:c r="AB988"/>
      <x:c r="AC988"/>
      <x:c r="AD988"/>
      <x:c r="AE988"/>
      <x:c r="AF988"/>
      <x:c r="AZ988"/>
      <x:c r="BA988"/>
      <x:c r="BB988"/>
      <x:c r="BC988"/>
      <x:c r="BD988"/>
      <x:c r="BE988"/>
      <x:c r="BF988"/>
      <x:c r="BG988"/>
      <x:c r="BH988"/>
      <x:c r="BI988"/>
      <x:c r="BJ988"/>
      <x:c r="BK988"/>
      <x:c r="BL988"/>
      <x:c r="BM988"/>
      <x:c r="BN988"/>
      <x:c r="BO988"/>
      <x:c r="BP988"/>
      <x:c r="BQ988"/>
      <x:c r="BR988"/>
      <x:c r="BS988"/>
      <x:c r="BT988"/>
      <x:c r="BU988"/>
      <x:c r="BV988"/>
      <x:c r="BW988"/>
      <x:c r="BX988"/>
      <x:c r="BY988"/>
      <x:c r="BZ988"/>
      <x:c r="CA988"/>
      <x:c r="CB988"/>
      <x:c r="CC988"/>
    </x:row>
    <x:row r="989">
      <x:c r="C989"/>
      <x:c r="D989"/>
      <x:c r="E989"/>
      <x:c r="F989"/>
      <x:c r="G989"/>
      <x:c r="H989"/>
      <x:c r="I989"/>
      <x:c r="J989"/>
      <x:c r="K989"/>
      <x:c r="L989"/>
      <x:c r="M989"/>
      <x:c r="N989"/>
      <x:c r="O989"/>
      <x:c r="P989"/>
      <x:c r="Q989"/>
      <x:c r="R989"/>
      <x:c r="S989"/>
      <x:c r="T989"/>
      <x:c r="U989"/>
      <x:c r="V989"/>
      <x:c r="W989"/>
      <x:c r="X989"/>
      <x:c r="Y989"/>
      <x:c r="Z989"/>
      <x:c r="AA989"/>
      <x:c r="AB989"/>
      <x:c r="AC989"/>
      <x:c r="AD989"/>
      <x:c r="AE989"/>
      <x:c r="AF989"/>
      <x:c r="AZ989"/>
      <x:c r="BA989"/>
      <x:c r="BB989"/>
      <x:c r="BC989"/>
      <x:c r="BD989"/>
      <x:c r="BE989"/>
      <x:c r="BF989"/>
      <x:c r="BG989"/>
      <x:c r="BH989"/>
      <x:c r="BI989"/>
      <x:c r="BJ989"/>
      <x:c r="BK989"/>
      <x:c r="BL989"/>
      <x:c r="BM989"/>
      <x:c r="BN989"/>
      <x:c r="BO989"/>
      <x:c r="BP989"/>
      <x:c r="BQ989"/>
      <x:c r="BR989"/>
      <x:c r="BS989"/>
      <x:c r="BT989"/>
      <x:c r="BU989"/>
      <x:c r="BV989"/>
      <x:c r="BW989"/>
      <x:c r="BX989"/>
      <x:c r="BY989"/>
      <x:c r="BZ989"/>
      <x:c r="CA989"/>
      <x:c r="CB989"/>
      <x:c r="CC989"/>
    </x:row>
    <x:row r="990">
      <x:c r="C990"/>
      <x:c r="D990"/>
      <x:c r="E990"/>
      <x:c r="F990"/>
      <x:c r="G990"/>
      <x:c r="H990"/>
      <x:c r="I990"/>
      <x:c r="J990"/>
      <x:c r="K990"/>
      <x:c r="L990"/>
      <x:c r="M990"/>
      <x:c r="N990"/>
      <x:c r="O990"/>
      <x:c r="P990"/>
      <x:c r="Q990"/>
      <x:c r="R990"/>
      <x:c r="S990"/>
      <x:c r="T990"/>
      <x:c r="U990"/>
      <x:c r="V990"/>
      <x:c r="W990"/>
      <x:c r="X990"/>
      <x:c r="Y990"/>
      <x:c r="Z990"/>
      <x:c r="AA990"/>
      <x:c r="AB990"/>
      <x:c r="AC990"/>
      <x:c r="AD990"/>
      <x:c r="AE990"/>
      <x:c r="AF990"/>
      <x:c r="AZ990"/>
      <x:c r="BA990"/>
      <x:c r="BB990"/>
      <x:c r="BC990"/>
      <x:c r="BD990"/>
      <x:c r="BE990"/>
      <x:c r="BF990"/>
      <x:c r="BG990"/>
      <x:c r="BH990"/>
      <x:c r="BI990"/>
      <x:c r="BJ990"/>
      <x:c r="BK990"/>
      <x:c r="BL990"/>
      <x:c r="BM990"/>
      <x:c r="BN990"/>
      <x:c r="BO990"/>
      <x:c r="BP990"/>
      <x:c r="BQ990"/>
      <x:c r="BR990"/>
      <x:c r="BS990"/>
      <x:c r="BT990"/>
      <x:c r="BU990"/>
      <x:c r="BV990"/>
      <x:c r="BW990"/>
      <x:c r="BX990"/>
      <x:c r="BY990"/>
      <x:c r="BZ990"/>
      <x:c r="CA990"/>
      <x:c r="CB990"/>
      <x:c r="CC990"/>
    </x:row>
    <x:row r="991">
      <x:c r="C991"/>
      <x:c r="D991"/>
      <x:c r="E991"/>
      <x:c r="F991"/>
      <x:c r="G991"/>
      <x:c r="H991"/>
      <x:c r="I991"/>
      <x:c r="J991"/>
      <x:c r="K991"/>
      <x:c r="L991"/>
      <x:c r="M991"/>
      <x:c r="N991"/>
      <x:c r="O991"/>
      <x:c r="P991"/>
      <x:c r="Q991"/>
      <x:c r="R991"/>
      <x:c r="S991"/>
      <x:c r="T991"/>
      <x:c r="U991"/>
      <x:c r="V991"/>
      <x:c r="W991"/>
      <x:c r="X991"/>
      <x:c r="Y991"/>
      <x:c r="Z991"/>
      <x:c r="AA991"/>
      <x:c r="AB991"/>
      <x:c r="AC991"/>
      <x:c r="AD991"/>
      <x:c r="AE991"/>
      <x:c r="AF991"/>
      <x:c r="AZ991"/>
      <x:c r="BA991"/>
      <x:c r="BB991"/>
      <x:c r="BC991"/>
      <x:c r="BD991"/>
      <x:c r="BE991"/>
      <x:c r="BF991"/>
      <x:c r="BG991"/>
      <x:c r="BH991"/>
      <x:c r="BI991"/>
      <x:c r="BJ991"/>
      <x:c r="BK991"/>
      <x:c r="BL991"/>
      <x:c r="BM991"/>
      <x:c r="BN991"/>
      <x:c r="BO991"/>
      <x:c r="BP991"/>
      <x:c r="BQ991"/>
      <x:c r="BR991"/>
      <x:c r="BS991"/>
      <x:c r="BT991"/>
      <x:c r="BU991"/>
      <x:c r="BV991"/>
      <x:c r="BW991"/>
      <x:c r="BX991"/>
      <x:c r="BY991"/>
      <x:c r="BZ991"/>
      <x:c r="CA991"/>
      <x:c r="CB991"/>
      <x:c r="CC991"/>
    </x:row>
    <x:row r="992">
      <x:c r="C992"/>
      <x:c r="D992"/>
      <x:c r="E992"/>
      <x:c r="F992"/>
      <x:c r="G992"/>
      <x:c r="H992"/>
      <x:c r="I992"/>
      <x:c r="J992"/>
      <x:c r="K992"/>
      <x:c r="L992"/>
      <x:c r="M992"/>
      <x:c r="N992"/>
      <x:c r="O992"/>
      <x:c r="P992"/>
      <x:c r="Q992"/>
      <x:c r="R992"/>
      <x:c r="S992"/>
      <x:c r="T992"/>
      <x:c r="U992"/>
      <x:c r="V992"/>
      <x:c r="W992"/>
      <x:c r="X992"/>
      <x:c r="Y992"/>
      <x:c r="Z992"/>
      <x:c r="AA992"/>
      <x:c r="AB992"/>
      <x:c r="AC992"/>
      <x:c r="AD992"/>
      <x:c r="AE992"/>
      <x:c r="AF992"/>
      <x:c r="AZ992"/>
      <x:c r="BA992"/>
      <x:c r="BB992"/>
      <x:c r="BC992"/>
      <x:c r="BD992"/>
      <x:c r="BE992"/>
      <x:c r="BF992"/>
      <x:c r="BG992"/>
      <x:c r="BH992"/>
      <x:c r="BI992"/>
      <x:c r="BJ992"/>
      <x:c r="BK992"/>
      <x:c r="BL992"/>
      <x:c r="BM992"/>
      <x:c r="BN992"/>
      <x:c r="BO992"/>
      <x:c r="BP992"/>
      <x:c r="BQ992"/>
      <x:c r="BR992"/>
      <x:c r="BS992"/>
      <x:c r="BT992"/>
      <x:c r="BU992"/>
      <x:c r="BV992"/>
      <x:c r="BW992"/>
      <x:c r="BX992"/>
      <x:c r="BY992"/>
      <x:c r="BZ992"/>
      <x:c r="CA992"/>
      <x:c r="CB992"/>
      <x:c r="CC992"/>
    </x:row>
    <x:row r="993">
      <x:c r="C993"/>
      <x:c r="D993"/>
      <x:c r="E993"/>
      <x:c r="F993"/>
      <x:c r="G993"/>
      <x:c r="H993"/>
      <x:c r="I993"/>
      <x:c r="J993"/>
      <x:c r="K993"/>
      <x:c r="L993"/>
      <x:c r="M993"/>
      <x:c r="N993"/>
      <x:c r="O993"/>
      <x:c r="P993"/>
      <x:c r="Q993"/>
      <x:c r="R993"/>
      <x:c r="S993"/>
      <x:c r="T993"/>
      <x:c r="U993"/>
      <x:c r="V993"/>
      <x:c r="W993"/>
      <x:c r="X993"/>
      <x:c r="Y993"/>
      <x:c r="Z993"/>
      <x:c r="AA993"/>
      <x:c r="AB993"/>
      <x:c r="AC993"/>
      <x:c r="AD993"/>
      <x:c r="AE993"/>
      <x:c r="AF993"/>
      <x:c r="AZ993"/>
      <x:c r="BA993"/>
      <x:c r="BB993"/>
      <x:c r="BC993"/>
      <x:c r="BD993"/>
      <x:c r="BE993"/>
      <x:c r="BF993"/>
      <x:c r="BG993"/>
      <x:c r="BH993"/>
      <x:c r="BI993"/>
      <x:c r="BJ993"/>
      <x:c r="BK993"/>
      <x:c r="BL993"/>
      <x:c r="BM993"/>
      <x:c r="BN993"/>
      <x:c r="BO993"/>
      <x:c r="BP993"/>
      <x:c r="BQ993"/>
      <x:c r="BR993"/>
      <x:c r="BS993"/>
      <x:c r="BT993"/>
      <x:c r="BU993"/>
      <x:c r="BV993"/>
      <x:c r="BW993"/>
      <x:c r="BX993"/>
      <x:c r="BY993"/>
      <x:c r="BZ993"/>
      <x:c r="CA993"/>
      <x:c r="CB993"/>
      <x:c r="CC993"/>
    </x:row>
    <x:row r="994">
      <x:c r="C994"/>
      <x:c r="D994"/>
      <x:c r="E994"/>
      <x:c r="F994"/>
      <x:c r="G994"/>
      <x:c r="H994"/>
      <x:c r="I994"/>
      <x:c r="J994"/>
      <x:c r="K994"/>
      <x:c r="L994"/>
      <x:c r="M994"/>
      <x:c r="N994"/>
      <x:c r="O994"/>
      <x:c r="P994"/>
      <x:c r="Q994"/>
      <x:c r="R994"/>
      <x:c r="S994"/>
      <x:c r="T994"/>
      <x:c r="U994"/>
      <x:c r="V994"/>
      <x:c r="W994"/>
      <x:c r="X994"/>
      <x:c r="Y994"/>
      <x:c r="Z994"/>
      <x:c r="AA994"/>
      <x:c r="AB994"/>
      <x:c r="AC994"/>
      <x:c r="AD994"/>
      <x:c r="AE994"/>
      <x:c r="AF994"/>
      <x:c r="AZ994"/>
      <x:c r="BA994"/>
      <x:c r="BB994"/>
      <x:c r="BC994"/>
      <x:c r="BD994"/>
      <x:c r="BE994"/>
      <x:c r="BF994"/>
      <x:c r="BG994"/>
      <x:c r="BH994"/>
      <x:c r="BI994"/>
      <x:c r="BJ994"/>
      <x:c r="BK994"/>
      <x:c r="BL994"/>
      <x:c r="BM994"/>
      <x:c r="BN994"/>
      <x:c r="BO994"/>
      <x:c r="BP994"/>
      <x:c r="BQ994"/>
      <x:c r="BR994"/>
      <x:c r="BS994"/>
      <x:c r="BT994"/>
      <x:c r="BU994"/>
      <x:c r="BV994"/>
      <x:c r="BW994"/>
      <x:c r="BX994"/>
      <x:c r="BY994"/>
      <x:c r="BZ994"/>
      <x:c r="CA994"/>
      <x:c r="CB994"/>
      <x:c r="CC994"/>
    </x:row>
    <x:row r="995">
      <x:c r="C995"/>
      <x:c r="D995"/>
      <x:c r="E995"/>
      <x:c r="F995"/>
      <x:c r="G995"/>
      <x:c r="H995"/>
      <x:c r="I995"/>
      <x:c r="J995"/>
      <x:c r="K995"/>
      <x:c r="L995"/>
      <x:c r="M995"/>
      <x:c r="N995"/>
      <x:c r="O995"/>
      <x:c r="P995"/>
      <x:c r="Q995"/>
      <x:c r="R995"/>
      <x:c r="S995"/>
      <x:c r="T995"/>
      <x:c r="U995"/>
      <x:c r="V995"/>
      <x:c r="W995"/>
      <x:c r="X995"/>
      <x:c r="Y995"/>
      <x:c r="Z995"/>
      <x:c r="AA995"/>
      <x:c r="AB995"/>
      <x:c r="AC995"/>
      <x:c r="AD995"/>
      <x:c r="AE995"/>
      <x:c r="AF995"/>
      <x:c r="AZ995"/>
      <x:c r="BA995"/>
      <x:c r="BB995"/>
      <x:c r="BC995"/>
      <x:c r="BD995"/>
      <x:c r="BE995"/>
      <x:c r="BF995"/>
      <x:c r="BG995"/>
      <x:c r="BH995"/>
      <x:c r="BI995"/>
      <x:c r="BJ995"/>
      <x:c r="BK995"/>
      <x:c r="BL995"/>
      <x:c r="BM995"/>
      <x:c r="BN995"/>
      <x:c r="BO995"/>
      <x:c r="BP995"/>
      <x:c r="BQ995"/>
      <x:c r="BR995"/>
      <x:c r="BS995"/>
      <x:c r="BT995"/>
      <x:c r="BU995"/>
      <x:c r="BV995"/>
      <x:c r="BW995"/>
      <x:c r="BX995"/>
      <x:c r="BY995"/>
      <x:c r="BZ995"/>
      <x:c r="CA995"/>
      <x:c r="CB995"/>
      <x:c r="CC995"/>
    </x:row>
    <x:row r="996">
      <x:c r="C996"/>
      <x:c r="D996"/>
      <x:c r="E996"/>
      <x:c r="F996"/>
      <x:c r="G996"/>
      <x:c r="H996"/>
      <x:c r="I996"/>
      <x:c r="J996"/>
      <x:c r="K996"/>
      <x:c r="L996"/>
      <x:c r="M996"/>
      <x:c r="N996"/>
      <x:c r="O996"/>
      <x:c r="P996"/>
      <x:c r="Q996"/>
      <x:c r="R996"/>
      <x:c r="S996"/>
      <x:c r="T996"/>
      <x:c r="U996"/>
      <x:c r="V996"/>
      <x:c r="W996"/>
      <x:c r="X996"/>
      <x:c r="Y996"/>
      <x:c r="Z996"/>
      <x:c r="AA996"/>
      <x:c r="AB996"/>
      <x:c r="AC996"/>
      <x:c r="AD996"/>
      <x:c r="AE996"/>
      <x:c r="AF996"/>
      <x:c r="AZ996"/>
      <x:c r="BA996"/>
      <x:c r="BB996"/>
      <x:c r="BC996"/>
      <x:c r="BD996"/>
      <x:c r="BE996"/>
      <x:c r="BF996"/>
      <x:c r="BG996"/>
      <x:c r="BH996"/>
      <x:c r="BI996"/>
      <x:c r="BJ996"/>
      <x:c r="BK996"/>
      <x:c r="BL996"/>
      <x:c r="BM996"/>
      <x:c r="BN996"/>
      <x:c r="BO996"/>
      <x:c r="BP996"/>
      <x:c r="BQ996"/>
      <x:c r="BR996"/>
      <x:c r="BS996"/>
      <x:c r="BT996"/>
      <x:c r="BU996"/>
      <x:c r="BV996"/>
      <x:c r="BW996"/>
      <x:c r="BX996"/>
      <x:c r="BY996"/>
      <x:c r="BZ996"/>
      <x:c r="CA996"/>
      <x:c r="CB996"/>
      <x:c r="CC996"/>
    </x:row>
    <x:row r="997">
      <x:c r="C997"/>
      <x:c r="D997"/>
      <x:c r="E997"/>
      <x:c r="F997"/>
      <x:c r="G997"/>
      <x:c r="H997"/>
      <x:c r="I997"/>
      <x:c r="J997"/>
      <x:c r="K997"/>
      <x:c r="L997"/>
      <x:c r="M997"/>
      <x:c r="N997"/>
      <x:c r="O997"/>
      <x:c r="P997"/>
      <x:c r="Q997"/>
      <x:c r="R997"/>
      <x:c r="S997"/>
      <x:c r="T997"/>
      <x:c r="U997"/>
      <x:c r="V997"/>
      <x:c r="W997"/>
      <x:c r="X997"/>
      <x:c r="Y997"/>
      <x:c r="Z997"/>
      <x:c r="AA997"/>
      <x:c r="AB997"/>
      <x:c r="AC997"/>
      <x:c r="AD997"/>
      <x:c r="AE997"/>
      <x:c r="AF997"/>
      <x:c r="AZ997"/>
      <x:c r="BA997"/>
      <x:c r="BB997"/>
      <x:c r="BC997"/>
      <x:c r="BD997"/>
      <x:c r="BE997"/>
      <x:c r="BF997"/>
      <x:c r="BG997"/>
      <x:c r="BH997"/>
      <x:c r="BI997"/>
      <x:c r="BJ997"/>
      <x:c r="BK997"/>
      <x:c r="BL997"/>
      <x:c r="BM997"/>
      <x:c r="BN997"/>
      <x:c r="BO997"/>
      <x:c r="BP997"/>
      <x:c r="BQ997"/>
      <x:c r="BR997"/>
      <x:c r="BS997"/>
      <x:c r="BT997"/>
      <x:c r="BU997"/>
      <x:c r="BV997"/>
      <x:c r="BW997"/>
      <x:c r="BX997"/>
      <x:c r="BY997"/>
      <x:c r="BZ997"/>
      <x:c r="CA997"/>
      <x:c r="CB997"/>
      <x:c r="CC997"/>
    </x:row>
    <x:row r="998">
      <x:c r="C998"/>
      <x:c r="D998"/>
      <x:c r="E998"/>
      <x:c r="F998"/>
      <x:c r="G998"/>
      <x:c r="H998"/>
      <x:c r="I998"/>
      <x:c r="J998"/>
      <x:c r="K998"/>
      <x:c r="L998"/>
      <x:c r="M998"/>
      <x:c r="N998"/>
      <x:c r="O998"/>
      <x:c r="P998"/>
      <x:c r="Q998"/>
      <x:c r="R998"/>
      <x:c r="S998"/>
      <x:c r="T998"/>
      <x:c r="U998"/>
      <x:c r="V998"/>
      <x:c r="W998"/>
      <x:c r="X998"/>
      <x:c r="Y998"/>
      <x:c r="Z998"/>
      <x:c r="AA998"/>
      <x:c r="AB998"/>
      <x:c r="AC998"/>
      <x:c r="AD998"/>
      <x:c r="AE998"/>
      <x:c r="AF998"/>
      <x:c r="AZ998"/>
      <x:c r="BA998"/>
      <x:c r="BB998"/>
      <x:c r="BC998"/>
      <x:c r="BD998"/>
      <x:c r="BE998"/>
      <x:c r="BF998"/>
      <x:c r="BG998"/>
      <x:c r="BH998"/>
      <x:c r="BI998"/>
      <x:c r="BJ998"/>
      <x:c r="BK998"/>
      <x:c r="BL998"/>
      <x:c r="BM998"/>
      <x:c r="BN998"/>
      <x:c r="BO998"/>
      <x:c r="BP998"/>
      <x:c r="BQ998"/>
      <x:c r="BR998"/>
      <x:c r="BS998"/>
      <x:c r="BT998"/>
      <x:c r="BU998"/>
      <x:c r="BV998"/>
      <x:c r="BW998"/>
      <x:c r="BX998"/>
      <x:c r="BY998"/>
      <x:c r="BZ998"/>
      <x:c r="CA998"/>
      <x:c r="CB998"/>
      <x:c r="CC998"/>
    </x:row>
    <x:row r="999">
      <x:c r="C999"/>
      <x:c r="D999"/>
      <x:c r="E999"/>
      <x:c r="F999"/>
      <x:c r="G999"/>
      <x:c r="H999"/>
      <x:c r="I999"/>
      <x:c r="J999"/>
      <x:c r="K999"/>
      <x:c r="L999"/>
      <x:c r="M999"/>
      <x:c r="N999"/>
      <x:c r="O999"/>
      <x:c r="P999"/>
      <x:c r="Q999"/>
      <x:c r="R999"/>
      <x:c r="S999"/>
      <x:c r="T999"/>
      <x:c r="U999"/>
      <x:c r="V999"/>
      <x:c r="W999"/>
      <x:c r="X999"/>
      <x:c r="Y999"/>
      <x:c r="Z999"/>
      <x:c r="AA999"/>
      <x:c r="AB999"/>
      <x:c r="AC999"/>
      <x:c r="AD999"/>
      <x:c r="AE999"/>
      <x:c r="AF999"/>
      <x:c r="AZ999"/>
      <x:c r="BA999"/>
      <x:c r="BB999"/>
      <x:c r="BC999"/>
      <x:c r="BD999"/>
      <x:c r="BE999"/>
      <x:c r="BF999"/>
      <x:c r="BG999"/>
      <x:c r="BH999"/>
      <x:c r="BI999"/>
      <x:c r="BJ999"/>
      <x:c r="BK999"/>
      <x:c r="BL999"/>
      <x:c r="BM999"/>
      <x:c r="BN999"/>
      <x:c r="BO999"/>
      <x:c r="BP999"/>
      <x:c r="BQ999"/>
      <x:c r="BR999"/>
      <x:c r="BS999"/>
      <x:c r="BT999"/>
      <x:c r="BU999"/>
      <x:c r="BV999"/>
      <x:c r="BW999"/>
      <x:c r="BX999"/>
      <x:c r="BY999"/>
      <x:c r="BZ999"/>
      <x:c r="CA999"/>
      <x:c r="CB999"/>
      <x:c r="CC999"/>
    </x:row>
    <x:row r="1000">
      <x:c r="C1000"/>
      <x:c r="D1000"/>
      <x:c r="E1000"/>
      <x:c r="F1000"/>
      <x:c r="G1000"/>
      <x:c r="H1000"/>
      <x:c r="I1000"/>
      <x:c r="J1000"/>
      <x:c r="K1000"/>
      <x:c r="L1000"/>
      <x:c r="M1000"/>
      <x:c r="N1000"/>
      <x:c r="O1000"/>
      <x:c r="P1000"/>
      <x:c r="Q1000"/>
      <x:c r="R1000"/>
      <x:c r="S1000"/>
      <x:c r="T1000"/>
      <x:c r="U1000"/>
      <x:c r="V1000"/>
      <x:c r="W1000"/>
      <x:c r="X1000"/>
      <x:c r="Y1000"/>
      <x:c r="Z1000"/>
      <x:c r="AA1000"/>
      <x:c r="AB1000"/>
      <x:c r="AC1000"/>
      <x:c r="AD1000"/>
      <x:c r="AE1000"/>
      <x:c r="AF1000"/>
      <x:c r="AZ1000"/>
      <x:c r="BA1000"/>
      <x:c r="BB1000"/>
      <x:c r="BC1000"/>
      <x:c r="BD1000"/>
      <x:c r="BE1000"/>
      <x:c r="BF1000"/>
      <x:c r="BG1000"/>
      <x:c r="BH1000"/>
      <x:c r="BI1000"/>
      <x:c r="BJ1000"/>
      <x:c r="BK1000"/>
      <x:c r="BL1000"/>
      <x:c r="BM1000"/>
      <x:c r="BN1000"/>
      <x:c r="BO1000"/>
      <x:c r="BP1000"/>
      <x:c r="BQ1000"/>
      <x:c r="BR1000"/>
      <x:c r="BS1000"/>
      <x:c r="BT1000"/>
      <x:c r="BU1000"/>
      <x:c r="BV1000"/>
      <x:c r="BW1000"/>
      <x:c r="BX1000"/>
      <x:c r="BY1000"/>
      <x:c r="BZ1000"/>
      <x:c r="CA1000"/>
      <x:c r="CB1000"/>
      <x:c r="CC1000"/>
    </x:row>
    <x:row r="1001">
      <x:c r="C1001"/>
      <x:c r="D1001"/>
      <x:c r="E1001"/>
      <x:c r="F1001"/>
      <x:c r="G1001"/>
      <x:c r="H1001"/>
      <x:c r="I1001"/>
      <x:c r="J1001"/>
      <x:c r="K1001"/>
      <x:c r="L1001"/>
      <x:c r="M1001"/>
      <x:c r="N1001"/>
      <x:c r="O1001"/>
      <x:c r="P1001"/>
      <x:c r="Q1001"/>
      <x:c r="R1001"/>
      <x:c r="S1001"/>
      <x:c r="T1001"/>
      <x:c r="U1001"/>
      <x:c r="V1001"/>
      <x:c r="W1001"/>
      <x:c r="X1001"/>
      <x:c r="Y1001"/>
      <x:c r="Z1001"/>
      <x:c r="AA1001"/>
      <x:c r="AB1001"/>
      <x:c r="AC1001"/>
      <x:c r="AD1001"/>
      <x:c r="AE1001"/>
      <x:c r="AF1001"/>
      <x:c r="AZ1001"/>
      <x:c r="BA1001"/>
      <x:c r="BB1001"/>
      <x:c r="BC1001"/>
      <x:c r="BD1001"/>
      <x:c r="BE1001"/>
      <x:c r="BF1001"/>
      <x:c r="BG1001"/>
      <x:c r="BH1001"/>
      <x:c r="BI1001"/>
      <x:c r="BJ1001"/>
      <x:c r="BK1001"/>
      <x:c r="BL1001"/>
      <x:c r="BM1001"/>
      <x:c r="BN1001"/>
      <x:c r="BO1001"/>
      <x:c r="BP1001"/>
      <x:c r="BQ1001"/>
      <x:c r="BR1001"/>
      <x:c r="BS1001"/>
      <x:c r="BT1001"/>
      <x:c r="BU1001"/>
      <x:c r="BV1001"/>
      <x:c r="BW1001"/>
      <x:c r="BX1001"/>
      <x:c r="BY1001"/>
      <x:c r="BZ1001"/>
      <x:c r="CA1001"/>
      <x:c r="CB1001"/>
      <x:c r="CC1001"/>
    </x:row>
    <x:row r="1002">
      <x:c r="C1002"/>
      <x:c r="D1002"/>
      <x:c r="E1002"/>
      <x:c r="F1002"/>
      <x:c r="G1002"/>
      <x:c r="H1002"/>
      <x:c r="I1002"/>
      <x:c r="J1002"/>
      <x:c r="K1002"/>
      <x:c r="L1002"/>
      <x:c r="M1002"/>
      <x:c r="N1002"/>
      <x:c r="O1002"/>
      <x:c r="P1002"/>
      <x:c r="Q1002"/>
      <x:c r="R1002"/>
      <x:c r="S1002"/>
      <x:c r="T1002"/>
      <x:c r="U1002"/>
      <x:c r="V1002"/>
      <x:c r="W1002"/>
      <x:c r="X1002"/>
      <x:c r="Y1002"/>
      <x:c r="Z1002"/>
      <x:c r="AA1002"/>
      <x:c r="AB1002"/>
      <x:c r="AC1002"/>
      <x:c r="AD1002"/>
      <x:c r="AE1002"/>
      <x:c r="AF1002"/>
      <x:c r="AZ1002"/>
      <x:c r="BA1002"/>
      <x:c r="BB1002"/>
      <x:c r="BC1002"/>
      <x:c r="BD1002"/>
      <x:c r="BE1002"/>
      <x:c r="BF1002"/>
      <x:c r="BG1002"/>
      <x:c r="BH1002"/>
      <x:c r="BI1002"/>
      <x:c r="BJ1002"/>
      <x:c r="BK1002"/>
      <x:c r="BL1002"/>
      <x:c r="BM1002"/>
      <x:c r="BN1002"/>
      <x:c r="BO1002"/>
      <x:c r="BP1002"/>
      <x:c r="BQ1002"/>
      <x:c r="BR1002"/>
      <x:c r="BS1002"/>
      <x:c r="BT1002"/>
      <x:c r="BU1002"/>
      <x:c r="BV1002"/>
      <x:c r="BW1002"/>
      <x:c r="BX1002"/>
      <x:c r="BY1002"/>
      <x:c r="BZ1002"/>
      <x:c r="CA1002"/>
      <x:c r="CB1002"/>
      <x:c r="CC1002"/>
    </x:row>
    <x:row r="1003">
      <x:c r="C1003"/>
      <x:c r="D1003"/>
      <x:c r="E1003"/>
      <x:c r="F1003"/>
      <x:c r="G1003"/>
      <x:c r="H1003"/>
      <x:c r="I1003"/>
      <x:c r="J1003"/>
      <x:c r="K1003"/>
      <x:c r="L1003"/>
      <x:c r="M1003"/>
      <x:c r="N1003"/>
      <x:c r="O1003"/>
      <x:c r="P1003"/>
      <x:c r="Q1003"/>
      <x:c r="R1003"/>
      <x:c r="S1003"/>
      <x:c r="T1003"/>
      <x:c r="U1003"/>
      <x:c r="V1003"/>
      <x:c r="W1003"/>
      <x:c r="X1003"/>
      <x:c r="Y1003"/>
      <x:c r="Z1003"/>
      <x:c r="AA1003"/>
      <x:c r="AB1003"/>
      <x:c r="AC1003"/>
      <x:c r="AD1003"/>
      <x:c r="AE1003"/>
      <x:c r="AF1003"/>
      <x:c r="AZ1003"/>
      <x:c r="BA1003"/>
      <x:c r="BB1003"/>
      <x:c r="BC1003"/>
      <x:c r="BD1003"/>
      <x:c r="BE1003"/>
      <x:c r="BF1003"/>
      <x:c r="BG1003"/>
      <x:c r="BH1003"/>
      <x:c r="BI1003"/>
      <x:c r="BJ1003"/>
      <x:c r="BK1003"/>
      <x:c r="BL1003"/>
      <x:c r="BM1003"/>
      <x:c r="BN1003"/>
      <x:c r="BO1003"/>
      <x:c r="BP1003"/>
      <x:c r="BQ1003"/>
      <x:c r="BR1003"/>
      <x:c r="BS1003"/>
      <x:c r="BT1003"/>
      <x:c r="BU1003"/>
      <x:c r="BV1003"/>
      <x:c r="BW1003"/>
      <x:c r="BX1003"/>
      <x:c r="BY1003"/>
      <x:c r="BZ1003"/>
      <x:c r="CA1003"/>
      <x:c r="CB1003"/>
      <x:c r="CC1003"/>
    </x:row>
    <x:row r="1004">
      <x:c r="C1004"/>
      <x:c r="D1004"/>
      <x:c r="E1004"/>
      <x:c r="F1004"/>
      <x:c r="G1004"/>
      <x:c r="H1004"/>
      <x:c r="I1004"/>
      <x:c r="J1004"/>
      <x:c r="K1004"/>
      <x:c r="L1004"/>
      <x:c r="M1004"/>
      <x:c r="N1004"/>
      <x:c r="O1004"/>
      <x:c r="P1004"/>
      <x:c r="Q1004"/>
      <x:c r="R1004"/>
      <x:c r="S1004"/>
      <x:c r="T1004"/>
      <x:c r="U1004"/>
      <x:c r="V1004"/>
      <x:c r="W1004"/>
      <x:c r="X1004"/>
      <x:c r="Y1004"/>
      <x:c r="Z1004"/>
      <x:c r="AA1004"/>
      <x:c r="AB1004"/>
      <x:c r="AC1004"/>
      <x:c r="AD1004"/>
      <x:c r="AE1004"/>
      <x:c r="AF1004"/>
      <x:c r="AZ1004"/>
      <x:c r="BA1004"/>
      <x:c r="BB1004"/>
      <x:c r="BC1004"/>
      <x:c r="BD1004"/>
      <x:c r="BE1004"/>
      <x:c r="BF1004"/>
      <x:c r="BG1004"/>
      <x:c r="BH1004"/>
      <x:c r="BI1004"/>
      <x:c r="BJ1004"/>
      <x:c r="BK1004"/>
      <x:c r="BL1004"/>
      <x:c r="BM1004"/>
      <x:c r="BN1004"/>
      <x:c r="BO1004"/>
      <x:c r="BP1004"/>
      <x:c r="BQ1004"/>
      <x:c r="BR1004"/>
      <x:c r="BS1004"/>
      <x:c r="BT1004"/>
      <x:c r="BU1004"/>
      <x:c r="BV1004"/>
      <x:c r="BW1004"/>
      <x:c r="BX1004"/>
      <x:c r="BY1004"/>
      <x:c r="BZ1004"/>
      <x:c r="CA1004"/>
      <x:c r="CB1004"/>
      <x:c r="CC1004"/>
    </x:row>
    <x:row r="1005">
      <x:c r="C1005"/>
      <x:c r="D1005"/>
      <x:c r="E1005"/>
      <x:c r="F1005"/>
      <x:c r="G1005"/>
      <x:c r="H1005"/>
      <x:c r="I1005"/>
      <x:c r="J1005"/>
      <x:c r="K1005"/>
      <x:c r="L1005"/>
      <x:c r="M1005"/>
      <x:c r="N1005"/>
      <x:c r="O1005"/>
      <x:c r="P1005"/>
      <x:c r="Q1005"/>
      <x:c r="R1005"/>
      <x:c r="S1005"/>
      <x:c r="T1005"/>
      <x:c r="U1005"/>
      <x:c r="V1005"/>
      <x:c r="W1005"/>
      <x:c r="X1005"/>
      <x:c r="Y1005"/>
      <x:c r="Z1005"/>
      <x:c r="AA1005"/>
      <x:c r="AB1005"/>
      <x:c r="AC1005"/>
      <x:c r="AD1005"/>
      <x:c r="AE1005"/>
      <x:c r="AF1005"/>
      <x:c r="AZ1005"/>
      <x:c r="BA1005"/>
      <x:c r="BB1005"/>
      <x:c r="BC1005"/>
      <x:c r="BD1005"/>
      <x:c r="BE1005"/>
      <x:c r="BF1005"/>
      <x:c r="BG1005"/>
      <x:c r="BH1005"/>
      <x:c r="BI1005"/>
      <x:c r="BJ1005"/>
      <x:c r="BK1005"/>
      <x:c r="BL1005"/>
      <x:c r="BM1005"/>
      <x:c r="BN1005"/>
      <x:c r="BO1005"/>
      <x:c r="BP1005"/>
      <x:c r="BQ1005"/>
      <x:c r="BR1005"/>
      <x:c r="BS1005"/>
      <x:c r="BT1005"/>
      <x:c r="BU1005"/>
      <x:c r="BV1005"/>
      <x:c r="BW1005"/>
      <x:c r="BX1005"/>
      <x:c r="BY1005"/>
      <x:c r="BZ1005"/>
      <x:c r="CA1005"/>
      <x:c r="CB1005"/>
      <x:c r="CC1005"/>
    </x:row>
  </x:sheetData>
  <x:conditionalFormatting sqref="F6:F23">
    <x:cfRule type="containsText" dxfId="4" priority="1" operator="containsText" text="trial"/>
  </x:conditionalFormatting>
  <x:conditionalFormatting sqref="F24:F55">
    <x:cfRule type="containsText" dxfId="5" priority="2" operator="containsText" text="proposal"/>
  </x:conditionalFormatting>
  <x:conditionalFormatting sqref="F56:F74">
    <x:cfRule type="containsText" dxfId="6" priority="3" operator="containsText" text="proposal"/>
  </x:conditionalFormatting>
  <x:conditionalFormatting sqref="F84:F95">
    <x:cfRule type="containsText" dxfId="7" priority="4" operator="containsText" text="proposal"/>
  </x:conditionalFormatting>
  <x:dataValidations count="11">
    <x:dataValidation type="list" sqref="AH6:AH1005">
      <x:formula1>"T0,T1,T2,T3,T4,Unassigned,Not applicable"</x:formula1>
    </x:dataValidation>
    <x:dataValidation type="list" sqref="AI6:AI1005">
      <x:formula1>'Taxonomy'!$B$228:$B$231</x:formula1>
    </x:dataValidation>
    <x:dataValidation type="list" sqref="D6:D1005">
      <x:formula1>InventoryCategoryChoices</x:formula1>
    </x:dataValidation>
    <x:dataValidation type="list" sqref="X6:X1005">
      <x:formula1>'Taxonomy'!$B$24:$B$55</x:formula1>
    </x:dataValidation>
    <x:dataValidation type="list" sqref="Y6:Y1005">
      <x:formula1>'Taxonomy'!$B$56:$B$65</x:formula1>
    </x:dataValidation>
    <x:dataValidation type="list" sqref="Z6:Z1005">
      <x:formula1>'Taxonomy'!$B$66:$B$75</x:formula1>
    </x:dataValidation>
    <x:dataValidation type="list" sqref="AA6:AA1005">
      <x:formula1>'Taxonomy'!$B$76:$B$158</x:formula1>
    </x:dataValidation>
    <x:dataValidation type="list" sqref="AB6:AB1005">
      <x:formula1>'Taxonomy'!$B$159:$B$194</x:formula1>
    </x:dataValidation>
    <x:dataValidation type="list" sqref="AC6:AC1005">
      <x:formula1>'Taxonomy'!$B$195:$B$215</x:formula1>
    </x:dataValidation>
    <x:dataValidation type="list" sqref="AD6:AD1005">
      <x:formula1>'Taxonomy'!$B$216:$B$220</x:formula1>
    </x:dataValidation>
    <x:dataValidation type="list" sqref="C6:C1005">
      <x:formula1>'Taxonomy'!$B$221:$B$227</x:formula1>
    </x:dataValidation>
  </x:dataValidations>
  <x:pageMargins left="0.7" right="0.7" top="0.75" bottom="0.75" header="0.3" footer="0.3"/>
  <x:tableParts count="1">
    <x:tablePart xmlns:r="http://schemas.openxmlformats.org/officeDocument/2006/relationships" r:id="Ra307dcf459d8472d"/>
  </x:tableParts>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5" hidden="0" customWidth="1"/>
    <x:col min="4" max="4" width="20" hidden="0" customWidth="1"/>
    <x:col min="5" max="5" width="23" hidden="0" customWidth="1"/>
    <x:col min="6" max="6" width="16" hidden="0" customWidth="1"/>
    <x:col min="7" max="7" width="23" hidden="0" customWidth="1"/>
    <x:col min="8" max="8" width="14" hidden="0" customWidth="1"/>
    <x:col min="9" max="9" width="18" hidden="0" customWidth="1"/>
    <x:col min="10" max="10" width="23" hidden="0" customWidth="1"/>
    <x:col min="11" max="11" width="90" hidden="0" customWidth="1"/>
    <x:col min="12" max="12" width="3" hidden="0" customWidth="1"/>
    <x:col min="13" max="13" width="100" hidden="0" customWidth="1"/>
  </x:cols>
  <x:sheetData>
    <x:row r="1">
      <x:c r="A1" s="1"/>
      <x:c r="B1" s="1"/>
      <x:c r="C1" s="1"/>
      <x:c r="D1" s="1"/>
      <x:c r="E1" s="1"/>
      <x:c r="F1" s="1"/>
      <x:c r="G1" s="1"/>
      <x:c r="H1" s="1"/>
      <x:c r="I1" s="1"/>
      <x:c r="J1" s="1"/>
      <x:c r="K1" s="1"/>
      <x:c r="L1" s="1"/>
      <x:c r="M1" s="1"/>
    </x:row>
    <x:row r="2">
      <x:c r="A2" s="2" t="str">
        <x:v>Serialized item definitions</x:v>
      </x:c>
      <x:c r="B2" s="1"/>
      <x:c r="C2" s="1"/>
      <x:c r="D2" s="1"/>
      <x:c r="E2" s="1"/>
      <x:c r="F2" s="1"/>
      <x:c r="G2" s="1"/>
      <x:c r="H2" s="1"/>
      <x:c r="I2" s="1"/>
      <x:c r="J2" s="1"/>
      <x:c r="K2" s="1"/>
      <x:c r="L2" s="1"/>
      <x:c r="M2" s="1"/>
    </x:row>
    <x:row r="3">
      <x:c r="A3" s="1"/>
      <x:c r="B3" s="1"/>
      <x:c r="C3" s="1"/>
      <x:c r="D3" s="1"/>
      <x:c r="E3" s="1"/>
      <x:c r="F3" s="1"/>
      <x:c r="G3" s="1"/>
      <x:c r="H3" s="1"/>
      <x:c r="I3" s="1"/>
      <x:c r="J3" s="1"/>
      <x:c r="K3" s="1"/>
      <x:c r="L3" s="1"/>
      <x:c r="M3" s="1"/>
    </x:row>
    <x:row r="4">
      <x:c r="A4" s="1"/>
      <x:c r="B4" s="1"/>
      <x:c r="C4" s="1"/>
      <x:c r="D4" s="1"/>
      <x:c r="E4" s="1"/>
      <x:c r="F4" s="1"/>
      <x:c r="G4" s="1"/>
      <x:c r="H4" s="1"/>
      <x:c r="I4" s="1"/>
      <x:c r="J4" s="1"/>
      <x:c r="K4" s="1"/>
      <x:c r="L4" s="1"/>
      <x:c r="M4" s="1"/>
    </x:row>
    <x:row r="5" ht="32" customHeight="1">
      <x:c r="A5" s="8" t="str">
        <x:v>Item ID</x:v>
      </x:c>
      <x:c r="B5" s="8" t="str">
        <x:v>Authored name</x:v>
      </x:c>
      <x:c r="C5" s="8" t="str">
        <x:v>Definition scope</x:v>
      </x:c>
      <x:c r="D5" s="8" t="str">
        <x:v>Unity category</x:v>
      </x:c>
      <x:c r="E5" s="8" t="str">
        <x:v>Equipment slot</x:v>
      </x:c>
      <x:c r="F5" s="8" t="str">
        <x:v>Field supply</x:v>
      </x:c>
      <x:c r="G5" s="8" t="str">
        <x:v>Carrier metadata</x:v>
      </x:c>
      <x:c r="H5" s="8" t="str">
        <x:v>Stack limit</x:v>
      </x:c>
      <x:c r="I5" s="8" t="str">
        <x:v>Mass (game units)</x:v>
      </x:c>
      <x:c r="J5" s="8" t="str">
        <x:v>Packing preference</x:v>
      </x:c>
      <x:c r="K5" s="8" t="str">
        <x:v>Authored description</x:v>
      </x:c>
      <x:c r="L5" s="10" t="str"/>
      <x:c r="M5" s="12" t="str">
        <x:v>Source asset</x:v>
      </x:c>
    </x:row>
    <x:row r="6" ht="48" customHeight="1">
      <x:c r="A6" s="9" t="str">
        <x:v>equipment.algae_canister</x:v>
      </x:c>
      <x:c r="B6" s="9" t="str">
        <x:v>Algae canister</x:v>
      </x:c>
      <x:c r="C6" s="9" t="str">
        <x:v>Camp Loop trial</x:v>
      </x:c>
      <x:c r="D6" s="9" t="str">
        <x:v>Equipment</x:v>
      </x:c>
      <x:c r="E6" s="9" t="str">
        <x:v>Algae canister</x:v>
      </x:c>
      <x:c r="F6" s="21" t="b">
        <x:v>0</x:v>
      </x:c>
      <x:c r="G6" s="9" t="str">
        <x:v>Booter only</x:v>
      </x:c>
      <x:c r="H6" s="9" t="n">
        <x:v>1</x:v>
      </x:c>
      <x:c r="I6" s="9" t="n">
        <x:v>0.8</x:v>
      </x:c>
      <x:c r="J6" s="9" t="str">
        <x:v>Quick access</x:v>
      </x:c>
      <x:c r="K6" s="9" t="str">
        <x:v>Attached personal living-algae reserve for Eat, Drink and Treat. Does not restore Reserve.</x:v>
      </x:c>
      <x:c r="L6" s="11"/>
      <x:c r="M6" s="9" t="str">
        <x:v>Assets/_Project/Settings/Items/CampLoopLoadout/AlgaeCanister.asset</x:v>
      </x:c>
    </x:row>
    <x:row r="7" ht="48" customHeight="1">
      <x:c r="A7" s="4" t="str">
        <x:v>equipment.arc_battery_charged</x:v>
      </x:c>
      <x:c r="B7" s="4" t="str">
        <x:v>Charged Arc Battery</x:v>
      </x:c>
      <x:c r="C7" s="4" t="str">
        <x:v>Camp Loop trial</x:v>
      </x:c>
      <x:c r="D7" s="4" t="str">
        <x:v>Supply</x:v>
      </x:c>
      <x:c r="E7" s="4" t="str">
        <x:v>None</x:v>
      </x:c>
      <x:c r="F7" s="20" t="b">
        <x:v>1</x:v>
      </x:c>
      <x:c r="G7" s="4" t="str">
        <x:v>Either carrier</x:v>
      </x:c>
      <x:c r="H7" s="4" t="n">
        <x:v>1</x:v>
      </x:c>
      <x:c r="I7" s="4" t="n">
        <x:v>0.8</x:v>
      </x:c>
      <x:c r="J7" s="4" t="str">
        <x:v>Normal</x:v>
      </x:c>
      <x:c r="K7" s="4" t="str">
        <x:v>Arc Energy held in a refined battery.</x:v>
      </x:c>
      <x:c r="L7" s="11"/>
      <x:c r="M7" s="4" t="str">
        <x:v>Assets/_Project/Settings/Items/CampLoop/ChargedArcBattery.asset</x:v>
      </x:c>
    </x:row>
    <x:row r="8" ht="48" customHeight="1">
      <x:c r="A8" s="9" t="str">
        <x:v>equipment.arc_battery_empty</x:v>
      </x:c>
      <x:c r="B8" s="9" t="str">
        <x:v>Empty Arc Battery</x:v>
      </x:c>
      <x:c r="C8" s="9" t="str">
        <x:v>Camp Loop trial</x:v>
      </x:c>
      <x:c r="D8" s="9" t="str">
        <x:v>Supply</x:v>
      </x:c>
      <x:c r="E8" s="9" t="str">
        <x:v>None</x:v>
      </x:c>
      <x:c r="F8" s="21" t="b">
        <x:v>1</x:v>
      </x:c>
      <x:c r="G8" s="9" t="str">
        <x:v>Either carrier</x:v>
      </x:c>
      <x:c r="H8" s="9" t="n">
        <x:v>1</x:v>
      </x:c>
      <x:c r="I8" s="9" t="n">
        <x:v>0.8</x:v>
      </x:c>
      <x:c r="J8" s="9" t="str">
        <x:v>Normal</x:v>
      </x:c>
      <x:c r="K8" s="9" t="str">
        <x:v>An empty battery ready for the camp dust refinery.</x:v>
      </x:c>
      <x:c r="L8" s="11"/>
      <x:c r="M8" s="9" t="str">
        <x:v>Assets/_Project/Settings/Items/CampLoop/EmptyArcBattery.asset</x:v>
      </x:c>
    </x:row>
    <x:row r="9" ht="48" customHeight="1">
      <x:c r="A9" s="4" t="str">
        <x:v>equipment.cloak</x:v>
      </x:c>
      <x:c r="B9" s="4" t="str">
        <x:v>Cloak</x:v>
      </x:c>
      <x:c r="C9" s="4" t="str">
        <x:v>Camp Loop trial</x:v>
      </x:c>
      <x:c r="D9" s="4" t="str">
        <x:v>Equipment</x:v>
      </x:c>
      <x:c r="E9" s="4" t="str">
        <x:v>Cloak</x:v>
      </x:c>
      <x:c r="F9" s="20" t="b">
        <x:v>0</x:v>
      </x:c>
      <x:c r="G9" s="4" t="str">
        <x:v>Either carrier</x:v>
      </x:c>
      <x:c r="H9" s="4" t="n">
        <x:v>1</x:v>
      </x:c>
      <x:c r="I9" s="4" t="n">
        <x:v>1</x:v>
      </x:c>
      <x:c r="J9" s="4" t="str">
        <x:v>Quick access</x:v>
      </x:c>
      <x:c r="K9" s="4" t="str">
        <x:v>Personal cloak with the existing worn and camp blanket presentation.</x:v>
      </x:c>
      <x:c r="L9" s="11"/>
      <x:c r="M9" s="4" t="str">
        <x:v>Assets/_Project/Settings/Items/CampLoopLoadout/Cloak.asset</x:v>
      </x:c>
    </x:row>
    <x:row r="10" ht="48" customHeight="1">
      <x:c r="A10" s="9" t="str">
        <x:v>equipment.digging_tool</x:v>
      </x:c>
      <x:c r="B10" s="9" t="str">
        <x:v>Digging shovel axe</x:v>
      </x:c>
      <x:c r="C10" s="9" t="str">
        <x:v>Camp Loop trial</x:v>
      </x:c>
      <x:c r="D10" s="9" t="str">
        <x:v>Equipment</x:v>
      </x:c>
      <x:c r="E10" s="9" t="str">
        <x:v>Digging tool</x:v>
      </x:c>
      <x:c r="F10" s="21" t="b">
        <x:v>0</x:v>
      </x:c>
      <x:c r="G10" s="9" t="str">
        <x:v>Either carrier</x:v>
      </x:c>
      <x:c r="H10" s="9" t="n">
        <x:v>1</x:v>
      </x:c>
      <x:c r="I10" s="9" t="n">
        <x:v>1.5</x:v>
      </x:c>
      <x:c r="J10" s="9" t="str">
        <x:v>Quick access</x:v>
      </x:c>
      <x:c r="K10" s="9" t="str">
        <x:v>Starter combined shovel and axe. No new mining prerequisite or combat action is enabled.</x:v>
      </x:c>
      <x:c r="L10" s="11"/>
      <x:c r="M10" s="9" t="str">
        <x:v>Assets/_Project/Settings/Items/CampLoopLoadout/DiggingTool.asset</x:v>
      </x:c>
    </x:row>
    <x:row r="11" ht="48" customHeight="1">
      <x:c r="A11" s="4" t="str">
        <x:v>equipment.grappling_hook</x:v>
      </x:c>
      <x:c r="B11" s="4" t="str">
        <x:v>Grappling hook</x:v>
      </x:c>
      <x:c r="C11" s="4" t="str">
        <x:v>Camp Loop trial</x:v>
      </x:c>
      <x:c r="D11" s="4" t="str">
        <x:v>Equipment</x:v>
      </x:c>
      <x:c r="E11" s="4" t="str">
        <x:v>Grappling hook</x:v>
      </x:c>
      <x:c r="F11" s="20" t="b">
        <x:v>0</x:v>
      </x:c>
      <x:c r="G11" s="4" t="str">
        <x:v>Either carrier</x:v>
      </x:c>
      <x:c r="H11" s="4" t="n">
        <x:v>1</x:v>
      </x:c>
      <x:c r="I11" s="4" t="n">
        <x:v>1</x:v>
      </x:c>
      <x:c r="J11" s="4" t="str">
        <x:v>Quick access</x:v>
      </x:c>
      <x:c r="K11" s="4" t="str">
        <x:v>Terrain navigation equipment. Grapple traversal is not implemented in this inventory slice.</x:v>
      </x:c>
      <x:c r="L11" s="11"/>
      <x:c r="M11" s="4" t="str">
        <x:v>Assets/_Project/Settings/Items/CampLoopLoadout/GrapplingHook.asset</x:v>
      </x:c>
    </x:row>
    <x:row r="12" ht="48" customHeight="1">
      <x:c r="A12" s="9"/>
      <x:c r="B12" s="9"/>
      <x:c r="C12" s="9"/>
      <x:c r="D12" s="9"/>
      <x:c r="E12" s="9"/>
      <x:c r="F12" s="21"/>
      <x:c r="G12" s="9"/>
      <x:c r="H12" s="9"/>
      <x:c r="I12" s="9"/>
      <x:c r="J12" s="9"/>
      <x:c r="K12" s="9"/>
      <x:c r="L12" s="11"/>
      <x:c r="M12" s="9"/>
    </x:row>
    <x:row r="13" ht="48" customHeight="1">
      <x:c r="A13" s="4" t="str">
        <x:v>lab.ironstone.aggregate</x:v>
      </x:c>
      <x:c r="B13" s="4" t="str">
        <x:v>Coarse Aggregate</x:v>
      </x:c>
      <x:c r="C13" s="4" t="str">
        <x:v>Camp Loop trial</x:v>
      </x:c>
      <x:c r="D13" s="4" t="str">
        <x:v>Resource</x:v>
      </x:c>
      <x:c r="E13" s="4" t="str">
        <x:v>None</x:v>
      </x:c>
      <x:c r="F13" s="20" t="b">
        <x:v>0</x:v>
      </x:c>
      <x:c r="G13" s="4" t="str">
        <x:v>Legger only</x:v>
      </x:c>
      <x:c r="H13" s="4" t="n">
        <x:v>99</x:v>
      </x:c>
      <x:c r="I13" s="4" t="n">
        <x:v>0.75</x:v>
      </x:c>
      <x:c r="J13" s="4" t="str">
        <x:v>Normal</x:v>
      </x:c>
      <x:c r="K13" s="4" t="str">
        <x:v>Dry Ironstone sorting product. Camp Loop trial material.</x:v>
      </x:c>
      <x:c r="L13" s="11"/>
      <x:c r="M13" s="4" t="str">
        <x:v>Assets/_Project/Settings/Items/CampLoopIronstone/0-CoarseAggregate.asset</x:v>
      </x:c>
    </x:row>
    <x:row r="14" ht="48" customHeight="1">
      <x:c r="A14" s="9" t="str">
        <x:v>lab.ironstone.concentrate</x:v>
      </x:c>
      <x:c r="B14" s="9" t="str">
        <x:v>Iron-rich Concentrate</x:v>
      </x:c>
      <x:c r="C14" s="9" t="str">
        <x:v>Camp Loop trial</x:v>
      </x:c>
      <x:c r="D14" s="9" t="str">
        <x:v>Resource</x:v>
      </x:c>
      <x:c r="E14" s="9" t="str">
        <x:v>None</x:v>
      </x:c>
      <x:c r="F14" s="21" t="b">
        <x:v>0</x:v>
      </x:c>
      <x:c r="G14" s="9" t="str">
        <x:v>Legger only</x:v>
      </x:c>
      <x:c r="H14" s="9" t="n">
        <x:v>99</x:v>
      </x:c>
      <x:c r="I14" s="9" t="n">
        <x:v>2</x:v>
      </x:c>
      <x:c r="J14" s="9" t="str">
        <x:v>Normal</x:v>
      </x:c>
      <x:c r="K14" s="9" t="str">
        <x:v>Dry Ironstone sorting product. Camp Loop trial material.</x:v>
      </x:c>
      <x:c r="L14" s="11"/>
      <x:c r="M14" s="9" t="str">
        <x:v>Assets/_Project/Settings/Items/CampLoopIronstone/1-Iron-richConcentrate.asset</x:v>
      </x:c>
    </x:row>
    <x:row r="15" ht="48" customHeight="1">
      <x:c r="A15" s="4" t="str">
        <x:v>lab.ironstone.mineral_dust</x:v>
      </x:c>
      <x:c r="B15" s="4" t="str">
        <x:v>Mineral Dust</x:v>
      </x:c>
      <x:c r="C15" s="4" t="str">
        <x:v>Camp Loop trial</x:v>
      </x:c>
      <x:c r="D15" s="4" t="str">
        <x:v>Resource</x:v>
      </x:c>
      <x:c r="E15" s="4" t="str">
        <x:v>None</x:v>
      </x:c>
      <x:c r="F15" s="20" t="b">
        <x:v>0</x:v>
      </x:c>
      <x:c r="G15" s="4" t="str">
        <x:v>Legger only</x:v>
      </x:c>
      <x:c r="H15" s="4" t="n">
        <x:v>99</x:v>
      </x:c>
      <x:c r="I15" s="4" t="n">
        <x:v>0.25</x:v>
      </x:c>
      <x:c r="J15" s="4" t="str">
        <x:v>Normal</x:v>
      </x:c>
      <x:c r="K15" s="4" t="str">
        <x:v>Dry Ironstone sorting product. Camp Loop trial material.</x:v>
      </x:c>
      <x:c r="L15" s="11"/>
      <x:c r="M15" s="4" t="str">
        <x:v>Assets/_Project/Settings/Items/CampLoopIronstone/3-MineralDust.asset</x:v>
      </x:c>
    </x:row>
    <x:row r="16" ht="48" customHeight="1">
      <x:c r="A16" s="9" t="str">
        <x:v>lab.ironstone.sand</x:v>
      </x:c>
      <x:c r="B16" s="9" t="str">
        <x:v>Mineral Sand</x:v>
      </x:c>
      <x:c r="C16" s="9" t="str">
        <x:v>Camp Loop trial</x:v>
      </x:c>
      <x:c r="D16" s="9" t="str">
        <x:v>Resource</x:v>
      </x:c>
      <x:c r="E16" s="9" t="str">
        <x:v>None</x:v>
      </x:c>
      <x:c r="F16" s="21" t="b">
        <x:v>0</x:v>
      </x:c>
      <x:c r="G16" s="9" t="str">
        <x:v>Legger only</x:v>
      </x:c>
      <x:c r="H16" s="9" t="n">
        <x:v>99</x:v>
      </x:c>
      <x:c r="I16" s="9" t="n">
        <x:v>1</x:v>
      </x:c>
      <x:c r="J16" s="9" t="str">
        <x:v>Normal</x:v>
      </x:c>
      <x:c r="K16" s="9" t="str">
        <x:v>Dry Ironstone sorting product. Camp Loop trial material.</x:v>
      </x:c>
      <x:c r="L16" s="11"/>
      <x:c r="M16" s="9" t="str">
        <x:v>Assets/_Project/Settings/Items/CampLoopIronstone/2-MineralSand.asset</x:v>
      </x:c>
    </x:row>
    <x:row r="17" ht="48" customHeight="1">
      <x:c r="A17" s="4" t="str">
        <x:v>lab.salvage.drive_assembly</x:v>
      </x:c>
      <x:c r="B17" s="4" t="str">
        <x:v>Drive Assembly</x:v>
      </x:c>
      <x:c r="C17" s="4" t="str">
        <x:v>Camp Loop trial</x:v>
      </x:c>
      <x:c r="D17" s="4" t="str">
        <x:v>Resource</x:v>
      </x:c>
      <x:c r="E17" s="4" t="str">
        <x:v>None</x:v>
      </x:c>
      <x:c r="F17" s="20" t="b">
        <x:v>0</x:v>
      </x:c>
      <x:c r="G17" s="4" t="str">
        <x:v>Legger only</x:v>
      </x:c>
      <x:c r="H17" s="4" t="n">
        <x:v>1</x:v>
      </x:c>
      <x:c r="I17" s="4" t="n">
        <x:v>6</x:v>
      </x:c>
      <x:c r="J17" s="4" t="str">
        <x:v>Normal</x:v>
      </x:c>
      <x:c r="K17" s="4" t="str">
        <x:v>Trial salvage from the dead camp-loop machine.</x:v>
      </x:c>
      <x:c r="L17" s="11"/>
      <x:c r="M17" s="4" t="str">
        <x:v>Assets/_Project/Settings/Studies/CampLoopSalvage/Part2.asset</x:v>
      </x:c>
    </x:row>
    <x:row r="18" ht="48" customHeight="1">
      <x:c r="A18" s="9" t="str">
        <x:v>lab.salvage.metal_plate</x:v>
      </x:c>
      <x:c r="B18" s="9" t="str">
        <x:v>Metal Plate</x:v>
      </x:c>
      <x:c r="C18" s="9" t="str">
        <x:v>Camp Loop trial</x:v>
      </x:c>
      <x:c r="D18" s="9" t="str">
        <x:v>Resource</x:v>
      </x:c>
      <x:c r="E18" s="9" t="str">
        <x:v>None</x:v>
      </x:c>
      <x:c r="F18" s="21" t="b">
        <x:v>0</x:v>
      </x:c>
      <x:c r="G18" s="9" t="str">
        <x:v>Legger only</x:v>
      </x:c>
      <x:c r="H18" s="9" t="n">
        <x:v>20</x:v>
      </x:c>
      <x:c r="I18" s="9" t="n">
        <x:v>2</x:v>
      </x:c>
      <x:c r="J18" s="9" t="str">
        <x:v>Normal</x:v>
      </x:c>
      <x:c r="K18" s="9" t="str">
        <x:v>Trial salvage from the dead camp-loop machine.</x:v>
      </x:c>
      <x:c r="L18" s="11"/>
      <x:c r="M18" s="9" t="str">
        <x:v>Assets/_Project/Settings/Studies/CampLoopSalvage/Part0.asset</x:v>
      </x:c>
    </x:row>
    <x:row r="19" ht="48" customHeight="1">
      <x:c r="A19" s="4" t="str">
        <x:v>lab.salvage.wire_bundle</x:v>
      </x:c>
      <x:c r="B19" s="4" t="str">
        <x:v>Wire Bundle</x:v>
      </x:c>
      <x:c r="C19" s="4" t="str">
        <x:v>Camp Loop trial</x:v>
      </x:c>
      <x:c r="D19" s="4" t="str">
        <x:v>Resource</x:v>
      </x:c>
      <x:c r="E19" s="4" t="str">
        <x:v>None</x:v>
      </x:c>
      <x:c r="F19" s="20" t="b">
        <x:v>0</x:v>
      </x:c>
      <x:c r="G19" s="4" t="str">
        <x:v>Legger only</x:v>
      </x:c>
      <x:c r="H19" s="4" t="n">
        <x:v>10</x:v>
      </x:c>
      <x:c r="I19" s="4" t="n">
        <x:v>0.5</x:v>
      </x:c>
      <x:c r="J19" s="4" t="str">
        <x:v>Normal</x:v>
      </x:c>
      <x:c r="K19" s="4" t="str">
        <x:v>Trial salvage from the dead camp-loop machine.</x:v>
      </x:c>
      <x:c r="L19" s="11"/>
      <x:c r="M19" s="4" t="str">
        <x:v>Assets/_Project/Settings/Studies/CampLoopSalvage/Part1.asset</x:v>
      </x:c>
    </x:row>
    <x:row r="20" ht="48" customHeight="1">
      <x:c r="A20" s="9" t="str">
        <x:v>resource.airborne_dust</x:v>
      </x:c>
      <x:c r="B20" s="9" t="str">
        <x:v>Airborne Dust</x:v>
      </x:c>
      <x:c r="C20" s="9" t="str">
        <x:v>Shared definition</x:v>
      </x:c>
      <x:c r="D20" s="9" t="str">
        <x:v>Resource</x:v>
      </x:c>
      <x:c r="E20" s="9" t="str">
        <x:v>None</x:v>
      </x:c>
      <x:c r="F20" s="21" t="b">
        <x:v>0</x:v>
      </x:c>
      <x:c r="G20" s="9" t="str">
        <x:v>Legger only</x:v>
      </x:c>
      <x:c r="H20" s="9" t="n">
        <x:v>100</x:v>
      </x:c>
      <x:c r="I20" s="9" t="n">
        <x:v>0.05</x:v>
      </x:c>
      <x:c r="J20" s="9" t="str">
        <x:v>Normal</x:v>
      </x:c>
      <x:c r="K20" s="9" t="str">
        <x:v>Fine sand collected from the air by a micro dust harvester.</x:v>
      </x:c>
      <x:c r="L20" s="11"/>
      <x:c r="M20" s="9" t="str">
        <x:v>Assets/_Project/Settings/Items/Item_AirborneDust.asset</x:v>
      </x:c>
    </x:row>
    <x:row r="21" ht="48" customHeight="1">
      <x:c r="A21" s="4" t="str">
        <x:v>resource.ironstone_ore</x:v>
      </x:c>
      <x:c r="B21" s="4" t="str">
        <x:v>Ironstone Ore</x:v>
      </x:c>
      <x:c r="C21" s="4" t="str">
        <x:v>Shared definition</x:v>
      </x:c>
      <x:c r="D21" s="4" t="str">
        <x:v>Resource</x:v>
      </x:c>
      <x:c r="E21" s="4" t="str">
        <x:v>None</x:v>
      </x:c>
      <x:c r="F21" s="20" t="b">
        <x:v>0</x:v>
      </x:c>
      <x:c r="G21" s="4" t="str">
        <x:v>Legger only</x:v>
      </x:c>
      <x:c r="H21" s="4" t="n">
        <x:v>99</x:v>
      </x:c>
      <x:c r="I21" s="4" t="n">
        <x:v>1.25</x:v>
      </x:c>
      <x:c r="J21" s="4" t="str">
        <x:v>Normal</x:v>
      </x:c>
      <x:c r="K21" s="4" t="str">
        <x:v>Dense, rust-veined ore gathered from exposed ironstone deposits.</x:v>
      </x:c>
      <x:c r="L21" s="11"/>
      <x:c r="M21" s="4" t="str">
        <x:v>Assets/_Project/Settings/Items/Item_IronstoneOre.asset</x:v>
      </x:c>
    </x:row>
    <x:row r="22" ht="48" customHeight="1">
      <x:c r="A22" s="9" t="str">
        <x:v>tool.micro_dust_harvester</x:v>
      </x:c>
      <x:c r="B22" s="9" t="str">
        <x:v>Dust canister</x:v>
      </x:c>
      <x:c r="C22" s="9" t="str">
        <x:v>Camp Loop trial</x:v>
      </x:c>
      <x:c r="D22" s="9" t="str">
        <x:v>Equipment</x:v>
      </x:c>
      <x:c r="E22" s="9" t="str">
        <x:v>Dust canister</x:v>
      </x:c>
      <x:c r="F22" s="21" t="b">
        <x:v>0</x:v>
      </x:c>
      <x:c r="G22" s="9" t="str">
        <x:v>Either carrier</x:v>
      </x:c>
      <x:c r="H22" s="9" t="n">
        <x:v>1</x:v>
      </x:c>
      <x:c r="I22" s="9" t="n">
        <x:v>0.8</x:v>
      </x:c>
      <x:c r="J22" s="9" t="str">
        <x:v>Quick access</x:v>
      </x:c>
      <x:c r="K22" s="9" t="str">
        <x:v>Deploy to collect dust. Recovery delivers dust to physically accessible Legger cargo.</x:v>
      </x:c>
      <x:c r="L22" s="11"/>
      <x:c r="M22" s="9" t="str">
        <x:v>Assets/_Project/Settings/Items/CampLoopLoadout/DustCanister.asset</x:v>
      </x:c>
    </x:row>
    <x:row r="23" ht="48" customHeight="1">
      <x:c r="A23" s="4" t="str">
        <x:v>tool.micro_dust_harvester</x:v>
      </x:c>
      <x:c r="B23" s="4" t="str">
        <x:v>Micro Dust Harvester</x:v>
      </x:c>
      <x:c r="C23" s="4" t="str">
        <x:v>Shared definition</x:v>
      </x:c>
      <x:c r="D23" s="4" t="str">
        <x:v>Tool</x:v>
      </x:c>
      <x:c r="E23" s="4" t="str">
        <x:v>None</x:v>
      </x:c>
      <x:c r="F23" s="20" t="b">
        <x:v>0</x:v>
      </x:c>
      <x:c r="G23" s="4" t="str">
        <x:v>Either carrier</x:v>
      </x:c>
      <x:c r="H23" s="4" t="n">
        <x:v>4</x:v>
      </x:c>
      <x:c r="I23" s="4" t="n">
        <x:v>0.8</x:v>
      </x:c>
      <x:c r="J23" s="4" t="str">
        <x:v>Quick access</x:v>
      </x:c>
      <x:c r="K23" s="4" t="str">
        <x:v>A compact electromagnetic canister that draws suspended sand from the air when deployed.</x:v>
      </x:c>
      <x:c r="L23" s="11"/>
      <x:c r="M23" s="4" t="str">
        <x:v>Assets/_Project/Settings/Items/Item_MicroDustHarvester.asset</x:v>
      </x:c>
    </x:row>
    <x:row r="24" ht="48" customHeight="1">
      <x:c r="A24" s="9" t="str">
        <x:v>tool.popup_camp</x:v>
      </x:c>
      <x:c r="B24" s="9" t="str">
        <x:v>Pop-up camp</x:v>
      </x:c>
      <x:c r="C24" s="9" t="str">
        <x:v>Camp Loop trial</x:v>
      </x:c>
      <x:c r="D24" s="9" t="str">
        <x:v>Camp</x:v>
      </x:c>
      <x:c r="E24" s="9" t="str">
        <x:v>None</x:v>
      </x:c>
      <x:c r="F24" s="21" t="b">
        <x:v>1</x:v>
      </x:c>
      <x:c r="G24" s="9" t="str">
        <x:v>Either carrier</x:v>
      </x:c>
      <x:c r="H24" s="9" t="n">
        <x:v>1</x:v>
      </x:c>
      <x:c r="I24" s="9" t="n">
        <x:v>2.5</x:v>
      </x:c>
      <x:c r="J24" s="9" t="str">
        <x:v>Quick access</x:v>
      </x:c>
      <x:c r="K24" s="9" t="str">
        <x:v>Reusable packed camp bundle. Uses one field-supply pocket.</x:v>
      </x:c>
      <x:c r="L24" s="11"/>
      <x:c r="M24" s="9" t="str">
        <x:v>Assets/_Project/Settings/Items/CampLoopLoadout/PopupCamp.asset</x:v>
      </x:c>
    </x:row>
    <x:row r="25" ht="48" customHeight="1">
      <x:c r="A25" s="4" t="str">
        <x:v>tool.popup_camp</x:v>
      </x:c>
      <x:c r="B25" s="4" t="str">
        <x:v>Pop-up camp</x:v>
      </x:c>
      <x:c r="C25" s="4" t="str">
        <x:v>Shared definition</x:v>
      </x:c>
      <x:c r="D25" s="4" t="str">
        <x:v>Camp</x:v>
      </x:c>
      <x:c r="E25" s="4" t="str">
        <x:v>None</x:v>
      </x:c>
      <x:c r="F25" s="20" t="b">
        <x:v>0</x:v>
      </x:c>
      <x:c r="G25" s="4" t="str">
        <x:v>Either carrier</x:v>
      </x:c>
      <x:c r="H25" s="4" t="n">
        <x:v>1</x:v>
      </x:c>
      <x:c r="I25" s="4" t="n">
        <x:v>2.5</x:v>
      </x:c>
      <x:c r="J25" s="4" t="str">
        <x:v>Quick access</x:v>
      </x:c>
      <x:c r="K25" s="4" t="str">
        <x:v>Reusable vertical twilight shade. Deploy locally to rest or sleep.</x:v>
      </x:c>
      <x:c r="L25" s="11"/>
      <x:c r="M25" s="4" t="str">
        <x:v>Assets/_Project/Settings/Items/Item_PopupCamp.asset</x:v>
      </x:c>
    </x:row>
  </x:sheetData>
  <x:pageMargins left="0.7" right="0.7" top="0.75" bottom="0.75" header="0.3" footer="0.3"/>
  <x:tableParts count="1">
    <x:tablePart xmlns:r="http://schemas.openxmlformats.org/officeDocument/2006/relationships" r:id="R9831c062631f4d42"/>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3" hidden="0" customWidth="1"/>
    <x:col min="2" max="2" width="30" hidden="0" customWidth="1"/>
    <x:col min="3" max="3" width="24" hidden="0" customWidth="1"/>
    <x:col min="4" max="4" width="35" hidden="0" customWidth="1"/>
    <x:col min="5" max="5" width="14" hidden="0" customWidth="1"/>
    <x:col min="6" max="6" width="25" hidden="0" customWidth="1"/>
    <x:col min="7" max="7" width="78" hidden="0" customWidth="1"/>
    <x:col min="8" max="8" width="3" hidden="0" customWidth="1"/>
    <x:col min="9" max="9" width="100" hidden="0" customWidth="1"/>
  </x:cols>
  <x:sheetData>
    <x:row r="1">
      <x:c r="A1" s="1"/>
      <x:c r="B1" s="1"/>
      <x:c r="C1" s="1"/>
      <x:c r="D1" s="1"/>
      <x:c r="E1" s="1"/>
      <x:c r="F1" s="1"/>
      <x:c r="G1" s="1"/>
      <x:c r="H1" s="1"/>
      <x:c r="I1" s="1"/>
    </x:row>
    <x:row r="2">
      <x:c r="A2" s="2" t="str">
        <x:v>Crafting and processing relationships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2" customHeight="1">
      <x:c r="A5" s="8" t="str">
        <x:v>Recipe / reference key</x:v>
      </x:c>
      <x:c r="B5" s="8" t="str">
        <x:v>Station</x:v>
      </x:c>
      <x:c r="C5" s="8" t="str">
        <x:v>Direction</x:v>
      </x:c>
      <x:c r="D5" s="8" t="str">
        <x:v>Item ID</x:v>
      </x:c>
      <x:c r="E5" s="8" t="str">
        <x:v>Quantity</x:v>
      </x:c>
      <x:c r="F5" s="8" t="str">
        <x:v>Scope</x:v>
      </x:c>
      <x:c r="G5" s="8" t="str">
        <x:v>Rules</x:v>
      </x:c>
      <x:c r="H5" s="10" t="str"/>
      <x:c r="I5" s="12" t="str">
        <x:v>Source</x:v>
      </x:c>
    </x:row>
    <x:row r="6" ht="48" customHeight="1">
      <x:c r="A6" s="9" t="str">
        <x:v>camp.empty-arc-battery.v1</x:v>
      </x:c>
      <x:c r="B6" s="9" t="str">
        <x:v>Workbench</x:v>
      </x:c>
      <x:c r="C6" s="9" t="str">
        <x:v>Input</x:v>
      </x:c>
      <x:c r="D6" s="9" t="str">
        <x:v>resource.ironstone_ore</x:v>
      </x:c>
      <x:c r="E6" s="9" t="n">
        <x:v>4</x:v>
      </x:c>
      <x:c r="F6" s="9" t="str">
        <x:v>Camp Loop trial</x:v>
      </x:c>
      <x:c r="G6" s="9" t="str">
        <x:v>Authored recipe version 1</x:v>
      </x:c>
      <x:c r="H6" s="11"/>
      <x:c r="I6" s="9" t="str">
        <x:v>Assets/_Project/Settings/Items/CampLoop/EmptyArcBatteryRecipe.asset</x:v>
      </x:c>
    </x:row>
    <x:row r="7" ht="48" customHeight="1">
      <x:c r="A7" s="4" t="str">
        <x:v>camp.empty-arc-battery.v1</x:v>
      </x:c>
      <x:c r="B7" s="4" t="str">
        <x:v>Workbench</x:v>
      </x:c>
      <x:c r="C7" s="4" t="str">
        <x:v>Output</x:v>
      </x:c>
      <x:c r="D7" s="4" t="str">
        <x:v>equipment.arc_battery_empty</x:v>
      </x:c>
      <x:c r="E7" s="4" t="n">
        <x:v>1</x:v>
      </x:c>
      <x:c r="F7" s="4" t="str">
        <x:v>Camp Loop trial</x:v>
      </x:c>
      <x:c r="G7" s="4" t="str">
        <x:v>Output to legal supply pocket</x:v>
      </x:c>
      <x:c r="H7" s="11"/>
      <x:c r="I7" s="4" t="str">
        <x:v>Assets/_Project/Settings/Items/CampLoop/EmptyArcBatteryRecipe.asset</x:v>
      </x:c>
    </x:row>
    <x:row r="8" ht="48" customHeight="1">
      <x:c r="A8" s="9" t="str">
        <x:v>lab.ironstone.dry-sort</x:v>
      </x:c>
      <x:c r="B8" s="9" t="str">
        <x:v>Manual Ironstone sorter</x:v>
      </x:c>
      <x:c r="C8" s="9" t="str">
        <x:v>Input</x:v>
      </x:c>
      <x:c r="D8" s="9" t="str">
        <x:v>resource.ironstone_ore</x:v>
      </x:c>
      <x:c r="E8" s="9" t="n">
        <x:v>4</x:v>
      </x:c>
      <x:c r="F8" s="9" t="str">
        <x:v>Camp Loop trial</x:v>
      </x:c>
      <x:c r="G8" s="9" t="str">
        <x:v>Authored recipe version 1</x:v>
      </x:c>
      <x:c r="H8" s="11"/>
      <x:c r="I8" s="9" t="str">
        <x:v>Assets/_Project/Settings/Items/CampLoopIronstone/DrySortingRecipe.asset</x:v>
      </x:c>
    </x:row>
    <x:row r="9" ht="48" customHeight="1">
      <x:c r="A9" s="4" t="str">
        <x:v>lab.ironstone.dry-sort</x:v>
      </x:c>
      <x:c r="B9" s="4" t="str">
        <x:v>Manual Ironstone sorter</x:v>
      </x:c>
      <x:c r="C9" s="4" t="str">
        <x:v>Output</x:v>
      </x:c>
      <x:c r="D9" s="4" t="str">
        <x:v>lab.ironstone.aggregate</x:v>
      </x:c>
      <x:c r="E9" s="4" t="n">
        <x:v>2</x:v>
      </x:c>
      <x:c r="F9" s="4" t="str">
        <x:v>Camp Loop trial</x:v>
      </x:c>
      <x:c r="G9" s="4" t="str">
        <x:v>Output tray; batch mass conserved</x:v>
      </x:c>
      <x:c r="H9" s="11"/>
      <x:c r="I9" s="4" t="str">
        <x:v>Assets/_Project/Settings/Items/CampLoopIronstone/DrySortingRecipe.asset</x:v>
      </x:c>
    </x:row>
    <x:row r="10" ht="48" customHeight="1">
      <x:c r="A10" s="9" t="str">
        <x:v>lab.ironstone.dry-sort</x:v>
      </x:c>
      <x:c r="B10" s="9" t="str">
        <x:v>Manual Ironstone sorter</x:v>
      </x:c>
      <x:c r="C10" s="9" t="str">
        <x:v>Output</x:v>
      </x:c>
      <x:c r="D10" s="9" t="str">
        <x:v>lab.ironstone.concentrate</x:v>
      </x:c>
      <x:c r="E10" s="9" t="n">
        <x:v>1</x:v>
      </x:c>
      <x:c r="F10" s="9" t="str">
        <x:v>Camp Loop trial</x:v>
      </x:c>
      <x:c r="G10" s="9" t="str">
        <x:v>Output tray; batch mass conserved</x:v>
      </x:c>
      <x:c r="H10" s="11"/>
      <x:c r="I10" s="9" t="str">
        <x:v>Assets/_Project/Settings/Items/CampLoopIronstone/DrySortingRecipe.asset</x:v>
      </x:c>
    </x:row>
    <x:row r="11" ht="48" customHeight="1">
      <x:c r="A11" s="4" t="str">
        <x:v>lab.ironstone.dry-sort</x:v>
      </x:c>
      <x:c r="B11" s="4" t="str">
        <x:v>Manual Ironstone sorter</x:v>
      </x:c>
      <x:c r="C11" s="4" t="str">
        <x:v>Output</x:v>
      </x:c>
      <x:c r="D11" s="4" t="str">
        <x:v>lab.ironstone.sand</x:v>
      </x:c>
      <x:c r="E11" s="4" t="n">
        <x:v>1</x:v>
      </x:c>
      <x:c r="F11" s="4" t="str">
        <x:v>Camp Loop trial</x:v>
      </x:c>
      <x:c r="G11" s="4" t="str">
        <x:v>Output tray; batch mass conserved</x:v>
      </x:c>
      <x:c r="H11" s="11"/>
      <x:c r="I11" s="4" t="str">
        <x:v>Assets/_Project/Settings/Items/CampLoopIronstone/DrySortingRecipe.asset</x:v>
      </x:c>
    </x:row>
    <x:row r="12" ht="48" customHeight="1">
      <x:c r="A12" s="9" t="str">
        <x:v>lab.ironstone.dry-sort</x:v>
      </x:c>
      <x:c r="B12" s="9" t="str">
        <x:v>Manual Ironstone sorter</x:v>
      </x:c>
      <x:c r="C12" s="9" t="str">
        <x:v>Output</x:v>
      </x:c>
      <x:c r="D12" s="9" t="str">
        <x:v>lab.ironstone.mineral_dust</x:v>
      </x:c>
      <x:c r="E12" s="9" t="n">
        <x:v>2</x:v>
      </x:c>
      <x:c r="F12" s="9" t="str">
        <x:v>Camp Loop trial</x:v>
      </x:c>
      <x:c r="G12" s="9" t="str">
        <x:v>Output tray; batch mass conserved</x:v>
      </x:c>
      <x:c r="H12" s="11"/>
      <x:c r="I12" s="9" t="str">
        <x:v>Assets/_Project/Settings/Items/CampLoopIronstone/DrySortingRecipe.asset</x:v>
      </x:c>
    </x:row>
    <x:row r="13" ht="48" customHeight="1">
      <x:c r="A13" s="4" t="str">
        <x:v>reference.refinery-charge</x:v>
      </x:c>
      <x:c r="B13" s="4" t="str">
        <x:v>Dust refinery</x:v>
      </x:c>
      <x:c r="C13" s="4" t="str">
        <x:v>Input</x:v>
      </x:c>
      <x:c r="D13" s="4" t="str">
        <x:v>equipment.arc_battery_empty</x:v>
      </x:c>
      <x:c r="E13" s="4" t="n">
        <x:v>1</x:v>
      </x:c>
      <x:c r="F13" s="4" t="str">
        <x:v>Camp Loop trial</x:v>
      </x:c>
      <x:c r="G13" s="4" t="str">
        <x:v>Workbook reference key; not an authored recipe ID</x:v>
      </x:c>
      <x:c r="H13" s="11"/>
      <x:c r="I13" s="4" t="str">
        <x:v>Docs/Evidence/Gameplay/CampWorkstations20261014/README.md</x:v>
      </x:c>
    </x:row>
    <x:row r="14" ht="48" customHeight="1">
      <x:c r="A14" s="9" t="str">
        <x:v>reference.refinery-charge</x:v>
      </x:c>
      <x:c r="B14" s="9" t="str">
        <x:v>Dust refinery</x:v>
      </x:c>
      <x:c r="C14" s="9" t="str">
        <x:v>Contents consumed</x:v>
      </x:c>
      <x:c r="D14" s="9" t="str">
        <x:v>resource.airborne_dust</x:v>
      </x:c>
      <x:c r="E14" s="9" t="n">
        <x:v>10</x:v>
      </x:c>
      <x:c r="F14" s="9" t="str">
        <x:v>Camp Loop trial</x:v>
      </x:c>
      <x:c r="G14" s="9" t="str">
        <x:v>Dust must be in docked canister; not a loose-stack recipe</x:v>
      </x:c>
      <x:c r="H14" s="11"/>
      <x:c r="I14" s="9" t="str">
        <x:v>Docs/Evidence/Gameplay/CampWorkstations20261014/README.md</x:v>
      </x:c>
    </x:row>
    <x:row r="15" ht="48" customHeight="1">
      <x:c r="A15" s="4" t="str">
        <x:v>reference.refinery-charge</x:v>
      </x:c>
      <x:c r="B15" s="4" t="str">
        <x:v>Dust refinery</x:v>
      </x:c>
      <x:c r="C15" s="4" t="str">
        <x:v>Output</x:v>
      </x:c>
      <x:c r="D15" s="4" t="str">
        <x:v>equipment.arc_battery_charged</x:v>
      </x:c>
      <x:c r="E15" s="4" t="n">
        <x:v>1</x:v>
      </x:c>
      <x:c r="F15" s="4" t="str">
        <x:v>Camp Loop trial</x:v>
      </x:c>
      <x:c r="G15" s="4" t="str">
        <x:v>Canister and leftover contents retained</x:v>
      </x:c>
      <x:c r="H15" s="11"/>
      <x:c r="I15" s="4" t="str">
        <x:v>Docs/Evidence/Gameplay/CampWorkstations20261014/README.md</x:v>
      </x:c>
    </x:row>
  </x:sheetData>
  <x:pageMargins left="0.7" right="0.7" top="0.75" bottom="0.75" header="0.3" footer="0.3"/>
  <x:tableParts count="1">
    <x:tablePart xmlns:r="http://schemas.openxmlformats.org/officeDocument/2006/relationships" r:id="R47ebaa4e27564edc"/>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0" hidden="0" customWidth="1"/>
    <x:col min="2" max="2" width="30" hidden="0" customWidth="1"/>
    <x:col min="3" max="3" width="70" hidden="0" customWidth="1"/>
    <x:col min="4" max="4" width="85" hidden="0" customWidth="1"/>
    <x:col min="5" max="5" width="24" hidden="0" customWidth="1"/>
  </x:cols>
  <x:sheetData>
    <x:row r="1">
      <x:c r="A1" s="1"/>
      <x:c r="B1" s="1"/>
      <x:c r="C1" s="1"/>
      <x:c r="D1" s="1"/>
    </x:row>
    <x:row r="2">
      <x:c r="A2" s="2" t="str">
        <x:v>Categories and item families</x:v>
      </x:c>
      <x:c r="B2" s="1"/>
      <x:c r="C2" s="1"/>
      <x:c r="D2" s="1"/>
    </x:row>
    <x:row r="3">
      <x:c r="A3" s="1" t="str">
        <x:v>Primary categories partition the catalog. Item families and planning scopes overlap; filter Grouping before adding counts.</x:v>
      </x:c>
      <x:c r="B3" s="1"/>
      <x:c r="C3" s="1"/>
      <x:c r="D3" s="1"/>
    </x:row>
    <x:row r="4">
      <x:c r="A4" s="1"/>
      <x:c r="B4" s="1"/>
      <x:c r="C4" s="1"/>
      <x:c r="D4" s="1"/>
    </x:row>
    <x:row r="5" ht="36" customHeight="1">
      <x:c r="A5" s="58" t="str">
        <x:v>Category</x:v>
      </x:c>
      <x:c r="B5" s="58" t="str">
        <x:v>Current coverage</x:v>
      </x:c>
      <x:c r="C5" s="58" t="str">
        <x:v>Existing basis</x:v>
      </x:c>
      <x:c r="D5" s="58" t="str">
        <x:v>Later brainstorming</x:v>
      </x:c>
      <x:c r="E5" s="60" t="str">
        <x:v>Grouping</x:v>
      </x:c>
      <x:c r="G5" t="inlineStr">
        <x:is>
          <x:t xml:space="preserve">Inventory category choices</x:t>
        </x:is>
      </x:c>
    </x:row>
    <x:row r="6" ht="48" customHeight="1">
      <x:c r="A6" s="9" t="inlineStr">
        <x:is>
          <x:t xml:space="preserve">Armor</x:t>
        </x:is>
      </x:c>
      <x:c r="B6" s="9">
        <x:f>COUNTIF(Items!$D$6:$D$1005,A6)</x:f>
        <x:v>50</x:v>
      </x:c>
      <x:c r="C6" s="9" t="inlineStr">
        <x:is>
          <x:t xml:space="preserve">Protective wear and shields for Booter; companion-specific protection is classified as Legger armor. Classification does not assign protection effects.</x:t>
        </x:is>
      </x:c>
      <x:c r="D6" s="9" t="inlineStr">
        <x:is>
          <x:t xml:space="preserve">Organization only; retained design status, tiers, slots and behavior.</x:t>
        </x:is>
      </x:c>
      <x:c r="E6" s="4" t="inlineStr">
        <x:is>
          <x:t xml:space="preserve">Primary category</x:t>
        </x:is>
      </x:c>
      <x:c r="G6" t="inlineStr">
        <x:is>
          <x:t xml:space="preserve">Accessories</x:t>
        </x:is>
      </x:c>
    </x:row>
    <x:row r="7" ht="48" customHeight="1">
      <x:c r="A7" s="4" t="str">
        <x:v>Field supplies</x:v>
      </x:c>
      <x:c r="B7" s="4">
        <x:f>COUNTIF(Items!$D$6:$D$1005,A7)</x:f>
        <x:v>0</x:v>
      </x:c>
      <x:c r="C7" s="4" t="inlineStr">
        <x:is>
          <x:t xml:space="preserve">Retired primary category: all remaining entries are Crafting components. Retained as a historical label only.</x:t>
        </x:is>
      </x:c>
      <x:c r="D7" s="4" t="inlineStr">
        <x:is>
          <x:t xml:space="preserve">Author direction October 15: all remaining Field supplies are Crafting components; retire Field supplies as an active category.</x:t>
        </x:is>
      </x:c>
      <x:c r="E7" s="4" t="inlineStr">
        <x:is>
          <x:t xml:space="preserve">Legacy category</x:t>
        </x:is>
      </x:c>
      <x:c r="G7" t="inlineStr">
        <x:is>
          <x:t xml:space="preserve">Ammunition</x:t>
        </x:is>
      </x:c>
    </x:row>
    <x:row r="8" ht="48" customHeight="1">
      <x:c r="A8" s="9" t="str">
        <x:v>Resources</x:v>
      </x:c>
      <x:c r="B8" s="9" t="n">
        <x:f>COUNTIF(Items!$D$6:$D$1005,A8)</x:f>
        <x:v>0</x:v>
      </x:c>
      <x:c r="C8" s="9" t="str">
        <x:v>Former broad resource bucket, now split by current primary categories</x:v>
      </x:c>
      <x:c r="D8" s="9" t="str">
        <x:v>Retained label for historical compatibility; zero active entries expected.</x:v>
      </x:c>
      <x:c r="E8" s="4" t="str">
        <x:v>Legacy category</x:v>
      </x:c>
      <x:c r="G8" t="inlineStr">
        <x:is>
          <x:t xml:space="preserve">Ancient salvage</x:t>
        </x:is>
      </x:c>
    </x:row>
    <x:row r="9" ht="48" customHeight="1">
      <x:c r="A9" s="4" t="str">
        <x:v>Crafting components</x:v>
      </x:c>
      <x:c r="B9" s="4">
        <x:f>COUNTIF(Items!$D$6:$D$1005,A9)</x:f>
        <x:v>200</x:v>
      </x:c>
      <x:c r="C9" s="4" t="str">
        <x:v>Salvage, prepared materials, vessel parts, wind equipment parts and Legger replacement components</x:v>
      </x:c>
      <x:c r="D9" s="4" t="str">
        <x:v>Use Subtype for a family and Primary use or Item uses for its intended job.</x:v>
      </x:c>
      <x:c r="E9" s="4" t="str">
        <x:v>Primary category</x:v>
      </x:c>
      <x:c r="G9" t="inlineStr">
        <x:is>
          <x:t xml:space="preserve">Armor</x:t>
        </x:is>
      </x:c>
    </x:row>
    <x:row r="10" ht="48" customHeight="1">
      <x:c r="A10" s="9" t="str">
        <x:v>Survival contents</x:v>
      </x:c>
      <x:c r="B10" s="9" t="str">
        <x:v>Baseline reserve remains canister-owned</x:v>
      </x:c>
      <x:c r="C10" s="9" t="str">
        <x:v>Existing attached algae reserve is distinct from newly prepared drink/bar/meal servings</x:v>
      </x:c>
      <x:c r="D10" s="9" t="str">
        <x:v>Processing quantities and consumption transfers must account for source algae and prepared servings once.</x:v>
      </x:c>
      <x:c r="E10" s="4" t="str">
        <x:v>Planning scope</x:v>
      </x:c>
      <x:c r="G10" t="inlineStr">
        <x:is>
          <x:t xml:space="preserve">Atmospheric resources</x:t>
        </x:is>
      </x:c>
    </x:row>
    <x:row r="11" ht="48" customHeight="1">
      <x:c r="A11" s="4" t="str">
        <x:v>Energy</x:v>
      </x:c>
      <x:c r="B11" s="4" t="str">
        <x:v>Not discrete items</x:v>
      </x:c>
      <x:c r="C11" s="4" t="str">
        <x:v>Arc Energy contained by charged batteries</x:v>
      </x:c>
      <x:c r="D11" s="4" t="str">
        <x:v>No separate energy inventory definition</x:v>
      </x:c>
      <x:c r="E11" s="4" t="str">
        <x:v>Planning scope</x:v>
      </x:c>
      <x:c r="G11" t="inlineStr">
        <x:is>
          <x:t xml:space="preserve">Biological resources</x:t>
        </x:is>
      </x:c>
    </x:row>
    <x:row r="12" ht="48" customHeight="1">
      <x:c r="A12" s="9" t="str">
        <x:v>Weapons and ammunition</x:v>
      </x:c>
      <x:c r="B12" s="9" t="str">
        <x:v>1 named candidate; design deferred</x:v>
      </x:c>
      <x:c r="C12" s="9" t="str">
        <x:v>Caltrops; four future specialized-purpose weapon lanes</x:v>
      </x:c>
      <x:c r="D12" s="9" t="str">
        <x:v>Offensive weapons, defensive weapons, traps and trip-ups. No ammunition roster defined.</x:v>
      </x:c>
      <x:c r="E12" s="4" t="str">
        <x:v>Planning scope</x:v>
      </x:c>
      <x:c r="G12" t="inlineStr">
        <x:is>
          <x:t xml:space="preserve">Clothing</x:t>
        </x:is>
      </x:c>
    </x:row>
    <x:row r="13" ht="48" customHeight="1">
      <x:c r="A13" s="4" t="str">
        <x:v>Workstations and storage</x:v>
      </x:c>
      <x:c r="B13" s="4" t="str">
        <x:v>World objects</x:v>
      </x:c>
      <x:c r="C13" s="4" t="str">
        <x:v>Workbench, dust refinery, Ironstone sorter, camp chest</x:v>
      </x:c>
      <x:c r="D13" s="4" t="inlineStr">
        <x:is>
          <x:t xml:space="preserve">Workbench, Ironstone refinery and Dust refinery now have Crafting stations catalog records. Camp chest remains a storage world object. Catalog registration does not install or duplicate world objects.</x:t>
        </x:is>
      </x:c>
      <x:c r="E13" s="4" t="str">
        <x:v>Planning scope</x:v>
      </x:c>
      <x:c r="G13" t="inlineStr">
        <x:is>
          <x:t xml:space="preserve">Consumables</x:t>
        </x:is>
      </x:c>
    </x:row>
    <x:row r="14" ht="48" customHeight="1">
      <x:c r="A14" s="9" t="str">
        <x:v>Companion gear and upgrades</x:v>
      </x:c>
      <x:c r="B14" s="9" t="str">
        <x:f>B36&amp;" concepts; no runtime definitions"</x:f>
        <x:v>60 concepts; no runtime definitions</x:v>
      </x:c>
      <x:c r="C14" s="9" t="str">
        <x:v>See Legger parts and fitments for the six populated proposal families</x:v>
      </x:c>
      <x:c r="D14" s="9" t="str">
        <x:v>The physical companion and its finite cargo rules remain unchanged.</x:v>
      </x:c>
      <x:c r="E14" s="4" t="str">
        <x:v>Planning scope</x:v>
      </x:c>
      <x:c r="G14" t="inlineStr">
        <x:is>
          <x:t xml:space="preserve">Cooking ingredients</x:t>
        </x:is>
      </x:c>
    </x:row>
    <x:row r="15" ht="48" customHeight="1">
      <x:c r="A15" s="4" t="str">
        <x:v>Trade and quest items</x:v>
      </x:c>
      <x:c r="B15" s="4" t="str">
        <x:v>Currency family registered; quest roster open</x:v>
      </x:c>
      <x:c r="C15" s="4" t="str">
        <x:v>Imperial Commons is registered from source proposal WLD-0032</x:v>
      </x:c>
      <x:c r="D15" s="4" t="str">
        <x:v>Denominations, prices and quest-specific item roster remain unresolved.</x:v>
      </x:c>
      <x:c r="E15" s="4" t="str">
        <x:v>Planning scope</x:v>
      </x:c>
      <x:c r="G15" t="inlineStr">
        <x:is>
          <x:t xml:space="preserve">Crafting components</x:t>
        </x:is>
      </x:c>
    </x:row>
    <x:row r="16" ht="70" customHeight="1">
      <x:c r="A16" s="41" t="str">
        <x:v>Containers</x:v>
      </x:c>
      <x:c r="B16" s="41">
        <x:f>COUNTIF(Items!$D$6:$D$1005,A16)</x:f>
        <x:v>0</x:v>
      </x:c>
      <x:c r="C16" s="41" t="inlineStr">
        <x:is>
          <x:t xml:space="preserve">Retired primary category: all remaining entries moved to Salvage by author direction. No special container mechanics; ordinary salvage may be reused in other ways.</x:t>
        </x:is>
      </x:c>
      <x:c r="D16" s="41"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E16" s="4" t="inlineStr">
        <x:is>
          <x:t xml:space="preserve">Legacy category</x:t>
        </x:is>
      </x:c>
      <x:c r="G16" t="inlineStr">
        <x:is>
          <x:t xml:space="preserve">Crafting stations</x:t>
        </x:is>
      </x:c>
    </x:row>
    <x:row r="17" ht="60" customHeight="1">
      <x:c r="A17" s="4" t="str">
        <x:v>Offensive weapons</x:v>
      </x:c>
      <x:c r="B17" s="4" t="n">
        <x:f>COUNTIFS(Items!$X$6:$X$1005,"Weapon")</x:f>
        <x:v>20</x:v>
      </x:c>
      <x:c r="C17" s="4" t="str">
        <x:v>Ancient laser swords, laser blasters, rockets and rocket launchers; author-directed families</x:v>
      </x:c>
      <x:c r="D17" s="4" t="str">
        <x:v>Weapon-type entries, including current and ancient proposals.</x:v>
      </x:c>
      <x:c r="E17" s="4" t="str">
        <x:v>Item family</x:v>
      </x:c>
      <x:c r="G17" t="inlineStr">
        <x:is>
          <x:t xml:space="preserve">Currency</x:t>
        </x:is>
      </x:c>
    </x:row>
    <x:row r="18" ht="60" customHeight="1">
      <x:c r="A18" s="4" t="str">
        <x:v>Defensive weapons</x:v>
      </x:c>
      <x:c r="B18" s="4" t="n">
        <x:f>COUNTIFS(Items!$X$6:$X$1005,"Shield")</x:f>
        <x:v>21</x:v>
      </x:c>
      <x:c r="C18" s="4" t="str">
        <x:v>Reserved category; existing shield concept remains in Equipment</x:v>
      </x:c>
      <x:c r="D18" s="4" t="str">
        <x:v>Shield-type entries, including the generic family and specific designs.</x:v>
      </x:c>
      <x:c r="E18" s="4" t="str">
        <x:v>Planning scope</x:v>
      </x:c>
      <x:c r="G18" t="inlineStr">
        <x:is>
          <x:t xml:space="preserve">Legger armor</x:t>
        </x:is>
      </x:c>
    </x:row>
    <x:row r="19" ht="60" customHeight="1">
      <x:c r="A19" s="4" t="str">
        <x:v>Traps</x:v>
      </x:c>
      <x:c r="B19" s="4" t="n">
        <x:f>COUNTIFS(Items!$X$6:$X$1005,"Trap")</x:f>
        <x:v>19</x:v>
      </x:c>
      <x:c r="C19" s="4" t="str">
        <x:v>Reserved category; no named trap added</x:v>
      </x:c>
      <x:c r="D19" s="4" t="str">
        <x:v>Trap-type entries; see Item relationships for weapon feeds and kit contents.</x:v>
      </x:c>
      <x:c r="E19" s="4" t="str">
        <x:v>Planning scope</x:v>
      </x:c>
      <x:c r="G19" t="inlineStr">
        <x:is>
          <x:t xml:space="preserve">Legger attachments</x:t>
        </x:is>
      </x:c>
    </x:row>
    <x:row r="20" ht="60" customHeight="1">
      <x:c r="A20" s="4" t="str">
        <x:v>Trip-ups</x:v>
      </x:c>
      <x:c r="B20" s="4" t="n">
        <x:f>COUNTIFS(Items!$X$6:$X$1005,"Trip hazard")</x:f>
        <x:v>1</x:v>
      </x:c>
      <x:c r="C20" s="4" t="str">
        <x:v>Caltrops is the first named candidate</x:v>
      </x:c>
      <x:c r="D20" s="4" t="str">
        <x:v>Trip-hazard type; caltrops remain separate from placed trap devices.</x:v>
      </x:c>
      <x:c r="E20" s="4" t="str">
        <x:v>Item family</x:v>
      </x:c>
      <x:c r="G20" t="inlineStr">
        <x:is>
          <x:t xml:space="preserve">Manufactured stock</x:t>
        </x:is>
      </x:c>
    </x:row>
    <x:row r="21" ht="65" customHeight="1">
      <x:c r="A21" s="4" t="str">
        <x:v>Ancient material feedstocks</x:v>
      </x:c>
      <x:c r="B21" s="4" t="n">
        <x:f>COUNTIFS(Items!$Z$6:$Z$1005,"Ancient technology",Items!$AI$6:$AI$1005,"Material")</x:f>
        <x:v>5</x:v>
      </x:c>
      <x:c r="C21" s="4" t="str">
        <x:v>Carbon composites, nanocarbon materials, plasteels and related futuristic substances</x:v>
      </x:c>
      <x:c r="D21" s="4" t="str">
        <x:v>Ancient material family, independent of primary category. Origin and manufacturing capability remain separate.</x:v>
      </x:c>
      <x:c r="E21" s="4" t="str">
        <x:v>Item family</x:v>
      </x:c>
      <x:c r="G21" t="inlineStr">
        <x:is>
          <x:t xml:space="preserve">Mineral resources</x:t>
        </x:is>
      </x:c>
    </x:row>
    <x:row r="22" ht="75" customHeight="1">
      <x:c r="A22" s="4" t="str">
        <x:v>Fashion, hats and eyewear</x:v>
      </x:c>
      <x:c r="B22" s="4" t="n">
        <x:f>COUNTIF(Items!$E$6:$E$1005,"Specialist eyewear")+COUNTIF(Items!$E$6:$E$1005,"Eyewear")+COUNTIF(Items!$E$6:$E$1005,"Headwear")+COUNTIF(Items!$E$6:$E$1005,"Fashion garment")</x:f>
        <x:v>6</x:v>
      </x:c>
      <x:c r="C22" s="4" t="str">
        <x:v>Six rare eyewear/headwear and elaborate fashion families</x:v>
      </x:c>
      <x:c r="D22" s="4" t="str">
        <x:v>Elaborate fashion is very rare/expensive; everyday simple wraps and chainmail are a separate baseline.</x:v>
      </x:c>
      <x:c r="E22" s="4" t="str">
        <x:v>Item family</x:v>
      </x:c>
      <x:c r="G22" t="inlineStr">
        <x:is>
          <x:t xml:space="preserve">Salvage</x:t>
        </x:is>
      </x:c>
    </x:row>
    <x:row r="23" ht="75" customHeight="1">
      <x:c r="A23" s="4" t="str">
        <x:v>Gemstones</x:v>
      </x:c>
      <x:c r="B23" s="4" t="n">
        <x:f>COUNTIF(Items!$E$6:$E$1005,"Gemstone concept")</x:f>
        <x:v>8</x:v>
      </x:c>
      <x:c r="C23" s="4" t="str">
        <x:v>Eight proposed mineral families: clear/smoky quartz, garnet, spinel, peridot, corundum, tourmaline and zircon</x:v>
      </x:c>
      <x:c r="D23" s="4" t="str">
        <x:v>Existence accepted; species, deposits, grades, cutting, rarity and uses remain proposed.</x:v>
      </x:c>
      <x:c r="E23" s="4" t="str">
        <x:v>Item family</x:v>
      </x:c>
      <x:c r="G23" t="inlineStr">
        <x:is>
          <x:t xml:space="preserve">Tools</x:t>
        </x:is>
      </x:c>
    </x:row>
    <x:row r="24" ht="75" customHeight="1">
      <x:c r="A24" s="4" t="str">
        <x:v>Everyday clothing</x:v>
      </x:c>
      <x:c r="B24" s="4">
        <x:f>COUNTIF(Items!$E$6:$E$1005,"Everyday clothing")+COUNTIF(Items!$A$6:$A$1005,"")</x:f>
        <x:v>1</x:v>
      </x:c>
      <x:c r="C24" s="4" t="str">
        <x:v>Simple wraps, metal chainmail and practical metal-based wear with minimal fur</x:v>
      </x:c>
      <x:c r="D24" s="4" t="str">
        <x:v>Chainmail already has an item-family entry; no duplicate mail item or cloth input added.</x:v>
      </x:c>
      <x:c r="E24" s="4" t="str">
        <x:v>Item family</x:v>
      </x:c>
      <x:c r="G24" t="inlineStr">
        <x:is>
          <x:t xml:space="preserve">Weapons</x:t>
        </x:is>
      </x:c>
    </x:row>
    <x:row r="25" ht="85" customHeight="1">
      <x:c r="A25" s="4" t="str">
        <x:v>Canister economy</x:v>
      </x:c>
      <x:c r="B25" s="4" t="n">
        <x:f>COUNTIF(Items!$E$6:$E$1005,"Canister economy concept")</x:f>
        <x:v>15</x:v>
      </x:c>
      <x:c r="C25" s="4" t="str">
        <x:v>Bodies, seals, seats, sealant, lines, couplings, mouthpieces, viewing inserts, mounts, harnesses, inspection/service and identity pieces</x:v>
      </x:c>
      <x:c r="D25" s="4" t="str">
        <x:v>15 new proposals from source canister craft/carry/ritual records; no automatic air-reserve or maintenance simulation.</x:v>
      </x:c>
      <x:c r="E25" s="4" t="str">
        <x:v>Item family</x:v>
      </x:c>
      <x:c r="G25" t="inlineStr">
        <x:is>
          <x:t xml:space="preserve">Workshop upgrades</x:t>
        </x:is>
      </x:c>
    </x:row>
    <x:row r="26" ht="85" customHeight="1">
      <x:c r="A26" s="4" t="str">
        <x:v>Megafauna wing materials</x:v>
      </x:c>
      <x:c r="B26" s="4" t="n">
        <x:f>COUNTIF(Items!$AB$6:$AB$1005,"Wing membrane")+COUNTIF(Items!$AB$6:$AB$1005,"Wing membrane and frame")</x:f>
        <x:v>10</x:v>
      </x:c>
      <x:c r="C26" s="4" t="str">
        <x:v>Inner-wing resource, shade panel, sail panel and handheld wing sail</x:v>
      </x:c>
      <x:c r="D26" s="4" t="str">
        <x:v>Wing material is shared across shading and wind-traversal concepts; preparation may differ.</x:v>
      </x:c>
      <x:c r="E26" s="4" t="str">
        <x:v>Item family</x:v>
      </x:c>
    </x:row>
    <x:row r="27" ht="85" customHeight="1">
      <x:c r="A27" s="4" t="str">
        <x:v>Religious objects</x:v>
      </x:c>
      <x:c r="B27" s="4" t="n">
        <x:f>COUNTIF(Items!$E$6:$E$1005,"Religious")</x:f>
        <x:v>6</x:v>
      </x:c>
      <x:c r="C27" s="4" t="str">
        <x:v>Icons, shrine plaques, altar vials, relic cases, prayer leaves and votive tokens</x:v>
      </x:c>
      <x:c r="D27" s="4" t="str">
        <x:v>All six are game proposals; source faith records are proposal-stage.</x:v>
      </x:c>
      <x:c r="E27" s="4" t="str">
        <x:v>Item family</x:v>
      </x:c>
    </x:row>
    <x:row r="28" ht="85" customHeight="1">
      <x:c r="A28" s="4" t="str">
        <x:v>Political / civic objects</x:v>
      </x:c>
      <x:c r="B28" s="4" t="n">
        <x:f>COUNTIF(Items!$E$6:$E$1005,"Political / civic")</x:f>
        <x:v>6</x:v>
      </x:c>
      <x:c r="C28" s="4" t="str">
        <x:v>Office badges, seal stamps, registers, notices, petitions and service medallions</x:v>
      </x:c>
      <x:c r="D28" s="4" t="str">
        <x:v>Institutions, rights and public roles remain undecided.</x:v>
      </x:c>
      <x:c r="E28" s="4" t="str">
        <x:v>Item family</x:v>
      </x:c>
    </x:row>
    <x:row r="29" ht="85" customHeight="1">
      <x:c r="A29" s="4" t="str">
        <x:v>Ritual objects</x:v>
      </x:c>
      <x:c r="B29" s="4" t="n">
        <x:f>COUNTIF(Items!$E$6:$E$1005,"Ritual")</x:f>
        <x:v>6</x:v>
      </x:c>
      <x:c r="C29" s="4" t="str">
        <x:v>Pilgrimage dies, memorial plates, oath rings, milestone charms, rattles and gift cases</x:v>
      </x:c>
      <x:c r="D29" s="4" t="str">
        <x:v>Objects of ceremony and memory; no automatic supernatural effects.</x:v>
      </x:c>
      <x:c r="E29" s="4" t="str">
        <x:v>Item family</x:v>
      </x:c>
    </x:row>
    <x:row r="30" ht="85" customHeight="1">
      <x:c r="A30" s="4" t="str">
        <x:v>Household starter set</x:v>
      </x:c>
      <x:c r="B30" s="4" t="n">
        <x:f>COUNTIF(Items!$E$6:$E$1005,"Everyday household")</x:f>
        <x:v>6</x:v>
      </x:c>
      <x:c r="C30" s="4" t="str">
        <x:v>Bowls, algae spoons, dust brushes, combs, tally tablets and marking tools</x:v>
      </x:c>
      <x:c r="D30" s="4" t="str">
        <x:v>Original six household proposals. Everyday objects gives the current broad category total, including ceramic tableware.</x:v>
      </x:c>
      <x:c r="E30" s="4" t="str">
        <x:v>Item family</x:v>
      </x:c>
    </x:row>
    <x:row r="31" ht="110" customHeight="1">
      <x:c r="A31" s="4" t="str">
        <x:v>Ceramics</x:v>
      </x:c>
      <x:c r="B31" s="4" t="n">
        <x:f>COUNTIF(Items!$AB$6:$AB$1005,"Ceramic")+COUNTIF(Items!$AB$6:$AB$1005,"Ceramic feed mixture")+COUNTIF(Items!$AB$6:$AB$1005,"Ceramic and metal")</x:f>
        <x:v>63</x:v>
      </x:c>
      <x:c r="C31" s="4" t="str">
        <x:v>Items classified as Ceramic, Ceramic feed mixture or Ceramic and metal</x:v>
      </x:c>
      <x:c r="D31" s="4" t="str">
        <x:v>Includes later cooking parts and Legger/ancient ceramic inserts; mineral feeds with other material labels remain separately classified.</x:v>
      </x:c>
      <x:c r="E31" s="4" t="str">
        <x:v>Item family</x:v>
      </x:c>
    </x:row>
    <x:row r="32" ht="90" customHeight="1">
      <x:c r="A32" s="4" t="str">
        <x:v>Currency</x:v>
      </x:c>
      <x:c r="B32" s="4">
        <x:f>COUNTIF(Items!$D$6:$D$1005,"Currency")</x:f>
        <x:v>5</x:v>
      </x:c>
      <x:c r="C32" s="4" t="str">
        <x:v>Imperial Commons currency family; aliases Commons and marks</x:v>
      </x:c>
      <x:c r="D32" s="4" t="str">
        <x:v>WLD-0032 draft/proposal names the currency but does not define denominations, physical tokens or exchange ratios.</x:v>
      </x:c>
      <x:c r="E32" s="4" t="str">
        <x:v>Primary category</x:v>
      </x:c>
    </x:row>
    <x:row r="33" ht="110" customHeight="1">
      <x:c r="A33" s="4" t="str">
        <x:v>Special stones, fire and cooking</x:v>
      </x:c>
      <x:c r="B33" s="4" t="n">
        <x:f>COUNTIF(Items!$E$6:$E$1005,"Special stone")+COUNTIF(Items!$E$6:$E$1005,"Ignition tool")+COUNTIF(Items!$E$6:$E$1005,"Fire fuel")+COUNTIF(Items!$E$6:$E$1005,"Cooking vessel")+COUNTIF(Items!$E$6:$E$1005,"Cooking tool")+COUNTIF(Items!$E$6:$E$1005,"Fire management")+COUNTIF(Items!$E$6:$E$1005,"Mineral light")</x:f>
        <x:v>16</x:v>
      </x:c>
      <x:c r="C33" s="4" t="str">
        <x:v>Oxygen-releasing rock, glow stone, flint, ignition, chitin-char, food-heating vessels/tools and managed-fire parts</x:v>
      </x:c>
      <x:c r="D33" s="4" t="str">
        <x:v>Source fire behavior is proposal-stage. Extracted-stone behavior, fuel/air supply, cooking effects and equipment performance unresolved.</x:v>
      </x:c>
      <x:c r="E33" s="4" t="str">
        <x:v>Item family</x:v>
      </x:c>
    </x:row>
    <x:row r="34" ht="105" customHeight="1">
      <x:c r="A34" s="4" t="str">
        <x:v>Faunal lubricants</x:v>
      </x:c>
      <x:c r="B34" s="4" t="n">
        <x:f>COUNTIF(Items!$E$6:$E$1005,"Lubricant intermediate")+COUNTIF(Items!$E$6:$E$1005,"Finished lubricant")</x:f>
        <x:v>8</x:v>
      </x:c>
      <x:c r="C34" s="4" t="str">
        <x:v>Two candidate processing intermediates and six finished oil/grease/film families</x:v>
      </x:c>
      <x:c r="D34" s="4" t="str">
        <x:v>Reuse existing raw joint secretion and graphite flakes. Industrial lubricant is distinct from adhesives, sealant, food and conductive gel.</x:v>
      </x:c>
      <x:c r="E34" s="4" t="str">
        <x:v>Item family</x:v>
      </x:c>
    </x:row>
    <x:row r="35" ht="115" customHeight="1">
      <x:c r="A35" s="4" t="str">
        <x:v>Wind gear and machines</x:v>
      </x:c>
      <x:c r="B35" s="4" t="n">
        <x:f>COUNTIF(Items!$E$6:$E$1005,"Wind machine")+COUNTIF(Items!$E$6:$E$1005,"Wind sail material")+COUNTIF(Items!$E$6:$E$1005,"Wind traversal gear")+COUNTIF(Items!$E$6:$E$1005,"Wind sail component")+COUNTIF(Items!$E$6:$E$1005,"Dirtboard component")+COUNTIF(Items!$E$6:$E$1005,"Wind machine component")</x:f>
        <x:v>10</x:v>
      </x:c>
      <x:c r="C35" s="4" t="str">
        <x:v>Salvaged turbine; wing sail panel; collapsible handheld sail; four-wheel dirtboard; proposed frame, grip, wheels, steering, rotor and generator parts</x:v>
      </x:c>
      <x:c r="D35" s="4" t="str">
        <x:v>Existing delicate inner-wing resource gains sail use. Author-directed equipment is catalog design; assembly, movement and energy conversion remain unimplemented.</x:v>
      </x:c>
      <x:c r="E35" s="4" t="str">
        <x:v>Item family</x:v>
      </x:c>
    </x:row>
    <x:row r="36" ht="115" customHeight="1">
      <x:c r="A36" s="4" t="str">
        <x:v>Legger parts and fitments</x:v>
      </x:c>
      <x:c r="B36" s="4" t="n">
        <x:f>COUNTIF(Items!$E$6:$E$1005,"Legger cargo rigging")+COUNTIF(Items!$E$6:$E$1005,"Legger chassis")+COUNTIF(Items!$E$6:$E$1005,"Legger mechanical parts")+COUNTIF(Items!$E$6:$E$1005,"Legger service parts")+COUNTIF(Items!$E$6:$E$1005,"Legger armor")+COUNTIF(Items!$E$6:$E$1005,"Legger ancient replacement")</x:f>
        <x:v>60</x:v>
      </x:c>
      <x:c r="C36" s="4" t="str">
        <x:v>60 proposals across cargo rigging, chassis, mechanical parts, service equipment, armor and ancient replacements</x:v>
      </x:c>
      <x:c r="D36" s="4" t="str">
        <x:v>Includes 36 additional specific parts. Fit, function, serviceability and protective properties remain proposals.</x:v>
      </x:c>
      <x:c r="E36" s="4" t="str">
        <x:v>Item family</x:v>
      </x:c>
    </x:row>
    <x:row r="37" ht="85" customHeight="1">
      <x:c r="A37" s="4" t="str">
        <x:v>Weapons</x:v>
      </x:c>
      <x:c r="B37" s="4">
        <x:f>COUNTIF(Items!$D$6:$D$1005,A37)</x:f>
        <x:v>30</x:v>
      </x:c>
      <x:c r="C37" s="4" t="inlineStr">
        <x:is>
          <x:t xml:space="preserve">Weapon equipment and launchers. Projectiles and weapon-specific power feeds are classified separately as Ammunition.</x:t>
        </x:is>
      </x:c>
      <x:c r="D37" s="4" t="str">
        <x:v>Detailed offensive, defensive, trap and trip-up design remains open.</x:v>
      </x:c>
      <x:c r="E37" s="4" t="str">
        <x:v>Primary category</x:v>
      </x:c>
    </x:row>
    <x:row r="38" ht="85" customHeight="1">
      <x:c r="A38" s="4" t="str">
        <x:v>Cultural objects</x:v>
      </x:c>
      <x:c r="B38" s="4">
        <x:f>COUNTIF(Items!$D$6:$D$1005,A38)</x:f>
        <x:v>0</x:v>
      </x:c>
      <x:c r="C38" s="4" t="inlineStr">
        <x:is>
          <x:t xml:space="preserve">Retired primary category: all entries moved to Salvage by author direction October 16, 2026. Historical label only.</x:t>
        </x:is>
      </x:c>
      <x:c r="D38" s="4" t="inlineStr">
        <x:is>
          <x:t xml:space="preserve">Author direction October 16: all remaining Cultural objects are Salvage; remove the cultural items section. Preserve item identity, descriptions, condition, tiers, uses and recipe semantics.</x:t>
        </x:is>
      </x:c>
      <x:c r="E38" s="4" t="inlineStr">
        <x:is>
          <x:t xml:space="preserve">Legacy category</x:t>
        </x:is>
      </x:c>
    </x:row>
    <x:row r="39" ht="85" customHeight="1">
      <x:c r="A39" s="4" t="str">
        <x:v>Everyday objects</x:v>
      </x:c>
      <x:c r="B39" s="4">
        <x:f>COUNTIF(Items!$D$6:$D$1005,A39)</x:f>
        <x:v>0</x:v>
      </x:c>
      <x:c r="C39" s="4" t="inlineStr">
        <x:is>
          <x:t xml:space="preserve">Retired primary category: all twenty everyday objects are now organized under Camp items. Retained only as a historical label.</x:t>
        </x:is>
      </x:c>
      <x:c r="D39" s="4" t="str">
        <x:v>Other practical tools may be classified as Equipment; use Item type/Use across categories.</x:v>
      </x:c>
      <x:c r="E39" s="4" t="inlineStr">
        <x:is>
          <x:t xml:space="preserve">Legacy category</x:t>
        </x:is>
      </x:c>
    </x:row>
    <x:row r="40" ht="85" customHeight="1">
      <x:c r="A40" s="4" t="str">
        <x:v>Ancient recovered items</x:v>
      </x:c>
      <x:c r="B40" s="4">
        <x:f>COUNTIF(Items!$Z$6:$Z$1005,"Ancient technology")</x:f>
        <x:v>63</x:v>
      </x:c>
      <x:c r="C40" s="4" t="str">
        <x:v>Ancient material, replacement-part, weapon and ammunition concepts</x:v>
      </x:c>
      <x:c r="D40" s="4" t="str">
        <x:v>Use Origin family = Ancient technology across the whole master; scarcity does not establish properties.</x:v>
      </x:c>
      <x:c r="E40" s="4" t="str">
        <x:v>Item family</x:v>
      </x:c>
    </x:row>
    <x:row r="41" ht="115" customHeight="1">
      <x:c r="A41" s="4" t="str">
        <x:v>Consumables</x:v>
      </x:c>
      <x:c r="B41" s="4">
        <x:f>COUNTIF(Items!$D$6:$D$1005,A41)</x:f>
        <x:v>20</x:v>
      </x:c>
      <x:c r="C41" s="4" t="inlineStr">
        <x:is>
          <x:t xml:space="preserve">Ready-to-consume meals, bars and drinks, plus the existing finished livestock-feed consumable. Ingredients used to prepare meals or drinks are classified separately.</x:t>
        </x:is>
      </x:c>
      <x:c r="D41" s="4" t="str">
        <x:v>Prepared servings differ from the existing attached baseline algae reserve. Exact consumption effects and serving amounts remain open.</x:v>
      </x:c>
      <x:c r="E41" s="4" t="str">
        <x:v>Primary category</x:v>
      </x:c>
    </x:row>
    <x:row r="42" ht="115" customHeight="1">
      <x:c r="A42" s="4" t="str">
        <x:v>Phagia food and packaging</x:v>
      </x:c>
      <x:c r="B42" s="4" t="n">
        <x:f>COUNTIF(Items!$E$6:$E$1005,"Phagia drink")+COUNTIF(Items!$E$6:$E$1005,"Phagia bar")+COUNTIF(Items!$E$6:$E$1005,"Phagia prepared meal")+COUNTIF(Items!$E$6:$E$1005,"Phagia delicacy")+COUNTIF(Items!$E$6:$E$1005,"Prepared fauna food ingredient")+COUNTIF(Items!$E$6:$E$1005,"Food packaging")</x:f>
        <x:v>14</x:v>
      </x:c>
      <x:c r="C42" s="4" t="str">
        <x:v>Nine prepared consumables, two edible-fauna intermediates and three food-service carriers</x:v>
      </x:c>
      <x:c r="D42" s="4" t="str">
        <x:v>Food/industrial chemistry and payload/container ownership remain distinct.</x:v>
      </x:c>
      <x:c r="E42" s="4" t="str">
        <x:v>Item family</x:v>
      </x:c>
    </x:row>
    <x:row r="43" ht="110" customHeight="1">
      <x:c r="A43" s="4" t="str">
        <x:v>Practical raw feedstocks</x:v>
      </x:c>
      <x:c r="B43" s="4" t="n">
        <x:f>COUNTIF(Items!$E$6:$E$1005,"Stone feedstock")+COUNTIF(Items!$E$6:$E$1005,"Faunal hard-part feedstock")+COUNTIF(Items!$E$6:$E$1005,"Salvaged feedstock")+COUNTIF(Items!$E$6:$E$1005,"Faunal waste feedstock")</x:f>
        <x:v>40</x:v>
      </x:c>
      <x:c r="C43" s="4" t="str">
        <x:v>Ten stone/mineral, eleven fauna hard-part/waste and nineteen industrial-salvage candidates</x:v>
      </x:c>
      <x:c r="D43" s="4" t="str">
        <x:v>Input forms before processing. Reuse existing ores, salts, fibers, raw shell and generic wire bundles.</x:v>
      </x:c>
      <x:c r="E43" s="4" t="str">
        <x:v>Item family</x:v>
      </x:c>
    </x:row>
    <x:row r="44" ht="110" customHeight="1">
      <x:c r="A44" s="3" t="str">
        <x:v>Tier 1 material stock</x:v>
      </x:c>
      <x:c r="B44" s="3" t="n">
        <x:f>COUNTIF(Items!$C$6:$C$1005,"T1")</x:f>
        <x:v>81</x:v>
      </x:c>
      <x:c r="C44" s="3" t="str">
        <x:v>First refined material stock across metal, glass/stone, mineral preparation, biological stock, chemical preparation and finish work</x:v>
      </x:c>
      <x:c r="D44" s="3" t="str">
        <x:v>Tier classification includes reused earlier concepts. Existing crafting recipe assets are unchanged.</x:v>
      </x:c>
      <x:c r="E44" s="3" t="str">
        <x:v>Item family</x:v>
      </x:c>
    </x:row>
    <x:row r="45" ht="100" customHeight="1">
      <x:c r="A45" s="4" t="str">
        <x:v>T2 material/component proposals</x:v>
      </x:c>
      <x:c r="B45" s="4" t="n">
        <x:f>COUNTIF(Items!$C$6:$C$1005,"T2")</x:f>
        <x:v>62</x:v>
      </x:c>
      <x:c r="C45" s="4" t="str">
        <x:v>Tiered stock and intermediate parts from October 15 branches</x:v>
      </x:c>
      <x:c r="D45" s="4" t="str">
        <x:v>Recipe inputs, service qualification and quantities remain proposals.</x:v>
      </x:c>
      <x:c r="E45" s="4" t="str">
        <x:v>Item family</x:v>
      </x:c>
    </x:row>
    <x:row r="46" ht="100" customHeight="1">
      <x:c r="A46" s="4" t="str">
        <x:v>T3 material/component proposals</x:v>
      </x:c>
      <x:c r="B46" s="4" t="n">
        <x:f>COUNTIF(Items!$C$6:$C$1005,"T3")</x:f>
        <x:v>111</x:v>
      </x:c>
      <x:c r="C46" s="4" t="str">
        <x:v>Tiered stock and intermediate parts from October 15 branches</x:v>
      </x:c>
      <x:c r="D46" s="4" t="str">
        <x:v>Recipe inputs, service qualification and quantities remain proposals.</x:v>
      </x:c>
      <x:c r="E46" s="4" t="str">
        <x:v>Item family</x:v>
      </x:c>
    </x:row>
    <x:row r="47" ht="100" customHeight="1">
      <x:c r="A47" s="4" t="str">
        <x:v>T4 material/component proposals</x:v>
      </x:c>
      <x:c r="B47" s="4" t="n">
        <x:f>COUNTIF(Items!$C$6:$C$1005,"T4")</x:f>
        <x:v>63</x:v>
      </x:c>
      <x:c r="C47" s="4" t="str">
        <x:v>Tiered stock and intermediate parts from October 15 branches</x:v>
      </x:c>
      <x:c r="D47" s="4" t="str">
        <x:v>Recipe inputs, service qualification and quantities remain proposals.</x:v>
      </x:c>
      <x:c r="E47" s="4" t="str">
        <x:v>Item family</x:v>
      </x:c>
    </x:row>
    <x:row r="48" ht="115" customHeight="1">
      <x:c r="A48" s="4" t="str">
        <x:v>Mineral resources</x:v>
      </x:c>
      <x:c r="B48" s="4">
        <x:f>COUNTIF(Items!$D$6:$D$1005,A48)</x:f>
        <x:v>50</x:v>
      </x:c>
      <x:c r="C48" s="4" t="str">
        <x:v>Geological feedstocks, selected ores, crystals and unrefined Iron Growth.</x:v>
      </x:c>
      <x:c r="D48" s="4" t="str">
        <x:v>New organizational category, not a canon or rarity claim.</x:v>
      </x:c>
      <x:c r="E48" s="4" t="str">
        <x:v>Primary category</x:v>
      </x:c>
    </x:row>
    <x:row r="49" ht="115" customHeight="1">
      <x:c r="A49" s="4" t="str">
        <x:v>Biological resources</x:v>
      </x:c>
      <x:c r="B49" s="4">
        <x:f>COUNTIF(Items!$D$6:$D$1005,A49)</x:f>
        <x:v>50</x:v>
      </x:c>
      <x:c r="C49" s="4" t="inlineStr">
        <x:is>
          <x:t xml:space="preserve">Harvested fauna materials and contained industrial Phagia byproducts; culinary ingredient entries are classified separately. No general edibility claim.</x:t>
        </x:is>
      </x:c>
      <x:c r="D49" s="4" t="str">
        <x:v>New organizational category, not a canon or rarity claim.</x:v>
      </x:c>
      <x:c r="E49" s="4" t="str">
        <x:v>Primary category</x:v>
      </x:c>
    </x:row>
    <x:row r="50" ht="115" customHeight="1">
      <x:c r="A50" s="4" t="str">
        <x:v>Processing agents</x:v>
      </x:c>
      <x:c r="B50" s="4">
        <x:f>COUNTIF(Items!$D$6:$D$1005,A50)</x:f>
        <x:v>0</x:v>
      </x:c>
      <x:c r="C50" s="4" t="inlineStr">
        <x:is>
          <x:t xml:space="preserve">Retired primary category: all remaining entries are Crafting components. Retained as a historical label only.</x:t>
        </x:is>
      </x:c>
      <x:c r="D50" s="4" t="inlineStr">
        <x:is>
          <x:t xml:space="preserve">Author direction October 15: all Processing agents belong in Crafting components; retire the separate Processing agents section. Identity, condition, tiers, properties and recipe roles remain unchanged.</x:t>
        </x:is>
      </x:c>
      <x:c r="E50" s="4" t="inlineStr">
        <x:is>
          <x:t xml:space="preserve">Legacy category</x:t>
        </x:is>
      </x:c>
    </x:row>
    <x:row r="51" ht="115" customHeight="1">
      <x:c r="A51" s="4" t="str">
        <x:v>Manufactured stock</x:v>
      </x:c>
      <x:c r="B51" s="4">
        <x:f>COUNTIF(Items!$D$6:$D$1005,A51)</x:f>
        <x:v>100</x:v>
      </x:c>
      <x:c r="C51" s="4" t="str">
        <x:v>Worked metal, glass, ceramic, husk and composite stock awaiting fitted fabrication.</x:v>
      </x:c>
      <x:c r="D51" s="4" t="str">
        <x:v>New organizational category, not a canon or rarity claim.</x:v>
      </x:c>
      <x:c r="E51" s="4" t="str">
        <x:v>Primary category</x:v>
      </x:c>
    </x:row>
    <x:row r="52" ht="115" customHeight="1">
      <x:c r="A52" s="4" t="inlineStr">
        <x:is>
          <x:t xml:space="preserve">Salvage</x:t>
        </x:is>
      </x:c>
      <x:c r="B52" s="4">
        <x:f>COUNTIF(Items!$D$6:$D$1005,A52)</x:f>
        <x:v>200</x:v>
      </x:c>
      <x:c r="C52" s="4" t="inlineStr">
        <x:is>
          <x:t xml:space="preserve">Recovered scrap, discarded supplies and damaged or potentially reusable expedition gear from settlers, Booters and abandoned camps. Inspection and qualification precede reuse; finding an item grants no contents or repair yield. Includes former container objects as ordinary salvage without special container mechanics. Includes all former Camp items as salvage. Includes all former Cultural objects as salvage.</x:t>
        </x:is>
      </x:c>
      <x:c r="D52" s="4" t="str">
        <x:v>New organizational category, not a canon or rarity claim.</x:v>
      </x:c>
      <x:c r="E52" s="4" t="str">
        <x:v>Primary category</x:v>
      </x:c>
    </x:row>
    <x:row r="53" ht="115" customHeight="1">
      <x:c r="A53" s="4" t="str">
        <x:v>Recovered mechanisms</x:v>
      </x:c>
      <x:c r="B53" s="4">
        <x:f>COUNTIF(Items!$D$6:$D$1005,A53)</x:f>
        <x:v>0</x:v>
      </x:c>
      <x:c r="C53" s="4" t="inlineStr">
        <x:is>
          <x:t xml:space="preserve">Retired primary category: all remaining entries are Salvage. Retained as a historical label only.</x:t>
        </x:is>
      </x:c>
      <x:c r="D53" s="4" t="inlineStr">
        <x:is>
          <x:t xml:space="preserve">Author direction October 15: all Recovered mechanisms entries belong in Salvage; retire the separate Recovered mechanisms section. Identity, condition, tiers, properties and recipe roles remain unchanged.</x:t>
        </x:is>
      </x:c>
      <x:c r="E53" s="4" t="inlineStr">
        <x:is>
          <x:t xml:space="preserve">Legacy category</x:t>
        </x:is>
      </x:c>
    </x:row>
    <x:row r="54" ht="115" customHeight="1">
      <x:c r="A54" s="4" t="str">
        <x:v>Ancient salvage</x:v>
      </x:c>
      <x:c r="B54" s="4">
        <x:f>COUNTIF(Items!$D$6:$D$1005,A54)</x:f>
        <x:v>40</x:v>
      </x:c>
      <x:c r="C54" s="4" t="str">
        <x:v>Extremely rare recovered ancient materials and intermediate parts; origin does not assign a refinement tier.</x:v>
      </x:c>
      <x:c r="D54" s="4" t="str">
        <x:v>New organizational category, not a canon or rarity claim.</x:v>
      </x:c>
      <x:c r="E54" s="4" t="str">
        <x:v>Primary category</x:v>
      </x:c>
    </x:row>
    <x:row r="55" ht="80" customHeight="1">
      <x:c r="A55" s="4" t="str">
        <x:v>Atmospheric resources</x:v>
      </x:c>
      <x:c r="B55" s="4">
        <x:f>COUNTIFS(Items!$D$6:$D$1005,A55)</x:f>
        <x:v>2</x:v>
      </x:c>
      <x:c r="C55" s="4" t="str">
        <x:v>Collected airborne dust and contained atmospheric feeds</x:v>
      </x:c>
      <x:c r="D55" s="4" t="str">
        <x:v>Collection and gas suitability are unresolved; no natural free-water source.</x:v>
      </x:c>
      <x:c r="E55" s="4" t="str">
        <x:v>Primary category</x:v>
      </x:c>
    </x:row>
    <x:row r="56">
      <x:c r="A56" s="9" t="inlineStr">
        <x:is>
          <x:t xml:space="preserve">Tools</x:t>
        </x:is>
      </x:c>
      <x:c r="B56" s="9">
        <x:f>COUNTIF(Items!$D$6:$D$1005,A56)</x:f>
        <x:v>20</x:v>
      </x:c>
      <x:c r="C56" s="9"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c r="D56" s="9" t="inlineStr">
        <x:is>
          <x:t xml:space="preserve">Organization only; retained design status, tiers, slots and behavior.</x:t>
        </x:is>
      </x:c>
      <x:c r="E56" s="4" t="inlineStr">
        <x:is>
          <x:t xml:space="preserve">Primary category</x:t>
        </x:is>
      </x:c>
    </x:row>
    <x:row r="57">
      <x:c r="A57" s="9" t="inlineStr">
        <x:is>
          <x:t xml:space="preserve">Accessories</x:t>
        </x:is>
      </x:c>
      <x:c r="B57" s="9">
        <x:f>COUNTIF(Items!$D$6:$D$1005,A57)</x:f>
        <x:v>0</x:v>
      </x:c>
      <x:c r="C57" s="9" t="inlineStr">
        <x:is>
          <x:t xml:space="preserve">Eyewear, carried personal reserves, carriers and supporting utility gear; ordinary garments are classified as Clothing. No new slots or effects.</x:t>
        </x:is>
      </x:c>
      <x:c r="D57" s="9" t="inlineStr">
        <x:is>
          <x:t xml:space="preserve">Organization only; retained design status, tiers, slots and behavior.</x:t>
        </x:is>
      </x:c>
      <x:c r="E57" s="4" t="inlineStr">
        <x:is>
          <x:t xml:space="preserve">Primary category</x:t>
        </x:is>
      </x:c>
    </x:row>
    <x:row r="58">
      <x:c r="A58" s="9" t="inlineStr">
        <x:is>
          <x:t xml:space="preserve">Attachments</x:t>
        </x:is>
      </x:c>
      <x:c r="B58" s="9">
        <x:f>COUNTIF(Items!$D$6:$D$1005,A58)</x:f>
        <x:v>0</x:v>
      </x:c>
      <x:c r="C58" s="9" t="inlineStr">
        <x:is>
          <x:t xml:space="preserve">Retired primary category: all remaining entries are Armor. Retained as a historical label only.</x:t>
        </x:is>
      </x:c>
      <x:c r="D58" s="9" t="inlineStr">
        <x:is>
          <x:t xml:space="preserve">Author direction October 16: all remaining general Attachments belong in Armor; retire the empty Attachments section. Category assignment preserves item type, properties and recipe roles, including the tool belt. Legger attachments remains separate.</x:t>
        </x:is>
      </x:c>
      <x:c r="E58" s="4" t="inlineStr">
        <x:is>
          <x:t xml:space="preserve">Legacy category</x:t>
        </x:is>
      </x:c>
    </x:row>
    <x:row r="59">
      <x:c r="A59" s="9" t="inlineStr">
        <x:is>
          <x:t xml:space="preserve">Clothing</x:t>
        </x:is>
      </x:c>
      <x:c r="B59" s="9">
        <x:f>COUNTIF(Items!$D$6:$D$1005,A59)</x:f>
        <x:v>40</x:v>
      </x:c>
      <x:c r="C59" s="9" t="inlineStr">
        <x:is>
          <x:t xml:space="preserve">Ordinary worn garments, fashion clothing, wraps, hats and visors. Protective armor stays in Armor; eyewear stays in Accessories. No new slots or effects.</x:t>
        </x:is>
      </x:c>
      <x:c r="D59" s="9" t="inlineStr">
        <x:is>
          <x:t xml:space="preserve">Author-requested clothing category; organization only.</x:t>
        </x:is>
      </x:c>
      <x:c r="E59" s="4" t="inlineStr">
        <x:is>
          <x:t xml:space="preserve">Primary category</x:t>
        </x:is>
      </x:c>
    </x:row>
    <x:row r="60">
      <x:c r="A60" s="9" t="inlineStr">
        <x:is>
          <x:t xml:space="preserve">Workshop upgrades</x:t>
        </x:is>
      </x:c>
      <x:c r="B60" s="9">
        <x:f>COUNTIF(Items!$D$6:$D$1005,A60)</x:f>
        <x:v>1</x:v>
      </x:c>
      <x:c r="C60" s="9" t="inlineStr">
        <x:is>
          <x:t xml:space="preserve">Upgrades and replaceable working parts fitted to workshop tools or stations.</x:t>
        </x:is>
      </x:c>
      <x:c r="D60" s="9" t="inlineStr">
        <x:is>
          <x:t xml:space="preserve">Author-requested classification; existing item behavior retained.</x:t>
        </x:is>
      </x:c>
      <x:c r="E60" s="4" t="inlineStr">
        <x:is>
          <x:t xml:space="preserve">Primary category</x:t>
        </x:is>
      </x:c>
    </x:row>
    <x:row r="61">
      <x:c r="A61" s="9" t="inlineStr">
        <x:is>
          <x:t xml:space="preserve">Legger armor</x:t>
        </x:is>
      </x:c>
      <x:c r="B61" s="9">
        <x:f>COUNTIF(Items!$D$6:$D$1005,A61)</x:f>
        <x:v>10</x:v>
      </x:c>
      <x:c r="C61" s="9" t="inlineStr">
        <x:is>
          <x:t xml:space="preserve">Protective guards, panels and chassis covers intended for the Legger, including recovered ancient variants. Fit and protection behavior remain proposals.</x:t>
        </x:is>
      </x:c>
      <x:c r="D61" s="9" t="inlineStr">
        <x:is>
          <x:t xml:space="preserve">Author-requested Legger armor category; organization only.</x:t>
        </x:is>
      </x:c>
      <x:c r="E61" s="4" t="inlineStr">
        <x:is>
          <x:t xml:space="preserve">Primary category</x:t>
        </x:is>
      </x:c>
    </x:row>
    <x:row r="62">
      <x:c r="A62" s="4" t="inlineStr">
        <x:is>
          <x:t xml:space="preserve">Cooking ingredients</x:t>
        </x:is>
      </x:c>
      <x:c r="B62" s="4">
        <x:f>COUNTIF(Items!$D$6:$D$1005,A62)</x:f>
        <x:v>18</x:v>
      </x:c>
      <x:c r="C62" s="4" t="inlineStr">
        <x:is>
          <x:t xml:space="preserve">Culinary source stocks, selected edible fauna fractions, seasonings and prepared ingredients intended for making food or drinks. Ready-to-consume servings remain Consumables. Cooking tools stay in their equipment categories.</x:t>
        </x:is>
      </x:c>
      <x:c r="D62" s="4" t="inlineStr">
        <x:is>
          <x:t xml:space="preserve">Food and drink ingredients; organization only. Existing item properties, proposal statuses and recipes retained.</x:t>
        </x:is>
      </x:c>
      <x:c r="E62" s="4" t="inlineStr">
        <x:is>
          <x:t xml:space="preserve">Primary category</x:t>
        </x:is>
      </x:c>
    </x:row>
    <x:row r="63">
      <x:c r="A63" s="9" t="inlineStr">
        <x:is>
          <x:t xml:space="preserve">Crafting stations</x:t>
        </x:is>
      </x:c>
      <x:c r="B63" s="9">
        <x:f>COUNTIF(Items!$D$6:$D$1005,A63)</x:f>
        <x:v>11</x:v>
      </x:c>
      <x:c r="C63" s="9" t="inlineStr">
        <x:is>
          <x:t xml:space="preserve">Non-cooking crafting, firing and forging facilities. The former Camp items Cooking station is classified as Salvage; recipe semantics remain unchanged.</x:t>
        </x:is>
      </x:c>
      <x:c r="D63" s="9" t="inlineStr">
        <x:is>
          <x:t xml:space="preserve">Author-requested station category; organization only.</x:t>
        </x:is>
      </x:c>
      <x:c r="E63" s="4" t="inlineStr">
        <x:is>
          <x:t xml:space="preserve">Primary category</x:t>
        </x:is>
      </x:c>
    </x:row>
    <x:row r="64">
      <x:c r="A64" s="9" t="inlineStr">
        <x:is>
          <x:t xml:space="preserve">Legger attachments</x:t>
        </x:is>
      </x:c>
      <x:c r="B64" s="9">
        <x:f>COUNTIF(Items!$D$6:$D$1005,A64)</x:f>
        <x:v>10</x:v>
      </x:c>
      <x:c r="C64" s="9" t="inlineStr">
        <x:is>
          <x:t xml:space="preserve">Fitted Legger cargo supports, racks, containers, brackets, service cases and replaceable armor backing, liners and add-ons. Complete protective covers remain Legger armor. Classification grants no fitments, capacity or protection effects.</x:t>
        </x:is>
      </x:c>
      <x:c r="D64" s="9" t="inlineStr">
        <x:is>
          <x:t xml:space="preserve">Author-requested Legger attachment category; organization only.</x:t>
        </x:is>
      </x:c>
      <x:c r="E64" s="4" t="inlineStr">
        <x:is>
          <x:t xml:space="preserve">Primary category</x:t>
        </x:is>
      </x:c>
    </x:row>
    <x:row r="65">
      <x:c r="A65" s="4" t="inlineStr">
        <x:is>
          <x:t xml:space="preserve">Camp items</x:t>
        </x:is>
      </x:c>
      <x:c r="B65" s="4">
        <x:f>COUNTIF(Items!$D$6:$D$1005,A65)</x:f>
        <x:v>0</x:v>
      </x:c>
      <x:c r="C65" s="4" t="inlineStr">
        <x:is>
          <x:t xml:space="preserve">Retired primary category: all entries moved to Salvage by author direction October 16, 2026. Historical label only.</x:t>
        </x:is>
      </x:c>
      <x:c r="D65" s="4" t="inlineStr">
        <x:is>
          <x:t xml:space="preserve">Author direction October 16: all Camp items are Salvage; retire the Camp items section. Item identity, condition, tiers, purposes and recipe semantics remain unchanged.</x:t>
        </x:is>
      </x:c>
      <x:c r="E65" s="4" t="inlineStr">
        <x:is>
          <x:t xml:space="preserve">Legacy category</x:t>
        </x:is>
      </x:c>
    </x:row>
    <x:row r="66">
      <x:c r="A66" s="4" t="inlineStr">
        <x:is>
          <x:t xml:space="preserve">Ammunition</x:t>
        </x:is>
      </x:c>
      <x:c r="B66" s="4">
        <x:f>COUNTIF(Items!$D$6:$D$1005,A66)</x:f>
        <x:v>14</x:v>
      </x:c>
      <x:c r="C66" s="4" t="inlineStr">
        <x:is>
          <x:t xml:space="preserve">Weapon projectiles, rockets and matched weapon-specific power feeds. Launchers and other weapons remain Weapons. Classification does not establish interchangeability, consumption, recovery, charge or combat behavior.</x:t>
        </x:is>
      </x:c>
      <x:c r="D66" s="4" t="inlineStr">
        <x:is>
          <x:t xml:space="preserve">Author-requested ammunition organization; original item roles retained.</x:t>
        </x:is>
      </x:c>
      <x:c r="E66" s="4" t="inlineStr">
        <x:is>
          <x:t xml:space="preserve">Primary category</x:t>
        </x:is>
      </x:c>
    </x:row>
  </x:sheetData>
  <x:pageMargins left="0.7" right="0.7" top="0.75" bottom="0.75" header="0.3" footer="0.3"/>
  <x:tableParts count="1">
    <x:tablePart xmlns:r="http://schemas.openxmlformats.org/officeDocument/2006/relationships" r:id="Rd1a88440084547b3"/>
  </x:tableParts>
</x:worksheet>
</file>

<file path=xl/worksheets/sheet5.xml><?xml version="1.0" encoding="utf-8"?>
<x:worksheet xmlns:x="http://schemas.openxmlformats.org/spreadsheetml/2006/main">
  <x:sheetPr>
    <x:tabColor rgb="FF9D9588"/>
  </x:sheetPr>
  <x:sheetViews>
    <x:sheetView showGridLines="0" workbookViewId="0">
      <x:pane ySplit="5" topLeftCell="A6" activePane="bottomLeft" state="frozen"/>
    </x:sheetView>
  </x:sheetViews>
  <x:sheetFormatPr defaultRowHeight="15"/>
  <x:cols>
    <x:col min="1" max="1" width="28" hidden="0" customWidth="1"/>
    <x:col min="2" max="2" width="125" hidden="0" customWidth="1"/>
  </x:cols>
  <x:sheetData>
    <x:row r="1">
      <x:c r="A1" s="1"/>
      <x:c r="B1" s="1"/>
    </x:row>
    <x:row r="2">
      <x:c r="A2" s="2" t="str">
        <x:v>Using the item database</x:v>
      </x:c>
      <x:c r="B2" s="1"/>
    </x:row>
    <x:row r="3">
      <x:c r="A3" s="1"/>
      <x:c r="B3" s="1"/>
    </x:row>
    <x:row r="4">
      <x:c r="A4" s="1"/>
      <x:c r="B4" s="1"/>
    </x:row>
    <x:row r="5" ht="32" customHeight="1">
      <x:c r="A5" s="8" t="str">
        <x:v>Topic</x:v>
      </x:c>
      <x:c r="B5" s="8" t="str">
        <x:v>Guidance</x:v>
      </x:c>
    </x:row>
    <x:row r="6" ht="38" customHeight="1">
      <x:c r="A6" s="9" t="str">
        <x:v>Purpose</x:v>
      </x:c>
      <x:c r="B6" s="9" t="str">
        <x:v>Initial item database for the designer and future brainstorming; snapshot October 14, 2026.</x:v>
      </x:c>
    </x:row>
    <x:row r="7" ht="38" customHeight="1">
      <x:c r="A7" s="4" t="str">
        <x:v>Authority</x:v>
      </x:c>
      <x:c r="B7" s="4" t="str">
        <x:v>Design register only. Editing this workbook does not change Unity assets or approve canon.</x:v>
      </x:c>
    </x:row>
    <x:row r="8" ht="38" customHeight="1">
      <x:c r="A8" s="9" t="str">
        <x:v>Items</x:v>
      </x:c>
      <x:c r="B8" s="9" t="str">
        <x:f>COUNTA(Items!$A$6:$A$1005)&amp;" catalog entries: "&amp;COUNTIF(Items!$AD$6:$AD$1005,"Existing definition")&amp;" existing definition IDs and "&amp;(COUNTA(Items!$A$6:$A$1005)-COUNTIF(Items!$AD$6:$AD$1005,"Existing definition"))&amp;" design/source concepts."</x:f>
        <x:v>827 catalog entries: 18 existing definition IDs and 809 design/source concepts.</x:v>
      </x:c>
    </x:row>
    <x:row r="9" ht="38" customHeight="1">
      <x:c r="A9" s="4" t="str">
        <x:v>Variants</x:v>
      </x:c>
      <x:c r="B9" s="4" t="str">
        <x:f>COUNTA(Variants!$A$6:$A$1005)&amp;" serialized definitions retained. Dust canister and pop-up camp each have shared/trial variants."</x:f>
        <x:v>20 serialized definitions retained. Dust canister and pop-up camp each have shared/trial variants.</x:v>
      </x:c>
    </x:row>
    <x:row r="10" ht="38" customHeight="1">
      <x:c r="A10" s="9" t="str">
        <x:v>Chosen values</x:v>
      </x:c>
      <x:c r="B10" s="9" t="str">
        <x:v>Items uses the Camp Loop override where available. Variants retains shared-production values.</x:v>
      </x:c>
    </x:row>
    <x:row r="11" ht="38" customHeight="1">
      <x:c r="A11" s="4" t="str">
        <x:v>Scope</x:v>
      </x:c>
      <x:c r="B11" s="4" t="str">
        <x:v>Shared catalog has four entries. Additional definitions are private Camp Loop trials, not proof of production availability.</x:v>
      </x:c>
    </x:row>
    <x:row r="12" ht="38" customHeight="1">
      <x:c r="A12" s="9" t="str">
        <x:v>Numbers</x:v>
      </x:c>
      <x:c r="B12" s="9" t="str">
        <x:v>Mass is the authored game mass value; no physical unit is asserted. Stack and mass are prototype values, not final balance.</x:v>
      </x:c>
    </x:row>
    <x:row r="13" ht="38" customHeight="1">
      <x:c r="A13" s="4" t="str">
        <x:v>Blank fields</x:v>
      </x:c>
      <x:c r="B13" s="4" t="str">
        <x:v>Blank rarity, trade value, damage, protection and durability mean undecided/not authored, never zero.</x:v>
      </x:c>
    </x:row>
    <x:row r="14" ht="38" customHeight="1">
      <x:c r="A14" s="9" t="str">
        <x:v>Effects</x:v>
      </x:c>
      <x:c r="B14" s="9" t="str">
        <x:v>Ownership/presentation does not establish grapple movement, jacket protection or tool combat.</x:v>
      </x:c>
    </x:row>
    <x:row r="15" ht="38" customHeight="1">
      <x:c r="A15" s="4" t="str">
        <x:v>Dust naming</x:v>
      </x:c>
      <x:c r="B15" s="4" t="str">
        <x:v>Airborne Dust/Arc Dust in the charging loop is distinct from the Mineral Dust sorting product.</x:v>
      </x:c>
    </x:row>
    <x:row r="16" ht="38" customHeight="1">
      <x:c r="A16" s="9" t="str">
        <x:v>Algae</x:v>
      </x:c>
      <x:c r="B16" s="9" t="str">
        <x:v>Algae remains the survival backbone. Some fauna is edible but poorly nutritious; this does not make other fauna/parts edible or establish an alternate hydration supply.</x:v>
      </x:c>
    </x:row>
    <x:row r="17" ht="38" customHeight="1">
      <x:c r="A17" s="4" t="str">
        <x:v>World concepts</x:v>
      </x:c>
      <x:c r="B17" s="4" t="str">
        <x:v>Scrap, iron and biological resources are broad canonical concepts. Specific entries await design.</x:v>
      </x:c>
    </x:row>
    <x:row r="18" ht="38" customHeight="1">
      <x:c r="A18" s="9" t="str">
        <x:v>Storage</x:v>
      </x:c>
      <x:c r="B18" s="9" t="str">
        <x:v>Booter carries equipment/supplies, never resources. Physical cargo/cache access and owner policy still apply.</x:v>
      </x:c>
    </x:row>
    <x:row r="19" ht="38" customHeight="1">
      <x:c r="A19" s="4" t="str">
        <x:v>Recipes</x:v>
      </x:c>
      <x:c r="B19" s="4" t="str">
        <x:v>One row per input/output. Charging is runtime behavior; its reference key is workbook-only. No new recipe is proposed.</x:v>
      </x:c>
    </x:row>
    <x:row r="20" ht="38" customHeight="1">
      <x:c r="A20" s="9" t="str">
        <x:v>Sources</x:v>
      </x:c>
      <x:c r="B20" s="9" t="str">
        <x:v>Repository-relative source paths sit beside input rows after a blank spacer. Variants is the raw definition inventory.</x:v>
      </x:c>
    </x:row>
    <x:row r="21" ht="38" customHeight="1">
      <x:c r="A21" s="4" t="str">
        <x:v>Later ideas</x:v>
      </x:c>
      <x:c r="B21" s="4" t="str">
        <x:v>Add proposed rows with unique proposal.* IDs and scope New proposal. Preserve existing runtime IDs.</x:v>
      </x:c>
    </x:row>
    <x:row r="22" ht="38" customHeight="1">
      <x:c r="A22" s="9" t="str">
        <x:v>Updating</x:v>
      </x:c>
      <x:c r="B22" s="9" t="str">
        <x:v>Edit the workbook as the design register; recheck source assets before claiming an implementation change. No automatic Unity synchronization.</x:v>
      </x:c>
    </x:row>
    <x:row r="23" ht="38" customHeight="1">
      <x:c r="A23" s="4" t="str">
        <x:v>World identity</x:v>
      </x:c>
      <x:c r="B23" s="4" t="str">
        <x:v>Documentation only: no changes to world IDs, fixed resident terrain, generated-object identity or saved deltas.</x:v>
      </x:c>
    </x:row>
    <x:row r="24" ht="38" customHeight="1">
      <x:c r="A24" s="9" t="str">
        <x:v>External lore</x:v>
      </x:c>
      <x:c r="B24" s="9" t="str">
        <x:v>Read-only source access restored October 14: github.com/sleepyseamonster/Arc-Dust, master at f6f98515. No external item roster imported.</x:v>
      </x:c>
    </x:row>
    <x:row r="25" ht="38" customHeight="1">
      <x:c r="A25" s="4" t="str">
        <x:v>Source boundary</x:v>
      </x:c>
      <x:c r="B25" s="4" t="str">
        <x:v>Active Assets/_Project and local game design/canon reviewed. Frozen engine/Unreal/historical Unity catalogs are excluded.</x:v>
      </x:c>
    </x:row>
    <x:row r="26" ht="52" customHeight="1">
      <x:c r="A26" s="3" t="str">
        <x:v>Design scope</x:v>
      </x:c>
      <x:c r="B26" s="3" t="str">
        <x:v>User direction includes carried magnets/grounding gear, hybrid fauna, and requested charcoal, copper, tungsten, magnesium, hematite and sulfur materials. Specific species, geology and processing remain proposals.</x:v>
      </x:c>
    </x:row>
    <x:row r="27" ht="52" customHeight="1">
      <x:c r="A27" s="3" t="str">
        <x:v>Proposal IDs</x:v>
      </x:c>
      <x:c r="B27" s="3" t="str">
        <x:v>proposal.* keys exist only in this workbook. They are not Unity IDs and do not reserve new equipment slots.</x:v>
      </x:c>
    </x:row>
    <x:row r="28" ht="52" customHeight="1">
      <x:c r="A28" s="3" t="str">
        <x:v>Resource chains</x:v>
      </x:c>
      <x:c r="B28" s="3" t="str">
        <x:v>Qualitative relationships only: no quantities, chemistry recipes or balance values are approved.</x:v>
      </x:c>
    </x:row>
    <x:row r="29" ht="52" customHeight="1">
      <x:c r="A29" s="3" t="str">
        <x:v>Fauna ecology</x:v>
      </x:c>
      <x:c r="B29" s="3" t="str">
        <x:v>No plant food chain assumed. Metabolism, primary energy and reproduction need a later ecology decision.</x:v>
      </x:c>
    </x:row>
    <x:row r="30" ht="52" customHeight="1">
      <x:c r="A30" s="3" t="str">
        <x:v>Electrical design</x:v>
      </x:c>
      <x:c r="B30" s="3" t="str">
        <x:v>Static discharge and electrical-storm danger need distinct game rules. Proposed gear does not imply real lightning protection.</x:v>
      </x:c>
    </x:row>
    <x:row r="31" ht="58" customHeight="1">
      <x:c r="A31" s="4" t="str">
        <x:v>Mineral naming</x:v>
      </x:c>
      <x:c r="B31" s="4" t="str">
        <x:v>Copper-rich stone, sorted copper ore and unworked copper are provisional stages. Copper and tungsten were interpreted as separate requested resources.</x:v>
      </x:c>
    </x:row>
    <x:row r="32" ht="58" customHeight="1">
      <x:c r="A32" s="4" t="str">
        <x:v>Raw magnesium</x:v>
      </x:c>
      <x:c r="B32" s="4" t="str">
        <x:v>Magnesium-bearing rock is separate from unworked manufactured magnesium metal; native metal deposits are not assumed.</x:v>
      </x:c>
    </x:row>
    <x:row r="33" ht="58" customHeight="1">
      <x:c r="A33" s="4" t="str">
        <x:v>Charcoal source</x:v>
      </x:c>
      <x:c r="B33" s="4" t="str">
        <x:v>Charcoal is a processed carbon material. Biological offcuts or recovered fuel are options; no wood or living plants added to the world.</x:v>
      </x:c>
    </x:row>
    <x:row r="34" ht="58" customHeight="1">
      <x:c r="A34" s="4" t="str">
        <x:v>Regional evidence</x:v>
      </x:c>
      <x:c r="B34" s="4" t="str">
        <x:v>NPS/USGS URLs support reference geology/history only. Game deposits, locations, yields and uses remain unimplemented; hematite locality was not verified.</x:v>
      </x:c>
    </x:row>
    <x:row r="35" ht="58" customHeight="1">
      <x:c r="A35" s="4" t="str">
        <x:v>Generic iron alias</x:v>
      </x:c>
      <x:c r="B35" s="4" t="str">
        <x:v>Unprocessed iron-rich stones maps to the existing Ironstone Ore candidate. Specific hematite/magnetite distinctions remain open rather than creating another duplicate generic item.</x:v>
      </x:c>
    </x:row>
    <x:row r="36" ht="60" customHeight="1">
      <x:c r="A36" s="4" t="str">
        <x:v>No cloth</x:v>
      </x:c>
      <x:c r="B36" s="4" t="str">
        <x:v>No cloth of any kind. Pressed textile/material processing does not establish cloth items or an easy fabric economy.</x:v>
      </x:c>
    </x:row>
    <x:row r="37" ht="60" customHeight="1">
      <x:c r="A37" s="4" t="str">
        <x:v>Husk fibers and paper</x:v>
      </x:c>
      <x:c r="B37" s="4" t="str">
        <x:v>Shell husks supply abundant chitin/icore fibers. Scraped husk fibers supply the main paper. Textile processing/pressing is very difficult.</x:v>
      </x:c>
    </x:row>
    <x:row r="38" ht="60" customHeight="1">
      <x:c r="A38" s="4" t="str">
        <x:v>Hide and fur yield</x:v>
      </x:c>
      <x:c r="B38" s="4" t="str">
        <x:v>Extremely low usable yield from hide/fur processing. No numeric ratio, easy liner production or finished garment recipe approved.</x:v>
      </x:c>
    </x:row>
    <x:row r="39" ht="60" customHeight="1">
      <x:c r="A39" s="4" t="str">
        <x:v>Icore</x:v>
      </x:c>
      <x:c r="B39" s="4" t="str">
        <x:v>Author spelling preserved exactly. Composition and differences from chitin remain undefined.</x:v>
      </x:c>
    </x:row>
    <x:row r="40" ht="60" customHeight="1">
      <x:c r="A40" s="4" t="str">
        <x:v>Prior garment proposals</x:v>
      </x:c>
      <x:c r="B40" s="4" t="str">
        <x:v>The previous felted underfur liner is now a candidate pressed fur material requiring reassessment. Cloak/shade prototype appearance does not establish cloth composition.</x:v>
      </x:c>
    </x:row>
    <x:row r="41" ht="60" customHeight="1">
      <x:c r="A41" s="4" t="str">
        <x:v>Fauna edibility</x:v>
      </x:c>
      <x:c r="B41" s="4" t="str">
        <x:v>Some fauna can be eaten but is not nutritious. No universal meat resource, edible species list or preparation method is established.</x:v>
      </x:c>
    </x:row>
    <x:row r="42" ht="60" customHeight="1">
      <x:c r="A42" s="4" t="str">
        <x:v>Fauna anatomy</x:v>
      </x:c>
      <x:c r="B42" s="4" t="str">
        <x:v>Most fauna lacks flesh in the traditional sense. Earlier mammalian fat/muscle assumptions await source review.</x:v>
      </x:c>
    </x:row>
    <x:row r="43" ht="60" customHeight="1">
      <x:c r="A43" s="4" t="str">
        <x:v>Chemical materials</x:v>
      </x:c>
      <x:c r="B43" s="4" t="str">
        <x:v>Most internal fauna chemistry is toxic to humans; chemicals and liquids can nevertheless be material resources. Specific properties and processing remain undefined.</x:v>
      </x:c>
    </x:row>
    <x:row r="44" ht="60" customHeight="1">
      <x:c r="A44" s="4" t="str">
        <x:v>Liquid rule clarification</x:v>
      </x:c>
      <x:c r="B44" s="4" t="str">
        <x:v>Extracted faunal liquids can be materials. This supersedes earlier blanket doubts about out-of-body liquids while preserving no natural free water.</x:v>
      </x:c>
    </x:row>
    <x:row r="45" ht="60" customHeight="1">
      <x:c r="A45" s="4" t="str">
        <x:v>Burden Beasts reference</x:v>
      </x:c>
      <x:c r="B45" s="4" t="str">
        <x:v>The author corrected the anatomy reference to Burden Beasts. Authenticated source Git access restored October 14 at f6f98515. Related fauna records are proposals; exact Burden Beasts owning record not identified.</x:v>
      </x:c>
    </x:row>
    <x:row r="46" ht="65" customHeight="1">
      <x:c r="A46" s="4" t="str">
        <x:v>Source reconnection</x:v>
      </x:c>
      <x:c r="B46" s="4" t="str">
        <x:v>Read-only Git access verified to sleepyseamonster/Arc-Dust, master at f6f98515c005dc3c73cccd9cbc031691745740c6. No source content was edited.</x:v>
      </x:c>
    </x:row>
    <x:row r="47" ht="65" customHeight="1">
      <x:c r="A47" s="4" t="str">
        <x:v>Source reconciliation</x:v>
      </x:c>
      <x:c r="B47" s="4" t="str">
        <x:v>Native biology, domestic burden beetle and chitin/Phagia material records are proposals. Their woven textile assumptions conflict with newer game no-cloth direction. No source species or recipes adopted.</x:v>
      </x:c>
    </x:row>
    <x:row r="48" ht="65" customHeight="1">
      <x:c r="A48" s="4" t="str">
        <x:v>Chemical concepts</x:v>
      </x:c>
      <x:c r="B48" s="4" t="str">
        <x:v>Twelve descriptive working labels explore biology, human hazard and possible material use. No new species, chemical identities, numerical effects or recipes are accepted.</x:v>
      </x:c>
    </x:row>
    <x:row r="49" ht="65" customHeight="1">
      <x:c r="A49" s="4" t="str">
        <x:v>Draft versus invention</x:v>
      </x:c>
      <x:c r="B49" s="4" t="str">
        <x:v>Reference column identifies source-draft biology and processing seeds. The Source relationship column states which abilities or uses were invented for this brainstorm.</x:v>
      </x:c>
    </x:row>
    <x:row r="50" ht="65" customHeight="1">
      <x:c r="A50" s="4" t="str">
        <x:v>Useful does not mean edible</x:v>
      </x:c>
      <x:c r="B50" s="4" t="str">
        <x:v>Toxicity, nutrition and industrial usefulness remain separate. No candidate replaces algae or becomes a drink/medicine by default.</x:v>
      </x:c>
    </x:row>
    <x:row r="51" ht="65" customHeight="1">
      <x:c r="A51" s="4" t="str">
        <x:v>Scarce workshop skill</x:v>
      </x:c>
      <x:c r="B51" s="4" t="str">
        <x:v>Husk-fiber processing remains very difficult and hide/fur output extremely low. Enzyme/binder concepts do not create cloth or bypass processing costs.</x:v>
      </x:c>
    </x:row>
    <x:row r="52" ht="65" customHeight="1">
      <x:c r="A52" s="4" t="str">
        <x:v>Contained chemicals</x:v>
      </x:c>
      <x:c r="B52" s="4" t="str">
        <x:v>Liquid candidates require deliberate containment. Native liquid landscapes, real synthesis procedures and harvesting/weapon delivery rules are not introduced.</x:v>
      </x:c>
    </x:row>
    <x:row r="53" ht="70" customHeight="1">
      <x:c r="A53" s="4" t="str">
        <x:v>Container ownership</x:v>
      </x:c>
      <x:c r="B53" s="4" t="str">
        <x:v>Proposed filled vessel = one container instance with one contained payload. Transfer preserves vessel identity, content identity/quantity and ownership; no duplicate empty/full item stacks.</x:v>
      </x:c>
    </x:row>
    <x:row r="54" ht="70" customHeight="1">
      <x:c r="A54" s="4" t="str">
        <x:v>Cargo and packaging</x:v>
      </x:c>
      <x:c r="B54" s="4" t="str">
        <x:v>Gathered ichor and raw chemicals remain Legger/local resources. Boxes, cases and nested vessels grant no extra inventory capacity. All material and contents mass must be counted.</x:v>
      </x:c>
    </x:row>
    <x:row r="55" ht="70" customHeight="1">
      <x:c r="A55" s="4" t="str">
        <x:v>Capacity and compatibility</x:v>
      </x:c>
      <x:c r="B55" s="4" t="str">
        <x:v>Sizes are qualitative. Capacity, seal, liner and material compatibility are undecided per vessel/content pair. Glass is not assumed universally acid-proof or electrically insulating.</x:v>
      </x:c>
    </x:row>
    <x:row r="56" ht="70" customHeight="1">
      <x:c r="A56" s="4" t="str">
        <x:v>No cloth packing</x:v>
      </x:c>
      <x:c r="B56" s="4" t="str">
        <x:v>No cork, wood crates or cloth padding assumed. Proposed outer protection uses shell cages, metal partitions and shaped mineral supports.</x:v>
      </x:c>
    </x:row>
    <x:row r="57" ht="70" customHeight="1">
      <x:c r="A57" s="4" t="str">
        <x:v>Workshop and reuse</x:v>
      </x:c>
      <x:c r="B57" s="4" t="str">
        <x:v>Glassworks is a stationary craft/trade source proposal, not an inventory item or Legger platform. Returning empty vessels and workshop reconditioning could form a useful loop; methods/costs remain open.</x:v>
      </x:c>
    </x:row>
    <x:row r="58" ht="70" customHeight="1">
      <x:c r="A58" s="4" t="str">
        <x:v>Container costs</x:v>
      </x:c>
      <x:c r="B58" s="4" t="str">
        <x:v>No random breakage, leakage penalties, item durability chores or mandatory nested packing are introduced. Protective forms describe design options, not implemented mechanics.</x:v>
      </x:c>
    </x:row>
    <x:row r="59" ht="70" customHeight="1">
      <x:c r="A59" s="4" t="str">
        <x:v>World and save boundary</x:v>
      </x:c>
      <x:c r="B59" s="4" t="str">
        <x:v>Documentation only. No terrain, spawn, streaming or persistence changes. Future container ownership needs stable instances and versioned payloads; prototype canister code does not implement these new vessels.</x:v>
      </x:c>
    </x:row>
    <x:row r="60" ht="70" customHeight="1">
      <x:c r="A60" s="4" t="str">
        <x:v>Armor families</x:v>
      </x:c>
      <x:c r="B60" s="4" t="str">
        <x:v>User direction: chainmail shirts, crude-to-elaborate metal armor, chest armor, helmets, leg armor, boots, gloves, backpacks, specialized plates and shields.</x:v>
      </x:c>
    </x:row>
    <x:row r="61" ht="70" customHeight="1">
      <x:c r="A61" s="4" t="str">
        <x:v>Construction variants</x:v>
      </x:c>
      <x:c r="B61" s="4" t="str">
        <x:v>Crude, serviceable and elaborate are descriptive design bands, not rarity or numerical power tiers. Fit, articulation, replaceability and craft detail can differ.</x:v>
      </x:c>
    </x:row>
    <x:row r="62" ht="70" customHeight="1">
      <x:c r="A62" s="4" t="str">
        <x:v>Loadout extension</x:v>
      </x:c>
      <x:c r="B62" s="4" t="str">
        <x:v>The six current trial slots remain dust/algae canister, grapple, digging tool, cloak and jacket. New worn regions, layering and held-shield ownership need their own approved implementation.</x:v>
      </x:c>
    </x:row>
    <x:row r="63" ht="70" customHeight="1">
      <x:c r="A63" s="4" t="str">
        <x:v>Armor materials</x:v>
      </x:c>
      <x:c r="B63" s="4" t="str">
        <x:v>No cloth, cork, plant fiber, common leather or rubber assumed. Scarce hide/fur and difficult pressed husk materials remain possible only under established processing constraints.</x:v>
      </x:c>
    </x:row>
    <x:row r="64" ht="70" customHeight="1">
      <x:c r="A64" s="4" t="str">
        <x:v>Backpack policy</x:v>
      </x:c>
      <x:c r="B64" s="4" t="str">
        <x:v>A backpack concept does not permit Booter to carry raw resources. Supply capacity, spare equipment, harness, cloak/canister clearance and ground-kit placement remain unresolved.</x:v>
      </x:c>
    </x:row>
    <x:row r="65" ht="70" customHeight="1">
      <x:c r="A65" s="4" t="str">
        <x:v>Assembly ownership</x:v>
      </x:c>
      <x:c r="B65" s="4" t="str">
        <x:v>The assembled armor entry is a grouping candidate until set-versus-piece ownership is designed. Do not duplicate plates between a set, a module and separately equipped pieces.</x:v>
      </x:c>
    </x:row>
    <x:row r="66" ht="70" customHeight="1">
      <x:c r="A66" s="4" t="str">
        <x:v>Armor effects</x:v>
      </x:c>
      <x:c r="B66" s="4" t="str">
        <x:v>Damage mitigation, mass, durability, movement, electrical behavior, chemical protection and trade values are undecided. Visual metal or elaborate craft alone grants no implemented effect.</x:v>
      </x:c>
    </x:row>
    <x:row r="67" ht="70" customHeight="1">
      <x:c r="A67" s="4" t="str">
        <x:v>Specialized weapon direction</x:v>
      </x:c>
      <x:c r="B67" s="4" t="str">
        <x:v>Reserve offensive weapons, defensive weapons, traps and trip-ups. Caltrops is the first named candidate. Detailed weapon brainstorming is deferred at the author's request.</x:v>
      </x:c>
    </x:row>
    <x:row r="68" ht="70" customHeight="1">
      <x:c r="A68" s="4" t="str">
        <x:v>Weapon taxonomy</x:v>
      </x:c>
      <x:c r="B68" s="4" t="str">
        <x:v>Weapon lanes describe intended purpose, not new equipment slots or combat systems. Caltrops is provisionally under Trip-ups; future overlap with traps can be settled later. Existing shield equipment is not duplicated.</x:v>
      </x:c>
    </x:row>
    <x:row r="69" ht="65" customHeight="1">
      <x:c r="A69" s="4" t="str">
        <x:v>Ancient materials</x:v>
      </x:c>
      <x:c r="B69" s="4" t="str">
        <x:v>Extremely rare manufactured materials analogous to carbon-fiber composites, nanocarbons, plasteels and similar futuristic substances. Three named family entries; other futuristic types remain undefined.</x:v>
      </x:c>
    </x:row>
    <x:row r="70" ht="65" customHeight="1">
      <x:c r="A70" s="4" t="str">
        <x:v>Scarcity and manufacture</x:v>
      </x:c>
      <x:c r="B70" s="4" t="str">
        <x:v>Rarity is explicit author direction. No drop rate, quantity, price or ordinary production recipe is assigned. Recovery does not grant manufacturing capability.</x:v>
      </x:c>
    </x:row>
    <x:row r="71" ht="65" customHeight="1">
      <x:c r="A71" s="4" t="str">
        <x:v>Material distinctions</x:v>
      </x:c>
      <x:c r="B71" s="4" t="str">
        <x:v>Ordinary graphite/charcoal does not become ancient nanocarbon through an assumed recipe. Plasteel is not an ordinary raw metal. Advanced fibers do not establish a cloth exception.</x:v>
      </x:c>
    </x:row>
    <x:row r="72" ht="70" customHeight="1">
      <x:c r="A72" s="4" t="str">
        <x:v>Clothing without cloth</x:v>
      </x:c>
      <x:c r="B72" s="4" t="str">
        <x:v>Clothing can be made from husk fibers, animal fur, hides and related processed materials. No-cloth does not mean no clothing.</x:v>
      </x:c>
    </x:row>
    <x:row r="73" ht="70" customHeight="1">
      <x:c r="A73" s="4" t="str">
        <x:v>Fashion scarcity</x:v>
      </x:c>
      <x:c r="B73" s="4" t="str">
        <x:v>Elaborate fashion clothing is very rare and expensive because production consumes very large quantities of material/time. Ordinary simple wraps and metal-based wear with minimal fur are the everyday baseline.</x:v>
      </x:c>
    </x:row>
    <x:row r="74" ht="70" customHeight="1">
      <x:c r="A74" s="4" t="str">
        <x:v>Eyewear and hats</x:v>
      </x:c>
      <x:c r="B74" s="4" t="str">
        <x:v>Specialized spectacles, eyeglasses and hats are rare. Exact optical purposes, lens/frame materials, forms, fit and effects remain unresolved.</x:v>
      </x:c>
    </x:row>
    <x:row r="75" ht="70" customHeight="1">
      <x:c r="A75" s="4" t="str">
        <x:v>Fashion input economy</x:v>
      </x:c>
      <x:c r="B75" s="4" t="str">
        <x:v>All inputs used in this expensive fashion economy have high sale-value intent. Seven directly relevant fiber/fur/hide material entries carry that note; membership for other inputs awaits recipes.</x:v>
      </x:c>
    </x:row>
    <x:row r="76" ht="70" customHeight="1">
      <x:c r="A76" s="4" t="str">
        <x:v>Abundance and value</x:v>
      </x:c>
      <x:c r="B76" s="4" t="str">
        <x:v>Abundant raw husk fiber is compatible with costly fashion production: total input demand, processing loss and skilled labor are separate design factors. Numerical ratios/prices remain open.</x:v>
      </x:c>
    </x:row>
    <x:row r="77" ht="70" customHeight="1">
      <x:c r="A77" s="4" t="str">
        <x:v>Utility versus fashion</x:v>
      </x:c>
      <x:c r="B77" s="4" t="str">
        <x:v>Existing starter cloak/jacket, functional armor and containers are not automatically reclassified as luxury fashion. Fashion variants can be defined later.</x:v>
      </x:c>
    </x:row>
    <x:row r="78" ht="70" customHeight="1">
      <x:c r="A78" s="4" t="str">
        <x:v>Gemstone authority</x:v>
      </x:c>
      <x:c r="B78" s="4" t="str">
        <x:v>Gemstones exist. Specific real-mineral candidates, palettes and uses are new game proposals, not accepted lore species or verified Death Valley deposits.</x:v>
      </x:c>
    </x:row>
    <x:row r="79" ht="70" customHeight="1">
      <x:c r="A79" s="4" t="str">
        <x:v>Gem quality and work</x:v>
      </x:c>
      <x:c r="B79" s="4" t="str">
        <x:v>Proposed value factors: size, clarity, color, inclusions, cutting/polishing skill and setting work. Raw mineral abundance and a fine specimen's value need not be identical.</x:v>
      </x:c>
    </x:row>
    <x:row r="80" ht="70" customHeight="1">
      <x:c r="A80" s="4" t="str">
        <x:v>Rough and finished state</x:v>
      </x:c>
      <x:c r="B80" s="4" t="str">
        <x:v>Rough, cut and set forms need a later ownership/craft design. Current entries are families, not duplicate rewards for each processing stage; no gem-cutting recipe or yield implemented.</x:v>
      </x:c>
    </x:row>
    <x:row r="81" ht="70" customHeight="1">
      <x:c r="A81" s="4" t="str">
        <x:v>Fashion use</x:v>
      </x:c>
      <x:c r="B81" s="4" t="str">
        <x:v>Ornaments, clasps and inlays are potential uses. Fashion-qualified inputs follow the high-value economy direction, while exact stone grades, prices and demand remain open.</x:v>
      </x:c>
    </x:row>
    <x:row r="82" ht="70" customHeight="1">
      <x:c r="A82" s="4" t="str">
        <x:v>Ancient deposits</x:v>
      </x:c>
      <x:c r="B82" s="4" t="str">
        <x:v>Game deposits could be exposed ancient mineral-bearing strata. These concepts add no present-day water cycle, plant gem source, terrain generation or special elemental powers.</x:v>
      </x:c>
    </x:row>
    <x:row r="83" ht="70" customHeight="1">
      <x:c r="A83" s="4" t="str">
        <x:v>Everyday clothing baseline</x:v>
      </x:c>
      <x:c r="B83" s="4" t="str">
        <x:v>Ordinary clothing includes simple wraps, metal chainmail and practical metal-based wear with minimal fur. No ordinary-wear price/rarity numbers or cloth supply are introduced.</x:v>
      </x:c>
    </x:row>
    <x:row r="84" ht="70" customHeight="1">
      <x:c r="A84" s="4" t="str">
        <x:v>Fashion distinction</x:v>
      </x:c>
      <x:c r="B84" s="4" t="str">
        <x:v>Elaborate husk-fiber/fur/hide garments retain very rare, expensive fashion status. The same material family can support sparse ordinary use and high-input luxury workmanship.</x:v>
      </x:c>
    </x:row>
    <x:row r="85" ht="70" customHeight="1">
      <x:c r="A85" s="4" t="str">
        <x:v>No duplicate chainmail</x:v>
      </x:c>
      <x:c r="B85" s="4" t="str">
        <x:v>The existing chainmail-shirt family now records everyday use; only simple wraps adds a master entry. Equipment patterns, fit, protection and runtime slots remain unimplemented.</x:v>
      </x:c>
    </x:row>
    <x:row r="86" ht="75" customHeight="1">
      <x:c r="A86" s="4" t="str">
        <x:v>Wing sun shades</x:v>
      </x:c>
      <x:c r="B86" s="4" t="str">
        <x:v>Author direction: delicate insectoid megafauna inner wings are resources for vertical sun shades. The prepared panel is a proposed intermediate; existing popup camp owns the shade item concept.</x:v>
      </x:c>
    </x:row>
    <x:row r="87" ht="75" customHeight="1">
      <x:c r="A87" s="4" t="str">
        <x:v>Cheap shells</x:v>
      </x:c>
      <x:c r="B87" s="4" t="str">
        <x:v>Ordinary raw shells are cheap bulk material. Processing, selected fiber quality and skilled precision work can still produce valuable outputs. Raw-shell price and fashion-fiber value are separate.</x:v>
      </x:c>
    </x:row>
    <x:row r="88" ht="75" customHeight="1">
      <x:c r="A88" s="4" t="str">
        <x:v>Canister source status</x:v>
      </x:c>
      <x:c r="B88" s="4" t="str">
        <x:v>Read WLD-0037/0038/0039/0044 and WLD-0016 at source revision f6f98515. These are proposals, including Phagia/air-reserve systems and seal materials; no automatic game adoption.</x:v>
      </x:c>
    </x:row>
    <x:row r="89" ht="75" customHeight="1">
      <x:c r="A89" s="4" t="str">
        <x:v>Seal distinctions</x:v>
      </x:c>
      <x:c r="B89" s="4" t="str">
        <x:v>Seal rings, hard seats, closure collars, sealant and protective endcaps have different roles. Existing compression seal collar is reused conceptually; it is not duplicated as a new item.</x:v>
      </x:c>
    </x:row>
    <x:row r="90" ht="75" customHeight="1">
      <x:c r="A90" s="4" t="str">
        <x:v>Scarcity and service</x:v>
      </x:c>
      <x:c r="B90" s="4" t="str">
        <x:v>Ancient synthetics remain extremely rare. Routine canister seals do not automatically require ancient material. No maintenance frequency, random failure, lifespan, pressure mechanic or recipe approved.</x:v>
      </x:c>
    </x:row>
    <x:row r="91" ht="75" customHeight="1">
      <x:c r="A91" s="4" t="str">
        <x:v>Body and payload ownership</x:v>
      </x:c>
      <x:c r="B91" s="4" t="str">
        <x:v>Personal survival canister, dust device and toxic-material vessel are distinct roles. Parts do not create extra liquid reserves, shared storage or duplicate owned canisters. All trial systems remain unchanged.</x:v>
      </x:c>
    </x:row>
    <x:row r="92" ht="80" customHeight="1">
      <x:c r="A92" s="4" t="str">
        <x:v>Cultural objects</x:v>
      </x:c>
      <x:c r="B92" s="4" t="str">
        <x:v>Religious, political/civic and ritual objects are working game proposals inspired by source drafts WLD-0018, WLD-0036 and WLD-0042. Named faith and institutional details are not silently adopted as game canon.</x:v>
      </x:c>
    </x:row>
    <x:row r="93" ht="80" customHeight="1">
      <x:c r="A93" s="4" t="str">
        <x:v>Ordinary and ceremonial grades</x:v>
      </x:c>
      <x:c r="B93" s="4" t="str">
        <x:v>Simple shell and stamped-metal forms may serve everyday use. Fine engraving, clear glass, selected inlay and processed husk paper create potential prestige craft variants; no rarity or value numbers assigned.</x:v>
      </x:c>
    </x:row>
    <x:row r="94" ht="80" customHeight="1">
      <x:c r="A94" s="4" t="str">
        <x:v>Symbol and function</x:v>
      </x:c>
      <x:c r="B94" s="4" t="str">
        <x:v>Blessings, relic claims, oath tokens and authority badges do not automatically grant buffs, proof of authenticity or access. Document seal stamps are distinct from liquid-container sealing parts.</x:v>
      </x:c>
    </x:row>
    <x:row r="95" ht="80" customHeight="1">
      <x:c r="A95" s="4" t="str">
        <x:v>Household materials</x:v>
      </x:c>
      <x:c r="B95" s="4" t="str">
        <x:v>No ordinary cloth, timber, plant paper, free water or automatic food-safe shell is introduced. Household shell needs suitable preparation; paper uses difficult husk-fiber processing.</x:v>
      </x:c>
    </x:row>
    <x:row r="96" ht="80" customHeight="1">
      <x:c r="A96" s="4" t="str">
        <x:v>Item-family reuse</x:v>
      </x:c>
      <x:c r="B96" s="4" t="str">
        <x:v>Altar vessels and ceremonial gift cases build on existing container families. A blessing or pilgrimage mark is a potential provenance/variant of a canister rather than an extra survival canister or new mechanical reserve.</x:v>
      </x:c>
    </x:row>
    <x:row r="97" ht="85" customHeight="1">
      <x:c r="A97" s="4" t="str">
        <x:v>Filtering the master</x:v>
      </x:c>
      <x:c r="B97" s="4" t="str">
        <x:v>Filter category/type/stage/origin/use/material/form/status in D and X:AD, material tier in C and crafting role in AI. AH retains known endpoint input-tier information. V supplies extra aliases; AE search text includes tiers/role; AJ:AM show listed crafting coverage. Filter Crafting browser by input or output, then Recipe ID and status/completeness.</x:v>
      </x:c>
    </x:row>
    <x:row r="98" ht="85" customHeight="1">
      <x:c r="A98" s="4" t="str">
        <x:v>Filtering multiple uses</x:v>
      </x:c>
      <x:c r="B98" s="4" t="str">
        <x:v>Item uses has one row per item-use relationship. Filter Use for exact purposes across Primary and Secondary rows. Name and Category link by stable Item ID; Primary use links from Items. Secondary uses are maintained here only. These relationships describe catalog intent.</x:v>
      </x:c>
    </x:row>
    <x:row r="99" ht="85" customHeight="1">
      <x:c r="A99" s="4" t="str">
        <x:v>Search and aliases</x:v>
      </x:c>
      <x:c r="B99" s="4" t="str">
        <x:v>Use Excel Find or Text Filters &gt; Contains on Search terms (AE). AE is calculated from ID, name, category, subtype, classifications and aliases in V. Edit V for extra synonyms; do not overwrite AE formulas. Item uses is authoritative for exact primary/secondary purpose filtering. Update any copied secondary-use keyword in V if that relationship changes.</x:v>
      </x:c>
    </x:row>
    <x:row r="100" ht="85" customHeight="1">
      <x:c r="A100" s="4" t="str">
        <x:v>Vocabulary ownership</x:v>
      </x:c>
      <x:c r="B100" s="4" t="str">
        <x:v>Taxonomy owns contiguous allowed-value groups. This pass extends category, type, primary use and material-family vocabulary and rebuilds all affected dropdown bounds. Resources remains a deprecated legacy label; use the current resource/stock/recovery groups. Original item-design statuses and source proposal boundaries remain intact.</x:v>
      </x:c>
    </x:row>
    <x:row r="101" ht="85" customHeight="1">
      <x:c r="A101" s="4" t="str">
        <x:v>Adding a new item</x:v>
      </x:c>
      <x:c r="B101" s="4" t="str">
        <x:v>Add master records with stable IDs; extend native tables and complete taxonomy/use fields. Current item ID dropdown ends at row 832. AI owns crafting role; AJ:AM and AE are calculated. C is material tier, AH is endpoint input-tier information where known. Add recipe relationships separately and rebuild browser pairs when topology changes. AN Tier sort order is calculated; extend its formula when adding items. Material routes lookup capacity now ends at row 2205. Extend table and formula bounds together for future growth. Crafting browser lookup capacity ends at row 1505. Extend source tables, lookup ranges, audit rows and browser pairs together.</x:v>
      </x:c>
    </x:row>
    <x:row r="102" ht="85" customHeight="1">
      <x:c r="A102" s="4" t="str">
        <x:v>Classification meaning</x:v>
      </x:c>
      <x:c r="B102" s="4" t="str">
        <x:v>Type describes the object; Category is the broad group; Subtype retains detailed earlier labels. Stage/origin describe current state/provenance, not a promised recipe. Alternative material labels are candidates. Withheld assumption flags unverified fat-like tissue and its dependent wax concept.</x:v>
      </x:c>
    </x:row>
    <x:row r="103" ht="85" customHeight="1">
      <x:c r="A103" s="4" t="str">
        <x:v>Suggested filters</x:v>
      </x:c>
      <x:c r="B103" s="4" t="str">
        <x:v>Sealing materials/parts: Item uses &gt; Use = Sealing. Textile inputs: Item uses &gt; Use = Textile processing. Religious objects: Items &gt; Subtype = Religious. Unsettled chemistry: Item type = Chemical material and Physical form = Unresolved. Existing definitions: Design status = Existing definition; consult Supported behavior for actual capability.</x:v>
      </x:c>
    </x:row>
    <x:row r="104" ht="85" customHeight="1">
      <x:c r="A104" s="4" t="str">
        <x:v>Sorting and upkeep</x:v>
      </x:c>
      <x:c r="B104" s="4" t="str">
        <x:v>Sort whole native tables with header arrows so IDs, sources and notes move together. Item uses resolves links by ID after master sorting. Do not sort an isolated column. Classification does not change serialized variants, recipes, carrier policy or Unity gameplay.</x:v>
      </x:c>
    </x:row>
    <x:row r="105" ht="85" customHeight="1">
      <x:c r="A105" s="4" t="str">
        <x:v>Ceramic family</x:v>
      </x:c>
      <x:c r="B105" s="4" t="str">
        <x:v>Author requests many ceramics and ceramic items. Specific feeds, forms, parts, vessels, tools and cultural pieces are new proposals. Reuse existing claystone, alumina, borate, insulating ceramic blanks and glazed reagent-jar entries rather than duplicating them.</x:v>
      </x:c>
    </x:row>
    <x:row r="106" ht="85" customHeight="1">
      <x:c r="A106" s="4" t="str">
        <x:v>Ceramic grades</x:v>
      </x:c>
      <x:c r="B106" s="4" t="str">
        <x:v>Ordinary tableware, specialist chemical-service ware, thermal parts, electrical parts and armor candidates have distinct service requirements. The Ceramic material label does not grant universal insulation, heat resistance, food safety, liquid tightness or protection.</x:v>
      </x:c>
    </x:row>
    <x:row r="107" ht="85" customHeight="1">
      <x:c r="A107" s="4" t="str">
        <x:v>Ceramic processing</x:v>
      </x:c>
      <x:c r="B107" s="4" t="str">
        <x:v>No free-water pottery/slip/glaze recipe is assumed. Feed selection, forming, binder, finishing and firing remain design work. Chemical compatibility and residue checks remain relevant. Crushed ceramic feed is a proposed recycling product, not a universal salvage yield.</x:v>
      </x:c>
    </x:row>
    <x:row r="108" ht="85" customHeight="1">
      <x:c r="A108" s="4" t="str">
        <x:v>Ceramic filters</x:v>
      </x:c>
      <x:c r="B108" s="4" t="str">
        <x:v>Filter Material family for Ceramic, Ceramic feed mixture or Ceramic and metal; Origin family distinguishes extremely rare ancient ceramic candidates. Mineral ceramic feeds may use Mineral. Subtype narrows service families; Item uses finds exact purposes across materials.</x:v>
      </x:c>
    </x:row>
    <x:row r="109" ht="90" customHeight="1">
      <x:c r="A109" s="4" t="str">
        <x:v>Currency source</x:v>
      </x:c>
      <x:c r="B109" s="4" t="str">
        <x:v>WLD-0032 Currency in Arc &amp; Dust, draft/proposal at verified master revision f6f98515c005dc3c73cccd9cbc031691745740c6, names Imperial Commons, everyday Commons and commercial shorthand marks. These are one currency, not three denominations.</x:v>
      </x:c>
    </x:row>
    <x:row r="110" ht="90" customHeight="1">
      <x:c r="A110" s="4" t="str">
        <x:v>Denominations unresolved</x:v>
      </x:c>
      <x:c r="B110" s="4" t="str">
        <x:v>The inspected currency record and economy index do not specify denominations, face values, exchange ratios, token materials or whether the currency is coins, notes or account balances. One currency-family placeholder is registered. Do not derive copper/silver/gold tiers, assign a one-Common coin or populate trade prices without a source or author decision.</x:v>
      </x:c>
    </x:row>
    <x:row r="111" ht="90" customHeight="1">
      <x:c r="A111" s="4" t="str">
        <x:v>Source economy boundary</x:v>
      </x:c>
      <x:c r="B111" s="4" t="str">
        <x:v>The source discusses above-baseline craft, expertise and prestige purchases, non-commodity backing, and survival outside monetary exchange. These remain source proposals; the currency entry does not change the game survival economy, wallet, loot or inventory behavior.</x:v>
      </x:c>
    </x:row>
    <x:row r="112" ht="105" customHeight="1">
      <x:c r="A112" s="4" t="str">
        <x:v>Fire source</x:v>
      </x:c>
      <x:c r="B112" s="4" t="str">
        <x:v>WLD-0083 Atmosphere of the Broken World, draft/proposal at revision f6f98515, describes weaker, slower, dimmer/smokier and more easily extinguished ordinary fires in oxygen-poor air. Cooking and sustained industrial heat need deliberate engineering. https://github.com/sleepyseamonster/Arc-Dust/blob/f6f98515c005dc3c73cccd9cbc031691745740c6/02-Arc-Dust-Worldbuilding/world/geography/atmosphere.md</x:v>
      </x:c>
    </x:row>
    <x:row r="113" ht="105" customHeight="1">
      <x:c r="A113" s="4" t="str">
        <x:v>Fire varies by place</x:v>
      </x:c>
      <x:c r="B113" s="4" t="str">
        <x:v>Source geology describes greater oxygen output deeper in canyons, low oxygen at the open surface, and hydrogen concentration toward upper zones. The record proposes stronger ignition behavior in hydrogen-rich areas. This is source world design, not a quantitative combustion model.</x:v>
      </x:c>
    </x:row>
    <x:row r="114" ht="105" customHeight="1">
      <x:c r="A114" s="4" t="str">
        <x:v>Enclosed fire</x:v>
      </x:c>
      <x:c r="B114" s="4" t="str">
        <x:v>The source describes oxygen consumption and dangerous gas accumulation in enclosed spaces. No firebox, wind screen, ordinary canister or oxygen stone automatically makes an enclosed camp safe. Source flame-test folklore is not adopted as a reliable detector or implemented action.</x:v>
      </x:c>
    </x:row>
    <x:row r="115" ht="105" customHeight="1">
      <x:c r="A115" s="4" t="str">
        <x:v>Oxygen stone boundary</x:v>
      </x:c>
      <x:c r="B115" s="4" t="str">
        <x:v>Author confirms oxygen-releasing stone families. Source geology relies on sustained geothermal heat/pressure and recharge within formations. Output of detached pieces, activation, rate, depletion, recharge, storage and portable usefulness remain undecided.</x:v>
      </x:c>
    </x:row>
    <x:row r="116" ht="105" customHeight="1">
      <x:c r="A116" s="4" t="str">
        <x:v>Glow and flint</x:v>
      </x:c>
      <x:c r="B116" s="4" t="str">
        <x:v>Glowing stone and flint are author-directed resources. No named glow-stone owning record was located in the inspected material/atmosphere neighborhood. Light need not imply flame or heat; charging and lifetime TBD. Flint has candidate sparking/tool uses but no guaranteed ignition.</x:v>
      </x:c>
    </x:row>
    <x:row r="117" ht="105" customHeight="1">
      <x:c r="A117" s="4" t="str">
        <x:v>Cooking and survival</x:v>
      </x:c>
      <x:c r="B117" s="4" t="str">
        <x:v>Heating food is a use category, not automatic nutrition improvement or detoxification. Some fauna remains poor food and much internal chemistry is toxic. Reuse eating bowls for serving; cooking pots/pans are heat-service concepts. Recipes and food effects remain open.</x:v>
      </x:c>
    </x:row>
    <x:row r="118" ht="105" customHeight="1">
      <x:c r="A118" s="4" t="str">
        <x:v>Fuel and furnace distinction</x:v>
      </x:c>
      <x:c r="B118" s="4" t="str">
        <x:v>Chitin source WLD-0063 describes chitin-char, a plant-free carbonized material. Reconcile with generic Charcoal before runtime implementation. Source furnace craft uses specific fuels, draft and furnace designs; no ordinary campfire grants metallurgy capability. https://github.com/sleepyseamonster/Arc-Dust/blob/f6f98515c005dc3c73cccd9cbc031691745740c6/02-Arc-Dust-Worldbuilding/world/materials/chitin.md</x:v>
      </x:c>
    </x:row>
    <x:row r="119" ht="105" customHeight="1">
      <x:c r="A119" s="4" t="str">
        <x:v>Source water-vapor conflict</x:v>
      </x:c>
      <x:c r="B119" s="4" t="str">
        <x:v>WLD-0083 proposes trace humidity from hydrogen combustion, alongside other source food/water language. The game no-free-water rule remains controlling. No collectable water, condensation recipe or water supply is added by this task.</x:v>
      </x:c>
    </x:row>
    <x:row r="120" ht="105" customHeight="1">
      <x:c r="A120" s="4" t="str">
        <x:v>Lubricant starting material</x:v>
      </x:c>
      <x:c r="B120" s="4" t="str">
        <x:v>Reuse existing Joint-lubricating secretion. Source chemical-processing record proposes a scarce metabolic oil fraction used in industrial machinery. Neither establishes that most fauna contains conventional fat, or reinstates withheld fat/wax concepts. https://github.com/sleepyseamonster/Arc-Dust/blob/f6f98515c005dc3c73cccd9cbc031691745740c6/02-Arc-Dust-Worldbuilding/world/materials/chemical-processing-agents.md</x:v>
      </x:c>
    </x:row>
    <x:row r="121" ht="105" customHeight="1">
      <x:c r="A121" s="4" t="str">
        <x:v>Proposed harvest and separation</x:v>
      </x:c>
      <x:c r="B121" s="4" t="str">
        <x:v>Collect species/organ-specific fluids into separately marked compatible vessels. Proposed workshop sorting removes grit and hard-clotting fractions, then selects candidate slippery liquid. Vessel/strainer/settling methods, recovery losses and chemistry must be designed; no water wash or guaranteed purification.</x:v>
      </x:c>
    </x:row>
    <x:row r="122" ht="105" customHeight="1">
      <x:c r="A122" s="4" t="str">
        <x:v>Proposed stabilization</x:v>
      </x:c>
      <x:c r="B122" s="4" t="str">
        <x:v>Selected fractions would need preparation that limits unwanted hard-setting, corrosion, biological change and separation during storage. These are research requirements, not properties already solved by heating. No open-fire boiling, recipe temperatures, doses or proven detoxification are assigned.</x:v>
      </x:c>
    </x:row>
    <x:row r="123" ht="105" customHeight="1">
      <x:c r="A123" s="4" t="str">
        <x:v>Oil, grease and film</x:v>
      </x:c>
      <x:c r="B123" s="4" t="str">
        <x:v>Keep selected liquid for fine oil; investigate a compatible non-curing thickener for grease; investigate a less persistent exposed film for dusty slides. Do not assume shell-binding glue makes grease: adhesion, curing and lubricity are different requirements.</x:v>
      </x:c>
    </x:row>
    <x:row r="124" ht="105" customHeight="1">
      <x:c r="A124" s="4" t="str">
        <x:v>Specialist formulations</x:v>
      </x:c>
      <x:c r="B124" s="4" t="str">
        <x:v>Use-specific candidates: slow-joint grease, dust-shedding film, seal conditioner, graphite carrier grease, insulating grease and fine mechanism oil. Existing conductive gel remains a separate electrical material. One formulation cannot be assumed to serve all seals, temperatures, mechanisms and electrical roles.</x:v>
      </x:c>
    </x:row>
    <x:row r="125" ht="105" customHeight="1">
      <x:c r="A125" s="4" t="str">
        <x:v>Lubricant compatibility and economy</x:v>
      </x:c>
      <x:c r="B125" s="4" t="str">
        <x:v>Candidate batch checks: grit, separation, hard-setting, flow/retention, wear, corrosion and compatibility with the intended seal/part. Exact tests and grades TBD. Consistent specialist batches could be valuable even when raw fluid is cheap; no price or maintenance timer set.</x:v>
      </x:c>
    </x:row>
    <x:row r="126" ht="105" customHeight="1">
      <x:c r="A126" s="4" t="str">
        <x:v>Lubricant handling and residue</x:v>
      </x:c>
      <x:c r="B126" s="4" t="str">
        <x:v>Use existing marked bottles/jars and fitted transfer tools. Segregate chemical-processing and food-service vessels. Filter cake, clot residue and rejected fractions are waste streams requiring design, not automatic valuable new items. Lubricants remain potentially toxic and unsuitable as food.</x:v>
      </x:c>
    </x:row>
    <x:row r="127" ht="105" customHeight="1">
      <x:c r="A127" s="4" t="str">
        <x:v>Wing-sail direction</x:v>
      </x:c>
      <x:c r="B127" s="4" t="str">
        <x:v>Author directs sails made from delicate insectoid wings. Reuse existing raw inner-wing item. Prepared sail panel and prepared shade panel distinguish service requirements; shared preparation versus separate products remains open. Metal/salvaged supporting frames avoid assuming ordinary cloth.</x:v>
      </x:c>
    </x:row>
    <x:row r="128" ht="105" customHeight="1">
      <x:c r="A128" s="4" t="str">
        <x:v>Booter wind traversal</x:v>
      </x:c>
      <x:c r="B128" s="4" t="str">
        <x:v>Author directs a collapsible handheld sail and four-wheel all-terrain dirtboard for Booter to sail across large flat areas. The sail is one item with carried/deployed configurations; board and sail have separate ownership. Buddha in the spoken brief is interpreted as Booter.</x:v>
      </x:c>
    </x:row>
    <x:row r="129" ht="105" customHeight="1">
      <x:c r="A129" s="4" t="str">
        <x:v>Traversal design questions</x:v>
      </x:c>
      <x:c r="B129" s="4" t="str">
        <x:v>Wind direction/strength, sail handling, steering, braking, traction, wheel material, slopes, rough-terrain limits, deployment, hand occupancy, storage, damage and cargo load remain design work. No speed, bindings, brake hardware, equipment slot or runtime vehicle controller is approved by this catalog update.</x:v>
      </x:c>
    </x:row>
    <x:row r="130" ht="105" customHeight="1">
      <x:c r="A130" s="4" t="str">
        <x:v>Wind power and salvage</x:v>
      </x:c>
      <x:c r="B130" s="4" t="str">
        <x:v>Author directs turbines made from fallen/salvaged parts. Rotor design, installation and useful output remain open. Optional generator is a proposed component; wind need not produce Arc Energy or charge existing batteries. Existing drive salvage may support later craft design.</x:v>
      </x:c>
    </x:row>
    <x:row r="131" ht="105" customHeight="1">
      <x:c r="A131" s="4" t="str">
        <x:v>World and partnership scope</x:v>
      </x:c>
      <x:c r="B131" s="4" t="str">
        <x:v>Catalog/document work only; no generated placement, world identity, unload/reload, persistence or terrain change occurs. Future placed machines and deployable gear will need stable ownership and saved state on the fixed, always-loaded terrain. Booter board travel does not change the Legger into a vehicle or give it remote cargo access.</x:v>
      </x:c>
    </x:row>
    <x:row r="132" ht="105" customHeight="1">
      <x:c r="A132" s="4" t="str">
        <x:v>Legger concept families</x:v>
      </x:c>
      <x:c r="B132" s="4" t="str">
        <x:v>24 proposals: cargo slings/cradles/anchors/balance linkage; iron ribs/braces/covers/mount rails; bushings/bearings/foot plates/actuator links; dust shrouds/lubricant cups/seal cartridges/service fasteners; shell/iron/articulated/ceramic guards; rare ancient members, panels and bearing modules.</x:v>
      </x:c>
    </x:row>
    <x:row r="133" ht="105" customHeight="1">
      <x:c r="A133" s="4" t="str">
        <x:v>Legger proposal status</x:v>
      </x:c>
      <x:c r="B133" s="4" t="str">
        <x:v>The author explicitly brainstorms. Specific part list, anatomy, interfaces, geometry, attributes, recipes, quantities, maintenance and installed slots are not accepted runtime designs. Consult the actual Legger model and architecture before implementing fitted replacements.</x:v>
      </x:c>
    </x:row>
    <x:row r="134" ht="105" customHeight="1">
      <x:c r="A134" s="4" t="str">
        <x:v>Iron versus ancient</x:v>
      </x:c>
      <x:c r="B134" s="4" t="str">
        <x:v>Iron repairs could be locally serviceable; ancient plasteel/nanocarbon and other recovered high-tech parts remain extremely rare. Weight, fit, availability, repairability and performance are open tradeoffs rather than a guaranteed upgrade ladder. Ancient salvage does not grant manufacturing capability.</x:v>
      </x:c>
    </x:row>
    <x:row r="135" ht="105" customHeight="1">
      <x:c r="A135" s="4" t="str">
        <x:v>Ballistic armor concept</x:v>
      </x:c>
      <x:c r="B135" s="4" t="str">
        <x:v>Nanotube/plasteel ballistic-repelling or deflecting armor is a working goal. Specific mechanism, layering, projectile interaction and protection remain undefined. Do not infer force fields, invulnerability, a percent deflection chance or that every ancient panel has the same property.</x:v>
      </x:c>
    </x:row>
    <x:row r="136" ht="105" customHeight="1">
      <x:c r="A136" s="4" t="str">
        <x:v>Fit and reuse</x:v>
      </x:c>
      <x:c r="B136" s="4" t="str">
        <x:v>Use existing raw metal, shell, ceramic and lubricant families. Host-specific finished parts differ from raw stock. Components inside an assembled Legger, spare cargo parts and removed salvage must not be counted as duplicate owned items. Filter Subtype for Legger branches or Search terms for Legger/Leger.</x:v>
      </x:c>
    </x:row>
    <x:row r="137" ht="105" customHeight="1">
      <x:c r="A137" s="4" t="str">
        <x:v>Legger world scope</x:v>
      </x:c>
      <x:c r="B137" s="4" t="str">
        <x:v>Catalog work changes no world identity, chunk/terrain loading, persistent state, carrier limit or companion movement. Future installed parts need stable physical ownership, replacement/save behavior and compatibility. The Legger remains the same finite mobile carrier with local access.</x:v>
      </x:c>
    </x:row>
    <x:row r="138" ht="105" customHeight="1">
      <x:c r="A138" s="4" t="str">
        <x:v>Expanded cargo rigging</x:v>
      </x:c>
      <x:c r="B138" s="4" t="str">
        <x:v>Side pannier frames, sample-vial racks, removable ore bins, long-load clamps, release latches and a proposed dirtboard bracket add cargo-shape-specific ideas. Containers, stored gear and their contents retain separate ownership and finite physical limits.</x:v>
      </x:c>
    </x:row>
    <x:row r="139" ht="105" customHeight="1">
      <x:c r="A139" s="4" t="str">
        <x:v>Expanded chassis and movement</x:v>
      </x:c>
      <x:c r="B139" s="4" t="str">
        <x:v>Chassis hinge plates, access hatches, fracture patches, sacrificial mounts, reinforcement rings and shim sets address fitting and repair. Joint pins, thrust washers, gear clusters, linkage ends, tensioners and grit scrapers are host-specific mechanical proposals; inspect actual Legger anatomy before implementation.</x:v>
      </x:c>
    </x:row>
    <x:row r="140" ht="105" customHeight="1">
      <x:c r="A140" s="4" t="str">
        <x:v>Expanded service equipment</x:v>
      </x:c>
      <x:c r="B140" s="4" t="str">
        <x:v>Grease applicator, service-port adapter, cleaning pick, matched bearing-removal tool, alignment gauge and fitted spares case extend the lubricant/repair craft chain. These are tools and containers, distinct from installed service parts or magically complete repair kits.</x:v>
      </x:c>
    </x:row>
    <x:row r="141" ht="105" customHeight="1">
      <x:c r="A141" s="4" t="str">
        <x:v>Expanded armor</x:v>
      </x:c>
      <x:c r="B141" s="4" t="str">
        <x:v>Edge guards, instrument cages, seam strips, sacrificial caps, pressed-husk fragment liners and guard hinges address coverage and access. Specific wear, fragment retention and impact performance remain unverified; rare processed fiber inputs remain difficult to produce.</x:v>
      </x:c>
    </x:row>
    <x:row r="142" ht="105" customHeight="1">
      <x:c r="A142" s="4" t="str">
        <x:v>Expanded ancient replacements</x:v>
      </x:c>
      <x:c r="B142" s="4" t="str">
        <x:v>Plasteel collars, nanocarbon tension members, unknown friction inserts, precision ceramic races, impact-lattice backing and module-specific adapters remain extremely rare recovered candidates. No universal interface, active muscle, self-repair or guaranteed ballistic effect is implied.</x:v>
      </x:c>
    </x:row>
    <x:row r="143" ht="105" customHeight="1">
      <x:c r="A143" s="4" t="str">
        <x:v>Filter the expanded Legger set</x:v>
      </x:c>
      <x:c r="B143" s="4" t="str">
        <x:v>60 Legger concepts now share six exact Subtype values: Legger cargo rigging, Legger chassis, Legger mechanical parts, Legger service parts, Legger armor and Legger ancient replacement. Use Item type to separate tools, containers, carriers, installed components and armor, and Item uses for repair, inspection, lubrication, mounting and protection.</x:v>
      </x:c>
    </x:row>
    <x:row r="144" ht="90" customHeight="1">
      <x:c r="A144" s="4" t="str">
        <x:v>Main categories and families</x:v>
      </x:c>
      <x:c r="B144" s="4" t="str">
        <x:v>Categories &gt; Grouping = Primary category gives seventeen mutually exclusive active groups. Atmospheric resources now owns airborne dust and contained gas feed. Resources remains a legacy empty category. Overlapping families are not summed into primary totals.</x:v>
      </x:c>
    </x:row>
    <x:row r="145" ht="90" customHeight="1">
      <x:c r="A145" s="4" t="str">
        <x:v>Details versus master</x:v>
      </x:c>
      <x:c r="B145" s="4" t="str">
        <x:v>Items owns item identities, broad classification, current description and status. Specialist detail sheets preserve their original bounded concept sets rather than repeating every new master entry. Use stable Item ID to connect them. Variants and Recipes describe authored implementation data.</x:v>
      </x:c>
    </x:row>
    <x:row r="146" ht="90" customHeight="1">
      <x:c r="A146" s="4" t="str">
        <x:v>Unknowns remain explicit</x:v>
      </x:c>
      <x:c r="B146" s="4" t="str">
        <x:v>Unresolved classifications are intentional design gaps. Blank mass, price, protection, damage and durability are unspecified values, not zero or missing classification. Withheld fat/wax assumptions and source-proposal currency remain distinct from author direction and existing definitions.</x:v>
      </x:c>
    </x:row>
    <x:row r="147" ht="90" customHeight="1">
      <x:c r="A147" s="4" t="str">
        <x:v>Adding use relationships</x:v>
      </x:c>
      <x:c r="B147" s="4" t="str">
        <x:v>One Primary relationship per item must link back to its master Primary use. Each additional purpose gets one Secondary row; avoid duplicate Item ID + Use pairs. Names/categories are linked by ID. Use native header filters and whole-table sorts to keep rows and source context together.</x:v>
      </x:c>
    </x:row>
    <x:row r="148" ht="105" customHeight="1">
      <x:c r="A148" s="4" t="str">
        <x:v>Processed Phagia direction</x:v>
      </x:c>
      <x:c r="B148" s="4" t="str">
        <x:v>Author confirms that eating/drinking Phagia can be processed into higher-performing consumables, including drinkable portions, algae bars, dried bars and prepared meals. Phagia follows the lore spelling; phagea/algae aliases support search. Intended performance is qualitative, with no assigned nutrition, hydration, healing or stamina numbers.</x:v>
      </x:c>
    </x:row>
    <x:row r="149" ht="105" customHeight="1">
      <x:c r="A149" s="4" t="str">
        <x:v>Delicacy direction</x:v>
      </x:c>
      <x:c r="B149" s="4" t="str">
        <x:v>Selected edible fauna resources may combine with Phagia to make high-quality delicacies. Fauna remains generally poor nutrition; the algae retains its nutritional foundation. Specific flakes, paste and composed dishes are proposals, not a conventional meat or fat supply.</x:v>
      </x:c>
    </x:row>
    <x:row r="150" ht="105" customHeight="1">
      <x:c r="A150" s="4" t="str">
        <x:v>Food qualification</x:v>
      </x:c>
      <x:c r="B150" s="4" t="str">
        <x:v>Only selected species-specific edible fractions are food candidates. Lubricants, venom, etchants, binders and general ichor are not meal ingredients by default. Heating, drying or refining does not automatically establish edibility or remove toxicity.</x:v>
      </x:c>
    </x:row>
    <x:row r="151" ht="105" customHeight="1">
      <x:c r="A151" s="4" t="str">
        <x:v>Food and vessel ownership</x:v>
      </x:c>
      <x:c r="B151" s="4" t="str">
        <x:v>Prepared servings are new food products rather than a duplicate baseline algae stack. A reusable flask/case/meal carrier and its food payload are separate conceptual records. Future recipes must account for algae inputs, prepared portions, containers and reuse without duplicating material.</x:v>
      </x:c>
    </x:row>
    <x:row r="152" ht="105" customHeight="1">
      <x:c r="A152" s="4" t="str">
        <x:v>Preparation and preservation</x:v>
      </x:c>
      <x:c r="B152" s="4" t="str">
        <x:v>Pressing, drying, concentrating, cooking and portioning are candidate processing lanes; no temperatures, ratios, yields, expiry timers or preservation guarantees are approved. Source live-culture/respiratory properties are not automatically retained by prepared meals. Cooking follows the setting fire/air rules; no natural-water or cloth recipe assumed.</x:v>
      </x:c>
    </x:row>
    <x:row r="153" ht="105" customHeight="1">
      <x:c r="A153" s="4" t="str">
        <x:v>Food filters</x:v>
      </x:c>
      <x:c r="B153" s="4" t="str">
        <x:v>Consumables now includes separately typed Livestock feed. Food consumable and Drink consumable remain human preparations; Food material and Livestock feed are distinct. Industrial Phagia fractions are not food stock, and animal feedstone is not human nutrition.</x:v>
      </x:c>
    </x:row>
    <x:row r="154" ht="105" customHeight="1">
      <x:c r="A154" s="4" t="str">
        <x:v>Concrete raw-material proposals</x:v>
      </x:c>
      <x:c r="B154" s="4" t="str">
        <x:v>Forty recognizable input forms extend stone, fauna hard parts and industrial salvage. Proposed basalt/slate/pumice/feldspar do not assert accepted deposits. Species-specific spines, claws, brood casings, antenna sheaths and wing ribs remain anatomy proposals.</x:v>
      </x:c>
    </x:row>
    <x:row r="155" ht="105" customHeight="1">
      <x:c r="A155" s="4" t="str">
        <x:v>Raw versus processed salvage</x:v>
      </x:c>
      <x:c r="B155" s="4" t="str">
        <x:v>Unsorted ceramic shards precede crushed grog; broken glass precedes qualified remelt feed. Cable, mesh and spring strips are recovered material inputs. Clinker and spent refractory require identification. Raw form does not guarantee reuse or retained performance.</x:v>
      </x:c>
    </x:row>
    <x:row r="156" ht="105" customHeight="1">
      <x:c r="A156" s="4" t="str">
        <x:v>Raw-material reuse and filters</x:v>
      </x:c>
      <x:c r="B156" s="4" t="str">
        <x:v>Existing iron-rich stone, copper ore, sulfur, graphite, salts, claystone, husk fibers, shell and wire bundle stay their original records. Filter Processing stage = Raw or Recovered material, then Origin family and Material family. Candidate downstream uses are catalog intentions, not new recipes.</x:v>
      </x:c>
    </x:row>
    <x:row r="157" ht="115" customHeight="1">
      <x:c r="A157" s="4" t="str">
        <x:v>Crafting tier framework</x:v>
      </x:c>
      <x:c r="B157" s="4" t="str">
        <x:v>Author defines T0 raw materials; T1 first crafted/refined material; T2 uses T1 material; T3 uses T2; T4 uses T3. A finished product can use raw or lower-tier materials and stop there. This is a design framework, not a forced four-stage upgrade ladder.</x:v>
      </x:c>
    </x:row>
    <x:row r="158" ht="115" customHeight="1">
      <x:c r="A158" s="4" t="str">
        <x:v>Tier versus rarity and quality</x:v>
      </x:c>
      <x:c r="B158" s="4" t="str">
        <x:v>Tier follows a selected transformation graph, independently of price, labor, rarity or ancient origin. Ancient and intact recovered components now use Not applicable where their manufacturing graph is unknown; raw salvage feedstocks can still be T0. This does not approve modern reproduction.</x:v>
      </x:c>
    </x:row>
    <x:row r="159" ht="115" customHeight="1">
      <x:c r="A159" s="4" t="str">
        <x:v>Tier fields</x:v>
      </x:c>
      <x:c r="B159" s="4" t="str">
        <x:v>Tier C is T0-T4, Unassigned or Not applicable; AG owns its basis. Not applicable includes finished endpoints, currency and excluded recovery/manufacturing cases. AI separates crafting roles; AH retains known finished-input information. Tier review records all 95 decisions.</x:v>
      </x:c>
    </x:row>
    <x:row r="160" ht="115" customHeight="1">
      <x:c r="A160" s="4" t="str">
        <x:v>Recipe scope and tier gates</x:v>
      </x:c>
      <x:c r="B160" s="4" t="str">
        <x:v>Material routes now owns normalized recipe-item links with explicit input/output/prerequisite roles. Crafting recipes separates route status and completeness. Old partial tier edges were migrated; quantities and trial references preserve their source authority.</x:v>
      </x:c>
    </x:row>
    <x:row r="161" ht="115" customHeight="1">
      <x:c r="A161" s="4" t="str">
        <x:v>Prerequisites and mixed inputs</x:v>
      </x:c>
      <x:c r="B161" s="4" t="str">
        <x:v>Tools, heat/fuel energy and facilities are process prerequisites rather than another material tier. Consumed material additives still count as ingredients. A T1 material route needs T0 material inputs; if a T1 purified feed or binder is required, the output moves to T2. Candidate input lists are incomplete until recipes are designed.</x:v>
      </x:c>
    </x:row>
    <x:row r="162" ht="115" customHeight="1">
      <x:c r="A162" s="4" t="str">
        <x:v>T0 input interpretation</x:v>
      </x:c>
      <x:c r="B162" s="4" t="str">
        <x:v>Raw means the entry feed for this game craft graph, including qualified scrap or unworked manufactured metal; it does not mean geologically native pure metal. Gem entries are provisionally read as raw feed, with their cut state still unresolved. Gathered dried membrane has a provisional raw-feed reading. Withheld fat/wax assumptions remain unassigned.</x:v>
      </x:c>
    </x:row>
    <x:row r="163" ht="115" customHeight="1">
      <x:c r="A163" s="4" t="str">
        <x:v>Finished products can stop early</x:v>
      </x:c>
      <x:c r="B163" s="4" t="str">
        <x:v>Examples to explore: selected raw spine to a simple piercing tool; T1 shell sheet to a fastener or cover; T2 paper to a prayer leaf; T2 laminate to fitted armor. Additional T3/T4 engineering is reserved for branches that need it. These examples are design directions, not newly implemented recipes. Empty Arc Battery retains its existing T0 Ironstone trial input.</x:v>
      </x:c>
    </x:row>
    <x:row r="164" ht="115" customHeight="1">
      <x:c r="A164" s="4" t="str">
        <x:v>Higher material directions</x:v>
      </x:c>
      <x:c r="B164" s="4" t="str">
        <x:v>Possible later work: T1 shell lamina plus T1 compatible adhesive to T2 laminate; T2 laminate to T3 bonded reinforcement; T3 reinforcement to T4 purpose-built multi-layer material. Or T1 glass blank to T2 selected viewing stock, then specialist T3/T4 optical assemblies if genuinely needed. No ancient nanocarbon manufacture is inferred.</x:v>
      </x:c>
    </x:row>
    <x:row r="165" ht="115" customHeight="1">
      <x:c r="A165" s="4" t="str">
        <x:v>Regional evidence boundary</x:v>
      </x:c>
      <x:c r="B165" s="4" t="str">
        <x:v>Regional demand separates source-supported context from new fashion/trade affinities. The inspected peoples/material/economy records are draft/proposal. Iron Mystics and Resonance Callers have sourced sovereign distinctions; other peoples are not automatically nations. A gemstone-focused nation remains an unassigned idea.</x:v>
      </x:c>
    </x:row>
    <x:row r="166" ht="115" customHeight="1">
      <x:c r="A166" s="4" t="str">
        <x:v>Fashion and source conflicts</x:v>
      </x:c>
      <x:c r="B166" s="4" t="str">
        <x:v>Source frontier style is practical/repaired/adapted and can become fashionable in cities. Inner-Empire craft/provenance and canister display support premium-finish proposals. No ordinary cloth or Phagia woven-fiber supply is imported; game clothing remains difficult husk/fur/hide material and simple metal-based wear.</x:v>
      </x:c>
    </x:row>
    <x:row r="167" ht="115" customHeight="1">
      <x:c r="A167" s="4" t="str">
        <x:v>Regional preference is not currency</x:v>
      </x:c>
      <x:c r="B167" s="4" t="str">
        <x:v>No demand numbers, price premiums, exclusive ethnic material ownership, compulsory costumes or currency denominations are assigned. Regional tastes and source provenance remain distinct from material tier and from the unresolved Commons denomination scheme.</x:v>
      </x:c>
    </x:row>
    <x:row r="168">
      <x:c r="A168" s="4" t="str">
        <x:v>Machine-derived communications</x:v>
      </x:c>
      <x:c r="B168" s="4" t="str">
        <x:v>Author direction: crude two-way radios have been reverse engineered from machine technology. They are finished equipment, not a newly assigned material tier. Power, transmission range, construction, rarity, channels and signal behavior remain undefined. No ingredient recipe or runtime radio system is established.</x:v>
      </x:c>
    </x:row>
    <x:row r="169" ht="115" customHeight="1">
      <x:c r="A169" s="4" t="str">
        <x:v>Ancient weapons / reverse engineering</x:v>
      </x:c>
      <x:c r="B169" s="4" t="str">
        <x:v>Author direction: laser swords, laser blasters, rockets and rocket launchers are ancient machine technology. Some technology has been reverse engineered into a crude Iron Age amalgamation of robotics, rocket science and advanced engineering. Specific reproduced weapon families, mechanisms, supplies, compatibility, rarity, recipes and stats remain open. Ancient origin is not automatically T4; the exact ancient materials used are undefined.</x:v>
      </x:c>
    </x:row>
    <x:row r="170" ht="115" customHeight="1">
      <x:c r="A170" s="4" t="str">
        <x:v>Field-control equipment and arc weapons</x:v>
      </x:c>
      <x:c r="B170" s="4" t="str">
        <x:v>Author direction: magnetic disruptors, inhibitors and enhancers; static-electricity field enhancers and disruptors; arc ray guns / lightning blasters. Magnetic and static control are distinct families. Inhibitor/disruptor differences remain open. Arc guns are separate from laser blasters. No origin, range, field strength, energy supply, immunity, machine-disabling effect or power-amplifying relation to living peoples is established.</x:v>
      </x:c>
    </x:row>
    <x:row r="171" ht="115" customHeight="1">
      <x:c r="A171" s="4" t="str">
        <x:v>Electrical insulating material and wear</x:v>
      </x:c>
      <x:c r="B171" s="4" t="str">
        <x:v>Author direction: insulating materials and suits, gloves and boots for handling high-voltage electricity. Prepared insulation stock is a composition-open material family. Existing insulating ceramic blanks, secretion, beads/spacers/feedthroughs and grease remain specific proposals, not newly accepted formulations. Garments follow no-cloth material rules. Grounding gear is a separate family; manufacturing tiers, electrical service limits and compatibility remain undefined.</x:v>
      </x:c>
    </x:row>
    <x:row r="172" ht="115" customHeight="1">
      <x:c r="A172" s="4" t="str">
        <x:v>Forging and workshop tools</x:v>
      </x:c>
      <x:c r="B172" s="4" t="str">
        <x:v>Author direction: forging tools, including hammers and anvils. Supporting proposals: smithing tongs, forging sledge, hot-cut chisel, forging punch, forming drift, swage block, metalworking file and forge hearth. Existing ceramic crucible/kiln lining and cooking tongs are retained; smithing tongs are a distinct service proposal. Toolmaking tiers, handles, heat supply, workholding geometry and workshop placement remain open. No ordinary combustion or free-water quenching is implied; the Legger is not a crafting platform.</x:v>
      </x:c>
    </x:row>
    <x:row r="173" ht="115" customHeight="1">
      <x:c r="A173" s="4" t="str">
        <x:v>Steelmaking capability</x:v>
      </x:c>
      <x:c r="B173" s="4" t="str">
        <x:v>Author direction: contemporary steelmaking is fairly advanced. Steel stock is a recognized manufactured material family. The Iron Age framing does not limit all metalworking to crude iron. Specific steel grades, compositions, production access, heat treatment, properties and recipes remain open. No numeric crafting tier follows merely from advanced engineering, and no ancient composite reproduction is inferred.</x:v>
      </x:c>
    </x:row>
    <x:row r="174" ht="115" customHeight="1">
      <x:c r="A174" s="4" t="str">
        <x:v>Inner-city transport</x:v>
      </x:c>
      <x:c r="B174" s="4" t="str">
        <x:v>Author direction: the inner cities have carriages and cars, and most of this transport machinery is bipedal. Carriage and car are two item families in that context, not proof of wheels, draft animals or combustion engines. Their exact relation to bipedal designs, power supplies, capacity, ownership and manufacturing remain open. No separate generic bipedal-vehicle entry is added that would duplicate these families. This does not redefine the Legger or establish player-driveable vehicles.</x:v>
      </x:c>
    </x:row>
    <x:row r="175" ht="115" customHeight="1">
      <x:c r="A175" s="4" t="str">
        <x:v>De-rusting material families</x:v>
      </x:c>
      <x:c r="B175" s="4" t="str">
        <x:v>Author direction: advanced de-rusting materials exist. Added rust-removal compound; rust-conversion treatment and corrosion-inhibiting finish are supporting proposals. Existing graded abrasive grit remains the mechanical-cleaning candidate rather than a duplicate item. Composition, carrier, compatibility, inputs, material tiers and performance remain open. Mineral/faunal inputs are possible directions only.</x:v>
      </x:c>
    </x:row>
    <x:row r="176" ht="115" customHeight="1">
      <x:c r="A176" s="4" t="str">
        <x:v>Corrosion reference versus setting</x:v>
      </x:c>
      <x:c r="B176" s="4" t="str">
        <x:v>Real-world reference: rust is iron/steel corrosion involving oxygen and moisture; oxidation is a broader chemical concept. Removal cleans away corrosion products; conversion changes residual products into another layer; protection slows further corrosion. These functions are not interchangeable and do not replace metal already lost. The game has no free environmental water: actual corrosion conditions, biological/industrial exposure and any inherited old damage remain design questions. No ordinary humidity, water baths, plant reagents or Earth treatment recipes are imported. Sources appear beside the relevant material entries.</x:v>
      </x:c>
    </x:row>
    <x:row r="177" ht="115" customHeight="1">
      <x:c r="A177" s="4" t="str">
        <x:v>Crafting navigation</x:v>
      </x:c>
      <x:c r="B177" s="4" t="str">
        <x:v>Use Crafting browser for both directions: filter Input name/ID to see possible outputs; filter Output name/ID to see listed ingredients and prerequisites; then filter Recipe ID to inspect one route. Keep Status and Completeness visible. Counts include proposals/outlines/withheld entries and do not mean a craft is available. Tier/type/category remain separate filters.</x:v>
      </x:c>
    </x:row>
    <x:row r="178" ht="115" customHeight="1">
      <x:c r="A178" s="4" t="str">
        <x:v>One item, one identity</x:v>
      </x:c>
      <x:c r="B178" s="4" t="str">
        <x:v>Items owns stable IDs, names, item type/category, crafting role, material tier and item design status. Item uses owns primary/secondary use links. Search terms include tiers and crafting role. Do not create separate item rows just to put one material in multiple use categories.</x:v>
      </x:c>
    </x:row>
    <x:row r="179" ht="115" customHeight="1">
      <x:c r="A179" s="4" t="str">
        <x:v>One recipe, multiple relationships</x:v>
      </x:c>
      <x:c r="B179" s="4" t="str">
        <x:v>Crafting recipes owns one route per Recipe ID: process, status, completeness, prerequisites and source. Material routes is now the normalized owner of input/output/tool links, retaining its historic tab name. Its old input-output pairs have been migrated with their material.route IDs preserved.</x:v>
      </x:c>
    </x:row>
    <x:row r="180" ht="115" customHeight="1">
      <x:c r="A180" s="4" t="str">
        <x:v>Ingredient roles and tools</x:v>
      </x:c>
      <x:c r="B180" s="4" t="str">
        <x:v>Ingredient candidate means a proposed contribution, not a proven consumption rule or complete ingredient list. Consumed input, Contained input and Transform input preserve existing source distinctions. Tool candidates are reusable prerequisites and do not raise material tier or count as consumed stock. Facilities/catalysts have reserved separate roles.</x:v>
      </x:c>
    </x:row>
    <x:row r="181" ht="115" customHeight="1">
      <x:c r="A181" s="4" t="str">
        <x:v>Outputs and alternative routes</x:v>
      </x:c>
      <x:c r="B181" s="4" t="str">
        <x:v>A route may have several output links, preserving sorter co-products. Alternative complete routes require different Recipe IDs. A concept outline is only a partial contribution; two outlines sharing an output are not proof of two complete alternative recipes.</x:v>
      </x:c>
    </x:row>
    <x:row r="182" ht="115" customHeight="1">
      <x:c r="A182" s="4" t="str">
        <x:v>Quantities and units</x:v>
      </x:c>
      <x:c r="B182" s="4" t="str">
        <x:v>Unknown quantities are blank. Existing quantities link back to Recipes, which remains the source record. Contained dust uses its source game-unit context. Browser quantities repeat for each input/output pairing: do not sum paired rows across co-products to infer a bill of materials.</x:v>
      </x:c>
    </x:row>
    <x:row r="183" ht="115" customHeight="1">
      <x:c r="A183" s="4" t="str">
        <x:v>Tier and finished-item role</x:v>
      </x:c>
      <x:c r="B183" s="4" t="str">
        <x:v>Numeric tiers describe selected material/component preparation routes. Finished equipment, currency and excluded recovered/ancient manufacturing graphs use Not applicable. Unsupported fat/wax premises stay Unassigned. Recipe-specific ingredient tiers remain in the browser/register.</x:v>
      </x:c>
    </x:row>
    <x:row r="184" ht="115" customHeight="1">
      <x:c r="A184" s="4" t="str">
        <x:v>Tier gate and endpoint rules</x:v>
      </x:c>
      <x:c r="B184" s="4" t="str">
        <x:v>Proposed convention: a material refinement advances one tier above its highest required material input; lower-tier additives may still be ingredients. Gathering/preparation of entry feed can remain T0. A finished product can stop at any input tier. A partial list does not prove the final highest required tier. Advanced steelmaking, rarity and ancient origin do not assign T3/T4.</x:v>
      </x:c>
    </x:row>
    <x:row r="185" ht="115" customHeight="1">
      <x:c r="A185" s="4" t="str">
        <x:v>Outline conflicts are visible</x:v>
      </x:c>
      <x:c r="B185" s="4" t="str">
        <x:v>Resource chains remains qualitative source context. Nonduplicate outlines were normalized, including old same-tier and skipped-tier proposals flagged Needs tier review. The fat/wax anatomy route remains Withheld. These are not activated recipes.</x:v>
      </x:c>
    </x:row>
    <x:row r="186" ht="115" customHeight="1">
      <x:c r="A186" s="4" t="str">
        <x:v>Existing source authority</x:v>
      </x:c>
      <x:c r="B186" s="4" t="str">
        <x:v>Recipes remains unchanged: two authored trial recipe IDs and one refinery process reference. The former concentrate-only design edge now points to the existing multi-output dry-sort recipe instead of becoming a duplicate recipe. Numeric tier assignments are design metadata, not a claim that trial code enforces them.</x:v>
      </x:c>
    </x:row>
    <x:row r="187" ht="115" customHeight="1">
      <x:c r="A187" s="4" t="str">
        <x:v>Finished-item examples</x:v>
      </x:c>
      <x:c r="B187" s="4" t="str">
        <x:v>Four partial routes demonstrate endpoints: husk paper to prayer leaf; shell laminate to chest armor; prepared ceramic feed to bowl; steel stock to forging-hammer working part with reusable anvil candidate. They establish neither complete formulas nor approved recipes. No new item rows or material tiers were invented.</x:v>
      </x:c>
    </x:row>
    <x:row r="188" ht="115" customHeight="1">
      <x:c r="A188" s="4" t="str">
        <x:v>How to add a recipe</x:v>
      </x:c>
      <x:c r="B188" s="4" t="str">
        <x:v>Add a unique Recipe ID in Crafting recipes; add each ingredient/output/tool as its own Material routes row with that Recipe ID and a unique Link ID. Select roles, provenance and completeness, then assign quantities only when known. Alternatives use separate recipe IDs. Recheck tier gaps and ingredient cycles before promotion.</x:v>
      </x:c>
    </x:row>
    <x:row r="189" ht="115" customHeight="1">
      <x:c r="A189" s="4" t="str">
        <x:v>Browser upkeep</x:v>
      </x:c>
      <x:c r="B189" s="4" t="str">
        <x:v>Browser names, tiers, quantities and statuses use stable Link ID lookups and follow edits/sorts of existing links. Its input/output pair roster is generated from current links. Adding/deleting recipes or changing link roles requires rebuilding/appending the browser pairs; it is not an automatic recursive bill-of-materials engine. No runtime export is created.</x:v>
      </x:c>
    </x:row>
    <x:row r="190" ht="115" customHeight="1">
      <x:c r="A190" s="4" t="str">
        <x:v>Capacity and sorting</x:v>
      </x:c>
      <x:c r="B190" s="4" t="str">
        <x:v>Native filters and five frozen header rows remain on every table. Bounded item/relationship formulas support rows through 1005. Extend formula and dropdown bounds when that capacity changes. Sort whole tables, not individual columns. Update browser pairing when link topology changes.</x:v>
      </x:c>
    </x:row>
    <x:row r="191" ht="115" customHeight="1">
      <x:c r="A191" s="4" t="str">
        <x:v>Tier 3 and Tier 4 branch proposals</x:v>
      </x:c>
      <x:c r="B191" s="4" t="str">
        <x:v>T3/T4 now contain selected new material and component proposals. Inspect Material branches and the recipe register for cross-branch inputs and partial status. Tier does not imply rarity, universal material performance or ancient-tech reproduction.</x:v>
      </x:c>
    </x:row>
    <x:row r="192" ht="115" customHeight="1">
      <x:c r="A192" s="4" t="str">
        <x:v>Audit: catalog item count</x:v>
      </x:c>
      <x:c r="B192" s="4" t="n">
        <x:f>COUNTA(Items!$A$6:$A$1005)</x:f>
        <x:v>827</x:v>
      </x:c>
    </x:row>
    <x:row r="193" ht="115" customHeight="1">
      <x:c r="A193" s="4" t="str">
        <x:v>Audit: recipe count</x:v>
      </x:c>
      <x:c r="B193" s="4" t="n">
        <x:f>COUNTA('Crafting recipes'!$A$6:$A$1005)</x:f>
        <x:v>655</x:v>
      </x:c>
    </x:row>
    <x:row r="194" ht="115" customHeight="1">
      <x:c r="A194" s="4" t="str">
        <x:v>Audit: relationship count</x:v>
      </x:c>
      <x:c r="B194" s="4" t="n">
        <x:f>COUNTA('Material routes'!$A$6:$A$2205)</x:f>
        <x:v>2091</x:v>
      </x:c>
    </x:row>
    <x:row r="195" ht="115" customHeight="1">
      <x:c r="A195" s="4" t="str">
        <x:v>Audit: browser pair count</x:v>
      </x:c>
      <x:c r="B195" s="4" t="n">
        <x:f>COUNTA('Crafting browser'!$J$6:$J$1505)</x:f>
        <x:v>1436</x:v>
      </x:c>
    </x:row>
    <x:row r="196" ht="115" customHeight="1">
      <x:c r="A196" s="4" t="str">
        <x:v>Audit: unassigned tiers</x:v>
      </x:c>
      <x:c r="B196" s="4" t="n">
        <x:f>COUNTIFS(Items!$C$6:$C$1005,"Unassigned")</x:f>
        <x:v>2</x:v>
      </x:c>
    </x:row>
    <x:row r="197" ht="115" customHeight="1">
      <x:c r="A197" s="4" t="str">
        <x:v>October 15 higher-tier proposals</x:v>
      </x:c>
      <x:c r="B197" s="4" t="str">
        <x:v>Material branches shows eleven grouped progressions. The crafting register/browser owns the actual candidate ingredient links. This pass proposes T2 stock and selected T3/T4 material/component branches without forcing every finished product through T4.</x:v>
      </x:c>
    </x:row>
    <x:row r="198" ht="115" customHeight="1">
      <x:c r="A198" s="4" t="str">
        <x:v>Precursor gaps filled</x:v>
      </x:c>
      <x:c r="B198" s="4" t="str">
        <x:v>One new raw anatomy/material idea: elastic-joint secretion. Five new T1 stocks: prepared flux, refractory mineral feed, manganese-bearing alloy feed, flexible faunal binder and conditioned etchant. Existing raw minerals and digestive-fluid concepts are reused. No plant rubber, conventional fat, free-water bath or ordinary cloth is introduced.</x:v>
      </x:c>
    </x:row>
    <x:row r="199" ht="115" customHeight="1">
      <x:c r="A199" s="4" t="str">
        <x:v>New material behavior is hypothetical</x:v>
      </x:c>
      <x:c r="B199" s="4" t="str">
        <x:v>Names describe intended workshop roles, not verified real-world recipes, guaranteed material behavior or accepted source canon. Species chemistry, contamination, cure, alloys, thermal processing and compatibility remain open. In particular, electrical service, pressure sealing, optical performance and protective ratings are unassigned.</x:v>
      </x:c>
    </x:row>
    <x:row r="200" ht="115" customHeight="1">
      <x:c r="A200" s="4" t="str">
        <x:v>Reused item families</x:v>
      </x:c>
      <x:c r="B200" s="4" t="str">
        <x:v>Existing steel stock, insulating ceramic blanks, advanced rust remover, fine mechanism oil, graphite grease and canister joint sealant receive proposed numeric tiers and candidate routes. Their original item-design statuses remain unchanged. These tier assignments do not install recipes or approve performance.</x:v>
      </x:c>
    </x:row>
    <x:row r="201" ht="115" customHeight="1">
      <x:c r="A201" s="4" t="str">
        <x:v>Conditional tier assignments</x:v>
      </x:c>
      <x:c r="B201" s="4" t="str">
        <x:v>Tier targets are one above the highest currently listed ingredient tier. Lists are partial: adding a higher-tier required ingredient later can change the output tier. Reusable tools/facilities do not count as consumed material. Lower-tier additives are allowed.</x:v>
      </x:c>
    </x:row>
    <x:row r="202" ht="115" customHeight="1">
      <x:c r="A202" s="4" t="str">
        <x:v>Finished endpoints can stop</x:v>
      </x:c>
      <x:c r="B202" s="4" t="str">
        <x:v>Two new partial endpoint examples use prepared stock: a crucible from refractory ceramic and electrical gloves from insulation/bonding/husk stocks. They add no heat/voltage certification or finished recipe. Wing, tuned-stone, gemstone and surface-treatment branches can stop at T2 for current purposes.</x:v>
      </x:c>
    </x:row>
    <x:row r="203" ht="115" customHeight="1">
      <x:c r="A203" s="4" t="str">
        <x:v>Current engineering versus ancient salvage</x:v>
      </x:c>
      <x:c r="B203" s="4" t="str">
        <x:v>T4 composite stock and optical/spring subassemblies are new current-engineering proposals. They are not nanocarbon, plasteel or ancient weapon manufacturing. Existing ancient salvage remains separate and its reproducibility unresolved.</x:v>
      </x:c>
    </x:row>
    <x:row r="204" ht="115" customHeight="1">
      <x:c r="A204" s="4" t="str">
        <x:v>Branch overview upkeep</x:v>
      </x:c>
      <x:c r="B204" s="4" t="str">
        <x:v>The overview groups related stock options and cross-branch dependencies; it is not a claim that each displayed T3 item comes from every T2 option. Names are linked to master IDs. Browser pairs and source bounds were extended for every new route. Update this curated overview when new branch choices change.</x:v>
      </x:c>
    </x:row>
    <x:row r="205" ht="115" customHeight="1">
      <x:c r="A205" s="4" t="str">
        <x:v>Sort and filter by tier</x:v>
      </x:c>
      <x:c r="B205" s="4" t="str">
        <x:v>Items: use the Tier filter in C to choose T0, T1, T2, T3 or T4. Sort Tier sort order in AN smallest to largest for T0–T4, then Unassigned, then Not applicable. Keys 98/99 are ordering helpers, not material tiers. Sort the whole native table. Crafting browser also filters Input tier (B) and Output tier (G); Crafting recipes filters Listed ingredient tier (H). Finished equipment keeps Not applicable material tier; recipe inputs show its material requirements.</x:v>
      </x:c>
    </x:row>
    <x:row r="206" ht="115" customHeight="1">
      <x:c r="A206" s="4" t="str">
        <x:v>Tier 3 expansion — October 15</x:v>
      </x:c>
      <x:c r="B206" s="4" t="str">
        <x:v>Twenty new T3 stock/component proposals reuse existing T2 inputs. Tier C remains beside Item name. Exact candidate inputs are linked through recipe and link IDs; quantities and performance remain unassigned. No prior items or tier assignments were replaced.</x:v>
      </x:c>
    </x:row>
    <x:row r="207" ht="115" customHeight="1">
      <x:c r="A207" s="4" t="str">
        <x:v>Prepare Tier 4 through assemblies</x:v>
      </x:c>
      <x:c r="B207" s="4" t="str">
        <x:v>Future targets are named in each new item Purpose/Next decisions and in Material branches limits. Examples: matched drive, bearing cartridge, radio tuning/contact block, sealed electrical interface, sail-panel joint, articulated guard, fitted vessel insert and acoustic instrument assembly. These are planning directions, not additional T4 catalog items or complete recipes. Existing five T4 entries are preserved.</x:v>
      </x:c>
    </x:row>
    <x:row r="208" ht="115" customHeight="1">
      <x:c r="A208" s="4" t="str">
        <x:v>Tier 4 readiness gates</x:v>
      </x:c>
      <x:c r="B208" s="4" t="str">
        <x:v>Before defining a T4 route: select T3 stock and intended service; identify missing fittings/fasteners, seals/terminals, tools, workshop/power and process controls; define fit and replaceable parts; resolve handling and qualification. Reusable tools are prerequisites, not consumed material. Any finished product can stop at T3; material tier is not a rarity or performance score.</x:v>
      </x:c>
    </x:row>
    <x:row r="209" ht="115" customHeight="1">
      <x:c r="A209" s="4" t="str">
        <x:v>Tier 4 expansion - October 15</x:v>
      </x:c>
      <x:c r="B209" s="4" t="str">
        <x:v>Twenty new T4 material/component proposals add linked T3 input routes. Five earlier T4 entries remain, for 25 total. No earlier item facts or tier assignments are replaced. Filter Tier C = T4 or Crafting browser Output tier = T4.</x:v>
      </x:c>
    </x:row>
    <x:row r="210" ht="115" customHeight="1">
      <x:c r="A210" s="4" t="str">
        <x:v>Tier 4 proposal families</x:v>
      </x:c>
      <x:c r="B210" s="4" t="str">
        <x:v>Matched drive and bearing modules; grounding/winding/contact/radio interfaces; articulated protection; canister valve and seal carriers; sail joints/panels and wind hubs; dirtboard hub cores; vessel liners and abrasive heads; insulating board, ceremonial inlay stock and stone-resonator cassettes. Eighteen are components and two are material stocks. No finished vehicle, radio, generator or survival canister is implied by these partial subassemblies.</x:v>
      </x:c>
    </x:row>
    <x:row r="211" ht="115" customHeight="1">
      <x:c r="A211" s="4" t="str">
        <x:v>Tier 4 boundaries and remaining work</x:v>
      </x:c>
      <x:c r="B211" s="4" t="str">
        <x:v>Candidate routes use at least one T3 input and may include lower-tier additives. Quantities, yields, full internal parts, tools, power sources, tolerances and service qualification remain open. Contemporary composites remain separate from extremely rare ancient nanocarbon/plasteel salvage. No T5 is introduced; finished products can be made at an earlier tier.</x:v>
      </x:c>
    </x:row>
    <x:row r="212" ht="115" customHeight="1">
      <x:c r="A212" s="4" t="str">
        <x:v>October 15 review of 95 unassigned items</x:v>
      </x:c>
      <x:c r="B212" s="4" t="str">
        <x:v>All 95 are recorded in Tier review: 77 receive proposed numeric tiers (T0 1; T1 9; T2 10; T3 44; T4 13), 16 move to Not applicable and two withheld biological premises remain Unassigned. One additional hypothetical T1 chemical precursor makes an unresolved oxide-conversion input explicit.</x:v>
      </x:c>
    </x:row>
    <x:row r="213" ht="115" customHeight="1">
      <x:c r="A213" s="4" t="str">
        <x:v>Recovery is separate from manufacturing</x:v>
      </x:c>
      <x:c r="B213" s="4" t="str">
        <x:v>Ten ancient materials/parts and five intact recovered machine components receive Not applicable for the contemporary refinement graph, plus Imperial Commons currency. They are acquired through recovery/issuance rather than assigned an invented manufacturing recipe. Raw scrap feeds remain T0 where already established.</x:v>
      </x:c>
    </x:row>
    <x:row r="214" ht="115" customHeight="1">
      <x:c r="A214" s="4" t="str">
        <x:v>Candidate routes and preserved source recipes</x:v>
      </x:c>
      <x:c r="B214" s="4" t="str">
        <x:v>Seventy-four new partial routes cover 73 existing items plus the hypothetical precursor. The three existing dry-sort fractions reuse the original multi-output recipe with all quantities intact. Sorted copper ore follows a T0 copper-rich-stone to T1 ore-feed proposal. The selected edible-fauna fraction is a T0 acquisition entry. Older incompatible outlines are flagged Needs tier review; source links, quantities and original Recipes stay intact.</x:v>
      </x:c>
    </x:row>
    <x:row r="215" ht="115" customHeight="1">
      <x:c r="A215" s="4" t="str">
        <x:v>Remaining design questions</x:v>
      </x:c>
      <x:c r="B215" s="4" t="str">
        <x:v>Fat-like tissue and biological wax remain withheld and unassigned. Chemistry, species-safe edible fractions, compatibility, quantities, yields, tooling, heat, power and dimensions remain unresolved where noted. No ordinary water/cloth/rubber, conventional-fat anatomy, ancient reproduction or currency denominations are introduced.</x:v>
      </x:c>
    </x:row>
    <x:row r="216" ht="115" customHeight="1">
      <x:c r="A216" s="4" t="str">
        <x:v>Lore coherence pass - source review</x:v>
      </x:c>
      <x:c r="B216" s="4" t="str">
        <x:v>Read-only Git source HEAD rechecked October 15: f6f98515c005dc3c73cccd9cbc031691745740c6. Reviewed Industrial Material Palette (WLD-0132), Chemical Processing Agents (WLD-0061), Iron Growth Stages (WLD-0058), Native Fauna Biology (WLD-0147), Domestic Wasteland Beetle (WLD-0148), Ancient Synthetics (WLD-0065), Energy Systems (WLD-0131), plus atmosphere/chitin context. These are proposal-stage records. Per-item source links identify invention versus retrieved inspiration.</x:v>
      </x:c>
    </x:row>
    <x:row r="217" ht="115" customHeight="1">
      <x:c r="A217" s="4" t="str">
        <x:v>Seven new primary category labels</x:v>
      </x:c>
      <x:c r="B217" s="4" t="inlineStr">
        <x:is>
          <x:t xml:space="preserve">Mineral resources, Biological resources, Processing agents, Manufactured stock, Salvage, Recovered mechanisms and Ancient salvage replace the broad active Resources bucket. Existing item types, origin, processing stage, primary use, material tier and source status remain separate. Active primary categories total sixteen.</x:t>
        </x:is>
      </x:c>
    </x:row>
    <x:row r="218" ht="115" customHeight="1">
      <x:c r="A218" s="4" t="str">
        <x:v>Missing material and hardware inputs filled</x:v>
      </x:c>
      <x:c r="B218" s="4" t="str">
        <x:v>Thirty-four new item proposals add Growth source grades and selected stock, mineral/Phagia processing fractions, biological reinforcement, beetle husbandry feed/care, iron electrical stock and practical retaining parts. Thirty new partial routes include five alternatives for existing outputs. Twenty-one additional ingredient links add candidate rivets, fasteners and fittings to selected existing proposal routes. No authored trial recipe is changed.</x:v>
      </x:c>
    </x:row>
    <x:row r="219" ht="115" customHeight="1">
      <x:c r="A219" s="4" t="str">
        <x:v>World constraints and source conflicts</x:v>
      </x:c>
      <x:c r="B219" s="4" t="str">
        <x:v>Game WORLD_BASIS and author direction control: no free environmental water or flora, ordinary cloth or assumed conventional-fat anatomy; husk fibers remain the main paper source. Source Phagia textiles and broader flesh/fat language are not silently adopted. Industrial liquids stay contained and separate from human food. Faunal fibers are living tissue, not automatically preserved machine actuators.</x:v>
      </x:c>
    </x:row>
    <x:row r="220" ht="115" customHeight="1">
      <x:c r="A220" s="4" t="str">
        <x:v>Age, rarity, salvage and craft tier</x:v>
      </x:c>
      <x:c r="B220" s="4" t="str">
        <x:v>All four raw Iron Growth age/origin grades are T0; selected processing advances tiers. Contemporary Growth alloy, ordinary steel and extremely rare ancient synthetics are distinct families. New ancient seal/transparent pieces remain recovery entries with no reproduction recipe. The withheld fat/wax premises remain Unassigned.</x:v>
      </x:c>
    </x:row>
    <x:row r="221" ht="115" customHeight="1">
      <x:c r="A221" s="4" t="str">
        <x:v>Review provenance and maintenance</x:v>
      </x:c>
      <x:c r="B221" s="4" t="str">
        <x:v>Source proposals inspire candidate item families, not accepted recipes or game effects. New husbandry/feed, assay, and Iron Growth vocabulary is controlled in Taxonomy. Material branches now has fifteen family overviews; exact inputs and alternatives remain in normalized recipe links. Chemistry, yields, fit, heating/power and electrical/pressure service still require design.</x:v>
      </x:c>
    </x:row>
    <x:row r="222" ht="100" customHeight="1">
      <x:c r="A222" s="4" t="str">
        <x:v>Collection expansion</x:v>
      </x:c>
      <x:c r="B222" s="4" t="str">
        <x:v>274 new records bring the catalog to 791. Collection targets tracks all 27 requested groups with editable minimums and live counts. Withheld anatomy, a generic shield family, the empty battery state and the currency umbrella do not fill the corresponding quotas. All minimums are reached.</x:v>
      </x:c>
    </x:row>
    <x:row r="223" ht="100" customHeight="1">
      <x:c r="A223" s="4" t="str">
        <x:v>Distinct machine parts</x:v>
      </x:c>
      <x:c r="B223" s="4" t="str">
        <x:v>Machine part is separate from Crafting component. Fifty new parts comprise 35 contemporary mechanical/electrical proposals and 15 extremely rare ancient recovery proposals. Ancient functions are working hypotheses; no present-day nanocarbon, superconducting or logic manufacturing route is assigned.</x:v>
      </x:c>
    </x:row>
    <x:row r="224" ht="100" customHeight="1">
      <x:c r="A224" s="4" t="str">
        <x:v>Shelter items and kit contents</x:v>
      </x:c>
      <x:c r="B224" s="4" t="str">
        <x:v>Shelter item replaces the Shelter kit type. Pop-up camp remains the existing packed-camp entry. Item relationships links ten proposed content types without rewriting the serialized camp definition, fixed weights, packed quantities or gameplay behavior.</x:v>
      </x:c>
    </x:row>
    <x:row r="225" ht="100" customHeight="1">
      <x:c r="A225" s="4" t="str">
        <x:v>Weapon ammunition and energy</x:v>
      </x:c>
      <x:c r="B225" s="4" t="str">
        <x:v>All 20 weapons are accounted for in Item relationships. Reusable melee weapons explicitly require no separate ammunition. Ranged weapons link to projectile, rocket or matched power-feed proposals. Pressure and magnetic launchers also list candidate energy supplies. Fourteen new ammunition/feed entries supplement the existing Rocket.</x:v>
      </x:c>
    </x:row>
    <x:row r="226" ht="100" customHeight="1">
      <x:c r="A226" s="4" t="str">
        <x:v>Energy storage forms</x:v>
      </x:c>
      <x:c r="B226" s="4" t="str">
        <x:v>Twenty storage architectures include the existing Arc Battery family once, plus flywheel, spring, weight, pressure, thermal, chemical and capacitor proposals and five ancient recovery forms. The existing empty-battery entry remains separately tracked. Arc is distinct from electricity; no recovered ancient supply is assumed rechargeable.</x:v>
      </x:c>
    </x:row>
    <x:row r="227" ht="100" customHeight="1">
      <x:c r="A227" s="4" t="str">
        <x:v>Culinary brainstorming</x:v>
      </x:c>
      <x:c r="B227" s="4" t="str">
        <x:v>New food materials and drinks use food-designated contained Phagia culture, selected fauna and candidate dietary mineral grades. Industrial Phagia chemicals and generic toxic fauna liquids are excluded. Species edibility, nutrition, processing conditions and preservation are unresolved; no free-water ingredients or ordinary cloth are introduced.</x:v>
      </x:c>
    </x:row>
    <x:row r="228" ht="100" customHeight="1">
      <x:c r="A228" s="4" t="str">
        <x:v>Material marks</x:v>
      </x:c>
      <x:c r="B228" s="4" t="str">
        <x:v>Author direction names Iron mark, Steel mark, Ceramic mark and Glass mark. They are currency, with material and workmanship independent from material-refinement tier. No exchange ratios, issuer, denomination ranking or particular craft-grade schedule is invented. Imperial Commons remains the source-proposal umbrella.</x:v>
      </x:c>
    </x:row>
    <x:row r="229" ht="100" customHeight="1">
      <x:c r="A229" s="4" t="str">
        <x:v>Partial preparation routes</x:v>
      </x:c>
      <x:c r="B229" s="4" t="str">
        <x:v>224 new candidate routes and their normalized links list plausible inputs for contemporary items. Quantities, tools, heat/power, yield and fit remain blank or unresolved. Currency issue and ancient recoveries have no player-manufacture route. A non-tiered assembled ingredient leaves highest input tier unresolved.</x:v>
      </x:c>
    </x:row>
    <x:row r="230" ht="115" customHeight="1">
      <x:c r="A230" s="4" t="str">
        <x:v>October 15 chain re-audit</x:v>
      </x:c>
      <x:c r="B230" s="4" t="str">
        <x:v>All 827 records reviewed. 142 earlier contemporary/unresolved endpoints lacked a selected production route. 36 source/support proposals and 174 new partial routes close structural input gaps; 96 extra ingredient candidates improve existing mechanisms, instruments, storage and traps. No material IDs are missing, selected material paths have no cycles or tier jumps, and no selected path relies on withheld fat/wax premises.</x:v>
      </x:c>
    </x:row>
    <x:row r="231" ht="115" customHeight="1">
      <x:c r="A231" s="4" t="str">
        <x:v>Craft audit readiness</x:v>
      </x:c>
      <x:c r="B231" s="4" t="str">
        <x:v>Craft audit is a terminal review snapshot. Names, types, tiers and listed output-route counts resolve by item ID. Counts include historical/withheld outlines; reviewed paths exclude Needs tier review, Withheld and Concept outline records. Candidate path traced means the selected material graph reaches raw/recovered feeds, not that quantities, physics or qualification are complete. 78 manufactured/finished records retain research/source gates; raw edibility and salvage conditions remain separate. Re-run after topology changes.</x:v>
      </x:c>
    </x:row>
    <x:row r="232" ht="115" customHeight="1">
      <x:c r="A232" s="4" t="str">
        <x:v>Supporting components and facilities</x:v>
      </x:c>
      <x:c r="B232" s="4" t="str">
        <x:v>Mail rings, grips, hinges, vessel blanks, trigger packs, switches, drill parts, instrument fittings, electrode stock, contained gas, a kiln and food-only preparation tools fill practical gaps. Recipe prerequisites now name facilities and reusable tools. Tool candidate links never raise material input tiers and are not consumed ingredients. Equipped workshop bootstrap, external heat/power and tooling knowledge remain required.</x:v>
      </x:c>
    </x:row>
    <x:row r="233" ht="115" customHeight="1">
      <x:c r="A233" s="4" t="str">
        <x:v>Lore boundaries and source corrections</x:v>
      </x:c>
      <x:c r="B233" s="4" t="str">
        <x:v>The source HEAD remains f6f98515c005dc3c73cccd9cbc031691745740c6; industrial, chemistry, fauna, ancient-synthetic and atmosphere records remain proposal references. Current game rules control: no ordinary cloth or free-water process, scarce processed hide/fur, separate industrial and culinary Phagia, rare unreproducible ancient materials, controlled heat and unresolved atmospheric service behavior.</x:v>
      </x:c>
    </x:row>
    <x:row r="234" ht="115" customHeight="1">
      <x:c r="A234" s="4" t="str">
        <x:v>Specific corrections</x:v>
      </x:c>
      <x:c r="B234" s="4" t="str">
        <x:v>Seasoning uses selected culinary salt; roe uses a reproductive-source hypothesis; the ocarina uses an acoustic mouthpiece and the lyre uses steel music wire. Material families distinguish metal, ceramic, mineral, shell, hide and mixed constructions instead of inherited generic metal/shell labels. Powders, liquids, paste, metal parts and currency forms are clarified. Alarms use Warning and detection; capture/lure devices use Fauna interaction. The magnetic salvage catch plate is a collection device in Field supplies.</x:v>
      </x:c>
    </x:row>
    <x:row r="235" ht="115" customHeight="1">
      <x:c r="A235" s="4" t="str">
        <x:v>Assembly, recovery, kit and charging distinctions</x:v>
      </x:c>
      <x:c r="B235" s="4" t="str">
        <x:v>Pop-up camp has a proposed assembly route for its ten existing content types. Salvaged wind turbine has a reassembly route from recovered mechanisms, without implying manufacture of their internals. Ancient items retain recovery access and no production route. Currency remains issuer-controlled. Energy-storage assembly does not supply charge, pressure or preload.</x:v>
      </x:c>
    </x:row>
    <x:row r="236" ht="115" customHeight="1">
      <x:c r="A236" s="4" t="str">
        <x:v>Review limitations</x:v>
      </x:c>
      <x:c r="B236" s="4" t="str">
        <x:v>All newly supplied routes are partial and quantities remain blank. Research gates include radio detection/transduction, field-control physics, pressure working medium, battery chemistry, kiln/forge operation, bipedal transport control and food-source selection. Existing serialized item facts, authored trial recipe quantities, contained-refill semantics and source statuses are retained.</x:v>
      </x:c>
    </x:row>
  </x:sheetData>
  <x:pageMargins left="0.7" right="0.7" top="0.75" bottom="0.75" header="0.3" footer="0.3"/>
  <x:tableParts count="1">
    <x:tablePart xmlns:r="http://schemas.openxmlformats.org/officeDocument/2006/relationships" r:id="R2895e289f43f4a01"/>
  </x:tableParts>
</x:worksheet>
</file>

<file path=xl/worksheets/sheet6.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6" hidden="0" customWidth="1"/>
    <x:col min="2" max="2" width="38" hidden="0" customWidth="1"/>
    <x:col min="3" max="3" width="52" hidden="0" customWidth="1"/>
    <x:col min="4" max="4" width="52" hidden="0" customWidth="1"/>
    <x:col min="5" max="5" width="40" hidden="0" customWidth="1"/>
    <x:col min="6" max="6" width="70" hidden="0" customWidth="1"/>
    <x:col min="7" max="7" width="20" hidden="0" customWidth="1"/>
    <x:col min="8" max="8" width="65" hidden="0" customWidth="1"/>
  </x:cols>
  <x:sheetData>
    <x:row r="1">
      <x:c r="A1" s="1"/>
      <x:c r="B1" s="1"/>
      <x:c r="C1" s="1"/>
      <x:c r="D1" s="1"/>
      <x:c r="E1" s="1"/>
      <x:c r="F1" s="1"/>
      <x:c r="G1" s="1"/>
      <x:c r="H1" s="1"/>
    </x:row>
    <x:row r="2">
      <x:c r="A2" s="2" t="str">
        <x:v>Proposed resource processing chains</x:v>
      </x:c>
      <x:c r="B2" s="1"/>
      <x:c r="C2" s="1"/>
      <x:c r="D2" s="1"/>
      <x:c r="E2" s="1"/>
      <x:c r="F2" s="1"/>
      <x:c r="G2" s="1"/>
      <x:c r="H2" s="1"/>
    </x:row>
    <x:row r="3">
      <x:c r="A3" s="1"/>
      <x:c r="B3" s="1"/>
      <x:c r="C3" s="1"/>
      <x:c r="D3" s="1"/>
      <x:c r="E3" s="1"/>
      <x:c r="F3" s="1"/>
      <x:c r="G3" s="1"/>
      <x:c r="H3" s="1"/>
    </x:row>
    <x:row r="4">
      <x:c r="A4" s="1"/>
      <x:c r="B4" s="1"/>
      <x:c r="C4" s="1"/>
      <x:c r="D4" s="1"/>
      <x:c r="E4" s="1"/>
      <x:c r="F4" s="1"/>
      <x:c r="G4" s="1"/>
      <x:c r="H4" s="1"/>
    </x:row>
    <x:row r="5" ht="35" customHeight="1">
      <x:c r="A5" s="25" t="str">
        <x:v>Input concept ID</x:v>
      </x:c>
      <x:c r="B5" s="25" t="str">
        <x:v>Output concept ID</x:v>
      </x:c>
      <x:c r="C5" s="25" t="str">
        <x:v>Processing concept</x:v>
      </x:c>
      <x:c r="D5" s="25" t="str">
        <x:v>Potential use</x:v>
      </x:c>
      <x:c r="E5" s="25" t="str">
        <x:v>Work location</x:v>
      </x:c>
      <x:c r="F5" s="25" t="str">
        <x:v>Open constraint</x:v>
      </x:c>
      <x:c r="G5" s="25" t="str">
        <x:v>Status</x:v>
      </x:c>
      <x:c r="H5" s="25" t="str">
        <x:v>Basis</x:v>
      </x:c>
    </x:row>
    <x:row r="6" ht="85" customHeight="1">
      <x:c r="A6" s="4" t="str">
        <x:v>proposal.natural.magnetite</x:v>
      </x:c>
      <x:c r="B6" s="4" t="str">
        <x:v>proposal.natural.iron_feed</x:v>
      </x:c>
      <x:c r="C6" s="4" t="str">
        <x:v>Dry crush and magnetic separation</x:v>
      </x:c>
      <x:c r="D6" s="4" t="str">
        <x:v>Intermediate feed for an eventual furnace</x:v>
      </x:c>
      <x:c r="E6" s="4" t="str">
        <x:v>Stationary camp/settlement processing proposed</x:v>
      </x:c>
      <x:c r="F6" s="4" t="str">
        <x:v>Distinct proposal from existing Iron-rich Concentrate; decide whether to merge them.</x:v>
      </x:c>
      <x:c r="G6" s="4" t="str">
        <x:v>New proposal</x:v>
      </x:c>
      <x:c r="H6" s="4" t="str">
        <x:v>User design direction, October 14, 2026; local brainstorming. New proposal unless explicitly marked User direction.</x:v>
      </x:c>
    </x:row>
    <x:row r="7" ht="85" customHeight="1">
      <x:c r="A7" s="4" t="str">
        <x:v>proposal.natural.iron_feed</x:v>
      </x:c>
      <x:c r="B7" s="4" t="str">
        <x:v>proposal.natural.iron_stock</x:v>
      </x:c>
      <x:c r="C7" s="4" t="str">
        <x:v>Smelt, forge and finish at a stationary facility</x:v>
      </x:c>
      <x:c r="D7" s="4" t="str">
        <x:v>Repair stock, fasteners and structural tool parts</x:v>
      </x:c>
      <x:c r="E7" s="4" t="str">
        <x:v>Stationary camp/settlement processing proposed</x:v>
      </x:c>
      <x:c r="F7" s="4" t="str">
        <x:v>Fuel, furnace, alloy and process choices unresolved; no Legger crafting platform.</x:v>
      </x:c>
      <x:c r="G7" s="4" t="str">
        <x:v>New proposal</x:v>
      </x:c>
      <x:c r="H7" s="4" t="str">
        <x:v>User design direction, October 14, 2026; local brainstorming. New proposal unless explicitly marked User direction.</x:v>
      </x:c>
    </x:row>
    <x:row r="8" ht="85" customHeight="1">
      <x:c r="A8" s="4" t="str">
        <x:v>proposal.natural.silica</x:v>
      </x:c>
      <x:c r="B8" s="4" t="str">
        <x:v>proposal.natural.abrasive</x:v>
      </x:c>
      <x:c r="C8" s="4" t="str">
        <x:v>Dry sieve and grade</x:v>
      </x:c>
      <x:c r="D8" s="4" t="str">
        <x:v>Tool sharpening and surface preparation</x:v>
      </x:c>
      <x:c r="E8" s="4" t="str">
        <x:v>Stationary camp/settlement processing proposed</x:v>
      </x:c>
      <x:c r="F8" s="4" t="str">
        <x:v>Could reuse existing Mineral Sand instead; resolve before implementation.</x:v>
      </x:c>
      <x:c r="G8" s="4" t="str">
        <x:v>New proposal</x:v>
      </x:c>
      <x:c r="H8" s="4" t="str">
        <x:v>User design direction, October 14, 2026; local brainstorming. New proposal unless explicitly marked User direction.</x:v>
      </x:c>
    </x:row>
    <x:row r="9" ht="85" customHeight="1">
      <x:c r="A9" s="4" t="str">
        <x:v>proposal.natural.alumina</x:v>
      </x:c>
      <x:c r="B9" s="4" t="str">
        <x:v>proposal.natural.ceramic</x:v>
      </x:c>
      <x:c r="C9" s="4" t="str">
        <x:v>Dry feed preparation, forming and firing</x:v>
      </x:c>
      <x:c r="D9" s="4" t="str">
        <x:v>Grounding-kit spacers and heat-resistant fixtures</x:v>
      </x:c>
      <x:c r="E9" s="4" t="str">
        <x:v>Stationary camp/settlement processing proposed</x:v>
      </x:c>
      <x:c r="F9" s="4" t="str">
        <x:v>Claystone may be a co-input; forming binder/energy not settled.</x:v>
      </x:c>
      <x:c r="G9" s="4" t="str">
        <x:v>New proposal</x:v>
      </x:c>
      <x:c r="H9" s="4" t="str">
        <x:v>User design direction, October 14, 2026; local brainstorming. New proposal unless explicitly marked User direction.</x:v>
      </x:c>
    </x:row>
    <x:row r="10" ht="85" customHeight="1">
      <x:c r="A10" s="4" t="str">
        <x:v>proposal.natural.carbonate</x:v>
      </x:c>
      <x:c r="B10" s="4" t="str">
        <x:v>proposal.natural.lime</x:v>
      </x:c>
      <x:c r="C10" s="4" t="str">
        <x:v>Heat mineral feed; retain dry product</x:v>
      </x:c>
      <x:c r="D10" s="4" t="str">
        <x:v>Dry composite repair and construction</x:v>
      </x:c>
      <x:c r="E10" s="4" t="str">
        <x:v>Stationary camp/settlement processing proposed</x:v>
      </x:c>
      <x:c r="F10" s="4" t="str">
        <x:v>No conventional water-based cement recipe assumed.</x:v>
      </x:c>
      <x:c r="G10" s="4" t="str">
        <x:v>New proposal</x:v>
      </x:c>
      <x:c r="H10" s="4" t="str">
        <x:v>User design direction, October 14, 2026; local brainstorming. New proposal unless explicitly marked User direction.</x:v>
      </x:c>
    </x:row>
    <x:row r="11" ht="85" customHeight="1">
      <x:c r="A11" s="4" t="str">
        <x:v>proposal.natural.graphite</x:v>
      </x:c>
      <x:c r="B11" s="4" t="str">
        <x:v>proposal.natural.carbon</x:v>
      </x:c>
      <x:c r="C11" s="4" t="str">
        <x:v>Crush and dry grade</x:v>
      </x:c>
      <x:c r="D11" s="4" t="str">
        <x:v>Dry lubricant; conductive composite ingredient</x:v>
      </x:c>
      <x:c r="E11" s="4" t="str">
        <x:v>Stationary camp/settlement processing proposed</x:v>
      </x:c>
      <x:c r="F11" s="4" t="str">
        <x:v>Not a power source; graphite behavior and recipe details remain provisional.</x:v>
      </x:c>
      <x:c r="G11" s="4" t="str">
        <x:v>New proposal</x:v>
      </x:c>
      <x:c r="H11" s="4" t="str">
        <x:v>User design direction, October 14, 2026; local brainstorming. New proposal unless explicitly marked User direction.</x:v>
      </x:c>
    </x:row>
    <x:row r="12" ht="85" customHeight="1">
      <x:c r="A12" s="4" t="str">
        <x:v>proposal.bio.shell</x:v>
      </x:c>
      <x:c r="B12" s="4" t="str">
        <x:v>proposal.bio.laminate</x:v>
      </x:c>
      <x:c r="C12" s="4" t="str">
        <x:v>Trim, layer and bind dry plates</x:v>
      </x:c>
      <x:c r="D12" s="4" t="str">
        <x:v>Light armor panels and impact guards</x:v>
      </x:c>
      <x:c r="E12" s="4" t="str">
        <x:v>Stationary preservation/workbench proposed</x:v>
      </x:c>
      <x:c r="F12" s="4" t="str">
        <x:v>This dry-product route has no approved yield/recipe. Faunal liquids are separately valid material candidates.</x:v>
      </x:c>
      <x:c r="G12" s="4" t="str">
        <x:v>New proposal</x:v>
      </x:c>
      <x:c r="H12" s="4" t="str">
        <x:v>User design direction, October 14, 2026; local brainstorming. New proposal unless explicitly marked User direction.</x:v>
      </x:c>
    </x:row>
    <x:row r="13" ht="85" customHeight="1">
      <x:c r="A13" s="4" t="str">
        <x:v>proposal.bio.tendon</x:v>
      </x:c>
      <x:c r="B13" s="4" t="str">
        <x:v>proposal.bio.cord</x:v>
      </x:c>
      <x:c r="C13" s="4" t="str">
        <x:v>Dry, split, twist and bind</x:v>
      </x:c>
      <x:c r="D13" s="4" t="str">
        <x:v>Tool lashings and field repairs</x:v>
      </x:c>
      <x:c r="E13" s="4" t="str">
        <x:v>Stationary preservation/workbench proposed</x:v>
      </x:c>
      <x:c r="F13" s="4" t="str">
        <x:v>This dry-product route has no approved yield/recipe. Faunal liquids are separately valid material candidates.</x:v>
      </x:c>
      <x:c r="G13" s="4" t="str">
        <x:v>New proposal</x:v>
      </x:c>
      <x:c r="H13" s="4" t="str">
        <x:v>User design direction, October 14, 2026; local brainstorming. New proposal unless explicitly marked User direction.</x:v>
      </x:c>
    </x:row>
    <x:row r="14" ht="85" customHeight="1">
      <x:c r="A14" s="4" t="str">
        <x:v>proposal.bio.bristles</x:v>
      </x:c>
      <x:c r="B14" s="4" t="str">
        <x:v>proposal.bio.brush</x:v>
      </x:c>
      <x:c r="C14" s="4" t="str">
        <x:v>Sort fibers and bind into a backing</x:v>
      </x:c>
      <x:c r="D14" s="4" t="str">
        <x:v>Dust exclusion at joints and equipment closures</x:v>
      </x:c>
      <x:c r="E14" s="4" t="str">
        <x:v>Stationary preservation/workbench proposed</x:v>
      </x:c>
      <x:c r="F14" s="4" t="str">
        <x:v>This dry-product route has no approved yield/recipe. Faunal liquids are separately valid material candidates.</x:v>
      </x:c>
      <x:c r="G14" s="4" t="str">
        <x:v>New proposal</x:v>
      </x:c>
      <x:c r="H14" s="4" t="str">
        <x:v>User design direction, October 14, 2026; local brainstorming. New proposal unless explicitly marked User direction.</x:v>
      </x:c>
    </x:row>
    <x:row r="15" ht="85" customHeight="1">
      <x:c r="A15" s="4" t="str">
        <x:v>proposal.bio.underfur</x:v>
      </x:c>
      <x:c r="B15" s="4" t="str">
        <x:v>proposal.bio.liner</x:v>
      </x:c>
      <x:c r="C15" s="4" t="str">
        <x:v>Process fur into a candidate pressed material</x:v>
      </x:c>
      <x:c r="D15" s="4" t="str">
        <x:v>Scarce usable material; garment application undecided</x:v>
      </x:c>
      <x:c r="E15" s="4" t="str">
        <x:v>Specialist stationary processing proposed</x:v>
      </x:c>
      <x:c r="F15" s="4" t="str">
        <x:v>Extremely low usable yield; no cloth; previous routine liner/felting assumption superseded</x:v>
      </x:c>
      <x:c r="G15" s="4" t="str">
        <x:v>User constraint; product form proposed</x:v>
      </x:c>
      <x:c r="H15" s="4" t="str">
        <x:v>Docs/WORLD_BASIS.md#material-culture; author direction October 14, 2026. Process details and specific product forms remain unimplemented.</x:v>
      </x:c>
    </x:row>
    <x:row r="16" ht="85" customHeight="1">
      <x:c r="A16" s="4" t="str">
        <x:v>proposal.bio.jaw</x:v>
      </x:c>
      <x:c r="B16" s="4" t="str">
        <x:v>proposal.bio.insert</x:v>
      </x:c>
      <x:c r="C16" s="4" t="str">
        <x:v>Cut and grind dense tissue</x:v>
      </x:c>
      <x:c r="D16" s="4" t="str">
        <x:v>Replaceable excavation-tool wear part</x:v>
      </x:c>
      <x:c r="E16" s="4" t="str">
        <x:v>Stationary preservation/workbench proposed</x:v>
      </x:c>
      <x:c r="F16" s="4" t="str">
        <x:v>This dry-product route has no approved yield/recipe. Faunal liquids are separately valid material candidates.</x:v>
      </x:c>
      <x:c r="G16" s="4" t="str">
        <x:v>New proposal</x:v>
      </x:c>
      <x:c r="H16" s="4" t="str">
        <x:v>User design direction, October 14, 2026; local brainstorming. New proposal unless explicitly marked User direction.</x:v>
      </x:c>
    </x:row>
    <x:row r="17" ht="85" customHeight="1">
      <x:c r="A17" s="4" t="str">
        <x:v>proposal.bio.membrane</x:v>
      </x:c>
      <x:c r="B17" s="4" t="str">
        <x:v>proposal.bio.seal</x:v>
      </x:c>
      <x:c r="C17" s="4" t="str">
        <x:v>Dry preserve, cut and laminate</x:v>
      </x:c>
      <x:c r="D17" s="4" t="str">
        <x:v>Flexible equipment repairs</x:v>
      </x:c>
      <x:c r="E17" s="4" t="str">
        <x:v>Stationary preservation/workbench proposed</x:v>
      </x:c>
      <x:c r="F17" s="4" t="str">
        <x:v>This dry-product route has no approved yield/recipe. Faunal liquids are separately valid material candidates.</x:v>
      </x:c>
      <x:c r="G17" s="4" t="str">
        <x:v>New proposal</x:v>
      </x:c>
      <x:c r="H17" s="4" t="str">
        <x:v>User design direction, October 14, 2026; local brainstorming. New proposal unless explicitly marked User direction.</x:v>
      </x:c>
    </x:row>
    <x:row r="18" ht="85" customHeight="1">
      <x:c r="A18" s="4" t="str">
        <x:v>proposal.bio.fat</x:v>
      </x:c>
      <x:c r="B18" s="4" t="str">
        <x:v>proposal.bio.wax</x:v>
      </x:c>
      <x:c r="C18" s="4" t="str">
        <x:v>Unverified conversion; await actual anatomy</x:v>
      </x:c>
      <x:c r="D18" s="4" t="str">
        <x:v>Conditional solid product only</x:v>
      </x:c>
      <x:c r="E18" s="4" t="str">
        <x:v>Processing undefined</x:v>
      </x:c>
      <x:c r="F18" s="4" t="str">
        <x:v>Conventional fat precursor not established; Burden Beasts source must be reviewed</x:v>
      </x:c>
      <x:c r="G18" s="4" t="str">
        <x:v>Needs lore anatomy review</x:v>
      </x:c>
      <x:c r="H18" s="4" t="str">
        <x:v>Docs/WORLD_BASIS.md#faunal-biology-and-material-use; direct author direction October 14, 2026. Related source anatomy proposals now accessible at f6f98515; this item awaits reconciliation; identities and processing remain undefined.</x:v>
      </x:c>
    </x:row>
    <x:row r="19" ht="85" customHeight="1">
      <x:c r="A19" s="4" t="str">
        <x:v>proposal.bio.organ</x:v>
      </x:c>
      <x:c r="B19" s="4" t="str">
        <x:v>proposal.bio.electrode</x:v>
      </x:c>
      <x:c r="C19" s="4" t="str">
        <x:v>Dry preserve and stabilize structure</x:v>
      </x:c>
      <x:c r="D19" s="4" t="str">
        <x:v>Possible charged-battery component research</x:v>
      </x:c>
      <x:c r="E19" s="4" t="str">
        <x:v>Stationary preservation/workbench proposed</x:v>
      </x:c>
      <x:c r="F19" s="4" t="str">
        <x:v>This dry-product route has no approved yield/recipe. Faunal liquids are separately valid material candidates.</x:v>
      </x:c>
      <x:c r="G19" s="4" t="str">
        <x:v>New proposal</x:v>
      </x:c>
      <x:c r="H19" s="4" t="str">
        <x:v>User design direction, October 14, 2026; local brainstorming. New proposal unless explicitly marked User direction.</x:v>
      </x:c>
    </x:row>
    <x:row r="20" ht="85" customHeight="1">
      <x:c r="A20" s="4"/>
      <x:c r="B20" s="4"/>
      <x:c r="C20" s="4"/>
      <x:c r="D20" s="4"/>
      <x:c r="E20" s="4"/>
      <x:c r="F20" s="4"/>
      <x:c r="G20" s="4"/>
      <x:c r="H20" s="4"/>
    </x:row>
    <x:row r="21" ht="85" customHeight="1">
      <x:c r="A21" s="4"/>
      <x:c r="B21" s="4"/>
      <x:c r="C21" s="4"/>
      <x:c r="D21" s="4"/>
      <x:c r="E21" s="4"/>
      <x:c r="F21" s="4"/>
      <x:c r="G21" s="4"/>
      <x:c r="H21" s="4"/>
    </x:row>
    <x:row r="22" ht="85" customHeight="1">
      <x:c r="A22" s="4" t="str">
        <x:v>proposal.natural.copper_stone</x:v>
      </x:c>
      <x:c r="B22" s="4" t="str">
        <x:v>proposal.natural.copper_ore</x:v>
      </x:c>
      <x:c r="C22" s="4" t="str">
        <x:v>Dry sort / concentrate; method to design</x:v>
      </x:c>
      <x:c r="D22" s="4" t="str">
        <x:v>Higher-grade copper feed</x:v>
      </x:c>
      <x:c r="E22" s="4" t="str">
        <x:v>Stationary processing proposed</x:v>
      </x:c>
      <x:c r="F22" s="4" t="str">
        <x:v>Optional extra stage; merge these entries if sorting is busywork</x:v>
      </x:c>
      <x:c r="G22" s="4" t="str">
        <x:v>New proposal</x:v>
      </x:c>
      <x:c r="H22" s="4" t="str">
        <x:v>https://www.nps.gov/deva/learn/nature/mining-in-death-valley.htm</x:v>
      </x:c>
    </x:row>
    <x:row r="23" ht="85" customHeight="1">
      <x:c r="A23" s="4" t="str">
        <x:v>proposal.natural.copper_ore</x:v>
      </x:c>
      <x:c r="B23" s="4" t="str">
        <x:v>proposal.natural.raw_copper</x:v>
      </x:c>
      <x:c r="C23" s="4" t="str">
        <x:v>Refine; process and energy unresolved</x:v>
      </x:c>
      <x:c r="D23" s="4" t="str">
        <x:v>Unworked copper for manufacturing</x:v>
      </x:c>
      <x:c r="E23" s="4" t="str">
        <x:v>Stationary specialist facility proposed</x:v>
      </x:c>
      <x:c r="F23" s="4" t="str">
        <x:v>No direct conversion rate or field-smelting recipe approved</x:v>
      </x:c>
      <x:c r="G23" s="4" t="str">
        <x:v>New proposal</x:v>
      </x:c>
      <x:c r="H23" s="4" t="str">
        <x:v>https://www.nps.gov/deva/learn/nature/mining-in-death-valley.htm</x:v>
      </x:c>
    </x:row>
    <x:row r="24" ht="85" customHeight="1">
      <x:c r="A24" s="4" t="str">
        <x:v>proposal.natural.magnesium_rock</x:v>
      </x:c>
      <x:c r="B24" s="4" t="str">
        <x:v>proposal.natural.raw_magnesium</x:v>
      </x:c>
      <x:c r="C24" s="4" t="str">
        <x:v>Specialist extraction; method unresolved</x:v>
      </x:c>
      <x:c r="D24" s="4" t="str">
        <x:v>Unworked metal for alloy research</x:v>
      </x:c>
      <x:c r="E24" s="4" t="str">
        <x:v>Settlement-scale facility or salvage proposed</x:v>
      </x:c>
      <x:c r="F24" s="4" t="str">
        <x:v>Mineral occurrence does not establish native magnesium metal</x:v>
      </x:c>
      <x:c r="G24" s="4" t="str">
        <x:v>New proposal</x:v>
      </x:c>
      <x:c r="H24" s="4" t="str">
        <x:v>https://pubs.usgs.gov/publication/70018701</x:v>
      </x:c>
    </x:row>
    <x:row r="25" ht="85" customHeight="1">
      <x:c r="A25" s="4" t="str">
        <x:v>proposal.natural.hematite</x:v>
      </x:c>
      <x:c r="B25" s="4" t="str">
        <x:v>proposal.natural.iron_feed</x:v>
      </x:c>
      <x:c r="C25" s="4" t="str">
        <x:v>Sort and prepare iron-bearing feed</x:v>
      </x:c>
      <x:c r="D25" s="4" t="str">
        <x:v>Common iron-refining intermediate candidate</x:v>
      </x:c>
      <x:c r="E25" s="4" t="str">
        <x:v>Stationary processing proposed</x:v>
      </x:c>
      <x:c r="F25" s="4" t="str">
        <x:v>Hematite game entry user-requested; local occurrence not verified here</x:v>
      </x:c>
      <x:c r="G25" s="4" t="str">
        <x:v>New proposal</x:v>
      </x:c>
      <x:c r="H25" s="4" t="str">
        <x:v>User direction, October 14, 2026</x:v>
      </x:c>
    </x:row>
    <x:row r="26" ht="85" customHeight="1">
      <x:c r="A26" s="4" t="str">
        <x:v>proposal.bio.tendon</x:v>
      </x:c>
      <x:c r="B26" s="4" t="str">
        <x:v>proposal.natural.charcoal</x:v>
      </x:c>
      <x:c r="C26" s="4" t="str">
        <x:v>Possible carbonization of dried biological offcuts</x:v>
      </x:c>
      <x:c r="D26" s="4" t="str">
        <x:v>Fuel from non-wood biological material</x:v>
      </x:c>
      <x:c r="E26" s="4" t="str">
        <x:v>Stationary retort proposed</x:v>
      </x:c>
      <x:c r="F26" s="4" t="str">
        <x:v>Illustrative pathway only; consumes valuable biomass; source/yield and ecology unapproved</x:v>
      </x:c>
      <x:c r="G26" s="4" t="str">
        <x:v>New proposal</x:v>
      </x:c>
      <x:c r="H26" s="4" t="str">
        <x:v>https://www.nps.gov/deva/learn/historyculture/charcoalkilns.htm; game feedstock is a new proposal</x:v>
      </x:c>
    </x:row>
    <x:row r="27" ht="85" customHeight="1">
      <x:c r="A27" s="4"/>
      <x:c r="B27" s="4"/>
      <x:c r="C27" s="4"/>
      <x:c r="D27" s="4"/>
      <x:c r="E27" s="4"/>
      <x:c r="F27" s="4"/>
      <x:c r="G27" s="4"/>
      <x:c r="H27" s="4"/>
    </x:row>
    <x:row r="28" ht="90" customHeight="1">
      <x:c r="A28" s="4" t="str">
        <x:v>proposal.bio.shell</x:v>
      </x:c>
      <x:c r="B28" s="4" t="str">
        <x:v>proposal.bio.chitin_fibers</x:v>
      </x:c>
      <x:c r="C28" s="4" t="str">
        <x:v>Scrape fibers from shell husks</x:v>
      </x:c>
      <x:c r="D28" s="4" t="str">
        <x:v>Abundant raw chitin fiber feed</x:v>
      </x:c>
      <x:c r="E28" s="4" t="str">
        <x:v>Work location not yet defined</x:v>
      </x:c>
      <x:c r="F28" s="4" t="str">
        <x:v>Scraping rate, tools and actual collectible yield unapproved</x:v>
      </x:c>
      <x:c r="G28" s="4" t="str">
        <x:v>User direction; not implemented</x:v>
      </x:c>
      <x:c r="H28" s="4" t="str">
        <x:v>Docs/WORLD_BASIS.md#material-culture; author direction October 14, 2026. Process details and specific product forms remain unimplemented.</x:v>
      </x:c>
    </x:row>
    <x:row r="29" ht="90" customHeight="1">
      <x:c r="A29" s="4" t="str">
        <x:v>proposal.bio.shell</x:v>
      </x:c>
      <x:c r="B29" s="4" t="str">
        <x:v>proposal.bio.icore_fibers</x:v>
      </x:c>
      <x:c r="C29" s="4" t="str">
        <x:v>Scrape fibers from shell husks</x:v>
      </x:c>
      <x:c r="D29" s="4" t="str">
        <x:v>Abundant raw icore fiber feed</x:v>
      </x:c>
      <x:c r="E29" s="4" t="str">
        <x:v>Work location not yet defined</x:v>
      </x:c>
      <x:c r="F29" s="4" t="str">
        <x:v>Icore composition undefined; no invented special properties</x:v>
      </x:c>
      <x:c r="G29" s="4" t="str">
        <x:v>User direction; not implemented</x:v>
      </x:c>
      <x:c r="H29" s="4" t="str">
        <x:v>Docs/WORLD_BASIS.md#material-culture; author direction October 14, 2026. Process details and specific product forms remain unimplemented.</x:v>
      </x:c>
    </x:row>
    <x:row r="30" ht="90" customHeight="1">
      <x:c r="A30" s="4"/>
      <x:c r="B30" s="4"/>
      <x:c r="C30" s="4"/>
      <x:c r="D30" s="4"/>
      <x:c r="E30" s="4"/>
      <x:c r="F30" s="4"/>
      <x:c r="G30" s="4"/>
      <x:c r="H30" s="4"/>
    </x:row>
    <x:row r="31" ht="90" customHeight="1">
      <x:c r="A31" s="4"/>
      <x:c r="B31" s="4"/>
      <x:c r="C31" s="4"/>
      <x:c r="D31" s="4"/>
      <x:c r="E31" s="4"/>
      <x:c r="F31" s="4"/>
      <x:c r="G31" s="4"/>
      <x:c r="H31" s="4"/>
    </x:row>
    <x:row r="32" ht="90" customHeight="1">
      <x:c r="A32" s="4" t="str">
        <x:v>proposal.bio.chitin_fibers</x:v>
      </x:c>
      <x:c r="B32" s="4" t="str">
        <x:v>proposal.bio.pressed_husk</x:v>
      </x:c>
      <x:c r="C32" s="4" t="str">
        <x:v>Difficult processing and pressing</x:v>
      </x:c>
      <x:c r="D32" s="4" t="str">
        <x:v>Pressed textile material</x:v>
      </x:c>
      <x:c r="E32" s="4" t="str">
        <x:v>Specialist processing proposed</x:v>
      </x:c>
      <x:c r="F32" s="4" t="str">
        <x:v>Very difficult; no cloth; exact recipe and product properties unresolved</x:v>
      </x:c>
      <x:c r="G32" s="4" t="str">
        <x:v>User direction; not implemented</x:v>
      </x:c>
      <x:c r="H32" s="4" t="str">
        <x:v>Docs/WORLD_BASIS.md#material-culture; author direction October 14, 2026. Process details and specific product forms remain unimplemented.</x:v>
      </x:c>
    </x:row>
    <x:row r="33" ht="90" customHeight="1">
      <x:c r="A33" s="4" t="str">
        <x:v>proposal.bio.icore_fibers</x:v>
      </x:c>
      <x:c r="B33" s="4" t="str">
        <x:v>proposal.bio.pressed_husk</x:v>
      </x:c>
      <x:c r="C33" s="4" t="str">
        <x:v>Difficult processing and pressing</x:v>
      </x:c>
      <x:c r="D33" s="4" t="str">
        <x:v>Pressed textile material</x:v>
      </x:c>
      <x:c r="E33" s="4" t="str">
        <x:v>Specialist processing proposed</x:v>
      </x:c>
      <x:c r="F33" s="4" t="str">
        <x:v>Fiber combination unresolved; this is not a two-input recipe specification</x:v>
      </x:c>
      <x:c r="G33" s="4" t="str">
        <x:v>User direction; not implemented</x:v>
      </x:c>
      <x:c r="H33" s="4" t="str">
        <x:v>Docs/WORLD_BASIS.md#material-culture; author direction October 14, 2026. Process details and specific product forms remain unimplemented.</x:v>
      </x:c>
    </x:row>
    <x:row r="34" ht="90" customHeight="1">
      <x:c r="A34" s="4" t="str">
        <x:v>proposal.bio.hide</x:v>
      </x:c>
      <x:c r="B34" s="4" t="str">
        <x:v>proposal.bio.hide_material</x:v>
      </x:c>
      <x:c r="C34" s="4" t="str">
        <x:v>Process hide into usable material</x:v>
      </x:c>
      <x:c r="D34" s="4" t="str">
        <x:v>Scarce material output</x:v>
      </x:c>
      <x:c r="E34" s="4" t="str">
        <x:v>Specialist processing proposed</x:v>
      </x:c>
      <x:c r="F34" s="4" t="str">
        <x:v>Extremely low yield; no cloth; no numeric ratio specified</x:v>
      </x:c>
      <x:c r="G34" s="4" t="str">
        <x:v>User direction; not implemented</x:v>
      </x:c>
      <x:c r="H34" s="4" t="str">
        <x:v>Docs/WORLD_BASIS.md#material-culture; author direction October 14, 2026. Process details and specific product forms remain unimplemented.</x:v>
      </x:c>
    </x:row>
  </x:sheetData>
  <x:pageMargins left="0.7" right="0.7" top="0.75" bottom="0.75" header="0.3" footer="0.3"/>
  <x:tableParts count="1">
    <x:tablePart xmlns:r="http://schemas.openxmlformats.org/officeDocument/2006/relationships" r:id="Rf3c690860f904ca6"/>
  </x:tableParts>
</x:worksheet>
</file>

<file path=xl/worksheets/sheet7.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0" hidden="0" customWidth="1"/>
    <x:col min="2" max="2" width="29" hidden="0" customWidth="1"/>
    <x:col min="3" max="3" width="62" hidden="0" customWidth="1"/>
    <x:col min="4" max="4" width="58" hidden="0" customWidth="1"/>
    <x:col min="5" max="5" width="58" hidden="0" customWidth="1"/>
    <x:col min="6" max="6" width="70" hidden="0" customWidth="1"/>
    <x:col min="7" max="7" width="62" hidden="0" customWidth="1"/>
    <x:col min="8" max="8" width="72" hidden="0" customWidth="1"/>
    <x:col min="9" max="9" width="22" hidden="0" customWidth="1"/>
  </x:cols>
  <x:sheetData>
    <x:row r="1">
      <x:c r="A1" s="1"/>
      <x:c r="B1" s="1"/>
      <x:c r="C1" s="1"/>
      <x:c r="D1" s="1"/>
      <x:c r="E1" s="1"/>
      <x:c r="F1" s="1"/>
      <x:c r="G1" s="1"/>
      <x:c r="H1" s="1"/>
      <x:c r="I1" s="1"/>
    </x:row>
    <x:row r="2">
      <x:c r="A2" s="2" t="str">
        <x:v>Megafauna concepts and material sources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5" customHeight="1">
      <x:c r="A5" s="25" t="str">
        <x:v>Concept ID</x:v>
      </x:c>
      <x:c r="B5" s="25" t="str">
        <x:v>Working description</x:v>
      </x:c>
      <x:c r="C5" s="25" t="str">
        <x:v>Hybrid anatomy</x:v>
      </x:c>
      <x:c r="D5" s="25" t="str">
        <x:v>Ecological role</x:v>
      </x:c>
      <x:c r="E5" s="25" t="str">
        <x:v>Expedition decision</x:v>
      </x:c>
      <x:c r="F5" s="25" t="str">
        <x:v>Resource concept IDs</x:v>
      </x:c>
      <x:c r="G5" s="25" t="str">
        <x:v>Collection alternative</x:v>
      </x:c>
      <x:c r="H5" s="25" t="str">
        <x:v>Open design issue</x:v>
      </x:c>
      <x:c r="I5" s="25" t="str">
        <x:v>Status</x:v>
      </x:c>
    </x:row>
    <x:row r="6" ht="115" customHeight="1">
      <x:c r="A6" s="4" t="str">
        <x:v>fauna.plate_grazer</x:v>
      </x:c>
      <x:c r="B6" s="4" t="str">
        <x:v>Plate-backed grazer</x:v>
      </x:c>
      <x:c r="C6" s="4" t="str">
        <x:v>Broad low body; overlapping crustacean plates, six load-bearing legs, furred joint recesses</x:v>
      </x:c>
      <x:c r="D6" s="4" t="str">
        <x:v>Slow herd browser of proposed dry microbial/mineral crusts</x:v>
      </x:c>
      <x:c r="E6" s="4" t="str">
        <x:v>Quiet feedstock supply via abandoned molts; hunt only when worthwhile</x:v>
      </x:c>
      <x:c r="F6" s="4" t="str">
        <x:v>proposal.bio.shell; proposal.bio.underfur; proposal.bio.tendon; proposal.bio.chitin_fibers; proposal.bio.icore_fibers</x:v>
      </x:c>
      <x:c r="G6" s="4" t="str">
        <x:v>Molts and bedding can supply modest materials without a kill</x:v>
      </x:c>
      <x:c r="H6" s="4" t="str">
        <x:v>Primary productivity and crust biology unresolved; no plant grazing; fiber supply follows husk rule, but species-specific yields remain unapproved; fur conversion has extremely low usable yield; no cloth; Burden Beasts anatomy unreviewed; no species-specific edibility or chemistry assigned</x:v>
      </x:c>
      <x:c r="I6" s="4" t="str">
        <x:v>New proposal</x:v>
      </x:c>
    </x:row>
    <x:row r="7" ht="115" customHeight="1">
      <x:c r="A7" s="4" t="str">
        <x:v>fauna.burrower</x:v>
      </x:c>
      <x:c r="B7" s="4" t="str">
        <x:v>Canyon burrower</x:v>
      </x:c>
      <x:c r="C7" s="4" t="str">
        <x:v>Wedge-shaped armored head, mole-like digging posture, shovel forelimbs, mandibular cutters</x:v>
      </x:c>
      <x:c r="D7" s="4" t="str">
        <x:v>Excavates old scree fans; diet and nutrient sources unresolved</x:v>
      </x:c>
      <x:c r="E7" s="4" t="str">
        <x:v>Excavation competes with access to mineral seams</x:v>
      </x:c>
      <x:c r="F7" s="4" t="str">
        <x:v>proposal.bio.jaw; proposal.bio.bristles; proposal.bio.membrane</x:v>
      </x:c>
      <x:c r="G7" s="4" t="str">
        <x:v>Old bristle-lined burrows provide low-yield scavenging opportunities</x:v>
      </x:c>
      <x:c r="H7" s="4" t="str">
        <x:v>Burrows and collapse rules must respect fixed terrain; no terrain system authorized; Burden Beasts anatomy unreviewed; no species-specific edibility or chemistry assigned</x:v>
      </x:c>
      <x:c r="I7" s="4" t="str">
        <x:v>New proposal</x:v>
      </x:c>
    </x:row>
    <x:row r="8" ht="115" customHeight="1">
      <x:c r="A8" s="4" t="str">
        <x:v>fauna.storm_migrant</x:v>
      </x:c>
      <x:c r="B8" s="4" t="str">
        <x:v>Storm-following giant</x:v>
      </x:c>
      <x:c r="C8" s="4" t="str">
        <x:v>Tall segmented body, shell ridges, furred underside, many broad feet</x:v>
      </x:c>
      <x:c r="D8" s="4" t="str">
        <x:v>Fictional charge-sensitive migration near storms; diet unresolved</x:v>
      </x:c>
      <x:c r="E8" s="4" t="str">
        <x:v>Storm timing creates a dangerous optional expedition target</x:v>
      </x:c>
      <x:c r="F8" s="4" t="str">
        <x:v>proposal.bio.organ; proposal.bio.shell; proposal.bio.tendon; proposal.bio.chitin_fibers; proposal.bio.icore_fibers</x:v>
      </x:c>
      <x:c r="G8" s="4" t="str">
        <x:v>Abandoned molts available after migrations; rare tissue requires a carcass</x:v>
      </x:c>
      <x:c r="H8" s="4" t="str">
        <x:v>Charge sensing/storage biology and electrical behavior are speculative; fiber supply follows husk rule, but species-specific yields remain unapproved; Burden Beasts anatomy unreviewed; no species-specific edibility or chemistry assigned</x:v>
      </x:c>
      <x:c r="I8" s="4" t="str">
        <x:v>New proposal</x:v>
      </x:c>
    </x:row>
    <x:row r="9" ht="115" customHeight="1">
      <x:c r="A9" s="4" t="str">
        <x:v>fauna.carrion_crusher</x:v>
      </x:c>
      <x:c r="B9" s="4" t="str">
        <x:v>Carrion crusher</x:v>
      </x:c>
      <x:c r="C9" s="4" t="str">
        <x:v>Heavy crab-like claws, mandibular mouth and a bulky trunk; internal structure unverified</x:v>
      </x:c>
      <x:c r="D9" s="4" t="str">
        <x:v>Scavenges large carcasses; competes with Booter for remains</x:v>
      </x:c>
      <x:c r="E9" s="4" t="str">
        <x:v>Carcass harvesting attracts competition and encourages selective removal</x:v>
      </x:c>
      <x:c r="F9" s="4" t="str">
        <x:v>proposal.bio.jaw; proposal.bio.shell; proposal.bio.chitin_fibers; proposal.bio.icore_fibers</x:v>
      </x:c>
      <x:c r="G9" s="4" t="str">
        <x:v>Track feeding sites for discarded dry fragments</x:v>
      </x:c>
      <x:c r="H9" s="4" t="str">
        <x:v>Population depends on a viable food web; no established species or combat kit; fiber supply follows husk rule, but species-specific yields remain unapproved; Burden Beasts anatomy unreviewed; no species-specific edibility or chemistry assigned</x:v>
      </x:c>
      <x:c r="I9" s="4" t="str">
        <x:v>New proposal</x:v>
      </x:c>
    </x:row>
    <x:row r="10" ht="115" customHeight="1">
      <x:c r="A10" s="4" t="str">
        <x:v>fauna.shelf_climber</x:v>
      </x:c>
      <x:c r="B10" s="4" t="str">
        <x:v>Shelf-climbing browser</x:v>
      </x:c>
      <x:c r="C10" s="4" t="str">
        <x:v>Compact furred torso, hooked insectoid feet, flexible shell bands and springing limbs</x:v>
      </x:c>
      <x:c r="D10" s="4" t="str">
        <x:v>Uses narrow canyon ledges; diet unresolved</x:v>
      </x:c>
      <x:c r="E10" s="4" t="str">
        <x:v>Source of flexible materials where bulk hauling is awkward</x:v>
      </x:c>
      <x:c r="F10" s="4" t="str">
        <x:v>proposal.bio.membrane; proposal.bio.underfur; proposal.bio.tendon</x:v>
      </x:c>
      <x:c r="G10" s="4" t="str">
        <x:v>Shed fur and abandoned rests provide a low-impact collection option</x:v>
      </x:c>
      <x:c r="H10" s="4" t="str">
        <x:v>Movement, size, ecology and hunt behavior need design; fur conversion has extremely low usable yield; no cloth; Burden Beasts anatomy unreviewed; no species-specific edibility or chemistry assigned</x:v>
      </x:c>
      <x:c r="I10" s="4" t="str">
        <x:v>New proposal</x:v>
      </x:c>
    </x:row>
  </x:sheetData>
  <x:pageMargins left="0.7" right="0.7" top="0.75" bottom="0.75" header="0.3" footer="0.3"/>
  <x:tableParts count="1">
    <x:tablePart xmlns:r="http://schemas.openxmlformats.org/officeDocument/2006/relationships" r:id="Rc511c4f559814283"/>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30" hidden="0" customWidth="1"/>
    <x:col min="3" max="3" width="55" hidden="0" customWidth="1"/>
    <x:col min="4" max="4" width="46" hidden="0" customWidth="1"/>
    <x:col min="5" max="5" width="55" hidden="0" customWidth="1"/>
    <x:col min="6" max="6" width="62" hidden="0" customWidth="1"/>
    <x:col min="7" max="7" width="72" hidden="0" customWidth="1"/>
    <x:col min="8" max="8" width="110" hidden="0" customWidth="1"/>
  </x:cols>
  <x:sheetData>
    <x:row r="1">
      <x:c r="A1" s="1"/>
      <x:c r="B1" s="1"/>
      <x:c r="C1" s="1"/>
      <x:c r="D1" s="1"/>
      <x:c r="E1" s="1"/>
      <x:c r="F1" s="1"/>
      <x:c r="G1" s="1"/>
      <x:c r="H1" s="1"/>
    </x:row>
    <x:row r="2">
      <x:c r="A2" s="2" t="str">
        <x:v>Faunal chemicals and toxins</x:v>
      </x:c>
      <x:c r="B2" s="1"/>
      <x:c r="C2" s="1"/>
      <x:c r="D2" s="1"/>
      <x:c r="E2" s="1"/>
      <x:c r="F2" s="1"/>
      <x:c r="G2" s="1"/>
      <x:c r="H2" s="1"/>
    </x:row>
    <x:row r="3">
      <x:c r="A3" s="1" t="str">
        <x:v>New game proposals. Descriptive labels; no accepted chemical identities, species assignments, recipes or numeric effects.</x:v>
      </x:c>
      <x:c r="B3" s="1"/>
      <x:c r="C3" s="1"/>
      <x:c r="D3" s="1"/>
      <x:c r="E3" s="1"/>
      <x:c r="F3" s="1"/>
      <x:c r="G3" s="1"/>
      <x:c r="H3" s="1"/>
    </x:row>
    <x:row r="4">
      <x:c r="A4" s="1"/>
      <x:c r="B4" s="1"/>
      <x:c r="C4" s="1"/>
      <x:c r="D4" s="1"/>
      <x:c r="E4" s="1"/>
      <x:c r="F4" s="1"/>
      <x:c r="G4" s="1"/>
      <x:c r="H4" s="1"/>
    </x:row>
    <x:row r="5" ht="35" customHeight="1">
      <x:c r="A5" s="35" t="str">
        <x:v>Concept ID</x:v>
      </x:c>
      <x:c r="B5" s="35" t="str">
        <x:v>Working label</x:v>
      </x:c>
      <x:c r="C5" s="35" t="str">
        <x:v>Biological source / role</x:v>
      </x:c>
      <x:c r="D5" s="35" t="str">
        <x:v>Human hazard</x:v>
      </x:c>
      <x:c r="E5" s="35" t="str">
        <x:v>Potential material use</x:v>
      </x:c>
      <x:c r="F5" s="35" t="str">
        <x:v>Design constraint</x:v>
      </x:c>
      <x:c r="G5" s="35" t="str">
        <x:v>Source relationship</x:v>
      </x:c>
      <x:c r="H5" s="35" t="str">
        <x:v>Reference</x:v>
      </x:c>
    </x:row>
    <x:row r="6" ht="75" customHeight="1">
      <x:c r="A6" s="4" t="str">
        <x:v>proposal.chemical.digestive_etchant</x:v>
      </x:c>
      <x:c r="B6" s="4" t="str">
        <x:v>Digestive etchant</x:v>
      </x:c>
      <x:c r="C6" s="4" t="str">
        <x:v>Contained digestive liquor in geological feeders; exposes useful mineral compounds</x:v>
      </x:c>
      <x:c r="D6" s="4" t="str">
        <x:v>Corrosive tissue injury; inedible</x:v>
      </x:c>
      <x:c r="E6" s="4" t="str">
        <x:v>Mineral separation and metal surface preparation</x:v>
      </x:c>
      <x:c r="F6" s="4" t="str">
        <x:v>Could damage containers and useful shell; reusable containment and selectivity need design</x:v>
      </x:c>
      <x:c r="G6" s="4" t="str">
        <x:v>Source draft describes digestive acids/catalysts; this harvestable agent and uses are new proposals</x:v>
      </x:c>
      <x:c r="H6"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7" ht="75" customHeight="1">
      <x:c r="A7" s="4" t="str">
        <x:v>proposal.chemical.husk_enzyme</x:v>
      </x:c>
      <x:c r="B7" s="4" t="str">
        <x:v>Husk-separation enzyme</x:v>
      </x:c>
      <x:c r="C7" s="4" t="str">
        <x:v>Proposed catalytic fraction associated with shell renewal or digestion</x:v>
      </x:c>
      <x:c r="D7" s="4" t="str">
        <x:v>Biologically active irritant; effects species-dependent</x:v>
      </x:c>
      <x:c r="E7" s="4" t="str">
        <x:v>Help release chitin/icore fibers for paper and difficult pressed materials</x:v>
      </x:c>
      <x:c r="F7" s="4" t="str">
        <x:v>Slow specialist processing still required; must not turn abundant husks into easy cloth</x:v>
      </x:c>
      <x:c r="G7" s="4" t="str">
        <x:v>Source draft includes industrial enzymes, but fauna origin and this fiber application are new proposals</x:v>
      </x:c>
      <x:c r="H7" s="4" t="str">
        <x:v>https://github.com/sleepyseamonster/Arc-Dust/blob/f6f98515c005dc3c73cccd9cbc031691745740c6/02-Arc-Dust-Worldbuilding/world/materials/chemical-processing-agents.md</x:v>
      </x:c>
    </x:row>
    <x:row r="8" ht="75" customHeight="1">
      <x:c r="A8" s="4" t="str">
        <x:v>proposal.chemical.shell_binder</x:v>
      </x:c>
      <x:c r="B8" s="4" t="str">
        <x:v>Shell-binding secretion</x:v>
      </x:c>
      <x:c r="C8" s="4" t="str">
        <x:v>Proposed armor-building secretion that binds deposited minerals</x:v>
      </x:c>
      <x:c r="D8" s="4" t="str">
        <x:v>Adheres to exposed surfaces; contaminated residue may be toxic</x:v>
      </x:c>
      <x:c r="E8" s="4" t="str">
        <x:v>Bind mineral aggregate, shell laminates and pressed fiber materials</x:v>
      </x:c>
      <x:c r="F8" s="4" t="str">
        <x:v>Durable bonding is a proposal; curing conditions and unwanted adhesion remain unresolved</x:v>
      </x:c>
      <x:c r="G8" s="4" t="str">
        <x:v>Armor-building organs and chitin-derived binders are source-draft seeds; secretion/product is new</x:v>
      </x:c>
      <x:c r="H8"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9" ht="75" customHeight="1">
      <x:c r="A9" s="4" t="str">
        <x:v>proposal.chemical.clotting_compound</x:v>
      </x:c>
      <x:c r="B9" s="4" t="str">
        <x:v>Mineral clotting compound</x:v>
      </x:c>
      <x:c r="C9" s="4" t="str">
        <x:v>Ichor wound response; suspended minerals harden into a protective clot</x:v>
      </x:c>
      <x:c r="D9" s="4" t="str">
        <x:v>Not human-compatible medicine; contact/ingestion toxicity unresolved</x:v>
      </x:c>
      <x:c r="E9" s="4" t="str">
        <x:v>Quick hard-setting equipment patches and temporary container seals</x:v>
      </x:c>
      <x:c r="F9" s="4" t="str">
        <x:v>Brittleness and shelf stability can distinguish it from a permanent binder</x:v>
      </x:c>
      <x:c r="G9" s="4" t="str">
        <x:v>Source draft describes mineral-hardened clots; repair-material use is new</x:v>
      </x:c>
      <x:c r="H9" s="4" t="str">
        <x:v>https://github.com/sleepyseamonster/Arc-Dust/blob/f6f98515c005dc3c73cccd9cbc031691745740c6/02-Arc-Dust-Worldbuilding/world/native-fauna-biology.md</x:v>
      </x:c>
    </x:row>
    <x:row r="10" ht="75" customHeight="1">
      <x:c r="A10" s="4" t="str">
        <x:v>proposal.chemical.mineral_ichor</x:v>
      </x:c>
      <x:c r="B10" s="4" t="str">
        <x:v>Mineral-rich ichor</x:v>
      </x:c>
      <x:c r="C10" s="4" t="str">
        <x:v>Circulatory fluid carrying minerals, energy compounds and metabolic wastes</x:v>
      </x:c>
      <x:c r="D10" s="4" t="str">
        <x:v>Species-dependent toxicity and mineral contamination; not drinkable by default</x:v>
      </x:c>
      <x:c r="E10" s="4" t="str">
        <x:v>Potential feed for pigments, recovered mineral fractions and binder research</x:v>
      </x:c>
      <x:c r="F10" s="4" t="str">
        <x:v>Mixed contents vary by diet; do not assume a universal reagent or battery electrolyte</x:v>
      </x:c>
      <x:c r="G10" s="4" t="str">
        <x:v>Ichor contents are source-draft biology; separated material uses are new proposals</x:v>
      </x:c>
      <x:c r="H10" s="4" t="str">
        <x:v>https://github.com/sleepyseamonster/Arc-Dust/blob/f6f98515c005dc3c73cccd9cbc031691745740c6/02-Arc-Dust-Worldbuilding/world/native-fauna-biology.md</x:v>
      </x:c>
    </x:row>
    <x:row r="11" ht="75" customHeight="1">
      <x:c r="A11" s="4" t="str">
        <x:v>proposal.chemical.joint_lubricant</x:v>
      </x:c>
      <x:c r="B11" s="4" t="str">
        <x:v>Joint-lubricating secretion</x:v>
      </x:c>
      <x:c r="C11" s="4" t="str">
        <x:v>Proposed secretion that protects sliding plate/joint surfaces</x:v>
      </x:c>
      <x:c r="D11" s="4" t="str">
        <x:v>Toxic if ingested; skin compatibility unapproved</x:v>
      </x:c>
      <x:c r="E11" s="4" t="str">
        <x:v>Dust-resistant equipment lubrication and flexible-seal conditioning</x:v>
      </x:c>
      <x:c r="F11" s="4" t="str">
        <x:v>Dust capture versus useful lubrication needs design; does not restore conventional fat anatomy</x:v>
      </x:c>
      <x:c r="G11" s="4" t="str">
        <x:v>New proposed secretion; source processing draft discusses biological oils without validating this anatomy</x:v>
      </x:c>
      <x:c r="H11" s="4" t="str">
        <x:v>https://github.com/sleepyseamonster/Arc-Dust/blob/f6f98515c005dc3c73cccd9cbc031691745740c6/02-Arc-Dust-Worldbuilding/world/materials/chemical-processing-agents.md</x:v>
      </x:c>
    </x:row>
    <x:row r="12" ht="75" customHeight="1">
      <x:c r="A12" s="4" t="str">
        <x:v>proposal.chemical.insulating_secretion</x:v>
      </x:c>
      <x:c r="B12" s="4" t="str">
        <x:v>Insulating secretion</x:v>
      </x:c>
      <x:c r="C12" s="4" t="str">
        <x:v>Proposed barrier layer that helps fauna manage electrical exposure</x:v>
      </x:c>
      <x:c r="D12" s="4" t="str">
        <x:v>Irritating/toxic residue; no human-contact assumption</x:v>
      </x:c>
      <x:c r="E12" s="4" t="str">
        <x:v>Candidate electrical separators and equipment coating</x:v>
      </x:c>
      <x:c r="F12" s="4" t="str">
        <x:v>Electrical behavior and wear are unproven; never blanket lightning immunity</x:v>
      </x:c>
      <x:c r="G12" s="4" t="str">
        <x:v>Source draft includes insulation/charge shedding; this material capability is a new proposal</x:v>
      </x:c>
      <x:c r="H12" s="4" t="str">
        <x:v>https://github.com/sleepyseamonster/Arc-Dust/blob/f6f98515c005dc3c73cccd9cbc031691745740c6/02-Arc-Dust-Worldbuilding/world/native-fauna-biology.md</x:v>
      </x:c>
    </x:row>
    <x:row r="13" ht="75" customHeight="1">
      <x:c r="A13" s="4" t="str">
        <x:v>proposal.chemical.conductive_gel</x:v>
      </x:c>
      <x:c r="B13" s="4" t="str">
        <x:v>Charge-conducting gel</x:v>
      </x:c>
      <x:c r="C13" s="4" t="str">
        <x:v>Proposed contained medium supporting electroactive tissue</x:v>
      </x:c>
      <x:c r="D13" s="4" t="str">
        <x:v>Contact could create an unwanted charge path; chemically toxic</x:v>
      </x:c>
      <x:c r="E13" s="4" t="str">
        <x:v>Candidate contained equipment contacts and sensing components</x:v>
      </x:c>
      <x:c r="F13" s="4" t="str">
        <x:v>Can worsen charge exposure; no direct body application or power generation assumed</x:v>
      </x:c>
      <x:c r="G13" s="4" t="str">
        <x:v>Source draft has electroactive fibers and conductive tissue; gel and applications are new proposals</x:v>
      </x:c>
      <x:c r="H13" s="4" t="str">
        <x:v>https://github.com/sleepyseamonster/Arc-Dust/blob/f6f98515c005dc3c73cccd9cbc031691745740c6/02-Arc-Dust-Worldbuilding/world/native-fauna-biology.md</x:v>
      </x:c>
    </x:row>
    <x:row r="14" ht="75" customHeight="1">
      <x:c r="A14" s="4" t="str">
        <x:v>proposal.chemical.molt_release</x:v>
      </x:c>
      <x:c r="B14" s="4" t="str">
        <x:v>Molt-release compound</x:v>
      </x:c>
      <x:c r="C14" s="4" t="str">
        <x:v>Proposed agent that separates old outer husk layers during renewal</x:v>
      </x:c>
      <x:c r="D14" s="4" t="str">
        <x:v>Tissue/surface damage on contact; species-dependent</x:v>
      </x:c>
      <x:c r="E14" s="4" t="str">
        <x:v>Controlled plate-layer release and husk surface preparation</x:v>
      </x:c>
      <x:c r="F14" s="4" t="str">
        <x:v>May spoil recovered fibers or structural plate; usefulness must differ from enzyme fraction</x:v>
      </x:c>
      <x:c r="G14" s="4" t="str">
        <x:v>New biological/material proposal; no specific molt chemistry established</x:v>
      </x:c>
      <x:c r="H14" s="4" t="str">
        <x:v>https://github.com/sleepyseamonster/Arc-Dust/blob/f6f98515c005dc3c73cccd9cbc031691745740c6/02-Arc-Dust-Worldbuilding/world/native-fauna-biology.md</x:v>
      </x:c>
    </x:row>
    <x:row r="15" ht="75" customHeight="1">
      <x:c r="A15" s="4" t="str">
        <x:v>proposal.chemical.defensive_irritant</x:v>
      </x:c>
      <x:c r="B15" s="4" t="str">
        <x:v>Defensive irritant secretion</x:v>
      </x:c>
      <x:c r="C15" s="4" t="str">
        <x:v>Proposed deterrent gland output in defensive species</x:v>
      </x:c>
      <x:c r="D15" s="4" t="str">
        <x:v>Painful surface irritation and temporary sensory disruption</x:v>
      </x:c>
      <x:c r="E15" s="4" t="str">
        <x:v>Candidate exclusion coatings around equipment or stored materials</x:v>
      </x:c>
      <x:c r="F15" s="4" t="str">
        <x:v>Repellent target response is unproven; deliberate containment only, no ambient liquid pools</x:v>
      </x:c>
      <x:c r="G15" s="4" t="str">
        <x:v>New toxin and application proposal; not assigned to any existing species</x:v>
      </x:c>
      <x:c r="H15" s="4" t="str">
        <x:v>https://github.com/sleepyseamonster/Arc-Dust/blob/f6f98515c005dc3c73cccd9cbc031691745740c6/02-Arc-Dust-Worldbuilding/world/native-fauna-biology.md</x:v>
      </x:c>
    </x:row>
    <x:row r="16" ht="75" customHeight="1">
      <x:c r="A16" s="4" t="str">
        <x:v>proposal.chemical.disabling_venom</x:v>
      </x:c>
      <x:c r="B16" s="4" t="str">
        <x:v>Disabling venom fraction</x:v>
      </x:c>
      <x:c r="C16" s="4" t="str">
        <x:v>Proposed specialized predator secretion for subduing native prey</x:v>
      </x:c>
      <x:c r="D16" s="4" t="str">
        <x:v>Neurological disruption; human severity undefined</x:v>
      </x:c>
      <x:c r="E16" s="4" t="str">
        <x:v>Candidate specialist trade/sample material for later design</x:v>
      </x:c>
      <x:c r="F16" s="4" t="str">
        <x:v>No human/animal potency equivalence, cure, delivery method or combat system established</x:v>
      </x:c>
      <x:c r="G16" s="4" t="str">
        <x:v>New proposal; source predation does not establish a specific venom</x:v>
      </x:c>
      <x:c r="H16" s="4" t="str">
        <x:v>https://github.com/sleepyseamonster/Arc-Dust/blob/f6f98515c005dc3c73cccd9cbc031691745740c6/02-Arc-Dust-Worldbuilding/world/native-fauna-biology.md</x:v>
      </x:c>
    </x:row>
    <x:row r="17" ht="75" customHeight="1">
      <x:c r="A17" s="4" t="str">
        <x:v>proposal.chemical.scent_marker</x:v>
      </x:c>
      <x:c r="B17" s="4" t="str">
        <x:v>Chemical scent marker</x:v>
      </x:c>
      <x:c r="C17" s="4" t="str">
        <x:v>Proposed territorial or social signal secretion</x:v>
      </x:c>
      <x:c r="D17" s="4" t="str">
        <x:v>Irritant or toxic to humans despite its signaling role</x:v>
      </x:c>
      <x:c r="E17" s="4" t="str">
        <x:v>Possible lure, trail concealment or animal-avoidance research</x:v>
      </x:c>
      <x:c r="F17" s="4" t="str">
        <x:v>Species-specific response; a signal may attract unwanted animals rather than repel them</x:v>
      </x:c>
      <x:c r="G17" s="4" t="str">
        <x:v>New proposal; no accepted behavioral response or universal bait chemistry</x:v>
      </x:c>
      <x:c r="H17" s="4" t="str">
        <x:v>https://github.com/sleepyseamonster/Arc-Dust/blob/f6f98515c005dc3c73cccd9cbc031691745740c6/02-Arc-Dust-Worldbuilding/world/native-fauna-biology.md</x:v>
      </x:c>
    </x:row>
  </x:sheetData>
  <x:pageMargins left="0.7" right="0.7" top="0.75" bottom="0.75" header="0.3" footer="0.3"/>
  <x:tableParts count="1">
    <x:tablePart xmlns:r="http://schemas.openxmlformats.org/officeDocument/2006/relationships" r:id="R8ff44ef49f8a47f9"/>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29" hidden="0" customWidth="1"/>
    <x:col min="3" max="3" width="30" hidden="0" customWidth="1"/>
    <x:col min="4" max="4" width="50" hidden="0" customWidth="1"/>
    <x:col min="5" max="5" width="55" hidden="0" customWidth="1"/>
    <x:col min="6" max="6" width="24" hidden="0" customWidth="1"/>
    <x:col min="7" max="7" width="50" hidden="0" customWidth="1"/>
    <x:col min="8" max="8" width="50" hidden="0" customWidth="1"/>
    <x:col min="9" max="9" width="70" hidden="0" customWidth="1"/>
    <x:col min="10" max="10" width="78" hidden="0" customWidth="1"/>
    <x:col min="11" max="11" width="110" hidden="0" customWidth="1"/>
  </x:cols>
  <x:sheetData>
    <x:row r="1">
      <x:c r="A1" s="1"/>
      <x:c r="B1" s="1"/>
      <x:c r="C1" s="1"/>
      <x:c r="D1" s="1"/>
      <x:c r="E1" s="1"/>
      <x:c r="F1" s="1"/>
      <x:c r="G1" s="1"/>
      <x:c r="H1" s="1"/>
      <x:c r="I1" s="1"/>
      <x:c r="J1" s="1"/>
      <x:c r="K1" s="1"/>
    </x:row>
    <x:row r="2">
      <x:c r="A2" s="2" t="str">
        <x:v>Liquid vessels, protective carriers and glasswork</x:v>
      </x:c>
      <x:c r="B2" s="1"/>
      <x:c r="C2" s="1"/>
      <x:c r="D2" s="1"/>
      <x:c r="E2" s="1"/>
      <x:c r="F2" s="1"/>
      <x:c r="G2" s="1"/>
      <x:c r="H2" s="1"/>
      <x:c r="I2" s="1"/>
      <x:c r="J2" s="1"/>
      <x:c r="K2" s="1"/>
    </x:row>
    <x:row r="3">
      <x:c r="A3" s="1" t="str">
        <x:v>All new proposals. Sizes are qualitative; filled resource vessels use finite Legger/local storage.</x:v>
      </x:c>
      <x:c r="B3" s="1"/>
      <x:c r="C3" s="1"/>
      <x:c r="D3" s="1"/>
      <x:c r="E3" s="1"/>
      <x:c r="F3" s="1"/>
      <x:c r="G3" s="1"/>
      <x:c r="H3" s="1"/>
      <x:c r="I3" s="1"/>
      <x:c r="J3" s="1"/>
      <x:c r="K3" s="1"/>
    </x:row>
    <x:row r="4">
      <x:c r="A4" s="1"/>
      <x:c r="B4" s="1"/>
      <x:c r="C4" s="1"/>
      <x:c r="D4" s="1"/>
      <x:c r="E4" s="1"/>
      <x:c r="F4" s="1"/>
      <x:c r="G4" s="1"/>
      <x:c r="H4" s="1"/>
      <x:c r="I4" s="1"/>
      <x:c r="J4" s="1"/>
      <x:c r="K4" s="1"/>
    </x:row>
    <x:row r="5" ht="35" customHeight="1">
      <x:c r="A5" s="40" t="str">
        <x:v>Concept ID</x:v>
      </x:c>
      <x:c r="B5" s="40" t="str">
        <x:v>Working label</x:v>
      </x:c>
      <x:c r="C5" s="40" t="str">
        <x:v>Form</x:v>
      </x:c>
      <x:c r="D5" s="40" t="str">
        <x:v>Proposed materials</x:v>
      </x:c>
      <x:c r="E5" s="40" t="str">
        <x:v>Purpose</x:v>
      </x:c>
      <x:c r="F5" s="40" t="str">
        <x:v>Qualitative size</x:v>
      </x:c>
      <x:c r="G5" s="40" t="str">
        <x:v>Closure concept</x:v>
      </x:c>
      <x:c r="H5" s="40" t="str">
        <x:v>Contents / contact</x:v>
      </x:c>
      <x:c r="I5" s="40" t="str">
        <x:v>Design constraint</x:v>
      </x:c>
      <x:c r="J5" s="40" t="str">
        <x:v>Source relationship</x:v>
      </x:c>
      <x:c r="K5" s="40" t="str">
        <x:v>References</x:v>
      </x:c>
    </x:row>
    <x:row r="6" ht="90" customHeight="1">
      <x:c r="A6" s="4"/>
      <x:c r="B6" s="4"/>
      <x:c r="C6" s="4"/>
      <x:c r="D6" s="4"/>
      <x:c r="E6" s="4"/>
      <x:c r="F6" s="4"/>
      <x:c r="G6" s="4"/>
      <x:c r="H6" s="4"/>
      <x:c r="I6" s="4"/>
      <x:c r="J6" s="4"/>
      <x:c r="K6" s="4"/>
    </x:row>
    <x:row r="7" ht="90" customHeight="1">
      <x:c r="A7" s="4" t="str">
        <x:v>proposal.container.reagent_bottle</x:v>
      </x:c>
      <x:c r="B7" s="4" t="str">
        <x:v>Opaque reagent bottle</x:v>
      </x:c>
      <x:c r="C7" s="4" t="inlineStr">
        <x:is>
          <x:t xml:space="preserve">Ordinary salvage</x:t>
        </x:is>
      </x:c>
      <x:c r="D7" s="4" t="str">
        <x:v>Opaque mineral glass; shell/metal cap</x:v>
      </x:c>
      <x:c r="E7" s="4" t="inlineStr">
        <x:is>
          <x:t xml:space="preserve">Ordinary found salvage; possible reuse or material recovery after inspection.</x:t>
        </x:is>
      </x:c>
      <x:c r="F7" s="4" t="inlineStr">
        <x:is>
          <x:t xml:space="preserve">Unspecified</x:t>
        </x:is>
      </x:c>
      <x:c r="G7" s="4" t="inlineStr">
        <x:is>
          <x:t xml:space="preserve">No special closure mechanic</x:t>
        </x:is>
      </x:c>
      <x:c r="H7" s="4" t="inlineStr">
        <x:is>
          <x:t xml:space="preserve">No assigned contents or payload</x:t>
        </x:is>
      </x:c>
      <x:c r="I7" s="4" t="inlineStr">
        <x:is>
          <x:t xml:space="preserve">No special container behavior, capacity, payload, sealing, sample handling or carrier eligibility. Specific reuse and recovery yields remain undecided.</x:t>
        </x:is>
      </x:c>
      <x:c r="J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7" s="4" t="str">
        <x:v>https://github.com/sleepyseamonster/Arc-Dust/blob/f6f98515c005dc3c73cccd9cbc031691745740c6/02-Arc-Dust-Worldbuilding/world/materials/glass.md; https://github.com/sleepyseamonster/Arc-Dust/blob/f6f98515c005dc3c73cccd9cbc031691745740c6/02-Arc-Dust-Worldbuilding/world/materials/chitin.md</x:v>
      </x:c>
    </x:row>
    <x:row r="8" ht="90" customHeight="1">
      <x:c r="A8" s="4" t="str">
        <x:v>proposal.container.wide_jar</x:v>
      </x:c>
      <x:c r="B8" s="4" t="str">
        <x:v>Wide-mouth sample jar</x:v>
      </x:c>
      <x:c r="C8" s="4" t="inlineStr">
        <x:is>
          <x:t xml:space="preserve">Ordinary salvage</x:t>
        </x:is>
      </x:c>
      <x:c r="D8" s="4" t="str">
        <x:v>Glass body; rigid broad lid</x:v>
      </x:c>
      <x:c r="E8" s="4" t="inlineStr">
        <x:is>
          <x:t xml:space="preserve">Ordinary found salvage; possible reuse or material recovery after inspection.</x:t>
        </x:is>
      </x:c>
      <x:c r="F8" s="4" t="inlineStr">
        <x:is>
          <x:t xml:space="preserve">Unspecified</x:t>
        </x:is>
      </x:c>
      <x:c r="G8" s="4" t="inlineStr">
        <x:is>
          <x:t xml:space="preserve">No special closure mechanic</x:t>
        </x:is>
      </x:c>
      <x:c r="H8" s="4" t="inlineStr">
        <x:is>
          <x:t xml:space="preserve">No assigned contents or payload</x:t>
        </x:is>
      </x:c>
      <x:c r="I8" s="4" t="inlineStr">
        <x:is>
          <x:t xml:space="preserve">No special container behavior, capacity, payload, sealing, sample handling or carrier eligibility. Specific reuse and recovery yields remain undecided.</x:t>
        </x:is>
      </x:c>
      <x:c r="J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8" s="4" t="str">
        <x:v>https://github.com/sleepyseamonster/Arc-Dust/blob/f6f98515c005dc3c73cccd9cbc031691745740c6/02-Arc-Dust-Worldbuilding/world/materials/glass.md; https://github.com/sleepyseamonster/Arc-Dust/blob/f6f98515c005dc3c73cccd9cbc031691745740c6/02-Arc-Dust-Worldbuilding/world/materials/chitin.md</x:v>
      </x:c>
    </x:row>
    <x:row r="9" ht="90" customHeight="1">
      <x:c r="A9" s="4" t="str">
        <x:v>proposal.container.ampoule</x:v>
      </x:c>
      <x:c r="B9" s="4" t="str">
        <x:v>Sealed sample ampoule</x:v>
      </x:c>
      <x:c r="C9" s="4" t="inlineStr">
        <x:is>
          <x:t xml:space="preserve">Ordinary salvage</x:t>
        </x:is>
      </x:c>
      <x:c r="D9" s="4" t="str">
        <x:v>Sealed clear glass</x:v>
      </x:c>
      <x:c r="E9" s="4" t="inlineStr">
        <x:is>
          <x:t xml:space="preserve">Ordinary found salvage; possible reuse or material recovery after inspection.</x:t>
        </x:is>
      </x:c>
      <x:c r="F9" s="4" t="inlineStr">
        <x:is>
          <x:t xml:space="preserve">Unspecified</x:t>
        </x:is>
      </x:c>
      <x:c r="G9" s="4" t="inlineStr">
        <x:is>
          <x:t xml:space="preserve">No special closure mechanic</x:t>
        </x:is>
      </x:c>
      <x:c r="H9" s="4" t="inlineStr">
        <x:is>
          <x:t xml:space="preserve">No assigned contents or payload</x:t>
        </x:is>
      </x:c>
      <x:c r="I9" s="4" t="inlineStr">
        <x:is>
          <x:t xml:space="preserve">No special container behavior, capacity, payload, sealing, sample handling or carrier eligibility. Specific reuse and recovery yields remain undecided.</x:t>
        </x:is>
      </x:c>
      <x:c r="J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9" s="4" t="str">
        <x:v>https://github.com/sleepyseamonster/Arc-Dust/blob/f6f98515c005dc3c73cccd9cbc031691745740c6/02-Arc-Dust-Worldbuilding/world/materials/glass.md; https://github.com/sleepyseamonster/Arc-Dust/blob/f6f98515c005dc3c73cccd9cbc031691745740c6/02-Arc-Dust-Worldbuilding/world/materials/chitin.md</x:v>
      </x:c>
    </x:row>
    <x:row r="10" ht="90" customHeight="1">
      <x:c r="A10" s="4" t="str">
        <x:v>proposal.container.marked_flask</x:v>
      </x:c>
      <x:c r="B10" s="4" t="str">
        <x:v>Marked glass flask</x:v>
      </x:c>
      <x:c r="C10" s="4" t="inlineStr">
        <x:is>
          <x:t xml:space="preserve">Ordinary salvage</x:t>
        </x:is>
      </x:c>
      <x:c r="D10" s="4" t="str">
        <x:v>Clear glass with etched marks</x:v>
      </x:c>
      <x:c r="E10" s="4" t="inlineStr">
        <x:is>
          <x:t xml:space="preserve">Ordinary found salvage; possible reuse or material recovery after inspection.</x:t>
        </x:is>
      </x:c>
      <x:c r="F10" s="4" t="inlineStr">
        <x:is>
          <x:t xml:space="preserve">Unspecified</x:t>
        </x:is>
      </x:c>
      <x:c r="G10" s="4" t="inlineStr">
        <x:is>
          <x:t xml:space="preserve">No special closure mechanic</x:t>
        </x:is>
      </x:c>
      <x:c r="H10" s="4" t="inlineStr">
        <x:is>
          <x:t xml:space="preserve">No assigned contents or payload</x:t>
        </x:is>
      </x:c>
      <x:c r="I10" s="4" t="inlineStr">
        <x:is>
          <x:t xml:space="preserve">No special container behavior, capacity, payload, sealing, sample handling or carrier eligibility. Specific reuse and recovery yields remain undecided.</x:t>
        </x:is>
      </x:c>
      <x:c r="J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0" s="4" t="str">
        <x:v>https://github.com/sleepyseamonster/Arc-Dust/blob/f6f98515c005dc3c73cccd9cbc031691745740c6/02-Arc-Dust-Worldbuilding/world/materials/glass.md; https://github.com/sleepyseamonster/Arc-Dust/blob/f6f98515c005dc3c73cccd9cbc031691745740c6/02-Arc-Dust-Worldbuilding/world/materials/chitin.md</x:v>
      </x:c>
    </x:row>
    <x:row r="11" ht="90" customHeight="1">
      <x:c r="A11" s="4" t="str">
        <x:v>proposal.container.shell_cage</x:v>
      </x:c>
      <x:c r="B11" s="4" t="str">
        <x:v>Shell-caged glass flask</x:v>
      </x:c>
      <x:c r="C11" s="4" t="inlineStr">
        <x:is>
          <x:t xml:space="preserve">Ordinary salvage</x:t>
        </x:is>
      </x:c>
      <x:c r="D11" s="4" t="str">
        <x:v>Glass inner vessel; slotted shell outer cage</x:v>
      </x:c>
      <x:c r="E11" s="4" t="inlineStr">
        <x:is>
          <x:t xml:space="preserve">Ordinary found salvage; possible reuse or material recovery after inspection.</x:t>
        </x:is>
      </x:c>
      <x:c r="F11" s="4" t="inlineStr">
        <x:is>
          <x:t xml:space="preserve">Unspecified</x:t>
        </x:is>
      </x:c>
      <x:c r="G11" s="4" t="inlineStr">
        <x:is>
          <x:t xml:space="preserve">No special closure mechanic</x:t>
        </x:is>
      </x:c>
      <x:c r="H11" s="4" t="inlineStr">
        <x:is>
          <x:t xml:space="preserve">No assigned contents or payload</x:t>
        </x:is>
      </x:c>
      <x:c r="I11" s="4" t="inlineStr">
        <x:is>
          <x:t xml:space="preserve">No special container behavior, capacity, payload, sealing, sample handling or carrier eligibility. Specific reuse and recovery yields remain undecided.</x:t>
        </x:is>
      </x:c>
      <x:c r="J1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1" s="4" t="str">
        <x:v>https://github.com/sleepyseamonster/Arc-Dust/blob/f6f98515c005dc3c73cccd9cbc031691745740c6/02-Arc-Dust-Worldbuilding/world/materials/glass.md; https://github.com/sleepyseamonster/Arc-Dust/blob/f6f98515c005dc3c73cccd9cbc031691745740c6/02-Arc-Dust-Worldbuilding/world/materials/chitin.md</x:v>
      </x:c>
    </x:row>
    <x:row r="12" ht="90" customHeight="1">
      <x:c r="A12" s="4" t="str">
        <x:v>proposal.container.lined_canister</x:v>
      </x:c>
      <x:c r="B12" s="4" t="str">
        <x:v>Glass-lined haul canister</x:v>
      </x:c>
      <x:c r="C12" s="4" t="inlineStr">
        <x:is>
          <x:t xml:space="preserve">Ordinary salvage</x:t>
        </x:is>
      </x:c>
      <x:c r="D12" s="4" t="str">
        <x:v>Metal/shell outer body; replaceable glass liner</x:v>
      </x:c>
      <x:c r="E12" s="4" t="inlineStr">
        <x:is>
          <x:t xml:space="preserve">Ordinary found salvage; possible reuse or material recovery after inspection.</x:t>
        </x:is>
      </x:c>
      <x:c r="F12" s="4" t="inlineStr">
        <x:is>
          <x:t xml:space="preserve">Unspecified</x:t>
        </x:is>
      </x:c>
      <x:c r="G12" s="4" t="inlineStr">
        <x:is>
          <x:t xml:space="preserve">No special closure mechanic</x:t>
        </x:is>
      </x:c>
      <x:c r="H12" s="4" t="inlineStr">
        <x:is>
          <x:t xml:space="preserve">No assigned contents or payload</x:t>
        </x:is>
      </x:c>
      <x:c r="I12" s="4" t="inlineStr">
        <x:is>
          <x:t xml:space="preserve">No special container behavior, capacity, payload, sealing, sample handling or carrier eligibility. Specific reuse and recovery yields remain undecided.</x:t>
        </x:is>
      </x:c>
      <x:c r="J1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2" s="4" t="str">
        <x:v>https://github.com/sleepyseamonster/Arc-Dust/blob/f6f98515c005dc3c73cccd9cbc031691745740c6/02-Arc-Dust-Worldbuilding/world/materials/glass.md; https://github.com/sleepyseamonster/Arc-Dust/blob/f6f98515c005dc3c73cccd9cbc031691745740c6/02-Arc-Dust-Worldbuilding/world/materials/chitin.md</x:v>
      </x:c>
    </x:row>
    <x:row r="13" ht="90" customHeight="1">
      <x:c r="A13" s="4" t="str">
        <x:v>proposal.container.ceramic_jar</x:v>
      </x:c>
      <x:c r="B13" s="4" t="str">
        <x:v>Glazed ceramic reagent jar</x:v>
      </x:c>
      <x:c r="C13" s="4" t="inlineStr">
        <x:is>
          <x:t xml:space="preserve">Ordinary salvage</x:t>
        </x:is>
      </x:c>
      <x:c r="D13" s="4" t="str">
        <x:v>Fired ceramic; proposed glaze; rigid lid</x:v>
      </x:c>
      <x:c r="E13" s="4" t="inlineStr">
        <x:is>
          <x:t xml:space="preserve">Ordinary found salvage; possible reuse or material recovery after inspection.</x:t>
        </x:is>
      </x:c>
      <x:c r="F13" s="4" t="inlineStr">
        <x:is>
          <x:t xml:space="preserve">Unspecified</x:t>
        </x:is>
      </x:c>
      <x:c r="G13" s="4" t="inlineStr">
        <x:is>
          <x:t xml:space="preserve">No special closure mechanic</x:t>
        </x:is>
      </x:c>
      <x:c r="H13" s="4" t="inlineStr">
        <x:is>
          <x:t xml:space="preserve">No assigned contents or payload</x:t>
        </x:is>
      </x:c>
      <x:c r="I13" s="4" t="inlineStr">
        <x:is>
          <x:t xml:space="preserve">No special container behavior, capacity, payload, sealing, sample handling or carrier eligibility. Specific reuse and recovery yields remain undecided.</x:t>
        </x:is>
      </x:c>
      <x:c r="J1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3" s="4" t="str">
        <x:v>https://github.com/sleepyseamonster/Arc-Dust/blob/f6f98515c005dc3c73cccd9cbc031691745740c6/02-Arc-Dust-Worldbuilding/world/materials/glass.md; https://github.com/sleepyseamonster/Arc-Dust/blob/f6f98515c005dc3c73cccd9cbc031691745740c6/02-Arc-Dust-Worldbuilding/world/materials/chitin.md</x:v>
      </x:c>
    </x:row>
    <x:row r="14" ht="90" customHeight="1">
      <x:c r="A14" s="4" t="str">
        <x:v>proposal.container.bulk_ichor</x:v>
      </x:c>
      <x:c r="B14" s="4" t="str">
        <x:v>Bulk ichor vessel</x:v>
      </x:c>
      <x:c r="C14" s="4" t="str">
        <x:v>Primary vessel</x:v>
      </x:c>
      <x:c r="D14" s="4" t="str">
        <x:v>Reinforced outer body; qualified inner lining TBD</x:v>
      </x:c>
      <x:c r="E14" s="4" t="str">
        <x:v>Make a large harvest an expedition haul decision</x:v>
      </x:c>
      <x:c r="F14" s="4" t="str">
        <x:v>Bulk cargo</x:v>
      </x:c>
      <x:c r="G14" s="4" t="str">
        <x:v>Service lid and separate transfer fitting proposed</x:v>
      </x:c>
      <x:c r="H14" s="4" t="str">
        <x:v>One species/batch of gathered ichor</x:v>
      </x:c>
      <x:c r="I14" s="4" t="str">
        <x:v>Finite Legger cargo and contents mass; no backpack resource exception or free capacity</x:v>
      </x:c>
      <x:c r="J14" s="4" t="str">
        <x:v>New bulk vessel proposal; no liter capacity, hose or extraction mechanic approved</x:v>
      </x:c>
      <x:c r="K14" s="4" t="str">
        <x:v>https://github.com/sleepyseamonster/Arc-Dust/blob/f6f98515c005dc3c73cccd9cbc031691745740c6/02-Arc-Dust-Worldbuilding/world/materials/glass.md; https://github.com/sleepyseamonster/Arc-Dust/blob/f6f98515c005dc3c73cccd9cbc031691745740c6/02-Arc-Dust-Worldbuilding/world/materials/chitin.md</x:v>
      </x:c>
    </x:row>
    <x:row r="15" ht="90" customHeight="1">
      <x:c r="A15" s="4"/>
      <x:c r="B15" s="4"/>
      <x:c r="C15" s="4"/>
      <x:c r="D15" s="4"/>
      <x:c r="E15" s="4"/>
      <x:c r="F15" s="4"/>
      <x:c r="G15" s="4"/>
      <x:c r="H15" s="4"/>
      <x:c r="I15" s="4"/>
      <x:c r="J15" s="4"/>
      <x:c r="K15" s="4"/>
    </x:row>
    <x:row r="16" ht="90" customHeight="1">
      <x:c r="A16" s="4" t="str">
        <x:v>proposal.container.sealed_box</x:v>
      </x:c>
      <x:c r="B16" s="4" t="str">
        <x:v>Sealed cargo box</x:v>
      </x:c>
      <x:c r="C16" s="4" t="inlineStr">
        <x:is>
          <x:t xml:space="preserve">Ordinary salvage</x:t>
        </x:is>
      </x:c>
      <x:c r="D16" s="4" t="str">
        <x:v>Shell panels or metal; rigid dividers</x:v>
      </x:c>
      <x:c r="E16" s="4" t="inlineStr">
        <x:is>
          <x:t xml:space="preserve">Ordinary found salvage; possible reuse or material recovery after inspection.</x:t>
        </x:is>
      </x:c>
      <x:c r="F16" s="4" t="inlineStr">
        <x:is>
          <x:t xml:space="preserve">Unspecified</x:t>
        </x:is>
      </x:c>
      <x:c r="G16" s="4" t="inlineStr">
        <x:is>
          <x:t xml:space="preserve">No special closure mechanic</x:t>
        </x:is>
      </x:c>
      <x:c r="H16" s="4" t="inlineStr">
        <x:is>
          <x:t xml:space="preserve">No assigned contents or payload</x:t>
        </x:is>
      </x:c>
      <x:c r="I16" s="4" t="inlineStr">
        <x:is>
          <x:t xml:space="preserve">No special container behavior, capacity, payload, sealing, sample handling or carrier eligibility. Specific reuse and recovery yields remain undecided.</x:t>
        </x:is>
      </x:c>
      <x:c r="J1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6" s="4" t="str">
        <x:v>https://github.com/sleepyseamonster/Arc-Dust/blob/f6f98515c005dc3c73cccd9cbc031691745740c6/02-Arc-Dust-Worldbuilding/world/materials/glass.md; https://github.com/sleepyseamonster/Arc-Dust/blob/f6f98515c005dc3c73cccd9cbc031691745740c6/02-Arc-Dust-Worldbuilding/world/materials/chitin.md</x:v>
      </x:c>
    </x:row>
    <x:row r="17" ht="90" customHeight="1">
      <x:c r="A17" s="4" t="str">
        <x:v>proposal.container.field_chest</x:v>
      </x:c>
      <x:c r="B17" s="4" t="str">
        <x:v>Locking field chest</x:v>
      </x:c>
      <x:c r="C17" s="4" t="str">
        <x:v>Storage object candidate</x:v>
      </x:c>
      <x:c r="D17" s="4" t="str">
        <x:v>Metal/shell chest; rigid compartment tray</x:v>
      </x:c>
      <x:c r="E17" s="4" t="str">
        <x:v>Secure expedition samples at a physical camp/worksite</x:v>
      </x:c>
      <x:c r="F17" s="4" t="str">
        <x:v>Local storage</x:v>
      </x:c>
      <x:c r="G17" s="4" t="str">
        <x:v>Mechanical lock and rigid lid proposed</x:v>
      </x:c>
      <x:c r="H17" s="4" t="str">
        <x:v>Sealed vessels and dry material</x:v>
      </x:c>
      <x:c r="I17" s="4" t="str">
        <x:v>Physical local owner; no global stockpile. Portable versus fixed identity undecided</x:v>
      </x:c>
      <x:c r="J17" s="4" t="str">
        <x:v>New storage-object candidate; not another implemented camp chest</x:v>
      </x:c>
      <x:c r="K17" s="4" t="str">
        <x:v>https://github.com/sleepyseamonster/Arc-Dust/blob/f6f98515c005dc3c73cccd9cbc031691745740c6/02-Arc-Dust-Worldbuilding/world/materials/glass.md; https://github.com/sleepyseamonster/Arc-Dust/blob/f6f98515c005dc3c73cccd9cbc031691745740c6/02-Arc-Dust-Worldbuilding/world/materials/chitin.md</x:v>
      </x:c>
    </x:row>
    <x:row r="18" ht="90" customHeight="1">
      <x:c r="A18" s="4"/>
      <x:c r="B18" s="4"/>
      <x:c r="C18" s="4"/>
      <x:c r="D18" s="4"/>
      <x:c r="E18" s="4"/>
      <x:c r="F18" s="4"/>
      <x:c r="G18" s="4"/>
      <x:c r="H18" s="4"/>
      <x:c r="I18" s="4"/>
      <x:c r="J18" s="4"/>
      <x:c r="K18" s="4"/>
    </x:row>
    <x:row r="19" ht="90" customHeight="1">
      <x:c r="A19" s="4" t="str">
        <x:v>proposal.container.draw_tube</x:v>
      </x:c>
      <x:c r="B19" s="4" t="str">
        <x:v>Glass draw tube</x:v>
      </x:c>
      <x:c r="C19" s="4" t="inlineStr">
        <x:is>
          <x:t xml:space="preserve">Ordinary salvage</x:t>
        </x:is>
      </x:c>
      <x:c r="D19" s="4" t="str">
        <x:v>Glass tube; proposed mechanical fitting</x:v>
      </x:c>
      <x:c r="E19" s="4" t="inlineStr">
        <x:is>
          <x:t xml:space="preserve">Ordinary found salvage; possible reuse or material recovery after inspection.</x:t>
        </x:is>
      </x:c>
      <x:c r="F19" s="4" t="inlineStr">
        <x:is>
          <x:t xml:space="preserve">Unspecified</x:t>
        </x:is>
      </x:c>
      <x:c r="G19" s="4" t="inlineStr">
        <x:is>
          <x:t xml:space="preserve">No special closure mechanic</x:t>
        </x:is>
      </x:c>
      <x:c r="H19" s="4" t="inlineStr">
        <x:is>
          <x:t xml:space="preserve">No assigned contents or payload</x:t>
        </x:is>
      </x:c>
      <x:c r="I19" s="4" t="inlineStr">
        <x:is>
          <x:t xml:space="preserve">No special container behavior, capacity, payload, sealing, sample handling or carrier eligibility. Specific reuse and recovery yields remain undecided.</x:t>
        </x:is>
      </x:c>
      <x:c r="J1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9" s="4" t="str">
        <x:v>https://github.com/sleepyseamonster/Arc-Dust/blob/f6f98515c005dc3c73cccd9cbc031691745740c6/02-Arc-Dust-Worldbuilding/world/materials/glass.md; https://github.com/sleepyseamonster/Arc-Dust/blob/f6f98515c005dc3c73cccd9cbc031691745740c6/02-Arc-Dust-Worldbuilding/world/materials/chitin.md</x:v>
      </x:c>
    </x:row>
    <x:row r="20" ht="90" customHeight="1">
      <x:c r="A20" s="4" t="str">
        <x:v>proposal.container.glass_stopper</x:v>
      </x:c>
      <x:c r="B20" s="4" t="str">
        <x:v>Matched glass stopper</x:v>
      </x:c>
      <x:c r="C20" s="4" t="inlineStr">
        <x:is>
          <x:t xml:space="preserve">Ordinary salvage</x:t>
        </x:is>
      </x:c>
      <x:c r="D20" s="4" t="str">
        <x:v>Ground glass seat; retaining clip optional</x:v>
      </x:c>
      <x:c r="E20" s="4" t="inlineStr">
        <x:is>
          <x:t xml:space="preserve">Ordinary found salvage; possible reuse or material recovery after inspection.</x:t>
        </x:is>
      </x:c>
      <x:c r="F20" s="4" t="inlineStr">
        <x:is>
          <x:t xml:space="preserve">Unspecified</x:t>
        </x:is>
      </x:c>
      <x:c r="G20" s="4" t="inlineStr">
        <x:is>
          <x:t xml:space="preserve">No special closure mechanic</x:t>
        </x:is>
      </x:c>
      <x:c r="H20" s="4" t="inlineStr">
        <x:is>
          <x:t xml:space="preserve">No assigned contents or payload</x:t>
        </x:is>
      </x:c>
      <x:c r="I20" s="4" t="inlineStr">
        <x:is>
          <x:t xml:space="preserve">No special container behavior, capacity, payload, sealing, sample handling or carrier eligibility. Specific reuse and recovery yields remain undecided.</x:t>
        </x:is>
      </x:c>
      <x:c r="J2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20" s="4" t="str">
        <x:v>https://github.com/sleepyseamonster/Arc-Dust/blob/f6f98515c005dc3c73cccd9cbc031691745740c6/02-Arc-Dust-Worldbuilding/world/materials/glass.md; https://github.com/sleepyseamonster/Arc-Dust/blob/f6f98515c005dc3c73cccd9cbc031691745740c6/02-Arc-Dust-Worldbuilding/world/materials/chitin.md</x:v>
      </x:c>
    </x:row>
    <x:row r="21" ht="90" customHeight="1">
      <x:c r="A21" s="4"/>
      <x:c r="B21" s="4"/>
      <x:c r="C21" s="4"/>
      <x:c r="D21" s="4"/>
      <x:c r="E21" s="4"/>
      <x:c r="F21" s="4"/>
      <x:c r="G21" s="4"/>
      <x:c r="H21" s="4"/>
      <x:c r="I21" s="4"/>
      <x:c r="J21" s="4"/>
      <x:c r="K21" s="4"/>
    </x:row>
  </x:sheetData>
  <x:pageMargins left="0.7" right="0.7" top="0.75" bottom="0.75" header="0.3" footer="0.3"/>
  <x:tableParts count="1">
    <x:tablePart xmlns:r="http://schemas.openxmlformats.org/officeDocument/2006/relationships" r:id="R21dbabbc03c649c3"/>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4" hidden="0" customWidth="1"/>
    <x:col min="2" max="2" width="28" hidden="0" customWidth="1"/>
    <x:col min="3" max="3" width="28" hidden="0" customWidth="1"/>
    <x:col min="4" max="4" width="52" hidden="0" customWidth="1"/>
    <x:col min="5" max="5" width="52" hidden="0" customWidth="1"/>
    <x:col min="6" max="6" width="58" hidden="0" customWidth="1"/>
    <x:col min="7" max="7" width="62" hidden="0" customWidth="1"/>
    <x:col min="8" max="8" width="52" hidden="0" customWidth="1"/>
    <x:col min="9" max="9" width="78" hidden="0" customWidth="1"/>
    <x:col min="10" max="10" width="110" hidden="0" customWidth="1"/>
  </x:cols>
  <x:sheetData>
    <x:row r="1">
      <x:c r="A1" s="1"/>
      <x:c r="B1" s="1"/>
      <x:c r="C1" s="1"/>
      <x:c r="D1" s="1"/>
      <x:c r="E1" s="1"/>
      <x:c r="F1" s="1"/>
      <x:c r="G1" s="1"/>
      <x:c r="H1" s="1"/>
      <x:c r="I1" s="1"/>
      <x:c r="J1" s="1"/>
    </x:row>
    <x:row r="2">
      <x:c r="A2" s="2" t="str">
        <x:v>Armor, shields and backpacks</x:v>
      </x:c>
      <x:c r="B2" s="1"/>
      <x:c r="C2" s="1"/>
      <x:c r="D2" s="1"/>
      <x:c r="E2" s="1"/>
      <x:c r="F2" s="1"/>
      <x:c r="G2" s="1"/>
      <x:c r="H2" s="1"/>
      <x:c r="I2" s="1"/>
      <x:c r="J2" s="1"/>
    </x:row>
    <x:row r="3">
      <x:c r="A3" s="1" t="str">
        <x:v>Requested families. Construction bands are proposals; slots, layering, capacity and effects remain undecided.</x:v>
      </x:c>
      <x:c r="B3" s="1"/>
      <x:c r="C3" s="1"/>
      <x:c r="D3" s="1"/>
      <x:c r="E3" s="1"/>
      <x:c r="F3" s="1"/>
      <x:c r="G3" s="1"/>
      <x:c r="H3" s="1"/>
      <x:c r="I3" s="1"/>
      <x:c r="J3" s="1"/>
    </x:row>
    <x:row r="4">
      <x:c r="A4" s="1"/>
      <x:c r="B4" s="1"/>
      <x:c r="C4" s="1"/>
      <x:c r="D4" s="1"/>
      <x:c r="E4" s="1"/>
      <x:c r="F4" s="1"/>
      <x:c r="G4" s="1"/>
      <x:c r="H4" s="1"/>
      <x:c r="I4" s="1"/>
      <x:c r="J4" s="1"/>
    </x:row>
    <x:row r="5" ht="36" customHeight="1">
      <x:c r="A5" s="45" t="str">
        <x:v>Concept ID</x:v>
      </x:c>
      <x:c r="B5" s="45" t="str">
        <x:v>Item family</x:v>
      </x:c>
      <x:c r="C5" s="45" t="str">
        <x:v>Region / form</x:v>
      </x:c>
      <x:c r="D5" s="45" t="str">
        <x:v>Crude concept</x:v>
      </x:c>
      <x:c r="E5" s="45" t="str">
        <x:v>Serviceable concept</x:v>
      </x:c>
      <x:c r="F5" s="45" t="str">
        <x:v>Elaborate concept</x:v>
      </x:c>
      <x:c r="G5" s="45" t="str">
        <x:v>Material candidates</x:v>
      </x:c>
      <x:c r="H5" s="45" t="str">
        <x:v>Design purpose</x:v>
      </x:c>
      <x:c r="I5" s="45" t="str">
        <x:v>Open compatibility / ownership</x:v>
      </x:c>
      <x:c r="J5" s="45" t="str">
        <x:v>Status / basis</x:v>
      </x:c>
    </x:row>
    <x:row r="6" ht="100" customHeight="1">
      <x:c r="A6" s="4"/>
      <x:c r="B6" s="4"/>
      <x:c r="C6" s="4"/>
      <x:c r="D6" s="4"/>
      <x:c r="E6" s="4"/>
      <x:c r="F6" s="4"/>
      <x:c r="G6" s="4"/>
      <x:c r="H6" s="4"/>
      <x:c r="I6" s="4"/>
      <x:c r="J6" s="4"/>
    </x:row>
    <x:row r="7" ht="100" customHeight="1">
      <x:c r="A7" s="4"/>
      <x:c r="B7" s="4"/>
      <x:c r="C7" s="4"/>
      <x:c r="D7" s="4"/>
      <x:c r="E7" s="4"/>
      <x:c r="F7" s="4"/>
      <x:c r="G7" s="4"/>
      <x:c r="H7" s="4"/>
      <x:c r="I7" s="4"/>
      <x:c r="J7" s="4"/>
    </x:row>
    <x:row r="8" ht="100" customHeight="1">
      <x:c r="A8" s="4" t="str">
        <x:v>proposal.gear.chest_armor</x:v>
      </x:c>
      <x:c r="B8" s="4" t="str">
        <x:v>Chest armor</x:v>
      </x:c>
      <x:c r="C8" s="4" t="str">
        <x:v>Torso plate</x:v>
      </x:c>
      <x:c r="D8" s="4" t="str">
        <x:v>Single repaired plate and simple retaining hardware</x:v>
      </x:c>
      <x:c r="E8" s="4" t="str">
        <x:v>Shaped front/back panels with accessible closures</x:v>
      </x:c>
      <x:c r="F8" s="4" t="str">
        <x:v>Fitted articulated chest assembly with replaceable panels</x:v>
      </x:c>
      <x:c r="G8" s="4" t="str">
        <x:v>Worked metal; optional shell/mineral-backed design</x:v>
      </x:c>
      <x:c r="H8" s="4" t="str">
        <x:v>Torso protection candidate</x:v>
      </x:c>
      <x:c r="I8" s="4" t="str">
        <x:v>Relationship to chainmail, jacket, cloak and canisters unresolved; no automatic Jacket-slot compatibility</x:v>
      </x:c>
      <x:c r="J8"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9" ht="100" customHeight="1">
      <x:c r="A9" s="4" t="str">
        <x:v>proposal.gear.helmet</x:v>
      </x:c>
      <x:c r="B9" s="4" t="str">
        <x:v>Helmet</x:v>
      </x:c>
      <x:c r="C9" s="4" t="str">
        <x:v>Head</x:v>
      </x:c>
      <x:c r="D9" s="4" t="str">
        <x:v>Simple open bowl or salvaged cap</x:v>
      </x:c>
      <x:c r="E9" s="4" t="str">
        <x:v>Fitted shell with cheek/neck coverage options</x:v>
      </x:c>
      <x:c r="F9" s="4" t="str">
        <x:v>Articulated protective helmet with carefully framed sightlines</x:v>
      </x:c>
      <x:c r="G9" s="4" t="str">
        <x:v>Metal; optional shell panels; liner material undecided</x:v>
      </x:c>
      <x:c r="H9" s="4" t="str">
        <x:v>Head protection with readable sight/hearing tradeoffs</x:v>
      </x:c>
      <x:c r="I9" s="4" t="str">
        <x:v>Visibility, hearing, breathing and worn canister interaction need design; no sealed respiratory protection implied</x:v>
      </x:c>
      <x:c r="J9"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0" ht="100" customHeight="1">
      <x:c r="A10" s="4" t="str">
        <x:v>proposal.gear.leg_armor</x:v>
      </x:c>
      <x:c r="B10" s="4" t="str">
        <x:v>Leg armor</x:v>
      </x:c>
      <x:c r="C10" s="4" t="str">
        <x:v>Lower limbs</x:v>
      </x:c>
      <x:c r="D10" s="4" t="str">
        <x:v>Separate shin plates and exposed joints</x:v>
      </x:c>
      <x:c r="E10" s="4" t="str">
        <x:v>Matched shin/knee protection</x:v>
      </x:c>
      <x:c r="F10" s="4" t="str">
        <x:v>Articulated thigh/knee/shin assembly</x:v>
      </x:c>
      <x:c r="G10" s="4" t="str">
        <x:v>Metal plate segments; mechanical/flexible joints TBD</x:v>
      </x:c>
      <x:c r="H10" s="4" t="str">
        <x:v>Lower-limb protection candidate</x:v>
      </x:c>
      <x:c r="I10" s="4" t="str">
        <x:v>Crouch, climb, gait and boots must remain compatible; no movement penalties fixed</x:v>
      </x:c>
      <x:c r="J10"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1" ht="100" customHeight="1">
      <x:c r="A11" s="4"/>
      <x:c r="B11" s="4"/>
      <x:c r="C11" s="4"/>
      <x:c r="D11" s="4"/>
      <x:c r="E11" s="4"/>
      <x:c r="F11" s="4"/>
      <x:c r="G11" s="4"/>
      <x:c r="H11" s="4"/>
      <x:c r="I11" s="4"/>
      <x:c r="J11" s="4"/>
    </x:row>
    <x:row r="12" ht="100" customHeight="1">
      <x:c r="A12" s="4"/>
      <x:c r="B12" s="4"/>
      <x:c r="C12" s="4"/>
      <x:c r="D12" s="4"/>
      <x:c r="E12" s="4"/>
      <x:c r="F12" s="4"/>
      <x:c r="G12" s="4"/>
      <x:c r="H12" s="4"/>
      <x:c r="I12" s="4"/>
      <x:c r="J12" s="4"/>
    </x:row>
    <x:row r="13" ht="100" customHeight="1">
      <x:c r="A13" s="4" t="str">
        <x:v>proposal.gear.backpack</x:v>
      </x:c>
      <x:c r="B13" s="4" t="str">
        <x:v>Backpack</x:v>
      </x:c>
      <x:c r="C13" s="4" t="str">
        <x:v>Back-mounted carrier</x:v>
      </x:c>
      <x:c r="D13" s="4" t="str">
        <x:v>Rigid back basket or simple carrying frame</x:v>
      </x:c>
      <x:c r="E13" s="4" t="str">
        <x:v>Compartmented shell/metal case on a fitted frame</x:v>
      </x:c>
      <x:c r="F13" s="4" t="str">
        <x:v>Tailored frame with modular tool mounts and access panels</x:v>
      </x:c>
      <x:c r="G13" s="4" t="str">
        <x:v>Shell panels, metal frame, hinges; harness material unresolved</x:v>
      </x:c>
      <x:c r="H13" s="4" t="str">
        <x:v>Booter-carried supplies/tool carrier candidate</x:v>
      </x:c>
      <x:c r="I13" s="4" t="str">
        <x:v>No raw-resource carrying exception. Capacity, equipment spares, cloak clearance and mounts remain open</x:v>
      </x:c>
      <x:c r="J13"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4" ht="100" customHeight="1">
      <x:c r="A14" s="4" t="str">
        <x:v>proposal.gear.special_plates</x:v>
      </x:c>
      <x:c r="B14" s="4" t="str">
        <x:v>Specialized armor plates</x:v>
      </x:c>
      <x:c r="C14" s="4" t="str">
        <x:v>Modular protection</x:v>
      </x:c>
      <x:c r="D14" s="4" t="str">
        <x:v>Replaceable abrasion plate or bolted reinforcement</x:v>
      </x:c>
      <x:c r="E14" s="4" t="str">
        <x:v>Purpose-shaped joint cover or impact-spreading module</x:v>
      </x:c>
      <x:c r="F14" s="4" t="str">
        <x:v>Integrated interchangeable plate system for specific tasks</x:v>
      </x:c>
      <x:c r="G14" s="4" t="str">
        <x:v>Metal, shell and optional mineral/ceramic layers; recipes TBD</x:v>
      </x:c>
      <x:c r="H14" s="4" t="str">
        <x:v>Purpose-specific protection modules</x:v>
      </x:c>
      <x:c r="I14" s="4" t="str">
        <x:v>Candidate functions: impact distribution, abrasion protection, joint coverage and electrical separation; all effects unapproved</x:v>
      </x:c>
      <x:c r="J14"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5" ht="100" customHeight="1">
      <x:c r="A15" s="4"/>
      <x:c r="B15" s="4"/>
      <x:c r="C15" s="4"/>
      <x:c r="D15" s="4"/>
      <x:c r="E15" s="4"/>
      <x:c r="F15" s="4"/>
      <x:c r="G15" s="4"/>
      <x:c r="H15" s="4"/>
      <x:c r="I15" s="4"/>
      <x:c r="J15" s="4"/>
    </x:row>
    <x:row r="16" ht="100" customHeight="1">
      <x:c r="A16" s="4" t="str">
        <x:v>proposal.fashion.special_spectacles</x:v>
      </x:c>
      <x:c r="B16" s="4" t="str">
        <x:v>Specialized spectacles</x:v>
      </x:c>
      <x:c r="C16" s="4" t="str">
        <x:v>Specialist eyewear</x:v>
      </x:c>
      <x:c r="D16" s="4" t="str">
        <x:v>Simple form remains rare; construction TBD</x:v>
      </x:c>
      <x:c r="E16" s="4" t="str">
        <x:v>Workmanship and fit TBD</x:v>
      </x:c>
      <x:c r="F16" s="4" t="str">
        <x:v>Fine finish and specialist details TBD</x:v>
      </x:c>
      <x:c r="G16" s="4" t="str">
        <x:v>Lens and frame materials/requirements TBD</x:v>
      </x:c>
      <x:c r="H16" s="4" t="str">
        <x:v>Rare specialized eyewear; precise purpose and optical effect to define.</x:v>
      </x:c>
      <x:c r="I16" s="4" t="str">
        <x:v>Specific purpose, lens manufacture, face fit and equipment compatibility remain open</x:v>
      </x:c>
      <x:c r="J16"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7" ht="100" customHeight="1">
      <x:c r="A17" s="4" t="str">
        <x:v>proposal.fashion.eyeglasses</x:v>
      </x:c>
      <x:c r="B17" s="4" t="str">
        <x:v>Eyeglasses</x:v>
      </x:c>
      <x:c r="C17" s="4" t="str">
        <x:v>Eyewear</x:v>
      </x:c>
      <x:c r="D17" s="4" t="str">
        <x:v>Simple form remains rare; construction TBD</x:v>
      </x:c>
      <x:c r="E17" s="4" t="str">
        <x:v>Workmanship and fit TBD</x:v>
      </x:c>
      <x:c r="F17" s="4" t="str">
        <x:v>Fine finish and specialist details TBD</x:v>
      </x:c>
      <x:c r="G17" s="4" t="str">
        <x:v>Lens and frame materials/requirements TBD</x:v>
      </x:c>
      <x:c r="H17" s="4" t="str">
        <x:v>Rare eyeglasses; lens function, frame and fitting need design.</x:v>
      </x:c>
      <x:c r="I17" s="4" t="str">
        <x:v>Distinction from specialized spectacles and actual vision effects remain open</x:v>
      </x:c>
      <x:c r="J17"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8" ht="100" customHeight="1">
      <x:c r="A18" s="4"/>
      <x:c r="B18" s="4"/>
      <x:c r="C18" s="4"/>
      <x:c r="D18" s="4"/>
      <x:c r="E18" s="4"/>
      <x:c r="F18" s="4"/>
      <x:c r="G18" s="4"/>
      <x:c r="H18" s="4"/>
      <x:c r="I18" s="4"/>
      <x:c r="J18" s="4"/>
    </x:row>
    <x:row r="19" ht="100" customHeight="1">
      <x:c r="A19" s="4" t="str">
        <x:v>proposal.fashion.husk_garment</x:v>
      </x:c>
      <x:c r="B19" s="4" t="str">
        <x:v>Elaborate husk-fiber wear</x:v>
      </x:c>
      <x:c r="C19" s="4" t="str">
        <x:v>Fashion garment</x:v>
      </x:c>
      <x:c r="D19" s="4" t="str">
        <x:v>Simpler finish within the rare fashion family</x:v>
      </x:c>
      <x:c r="E19" s="4" t="str">
        <x:v>Workmanship and fit TBD</x:v>
      </x:c>
      <x:c r="F19" s="4" t="str">
        <x:v>Fine finish and specialist details TBD</x:v>
      </x:c>
      <x:c r="G19" s="4" t="str">
        <x:v>Husk-fiber material; no cloth</x:v>
      </x:c>
      <x:c r="H19" s="4" t="str">
        <x:v>Very rare elaborate fashion; everyday simple wraps/metal wear separate</x:v>
      </x:c>
      <x:c r="I19" s="4" t="str">
        <x:v>Large material/time demand; no universal scarcity for ordinary wear</x:v>
      </x:c>
      <x:c r="J19" s="4" t="str">
        <x:v>Direct author clarification, October 14, 2026; Docs/WORLD_BASIS.md#material-culture. Ordinary wear: simple wraps, metal chainmail and practical metal-based pieces with minimal fur. Elaborate fashion remains rare/expensive; no cloth.</x:v>
      </x:c>
    </x:row>
    <x:row r="20" ht="100" customHeight="1">
      <x:c r="A20" s="4" t="str">
        <x:v>proposal.fashion.fur_garment</x:v>
      </x:c>
      <x:c r="B20" s="4" t="str">
        <x:v>Elaborate fur wear</x:v>
      </x:c>
      <x:c r="C20" s="4" t="str">
        <x:v>Fashion garment</x:v>
      </x:c>
      <x:c r="D20" s="4" t="str">
        <x:v>Simpler finish within the rare fashion family</x:v>
      </x:c>
      <x:c r="E20" s="4" t="str">
        <x:v>Workmanship and fit TBD</x:v>
      </x:c>
      <x:c r="F20" s="4" t="str">
        <x:v>Fine finish and specialist details TBD</x:v>
      </x:c>
      <x:c r="G20" s="4" t="str">
        <x:v>Animal fur; supporting material TBD; no cloth</x:v>
      </x:c>
      <x:c r="H20" s="4" t="str">
        <x:v>Very rare elaborate fashion; everyday simple wraps/metal wear separate</x:v>
      </x:c>
      <x:c r="I20" s="4" t="str">
        <x:v>Large material/time demand; no universal scarcity for ordinary wear</x:v>
      </x:c>
      <x:c r="J20" s="4" t="str">
        <x:v>Direct author clarification, October 14, 2026; Docs/WORLD_BASIS.md#material-culture. Ordinary wear: simple wraps, metal chainmail and practical metal-based pieces with minimal fur. Elaborate fashion remains rare/expensive; no cloth.</x:v>
      </x:c>
    </x:row>
    <x:row r="21" ht="100" customHeight="1">
      <x:c r="A21" s="4" t="str">
        <x:v>proposal.fashion.hide_garment</x:v>
      </x:c>
      <x:c r="B21" s="4" t="str">
        <x:v>Elaborate hide wear</x:v>
      </x:c>
      <x:c r="C21" s="4" t="str">
        <x:v>Fashion garment</x:v>
      </x:c>
      <x:c r="D21" s="4" t="str">
        <x:v>Simpler finish within the rare fashion family</x:v>
      </x:c>
      <x:c r="E21" s="4" t="str">
        <x:v>Workmanship and fit TBD</x:v>
      </x:c>
      <x:c r="F21" s="4" t="str">
        <x:v>Fine finish and specialist details TBD</x:v>
      </x:c>
      <x:c r="G21" s="4" t="str">
        <x:v>Processed hide; supporting material TBD; no cloth</x:v>
      </x:c>
      <x:c r="H21" s="4" t="str">
        <x:v>Very rare elaborate fashion; everyday simple wraps/metal wear separate</x:v>
      </x:c>
      <x:c r="I21" s="4" t="str">
        <x:v>Large material/time demand; no universal scarcity for ordinary wear</x:v>
      </x:c>
      <x:c r="J21" s="4" t="str">
        <x:v>Direct author clarification, October 14, 2026; Docs/WORLD_BASIS.md#material-culture. Ordinary wear: simple wraps, metal chainmail and practical metal-based pieces with minimal fur. Elaborate fashion remains rare/expensive; no cloth.</x:v>
      </x:c>
    </x:row>
    <x:row r="22" ht="100" customHeight="1">
      <x:c r="A22" s="4" t="str">
        <x:v>proposal.gear.simple_wraps</x:v>
      </x:c>
      <x:c r="B22" s="4" t="str">
        <x:v>Simple everyday wraps</x:v>
      </x:c>
      <x:c r="C22" s="4" t="str">
        <x:v>Everyday clothing</x:v>
      </x:c>
      <x:c r="D22" s="4" t="str">
        <x:v>Simple wrap; pattern TBD</x:v>
      </x:c>
      <x:c r="E22" s="4" t="str">
        <x:v>Fastening and fit TBD</x:v>
      </x:c>
      <x:c r="F22" s="4" t="str">
        <x:v>Elaborate fashion variant would be separate</x:v>
      </x:c>
      <x:c r="G22" s="4" t="str">
        <x:v>No cloth; exact wrap construction and minimal-fur/metal combination TBD</x:v>
      </x:c>
      <x:c r="H22" s="4" t="str">
        <x:v>Everyday clothing baseline</x:v>
      </x:c>
      <x:c r="I22" s="4" t="str">
        <x:v>Coverage, layering and attachment remain open</x:v>
      </x:c>
      <x:c r="J22" s="4" t="str">
        <x:v>Direct author clarification, October 14, 2026; Docs/WORLD_BASIS.md#material-culture. Ordinary wear: simple wraps, metal chainmail and practical metal-based pieces with minimal fur. Elaborate fashion remains rare/expensive; no cloth.</x:v>
      </x:c>
    </x:row>
  </x:sheetData>
  <x:pageMargins left="0.7" right="0.7" top="0.75" bottom="0.75" header="0.3" footer="0.3"/>
  <x:tableParts count="1">
    <x:tablePart xmlns:r="http://schemas.openxmlformats.org/officeDocument/2006/relationships" r:id="R7eea49e8e1d8488d"/>
  </x:tableParts>
</x:worksheet>
</file>

<file path=xl/worksheets/sheet11.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5" hidden="0" customWidth="1"/>
    <x:col min="2" max="2" width="32" hidden="0" customWidth="1"/>
    <x:col min="3" max="3" width="24" hidden="0" customWidth="1"/>
    <x:col min="4" max="4" width="55" hidden="0" customWidth="1"/>
    <x:col min="5" max="5" width="65" hidden="0" customWidth="1"/>
    <x:col min="6" max="6" width="62" hidden="0" customWidth="1"/>
    <x:col min="7" max="7" width="82" hidden="0" customWidth="1"/>
    <x:col min="8" max="8" width="115" hidden="0" customWidth="1"/>
  </x:cols>
  <x:sheetData>
    <x:row r="1">
      <x:c r="A1" s="1"/>
      <x:c r="B1" s="1"/>
      <x:c r="C1" s="1"/>
      <x:c r="D1" s="1"/>
      <x:c r="E1" s="1"/>
      <x:c r="F1" s="1"/>
      <x:c r="G1" s="1"/>
      <x:c r="H1" s="1"/>
    </x:row>
    <x:row r="2">
      <x:c r="A2" s="2" t="str">
        <x:v>Canister parts, service and craft</x:v>
      </x:c>
      <x:c r="B2" s="1"/>
      <x:c r="C2" s="1"/>
      <x:c r="D2" s="1"/>
      <x:c r="E2" s="1"/>
      <x:c r="F2" s="1"/>
      <x:c r="G2" s="1"/>
      <x:c r="H2" s="1"/>
    </x:row>
    <x:row r="3">
      <x:c r="A3" s="1" t="str">
        <x:v>New item proposals from source drafts. Existing algae/dust canisters and gameplay remain unchanged.</x:v>
      </x:c>
      <x:c r="B3" s="1"/>
      <x:c r="C3" s="1"/>
      <x:c r="D3" s="1"/>
      <x:c r="E3" s="1"/>
      <x:c r="F3" s="1"/>
      <x:c r="G3" s="1"/>
      <x:c r="H3" s="1"/>
    </x:row>
    <x:row r="4">
      <x:c r="A4" s="1"/>
      <x:c r="B4" s="1"/>
      <x:c r="C4" s="1"/>
      <x:c r="D4" s="1"/>
      <x:c r="E4" s="1"/>
      <x:c r="F4" s="1"/>
      <x:c r="G4" s="1"/>
      <x:c r="H4" s="1"/>
    </x:row>
    <x:row r="5" ht="36" customHeight="1">
      <x:c r="A5" s="51" t="str">
        <x:v>Concept ID</x:v>
      </x:c>
      <x:c r="B5" s="51" t="str">
        <x:v>Part / item</x:v>
      </x:c>
      <x:c r="C5" s="51" t="str">
        <x:v>Category</x:v>
      </x:c>
      <x:c r="D5" s="51" t="str">
        <x:v>Proposed role</x:v>
      </x:c>
      <x:c r="E5" s="51" t="str">
        <x:v>Source relationship</x:v>
      </x:c>
      <x:c r="F5" s="51" t="str">
        <x:v>Material candidates</x:v>
      </x:c>
      <x:c r="G5" s="51" t="str">
        <x:v>Compatibility / boundary</x:v>
      </x:c>
      <x:c r="H5" s="51" t="str">
        <x:v>Source proposal</x:v>
      </x:c>
    </x:row>
    <x:row r="6" ht="95" customHeight="1">
      <x:c r="A6" s="4" t="str">
        <x:v>proposal.canister.body_blank</x:v>
      </x:c>
      <x:c r="B6" s="4" t="str">
        <x:v>Canister body blank</x:v>
      </x:c>
      <x:c r="C6" s="4" t="str">
        <x:v>Crafting components</x:v>
      </x:c>
      <x:c r="D6" s="4" t="str">
        <x:v>Unfinished body for specialist assembly</x:v>
      </x:c>
      <x:c r="E6" s="4" t="str">
        <x:v>Source explicitly distinguishes body fabrication</x:v>
      </x:c>
      <x:c r="F6" s="4" t="str">
        <x:v>Worked metal/alloy choice TBD; shell outer casing possible</x:v>
      </x:c>
      <x:c r="G6" s="4" t="str">
        <x:v>Personal life-support canister and raw-chemical vessel are distinct service roles</x:v>
      </x:c>
      <x:c r="H6" s="4" t="str">
        <x:v>https://github.com/sleepyseamonster/Arc-Dust/blob/f6f98515c005dc3c73cccd9cbc031691745740c6/02-Arc-Dust-Worldbuilding/world/economy/canister/caster-craft.md</x:v>
      </x:c>
    </x:row>
    <x:row r="7" ht="95" customHeight="1">
      <x:c r="A7" s="4" t="str">
        <x:v>proposal.canister.seal_ring</x:v>
      </x:c>
      <x:c r="B7" s="4" t="str">
        <x:v>Replacement seal ring</x:v>
      </x:c>
      <x:c r="C7" s="4" t="str">
        <x:v>Crafting components</x:v>
      </x:c>
      <x:c r="D7" s="4" t="str">
        <x:v>Replaceable fitted sealing part</x:v>
      </x:c>
      <x:c r="E7" s="4" t="str">
        <x:v>Source explicitly describes replaceable seal systems</x:v>
      </x:c>
      <x:c r="F7" s="4" t="str">
        <x:v>Biological/mineral elastic material candidate; formulation TBD</x:v>
      </x:c>
      <x:c r="G7" s="4" t="str">
        <x:v>Seal diameter, compound and service must match; ancient synthetic input not universally required</x:v>
      </x:c>
      <x:c r="H7" s="4" t="str">
        <x:v>https://github.com/sleepyseamonster/Arc-Dust/blob/f6f98515c005dc3c73cccd9cbc031691745740c6/02-Arc-Dust-Worldbuilding/world/economy/canister/caster-craft.md</x:v>
      </x:c>
    </x:row>
    <x:row r="8" ht="95" customHeight="1">
      <x:c r="A8" s="4" t="str">
        <x:v>proposal.canister.seal_seat</x:v>
      </x:c>
      <x:c r="B8" s="4" t="str">
        <x:v>Fitted seal seat</x:v>
      </x:c>
      <x:c r="C8" s="4" t="str">
        <x:v>Crafting components</x:v>
      </x:c>
      <x:c r="D8" s="4" t="str">
        <x:v>Precision contact surface supporting a seal</x:v>
      </x:c>
      <x:c r="E8" s="4" t="str">
        <x:v>New explicit part derived from source seal-system precision</x:v>
      </x:c>
      <x:c r="F8" s="4" t="str">
        <x:v>Worked metal or compatible hard insert TBD</x:v>
      </x:c>
      <x:c r="G8" s="4" t="str">
        <x:v>A seat supports the seal; not a duplicate compression collar or replacement ring</x:v>
      </x:c>
      <x:c r="H8" s="4" t="str">
        <x:v>https://github.com/sleepyseamonster/Arc-Dust/blob/f6f98515c005dc3c73cccd9cbc031691745740c6/02-Arc-Dust-Worldbuilding/world/economy/canister/caster-craft.md</x:v>
      </x:c>
    </x:row>
    <x:row r="9" ht="95" customHeight="1">
      <x:c r="A9" s="4" t="str">
        <x:v>proposal.canister.sealant</x:v>
      </x:c>
      <x:c r="B9" s="4" t="str">
        <x:v>Canister joint sealant</x:v>
      </x:c>
      <x:c r="C9" s="4" t="str">
        <x:v>Crafting components</x:v>
      </x:c>
      <x:c r="D9" s="4" t="str">
        <x:v>Prepared compound for compatible joints</x:v>
      </x:c>
      <x:c r="E9" s="4" t="str">
        <x:v>Author requests sealant; source describes biological seal compounds</x:v>
      </x:c>
      <x:c r="F9" s="4" t="str">
        <x:v>Compatible biological/mineral binder formulation TBD</x:v>
      </x:c>
      <x:c r="G9" s="4" t="str">
        <x:v>Not interchangeable with glue, toxic shell binder or a failed pressure seal; exact applications unresolved</x:v>
      </x:c>
      <x:c r="H9" s="4" t="str">
        <x:v>https://github.com/sleepyseamonster/Arc-Dust/blob/f6f98515c005dc3c73cccd9cbc031691745740c6/02-Arc-Dust-Worldbuilding/world/economy/canister/caster-craft.md</x:v>
      </x:c>
    </x:row>
    <x:row r="10" ht="95" customHeight="1">
      <x:c r="A10" s="4" t="str">
        <x:v>proposal.canister.feed_line</x:v>
      </x:c>
      <x:c r="B10" s="4" t="str">
        <x:v>Feed-line section</x:v>
      </x:c>
      <x:c r="C10" s="4" t="str">
        <x:v>Crafting components</x:v>
      </x:c>
      <x:c r="D10" s="4" t="str">
        <x:v>Replacement contained conduit for a personal canister</x:v>
      </x:c>
      <x:c r="E10" s="4" t="str">
        <x:v>Source explicitly describes feed-line routing and material quality</x:v>
      </x:c>
      <x:c r="F10" s="4" t="str">
        <x:v>Flexible biological/mineral component or recovered part TBD</x:v>
      </x:c>
      <x:c r="G10" s="4" t="str">
        <x:v>No ordinary rubber/cloth or new respiratory system assumed; service and purity matter</x:v>
      </x:c>
      <x:c r="H10" s="4" t="str">
        <x:v>https://github.com/sleepyseamonster/Arc-Dust/blob/f6f98515c005dc3c73cccd9cbc031691745740c6/02-Arc-Dust-Worldbuilding/world/economy/canister/carry-styles.md</x:v>
      </x:c>
    </x:row>
    <x:row r="11" ht="95" customHeight="1">
      <x:c r="A11" s="4" t="str">
        <x:v>proposal.canister.coupling</x:v>
      </x:c>
      <x:c r="B11" s="4" t="str">
        <x:v>Feed-line coupling</x:v>
      </x:c>
      <x:c r="C11" s="4" t="str">
        <x:v>Crafting components</x:v>
      </x:c>
      <x:c r="D11" s="4" t="str">
        <x:v>Connect a line to a matching canister/interface</x:v>
      </x:c>
      <x:c r="E11" s="4" t="str">
        <x:v>New explicit fitting from source connection systems</x:v>
      </x:c>
      <x:c r="F11" s="4" t="str">
        <x:v>Machined metal with qualified sealing insert TBD</x:v>
      </x:c>
      <x:c r="G11" s="4" t="str">
        <x:v>Match intended service; not a generic connector for every toxic liquid</x:v>
      </x:c>
      <x:c r="H11" s="4" t="str">
        <x:v>https://github.com/sleepyseamonster/Arc-Dust/blob/f6f98515c005dc3c73cccd9cbc031691745740c6/02-Arc-Dust-Worldbuilding/world/economy/canister/carry-styles.md</x:v>
      </x:c>
    </x:row>
    <x:row r="12" ht="95" customHeight="1">
      <x:c r="A12" s="4" t="str">
        <x:v>proposal.canister.mouthpiece</x:v>
      </x:c>
      <x:c r="B12" s="4" t="str">
        <x:v>Canister mouthpiece interface</x:v>
      </x:c>
      <x:c r="C12" s="4" t="str">
        <x:v>Crafting components</x:v>
      </x:c>
      <x:c r="D12" s="4" t="str">
        <x:v>Personal delivery interface candidate</x:v>
      </x:c>
      <x:c r="E12" s="4" t="str">
        <x:v>Source describes mouthpiece/collar interfaces</x:v>
      </x:c>
      <x:c r="F12" s="4" t="str">
        <x:v>Qualified body-contact material TBD</x:v>
      </x:c>
      <x:c r="G12" s="4" t="str">
        <x:v>Game algae-use and breathing systems are unchanged; anatomy and hygiene design needed</x:v>
      </x:c>
      <x:c r="H12" s="4" t="str">
        <x:v>https://github.com/sleepyseamonster/Arc-Dust/blob/f6f98515c005dc3c73cccd9cbc031691745740c6/02-Arc-Dust-Worldbuilding/world/economy/canister/carry-styles.md</x:v>
      </x:c>
    </x:row>
    <x:row r="13" ht="95" customHeight="1">
      <x:c r="A13" s="4" t="str">
        <x:v>proposal.canister.window</x:v>
      </x:c>
      <x:c r="B13" s="4" t="str">
        <x:v>Canister viewing-port insert</x:v>
      </x:c>
      <x:c r="C13" s="4" t="str">
        <x:v>Crafting components</x:v>
      </x:c>
      <x:c r="D13" s="4" t="str">
        <x:v>Inspect a compatible interior without opening it</x:v>
      </x:c>
      <x:c r="E13" s="4" t="str">
        <x:v>Glass source and canister craft describe viewing ports</x:v>
      </x:c>
      <x:c r="F13" s="4" t="str">
        <x:v>Clear glass and fitted retaining seat</x:v>
      </x:c>
      <x:c r="G13" s="4" t="str">
        <x:v>Clear glass craft cost; no automatic fill sensor, pressure certification or new HUD</x:v>
      </x:c>
      <x:c r="H13" s="4" t="str">
        <x:v>https://github.com/sleepyseamonster/Arc-Dust/blob/f6f98515c005dc3c73cccd9cbc031691745740c6/02-Arc-Dust-Worldbuilding/world/materials/glass.md</x:v>
      </x:c>
    </x:row>
    <x:row r="14" ht="95" customHeight="1">
      <x:c r="A14" s="4" t="str">
        <x:v>proposal.canister.mount</x:v>
      </x:c>
      <x:c r="B14" s="4" t="str">
        <x:v>Canister mounting bracket</x:v>
      </x:c>
      <x:c r="C14" s="4" t="str">
        <x:v>Crafting components</x:v>
      </x:c>
      <x:c r="D14" s="4" t="str">
        <x:v>Attach one canister to a fitted carrier</x:v>
      </x:c>
      <x:c r="E14" s="4" t="str">
        <x:v>Source explicitly separates fitments from body/seal</x:v>
      </x:c>
      <x:c r="F14" s="4" t="str">
        <x:v>Metal bracket and retainers</x:v>
      </x:c>
      <x:c r="G14" s="4" t="str">
        <x:v>Coexist with armor, cloak, backpack, magnets and grounding equipment; no new slot authority</x:v>
      </x:c>
      <x:c r="H14" s="4" t="str">
        <x:v>https://github.com/sleepyseamonster/Arc-Dust/blob/f6f98515c005dc3c73cccd9cbc031691745740c6/02-Arc-Dust-Worldbuilding/world/economy/canister/caster-craft.md</x:v>
      </x:c>
    </x:row>
    <x:row r="15" ht="95" customHeight="1">
      <x:c r="A15" s="4" t="str">
        <x:v>proposal.canister.harness</x:v>
      </x:c>
      <x:c r="B15" s="4" t="str">
        <x:v>Fitted canister harness</x:v>
      </x:c>
      <x:c r="C15" s="4" t="inlineStr">
        <x:is>
          <x:t xml:space="preserve">Armor</x:t>
        </x:is>
      </x:c>
      <x:c r="D15" s="4" t="str">
        <x:v>Wear a canister in a selected carry arrangement</x:v>
      </x:c>
      <x:c r="E15" s="4" t="str">
        <x:v>Source chest/hip/back/cross-body carry styles</x:v>
      </x:c>
      <x:c r="F15" s="4" t="str">
        <x:v>Metal/shell carrier; minimal-fur contact material or difficult husk material proposed</x:v>
      </x:c>
      <x:c r="G15" s="4" t="str">
        <x:v>Exact harness material and capacities unresolved; no cloth straps or changed trial equipment slots</x:v>
      </x:c>
      <x:c r="H15" s="4" t="str">
        <x:v>https://github.com/sleepyseamonster/Arc-Dust/blob/f6f98515c005dc3c73cccd9cbc031691745740c6/02-Arc-Dust-Worldbuilding/world/economy/canister/carry-styles.md</x:v>
      </x:c>
    </x:row>
    <x:row r="16" ht="95" customHeight="1">
      <x:c r="A16" s="4" t="str">
        <x:v>proposal.canister.inspection_gauge</x:v>
      </x:c>
      <x:c r="B16" s="4" t="str">
        <x:v>Seal inspection gauge</x:v>
      </x:c>
      <x:c r="C16" s="4" t="inlineStr">
        <x:is>
          <x:t xml:space="preserve">Salvage</x:t>
        </x:is>
      </x:c>
      <x:c r="D16" s="4" t="str">
        <x:v>Specialist workshop inspection aid</x:v>
      </x:c>
      <x:c r="E16" s="4" t="str">
        <x:v>New tool idea inspired by source seal checks/testing</x:v>
      </x:c>
      <x:c r="F16" s="4" t="str">
        <x:v>Precision metal/glass tool candidate</x:v>
      </x:c>
      <x:c r="G16" s="4" t="str">
        <x:v>No numerical pressure behavior or mandatory recurring inspection chore introduced</x:v>
      </x:c>
      <x:c r="H16" s="4" t="str">
        <x:v>https://github.com/sleepyseamonster/Arc-Dust/blob/f6f98515c005dc3c73cccd9cbc031691745740c6/02-Arc-Dust-Worldbuilding/world/economy/canister/daily-ritual.md</x:v>
      </x:c>
    </x:row>
    <x:row r="17" ht="95" customHeight="1">
      <x:c r="A17" s="4" t="str">
        <x:v>proposal.canister.service_kit</x:v>
      </x:c>
      <x:c r="B17" s="4" t="str">
        <x:v>Canister service kit</x:v>
      </x:c>
      <x:c r="C17" s="4" t="inlineStr">
        <x:is>
          <x:t xml:space="preserve">Salvage</x:t>
        </x:is>
      </x:c>
      <x:c r="D17" s="4" t="str">
        <x:v>Carry a selected set of compatible spare seals/fittings</x:v>
      </x:c>
      <x:c r="E17" s="4" t="str">
        <x:v>Source caravan carry includes repair kits/spare seals</x:v>
      </x:c>
      <x:c r="F17" s="4" t="str">
        <x:v>Existing candidate parts in a fitted case</x:v>
      </x:c>
      <x:c r="G17" s="4" t="str">
        <x:v>Bundle contents count once and occupy finite capacity; recipe/quantity and repair action unapproved</x:v>
      </x:c>
      <x:c r="H17" s="4" t="str">
        <x:v>https://github.com/sleepyseamonster/Arc-Dust/blob/f6f98515c005dc3c73cccd9cbc031691745740c6/02-Arc-Dust-Worldbuilding/world/economy/canister/carry-styles.md</x:v>
      </x:c>
    </x:row>
    <x:row r="18" ht="95" customHeight="1">
      <x:c r="A18" s="4" t="str">
        <x:v>proposal.canister.maker_plate</x:v>
      </x:c>
      <x:c r="B18" s="4" t="str">
        <x:v>Canister maker plate</x:v>
      </x:c>
      <x:c r="C18" s="4" t="str">
        <x:v>Crafting components</x:v>
      </x:c>
      <x:c r="D18" s="4" t="str">
        <x:v>Visible craft provenance or personal decoration</x:v>
      </x:c>
      <x:c r="E18" s="4" t="str">
        <x:v>Source guild marks and maker reputation</x:v>
      </x:c>
      <x:c r="F18" s="4" t="str">
        <x:v>Engraved metal; exact format TBD</x:v>
      </x:c>
      <x:c r="G18" s="4" t="str">
        <x:v>Not functional seal quality, an achievement award or a verified authenticity system by itself</x:v>
      </x:c>
      <x:c r="H18" s="4" t="str">
        <x:v>https://github.com/sleepyseamonster/Arc-Dust/blob/f6f98515c005dc3c73cccd9cbc031691745740c6/02-Arc-Dust-Worldbuilding/world/economy/canister-identity.md</x:v>
      </x:c>
    </x:row>
    <x:row r="19" ht="95" customHeight="1">
      <x:c r="A19" s="4" t="str">
        <x:v>proposal.canister.trim</x:v>
      </x:c>
      <x:c r="B19" s="4" t="str">
        <x:v>Decorative canister panel</x:v>
      </x:c>
      <x:c r="C19" s="4" t="str">
        <x:v>Crafting components</x:v>
      </x:c>
      <x:c r="D19" s="4" t="str">
        <x:v>Nonstructural custom finish candidate</x:v>
      </x:c>
      <x:c r="E19" s="4" t="str">
        <x:v>Source engravings, surface work and identity</x:v>
      </x:c>
      <x:c r="F19" s="4" t="str">
        <x:v>Worked metal/shell; fashion-grade inlay optional</x:v>
      </x:c>
      <x:c r="G19" s="4" t="str">
        <x:v>Decoration remains separate from seal/body functionality; material requirements and price TBD</x:v>
      </x:c>
      <x:c r="H19" s="4" t="str">
        <x:v>https://github.com/sleepyseamonster/Arc-Dust/blob/f6f98515c005dc3c73cccd9cbc031691745740c6/02-Arc-Dust-Worldbuilding/world/economy/canister-identity.md</x:v>
      </x:c>
    </x:row>
    <x:row r="20" ht="95" customHeight="1">
      <x:c r="A20" s="4" t="str">
        <x:v>proposal.canister.endcap</x:v>
      </x:c>
      <x:c r="B20" s="4" t="str">
        <x:v>Canister protective endcap</x:v>
      </x:c>
      <x:c r="C20" s="4" t="str">
        <x:v>Crafting components</x:v>
      </x:c>
      <x:c r="D20" s="4" t="str">
        <x:v>Outer impact/dust guard candidate</x:v>
      </x:c>
      <x:c r="E20" s="4" t="str">
        <x:v>New part inspired by source protective deep-operation casing</x:v>
      </x:c>
      <x:c r="F20" s="4" t="str">
        <x:v>Cheap shell outer guard or metal form proposed</x:v>
      </x:c>
      <x:c r="G20" s="4" t="str">
        <x:v>Protective casing is not a pressure seal; no damage/breakage simulation approved</x:v>
      </x:c>
      <x:c r="H20" s="4" t="str">
        <x:v>https://github.com/sleepyseamonster/Arc-Dust/blob/f6f98515c005dc3c73cccd9cbc031691745740c6/02-Arc-Dust-Worldbuilding/world/economy/canister/carry-styles.md</x:v>
      </x:c>
    </x:row>
  </x:sheetData>
  <x:pageMargins left="0.7" right="0.7" top="0.75" bottom="0.75" header="0.3" footer="0.3"/>
  <x:tableParts count="1">
    <x:tablePart xmlns:r="http://schemas.openxmlformats.org/officeDocument/2006/relationships" r:id="Rcb54ee4057b84e80"/>
  </x:tableParts>
</x:worksheet>
</file>

<file path=xl/worksheets/sheet1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25" hidden="0" customWidth="1"/>
    <x:col min="2" max="2" width="31" hidden="0" customWidth="1"/>
    <x:col min="3" max="3" width="100" hidden="0" customWidth="1"/>
  </x:cols>
  <x:sheetData>
    <x:row r="2">
      <x:c r="A2" s="2" t="str">
        <x:v>Classification vocabulary</x:v>
      </x:c>
    </x:row>
    <x:row r="3">
      <x:c r="A3" t="str">
        <x:v>Controlled values for Items and Item uses. Add vocabulary here before assigning it.</x:v>
      </x:c>
    </x:row>
    <x:row r="5" ht="32" customHeight="1">
      <x:c r="A5" s="56" t="str">
        <x:v>Field</x:v>
      </x:c>
      <x:c r="B5" s="56" t="str">
        <x:v>Allowed value</x:v>
      </x:c>
      <x:c r="C5" s="56" t="str">
        <x:v>Definition / rule</x:v>
      </x:c>
    </x:row>
    <x:row r="6" ht="50" customHeight="1">
      <x:c r="A6" s="4" t="str">
        <x:v>Category</x:v>
      </x:c>
      <x:c r="B6" s="4" t="str">
        <x:v>Consumables</x:v>
      </x:c>
      <x:c r="C6" s="4" t="inlineStr">
        <x:is>
          <x:t xml:space="preserve">Ready-to-consume meals, bars and drinks, plus the existing finished livestock-feed consumable. Ingredients used to prepare meals or drinks are classified separately.</x:t>
        </x:is>
      </x:c>
    </x:row>
    <x:row r="7" ht="50" customHeight="1">
      <x:c r="A7" s="4" t="str">
        <x:v>Category</x:v>
      </x:c>
      <x:c r="B7" s="4" t="str">
        <x:v>Containers</x:v>
      </x:c>
      <x:c r="C7" s="4" t="inlineStr">
        <x:is>
          <x:t xml:space="preserve">Retired primary category: all remaining entries moved to Salvage by author direction. No special container mechanics; ordinary salvage may be reused in other ways.</x:t>
        </x:is>
      </x:c>
    </x:row>
    <x:row r="8" ht="50" customHeight="1">
      <x:c r="A8" s="4" t="str">
        <x:v>Category</x:v>
      </x:c>
      <x:c r="B8" s="4" t="str">
        <x:v>Crafting components</x:v>
      </x:c>
      <x:c r="C8" s="4" t="str">
        <x:v>Broad existing inventory/design grouping. One per master item.</x:v>
      </x:c>
    </x:row>
    <x:row r="9" ht="50" customHeight="1">
      <x:c r="A9" s="4" t="str">
        <x:v>Category</x:v>
      </x:c>
      <x:c r="B9" s="4" t="str">
        <x:v>Cultural objects</x:v>
      </x:c>
      <x:c r="C9" s="4" t="inlineStr">
        <x:is>
          <x:t xml:space="preserve">Retired primary category: all entries moved to Salvage by author direction October 16, 2026. Historical label only.</x:t>
        </x:is>
      </x:c>
    </x:row>
    <x:row r="10" ht="50" customHeight="1">
      <x:c r="A10" s="4" t="str">
        <x:v>Category</x:v>
      </x:c>
      <x:c r="B10" s="4" t="str">
        <x:v>Currency</x:v>
      </x:c>
      <x:c r="C10" s="4" t="str">
        <x:v>Broad existing inventory/design grouping. One per master item.</x:v>
      </x:c>
    </x:row>
    <x:row r="11" ht="50" customHeight="1">
      <x:c r="A11" s="4" t="inlineStr">
        <x:is>
          <x:t xml:space="preserve">Category</x:t>
        </x:is>
      </x:c>
      <x:c r="B11" s="4" t="inlineStr">
        <x:is>
          <x:t xml:space="preserve">Armor</x:t>
        </x:is>
      </x:c>
      <x:c r="C11" s="4" t="inlineStr">
        <x:is>
          <x:t xml:space="preserve">Protective wear and shields for Booter; companion-specific protection is classified as Legger armor. Classification does not assign protection effects.</x:t>
        </x:is>
      </x:c>
    </x:row>
    <x:row r="12" ht="50" customHeight="1">
      <x:c r="A12" s="4" t="str">
        <x:v>Category</x:v>
      </x:c>
      <x:c r="B12" s="4" t="str">
        <x:v>Everyday objects</x:v>
      </x:c>
      <x:c r="C12" s="4" t="inlineStr">
        <x:is>
          <x:t xml:space="preserve">Retired primary category: all twenty everyday objects are now organized under Camp items. Retained only as a historical label.</x:t>
        </x:is>
      </x:c>
    </x:row>
    <x:row r="13" ht="50" customHeight="1">
      <x:c r="A13" s="4" t="str">
        <x:v>Category</x:v>
      </x:c>
      <x:c r="B13" s="4" t="str">
        <x:v>Field supplies</x:v>
      </x:c>
      <x:c r="C13" s="4" t="inlineStr">
        <x:is>
          <x:t xml:space="preserve">Retired primary category: all remaining entries are Crafting components. Retained as a historical label only.</x:t>
        </x:is>
      </x:c>
    </x:row>
    <x:row r="14" ht="50" customHeight="1">
      <x:c r="A14" s="4" t="str">
        <x:v>Category</x:v>
      </x:c>
      <x:c r="B14" s="4" t="str">
        <x:v>Resources</x:v>
      </x:c>
      <x:c r="C14" s="4" t="str">
        <x:v>Legacy broad category retained for historical records; use the current resource/stock/recovery groups for new entries.</x:v>
      </x:c>
    </x:row>
    <x:row r="15" ht="50" customHeight="1">
      <x:c r="A15" s="4" t="str">
        <x:v>Category</x:v>
      </x:c>
      <x:c r="B15" s="4" t="str">
        <x:v>Weapons</x:v>
      </x:c>
      <x:c r="C15" s="4" t="str">
        <x:v>Broad existing inventory/design grouping. One per master item.</x:v>
      </x:c>
    </x:row>
    <x:row r="16" ht="50" customHeight="1">
      <x:c r="A16" s="4" t="str">
        <x:v>Category</x:v>
      </x:c>
      <x:c r="B16" s="4" t="str">
        <x:v>Mineral resources</x:v>
      </x:c>
      <x:c r="C16" s="4" t="str">
        <x:v>Geological feedstocks, selected ores, crystals and unrefined Iron Growth.</x:v>
      </x:c>
    </x:row>
    <x:row r="17" ht="50" customHeight="1">
      <x:c r="A17" s="4" t="str">
        <x:v>Category</x:v>
      </x:c>
      <x:c r="B17" s="4" t="str">
        <x:v>Biological resources</x:v>
      </x:c>
      <x:c r="C17" s="4" t="inlineStr">
        <x:is>
          <x:t xml:space="preserve">Harvested fauna materials and contained industrial Phagia byproducts; culinary ingredient entries are classified separately. No general edibility claim.</x:t>
        </x:is>
      </x:c>
    </x:row>
    <x:row r="18" ht="50" customHeight="1">
      <x:c r="A18" s="4" t="str">
        <x:v>Category</x:v>
      </x:c>
      <x:c r="B18" s="4" t="str">
        <x:v>Processing agents</x:v>
      </x:c>
      <x:c r="C18" s="4" t="inlineStr">
        <x:is>
          <x:t xml:space="preserve">Retired primary category: all remaining entries are Crafting components. Retained as a historical label only.</x:t>
        </x:is>
      </x:c>
    </x:row>
    <x:row r="19" ht="50" customHeight="1">
      <x:c r="A19" s="4" t="str">
        <x:v>Category</x:v>
      </x:c>
      <x:c r="B19" s="4" t="str">
        <x:v>Manufactured stock</x:v>
      </x:c>
      <x:c r="C19" s="4" t="str">
        <x:v>Worked metal, glass, ceramic, husk and composite stock awaiting fitted fabrication.</x:v>
      </x:c>
    </x:row>
    <x:row r="20" ht="50" customHeight="1">
      <x:c r="A20" s="4" t="str">
        <x:v>Category</x:v>
      </x:c>
      <x:c r="B20" s="4" t="inlineStr">
        <x:is>
          <x:t xml:space="preserve">Salvage</x:t>
        </x:is>
      </x:c>
      <x:c r="C20" s="4" t="inlineStr">
        <x:is>
          <x:t xml:space="preserve">Recovered scrap, discarded supplies and damaged or potentially reusable expedition gear from settlers, Booters and abandoned camps. Inspection and qualification precede reuse; finding an item grants no contents or repair yield.</x:t>
        </x:is>
      </x:c>
    </x:row>
    <x:row r="21" ht="50" customHeight="1">
      <x:c r="A21" s="4" t="str">
        <x:v>Category</x:v>
      </x:c>
      <x:c r="B21" s="4" t="str">
        <x:v>Recovered mechanisms</x:v>
      </x:c>
      <x:c r="C21" s="4" t="inlineStr">
        <x:is>
          <x:t xml:space="preserve">Retired primary category: all remaining entries are Salvage. Retained as a historical label only.</x:t>
        </x:is>
      </x:c>
    </x:row>
    <x:row r="22" ht="50" customHeight="1">
      <x:c r="A22" s="4" t="str">
        <x:v>Category</x:v>
      </x:c>
      <x:c r="B22" s="4" t="str">
        <x:v>Ancient salvage</x:v>
      </x:c>
      <x:c r="C22" s="4" t="str">
        <x:v>Extremely rare recovered ancient materials and intermediate parts; origin does not assign a refinement tier.</x:v>
      </x:c>
    </x:row>
    <x:row r="23" ht="50" customHeight="1">
      <x:c r="A23" s="4" t="str">
        <x:v>Category</x:v>
      </x:c>
      <x:c r="B23" s="4" t="str">
        <x:v>Atmospheric resources</x:v>
      </x:c>
      <x:c r="C23" s="4" t="str">
        <x:v>Collected airborne dust and contained atmospheric feed; composition and suitability remain source-specific.</x:v>
      </x:c>
    </x:row>
    <x:row r="24" ht="50" customHeight="1">
      <x:c r="A24" s="4" t="str">
        <x:v>Item type</x:v>
      </x:c>
      <x:c r="B24" s="4" t="str">
        <x:v>Ammunition</x:v>
      </x:c>
      <x:c r="C24" s="4" t="str">
        <x:v>What the object is, independent of material, culture and use.</x:v>
      </x:c>
    </x:row>
    <x:row r="25" ht="50" customHeight="1">
      <x:c r="A25" s="4" t="str">
        <x:v>Item type</x:v>
      </x:c>
      <x:c r="B25" s="4" t="str">
        <x:v>Armor</x:v>
      </x:c>
      <x:c r="C25" s="4" t="str">
        <x:v>What the object is, independent of material, culture and use.</x:v>
      </x:c>
    </x:row>
    <x:row r="26" ht="50" customHeight="1">
      <x:c r="A26" s="4" t="str">
        <x:v>Item type</x:v>
      </x:c>
      <x:c r="B26" s="4" t="str">
        <x:v>Carrier</x:v>
      </x:c>
      <x:c r="C26" s="4" t="str">
        <x:v>What the object is, independent of material, culture and use.</x:v>
      </x:c>
    </x:row>
    <x:row r="27" ht="50" customHeight="1">
      <x:c r="A27" s="4" t="str">
        <x:v>Item type</x:v>
      </x:c>
      <x:c r="B27" s="4" t="str">
        <x:v>Chemical material</x:v>
      </x:c>
      <x:c r="C27" s="4" t="str">
        <x:v>What the object is, independent of material, culture and use.</x:v>
      </x:c>
    </x:row>
    <x:row r="28" ht="50" customHeight="1">
      <x:c r="A28" s="4" t="str">
        <x:v>Item type</x:v>
      </x:c>
      <x:c r="B28" s="4" t="str">
        <x:v>Container</x:v>
      </x:c>
      <x:c r="C28" s="4" t="str">
        <x:v>What the object is, independent of material, culture and use.</x:v>
      </x:c>
    </x:row>
    <x:row r="29" ht="50" customHeight="1">
      <x:c r="A29" s="4" t="str">
        <x:v>Item type</x:v>
      </x:c>
      <x:c r="B29" s="4" t="str">
        <x:v>Container part</x:v>
      </x:c>
      <x:c r="C29" s="4" t="str">
        <x:v>What the object is, independent of material, culture and use.</x:v>
      </x:c>
    </x:row>
    <x:row r="30" ht="50" customHeight="1">
      <x:c r="A30" s="4" t="str">
        <x:v>Item type</x:v>
      </x:c>
      <x:c r="B30" s="4" t="str">
        <x:v>Crafting component</x:v>
      </x:c>
      <x:c r="C30" s="4" t="str">
        <x:v>What the object is, independent of material, culture and use.</x:v>
      </x:c>
    </x:row>
    <x:row r="31" ht="50" customHeight="1">
      <x:c r="A31" s="4" t="str">
        <x:v>Item type</x:v>
      </x:c>
      <x:c r="B31" s="4" t="str">
        <x:v>Cultural object</x:v>
      </x:c>
      <x:c r="C31" s="4" t="str">
        <x:v>What the object is, independent of material, culture and use.</x:v>
      </x:c>
    </x:row>
    <x:row r="32" ht="50" customHeight="1">
      <x:c r="A32" s="4" t="str">
        <x:v>Item type</x:v>
      </x:c>
      <x:c r="B32" s="4" t="str">
        <x:v>Currency</x:v>
      </x:c>
      <x:c r="C32" s="4" t="str">
        <x:v>What the object is, independent of material, culture and use.</x:v>
      </x:c>
    </x:row>
    <x:row r="33" ht="50" customHeight="1">
      <x:c r="A33" s="4" t="str">
        <x:v>Item type</x:v>
      </x:c>
      <x:c r="B33" s="4" t="str">
        <x:v>Document</x:v>
      </x:c>
      <x:c r="C33" s="4" t="str">
        <x:v>What the object is, independent of material, culture and use.</x:v>
      </x:c>
    </x:row>
    <x:row r="34" ht="50" customHeight="1">
      <x:c r="A34" s="4" t="str">
        <x:v>Item type</x:v>
      </x:c>
      <x:c r="B34" s="4" t="str">
        <x:v>Drink consumable</x:v>
      </x:c>
      <x:c r="C34" s="4" t="str">
        <x:v>What the object is, independent of material, culture and use.</x:v>
      </x:c>
    </x:row>
    <x:row r="35" ht="50" customHeight="1">
      <x:c r="A35" s="4" t="str">
        <x:v>Item type</x:v>
      </x:c>
      <x:c r="B35" s="4" t="str">
        <x:v>Energy storage</x:v>
      </x:c>
      <x:c r="C35" s="4" t="str">
        <x:v>What the object is, independent of material, culture and use.</x:v>
      </x:c>
    </x:row>
    <x:row r="36" ht="50" customHeight="1">
      <x:c r="A36" s="4" t="str">
        <x:v>Item type</x:v>
      </x:c>
      <x:c r="B36" s="4" t="str">
        <x:v>Food consumable</x:v>
      </x:c>
      <x:c r="C36" s="4" t="str">
        <x:v>What the object is, independent of material, culture and use.</x:v>
      </x:c>
    </x:row>
    <x:row r="37" ht="50" customHeight="1">
      <x:c r="A37" s="4" t="str">
        <x:v>Item type</x:v>
      </x:c>
      <x:c r="B37" s="4" t="str">
        <x:v>Food material</x:v>
      </x:c>
      <x:c r="C37" s="4" t="str">
        <x:v>What the object is, independent of material, culture and use.</x:v>
      </x:c>
    </x:row>
    <x:row r="38" ht="50" customHeight="1">
      <x:c r="A38" s="4" t="str">
        <x:v>Item type</x:v>
      </x:c>
      <x:c r="B38" s="4" t="str">
        <x:v>Gem material</x:v>
      </x:c>
      <x:c r="C38" s="4" t="str">
        <x:v>What the object is, independent of material, culture and use.</x:v>
      </x:c>
    </x:row>
    <x:row r="39" ht="50" customHeight="1">
      <x:c r="A39" s="4" t="str">
        <x:v>Item type</x:v>
      </x:c>
      <x:c r="B39" s="4" t="str">
        <x:v>Household utensil</x:v>
      </x:c>
      <x:c r="C39" s="4" t="str">
        <x:v>What the object is, independent of material, culture and use.</x:v>
      </x:c>
    </x:row>
    <x:row r="40" ht="50" customHeight="1">
      <x:c r="A40" s="4" t="str">
        <x:v>Item type</x:v>
      </x:c>
      <x:c r="B40" s="4" t="str">
        <x:v>Machine</x:v>
      </x:c>
      <x:c r="C40" s="4" t="str">
        <x:v>What the object is, independent of material, culture and use.</x:v>
      </x:c>
    </x:row>
    <x:row r="41" ht="50" customHeight="1">
      <x:c r="A41" s="4" t="str">
        <x:v>Item type</x:v>
      </x:c>
      <x:c r="B41" s="4" t="str">
        <x:v>Musical instrument</x:v>
      </x:c>
      <x:c r="C41" s="4" t="str">
        <x:v>What the object is, independent of material, culture and use.</x:v>
      </x:c>
    </x:row>
    <x:row r="42" ht="50" customHeight="1">
      <x:c r="A42" s="4" t="str">
        <x:v>Item type</x:v>
      </x:c>
      <x:c r="B42" s="4" t="str">
        <x:v>Processed material</x:v>
      </x:c>
      <x:c r="C42" s="4" t="str">
        <x:v>What the object is, independent of material, culture and use.</x:v>
      </x:c>
    </x:row>
    <x:row r="43" ht="50" customHeight="1">
      <x:c r="A43" s="4" t="str">
        <x:v>Item type</x:v>
      </x:c>
      <x:c r="B43" s="4" t="str">
        <x:v>Raw material</x:v>
      </x:c>
      <x:c r="C43" s="4" t="str">
        <x:v>What the object is, independent of material, culture and use.</x:v>
      </x:c>
    </x:row>
    <x:row r="44" ht="50" customHeight="1">
      <x:c r="A44" s="4" t="str">
        <x:v>Item type</x:v>
      </x:c>
      <x:c r="B44" s="4" t="str">
        <x:v>Service kit</x:v>
      </x:c>
      <x:c r="C44" s="4" t="str">
        <x:v>What the object is, independent of material, culture and use.</x:v>
      </x:c>
    </x:row>
    <x:row r="45" ht="50" customHeight="1">
      <x:c r="A45" s="4" t="str">
        <x:v>Item type</x:v>
      </x:c>
      <x:c r="B45" s="4" t="str">
        <x:v>Shelter item</x:v>
      </x:c>
      <x:c r="C45" s="4" t="str">
        <x:v>Shelter assembly, packed camp, or individual shelter furnishing. Kit contents are separate ID-linked relationships.</x:v>
      </x:c>
    </x:row>
    <x:row r="46" ht="50" customHeight="1">
      <x:c r="A46" s="4" t="str">
        <x:v>Item type</x:v>
      </x:c>
      <x:c r="B46" s="4" t="str">
        <x:v>Shield</x:v>
      </x:c>
      <x:c r="C46" s="4" t="str">
        <x:v>What the object is, independent of material, culture and use.</x:v>
      </x:c>
    </x:row>
    <x:row r="47" ht="50" customHeight="1">
      <x:c r="A47" s="4" t="str">
        <x:v>Item type</x:v>
      </x:c>
      <x:c r="B47" s="4" t="str">
        <x:v>Tool</x:v>
      </x:c>
      <x:c r="C47" s="4" t="str">
        <x:v>What the object is, independent of material, culture and use.</x:v>
      </x:c>
    </x:row>
    <x:row r="48" ht="50" customHeight="1">
      <x:c r="A48" s="4" t="str">
        <x:v>Item type</x:v>
      </x:c>
      <x:c r="B48" s="4" t="str">
        <x:v>Traversal device</x:v>
      </x:c>
      <x:c r="C48" s="4" t="str">
        <x:v>What the object is, independent of material, culture and use.</x:v>
      </x:c>
    </x:row>
    <x:row r="49" ht="50" customHeight="1">
      <x:c r="A49" s="4" t="str">
        <x:v>Item type</x:v>
      </x:c>
      <x:c r="B49" s="4" t="str">
        <x:v>Trip hazard</x:v>
      </x:c>
      <x:c r="C49" s="4" t="str">
        <x:v>What the object is, independent of material, culture and use.</x:v>
      </x:c>
    </x:row>
    <x:row r="50" ht="50" customHeight="1">
      <x:c r="A50" s="4" t="str">
        <x:v>Item type</x:v>
      </x:c>
      <x:c r="B50" s="4" t="str">
        <x:v>Weapon</x:v>
      </x:c>
      <x:c r="C50" s="4" t="str">
        <x:v>What the object is, independent of material, culture and use.</x:v>
      </x:c>
    </x:row>
    <x:row r="51" ht="50" customHeight="1">
      <x:c r="A51" s="4" t="str">
        <x:v>Item type</x:v>
      </x:c>
      <x:c r="B51" s="4" t="str">
        <x:v>Wearable</x:v>
      </x:c>
      <x:c r="C51" s="4" t="str">
        <x:v>What the object is, independent of material, culture and use.</x:v>
      </x:c>
    </x:row>
    <x:row r="52" ht="50" customHeight="1">
      <x:c r="A52" s="4" t="str">
        <x:v>Item type</x:v>
      </x:c>
      <x:c r="B52" s="4" t="str">
        <x:v>Livestock feed</x:v>
      </x:c>
      <x:c r="C52" s="4" t="str">
        <x:v>A prepared animal ration; not human food.</x:v>
      </x:c>
    </x:row>
    <x:row r="53" ht="50" customHeight="1">
      <x:c r="A53" s="4" t="str">
        <x:v>Item type</x:v>
      </x:c>
      <x:c r="B53" s="4" t="str">
        <x:v>Assay sample</x:v>
      </x:c>
      <x:c r="C53" s="4" t="str">
        <x:v>An identified material sample with its reference packaging; not proof of authenticity by itself.</x:v>
      </x:c>
    </x:row>
    <x:row r="54" ht="50" customHeight="1">
      <x:c r="A54" s="4" t="str">
        <x:v>Item type</x:v>
      </x:c>
      <x:c r="B54" s="4" t="str">
        <x:v>Machine part</x:v>
      </x:c>
      <x:c r="C54" s="4" t="str">
        <x:v>Distinct mechanical, electrical, control or ancient machine element; separate from generic crafting components.</x:v>
      </x:c>
    </x:row>
    <x:row r="55" ht="50" customHeight="1">
      <x:c r="A55" s="4" t="str">
        <x:v>Item type</x:v>
      </x:c>
      <x:c r="B55" s="4" t="str">
        <x:v>Trap</x:v>
      </x:c>
      <x:c r="C55" s="4" t="str">
        <x:v>Placed capture, alarm, obstruction or lure device. Trip hazard remains a distinct compatible type.</x:v>
      </x:c>
    </x:row>
    <x:row r="56" ht="50" customHeight="1">
      <x:c r="A56" s="4" t="str">
        <x:v>Processing stage</x:v>
      </x:c>
      <x:c r="B56" s="4" t="str">
        <x:v>Ancient manufactured</x:v>
      </x:c>
      <x:c r="C56" s="4" t="str">
        <x:v>State of the listed item, not its next recipe. Stage unresolved means raw-versus-processed is undecided.</x:v>
      </x:c>
    </x:row>
    <x:row r="57" ht="50" customHeight="1">
      <x:c r="A57" s="4" t="str">
        <x:v>Processing stage</x:v>
      </x:c>
      <x:c r="B57" s="4" t="str">
        <x:v>Extracted material</x:v>
      </x:c>
      <x:c r="C57" s="4" t="str">
        <x:v>State of the listed item, not its next recipe. Stage unresolved means raw-versus-processed is undecided.</x:v>
      </x:c>
    </x:row>
    <x:row r="58" ht="50" customHeight="1">
      <x:c r="A58" s="4" t="str">
        <x:v>Processing stage</x:v>
      </x:c>
      <x:c r="B58" s="4" t="str">
        <x:v>Finished item</x:v>
      </x:c>
      <x:c r="C58" s="4" t="str">
        <x:v>State of the listed item, not its next recipe. Stage unresolved means raw-versus-processed is undecided.</x:v>
      </x:c>
    </x:row>
    <x:row r="59" ht="50" customHeight="1">
      <x:c r="A59" s="4" t="str">
        <x:v>Processing stage</x:v>
      </x:c>
      <x:c r="B59" s="4" t="str">
        <x:v>Processed intermediate</x:v>
      </x:c>
      <x:c r="C59" s="4" t="str">
        <x:v>State of the listed item, not its next recipe. Stage unresolved means raw-versus-processed is undecided.</x:v>
      </x:c>
    </x:row>
    <x:row r="60" ht="50" customHeight="1">
      <x:c r="A60" s="4" t="str">
        <x:v>Processing stage</x:v>
      </x:c>
      <x:c r="B60" s="4" t="str">
        <x:v>Raw</x:v>
      </x:c>
      <x:c r="C60" s="4" t="str">
        <x:v>State of the listed item, not its next recipe. Stage unresolved means raw-versus-processed is undecided.</x:v>
      </x:c>
    </x:row>
    <x:row r="61" ht="50" customHeight="1">
      <x:c r="A61" s="4" t="str">
        <x:v>Processing stage</x:v>
      </x:c>
      <x:c r="B61" s="4" t="str">
        <x:v>Recovered material</x:v>
      </x:c>
      <x:c r="C61" s="4" t="str">
        <x:v>State of the listed item, not its next recipe. Stage unresolved means raw-versus-processed is undecided.</x:v>
      </x:c>
    </x:row>
    <x:row r="62" ht="50" customHeight="1">
      <x:c r="A62" s="4" t="str">
        <x:v>Processing stage</x:v>
      </x:c>
      <x:c r="B62" s="4" t="str">
        <x:v>Recovered part</x:v>
      </x:c>
      <x:c r="C62" s="4" t="str">
        <x:v>State of the listed item, not its next recipe. Stage unresolved means raw-versus-processed is undecided.</x:v>
      </x:c>
    </x:row>
    <x:row r="63" ht="50" customHeight="1">
      <x:c r="A63" s="4" t="str">
        <x:v>Processing stage</x:v>
      </x:c>
      <x:c r="B63" s="4" t="str">
        <x:v>Unfired intermediate</x:v>
      </x:c>
      <x:c r="C63" s="4" t="str">
        <x:v>State of the listed item, not its next recipe. Stage unresolved means raw-versus-processed is undecided.</x:v>
      </x:c>
    </x:row>
    <x:row r="64" ht="50" customHeight="1">
      <x:c r="A64" s="4" t="str">
        <x:v>Processing stage</x:v>
      </x:c>
      <x:c r="B64" s="4" t="str">
        <x:v>Unresolved</x:v>
      </x:c>
      <x:c r="C64" s="4" t="str">
        <x:v>State of the listed item, not its next recipe. Stage unresolved means raw-versus-processed is undecided.</x:v>
      </x:c>
    </x:row>
    <x:row r="65" ht="50" customHeight="1">
      <x:c r="A65" s="4" t="str">
        <x:v>Processing stage</x:v>
      </x:c>
      <x:c r="B65" s="4" t="str">
        <x:v>Unworked metal</x:v>
      </x:c>
      <x:c r="C65" s="4" t="str">
        <x:v>State of the listed item, not its next recipe. Stage unresolved means raw-versus-processed is undecided.</x:v>
      </x:c>
    </x:row>
    <x:row r="66" ht="50" customHeight="1">
      <x:c r="A66" s="4" t="str">
        <x:v>Origin family</x:v>
      </x:c>
      <x:c r="B66" s="4" t="str">
        <x:v>Ancient technology</x:v>
      </x:c>
      <x:c r="C66" s="4" t="str">
        <x:v>Broad provenance. Manufactured / unresolved does not identify raw ingredients.</x:v>
      </x:c>
    </x:row>
    <x:row r="67" ht="50" customHeight="1">
      <x:c r="A67" s="4" t="str">
        <x:v>Origin family</x:v>
      </x:c>
      <x:c r="B67" s="4" t="str">
        <x:v>Atmospheric</x:v>
      </x:c>
      <x:c r="C67" s="4" t="str">
        <x:v>Broad provenance. Manufactured / unresolved does not identify raw ingredients.</x:v>
      </x:c>
    </x:row>
    <x:row r="68" ht="50" customHeight="1">
      <x:c r="A68" s="4" t="str">
        <x:v>Origin family</x:v>
      </x:c>
      <x:c r="B68" s="4" t="str">
        <x:v>Biological mixture</x:v>
      </x:c>
      <x:c r="C68" s="4" t="str">
        <x:v>Broad provenance. Manufactured / unresolved does not identify raw ingredients.</x:v>
      </x:c>
    </x:row>
    <x:row r="69" ht="50" customHeight="1">
      <x:c r="A69" s="4" t="str">
        <x:v>Origin family</x:v>
      </x:c>
      <x:c r="B69" s="4" t="str">
        <x:v>Fauna</x:v>
      </x:c>
      <x:c r="C69" s="4" t="str">
        <x:v>Broad provenance. Manufactured / unresolved does not identify raw ingredients.</x:v>
      </x:c>
    </x:row>
    <x:row r="70" ht="50" customHeight="1">
      <x:c r="A70" s="4" t="str">
        <x:v>Origin family</x:v>
      </x:c>
      <x:c r="B70" s="4" t="str">
        <x:v>Geological</x:v>
      </x:c>
      <x:c r="C70" s="4" t="str">
        <x:v>Broad provenance. Manufactured / unresolved does not identify raw ingredients.</x:v>
      </x:c>
    </x:row>
    <x:row r="71" ht="50" customHeight="1">
      <x:c r="A71" s="4" t="str">
        <x:v>Origin family</x:v>
      </x:c>
      <x:c r="B71" s="4" t="str">
        <x:v>Industrial salvage</x:v>
      </x:c>
      <x:c r="C71" s="4" t="str">
        <x:v>Broad provenance. Manufactured / unresolved does not identify raw ingredients.</x:v>
      </x:c>
    </x:row>
    <x:row r="72" ht="50" customHeight="1">
      <x:c r="A72" s="4" t="str">
        <x:v>Origin family</x:v>
      </x:c>
      <x:c r="B72" s="4" t="str">
        <x:v>Living culture</x:v>
      </x:c>
      <x:c r="C72" s="4" t="str">
        <x:v>Broad provenance. Manufactured / unresolved does not identify raw ingredients.</x:v>
      </x:c>
    </x:row>
    <x:row r="73" ht="50" customHeight="1">
      <x:c r="A73" s="4" t="str">
        <x:v>Origin family</x:v>
      </x:c>
      <x:c r="B73" s="4" t="str">
        <x:v>Manufactured / unresolved</x:v>
      </x:c>
      <x:c r="C73" s="4" t="str">
        <x:v>Broad provenance. Manufactured / unresolved does not identify raw ingredients.</x:v>
      </x:c>
    </x:row>
    <x:row r="74" ht="50" customHeight="1">
      <x:c r="A74" s="4" t="str">
        <x:v>Origin family</x:v>
      </x:c>
      <x:c r="B74" s="4" t="str">
        <x:v>Recovered machinery</x:v>
      </x:c>
      <x:c r="C74" s="4" t="str">
        <x:v>Broad provenance. Manufactured / unresolved does not identify raw ingredients.</x:v>
      </x:c>
    </x:row>
    <x:row r="75" ht="50" customHeight="1">
      <x:c r="A75" s="4" t="str">
        <x:v>Origin family</x:v>
      </x:c>
      <x:c r="B75" s="4" t="str">
        <x:v>Unresolved</x:v>
      </x:c>
      <x:c r="C75" s="4" t="str">
        <x:v>Broad provenance. Manufactured / unresolved does not identify raw ingredients.</x:v>
      </x:c>
    </x:row>
    <x:row r="76" ht="50" customHeight="1">
      <x:c r="A76" s="4" t="str">
        <x:v>Primary use</x:v>
      </x:c>
      <x:c r="B76" s="4" t="str">
        <x:v>Area denial</x:v>
      </x:c>
      <x:c r="C76" s="4" t="str">
        <x:v>Main catalog purpose. Item uses lists additional purposes as separate filterable rows.</x:v>
      </x:c>
    </x:row>
    <x:row r="77" ht="50" customHeight="1">
      <x:c r="A77" s="4" t="str">
        <x:v>Primary use</x:v>
      </x:c>
      <x:c r="B77" s="4" t="str">
        <x:v>Atmospheric support</x:v>
      </x:c>
      <x:c r="C77" s="4" t="str">
        <x:v>Main catalog purpose. Item uses lists additional purposes as separate filterable rows.</x:v>
      </x:c>
    </x:row>
    <x:row r="78" ht="50" customHeight="1">
      <x:c r="A78" s="4" t="str">
        <x:v>Primary use</x:v>
      </x:c>
      <x:c r="B78" s="4" t="str">
        <x:v>Binding and construction</x:v>
      </x:c>
      <x:c r="C78" s="4" t="str">
        <x:v>Main catalog purpose. Item uses lists additional purposes as separate filterable rows.</x:v>
      </x:c>
    </x:row>
    <x:row r="79" ht="50" customHeight="1">
      <x:c r="A79" s="4" t="str">
        <x:v>Primary use</x:v>
      </x:c>
      <x:c r="B79" s="4" t="str">
        <x:v>Camp rest</x:v>
      </x:c>
      <x:c r="C79" s="4" t="str">
        <x:v>Main catalog purpose. Item uses lists additional purposes as separate filterable rows.</x:v>
      </x:c>
    </x:row>
    <x:row r="80" ht="50" customHeight="1">
      <x:c r="A80" s="4" t="str">
        <x:v>Primary use</x:v>
      </x:c>
      <x:c r="B80" s="4" t="str">
        <x:v>Cargo organization</x:v>
      </x:c>
      <x:c r="C80" s="4" t="str">
        <x:v>Main catalog purpose. Item uses lists additional purposes as separate filterable rows.</x:v>
      </x:c>
    </x:row>
    <x:row r="81" ht="50" customHeight="1">
      <x:c r="A81" s="4" t="str">
        <x:v>Primary use</x:v>
      </x:c>
      <x:c r="B81" s="4" t="str">
        <x:v>Ceremony</x:v>
      </x:c>
      <x:c r="C81" s="4" t="str">
        <x:v>Main catalog purpose. Item uses lists additional purposes as separate filterable rows.</x:v>
      </x:c>
    </x:row>
    <x:row r="82" ht="50" customHeight="1">
      <x:c r="A82" s="4" t="str">
        <x:v>Primary use</x:v>
      </x:c>
      <x:c r="B82" s="4" t="str">
        <x:v>Chemical processing</x:v>
      </x:c>
      <x:c r="C82" s="4" t="str">
        <x:v>Main catalog purpose. Item uses lists additional purposes as separate filterable rows.</x:v>
      </x:c>
    </x:row>
    <x:row r="83" ht="50" customHeight="1">
      <x:c r="A83" s="4" t="str">
        <x:v>Primary use</x:v>
      </x:c>
      <x:c r="B83" s="4" t="str">
        <x:v>Civic identification</x:v>
      </x:c>
      <x:c r="C83" s="4" t="str">
        <x:v>Main catalog purpose. Item uses lists additional purposes as separate filterable rows.</x:v>
      </x:c>
    </x:row>
    <x:row r="84" ht="50" customHeight="1">
      <x:c r="A84" s="4" t="str">
        <x:v>Primary use</x:v>
      </x:c>
      <x:c r="B84" s="4" t="str">
        <x:v>Civic recognition</x:v>
      </x:c>
      <x:c r="C84" s="4" t="str">
        <x:v>Main catalog purpose. Item uses lists additional purposes as separate filterable rows.</x:v>
      </x:c>
    </x:row>
    <x:row r="85" ht="50" customHeight="1">
      <x:c r="A85" s="4" t="str">
        <x:v>Primary use</x:v>
      </x:c>
      <x:c r="B85" s="4" t="str">
        <x:v>Cleaning</x:v>
      </x:c>
      <x:c r="C85" s="4" t="str">
        <x:v>Main catalog purpose. Item uses lists additional purposes as separate filterable rows.</x:v>
      </x:c>
    </x:row>
    <x:row r="86" ht="50" customHeight="1">
      <x:c r="A86" s="4" t="str">
        <x:v>Primary use</x:v>
      </x:c>
      <x:c r="B86" s="4" t="str">
        <x:v>Clothing</x:v>
      </x:c>
      <x:c r="C86" s="4" t="str">
        <x:v>Main catalog purpose. Item uses lists additional purposes as separate filterable rows.</x:v>
      </x:c>
    </x:row>
    <x:row r="87" ht="50" customHeight="1">
      <x:c r="A87" s="4" t="str">
        <x:v>Primary use</x:v>
      </x:c>
      <x:c r="B87" s="4" t="str">
        <x:v>Clothing fabrication</x:v>
      </x:c>
      <x:c r="C87" s="4" t="str">
        <x:v>Main catalog purpose. Item uses lists additional purposes as separate filterable rows.</x:v>
      </x:c>
    </x:row>
    <x:row r="88" ht="50" customHeight="1">
      <x:c r="A88" s="4" t="str">
        <x:v>Primary use</x:v>
      </x:c>
      <x:c r="B88" s="4" t="str">
        <x:v>Cooking</x:v>
      </x:c>
      <x:c r="C88" s="4" t="str">
        <x:v>Main catalog purpose. Item uses lists additional purposes as separate filterable rows.</x:v>
      </x:c>
    </x:row>
    <x:row r="89" ht="50" customHeight="1">
      <x:c r="A89" s="4" t="str">
        <x:v>Primary use</x:v>
      </x:c>
      <x:c r="B89" s="4" t="str">
        <x:v>Culture support</x:v>
      </x:c>
      <x:c r="C89" s="4" t="str">
        <x:v>Main catalog purpose. Item uses lists additional purposes as separate filterable rows.</x:v>
      </x:c>
    </x:row>
    <x:row r="90" ht="50" customHeight="1">
      <x:c r="A90" s="4" t="str">
        <x:v>Primary use</x:v>
      </x:c>
      <x:c r="B90" s="4" t="str">
        <x:v>Decoration</x:v>
      </x:c>
      <x:c r="C90" s="4" t="str">
        <x:v>Main catalog purpose. Item uses lists additional purposes as separate filterable rows.</x:v>
      </x:c>
    </x:row>
    <x:row r="91" ht="50" customHeight="1">
      <x:c r="A91" s="4" t="str">
        <x:v>Primary use</x:v>
      </x:c>
      <x:c r="B91" s="4" t="str">
        <x:v>Devotion</x:v>
      </x:c>
      <x:c r="C91" s="4" t="str">
        <x:v>Main catalog purpose. Item uses lists additional purposes as separate filterable rows.</x:v>
      </x:c>
    </x:row>
    <x:row r="92" ht="50" customHeight="1">
      <x:c r="A92" s="4" t="str">
        <x:v>Primary use</x:v>
      </x:c>
      <x:c r="B92" s="4" t="str">
        <x:v>Dust exclusion</x:v>
      </x:c>
      <x:c r="C92" s="4" t="str">
        <x:v>Main catalog purpose. Item uses lists additional purposes as separate filterable rows.</x:v>
      </x:c>
    </x:row>
    <x:row r="93" ht="50" customHeight="1">
      <x:c r="A93" s="4" t="str">
        <x:v>Primary use</x:v>
      </x:c>
      <x:c r="B93" s="4" t="str">
        <x:v>Electrical conduction</x:v>
      </x:c>
      <x:c r="C93" s="4" t="str">
        <x:v>Main catalog purpose. Item uses lists additional purposes as separate filterable rows.</x:v>
      </x:c>
    </x:row>
    <x:row r="94" ht="50" customHeight="1">
      <x:c r="A94" s="4" t="str">
        <x:v>Primary use</x:v>
      </x:c>
      <x:c r="B94" s="4" t="str">
        <x:v>Electrical insulation</x:v>
      </x:c>
      <x:c r="C94" s="4" t="str">
        <x:v>Main catalog purpose. Item uses lists additional purposes as separate filterable rows.</x:v>
      </x:c>
    </x:row>
    <x:row r="95" ht="50" customHeight="1">
      <x:c r="A95" s="4" t="str">
        <x:v>Primary use</x:v>
      </x:c>
      <x:c r="B95" s="4" t="str">
        <x:v>Electrical work</x:v>
      </x:c>
      <x:c r="C95" s="4" t="str">
        <x:v>Main catalog purpose. Item uses lists additional purposes as separate filterable rows.</x:v>
      </x:c>
    </x:row>
    <x:row r="96" ht="50" customHeight="1">
      <x:c r="A96" s="4" t="str">
        <x:v>Primary use</x:v>
      </x:c>
      <x:c r="B96" s="4" t="str">
        <x:v>Energy processing</x:v>
      </x:c>
      <x:c r="C96" s="4" t="str">
        <x:v>Main catalog purpose. Item uses lists additional purposes as separate filterable rows.</x:v>
      </x:c>
    </x:row>
    <x:row r="97" ht="50" customHeight="1">
      <x:c r="A97" s="4" t="str">
        <x:v>Primary use</x:v>
      </x:c>
      <x:c r="B97" s="4" t="str">
        <x:v>Energy storage</x:v>
      </x:c>
      <x:c r="C97" s="4" t="str">
        <x:v>Main catalog purpose. Item uses lists additional purposes as separate filterable rows.</x:v>
      </x:c>
    </x:row>
    <x:row r="98" ht="50" customHeight="1">
      <x:c r="A98" s="4" t="str">
        <x:v>Primary use</x:v>
      </x:c>
      <x:c r="B98" s="4" t="str">
        <x:v>Equipment fabrication</x:v>
      </x:c>
      <x:c r="C98" s="4" t="str">
        <x:v>Main catalog purpose. Item uses lists additional purposes as separate filterable rows.</x:v>
      </x:c>
    </x:row>
    <x:row r="99" ht="50" customHeight="1">
      <x:c r="A99" s="4" t="str">
        <x:v>Primary use</x:v>
      </x:c>
      <x:c r="B99" s="4" t="str">
        <x:v>Equipment mounting</x:v>
      </x:c>
      <x:c r="C99" s="4" t="str">
        <x:v>Main catalog purpose. Item uses lists additional purposes as separate filterable rows.</x:v>
      </x:c>
    </x:row>
    <x:row r="100" ht="50" customHeight="1">
      <x:c r="A100" s="4" t="str">
        <x:v>Primary use</x:v>
      </x:c>
      <x:c r="B100" s="4" t="str">
        <x:v>Equipment repair</x:v>
      </x:c>
      <x:c r="C100" s="4" t="str">
        <x:v>Main catalog purpose. Item uses lists additional purposes as separate filterable rows.</x:v>
      </x:c>
    </x:row>
    <x:row r="101" ht="50" customHeight="1">
      <x:c r="A101" s="4" t="str">
        <x:v>Primary use</x:v>
      </x:c>
      <x:c r="B101" s="4" t="str">
        <x:v>Excavation</x:v>
      </x:c>
      <x:c r="C101" s="4" t="str">
        <x:v>Main catalog purpose. Item uses lists additional purposes as separate filterable rows.</x:v>
      </x:c>
    </x:row>
    <x:row r="102" ht="50" customHeight="1">
      <x:c r="A102" s="4" t="str">
        <x:v>Primary use</x:v>
      </x:c>
      <x:c r="B102" s="4" t="str">
        <x:v>Fabrication</x:v>
      </x:c>
      <x:c r="C102" s="4" t="str">
        <x:v>Main catalog purpose. Item uses lists additional purposes as separate filterable rows.</x:v>
      </x:c>
    </x:row>
    <x:row r="103" ht="50" customHeight="1">
      <x:c r="A103" s="4" t="str">
        <x:v>Primary use</x:v>
      </x:c>
      <x:c r="B103" s="4" t="str">
        <x:v>Fashion</x:v>
      </x:c>
      <x:c r="C103" s="4" t="str">
        <x:v>Main catalog purpose. Item uses lists additional purposes as separate filterable rows.</x:v>
      </x:c>
    </x:row>
    <x:row r="104" ht="50" customHeight="1">
      <x:c r="A104" s="4" t="str">
        <x:v>Primary use</x:v>
      </x:c>
      <x:c r="B104" s="4" t="str">
        <x:v>Fauna interaction</x:v>
      </x:c>
      <x:c r="C104" s="4" t="str">
        <x:v>Main catalog purpose. Item uses lists additional purposes as separate filterable rows.</x:v>
      </x:c>
    </x:row>
    <x:row r="105" ht="50" customHeight="1">
      <x:c r="A105" s="4" t="str">
        <x:v>Primary use</x:v>
      </x:c>
      <x:c r="B105" s="4" t="str">
        <x:v>Fiber processing</x:v>
      </x:c>
      <x:c r="C105" s="4" t="str">
        <x:v>Main catalog purpose. Item uses lists additional purposes as separate filterable rows.</x:v>
      </x:c>
    </x:row>
    <x:row r="106" ht="50" customHeight="1">
      <x:c r="A106" s="4" t="str">
        <x:v>Primary use</x:v>
      </x:c>
      <x:c r="B106" s="4" t="str">
        <x:v>Fire management</x:v>
      </x:c>
      <x:c r="C106" s="4" t="str">
        <x:v>Main catalog purpose. Item uses lists additional purposes as separate filterable rows.</x:v>
      </x:c>
    </x:row>
    <x:row r="107" ht="50" customHeight="1">
      <x:c r="A107" s="4" t="str">
        <x:v>Primary use</x:v>
      </x:c>
      <x:c r="B107" s="4" t="str">
        <x:v>Food preparation</x:v>
      </x:c>
      <x:c r="C107" s="4" t="str">
        <x:v>Main catalog purpose. Item uses lists additional purposes as separate filterable rows.</x:v>
      </x:c>
    </x:row>
    <x:row r="108" ht="50" customHeight="1">
      <x:c r="A108" s="4" t="str">
        <x:v>Primary use</x:v>
      </x:c>
      <x:c r="B108" s="4" t="str">
        <x:v>Food service</x:v>
      </x:c>
      <x:c r="C108" s="4" t="str">
        <x:v>Main catalog purpose. Item uses lists additional purposes as separate filterable rows.</x:v>
      </x:c>
    </x:row>
    <x:row r="109" ht="50" customHeight="1">
      <x:c r="A109" s="4" t="str">
        <x:v>Primary use</x:v>
      </x:c>
      <x:c r="B109" s="4" t="str">
        <x:v>Fuel</x:v>
      </x:c>
      <x:c r="C109" s="4" t="str">
        <x:v>Main catalog purpose. Item uses lists additional purposes as separate filterable rows.</x:v>
      </x:c>
    </x:row>
    <x:row r="110" ht="50" customHeight="1">
      <x:c r="A110" s="4" t="str">
        <x:v>Primary use</x:v>
      </x:c>
      <x:c r="B110" s="4" t="str">
        <x:v>Glass and ceramics</x:v>
      </x:c>
      <x:c r="C110" s="4" t="str">
        <x:v>Main catalog purpose. Item uses lists additional purposes as separate filterable rows.</x:v>
      </x:c>
    </x:row>
    <x:row r="111" ht="50" customHeight="1">
      <x:c r="A111" s="4" t="str">
        <x:v>Primary use</x:v>
      </x:c>
      <x:c r="B111" s="4" t="str">
        <x:v>Grooming</x:v>
      </x:c>
      <x:c r="C111" s="4" t="str">
        <x:v>Main catalog purpose. Item uses lists additional purposes as separate filterable rows.</x:v>
      </x:c>
    </x:row>
    <x:row r="112" ht="50" customHeight="1">
      <x:c r="A112" s="4" t="str">
        <x:v>Primary use</x:v>
      </x:c>
      <x:c r="B112" s="4" t="str">
        <x:v>Hydration</x:v>
      </x:c>
      <x:c r="C112" s="4" t="str">
        <x:v>Main catalog purpose. Item uses lists additional purposes as separate filterable rows.</x:v>
      </x:c>
    </x:row>
    <x:row r="113" ht="50" customHeight="1">
      <x:c r="A113" s="4" t="str">
        <x:v>Primary use</x:v>
      </x:c>
      <x:c r="B113" s="4" t="str">
        <x:v>Ignition</x:v>
      </x:c>
      <x:c r="C113" s="4" t="str">
        <x:v>Main catalog purpose. Item uses lists additional purposes as separate filterable rows.</x:v>
      </x:c>
    </x:row>
    <x:row r="114" ht="50" customHeight="1">
      <x:c r="A114" s="4" t="str">
        <x:v>Primary use</x:v>
      </x:c>
      <x:c r="B114" s="4" t="str">
        <x:v>Illumination</x:v>
      </x:c>
      <x:c r="C114" s="4" t="str">
        <x:v>Main catalog purpose. Item uses lists additional purposes as separate filterable rows.</x:v>
      </x:c>
    </x:row>
    <x:row r="115" ht="50" customHeight="1">
      <x:c r="A115" s="4" t="str">
        <x:v>Primary use</x:v>
      </x:c>
      <x:c r="B115" s="4" t="str">
        <x:v>Injury treatment</x:v>
      </x:c>
      <x:c r="C115" s="4" t="str">
        <x:v>Main catalog purpose. Item uses lists additional purposes as separate filterable rows.</x:v>
      </x:c>
    </x:row>
    <x:row r="116" ht="50" customHeight="1">
      <x:c r="A116" s="4" t="str">
        <x:v>Primary use</x:v>
      </x:c>
      <x:c r="B116" s="4" t="str">
        <x:v>Inspection</x:v>
      </x:c>
      <x:c r="C116" s="4" t="str">
        <x:v>Main catalog purpose. Item uses lists additional purposes as separate filterable rows.</x:v>
      </x:c>
    </x:row>
    <x:row r="117" ht="50" customHeight="1">
      <x:c r="A117" s="4" t="str">
        <x:v>Primary use</x:v>
      </x:c>
      <x:c r="B117" s="4" t="str">
        <x:v>Keepsake storage</x:v>
      </x:c>
      <x:c r="C117" s="4" t="str">
        <x:v>Main catalog purpose. Item uses lists additional purposes as separate filterable rows.</x:v>
      </x:c>
    </x:row>
    <x:row r="118" ht="50" customHeight="1">
      <x:c r="A118" s="4" t="str">
        <x:v>Primary use</x:v>
      </x:c>
      <x:c r="B118" s="4" t="str">
        <x:v>Liquid and bulk containment</x:v>
      </x:c>
      <x:c r="C118" s="4" t="str">
        <x:v>Main catalog purpose. Item uses lists additional purposes as separate filterable rows.</x:v>
      </x:c>
    </x:row>
    <x:row r="119" ht="50" customHeight="1">
      <x:c r="A119" s="4" t="str">
        <x:v>Primary use</x:v>
      </x:c>
      <x:c r="B119" s="4" t="str">
        <x:v>Lubrication</x:v>
      </x:c>
      <x:c r="C119" s="4" t="str">
        <x:v>Main catalog purpose. Item uses lists additional purposes as separate filterable rows.</x:v>
      </x:c>
    </x:row>
    <x:row r="120" ht="50" customHeight="1">
      <x:c r="A120" s="4" t="str">
        <x:v>Primary use</x:v>
      </x:c>
      <x:c r="B120" s="4" t="str">
        <x:v>Machinery drive</x:v>
      </x:c>
      <x:c r="C120" s="4" t="str">
        <x:v>Main catalog purpose. Item uses lists additional purposes as separate filterable rows.</x:v>
      </x:c>
    </x:row>
    <x:row r="121" ht="50" customHeight="1">
      <x:c r="A121" s="4" t="str">
        <x:v>Primary use</x:v>
      </x:c>
      <x:c r="B121" s="4" t="str">
        <x:v>Machinery repair</x:v>
      </x:c>
      <x:c r="C121" s="4" t="str">
        <x:v>Main catalog purpose. Item uses lists additional purposes as separate filterable rows.</x:v>
      </x:c>
    </x:row>
    <x:row r="122" ht="50" customHeight="1">
      <x:c r="A122" s="4" t="str">
        <x:v>Primary use</x:v>
      </x:c>
      <x:c r="B122" s="4" t="str">
        <x:v>Magnetic field control</x:v>
      </x:c>
      <x:c r="C122" s="4" t="str">
        <x:v>Main catalog purpose. Item uses lists additional purposes as separate filterable rows.</x:v>
      </x:c>
    </x:row>
    <x:row r="123" ht="50" customHeight="1">
      <x:c r="A123" s="4" t="str">
        <x:v>Primary use</x:v>
      </x:c>
      <x:c r="B123" s="4" t="str">
        <x:v>Magnetic tools</x:v>
      </x:c>
      <x:c r="C123" s="4" t="str">
        <x:v>Main catalog purpose. Item uses lists additional purposes as separate filterable rows.</x:v>
      </x:c>
    </x:row>
    <x:row r="124" ht="50" customHeight="1">
      <x:c r="A124" s="4" t="str">
        <x:v>Primary use</x:v>
      </x:c>
      <x:c r="B124" s="4" t="str">
        <x:v>Material exclusion</x:v>
      </x:c>
      <x:c r="C124" s="4" t="str">
        <x:v>Main catalog purpose. Item uses lists additional purposes as separate filterable rows.</x:v>
      </x:c>
    </x:row>
    <x:row r="125" ht="50" customHeight="1">
      <x:c r="A125" s="4" t="str">
        <x:v>Primary use</x:v>
      </x:c>
      <x:c r="B125" s="4" t="str">
        <x:v>Material transfer</x:v>
      </x:c>
      <x:c r="C125" s="4" t="str">
        <x:v>Main catalog purpose. Item uses lists additional purposes as separate filterable rows.</x:v>
      </x:c>
    </x:row>
    <x:row r="126" ht="50" customHeight="1">
      <x:c r="A126" s="4" t="str">
        <x:v>Primary use</x:v>
      </x:c>
      <x:c r="B126" s="4" t="str">
        <x:v>Metal forging</x:v>
      </x:c>
      <x:c r="C126" s="4" t="str">
        <x:v>Main catalog purpose. Item uses lists additional purposes as separate filterable rows.</x:v>
      </x:c>
    </x:row>
    <x:row r="127" ht="50" customHeight="1">
      <x:c r="A127" s="4" t="str">
        <x:v>Primary use</x:v>
      </x:c>
      <x:c r="B127" s="4" t="str">
        <x:v>Metal refining</x:v>
      </x:c>
      <x:c r="C127" s="4" t="str">
        <x:v>Main catalog purpose. Item uses lists additional purposes as separate filterable rows.</x:v>
      </x:c>
    </x:row>
    <x:row r="128" ht="50" customHeight="1">
      <x:c r="A128" s="4" t="str">
        <x:v>Primary use</x:v>
      </x:c>
      <x:c r="B128" s="4" t="str">
        <x:v>Music</x:v>
      </x:c>
      <x:c r="C128" s="4" t="str">
        <x:v>Main catalog purpose. Item uses lists additional purposes as separate filterable rows.</x:v>
      </x:c>
    </x:row>
    <x:row r="129" ht="50" customHeight="1">
      <x:c r="A129" s="4" t="str">
        <x:v>Primary use</x:v>
      </x:c>
      <x:c r="B129" s="4" t="str">
        <x:v>Nutrition</x:v>
      </x:c>
      <x:c r="C129" s="4" t="str">
        <x:v>Main catalog purpose. Item uses lists additional purposes as separate filterable rows.</x:v>
      </x:c>
    </x:row>
    <x:row r="130" ht="50" customHeight="1">
      <x:c r="A130" s="4" t="str">
        <x:v>Primary use</x:v>
      </x:c>
      <x:c r="B130" s="4" t="str">
        <x:v>Offensive combat</x:v>
      </x:c>
      <x:c r="C130" s="4" t="str">
        <x:v>Main catalog purpose. Item uses lists additional purposes as separate filterable rows.</x:v>
      </x:c>
    </x:row>
    <x:row r="131" ht="50" customHeight="1">
      <x:c r="A131" s="4" t="str">
        <x:v>Primary use</x:v>
      </x:c>
      <x:c r="B131" s="4" t="str">
        <x:v>Paper making</x:v>
      </x:c>
      <x:c r="C131" s="4" t="str">
        <x:v>Main catalog purpose. Item uses lists additional purposes as separate filterable rows.</x:v>
      </x:c>
    </x:row>
    <x:row r="132" ht="50" customHeight="1">
      <x:c r="A132" s="4" t="str">
        <x:v>Primary use</x:v>
      </x:c>
      <x:c r="B132" s="4" t="str">
        <x:v>Protection</x:v>
      </x:c>
      <x:c r="C132" s="4" t="str">
        <x:v>Main catalog purpose. Item uses lists additional purposes as separate filterable rows.</x:v>
      </x:c>
    </x:row>
    <x:row r="133" ht="50" customHeight="1">
      <x:c r="A133" s="4" t="str">
        <x:v>Primary use</x:v>
      </x:c>
      <x:c r="B133" s="4" t="str">
        <x:v>Protective fabrication</x:v>
      </x:c>
      <x:c r="C133" s="4" t="str">
        <x:v>Main catalog purpose. Item uses lists additional purposes as separate filterable rows.</x:v>
      </x:c>
    </x:row>
    <x:row r="134" ht="50" customHeight="1">
      <x:c r="A134" s="4" t="str">
        <x:v>Primary use</x:v>
      </x:c>
      <x:c r="B134" s="4" t="str">
        <x:v>Provenance</x:v>
      </x:c>
      <x:c r="C134" s="4" t="str">
        <x:v>Main catalog purpose. Item uses lists additional purposes as separate filterable rows.</x:v>
      </x:c>
    </x:row>
    <x:row r="135" ht="50" customHeight="1">
      <x:c r="A135" s="4" t="str">
        <x:v>Primary use</x:v>
      </x:c>
      <x:c r="B135" s="4" t="str">
        <x:v>Public communication</x:v>
      </x:c>
      <x:c r="C135" s="4" t="str">
        <x:v>Main catalog purpose. Item uses lists additional purposes as separate filterable rows.</x:v>
      </x:c>
    </x:row>
    <x:row r="136" ht="50" customHeight="1">
      <x:c r="A136" s="4" t="str">
        <x:v>Primary use</x:v>
      </x:c>
      <x:c r="B136" s="4" t="str">
        <x:v>Radio communication</x:v>
      </x:c>
      <x:c r="C136" s="4" t="str">
        <x:v>Main catalog purpose. Item uses lists additional purposes as separate filterable rows.</x:v>
      </x:c>
    </x:row>
    <x:row r="137" ht="50" customHeight="1">
      <x:c r="A137" s="4" t="str">
        <x:v>Primary use</x:v>
      </x:c>
      <x:c r="B137" s="4" t="str">
        <x:v>Remembrance</x:v>
      </x:c>
      <x:c r="C137" s="4" t="str">
        <x:v>Main catalog purpose. Item uses lists additional purposes as separate filterable rows.</x:v>
      </x:c>
    </x:row>
    <x:row r="138" ht="50" customHeight="1">
      <x:c r="A138" s="4" t="str">
        <x:v>Primary use</x:v>
      </x:c>
      <x:c r="B138" s="4" t="str">
        <x:v>Resource collection</x:v>
      </x:c>
      <x:c r="C138" s="4" t="str">
        <x:v>Main catalog purpose. Item uses lists additional purposes as separate filterable rows.</x:v>
      </x:c>
    </x:row>
    <x:row r="139" ht="50" customHeight="1">
      <x:c r="A139" s="4" t="str">
        <x:v>Primary use</x:v>
      </x:c>
      <x:c r="B139" s="4" t="str">
        <x:v>Sealing</x:v>
      </x:c>
      <x:c r="C139" s="4" t="str">
        <x:v>Main catalog purpose. Item uses lists additional purposes as separate filterable rows.</x:v>
      </x:c>
    </x:row>
    <x:row r="140" ht="50" customHeight="1">
      <x:c r="A140" s="4" t="str">
        <x:v>Primary use</x:v>
      </x:c>
      <x:c r="B140" s="4" t="str">
        <x:v>Specialist samples</x:v>
      </x:c>
      <x:c r="C140" s="4" t="str">
        <x:v>Main catalog purpose. Item uses lists additional purposes as separate filterable rows.</x:v>
      </x:c>
    </x:row>
    <x:row r="141" ht="50" customHeight="1">
      <x:c r="A141" s="4" t="str">
        <x:v>Primary use</x:v>
      </x:c>
      <x:c r="B141" s="4" t="str">
        <x:v>Static management</x:v>
      </x:c>
      <x:c r="C141" s="4" t="str">
        <x:v>Main catalog purpose. Item uses lists additional purposes as separate filterable rows.</x:v>
      </x:c>
    </x:row>
    <x:row r="142" ht="50" customHeight="1">
      <x:c r="A142" s="4" t="str">
        <x:v>Primary use</x:v>
      </x:c>
      <x:c r="B142" s="4" t="str">
        <x:v>Sun shading</x:v>
      </x:c>
      <x:c r="C142" s="4" t="str">
        <x:v>Main catalog purpose. Item uses lists additional purposes as separate filterable rows.</x:v>
      </x:c>
    </x:row>
    <x:row r="143" ht="50" customHeight="1">
      <x:c r="A143" s="4" t="str">
        <x:v>Primary use</x:v>
      </x:c>
      <x:c r="B143" s="4" t="str">
        <x:v>Surface finishing</x:v>
      </x:c>
      <x:c r="C143" s="4" t="str">
        <x:v>Main catalog purpose. Item uses lists additional purposes as separate filterable rows.</x:v>
      </x:c>
    </x:row>
    <x:row r="144" ht="50" customHeight="1">
      <x:c r="A144" s="4" t="str">
        <x:v>Primary use</x:v>
      </x:c>
      <x:c r="B144" s="4" t="str">
        <x:v>Survival provision</x:v>
      </x:c>
      <x:c r="C144" s="4" t="str">
        <x:v>Main catalog purpose. Item uses lists additional purposes as separate filterable rows.</x:v>
      </x:c>
    </x:row>
    <x:row r="145" ht="50" customHeight="1">
      <x:c r="A145" s="4" t="str">
        <x:v>Primary use</x:v>
      </x:c>
      <x:c r="B145" s="4" t="str">
        <x:v>Textile processing</x:v>
      </x:c>
      <x:c r="C145" s="4" t="str">
        <x:v>Main catalog purpose. Item uses lists additional purposes as separate filterable rows.</x:v>
      </x:c>
    </x:row>
    <x:row r="146" ht="50" customHeight="1">
      <x:c r="A146" s="4" t="str">
        <x:v>Primary use</x:v>
      </x:c>
      <x:c r="B146" s="4" t="str">
        <x:v>Tool fabrication</x:v>
      </x:c>
      <x:c r="C146" s="4" t="str">
        <x:v>Main catalog purpose. Item uses lists additional purposes as separate filterable rows.</x:v>
      </x:c>
    </x:row>
    <x:row r="147" ht="50" customHeight="1">
      <x:c r="A147" s="4" t="str">
        <x:v>Primary use</x:v>
      </x:c>
      <x:c r="B147" s="4" t="str">
        <x:v>Trade</x:v>
      </x:c>
      <x:c r="C147" s="4" t="str">
        <x:v>Main catalog purpose. Item uses lists additional purposes as separate filterable rows.</x:v>
      </x:c>
    </x:row>
    <x:row r="148" ht="50" customHeight="1">
      <x:c r="A148" s="4" t="str">
        <x:v>Primary use</x:v>
      </x:c>
      <x:c r="B148" s="4" t="str">
        <x:v>Traversal</x:v>
      </x:c>
      <x:c r="C148" s="4" t="str">
        <x:v>Main catalog purpose. Item uses lists additional purposes as separate filterable rows.</x:v>
      </x:c>
    </x:row>
    <x:row r="149" ht="50" customHeight="1">
      <x:c r="A149" s="4" t="str">
        <x:v>Primary use</x:v>
      </x:c>
      <x:c r="B149" s="4" t="str">
        <x:v>Use unresolved</x:v>
      </x:c>
      <x:c r="C149" s="4" t="str">
        <x:v>Main catalog purpose. Item uses lists additional purposes as separate filterable rows.</x:v>
      </x:c>
    </x:row>
    <x:row r="150" ht="50" customHeight="1">
      <x:c r="A150" s="4" t="str">
        <x:v>Primary use</x:v>
      </x:c>
      <x:c r="B150" s="4" t="str">
        <x:v>Vision</x:v>
      </x:c>
      <x:c r="C150" s="4" t="str">
        <x:v>Main catalog purpose. Item uses lists additional purposes as separate filterable rows.</x:v>
      </x:c>
    </x:row>
    <x:row r="151" ht="50" customHeight="1">
      <x:c r="A151" s="4" t="str">
        <x:v>Primary use</x:v>
      </x:c>
      <x:c r="B151" s="4" t="str">
        <x:v>Wind power</x:v>
      </x:c>
      <x:c r="C151" s="4" t="str">
        <x:v>Main catalog purpose. Item uses lists additional purposes as separate filterable rows.</x:v>
      </x:c>
    </x:row>
    <x:row r="152" ht="50" customHeight="1">
      <x:c r="A152" s="4" t="str">
        <x:v>Primary use</x:v>
      </x:c>
      <x:c r="B152" s="4" t="str">
        <x:v>Wind propulsion</x:v>
      </x:c>
      <x:c r="C152" s="4" t="str">
        <x:v>Main catalog purpose. Item uses lists additional purposes as separate filterable rows.</x:v>
      </x:c>
    </x:row>
    <x:row r="153" ht="50" customHeight="1">
      <x:c r="A153" s="4" t="str">
        <x:v>Primary use</x:v>
      </x:c>
      <x:c r="B153" s="4" t="str">
        <x:v>Work holding</x:v>
      </x:c>
      <x:c r="C153" s="4" t="str">
        <x:v>Main catalog purpose. Item uses lists additional purposes as separate filterable rows.</x:v>
      </x:c>
    </x:row>
    <x:row r="154" ht="50" customHeight="1">
      <x:c r="A154" s="4" t="str">
        <x:v>Primary use</x:v>
      </x:c>
      <x:c r="B154" s="4" t="str">
        <x:v>Writing and records</x:v>
      </x:c>
      <x:c r="C154" s="4" t="str">
        <x:v>Main catalog purpose. Item uses lists additional purposes as separate filterable rows.</x:v>
      </x:c>
    </x:row>
    <x:row r="155" ht="50" customHeight="1">
      <x:c r="A155" s="4" t="str">
        <x:v>Primary use</x:v>
      </x:c>
      <x:c r="B155" s="4" t="str">
        <x:v>Animal husbandry</x:v>
      </x:c>
      <x:c r="C155" s="4" t="str">
        <x:v>Feeding, handling and renewable-material care of domestic fauna.</x:v>
      </x:c>
    </x:row>
    <x:row r="156" ht="50" customHeight="1">
      <x:c r="A156" s="4" t="str">
        <x:v>Primary use</x:v>
      </x:c>
      <x:c r="B156" s="4" t="str">
        <x:v>Material analysis</x:v>
      </x:c>
      <x:c r="C156" s="4" t="str">
        <x:v>Sampling, composition reference and workshop material identification.</x:v>
      </x:c>
    </x:row>
    <x:row r="157" ht="50" customHeight="1">
      <x:c r="A157" s="4" t="str">
        <x:v>Primary use</x:v>
      </x:c>
      <x:c r="B157" s="4" t="str">
        <x:v>Defensive combat</x:v>
      </x:c>
      <x:c r="C157" s="4" t="str">
        <x:v>Primary intended use for shields and other active defensive equipment.</x:v>
      </x:c>
    </x:row>
    <x:row r="158" ht="50" customHeight="1">
      <x:c r="A158" s="4" t="str">
        <x:v>Primary use</x:v>
      </x:c>
      <x:c r="B158" s="4" t="str">
        <x:v>Warning and detection</x:v>
      </x:c>
      <x:c r="C158" s="4" t="str">
        <x:v>Primary purpose is detecting passage or producing an alarm rather than capturing or injuring a target.</x:v>
      </x:c>
    </x:row>
    <x:row r="159" ht="50" customHeight="1">
      <x:c r="A159" s="4" t="str">
        <x:v>Material family</x:v>
      </x:c>
      <x:c r="B159" s="4" t="str">
        <x:v>Ancient composite</x:v>
      </x:c>
      <x:c r="C159" s="4" t="str">
        <x:v>Broad descriptive candidate. Mixed, alternative and unresolved values preserve uncertainty.</x:v>
      </x:c>
    </x:row>
    <x:row r="160" ht="50" customHeight="1">
      <x:c r="A160" s="4" t="str">
        <x:v>Material family</x:v>
      </x:c>
      <x:c r="B160" s="4" t="str">
        <x:v>Biological and mineral mixture</x:v>
      </x:c>
      <x:c r="C160" s="4" t="str">
        <x:v>Broad descriptive candidate. Mixed, alternative and unresolved values preserve uncertainty.</x:v>
      </x:c>
    </x:row>
    <x:row r="161" ht="50" customHeight="1">
      <x:c r="A161" s="4" t="str">
        <x:v>Material family</x:v>
      </x:c>
      <x:c r="B161" s="4" t="str">
        <x:v>Biological chemical</x:v>
      </x:c>
      <x:c r="C161" s="4" t="str">
        <x:v>Broad descriptive candidate. Mixed, alternative and unresolved values preserve uncertainty.</x:v>
      </x:c>
    </x:row>
    <x:row r="162" ht="50" customHeight="1">
      <x:c r="A162" s="4" t="str">
        <x:v>Material family</x:v>
      </x:c>
      <x:c r="B162" s="4" t="str">
        <x:v>Carbonaceous material</x:v>
      </x:c>
      <x:c r="C162" s="4" t="str">
        <x:v>Broad descriptive candidate. Mixed, alternative and unresolved values preserve uncertainty.</x:v>
      </x:c>
    </x:row>
    <x:row r="163" ht="50" customHeight="1">
      <x:c r="A163" s="4" t="str">
        <x:v>Material family</x:v>
      </x:c>
      <x:c r="B163" s="4" t="str">
        <x:v>Ceramic</x:v>
      </x:c>
      <x:c r="C163" s="4" t="str">
        <x:v>Broad descriptive candidate. Mixed, alternative and unresolved values preserve uncertainty.</x:v>
      </x:c>
    </x:row>
    <x:row r="164" ht="50" customHeight="1">
      <x:c r="A164" s="4" t="str">
        <x:v>Material family</x:v>
      </x:c>
      <x:c r="B164" s="4" t="str">
        <x:v>Ceramic and metal</x:v>
      </x:c>
      <x:c r="C164" s="4" t="str">
        <x:v>Broad descriptive candidate. Mixed, alternative and unresolved values preserve uncertainty.</x:v>
      </x:c>
    </x:row>
    <x:row r="165" ht="50" customHeight="1">
      <x:c r="A165" s="4" t="str">
        <x:v>Material family</x:v>
      </x:c>
      <x:c r="B165" s="4" t="str">
        <x:v>Ceramic feed mixture</x:v>
      </x:c>
      <x:c r="C165" s="4" t="str">
        <x:v>Broad descriptive candidate. Mixed, alternative and unresolved values preserve uncertainty.</x:v>
      </x:c>
    </x:row>
    <x:row r="166" ht="50" customHeight="1">
      <x:c r="A166" s="4" t="str">
        <x:v>Material family</x:v>
      </x:c>
      <x:c r="B166" s="4" t="str">
        <x:v>Faunal fiber</x:v>
      </x:c>
      <x:c r="C166" s="4" t="str">
        <x:v>Broad descriptive candidate. Mixed, alternative and unresolved values preserve uncertainty.</x:v>
      </x:c>
    </x:row>
    <x:row r="167" ht="50" customHeight="1">
      <x:c r="A167" s="4" t="str">
        <x:v>Material family</x:v>
      </x:c>
      <x:c r="B167" s="4" t="str">
        <x:v>Faunal fiber and shell</x:v>
      </x:c>
      <x:c r="C167" s="4" t="str">
        <x:v>Broad descriptive candidate. Mixed, alternative and unresolved values preserve uncertainty.</x:v>
      </x:c>
    </x:row>
    <x:row r="168" ht="50" customHeight="1">
      <x:c r="A168" s="4" t="str">
        <x:v>Material family</x:v>
      </x:c>
      <x:c r="B168" s="4" t="str">
        <x:v>Faunal hard tissue</x:v>
      </x:c>
      <x:c r="C168" s="4" t="str">
        <x:v>Broad descriptive candidate. Mixed, alternative and unresolved values preserve uncertainty.</x:v>
      </x:c>
    </x:row>
    <x:row r="169" ht="50" customHeight="1">
      <x:c r="A169" s="4" t="str">
        <x:v>Material family</x:v>
      </x:c>
      <x:c r="B169" s="4" t="str">
        <x:v>Faunal membrane</x:v>
      </x:c>
      <x:c r="C169" s="4" t="str">
        <x:v>Broad descriptive candidate. Mixed, alternative and unresolved values preserve uncertainty.</x:v>
      </x:c>
    </x:row>
    <x:row r="170" ht="50" customHeight="1">
      <x:c r="A170" s="4" t="str">
        <x:v>Material family</x:v>
      </x:c>
      <x:c r="B170" s="4" t="str">
        <x:v>Faunal tissue</x:v>
      </x:c>
      <x:c r="C170" s="4" t="str">
        <x:v>Broad descriptive candidate. Mixed, alternative and unresolved values preserve uncertainty.</x:v>
      </x:c>
    </x:row>
    <x:row r="171" ht="50" customHeight="1">
      <x:c r="A171" s="4" t="str">
        <x:v>Material family</x:v>
      </x:c>
      <x:c r="B171" s="4" t="str">
        <x:v>Fur</x:v>
      </x:c>
      <x:c r="C171" s="4" t="str">
        <x:v>Broad descriptive candidate. Mixed, alternative and unresolved values preserve uncertainty.</x:v>
      </x:c>
    </x:row>
    <x:row r="172" ht="50" customHeight="1">
      <x:c r="A172" s="4" t="str">
        <x:v>Material family</x:v>
      </x:c>
      <x:c r="B172" s="4" t="str">
        <x:v>Gemstone</x:v>
      </x:c>
      <x:c r="C172" s="4" t="str">
        <x:v>Broad descriptive candidate. Mixed, alternative and unresolved values preserve uncertainty.</x:v>
      </x:c>
    </x:row>
    <x:row r="173" ht="50" customHeight="1">
      <x:c r="A173" s="4" t="str">
        <x:v>Material family</x:v>
      </x:c>
      <x:c r="B173" s="4" t="str">
        <x:v>Glass</x:v>
      </x:c>
      <x:c r="C173" s="4" t="str">
        <x:v>Broad descriptive candidate. Mixed, alternative and unresolved values preserve uncertainty.</x:v>
      </x:c>
    </x:row>
    <x:row r="174" ht="50" customHeight="1">
      <x:c r="A174" s="4" t="str">
        <x:v>Material family</x:v>
      </x:c>
      <x:c r="B174" s="4" t="str">
        <x:v>Glass and metal</x:v>
      </x:c>
      <x:c r="C174" s="4" t="str">
        <x:v>Broad descriptive candidate. Mixed, alternative and unresolved values preserve uncertainty.</x:v>
      </x:c>
    </x:row>
    <x:row r="175" ht="50" customHeight="1">
      <x:c r="A175" s="4" t="str">
        <x:v>Material family</x:v>
      </x:c>
      <x:c r="B175" s="4" t="str">
        <x:v>Glass and shell</x:v>
      </x:c>
      <x:c r="C175" s="4" t="str">
        <x:v>Broad descriptive candidate. Mixed, alternative and unresolved values preserve uncertainty.</x:v>
      </x:c>
    </x:row>
    <x:row r="176" ht="50" customHeight="1">
      <x:c r="A176" s="4" t="str">
        <x:v>Material family</x:v>
      </x:c>
      <x:c r="B176" s="4" t="str">
        <x:v>Glass or ceramic</x:v>
      </x:c>
      <x:c r="C176" s="4" t="str">
        <x:v>Broad descriptive candidate. Mixed, alternative and unresolved values preserve uncertainty.</x:v>
      </x:c>
    </x:row>
    <x:row r="177" ht="50" customHeight="1">
      <x:c r="A177" s="4" t="str">
        <x:v>Material family</x:v>
      </x:c>
      <x:c r="B177" s="4" t="str">
        <x:v>Glass with unresolved casing</x:v>
      </x:c>
      <x:c r="C177" s="4" t="str">
        <x:v>Broad descriptive candidate. Mixed, alternative and unresolved values preserve uncertainty.</x:v>
      </x:c>
    </x:row>
    <x:row r="178" ht="50" customHeight="1">
      <x:c r="A178" s="4" t="str">
        <x:v>Material family</x:v>
      </x:c>
      <x:c r="B178" s="4" t="str">
        <x:v>Hide</x:v>
      </x:c>
      <x:c r="C178" s="4" t="str">
        <x:v>Broad descriptive candidate. Mixed, alternative and unresolved values preserve uncertainty.</x:v>
      </x:c>
    </x:row>
    <x:row r="179" ht="50" customHeight="1">
      <x:c r="A179" s="4" t="str">
        <x:v>Material family</x:v>
      </x:c>
      <x:c r="B179" s="4" t="str">
        <x:v>Husk fiber</x:v>
      </x:c>
      <x:c r="C179" s="4" t="str">
        <x:v>Broad descriptive candidate. Mixed, alternative and unresolved values preserve uncertainty.</x:v>
      </x:c>
    </x:row>
    <x:row r="180" ht="50" customHeight="1">
      <x:c r="A180" s="4" t="str">
        <x:v>Material family</x:v>
      </x:c>
      <x:c r="B180" s="4" t="str">
        <x:v>Husk fiber and shell</x:v>
      </x:c>
      <x:c r="C180" s="4" t="str">
        <x:v>Broad descriptive candidate. Mixed, alternative and unresolved values preserve uncertainty.</x:v>
      </x:c>
    </x:row>
    <x:row r="181" ht="50" customHeight="1">
      <x:c r="A181" s="4" t="str">
        <x:v>Material family</x:v>
      </x:c>
      <x:c r="B181" s="4" t="str">
        <x:v>Metal</x:v>
      </x:c>
      <x:c r="C181" s="4" t="str">
        <x:v>Broad descriptive candidate. Mixed, alternative and unresolved values preserve uncertainty.</x:v>
      </x:c>
    </x:row>
    <x:row r="182" ht="50" customHeight="1">
      <x:c r="A182" s="4" t="str">
        <x:v>Material family</x:v>
      </x:c>
      <x:c r="B182" s="4" t="str">
        <x:v>Metal and shell</x:v>
      </x:c>
      <x:c r="C182" s="4" t="str">
        <x:v>Broad descriptive candidate. Mixed, alternative and unresolved values preserve uncertainty.</x:v>
      </x:c>
    </x:row>
    <x:row r="183" ht="50" customHeight="1">
      <x:c r="A183" s="4" t="str">
        <x:v>Material family</x:v>
      </x:c>
      <x:c r="B183" s="4" t="str">
        <x:v>Metal or shell</x:v>
      </x:c>
      <x:c r="C183" s="4" t="str">
        <x:v>Broad descriptive candidate. Mixed, alternative and unresolved values preserve uncertainty.</x:v>
      </x:c>
    </x:row>
    <x:row r="184" ht="50" customHeight="1">
      <x:c r="A184" s="4" t="str">
        <x:v>Material family</x:v>
      </x:c>
      <x:c r="B184" s="4" t="str">
        <x:v>Mineral</x:v>
      </x:c>
      <x:c r="C184" s="4" t="str">
        <x:v>Broad descriptive candidate. Mixed, alternative and unresolved values preserve uncertainty.</x:v>
      </x:c>
    </x:row>
    <x:row r="185" ht="50" customHeight="1">
      <x:c r="A185" s="4" t="str">
        <x:v>Material family</x:v>
      </x:c>
      <x:c r="B185" s="4" t="str">
        <x:v>Mineral or shell</x:v>
      </x:c>
      <x:c r="C185" s="4" t="str">
        <x:v>Broad descriptive candidate. Mixed, alternative and unresolved values preserve uncertainty.</x:v>
      </x:c>
    </x:row>
    <x:row r="186" ht="50" customHeight="1">
      <x:c r="A186" s="4" t="str">
        <x:v>Material family</x:v>
      </x:c>
      <x:c r="B186" s="4" t="str">
        <x:v>Mixed / unresolved</x:v>
      </x:c>
      <x:c r="C186" s="4" t="str">
        <x:v>Broad descriptive candidate. Mixed, alternative and unresolved values preserve uncertainty.</x:v>
      </x:c>
    </x:row>
    <x:row r="187" ht="50" customHeight="1">
      <x:c r="A187" s="4" t="str">
        <x:v>Material family</x:v>
      </x:c>
      <x:c r="B187" s="4" t="str">
        <x:v>Phagia and edible fauna</x:v>
      </x:c>
      <x:c r="C187" s="4" t="str">
        <x:v>Broad descriptive candidate. Mixed, alternative and unresolved values preserve uncertainty.</x:v>
      </x:c>
    </x:row>
    <x:row r="188" ht="50" customHeight="1">
      <x:c r="A188" s="4" t="str">
        <x:v>Material family</x:v>
      </x:c>
      <x:c r="B188" s="4" t="str">
        <x:v>Phagia preparation</x:v>
      </x:c>
      <x:c r="C188" s="4" t="str">
        <x:v>Broad descriptive candidate. Mixed, alternative and unresolved values preserve uncertainty.</x:v>
      </x:c>
    </x:row>
    <x:row r="189" ht="50" customHeight="1">
      <x:c r="A189" s="4" t="str">
        <x:v>Material family</x:v>
      </x:c>
      <x:c r="B189" s="4" t="str">
        <x:v>Shell / chitin</x:v>
      </x:c>
      <x:c r="C189" s="4" t="str">
        <x:v>Broad descriptive candidate. Mixed, alternative and unresolved values preserve uncertainty.</x:v>
      </x:c>
    </x:row>
    <x:row r="190" ht="50" customHeight="1">
      <x:c r="A190" s="4" t="str">
        <x:v>Material family</x:v>
      </x:c>
      <x:c r="B190" s="4" t="str">
        <x:v>Shell and mineral</x:v>
      </x:c>
      <x:c r="C190" s="4" t="str">
        <x:v>Broad descriptive candidate. Mixed, alternative and unresolved values preserve uncertainty.</x:v>
      </x:c>
    </x:row>
    <x:row r="191" ht="50" customHeight="1">
      <x:c r="A191" s="4" t="str">
        <x:v>Material family</x:v>
      </x:c>
      <x:c r="B191" s="4" t="str">
        <x:v>Unresolved</x:v>
      </x:c>
      <x:c r="C191" s="4" t="str">
        <x:v>Broad descriptive candidate. Mixed, alternative and unresolved values preserve uncertainty.</x:v>
      </x:c>
    </x:row>
    <x:row r="192" ht="50" customHeight="1">
      <x:c r="A192" s="4" t="str">
        <x:v>Material family</x:v>
      </x:c>
      <x:c r="B192" s="4" t="str">
        <x:v>Wing membrane</x:v>
      </x:c>
      <x:c r="C192" s="4" t="str">
        <x:v>Broad descriptive candidate. Mixed, alternative and unresolved values preserve uncertainty.</x:v>
      </x:c>
    </x:row>
    <x:row r="193" ht="50" customHeight="1">
      <x:c r="A193" s="4" t="str">
        <x:v>Material family</x:v>
      </x:c>
      <x:c r="B193" s="4" t="str">
        <x:v>Wing membrane and frame</x:v>
      </x:c>
      <x:c r="C193" s="4" t="str">
        <x:v>Broad descriptive candidate. Mixed, alternative and unresolved values preserve uncertainty.</x:v>
      </x:c>
    </x:row>
    <x:row r="194" ht="50" customHeight="1">
      <x:c r="A194" s="4" t="str">
        <x:v>Material family</x:v>
      </x:c>
      <x:c r="B194" s="4" t="str">
        <x:v>Iron Growth</x:v>
      </x:c>
      <x:c r="C194" s="4" t="str">
        <x:v>Source-proposal nonliving mineral Growth; distinct from ordinary iron or steel.</x:v>
      </x:c>
    </x:row>
    <x:row r="195" ht="50" customHeight="1">
      <x:c r="A195" s="4" t="str">
        <x:v>Physical form</x:v>
      </x:c>
      <x:c r="B195" s="4" t="str">
        <x:v>Assembly</x:v>
      </x:c>
      <x:c r="C195" s="4" t="str">
        <x:v>Catalog shape/state only; Unresolved avoids inventing a physical or chemical property.</x:v>
      </x:c>
    </x:row>
    <x:row r="196" ht="50" customHeight="1">
      <x:c r="A196" s="4" t="str">
        <x:v>Physical form</x:v>
      </x:c>
      <x:c r="B196" s="4" t="str">
        <x:v>Bundle</x:v>
      </x:c>
      <x:c r="C196" s="4" t="str">
        <x:v>Catalog shape/state only; Unresolved avoids inventing a physical or chemical property.</x:v>
      </x:c>
    </x:row>
    <x:row r="197" ht="50" customHeight="1">
      <x:c r="A197" s="4" t="str">
        <x:v>Physical form</x:v>
      </x:c>
      <x:c r="B197" s="4" t="str">
        <x:v>Cord</x:v>
      </x:c>
      <x:c r="C197" s="4" t="str">
        <x:v>Catalog shape/state only; Unresolved avoids inventing a physical or chemical property.</x:v>
      </x:c>
    </x:row>
    <x:row r="198" ht="50" customHeight="1">
      <x:c r="A198" s="4" t="str">
        <x:v>Physical form</x:v>
      </x:c>
      <x:c r="B198" s="4" t="str">
        <x:v>Fiber</x:v>
      </x:c>
      <x:c r="C198" s="4" t="str">
        <x:v>Catalog shape/state only; Unresolved avoids inventing a physical or chemical property.</x:v>
      </x:c>
    </x:row>
    <x:row r="199" ht="50" customHeight="1">
      <x:c r="A199" s="4" t="str">
        <x:v>Physical form</x:v>
      </x:c>
      <x:c r="B199" s="4" t="str">
        <x:v>Folio</x:v>
      </x:c>
      <x:c r="C199" s="4" t="str">
        <x:v>Catalog shape/state only; Unresolved avoids inventing a physical or chemical property.</x:v>
      </x:c>
    </x:row>
    <x:row r="200" ht="50" customHeight="1">
      <x:c r="A200" s="4" t="str">
        <x:v>Physical form</x:v>
      </x:c>
      <x:c r="B200" s="4" t="str">
        <x:v>Garment</x:v>
      </x:c>
      <x:c r="C200" s="4" t="str">
        <x:v>Catalog shape/state only; Unresolved avoids inventing a physical or chemical property.</x:v>
      </x:c>
    </x:row>
    <x:row r="201" ht="50" customHeight="1">
      <x:c r="A201" s="4" t="str">
        <x:v>Physical form</x:v>
      </x:c>
      <x:c r="B201" s="4" t="str">
        <x:v>Gel</x:v>
      </x:c>
      <x:c r="C201" s="4" t="str">
        <x:v>Catalog shape/state only; Unresolved avoids inventing a physical or chemical property.</x:v>
      </x:c>
    </x:row>
    <x:row r="202" ht="50" customHeight="1">
      <x:c r="A202" s="4" t="str">
        <x:v>Physical form</x:v>
      </x:c>
      <x:c r="B202" s="4" t="str">
        <x:v>Liquid</x:v>
      </x:c>
      <x:c r="C202" s="4" t="str">
        <x:v>Catalog shape/state only; Unresolved avoids inventing a physical or chemical property.</x:v>
      </x:c>
    </x:row>
    <x:row r="203" ht="50" customHeight="1">
      <x:c r="A203" s="4" t="str">
        <x:v>Physical form</x:v>
      </x:c>
      <x:c r="B203" s="4" t="str">
        <x:v>Membrane</x:v>
      </x:c>
      <x:c r="C203" s="4" t="str">
        <x:v>Catalog shape/state only; Unresolved avoids inventing a physical or chemical property.</x:v>
      </x:c>
    </x:row>
    <x:row r="204" ht="50" customHeight="1">
      <x:c r="A204" s="4" t="str">
        <x:v>Physical form</x:v>
      </x:c>
      <x:c r="B204" s="4" t="str">
        <x:v>Panel</x:v>
      </x:c>
      <x:c r="C204" s="4" t="str">
        <x:v>Catalog shape/state only; Unresolved avoids inventing a physical or chemical property.</x:v>
      </x:c>
    </x:row>
    <x:row r="205" ht="50" customHeight="1">
      <x:c r="A205" s="4" t="str">
        <x:v>Physical form</x:v>
      </x:c>
      <x:c r="B205" s="4" t="str">
        <x:v>Particles</x:v>
      </x:c>
      <x:c r="C205" s="4" t="str">
        <x:v>Catalog shape/state only; Unresolved avoids inventing a physical or chemical property.</x:v>
      </x:c>
    </x:row>
    <x:row r="206" ht="50" customHeight="1">
      <x:c r="A206" s="4" t="str">
        <x:v>Physical form</x:v>
      </x:c>
      <x:c r="B206" s="4" t="str">
        <x:v>Paste</x:v>
      </x:c>
      <x:c r="C206" s="4" t="str">
        <x:v>Catalog shape/state only; Unresolved avoids inventing a physical or chemical property.</x:v>
      </x:c>
    </x:row>
    <x:row r="207" ht="50" customHeight="1">
      <x:c r="A207" s="4" t="str">
        <x:v>Physical form</x:v>
      </x:c>
      <x:c r="B207" s="4" t="str">
        <x:v>Patch</x:v>
      </x:c>
      <x:c r="C207" s="4" t="str">
        <x:v>Catalog shape/state only; Unresolved avoids inventing a physical or chemical property.</x:v>
      </x:c>
    </x:row>
    <x:row r="208" ht="50" customHeight="1">
      <x:c r="A208" s="4" t="str">
        <x:v>Physical form</x:v>
      </x:c>
      <x:c r="B208" s="4" t="str">
        <x:v>Rock</x:v>
      </x:c>
      <x:c r="C208" s="4" t="str">
        <x:v>Catalog shape/state only; Unresolved avoids inventing a physical or chemical property.</x:v>
      </x:c>
    </x:row>
    <x:row r="209" ht="50" customHeight="1">
      <x:c r="A209" s="4" t="str">
        <x:v>Physical form</x:v>
      </x:c>
      <x:c r="B209" s="4" t="str">
        <x:v>Sheet</x:v>
      </x:c>
      <x:c r="C209" s="4" t="str">
        <x:v>Catalog shape/state only; Unresolved avoids inventing a physical or chemical property.</x:v>
      </x:c>
    </x:row>
    <x:row r="210" ht="50" customHeight="1">
      <x:c r="A210" s="3" t="str">
        <x:v>Physical form</x:v>
      </x:c>
      <x:c r="B210" s="3" t="str">
        <x:v>Shell plate</x:v>
      </x:c>
      <x:c r="C210" s="3" t="str">
        <x:v>Catalog shape/state only; Unresolved avoids inventing a physical or chemical property.</x:v>
      </x:c>
    </x:row>
    <x:row r="211" ht="50" customHeight="1">
      <x:c r="A211" s="3" t="str">
        <x:v>Physical form</x:v>
      </x:c>
      <x:c r="B211" s="3" t="str">
        <x:v>Solid part</x:v>
      </x:c>
      <x:c r="C211" s="3" t="str">
        <x:v>Catalog shape/state only; Unresolved avoids inventing a physical or chemical property.</x:v>
      </x:c>
    </x:row>
    <x:row r="212" ht="50" customHeight="1">
      <x:c r="A212" s="3" t="str">
        <x:v>Physical form</x:v>
      </x:c>
      <x:c r="B212" s="3" t="str">
        <x:v>Solid piece</x:v>
      </x:c>
      <x:c r="C212" s="3" t="str">
        <x:v>Catalog shape/state only; Unresolved avoids inventing a physical or chemical property.</x:v>
      </x:c>
    </x:row>
    <x:row r="213" ht="50" customHeight="1">
      <x:c r="A213" s="3" t="str">
        <x:v>Physical form</x:v>
      </x:c>
      <x:c r="B213" s="3" t="str">
        <x:v>Strip</x:v>
      </x:c>
      <x:c r="C213" s="3" t="str">
        <x:v>Catalog shape/state only; Unresolved avoids inventing a physical or chemical property.</x:v>
      </x:c>
    </x:row>
    <x:row r="214">
      <x:c r="A214" s="3" t="str">
        <x:v>Physical form</x:v>
      </x:c>
      <x:c r="B214" s="3" t="str">
        <x:v>Unresolved</x:v>
      </x:c>
      <x:c r="C214" s="3" t="str">
        <x:v>Catalog shape/state only; Unresolved avoids inventing a physical or chemical property.</x:v>
      </x:c>
    </x:row>
    <x:row r="215">
      <x:c r="A215" s="3" t="str">
        <x:v>Physical form</x:v>
      </x:c>
      <x:c r="B215" s="3" t="str">
        <x:v>Gas</x:v>
      </x:c>
      <x:c r="C215" s="3" t="str">
        <x:v>Contained gas feed; does not assert pressure, chemical identity or suitability.</x:v>
      </x:c>
    </x:row>
    <x:row r="216">
      <x:c r="A216" s="3" t="str">
        <x:v>Design status</x:v>
      </x:c>
      <x:c r="B216" s="3" t="str">
        <x:v>Author direction</x:v>
      </x:c>
      <x:c r="C216" s="3" t="str">
        <x:v>Existing definition means serialized data, not proof all intended uses work. Author direction, Proposal and Withheld assumption remain distinct.</x:v>
      </x:c>
    </x:row>
    <x:row r="217">
      <x:c r="A217" s="3" t="str">
        <x:v>Design status</x:v>
      </x:c>
      <x:c r="B217" s="3" t="str">
        <x:v>Existing definition</x:v>
      </x:c>
      <x:c r="C217" s="3" t="str">
        <x:v>Existing definition means serialized data, not proof all intended uses work. Author direction, Proposal and Withheld assumption remain distinct.</x:v>
      </x:c>
    </x:row>
    <x:row r="218">
      <x:c r="A218" s="3" t="str">
        <x:v>Design status</x:v>
      </x:c>
      <x:c r="B218" s="3" t="str">
        <x:v>Proposal</x:v>
      </x:c>
      <x:c r="C218" s="3" t="str">
        <x:v>Existing definition means serialized data, not proof all intended uses work. Author direction, Proposal and Withheld assumption remain distinct.</x:v>
      </x:c>
    </x:row>
    <x:row r="219">
      <x:c r="A219" s="3" t="str">
        <x:v>Design status</x:v>
      </x:c>
      <x:c r="B219" s="3" t="str">
        <x:v>Source proposal</x:v>
      </x:c>
      <x:c r="C219" s="3" t="str">
        <x:v>Existing definition means serialized data, not proof all intended uses work. Author direction, Proposal and Withheld assumption remain distinct.</x:v>
      </x:c>
    </x:row>
    <x:row r="220">
      <x:c r="A220" s="3" t="str">
        <x:v>Design status</x:v>
      </x:c>
      <x:c r="B220" s="3" t="str">
        <x:v>Withheld assumption</x:v>
      </x:c>
      <x:c r="C220" s="3" t="str">
        <x:v>Existing definition means serialized data, not proof all intended uses work. Author direction, Proposal and Withheld assumption remain distinct.</x:v>
      </x:c>
    </x:row>
    <x:row r="221">
      <x:c r="A221" s="3" t="str">
        <x:v>Material tier</x:v>
      </x:c>
      <x:c r="B221" s="3" t="str">
        <x:v>Not applicable</x:v>
      </x:c>
      <x:c r="C221"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2">
      <x:c r="A222" s="3" t="str">
        <x:v>Material tier</x:v>
      </x:c>
      <x:c r="B222" s="3" t="str">
        <x:v>T0</x:v>
      </x:c>
      <x:c r="C222"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3">
      <x:c r="A223" s="3" t="str">
        <x:v>Material tier</x:v>
      </x:c>
      <x:c r="B223" s="3" t="str">
        <x:v>T1</x:v>
      </x:c>
      <x:c r="C223"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4">
      <x:c r="A224" s="3" t="str">
        <x:v>Material tier</x:v>
      </x:c>
      <x:c r="B224" s="3" t="str">
        <x:v>T2</x:v>
      </x:c>
      <x:c r="C224"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5">
      <x:c r="A225" s="3" t="str">
        <x:v>Material tier</x:v>
      </x:c>
      <x:c r="B225" s="3" t="str">
        <x:v>T3</x:v>
      </x:c>
      <x:c r="C225"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6">
      <x:c r="A226" s="3" t="str">
        <x:v>Material tier</x:v>
      </x:c>
      <x:c r="B226" s="3" t="str">
        <x:v>T4</x:v>
      </x:c>
      <x:c r="C226"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7">
      <x:c r="A227" s="3" t="str">
        <x:v>Material tier</x:v>
      </x:c>
      <x:c r="B227" s="3" t="str">
        <x:v>Unassigned</x:v>
      </x:c>
      <x:c r="C227"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8">
      <x:c r="A228" s="3" t="str">
        <x:v>Crafting role</x:v>
      </x:c>
      <x:c r="B228" s="3" t="str">
        <x:v>Component</x:v>
      </x:c>
      <x:c r="C228" s="3" t="str">
        <x:v>Material, Component, Finished item or Currency describes the item independently of material tier.</x:v>
      </x:c>
    </x:row>
    <x:row r="229" ht="64" customHeight="1">
      <x:c r="A229" s="3" t="str">
        <x:v>Crafting role</x:v>
      </x:c>
      <x:c r="B229" s="3" t="str">
        <x:v>Currency</x:v>
      </x:c>
      <x:c r="C229" s="3" t="str">
        <x:v>Material, Component, Finished item or Currency describes the item independently of material tier.</x:v>
      </x:c>
    </x:row>
    <x:row r="230" ht="64" customHeight="1">
      <x:c r="A230" s="3" t="str">
        <x:v>Crafting role</x:v>
      </x:c>
      <x:c r="B230" s="3" t="str">
        <x:v>Finished item</x:v>
      </x:c>
      <x:c r="C230" s="3" t="str">
        <x:v>Material, Component, Finished item or Currency describes the item independently of material tier.</x:v>
      </x:c>
    </x:row>
    <x:row r="231" ht="64" customHeight="1">
      <x:c r="A231" s="3" t="str">
        <x:v>Crafting role</x:v>
      </x:c>
      <x:c r="B231" s="3" t="str">
        <x:v>Material</x:v>
      </x:c>
      <x:c r="C231" s="3" t="str">
        <x:v>Material, Component, Finished item or Currency describes the item independently of material tier.</x:v>
      </x:c>
    </x:row>
    <x:row r="232">
      <x:c r="A232" s="4" t="inlineStr">
        <x:is>
          <x:t xml:space="preserve">Category</x:t>
        </x:is>
      </x:c>
      <x:c r="B232" s="4" t="inlineStr">
        <x:is>
          <x:t xml:space="preserve">Tools</x:t>
        </x:is>
      </x:c>
      <x:c r="C232" s="4"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row>
    <x:row r="233">
      <x:c r="A233" s="4" t="inlineStr">
        <x:is>
          <x:t xml:space="preserve">Category</x:t>
        </x:is>
      </x:c>
      <x:c r="B233" s="4" t="inlineStr">
        <x:is>
          <x:t xml:space="preserve">Accessories</x:t>
        </x:is>
      </x:c>
      <x:c r="C233" s="4" t="inlineStr">
        <x:is>
          <x:t xml:space="preserve">Eyewear, carried personal reserves, carriers and supporting utility gear; ordinary garments are classified as Clothing. No new slots or effects.</x:t>
        </x:is>
      </x:c>
    </x:row>
    <x:row r="234">
      <x:c r="A234" s="4" t="inlineStr">
        <x:is>
          <x:t xml:space="preserve">Category</x:t>
        </x:is>
      </x:c>
      <x:c r="B234" s="4" t="inlineStr">
        <x:is>
          <x:t xml:space="preserve">Attachments</x:t>
        </x:is>
      </x:c>
      <x:c r="C234" s="4" t="inlineStr">
        <x:is>
          <x:t xml:space="preserve">Retired primary category: all remaining entries are Armor. Retained as a historical label only.</x:t>
        </x:is>
      </x:c>
    </x:row>
    <x:row r="235">
      <x:c r="A235" s="4" t="inlineStr">
        <x:is>
          <x:t xml:space="preserve">Category</x:t>
        </x:is>
      </x:c>
      <x:c r="B235" s="4" t="inlineStr">
        <x:is>
          <x:t xml:space="preserve">Clothing</x:t>
        </x:is>
      </x:c>
      <x:c r="C235" s="4" t="inlineStr">
        <x:is>
          <x:t xml:space="preserve">Ordinary worn garments, fashion clothing, wraps, hats and visors. Protective armor stays in Armor; eyewear stays in Accessories. No new slots or effects.</x:t>
        </x:is>
      </x:c>
    </x:row>
    <x:row r="236">
      <x:c r="A236" s="4" t="inlineStr">
        <x:is>
          <x:t xml:space="preserve">Category</x:t>
        </x:is>
      </x:c>
      <x:c r="B236" s="4" t="inlineStr">
        <x:is>
          <x:t xml:space="preserve">Workshop upgrades</x:t>
        </x:is>
      </x:c>
      <x:c r="C236" s="4" t="inlineStr">
        <x:is>
          <x:t xml:space="preserve">Upgrades and replaceable working parts fitted to workshop tools or stations.</x:t>
        </x:is>
      </x:c>
    </x:row>
    <x:row r="237">
      <x:c r="A237" s="4" t="inlineStr">
        <x:is>
          <x:t xml:space="preserve">Category</x:t>
        </x:is>
      </x:c>
      <x:c r="B237" s="4" t="inlineStr">
        <x:is>
          <x:t xml:space="preserve">Legger armor</x:t>
        </x:is>
      </x:c>
      <x:c r="C237" s="4" t="inlineStr">
        <x:is>
          <x:t xml:space="preserve">Protective guards, panels and chassis covers intended for the Legger, including recovered ancient variants. Fit and protection behavior remain proposals.</x:t>
        </x:is>
      </x:c>
    </x:row>
    <x:row r="238">
      <x:c r="A238" s="4" t="inlineStr">
        <x:is>
          <x:t xml:space="preserve">Category</x:t>
        </x:is>
      </x:c>
      <x:c r="B238" s="4" t="inlineStr">
        <x:is>
          <x:t xml:space="preserve">Cooking ingredients</x:t>
        </x:is>
      </x:c>
      <x:c r="C238" s="4" t="inlineStr">
        <x:is>
          <x:t xml:space="preserve">Culinary source stocks, selected edible fauna fractions, seasonings and prepared ingredients intended for making food or drinks. Ready-to-consume servings remain Consumables. Cooking tools stay in their equipment categories.</x:t>
        </x:is>
      </x:c>
    </x:row>
    <x:row r="239">
      <x:c r="A239" s="4" t="inlineStr">
        <x:is>
          <x:t xml:space="preserve">Category</x:t>
        </x:is>
      </x:c>
      <x:c r="B239" s="4" t="inlineStr">
        <x:is>
          <x:t xml:space="preserve">Crafting stations</x:t>
        </x:is>
      </x:c>
      <x:c r="C239" s="4" t="inlineStr">
        <x:is>
          <x:t xml:space="preserve">Non-cooking crafting, firing and forging facilities. Cooking station is classified as Salvage by author direction.</x:t>
        </x:is>
      </x:c>
    </x:row>
    <x:row r="240">
      <x:c r="A240" s="4" t="inlineStr">
        <x:is>
          <x:t xml:space="preserve">Category</x:t>
        </x:is>
      </x:c>
      <x:c r="B240" s="4" t="inlineStr">
        <x:is>
          <x:t xml:space="preserve">Legger attachments</x:t>
        </x:is>
      </x:c>
      <x:c r="C240" s="4" t="inlineStr">
        <x:is>
          <x:t xml:space="preserve">Fitted Legger cargo supports, racks, containers, brackets, service cases and replaceable armor backing, liners and add-ons. Complete protective covers remain Legger armor. Classification grants no fitments, capacity or protection effects.</x:t>
        </x:is>
      </x:c>
    </x:row>
    <x:row r="241">
      <x:c r="A241" s="4" t="inlineStr">
        <x:is>
          <x:t xml:space="preserve">Category</x:t>
        </x:is>
      </x:c>
      <x:c r="B241" s="4" t="inlineStr">
        <x:is>
          <x:t xml:space="preserve">Camp items</x:t>
        </x:is>
      </x:c>
      <x:c r="C241" s="4" t="inlineStr">
        <x:is>
          <x:t xml:space="preserve">Retired primary category: all entries moved to Salvage by author direction October 16, 2026. Historical label only.</x:t>
        </x:is>
      </x:c>
    </x:row>
    <x:row r="242">
      <x:c r="A242" s="4" t="inlineStr">
        <x:is>
          <x:t xml:space="preserve">Category</x:t>
        </x:is>
      </x:c>
      <x:c r="B242" s="4" t="inlineStr">
        <x:is>
          <x:t xml:space="preserve">Ammunition</x:t>
        </x:is>
      </x:c>
      <x:c r="C242" s="4" t="inlineStr">
        <x:is>
          <x:t xml:space="preserve">Weapon projectiles, rockets and matched weapon-specific power feeds. Launchers and other weapons remain Weapons. Classification does not establish interchangeability, consumption, recovery, charge or combat behavior.</x:t>
        </x:is>
      </x:c>
    </x:row>
  </x:sheetData>
  <x:pageMargins left="0.7" right="0.7" top="0.75" bottom="0.75" header="0.3" footer="0.3"/>
  <x:tableParts count="1">
    <x:tablePart xmlns:r="http://schemas.openxmlformats.org/officeDocument/2006/relationships" r:id="R4f3ef804900d4766"/>
  </x:tableParts>
</x:worksheet>
</file>

<file path=xl/worksheets/sheet13.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5" hidden="0" customWidth="1"/>
    <x:col min="2" max="2" width="30" hidden="0" customWidth="1"/>
    <x:col min="3" max="3" width="25" hidden="0" customWidth="1"/>
    <x:col min="4" max="4" width="15" hidden="0" customWidth="1"/>
    <x:col min="5" max="5" width="31" hidden="0" customWidth="1"/>
    <x:col min="6" max="6" width="65" hidden="0" customWidth="1"/>
  </x:cols>
  <x:sheetData>
    <x:row r="2">
      <x:c r="A2" s="2" t="str">
        <x:v>Find items by use</x:v>
      </x:c>
    </x:row>
    <x:row r="3">
      <x:c r="A3" t="str">
        <x:v>One item-use relationship per row. Filter Use across primary and secondary purposes. Linked labels follow master IDs.</x:v>
      </x:c>
    </x:row>
    <x:row r="5" ht="32" customHeight="1">
      <x:c r="A5" s="53" t="str">
        <x:v>Item ID</x:v>
      </x:c>
      <x:c r="B5" s="53" t="str">
        <x:v>Item name</x:v>
      </x:c>
      <x:c r="C5" s="53" t="str">
        <x:v>Category</x:v>
      </x:c>
      <x:c r="D5" s="53" t="str">
        <x:v>Use role</x:v>
      </x:c>
      <x:c r="E5" s="53" t="str">
        <x:v>Use</x:v>
      </x:c>
      <x:c r="F5" s="53" t="str">
        <x:v>Basis</x:v>
      </x:c>
    </x:row>
    <x:row r="6" ht="45" customHeight="1">
      <x:c r="A6" s="4" t="str">
        <x:v>lab.salvage.drive_assembly</x:v>
      </x:c>
      <x:c r="B6" s="4" t="str">
        <x:f>IFERROR(INDEX(Items!$B$6:$B$1005,MATCH(A6,Items!$A$6:$A$1005,0)),"MISSING ITEM ID")</x:f>
        <x:v>Drive Assembly</x:v>
      </x:c>
      <x:c r="C6" s="4" t="str">
        <x:f>IFERROR(INDEX(Items!$D$6:$D$1005,MATCH(A6,Items!$A$6:$A$1005,0)),"MISSING ITEM ID")</x:f>
        <x:v>Salvage</x:v>
      </x:c>
      <x:c r="D6" s="4" t="str">
        <x:v>Primary</x:v>
      </x:c>
      <x:c r="E6" s="4" t="str">
        <x:f>IFERROR(INDEX(Items!$AA$6:$AA$1005,MATCH(A6,Items!$A$6:$A$1005,0)),"MISSING ITEM ID")</x:f>
        <x:v>Machinery repair</x:v>
      </x:c>
      <x:c r="F6" s="4" t="str">
        <x:v>Current item description. Catalog intent, not implemented actions.</x:v>
      </x:c>
    </x:row>
    <x:row r="7" ht="45" customHeight="1">
      <x:c r="A7" s="4" t="str">
        <x:v>lab.salvage.metal_plate</x:v>
      </x:c>
      <x:c r="B7" s="4" t="str">
        <x:f>IFERROR(INDEX(Items!$B$6:$B$1005,MATCH(A7,Items!$A$6:$A$1005,0)),"MISSING ITEM ID")</x:f>
        <x:v>Metal Plate</x:v>
      </x:c>
      <x:c r="C7" s="4" t="str">
        <x:f>IFERROR(INDEX(Items!$D$6:$D$1005,MATCH(A7,Items!$A$6:$A$1005,0)),"MISSING ITEM ID")</x:f>
        <x:v>Salvage</x:v>
      </x:c>
      <x:c r="D7" s="4" t="str">
        <x:v>Primary</x:v>
      </x:c>
      <x:c r="E7" s="4" t="str">
        <x:f>IFERROR(INDEX(Items!$AA$6:$AA$1005,MATCH(A7,Items!$A$6:$A$1005,0)),"MISSING ITEM ID")</x:f>
        <x:v>Fabrication</x:v>
      </x:c>
      <x:c r="F7" s="4" t="str">
        <x:v>Current item description. Catalog intent, not implemented actions.</x:v>
      </x:c>
    </x:row>
    <x:row r="8" ht="45" customHeight="1">
      <x:c r="A8" s="4" t="str">
        <x:v>lab.salvage.wire_bundle</x:v>
      </x:c>
      <x:c r="B8" s="4" t="str">
        <x:f>IFERROR(INDEX(Items!$B$6:$B$1005,MATCH(A8,Items!$A$6:$A$1005,0)),"MISSING ITEM ID")</x:f>
        <x:v>Wire Bundle</x:v>
      </x:c>
      <x:c r="C8" s="4" t="str">
        <x:f>IFERROR(INDEX(Items!$D$6:$D$1005,MATCH(A8,Items!$A$6:$A$1005,0)),"MISSING ITEM ID")</x:f>
        <x:v>Salvage</x:v>
      </x:c>
      <x:c r="D8" s="4" t="str">
        <x:v>Primary</x:v>
      </x:c>
      <x:c r="E8" s="4" t="str">
        <x:f>IFERROR(INDEX(Items!$AA$6:$AA$1005,MATCH(A8,Items!$A$6:$A$1005,0)),"MISSING ITEM ID")</x:f>
        <x:v>Electrical work</x:v>
      </x:c>
      <x:c r="F8" s="4" t="str">
        <x:v>Current item description. Catalog intent, not implemented actions.</x:v>
      </x:c>
    </x:row>
    <x:row r="9" ht="45" customHeight="1">
      <x:c r="A9" s="4" t="str">
        <x:v>equipment.algae_canister</x:v>
      </x:c>
      <x:c r="B9" s="4" t="str">
        <x:f>IFERROR(INDEX(Items!$B$6:$B$1005,MATCH(A9,Items!$A$6:$A$1005,0)),"MISSING ITEM ID")</x:f>
        <x:v>Algae canister</x:v>
      </x:c>
      <x:c r="C9" s="4" t="str">
        <x:f>IFERROR(INDEX(Items!$D$6:$D$1005,MATCH(A9,Items!$A$6:$A$1005,0)),"MISSING ITEM ID")</x:f>
        <x:v>Tools</x:v>
      </x:c>
      <x:c r="D9" s="4" t="str">
        <x:v>Primary</x:v>
      </x:c>
      <x:c r="E9" s="4" t="str">
        <x:f>IFERROR(INDEX(Items!$AA$6:$AA$1005,MATCH(A9,Items!$A$6:$A$1005,0)),"MISSING ITEM ID")</x:f>
        <x:v>Survival provision</x:v>
      </x:c>
      <x:c r="F9" s="4" t="str">
        <x:v>Current item description. Catalog intent, not implemented actions.</x:v>
      </x:c>
    </x:row>
    <x:row r="10" ht="45" customHeight="1">
      <x:c r="A10" s="4" t="str">
        <x:v>equipment.algae_canister</x:v>
      </x:c>
      <x:c r="B10" s="4" t="str">
        <x:f>IFERROR(INDEX(Items!$B$6:$B$1005,MATCH(A10,Items!$A$6:$A$1005,0)),"MISSING ITEM ID")</x:f>
        <x:v>Algae canister</x:v>
      </x:c>
      <x:c r="C10" s="4" t="str">
        <x:f>IFERROR(INDEX(Items!$D$6:$D$1005,MATCH(A10,Items!$A$6:$A$1005,0)),"MISSING ITEM ID")</x:f>
        <x:v>Tools</x:v>
      </x:c>
      <x:c r="D10" s="4" t="str">
        <x:v>Secondary</x:v>
      </x:c>
      <x:c r="E10" s="4" t="str">
        <x:v>Injury treatment</x:v>
      </x:c>
      <x:c r="F10" s="4" t="str">
        <x:v>Current item description. Catalog intent, not implemented actions.</x:v>
      </x:c>
    </x:row>
    <x:row r="11" ht="45" customHeight="1">
      <x:c r="A11" s="4" t="str">
        <x:v>equipment.cloak</x:v>
      </x:c>
      <x:c r="B11" s="4" t="str">
        <x:f>IFERROR(INDEX(Items!$B$6:$B$1005,MATCH(A11,Items!$A$6:$A$1005,0)),"MISSING ITEM ID")</x:f>
        <x:v>Cloak</x:v>
      </x:c>
      <x:c r="C11" s="4" t="str">
        <x:f>IFERROR(INDEX(Items!$D$6:$D$1005,MATCH(A11,Items!$A$6:$A$1005,0)),"MISSING ITEM ID")</x:f>
        <x:v>Tools</x:v>
      </x:c>
      <x:c r="D11" s="4" t="str">
        <x:v>Primary</x:v>
      </x:c>
      <x:c r="E11" s="4" t="str">
        <x:f>IFERROR(INDEX(Items!$AA$6:$AA$1005,MATCH(A11,Items!$A$6:$A$1005,0)),"MISSING ITEM ID")</x:f>
        <x:v>Clothing</x:v>
      </x:c>
      <x:c r="F11" s="4" t="str">
        <x:v>Current item description. Catalog intent, not implemented actions.</x:v>
      </x:c>
    </x:row>
    <x:row r="12" ht="45" customHeight="1">
      <x:c r="A12" s="4" t="str">
        <x:v>equipment.cloak</x:v>
      </x:c>
      <x:c r="B12" s="4" t="str">
        <x:f>IFERROR(INDEX(Items!$B$6:$B$1005,MATCH(A12,Items!$A$6:$A$1005,0)),"MISSING ITEM ID")</x:f>
        <x:v>Cloak</x:v>
      </x:c>
      <x:c r="C12" s="4" t="str">
        <x:f>IFERROR(INDEX(Items!$D$6:$D$1005,MATCH(A12,Items!$A$6:$A$1005,0)),"MISSING ITEM ID")</x:f>
        <x:v>Tools</x:v>
      </x:c>
      <x:c r="D12" s="4" t="str">
        <x:v>Secondary</x:v>
      </x:c>
      <x:c r="E12" s="4" t="str">
        <x:v>Camp rest</x:v>
      </x:c>
      <x:c r="F12" s="4" t="str">
        <x:v>Current item description. Catalog intent, not implemented actions.</x:v>
      </x:c>
    </x:row>
    <x:row r="13" ht="45" customHeight="1">
      <x:c r="A13" s="4" t="str">
        <x:v>equipment.digging_tool</x:v>
      </x:c>
      <x:c r="B13" s="4" t="str">
        <x:f>IFERROR(INDEX(Items!$B$6:$B$1005,MATCH(A13,Items!$A$6:$A$1005,0)),"MISSING ITEM ID")</x:f>
        <x:v>Digging shovel axe</x:v>
      </x:c>
      <x:c r="C13" s="4" t="str">
        <x:f>IFERROR(INDEX(Items!$D$6:$D$1005,MATCH(A13,Items!$A$6:$A$1005,0)),"MISSING ITEM ID")</x:f>
        <x:v>Tools</x:v>
      </x:c>
      <x:c r="D13" s="4" t="str">
        <x:v>Primary</x:v>
      </x:c>
      <x:c r="E13" s="4" t="str">
        <x:f>IFERROR(INDEX(Items!$AA$6:$AA$1005,MATCH(A13,Items!$A$6:$A$1005,0)),"MISSING ITEM ID")</x:f>
        <x:v>Excavation</x:v>
      </x:c>
      <x:c r="F13" s="4" t="str">
        <x:v>Current item description. Catalog intent, not implemented actions.</x:v>
      </x:c>
    </x:row>
    <x:row r="14" ht="45" customHeight="1">
      <x:c r="A14" s="4" t="str">
        <x:v>tool.micro_dust_harvester</x:v>
      </x:c>
      <x:c r="B14" s="4" t="str">
        <x:f>IFERROR(INDEX(Items!$B$6:$B$1005,MATCH(A14,Items!$A$6:$A$1005,0)),"MISSING ITEM ID")</x:f>
        <x:v>Dust canister</x:v>
      </x:c>
      <x:c r="C14" s="4" t="str">
        <x:f>IFERROR(INDEX(Items!$D$6:$D$1005,MATCH(A14,Items!$A$6:$A$1005,0)),"MISSING ITEM ID")</x:f>
        <x:v>Tools</x:v>
      </x:c>
      <x:c r="D14" s="4" t="str">
        <x:v>Primary</x:v>
      </x:c>
      <x:c r="E14" s="4" t="str">
        <x:f>IFERROR(INDEX(Items!$AA$6:$AA$1005,MATCH(A14,Items!$A$6:$A$1005,0)),"MISSING ITEM ID")</x:f>
        <x:v>Resource collection</x:v>
      </x:c>
      <x:c r="F14" s="4" t="str">
        <x:v>Current item description. Catalog intent, not implemented actions.</x:v>
      </x:c>
    </x:row>
    <x:row r="15" ht="45" customHeight="1">
      <x:c r="A15" s="4" t="str">
        <x:v>equipment.grappling_hook</x:v>
      </x:c>
      <x:c r="B15" s="4" t="str">
        <x:f>IFERROR(INDEX(Items!$B$6:$B$1005,MATCH(A15,Items!$A$6:$A$1005,0)),"MISSING ITEM ID")</x:f>
        <x:v>Grappling hook</x:v>
      </x:c>
      <x:c r="C15" s="4" t="str">
        <x:f>IFERROR(INDEX(Items!$D$6:$D$1005,MATCH(A15,Items!$A$6:$A$1005,0)),"MISSING ITEM ID")</x:f>
        <x:v>Tools</x:v>
      </x:c>
      <x:c r="D15" s="4" t="str">
        <x:v>Primary</x:v>
      </x:c>
      <x:c r="E15" s="4" t="str">
        <x:f>IFERROR(INDEX(Items!$AA$6:$AA$1005,MATCH(A15,Items!$A$6:$A$1005,0)),"MISSING ITEM ID")</x:f>
        <x:v>Traversal</x:v>
      </x:c>
      <x:c r="F15" s="4" t="str">
        <x:v>Current item description. Catalog intent, not implemented actions.</x:v>
      </x:c>
    </x:row>
    <x:row r="16" ht="45" customHeight="1">
      <x:c r="A16" s="4"/>
      <x:c r="B16" s="4"/>
      <x:c r="C16" s="4"/>
      <x:c r="D16" s="4"/>
      <x:c r="E16" s="4"/>
      <x:c r="F16" s="4"/>
    </x:row>
    <x:row r="17" ht="45" customHeight="1">
      <x:c r="A17" s="4" t="str">
        <x:v>equipment.arc_battery_charged</x:v>
      </x:c>
      <x:c r="B17" s="4" t="str">
        <x:f>IFERROR(INDEX(Items!$B$6:$B$1005,MATCH(A17,Items!$A$6:$A$1005,0)),"MISSING ITEM ID")</x:f>
        <x:v>Charged Arc Battery</x:v>
      </x:c>
      <x:c r="C17" s="4" t="str">
        <x:f>IFERROR(INDEX(Items!$D$6:$D$1005,MATCH(A17,Items!$A$6:$A$1005,0)),"MISSING ITEM ID")</x:f>
        <x:v>Tools</x:v>
      </x:c>
      <x:c r="D17" s="4" t="str">
        <x:v>Primary</x:v>
      </x:c>
      <x:c r="E17" s="4" t="str">
        <x:f>IFERROR(INDEX(Items!$AA$6:$AA$1005,MATCH(A17,Items!$A$6:$A$1005,0)),"MISSING ITEM ID")</x:f>
        <x:v>Energy storage</x:v>
      </x:c>
      <x:c r="F17" s="4" t="str">
        <x:v>Current item description. Catalog intent, not implemented actions.</x:v>
      </x:c>
    </x:row>
    <x:row r="18" ht="45" customHeight="1">
      <x:c r="A18" s="4" t="str">
        <x:v>equipment.arc_battery_empty</x:v>
      </x:c>
      <x:c r="B18" s="4" t="str">
        <x:f>IFERROR(INDEX(Items!$B$6:$B$1005,MATCH(A18,Items!$A$6:$A$1005,0)),"MISSING ITEM ID")</x:f>
        <x:v>Empty Arc Battery</x:v>
      </x:c>
      <x:c r="C18" s="4" t="str">
        <x:f>IFERROR(INDEX(Items!$D$6:$D$1005,MATCH(A18,Items!$A$6:$A$1005,0)),"MISSING ITEM ID")</x:f>
        <x:v>Salvage</x:v>
      </x:c>
      <x:c r="D18" s="4" t="str">
        <x:v>Primary</x:v>
      </x:c>
      <x:c r="E18" s="4" t="str">
        <x:f>IFERROR(INDEX(Items!$AA$6:$AA$1005,MATCH(A18,Items!$A$6:$A$1005,0)),"MISSING ITEM ID")</x:f>
        <x:v>Energy storage</x:v>
      </x:c>
      <x:c r="F18" s="4" t="str">
        <x:v>Current item description. Catalog intent, not implemented actions.</x:v>
      </x:c>
    </x:row>
    <x:row r="19" ht="45" customHeight="1">
      <x:c r="A19" s="4" t="str">
        <x:v>equipment.arc_battery_empty</x:v>
      </x:c>
      <x:c r="B19" s="4" t="str">
        <x:f>IFERROR(INDEX(Items!$B$6:$B$1005,MATCH(A19,Items!$A$6:$A$1005,0)),"MISSING ITEM ID")</x:f>
        <x:v>Empty Arc Battery</x:v>
      </x:c>
      <x:c r="C19" s="4" t="str">
        <x:f>IFERROR(INDEX(Items!$D$6:$D$1005,MATCH(A19,Items!$A$6:$A$1005,0)),"MISSING ITEM ID")</x:f>
        <x:v>Salvage</x:v>
      </x:c>
      <x:c r="D19" s="4" t="str">
        <x:v>Secondary</x:v>
      </x:c>
      <x:c r="E19" s="4" t="str">
        <x:v>Energy processing</x:v>
      </x:c>
      <x:c r="F19" s="4" t="str">
        <x:v>Current item description. Catalog intent, not implemented actions.</x:v>
      </x:c>
    </x:row>
    <x:row r="20" ht="45" customHeight="1">
      <x:c r="A20" s="4" t="str">
        <x:v>tool.popup_camp</x:v>
      </x:c>
      <x:c r="B20" s="4" t="str">
        <x:f>IFERROR(INDEX(Items!$B$6:$B$1005,MATCH(A20,Items!$A$6:$A$1005,0)),"MISSING ITEM ID")</x:f>
        <x:v>Pop-up camp</x:v>
      </x:c>
      <x:c r="C20" s="4" t="str">
        <x:f>IFERROR(INDEX(Items!$D$6:$D$1005,MATCH(A20,Items!$A$6:$A$1005,0)),"MISSING ITEM ID")</x:f>
        <x:v>Salvage</x:v>
      </x:c>
      <x:c r="D20" s="4" t="str">
        <x:v>Primary</x:v>
      </x:c>
      <x:c r="E20" s="4" t="str">
        <x:f>IFERROR(INDEX(Items!$AA$6:$AA$1005,MATCH(A20,Items!$A$6:$A$1005,0)),"MISSING ITEM ID")</x:f>
        <x:v>Camp rest</x:v>
      </x:c>
      <x:c r="F20" s="4" t="str">
        <x:v>Current item description. Catalog intent, not implemented actions.</x:v>
      </x:c>
    </x:row>
    <x:row r="21" ht="45" customHeight="1">
      <x:c r="A21" s="4" t="str">
        <x:v>tool.popup_camp</x:v>
      </x:c>
      <x:c r="B21" s="4" t="str">
        <x:f>IFERROR(INDEX(Items!$B$6:$B$1005,MATCH(A21,Items!$A$6:$A$1005,0)),"MISSING ITEM ID")</x:f>
        <x:v>Pop-up camp</x:v>
      </x:c>
      <x:c r="C21" s="4" t="str">
        <x:f>IFERROR(INDEX(Items!$D$6:$D$1005,MATCH(A21,Items!$A$6:$A$1005,0)),"MISSING ITEM ID")</x:f>
        <x:v>Salvage</x:v>
      </x:c>
      <x:c r="D21" s="4" t="str">
        <x:v>Secondary</x:v>
      </x:c>
      <x:c r="E21" s="4" t="str">
        <x:v>Sun shading</x:v>
      </x:c>
      <x:c r="F21" s="4" t="str">
        <x:v>Current item description. Catalog intent, not implemented actions.</x:v>
      </x:c>
    </x:row>
    <x:row r="22" ht="45" customHeight="1">
      <x:c r="A22" s="4" t="str">
        <x:v>resource.airborne_dust</x:v>
      </x:c>
      <x:c r="B22" s="4" t="str">
        <x:f>IFERROR(INDEX(Items!$B$6:$B$1005,MATCH(A22,Items!$A$6:$A$1005,0)),"MISSING ITEM ID")</x:f>
        <x:v>Airborne Dust</x:v>
      </x:c>
      <x:c r="C22" s="4" t="str">
        <x:f>IFERROR(INDEX(Items!$D$6:$D$1005,MATCH(A22,Items!$A$6:$A$1005,0)),"MISSING ITEM ID")</x:f>
        <x:v>Atmospheric resources</x:v>
      </x:c>
      <x:c r="D22" s="4" t="str">
        <x:v>Primary</x:v>
      </x:c>
      <x:c r="E22" s="4" t="str">
        <x:f>IFERROR(INDEX(Items!$AA$6:$AA$1005,MATCH(A22,Items!$A$6:$A$1005,0)),"MISSING ITEM ID")</x:f>
        <x:v>Energy processing</x:v>
      </x:c>
      <x:c r="F22" s="4" t="str">
        <x:v>Current item description. Catalog intent, not implemented actions.</x:v>
      </x:c>
    </x:row>
    <x:row r="23" ht="45" customHeight="1">
      <x:c r="A23" s="4" t="str">
        <x:v>lab.ironstone.aggregate</x:v>
      </x:c>
      <x:c r="B23" s="4" t="str">
        <x:f>IFERROR(INDEX(Items!$B$6:$B$1005,MATCH(A23,Items!$A$6:$A$1005,0)),"MISSING ITEM ID")</x:f>
        <x:v>Coarse Aggregate</x:v>
      </x:c>
      <x:c r="C23" s="4" t="str">
        <x:f>IFERROR(INDEX(Items!$D$6:$D$1005,MATCH(A23,Items!$A$6:$A$1005,0)),"MISSING ITEM ID")</x:f>
        <x:v>Manufactured stock</x:v>
      </x:c>
      <x:c r="D23" s="4" t="str">
        <x:v>Primary</x:v>
      </x:c>
      <x:c r="E23" s="4" t="str">
        <x:f>IFERROR(INDEX(Items!$AA$6:$AA$1005,MATCH(A23,Items!$A$6:$A$1005,0)),"MISSING ITEM ID")</x:f>
        <x:v>Use unresolved</x:v>
      </x:c>
      <x:c r="F23" s="4" t="str">
        <x:v>Current item description. Catalog intent, not implemented actions.</x:v>
      </x:c>
    </x:row>
    <x:row r="24" ht="45" customHeight="1">
      <x:c r="A24" s="4" t="str">
        <x:v>lab.ironstone.concentrate</x:v>
      </x:c>
      <x:c r="B24" s="4" t="str">
        <x:f>IFERROR(INDEX(Items!$B$6:$B$1005,MATCH(A24,Items!$A$6:$A$1005,0)),"MISSING ITEM ID")</x:f>
        <x:v>Iron-rich Concentrate</x:v>
      </x:c>
      <x:c r="C24" s="4" t="str">
        <x:f>IFERROR(INDEX(Items!$D$6:$D$1005,MATCH(A24,Items!$A$6:$A$1005,0)),"MISSING ITEM ID")</x:f>
        <x:v>Manufactured stock</x:v>
      </x:c>
      <x:c r="D24" s="4" t="str">
        <x:v>Primary</x:v>
      </x:c>
      <x:c r="E24" s="4" t="str">
        <x:f>IFERROR(INDEX(Items!$AA$6:$AA$1005,MATCH(A24,Items!$A$6:$A$1005,0)),"MISSING ITEM ID")</x:f>
        <x:v>Metal refining</x:v>
      </x:c>
      <x:c r="F24" s="4" t="str">
        <x:v>Current item description. Catalog intent, not implemented actions.</x:v>
      </x:c>
    </x:row>
    <x:row r="25" ht="45" customHeight="1">
      <x:c r="A25" s="4" t="str">
        <x:v>resource.ironstone_ore</x:v>
      </x:c>
      <x:c r="B25" s="4" t="str">
        <x:f>IFERROR(INDEX(Items!$B$6:$B$1005,MATCH(A25,Items!$A$6:$A$1005,0)),"MISSING ITEM ID")</x:f>
        <x:v>Ironstone Ore</x:v>
      </x:c>
      <x:c r="C25" s="4" t="str">
        <x:f>IFERROR(INDEX(Items!$D$6:$D$1005,MATCH(A25,Items!$A$6:$A$1005,0)),"MISSING ITEM ID")</x:f>
        <x:v>Mineral resources</x:v>
      </x:c>
      <x:c r="D25" s="4" t="str">
        <x:v>Primary</x:v>
      </x:c>
      <x:c r="E25" s="4" t="str">
        <x:f>IFERROR(INDEX(Items!$AA$6:$AA$1005,MATCH(A25,Items!$A$6:$A$1005,0)),"MISSING ITEM ID")</x:f>
        <x:v>Metal refining</x:v>
      </x:c>
      <x:c r="F25" s="4" t="str">
        <x:v>Current item description. Catalog intent, not implemented actions.</x:v>
      </x:c>
    </x:row>
    <x:row r="26" ht="45" customHeight="1">
      <x:c r="A26" s="4" t="str">
        <x:v>resource.ironstone_ore</x:v>
      </x:c>
      <x:c r="B26" s="4" t="str">
        <x:f>IFERROR(INDEX(Items!$B$6:$B$1005,MATCH(A26,Items!$A$6:$A$1005,0)),"MISSING ITEM ID")</x:f>
        <x:v>Ironstone Ore</x:v>
      </x:c>
      <x:c r="C26" s="4" t="str">
        <x:f>IFERROR(INDEX(Items!$D$6:$D$1005,MATCH(A26,Items!$A$6:$A$1005,0)),"MISSING ITEM ID")</x:f>
        <x:v>Mineral resources</x:v>
      </x:c>
      <x:c r="D26" s="4" t="str">
        <x:v>Secondary</x:v>
      </x:c>
      <x:c r="E26" s="4" t="str">
        <x:v>Fabrication</x:v>
      </x:c>
      <x:c r="F26" s="4" t="str">
        <x:v>Current item description. Catalog intent, not implemented actions.</x:v>
      </x:c>
    </x:row>
    <x:row r="27" ht="45" customHeight="1">
      <x:c r="A27" s="4" t="str">
        <x:v>lab.ironstone.mineral_dust</x:v>
      </x:c>
      <x:c r="B27" s="4" t="str">
        <x:f>IFERROR(INDEX(Items!$B$6:$B$1005,MATCH(A27,Items!$A$6:$A$1005,0)),"MISSING ITEM ID")</x:f>
        <x:v>Mineral Dust</x:v>
      </x:c>
      <x:c r="C27" s="4" t="str">
        <x:f>IFERROR(INDEX(Items!$D$6:$D$1005,MATCH(A27,Items!$A$6:$A$1005,0)),"MISSING ITEM ID")</x:f>
        <x:v>Manufactured stock</x:v>
      </x:c>
      <x:c r="D27" s="4" t="str">
        <x:v>Primary</x:v>
      </x:c>
      <x:c r="E27" s="4" t="str">
        <x:f>IFERROR(INDEX(Items!$AA$6:$AA$1005,MATCH(A27,Items!$A$6:$A$1005,0)),"MISSING ITEM ID")</x:f>
        <x:v>Use unresolved</x:v>
      </x:c>
      <x:c r="F27" s="4" t="str">
        <x:v>Current item description. Catalog intent, not implemented actions.</x:v>
      </x:c>
    </x:row>
    <x:row r="28" ht="45" customHeight="1">
      <x:c r="A28" s="4" t="str">
        <x:v>lab.ironstone.sand</x:v>
      </x:c>
      <x:c r="B28" s="4" t="str">
        <x:f>IFERROR(INDEX(Items!$B$6:$B$1005,MATCH(A28,Items!$A$6:$A$1005,0)),"MISSING ITEM ID")</x:f>
        <x:v>Mineral Sand</x:v>
      </x:c>
      <x:c r="C28" s="4" t="str">
        <x:f>IFERROR(INDEX(Items!$D$6:$D$1005,MATCH(A28,Items!$A$6:$A$1005,0)),"MISSING ITEM ID")</x:f>
        <x:v>Manufactured stock</x:v>
      </x:c>
      <x:c r="D28" s="4" t="str">
        <x:v>Primary</x:v>
      </x:c>
      <x:c r="E28" s="4" t="str">
        <x:f>IFERROR(INDEX(Items!$AA$6:$AA$1005,MATCH(A28,Items!$A$6:$A$1005,0)),"MISSING ITEM ID")</x:f>
        <x:v>Use unresolved</x:v>
      </x:c>
      <x:c r="F28" s="4" t="str">
        <x:v>Current item description. Catalog intent, not implemented actions.</x:v>
      </x:c>
    </x:row>
    <x:row r="29" ht="45" customHeight="1">
      <x:c r="A29" s="4" t="str">
        <x:v>proposal.gear.magnets</x:v>
      </x:c>
      <x:c r="B29" s="4" t="str">
        <x:f>IFERROR(INDEX(Items!$B$6:$B$1005,MATCH(A29,Items!$A$6:$A$1005,0)),"MISSING ITEM ID")</x:f>
        <x:v>Field magnets</x:v>
      </x:c>
      <x:c r="C29" s="4" t="str">
        <x:f>IFERROR(INDEX(Items!$D$6:$D$1005,MATCH(A29,Items!$A$6:$A$1005,0)),"MISSING ITEM ID")</x:f>
        <x:v>Tools</x:v>
      </x:c>
      <x:c r="D29" s="4" t="str">
        <x:v>Primary</x:v>
      </x:c>
      <x:c r="E29" s="4" t="str">
        <x:f>IFERROR(INDEX(Items!$AA$6:$AA$1005,MATCH(A29,Items!$A$6:$A$1005,0)),"MISSING ITEM ID")</x:f>
        <x:v>Resource collection</x:v>
      </x:c>
      <x:c r="F29" s="4" t="str">
        <x:v>Current item description. Catalog intent, not implemented actions.</x:v>
      </x:c>
    </x:row>
    <x:row r="30" ht="45" customHeight="1">
      <x:c r="A30" s="4" t="str">
        <x:v>proposal.gear.magnets</x:v>
      </x:c>
      <x:c r="B30" s="4" t="str">
        <x:f>IFERROR(INDEX(Items!$B$6:$B$1005,MATCH(A30,Items!$A$6:$A$1005,0)),"MISSING ITEM ID")</x:f>
        <x:v>Field magnets</x:v>
      </x:c>
      <x:c r="C30" s="4" t="str">
        <x:f>IFERROR(INDEX(Items!$D$6:$D$1005,MATCH(A30,Items!$A$6:$A$1005,0)),"MISSING ITEM ID")</x:f>
        <x:v>Tools</x:v>
      </x:c>
      <x:c r="D30" s="4" t="str">
        <x:v>Secondary</x:v>
      </x:c>
      <x:c r="E30" s="4" t="str">
        <x:v>Work holding</x:v>
      </x:c>
      <x:c r="F30" s="4" t="str">
        <x:v>Current item description. Catalog intent, not implemented actions.</x:v>
      </x:c>
    </x:row>
    <x:row r="31" ht="45" customHeight="1">
      <x:c r="A31" s="4"/>
      <x:c r="B31" s="4"/>
      <x:c r="C31" s="4"/>
      <x:c r="D31" s="4"/>
      <x:c r="E31" s="4"/>
      <x:c r="F31" s="4"/>
    </x:row>
    <x:row r="32" ht="45" customHeight="1">
      <x:c r="A32" s="4" t="str">
        <x:v>proposal.natural.magnetite</x:v>
      </x:c>
      <x:c r="B32" s="4" t="str">
        <x:f>IFERROR(INDEX(Items!$B$6:$B$1005,MATCH(A32,Items!$A$6:$A$1005,0)),"MISSING ITEM ID")</x:f>
        <x:v>Magnetite-rich stone</x:v>
      </x:c>
      <x:c r="C32" s="4" t="str">
        <x:f>IFERROR(INDEX(Items!$D$6:$D$1005,MATCH(A32,Items!$A$6:$A$1005,0)),"MISSING ITEM ID")</x:f>
        <x:v>Mineral resources</x:v>
      </x:c>
      <x:c r="D32" s="4" t="str">
        <x:v>Primary</x:v>
      </x:c>
      <x:c r="E32" s="4" t="str">
        <x:f>IFERROR(INDEX(Items!$AA$6:$AA$1005,MATCH(A32,Items!$A$6:$A$1005,0)),"MISSING ITEM ID")</x:f>
        <x:v>Metal refining</x:v>
      </x:c>
      <x:c r="F32" s="4" t="str">
        <x:v>Current item description. Catalog intent, not implemented actions.</x:v>
      </x:c>
    </x:row>
    <x:row r="33" ht="45" customHeight="1">
      <x:c r="A33" s="4" t="str">
        <x:v>proposal.natural.magnetite</x:v>
      </x:c>
      <x:c r="B33" s="4" t="str">
        <x:f>IFERROR(INDEX(Items!$B$6:$B$1005,MATCH(A33,Items!$A$6:$A$1005,0)),"MISSING ITEM ID")</x:f>
        <x:v>Magnetite-rich stone</x:v>
      </x:c>
      <x:c r="C33" s="4" t="str">
        <x:f>IFERROR(INDEX(Items!$D$6:$D$1005,MATCH(A33,Items!$A$6:$A$1005,0)),"MISSING ITEM ID")</x:f>
        <x:v>Mineral resources</x:v>
      </x:c>
      <x:c r="D33" s="4" t="str">
        <x:v>Secondary</x:v>
      </x:c>
      <x:c r="E33" s="4" t="str">
        <x:v>Magnetic tools</x:v>
      </x:c>
      <x:c r="F33" s="4" t="str">
        <x:v>Current item description. Catalog intent, not implemented actions.</x:v>
      </x:c>
    </x:row>
    <x:row r="34" ht="45" customHeight="1">
      <x:c r="A34" s="4" t="str">
        <x:v>proposal.natural.silica</x:v>
      </x:c>
      <x:c r="B34" s="4" t="str">
        <x:f>IFERROR(INDEX(Items!$B$6:$B$1005,MATCH(A34,Items!$A$6:$A$1005,0)),"MISSING ITEM ID")</x:f>
        <x:v>Silica-rich grit</x:v>
      </x:c>
      <x:c r="C34" s="4" t="str">
        <x:f>IFERROR(INDEX(Items!$D$6:$D$1005,MATCH(A34,Items!$A$6:$A$1005,0)),"MISSING ITEM ID")</x:f>
        <x:v>Mineral resources</x:v>
      </x:c>
      <x:c r="D34" s="4" t="str">
        <x:v>Primary</x:v>
      </x:c>
      <x:c r="E34" s="4" t="str">
        <x:f>IFERROR(INDEX(Items!$AA$6:$AA$1005,MATCH(A34,Items!$A$6:$A$1005,0)),"MISSING ITEM ID")</x:f>
        <x:v>Surface finishing</x:v>
      </x:c>
      <x:c r="F34" s="4" t="str">
        <x:v>Current item description. Catalog intent, not implemented actions.</x:v>
      </x:c>
    </x:row>
    <x:row r="35" ht="45" customHeight="1">
      <x:c r="A35" s="4" t="str">
        <x:v>proposal.natural.silica</x:v>
      </x:c>
      <x:c r="B35" s="4" t="str">
        <x:f>IFERROR(INDEX(Items!$B$6:$B$1005,MATCH(A35,Items!$A$6:$A$1005,0)),"MISSING ITEM ID")</x:f>
        <x:v>Silica-rich grit</x:v>
      </x:c>
      <x:c r="C35" s="4" t="str">
        <x:f>IFERROR(INDEX(Items!$D$6:$D$1005,MATCH(A35,Items!$A$6:$A$1005,0)),"MISSING ITEM ID")</x:f>
        <x:v>Mineral resources</x:v>
      </x:c>
      <x:c r="D35" s="4" t="str">
        <x:v>Secondary</x:v>
      </x:c>
      <x:c r="E35" s="4" t="str">
        <x:v>Glass and ceramics</x:v>
      </x:c>
      <x:c r="F35" s="4" t="str">
        <x:v>Current item description. Catalog intent, not implemented actions.</x:v>
      </x:c>
    </x:row>
    <x:row r="36" ht="45" customHeight="1">
      <x:c r="A36" s="4" t="str">
        <x:v>proposal.natural.alumina</x:v>
      </x:c>
      <x:c r="B36" s="4" t="str">
        <x:f>IFERROR(INDEX(Items!$B$6:$B$1005,MATCH(A36,Items!$A$6:$A$1005,0)),"MISSING ITEM ID")</x:f>
        <x:v>Alumina-rich rock</x:v>
      </x:c>
      <x:c r="C36" s="4" t="str">
        <x:f>IFERROR(INDEX(Items!$D$6:$D$1005,MATCH(A36,Items!$A$6:$A$1005,0)),"MISSING ITEM ID")</x:f>
        <x:v>Mineral resources</x:v>
      </x:c>
      <x:c r="D36" s="4" t="str">
        <x:v>Primary</x:v>
      </x:c>
      <x:c r="E36" s="4" t="str">
        <x:f>IFERROR(INDEX(Items!$AA$6:$AA$1005,MATCH(A36,Items!$A$6:$A$1005,0)),"MISSING ITEM ID")</x:f>
        <x:v>Glass and ceramics</x:v>
      </x:c>
      <x:c r="F36" s="4" t="str">
        <x:v>Current item description. Catalog intent, not implemented actions.</x:v>
      </x:c>
    </x:row>
    <x:row r="37" ht="45" customHeight="1">
      <x:c r="A37" s="4" t="str">
        <x:v>proposal.natural.alumina</x:v>
      </x:c>
      <x:c r="B37" s="4" t="str">
        <x:f>IFERROR(INDEX(Items!$B$6:$B$1005,MATCH(A37,Items!$A$6:$A$1005,0)),"MISSING ITEM ID")</x:f>
        <x:v>Alumina-rich rock</x:v>
      </x:c>
      <x:c r="C37" s="4" t="str">
        <x:f>IFERROR(INDEX(Items!$D$6:$D$1005,MATCH(A37,Items!$A$6:$A$1005,0)),"MISSING ITEM ID")</x:f>
        <x:v>Mineral resources</x:v>
      </x:c>
      <x:c r="D37" s="4" t="str">
        <x:v>Secondary</x:v>
      </x:c>
      <x:c r="E37" s="4" t="str">
        <x:v>Electrical insulation</x:v>
      </x:c>
      <x:c r="F37" s="4" t="str">
        <x:v>Current item description. Catalog intent, not implemented actions.</x:v>
      </x:c>
    </x:row>
    <x:row r="38" ht="45" customHeight="1">
      <x:c r="A38" s="4"/>
      <x:c r="B38" s="4"/>
      <x:c r="C38" s="4"/>
      <x:c r="D38" s="4"/>
      <x:c r="E38" s="4"/>
      <x:c r="F38" s="4"/>
    </x:row>
    <x:row r="39" ht="45" customHeight="1">
      <x:c r="A39" s="4" t="str">
        <x:v>proposal.natural.carbonate</x:v>
      </x:c>
      <x:c r="B39" s="4" t="str">
        <x:f>IFERROR(INDEX(Items!$B$6:$B$1005,MATCH(A39,Items!$A$6:$A$1005,0)),"MISSING ITEM ID")</x:f>
        <x:v>Carbonate stone</x:v>
      </x:c>
      <x:c r="C39" s="4" t="str">
        <x:f>IFERROR(INDEX(Items!$D$6:$D$1005,MATCH(A39,Items!$A$6:$A$1005,0)),"MISSING ITEM ID")</x:f>
        <x:v>Mineral resources</x:v>
      </x:c>
      <x:c r="D39" s="4" t="str">
        <x:v>Primary</x:v>
      </x:c>
      <x:c r="E39" s="4" t="str">
        <x:f>IFERROR(INDEX(Items!$AA$6:$AA$1005,MATCH(A39,Items!$A$6:$A$1005,0)),"MISSING ITEM ID")</x:f>
        <x:v>Binding and construction</x:v>
      </x:c>
      <x:c r="F39" s="4" t="str">
        <x:v>Current item description. Catalog intent, not implemented actions.</x:v>
      </x:c>
    </x:row>
    <x:row r="40" ht="45" customHeight="1">
      <x:c r="A40" s="4" t="str">
        <x:v>proposal.natural.salts</x:v>
      </x:c>
      <x:c r="B40" s="4" t="str">
        <x:f>IFERROR(INDEX(Items!$B$6:$B$1005,MATCH(A40,Items!$A$6:$A$1005,0)),"MISSING ITEM ID")</x:f>
        <x:v>Dry mineral salts</x:v>
      </x:c>
      <x:c r="C40" s="4" t="str">
        <x:f>IFERROR(INDEX(Items!$D$6:$D$1005,MATCH(A40,Items!$A$6:$A$1005,0)),"MISSING ITEM ID")</x:f>
        <x:v>Mineral resources</x:v>
      </x:c>
      <x:c r="D40" s="4" t="str">
        <x:v>Primary</x:v>
      </x:c>
      <x:c r="E40" s="4" t="str">
        <x:f>IFERROR(INDEX(Items!$AA$6:$AA$1005,MATCH(A40,Items!$A$6:$A$1005,0)),"MISSING ITEM ID")</x:f>
        <x:v>Culture support</x:v>
      </x:c>
      <x:c r="F40" s="4" t="str">
        <x:v>Current item description. Catalog intent, not implemented actions.</x:v>
      </x:c>
    </x:row>
    <x:row r="41" ht="45" customHeight="1">
      <x:c r="A41" s="4" t="str">
        <x:v>proposal.natural.graphite</x:v>
      </x:c>
      <x:c r="B41" s="4" t="str">
        <x:f>IFERROR(INDEX(Items!$B$6:$B$1005,MATCH(A41,Items!$A$6:$A$1005,0)),"MISSING ITEM ID")</x:f>
        <x:v>Graphite-bearing stone</x:v>
      </x:c>
      <x:c r="C41" s="4" t="str">
        <x:f>IFERROR(INDEX(Items!$D$6:$D$1005,MATCH(A41,Items!$A$6:$A$1005,0)),"MISSING ITEM ID")</x:f>
        <x:v>Mineral resources</x:v>
      </x:c>
      <x:c r="D41" s="4" t="str">
        <x:v>Primary</x:v>
      </x:c>
      <x:c r="E41" s="4" t="str">
        <x:f>IFERROR(INDEX(Items!$AA$6:$AA$1005,MATCH(A41,Items!$A$6:$A$1005,0)),"MISSING ITEM ID")</x:f>
        <x:v>Lubrication</x:v>
      </x:c>
      <x:c r="F41" s="4" t="str">
        <x:v>Current item description. Catalog intent, not implemented actions.</x:v>
      </x:c>
    </x:row>
    <x:row r="42" ht="45" customHeight="1">
      <x:c r="A42" s="4" t="str">
        <x:v>proposal.natural.graphite</x:v>
      </x:c>
      <x:c r="B42" s="4" t="str">
        <x:f>IFERROR(INDEX(Items!$B$6:$B$1005,MATCH(A42,Items!$A$6:$A$1005,0)),"MISSING ITEM ID")</x:f>
        <x:v>Graphite-bearing stone</x:v>
      </x:c>
      <x:c r="C42" s="4" t="str">
        <x:f>IFERROR(INDEX(Items!$D$6:$D$1005,MATCH(A42,Items!$A$6:$A$1005,0)),"MISSING ITEM ID")</x:f>
        <x:v>Mineral resources</x:v>
      </x:c>
      <x:c r="D42" s="4" t="str">
        <x:v>Secondary</x:v>
      </x:c>
      <x:c r="E42" s="4" t="str">
        <x:v>Electrical conduction</x:v>
      </x:c>
      <x:c r="F42" s="4" t="str">
        <x:v>Current item description. Catalog intent, not implemented actions.</x:v>
      </x:c>
    </x:row>
    <x:row r="43" ht="45" customHeight="1">
      <x:c r="A43" s="4" t="str">
        <x:v>proposal.natural.mica</x:v>
      </x:c>
      <x:c r="B43" s="4" t="str">
        <x:f>IFERROR(INDEX(Items!$B$6:$B$1005,MATCH(A43,Items!$A$6:$A$1005,0)),"MISSING ITEM ID")</x:f>
        <x:v>Mica sheets</x:v>
      </x:c>
      <x:c r="C43" s="4" t="str">
        <x:f>IFERROR(INDEX(Items!$D$6:$D$1005,MATCH(A43,Items!$A$6:$A$1005,0)),"MISSING ITEM ID")</x:f>
        <x:v>Salvage</x:v>
      </x:c>
      <x:c r="D43" s="4" t="str">
        <x:v>Primary</x:v>
      </x:c>
      <x:c r="E43" s="4" t="str">
        <x:f>IFERROR(INDEX(Items!$AA$6:$AA$1005,MATCH(A43,Items!$A$6:$A$1005,0)),"MISSING ITEM ID")</x:f>
        <x:v>Electrical insulation</x:v>
      </x:c>
      <x:c r="F43" s="4" t="str">
        <x:v>Current item description. Catalog intent, not implemented actions.</x:v>
      </x:c>
    </x:row>
    <x:row r="44" ht="45" customHeight="1">
      <x:c r="A44" s="4" t="str">
        <x:v>proposal.natural.mica</x:v>
      </x:c>
      <x:c r="B44" s="4" t="str">
        <x:f>IFERROR(INDEX(Items!$B$6:$B$1005,MATCH(A44,Items!$A$6:$A$1005,0)),"MISSING ITEM ID")</x:f>
        <x:v>Mica sheets</x:v>
      </x:c>
      <x:c r="C44" s="4" t="str">
        <x:f>IFERROR(INDEX(Items!$D$6:$D$1005,MATCH(A44,Items!$A$6:$A$1005,0)),"MISSING ITEM ID")</x:f>
        <x:v>Salvage</x:v>
      </x:c>
      <x:c r="D44" s="4" t="str">
        <x:v>Secondary</x:v>
      </x:c>
      <x:c r="E44" s="4" t="str">
        <x:v>Protective fabrication</x:v>
      </x:c>
      <x:c r="F44" s="4" t="str">
        <x:v>Current item description. Catalog intent, not implemented actions.</x:v>
      </x:c>
    </x:row>
    <x:row r="45" ht="45" customHeight="1">
      <x:c r="A45" s="4" t="str">
        <x:v>proposal.natural.iron_feed</x:v>
      </x:c>
      <x:c r="B45" s="4" t="str">
        <x:f>IFERROR(INDEX(Items!$B$6:$B$1005,MATCH(A45,Items!$A$6:$A$1005,0)),"MISSING ITEM ID")</x:f>
        <x:v>Iron-rich mineral feed</x:v>
      </x:c>
      <x:c r="C45" s="4" t="str">
        <x:f>IFERROR(INDEX(Items!$D$6:$D$1005,MATCH(A45,Items!$A$6:$A$1005,0)),"MISSING ITEM ID")</x:f>
        <x:v>Manufactured stock</x:v>
      </x:c>
      <x:c r="D45" s="4" t="str">
        <x:v>Primary</x:v>
      </x:c>
      <x:c r="E45" s="4" t="str">
        <x:f>IFERROR(INDEX(Items!$AA$6:$AA$1005,MATCH(A45,Items!$A$6:$A$1005,0)),"MISSING ITEM ID")</x:f>
        <x:v>Metal refining</x:v>
      </x:c>
      <x:c r="F45" s="4" t="str">
        <x:v>Current item description. Catalog intent, not implemented actions.</x:v>
      </x:c>
    </x:row>
    <x:row r="46" ht="45" customHeight="1">
      <x:c r="A46" s="4" t="str">
        <x:v>proposal.natural.iron_stock</x:v>
      </x:c>
      <x:c r="B46" s="4" t="str">
        <x:f>IFERROR(INDEX(Items!$B$6:$B$1005,MATCH(A46,Items!$A$6:$A$1005,0)),"MISSING ITEM ID")</x:f>
        <x:v>Worked iron stock</x:v>
      </x:c>
      <x:c r="C46" s="4" t="str">
        <x:f>IFERROR(INDEX(Items!$D$6:$D$1005,MATCH(A46,Items!$A$6:$A$1005,0)),"MISSING ITEM ID")</x:f>
        <x:v>Manufactured stock</x:v>
      </x:c>
      <x:c r="D46" s="4" t="str">
        <x:v>Primary</x:v>
      </x:c>
      <x:c r="E46" s="4" t="str">
        <x:f>IFERROR(INDEX(Items!$AA$6:$AA$1005,MATCH(A46,Items!$A$6:$A$1005,0)),"MISSING ITEM ID")</x:f>
        <x:v>Fabrication</x:v>
      </x:c>
      <x:c r="F46" s="4" t="str">
        <x:v>Current item description. Catalog intent, not implemented actions.</x:v>
      </x:c>
    </x:row>
    <x:row r="47" ht="45" customHeight="1">
      <x:c r="A47" s="4" t="str">
        <x:v>proposal.natural.iron_stock</x:v>
      </x:c>
      <x:c r="B47" s="4" t="str">
        <x:f>IFERROR(INDEX(Items!$B$6:$B$1005,MATCH(A47,Items!$A$6:$A$1005,0)),"MISSING ITEM ID")</x:f>
        <x:v>Worked iron stock</x:v>
      </x:c>
      <x:c r="C47" s="4" t="str">
        <x:f>IFERROR(INDEX(Items!$D$6:$D$1005,MATCH(A47,Items!$A$6:$A$1005,0)),"MISSING ITEM ID")</x:f>
        <x:v>Manufactured stock</x:v>
      </x:c>
      <x:c r="D47" s="4" t="str">
        <x:v>Secondary</x:v>
      </x:c>
      <x:c r="E47" s="4" t="str">
        <x:v>Equipment repair</x:v>
      </x:c>
      <x:c r="F47" s="4" t="str">
        <x:v>Current item description. Catalog intent, not implemented actions.</x:v>
      </x:c>
    </x:row>
    <x:row r="48" ht="45" customHeight="1">
      <x:c r="A48" s="4" t="str">
        <x:v>proposal.natural.abrasive</x:v>
      </x:c>
      <x:c r="B48" s="4" t="str">
        <x:f>IFERROR(INDEX(Items!$B$6:$B$1005,MATCH(A48,Items!$A$6:$A$1005,0)),"MISSING ITEM ID")</x:f>
        <x:v>Graded abrasive grit</x:v>
      </x:c>
      <x:c r="C48" s="4" t="str">
        <x:f>IFERROR(INDEX(Items!$D$6:$D$1005,MATCH(A48,Items!$A$6:$A$1005,0)),"MISSING ITEM ID")</x:f>
        <x:v>Manufactured stock</x:v>
      </x:c>
      <x:c r="D48" s="4" t="str">
        <x:v>Primary</x:v>
      </x:c>
      <x:c r="E48" s="4" t="str">
        <x:f>IFERROR(INDEX(Items!$AA$6:$AA$1005,MATCH(A48,Items!$A$6:$A$1005,0)),"MISSING ITEM ID")</x:f>
        <x:v>Surface finishing</x:v>
      </x:c>
      <x:c r="F48" s="4" t="str">
        <x:v>Current item description. Catalog intent, not implemented actions.</x:v>
      </x:c>
    </x:row>
    <x:row r="49" ht="45" customHeight="1">
      <x:c r="A49" s="4" t="str">
        <x:v>proposal.natural.ceramic</x:v>
      </x:c>
      <x:c r="B49" s="4" t="str">
        <x:f>IFERROR(INDEX(Items!$B$6:$B$1005,MATCH(A49,Items!$A$6:$A$1005,0)),"MISSING ITEM ID")</x:f>
        <x:v>Insulating ceramic blanks</x:v>
      </x:c>
      <x:c r="C49" s="4" t="str">
        <x:f>IFERROR(INDEX(Items!$D$6:$D$1005,MATCH(A49,Items!$A$6:$A$1005,0)),"MISSING ITEM ID")</x:f>
        <x:v>Manufactured stock</x:v>
      </x:c>
      <x:c r="D49" s="4" t="str">
        <x:v>Primary</x:v>
      </x:c>
      <x:c r="E49" s="4" t="str">
        <x:f>IFERROR(INDEX(Items!$AA$6:$AA$1005,MATCH(A49,Items!$A$6:$A$1005,0)),"MISSING ITEM ID")</x:f>
        <x:v>Electrical insulation</x:v>
      </x:c>
      <x:c r="F49" s="4" t="str">
        <x:v>Current item description. Catalog intent, not implemented actions.</x:v>
      </x:c>
    </x:row>
    <x:row r="50" ht="45" customHeight="1">
      <x:c r="A50" s="4" t="str">
        <x:v>proposal.natural.ceramic</x:v>
      </x:c>
      <x:c r="B50" s="4" t="str">
        <x:f>IFERROR(INDEX(Items!$B$6:$B$1005,MATCH(A50,Items!$A$6:$A$1005,0)),"MISSING ITEM ID")</x:f>
        <x:v>Insulating ceramic blanks</x:v>
      </x:c>
      <x:c r="C50" s="4" t="str">
        <x:f>IFERROR(INDEX(Items!$D$6:$D$1005,MATCH(A50,Items!$A$6:$A$1005,0)),"MISSING ITEM ID")</x:f>
        <x:v>Manufactured stock</x:v>
      </x:c>
      <x:c r="D50" s="4" t="str">
        <x:v>Secondary</x:v>
      </x:c>
      <x:c r="E50" s="4" t="str">
        <x:v>Protective fabrication</x:v>
      </x:c>
      <x:c r="F50" s="4" t="str">
        <x:v>Current item description. Catalog intent, not implemented actions.</x:v>
      </x:c>
    </x:row>
    <x:row r="51" ht="45" customHeight="1">
      <x:c r="A51" s="4" t="str">
        <x:v>proposal.natural.lime</x:v>
      </x:c>
      <x:c r="B51" s="4" t="str">
        <x:f>IFERROR(INDEX(Items!$B$6:$B$1005,MATCH(A51,Items!$A$6:$A$1005,0)),"MISSING ITEM ID")</x:f>
        <x:v>Calcined mineral binder</x:v>
      </x:c>
      <x:c r="C51" s="4" t="str">
        <x:f>IFERROR(INDEX(Items!$D$6:$D$1005,MATCH(A51,Items!$A$6:$A$1005,0)),"MISSING ITEM ID")</x:f>
        <x:v>Manufactured stock</x:v>
      </x:c>
      <x:c r="D51" s="4" t="str">
        <x:v>Primary</x:v>
      </x:c>
      <x:c r="E51" s="4" t="str">
        <x:f>IFERROR(INDEX(Items!$AA$6:$AA$1005,MATCH(A51,Items!$A$6:$A$1005,0)),"MISSING ITEM ID")</x:f>
        <x:v>Binding and construction</x:v>
      </x:c>
      <x:c r="F51" s="4" t="str">
        <x:v>Current item description. Catalog intent, not implemented actions.</x:v>
      </x:c>
    </x:row>
    <x:row r="52" ht="45" customHeight="1">
      <x:c r="A52" s="4" t="str">
        <x:v>proposal.natural.carbon</x:v>
      </x:c>
      <x:c r="B52" s="4" t="str">
        <x:f>IFERROR(INDEX(Items!$B$6:$B$1005,MATCH(A52,Items!$A$6:$A$1005,0)),"MISSING ITEM ID")</x:f>
        <x:v>Graded graphite flakes</x:v>
      </x:c>
      <x:c r="C52" s="4" t="str">
        <x:f>IFERROR(INDEX(Items!$D$6:$D$1005,MATCH(A52,Items!$A$6:$A$1005,0)),"MISSING ITEM ID")</x:f>
        <x:v>Manufactured stock</x:v>
      </x:c>
      <x:c r="D52" s="4" t="str">
        <x:v>Primary</x:v>
      </x:c>
      <x:c r="E52" s="4" t="str">
        <x:f>IFERROR(INDEX(Items!$AA$6:$AA$1005,MATCH(A52,Items!$A$6:$A$1005,0)),"MISSING ITEM ID")</x:f>
        <x:v>Lubrication</x:v>
      </x:c>
      <x:c r="F52" s="4" t="str">
        <x:v>Current item description. Catalog intent, not implemented actions.</x:v>
      </x:c>
    </x:row>
    <x:row r="53" ht="45" customHeight="1">
      <x:c r="A53" s="4" t="str">
        <x:v>proposal.natural.carbon</x:v>
      </x:c>
      <x:c r="B53" s="4" t="str">
        <x:f>IFERROR(INDEX(Items!$B$6:$B$1005,MATCH(A53,Items!$A$6:$A$1005,0)),"MISSING ITEM ID")</x:f>
        <x:v>Graded graphite flakes</x:v>
      </x:c>
      <x:c r="C53" s="4" t="str">
        <x:f>IFERROR(INDEX(Items!$D$6:$D$1005,MATCH(A53,Items!$A$6:$A$1005,0)),"MISSING ITEM ID")</x:f>
        <x:v>Manufactured stock</x:v>
      </x:c>
      <x:c r="D53" s="4" t="str">
        <x:v>Secondary</x:v>
      </x:c>
      <x:c r="E53" s="4" t="str">
        <x:v>Electrical conduction</x:v>
      </x:c>
      <x:c r="F53" s="4" t="str">
        <x:v>Current item description. Catalog intent, not implemented actions.</x:v>
      </x:c>
    </x:row>
    <x:row r="54" ht="45" customHeight="1">
      <x:c r="A54" s="4" t="str">
        <x:v>proposal.bio.shell</x:v>
      </x:c>
      <x:c r="B54" s="4" t="str">
        <x:f>IFERROR(INDEX(Items!$B$6:$B$1005,MATCH(A54,Items!$A$6:$A$1005,0)),"MISSING ITEM ID")</x:f>
        <x:v>Shell husks / shed plates</x:v>
      </x:c>
      <x:c r="C54" s="4" t="str">
        <x:f>IFERROR(INDEX(Items!$D$6:$D$1005,MATCH(A54,Items!$A$6:$A$1005,0)),"MISSING ITEM ID")</x:f>
        <x:v>Biological resources</x:v>
      </x:c>
      <x:c r="D54" s="4" t="str">
        <x:v>Primary</x:v>
      </x:c>
      <x:c r="E54" s="4" t="str">
        <x:f>IFERROR(INDEX(Items!$AA$6:$AA$1005,MATCH(A54,Items!$A$6:$A$1005,0)),"MISSING ITEM ID")</x:f>
        <x:v>Fabrication</x:v>
      </x:c>
      <x:c r="F54" s="4" t="str">
        <x:v>Current item description. Catalog intent, not implemented actions.</x:v>
      </x:c>
    </x:row>
    <x:row r="55" ht="45" customHeight="1">
      <x:c r="A55" s="4" t="str">
        <x:v>proposal.bio.shell</x:v>
      </x:c>
      <x:c r="B55" s="4" t="str">
        <x:f>IFERROR(INDEX(Items!$B$6:$B$1005,MATCH(A55,Items!$A$6:$A$1005,0)),"MISSING ITEM ID")</x:f>
        <x:v>Shell husks / shed plates</x:v>
      </x:c>
      <x:c r="C55" s="4" t="str">
        <x:f>IFERROR(INDEX(Items!$D$6:$D$1005,MATCH(A55,Items!$A$6:$A$1005,0)),"MISSING ITEM ID")</x:f>
        <x:v>Biological resources</x:v>
      </x:c>
      <x:c r="D55" s="4" t="str">
        <x:v>Secondary</x:v>
      </x:c>
      <x:c r="E55" s="4" t="str">
        <x:v>Fiber processing</x:v>
      </x:c>
      <x:c r="F55" s="4" t="str">
        <x:v>Current item description. Catalog intent, not implemented actions.</x:v>
      </x:c>
    </x:row>
    <x:row r="56" ht="45" customHeight="1">
      <x:c r="A56" s="4" t="str">
        <x:v>proposal.bio.tendon</x:v>
      </x:c>
      <x:c r="B56" s="4" t="str">
        <x:f>IFERROR(INDEX(Items!$B$6:$B$1005,MATCH(A56,Items!$A$6:$A$1005,0)),"MISSING ITEM ID")</x:f>
        <x:v>Dried tendon bundles</x:v>
      </x:c>
      <x:c r="C56" s="4" t="str">
        <x:f>IFERROR(INDEX(Items!$D$6:$D$1005,MATCH(A56,Items!$A$6:$A$1005,0)),"MISSING ITEM ID")</x:f>
        <x:v>Biological resources</x:v>
      </x:c>
      <x:c r="D56" s="4" t="str">
        <x:v>Primary</x:v>
      </x:c>
      <x:c r="E56" s="4" t="str">
        <x:f>IFERROR(INDEX(Items!$AA$6:$AA$1005,MATCH(A56,Items!$A$6:$A$1005,0)),"MISSING ITEM ID")</x:f>
        <x:v>Binding and construction</x:v>
      </x:c>
      <x:c r="F56" s="4" t="str">
        <x:v>Current item description. Catalog intent, not implemented actions.</x:v>
      </x:c>
    </x:row>
    <x:row r="57" ht="45" customHeight="1">
      <x:c r="A57" s="4" t="str">
        <x:v>proposal.bio.bristles</x:v>
      </x:c>
      <x:c r="B57" s="4" t="str">
        <x:f>IFERROR(INDEX(Items!$B$6:$B$1005,MATCH(A57,Items!$A$6:$A$1005,0)),"MISSING ITEM ID")</x:f>
        <x:v>Coarse sensory bristles</x:v>
      </x:c>
      <x:c r="C57" s="4" t="str">
        <x:f>IFERROR(INDEX(Items!$D$6:$D$1005,MATCH(A57,Items!$A$6:$A$1005,0)),"MISSING ITEM ID")</x:f>
        <x:v>Biological resources</x:v>
      </x:c>
      <x:c r="D57" s="4" t="str">
        <x:v>Primary</x:v>
      </x:c>
      <x:c r="E57" s="4" t="str">
        <x:f>IFERROR(INDEX(Items!$AA$6:$AA$1005,MATCH(A57,Items!$A$6:$A$1005,0)),"MISSING ITEM ID")</x:f>
        <x:v>Dust exclusion</x:v>
      </x:c>
      <x:c r="F57" s="4" t="str">
        <x:v>Current item description. Catalog intent, not implemented actions.</x:v>
      </x:c>
    </x:row>
    <x:row r="58" ht="45" customHeight="1">
      <x:c r="A58" s="4" t="str">
        <x:v>proposal.bio.underfur</x:v>
      </x:c>
      <x:c r="B58" s="4" t="str">
        <x:f>IFERROR(INDEX(Items!$B$6:$B$1005,MATCH(A58,Items!$A$6:$A$1005,0)),"MISSING ITEM ID")</x:f>
        <x:v>Shed underfur</x:v>
      </x:c>
      <x:c r="C58" s="4" t="str">
        <x:f>IFERROR(INDEX(Items!$D$6:$D$1005,MATCH(A58,Items!$A$6:$A$1005,0)),"MISSING ITEM ID")</x:f>
        <x:v>Biological resources</x:v>
      </x:c>
      <x:c r="D58" s="4" t="str">
        <x:v>Primary</x:v>
      </x:c>
      <x:c r="E58" s="4" t="str">
        <x:f>IFERROR(INDEX(Items!$AA$6:$AA$1005,MATCH(A58,Items!$A$6:$A$1005,0)),"MISSING ITEM ID")</x:f>
        <x:v>Textile processing</x:v>
      </x:c>
      <x:c r="F58" s="4" t="str">
        <x:v>Current item description. Catalog intent, not implemented actions.</x:v>
      </x:c>
    </x:row>
    <x:row r="59" ht="45" customHeight="1">
      <x:c r="A59" s="4" t="str">
        <x:v>proposal.bio.jaw</x:v>
      </x:c>
      <x:c r="B59" s="4" t="str">
        <x:f>IFERROR(INDEX(Items!$B$6:$B$1005,MATCH(A59,Items!$A$6:$A$1005,0)),"MISSING ITEM ID")</x:f>
        <x:v>Dense jaw plates</x:v>
      </x:c>
      <x:c r="C59" s="4" t="str">
        <x:f>IFERROR(INDEX(Items!$D$6:$D$1005,MATCH(A59,Items!$A$6:$A$1005,0)),"MISSING ITEM ID")</x:f>
        <x:v>Biological resources</x:v>
      </x:c>
      <x:c r="D59" s="4" t="str">
        <x:v>Primary</x:v>
      </x:c>
      <x:c r="E59" s="4" t="str">
        <x:f>IFERROR(INDEX(Items!$AA$6:$AA$1005,MATCH(A59,Items!$A$6:$A$1005,0)),"MISSING ITEM ID")</x:f>
        <x:v>Tool fabrication</x:v>
      </x:c>
      <x:c r="F59" s="4" t="str">
        <x:v>Current item description. Catalog intent, not implemented actions.</x:v>
      </x:c>
    </x:row>
    <x:row r="60" ht="45" customHeight="1">
      <x:c r="A60" s="4" t="str">
        <x:v>proposal.bio.membrane</x:v>
      </x:c>
      <x:c r="B60" s="4" t="str">
        <x:f>IFERROR(INDEX(Items!$B$6:$B$1005,MATCH(A60,Items!$A$6:$A$1005,0)),"MISSING ITEM ID")</x:f>
        <x:v>Dried joint membrane</x:v>
      </x:c>
      <x:c r="C60" s="4" t="str">
        <x:f>IFERROR(INDEX(Items!$D$6:$D$1005,MATCH(A60,Items!$A$6:$A$1005,0)),"MISSING ITEM ID")</x:f>
        <x:v>Biological resources</x:v>
      </x:c>
      <x:c r="D60" s="4" t="str">
        <x:v>Primary</x:v>
      </x:c>
      <x:c r="E60" s="4" t="str">
        <x:f>IFERROR(INDEX(Items!$AA$6:$AA$1005,MATCH(A60,Items!$A$6:$A$1005,0)),"MISSING ITEM ID")</x:f>
        <x:v>Sealing</x:v>
      </x:c>
      <x:c r="F60" s="4" t="str">
        <x:v>Current item description. Catalog intent, not implemented actions.</x:v>
      </x:c>
    </x:row>
    <x:row r="61" ht="45" customHeight="1">
      <x:c r="A61" s="4" t="str">
        <x:v>proposal.bio.membrane</x:v>
      </x:c>
      <x:c r="B61" s="4" t="str">
        <x:f>IFERROR(INDEX(Items!$B$6:$B$1005,MATCH(A61,Items!$A$6:$A$1005,0)),"MISSING ITEM ID")</x:f>
        <x:v>Dried joint membrane</x:v>
      </x:c>
      <x:c r="C61" s="4" t="str">
        <x:f>IFERROR(INDEX(Items!$D$6:$D$1005,MATCH(A61,Items!$A$6:$A$1005,0)),"MISSING ITEM ID")</x:f>
        <x:v>Biological resources</x:v>
      </x:c>
      <x:c r="D61" s="4" t="str">
        <x:v>Secondary</x:v>
      </x:c>
      <x:c r="E61" s="4" t="str">
        <x:v>Equipment repair</x:v>
      </x:c>
      <x:c r="F61" s="4" t="str">
        <x:v>Current item description. Catalog intent, not implemented actions.</x:v>
      </x:c>
    </x:row>
    <x:row r="62" ht="45" customHeight="1">
      <x:c r="A62" s="4" t="str">
        <x:v>proposal.bio.fat</x:v>
      </x:c>
      <x:c r="B62" s="4" t="str">
        <x:f>IFERROR(INDEX(Items!$B$6:$B$1005,MATCH(A62,Items!$A$6:$A$1005,0)),"MISSING ITEM ID")</x:f>
        <x:v>Unverified fat-like tissue concept</x:v>
      </x:c>
      <x:c r="C62" s="4" t="str">
        <x:f>IFERROR(INDEX(Items!$D$6:$D$1005,MATCH(A62,Items!$A$6:$A$1005,0)),"MISSING ITEM ID")</x:f>
        <x:v>Biological resources</x:v>
      </x:c>
      <x:c r="D62" s="4" t="str">
        <x:v>Primary</x:v>
      </x:c>
      <x:c r="E62" s="4" t="str">
        <x:f>IFERROR(INDEX(Items!$AA$6:$AA$1005,MATCH(A62,Items!$A$6:$A$1005,0)),"MISSING ITEM ID")</x:f>
        <x:v>Use unresolved</x:v>
      </x:c>
      <x:c r="F62" s="4" t="str">
        <x:v>Current item description. Catalog intent, not implemented actions.</x:v>
      </x:c>
    </x:row>
    <x:row r="63" ht="45" customHeight="1">
      <x:c r="A63" s="4" t="str">
        <x:v>proposal.bio.organ</x:v>
      </x:c>
      <x:c r="B63" s="4" t="str">
        <x:f>IFERROR(INDEX(Items!$B$6:$B$1005,MATCH(A63,Items!$A$6:$A$1005,0)),"MISSING ITEM ID")</x:f>
        <x:v>Charge-organ tissue</x:v>
      </x:c>
      <x:c r="C63" s="4" t="str">
        <x:f>IFERROR(INDEX(Items!$D$6:$D$1005,MATCH(A63,Items!$A$6:$A$1005,0)),"MISSING ITEM ID")</x:f>
        <x:v>Biological resources</x:v>
      </x:c>
      <x:c r="D63" s="4" t="str">
        <x:v>Primary</x:v>
      </x:c>
      <x:c r="E63" s="4" t="str">
        <x:f>IFERROR(INDEX(Items!$AA$6:$AA$1005,MATCH(A63,Items!$A$6:$A$1005,0)),"MISSING ITEM ID")</x:f>
        <x:v>Electrical work</x:v>
      </x:c>
      <x:c r="F63" s="4" t="str">
        <x:v>Current item description. Catalog intent, not implemented actions.</x:v>
      </x:c>
    </x:row>
    <x:row r="64" ht="45" customHeight="1">
      <x:c r="A64" s="4" t="str">
        <x:v>proposal.bio.laminate</x:v>
      </x:c>
      <x:c r="B64" s="4" t="str">
        <x:f>IFERROR(INDEX(Items!$B$6:$B$1005,MATCH(A64,Items!$A$6:$A$1005,0)),"MISSING ITEM ID")</x:f>
        <x:v>Shell laminate</x:v>
      </x:c>
      <x:c r="C64" s="4" t="str">
        <x:f>IFERROR(INDEX(Items!$D$6:$D$1005,MATCH(A64,Items!$A$6:$A$1005,0)),"MISSING ITEM ID")</x:f>
        <x:v>Crafting components</x:v>
      </x:c>
      <x:c r="D64" s="4" t="str">
        <x:v>Primary</x:v>
      </x:c>
      <x:c r="E64" s="4" t="str">
        <x:f>IFERROR(INDEX(Items!$AA$6:$AA$1005,MATCH(A64,Items!$A$6:$A$1005,0)),"MISSING ITEM ID")</x:f>
        <x:v>Protective fabrication</x:v>
      </x:c>
      <x:c r="F64" s="4" t="str">
        <x:v>Current item description. Catalog intent, not implemented actions.</x:v>
      </x:c>
    </x:row>
    <x:row r="65" ht="45" customHeight="1">
      <x:c r="A65" s="4" t="str">
        <x:v>proposal.bio.cord</x:v>
      </x:c>
      <x:c r="B65" s="4" t="str">
        <x:f>IFERROR(INDEX(Items!$B$6:$B$1005,MATCH(A65,Items!$A$6:$A$1005,0)),"MISSING ITEM ID")</x:f>
        <x:v>Tendon cord</x:v>
      </x:c>
      <x:c r="C65" s="4" t="str">
        <x:f>IFERROR(INDEX(Items!$D$6:$D$1005,MATCH(A65,Items!$A$6:$A$1005,0)),"MISSING ITEM ID")</x:f>
        <x:v>Crafting components</x:v>
      </x:c>
      <x:c r="D65" s="4" t="str">
        <x:v>Primary</x:v>
      </x:c>
      <x:c r="E65" s="4" t="str">
        <x:f>IFERROR(INDEX(Items!$AA$6:$AA$1005,MATCH(A65,Items!$A$6:$A$1005,0)),"MISSING ITEM ID")</x:f>
        <x:v>Binding and construction</x:v>
      </x:c>
      <x:c r="F65" s="4" t="str">
        <x:v>Current item description. Catalog intent, not implemented actions.</x:v>
      </x:c>
    </x:row>
    <x:row r="66" ht="45" customHeight="1">
      <x:c r="A66" s="4" t="str">
        <x:v>proposal.bio.cord</x:v>
      </x:c>
      <x:c r="B66" s="4" t="str">
        <x:f>IFERROR(INDEX(Items!$B$6:$B$1005,MATCH(A66,Items!$A$6:$A$1005,0)),"MISSING ITEM ID")</x:f>
        <x:v>Tendon cord</x:v>
      </x:c>
      <x:c r="C66" s="4" t="str">
        <x:f>IFERROR(INDEX(Items!$D$6:$D$1005,MATCH(A66,Items!$A$6:$A$1005,0)),"MISSING ITEM ID")</x:f>
        <x:v>Crafting components</x:v>
      </x:c>
      <x:c r="D66" s="4" t="str">
        <x:v>Secondary</x:v>
      </x:c>
      <x:c r="E66" s="4" t="str">
        <x:v>Equipment repair</x:v>
      </x:c>
      <x:c r="F66" s="4" t="str">
        <x:v>Current item description. Catalog intent, not implemented actions.</x:v>
      </x:c>
    </x:row>
    <x:row r="67" ht="45" customHeight="1">
      <x:c r="A67" s="4" t="str">
        <x:v>proposal.bio.brush</x:v>
      </x:c>
      <x:c r="B67" s="4" t="str">
        <x:f>IFERROR(INDEX(Items!$B$6:$B$1005,MATCH(A67,Items!$A$6:$A$1005,0)),"MISSING ITEM ID")</x:f>
        <x:v>Bristle brush strips</x:v>
      </x:c>
      <x:c r="C67" s="4" t="str">
        <x:f>IFERROR(INDEX(Items!$D$6:$D$1005,MATCH(A67,Items!$A$6:$A$1005,0)),"MISSING ITEM ID")</x:f>
        <x:v>Crafting components</x:v>
      </x:c>
      <x:c r="D67" s="4" t="str">
        <x:v>Primary</x:v>
      </x:c>
      <x:c r="E67" s="4" t="str">
        <x:f>IFERROR(INDEX(Items!$AA$6:$AA$1005,MATCH(A67,Items!$A$6:$A$1005,0)),"MISSING ITEM ID")</x:f>
        <x:v>Dust exclusion</x:v>
      </x:c>
      <x:c r="F67" s="4" t="str">
        <x:v>Current item description. Catalog intent, not implemented actions.</x:v>
      </x:c>
    </x:row>
    <x:row r="68" ht="45" customHeight="1">
      <x:c r="A68" s="4" t="str">
        <x:v>proposal.bio.liner</x:v>
      </x:c>
      <x:c r="B68" s="4" t="str">
        <x:f>IFERROR(INDEX(Items!$B$6:$B$1005,MATCH(A68,Items!$A$6:$A$1005,0)),"MISSING ITEM ID")</x:f>
        <x:v>Pressed fur-fiber material</x:v>
      </x:c>
      <x:c r="C68" s="4" t="str">
        <x:f>IFERROR(INDEX(Items!$D$6:$D$1005,MATCH(A68,Items!$A$6:$A$1005,0)),"MISSING ITEM ID")</x:f>
        <x:v>Crafting components</x:v>
      </x:c>
      <x:c r="D68" s="4" t="str">
        <x:v>Primary</x:v>
      </x:c>
      <x:c r="E68" s="4" t="str">
        <x:f>IFERROR(INDEX(Items!$AA$6:$AA$1005,MATCH(A68,Items!$A$6:$A$1005,0)),"MISSING ITEM ID")</x:f>
        <x:v>Textile processing</x:v>
      </x:c>
      <x:c r="F68" s="4" t="str">
        <x:v>Current item description. Catalog intent, not implemented actions.</x:v>
      </x:c>
    </x:row>
    <x:row r="69" ht="45" customHeight="1">
      <x:c r="A69" s="4" t="str">
        <x:v>proposal.bio.insert</x:v>
      </x:c>
      <x:c r="B69" s="4" t="str">
        <x:f>IFERROR(INDEX(Items!$B$6:$B$1005,MATCH(A69,Items!$A$6:$A$1005,0)),"MISSING ITEM ID")</x:f>
        <x:v>Jaw cutting insert</x:v>
      </x:c>
      <x:c r="C69" s="4" t="str">
        <x:f>IFERROR(INDEX(Items!$D$6:$D$1005,MATCH(A69,Items!$A$6:$A$1005,0)),"MISSING ITEM ID")</x:f>
        <x:v>Crafting components</x:v>
      </x:c>
      <x:c r="D69" s="4" t="str">
        <x:v>Primary</x:v>
      </x:c>
      <x:c r="E69" s="4" t="str">
        <x:f>IFERROR(INDEX(Items!$AA$6:$AA$1005,MATCH(A69,Items!$A$6:$A$1005,0)),"MISSING ITEM ID")</x:f>
        <x:v>Tool fabrication</x:v>
      </x:c>
      <x:c r="F69" s="4" t="str">
        <x:v>Current item description. Catalog intent, not implemented actions.</x:v>
      </x:c>
    </x:row>
    <x:row r="70" ht="45" customHeight="1">
      <x:c r="A70" s="4" t="str">
        <x:v>proposal.bio.seal</x:v>
      </x:c>
      <x:c r="B70" s="4" t="str">
        <x:f>IFERROR(INDEX(Items!$B$6:$B$1005,MATCH(A70,Items!$A$6:$A$1005,0)),"MISSING ITEM ID")</x:f>
        <x:v>Membrane seal patches</x:v>
      </x:c>
      <x:c r="C70" s="4" t="str">
        <x:f>IFERROR(INDEX(Items!$D$6:$D$1005,MATCH(A70,Items!$A$6:$A$1005,0)),"MISSING ITEM ID")</x:f>
        <x:v>Crafting components</x:v>
      </x:c>
      <x:c r="D70" s="4" t="str">
        <x:v>Primary</x:v>
      </x:c>
      <x:c r="E70" s="4" t="str">
        <x:f>IFERROR(INDEX(Items!$AA$6:$AA$1005,MATCH(A70,Items!$A$6:$A$1005,0)),"MISSING ITEM ID")</x:f>
        <x:v>Sealing</x:v>
      </x:c>
      <x:c r="F70" s="4" t="str">
        <x:v>Current item description. Catalog intent, not implemented actions.</x:v>
      </x:c>
    </x:row>
    <x:row r="71" ht="45" customHeight="1">
      <x:c r="A71" s="4" t="str">
        <x:v>proposal.bio.seal</x:v>
      </x:c>
      <x:c r="B71" s="4" t="str">
        <x:f>IFERROR(INDEX(Items!$B$6:$B$1005,MATCH(A71,Items!$A$6:$A$1005,0)),"MISSING ITEM ID")</x:f>
        <x:v>Membrane seal patches</x:v>
      </x:c>
      <x:c r="C71" s="4" t="str">
        <x:f>IFERROR(INDEX(Items!$D$6:$D$1005,MATCH(A71,Items!$A$6:$A$1005,0)),"MISSING ITEM ID")</x:f>
        <x:v>Crafting components</x:v>
      </x:c>
      <x:c r="D71" s="4" t="str">
        <x:v>Secondary</x:v>
      </x:c>
      <x:c r="E71" s="4" t="str">
        <x:v>Equipment repair</x:v>
      </x:c>
      <x:c r="F71" s="4" t="str">
        <x:v>Current item description. Catalog intent, not implemented actions.</x:v>
      </x:c>
    </x:row>
    <x:row r="72" ht="45" customHeight="1">
      <x:c r="A72" s="4" t="str">
        <x:v>proposal.bio.wax</x:v>
      </x:c>
      <x:c r="B72" s="4" t="str">
        <x:f>IFERROR(INDEX(Items!$B$6:$B$1005,MATCH(A72,Items!$A$6:$A$1005,0)),"MISSING ITEM ID")</x:f>
        <x:v>Solid biological wax</x:v>
      </x:c>
      <x:c r="C72" s="4" t="str">
        <x:f>IFERROR(INDEX(Items!$D$6:$D$1005,MATCH(A72,Items!$A$6:$A$1005,0)),"MISSING ITEM ID")</x:f>
        <x:v>Crafting components</x:v>
      </x:c>
      <x:c r="D72" s="4" t="str">
        <x:v>Primary</x:v>
      </x:c>
      <x:c r="E72" s="4" t="str">
        <x:f>IFERROR(INDEX(Items!$AA$6:$AA$1005,MATCH(A72,Items!$A$6:$A$1005,0)),"MISSING ITEM ID")</x:f>
        <x:v>Use unresolved</x:v>
      </x:c>
      <x:c r="F72" s="4" t="str">
        <x:v>Current item description. Catalog intent, not implemented actions.</x:v>
      </x:c>
    </x:row>
    <x:row r="73" ht="45" customHeight="1">
      <x:c r="A73" s="4" t="str">
        <x:v>proposal.bio.electrode</x:v>
      </x:c>
      <x:c r="B73" s="4" t="str">
        <x:f>IFERROR(INDEX(Items!$B$6:$B$1005,MATCH(A73,Items!$A$6:$A$1005,0)),"MISSING ITEM ID")</x:f>
        <x:v>Dry organ electrode scaffold</x:v>
      </x:c>
      <x:c r="C73" s="4" t="str">
        <x:f>IFERROR(INDEX(Items!$D$6:$D$1005,MATCH(A73,Items!$A$6:$A$1005,0)),"MISSING ITEM ID")</x:f>
        <x:v>Crafting components</x:v>
      </x:c>
      <x:c r="D73" s="4" t="str">
        <x:v>Primary</x:v>
      </x:c>
      <x:c r="E73" s="4" t="str">
        <x:f>IFERROR(INDEX(Items!$AA$6:$AA$1005,MATCH(A73,Items!$A$6:$A$1005,0)),"MISSING ITEM ID")</x:f>
        <x:v>Electrical work</x:v>
      </x:c>
      <x:c r="F73" s="4" t="str">
        <x:v>Current item description. Catalog intent, not implemented actions.</x:v>
      </x:c>
    </x:row>
    <x:row r="74" ht="45" customHeight="1">
      <x:c r="A74" s="4" t="str">
        <x:v>proposal.natural.charcoal</x:v>
      </x:c>
      <x:c r="B74" s="4" t="str">
        <x:f>IFERROR(INDEX(Items!$B$6:$B$1005,MATCH(A74,Items!$A$6:$A$1005,0)),"MISSING ITEM ID")</x:f>
        <x:v>Charcoal</x:v>
      </x:c>
      <x:c r="C74" s="4" t="str">
        <x:f>IFERROR(INDEX(Items!$D$6:$D$1005,MATCH(A74,Items!$A$6:$A$1005,0)),"MISSING ITEM ID")</x:f>
        <x:v>Manufactured stock</x:v>
      </x:c>
      <x:c r="D74" s="4" t="str">
        <x:v>Primary</x:v>
      </x:c>
      <x:c r="E74" s="4" t="str">
        <x:f>IFERROR(INDEX(Items!$AA$6:$AA$1005,MATCH(A74,Items!$A$6:$A$1005,0)),"MISSING ITEM ID")</x:f>
        <x:v>Fuel</x:v>
      </x:c>
      <x:c r="F74" s="4" t="str">
        <x:v>Current item description. Catalog intent, not implemented actions.</x:v>
      </x:c>
    </x:row>
    <x:row r="75" ht="45" customHeight="1">
      <x:c r="A75" s="4" t="str">
        <x:v>proposal.natural.charcoal</x:v>
      </x:c>
      <x:c r="B75" s="4" t="str">
        <x:f>IFERROR(INDEX(Items!$B$6:$B$1005,MATCH(A75,Items!$A$6:$A$1005,0)),"MISSING ITEM ID")</x:f>
        <x:v>Charcoal</x:v>
      </x:c>
      <x:c r="C75" s="4" t="str">
        <x:f>IFERROR(INDEX(Items!$D$6:$D$1005,MATCH(A75,Items!$A$6:$A$1005,0)),"MISSING ITEM ID")</x:f>
        <x:v>Manufactured stock</x:v>
      </x:c>
      <x:c r="D75" s="4" t="str">
        <x:v>Secondary</x:v>
      </x:c>
      <x:c r="E75" s="4" t="str">
        <x:v>Metal refining</x:v>
      </x:c>
      <x:c r="F75" s="4" t="str">
        <x:v>Current item description. Catalog intent, not implemented actions.</x:v>
      </x:c>
    </x:row>
    <x:row r="76" ht="45" customHeight="1">
      <x:c r="A76" s="4" t="str">
        <x:v>proposal.natural.copper_stone</x:v>
      </x:c>
      <x:c r="B76" s="4" t="str">
        <x:f>IFERROR(INDEX(Items!$B$6:$B$1005,MATCH(A76,Items!$A$6:$A$1005,0)),"MISSING ITEM ID")</x:f>
        <x:v>Unprocessed copper-rich stone</x:v>
      </x:c>
      <x:c r="C76" s="4" t="str">
        <x:f>IFERROR(INDEX(Items!$D$6:$D$1005,MATCH(A76,Items!$A$6:$A$1005,0)),"MISSING ITEM ID")</x:f>
        <x:v>Mineral resources</x:v>
      </x:c>
      <x:c r="D76" s="4" t="str">
        <x:v>Primary</x:v>
      </x:c>
      <x:c r="E76" s="4" t="str">
        <x:f>IFERROR(INDEX(Items!$AA$6:$AA$1005,MATCH(A76,Items!$A$6:$A$1005,0)),"MISSING ITEM ID")</x:f>
        <x:v>Metal refining</x:v>
      </x:c>
      <x:c r="F76" s="4" t="str">
        <x:v>Current item description. Catalog intent, not implemented actions.</x:v>
      </x:c>
    </x:row>
    <x:row r="77" ht="45" customHeight="1">
      <x:c r="A77" s="4" t="str">
        <x:v>proposal.natural.copper_ore</x:v>
      </x:c>
      <x:c r="B77" s="4" t="str">
        <x:f>IFERROR(INDEX(Items!$B$6:$B$1005,MATCH(A77,Items!$A$6:$A$1005,0)),"MISSING ITEM ID")</x:f>
        <x:v>Copper ore</x:v>
      </x:c>
      <x:c r="C77" s="4" t="str">
        <x:f>IFERROR(INDEX(Items!$D$6:$D$1005,MATCH(A77,Items!$A$6:$A$1005,0)),"MISSING ITEM ID")</x:f>
        <x:v>Mineral resources</x:v>
      </x:c>
      <x:c r="D77" s="4" t="str">
        <x:v>Primary</x:v>
      </x:c>
      <x:c r="E77" s="4" t="str">
        <x:f>IFERROR(INDEX(Items!$AA$6:$AA$1005,MATCH(A77,Items!$A$6:$A$1005,0)),"MISSING ITEM ID")</x:f>
        <x:v>Metal refining</x:v>
      </x:c>
      <x:c r="F77" s="4" t="str">
        <x:v>Current item description. Catalog intent, not implemented actions.</x:v>
      </x:c>
    </x:row>
    <x:row r="78" ht="45" customHeight="1">
      <x:c r="A78" s="4" t="str">
        <x:v>proposal.natural.raw_copper</x:v>
      </x:c>
      <x:c r="B78" s="4" t="str">
        <x:f>IFERROR(INDEX(Items!$B$6:$B$1005,MATCH(A78,Items!$A$6:$A$1005,0)),"MISSING ITEM ID")</x:f>
        <x:v>Raw copper lump</x:v>
      </x:c>
      <x:c r="C78" s="4" t="str">
        <x:f>IFERROR(INDEX(Items!$D$6:$D$1005,MATCH(A78,Items!$A$6:$A$1005,0)),"MISSING ITEM ID")</x:f>
        <x:v>Mineral resources</x:v>
      </x:c>
      <x:c r="D78" s="4" t="str">
        <x:v>Primary</x:v>
      </x:c>
      <x:c r="E78" s="4" t="str">
        <x:f>IFERROR(INDEX(Items!$AA$6:$AA$1005,MATCH(A78,Items!$A$6:$A$1005,0)),"MISSING ITEM ID")</x:f>
        <x:v>Electrical conduction</x:v>
      </x:c>
      <x:c r="F78" s="4" t="str">
        <x:v>Current item description. Catalog intent, not implemented actions.</x:v>
      </x:c>
    </x:row>
    <x:row r="79" ht="45" customHeight="1">
      <x:c r="A79" s="4" t="str">
        <x:v>proposal.natural.raw_copper</x:v>
      </x:c>
      <x:c r="B79" s="4" t="str">
        <x:f>IFERROR(INDEX(Items!$B$6:$B$1005,MATCH(A79,Items!$A$6:$A$1005,0)),"MISSING ITEM ID")</x:f>
        <x:v>Raw copper lump</x:v>
      </x:c>
      <x:c r="C79" s="4" t="str">
        <x:f>IFERROR(INDEX(Items!$D$6:$D$1005,MATCH(A79,Items!$A$6:$A$1005,0)),"MISSING ITEM ID")</x:f>
        <x:v>Mineral resources</x:v>
      </x:c>
      <x:c r="D79" s="4" t="str">
        <x:v>Secondary</x:v>
      </x:c>
      <x:c r="E79" s="4" t="str">
        <x:v>Fabrication</x:v>
      </x:c>
      <x:c r="F79" s="4" t="str">
        <x:v>Current item description. Catalog intent, not implemented actions.</x:v>
      </x:c>
    </x:row>
    <x:row r="80" ht="45" customHeight="1">
      <x:c r="A80" s="4" t="str">
        <x:v>proposal.natural.tungsten_ore</x:v>
      </x:c>
      <x:c r="B80" s="4" t="str">
        <x:f>IFERROR(INDEX(Items!$B$6:$B$1005,MATCH(A80,Items!$A$6:$A$1005,0)),"MISSING ITEM ID")</x:f>
        <x:v>Tungsten-bearing ore</x:v>
      </x:c>
      <x:c r="C80" s="4" t="str">
        <x:f>IFERROR(INDEX(Items!$D$6:$D$1005,MATCH(A80,Items!$A$6:$A$1005,0)),"MISSING ITEM ID")</x:f>
        <x:v>Mineral resources</x:v>
      </x:c>
      <x:c r="D80" s="4" t="str">
        <x:v>Primary</x:v>
      </x:c>
      <x:c r="E80" s="4" t="str">
        <x:f>IFERROR(INDEX(Items!$AA$6:$AA$1005,MATCH(A80,Items!$A$6:$A$1005,0)),"MISSING ITEM ID")</x:f>
        <x:v>Metal refining</x:v>
      </x:c>
      <x:c r="F80" s="4" t="str">
        <x:v>Current item description. Catalog intent, not implemented actions.</x:v>
      </x:c>
    </x:row>
    <x:row r="81" ht="45" customHeight="1">
      <x:c r="A81" s="4" t="str">
        <x:v>proposal.natural.tungsten_ore</x:v>
      </x:c>
      <x:c r="B81" s="4" t="str">
        <x:f>IFERROR(INDEX(Items!$B$6:$B$1005,MATCH(A81,Items!$A$6:$A$1005,0)),"MISSING ITEM ID")</x:f>
        <x:v>Tungsten-bearing ore</x:v>
      </x:c>
      <x:c r="C81" s="4" t="str">
        <x:f>IFERROR(INDEX(Items!$D$6:$D$1005,MATCH(A81,Items!$A$6:$A$1005,0)),"MISSING ITEM ID")</x:f>
        <x:v>Mineral resources</x:v>
      </x:c>
      <x:c r="D81" s="4" t="str">
        <x:v>Secondary</x:v>
      </x:c>
      <x:c r="E81" s="4" t="str">
        <x:v>Tool fabrication</x:v>
      </x:c>
      <x:c r="F81" s="4" t="str">
        <x:v>Current item description. Catalog intent, not implemented actions.</x:v>
      </x:c>
    </x:row>
    <x:row r="82" ht="45" customHeight="1">
      <x:c r="A82" s="4" t="str">
        <x:v>proposal.natural.magnesium_rock</x:v>
      </x:c>
      <x:c r="B82" s="4" t="str">
        <x:f>IFERROR(INDEX(Items!$B$6:$B$1005,MATCH(A82,Items!$A$6:$A$1005,0)),"MISSING ITEM ID")</x:f>
        <x:v>Magnesium-bearing rock</x:v>
      </x:c>
      <x:c r="C82" s="4" t="str">
        <x:f>IFERROR(INDEX(Items!$D$6:$D$1005,MATCH(A82,Items!$A$6:$A$1005,0)),"MISSING ITEM ID")</x:f>
        <x:v>Mineral resources</x:v>
      </x:c>
      <x:c r="D82" s="4" t="str">
        <x:v>Primary</x:v>
      </x:c>
      <x:c r="E82" s="4" t="str">
        <x:f>IFERROR(INDEX(Items!$AA$6:$AA$1005,MATCH(A82,Items!$A$6:$A$1005,0)),"MISSING ITEM ID")</x:f>
        <x:v>Metal refining</x:v>
      </x:c>
      <x:c r="F82" s="4" t="str">
        <x:v>Current item description. Catalog intent, not implemented actions.</x:v>
      </x:c>
    </x:row>
    <x:row r="83" ht="45" customHeight="1">
      <x:c r="A83" s="4" t="str">
        <x:v>proposal.natural.raw_magnesium</x:v>
      </x:c>
      <x:c r="B83" s="4" t="str">
        <x:f>IFERROR(INDEX(Items!$B$6:$B$1005,MATCH(A83,Items!$A$6:$A$1005,0)),"MISSING ITEM ID")</x:f>
        <x:v>Raw magnesium metal</x:v>
      </x:c>
      <x:c r="C83" s="4" t="str">
        <x:f>IFERROR(INDEX(Items!$D$6:$D$1005,MATCH(A83,Items!$A$6:$A$1005,0)),"MISSING ITEM ID")</x:f>
        <x:v>Mineral resources</x:v>
      </x:c>
      <x:c r="D83" s="4" t="str">
        <x:v>Primary</x:v>
      </x:c>
      <x:c r="E83" s="4" t="str">
        <x:f>IFERROR(INDEX(Items!$AA$6:$AA$1005,MATCH(A83,Items!$A$6:$A$1005,0)),"MISSING ITEM ID")</x:f>
        <x:v>Fabrication</x:v>
      </x:c>
      <x:c r="F83" s="4" t="str">
        <x:v>Current item description. Catalog intent, not implemented actions.</x:v>
      </x:c>
    </x:row>
    <x:row r="84" ht="45" customHeight="1">
      <x:c r="A84" s="4" t="str">
        <x:v>proposal.natural.hematite</x:v>
      </x:c>
      <x:c r="B84" s="4" t="str">
        <x:f>IFERROR(INDEX(Items!$B$6:$B$1005,MATCH(A84,Items!$A$6:$A$1005,0)),"MISSING ITEM ID")</x:f>
        <x:v>Raw hematite</x:v>
      </x:c>
      <x:c r="C84" s="4" t="str">
        <x:f>IFERROR(INDEX(Items!$D$6:$D$1005,MATCH(A84,Items!$A$6:$A$1005,0)),"MISSING ITEM ID")</x:f>
        <x:v>Mineral resources</x:v>
      </x:c>
      <x:c r="D84" s="4" t="str">
        <x:v>Primary</x:v>
      </x:c>
      <x:c r="E84" s="4" t="str">
        <x:f>IFERROR(INDEX(Items!$AA$6:$AA$1005,MATCH(A84,Items!$A$6:$A$1005,0)),"MISSING ITEM ID")</x:f>
        <x:v>Metal refining</x:v>
      </x:c>
      <x:c r="F84" s="4" t="str">
        <x:v>Current item description. Catalog intent, not implemented actions.</x:v>
      </x:c>
    </x:row>
    <x:row r="85" ht="45" customHeight="1">
      <x:c r="A85" s="4" t="str">
        <x:v>proposal.natural.sulfur</x:v>
      </x:c>
      <x:c r="B85" s="4" t="str">
        <x:f>IFERROR(INDEX(Items!$B$6:$B$1005,MATCH(A85,Items!$A$6:$A$1005,0)),"MISSING ITEM ID")</x:f>
        <x:v>Raw sulfur</x:v>
      </x:c>
      <x:c r="C85" s="4" t="str">
        <x:f>IFERROR(INDEX(Items!$D$6:$D$1005,MATCH(A85,Items!$A$6:$A$1005,0)),"MISSING ITEM ID")</x:f>
        <x:v>Mineral resources</x:v>
      </x:c>
      <x:c r="D85" s="4" t="str">
        <x:v>Primary</x:v>
      </x:c>
      <x:c r="E85" s="4" t="str">
        <x:f>IFERROR(INDEX(Items!$AA$6:$AA$1005,MATCH(A85,Items!$A$6:$A$1005,0)),"MISSING ITEM ID")</x:f>
        <x:v>Chemical processing</x:v>
      </x:c>
      <x:c r="F85" s="4" t="str">
        <x:v>Current item description. Catalog intent, not implemented actions.</x:v>
      </x:c>
    </x:row>
    <x:row r="86" ht="45" customHeight="1">
      <x:c r="A86" s="4"/>
      <x:c r="B86" s="4"/>
      <x:c r="C86" s="4"/>
      <x:c r="D86" s="4"/>
      <x:c r="E86" s="4"/>
      <x:c r="F86" s="4"/>
    </x:row>
    <x:row r="87" ht="45" customHeight="1">
      <x:c r="A87" s="4" t="str">
        <x:v>proposal.natural.gypsum</x:v>
      </x:c>
      <x:c r="B87" s="4" t="str">
        <x:f>IFERROR(INDEX(Items!$B$6:$B$1005,MATCH(A87,Items!$A$6:$A$1005,0)),"MISSING ITEM ID")</x:f>
        <x:v>Raw gypsum</x:v>
      </x:c>
      <x:c r="C87" s="4" t="str">
        <x:f>IFERROR(INDEX(Items!$D$6:$D$1005,MATCH(A87,Items!$A$6:$A$1005,0)),"MISSING ITEM ID")</x:f>
        <x:v>Mineral resources</x:v>
      </x:c>
      <x:c r="D87" s="4" t="str">
        <x:v>Primary</x:v>
      </x:c>
      <x:c r="E87" s="4" t="str">
        <x:f>IFERROR(INDEX(Items!$AA$6:$AA$1005,MATCH(A87,Items!$A$6:$A$1005,0)),"MISSING ITEM ID")</x:f>
        <x:v>Glass and ceramics</x:v>
      </x:c>
      <x:c r="F87" s="4" t="str">
        <x:v>Current item description. Catalog intent, not implemented actions.</x:v>
      </x:c>
    </x:row>
    <x:row r="88" ht="45" customHeight="1">
      <x:c r="A88" s="4" t="str">
        <x:v>proposal.natural.talc</x:v>
      </x:c>
      <x:c r="B88" s="4" t="str">
        <x:f>IFERROR(INDEX(Items!$B$6:$B$1005,MATCH(A88,Items!$A$6:$A$1005,0)),"MISSING ITEM ID")</x:f>
        <x:v>Raw talc</x:v>
      </x:c>
      <x:c r="C88" s="4" t="str">
        <x:f>IFERROR(INDEX(Items!$D$6:$D$1005,MATCH(A88,Items!$A$6:$A$1005,0)),"MISSING ITEM ID")</x:f>
        <x:v>Mineral resources</x:v>
      </x:c>
      <x:c r="D88" s="4" t="str">
        <x:v>Primary</x:v>
      </x:c>
      <x:c r="E88" s="4" t="str">
        <x:f>IFERROR(INDEX(Items!$AA$6:$AA$1005,MATCH(A88,Items!$A$6:$A$1005,0)),"MISSING ITEM ID")</x:f>
        <x:v>Glass and ceramics</x:v>
      </x:c>
      <x:c r="F88" s="4" t="str">
        <x:v>Current item description. Catalog intent, not implemented actions.</x:v>
      </x:c>
    </x:row>
    <x:row r="89" ht="45" customHeight="1">
      <x:c r="A89" s="4" t="str">
        <x:v>proposal.natural.talc</x:v>
      </x:c>
      <x:c r="B89" s="4" t="str">
        <x:f>IFERROR(INDEX(Items!$B$6:$B$1005,MATCH(A89,Items!$A$6:$A$1005,0)),"MISSING ITEM ID")</x:f>
        <x:v>Raw talc</x:v>
      </x:c>
      <x:c r="C89" s="4" t="str">
        <x:f>IFERROR(INDEX(Items!$D$6:$D$1005,MATCH(A89,Items!$A$6:$A$1005,0)),"MISSING ITEM ID")</x:f>
        <x:v>Mineral resources</x:v>
      </x:c>
      <x:c r="D89" s="4" t="str">
        <x:v>Secondary</x:v>
      </x:c>
      <x:c r="E89" s="4" t="str">
        <x:v>Surface finishing</x:v>
      </x:c>
      <x:c r="F89" s="4" t="str">
        <x:v>Current item description. Catalog intent, not implemented actions.</x:v>
      </x:c>
    </x:row>
    <x:row r="90" ht="45" customHeight="1">
      <x:c r="A90" s="4"/>
      <x:c r="B90" s="4"/>
      <x:c r="C90" s="4"/>
      <x:c r="D90" s="4"/>
      <x:c r="E90" s="4"/>
      <x:c r="F90" s="4"/>
    </x:row>
    <x:row r="91" ht="45" customHeight="1">
      <x:c r="A91" s="4"/>
      <x:c r="B91" s="4"/>
      <x:c r="C91" s="4"/>
      <x:c r="D91" s="4"/>
      <x:c r="E91" s="4"/>
      <x:c r="F91" s="4"/>
    </x:row>
    <x:row r="92" ht="45" customHeight="1">
      <x:c r="A92" s="4" t="str">
        <x:v>proposal.natural.lead_ore</x:v>
      </x:c>
      <x:c r="B92" s="4" t="str">
        <x:f>IFERROR(INDEX(Items!$B$6:$B$1005,MATCH(A92,Items!$A$6:$A$1005,0)),"MISSING ITEM ID")</x:f>
        <x:v>Lead-bearing ore</x:v>
      </x:c>
      <x:c r="C92" s="4" t="str">
        <x:f>IFERROR(INDEX(Items!$D$6:$D$1005,MATCH(A92,Items!$A$6:$A$1005,0)),"MISSING ITEM ID")</x:f>
        <x:v>Mineral resources</x:v>
      </x:c>
      <x:c r="D92" s="4" t="str">
        <x:v>Primary</x:v>
      </x:c>
      <x:c r="E92" s="4" t="str">
        <x:f>IFERROR(INDEX(Items!$AA$6:$AA$1005,MATCH(A92,Items!$A$6:$A$1005,0)),"MISSING ITEM ID")</x:f>
        <x:v>Metal refining</x:v>
      </x:c>
      <x:c r="F92" s="4" t="str">
        <x:v>Current item description. Catalog intent, not implemented actions.</x:v>
      </x:c>
    </x:row>
    <x:row r="93" ht="45" customHeight="1">
      <x:c r="A93" s="4" t="str">
        <x:v>proposal.natural.zinc_ore</x:v>
      </x:c>
      <x:c r="B93" s="4" t="str">
        <x:f>IFERROR(INDEX(Items!$B$6:$B$1005,MATCH(A93,Items!$A$6:$A$1005,0)),"MISSING ITEM ID")</x:f>
        <x:v>Zinc-bearing ore</x:v>
      </x:c>
      <x:c r="C93" s="4" t="str">
        <x:f>IFERROR(INDEX(Items!$D$6:$D$1005,MATCH(A93,Items!$A$6:$A$1005,0)),"MISSING ITEM ID")</x:f>
        <x:v>Mineral resources</x:v>
      </x:c>
      <x:c r="D93" s="4" t="str">
        <x:v>Primary</x:v>
      </x:c>
      <x:c r="E93" s="4" t="str">
        <x:f>IFERROR(INDEX(Items!$AA$6:$AA$1005,MATCH(A93,Items!$A$6:$A$1005,0)),"MISSING ITEM ID")</x:f>
        <x:v>Metal refining</x:v>
      </x:c>
      <x:c r="F93" s="4" t="str">
        <x:v>Current item description. Catalog intent, not implemented actions.</x:v>
      </x:c>
    </x:row>
    <x:row r="94" ht="45" customHeight="1">
      <x:c r="A94" s="4" t="str">
        <x:v>proposal.natural.silver_ore</x:v>
      </x:c>
      <x:c r="B94" s="4" t="str">
        <x:f>IFERROR(INDEX(Items!$B$6:$B$1005,MATCH(A94,Items!$A$6:$A$1005,0)),"MISSING ITEM ID")</x:f>
        <x:v>Silver-bearing ore</x:v>
      </x:c>
      <x:c r="C94" s="4" t="str">
        <x:f>IFERROR(INDEX(Items!$D$6:$D$1005,MATCH(A94,Items!$A$6:$A$1005,0)),"MISSING ITEM ID")</x:f>
        <x:v>Mineral resources</x:v>
      </x:c>
      <x:c r="D94" s="4" t="str">
        <x:v>Primary</x:v>
      </x:c>
      <x:c r="E94" s="4" t="str">
        <x:f>IFERROR(INDEX(Items!$AA$6:$AA$1005,MATCH(A94,Items!$A$6:$A$1005,0)),"MISSING ITEM ID")</x:f>
        <x:v>Metal refining</x:v>
      </x:c>
      <x:c r="F94" s="4" t="str">
        <x:v>Current item description. Catalog intent, not implemented actions.</x:v>
      </x:c>
    </x:row>
    <x:row r="95" ht="45" customHeight="1">
      <x:c r="A95" s="4" t="str">
        <x:v>proposal.natural.silver_ore</x:v>
      </x:c>
      <x:c r="B95" s="4" t="str">
        <x:f>IFERROR(INDEX(Items!$B$6:$B$1005,MATCH(A95,Items!$A$6:$A$1005,0)),"MISSING ITEM ID")</x:f>
        <x:v>Silver-bearing ore</x:v>
      </x:c>
      <x:c r="C95" s="4" t="str">
        <x:f>IFERROR(INDEX(Items!$D$6:$D$1005,MATCH(A95,Items!$A$6:$A$1005,0)),"MISSING ITEM ID")</x:f>
        <x:v>Mineral resources</x:v>
      </x:c>
      <x:c r="D95" s="4" t="str">
        <x:v>Secondary</x:v>
      </x:c>
      <x:c r="E95" s="4" t="str">
        <x:v>Electrical conduction</x:v>
      </x:c>
      <x:c r="F95" s="4" t="str">
        <x:v>Current item description. Catalog intent, not implemented actions.</x:v>
      </x:c>
    </x:row>
    <x:row r="96" ht="45" customHeight="1">
      <x:c r="A96" s="4" t="str">
        <x:v>proposal.natural.gold_rock</x:v>
      </x:c>
      <x:c r="B96" s="4" t="str">
        <x:f>IFERROR(INDEX(Items!$B$6:$B$1005,MATCH(A96,Items!$A$6:$A$1005,0)),"MISSING ITEM ID")</x:f>
        <x:v>Gold-bearing rock</x:v>
      </x:c>
      <x:c r="C96" s="4" t="str">
        <x:f>IFERROR(INDEX(Items!$D$6:$D$1005,MATCH(A96,Items!$A$6:$A$1005,0)),"MISSING ITEM ID")</x:f>
        <x:v>Mineral resources</x:v>
      </x:c>
      <x:c r="D96" s="4" t="str">
        <x:v>Primary</x:v>
      </x:c>
      <x:c r="E96" s="4" t="str">
        <x:f>IFERROR(INDEX(Items!$AA$6:$AA$1005,MATCH(A96,Items!$A$6:$A$1005,0)),"MISSING ITEM ID")</x:f>
        <x:v>Metal refining</x:v>
      </x:c>
      <x:c r="F96" s="4" t="str">
        <x:v>Current item description. Catalog intent, not implemented actions.</x:v>
      </x:c>
    </x:row>
    <x:row r="97" ht="45" customHeight="1">
      <x:c r="A97" s="4" t="str">
        <x:v>proposal.natural.gold_rock</x:v>
      </x:c>
      <x:c r="B97" s="4" t="str">
        <x:f>IFERROR(INDEX(Items!$B$6:$B$1005,MATCH(A97,Items!$A$6:$A$1005,0)),"MISSING ITEM ID")</x:f>
        <x:v>Gold-bearing rock</x:v>
      </x:c>
      <x:c r="C97" s="4" t="str">
        <x:f>IFERROR(INDEX(Items!$D$6:$D$1005,MATCH(A97,Items!$A$6:$A$1005,0)),"MISSING ITEM ID")</x:f>
        <x:v>Mineral resources</x:v>
      </x:c>
      <x:c r="D97" s="4" t="str">
        <x:v>Secondary</x:v>
      </x:c>
      <x:c r="E97" s="4" t="str">
        <x:v>Decoration</x:v>
      </x:c>
      <x:c r="F97" s="4" t="str">
        <x:v>Current item description. Catalog intent, not implemented actions.</x:v>
      </x:c>
    </x:row>
    <x:row r="98" ht="45" customHeight="1">
      <x:c r="A98" s="4" t="str">
        <x:v>proposal.natural.fluorite</x:v>
      </x:c>
      <x:c r="B98" s="4" t="str">
        <x:f>IFERROR(INDEX(Items!$B$6:$B$1005,MATCH(A98,Items!$A$6:$A$1005,0)),"MISSING ITEM ID")</x:f>
        <x:v>Raw fluorite</x:v>
      </x:c>
      <x:c r="C98" s="4" t="str">
        <x:f>IFERROR(INDEX(Items!$D$6:$D$1005,MATCH(A98,Items!$A$6:$A$1005,0)),"MISSING ITEM ID")</x:f>
        <x:v>Mineral resources</x:v>
      </x:c>
      <x:c r="D98" s="4" t="str">
        <x:v>Primary</x:v>
      </x:c>
      <x:c r="E98" s="4" t="str">
        <x:f>IFERROR(INDEX(Items!$AA$6:$AA$1005,MATCH(A98,Items!$A$6:$A$1005,0)),"MISSING ITEM ID")</x:f>
        <x:v>Glass and ceramics</x:v>
      </x:c>
      <x:c r="F98" s="4" t="str">
        <x:v>Current item description. Catalog intent, not implemented actions.</x:v>
      </x:c>
    </x:row>
    <x:row r="99" ht="45" customHeight="1">
      <x:c r="A99" s="4" t="str">
        <x:v>proposal.natural.fluorite</x:v>
      </x:c>
      <x:c r="B99" s="4" t="str">
        <x:f>IFERROR(INDEX(Items!$B$6:$B$1005,MATCH(A99,Items!$A$6:$A$1005,0)),"MISSING ITEM ID")</x:f>
        <x:v>Raw fluorite</x:v>
      </x:c>
      <x:c r="C99" s="4" t="str">
        <x:f>IFERROR(INDEX(Items!$D$6:$D$1005,MATCH(A99,Items!$A$6:$A$1005,0)),"MISSING ITEM ID")</x:f>
        <x:v>Mineral resources</x:v>
      </x:c>
      <x:c r="D99" s="4" t="str">
        <x:v>Secondary</x:v>
      </x:c>
      <x:c r="E99" s="4" t="str">
        <x:v>Metal refining</x:v>
      </x:c>
      <x:c r="F99" s="4" t="str">
        <x:v>Current item description. Catalog intent, not implemented actions.</x:v>
      </x:c>
    </x:row>
    <x:row r="100" ht="45" customHeight="1">
      <x:c r="A100" s="4" t="str">
        <x:v>proposal.natural.antimony_ore</x:v>
      </x:c>
      <x:c r="B100" s="4" t="str">
        <x:f>IFERROR(INDEX(Items!$B$6:$B$1005,MATCH(A100,Items!$A$6:$A$1005,0)),"MISSING ITEM ID")</x:f>
        <x:v>Antimony-bearing ore</x:v>
      </x:c>
      <x:c r="C100" s="4" t="str">
        <x:f>IFERROR(INDEX(Items!$D$6:$D$1005,MATCH(A100,Items!$A$6:$A$1005,0)),"MISSING ITEM ID")</x:f>
        <x:v>Mineral resources</x:v>
      </x:c>
      <x:c r="D100" s="4" t="str">
        <x:v>Primary</x:v>
      </x:c>
      <x:c r="E100" s="4" t="str">
        <x:f>IFERROR(INDEX(Items!$AA$6:$AA$1005,MATCH(A100,Items!$A$6:$A$1005,0)),"MISSING ITEM ID")</x:f>
        <x:v>Metal refining</x:v>
      </x:c>
      <x:c r="F100" s="4" t="str">
        <x:v>Current item description. Catalog intent, not implemented actions.</x:v>
      </x:c>
    </x:row>
    <x:row r="101" ht="45" customHeight="1">
      <x:c r="A101" s="4" t="str">
        <x:v>proposal.bio.chitin_fibers</x:v>
      </x:c>
      <x:c r="B101" s="4" t="str">
        <x:f>IFERROR(INDEX(Items!$B$6:$B$1005,MATCH(A101,Items!$A$6:$A$1005,0)),"MISSING ITEM ID")</x:f>
        <x:v>Scraped chitin fibers</x:v>
      </x:c>
      <x:c r="C101" s="4" t="str">
        <x:f>IFERROR(INDEX(Items!$D$6:$D$1005,MATCH(A101,Items!$A$6:$A$1005,0)),"MISSING ITEM ID")</x:f>
        <x:v>Biological resources</x:v>
      </x:c>
      <x:c r="D101" s="4" t="str">
        <x:v>Primary</x:v>
      </x:c>
      <x:c r="E101" s="4" t="str">
        <x:f>IFERROR(INDEX(Items!$AA$6:$AA$1005,MATCH(A101,Items!$A$6:$A$1005,0)),"MISSING ITEM ID")</x:f>
        <x:v>Paper making</x:v>
      </x:c>
      <x:c r="F101" s="4" t="str">
        <x:v>Current item description. Catalog intent, not implemented actions.</x:v>
      </x:c>
    </x:row>
    <x:row r="102" ht="45" customHeight="1">
      <x:c r="A102" s="4" t="str">
        <x:v>proposal.bio.chitin_fibers</x:v>
      </x:c>
      <x:c r="B102" s="4" t="str">
        <x:f>IFERROR(INDEX(Items!$B$6:$B$1005,MATCH(A102,Items!$A$6:$A$1005,0)),"MISSING ITEM ID")</x:f>
        <x:v>Scraped chitin fibers</x:v>
      </x:c>
      <x:c r="C102" s="4" t="str">
        <x:f>IFERROR(INDEX(Items!$D$6:$D$1005,MATCH(A102,Items!$A$6:$A$1005,0)),"MISSING ITEM ID")</x:f>
        <x:v>Biological resources</x:v>
      </x:c>
      <x:c r="D102" s="4" t="str">
        <x:v>Secondary</x:v>
      </x:c>
      <x:c r="E102" s="4" t="str">
        <x:v>Textile processing</x:v>
      </x:c>
      <x:c r="F102" s="4" t="str">
        <x:v>Current item description. Catalog intent, not implemented actions.</x:v>
      </x:c>
    </x:row>
    <x:row r="103" ht="45" customHeight="1">
      <x:c r="A103" s="4" t="str">
        <x:v>proposal.bio.icore_fibers</x:v>
      </x:c>
      <x:c r="B103" s="4" t="str">
        <x:f>IFERROR(INDEX(Items!$B$6:$B$1005,MATCH(A103,Items!$A$6:$A$1005,0)),"MISSING ITEM ID")</x:f>
        <x:v>Scraped icore fibers</x:v>
      </x:c>
      <x:c r="C103" s="4" t="str">
        <x:f>IFERROR(INDEX(Items!$D$6:$D$1005,MATCH(A103,Items!$A$6:$A$1005,0)),"MISSING ITEM ID")</x:f>
        <x:v>Biological resources</x:v>
      </x:c>
      <x:c r="D103" s="4" t="str">
        <x:v>Primary</x:v>
      </x:c>
      <x:c r="E103" s="4" t="str">
        <x:f>IFERROR(INDEX(Items!$AA$6:$AA$1005,MATCH(A103,Items!$A$6:$A$1005,0)),"MISSING ITEM ID")</x:f>
        <x:v>Paper making</x:v>
      </x:c>
      <x:c r="F103" s="4" t="str">
        <x:v>Current item description. Catalog intent, not implemented actions.</x:v>
      </x:c>
    </x:row>
    <x:row r="104" ht="45" customHeight="1">
      <x:c r="A104" s="4" t="str">
        <x:v>proposal.bio.icore_fibers</x:v>
      </x:c>
      <x:c r="B104" s="4" t="str">
        <x:f>IFERROR(INDEX(Items!$B$6:$B$1005,MATCH(A104,Items!$A$6:$A$1005,0)),"MISSING ITEM ID")</x:f>
        <x:v>Scraped icore fibers</x:v>
      </x:c>
      <x:c r="C104" s="4" t="str">
        <x:f>IFERROR(INDEX(Items!$D$6:$D$1005,MATCH(A104,Items!$A$6:$A$1005,0)),"MISSING ITEM ID")</x:f>
        <x:v>Biological resources</x:v>
      </x:c>
      <x:c r="D104" s="4" t="str">
        <x:v>Secondary</x:v>
      </x:c>
      <x:c r="E104" s="4" t="str">
        <x:v>Textile processing</x:v>
      </x:c>
      <x:c r="F104" s="4" t="str">
        <x:v>Current item description. Catalog intent, not implemented actions.</x:v>
      </x:c>
    </x:row>
    <x:row r="105" ht="45" customHeight="1">
      <x:c r="A105" s="4"/>
      <x:c r="B105" s="4"/>
      <x:c r="C105" s="4"/>
      <x:c r="D105" s="4"/>
      <x:c r="E105" s="4"/>
      <x:c r="F105" s="4"/>
    </x:row>
    <x:row r="106" ht="45" customHeight="1">
      <x:c r="A106" s="4" t="str">
        <x:v>proposal.bio.pressed_husk</x:v>
      </x:c>
      <x:c r="B106" s="4" t="str">
        <x:f>IFERROR(INDEX(Items!$B$6:$B$1005,MATCH(A106,Items!$A$6:$A$1005,0)),"MISSING ITEM ID")</x:f>
        <x:v>Pressed husk-fiber textile material</x:v>
      </x:c>
      <x:c r="C106" s="4" t="str">
        <x:f>IFERROR(INDEX(Items!$D$6:$D$1005,MATCH(A106,Items!$A$6:$A$1005,0)),"MISSING ITEM ID")</x:f>
        <x:v>Crafting components</x:v>
      </x:c>
      <x:c r="D106" s="4" t="str">
        <x:v>Primary</x:v>
      </x:c>
      <x:c r="E106" s="4" t="str">
        <x:f>IFERROR(INDEX(Items!$AA$6:$AA$1005,MATCH(A106,Items!$A$6:$A$1005,0)),"MISSING ITEM ID")</x:f>
        <x:v>Clothing fabrication</x:v>
      </x:c>
      <x:c r="F106" s="4" t="str">
        <x:v>Current item description. Catalog intent, not implemented actions.</x:v>
      </x:c>
    </x:row>
    <x:row r="107" ht="45" customHeight="1">
      <x:c r="A107" s="4" t="str">
        <x:v>proposal.bio.hide</x:v>
      </x:c>
      <x:c r="B107" s="4" t="str">
        <x:f>IFERROR(INDEX(Items!$B$6:$B$1005,MATCH(A107,Items!$A$6:$A$1005,0)),"MISSING ITEM ID")</x:f>
        <x:v>Raw hide</x:v>
      </x:c>
      <x:c r="C107" s="4" t="str">
        <x:f>IFERROR(INDEX(Items!$D$6:$D$1005,MATCH(A107,Items!$A$6:$A$1005,0)),"MISSING ITEM ID")</x:f>
        <x:v>Biological resources</x:v>
      </x:c>
      <x:c r="D107" s="4" t="str">
        <x:v>Primary</x:v>
      </x:c>
      <x:c r="E107" s="4" t="str">
        <x:f>IFERROR(INDEX(Items!$AA$6:$AA$1005,MATCH(A107,Items!$A$6:$A$1005,0)),"MISSING ITEM ID")</x:f>
        <x:v>Textile processing</x:v>
      </x:c>
      <x:c r="F107" s="4" t="str">
        <x:v>Current item description. Catalog intent, not implemented actions.</x:v>
      </x:c>
    </x:row>
    <x:row r="108" ht="45" customHeight="1">
      <x:c r="A108" s="4" t="str">
        <x:v>proposal.bio.hide_material</x:v>
      </x:c>
      <x:c r="B108" s="4" t="str">
        <x:f>IFERROR(INDEX(Items!$B$6:$B$1005,MATCH(A108,Items!$A$6:$A$1005,0)),"MISSING ITEM ID")</x:f>
        <x:v>Processed hide material</x:v>
      </x:c>
      <x:c r="C108" s="4" t="str">
        <x:f>IFERROR(INDEX(Items!$D$6:$D$1005,MATCH(A108,Items!$A$6:$A$1005,0)),"MISSING ITEM ID")</x:f>
        <x:v>Crafting components</x:v>
      </x:c>
      <x:c r="D108" s="4" t="str">
        <x:v>Primary</x:v>
      </x:c>
      <x:c r="E108" s="4" t="str">
        <x:f>IFERROR(INDEX(Items!$AA$6:$AA$1005,MATCH(A108,Items!$A$6:$A$1005,0)),"MISSING ITEM ID")</x:f>
        <x:v>Clothing fabrication</x:v>
      </x:c>
      <x:c r="F108" s="4" t="str">
        <x:v>Current item description. Catalog intent, not implemented actions.</x:v>
      </x:c>
    </x:row>
    <x:row r="109" ht="45" customHeight="1">
      <x:c r="A109" s="4" t="str">
        <x:v>proposal.bio.edible_fraction</x:v>
      </x:c>
      <x:c r="B109" s="4" t="str">
        <x:f>IFERROR(INDEX(Items!$B$6:$B$1005,MATCH(A109,Items!$A$6:$A$1005,0)),"MISSING ITEM ID")</x:f>
        <x:v>Edible fauna fraction (species TBD)</x:v>
      </x:c>
      <x:c r="C109" s="4" t="str">
        <x:f>IFERROR(INDEX(Items!$D$6:$D$1005,MATCH(A109,Items!$A$6:$A$1005,0)),"MISSING ITEM ID")</x:f>
        <x:v>Cooking ingredients</x:v>
      </x:c>
      <x:c r="D109" s="4" t="str">
        <x:v>Primary</x:v>
      </x:c>
      <x:c r="E109" s="4" t="str">
        <x:f>IFERROR(INDEX(Items!$AA$6:$AA$1005,MATCH(A109,Items!$A$6:$A$1005,0)),"MISSING ITEM ID")</x:f>
        <x:v>Nutrition</x:v>
      </x:c>
      <x:c r="F109" s="4" t="str">
        <x:v>Current item description. Catalog intent, not implemented actions.</x:v>
      </x:c>
    </x:row>
    <x:row r="110" ht="45" customHeight="1">
      <x:c r="A110" s="4" t="str">
        <x:v>proposal.bio.chemical_material</x:v>
      </x:c>
      <x:c r="B110" s="4" t="str">
        <x:f>IFERROR(INDEX(Items!$B$6:$B$1005,MATCH(A110,Items!$A$6:$A$1005,0)),"MISSING ITEM ID")</x:f>
        <x:v>Faunal chemical material (unspecified)</x:v>
      </x:c>
      <x:c r="C110" s="4" t="str">
        <x:f>IFERROR(INDEX(Items!$D$6:$D$1005,MATCH(A110,Items!$A$6:$A$1005,0)),"MISSING ITEM ID")</x:f>
        <x:v>Biological resources</x:v>
      </x:c>
      <x:c r="D110" s="4" t="str">
        <x:v>Primary</x:v>
      </x:c>
      <x:c r="E110" s="4" t="str">
        <x:f>IFERROR(INDEX(Items!$AA$6:$AA$1005,MATCH(A110,Items!$A$6:$A$1005,0)),"MISSING ITEM ID")</x:f>
        <x:v>Chemical processing</x:v>
      </x:c>
      <x:c r="F110" s="4" t="str">
        <x:v>Current item description. Catalog intent, not implemented actions.</x:v>
      </x:c>
    </x:row>
    <x:row r="111" ht="45" customHeight="1">
      <x:c r="A111" s="4" t="str">
        <x:v>proposal.bio.liquid_material</x:v>
      </x:c>
      <x:c r="B111" s="4" t="str">
        <x:f>IFERROR(INDEX(Items!$B$6:$B$1005,MATCH(A111,Items!$A$6:$A$1005,0)),"MISSING ITEM ID")</x:f>
        <x:v>Faunal liquid material (unspecified)</x:v>
      </x:c>
      <x:c r="C111" s="4" t="str">
        <x:f>IFERROR(INDEX(Items!$D$6:$D$1005,MATCH(A111,Items!$A$6:$A$1005,0)),"MISSING ITEM ID")</x:f>
        <x:v>Biological resources</x:v>
      </x:c>
      <x:c r="D111" s="4" t="str">
        <x:v>Primary</x:v>
      </x:c>
      <x:c r="E111" s="4" t="str">
        <x:f>IFERROR(INDEX(Items!$AA$6:$AA$1005,MATCH(A111,Items!$A$6:$A$1005,0)),"MISSING ITEM ID")</x:f>
        <x:v>Chemical processing</x:v>
      </x:c>
      <x:c r="F111" s="4" t="str">
        <x:v>Current item description. Catalog intent, not implemented actions.</x:v>
      </x:c>
    </x:row>
    <x:row r="112" ht="45" customHeight="1">
      <x:c r="A112" s="4" t="str">
        <x:v>proposal.chemical.digestive_etchant</x:v>
      </x:c>
      <x:c r="B112" s="4" t="str">
        <x:f>IFERROR(INDEX(Items!$B$6:$B$1005,MATCH(A112,Items!$A$6:$A$1005,0)),"MISSING ITEM ID")</x:f>
        <x:v>Digestive etchant</x:v>
      </x:c>
      <x:c r="C112" s="4" t="str">
        <x:f>IFERROR(INDEX(Items!$D$6:$D$1005,MATCH(A112,Items!$A$6:$A$1005,0)),"MISSING ITEM ID")</x:f>
        <x:v>Biological resources</x:v>
      </x:c>
      <x:c r="D112" s="4" t="str">
        <x:v>Primary</x:v>
      </x:c>
      <x:c r="E112" s="4" t="str">
        <x:f>IFERROR(INDEX(Items!$AA$6:$AA$1005,MATCH(A112,Items!$A$6:$A$1005,0)),"MISSING ITEM ID")</x:f>
        <x:v>Chemical processing</x:v>
      </x:c>
      <x:c r="F112" s="4" t="str">
        <x:v>Current item description. Catalog intent, not implemented actions.</x:v>
      </x:c>
    </x:row>
    <x:row r="113" ht="45" customHeight="1">
      <x:c r="A113" s="4" t="str">
        <x:v>proposal.chemical.digestive_etchant</x:v>
      </x:c>
      <x:c r="B113" s="4" t="str">
        <x:f>IFERROR(INDEX(Items!$B$6:$B$1005,MATCH(A113,Items!$A$6:$A$1005,0)),"MISSING ITEM ID")</x:f>
        <x:v>Digestive etchant</x:v>
      </x:c>
      <x:c r="C113" s="4" t="str">
        <x:f>IFERROR(INDEX(Items!$D$6:$D$1005,MATCH(A113,Items!$A$6:$A$1005,0)),"MISSING ITEM ID")</x:f>
        <x:v>Biological resources</x:v>
      </x:c>
      <x:c r="D113" s="4" t="str">
        <x:v>Secondary</x:v>
      </x:c>
      <x:c r="E113" s="4" t="str">
        <x:v>Surface finishing</x:v>
      </x:c>
      <x:c r="F113" s="4" t="str">
        <x:v>Current item description. Catalog intent, not implemented actions.</x:v>
      </x:c>
    </x:row>
    <x:row r="114" ht="45" customHeight="1">
      <x:c r="A114" s="4" t="str">
        <x:v>proposal.chemical.husk_enzyme</x:v>
      </x:c>
      <x:c r="B114" s="4" t="str">
        <x:f>IFERROR(INDEX(Items!$B$6:$B$1005,MATCH(A114,Items!$A$6:$A$1005,0)),"MISSING ITEM ID")</x:f>
        <x:v>Husk-separation enzyme</x:v>
      </x:c>
      <x:c r="C114" s="4" t="str">
        <x:f>IFERROR(INDEX(Items!$D$6:$D$1005,MATCH(A114,Items!$A$6:$A$1005,0)),"MISSING ITEM ID")</x:f>
        <x:v>Biological resources</x:v>
      </x:c>
      <x:c r="D114" s="4" t="str">
        <x:v>Primary</x:v>
      </x:c>
      <x:c r="E114" s="4" t="str">
        <x:f>IFERROR(INDEX(Items!$AA$6:$AA$1005,MATCH(A114,Items!$A$6:$A$1005,0)),"MISSING ITEM ID")</x:f>
        <x:v>Fiber processing</x:v>
      </x:c>
      <x:c r="F114" s="4" t="str">
        <x:v>Current item description. Catalog intent, not implemented actions.</x:v>
      </x:c>
    </x:row>
    <x:row r="115" ht="45" customHeight="1">
      <x:c r="A115" s="4" t="str">
        <x:v>proposal.chemical.husk_enzyme</x:v>
      </x:c>
      <x:c r="B115" s="4" t="str">
        <x:f>IFERROR(INDEX(Items!$B$6:$B$1005,MATCH(A115,Items!$A$6:$A$1005,0)),"MISSING ITEM ID")</x:f>
        <x:v>Husk-separation enzyme</x:v>
      </x:c>
      <x:c r="C115" s="4" t="str">
        <x:f>IFERROR(INDEX(Items!$D$6:$D$1005,MATCH(A115,Items!$A$6:$A$1005,0)),"MISSING ITEM ID")</x:f>
        <x:v>Biological resources</x:v>
      </x:c>
      <x:c r="D115" s="4" t="str">
        <x:v>Secondary</x:v>
      </x:c>
      <x:c r="E115" s="4" t="str">
        <x:v>Paper making</x:v>
      </x:c>
      <x:c r="F115" s="4" t="str">
        <x:v>Current item description. Catalog intent, not implemented actions.</x:v>
      </x:c>
    </x:row>
    <x:row r="116" ht="45" customHeight="1">
      <x:c r="A116" s="4" t="str">
        <x:v>proposal.chemical.husk_enzyme</x:v>
      </x:c>
      <x:c r="B116" s="4" t="str">
        <x:f>IFERROR(INDEX(Items!$B$6:$B$1005,MATCH(A116,Items!$A$6:$A$1005,0)),"MISSING ITEM ID")</x:f>
        <x:v>Husk-separation enzyme</x:v>
      </x:c>
      <x:c r="C116" s="4" t="str">
        <x:f>IFERROR(INDEX(Items!$D$6:$D$1005,MATCH(A116,Items!$A$6:$A$1005,0)),"MISSING ITEM ID")</x:f>
        <x:v>Biological resources</x:v>
      </x:c>
      <x:c r="D116" s="4" t="str">
        <x:v>Secondary</x:v>
      </x:c>
      <x:c r="E116" s="4" t="str">
        <x:v>Textile processing</x:v>
      </x:c>
      <x:c r="F116" s="4" t="str">
        <x:v>Current item description. Catalog intent, not implemented actions.</x:v>
      </x:c>
    </x:row>
    <x:row r="117" ht="45" customHeight="1">
      <x:c r="A117" s="4" t="str">
        <x:v>proposal.chemical.shell_binder</x:v>
      </x:c>
      <x:c r="B117" s="4" t="str">
        <x:f>IFERROR(INDEX(Items!$B$6:$B$1005,MATCH(A117,Items!$A$6:$A$1005,0)),"MISSING ITEM ID")</x:f>
        <x:v>Shell-binding secretion</x:v>
      </x:c>
      <x:c r="C117" s="4" t="str">
        <x:f>IFERROR(INDEX(Items!$D$6:$D$1005,MATCH(A117,Items!$A$6:$A$1005,0)),"MISSING ITEM ID")</x:f>
        <x:v>Biological resources</x:v>
      </x:c>
      <x:c r="D117" s="4" t="str">
        <x:v>Primary</x:v>
      </x:c>
      <x:c r="E117" s="4" t="str">
        <x:f>IFERROR(INDEX(Items!$AA$6:$AA$1005,MATCH(A117,Items!$A$6:$A$1005,0)),"MISSING ITEM ID")</x:f>
        <x:v>Binding and construction</x:v>
      </x:c>
      <x:c r="F117" s="4" t="str">
        <x:v>Current item description. Catalog intent, not implemented actions.</x:v>
      </x:c>
    </x:row>
    <x:row r="118" ht="45" customHeight="1">
      <x:c r="A118" s="4" t="str">
        <x:v>proposal.chemical.shell_binder</x:v>
      </x:c>
      <x:c r="B118" s="4" t="str">
        <x:f>IFERROR(INDEX(Items!$B$6:$B$1005,MATCH(A118,Items!$A$6:$A$1005,0)),"MISSING ITEM ID")</x:f>
        <x:v>Shell-binding secretion</x:v>
      </x:c>
      <x:c r="C118" s="4" t="str">
        <x:f>IFERROR(INDEX(Items!$D$6:$D$1005,MATCH(A118,Items!$A$6:$A$1005,0)),"MISSING ITEM ID")</x:f>
        <x:v>Biological resources</x:v>
      </x:c>
      <x:c r="D118" s="4" t="str">
        <x:v>Secondary</x:v>
      </x:c>
      <x:c r="E118" s="4" t="str">
        <x:v>Protective fabrication</x:v>
      </x:c>
      <x:c r="F118" s="4" t="str">
        <x:v>Current item description. Catalog intent, not implemented actions.</x:v>
      </x:c>
    </x:row>
    <x:row r="119" ht="45" customHeight="1">
      <x:c r="A119" s="4" t="str">
        <x:v>proposal.chemical.shell_binder</x:v>
      </x:c>
      <x:c r="B119" s="4" t="str">
        <x:f>IFERROR(INDEX(Items!$B$6:$B$1005,MATCH(A119,Items!$A$6:$A$1005,0)),"MISSING ITEM ID")</x:f>
        <x:v>Shell-binding secretion</x:v>
      </x:c>
      <x:c r="C119" s="4" t="str">
        <x:f>IFERROR(INDEX(Items!$D$6:$D$1005,MATCH(A119,Items!$A$6:$A$1005,0)),"MISSING ITEM ID")</x:f>
        <x:v>Biological resources</x:v>
      </x:c>
      <x:c r="D119" s="4" t="str">
        <x:v>Secondary</x:v>
      </x:c>
      <x:c r="E119" s="4" t="str">
        <x:v>Textile processing</x:v>
      </x:c>
      <x:c r="F119" s="4" t="str">
        <x:v>Current item description. Catalog intent, not implemented actions.</x:v>
      </x:c>
    </x:row>
    <x:row r="120" ht="45" customHeight="1">
      <x:c r="A120" s="4" t="str">
        <x:v>proposal.chemical.clotting_compound</x:v>
      </x:c>
      <x:c r="B120" s="4" t="str">
        <x:f>IFERROR(INDEX(Items!$B$6:$B$1005,MATCH(A120,Items!$A$6:$A$1005,0)),"MISSING ITEM ID")</x:f>
        <x:v>Mineral clotting compound</x:v>
      </x:c>
      <x:c r="C120" s="4" t="str">
        <x:f>IFERROR(INDEX(Items!$D$6:$D$1005,MATCH(A120,Items!$A$6:$A$1005,0)),"MISSING ITEM ID")</x:f>
        <x:v>Biological resources</x:v>
      </x:c>
      <x:c r="D120" s="4" t="str">
        <x:v>Primary</x:v>
      </x:c>
      <x:c r="E120" s="4" t="str">
        <x:f>IFERROR(INDEX(Items!$AA$6:$AA$1005,MATCH(A120,Items!$A$6:$A$1005,0)),"MISSING ITEM ID")</x:f>
        <x:v>Equipment repair</x:v>
      </x:c>
      <x:c r="F120" s="4" t="str">
        <x:v>Current item description. Catalog intent, not implemented actions.</x:v>
      </x:c>
    </x:row>
    <x:row r="121" ht="45" customHeight="1">
      <x:c r="A121" s="4" t="str">
        <x:v>proposal.chemical.clotting_compound</x:v>
      </x:c>
      <x:c r="B121" s="4" t="str">
        <x:f>IFERROR(INDEX(Items!$B$6:$B$1005,MATCH(A121,Items!$A$6:$A$1005,0)),"MISSING ITEM ID")</x:f>
        <x:v>Mineral clotting compound</x:v>
      </x:c>
      <x:c r="C121" s="4" t="str">
        <x:f>IFERROR(INDEX(Items!$D$6:$D$1005,MATCH(A121,Items!$A$6:$A$1005,0)),"MISSING ITEM ID")</x:f>
        <x:v>Biological resources</x:v>
      </x:c>
      <x:c r="D121" s="4" t="str">
        <x:v>Secondary</x:v>
      </x:c>
      <x:c r="E121" s="4" t="str">
        <x:v>Sealing</x:v>
      </x:c>
      <x:c r="F121" s="4" t="str">
        <x:v>Current item description. Catalog intent, not implemented actions.</x:v>
      </x:c>
    </x:row>
    <x:row r="122" ht="45" customHeight="1">
      <x:c r="A122" s="4" t="str">
        <x:v>proposal.chemical.mineral_ichor</x:v>
      </x:c>
      <x:c r="B122" s="4" t="str">
        <x:f>IFERROR(INDEX(Items!$B$6:$B$1005,MATCH(A122,Items!$A$6:$A$1005,0)),"MISSING ITEM ID")</x:f>
        <x:v>Mineral-rich ichor</x:v>
      </x:c>
      <x:c r="C122" s="4" t="str">
        <x:f>IFERROR(INDEX(Items!$D$6:$D$1005,MATCH(A122,Items!$A$6:$A$1005,0)),"MISSING ITEM ID")</x:f>
        <x:v>Biological resources</x:v>
      </x:c>
      <x:c r="D122" s="4" t="str">
        <x:v>Primary</x:v>
      </x:c>
      <x:c r="E122" s="4" t="str">
        <x:f>IFERROR(INDEX(Items!$AA$6:$AA$1005,MATCH(A122,Items!$A$6:$A$1005,0)),"MISSING ITEM ID")</x:f>
        <x:v>Chemical processing</x:v>
      </x:c>
      <x:c r="F122" s="4" t="str">
        <x:v>Current item description. Catalog intent, not implemented actions.</x:v>
      </x:c>
    </x:row>
    <x:row r="123" ht="45" customHeight="1">
      <x:c r="A123" s="4" t="str">
        <x:v>proposal.chemical.mineral_ichor</x:v>
      </x:c>
      <x:c r="B123" s="4" t="str">
        <x:f>IFERROR(INDEX(Items!$B$6:$B$1005,MATCH(A123,Items!$A$6:$A$1005,0)),"MISSING ITEM ID")</x:f>
        <x:v>Mineral-rich ichor</x:v>
      </x:c>
      <x:c r="C123" s="4" t="str">
        <x:f>IFERROR(INDEX(Items!$D$6:$D$1005,MATCH(A123,Items!$A$6:$A$1005,0)),"MISSING ITEM ID")</x:f>
        <x:v>Biological resources</x:v>
      </x:c>
      <x:c r="D123" s="4" t="str">
        <x:v>Secondary</x:v>
      </x:c>
      <x:c r="E123" s="4" t="str">
        <x:v>Decoration</x:v>
      </x:c>
      <x:c r="F123" s="4" t="str">
        <x:v>Current item description. Catalog intent, not implemented actions.</x:v>
      </x:c>
    </x:row>
    <x:row r="124" ht="45" customHeight="1">
      <x:c r="A124" s="4" t="str">
        <x:v>proposal.chemical.joint_lubricant</x:v>
      </x:c>
      <x:c r="B124" s="4" t="str">
        <x:f>IFERROR(INDEX(Items!$B$6:$B$1005,MATCH(A124,Items!$A$6:$A$1005,0)),"MISSING ITEM ID")</x:f>
        <x:v>Joint-lubricating secretion</x:v>
      </x:c>
      <x:c r="C124" s="4" t="str">
        <x:f>IFERROR(INDEX(Items!$D$6:$D$1005,MATCH(A124,Items!$A$6:$A$1005,0)),"MISSING ITEM ID")</x:f>
        <x:v>Biological resources</x:v>
      </x:c>
      <x:c r="D124" s="4" t="str">
        <x:v>Primary</x:v>
      </x:c>
      <x:c r="E124" s="4" t="str">
        <x:f>IFERROR(INDEX(Items!$AA$6:$AA$1005,MATCH(A124,Items!$A$6:$A$1005,0)),"MISSING ITEM ID")</x:f>
        <x:v>Lubrication</x:v>
      </x:c>
      <x:c r="F124" s="4" t="str">
        <x:v>Current item description. Catalog intent, not implemented actions.</x:v>
      </x:c>
    </x:row>
    <x:row r="125" ht="45" customHeight="1">
      <x:c r="A125" s="4" t="str">
        <x:v>proposal.chemical.joint_lubricant</x:v>
      </x:c>
      <x:c r="B125" s="4" t="str">
        <x:f>IFERROR(INDEX(Items!$B$6:$B$1005,MATCH(A125,Items!$A$6:$A$1005,0)),"MISSING ITEM ID")</x:f>
        <x:v>Joint-lubricating secretion</x:v>
      </x:c>
      <x:c r="C125" s="4" t="str">
        <x:f>IFERROR(INDEX(Items!$D$6:$D$1005,MATCH(A125,Items!$A$6:$A$1005,0)),"MISSING ITEM ID")</x:f>
        <x:v>Biological resources</x:v>
      </x:c>
      <x:c r="D125" s="4" t="str">
        <x:v>Secondary</x:v>
      </x:c>
      <x:c r="E125" s="4" t="str">
        <x:v>Sealing</x:v>
      </x:c>
      <x:c r="F125" s="4" t="str">
        <x:v>Current item description. Catalog intent, not implemented actions.</x:v>
      </x:c>
    </x:row>
    <x:row r="126" ht="45" customHeight="1">
      <x:c r="A126" s="4" t="str">
        <x:v>proposal.chemical.insulating_secretion</x:v>
      </x:c>
      <x:c r="B126" s="4" t="str">
        <x:f>IFERROR(INDEX(Items!$B$6:$B$1005,MATCH(A126,Items!$A$6:$A$1005,0)),"MISSING ITEM ID")</x:f>
        <x:v>Insulating secretion</x:v>
      </x:c>
      <x:c r="C126" s="4" t="str">
        <x:f>IFERROR(INDEX(Items!$D$6:$D$1005,MATCH(A126,Items!$A$6:$A$1005,0)),"MISSING ITEM ID")</x:f>
        <x:v>Biological resources</x:v>
      </x:c>
      <x:c r="D126" s="4" t="str">
        <x:v>Primary</x:v>
      </x:c>
      <x:c r="E126" s="4" t="str">
        <x:f>IFERROR(INDEX(Items!$AA$6:$AA$1005,MATCH(A126,Items!$A$6:$A$1005,0)),"MISSING ITEM ID")</x:f>
        <x:v>Electrical insulation</x:v>
      </x:c>
      <x:c r="F126" s="4" t="str">
        <x:v>Current item description. Catalog intent, not implemented actions.</x:v>
      </x:c>
    </x:row>
    <x:row r="127" ht="45" customHeight="1">
      <x:c r="A127" s="4" t="str">
        <x:v>proposal.chemical.conductive_gel</x:v>
      </x:c>
      <x:c r="B127" s="4" t="str">
        <x:f>IFERROR(INDEX(Items!$B$6:$B$1005,MATCH(A127,Items!$A$6:$A$1005,0)),"MISSING ITEM ID")</x:f>
        <x:v>Charge-conducting gel</x:v>
      </x:c>
      <x:c r="C127" s="4" t="str">
        <x:f>IFERROR(INDEX(Items!$D$6:$D$1005,MATCH(A127,Items!$A$6:$A$1005,0)),"MISSING ITEM ID")</x:f>
        <x:v>Biological resources</x:v>
      </x:c>
      <x:c r="D127" s="4" t="str">
        <x:v>Primary</x:v>
      </x:c>
      <x:c r="E127" s="4" t="str">
        <x:f>IFERROR(INDEX(Items!$AA$6:$AA$1005,MATCH(A127,Items!$A$6:$A$1005,0)),"MISSING ITEM ID")</x:f>
        <x:v>Electrical conduction</x:v>
      </x:c>
      <x:c r="F127" s="4" t="str">
        <x:v>Current item description. Catalog intent, not implemented actions.</x:v>
      </x:c>
    </x:row>
    <x:row r="128" ht="45" customHeight="1">
      <x:c r="A128" s="4" t="str">
        <x:v>proposal.chemical.molt_release</x:v>
      </x:c>
      <x:c r="B128" s="4" t="str">
        <x:f>IFERROR(INDEX(Items!$B$6:$B$1005,MATCH(A128,Items!$A$6:$A$1005,0)),"MISSING ITEM ID")</x:f>
        <x:v>Molt-release compound</x:v>
      </x:c>
      <x:c r="C128" s="4" t="str">
        <x:f>IFERROR(INDEX(Items!$D$6:$D$1005,MATCH(A128,Items!$A$6:$A$1005,0)),"MISSING ITEM ID")</x:f>
        <x:v>Biological resources</x:v>
      </x:c>
      <x:c r="D128" s="4" t="str">
        <x:v>Primary</x:v>
      </x:c>
      <x:c r="E128" s="4" t="str">
        <x:f>IFERROR(INDEX(Items!$AA$6:$AA$1005,MATCH(A128,Items!$A$6:$A$1005,0)),"MISSING ITEM ID")</x:f>
        <x:v>Surface finishing</x:v>
      </x:c>
      <x:c r="F128" s="4" t="str">
        <x:v>Current item description. Catalog intent, not implemented actions.</x:v>
      </x:c>
    </x:row>
    <x:row r="129" ht="45" customHeight="1">
      <x:c r="A129" s="4" t="str">
        <x:v>proposal.chemical.molt_release</x:v>
      </x:c>
      <x:c r="B129" s="4" t="str">
        <x:f>IFERROR(INDEX(Items!$B$6:$B$1005,MATCH(A129,Items!$A$6:$A$1005,0)),"MISSING ITEM ID")</x:f>
        <x:v>Molt-release compound</x:v>
      </x:c>
      <x:c r="C129" s="4" t="str">
        <x:f>IFERROR(INDEX(Items!$D$6:$D$1005,MATCH(A129,Items!$A$6:$A$1005,0)),"MISSING ITEM ID")</x:f>
        <x:v>Biological resources</x:v>
      </x:c>
      <x:c r="D129" s="4" t="str">
        <x:v>Secondary</x:v>
      </x:c>
      <x:c r="E129" s="4" t="str">
        <x:v>Fiber processing</x:v>
      </x:c>
      <x:c r="F129" s="4" t="str">
        <x:v>Current item description. Catalog intent, not implemented actions.</x:v>
      </x:c>
    </x:row>
    <x:row r="130" ht="45" customHeight="1">
      <x:c r="A130" s="4" t="str">
        <x:v>proposal.chemical.defensive_irritant</x:v>
      </x:c>
      <x:c r="B130" s="4" t="str">
        <x:f>IFERROR(INDEX(Items!$B$6:$B$1005,MATCH(A130,Items!$A$6:$A$1005,0)),"MISSING ITEM ID")</x:f>
        <x:v>Defensive irritant secretion</x:v>
      </x:c>
      <x:c r="C130" s="4" t="str">
        <x:f>IFERROR(INDEX(Items!$D$6:$D$1005,MATCH(A130,Items!$A$6:$A$1005,0)),"MISSING ITEM ID")</x:f>
        <x:v>Biological resources</x:v>
      </x:c>
      <x:c r="D130" s="4" t="str">
        <x:v>Primary</x:v>
      </x:c>
      <x:c r="E130" s="4" t="str">
        <x:f>IFERROR(INDEX(Items!$AA$6:$AA$1005,MATCH(A130,Items!$A$6:$A$1005,0)),"MISSING ITEM ID")</x:f>
        <x:v>Material exclusion</x:v>
      </x:c>
      <x:c r="F130" s="4" t="str">
        <x:v>Current item description. Catalog intent, not implemented actions.</x:v>
      </x:c>
    </x:row>
    <x:row r="131" ht="45" customHeight="1">
      <x:c r="A131" s="4" t="str">
        <x:v>proposal.chemical.disabling_venom</x:v>
      </x:c>
      <x:c r="B131" s="4" t="str">
        <x:f>IFERROR(INDEX(Items!$B$6:$B$1005,MATCH(A131,Items!$A$6:$A$1005,0)),"MISSING ITEM ID")</x:f>
        <x:v>Disabling venom fraction</x:v>
      </x:c>
      <x:c r="C131" s="4" t="str">
        <x:f>IFERROR(INDEX(Items!$D$6:$D$1005,MATCH(A131,Items!$A$6:$A$1005,0)),"MISSING ITEM ID")</x:f>
        <x:v>Biological resources</x:v>
      </x:c>
      <x:c r="D131" s="4" t="str">
        <x:v>Primary</x:v>
      </x:c>
      <x:c r="E131" s="4" t="str">
        <x:f>IFERROR(INDEX(Items!$AA$6:$AA$1005,MATCH(A131,Items!$A$6:$A$1005,0)),"MISSING ITEM ID")</x:f>
        <x:v>Specialist samples</x:v>
      </x:c>
      <x:c r="F131" s="4" t="str">
        <x:v>Current item description. Catalog intent, not implemented actions.</x:v>
      </x:c>
    </x:row>
    <x:row r="132" ht="45" customHeight="1">
      <x:c r="A132" s="4" t="str">
        <x:v>proposal.chemical.scent_marker</x:v>
      </x:c>
      <x:c r="B132" s="4" t="str">
        <x:f>IFERROR(INDEX(Items!$B$6:$B$1005,MATCH(A132,Items!$A$6:$A$1005,0)),"MISSING ITEM ID")</x:f>
        <x:v>Chemical scent marker</x:v>
      </x:c>
      <x:c r="C132" s="4" t="str">
        <x:f>IFERROR(INDEX(Items!$D$6:$D$1005,MATCH(A132,Items!$A$6:$A$1005,0)),"MISSING ITEM ID")</x:f>
        <x:v>Biological resources</x:v>
      </x:c>
      <x:c r="D132" s="4" t="str">
        <x:v>Primary</x:v>
      </x:c>
      <x:c r="E132" s="4" t="str">
        <x:f>IFERROR(INDEX(Items!$AA$6:$AA$1005,MATCH(A132,Items!$A$6:$A$1005,0)),"MISSING ITEM ID")</x:f>
        <x:v>Fauna interaction</x:v>
      </x:c>
      <x:c r="F132" s="4" t="str">
        <x:v>Current item description. Catalog intent, not implemented actions.</x:v>
      </x:c>
    </x:row>
    <x:row r="133" ht="45" customHeight="1">
      <x:c r="A133" s="4"/>
      <x:c r="B133" s="4"/>
      <x:c r="C133" s="4"/>
      <x:c r="D133" s="4"/>
      <x:c r="E133" s="4"/>
      <x:c r="F133" s="4"/>
    </x:row>
    <x:row r="134" ht="45" customHeight="1">
      <x:c r="A134" s="4"/>
      <x:c r="B134" s="4"/>
      <x:c r="C134" s="4"/>
      <x:c r="D134" s="4"/>
      <x:c r="E134" s="4"/>
      <x:c r="F134" s="4"/>
    </x:row>
    <x:row r="135" ht="45" customHeight="1">
      <x:c r="A135" s="4" t="str">
        <x:v>proposal.container.reagent_bottle</x:v>
      </x:c>
      <x:c r="B135" s="4" t="str">
        <x:f>IFERROR(INDEX(Items!$B$6:$B$1005,MATCH(A135,Items!$A$6:$A$1005,0)),"MISSING ITEM ID")</x:f>
        <x:v>Opaque reagent bottle</x:v>
      </x:c>
      <x:c r="C135" s="4" t="str">
        <x:f>IFERROR(INDEX(Items!$D$6:$D$1005,MATCH(A135,Items!$A$6:$A$1005,0)),"MISSING ITEM ID")</x:f>
        <x:v>Salvage</x:v>
      </x:c>
      <x:c r="D135" s="4" t="str">
        <x:v>Primary</x:v>
      </x:c>
      <x:c r="E135" s="4" t="inlineStr">
        <x:is>
          <x:t xml:space="preserve">Salvage reuse</x:t>
        </x:is>
      </x:c>
      <x:c r="F1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6" ht="45" customHeight="1">
      <x:c r="A136" s="4" t="str">
        <x:v>proposal.container.wide_jar</x:v>
      </x:c>
      <x:c r="B136" s="4" t="str">
        <x:f>IFERROR(INDEX(Items!$B$6:$B$1005,MATCH(A136,Items!$A$6:$A$1005,0)),"MISSING ITEM ID")</x:f>
        <x:v>Wide-mouth sample jar</x:v>
      </x:c>
      <x:c r="C136" s="4" t="str">
        <x:f>IFERROR(INDEX(Items!$D$6:$D$1005,MATCH(A136,Items!$A$6:$A$1005,0)),"MISSING ITEM ID")</x:f>
        <x:v>Salvage</x:v>
      </x:c>
      <x:c r="D136" s="4" t="str">
        <x:v>Primary</x:v>
      </x:c>
      <x:c r="E136" s="4" t="inlineStr">
        <x:is>
          <x:t xml:space="preserve">Salvage reuse</x:t>
        </x:is>
      </x:c>
      <x:c r="F13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7" ht="45" customHeight="1">
      <x:c r="A137" s="4" t="str">
        <x:v>proposal.container.ampoule</x:v>
      </x:c>
      <x:c r="B137" s="4" t="str">
        <x:f>IFERROR(INDEX(Items!$B$6:$B$1005,MATCH(A137,Items!$A$6:$A$1005,0)),"MISSING ITEM ID")</x:f>
        <x:v>Sealed sample ampoule</x:v>
      </x:c>
      <x:c r="C137" s="4" t="str">
        <x:f>IFERROR(INDEX(Items!$D$6:$D$1005,MATCH(A137,Items!$A$6:$A$1005,0)),"MISSING ITEM ID")</x:f>
        <x:v>Salvage</x:v>
      </x:c>
      <x:c r="D137" s="4" t="str">
        <x:v>Primary</x:v>
      </x:c>
      <x:c r="E137" s="4" t="inlineStr">
        <x:is>
          <x:t xml:space="preserve">Salvage reuse</x:t>
        </x:is>
      </x:c>
      <x:c r="F13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8" ht="45" customHeight="1">
      <x:c r="A138" s="4" t="str">
        <x:v>proposal.container.marked_flask</x:v>
      </x:c>
      <x:c r="B138" s="4" t="str">
        <x:f>IFERROR(INDEX(Items!$B$6:$B$1005,MATCH(A138,Items!$A$6:$A$1005,0)),"MISSING ITEM ID")</x:f>
        <x:v>Marked glass flask</x:v>
      </x:c>
      <x:c r="C138" s="4" t="str">
        <x:f>IFERROR(INDEX(Items!$D$6:$D$1005,MATCH(A138,Items!$A$6:$A$1005,0)),"MISSING ITEM ID")</x:f>
        <x:v>Salvage</x:v>
      </x:c>
      <x:c r="D138" s="4" t="str">
        <x:v>Primary</x:v>
      </x:c>
      <x:c r="E138" s="4" t="inlineStr">
        <x:is>
          <x:t xml:space="preserve">Salvage reuse</x:t>
        </x:is>
      </x:c>
      <x:c r="F13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9" ht="45" customHeight="1">
      <x:c r="A139" s="4" t="str">
        <x:v>proposal.container.marked_flask</x:v>
      </x:c>
      <x:c r="B139" s="4" t="str">
        <x:f>IFERROR(INDEX(Items!$B$6:$B$1005,MATCH(A139,Items!$A$6:$A$1005,0)),"MISSING ITEM ID")</x:f>
        <x:v>Marked glass flask</x:v>
      </x:c>
      <x:c r="C139" s="4" t="str">
        <x:f>IFERROR(INDEX(Items!$D$6:$D$1005,MATCH(A139,Items!$A$6:$A$1005,0)),"MISSING ITEM ID")</x:f>
        <x:v>Salvage</x:v>
      </x:c>
      <x:c r="D139" s="4" t="str">
        <x:v>Secondary</x:v>
      </x:c>
      <x:c r="E139" s="4" t="inlineStr">
        <x:is>
          <x:t xml:space="preserve">Salvage reuse</x:t>
        </x:is>
      </x:c>
      <x:c r="F13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0" ht="45" customHeight="1">
      <x:c r="A140" s="4" t="str">
        <x:v>proposal.container.shell_cage</x:v>
      </x:c>
      <x:c r="B140" s="4" t="str">
        <x:f>IFERROR(INDEX(Items!$B$6:$B$1005,MATCH(A140,Items!$A$6:$A$1005,0)),"MISSING ITEM ID")</x:f>
        <x:v>Shell-caged glass flask</x:v>
      </x:c>
      <x:c r="C140" s="4" t="str">
        <x:f>IFERROR(INDEX(Items!$D$6:$D$1005,MATCH(A140,Items!$A$6:$A$1005,0)),"MISSING ITEM ID")</x:f>
        <x:v>Salvage</x:v>
      </x:c>
      <x:c r="D140" s="4" t="str">
        <x:v>Primary</x:v>
      </x:c>
      <x:c r="E140" s="4" t="inlineStr">
        <x:is>
          <x:t xml:space="preserve">Salvage reuse</x:t>
        </x:is>
      </x:c>
      <x:c r="F14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1" ht="45" customHeight="1">
      <x:c r="A141" s="4" t="str">
        <x:v>proposal.container.lined_canister</x:v>
      </x:c>
      <x:c r="B141" s="4" t="str">
        <x:f>IFERROR(INDEX(Items!$B$6:$B$1005,MATCH(A141,Items!$A$6:$A$1005,0)),"MISSING ITEM ID")</x:f>
        <x:v>Glass-lined haul canister</x:v>
      </x:c>
      <x:c r="C141" s="4" t="str">
        <x:f>IFERROR(INDEX(Items!$D$6:$D$1005,MATCH(A141,Items!$A$6:$A$1005,0)),"MISSING ITEM ID")</x:f>
        <x:v>Salvage</x:v>
      </x:c>
      <x:c r="D141" s="4" t="str">
        <x:v>Primary</x:v>
      </x:c>
      <x:c r="E141" s="4" t="inlineStr">
        <x:is>
          <x:t xml:space="preserve">Salvage reuse</x:t>
        </x:is>
      </x:c>
      <x:c r="F14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2" ht="45" customHeight="1">
      <x:c r="A142" s="4" t="str">
        <x:v>proposal.container.ceramic_jar</x:v>
      </x:c>
      <x:c r="B142" s="4" t="str">
        <x:f>IFERROR(INDEX(Items!$B$6:$B$1005,MATCH(A142,Items!$A$6:$A$1005,0)),"MISSING ITEM ID")</x:f>
        <x:v>Glazed ceramic reagent jar</x:v>
      </x:c>
      <x:c r="C142" s="4" t="str">
        <x:f>IFERROR(INDEX(Items!$D$6:$D$1005,MATCH(A142,Items!$A$6:$A$1005,0)),"MISSING ITEM ID")</x:f>
        <x:v>Salvage</x:v>
      </x:c>
      <x:c r="D142" s="4" t="str">
        <x:v>Primary</x:v>
      </x:c>
      <x:c r="E142" s="4" t="inlineStr">
        <x:is>
          <x:t xml:space="preserve">Salvage reuse</x:t>
        </x:is>
      </x:c>
      <x:c r="F14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3" ht="45" customHeight="1">
      <x:c r="A143" s="4" t="str">
        <x:v>proposal.container.bulk_ichor</x:v>
      </x:c>
      <x:c r="B143" s="4" t="str">
        <x:f>IFERROR(INDEX(Items!$B$6:$B$1005,MATCH(A143,Items!$A$6:$A$1005,0)),"MISSING ITEM ID")</x:f>
        <x:v>Bulk ichor vessel</x:v>
      </x:c>
      <x:c r="C143" s="4" t="str">
        <x:f>IFERROR(INDEX(Items!$D$6:$D$1005,MATCH(A143,Items!$A$6:$A$1005,0)),"MISSING ITEM ID")</x:f>
        <x:v>Tools</x:v>
      </x:c>
      <x:c r="D143" s="4" t="str">
        <x:v>Primary</x:v>
      </x:c>
      <x:c r="E143" s="4" t="str">
        <x:f>IFERROR(INDEX(Items!$AA$6:$AA$1005,MATCH(A143,Items!$A$6:$A$1005,0)),"MISSING ITEM ID")</x:f>
        <x:v>Liquid and bulk containment</x:v>
      </x:c>
      <x:c r="F143" s="4" t="str">
        <x:v>Current item description. Catalog intent, not implemented actions.</x:v>
      </x:c>
    </x:row>
    <x:row r="144" ht="45" customHeight="1">
      <x:c r="A144" s="4"/>
      <x:c r="B144" s="4"/>
      <x:c r="C144" s="4"/>
      <x:c r="D144" s="4"/>
      <x:c r="E144" s="4"/>
      <x:c r="F144" s="4"/>
    </x:row>
    <x:row r="145" ht="45" customHeight="1">
      <x:c r="A145" s="4" t="str">
        <x:v>proposal.container.sealed_box</x:v>
      </x:c>
      <x:c r="B145" s="4" t="str">
        <x:f>IFERROR(INDEX(Items!$B$6:$B$1005,MATCH(A145,Items!$A$6:$A$1005,0)),"MISSING ITEM ID")</x:f>
        <x:v>Sealed cargo box</x:v>
      </x:c>
      <x:c r="C145" s="4" t="str">
        <x:f>IFERROR(INDEX(Items!$D$6:$D$1005,MATCH(A145,Items!$A$6:$A$1005,0)),"MISSING ITEM ID")</x:f>
        <x:v>Salvage</x:v>
      </x:c>
      <x:c r="D145" s="4" t="str">
        <x:v>Primary</x:v>
      </x:c>
      <x:c r="E145" s="4" t="inlineStr">
        <x:is>
          <x:t xml:space="preserve">Salvage reuse</x:t>
        </x:is>
      </x:c>
      <x:c r="F14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6" ht="45" customHeight="1">
      <x:c r="A146" s="4" t="str">
        <x:v>proposal.container.field_chest</x:v>
      </x:c>
      <x:c r="B146" s="4" t="str">
        <x:f>IFERROR(INDEX(Items!$B$6:$B$1005,MATCH(A146,Items!$A$6:$A$1005,0)),"MISSING ITEM ID")</x:f>
        <x:v>Locking field chest</x:v>
      </x:c>
      <x:c r="C146" s="4" t="str">
        <x:f>IFERROR(INDEX(Items!$D$6:$D$1005,MATCH(A146,Items!$A$6:$A$1005,0)),"MISSING ITEM ID")</x:f>
        <x:v>Salvage</x:v>
      </x:c>
      <x:c r="D146" s="4" t="str">
        <x:v>Primary</x:v>
      </x:c>
      <x:c r="E146" s="4" t="str">
        <x:f>IFERROR(INDEX(Items!$AA$6:$AA$1005,MATCH(A146,Items!$A$6:$A$1005,0)),"MISSING ITEM ID")</x:f>
        <x:v>Cargo organization</x:v>
      </x:c>
      <x:c r="F146" s="4" t="str">
        <x:v>Current item description. Catalog intent, not implemented actions.</x:v>
      </x:c>
    </x:row>
    <x:row r="147" ht="45" customHeight="1">
      <x:c r="A147" s="4"/>
      <x:c r="B147" s="4"/>
      <x:c r="C147" s="4"/>
      <x:c r="D147" s="4"/>
      <x:c r="E147" s="4"/>
      <x:c r="F147" s="4"/>
    </x:row>
    <x:row r="148" ht="45" customHeight="1">
      <x:c r="A148" s="4" t="str">
        <x:v>proposal.container.draw_tube</x:v>
      </x:c>
      <x:c r="B148" s="4" t="str">
        <x:f>IFERROR(INDEX(Items!$B$6:$B$1005,MATCH(A148,Items!$A$6:$A$1005,0)),"MISSING ITEM ID")</x:f>
        <x:v>Glass draw tube</x:v>
      </x:c>
      <x:c r="C148" s="4" t="str">
        <x:f>IFERROR(INDEX(Items!$D$6:$D$1005,MATCH(A148,Items!$A$6:$A$1005,0)),"MISSING ITEM ID")</x:f>
        <x:v>Salvage</x:v>
      </x:c>
      <x:c r="D148" s="4" t="str">
        <x:v>Primary</x:v>
      </x:c>
      <x:c r="E148" s="4" t="inlineStr">
        <x:is>
          <x:t xml:space="preserve">Salvage reuse</x:t>
        </x:is>
      </x:c>
      <x:c r="F14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9" ht="45" customHeight="1">
      <x:c r="A149" s="4" t="str">
        <x:v>proposal.container.glass_stopper</x:v>
      </x:c>
      <x:c r="B149" s="4" t="str">
        <x:f>IFERROR(INDEX(Items!$B$6:$B$1005,MATCH(A149,Items!$A$6:$A$1005,0)),"MISSING ITEM ID")</x:f>
        <x:v>Matched glass stopper</x:v>
      </x:c>
      <x:c r="C149" s="4" t="str">
        <x:f>IFERROR(INDEX(Items!$D$6:$D$1005,MATCH(A149,Items!$A$6:$A$1005,0)),"MISSING ITEM ID")</x:f>
        <x:v>Salvage</x:v>
      </x:c>
      <x:c r="D149" s="4" t="str">
        <x:v>Primary</x:v>
      </x:c>
      <x:c r="E149" s="4" t="inlineStr">
        <x:is>
          <x:t xml:space="preserve">Salvage reuse</x:t>
        </x:is>
      </x:c>
      <x:c r="F14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50" ht="45" customHeight="1">
      <x:c r="A150" s="4"/>
      <x:c r="B150" s="4"/>
      <x:c r="C150" s="4"/>
      <x:c r="D150" s="4"/>
      <x:c r="E150" s="4"/>
      <x:c r="F150" s="4"/>
    </x:row>
    <x:row r="151" ht="45" customHeight="1">
      <x:c r="A151" s="4"/>
      <x:c r="B151" s="4"/>
      <x:c r="C151" s="4"/>
      <x:c r="D151" s="4"/>
      <x:c r="E151" s="4"/>
      <x:c r="F151" s="4"/>
    </x:row>
    <x:row r="152" ht="45" customHeight="1">
      <x:c r="A152" s="4"/>
      <x:c r="B152" s="4"/>
      <x:c r="C152" s="4"/>
      <x:c r="D152" s="4"/>
      <x:c r="E152" s="4"/>
      <x:c r="F152" s="4"/>
    </x:row>
    <x:row r="153" ht="45" customHeight="1">
      <x:c r="A153" s="4"/>
      <x:c r="B153" s="4"/>
      <x:c r="C153" s="4"/>
      <x:c r="D153" s="4"/>
      <x:c r="E153" s="4"/>
      <x:c r="F153" s="4"/>
    </x:row>
    <x:row r="154" ht="45" customHeight="1">
      <x:c r="A154" s="4" t="str">
        <x:v>proposal.gear.chest_armor</x:v>
      </x:c>
      <x:c r="B154" s="4" t="str">
        <x:f>IFERROR(INDEX(Items!$B$6:$B$1005,MATCH(A154,Items!$A$6:$A$1005,0)),"MISSING ITEM ID")</x:f>
        <x:v>Iron chestplate</x:v>
      </x:c>
      <x:c r="C154" s="4" t="str">
        <x:f>IFERROR(INDEX(Items!$D$6:$D$1005,MATCH(A154,Items!$A$6:$A$1005,0)),"MISSING ITEM ID")</x:f>
        <x:v>Armor</x:v>
      </x:c>
      <x:c r="D154" s="4" t="str">
        <x:v>Primary</x:v>
      </x:c>
      <x:c r="E154" s="4" t="str">
        <x:f>IFERROR(INDEX(Items!$AA$6:$AA$1005,MATCH(A154,Items!$A$6:$A$1005,0)),"MISSING ITEM ID")</x:f>
        <x:v>Protection</x:v>
      </x:c>
      <x:c r="F154" s="4" t="str">
        <x:v>Current item description. Catalog intent, not implemented actions.</x:v>
      </x:c>
    </x:row>
    <x:row r="155" ht="45" customHeight="1">
      <x:c r="A155" s="4" t="str">
        <x:v>proposal.gear.helmet</x:v>
      </x:c>
      <x:c r="B155" s="4" t="str">
        <x:f>IFERROR(INDEX(Items!$B$6:$B$1005,MATCH(A155,Items!$A$6:$A$1005,0)),"MISSING ITEM ID")</x:f>
        <x:v>Iron helmet</x:v>
      </x:c>
      <x:c r="C155" s="4" t="str">
        <x:f>IFERROR(INDEX(Items!$D$6:$D$1005,MATCH(A155,Items!$A$6:$A$1005,0)),"MISSING ITEM ID")</x:f>
        <x:v>Armor</x:v>
      </x:c>
      <x:c r="D155" s="4" t="str">
        <x:v>Primary</x:v>
      </x:c>
      <x:c r="E155" s="4" t="str">
        <x:f>IFERROR(INDEX(Items!$AA$6:$AA$1005,MATCH(A155,Items!$A$6:$A$1005,0)),"MISSING ITEM ID")</x:f>
        <x:v>Protection</x:v>
      </x:c>
      <x:c r="F155" s="4" t="str">
        <x:v>Current item description. Catalog intent, not implemented actions.</x:v>
      </x:c>
    </x:row>
    <x:row r="156" ht="45" customHeight="1">
      <x:c r="A156" s="4" t="str">
        <x:v>proposal.gear.leg_armor</x:v>
      </x:c>
      <x:c r="B156" s="4" t="str">
        <x:f>IFERROR(INDEX(Items!$B$6:$B$1005,MATCH(A156,Items!$A$6:$A$1005,0)),"MISSING ITEM ID")</x:f>
        <x:v>Iron leg guards</x:v>
      </x:c>
      <x:c r="C156" s="4" t="str">
        <x:f>IFERROR(INDEX(Items!$D$6:$D$1005,MATCH(A156,Items!$A$6:$A$1005,0)),"MISSING ITEM ID")</x:f>
        <x:v>Armor</x:v>
      </x:c>
      <x:c r="D156" s="4" t="str">
        <x:v>Primary</x:v>
      </x:c>
      <x:c r="E156" s="4" t="str">
        <x:f>IFERROR(INDEX(Items!$AA$6:$AA$1005,MATCH(A156,Items!$A$6:$A$1005,0)),"MISSING ITEM ID")</x:f>
        <x:v>Protection</x:v>
      </x:c>
      <x:c r="F156" s="4" t="str">
        <x:v>Current item description. Catalog intent, not implemented actions.</x:v>
      </x:c>
    </x:row>
    <x:row r="157" ht="45" customHeight="1">
      <x:c r="A157" s="4"/>
      <x:c r="B157" s="4"/>
      <x:c r="C157" s="4"/>
      <x:c r="D157" s="4"/>
      <x:c r="E157" s="4"/>
      <x:c r="F157" s="4"/>
    </x:row>
    <x:row r="158" ht="45" customHeight="1">
      <x:c r="A158" s="4"/>
      <x:c r="B158" s="4"/>
      <x:c r="C158" s="4"/>
      <x:c r="D158" s="4"/>
      <x:c r="E158" s="4"/>
      <x:c r="F158" s="4"/>
    </x:row>
    <x:row r="159" ht="45" customHeight="1">
      <x:c r="A159" s="4"/>
      <x:c r="B159" s="4"/>
      <x:c r="C159" s="4"/>
      <x:c r="D159" s="4"/>
      <x:c r="E159" s="4"/>
      <x:c r="F159" s="4"/>
    </x:row>
    <x:row r="160" ht="45" customHeight="1">
      <x:c r="A160" s="4" t="str">
        <x:v>proposal.gear.backpack</x:v>
      </x:c>
      <x:c r="B160" s="4" t="str">
        <x:f>IFERROR(INDEX(Items!$B$6:$B$1005,MATCH(A160,Items!$A$6:$A$1005,0)),"MISSING ITEM ID")</x:f>
        <x:v>Backpack</x:v>
      </x:c>
      <x:c r="C160" s="4" t="str">
        <x:f>IFERROR(INDEX(Items!$D$6:$D$1005,MATCH(A160,Items!$A$6:$A$1005,0)),"MISSING ITEM ID")</x:f>
        <x:v>Tools</x:v>
      </x:c>
      <x:c r="D160" s="4" t="str">
        <x:v>Primary</x:v>
      </x:c>
      <x:c r="E160" s="4" t="str">
        <x:f>IFERROR(INDEX(Items!$AA$6:$AA$1005,MATCH(A160,Items!$A$6:$A$1005,0)),"MISSING ITEM ID")</x:f>
        <x:v>Cargo organization</x:v>
      </x:c>
      <x:c r="F160" s="4" t="str">
        <x:v>Current item description. Catalog intent, not implemented actions.</x:v>
      </x:c>
    </x:row>
    <x:row r="161" ht="45" customHeight="1">
      <x:c r="A161" s="4" t="str">
        <x:v>proposal.gear.special_plates</x:v>
      </x:c>
      <x:c r="B161" s="4" t="str">
        <x:f>IFERROR(INDEX(Items!$B$6:$B$1005,MATCH(A161,Items!$A$6:$A$1005,0)),"MISSING ITEM ID")</x:f>
        <x:v>Specialized armor plates</x:v>
      </x:c>
      <x:c r="C161" s="4" t="str">
        <x:f>IFERROR(INDEX(Items!$D$6:$D$1005,MATCH(A161,Items!$A$6:$A$1005,0)),"MISSING ITEM ID")</x:f>
        <x:v>Armor</x:v>
      </x:c>
      <x:c r="D161" s="4" t="str">
        <x:v>Primary</x:v>
      </x:c>
      <x:c r="E161" s="4" t="str">
        <x:f>IFERROR(INDEX(Items!$AA$6:$AA$1005,MATCH(A161,Items!$A$6:$A$1005,0)),"MISSING ITEM ID")</x:f>
        <x:v>Protection</x:v>
      </x:c>
      <x:c r="F161" s="4" t="str">
        <x:v>Current item description. Catalog intent, not implemented actions.</x:v>
      </x:c>
    </x:row>
    <x:row r="162" ht="45" customHeight="1">
      <x:c r="A162" s="4"/>
      <x:c r="B162" s="4"/>
      <x:c r="C162" s="4"/>
      <x:c r="D162" s="4"/>
      <x:c r="E162" s="4"/>
      <x:c r="F162" s="4"/>
    </x:row>
    <x:row r="163" ht="45" customHeight="1">
      <x:c r="A163" s="4" t="str">
        <x:v>proposal.weapon.caltrops</x:v>
      </x:c>
      <x:c r="B163" s="4" t="str">
        <x:f>IFERROR(INDEX(Items!$B$6:$B$1005,MATCH(A163,Items!$A$6:$A$1005,0)),"MISSING ITEM ID")</x:f>
        <x:v>Caltrops</x:v>
      </x:c>
      <x:c r="C163" s="4" t="str">
        <x:f>IFERROR(INDEX(Items!$D$6:$D$1005,MATCH(A163,Items!$A$6:$A$1005,0)),"MISSING ITEM ID")</x:f>
        <x:v>Weapons</x:v>
      </x:c>
      <x:c r="D163" s="4" t="str">
        <x:v>Primary</x:v>
      </x:c>
      <x:c r="E163" s="4" t="str">
        <x:f>IFERROR(INDEX(Items!$AA$6:$AA$1005,MATCH(A163,Items!$A$6:$A$1005,0)),"MISSING ITEM ID")</x:f>
        <x:v>Area denial</x:v>
      </x:c>
      <x:c r="F163" s="4" t="str">
        <x:v>Current item description. Catalog intent, not implemented actions.</x:v>
      </x:c>
    </x:row>
    <x:row r="164" ht="45" customHeight="1">
      <x:c r="A164" s="4" t="str">
        <x:v>proposal.ancient.carbon_composite</x:v>
      </x:c>
      <x:c r="B164" s="4" t="str">
        <x:f>IFERROR(INDEX(Items!$B$6:$B$1005,MATCH(A164,Items!$A$6:$A$1005,0)),"MISSING ITEM ID")</x:f>
        <x:v>Ancient carbon composite</x:v>
      </x:c>
      <x:c r="C164" s="4" t="str">
        <x:f>IFERROR(INDEX(Items!$D$6:$D$1005,MATCH(A164,Items!$A$6:$A$1005,0)),"MISSING ITEM ID")</x:f>
        <x:v>Ancient salvage</x:v>
      </x:c>
      <x:c r="D164" s="4" t="str">
        <x:v>Primary</x:v>
      </x:c>
      <x:c r="E164" s="4" t="str">
        <x:f>IFERROR(INDEX(Items!$AA$6:$AA$1005,MATCH(A164,Items!$A$6:$A$1005,0)),"MISSING ITEM ID")</x:f>
        <x:v>Use unresolved</x:v>
      </x:c>
      <x:c r="F164" s="4" t="str">
        <x:v>Current item description. Catalog intent, not implemented actions.</x:v>
      </x:c>
    </x:row>
    <x:row r="165" ht="45" customHeight="1">
      <x:c r="A165" s="4" t="str">
        <x:v>proposal.ancient.nanocarbon</x:v>
      </x:c>
      <x:c r="B165" s="4" t="str">
        <x:f>IFERROR(INDEX(Items!$B$6:$B$1005,MATCH(A165,Items!$A$6:$A$1005,0)),"MISSING ITEM ID")</x:f>
        <x:v>Ancient nanocarbon material</x:v>
      </x:c>
      <x:c r="C165" s="4" t="str">
        <x:f>IFERROR(INDEX(Items!$D$6:$D$1005,MATCH(A165,Items!$A$6:$A$1005,0)),"MISSING ITEM ID")</x:f>
        <x:v>Ancient salvage</x:v>
      </x:c>
      <x:c r="D165" s="4" t="str">
        <x:v>Primary</x:v>
      </x:c>
      <x:c r="E165" s="4" t="str">
        <x:f>IFERROR(INDEX(Items!$AA$6:$AA$1005,MATCH(A165,Items!$A$6:$A$1005,0)),"MISSING ITEM ID")</x:f>
        <x:v>Use unresolved</x:v>
      </x:c>
      <x:c r="F165" s="4" t="str">
        <x:v>Current item description. Catalog intent, not implemented actions.</x:v>
      </x:c>
    </x:row>
    <x:row r="166" ht="45" customHeight="1">
      <x:c r="A166" s="4" t="str">
        <x:v>proposal.ancient.plasteel</x:v>
      </x:c>
      <x:c r="B166" s="4" t="str">
        <x:f>IFERROR(INDEX(Items!$B$6:$B$1005,MATCH(A166,Items!$A$6:$A$1005,0)),"MISSING ITEM ID")</x:f>
        <x:v>Ancient plasteel material</x:v>
      </x:c>
      <x:c r="C166" s="4" t="str">
        <x:f>IFERROR(INDEX(Items!$D$6:$D$1005,MATCH(A166,Items!$A$6:$A$1005,0)),"MISSING ITEM ID")</x:f>
        <x:v>Ancient salvage</x:v>
      </x:c>
      <x:c r="D166" s="4" t="str">
        <x:v>Primary</x:v>
      </x:c>
      <x:c r="E166" s="4" t="str">
        <x:f>IFERROR(INDEX(Items!$AA$6:$AA$1005,MATCH(A166,Items!$A$6:$A$1005,0)),"MISSING ITEM ID")</x:f>
        <x:v>Use unresolved</x:v>
      </x:c>
      <x:c r="F166" s="4" t="str">
        <x:v>Current item description. Catalog intent, not implemented actions.</x:v>
      </x:c>
    </x:row>
    <x:row r="167" ht="45" customHeight="1">
      <x:c r="A167" s="4" t="str">
        <x:v>proposal.fashion.special_spectacles</x:v>
      </x:c>
      <x:c r="B167" s="4" t="str">
        <x:f>IFERROR(INDEX(Items!$B$6:$B$1005,MATCH(A167,Items!$A$6:$A$1005,0)),"MISSING ITEM ID")</x:f>
        <x:v>Specialized spectacles</x:v>
      </x:c>
      <x:c r="C167" s="4" t="str">
        <x:f>IFERROR(INDEX(Items!$D$6:$D$1005,MATCH(A167,Items!$A$6:$A$1005,0)),"MISSING ITEM ID")</x:f>
        <x:v>Salvage</x:v>
      </x:c>
      <x:c r="D167" s="4" t="str">
        <x:v>Primary</x:v>
      </x:c>
      <x:c r="E167" s="4" t="str">
        <x:f>IFERROR(INDEX(Items!$AA$6:$AA$1005,MATCH(A167,Items!$A$6:$A$1005,0)),"MISSING ITEM ID")</x:f>
        <x:v>Vision</x:v>
      </x:c>
      <x:c r="F167" s="4" t="str">
        <x:v>Current item description. Catalog intent, not implemented actions.</x:v>
      </x:c>
    </x:row>
    <x:row r="168" ht="45" customHeight="1">
      <x:c r="A168" s="4" t="str">
        <x:v>proposal.fashion.eyeglasses</x:v>
      </x:c>
      <x:c r="B168" s="4" t="str">
        <x:f>IFERROR(INDEX(Items!$B$6:$B$1005,MATCH(A168,Items!$A$6:$A$1005,0)),"MISSING ITEM ID")</x:f>
        <x:v>Eyeglasses</x:v>
      </x:c>
      <x:c r="C168" s="4" t="str">
        <x:f>IFERROR(INDEX(Items!$D$6:$D$1005,MATCH(A168,Items!$A$6:$A$1005,0)),"MISSING ITEM ID")</x:f>
        <x:v>Salvage</x:v>
      </x:c>
      <x:c r="D168" s="4" t="str">
        <x:v>Primary</x:v>
      </x:c>
      <x:c r="E168" s="4" t="str">
        <x:f>IFERROR(INDEX(Items!$AA$6:$AA$1005,MATCH(A168,Items!$A$6:$A$1005,0)),"MISSING ITEM ID")</x:f>
        <x:v>Vision</x:v>
      </x:c>
      <x:c r="F168" s="4" t="str">
        <x:v>Current item description. Catalog intent, not implemented actions.</x:v>
      </x:c>
    </x:row>
    <x:row r="169" ht="45" customHeight="1">
      <x:c r="A169" s="4"/>
      <x:c r="B169" s="4"/>
      <x:c r="C169" s="4"/>
      <x:c r="D169" s="4"/>
      <x:c r="E169" s="4"/>
      <x:c r="F169" s="4"/>
    </x:row>
    <x:row r="170" ht="45" customHeight="1">
      <x:c r="A170" s="4"/>
      <x:c r="B170" s="4"/>
      <x:c r="C170" s="4"/>
      <x:c r="D170" s="4"/>
      <x:c r="E170" s="4"/>
      <x:c r="F170" s="4"/>
    </x:row>
    <x:row r="171" ht="45" customHeight="1">
      <x:c r="A171" s="4" t="str">
        <x:v>proposal.fashion.husk_garment</x:v>
      </x:c>
      <x:c r="B171" s="4" t="str">
        <x:f>IFERROR(INDEX(Items!$B$6:$B$1005,MATCH(A171,Items!$A$6:$A$1005,0)),"MISSING ITEM ID")</x:f>
        <x:v>Pleated husk-fiber dress coat</x:v>
      </x:c>
      <x:c r="C171" s="4" t="str">
        <x:f>IFERROR(INDEX(Items!$D$6:$D$1005,MATCH(A171,Items!$A$6:$A$1005,0)),"MISSING ITEM ID")</x:f>
        <x:v>Clothing</x:v>
      </x:c>
      <x:c r="D171" s="4" t="str">
        <x:v>Primary</x:v>
      </x:c>
      <x:c r="E171" s="4" t="str">
        <x:f>IFERROR(INDEX(Items!$AA$6:$AA$1005,MATCH(A171,Items!$A$6:$A$1005,0)),"MISSING ITEM ID")</x:f>
        <x:v>Fashion</x:v>
      </x:c>
      <x:c r="F171" s="4" t="str">
        <x:v>Current item description. Catalog intent, not implemented actions.</x:v>
      </x:c>
    </x:row>
    <x:row r="172" ht="45" customHeight="1">
      <x:c r="A172" s="4" t="str">
        <x:v>proposal.fashion.fur_garment</x:v>
      </x:c>
      <x:c r="B172" s="4" t="str">
        <x:f>IFERROR(INDEX(Items!$B$6:$B$1005,MATCH(A172,Items!$A$6:$A$1005,0)),"MISSING ITEM ID")</x:f>
        <x:v>Elaborate fur wear</x:v>
      </x:c>
      <x:c r="C172" s="4" t="str">
        <x:f>IFERROR(INDEX(Items!$D$6:$D$1005,MATCH(A172,Items!$A$6:$A$1005,0)),"MISSING ITEM ID")</x:f>
        <x:v>Clothing</x:v>
      </x:c>
      <x:c r="D172" s="4" t="str">
        <x:v>Primary</x:v>
      </x:c>
      <x:c r="E172" s="4" t="str">
        <x:f>IFERROR(INDEX(Items!$AA$6:$AA$1005,MATCH(A172,Items!$A$6:$A$1005,0)),"MISSING ITEM ID")</x:f>
        <x:v>Fashion</x:v>
      </x:c>
      <x:c r="F172" s="4" t="str">
        <x:v>Current item description. Catalog intent, not implemented actions.</x:v>
      </x:c>
    </x:row>
    <x:row r="173" ht="45" customHeight="1">
      <x:c r="A173" s="4" t="str">
        <x:v>proposal.fashion.hide_garment</x:v>
      </x:c>
      <x:c r="B173" s="4" t="str">
        <x:f>IFERROR(INDEX(Items!$B$6:$B$1005,MATCH(A173,Items!$A$6:$A$1005,0)),"MISSING ITEM ID")</x:f>
        <x:v>Elaborate hide wear</x:v>
      </x:c>
      <x:c r="C173" s="4" t="str">
        <x:f>IFERROR(INDEX(Items!$D$6:$D$1005,MATCH(A173,Items!$A$6:$A$1005,0)),"MISSING ITEM ID")</x:f>
        <x:v>Clothing</x:v>
      </x:c>
      <x:c r="D173" s="4" t="str">
        <x:v>Primary</x:v>
      </x:c>
      <x:c r="E173" s="4" t="str">
        <x:f>IFERROR(INDEX(Items!$AA$6:$AA$1005,MATCH(A173,Items!$A$6:$A$1005,0)),"MISSING ITEM ID")</x:f>
        <x:v>Fashion</x:v>
      </x:c>
      <x:c r="F173" s="4" t="str">
        <x:v>Current item description. Catalog intent, not implemented actions.</x:v>
      </x:c>
    </x:row>
    <x:row r="174" ht="45" customHeight="1">
      <x:c r="A174" s="4" t="str">
        <x:v>proposal.gem.clear_quartz</x:v>
      </x:c>
      <x:c r="B174" s="4" t="str">
        <x:f>IFERROR(INDEX(Items!$B$6:$B$1005,MATCH(A174,Items!$A$6:$A$1005,0)),"MISSING ITEM ID")</x:f>
        <x:v>Clear quartz</x:v>
      </x:c>
      <x:c r="C174" s="4" t="str">
        <x:f>IFERROR(INDEX(Items!$D$6:$D$1005,MATCH(A174,Items!$A$6:$A$1005,0)),"MISSING ITEM ID")</x:f>
        <x:v>Mineral resources</x:v>
      </x:c>
      <x:c r="D174" s="4" t="str">
        <x:v>Primary</x:v>
      </x:c>
      <x:c r="E174" s="4" t="str">
        <x:f>IFERROR(INDEX(Items!$AA$6:$AA$1005,MATCH(A174,Items!$A$6:$A$1005,0)),"MISSING ITEM ID")</x:f>
        <x:v>Decoration</x:v>
      </x:c>
      <x:c r="F174" s="4" t="str">
        <x:v>Current item description. Catalog intent, not implemented actions.</x:v>
      </x:c>
    </x:row>
    <x:row r="175" ht="45" customHeight="1">
      <x:c r="A175" s="4" t="str">
        <x:v>proposal.gem.smoky_quartz</x:v>
      </x:c>
      <x:c r="B175" s="4" t="str">
        <x:f>IFERROR(INDEX(Items!$B$6:$B$1005,MATCH(A175,Items!$A$6:$A$1005,0)),"MISSING ITEM ID")</x:f>
        <x:v>Smoky quartz</x:v>
      </x:c>
      <x:c r="C175" s="4" t="str">
        <x:f>IFERROR(INDEX(Items!$D$6:$D$1005,MATCH(A175,Items!$A$6:$A$1005,0)),"MISSING ITEM ID")</x:f>
        <x:v>Mineral resources</x:v>
      </x:c>
      <x:c r="D175" s="4" t="str">
        <x:v>Primary</x:v>
      </x:c>
      <x:c r="E175" s="4" t="str">
        <x:f>IFERROR(INDEX(Items!$AA$6:$AA$1005,MATCH(A175,Items!$A$6:$A$1005,0)),"MISSING ITEM ID")</x:f>
        <x:v>Decoration</x:v>
      </x:c>
      <x:c r="F175" s="4" t="str">
        <x:v>Current item description. Catalog intent, not implemented actions.</x:v>
      </x:c>
    </x:row>
    <x:row r="176" ht="45" customHeight="1">
      <x:c r="A176" s="4" t="str">
        <x:v>proposal.gem.garnet</x:v>
      </x:c>
      <x:c r="B176" s="4" t="str">
        <x:f>IFERROR(INDEX(Items!$B$6:$B$1005,MATCH(A176,Items!$A$6:$A$1005,0)),"MISSING ITEM ID")</x:f>
        <x:v>Garnet</x:v>
      </x:c>
      <x:c r="C176" s="4" t="str">
        <x:f>IFERROR(INDEX(Items!$D$6:$D$1005,MATCH(A176,Items!$A$6:$A$1005,0)),"MISSING ITEM ID")</x:f>
        <x:v>Mineral resources</x:v>
      </x:c>
      <x:c r="D176" s="4" t="str">
        <x:v>Primary</x:v>
      </x:c>
      <x:c r="E176" s="4" t="str">
        <x:f>IFERROR(INDEX(Items!$AA$6:$AA$1005,MATCH(A176,Items!$A$6:$A$1005,0)),"MISSING ITEM ID")</x:f>
        <x:v>Decoration</x:v>
      </x:c>
      <x:c r="F176" s="4" t="str">
        <x:v>Current item description. Catalog intent, not implemented actions.</x:v>
      </x:c>
    </x:row>
    <x:row r="177" ht="45" customHeight="1">
      <x:c r="A177" s="4" t="str">
        <x:v>proposal.gem.spinel</x:v>
      </x:c>
      <x:c r="B177" s="4" t="str">
        <x:f>IFERROR(INDEX(Items!$B$6:$B$1005,MATCH(A177,Items!$A$6:$A$1005,0)),"MISSING ITEM ID")</x:f>
        <x:v>Spinel</x:v>
      </x:c>
      <x:c r="C177" s="4" t="str">
        <x:f>IFERROR(INDEX(Items!$D$6:$D$1005,MATCH(A177,Items!$A$6:$A$1005,0)),"MISSING ITEM ID")</x:f>
        <x:v>Mineral resources</x:v>
      </x:c>
      <x:c r="D177" s="4" t="str">
        <x:v>Primary</x:v>
      </x:c>
      <x:c r="E177" s="4" t="str">
        <x:f>IFERROR(INDEX(Items!$AA$6:$AA$1005,MATCH(A177,Items!$A$6:$A$1005,0)),"MISSING ITEM ID")</x:f>
        <x:v>Decoration</x:v>
      </x:c>
      <x:c r="F177" s="4" t="str">
        <x:v>Current item description. Catalog intent, not implemented actions.</x:v>
      </x:c>
    </x:row>
    <x:row r="178" ht="45" customHeight="1">
      <x:c r="A178" s="4" t="str">
        <x:v>proposal.gem.peridot</x:v>
      </x:c>
      <x:c r="B178" s="4" t="str">
        <x:f>IFERROR(INDEX(Items!$B$6:$B$1005,MATCH(A178,Items!$A$6:$A$1005,0)),"MISSING ITEM ID")</x:f>
        <x:v>Peridot</x:v>
      </x:c>
      <x:c r="C178" s="4" t="str">
        <x:f>IFERROR(INDEX(Items!$D$6:$D$1005,MATCH(A178,Items!$A$6:$A$1005,0)),"MISSING ITEM ID")</x:f>
        <x:v>Mineral resources</x:v>
      </x:c>
      <x:c r="D178" s="4" t="str">
        <x:v>Primary</x:v>
      </x:c>
      <x:c r="E178" s="4" t="str">
        <x:f>IFERROR(INDEX(Items!$AA$6:$AA$1005,MATCH(A178,Items!$A$6:$A$1005,0)),"MISSING ITEM ID")</x:f>
        <x:v>Decoration</x:v>
      </x:c>
      <x:c r="F178" s="4" t="str">
        <x:v>Current item description. Catalog intent, not implemented actions.</x:v>
      </x:c>
    </x:row>
    <x:row r="179" ht="45" customHeight="1">
      <x:c r="A179" s="4"/>
      <x:c r="B179" s="4"/>
      <x:c r="C179" s="4"/>
      <x:c r="D179" s="4"/>
      <x:c r="E179" s="4"/>
      <x:c r="F179" s="4"/>
    </x:row>
    <x:row r="180" ht="45" customHeight="1">
      <x:c r="A180" s="4" t="str">
        <x:v>proposal.gem.tourmaline</x:v>
      </x:c>
      <x:c r="B180" s="4" t="str">
        <x:f>IFERROR(INDEX(Items!$B$6:$B$1005,MATCH(A180,Items!$A$6:$A$1005,0)),"MISSING ITEM ID")</x:f>
        <x:v>Tourmaline</x:v>
      </x:c>
      <x:c r="C180" s="4" t="str">
        <x:f>IFERROR(INDEX(Items!$D$6:$D$1005,MATCH(A180,Items!$A$6:$A$1005,0)),"MISSING ITEM ID")</x:f>
        <x:v>Mineral resources</x:v>
      </x:c>
      <x:c r="D180" s="4" t="str">
        <x:v>Primary</x:v>
      </x:c>
      <x:c r="E180" s="4" t="str">
        <x:f>IFERROR(INDEX(Items!$AA$6:$AA$1005,MATCH(A180,Items!$A$6:$A$1005,0)),"MISSING ITEM ID")</x:f>
        <x:v>Decoration</x:v>
      </x:c>
      <x:c r="F180" s="4" t="str">
        <x:v>Current item description. Catalog intent, not implemented actions.</x:v>
      </x:c>
    </x:row>
    <x:row r="181" ht="45" customHeight="1">
      <x:c r="A181" s="4" t="str">
        <x:v>proposal.gem.zircon</x:v>
      </x:c>
      <x:c r="B181" s="4" t="str">
        <x:f>IFERROR(INDEX(Items!$B$6:$B$1005,MATCH(A181,Items!$A$6:$A$1005,0)),"MISSING ITEM ID")</x:f>
        <x:v>Zircon</x:v>
      </x:c>
      <x:c r="C181" s="4" t="str">
        <x:f>IFERROR(INDEX(Items!$D$6:$D$1005,MATCH(A181,Items!$A$6:$A$1005,0)),"MISSING ITEM ID")</x:f>
        <x:v>Mineral resources</x:v>
      </x:c>
      <x:c r="D181" s="4" t="str">
        <x:v>Primary</x:v>
      </x:c>
      <x:c r="E181" s="4" t="str">
        <x:f>IFERROR(INDEX(Items!$AA$6:$AA$1005,MATCH(A181,Items!$A$6:$A$1005,0)),"MISSING ITEM ID")</x:f>
        <x:v>Decoration</x:v>
      </x:c>
      <x:c r="F181" s="4" t="str">
        <x:v>Current item description. Catalog intent, not implemented actions.</x:v>
      </x:c>
    </x:row>
    <x:row r="182" ht="45" customHeight="1">
      <x:c r="A182" s="4" t="str">
        <x:v>proposal.gear.simple_wraps</x:v>
      </x:c>
      <x:c r="B182" s="4" t="str">
        <x:f>IFERROR(INDEX(Items!$B$6:$B$1005,MATCH(A182,Items!$A$6:$A$1005,0)),"MISSING ITEM ID")</x:f>
        <x:v>Everyday torso wrap</x:v>
      </x:c>
      <x:c r="C182" s="4" t="str">
        <x:f>IFERROR(INDEX(Items!$D$6:$D$1005,MATCH(A182,Items!$A$6:$A$1005,0)),"MISSING ITEM ID")</x:f>
        <x:v>Clothing</x:v>
      </x:c>
      <x:c r="D182" s="4" t="str">
        <x:v>Primary</x:v>
      </x:c>
      <x:c r="E182" s="4" t="str">
        <x:f>IFERROR(INDEX(Items!$AA$6:$AA$1005,MATCH(A182,Items!$A$6:$A$1005,0)),"MISSING ITEM ID")</x:f>
        <x:v>Clothing</x:v>
      </x:c>
      <x:c r="F182" s="4" t="str">
        <x:v>Current item description. Catalog intent, not implemented actions.</x:v>
      </x:c>
    </x:row>
    <x:row r="183" ht="45" customHeight="1">
      <x:c r="A183" s="4" t="str">
        <x:v>proposal.bio.inner_wing</x:v>
      </x:c>
      <x:c r="B183" s="4" t="str">
        <x:f>IFERROR(INDEX(Items!$B$6:$B$1005,MATCH(A183,Items!$A$6:$A$1005,0)),"MISSING ITEM ID")</x:f>
        <x:v>Delicate inner wing</x:v>
      </x:c>
      <x:c r="C183" s="4" t="str">
        <x:f>IFERROR(INDEX(Items!$D$6:$D$1005,MATCH(A183,Items!$A$6:$A$1005,0)),"MISSING ITEM ID")</x:f>
        <x:v>Biological resources</x:v>
      </x:c>
      <x:c r="D183" s="4" t="str">
        <x:v>Primary</x:v>
      </x:c>
      <x:c r="E183" s="4" t="str">
        <x:f>IFERROR(INDEX(Items!$AA$6:$AA$1005,MATCH(A183,Items!$A$6:$A$1005,0)),"MISSING ITEM ID")</x:f>
        <x:v>Sun shading</x:v>
      </x:c>
      <x:c r="F183" s="4" t="str">
        <x:v>Current item description. Catalog intent, not implemented actions.</x:v>
      </x:c>
    </x:row>
    <x:row r="184" ht="45" customHeight="1">
      <x:c r="A184" s="4" t="str">
        <x:v>proposal.bio.wing_panel</x:v>
      </x:c>
      <x:c r="B184" s="4" t="str">
        <x:f>IFERROR(INDEX(Items!$B$6:$B$1005,MATCH(A184,Items!$A$6:$A$1005,0)),"MISSING ITEM ID")</x:f>
        <x:v>Prepared wing shade panel</x:v>
      </x:c>
      <x:c r="C184" s="4" t="str">
        <x:f>IFERROR(INDEX(Items!$D$6:$D$1005,MATCH(A184,Items!$A$6:$A$1005,0)),"MISSING ITEM ID")</x:f>
        <x:v>Salvage</x:v>
      </x:c>
      <x:c r="D184" s="4" t="str">
        <x:v>Primary</x:v>
      </x:c>
      <x:c r="E184" s="4" t="str">
        <x:f>IFERROR(INDEX(Items!$AA$6:$AA$1005,MATCH(A184,Items!$A$6:$A$1005,0)),"MISSING ITEM ID")</x:f>
        <x:v>Sun shading</x:v>
      </x:c>
      <x:c r="F184" s="4" t="str">
        <x:v>Current item description. Catalog intent, not implemented actions.</x:v>
      </x:c>
    </x:row>
    <x:row r="185" ht="45" customHeight="1">
      <x:c r="A185" s="4" t="str">
        <x:v>proposal.canister.body_blank</x:v>
      </x:c>
      <x:c r="B185" s="4" t="str">
        <x:f>IFERROR(INDEX(Items!$B$6:$B$1005,MATCH(A185,Items!$A$6:$A$1005,0)),"MISSING ITEM ID")</x:f>
        <x:v>Canister body blank</x:v>
      </x:c>
      <x:c r="C185" s="4" t="str">
        <x:f>IFERROR(INDEX(Items!$D$6:$D$1005,MATCH(A185,Items!$A$6:$A$1005,0)),"MISSING ITEM ID")</x:f>
        <x:v>Crafting components</x:v>
      </x:c>
      <x:c r="D185" s="4" t="str">
        <x:v>Primary</x:v>
      </x:c>
      <x:c r="E185" s="4" t="str">
        <x:f>IFERROR(INDEX(Items!$AA$6:$AA$1005,MATCH(A185,Items!$A$6:$A$1005,0)),"MISSING ITEM ID")</x:f>
        <x:v>Liquid and bulk containment</x:v>
      </x:c>
      <x:c r="F185" s="4" t="str">
        <x:v>Current item description. Catalog intent, not implemented actions.</x:v>
      </x:c>
    </x:row>
    <x:row r="186" ht="45" customHeight="1">
      <x:c r="A186" s="4" t="str">
        <x:v>proposal.canister.seal_ring</x:v>
      </x:c>
      <x:c r="B186" s="4" t="str">
        <x:f>IFERROR(INDEX(Items!$B$6:$B$1005,MATCH(A186,Items!$A$6:$A$1005,0)),"MISSING ITEM ID")</x:f>
        <x:v>Replacement seal ring</x:v>
      </x:c>
      <x:c r="C186" s="4" t="str">
        <x:f>IFERROR(INDEX(Items!$D$6:$D$1005,MATCH(A186,Items!$A$6:$A$1005,0)),"MISSING ITEM ID")</x:f>
        <x:v>Crafting components</x:v>
      </x:c>
      <x:c r="D186" s="4" t="str">
        <x:v>Primary</x:v>
      </x:c>
      <x:c r="E186" s="4" t="str">
        <x:f>IFERROR(INDEX(Items!$AA$6:$AA$1005,MATCH(A186,Items!$A$6:$A$1005,0)),"MISSING ITEM ID")</x:f>
        <x:v>Sealing</x:v>
      </x:c>
      <x:c r="F186" s="4" t="str">
        <x:v>Current item description. Catalog intent, not implemented actions.</x:v>
      </x:c>
    </x:row>
    <x:row r="187" ht="45" customHeight="1">
      <x:c r="A187" s="4" t="str">
        <x:v>proposal.canister.seal_seat</x:v>
      </x:c>
      <x:c r="B187" s="4" t="str">
        <x:f>IFERROR(INDEX(Items!$B$6:$B$1005,MATCH(A187,Items!$A$6:$A$1005,0)),"MISSING ITEM ID")</x:f>
        <x:v>Fitted seal seat</x:v>
      </x:c>
      <x:c r="C187" s="4" t="str">
        <x:f>IFERROR(INDEX(Items!$D$6:$D$1005,MATCH(A187,Items!$A$6:$A$1005,0)),"MISSING ITEM ID")</x:f>
        <x:v>Crafting components</x:v>
      </x:c>
      <x:c r="D187" s="4" t="str">
        <x:v>Primary</x:v>
      </x:c>
      <x:c r="E187" s="4" t="str">
        <x:f>IFERROR(INDEX(Items!$AA$6:$AA$1005,MATCH(A187,Items!$A$6:$A$1005,0)),"MISSING ITEM ID")</x:f>
        <x:v>Sealing</x:v>
      </x:c>
      <x:c r="F187" s="4" t="str">
        <x:v>Current item description. Catalog intent, not implemented actions.</x:v>
      </x:c>
    </x:row>
    <x:row r="188" ht="45" customHeight="1">
      <x:c r="A188" s="4" t="str">
        <x:v>proposal.canister.sealant</x:v>
      </x:c>
      <x:c r="B188" s="4" t="str">
        <x:f>IFERROR(INDEX(Items!$B$6:$B$1005,MATCH(A188,Items!$A$6:$A$1005,0)),"MISSING ITEM ID")</x:f>
        <x:v>Canister joint sealant</x:v>
      </x:c>
      <x:c r="C188" s="4" t="str">
        <x:f>IFERROR(INDEX(Items!$D$6:$D$1005,MATCH(A188,Items!$A$6:$A$1005,0)),"MISSING ITEM ID")</x:f>
        <x:v>Crafting components</x:v>
      </x:c>
      <x:c r="D188" s="4" t="str">
        <x:v>Primary</x:v>
      </x:c>
      <x:c r="E188" s="4" t="str">
        <x:f>IFERROR(INDEX(Items!$AA$6:$AA$1005,MATCH(A188,Items!$A$6:$A$1005,0)),"MISSING ITEM ID")</x:f>
        <x:v>Sealing</x:v>
      </x:c>
      <x:c r="F188" s="4" t="str">
        <x:v>Current item description. Catalog intent, not implemented actions.</x:v>
      </x:c>
    </x:row>
    <x:row r="189" ht="45" customHeight="1">
      <x:c r="A189" s="4" t="str">
        <x:v>proposal.canister.feed_line</x:v>
      </x:c>
      <x:c r="B189" s="4" t="str">
        <x:f>IFERROR(INDEX(Items!$B$6:$B$1005,MATCH(A189,Items!$A$6:$A$1005,0)),"MISSING ITEM ID")</x:f>
        <x:v>Feed-line section</x:v>
      </x:c>
      <x:c r="C189" s="4" t="str">
        <x:f>IFERROR(INDEX(Items!$D$6:$D$1005,MATCH(A189,Items!$A$6:$A$1005,0)),"MISSING ITEM ID")</x:f>
        <x:v>Crafting components</x:v>
      </x:c>
      <x:c r="D189" s="4" t="str">
        <x:v>Primary</x:v>
      </x:c>
      <x:c r="E189" s="4" t="str">
        <x:f>IFERROR(INDEX(Items!$AA$6:$AA$1005,MATCH(A189,Items!$A$6:$A$1005,0)),"MISSING ITEM ID")</x:f>
        <x:v>Material transfer</x:v>
      </x:c>
      <x:c r="F189" s="4" t="str">
        <x:v>Current item description. Catalog intent, not implemented actions.</x:v>
      </x:c>
    </x:row>
    <x:row r="190" ht="45" customHeight="1">
      <x:c r="A190" s="4" t="str">
        <x:v>proposal.canister.coupling</x:v>
      </x:c>
      <x:c r="B190" s="4" t="str">
        <x:f>IFERROR(INDEX(Items!$B$6:$B$1005,MATCH(A190,Items!$A$6:$A$1005,0)),"MISSING ITEM ID")</x:f>
        <x:v>Feed-line coupling</x:v>
      </x:c>
      <x:c r="C190" s="4" t="str">
        <x:f>IFERROR(INDEX(Items!$D$6:$D$1005,MATCH(A190,Items!$A$6:$A$1005,0)),"MISSING ITEM ID")</x:f>
        <x:v>Crafting components</x:v>
      </x:c>
      <x:c r="D190" s="4" t="str">
        <x:v>Primary</x:v>
      </x:c>
      <x:c r="E190" s="4" t="str">
        <x:f>IFERROR(INDEX(Items!$AA$6:$AA$1005,MATCH(A190,Items!$A$6:$A$1005,0)),"MISSING ITEM ID")</x:f>
        <x:v>Material transfer</x:v>
      </x:c>
      <x:c r="F190" s="4" t="str">
        <x:v>Current item description. Catalog intent, not implemented actions.</x:v>
      </x:c>
    </x:row>
    <x:row r="191" ht="45" customHeight="1">
      <x:c r="A191" s="4" t="str">
        <x:v>proposal.canister.coupling</x:v>
      </x:c>
      <x:c r="B191" s="4" t="str">
        <x:f>IFERROR(INDEX(Items!$B$6:$B$1005,MATCH(A191,Items!$A$6:$A$1005,0)),"MISSING ITEM ID")</x:f>
        <x:v>Feed-line coupling</x:v>
      </x:c>
      <x:c r="C191" s="4" t="str">
        <x:f>IFERROR(INDEX(Items!$D$6:$D$1005,MATCH(A191,Items!$A$6:$A$1005,0)),"MISSING ITEM ID")</x:f>
        <x:v>Crafting components</x:v>
      </x:c>
      <x:c r="D191" s="4" t="str">
        <x:v>Secondary</x:v>
      </x:c>
      <x:c r="E191" s="4" t="str">
        <x:v>Sealing</x:v>
      </x:c>
      <x:c r="F191" s="4" t="str">
        <x:v>Current item description. Catalog intent, not implemented actions.</x:v>
      </x:c>
    </x:row>
    <x:row r="192" ht="45" customHeight="1">
      <x:c r="A192" s="4" t="str">
        <x:v>proposal.canister.mouthpiece</x:v>
      </x:c>
      <x:c r="B192" s="4" t="str">
        <x:f>IFERROR(INDEX(Items!$B$6:$B$1005,MATCH(A192,Items!$A$6:$A$1005,0)),"MISSING ITEM ID")</x:f>
        <x:v>Canister mouthpiece interface</x:v>
      </x:c>
      <x:c r="C192" s="4" t="str">
        <x:f>IFERROR(INDEX(Items!$D$6:$D$1005,MATCH(A192,Items!$A$6:$A$1005,0)),"MISSING ITEM ID")</x:f>
        <x:v>Crafting components</x:v>
      </x:c>
      <x:c r="D192" s="4" t="str">
        <x:v>Primary</x:v>
      </x:c>
      <x:c r="E192" s="4" t="str">
        <x:f>IFERROR(INDEX(Items!$AA$6:$AA$1005,MATCH(A192,Items!$A$6:$A$1005,0)),"MISSING ITEM ID")</x:f>
        <x:v>Survival provision</x:v>
      </x:c>
      <x:c r="F192" s="4" t="str">
        <x:v>Current item description. Catalog intent, not implemented actions.</x:v>
      </x:c>
    </x:row>
    <x:row r="193" ht="45" customHeight="1">
      <x:c r="A193" s="4" t="str">
        <x:v>proposal.canister.window</x:v>
      </x:c>
      <x:c r="B193" s="4" t="str">
        <x:f>IFERROR(INDEX(Items!$B$6:$B$1005,MATCH(A193,Items!$A$6:$A$1005,0)),"MISSING ITEM ID")</x:f>
        <x:v>Canister viewing-port insert</x:v>
      </x:c>
      <x:c r="C193" s="4" t="str">
        <x:f>IFERROR(INDEX(Items!$D$6:$D$1005,MATCH(A193,Items!$A$6:$A$1005,0)),"MISSING ITEM ID")</x:f>
        <x:v>Crafting components</x:v>
      </x:c>
      <x:c r="D193" s="4" t="str">
        <x:v>Primary</x:v>
      </x:c>
      <x:c r="E193" s="4" t="str">
        <x:f>IFERROR(INDEX(Items!$AA$6:$AA$1005,MATCH(A193,Items!$A$6:$A$1005,0)),"MISSING ITEM ID")</x:f>
        <x:v>Inspection</x:v>
      </x:c>
      <x:c r="F193" s="4" t="str">
        <x:v>Current item description. Catalog intent, not implemented actions.</x:v>
      </x:c>
    </x:row>
    <x:row r="194" ht="45" customHeight="1">
      <x:c r="A194" s="4" t="str">
        <x:v>proposal.canister.mount</x:v>
      </x:c>
      <x:c r="B194" s="4" t="str">
        <x:f>IFERROR(INDEX(Items!$B$6:$B$1005,MATCH(A194,Items!$A$6:$A$1005,0)),"MISSING ITEM ID")</x:f>
        <x:v>Canister mounting bracket</x:v>
      </x:c>
      <x:c r="C194" s="4" t="str">
        <x:f>IFERROR(INDEX(Items!$D$6:$D$1005,MATCH(A194,Items!$A$6:$A$1005,0)),"MISSING ITEM ID")</x:f>
        <x:v>Crafting components</x:v>
      </x:c>
      <x:c r="D194" s="4" t="str">
        <x:v>Primary</x:v>
      </x:c>
      <x:c r="E194" s="4" t="str">
        <x:f>IFERROR(INDEX(Items!$AA$6:$AA$1005,MATCH(A194,Items!$A$6:$A$1005,0)),"MISSING ITEM ID")</x:f>
        <x:v>Equipment mounting</x:v>
      </x:c>
      <x:c r="F194" s="4" t="str">
        <x:v>Current item description. Catalog intent, not implemented actions.</x:v>
      </x:c>
    </x:row>
    <x:row r="195" ht="45" customHeight="1">
      <x:c r="A195" s="4" t="str">
        <x:v>proposal.canister.harness</x:v>
      </x:c>
      <x:c r="B195" s="4" t="str">
        <x:f>IFERROR(INDEX(Items!$B$6:$B$1005,MATCH(A195,Items!$A$6:$A$1005,0)),"MISSING ITEM ID")</x:f>
        <x:v>Fitted canister harness</x:v>
      </x:c>
      <x:c r="C195" s="4" t="str">
        <x:f>IFERROR(INDEX(Items!$D$6:$D$1005,MATCH(A195,Items!$A$6:$A$1005,0)),"MISSING ITEM ID")</x:f>
        <x:v>Armor</x:v>
      </x:c>
      <x:c r="D195" s="4" t="str">
        <x:v>Primary</x:v>
      </x:c>
      <x:c r="E195" s="4" t="str">
        <x:f>IFERROR(INDEX(Items!$AA$6:$AA$1005,MATCH(A195,Items!$A$6:$A$1005,0)),"MISSING ITEM ID")</x:f>
        <x:v>Equipment mounting</x:v>
      </x:c>
      <x:c r="F195" s="4" t="str">
        <x:v>Current item description. Catalog intent, not implemented actions.</x:v>
      </x:c>
    </x:row>
    <x:row r="196" ht="45" customHeight="1">
      <x:c r="A196" s="4" t="str">
        <x:v>proposal.canister.inspection_gauge</x:v>
      </x:c>
      <x:c r="B196" s="4" t="str">
        <x:f>IFERROR(INDEX(Items!$B$6:$B$1005,MATCH(A196,Items!$A$6:$A$1005,0)),"MISSING ITEM ID")</x:f>
        <x:v>Seal inspection gauge</x:v>
      </x:c>
      <x:c r="C196" s="4" t="str">
        <x:f>IFERROR(INDEX(Items!$D$6:$D$1005,MATCH(A196,Items!$A$6:$A$1005,0)),"MISSING ITEM ID")</x:f>
        <x:v>Salvage</x:v>
      </x:c>
      <x:c r="D196" s="4" t="str">
        <x:v>Primary</x:v>
      </x:c>
      <x:c r="E196" s="4" t="str">
        <x:f>IFERROR(INDEX(Items!$AA$6:$AA$1005,MATCH(A196,Items!$A$6:$A$1005,0)),"MISSING ITEM ID")</x:f>
        <x:v>Inspection</x:v>
      </x:c>
      <x:c r="F196" s="4" t="str">
        <x:v>Current item description. Catalog intent, not implemented actions.</x:v>
      </x:c>
    </x:row>
    <x:row r="197" ht="45" customHeight="1">
      <x:c r="A197" s="4" t="str">
        <x:v>proposal.canister.service_kit</x:v>
      </x:c>
      <x:c r="B197" s="4" t="str">
        <x:f>IFERROR(INDEX(Items!$B$6:$B$1005,MATCH(A197,Items!$A$6:$A$1005,0)),"MISSING ITEM ID")</x:f>
        <x:v>Canister service kit</x:v>
      </x:c>
      <x:c r="C197" s="4" t="str">
        <x:f>IFERROR(INDEX(Items!$D$6:$D$1005,MATCH(A197,Items!$A$6:$A$1005,0)),"MISSING ITEM ID")</x:f>
        <x:v>Salvage</x:v>
      </x:c>
      <x:c r="D197" s="4" t="str">
        <x:v>Primary</x:v>
      </x:c>
      <x:c r="E197" s="4" t="str">
        <x:f>IFERROR(INDEX(Items!$AA$6:$AA$1005,MATCH(A197,Items!$A$6:$A$1005,0)),"MISSING ITEM ID")</x:f>
        <x:v>Equipment repair</x:v>
      </x:c>
      <x:c r="F197" s="4" t="str">
        <x:v>Current item description. Catalog intent, not implemented actions.</x:v>
      </x:c>
    </x:row>
    <x:row r="198" ht="45" customHeight="1">
      <x:c r="A198" s="4" t="str">
        <x:v>proposal.canister.service_kit</x:v>
      </x:c>
      <x:c r="B198" s="4" t="str">
        <x:f>IFERROR(INDEX(Items!$B$6:$B$1005,MATCH(A198,Items!$A$6:$A$1005,0)),"MISSING ITEM ID")</x:f>
        <x:v>Canister service kit</x:v>
      </x:c>
      <x:c r="C198" s="4" t="str">
        <x:f>IFERROR(INDEX(Items!$D$6:$D$1005,MATCH(A198,Items!$A$6:$A$1005,0)),"MISSING ITEM ID")</x:f>
        <x:v>Salvage</x:v>
      </x:c>
      <x:c r="D198" s="4" t="str">
        <x:v>Secondary</x:v>
      </x:c>
      <x:c r="E198" s="4" t="str">
        <x:v>Sealing</x:v>
      </x:c>
      <x:c r="F198" s="4" t="str">
        <x:v>Current item description. Catalog intent, not implemented actions.</x:v>
      </x:c>
    </x:row>
    <x:row r="199" ht="45" customHeight="1">
      <x:c r="A199" s="4" t="str">
        <x:v>proposal.canister.maker_plate</x:v>
      </x:c>
      <x:c r="B199" s="4" t="str">
        <x:f>IFERROR(INDEX(Items!$B$6:$B$1005,MATCH(A199,Items!$A$6:$A$1005,0)),"MISSING ITEM ID")</x:f>
        <x:v>Canister maker plate</x:v>
      </x:c>
      <x:c r="C199" s="4" t="str">
        <x:f>IFERROR(INDEX(Items!$D$6:$D$1005,MATCH(A199,Items!$A$6:$A$1005,0)),"MISSING ITEM ID")</x:f>
        <x:v>Crafting components</x:v>
      </x:c>
      <x:c r="D199" s="4" t="str">
        <x:v>Primary</x:v>
      </x:c>
      <x:c r="E199" s="4" t="str">
        <x:f>IFERROR(INDEX(Items!$AA$6:$AA$1005,MATCH(A199,Items!$A$6:$A$1005,0)),"MISSING ITEM ID")</x:f>
        <x:v>Provenance</x:v>
      </x:c>
      <x:c r="F199" s="4" t="str">
        <x:v>Current item description. Catalog intent, not implemented actions.</x:v>
      </x:c>
    </x:row>
    <x:row r="200" ht="45" customHeight="1">
      <x:c r="A200" s="4" t="str">
        <x:v>proposal.canister.maker_plate</x:v>
      </x:c>
      <x:c r="B200" s="4" t="str">
        <x:f>IFERROR(INDEX(Items!$B$6:$B$1005,MATCH(A200,Items!$A$6:$A$1005,0)),"MISSING ITEM ID")</x:f>
        <x:v>Canister maker plate</x:v>
      </x:c>
      <x:c r="C200" s="4" t="str">
        <x:f>IFERROR(INDEX(Items!$D$6:$D$1005,MATCH(A200,Items!$A$6:$A$1005,0)),"MISSING ITEM ID")</x:f>
        <x:v>Crafting components</x:v>
      </x:c>
      <x:c r="D200" s="4" t="str">
        <x:v>Secondary</x:v>
      </x:c>
      <x:c r="E200" s="4" t="str">
        <x:v>Decoration</x:v>
      </x:c>
      <x:c r="F200" s="4" t="str">
        <x:v>Current item description. Catalog intent, not implemented actions.</x:v>
      </x:c>
    </x:row>
    <x:row r="201" ht="45" customHeight="1">
      <x:c r="A201" s="4" t="str">
        <x:v>proposal.canister.trim</x:v>
      </x:c>
      <x:c r="B201" s="4" t="str">
        <x:f>IFERROR(INDEX(Items!$B$6:$B$1005,MATCH(A201,Items!$A$6:$A$1005,0)),"MISSING ITEM ID")</x:f>
        <x:v>Decorative canister panel</x:v>
      </x:c>
      <x:c r="C201" s="4" t="str">
        <x:f>IFERROR(INDEX(Items!$D$6:$D$1005,MATCH(A201,Items!$A$6:$A$1005,0)),"MISSING ITEM ID")</x:f>
        <x:v>Crafting components</x:v>
      </x:c>
      <x:c r="D201" s="4" t="str">
        <x:v>Primary</x:v>
      </x:c>
      <x:c r="E201" s="4" t="str">
        <x:f>IFERROR(INDEX(Items!$AA$6:$AA$1005,MATCH(A201,Items!$A$6:$A$1005,0)),"MISSING ITEM ID")</x:f>
        <x:v>Decoration</x:v>
      </x:c>
      <x:c r="F201" s="4" t="str">
        <x:v>Current item description. Catalog intent, not implemented actions.</x:v>
      </x:c>
    </x:row>
    <x:row r="202" ht="45" customHeight="1">
      <x:c r="A202" s="4" t="str">
        <x:v>proposal.canister.endcap</x:v>
      </x:c>
      <x:c r="B202" s="4" t="str">
        <x:f>IFERROR(INDEX(Items!$B$6:$B$1005,MATCH(A202,Items!$A$6:$A$1005,0)),"MISSING ITEM ID")</x:f>
        <x:v>Canister protective endcap</x:v>
      </x:c>
      <x:c r="C202" s="4" t="str">
        <x:f>IFERROR(INDEX(Items!$D$6:$D$1005,MATCH(A202,Items!$A$6:$A$1005,0)),"MISSING ITEM ID")</x:f>
        <x:v>Crafting components</x:v>
      </x:c>
      <x:c r="D202" s="4" t="str">
        <x:v>Primary</x:v>
      </x:c>
      <x:c r="E202" s="4" t="str">
        <x:f>IFERROR(INDEX(Items!$AA$6:$AA$1005,MATCH(A202,Items!$A$6:$A$1005,0)),"MISSING ITEM ID")</x:f>
        <x:v>Protection</x:v>
      </x:c>
      <x:c r="F202" s="4" t="str">
        <x:v>Current item description. Catalog intent, not implemented actions.</x:v>
      </x:c>
    </x:row>
    <x:row r="203" ht="45" customHeight="1">
      <x:c r="A203" s="4" t="str">
        <x:v>proposal.canister.endcap</x:v>
      </x:c>
      <x:c r="B203" s="4" t="str">
        <x:f>IFERROR(INDEX(Items!$B$6:$B$1005,MATCH(A203,Items!$A$6:$A$1005,0)),"MISSING ITEM ID")</x:f>
        <x:v>Canister protective endcap</x:v>
      </x:c>
      <x:c r="C203" s="4" t="str">
        <x:f>IFERROR(INDEX(Items!$D$6:$D$1005,MATCH(A203,Items!$A$6:$A$1005,0)),"MISSING ITEM ID")</x:f>
        <x:v>Crafting components</x:v>
      </x:c>
      <x:c r="D203" s="4" t="str">
        <x:v>Secondary</x:v>
      </x:c>
      <x:c r="E203" s="4" t="str">
        <x:v>Dust exclusion</x:v>
      </x:c>
      <x:c r="F203" s="4" t="str">
        <x:v>Current item description. Catalog intent, not implemented actions.</x:v>
      </x:c>
    </x:row>
    <x:row r="204" ht="45" customHeight="1">
      <x:c r="A204" s="4" t="str">
        <x:v>proposal.culture.icon</x:v>
      </x:c>
      <x:c r="B204" s="4" t="str">
        <x:f>IFERROR(INDEX(Items!$B$6:$B$1005,MATCH(A204,Items!$A$6:$A$1005,0)),"MISSING ITEM ID")</x:f>
        <x:v>Preserver icon token</x:v>
      </x:c>
      <x:c r="C204" s="4" t="str">
        <x:f>IFERROR(INDEX(Items!$D$6:$D$1005,MATCH(A204,Items!$A$6:$A$1005,0)),"MISSING ITEM ID")</x:f>
        <x:v>Salvage</x:v>
      </x:c>
      <x:c r="D204" s="4" t="str">
        <x:v>Primary</x:v>
      </x:c>
      <x:c r="E204" s="4" t="str">
        <x:f>IFERROR(INDEX(Items!$AA$6:$AA$1005,MATCH(A204,Items!$A$6:$A$1005,0)),"MISSING ITEM ID")</x:f>
        <x:v>Devotion</x:v>
      </x:c>
      <x:c r="F204" s="4" t="str">
        <x:v>Current item description. Catalog intent, not implemented actions.</x:v>
      </x:c>
    </x:row>
    <x:row r="205" ht="45" customHeight="1">
      <x:c r="A205" s="4" t="str">
        <x:v>proposal.culture.shrine</x:v>
      </x:c>
      <x:c r="B205" s="4" t="str">
        <x:f>IFERROR(INDEX(Items!$B$6:$B$1005,MATCH(A205,Items!$A$6:$A$1005,0)),"MISSING ITEM ID")</x:f>
        <x:v>Household shrine plaque</x:v>
      </x:c>
      <x:c r="C205" s="4" t="str">
        <x:f>IFERROR(INDEX(Items!$D$6:$D$1005,MATCH(A205,Items!$A$6:$A$1005,0)),"MISSING ITEM ID")</x:f>
        <x:v>Salvage</x:v>
      </x:c>
      <x:c r="D205" s="4" t="str">
        <x:v>Primary</x:v>
      </x:c>
      <x:c r="E205" s="4" t="str">
        <x:f>IFERROR(INDEX(Items!$AA$6:$AA$1005,MATCH(A205,Items!$A$6:$A$1005,0)),"MISSING ITEM ID")</x:f>
        <x:v>Devotion</x:v>
      </x:c>
      <x:c r="F205" s="4" t="str">
        <x:v>Current item description. Catalog intent, not implemented actions.</x:v>
      </x:c>
    </x:row>
    <x:row r="206" ht="45" customHeight="1">
      <x:c r="A206" s="4" t="str">
        <x:v>proposal.culture.altar_vial</x:v>
      </x:c>
      <x:c r="B206" s="4" t="str">
        <x:f>IFERROR(INDEX(Items!$B$6:$B$1005,MATCH(A206,Items!$A$6:$A$1005,0)),"MISSING ITEM ID")</x:f>
        <x:v>Altar display vial</x:v>
      </x:c>
      <x:c r="C206" s="4" t="str">
        <x:f>IFERROR(INDEX(Items!$D$6:$D$1005,MATCH(A206,Items!$A$6:$A$1005,0)),"MISSING ITEM ID")</x:f>
        <x:v>Salvage</x:v>
      </x:c>
      <x:c r="D206" s="4" t="str">
        <x:v>Primary</x:v>
      </x:c>
      <x:c r="E206" s="4" t="str">
        <x:f>IFERROR(INDEX(Items!$AA$6:$AA$1005,MATCH(A206,Items!$A$6:$A$1005,0)),"MISSING ITEM ID")</x:f>
        <x:v>Ceremony</x:v>
      </x:c>
      <x:c r="F206" s="4" t="str">
        <x:v>Current item description. Catalog intent, not implemented actions.</x:v>
      </x:c>
    </x:row>
    <x:row r="207" ht="45" customHeight="1">
      <x:c r="A207" s="4" t="str">
        <x:v>proposal.culture.altar_vial</x:v>
      </x:c>
      <x:c r="B207" s="4" t="str">
        <x:f>IFERROR(INDEX(Items!$B$6:$B$1005,MATCH(A207,Items!$A$6:$A$1005,0)),"MISSING ITEM ID")</x:f>
        <x:v>Altar display vial</x:v>
      </x:c>
      <x:c r="C207" s="4" t="str">
        <x:f>IFERROR(INDEX(Items!$D$6:$D$1005,MATCH(A207,Items!$A$6:$A$1005,0)),"MISSING ITEM ID")</x:f>
        <x:v>Salvage</x:v>
      </x:c>
      <x:c r="D207" s="4" t="str">
        <x:v>Secondary</x:v>
      </x:c>
      <x:c r="E207" s="4" t="str">
        <x:v>Liquid and bulk containment</x:v>
      </x:c>
      <x:c r="F207" s="4" t="str">
        <x:v>Current item description. Catalog intent, not implemented actions.</x:v>
      </x:c>
    </x:row>
    <x:row r="208" ht="45" customHeight="1">
      <x:c r="A208" s="4" t="str">
        <x:v>proposal.culture.reliquary</x:v>
      </x:c>
      <x:c r="B208" s="4" t="str">
        <x:f>IFERROR(INDEX(Items!$B$6:$B$1005,MATCH(A208,Items!$A$6:$A$1005,0)),"MISSING ITEM ID")</x:f>
        <x:v>Relic case</x:v>
      </x:c>
      <x:c r="C208" s="4" t="str">
        <x:f>IFERROR(INDEX(Items!$D$6:$D$1005,MATCH(A208,Items!$A$6:$A$1005,0)),"MISSING ITEM ID")</x:f>
        <x:v>Salvage</x:v>
      </x:c>
      <x:c r="D208" s="4" t="str">
        <x:v>Primary</x:v>
      </x:c>
      <x:c r="E208" s="4" t="str">
        <x:f>IFERROR(INDEX(Items!$AA$6:$AA$1005,MATCH(A208,Items!$A$6:$A$1005,0)),"MISSING ITEM ID")</x:f>
        <x:v>Devotion</x:v>
      </x:c>
      <x:c r="F208" s="4" t="str">
        <x:v>Current item description. Catalog intent, not implemented actions.</x:v>
      </x:c>
    </x:row>
    <x:row r="209" ht="45" customHeight="1">
      <x:c r="A209" s="4" t="str">
        <x:v>proposal.culture.reliquary</x:v>
      </x:c>
      <x:c r="B209" s="4" t="str">
        <x:f>IFERROR(INDEX(Items!$B$6:$B$1005,MATCH(A209,Items!$A$6:$A$1005,0)),"MISSING ITEM ID")</x:f>
        <x:v>Relic case</x:v>
      </x:c>
      <x:c r="C209" s="4" t="str">
        <x:f>IFERROR(INDEX(Items!$D$6:$D$1005,MATCH(A209,Items!$A$6:$A$1005,0)),"MISSING ITEM ID")</x:f>
        <x:v>Salvage</x:v>
      </x:c>
      <x:c r="D209" s="4" t="str">
        <x:v>Secondary</x:v>
      </x:c>
      <x:c r="E209" s="4" t="str">
        <x:v>Keepsake storage</x:v>
      </x:c>
      <x:c r="F209" s="4" t="str">
        <x:v>Current item description. Catalog intent, not implemented actions.</x:v>
      </x:c>
    </x:row>
    <x:row r="210" ht="45" customHeight="1">
      <x:c r="A210" s="4"/>
      <x:c r="B210" s="4"/>
      <x:c r="C210" s="4"/>
      <x:c r="D210" s="4"/>
      <x:c r="E210" s="4"/>
      <x:c r="F210" s="4"/>
    </x:row>
    <x:row r="211" ht="45" customHeight="1">
      <x:c r="A211" s="4"/>
      <x:c r="B211" s="4"/>
      <x:c r="C211" s="4"/>
      <x:c r="D211" s="4"/>
      <x:c r="E211" s="4"/>
      <x:c r="F211" s="4"/>
    </x:row>
    <x:row r="212" ht="45" customHeight="1">
      <x:c r="A212" s="4" t="str">
        <x:v>proposal.culture.offering</x:v>
      </x:c>
      <x:c r="B212" s="4" t="str">
        <x:f>IFERROR(INDEX(Items!$B$6:$B$1005,MATCH(A212,Items!$A$6:$A$1005,0)),"MISSING ITEM ID")</x:f>
        <x:v>Votive shell token</x:v>
      </x:c>
      <x:c r="C212" s="4" t="str">
        <x:f>IFERROR(INDEX(Items!$D$6:$D$1005,MATCH(A212,Items!$A$6:$A$1005,0)),"MISSING ITEM ID")</x:f>
        <x:v>Salvage</x:v>
      </x:c>
      <x:c r="D212" s="4" t="str">
        <x:v>Primary</x:v>
      </x:c>
      <x:c r="E212" s="4" t="str">
        <x:f>IFERROR(INDEX(Items!$AA$6:$AA$1005,MATCH(A212,Items!$A$6:$A$1005,0)),"MISSING ITEM ID")</x:f>
        <x:v>Devotion</x:v>
      </x:c>
      <x:c r="F212" s="4" t="str">
        <x:v>Current item description. Catalog intent, not implemented actions.</x:v>
      </x:c>
    </x:row>
    <x:row r="213" ht="45" customHeight="1">
      <x:c r="A213" s="4" t="str">
        <x:v>proposal.culture.badge</x:v>
      </x:c>
      <x:c r="B213" s="4" t="str">
        <x:f>IFERROR(INDEX(Items!$B$6:$B$1005,MATCH(A213,Items!$A$6:$A$1005,0)),"MISSING ITEM ID")</x:f>
        <x:v>Civic office badge</x:v>
      </x:c>
      <x:c r="C213" s="4" t="str">
        <x:f>IFERROR(INDEX(Items!$D$6:$D$1005,MATCH(A213,Items!$A$6:$A$1005,0)),"MISSING ITEM ID")</x:f>
        <x:v>Salvage</x:v>
      </x:c>
      <x:c r="D213" s="4" t="str">
        <x:v>Primary</x:v>
      </x:c>
      <x:c r="E213" s="4" t="str">
        <x:f>IFERROR(INDEX(Items!$AA$6:$AA$1005,MATCH(A213,Items!$A$6:$A$1005,0)),"MISSING ITEM ID")</x:f>
        <x:v>Civic identification</x:v>
      </x:c>
      <x:c r="F213" s="4" t="str">
        <x:v>Current item description. Catalog intent, not implemented actions.</x:v>
      </x:c>
    </x:row>
    <x:row r="214" ht="45" customHeight="1">
      <x:c r="A214" s="4" t="str">
        <x:v>proposal.culture.stamp</x:v>
      </x:c>
      <x:c r="B214" s="4" t="str">
        <x:f>IFERROR(INDEX(Items!$B$6:$B$1005,MATCH(A214,Items!$A$6:$A$1005,0)),"MISSING ITEM ID")</x:f>
        <x:v>Official seal stamp</x:v>
      </x:c>
      <x:c r="C214" s="4" t="str">
        <x:f>IFERROR(INDEX(Items!$D$6:$D$1005,MATCH(A214,Items!$A$6:$A$1005,0)),"MISSING ITEM ID")</x:f>
        <x:v>Salvage</x:v>
      </x:c>
      <x:c r="D214" s="4" t="str">
        <x:v>Primary</x:v>
      </x:c>
      <x:c r="E214" s="4" t="str">
        <x:f>IFERROR(INDEX(Items!$AA$6:$AA$1005,MATCH(A214,Items!$A$6:$A$1005,0)),"MISSING ITEM ID")</x:f>
        <x:v>Writing and records</x:v>
      </x:c>
      <x:c r="F214" s="4" t="str">
        <x:v>Current item description. Catalog intent, not implemented actions.</x:v>
      </x:c>
    </x:row>
    <x:row r="215" ht="45" customHeight="1">
      <x:c r="A215" s="4" t="str">
        <x:v>proposal.culture.stamp</x:v>
      </x:c>
      <x:c r="B215" s="4" t="str">
        <x:f>IFERROR(INDEX(Items!$B$6:$B$1005,MATCH(A215,Items!$A$6:$A$1005,0)),"MISSING ITEM ID")</x:f>
        <x:v>Official seal stamp</x:v>
      </x:c>
      <x:c r="C215" s="4" t="str">
        <x:f>IFERROR(INDEX(Items!$D$6:$D$1005,MATCH(A215,Items!$A$6:$A$1005,0)),"MISSING ITEM ID")</x:f>
        <x:v>Salvage</x:v>
      </x:c>
      <x:c r="D215" s="4" t="str">
        <x:v>Secondary</x:v>
      </x:c>
      <x:c r="E215" s="4" t="str">
        <x:v>Civic identification</x:v>
      </x:c>
      <x:c r="F215" s="4" t="str">
        <x:v>Current item description. Catalog intent, not implemented actions.</x:v>
      </x:c>
    </x:row>
    <x:row r="216" ht="45" customHeight="1">
      <x:c r="A216" s="4"/>
      <x:c r="B216" s="4"/>
      <x:c r="C216" s="4"/>
      <x:c r="D216" s="4"/>
      <x:c r="E216" s="4"/>
      <x:c r="F216" s="4"/>
    </x:row>
    <x:row r="217" ht="45" customHeight="1">
      <x:c r="A217" s="4"/>
      <x:c r="B217" s="4"/>
      <x:c r="C217" s="4"/>
      <x:c r="D217" s="4"/>
      <x:c r="E217" s="4"/>
      <x:c r="F217" s="4"/>
    </x:row>
    <x:row r="218" ht="45" customHeight="1">
      <x:c r="A218" s="4" t="str">
        <x:v>proposal.culture.notice</x:v>
      </x:c>
      <x:c r="B218" s="4" t="str">
        <x:f>IFERROR(INDEX(Items!$B$6:$B$1005,MATCH(A218,Items!$A$6:$A$1005,0)),"MISSING ITEM ID")</x:f>
        <x:v>Public notice plate</x:v>
      </x:c>
      <x:c r="C218" s="4" t="str">
        <x:f>IFERROR(INDEX(Items!$D$6:$D$1005,MATCH(A218,Items!$A$6:$A$1005,0)),"MISSING ITEM ID")</x:f>
        <x:v>Salvage</x:v>
      </x:c>
      <x:c r="D218" s="4" t="str">
        <x:v>Primary</x:v>
      </x:c>
      <x:c r="E218" s="4" t="str">
        <x:f>IFERROR(INDEX(Items!$AA$6:$AA$1005,MATCH(A218,Items!$A$6:$A$1005,0)),"MISSING ITEM ID")</x:f>
        <x:v>Public communication</x:v>
      </x:c>
      <x:c r="F218" s="4" t="str">
        <x:v>Current item description. Catalog intent, not implemented actions.</x:v>
      </x:c>
    </x:row>
    <x:row r="219" ht="45" customHeight="1">
      <x:c r="A219" s="4"/>
      <x:c r="B219" s="4"/>
      <x:c r="C219" s="4"/>
      <x:c r="D219" s="4"/>
      <x:c r="E219" s="4"/>
      <x:c r="F219" s="4"/>
    </x:row>
    <x:row r="220" ht="45" customHeight="1">
      <x:c r="A220" s="4"/>
      <x:c r="B220" s="4"/>
      <x:c r="C220" s="4"/>
      <x:c r="D220" s="4"/>
      <x:c r="E220" s="4"/>
      <x:c r="F220" s="4"/>
    </x:row>
    <x:row r="221" ht="45" customHeight="1">
      <x:c r="A221" s="4" t="str">
        <x:v>proposal.culture.pilgrim_die</x:v>
      </x:c>
      <x:c r="B221" s="4" t="str">
        <x:f>IFERROR(INDEX(Items!$B$6:$B$1005,MATCH(A221,Items!$A$6:$A$1005,0)),"MISSING ITEM ID")</x:f>
        <x:v>Pilgrimage marking die</x:v>
      </x:c>
      <x:c r="C221" s="4" t="str">
        <x:f>IFERROR(INDEX(Items!$D$6:$D$1005,MATCH(A221,Items!$A$6:$A$1005,0)),"MISSING ITEM ID")</x:f>
        <x:v>Salvage</x:v>
      </x:c>
      <x:c r="D221" s="4" t="str">
        <x:v>Primary</x:v>
      </x:c>
      <x:c r="E221" s="4" t="str">
        <x:f>IFERROR(INDEX(Items!$AA$6:$AA$1005,MATCH(A221,Items!$A$6:$A$1005,0)),"MISSING ITEM ID")</x:f>
        <x:v>Ceremony</x:v>
      </x:c>
      <x:c r="F221" s="4" t="str">
        <x:v>Current item description. Catalog intent, not implemented actions.</x:v>
      </x:c>
    </x:row>
    <x:row r="222" ht="45" customHeight="1">
      <x:c r="A222" s="4" t="str">
        <x:v>proposal.culture.pilgrim_die</x:v>
      </x:c>
      <x:c r="B222" s="4" t="str">
        <x:f>IFERROR(INDEX(Items!$B$6:$B$1005,MATCH(A222,Items!$A$6:$A$1005,0)),"MISSING ITEM ID")</x:f>
        <x:v>Pilgrimage marking die</x:v>
      </x:c>
      <x:c r="C222" s="4" t="str">
        <x:f>IFERROR(INDEX(Items!$D$6:$D$1005,MATCH(A222,Items!$A$6:$A$1005,0)),"MISSING ITEM ID")</x:f>
        <x:v>Salvage</x:v>
      </x:c>
      <x:c r="D222" s="4" t="str">
        <x:v>Secondary</x:v>
      </x:c>
      <x:c r="E222" s="4" t="str">
        <x:v>Provenance</x:v>
      </x:c>
      <x:c r="F222" s="4" t="str">
        <x:v>Current item description. Catalog intent, not implemented actions.</x:v>
      </x:c>
    </x:row>
    <x:row r="223" ht="45" customHeight="1">
      <x:c r="A223" s="4" t="str">
        <x:v>proposal.culture.memorial</x:v>
      </x:c>
      <x:c r="B223" s="4" t="str">
        <x:f>IFERROR(INDEX(Items!$B$6:$B$1005,MATCH(A223,Items!$A$6:$A$1005,0)),"MISSING ITEM ID")</x:f>
        <x:v>Memorial name plate</x:v>
      </x:c>
      <x:c r="C223" s="4" t="str">
        <x:f>IFERROR(INDEX(Items!$D$6:$D$1005,MATCH(A223,Items!$A$6:$A$1005,0)),"MISSING ITEM ID")</x:f>
        <x:v>Salvage</x:v>
      </x:c>
      <x:c r="D223" s="4" t="str">
        <x:v>Primary</x:v>
      </x:c>
      <x:c r="E223" s="4" t="str">
        <x:f>IFERROR(INDEX(Items!$AA$6:$AA$1005,MATCH(A223,Items!$A$6:$A$1005,0)),"MISSING ITEM ID")</x:f>
        <x:v>Remembrance</x:v>
      </x:c>
      <x:c r="F223" s="4" t="str">
        <x:v>Current item description. Catalog intent, not implemented actions.</x:v>
      </x:c>
    </x:row>
    <x:row r="224" ht="45" customHeight="1">
      <x:c r="A224" s="4" t="str">
        <x:v>proposal.culture.oath_ring</x:v>
      </x:c>
      <x:c r="B224" s="4" t="str">
        <x:f>IFERROR(INDEX(Items!$B$6:$B$1005,MATCH(A224,Items!$A$6:$A$1005,0)),"MISSING ITEM ID")</x:f>
        <x:v>Oath exchange ring</x:v>
      </x:c>
      <x:c r="C224" s="4" t="str">
        <x:f>IFERROR(INDEX(Items!$D$6:$D$1005,MATCH(A224,Items!$A$6:$A$1005,0)),"MISSING ITEM ID")</x:f>
        <x:v>Salvage</x:v>
      </x:c>
      <x:c r="D224" s="4" t="str">
        <x:v>Primary</x:v>
      </x:c>
      <x:c r="E224" s="4" t="str">
        <x:f>IFERROR(INDEX(Items!$AA$6:$AA$1005,MATCH(A224,Items!$A$6:$A$1005,0)),"MISSING ITEM ID")</x:f>
        <x:v>Ceremony</x:v>
      </x:c>
      <x:c r="F224" s="4" t="str">
        <x:v>Current item description. Catalog intent, not implemented actions.</x:v>
      </x:c>
    </x:row>
    <x:row r="225" ht="45" customHeight="1">
      <x:c r="A225" s="4" t="str">
        <x:v>proposal.culture.milestone</x:v>
      </x:c>
      <x:c r="B225" s="4" t="str">
        <x:f>IFERROR(INDEX(Items!$B$6:$B$1005,MATCH(A225,Items!$A$6:$A$1005,0)),"MISSING ITEM ID")</x:f>
        <x:v>Life-event charm</x:v>
      </x:c>
      <x:c r="C225" s="4" t="str">
        <x:f>IFERROR(INDEX(Items!$D$6:$D$1005,MATCH(A225,Items!$A$6:$A$1005,0)),"MISSING ITEM ID")</x:f>
        <x:v>Salvage</x:v>
      </x:c>
      <x:c r="D225" s="4" t="str">
        <x:v>Primary</x:v>
      </x:c>
      <x:c r="E225" s="4" t="str">
        <x:f>IFERROR(INDEX(Items!$AA$6:$AA$1005,MATCH(A225,Items!$A$6:$A$1005,0)),"MISSING ITEM ID")</x:f>
        <x:v>Remembrance</x:v>
      </x:c>
      <x:c r="F225" s="4" t="str">
        <x:v>Current item description. Catalog intent, not implemented actions.</x:v>
      </x:c>
    </x:row>
    <x:row r="226" ht="45" customHeight="1">
      <x:c r="A226" s="4" t="str">
        <x:v>proposal.culture.milestone</x:v>
      </x:c>
      <x:c r="B226" s="4" t="str">
        <x:f>IFERROR(INDEX(Items!$B$6:$B$1005,MATCH(A226,Items!$A$6:$A$1005,0)),"MISSING ITEM ID")</x:f>
        <x:v>Life-event charm</x:v>
      </x:c>
      <x:c r="C226" s="4" t="str">
        <x:f>IFERROR(INDEX(Items!$D$6:$D$1005,MATCH(A226,Items!$A$6:$A$1005,0)),"MISSING ITEM ID")</x:f>
        <x:v>Salvage</x:v>
      </x:c>
      <x:c r="D226" s="4" t="str">
        <x:v>Secondary</x:v>
      </x:c>
      <x:c r="E226" s="4" t="str">
        <x:v>Ceremony</x:v>
      </x:c>
      <x:c r="F226" s="4" t="str">
        <x:v>Current item description. Catalog intent, not implemented actions.</x:v>
      </x:c>
    </x:row>
    <x:row r="227" ht="45" customHeight="1">
      <x:c r="A227" s="4" t="str">
        <x:v>proposal.culture.rattle</x:v>
      </x:c>
      <x:c r="B227" s="4" t="str">
        <x:f>IFERROR(INDEX(Items!$B$6:$B$1005,MATCH(A227,Items!$A$6:$A$1005,0)),"MISSING ITEM ID")</x:f>
        <x:v>Ceremonial shell rattle</x:v>
      </x:c>
      <x:c r="C227" s="4" t="str">
        <x:f>IFERROR(INDEX(Items!$D$6:$D$1005,MATCH(A227,Items!$A$6:$A$1005,0)),"MISSING ITEM ID")</x:f>
        <x:v>Salvage</x:v>
      </x:c>
      <x:c r="D227" s="4" t="str">
        <x:v>Primary</x:v>
      </x:c>
      <x:c r="E227" s="4" t="str">
        <x:f>IFERROR(INDEX(Items!$AA$6:$AA$1005,MATCH(A227,Items!$A$6:$A$1005,0)),"MISSING ITEM ID")</x:f>
        <x:v>Ceremony</x:v>
      </x:c>
      <x:c r="F227" s="4" t="str">
        <x:v>Current item description. Catalog intent, not implemented actions.</x:v>
      </x:c>
    </x:row>
    <x:row r="228" ht="45" customHeight="1">
      <x:c r="A228" s="4" t="str">
        <x:v>proposal.culture.rattle</x:v>
      </x:c>
      <x:c r="B228" s="4" t="str">
        <x:f>IFERROR(INDEX(Items!$B$6:$B$1005,MATCH(A228,Items!$A$6:$A$1005,0)),"MISSING ITEM ID")</x:f>
        <x:v>Ceremonial shell rattle</x:v>
      </x:c>
      <x:c r="C228" s="4" t="str">
        <x:f>IFERROR(INDEX(Items!$D$6:$D$1005,MATCH(A228,Items!$A$6:$A$1005,0)),"MISSING ITEM ID")</x:f>
        <x:v>Salvage</x:v>
      </x:c>
      <x:c r="D228" s="4" t="str">
        <x:v>Secondary</x:v>
      </x:c>
      <x:c r="E228" s="4" t="str">
        <x:v>Music</x:v>
      </x:c>
      <x:c r="F228" s="4" t="str">
        <x:v>Current item description. Catalog intent, not implemented actions.</x:v>
      </x:c>
    </x:row>
    <x:row r="229" ht="45" customHeight="1">
      <x:c r="A229" s="4" t="str">
        <x:v>proposal.culture.gift_case</x:v>
      </x:c>
      <x:c r="B229" s="4" t="str">
        <x:f>IFERROR(INDEX(Items!$B$6:$B$1005,MATCH(A229,Items!$A$6:$A$1005,0)),"MISSING ITEM ID")</x:f>
        <x:v>Ceremonial gift case</x:v>
      </x:c>
      <x:c r="C229" s="4" t="str">
        <x:f>IFERROR(INDEX(Items!$D$6:$D$1005,MATCH(A229,Items!$A$6:$A$1005,0)),"MISSING ITEM ID")</x:f>
        <x:v>Salvage</x:v>
      </x:c>
      <x:c r="D229" s="4" t="str">
        <x:v>Primary</x:v>
      </x:c>
      <x:c r="E229" s="4" t="str">
        <x:f>IFERROR(INDEX(Items!$AA$6:$AA$1005,MATCH(A229,Items!$A$6:$A$1005,0)),"MISSING ITEM ID")</x:f>
        <x:v>Ceremony</x:v>
      </x:c>
      <x:c r="F229" s="4" t="str">
        <x:v>Current item description. Catalog intent, not implemented actions.</x:v>
      </x:c>
    </x:row>
    <x:row r="230" ht="45" customHeight="1">
      <x:c r="A230" s="4" t="str">
        <x:v>proposal.culture.gift_case</x:v>
      </x:c>
      <x:c r="B230" s="4" t="str">
        <x:f>IFERROR(INDEX(Items!$B$6:$B$1005,MATCH(A230,Items!$A$6:$A$1005,0)),"MISSING ITEM ID")</x:f>
        <x:v>Ceremonial gift case</x:v>
      </x:c>
      <x:c r="C230" s="4" t="str">
        <x:f>IFERROR(INDEX(Items!$D$6:$D$1005,MATCH(A230,Items!$A$6:$A$1005,0)),"MISSING ITEM ID")</x:f>
        <x:v>Salvage</x:v>
      </x:c>
      <x:c r="D230" s="4" t="str">
        <x:v>Secondary</x:v>
      </x:c>
      <x:c r="E230" s="4" t="str">
        <x:v>Keepsake storage</x:v>
      </x:c>
      <x:c r="F230" s="4" t="str">
        <x:v>Current item description. Catalog intent, not implemented actions.</x:v>
      </x:c>
    </x:row>
    <x:row r="231" ht="45" customHeight="1">
      <x:c r="A231" s="4" t="str">
        <x:v>proposal.culture.bowl</x:v>
      </x:c>
      <x:c r="B231" s="4" t="str">
        <x:f>IFERROR(INDEX(Items!$B$6:$B$1005,MATCH(A231,Items!$A$6:$A$1005,0)),"MISSING ITEM ID")</x:f>
        <x:v>Everyday shell bowl</x:v>
      </x:c>
      <x:c r="C231" s="4" t="str">
        <x:f>IFERROR(INDEX(Items!$D$6:$D$1005,MATCH(A231,Items!$A$6:$A$1005,0)),"MISSING ITEM ID")</x:f>
        <x:v>Salvage</x:v>
      </x:c>
      <x:c r="D231" s="4" t="str">
        <x:v>Primary</x:v>
      </x:c>
      <x:c r="E231" s="4" t="str">
        <x:f>IFERROR(INDEX(Items!$AA$6:$AA$1005,MATCH(A231,Items!$A$6:$A$1005,0)),"MISSING ITEM ID")</x:f>
        <x:v>Food service</x:v>
      </x:c>
      <x:c r="F231" s="4" t="str">
        <x:v>Current item description. Catalog intent, not implemented actions.</x:v>
      </x:c>
    </x:row>
    <x:row r="232" ht="45" customHeight="1">
      <x:c r="A232" s="4" t="str">
        <x:v>proposal.culture.spoon</x:v>
      </x:c>
      <x:c r="B232" s="4" t="str">
        <x:f>IFERROR(INDEX(Items!$B$6:$B$1005,MATCH(A232,Items!$A$6:$A$1005,0)),"MISSING ITEM ID")</x:f>
        <x:v>Algae spoon / scraper</x:v>
      </x:c>
      <x:c r="C232" s="4" t="str">
        <x:f>IFERROR(INDEX(Items!$D$6:$D$1005,MATCH(A232,Items!$A$6:$A$1005,0)),"MISSING ITEM ID")</x:f>
        <x:v>Salvage</x:v>
      </x:c>
      <x:c r="D232" s="4" t="str">
        <x:v>Primary</x:v>
      </x:c>
      <x:c r="E232" s="4" t="str">
        <x:f>IFERROR(INDEX(Items!$AA$6:$AA$1005,MATCH(A232,Items!$A$6:$A$1005,0)),"MISSING ITEM ID")</x:f>
        <x:v>Food service</x:v>
      </x:c>
      <x:c r="F232" s="4" t="str">
        <x:v>Current item description. Catalog intent, not implemented actions.</x:v>
      </x:c>
    </x:row>
    <x:row r="233" ht="45" customHeight="1">
      <x:c r="A233" s="4" t="str">
        <x:v>proposal.culture.brush</x:v>
      </x:c>
      <x:c r="B233" s="4" t="str">
        <x:f>IFERROR(INDEX(Items!$B$6:$B$1005,MATCH(A233,Items!$A$6:$A$1005,0)),"MISSING ITEM ID")</x:f>
        <x:v>Dust brush</x:v>
      </x:c>
      <x:c r="C233" s="4" t="str">
        <x:f>IFERROR(INDEX(Items!$D$6:$D$1005,MATCH(A233,Items!$A$6:$A$1005,0)),"MISSING ITEM ID")</x:f>
        <x:v>Salvage</x:v>
      </x:c>
      <x:c r="D233" s="4" t="str">
        <x:v>Primary</x:v>
      </x:c>
      <x:c r="E233" s="4" t="str">
        <x:f>IFERROR(INDEX(Items!$AA$6:$AA$1005,MATCH(A233,Items!$A$6:$A$1005,0)),"MISSING ITEM ID")</x:f>
        <x:v>Cleaning</x:v>
      </x:c>
      <x:c r="F233" s="4" t="str">
        <x:v>Current item description. Catalog intent, not implemented actions.</x:v>
      </x:c>
    </x:row>
    <x:row r="234" ht="45" customHeight="1">
      <x:c r="A234" s="4" t="str">
        <x:v>proposal.culture.comb</x:v>
      </x:c>
      <x:c r="B234" s="4" t="str">
        <x:f>IFERROR(INDEX(Items!$B$6:$B$1005,MATCH(A234,Items!$A$6:$A$1005,0)),"MISSING ITEM ID")</x:f>
        <x:v>Shell comb</x:v>
      </x:c>
      <x:c r="C234" s="4" t="str">
        <x:f>IFERROR(INDEX(Items!$D$6:$D$1005,MATCH(A234,Items!$A$6:$A$1005,0)),"MISSING ITEM ID")</x:f>
        <x:v>Salvage</x:v>
      </x:c>
      <x:c r="D234" s="4" t="str">
        <x:v>Primary</x:v>
      </x:c>
      <x:c r="E234" s="4" t="str">
        <x:f>IFERROR(INDEX(Items!$AA$6:$AA$1005,MATCH(A234,Items!$A$6:$A$1005,0)),"MISSING ITEM ID")</x:f>
        <x:v>Grooming</x:v>
      </x:c>
      <x:c r="F234" s="4" t="str">
        <x:v>Current item description. Catalog intent, not implemented actions.</x:v>
      </x:c>
    </x:row>
    <x:row r="235" ht="45" customHeight="1">
      <x:c r="A235" s="4" t="str">
        <x:v>proposal.culture.tablet</x:v>
      </x:c>
      <x:c r="B235" s="4" t="str">
        <x:f>IFERROR(INDEX(Items!$B$6:$B$1005,MATCH(A235,Items!$A$6:$A$1005,0)),"MISSING ITEM ID")</x:f>
        <x:v>Reusable tally tablet</x:v>
      </x:c>
      <x:c r="C235" s="4" t="str">
        <x:f>IFERROR(INDEX(Items!$D$6:$D$1005,MATCH(A235,Items!$A$6:$A$1005,0)),"MISSING ITEM ID")</x:f>
        <x:v>Salvage</x:v>
      </x:c>
      <x:c r="D235" s="4" t="str">
        <x:v>Primary</x:v>
      </x:c>
      <x:c r="E235" s="4" t="str">
        <x:f>IFERROR(INDEX(Items!$AA$6:$AA$1005,MATCH(A235,Items!$A$6:$A$1005,0)),"MISSING ITEM ID")</x:f>
        <x:v>Writing and records</x:v>
      </x:c>
      <x:c r="F235" s="4" t="str">
        <x:v>Current item description. Catalog intent, not implemented actions.</x:v>
      </x:c>
    </x:row>
    <x:row r="236" ht="45" customHeight="1">
      <x:c r="A236" s="4" t="str">
        <x:v>proposal.culture.stylus</x:v>
      </x:c>
      <x:c r="B236" s="4" t="str">
        <x:f>IFERROR(INDEX(Items!$B$6:$B$1005,MATCH(A236,Items!$A$6:$A$1005,0)),"MISSING ITEM ID")</x:f>
        <x:v>Marking stylus</x:v>
      </x:c>
      <x:c r="C236" s="4" t="str">
        <x:f>IFERROR(INDEX(Items!$D$6:$D$1005,MATCH(A236,Items!$A$6:$A$1005,0)),"MISSING ITEM ID")</x:f>
        <x:v>Salvage</x:v>
      </x:c>
      <x:c r="D236" s="4" t="str">
        <x:v>Primary</x:v>
      </x:c>
      <x:c r="E236" s="4" t="str">
        <x:f>IFERROR(INDEX(Items!$AA$6:$AA$1005,MATCH(A236,Items!$A$6:$A$1005,0)),"MISSING ITEM ID")</x:f>
        <x:v>Writing and records</x:v>
      </x:c>
      <x:c r="F236" s="4" t="str">
        <x:v>Current item description. Catalog intent, not implemented actions.</x:v>
      </x:c>
    </x:row>
    <x:row r="237" ht="50" customHeight="1">
      <x:c r="A237" s="4" t="str">
        <x:v>proposal.ceramic.grog</x:v>
      </x:c>
      <x:c r="B237" s="4" t="str">
        <x:f>IFERROR(INDEX(Items!$B$6:$B$1005,MATCH(A237,Items!$A$6:$A$1005,0)),"MISSING ITEM ID")</x:f>
        <x:v>Crushed fired ceramic grit</x:v>
      </x:c>
      <x:c r="C237" s="4" t="str">
        <x:f>IFERROR(INDEX(Items!$D$6:$D$1005,MATCH(A237,Items!$A$6:$A$1005,0)),"MISSING ITEM ID")</x:f>
        <x:v>Manufactured stock</x:v>
      </x:c>
      <x:c r="D237" s="4" t="str">
        <x:v>Primary</x:v>
      </x:c>
      <x:c r="E237" s="4" t="str">
        <x:f>IFERROR(INDEX(Items!$AA$6:$AA$1005,MATCH(A237,Items!$A$6:$A$1005,0)),"MISSING ITEM ID")</x:f>
        <x:v>Glass and ceramics</x:v>
      </x:c>
      <x:c r="F237" s="4" t="str">
        <x:v>Ceramic item proposal. Catalog intent; compatibility and properties unresolved.</x:v>
      </x:c>
    </x:row>
    <x:row r="238" ht="50" customHeight="1">
      <x:c r="A238" s="4" t="str">
        <x:v>proposal.ceramic.grog</x:v>
      </x:c>
      <x:c r="B238" s="4" t="str">
        <x:f>IFERROR(INDEX(Items!$B$6:$B$1005,MATCH(A238,Items!$A$6:$A$1005,0)),"MISSING ITEM ID")</x:f>
        <x:v>Crushed fired ceramic grit</x:v>
      </x:c>
      <x:c r="C238" s="4" t="str">
        <x:f>IFERROR(INDEX(Items!$D$6:$D$1005,MATCH(A238,Items!$A$6:$A$1005,0)),"MISSING ITEM ID")</x:f>
        <x:v>Manufactured stock</x:v>
      </x:c>
      <x:c r="D238" s="4" t="str">
        <x:v>Secondary</x:v>
      </x:c>
      <x:c r="E238" s="4" t="str">
        <x:v>Fabrication</x:v>
      </x:c>
      <x:c r="F238" s="4" t="str">
        <x:v>Ceramic item proposal. Catalog intent; compatibility and properties unresolved.</x:v>
      </x:c>
    </x:row>
    <x:row r="239" ht="50" customHeight="1">
      <x:c r="A239" s="4" t="str">
        <x:v>proposal.ceramic.body_feed</x:v>
      </x:c>
      <x:c r="B239" s="4" t="str">
        <x:f>IFERROR(INDEX(Items!$B$6:$B$1005,MATCH(A239,Items!$A$6:$A$1005,0)),"MISSING ITEM ID")</x:f>
        <x:v>Prepared ceramic body feed</x:v>
      </x:c>
      <x:c r="C239" s="4" t="str">
        <x:f>IFERROR(INDEX(Items!$D$6:$D$1005,MATCH(A239,Items!$A$6:$A$1005,0)),"MISSING ITEM ID")</x:f>
        <x:v>Manufactured stock</x:v>
      </x:c>
      <x:c r="D239" s="4" t="str">
        <x:v>Primary</x:v>
      </x:c>
      <x:c r="E239" s="4" t="str">
        <x:f>IFERROR(INDEX(Items!$AA$6:$AA$1005,MATCH(A239,Items!$A$6:$A$1005,0)),"MISSING ITEM ID")</x:f>
        <x:v>Glass and ceramics</x:v>
      </x:c>
      <x:c r="F239" s="4" t="str">
        <x:v>Ceramic item proposal. Catalog intent; compatibility and properties unresolved.</x:v>
      </x:c>
    </x:row>
    <x:row r="240" ht="50" customHeight="1">
      <x:c r="A240" s="4" t="str">
        <x:v>proposal.ceramic.body_feed</x:v>
      </x:c>
      <x:c r="B240" s="4" t="str">
        <x:f>IFERROR(INDEX(Items!$B$6:$B$1005,MATCH(A240,Items!$A$6:$A$1005,0)),"MISSING ITEM ID")</x:f>
        <x:v>Prepared ceramic body feed</x:v>
      </x:c>
      <x:c r="C240" s="4" t="str">
        <x:f>IFERROR(INDEX(Items!$D$6:$D$1005,MATCH(A240,Items!$A$6:$A$1005,0)),"MISSING ITEM ID")</x:f>
        <x:v>Manufactured stock</x:v>
      </x:c>
      <x:c r="D240" s="4" t="str">
        <x:v>Secondary</x:v>
      </x:c>
      <x:c r="E240" s="4" t="str">
        <x:v>Fabrication</x:v>
      </x:c>
      <x:c r="F240" s="4" t="str">
        <x:v>Ceramic item proposal. Catalog intent; compatibility and properties unresolved.</x:v>
      </x:c>
    </x:row>
    <x:row r="241" ht="50" customHeight="1">
      <x:c r="A241" s="4" t="str">
        <x:v>proposal.ceramic.glaze_feed</x:v>
      </x:c>
      <x:c r="B241" s="4" t="str">
        <x:f>IFERROR(INDEX(Items!$B$6:$B$1005,MATCH(A241,Items!$A$6:$A$1005,0)),"MISSING ITEM ID")</x:f>
        <x:v>Prepared glaze feed</x:v>
      </x:c>
      <x:c r="C241" s="4" t="str">
        <x:f>IFERROR(INDEX(Items!$D$6:$D$1005,MATCH(A241,Items!$A$6:$A$1005,0)),"MISSING ITEM ID")</x:f>
        <x:v>Manufactured stock</x:v>
      </x:c>
      <x:c r="D241" s="4" t="str">
        <x:v>Primary</x:v>
      </x:c>
      <x:c r="E241" s="4" t="str">
        <x:f>IFERROR(INDEX(Items!$AA$6:$AA$1005,MATCH(A241,Items!$A$6:$A$1005,0)),"MISSING ITEM ID")</x:f>
        <x:v>Glass and ceramics</x:v>
      </x:c>
      <x:c r="F241" s="4" t="str">
        <x:v>Ceramic item proposal. Catalog intent; compatibility and properties unresolved.</x:v>
      </x:c>
    </x:row>
    <x:row r="242" ht="50" customHeight="1">
      <x:c r="A242" s="4" t="str">
        <x:v>proposal.ceramic.glaze_feed</x:v>
      </x:c>
      <x:c r="B242" s="4" t="str">
        <x:f>IFERROR(INDEX(Items!$B$6:$B$1005,MATCH(A242,Items!$A$6:$A$1005,0)),"MISSING ITEM ID")</x:f>
        <x:v>Prepared glaze feed</x:v>
      </x:c>
      <x:c r="C242" s="4" t="str">
        <x:f>IFERROR(INDEX(Items!$D$6:$D$1005,MATCH(A242,Items!$A$6:$A$1005,0)),"MISSING ITEM ID")</x:f>
        <x:v>Manufactured stock</x:v>
      </x:c>
      <x:c r="D242" s="4" t="str">
        <x:v>Secondary</x:v>
      </x:c>
      <x:c r="E242" s="4" t="str">
        <x:v>Surface finishing</x:v>
      </x:c>
      <x:c r="F242" s="4" t="str">
        <x:v>Ceramic item proposal. Catalog intent; compatibility and properties unresolved.</x:v>
      </x:c>
    </x:row>
    <x:row r="243" ht="50" customHeight="1">
      <x:c r="A243" s="4" t="str">
        <x:v>proposal.ceramic.unfired_blank</x:v>
      </x:c>
      <x:c r="B243" s="4" t="str">
        <x:f>IFERROR(INDEX(Items!$B$6:$B$1005,MATCH(A243,Items!$A$6:$A$1005,0)),"MISSING ITEM ID")</x:f>
        <x:v>Unfired shaped ceramic blank</x:v>
      </x:c>
      <x:c r="C243" s="4" t="str">
        <x:f>IFERROR(INDEX(Items!$D$6:$D$1005,MATCH(A243,Items!$A$6:$A$1005,0)),"MISSING ITEM ID")</x:f>
        <x:v>Crafting components</x:v>
      </x:c>
      <x:c r="D243" s="4" t="str">
        <x:v>Primary</x:v>
      </x:c>
      <x:c r="E243" s="4" t="str">
        <x:f>IFERROR(INDEX(Items!$AA$6:$AA$1005,MATCH(A243,Items!$A$6:$A$1005,0)),"MISSING ITEM ID")</x:f>
        <x:v>Glass and ceramics</x:v>
      </x:c>
      <x:c r="F243" s="4" t="str">
        <x:v>Ceramic item proposal. Catalog intent; compatibility and properties unresolved.</x:v>
      </x:c>
    </x:row>
    <x:row r="244" ht="50" customHeight="1">
      <x:c r="A244" s="4" t="str">
        <x:v>proposal.ceramic.bowl</x:v>
      </x:c>
      <x:c r="B244" s="4" t="str">
        <x:f>IFERROR(INDEX(Items!$B$6:$B$1005,MATCH(A244,Items!$A$6:$A$1005,0)),"MISSING ITEM ID")</x:f>
        <x:v>Plain ceramic eating bowl</x:v>
      </x:c>
      <x:c r="C244" s="4" t="str">
        <x:f>IFERROR(INDEX(Items!$D$6:$D$1005,MATCH(A244,Items!$A$6:$A$1005,0)),"MISSING ITEM ID")</x:f>
        <x:v>Salvage</x:v>
      </x:c>
      <x:c r="D244" s="4" t="str">
        <x:v>Primary</x:v>
      </x:c>
      <x:c r="E244" s="4" t="str">
        <x:f>IFERROR(INDEX(Items!$AA$6:$AA$1005,MATCH(A244,Items!$A$6:$A$1005,0)),"MISSING ITEM ID")</x:f>
        <x:v>Food service</x:v>
      </x:c>
      <x:c r="F244" s="4" t="str">
        <x:v>Ceramic item proposal. Catalog intent; compatibility and properties unresolved.</x:v>
      </x:c>
    </x:row>
    <x:row r="245" ht="50" customHeight="1">
      <x:c r="A245" s="4" t="str">
        <x:v>proposal.ceramic.cup</x:v>
      </x:c>
      <x:c r="B245" s="4" t="str">
        <x:f>IFERROR(INDEX(Items!$B$6:$B$1005,MATCH(A245,Items!$A$6:$A$1005,0)),"MISSING ITEM ID")</x:f>
        <x:v>Small ceramic cup</x:v>
      </x:c>
      <x:c r="C245" s="4" t="str">
        <x:f>IFERROR(INDEX(Items!$D$6:$D$1005,MATCH(A245,Items!$A$6:$A$1005,0)),"MISSING ITEM ID")</x:f>
        <x:v>Salvage</x:v>
      </x:c>
      <x:c r="D245" s="4" t="str">
        <x:v>Primary</x:v>
      </x:c>
      <x:c r="E245" s="4" t="str">
        <x:f>IFERROR(INDEX(Items!$AA$6:$AA$1005,MATCH(A245,Items!$A$6:$A$1005,0)),"MISSING ITEM ID")</x:f>
        <x:v>Food service</x:v>
      </x:c>
      <x:c r="F245" s="4" t="str">
        <x:v>Ceramic item proposal. Catalog intent; compatibility and properties unresolved.</x:v>
      </x:c>
    </x:row>
    <x:row r="246" ht="50" customHeight="1">
      <x:c r="A246" s="4" t="str">
        <x:v>proposal.ceramic.plate</x:v>
      </x:c>
      <x:c r="B246" s="4" t="str">
        <x:f>IFERROR(INDEX(Items!$B$6:$B$1005,MATCH(A246,Items!$A$6:$A$1005,0)),"MISSING ITEM ID")</x:f>
        <x:v>Ceramic serving plate</x:v>
      </x:c>
      <x:c r="C246" s="4" t="str">
        <x:f>IFERROR(INDEX(Items!$D$6:$D$1005,MATCH(A246,Items!$A$6:$A$1005,0)),"MISSING ITEM ID")</x:f>
        <x:v>Salvage</x:v>
      </x:c>
      <x:c r="D246" s="4" t="str">
        <x:v>Primary</x:v>
      </x:c>
      <x:c r="E246" s="4" t="str">
        <x:f>IFERROR(INDEX(Items!$AA$6:$AA$1005,MATCH(A246,Items!$A$6:$A$1005,0)),"MISSING ITEM ID")</x:f>
        <x:v>Food service</x:v>
      </x:c>
      <x:c r="F246" s="4" t="str">
        <x:v>Ceramic item proposal. Catalog intent; compatibility and properties unresolved.</x:v>
      </x:c>
    </x:row>
    <x:row r="247" ht="50" customHeight="1">
      <x:c r="A247" s="4" t="str">
        <x:v>proposal.ceramic.storage_crock</x:v>
      </x:c>
      <x:c r="B247" s="4" t="str">
        <x:f>IFERROR(INDEX(Items!$B$6:$B$1005,MATCH(A247,Items!$A$6:$A$1005,0)),"MISSING ITEM ID")</x:f>
        <x:v>Ceramic dry-storage crock</x:v>
      </x:c>
      <x:c r="C247" s="4" t="str">
        <x:f>IFERROR(INDEX(Items!$D$6:$D$1005,MATCH(A247,Items!$A$6:$A$1005,0)),"MISSING ITEM ID")</x:f>
        <x:v>Salvage</x:v>
      </x:c>
      <x:c r="D247" s="4" t="str">
        <x:v>Primary</x:v>
      </x:c>
      <x:c r="E247" s="4" t="str">
        <x:f>IFERROR(INDEX(Items!$AA$6:$AA$1005,MATCH(A247,Items!$A$6:$A$1005,0)),"MISSING ITEM ID")</x:f>
        <x:v>Cargo organization</x:v>
      </x:c>
      <x:c r="F247" s="4" t="str">
        <x:v>Ceramic item proposal. Catalog intent; compatibility and properties unresolved.</x:v>
      </x:c>
    </x:row>
    <x:row r="248" ht="50" customHeight="1">
      <x:c r="A248" s="4" t="str">
        <x:v>proposal.ceramic.storage_crock</x:v>
      </x:c>
      <x:c r="B248" s="4" t="str">
        <x:f>IFERROR(INDEX(Items!$B$6:$B$1005,MATCH(A248,Items!$A$6:$A$1005,0)),"MISSING ITEM ID")</x:f>
        <x:v>Ceramic dry-storage crock</x:v>
      </x:c>
      <x:c r="C248" s="4" t="str">
        <x:f>IFERROR(INDEX(Items!$D$6:$D$1005,MATCH(A248,Items!$A$6:$A$1005,0)),"MISSING ITEM ID")</x:f>
        <x:v>Salvage</x:v>
      </x:c>
      <x:c r="D248" s="4" t="str">
        <x:v>Secondary</x:v>
      </x:c>
      <x:c r="E248" s="4" t="str">
        <x:v>Liquid and bulk containment</x:v>
      </x:c>
      <x:c r="F248" s="4" t="str">
        <x:v>Ceramic item proposal. Catalog intent; compatibility and properties unresolved.</x:v>
      </x:c>
    </x:row>
    <x:row r="249" ht="50" customHeight="1">
      <x:c r="A249" s="4" t="str">
        <x:v>proposal.ceramic.crucible</x:v>
      </x:c>
      <x:c r="B249" s="4" t="str">
        <x:f>IFERROR(INDEX(Items!$B$6:$B$1005,MATCH(A249,Items!$A$6:$A$1005,0)),"MISSING ITEM ID")</x:f>
        <x:v>Ceramic crucible</x:v>
      </x:c>
      <x:c r="C249" s="4" t="str">
        <x:f>IFERROR(INDEX(Items!$D$6:$D$1005,MATCH(A249,Items!$A$6:$A$1005,0)),"MISSING ITEM ID")</x:f>
        <x:v>Salvage</x:v>
      </x:c>
      <x:c r="D249" s="4" t="str">
        <x:v>Primary</x:v>
      </x:c>
      <x:c r="E249" s="4" t="str">
        <x:f>IFERROR(INDEX(Items!$AA$6:$AA$1005,MATCH(A249,Items!$A$6:$A$1005,0)),"MISSING ITEM ID")</x:f>
        <x:v>Metal refining</x:v>
      </x:c>
      <x:c r="F249" s="4" t="str">
        <x:v>Ceramic item proposal. Catalog intent; compatibility and properties unresolved.</x:v>
      </x:c>
    </x:row>
    <x:row r="250" ht="50" customHeight="1">
      <x:c r="A250" s="4" t="str">
        <x:v>proposal.ceramic.crucible</x:v>
      </x:c>
      <x:c r="B250" s="4" t="str">
        <x:f>IFERROR(INDEX(Items!$B$6:$B$1005,MATCH(A250,Items!$A$6:$A$1005,0)),"MISSING ITEM ID")</x:f>
        <x:v>Ceramic crucible</x:v>
      </x:c>
      <x:c r="C250" s="4" t="str">
        <x:f>IFERROR(INDEX(Items!$D$6:$D$1005,MATCH(A250,Items!$A$6:$A$1005,0)),"MISSING ITEM ID")</x:f>
        <x:v>Salvage</x:v>
      </x:c>
      <x:c r="D250" s="4" t="str">
        <x:v>Secondary</x:v>
      </x:c>
      <x:c r="E250" s="4" t="str">
        <x:v>Glass and ceramics</x:v>
      </x:c>
      <x:c r="F250" s="4" t="str">
        <x:v>Ceramic item proposal. Catalog intent; compatibility and properties unresolved.</x:v>
      </x:c>
    </x:row>
    <x:row r="251" ht="50" customHeight="1">
      <x:c r="A251" s="4" t="str">
        <x:v>proposal.ceramic.casting_mold</x:v>
      </x:c>
      <x:c r="B251" s="4" t="str">
        <x:f>IFERROR(INDEX(Items!$B$6:$B$1005,MATCH(A251,Items!$A$6:$A$1005,0)),"MISSING ITEM ID")</x:f>
        <x:v>Ceramic casting mold</x:v>
      </x:c>
      <x:c r="C251" s="4" t="str">
        <x:f>IFERROR(INDEX(Items!$D$6:$D$1005,MATCH(A251,Items!$A$6:$A$1005,0)),"MISSING ITEM ID")</x:f>
        <x:v>Salvage</x:v>
      </x:c>
      <x:c r="D251" s="4" t="str">
        <x:v>Primary</x:v>
      </x:c>
      <x:c r="E251" s="4" t="str">
        <x:f>IFERROR(INDEX(Items!$AA$6:$AA$1005,MATCH(A251,Items!$A$6:$A$1005,0)),"MISSING ITEM ID")</x:f>
        <x:v>Fabrication</x:v>
      </x:c>
      <x:c r="F251" s="4" t="str">
        <x:v>Ceramic item proposal. Catalog intent; compatibility and properties unresolved.</x:v>
      </x:c>
    </x:row>
    <x:row r="252" ht="50" customHeight="1">
      <x:c r="A252" s="4" t="str">
        <x:v>proposal.ceramic.casting_mold</x:v>
      </x:c>
      <x:c r="B252" s="4" t="str">
        <x:f>IFERROR(INDEX(Items!$B$6:$B$1005,MATCH(A252,Items!$A$6:$A$1005,0)),"MISSING ITEM ID")</x:f>
        <x:v>Ceramic casting mold</x:v>
      </x:c>
      <x:c r="C252" s="4" t="str">
        <x:f>IFERROR(INDEX(Items!$D$6:$D$1005,MATCH(A252,Items!$A$6:$A$1005,0)),"MISSING ITEM ID")</x:f>
        <x:v>Salvage</x:v>
      </x:c>
      <x:c r="D252" s="4" t="str">
        <x:v>Secondary</x:v>
      </x:c>
      <x:c r="E252" s="4" t="str">
        <x:v>Metal refining</x:v>
      </x:c>
      <x:c r="F252" s="4" t="str">
        <x:v>Ceramic item proposal. Catalog intent; compatibility and properties unresolved.</x:v>
      </x:c>
    </x:row>
    <x:row r="253" ht="50" customHeight="1">
      <x:c r="A253" s="4" t="str">
        <x:v>proposal.ceramic.mortar</x:v>
      </x:c>
      <x:c r="B253" s="4" t="str">
        <x:f>IFERROR(INDEX(Items!$B$6:$B$1005,MATCH(A253,Items!$A$6:$A$1005,0)),"MISSING ITEM ID")</x:f>
        <x:v>Ceramic grinding mortar</x:v>
      </x:c>
      <x:c r="C253" s="4" t="str">
        <x:f>IFERROR(INDEX(Items!$D$6:$D$1005,MATCH(A253,Items!$A$6:$A$1005,0)),"MISSING ITEM ID")</x:f>
        <x:v>Salvage</x:v>
      </x:c>
      <x:c r="D253" s="4" t="str">
        <x:v>Primary</x:v>
      </x:c>
      <x:c r="E253" s="4" t="str">
        <x:f>IFERROR(INDEX(Items!$AA$6:$AA$1005,MATCH(A253,Items!$A$6:$A$1005,0)),"MISSING ITEM ID")</x:f>
        <x:v>Chemical processing</x:v>
      </x:c>
      <x:c r="F253" s="4" t="str">
        <x:v>Ceramic item proposal. Catalog intent; compatibility and properties unresolved.</x:v>
      </x:c>
    </x:row>
    <x:row r="254" ht="50" customHeight="1">
      <x:c r="A254" s="4" t="str">
        <x:v>proposal.ceramic.mortar</x:v>
      </x:c>
      <x:c r="B254" s="4" t="str">
        <x:f>IFERROR(INDEX(Items!$B$6:$B$1005,MATCH(A254,Items!$A$6:$A$1005,0)),"MISSING ITEM ID")</x:f>
        <x:v>Ceramic grinding mortar</x:v>
      </x:c>
      <x:c r="C254" s="4" t="str">
        <x:f>IFERROR(INDEX(Items!$D$6:$D$1005,MATCH(A254,Items!$A$6:$A$1005,0)),"MISSING ITEM ID")</x:f>
        <x:v>Salvage</x:v>
      </x:c>
      <x:c r="D254" s="4" t="str">
        <x:v>Secondary</x:v>
      </x:c>
      <x:c r="E254" s="4" t="str">
        <x:v>Glass and ceramics</x:v>
      </x:c>
      <x:c r="F254" s="4" t="str">
        <x:v>Ceramic item proposal. Catalog intent; compatibility and properties unresolved.</x:v>
      </x:c>
    </x:row>
    <x:row r="255" ht="50" customHeight="1">
      <x:c r="A255" s="4" t="str">
        <x:v>proposal.ceramic.pestle</x:v>
      </x:c>
      <x:c r="B255" s="4" t="str">
        <x:f>IFERROR(INDEX(Items!$B$6:$B$1005,MATCH(A255,Items!$A$6:$A$1005,0)),"MISSING ITEM ID")</x:f>
        <x:v>Ceramic pestle</x:v>
      </x:c>
      <x:c r="C255" s="4" t="str">
        <x:f>IFERROR(INDEX(Items!$D$6:$D$1005,MATCH(A255,Items!$A$6:$A$1005,0)),"MISSING ITEM ID")</x:f>
        <x:v>Salvage</x:v>
      </x:c>
      <x:c r="D255" s="4" t="str">
        <x:v>Primary</x:v>
      </x:c>
      <x:c r="E255" s="4" t="str">
        <x:f>IFERROR(INDEX(Items!$AA$6:$AA$1005,MATCH(A255,Items!$A$6:$A$1005,0)),"MISSING ITEM ID")</x:f>
        <x:v>Chemical processing</x:v>
      </x:c>
      <x:c r="F255" s="4" t="str">
        <x:v>Ceramic item proposal. Catalog intent; compatibility and properties unresolved.</x:v>
      </x:c>
    </x:row>
    <x:row r="256" ht="50" customHeight="1">
      <x:c r="A256" s="4" t="str">
        <x:v>proposal.ceramic.pestle</x:v>
      </x:c>
      <x:c r="B256" s="4" t="str">
        <x:f>IFERROR(INDEX(Items!$B$6:$B$1005,MATCH(A256,Items!$A$6:$A$1005,0)),"MISSING ITEM ID")</x:f>
        <x:v>Ceramic pestle</x:v>
      </x:c>
      <x:c r="C256" s="4" t="str">
        <x:f>IFERROR(INDEX(Items!$D$6:$D$1005,MATCH(A256,Items!$A$6:$A$1005,0)),"MISSING ITEM ID")</x:f>
        <x:v>Salvage</x:v>
      </x:c>
      <x:c r="D256" s="4" t="str">
        <x:v>Secondary</x:v>
      </x:c>
      <x:c r="E256" s="4" t="str">
        <x:v>Glass and ceramics</x:v>
      </x:c>
      <x:c r="F256" s="4" t="str">
        <x:v>Ceramic item proposal. Catalog intent; compatibility and properties unresolved.</x:v>
      </x:c>
    </x:row>
    <x:row r="257" ht="50" customHeight="1">
      <x:c r="A257" s="4" t="str">
        <x:v>proposal.ceramic.firing_tray</x:v>
      </x:c>
      <x:c r="B257" s="4" t="str">
        <x:f>IFERROR(INDEX(Items!$B$6:$B$1005,MATCH(A257,Items!$A$6:$A$1005,0)),"MISSING ITEM ID")</x:f>
        <x:v>Ceramic firing tray</x:v>
      </x:c>
      <x:c r="C257" s="4" t="str">
        <x:f>IFERROR(INDEX(Items!$D$6:$D$1005,MATCH(A257,Items!$A$6:$A$1005,0)),"MISSING ITEM ID")</x:f>
        <x:v>Salvage</x:v>
      </x:c>
      <x:c r="D257" s="4" t="str">
        <x:v>Primary</x:v>
      </x:c>
      <x:c r="E257" s="4" t="str">
        <x:f>IFERROR(INDEX(Items!$AA$6:$AA$1005,MATCH(A257,Items!$A$6:$A$1005,0)),"MISSING ITEM ID")</x:f>
        <x:v>Glass and ceramics</x:v>
      </x:c>
      <x:c r="F257" s="4" t="str">
        <x:v>Ceramic item proposal. Catalog intent; compatibility and properties unresolved.</x:v>
      </x:c>
    </x:row>
    <x:row r="258" ht="50" customHeight="1">
      <x:c r="A258" s="4" t="str">
        <x:v>proposal.ceramic.refractory_brick</x:v>
      </x:c>
      <x:c r="B258" s="4" t="str">
        <x:f>IFERROR(INDEX(Items!$B$6:$B$1005,MATCH(A258,Items!$A$6:$A$1005,0)),"MISSING ITEM ID")</x:f>
        <x:v>Refractory ceramic brick</x:v>
      </x:c>
      <x:c r="C258" s="4" t="str">
        <x:f>IFERROR(INDEX(Items!$D$6:$D$1005,MATCH(A258,Items!$A$6:$A$1005,0)),"MISSING ITEM ID")</x:f>
        <x:v>Crafting components</x:v>
      </x:c>
      <x:c r="D258" s="4" t="str">
        <x:v>Primary</x:v>
      </x:c>
      <x:c r="E258" s="4" t="str">
        <x:f>IFERROR(INDEX(Items!$AA$6:$AA$1005,MATCH(A258,Items!$A$6:$A$1005,0)),"MISSING ITEM ID")</x:f>
        <x:v>Protective fabrication</x:v>
      </x:c>
      <x:c r="F258" s="4" t="str">
        <x:v>Ceramic item proposal. Catalog intent; compatibility and properties unresolved.</x:v>
      </x:c>
    </x:row>
    <x:row r="259" ht="50" customHeight="1">
      <x:c r="A259" s="4" t="str">
        <x:v>proposal.ceramic.refractory_brick</x:v>
      </x:c>
      <x:c r="B259" s="4" t="str">
        <x:f>IFERROR(INDEX(Items!$B$6:$B$1005,MATCH(A259,Items!$A$6:$A$1005,0)),"MISSING ITEM ID")</x:f>
        <x:v>Refractory ceramic brick</x:v>
      </x:c>
      <x:c r="C259" s="4" t="str">
        <x:f>IFERROR(INDEX(Items!$D$6:$D$1005,MATCH(A259,Items!$A$6:$A$1005,0)),"MISSING ITEM ID")</x:f>
        <x:v>Crafting components</x:v>
      </x:c>
      <x:c r="D259" s="4" t="str">
        <x:v>Secondary</x:v>
      </x:c>
      <x:c r="E259" s="4" t="str">
        <x:v>Glass and ceramics</x:v>
      </x:c>
      <x:c r="F259" s="4" t="str">
        <x:v>Ceramic item proposal. Catalog intent; compatibility and properties unresolved.</x:v>
      </x:c>
    </x:row>
    <x:row r="260" ht="50" customHeight="1">
      <x:c r="A260" s="4" t="str">
        <x:v>proposal.ceramic.refractory_brick</x:v>
      </x:c>
      <x:c r="B260" s="4" t="str">
        <x:f>IFERROR(INDEX(Items!$B$6:$B$1005,MATCH(A260,Items!$A$6:$A$1005,0)),"MISSING ITEM ID")</x:f>
        <x:v>Refractory ceramic brick</x:v>
      </x:c>
      <x:c r="C260" s="4" t="str">
        <x:f>IFERROR(INDEX(Items!$D$6:$D$1005,MATCH(A260,Items!$A$6:$A$1005,0)),"MISSING ITEM ID")</x:f>
        <x:v>Crafting components</x:v>
      </x:c>
      <x:c r="D260" s="4" t="str">
        <x:v>Secondary</x:v>
      </x:c>
      <x:c r="E260" s="4" t="str">
        <x:v>Metal refining</x:v>
      </x:c>
      <x:c r="F260" s="4" t="str">
        <x:v>Ceramic item proposal. Catalog intent; compatibility and properties unresolved.</x:v>
      </x:c>
    </x:row>
    <x:row r="261" ht="50" customHeight="1">
      <x:c r="A261" s="4" t="str">
        <x:v>proposal.ceramic.kiln_liner</x:v>
      </x:c>
      <x:c r="B261" s="4" t="str">
        <x:f>IFERROR(INDEX(Items!$B$6:$B$1005,MATCH(A261,Items!$A$6:$A$1005,0)),"MISSING ITEM ID")</x:f>
        <x:v>Ceramic kiln lining panel</x:v>
      </x:c>
      <x:c r="C261" s="4" t="str">
        <x:f>IFERROR(INDEX(Items!$D$6:$D$1005,MATCH(A261,Items!$A$6:$A$1005,0)),"MISSING ITEM ID")</x:f>
        <x:v>Crafting components</x:v>
      </x:c>
      <x:c r="D261" s="4" t="str">
        <x:v>Primary</x:v>
      </x:c>
      <x:c r="E261" s="4" t="str">
        <x:f>IFERROR(INDEX(Items!$AA$6:$AA$1005,MATCH(A261,Items!$A$6:$A$1005,0)),"MISSING ITEM ID")</x:f>
        <x:v>Protective fabrication</x:v>
      </x:c>
      <x:c r="F261" s="4" t="str">
        <x:v>Ceramic item proposal. Catalog intent; compatibility and properties unresolved.</x:v>
      </x:c>
    </x:row>
    <x:row r="262" ht="50" customHeight="1">
      <x:c r="A262" s="4" t="str">
        <x:v>proposal.ceramic.kiln_liner</x:v>
      </x:c>
      <x:c r="B262" s="4" t="str">
        <x:f>IFERROR(INDEX(Items!$B$6:$B$1005,MATCH(A262,Items!$A$6:$A$1005,0)),"MISSING ITEM ID")</x:f>
        <x:v>Ceramic kiln lining panel</x:v>
      </x:c>
      <x:c r="C262" s="4" t="str">
        <x:f>IFERROR(INDEX(Items!$D$6:$D$1005,MATCH(A262,Items!$A$6:$A$1005,0)),"MISSING ITEM ID")</x:f>
        <x:v>Crafting components</x:v>
      </x:c>
      <x:c r="D262" s="4" t="str">
        <x:v>Secondary</x:v>
      </x:c>
      <x:c r="E262" s="4" t="str">
        <x:v>Glass and ceramics</x:v>
      </x:c>
      <x:c r="F262" s="4" t="str">
        <x:v>Ceramic item proposal. Catalog intent; compatibility and properties unresolved.</x:v>
      </x:c>
    </x:row>
    <x:row r="263" ht="50" customHeight="1">
      <x:c r="A263" s="4" t="str">
        <x:v>proposal.ceramic.bead</x:v>
      </x:c>
      <x:c r="B263" s="4" t="str">
        <x:f>IFERROR(INDEX(Items!$B$6:$B$1005,MATCH(A263,Items!$A$6:$A$1005,0)),"MISSING ITEM ID")</x:f>
        <x:v>Ceramic insulating bead</x:v>
      </x:c>
      <x:c r="C263" s="4" t="str">
        <x:f>IFERROR(INDEX(Items!$D$6:$D$1005,MATCH(A263,Items!$A$6:$A$1005,0)),"MISSING ITEM ID")</x:f>
        <x:v>Crafting components</x:v>
      </x:c>
      <x:c r="D263" s="4" t="str">
        <x:v>Primary</x:v>
      </x:c>
      <x:c r="E263" s="4" t="str">
        <x:f>IFERROR(INDEX(Items!$AA$6:$AA$1005,MATCH(A263,Items!$A$6:$A$1005,0)),"MISSING ITEM ID")</x:f>
        <x:v>Electrical insulation</x:v>
      </x:c>
      <x:c r="F263" s="4" t="str">
        <x:v>Ceramic item proposal. Catalog intent; compatibility and properties unresolved.</x:v>
      </x:c>
    </x:row>
    <x:row r="264" ht="50" customHeight="1">
      <x:c r="A264" s="4" t="str">
        <x:v>proposal.ceramic.bead</x:v>
      </x:c>
      <x:c r="B264" s="4" t="str">
        <x:f>IFERROR(INDEX(Items!$B$6:$B$1005,MATCH(A264,Items!$A$6:$A$1005,0)),"MISSING ITEM ID")</x:f>
        <x:v>Ceramic insulating bead</x:v>
      </x:c>
      <x:c r="C264" s="4" t="str">
        <x:f>IFERROR(INDEX(Items!$D$6:$D$1005,MATCH(A264,Items!$A$6:$A$1005,0)),"MISSING ITEM ID")</x:f>
        <x:v>Crafting components</x:v>
      </x:c>
      <x:c r="D264" s="4" t="str">
        <x:v>Secondary</x:v>
      </x:c>
      <x:c r="E264" s="4" t="str">
        <x:v>Electrical work</x:v>
      </x:c>
      <x:c r="F264" s="4" t="str">
        <x:v>Ceramic item proposal. Catalog intent; compatibility and properties unresolved.</x:v>
      </x:c>
    </x:row>
    <x:row r="265" ht="50" customHeight="1">
      <x:c r="A265" s="4" t="str">
        <x:v>proposal.ceramic.spacer</x:v>
      </x:c>
      <x:c r="B265" s="4" t="str">
        <x:f>IFERROR(INDEX(Items!$B$6:$B$1005,MATCH(A265,Items!$A$6:$A$1005,0)),"MISSING ITEM ID")</x:f>
        <x:v>Ceramic insulating spacer</x:v>
      </x:c>
      <x:c r="C265" s="4" t="str">
        <x:f>IFERROR(INDEX(Items!$D$6:$D$1005,MATCH(A265,Items!$A$6:$A$1005,0)),"MISSING ITEM ID")</x:f>
        <x:v>Crafting components</x:v>
      </x:c>
      <x:c r="D265" s="4" t="str">
        <x:v>Primary</x:v>
      </x:c>
      <x:c r="E265" s="4" t="str">
        <x:f>IFERROR(INDEX(Items!$AA$6:$AA$1005,MATCH(A265,Items!$A$6:$A$1005,0)),"MISSING ITEM ID")</x:f>
        <x:v>Electrical insulation</x:v>
      </x:c>
      <x:c r="F265" s="4" t="str">
        <x:v>Ceramic item proposal. Catalog intent; compatibility and properties unresolved.</x:v>
      </x:c>
    </x:row>
    <x:row r="266" ht="50" customHeight="1">
      <x:c r="A266" s="4" t="str">
        <x:v>proposal.ceramic.spacer</x:v>
      </x:c>
      <x:c r="B266" s="4" t="str">
        <x:f>IFERROR(INDEX(Items!$B$6:$B$1005,MATCH(A266,Items!$A$6:$A$1005,0)),"MISSING ITEM ID")</x:f>
        <x:v>Ceramic insulating spacer</x:v>
      </x:c>
      <x:c r="C266" s="4" t="str">
        <x:f>IFERROR(INDEX(Items!$D$6:$D$1005,MATCH(A266,Items!$A$6:$A$1005,0)),"MISSING ITEM ID")</x:f>
        <x:v>Crafting components</x:v>
      </x:c>
      <x:c r="D266" s="4" t="str">
        <x:v>Secondary</x:v>
      </x:c>
      <x:c r="E266" s="4" t="str">
        <x:v>Electrical work</x:v>
      </x:c>
      <x:c r="F266" s="4" t="str">
        <x:v>Ceramic item proposal. Catalog intent; compatibility and properties unresolved.</x:v>
      </x:c>
    </x:row>
    <x:row r="267" ht="50" customHeight="1">
      <x:c r="A267" s="4" t="str">
        <x:v>proposal.ceramic.feedthrough</x:v>
      </x:c>
      <x:c r="B267" s="4" t="str">
        <x:f>IFERROR(INDEX(Items!$B$6:$B$1005,MATCH(A267,Items!$A$6:$A$1005,0)),"MISSING ITEM ID")</x:f>
        <x:v>Ceramic electrical feedthrough</x:v>
      </x:c>
      <x:c r="C267" s="4" t="str">
        <x:f>IFERROR(INDEX(Items!$D$6:$D$1005,MATCH(A267,Items!$A$6:$A$1005,0)),"MISSING ITEM ID")</x:f>
        <x:v>Crafting components</x:v>
      </x:c>
      <x:c r="D267" s="4" t="str">
        <x:v>Primary</x:v>
      </x:c>
      <x:c r="E267" s="4" t="str">
        <x:f>IFERROR(INDEX(Items!$AA$6:$AA$1005,MATCH(A267,Items!$A$6:$A$1005,0)),"MISSING ITEM ID")</x:f>
        <x:v>Electrical insulation</x:v>
      </x:c>
      <x:c r="F267" s="4" t="str">
        <x:v>Ceramic item proposal. Catalog intent; compatibility and properties unresolved.</x:v>
      </x:c>
    </x:row>
    <x:row r="268" ht="50" customHeight="1">
      <x:c r="A268" s="4" t="str">
        <x:v>proposal.ceramic.feedthrough</x:v>
      </x:c>
      <x:c r="B268" s="4" t="str">
        <x:f>IFERROR(INDEX(Items!$B$6:$B$1005,MATCH(A268,Items!$A$6:$A$1005,0)),"MISSING ITEM ID")</x:f>
        <x:v>Ceramic electrical feedthrough</x:v>
      </x:c>
      <x:c r="C268" s="4" t="str">
        <x:f>IFERROR(INDEX(Items!$D$6:$D$1005,MATCH(A268,Items!$A$6:$A$1005,0)),"MISSING ITEM ID")</x:f>
        <x:v>Crafting components</x:v>
      </x:c>
      <x:c r="D268" s="4" t="str">
        <x:v>Secondary</x:v>
      </x:c>
      <x:c r="E268" s="4" t="str">
        <x:v>Electrical conduction</x:v>
      </x:c>
      <x:c r="F268" s="4" t="str">
        <x:v>Ceramic item proposal. Catalog intent; compatibility and properties unresolved.</x:v>
      </x:c>
    </x:row>
    <x:row r="269" ht="50" customHeight="1">
      <x:c r="A269" s="4" t="str">
        <x:v>proposal.ceramic.stopper</x:v>
      </x:c>
      <x:c r="B269" s="4" t="str">
        <x:f>IFERROR(INDEX(Items!$B$6:$B$1005,MATCH(A269,Items!$A$6:$A$1005,0)),"MISSING ITEM ID")</x:f>
        <x:v>Fitted ceramic stopper</x:v>
      </x:c>
      <x:c r="C269" s="4" t="str">
        <x:f>IFERROR(INDEX(Items!$D$6:$D$1005,MATCH(A269,Items!$A$6:$A$1005,0)),"MISSING ITEM ID")</x:f>
        <x:v>Crafting components</x:v>
      </x:c>
      <x:c r="D269" s="4" t="str">
        <x:v>Primary</x:v>
      </x:c>
      <x:c r="E269" s="4" t="str">
        <x:f>IFERROR(INDEX(Items!$AA$6:$AA$1005,MATCH(A269,Items!$A$6:$A$1005,0)),"MISSING ITEM ID")</x:f>
        <x:v>Sealing</x:v>
      </x:c>
      <x:c r="F269" s="4" t="str">
        <x:v>Ceramic item proposal. Catalog intent; compatibility and properties unresolved.</x:v>
      </x:c>
    </x:row>
    <x:row r="270" ht="50" customHeight="1">
      <x:c r="A270" s="4" t="str">
        <x:v>proposal.ceramic.lid</x:v>
      </x:c>
      <x:c r="B270" s="4" t="str">
        <x:f>IFERROR(INDEX(Items!$B$6:$B$1005,MATCH(A270,Items!$A$6:$A$1005,0)),"MISSING ITEM ID")</x:f>
        <x:v>Ceramic vessel lid</x:v>
      </x:c>
      <x:c r="C270" s="4" t="str">
        <x:f>IFERROR(INDEX(Items!$D$6:$D$1005,MATCH(A270,Items!$A$6:$A$1005,0)),"MISSING ITEM ID")</x:f>
        <x:v>Crafting components</x:v>
      </x:c>
      <x:c r="D270" s="4" t="str">
        <x:v>Primary</x:v>
      </x:c>
      <x:c r="E270" s="4" t="str">
        <x:f>IFERROR(INDEX(Items!$AA$6:$AA$1005,MATCH(A270,Items!$A$6:$A$1005,0)),"MISSING ITEM ID")</x:f>
        <x:v>Liquid and bulk containment</x:v>
      </x:c>
      <x:c r="F270" s="4" t="str">
        <x:v>Ceramic item proposal. Catalog intent; compatibility and properties unresolved.</x:v>
      </x:c>
    </x:row>
    <x:row r="271" ht="50" customHeight="1">
      <x:c r="A271" s="4" t="str">
        <x:v>proposal.ceramic.lid</x:v>
      </x:c>
      <x:c r="B271" s="4" t="str">
        <x:f>IFERROR(INDEX(Items!$B$6:$B$1005,MATCH(A271,Items!$A$6:$A$1005,0)),"MISSING ITEM ID")</x:f>
        <x:v>Ceramic vessel lid</x:v>
      </x:c>
      <x:c r="C271" s="4" t="str">
        <x:f>IFERROR(INDEX(Items!$D$6:$D$1005,MATCH(A271,Items!$A$6:$A$1005,0)),"MISSING ITEM ID")</x:f>
        <x:v>Crafting components</x:v>
      </x:c>
      <x:c r="D271" s="4" t="str">
        <x:v>Secondary</x:v>
      </x:c>
      <x:c r="E271" s="4" t="str">
        <x:v>Dust exclusion</x:v>
      </x:c>
      <x:c r="F271" s="4" t="str">
        <x:v>Ceramic item proposal. Catalog intent; compatibility and properties unresolved.</x:v>
      </x:c>
    </x:row>
    <x:row r="272" ht="50" customHeight="1">
      <x:c r="A272" s="4" t="str">
        <x:v>proposal.ceramic.pour_spout</x:v>
      </x:c>
      <x:c r="B272" s="4" t="str">
        <x:f>IFERROR(INDEX(Items!$B$6:$B$1005,MATCH(A272,Items!$A$6:$A$1005,0)),"MISSING ITEM ID")</x:f>
        <x:v>Ceramic pouring spout</x:v>
      </x:c>
      <x:c r="C272" s="4" t="str">
        <x:f>IFERROR(INDEX(Items!$D$6:$D$1005,MATCH(A272,Items!$A$6:$A$1005,0)),"MISSING ITEM ID")</x:f>
        <x:v>Crafting components</x:v>
      </x:c>
      <x:c r="D272" s="4" t="str">
        <x:v>Primary</x:v>
      </x:c>
      <x:c r="E272" s="4" t="str">
        <x:f>IFERROR(INDEX(Items!$AA$6:$AA$1005,MATCH(A272,Items!$A$6:$A$1005,0)),"MISSING ITEM ID")</x:f>
        <x:v>Material transfer</x:v>
      </x:c>
      <x:c r="F272" s="4" t="str">
        <x:v>Ceramic item proposal. Catalog intent; compatibility and properties unresolved.</x:v>
      </x:c>
    </x:row>
    <x:row r="273" ht="50" customHeight="1">
      <x:c r="A273" s="4" t="str">
        <x:v>proposal.ceramic.conduit</x:v>
      </x:c>
      <x:c r="B273" s="4" t="str">
        <x:f>IFERROR(INDEX(Items!$B$6:$B$1005,MATCH(A273,Items!$A$6:$A$1005,0)),"MISSING ITEM ID")</x:f>
        <x:v>Ceramic conduit section</x:v>
      </x:c>
      <x:c r="C273" s="4" t="str">
        <x:f>IFERROR(INDEX(Items!$D$6:$D$1005,MATCH(A273,Items!$A$6:$A$1005,0)),"MISSING ITEM ID")</x:f>
        <x:v>Crafting components</x:v>
      </x:c>
      <x:c r="D273" s="4" t="str">
        <x:v>Primary</x:v>
      </x:c>
      <x:c r="E273" s="4" t="str">
        <x:f>IFERROR(INDEX(Items!$AA$6:$AA$1005,MATCH(A273,Items!$A$6:$A$1005,0)),"MISSING ITEM ID")</x:f>
        <x:v>Material transfer</x:v>
      </x:c>
      <x:c r="F273" s="4" t="str">
        <x:v>Ceramic item proposal. Catalog intent; compatibility and properties unresolved.</x:v>
      </x:c>
    </x:row>
    <x:row r="274" ht="50" customHeight="1">
      <x:c r="A274" s="4" t="str">
        <x:v>proposal.ceramic.votive_plaque</x:v>
      </x:c>
      <x:c r="B274" s="4" t="str">
        <x:f>IFERROR(INDEX(Items!$B$6:$B$1005,MATCH(A274,Items!$A$6:$A$1005,0)),"MISSING ITEM ID")</x:f>
        <x:v>Ceramic votive plaque</x:v>
      </x:c>
      <x:c r="C274" s="4" t="str">
        <x:f>IFERROR(INDEX(Items!$D$6:$D$1005,MATCH(A274,Items!$A$6:$A$1005,0)),"MISSING ITEM ID")</x:f>
        <x:v>Salvage</x:v>
      </x:c>
      <x:c r="D274" s="4" t="str">
        <x:v>Primary</x:v>
      </x:c>
      <x:c r="E274" s="4" t="str">
        <x:f>IFERROR(INDEX(Items!$AA$6:$AA$1005,MATCH(A274,Items!$A$6:$A$1005,0)),"MISSING ITEM ID")</x:f>
        <x:v>Devotion</x:v>
      </x:c>
      <x:c r="F274" s="4" t="str">
        <x:v>Ceramic item proposal. Catalog intent; compatibility and properties unresolved.</x:v>
      </x:c>
    </x:row>
    <x:row r="275" ht="50" customHeight="1">
      <x:c r="A275" s="4" t="str">
        <x:v>proposal.ceramic.votive_plaque</x:v>
      </x:c>
      <x:c r="B275" s="4" t="str">
        <x:f>IFERROR(INDEX(Items!$B$6:$B$1005,MATCH(A275,Items!$A$6:$A$1005,0)),"MISSING ITEM ID")</x:f>
        <x:v>Ceramic votive plaque</x:v>
      </x:c>
      <x:c r="C275" s="4" t="str">
        <x:f>IFERROR(INDEX(Items!$D$6:$D$1005,MATCH(A275,Items!$A$6:$A$1005,0)),"MISSING ITEM ID")</x:f>
        <x:v>Salvage</x:v>
      </x:c>
      <x:c r="D275" s="4" t="str">
        <x:v>Secondary</x:v>
      </x:c>
      <x:c r="E275" s="4" t="str">
        <x:v>Decoration</x:v>
      </x:c>
      <x:c r="F275" s="4" t="str">
        <x:v>Ceramic item proposal. Catalog intent; compatibility and properties unresolved.</x:v>
      </x:c>
    </x:row>
    <x:row r="276" ht="50" customHeight="1">
      <x:c r="A276" s="4" t="str">
        <x:v>proposal.ceramic.figurine</x:v>
      </x:c>
      <x:c r="B276" s="4" t="str">
        <x:f>IFERROR(INDEX(Items!$B$6:$B$1005,MATCH(A276,Items!$A$6:$A$1005,0)),"MISSING ITEM ID")</x:f>
        <x:v>Ceramic commemorative figurine</x:v>
      </x:c>
      <x:c r="C276" s="4" t="str">
        <x:f>IFERROR(INDEX(Items!$D$6:$D$1005,MATCH(A276,Items!$A$6:$A$1005,0)),"MISSING ITEM ID")</x:f>
        <x:v>Salvage</x:v>
      </x:c>
      <x:c r="D276" s="4" t="str">
        <x:v>Primary</x:v>
      </x:c>
      <x:c r="E276" s="4" t="str">
        <x:f>IFERROR(INDEX(Items!$AA$6:$AA$1005,MATCH(A276,Items!$A$6:$A$1005,0)),"MISSING ITEM ID")</x:f>
        <x:v>Remembrance</x:v>
      </x:c>
      <x:c r="F276" s="4" t="str">
        <x:v>Ceramic item proposal. Catalog intent; compatibility and properties unresolved.</x:v>
      </x:c>
    </x:row>
    <x:row r="277" ht="50" customHeight="1">
      <x:c r="A277" s="4" t="str">
        <x:v>proposal.ceramic.figurine</x:v>
      </x:c>
      <x:c r="B277" s="4" t="str">
        <x:f>IFERROR(INDEX(Items!$B$6:$B$1005,MATCH(A277,Items!$A$6:$A$1005,0)),"MISSING ITEM ID")</x:f>
        <x:v>Ceramic commemorative figurine</x:v>
      </x:c>
      <x:c r="C277" s="4" t="str">
        <x:f>IFERROR(INDEX(Items!$D$6:$D$1005,MATCH(A277,Items!$A$6:$A$1005,0)),"MISSING ITEM ID")</x:f>
        <x:v>Salvage</x:v>
      </x:c>
      <x:c r="D277" s="4" t="str">
        <x:v>Secondary</x:v>
      </x:c>
      <x:c r="E277" s="4" t="str">
        <x:v>Decoration</x:v>
      </x:c>
      <x:c r="F277" s="4" t="str">
        <x:v>Ceramic item proposal. Catalog intent; compatibility and properties unresolved.</x:v>
      </x:c>
    </x:row>
    <x:row r="278" ht="50" customHeight="1">
      <x:c r="A278" s="4" t="str">
        <x:v>proposal.ceramic.ceremony_bowl</x:v>
      </x:c>
      <x:c r="B278" s="4" t="str">
        <x:f>IFERROR(INDEX(Items!$B$6:$B$1005,MATCH(A278,Items!$A$6:$A$1005,0)),"MISSING ITEM ID")</x:f>
        <x:v>Ceremonial ceramic bowl</x:v>
      </x:c>
      <x:c r="C278" s="4" t="str">
        <x:f>IFERROR(INDEX(Items!$D$6:$D$1005,MATCH(A278,Items!$A$6:$A$1005,0)),"MISSING ITEM ID")</x:f>
        <x:v>Salvage</x:v>
      </x:c>
      <x:c r="D278" s="4" t="str">
        <x:v>Primary</x:v>
      </x:c>
      <x:c r="E278" s="4" t="str">
        <x:f>IFERROR(INDEX(Items!$AA$6:$AA$1005,MATCH(A278,Items!$A$6:$A$1005,0)),"MISSING ITEM ID")</x:f>
        <x:v>Ceremony</x:v>
      </x:c>
      <x:c r="F278" s="4" t="str">
        <x:v>Ceramic item proposal. Catalog intent; compatibility and properties unresolved.</x:v>
      </x:c>
    </x:row>
    <x:row r="279" ht="50" customHeight="1">
      <x:c r="A279" s="4" t="str">
        <x:v>proposal.ceramic.ceremony_bowl</x:v>
      </x:c>
      <x:c r="B279" s="4" t="str">
        <x:f>IFERROR(INDEX(Items!$B$6:$B$1005,MATCH(A279,Items!$A$6:$A$1005,0)),"MISSING ITEM ID")</x:f>
        <x:v>Ceremonial ceramic bowl</x:v>
      </x:c>
      <x:c r="C279" s="4" t="str">
        <x:f>IFERROR(INDEX(Items!$D$6:$D$1005,MATCH(A279,Items!$A$6:$A$1005,0)),"MISSING ITEM ID")</x:f>
        <x:v>Salvage</x:v>
      </x:c>
      <x:c r="D279" s="4" t="str">
        <x:v>Secondary</x:v>
      </x:c>
      <x:c r="E279" s="4" t="str">
        <x:v>Decoration</x:v>
      </x:c>
      <x:c r="F279" s="4" t="str">
        <x:v>Ceramic item proposal. Catalog intent; compatibility and properties unresolved.</x:v>
      </x:c>
    </x:row>
    <x:row r="280" ht="50" customHeight="1">
      <x:c r="A280" s="4" t="str">
        <x:v>proposal.ceramic.armor_insert</x:v>
      </x:c>
      <x:c r="B280" s="4" t="str">
        <x:f>IFERROR(INDEX(Items!$B$6:$B$1005,MATCH(A280,Items!$A$6:$A$1005,0)),"MISSING ITEM ID")</x:f>
        <x:v>Specialist ceramic armor insert</x:v>
      </x:c>
      <x:c r="C280" s="4" t="str">
        <x:f>IFERROR(INDEX(Items!$D$6:$D$1005,MATCH(A280,Items!$A$6:$A$1005,0)),"MISSING ITEM ID")</x:f>
        <x:v>Armor</x:v>
      </x:c>
      <x:c r="D280" s="4" t="str">
        <x:v>Primary</x:v>
      </x:c>
      <x:c r="E280" s="4" t="str">
        <x:f>IFERROR(INDEX(Items!$AA$6:$AA$1005,MATCH(A280,Items!$A$6:$A$1005,0)),"MISSING ITEM ID")</x:f>
        <x:v>Protection</x:v>
      </x:c>
      <x:c r="F280" s="4" t="str">
        <x:v>Ceramic item proposal. Catalog intent; compatibility and properties unresolved.</x:v>
      </x:c>
    </x:row>
    <x:row r="281" ht="50" customHeight="1">
      <x:c r="A281" s="4" t="str">
        <x:v>proposal.ceramic.fastener</x:v>
      </x:c>
      <x:c r="B281" s="4" t="str">
        <x:f>IFERROR(INDEX(Items!$B$6:$B$1005,MATCH(A281,Items!$A$6:$A$1005,0)),"MISSING ITEM ID")</x:f>
        <x:v>Ceramic toggle fastener</x:v>
      </x:c>
      <x:c r="C281" s="4" t="str">
        <x:f>IFERROR(INDEX(Items!$D$6:$D$1005,MATCH(A281,Items!$A$6:$A$1005,0)),"MISSING ITEM ID")</x:f>
        <x:v>Crafting components</x:v>
      </x:c>
      <x:c r="D281" s="4" t="str">
        <x:v>Primary</x:v>
      </x:c>
      <x:c r="E281" s="4" t="str">
        <x:f>IFERROR(INDEX(Items!$AA$6:$AA$1005,MATCH(A281,Items!$A$6:$A$1005,0)),"MISSING ITEM ID")</x:f>
        <x:v>Clothing fabrication</x:v>
      </x:c>
      <x:c r="F281" s="4" t="str">
        <x:v>Ceramic item proposal. Catalog intent; compatibility and properties unresolved.</x:v>
      </x:c>
    </x:row>
    <x:row r="282" ht="50" customHeight="1">
      <x:c r="A282" s="4" t="str">
        <x:v>proposal.ceramic.fastener</x:v>
      </x:c>
      <x:c r="B282" s="4" t="str">
        <x:f>IFERROR(INDEX(Items!$B$6:$B$1005,MATCH(A282,Items!$A$6:$A$1005,0)),"MISSING ITEM ID")</x:f>
        <x:v>Ceramic toggle fastener</x:v>
      </x:c>
      <x:c r="C282" s="4" t="str">
        <x:f>IFERROR(INDEX(Items!$D$6:$D$1005,MATCH(A282,Items!$A$6:$A$1005,0)),"MISSING ITEM ID")</x:f>
        <x:v>Crafting components</x:v>
      </x:c>
      <x:c r="D282" s="4" t="str">
        <x:v>Secondary</x:v>
      </x:c>
      <x:c r="E282" s="4" t="str">
        <x:v>Equipment mounting</x:v>
      </x:c>
      <x:c r="F282" s="4" t="str">
        <x:v>Ceramic item proposal. Catalog intent; compatibility and properties unresolved.</x:v>
      </x:c>
    </x:row>
    <x:row r="283" ht="50" customHeight="1">
      <x:c r="A283" s="4" t="str">
        <x:v>proposal.ceramic.grinding_disc</x:v>
      </x:c>
      <x:c r="B283" s="4" t="str">
        <x:f>IFERROR(INDEX(Items!$B$6:$B$1005,MATCH(A283,Items!$A$6:$A$1005,0)),"MISSING ITEM ID")</x:f>
        <x:v>Ceramic abrasive disc</x:v>
      </x:c>
      <x:c r="C283" s="4" t="str">
        <x:f>IFERROR(INDEX(Items!$D$6:$D$1005,MATCH(A283,Items!$A$6:$A$1005,0)),"MISSING ITEM ID")</x:f>
        <x:v>Workshop upgrades</x:v>
      </x:c>
      <x:c r="D283" s="4" t="str">
        <x:v>Primary</x:v>
      </x:c>
      <x:c r="E283" s="4" t="str">
        <x:f>IFERROR(INDEX(Items!$AA$6:$AA$1005,MATCH(A283,Items!$A$6:$A$1005,0)),"MISSING ITEM ID")</x:f>
        <x:v>Surface finishing</x:v>
      </x:c>
      <x:c r="F283" s="4" t="str">
        <x:v>Ceramic item proposal. Catalog intent; compatibility and properties unresolved.</x:v>
      </x:c>
    </x:row>
    <x:row r="284" ht="70" customHeight="1">
      <x:c r="A284" s="4" t="str">
        <x:v>source.currency.imperial_commons</x:v>
      </x:c>
      <x:c r="B284" s="4" t="str">
        <x:f>IFERROR(INDEX(Items!$B$6:$B$1005,MATCH(A284,Items!$A$6:$A$1005,0)),"MISSING ITEM ID")</x:f>
        <x:v>Imperial Commons</x:v>
      </x:c>
      <x:c r="C284" s="4" t="str">
        <x:f>IFERROR(INDEX(Items!$D$6:$D$1005,MATCH(A284,Items!$A$6:$A$1005,0)),"MISSING ITEM ID")</x:f>
        <x:v>Currency</x:v>
      </x:c>
      <x:c r="D284" s="4" t="str">
        <x:v>Primary</x:v>
      </x:c>
      <x:c r="E284" s="4" t="str">
        <x:f>IFERROR(INDEX(Items!$AA$6:$AA$1005,MATCH(A284,Items!$A$6:$A$1005,0)),"MISSING ITEM ID")</x:f>
        <x:v>Trade</x:v>
      </x:c>
      <x:c r="F284" s="4" t="str">
        <x:v>WLD-0032 currency proposal. Unit/denomination and physical form unresolved.</x:v>
      </x:c>
    </x:row>
    <x:row r="285" ht="65" customHeight="1">
      <x:c r="A285" s="4" t="str">
        <x:v>proposal.fire.oxygen_stone</x:v>
      </x:c>
      <x:c r="B285" s="4" t="str">
        <x:f>IFERROR(INDEX(Items!$B$6:$B$1005,MATCH(A285,Items!$A$6:$A$1005,0)),"MISSING ITEM ID")</x:f>
        <x:v>Oxygen-releasing stone</x:v>
      </x:c>
      <x:c r="C285" s="4" t="str">
        <x:f>IFERROR(INDEX(Items!$D$6:$D$1005,MATCH(A285,Items!$A$6:$A$1005,0)),"MISSING ITEM ID")</x:f>
        <x:v>Mineral resources</x:v>
      </x:c>
      <x:c r="D285" s="4" t="str">
        <x:v>Primary</x:v>
      </x:c>
      <x:c r="E285" s="4" t="str">
        <x:f>IFERROR(INDEX(Items!$AA$6:$AA$1005,MATCH(A285,Items!$A$6:$A$1005,0)),"MISSING ITEM ID")</x:f>
        <x:v>Atmospheric support</x:v>
      </x:c>
      <x:c r="F285" s="4" t="str">
        <x:v>Catalog intent. Source/author distinction and fire constraints are recorded in Items.</x:v>
      </x:c>
    </x:row>
    <x:row r="286" ht="65" customHeight="1">
      <x:c r="A286" s="4" t="str">
        <x:v>proposal.fire.glow_stone</x:v>
      </x:c>
      <x:c r="B286" s="4" t="str">
        <x:f>IFERROR(INDEX(Items!$B$6:$B$1005,MATCH(A286,Items!$A$6:$A$1005,0)),"MISSING ITEM ID")</x:f>
        <x:v>Glowing stone</x:v>
      </x:c>
      <x:c r="C286" s="4" t="str">
        <x:f>IFERROR(INDEX(Items!$D$6:$D$1005,MATCH(A286,Items!$A$6:$A$1005,0)),"MISSING ITEM ID")</x:f>
        <x:v>Mineral resources</x:v>
      </x:c>
      <x:c r="D286" s="4" t="str">
        <x:v>Primary</x:v>
      </x:c>
      <x:c r="E286" s="4" t="str">
        <x:f>IFERROR(INDEX(Items!$AA$6:$AA$1005,MATCH(A286,Items!$A$6:$A$1005,0)),"MISSING ITEM ID")</x:f>
        <x:v>Illumination</x:v>
      </x:c>
      <x:c r="F286" s="4" t="str">
        <x:v>Catalog intent. Source/author distinction and fire constraints are recorded in Items.</x:v>
      </x:c>
    </x:row>
    <x:row r="287" ht="65" customHeight="1">
      <x:c r="A287" s="4" t="str">
        <x:v>proposal.fire.flint</x:v>
      </x:c>
      <x:c r="B287" s="4" t="str">
        <x:f>IFERROR(INDEX(Items!$B$6:$B$1005,MATCH(A287,Items!$A$6:$A$1005,0)),"MISSING ITEM ID")</x:f>
        <x:v>Flint stone</x:v>
      </x:c>
      <x:c r="C287" s="4" t="str">
        <x:f>IFERROR(INDEX(Items!$D$6:$D$1005,MATCH(A287,Items!$A$6:$A$1005,0)),"MISSING ITEM ID")</x:f>
        <x:v>Mineral resources</x:v>
      </x:c>
      <x:c r="D287" s="4" t="str">
        <x:v>Primary</x:v>
      </x:c>
      <x:c r="E287" s="4" t="str">
        <x:f>IFERROR(INDEX(Items!$AA$6:$AA$1005,MATCH(A287,Items!$A$6:$A$1005,0)),"MISSING ITEM ID")</x:f>
        <x:v>Ignition</x:v>
      </x:c>
      <x:c r="F287" s="4" t="str">
        <x:v>Catalog intent. Source/author distinction and fire constraints are recorded in Items.</x:v>
      </x:c>
    </x:row>
    <x:row r="288" ht="65" customHeight="1">
      <x:c r="A288" s="4" t="str">
        <x:v>proposal.fire.flint</x:v>
      </x:c>
      <x:c r="B288" s="4" t="str">
        <x:f>IFERROR(INDEX(Items!$B$6:$B$1005,MATCH(A288,Items!$A$6:$A$1005,0)),"MISSING ITEM ID")</x:f>
        <x:v>Flint stone</x:v>
      </x:c>
      <x:c r="C288" s="4" t="str">
        <x:f>IFERROR(INDEX(Items!$D$6:$D$1005,MATCH(A288,Items!$A$6:$A$1005,0)),"MISSING ITEM ID")</x:f>
        <x:v>Mineral resources</x:v>
      </x:c>
      <x:c r="D288" s="4" t="str">
        <x:v>Secondary</x:v>
      </x:c>
      <x:c r="E288" s="4" t="str">
        <x:v>Tool fabrication</x:v>
      </x:c>
      <x:c r="F288" s="4" t="str">
        <x:v>Catalog intent. Source/author distinction and fire constraints are recorded in Items.</x:v>
      </x:c>
    </x:row>
    <x:row r="289" ht="65" customHeight="1">
      <x:c r="A289" s="4" t="str">
        <x:v>proposal.fire.striker</x:v>
      </x:c>
      <x:c r="B289" s="4" t="str">
        <x:f>IFERROR(INDEX(Items!$B$6:$B$1005,MATCH(A289,Items!$A$6:$A$1005,0)),"MISSING ITEM ID")</x:f>
        <x:v>Flint striking tool</x:v>
      </x:c>
      <x:c r="C289" s="4" t="str">
        <x:f>IFERROR(INDEX(Items!$D$6:$D$1005,MATCH(A289,Items!$A$6:$A$1005,0)),"MISSING ITEM ID")</x:f>
        <x:v>Salvage</x:v>
      </x:c>
      <x:c r="D289" s="4" t="str">
        <x:v>Primary</x:v>
      </x:c>
      <x:c r="E289" s="4" t="str">
        <x:f>IFERROR(INDEX(Items!$AA$6:$AA$1005,MATCH(A289,Items!$A$6:$A$1005,0)),"MISSING ITEM ID")</x:f>
        <x:v>Ignition</x:v>
      </x:c>
      <x:c r="F289" s="4" t="str">
        <x:v>Catalog intent. Source/author distinction and fire constraints are recorded in Items.</x:v>
      </x:c>
    </x:row>
    <x:row r="290" ht="65" customHeight="1">
      <x:c r="A290" s="4" t="str">
        <x:v>proposal.fire.chitin_char</x:v>
      </x:c>
      <x:c r="B290" s="4" t="str">
        <x:f>IFERROR(INDEX(Items!$B$6:$B$1005,MATCH(A290,Items!$A$6:$A$1005,0)),"MISSING ITEM ID")</x:f>
        <x:v>Chitin-char</x:v>
      </x:c>
      <x:c r="C290" s="4" t="str">
        <x:f>IFERROR(INDEX(Items!$D$6:$D$1005,MATCH(A290,Items!$A$6:$A$1005,0)),"MISSING ITEM ID")</x:f>
        <x:v>Manufactured stock</x:v>
      </x:c>
      <x:c r="D290" s="4" t="str">
        <x:v>Primary</x:v>
      </x:c>
      <x:c r="E290" s="4" t="str">
        <x:f>IFERROR(INDEX(Items!$AA$6:$AA$1005,MATCH(A290,Items!$A$6:$A$1005,0)),"MISSING ITEM ID")</x:f>
        <x:v>Fuel</x:v>
      </x:c>
      <x:c r="F290" s="4" t="str">
        <x:v>Catalog intent. Source/author distinction and fire constraints are recorded in Items.</x:v>
      </x:c>
    </x:row>
    <x:row r="291" ht="65" customHeight="1">
      <x:c r="A291" s="4" t="str">
        <x:v>proposal.fire.cooking_pot</x:v>
      </x:c>
      <x:c r="B291" s="4" t="str">
        <x:f>IFERROR(INDEX(Items!$B$6:$B$1005,MATCH(A291,Items!$A$6:$A$1005,0)),"MISSING ITEM ID")</x:f>
        <x:v>Ceramic cooking pot</x:v>
      </x:c>
      <x:c r="C291" s="4" t="str">
        <x:f>IFERROR(INDEX(Items!$D$6:$D$1005,MATCH(A291,Items!$A$6:$A$1005,0)),"MISSING ITEM ID")</x:f>
        <x:v>Salvage</x:v>
      </x:c>
      <x:c r="D291" s="4" t="str">
        <x:v>Primary</x:v>
      </x:c>
      <x:c r="E291" s="4" t="str">
        <x:f>IFERROR(INDEX(Items!$AA$6:$AA$1005,MATCH(A291,Items!$A$6:$A$1005,0)),"MISSING ITEM ID")</x:f>
        <x:v>Cooking</x:v>
      </x:c>
      <x:c r="F291" s="4" t="str">
        <x:v>Catalog intent. Source/author distinction and fire constraints are recorded in Items.</x:v>
      </x:c>
    </x:row>
    <x:row r="292" ht="65" customHeight="1">
      <x:c r="A292" s="4"/>
      <x:c r="B292" s="4"/>
      <x:c r="C292" s="4"/>
      <x:c r="D292" s="4"/>
      <x:c r="E292" s="4"/>
      <x:c r="F292" s="4"/>
    </x:row>
    <x:row r="293" ht="65" customHeight="1">
      <x:c r="A293" s="4" t="str">
        <x:v>proposal.fire.lidded_pan</x:v>
      </x:c>
      <x:c r="B293" s="4" t="str">
        <x:f>IFERROR(INDEX(Items!$B$6:$B$1005,MATCH(A293,Items!$A$6:$A$1005,0)),"MISSING ITEM ID")</x:f>
        <x:v>Lidded cooking pan</x:v>
      </x:c>
      <x:c r="C293" s="4" t="str">
        <x:f>IFERROR(INDEX(Items!$D$6:$D$1005,MATCH(A293,Items!$A$6:$A$1005,0)),"MISSING ITEM ID")</x:f>
        <x:v>Salvage</x:v>
      </x:c>
      <x:c r="D293" s="4" t="str">
        <x:v>Primary</x:v>
      </x:c>
      <x:c r="E293" s="4" t="str">
        <x:f>IFERROR(INDEX(Items!$AA$6:$AA$1005,MATCH(A293,Items!$A$6:$A$1005,0)),"MISSING ITEM ID")</x:f>
        <x:v>Cooking</x:v>
      </x:c>
      <x:c r="F293" s="4" t="str">
        <x:v>Catalog intent. Source/author distinction and fire constraints are recorded in Items.</x:v>
      </x:c>
    </x:row>
    <x:row r="294" ht="65" customHeight="1">
      <x:c r="A294" s="4" t="str">
        <x:v>proposal.fire.rack</x:v>
      </x:c>
      <x:c r="B294" s="4" t="str">
        <x:f>IFERROR(INDEX(Items!$B$6:$B$1005,MATCH(A294,Items!$A$6:$A$1005,0)),"MISSING ITEM ID")</x:f>
        <x:v>Cooking rack</x:v>
      </x:c>
      <x:c r="C294" s="4" t="str">
        <x:f>IFERROR(INDEX(Items!$D$6:$D$1005,MATCH(A294,Items!$A$6:$A$1005,0)),"MISSING ITEM ID")</x:f>
        <x:v>Salvage</x:v>
      </x:c>
      <x:c r="D294" s="4" t="str">
        <x:v>Primary</x:v>
      </x:c>
      <x:c r="E294" s="4" t="str">
        <x:f>IFERROR(INDEX(Items!$AA$6:$AA$1005,MATCH(A294,Items!$A$6:$A$1005,0)),"MISSING ITEM ID")</x:f>
        <x:v>Cooking</x:v>
      </x:c>
      <x:c r="F294" s="4" t="str">
        <x:v>Catalog intent. Source/author distinction and fire constraints are recorded in Items.</x:v>
      </x:c>
    </x:row>
    <x:row r="295" ht="65" customHeight="1">
      <x:c r="A295" s="4" t="str">
        <x:v>proposal.fire.pot_stand</x:v>
      </x:c>
      <x:c r="B295" s="4" t="str">
        <x:f>IFERROR(INDEX(Items!$B$6:$B$1005,MATCH(A295,Items!$A$6:$A$1005,0)),"MISSING ITEM ID")</x:f>
        <x:v>Cooking pot stand</x:v>
      </x:c>
      <x:c r="C295" s="4" t="str">
        <x:f>IFERROR(INDEX(Items!$D$6:$D$1005,MATCH(A295,Items!$A$6:$A$1005,0)),"MISSING ITEM ID")</x:f>
        <x:v>Salvage</x:v>
      </x:c>
      <x:c r="D295" s="4" t="str">
        <x:v>Primary</x:v>
      </x:c>
      <x:c r="E295" s="4" t="str">
        <x:f>IFERROR(INDEX(Items!$AA$6:$AA$1005,MATCH(A295,Items!$A$6:$A$1005,0)),"MISSING ITEM ID")</x:f>
        <x:v>Cooking</x:v>
      </x:c>
      <x:c r="F295" s="4" t="str">
        <x:v>Catalog intent. Source/author distinction and fire constraints are recorded in Items.</x:v>
      </x:c>
    </x:row>
    <x:row r="296" ht="65" customHeight="1">
      <x:c r="A296" s="4" t="str">
        <x:v>proposal.fire.tongs</x:v>
      </x:c>
      <x:c r="B296" s="4" t="str">
        <x:f>IFERROR(INDEX(Items!$B$6:$B$1005,MATCH(A296,Items!$A$6:$A$1005,0)),"MISSING ITEM ID")</x:f>
        <x:v>Cooking tongs</x:v>
      </x:c>
      <x:c r="C296" s="4" t="str">
        <x:f>IFERROR(INDEX(Items!$D$6:$D$1005,MATCH(A296,Items!$A$6:$A$1005,0)),"MISSING ITEM ID")</x:f>
        <x:v>Salvage</x:v>
      </x:c>
      <x:c r="D296" s="4" t="str">
        <x:v>Primary</x:v>
      </x:c>
      <x:c r="E296" s="4" t="str">
        <x:f>IFERROR(INDEX(Items!$AA$6:$AA$1005,MATCH(A296,Items!$A$6:$A$1005,0)),"MISSING ITEM ID")</x:f>
        <x:v>Cooking</x:v>
      </x:c>
      <x:c r="F296" s="4" t="str">
        <x:v>Catalog intent. Source/author distinction and fire constraints are recorded in Items.</x:v>
      </x:c>
    </x:row>
    <x:row r="297" ht="65" customHeight="1">
      <x:c r="A297" s="4" t="str">
        <x:v>proposal.fire.firebox</x:v>
      </x:c>
      <x:c r="B297" s="4" t="str">
        <x:f>IFERROR(INDEX(Items!$B$6:$B$1005,MATCH(A297,Items!$A$6:$A$1005,0)),"MISSING ITEM ID")</x:f>
        <x:v>Cooking station</x:v>
      </x:c>
      <x:c r="C297" s="4" t="str">
        <x:f>IFERROR(INDEX(Items!$D$6:$D$1005,MATCH(A297,Items!$A$6:$A$1005,0)),"MISSING ITEM ID")</x:f>
        <x:v>Salvage</x:v>
      </x:c>
      <x:c r="D297" s="4" t="str">
        <x:v>Primary</x:v>
      </x:c>
      <x:c r="E297" s="4" t="str">
        <x:f>IFERROR(INDEX(Items!$AA$6:$AA$1005,MATCH(A297,Items!$A$6:$A$1005,0)),"MISSING ITEM ID")</x:f>
        <x:v>Cooking</x:v>
      </x:c>
      <x:c r="F297" s="4" t="str">
        <x:v>Catalog intent. Source/author distinction and fire constraints are recorded in Items.</x:v>
      </x:c>
    </x:row>
    <x:row r="298" ht="65" customHeight="1">
      <x:c r="A298" s="4" t="str">
        <x:v>proposal.fire.firebox</x:v>
      </x:c>
      <x:c r="B298" s="4" t="str">
        <x:f>IFERROR(INDEX(Items!$B$6:$B$1005,MATCH(A298,Items!$A$6:$A$1005,0)),"MISSING ITEM ID")</x:f>
        <x:v>Cooking station</x:v>
      </x:c>
      <x:c r="C298" s="4" t="str">
        <x:f>IFERROR(INDEX(Items!$D$6:$D$1005,MATCH(A298,Items!$A$6:$A$1005,0)),"MISSING ITEM ID")</x:f>
        <x:v>Salvage</x:v>
      </x:c>
      <x:c r="D298" s="4" t="str">
        <x:v>Secondary</x:v>
      </x:c>
      <x:c r="E298" s="4" t="str">
        <x:v>Fire management</x:v>
      </x:c>
      <x:c r="F298" s="4" t="str">
        <x:v>Catalog intent. Source/author distinction and fire constraints are recorded in Items.</x:v>
      </x:c>
    </x:row>
    <x:row r="299" ht="65" customHeight="1">
      <x:c r="A299" s="4"/>
      <x:c r="B299" s="4"/>
      <x:c r="C299" s="4"/>
      <x:c r="D299" s="4"/>
      <x:c r="E299" s="4"/>
      <x:c r="F299" s="4"/>
    </x:row>
    <x:row r="300" ht="65" customHeight="1">
      <x:c r="A300" s="4"/>
      <x:c r="B300" s="4"/>
      <x:c r="C300" s="4"/>
      <x:c r="D300" s="4"/>
      <x:c r="E300" s="4"/>
      <x:c r="F300" s="4"/>
    </x:row>
    <x:row r="301" ht="65" customHeight="1">
      <x:c r="A301" s="4"/>
      <x:c r="B301" s="4"/>
      <x:c r="C301" s="4"/>
      <x:c r="D301" s="4"/>
      <x:c r="E301" s="4"/>
      <x:c r="F301" s="4"/>
    </x:row>
    <x:row r="302" ht="65" customHeight="1">
      <x:c r="A302" s="4"/>
      <x:c r="B302" s="4"/>
      <x:c r="C302" s="4"/>
      <x:c r="D302" s="4"/>
      <x:c r="E302" s="4"/>
      <x:c r="F302" s="4"/>
    </x:row>
    <x:row r="303" ht="65" customHeight="1">
      <x:c r="A303" s="4"/>
      <x:c r="B303" s="4"/>
      <x:c r="C303" s="4"/>
      <x:c r="D303" s="4"/>
      <x:c r="E303" s="4"/>
      <x:c r="F303" s="4"/>
    </x:row>
    <x:row r="304" ht="65" customHeight="1">
      <x:c r="A304" s="4"/>
      <x:c r="B304" s="4"/>
      <x:c r="C304" s="4"/>
      <x:c r="D304" s="4"/>
      <x:c r="E304" s="4"/>
      <x:c r="F304" s="4"/>
    </x:row>
    <x:row r="305" ht="65" customHeight="1">
      <x:c r="A305" s="4" t="str">
        <x:v>proposal.fire.glow_holder</x:v>
      </x:c>
      <x:c r="B305" s="4" t="str">
        <x:f>IFERROR(INDEX(Items!$B$6:$B$1005,MATCH(A305,Items!$A$6:$A$1005,0)),"MISSING ITEM ID")</x:f>
        <x:v>Shuttered glow-stone holder</x:v>
      </x:c>
      <x:c r="C305" s="4" t="str">
        <x:f>IFERROR(INDEX(Items!$D$6:$D$1005,MATCH(A305,Items!$A$6:$A$1005,0)),"MISSING ITEM ID")</x:f>
        <x:v>Salvage</x:v>
      </x:c>
      <x:c r="D305" s="4" t="str">
        <x:v>Primary</x:v>
      </x:c>
      <x:c r="E305" s="4" t="str">
        <x:f>IFERROR(INDEX(Items!$AA$6:$AA$1005,MATCH(A305,Items!$A$6:$A$1005,0)),"MISSING ITEM ID")</x:f>
        <x:v>Illumination</x:v>
      </x:c>
      <x:c r="F305" s="4" t="str">
        <x:v>Catalog intent. Source/author distinction and fire constraints are recorded in Items.</x:v>
      </x:c>
    </x:row>
    <x:row r="306" ht="65" customHeight="1">
      <x:c r="A306" s="4" t="str">
        <x:v>proposal.lubricant.base</x:v>
      </x:c>
      <x:c r="B306" s="4" t="str">
        <x:f>IFERROR(INDEX(Items!$B$6:$B$1005,MATCH(A306,Items!$A$6:$A$1005,0)),"MISSING ITEM ID")</x:f>
        <x:v>Clarified faunal lubricant base</x:v>
      </x:c>
      <x:c r="C306" s="4" t="str">
        <x:f>IFERROR(INDEX(Items!$D$6:$D$1005,MATCH(A306,Items!$A$6:$A$1005,0)),"MISSING ITEM ID")</x:f>
        <x:v>Crafting components</x:v>
      </x:c>
      <x:c r="D306" s="4" t="str">
        <x:v>Primary</x:v>
      </x:c>
      <x:c r="E306" s="4" t="str">
        <x:f>IFERROR(INDEX(Items!$AA$6:$AA$1005,MATCH(A306,Items!$A$6:$A$1005,0)),"MISSING ITEM ID")</x:f>
        <x:v>Chemical processing</x:v>
      </x:c>
      <x:c r="F306" s="4" t="str">
        <x:v>Proposed industrial use. Exact compatibility, properties and refinement unresolved.</x:v>
      </x:c>
    </x:row>
    <x:row r="307" ht="65" customHeight="1">
      <x:c r="A307" s="4" t="str">
        <x:v>proposal.lubricant.base</x:v>
      </x:c>
      <x:c r="B307" s="4" t="str">
        <x:f>IFERROR(INDEX(Items!$B$6:$B$1005,MATCH(A307,Items!$A$6:$A$1005,0)),"MISSING ITEM ID")</x:f>
        <x:v>Clarified faunal lubricant base</x:v>
      </x:c>
      <x:c r="C307" s="4" t="str">
        <x:f>IFERROR(INDEX(Items!$D$6:$D$1005,MATCH(A307,Items!$A$6:$A$1005,0)),"MISSING ITEM ID")</x:f>
        <x:v>Crafting components</x:v>
      </x:c>
      <x:c r="D307" s="4" t="str">
        <x:v>Secondary</x:v>
      </x:c>
      <x:c r="E307" s="4" t="str">
        <x:v>Lubrication</x:v>
      </x:c>
      <x:c r="F307" s="4" t="str">
        <x:v>Proposed industrial use. Exact compatibility, properties and refinement unresolved.</x:v>
      </x:c>
    </x:row>
    <x:row r="308" ht="65" customHeight="1">
      <x:c r="A308" s="4" t="str">
        <x:v>proposal.lubricant.thickener</x:v>
      </x:c>
      <x:c r="B308" s="4" t="str">
        <x:f>IFERROR(INDEX(Items!$B$6:$B$1005,MATCH(A308,Items!$A$6:$A$1005,0)),"MISSING ITEM ID")</x:f>
        <x:v>Prepared secretion thickener</x:v>
      </x:c>
      <x:c r="C308" s="4" t="str">
        <x:f>IFERROR(INDEX(Items!$D$6:$D$1005,MATCH(A308,Items!$A$6:$A$1005,0)),"MISSING ITEM ID")</x:f>
        <x:v>Crafting components</x:v>
      </x:c>
      <x:c r="D308" s="4" t="str">
        <x:v>Primary</x:v>
      </x:c>
      <x:c r="E308" s="4" t="str">
        <x:f>IFERROR(INDEX(Items!$AA$6:$AA$1005,MATCH(A308,Items!$A$6:$A$1005,0)),"MISSING ITEM ID")</x:f>
        <x:v>Chemical processing</x:v>
      </x:c>
      <x:c r="F308" s="4" t="str">
        <x:v>Proposed industrial use. Exact compatibility, properties and refinement unresolved.</x:v>
      </x:c>
    </x:row>
    <x:row r="309" ht="65" customHeight="1">
      <x:c r="A309" s="4" t="str">
        <x:v>proposal.lubricant.thickener</x:v>
      </x:c>
      <x:c r="B309" s="4" t="str">
        <x:f>IFERROR(INDEX(Items!$B$6:$B$1005,MATCH(A309,Items!$A$6:$A$1005,0)),"MISSING ITEM ID")</x:f>
        <x:v>Prepared secretion thickener</x:v>
      </x:c>
      <x:c r="C309" s="4" t="str">
        <x:f>IFERROR(INDEX(Items!$D$6:$D$1005,MATCH(A309,Items!$A$6:$A$1005,0)),"MISSING ITEM ID")</x:f>
        <x:v>Crafting components</x:v>
      </x:c>
      <x:c r="D309" s="4" t="str">
        <x:v>Secondary</x:v>
      </x:c>
      <x:c r="E309" s="4" t="str">
        <x:v>Lubrication</x:v>
      </x:c>
      <x:c r="F309" s="4" t="str">
        <x:v>Proposed industrial use. Exact compatibility, properties and refinement unresolved.</x:v>
      </x:c>
    </x:row>
    <x:row r="310" ht="65" customHeight="1">
      <x:c r="A310" s="4" t="str">
        <x:v>proposal.lubricant.joint_grease</x:v>
      </x:c>
      <x:c r="B310" s="4" t="str">
        <x:f>IFERROR(INDEX(Items!$B$6:$B$1005,MATCH(A310,Items!$A$6:$A$1005,0)),"MISSING ITEM ID")</x:f>
        <x:v>Faunal joint grease</x:v>
      </x:c>
      <x:c r="C310" s="4" t="str">
        <x:f>IFERROR(INDEX(Items!$D$6:$D$1005,MATCH(A310,Items!$A$6:$A$1005,0)),"MISSING ITEM ID")</x:f>
        <x:v>Crafting components</x:v>
      </x:c>
      <x:c r="D310" s="4" t="str">
        <x:v>Primary</x:v>
      </x:c>
      <x:c r="E310" s="4" t="str">
        <x:f>IFERROR(INDEX(Items!$AA$6:$AA$1005,MATCH(A310,Items!$A$6:$A$1005,0)),"MISSING ITEM ID")</x:f>
        <x:v>Lubrication</x:v>
      </x:c>
      <x:c r="F310" s="4" t="str">
        <x:v>Proposed industrial use. Exact compatibility, properties and refinement unresolved.</x:v>
      </x:c>
    </x:row>
    <x:row r="311" ht="65" customHeight="1">
      <x:c r="A311" s="4" t="str">
        <x:v>proposal.lubricant.joint_grease</x:v>
      </x:c>
      <x:c r="B311" s="4" t="str">
        <x:f>IFERROR(INDEX(Items!$B$6:$B$1005,MATCH(A311,Items!$A$6:$A$1005,0)),"MISSING ITEM ID")</x:f>
        <x:v>Faunal joint grease</x:v>
      </x:c>
      <x:c r="C311" s="4" t="str">
        <x:f>IFERROR(INDEX(Items!$D$6:$D$1005,MATCH(A311,Items!$A$6:$A$1005,0)),"MISSING ITEM ID")</x:f>
        <x:v>Crafting components</x:v>
      </x:c>
      <x:c r="D311" s="4" t="str">
        <x:v>Secondary</x:v>
      </x:c>
      <x:c r="E311" s="4" t="str">
        <x:v>Equipment repair</x:v>
      </x:c>
      <x:c r="F311" s="4" t="str">
        <x:v>Proposed industrial use. Exact compatibility, properties and refinement unresolved.</x:v>
      </x:c>
    </x:row>
    <x:row r="312" ht="65" customHeight="1">
      <x:c r="A312" s="4" t="str">
        <x:v>proposal.lubricant.dust_film</x:v>
      </x:c>
      <x:c r="B312" s="4" t="str">
        <x:f>IFERROR(INDEX(Items!$B$6:$B$1005,MATCH(A312,Items!$A$6:$A$1005,0)),"MISSING ITEM ID")</x:f>
        <x:v>Dust-shedding lubricant film</x:v>
      </x:c>
      <x:c r="C312" s="4" t="str">
        <x:f>IFERROR(INDEX(Items!$D$6:$D$1005,MATCH(A312,Items!$A$6:$A$1005,0)),"MISSING ITEM ID")</x:f>
        <x:v>Crafting components</x:v>
      </x:c>
      <x:c r="D312" s="4" t="str">
        <x:v>Primary</x:v>
      </x:c>
      <x:c r="E312" s="4" t="str">
        <x:f>IFERROR(INDEX(Items!$AA$6:$AA$1005,MATCH(A312,Items!$A$6:$A$1005,0)),"MISSING ITEM ID")</x:f>
        <x:v>Lubrication</x:v>
      </x:c>
      <x:c r="F312" s="4" t="str">
        <x:v>Proposed industrial use. Exact compatibility, properties and refinement unresolved.</x:v>
      </x:c>
    </x:row>
    <x:row r="313" ht="65" customHeight="1">
      <x:c r="A313" s="4" t="str">
        <x:v>proposal.lubricant.dust_film</x:v>
      </x:c>
      <x:c r="B313" s="4" t="str">
        <x:f>IFERROR(INDEX(Items!$B$6:$B$1005,MATCH(A313,Items!$A$6:$A$1005,0)),"MISSING ITEM ID")</x:f>
        <x:v>Dust-shedding lubricant film</x:v>
      </x:c>
      <x:c r="C313" s="4" t="str">
        <x:f>IFERROR(INDEX(Items!$D$6:$D$1005,MATCH(A313,Items!$A$6:$A$1005,0)),"MISSING ITEM ID")</x:f>
        <x:v>Crafting components</x:v>
      </x:c>
      <x:c r="D313" s="4" t="str">
        <x:v>Secondary</x:v>
      </x:c>
      <x:c r="E313" s="4" t="str">
        <x:v>Dust exclusion</x:v>
      </x:c>
      <x:c r="F313" s="4" t="str">
        <x:v>Proposed industrial use. Exact compatibility, properties and refinement unresolved.</x:v>
      </x:c>
    </x:row>
    <x:row r="314" ht="65" customHeight="1">
      <x:c r="A314" s="4" t="str">
        <x:v>proposal.lubricant.seal_paste</x:v>
      </x:c>
      <x:c r="B314" s="4" t="str">
        <x:f>IFERROR(INDEX(Items!$B$6:$B$1005,MATCH(A314,Items!$A$6:$A$1005,0)),"MISSING ITEM ID")</x:f>
        <x:v>Seal-conditioning paste</x:v>
      </x:c>
      <x:c r="C314" s="4" t="str">
        <x:f>IFERROR(INDEX(Items!$D$6:$D$1005,MATCH(A314,Items!$A$6:$A$1005,0)),"MISSING ITEM ID")</x:f>
        <x:v>Crafting components</x:v>
      </x:c>
      <x:c r="D314" s="4" t="str">
        <x:v>Primary</x:v>
      </x:c>
      <x:c r="E314" s="4" t="str">
        <x:f>IFERROR(INDEX(Items!$AA$6:$AA$1005,MATCH(A314,Items!$A$6:$A$1005,0)),"MISSING ITEM ID")</x:f>
        <x:v>Lubrication</x:v>
      </x:c>
      <x:c r="F314" s="4" t="str">
        <x:v>Proposed industrial use. Exact compatibility, properties and refinement unresolved.</x:v>
      </x:c>
    </x:row>
    <x:row r="315" ht="65" customHeight="1">
      <x:c r="A315" s="4" t="str">
        <x:v>proposal.lubricant.seal_paste</x:v>
      </x:c>
      <x:c r="B315" s="4" t="str">
        <x:f>IFERROR(INDEX(Items!$B$6:$B$1005,MATCH(A315,Items!$A$6:$A$1005,0)),"MISSING ITEM ID")</x:f>
        <x:v>Seal-conditioning paste</x:v>
      </x:c>
      <x:c r="C315" s="4" t="str">
        <x:f>IFERROR(INDEX(Items!$D$6:$D$1005,MATCH(A315,Items!$A$6:$A$1005,0)),"MISSING ITEM ID")</x:f>
        <x:v>Crafting components</x:v>
      </x:c>
      <x:c r="D315" s="4" t="str">
        <x:v>Secondary</x:v>
      </x:c>
      <x:c r="E315" s="4" t="str">
        <x:v>Sealing</x:v>
      </x:c>
      <x:c r="F315" s="4" t="str">
        <x:v>Proposed industrial use. Exact compatibility, properties and refinement unresolved.</x:v>
      </x:c>
    </x:row>
    <x:row r="316" ht="65" customHeight="1">
      <x:c r="A316" s="4" t="str">
        <x:v>proposal.lubricant.graphite_grease</x:v>
      </x:c>
      <x:c r="B316" s="4" t="str">
        <x:f>IFERROR(INDEX(Items!$B$6:$B$1005,MATCH(A316,Items!$A$6:$A$1005,0)),"MISSING ITEM ID")</x:f>
        <x:v>Graphite faunal grease</x:v>
      </x:c>
      <x:c r="C316" s="4" t="str">
        <x:f>IFERROR(INDEX(Items!$D$6:$D$1005,MATCH(A316,Items!$A$6:$A$1005,0)),"MISSING ITEM ID")</x:f>
        <x:v>Crafting components</x:v>
      </x:c>
      <x:c r="D316" s="4" t="str">
        <x:v>Primary</x:v>
      </x:c>
      <x:c r="E316" s="4" t="str">
        <x:f>IFERROR(INDEX(Items!$AA$6:$AA$1005,MATCH(A316,Items!$A$6:$A$1005,0)),"MISSING ITEM ID")</x:f>
        <x:v>Lubrication</x:v>
      </x:c>
      <x:c r="F316" s="4" t="str">
        <x:v>Proposed industrial use. Exact compatibility, properties and refinement unresolved.</x:v>
      </x:c>
    </x:row>
    <x:row r="317" ht="65" customHeight="1">
      <x:c r="A317" s="4" t="str">
        <x:v>proposal.lubricant.graphite_grease</x:v>
      </x:c>
      <x:c r="B317" s="4" t="str">
        <x:f>IFERROR(INDEX(Items!$B$6:$B$1005,MATCH(A317,Items!$A$6:$A$1005,0)),"MISSING ITEM ID")</x:f>
        <x:v>Graphite faunal grease</x:v>
      </x:c>
      <x:c r="C317" s="4" t="str">
        <x:f>IFERROR(INDEX(Items!$D$6:$D$1005,MATCH(A317,Items!$A$6:$A$1005,0)),"MISSING ITEM ID")</x:f>
        <x:v>Crafting components</x:v>
      </x:c>
      <x:c r="D317" s="4" t="str">
        <x:v>Secondary</x:v>
      </x:c>
      <x:c r="E317" s="4" t="str">
        <x:v>Equipment repair</x:v>
      </x:c>
      <x:c r="F317" s="4" t="str">
        <x:v>Proposed industrial use. Exact compatibility, properties and refinement unresolved.</x:v>
      </x:c>
    </x:row>
    <x:row r="318" ht="65" customHeight="1">
      <x:c r="A318" s="4" t="str">
        <x:v>proposal.lubricant.insulating_grease</x:v>
      </x:c>
      <x:c r="B318" s="4" t="str">
        <x:f>IFERROR(INDEX(Items!$B$6:$B$1005,MATCH(A318,Items!$A$6:$A$1005,0)),"MISSING ITEM ID")</x:f>
        <x:v>Electrically insulating grease</x:v>
      </x:c>
      <x:c r="C318" s="4" t="str">
        <x:f>IFERROR(INDEX(Items!$D$6:$D$1005,MATCH(A318,Items!$A$6:$A$1005,0)),"MISSING ITEM ID")</x:f>
        <x:v>Crafting components</x:v>
      </x:c>
      <x:c r="D318" s="4" t="str">
        <x:v>Primary</x:v>
      </x:c>
      <x:c r="E318" s="4" t="str">
        <x:f>IFERROR(INDEX(Items!$AA$6:$AA$1005,MATCH(A318,Items!$A$6:$A$1005,0)),"MISSING ITEM ID")</x:f>
        <x:v>Lubrication</x:v>
      </x:c>
      <x:c r="F318" s="4" t="str">
        <x:v>Proposed industrial use. Exact compatibility, properties and refinement unresolved.</x:v>
      </x:c>
    </x:row>
    <x:row r="319" ht="65" customHeight="1">
      <x:c r="A319" s="4" t="str">
        <x:v>proposal.lubricant.insulating_grease</x:v>
      </x:c>
      <x:c r="B319" s="4" t="str">
        <x:f>IFERROR(INDEX(Items!$B$6:$B$1005,MATCH(A319,Items!$A$6:$A$1005,0)),"MISSING ITEM ID")</x:f>
        <x:v>Electrically insulating grease</x:v>
      </x:c>
      <x:c r="C319" s="4" t="str">
        <x:f>IFERROR(INDEX(Items!$D$6:$D$1005,MATCH(A319,Items!$A$6:$A$1005,0)),"MISSING ITEM ID")</x:f>
        <x:v>Crafting components</x:v>
      </x:c>
      <x:c r="D319" s="4" t="str">
        <x:v>Secondary</x:v>
      </x:c>
      <x:c r="E319" s="4" t="str">
        <x:v>Electrical insulation</x:v>
      </x:c>
      <x:c r="F319" s="4" t="str">
        <x:v>Proposed industrial use. Exact compatibility, properties and refinement unresolved.</x:v>
      </x:c>
    </x:row>
    <x:row r="320" ht="65" customHeight="1">
      <x:c r="A320" s="4" t="str">
        <x:v>proposal.lubricant.precision_oil</x:v>
      </x:c>
      <x:c r="B320" s="4" t="str">
        <x:f>IFERROR(INDEX(Items!$B$6:$B$1005,MATCH(A320,Items!$A$6:$A$1005,0)),"MISSING ITEM ID")</x:f>
        <x:v>Fine mechanism oil</x:v>
      </x:c>
      <x:c r="C320" s="4" t="str">
        <x:f>IFERROR(INDEX(Items!$D$6:$D$1005,MATCH(A320,Items!$A$6:$A$1005,0)),"MISSING ITEM ID")</x:f>
        <x:v>Crafting components</x:v>
      </x:c>
      <x:c r="D320" s="4" t="str">
        <x:v>Primary</x:v>
      </x:c>
      <x:c r="E320" s="4" t="str">
        <x:f>IFERROR(INDEX(Items!$AA$6:$AA$1005,MATCH(A320,Items!$A$6:$A$1005,0)),"MISSING ITEM ID")</x:f>
        <x:v>Lubrication</x:v>
      </x:c>
      <x:c r="F320" s="4" t="str">
        <x:v>Proposed industrial use. Exact compatibility, properties and refinement unresolved.</x:v>
      </x:c>
    </x:row>
    <x:row r="321" ht="65" customHeight="1">
      <x:c r="A321" s="4" t="str">
        <x:v>proposal.lubricant.precision_oil</x:v>
      </x:c>
      <x:c r="B321" s="4" t="str">
        <x:f>IFERROR(INDEX(Items!$B$6:$B$1005,MATCH(A321,Items!$A$6:$A$1005,0)),"MISSING ITEM ID")</x:f>
        <x:v>Fine mechanism oil</x:v>
      </x:c>
      <x:c r="C321" s="4" t="str">
        <x:f>IFERROR(INDEX(Items!$D$6:$D$1005,MATCH(A321,Items!$A$6:$A$1005,0)),"MISSING ITEM ID")</x:f>
        <x:v>Crafting components</x:v>
      </x:c>
      <x:c r="D321" s="4" t="str">
        <x:v>Secondary</x:v>
      </x:c>
      <x:c r="E321" s="4" t="str">
        <x:v>Equipment repair</x:v>
      </x:c>
      <x:c r="F321" s="4" t="str">
        <x:v>Proposed industrial use. Exact compatibility, properties and refinement unresolved.</x:v>
      </x:c>
    </x:row>
    <x:row r="322" ht="65" customHeight="1">
      <x:c r="A322" s="4" t="str">
        <x:v>proposal.wind.turbine</x:v>
      </x:c>
      <x:c r="B322" s="4" t="str">
        <x:f>IFERROR(INDEX(Items!$B$6:$B$1005,MATCH(A322,Items!$A$6:$A$1005,0)),"MISSING ITEM ID")</x:f>
        <x:v>Salvaged wind turbine</x:v>
      </x:c>
      <x:c r="C322" s="4" t="str">
        <x:f>IFERROR(INDEX(Items!$D$6:$D$1005,MATCH(A322,Items!$A$6:$A$1005,0)),"MISSING ITEM ID")</x:f>
        <x:v>Salvage</x:v>
      </x:c>
      <x:c r="D322" s="4" t="str">
        <x:v>Primary</x:v>
      </x:c>
      <x:c r="E322" s="4" t="str">
        <x:f>IFERROR(INDEX(Items!$AA$6:$AA$1005,MATCH(A322,Items!$A$6:$A$1005,0)),"MISSING ITEM ID")</x:f>
        <x:v>Wind power</x:v>
      </x:c>
      <x:c r="F322" s="4" t="str">
        <x:v>Author-directed family or proposed component. Runtime movement and energy behavior undefined.</x:v>
      </x:c>
    </x:row>
    <x:row r="323" ht="65" customHeight="1">
      <x:c r="A323" s="4" t="str">
        <x:v>proposal.wind.turbine</x:v>
      </x:c>
      <x:c r="B323" s="4" t="str">
        <x:f>IFERROR(INDEX(Items!$B$6:$B$1005,MATCH(A323,Items!$A$6:$A$1005,0)),"MISSING ITEM ID")</x:f>
        <x:v>Salvaged wind turbine</x:v>
      </x:c>
      <x:c r="C323" s="4" t="str">
        <x:f>IFERROR(INDEX(Items!$D$6:$D$1005,MATCH(A323,Items!$A$6:$A$1005,0)),"MISSING ITEM ID")</x:f>
        <x:v>Salvage</x:v>
      </x:c>
      <x:c r="D323" s="4" t="str">
        <x:v>Secondary</x:v>
      </x:c>
      <x:c r="E323" s="4" t="str">
        <x:v>Machinery drive</x:v>
      </x:c>
      <x:c r="F323" s="4" t="str">
        <x:v>Author-directed family or proposed component. Runtime movement and energy behavior undefined.</x:v>
      </x:c>
    </x:row>
    <x:row r="324" ht="65" customHeight="1">
      <x:c r="A324" s="4" t="str">
        <x:v>proposal.wind.sail_panel</x:v>
      </x:c>
      <x:c r="B324" s="4" t="str">
        <x:f>IFERROR(INDEX(Items!$B$6:$B$1005,MATCH(A324,Items!$A$6:$A$1005,0)),"MISSING ITEM ID")</x:f>
        <x:v>Prepared insect-wing sail panel</x:v>
      </x:c>
      <x:c r="C324" s="4" t="str">
        <x:f>IFERROR(INDEX(Items!$D$6:$D$1005,MATCH(A324,Items!$A$6:$A$1005,0)),"MISSING ITEM ID")</x:f>
        <x:v>Salvage</x:v>
      </x:c>
      <x:c r="D324" s="4" t="str">
        <x:v>Primary</x:v>
      </x:c>
      <x:c r="E324" s="4" t="str">
        <x:f>IFERROR(INDEX(Items!$AA$6:$AA$1005,MATCH(A324,Items!$A$6:$A$1005,0)),"MISSING ITEM ID")</x:f>
        <x:v>Wind propulsion</x:v>
      </x:c>
      <x:c r="F324" s="4" t="str">
        <x:v>Author-directed family or proposed component. Runtime movement and energy behavior undefined.</x:v>
      </x:c>
    </x:row>
    <x:row r="325" ht="65" customHeight="1">
      <x:c r="A325" s="4" t="str">
        <x:v>proposal.wind.hand_sail</x:v>
      </x:c>
      <x:c r="B325" s="4" t="str">
        <x:f>IFERROR(INDEX(Items!$B$6:$B$1005,MATCH(A325,Items!$A$6:$A$1005,0)),"MISSING ITEM ID")</x:f>
        <x:v>Collapsible handheld wind sail</x:v>
      </x:c>
      <x:c r="C325" s="4" t="str">
        <x:f>IFERROR(INDEX(Items!$D$6:$D$1005,MATCH(A325,Items!$A$6:$A$1005,0)),"MISSING ITEM ID")</x:f>
        <x:v>Tools</x:v>
      </x:c>
      <x:c r="D325" s="4" t="str">
        <x:v>Primary</x:v>
      </x:c>
      <x:c r="E325" s="4" t="str">
        <x:f>IFERROR(INDEX(Items!$AA$6:$AA$1005,MATCH(A325,Items!$A$6:$A$1005,0)),"MISSING ITEM ID")</x:f>
        <x:v>Wind propulsion</x:v>
      </x:c>
      <x:c r="F325" s="4" t="str">
        <x:v>Author-directed family or proposed component. Runtime movement and energy behavior undefined.</x:v>
      </x:c>
    </x:row>
    <x:row r="326" ht="65" customHeight="1">
      <x:c r="A326" s="4" t="str">
        <x:v>proposal.wind.hand_sail</x:v>
      </x:c>
      <x:c r="B326" s="4" t="str">
        <x:f>IFERROR(INDEX(Items!$B$6:$B$1005,MATCH(A326,Items!$A$6:$A$1005,0)),"MISSING ITEM ID")</x:f>
        <x:v>Collapsible handheld wind sail</x:v>
      </x:c>
      <x:c r="C326" s="4" t="str">
        <x:f>IFERROR(INDEX(Items!$D$6:$D$1005,MATCH(A326,Items!$A$6:$A$1005,0)),"MISSING ITEM ID")</x:f>
        <x:v>Tools</x:v>
      </x:c>
      <x:c r="D326" s="4" t="str">
        <x:v>Secondary</x:v>
      </x:c>
      <x:c r="E326" s="4" t="str">
        <x:v>Traversal</x:v>
      </x:c>
      <x:c r="F326" s="4" t="str">
        <x:v>Author-directed family or proposed component. Runtime movement and energy behavior undefined.</x:v>
      </x:c>
    </x:row>
    <x:row r="327" ht="65" customHeight="1">
      <x:c r="A327" s="4" t="str">
        <x:v>proposal.wind.dirtboard</x:v>
      </x:c>
      <x:c r="B327" s="4" t="str">
        <x:f>IFERROR(INDEX(Items!$B$6:$B$1005,MATCH(A327,Items!$A$6:$A$1005,0)),"MISSING ITEM ID")</x:f>
        <x:v>Four-wheel all-terrain dirtboard</x:v>
      </x:c>
      <x:c r="C327" s="4" t="str">
        <x:f>IFERROR(INDEX(Items!$D$6:$D$1005,MATCH(A327,Items!$A$6:$A$1005,0)),"MISSING ITEM ID")</x:f>
        <x:v>Tools</x:v>
      </x:c>
      <x:c r="D327" s="4" t="str">
        <x:v>Primary</x:v>
      </x:c>
      <x:c r="E327" s="4" t="str">
        <x:f>IFERROR(INDEX(Items!$AA$6:$AA$1005,MATCH(A327,Items!$A$6:$A$1005,0)),"MISSING ITEM ID")</x:f>
        <x:v>Traversal</x:v>
      </x:c>
      <x:c r="F327" s="4" t="str">
        <x:v>Author-directed family or proposed component. Runtime movement and energy behavior undefined.</x:v>
      </x:c>
    </x:row>
    <x:row r="328" ht="65" customHeight="1">
      <x:c r="A328" s="4" t="str">
        <x:v>proposal.wind.dirtboard</x:v>
      </x:c>
      <x:c r="B328" s="4" t="str">
        <x:f>IFERROR(INDEX(Items!$B$6:$B$1005,MATCH(A328,Items!$A$6:$A$1005,0)),"MISSING ITEM ID")</x:f>
        <x:v>Four-wheel all-terrain dirtboard</x:v>
      </x:c>
      <x:c r="C328" s="4" t="str">
        <x:f>IFERROR(INDEX(Items!$D$6:$D$1005,MATCH(A328,Items!$A$6:$A$1005,0)),"MISSING ITEM ID")</x:f>
        <x:v>Tools</x:v>
      </x:c>
      <x:c r="D328" s="4" t="str">
        <x:v>Secondary</x:v>
      </x:c>
      <x:c r="E328" s="4" t="str">
        <x:v>Wind propulsion</x:v>
      </x:c>
      <x:c r="F328" s="4" t="str">
        <x:v>Author-directed family or proposed component. Runtime movement and energy behavior undefined.</x:v>
      </x:c>
    </x:row>
    <x:row r="329" ht="65" customHeight="1">
      <x:c r="A329" s="4" t="str">
        <x:v>proposal.wind.folding_frame</x:v>
      </x:c>
      <x:c r="B329" s="4" t="str">
        <x:f>IFERROR(INDEX(Items!$B$6:$B$1005,MATCH(A329,Items!$A$6:$A$1005,0)),"MISSING ITEM ID")</x:f>
        <x:v>Collapsible sail frame</x:v>
      </x:c>
      <x:c r="C329" s="4" t="str">
        <x:f>IFERROR(INDEX(Items!$D$6:$D$1005,MATCH(A329,Items!$A$6:$A$1005,0)),"MISSING ITEM ID")</x:f>
        <x:v>Salvage</x:v>
      </x:c>
      <x:c r="D329" s="4" t="str">
        <x:v>Primary</x:v>
      </x:c>
      <x:c r="E329" s="4" t="str">
        <x:f>IFERROR(INDEX(Items!$AA$6:$AA$1005,MATCH(A329,Items!$A$6:$A$1005,0)),"MISSING ITEM ID")</x:f>
        <x:v>Equipment fabrication</x:v>
      </x:c>
      <x:c r="F329" s="4" t="str">
        <x:v>Author-directed family or proposed component. Runtime movement and energy behavior undefined.</x:v>
      </x:c>
    </x:row>
    <x:row r="330" ht="65" customHeight="1">
      <x:c r="A330" s="4" t="str">
        <x:v>proposal.wind.sail_grip</x:v>
      </x:c>
      <x:c r="B330" s="4" t="str">
        <x:f>IFERROR(INDEX(Items!$B$6:$B$1005,MATCH(A330,Items!$A$6:$A$1005,0)),"MISSING ITEM ID")</x:f>
        <x:v>Hand-sail grip assembly</x:v>
      </x:c>
      <x:c r="C330" s="4" t="str">
        <x:f>IFERROR(INDEX(Items!$D$6:$D$1005,MATCH(A330,Items!$A$6:$A$1005,0)),"MISSING ITEM ID")</x:f>
        <x:v>Salvage</x:v>
      </x:c>
      <x:c r="D330" s="4" t="str">
        <x:v>Primary</x:v>
      </x:c>
      <x:c r="E330" s="4" t="str">
        <x:f>IFERROR(INDEX(Items!$AA$6:$AA$1005,MATCH(A330,Items!$A$6:$A$1005,0)),"MISSING ITEM ID")</x:f>
        <x:v>Equipment fabrication</x:v>
      </x:c>
      <x:c r="F330" s="4" t="str">
        <x:v>Author-directed family or proposed component. Runtime movement and energy behavior undefined.</x:v>
      </x:c>
    </x:row>
    <x:row r="331" ht="65" customHeight="1">
      <x:c r="A331" s="4" t="str">
        <x:v>proposal.wind.sail_grip</x:v>
      </x:c>
      <x:c r="B331" s="4" t="str">
        <x:f>IFERROR(INDEX(Items!$B$6:$B$1005,MATCH(A331,Items!$A$6:$A$1005,0)),"MISSING ITEM ID")</x:f>
        <x:v>Hand-sail grip assembly</x:v>
      </x:c>
      <x:c r="C331" s="4" t="str">
        <x:f>IFERROR(INDEX(Items!$D$6:$D$1005,MATCH(A331,Items!$A$6:$A$1005,0)),"MISSING ITEM ID")</x:f>
        <x:v>Salvage</x:v>
      </x:c>
      <x:c r="D331" s="4" t="str">
        <x:v>Secondary</x:v>
      </x:c>
      <x:c r="E331" s="4" t="str">
        <x:v>Equipment mounting</x:v>
      </x:c>
      <x:c r="F331" s="4" t="str">
        <x:v>Author-directed family or proposed component. Runtime movement and energy behavior undefined.</x:v>
      </x:c>
    </x:row>
    <x:row r="332" ht="65" customHeight="1">
      <x:c r="A332" s="4" t="str">
        <x:v>proposal.wind.wheel</x:v>
      </x:c>
      <x:c r="B332" s="4" t="str">
        <x:f>IFERROR(INDEX(Items!$B$6:$B$1005,MATCH(A332,Items!$A$6:$A$1005,0)),"MISSING ITEM ID")</x:f>
        <x:v>Dirtboard wheel assembly</x:v>
      </x:c>
      <x:c r="C332" s="4" t="str">
        <x:f>IFERROR(INDEX(Items!$D$6:$D$1005,MATCH(A332,Items!$A$6:$A$1005,0)),"MISSING ITEM ID")</x:f>
        <x:v>Salvage</x:v>
      </x:c>
      <x:c r="D332" s="4" t="str">
        <x:v>Primary</x:v>
      </x:c>
      <x:c r="E332" s="4" t="str">
        <x:f>IFERROR(INDEX(Items!$AA$6:$AA$1005,MATCH(A332,Items!$A$6:$A$1005,0)),"MISSING ITEM ID")</x:f>
        <x:v>Equipment fabrication</x:v>
      </x:c>
      <x:c r="F332" s="4" t="str">
        <x:v>Author-directed family or proposed component. Runtime movement and energy behavior undefined.</x:v>
      </x:c>
    </x:row>
    <x:row r="333" ht="65" customHeight="1">
      <x:c r="A333" s="4" t="str">
        <x:v>proposal.wind.wheel</x:v>
      </x:c>
      <x:c r="B333" s="4" t="str">
        <x:f>IFERROR(INDEX(Items!$B$6:$B$1005,MATCH(A333,Items!$A$6:$A$1005,0)),"MISSING ITEM ID")</x:f>
        <x:v>Dirtboard wheel assembly</x:v>
      </x:c>
      <x:c r="C333" s="4" t="str">
        <x:f>IFERROR(INDEX(Items!$D$6:$D$1005,MATCH(A333,Items!$A$6:$A$1005,0)),"MISSING ITEM ID")</x:f>
        <x:v>Salvage</x:v>
      </x:c>
      <x:c r="D333" s="4" t="str">
        <x:v>Secondary</x:v>
      </x:c>
      <x:c r="E333" s="4" t="str">
        <x:v>Equipment repair</x:v>
      </x:c>
      <x:c r="F333" s="4" t="str">
        <x:v>Author-directed family or proposed component. Runtime movement and energy behavior undefined.</x:v>
      </x:c>
    </x:row>
    <x:row r="334" ht="65" customHeight="1">
      <x:c r="A334" s="4" t="str">
        <x:v>proposal.wind.truck</x:v>
      </x:c>
      <x:c r="B334" s="4" t="str">
        <x:f>IFERROR(INDEX(Items!$B$6:$B$1005,MATCH(A334,Items!$A$6:$A$1005,0)),"MISSING ITEM ID")</x:f>
        <x:v>Dirtboard axle / steering assembly</x:v>
      </x:c>
      <x:c r="C334" s="4" t="str">
        <x:f>IFERROR(INDEX(Items!$D$6:$D$1005,MATCH(A334,Items!$A$6:$A$1005,0)),"MISSING ITEM ID")</x:f>
        <x:v>Salvage</x:v>
      </x:c>
      <x:c r="D334" s="4" t="str">
        <x:v>Primary</x:v>
      </x:c>
      <x:c r="E334" s="4" t="str">
        <x:f>IFERROR(INDEX(Items!$AA$6:$AA$1005,MATCH(A334,Items!$A$6:$A$1005,0)),"MISSING ITEM ID")</x:f>
        <x:v>Equipment fabrication</x:v>
      </x:c>
      <x:c r="F334" s="4" t="str">
        <x:v>Author-directed family or proposed component. Runtime movement and energy behavior undefined.</x:v>
      </x:c>
    </x:row>
    <x:row r="335" ht="65" customHeight="1">
      <x:c r="A335" s="4" t="str">
        <x:v>proposal.wind.truck</x:v>
      </x:c>
      <x:c r="B335" s="4" t="str">
        <x:f>IFERROR(INDEX(Items!$B$6:$B$1005,MATCH(A335,Items!$A$6:$A$1005,0)),"MISSING ITEM ID")</x:f>
        <x:v>Dirtboard axle / steering assembly</x:v>
      </x:c>
      <x:c r="C335" s="4" t="str">
        <x:f>IFERROR(INDEX(Items!$D$6:$D$1005,MATCH(A335,Items!$A$6:$A$1005,0)),"MISSING ITEM ID")</x:f>
        <x:v>Salvage</x:v>
      </x:c>
      <x:c r="D335" s="4" t="str">
        <x:v>Secondary</x:v>
      </x:c>
      <x:c r="E335" s="4" t="str">
        <x:v>Equipment repair</x:v>
      </x:c>
      <x:c r="F335" s="4" t="str">
        <x:v>Author-directed family or proposed component. Runtime movement and energy behavior undefined.</x:v>
      </x:c>
    </x:row>
    <x:row r="336" ht="65" customHeight="1">
      <x:c r="A336" s="4" t="str">
        <x:v>proposal.wind.rotor</x:v>
      </x:c>
      <x:c r="B336" s="4" t="str">
        <x:f>IFERROR(INDEX(Items!$B$6:$B$1005,MATCH(A336,Items!$A$6:$A$1005,0)),"MISSING ITEM ID")</x:f>
        <x:v>Salvaged turbine rotor assembly</x:v>
      </x:c>
      <x:c r="C336" s="4" t="str">
        <x:f>IFERROR(INDEX(Items!$D$6:$D$1005,MATCH(A336,Items!$A$6:$A$1005,0)),"MISSING ITEM ID")</x:f>
        <x:v>Salvage</x:v>
      </x:c>
      <x:c r="D336" s="4" t="str">
        <x:v>Primary</x:v>
      </x:c>
      <x:c r="E336" s="4" t="str">
        <x:f>IFERROR(INDEX(Items!$AA$6:$AA$1005,MATCH(A336,Items!$A$6:$A$1005,0)),"MISSING ITEM ID")</x:f>
        <x:v>Equipment fabrication</x:v>
      </x:c>
      <x:c r="F336" s="4" t="str">
        <x:v>Author-directed family or proposed component. Runtime movement and energy behavior undefined.</x:v>
      </x:c>
    </x:row>
    <x:row r="337" ht="65" customHeight="1">
      <x:c r="A337" s="4" t="str">
        <x:v>proposal.wind.rotor</x:v>
      </x:c>
      <x:c r="B337" s="4" t="str">
        <x:f>IFERROR(INDEX(Items!$B$6:$B$1005,MATCH(A337,Items!$A$6:$A$1005,0)),"MISSING ITEM ID")</x:f>
        <x:v>Salvaged turbine rotor assembly</x:v>
      </x:c>
      <x:c r="C337" s="4" t="str">
        <x:f>IFERROR(INDEX(Items!$D$6:$D$1005,MATCH(A337,Items!$A$6:$A$1005,0)),"MISSING ITEM ID")</x:f>
        <x:v>Salvage</x:v>
      </x:c>
      <x:c r="D337" s="4" t="str">
        <x:v>Secondary</x:v>
      </x:c>
      <x:c r="E337" s="4" t="str">
        <x:v>Wind power</x:v>
      </x:c>
      <x:c r="F337" s="4" t="str">
        <x:v>Author-directed family or proposed component. Runtime movement and energy behavior undefined.</x:v>
      </x:c>
    </x:row>
    <x:row r="338" ht="65" customHeight="1">
      <x:c r="A338" s="4" t="str">
        <x:v>proposal.wind.generator</x:v>
      </x:c>
      <x:c r="B338" s="4" t="str">
        <x:f>IFERROR(INDEX(Items!$B$6:$B$1005,MATCH(A338,Items!$A$6:$A$1005,0)),"MISSING ITEM ID")</x:f>
        <x:v>Salvaged generator assembly</x:v>
      </x:c>
      <x:c r="C338" s="4" t="str">
        <x:f>IFERROR(INDEX(Items!$D$6:$D$1005,MATCH(A338,Items!$A$6:$A$1005,0)),"MISSING ITEM ID")</x:f>
        <x:v>Salvage</x:v>
      </x:c>
      <x:c r="D338" s="4" t="str">
        <x:v>Primary</x:v>
      </x:c>
      <x:c r="E338" s="4" t="str">
        <x:f>IFERROR(INDEX(Items!$AA$6:$AA$1005,MATCH(A338,Items!$A$6:$A$1005,0)),"MISSING ITEM ID")</x:f>
        <x:v>Energy processing</x:v>
      </x:c>
      <x:c r="F338" s="4" t="str">
        <x:v>Author-directed family or proposed component. Runtime movement and energy behavior undefined.</x:v>
      </x:c>
    </x:row>
    <x:row r="339" ht="65" customHeight="1">
      <x:c r="A339" s="4" t="str">
        <x:v>proposal.wind.generator</x:v>
      </x:c>
      <x:c r="B339" s="4" t="str">
        <x:f>IFERROR(INDEX(Items!$B$6:$B$1005,MATCH(A339,Items!$A$6:$A$1005,0)),"MISSING ITEM ID")</x:f>
        <x:v>Salvaged generator assembly</x:v>
      </x:c>
      <x:c r="C339" s="4" t="str">
        <x:f>IFERROR(INDEX(Items!$D$6:$D$1005,MATCH(A339,Items!$A$6:$A$1005,0)),"MISSING ITEM ID")</x:f>
        <x:v>Salvage</x:v>
      </x:c>
      <x:c r="D339" s="4" t="str">
        <x:v>Secondary</x:v>
      </x:c>
      <x:c r="E339" s="4" t="str">
        <x:v>Wind power</x:v>
      </x:c>
      <x:c r="F339" s="4" t="str">
        <x:v>Author-directed family or proposed component. Runtime movement and energy behavior undefined.</x:v>
      </x:c>
    </x:row>
    <x:row r="340" ht="65" customHeight="1">
      <x:c r="A340" s="3" t="str">
        <x:v>proposal.bio.inner_wing</x:v>
      </x:c>
      <x:c r="B340" s="3" t="str">
        <x:f>IFERROR(INDEX(Items!$B$6:$B$1005,MATCH(A340,Items!$A$6:$A$1005,0)),"MISSING ITEM ID")</x:f>
        <x:v>Delicate inner wing</x:v>
      </x:c>
      <x:c r="C340" s="3" t="str">
        <x:f>IFERROR(INDEX(Items!$D$6:$D$1005,MATCH(A340,Items!$A$6:$A$1005,0)),"MISSING ITEM ID")</x:f>
        <x:v>Biological resources</x:v>
      </x:c>
      <x:c r="D340" s="3" t="str">
        <x:v>Secondary</x:v>
      </x:c>
      <x:c r="E340" s="3" t="str">
        <x:v>Wind propulsion</x:v>
      </x:c>
      <x:c r="F340" s="3" t="str">
        <x:v>Author direction: delicate insectoid wings supply sails as well as shade material.</x:v>
      </x:c>
    </x:row>
    <x:row r="341" ht="65" customHeight="1">
      <x:c r="A341" s="3" t="str">
        <x:v>proposal.legger.sling</x:v>
      </x:c>
      <x:c r="B341" s="3" t="str">
        <x:f>IFERROR(INDEX(Items!$B$6:$B$1005,MATCH(A341,Items!$A$6:$A$1005,0)),"MISSING ITEM ID")</x:f>
        <x:v>Legger cargo sling</x:v>
      </x:c>
      <x:c r="C341" s="3" t="str">
        <x:f>IFERROR(INDEX(Items!$D$6:$D$1005,MATCH(A341,Items!$A$6:$A$1005,0)),"MISSING ITEM ID")</x:f>
        <x:v>Legger attachments</x:v>
      </x:c>
      <x:c r="D341" s="3" t="str">
        <x:v>Primary</x:v>
      </x:c>
      <x:c r="E341" s="3" t="str">
        <x:f>IFERROR(INDEX(Items!$AA$6:$AA$1005,MATCH(A341,Items!$A$6:$A$1005,0)),"MISSING ITEM ID")</x:f>
        <x:v>Cargo organization</x:v>
      </x:c>
      <x:c r="F341" s="3" t="str">
        <x:v>Legger-specific proposal; intended use is not an implemented companion ability.</x:v>
      </x:c>
    </x:row>
    <x:row r="342" ht="65" customHeight="1">
      <x:c r="A342" s="3" t="str">
        <x:v>proposal.legger.sling</x:v>
      </x:c>
      <x:c r="B342" s="3" t="str">
        <x:f>IFERROR(INDEX(Items!$B$6:$B$1005,MATCH(A342,Items!$A$6:$A$1005,0)),"MISSING ITEM ID")</x:f>
        <x:v>Legger cargo sling</x:v>
      </x:c>
      <x:c r="C342" s="3" t="str">
        <x:f>IFERROR(INDEX(Items!$D$6:$D$1005,MATCH(A342,Items!$A$6:$A$1005,0)),"MISSING ITEM ID")</x:f>
        <x:v>Legger attachments</x:v>
      </x:c>
      <x:c r="D342" s="3" t="str">
        <x:v>Secondary</x:v>
      </x:c>
      <x:c r="E342" s="3" t="str">
        <x:v>Equipment mounting</x:v>
      </x:c>
      <x:c r="F342" s="3" t="str">
        <x:v>Legger-specific proposal; intended use is not an implemented companion ability.</x:v>
      </x:c>
    </x:row>
    <x:row r="343" ht="65" customHeight="1">
      <x:c r="A343" s="3" t="str">
        <x:v>proposal.legger.cradle</x:v>
      </x:c>
      <x:c r="B343" s="3" t="str">
        <x:f>IFERROR(INDEX(Items!$B$6:$B$1005,MATCH(A343,Items!$A$6:$A$1005,0)),"MISSING ITEM ID")</x:f>
        <x:v>Legger rigid cargo cradle</x:v>
      </x:c>
      <x:c r="C343" s="3" t="str">
        <x:f>IFERROR(INDEX(Items!$D$6:$D$1005,MATCH(A343,Items!$A$6:$A$1005,0)),"MISSING ITEM ID")</x:f>
        <x:v>Legger attachments</x:v>
      </x:c>
      <x:c r="D343" s="3" t="str">
        <x:v>Primary</x:v>
      </x:c>
      <x:c r="E343" s="3" t="str">
        <x:f>IFERROR(INDEX(Items!$AA$6:$AA$1005,MATCH(A343,Items!$A$6:$A$1005,0)),"MISSING ITEM ID")</x:f>
        <x:v>Cargo organization</x:v>
      </x:c>
      <x:c r="F343" s="3" t="str">
        <x:v>Legger-specific proposal; intended use is not an implemented companion ability.</x:v>
      </x:c>
    </x:row>
    <x:row r="344" ht="65" customHeight="1">
      <x:c r="A344" s="3" t="str">
        <x:v>proposal.legger.cradle</x:v>
      </x:c>
      <x:c r="B344" s="3" t="str">
        <x:f>IFERROR(INDEX(Items!$B$6:$B$1005,MATCH(A344,Items!$A$6:$A$1005,0)),"MISSING ITEM ID")</x:f>
        <x:v>Legger rigid cargo cradle</x:v>
      </x:c>
      <x:c r="C344" s="3" t="str">
        <x:f>IFERROR(INDEX(Items!$D$6:$D$1005,MATCH(A344,Items!$A$6:$A$1005,0)),"MISSING ITEM ID")</x:f>
        <x:v>Legger attachments</x:v>
      </x:c>
      <x:c r="D344" s="3" t="str">
        <x:v>Secondary</x:v>
      </x:c>
      <x:c r="E344" s="3" t="str">
        <x:v>Equipment mounting</x:v>
      </x:c>
      <x:c r="F344" s="3" t="str">
        <x:v>Legger-specific proposal; intended use is not an implemented companion ability.</x:v>
      </x:c>
    </x:row>
    <x:row r="345" ht="65" customHeight="1">
      <x:c r="A345" s="3" t="str">
        <x:v>proposal.legger.anchors</x:v>
      </x:c>
      <x:c r="B345" s="3" t="str">
        <x:f>IFERROR(INDEX(Items!$B$6:$B$1005,MATCH(A345,Items!$A$6:$A$1005,0)),"MISSING ITEM ID")</x:f>
        <x:v>Legger lashing-anchor set</x:v>
      </x:c>
      <x:c r="C345" s="3" t="str">
        <x:f>IFERROR(INDEX(Items!$D$6:$D$1005,MATCH(A345,Items!$A$6:$A$1005,0)),"MISSING ITEM ID")</x:f>
        <x:v>Crafting components</x:v>
      </x:c>
      <x:c r="D345" s="3" t="str">
        <x:v>Primary</x:v>
      </x:c>
      <x:c r="E345" s="3" t="str">
        <x:f>IFERROR(INDEX(Items!$AA$6:$AA$1005,MATCH(A345,Items!$A$6:$A$1005,0)),"MISSING ITEM ID")</x:f>
        <x:v>Equipment mounting</x:v>
      </x:c>
      <x:c r="F345" s="3" t="str">
        <x:v>Legger-specific proposal; intended use is not an implemented companion ability.</x:v>
      </x:c>
    </x:row>
    <x:row r="346" ht="65" customHeight="1">
      <x:c r="A346" s="3" t="str">
        <x:v>proposal.legger.balance_link</x:v>
      </x:c>
      <x:c r="B346" s="3" t="str">
        <x:f>IFERROR(INDEX(Items!$B$6:$B$1005,MATCH(A346,Items!$A$6:$A$1005,0)),"MISSING ITEM ID")</x:f>
        <x:v>Legger load-balance linkage</x:v>
      </x:c>
      <x:c r="C346" s="3" t="str">
        <x:f>IFERROR(INDEX(Items!$D$6:$D$1005,MATCH(A346,Items!$A$6:$A$1005,0)),"MISSING ITEM ID")</x:f>
        <x:v>Crafting components</x:v>
      </x:c>
      <x:c r="D346" s="3" t="str">
        <x:v>Primary</x:v>
      </x:c>
      <x:c r="E346" s="3" t="str">
        <x:f>IFERROR(INDEX(Items!$AA$6:$AA$1005,MATCH(A346,Items!$A$6:$A$1005,0)),"MISSING ITEM ID")</x:f>
        <x:v>Cargo organization</x:v>
      </x:c>
      <x:c r="F346" s="3" t="str">
        <x:v>Legger-specific proposal; intended use is not an implemented companion ability.</x:v>
      </x:c>
    </x:row>
    <x:row r="347" ht="65" customHeight="1">
      <x:c r="A347" s="3" t="str">
        <x:v>proposal.legger.balance_link</x:v>
      </x:c>
      <x:c r="B347" s="3" t="str">
        <x:f>IFERROR(INDEX(Items!$B$6:$B$1005,MATCH(A347,Items!$A$6:$A$1005,0)),"MISSING ITEM ID")</x:f>
        <x:v>Legger load-balance linkage</x:v>
      </x:c>
      <x:c r="C347" s="3" t="str">
        <x:f>IFERROR(INDEX(Items!$D$6:$D$1005,MATCH(A347,Items!$A$6:$A$1005,0)),"MISSING ITEM ID")</x:f>
        <x:v>Crafting components</x:v>
      </x:c>
      <x:c r="D347" s="3" t="str">
        <x:v>Secondary</x:v>
      </x:c>
      <x:c r="E347" s="3" t="str">
        <x:v>Equipment mounting</x:v>
      </x:c>
      <x:c r="F347" s="3" t="str">
        <x:v>Legger-specific proposal; intended use is not an implemented companion ability.</x:v>
      </x:c>
    </x:row>
    <x:row r="348" ht="65" customHeight="1">
      <x:c r="A348" s="3" t="str">
        <x:v>proposal.legger.iron_rib</x:v>
      </x:c>
      <x:c r="B348" s="3" t="str">
        <x:f>IFERROR(INDEX(Items!$B$6:$B$1005,MATCH(A348,Items!$A$6:$A$1005,0)),"MISSING ITEM ID")</x:f>
        <x:v>Iron chassis replacement rib</x:v>
      </x:c>
      <x:c r="C348" s="3" t="str">
        <x:f>IFERROR(INDEX(Items!$D$6:$D$1005,MATCH(A348,Items!$A$6:$A$1005,0)),"MISSING ITEM ID")</x:f>
        <x:v>Crafting components</x:v>
      </x:c>
      <x:c r="D348" s="3" t="str">
        <x:v>Primary</x:v>
      </x:c>
      <x:c r="E348" s="3" t="str">
        <x:f>IFERROR(INDEX(Items!$AA$6:$AA$1005,MATCH(A348,Items!$A$6:$A$1005,0)),"MISSING ITEM ID")</x:f>
        <x:v>Equipment repair</x:v>
      </x:c>
      <x:c r="F348" s="3" t="str">
        <x:v>Legger-specific proposal; intended use is not an implemented companion ability.</x:v>
      </x:c>
    </x:row>
    <x:row r="349" ht="65" customHeight="1">
      <x:c r="A349" s="3" t="str">
        <x:v>proposal.legger.crossbrace</x:v>
      </x:c>
      <x:c r="B349" s="3" t="str">
        <x:f>IFERROR(INDEX(Items!$B$6:$B$1005,MATCH(A349,Items!$A$6:$A$1005,0)),"MISSING ITEM ID")</x:f>
        <x:v>Chassis crossbrace</x:v>
      </x:c>
      <x:c r="C349" s="3" t="str">
        <x:f>IFERROR(INDEX(Items!$D$6:$D$1005,MATCH(A349,Items!$A$6:$A$1005,0)),"MISSING ITEM ID")</x:f>
        <x:v>Crafting components</x:v>
      </x:c>
      <x:c r="D349" s="3" t="str">
        <x:v>Primary</x:v>
      </x:c>
      <x:c r="E349" s="3" t="str">
        <x:f>IFERROR(INDEX(Items!$AA$6:$AA$1005,MATCH(A349,Items!$A$6:$A$1005,0)),"MISSING ITEM ID")</x:f>
        <x:v>Equipment repair</x:v>
      </x:c>
      <x:c r="F349" s="3" t="str">
        <x:v>Legger-specific proposal; intended use is not an implemented companion ability.</x:v>
      </x:c>
    </x:row>
    <x:row r="350" ht="65" customHeight="1">
      <x:c r="A350" s="3" t="str">
        <x:v>proposal.legger.crossbrace</x:v>
      </x:c>
      <x:c r="B350" s="3" t="str">
        <x:f>IFERROR(INDEX(Items!$B$6:$B$1005,MATCH(A350,Items!$A$6:$A$1005,0)),"MISSING ITEM ID")</x:f>
        <x:v>Chassis crossbrace</x:v>
      </x:c>
      <x:c r="C350" s="3" t="str">
        <x:f>IFERROR(INDEX(Items!$D$6:$D$1005,MATCH(A350,Items!$A$6:$A$1005,0)),"MISSING ITEM ID")</x:f>
        <x:v>Crafting components</x:v>
      </x:c>
      <x:c r="D350" s="3" t="str">
        <x:v>Secondary</x:v>
      </x:c>
      <x:c r="E350" s="3" t="str">
        <x:v>Equipment fabrication</x:v>
      </x:c>
      <x:c r="F350" s="3" t="str">
        <x:v>Legger-specific proposal; intended use is not an implemented companion ability.</x:v>
      </x:c>
    </x:row>
    <x:row r="351" ht="65" customHeight="1">
      <x:c r="A351" s="3" t="str">
        <x:v>proposal.legger.belly_pan</x:v>
      </x:c>
      <x:c r="B351" s="3" t="str">
        <x:f>IFERROR(INDEX(Items!$B$6:$B$1005,MATCH(A351,Items!$A$6:$A$1005,0)),"MISSING ITEM ID")</x:f>
        <x:v>Legger chassis belly pan</x:v>
      </x:c>
      <x:c r="C351" s="3" t="str">
        <x:f>IFERROR(INDEX(Items!$D$6:$D$1005,MATCH(A351,Items!$A$6:$A$1005,0)),"MISSING ITEM ID")</x:f>
        <x:v>Legger armor</x:v>
      </x:c>
      <x:c r="D351" s="3" t="str">
        <x:v>Primary</x:v>
      </x:c>
      <x:c r="E351" s="3" t="str">
        <x:f>IFERROR(INDEX(Items!$AA$6:$AA$1005,MATCH(A351,Items!$A$6:$A$1005,0)),"MISSING ITEM ID")</x:f>
        <x:v>Protection</x:v>
      </x:c>
      <x:c r="F351" s="3" t="str">
        <x:v>Legger-specific proposal; intended use is not an implemented companion ability.</x:v>
      </x:c>
    </x:row>
    <x:row r="352" ht="65" customHeight="1">
      <x:c r="A352" s="3" t="str">
        <x:v>proposal.legger.belly_pan</x:v>
      </x:c>
      <x:c r="B352" s="3" t="str">
        <x:f>IFERROR(INDEX(Items!$B$6:$B$1005,MATCH(A352,Items!$A$6:$A$1005,0)),"MISSING ITEM ID")</x:f>
        <x:v>Legger chassis belly pan</x:v>
      </x:c>
      <x:c r="C352" s="3" t="str">
        <x:f>IFERROR(INDEX(Items!$D$6:$D$1005,MATCH(A352,Items!$A$6:$A$1005,0)),"MISSING ITEM ID")</x:f>
        <x:v>Legger armor</x:v>
      </x:c>
      <x:c r="D352" s="3" t="str">
        <x:v>Secondary</x:v>
      </x:c>
      <x:c r="E352" s="3" t="str">
        <x:v>Dust exclusion</x:v>
      </x:c>
      <x:c r="F352" s="3" t="str">
        <x:v>Legger-specific proposal; intended use is not an implemented companion ability.</x:v>
      </x:c>
    </x:row>
    <x:row r="353" ht="65" customHeight="1">
      <x:c r="A353" s="3" t="str">
        <x:v>proposal.legger.mount_rail</x:v>
      </x:c>
      <x:c r="B353" s="3" t="str">
        <x:f>IFERROR(INDEX(Items!$B$6:$B$1005,MATCH(A353,Items!$A$6:$A$1005,0)),"MISSING ITEM ID")</x:f>
        <x:v>Legger attachment rail</x:v>
      </x:c>
      <x:c r="C353" s="3" t="str">
        <x:f>IFERROR(INDEX(Items!$D$6:$D$1005,MATCH(A353,Items!$A$6:$A$1005,0)),"MISSING ITEM ID")</x:f>
        <x:v>Crafting components</x:v>
      </x:c>
      <x:c r="D353" s="3" t="str">
        <x:v>Primary</x:v>
      </x:c>
      <x:c r="E353" s="3" t="str">
        <x:f>IFERROR(INDEX(Items!$AA$6:$AA$1005,MATCH(A353,Items!$A$6:$A$1005,0)),"MISSING ITEM ID")</x:f>
        <x:v>Equipment mounting</x:v>
      </x:c>
      <x:c r="F353" s="3" t="str">
        <x:v>Legger-specific proposal; intended use is not an implemented companion ability.</x:v>
      </x:c>
    </x:row>
    <x:row r="354" ht="65" customHeight="1">
      <x:c r="A354" s="3" t="str">
        <x:v>proposal.legger.joint_bush</x:v>
      </x:c>
      <x:c r="B354" s="3" t="str">
        <x:f>IFERROR(INDEX(Items!$B$6:$B$1005,MATCH(A354,Items!$A$6:$A$1005,0)),"MISSING ITEM ID")</x:f>
        <x:v>Iron joint bushing</x:v>
      </x:c>
      <x:c r="C354" s="3" t="str">
        <x:f>IFERROR(INDEX(Items!$D$6:$D$1005,MATCH(A354,Items!$A$6:$A$1005,0)),"MISSING ITEM ID")</x:f>
        <x:v>Crafting components</x:v>
      </x:c>
      <x:c r="D354" s="3" t="str">
        <x:v>Primary</x:v>
      </x:c>
      <x:c r="E354" s="3" t="str">
        <x:f>IFERROR(INDEX(Items!$AA$6:$AA$1005,MATCH(A354,Items!$A$6:$A$1005,0)),"MISSING ITEM ID")</x:f>
        <x:v>Equipment repair</x:v>
      </x:c>
      <x:c r="F354" s="3" t="str">
        <x:v>Legger-specific proposal; intended use is not an implemented companion ability.</x:v>
      </x:c>
    </x:row>
    <x:row r="355" ht="65" customHeight="1">
      <x:c r="A355" s="3" t="str">
        <x:v>proposal.legger.bearing</x:v>
      </x:c>
      <x:c r="B355" s="3" t="str">
        <x:f>IFERROR(INDEX(Items!$B$6:$B$1005,MATCH(A355,Items!$A$6:$A$1005,0)),"MISSING ITEM ID")</x:f>
        <x:v>Replacement bearing assembly</x:v>
      </x:c>
      <x:c r="C355" s="3" t="str">
        <x:f>IFERROR(INDEX(Items!$D$6:$D$1005,MATCH(A355,Items!$A$6:$A$1005,0)),"MISSING ITEM ID")</x:f>
        <x:v>Crafting components</x:v>
      </x:c>
      <x:c r="D355" s="3" t="str">
        <x:v>Primary</x:v>
      </x:c>
      <x:c r="E355" s="3" t="str">
        <x:f>IFERROR(INDEX(Items!$AA$6:$AA$1005,MATCH(A355,Items!$A$6:$A$1005,0)),"MISSING ITEM ID")</x:f>
        <x:v>Equipment repair</x:v>
      </x:c>
      <x:c r="F355" s="3" t="str">
        <x:v>Legger-specific proposal; intended use is not an implemented companion ability.</x:v>
      </x:c>
    </x:row>
    <x:row r="356" ht="65" customHeight="1">
      <x:c r="A356" s="3" t="str">
        <x:v>proposal.legger.foot_plate</x:v>
      </x:c>
      <x:c r="B356" s="3" t="str">
        <x:f>IFERROR(INDEX(Items!$B$6:$B$1005,MATCH(A356,Items!$A$6:$A$1005,0)),"MISSING ITEM ID")</x:f>
        <x:v>Replaceable foot contact plate</x:v>
      </x:c>
      <x:c r="C356" s="3" t="str">
        <x:f>IFERROR(INDEX(Items!$D$6:$D$1005,MATCH(A356,Items!$A$6:$A$1005,0)),"MISSING ITEM ID")</x:f>
        <x:v>Crafting components</x:v>
      </x:c>
      <x:c r="D356" s="3" t="str">
        <x:v>Primary</x:v>
      </x:c>
      <x:c r="E356" s="3" t="str">
        <x:f>IFERROR(INDEX(Items!$AA$6:$AA$1005,MATCH(A356,Items!$A$6:$A$1005,0)),"MISSING ITEM ID")</x:f>
        <x:v>Equipment repair</x:v>
      </x:c>
      <x:c r="F356" s="3" t="str">
        <x:v>Legger-specific proposal; intended use is not an implemented companion ability.</x:v>
      </x:c>
    </x:row>
    <x:row r="357" ht="65" customHeight="1">
      <x:c r="A357" s="3" t="str">
        <x:v>proposal.legger.foot_plate</x:v>
      </x:c>
      <x:c r="B357" s="3" t="str">
        <x:f>IFERROR(INDEX(Items!$B$6:$B$1005,MATCH(A357,Items!$A$6:$A$1005,0)),"MISSING ITEM ID")</x:f>
        <x:v>Replaceable foot contact plate</x:v>
      </x:c>
      <x:c r="C357" s="3" t="str">
        <x:f>IFERROR(INDEX(Items!$D$6:$D$1005,MATCH(A357,Items!$A$6:$A$1005,0)),"MISSING ITEM ID")</x:f>
        <x:v>Crafting components</x:v>
      </x:c>
      <x:c r="D357" s="3" t="str">
        <x:v>Secondary</x:v>
      </x:c>
      <x:c r="E357" s="3" t="str">
        <x:v>Traversal</x:v>
      </x:c>
      <x:c r="F357" s="3" t="str">
        <x:v>Legger-specific proposal; intended use is not an implemented companion ability.</x:v>
      </x:c>
    </x:row>
    <x:row r="358" ht="65" customHeight="1">
      <x:c r="A358" s="3" t="str">
        <x:v>proposal.legger.actuator_rod</x:v>
      </x:c>
      <x:c r="B358" s="3" t="str">
        <x:f>IFERROR(INDEX(Items!$B$6:$B$1005,MATCH(A358,Items!$A$6:$A$1005,0)),"MISSING ITEM ID")</x:f>
        <x:v>Replacement actuator link</x:v>
      </x:c>
      <x:c r="C358" s="3" t="str">
        <x:f>IFERROR(INDEX(Items!$D$6:$D$1005,MATCH(A358,Items!$A$6:$A$1005,0)),"MISSING ITEM ID")</x:f>
        <x:v>Crafting components</x:v>
      </x:c>
      <x:c r="D358" s="3" t="str">
        <x:v>Primary</x:v>
      </x:c>
      <x:c r="E358" s="3" t="str">
        <x:f>IFERROR(INDEX(Items!$AA$6:$AA$1005,MATCH(A358,Items!$A$6:$A$1005,0)),"MISSING ITEM ID")</x:f>
        <x:v>Equipment repair</x:v>
      </x:c>
      <x:c r="F358" s="3" t="str">
        <x:v>Legger-specific proposal; intended use is not an implemented companion ability.</x:v>
      </x:c>
    </x:row>
    <x:row r="359" ht="65" customHeight="1">
      <x:c r="A359" s="3" t="str">
        <x:v>proposal.legger.joint_shroud</x:v>
      </x:c>
      <x:c r="B359" s="3" t="str">
        <x:f>IFERROR(INDEX(Items!$B$6:$B$1005,MATCH(A359,Items!$A$6:$A$1005,0)),"MISSING ITEM ID")</x:f>
        <x:v>Joint dust shroud</x:v>
      </x:c>
      <x:c r="C359" s="3" t="str">
        <x:f>IFERROR(INDEX(Items!$D$6:$D$1005,MATCH(A359,Items!$A$6:$A$1005,0)),"MISSING ITEM ID")</x:f>
        <x:v>Crafting components</x:v>
      </x:c>
      <x:c r="D359" s="3" t="str">
        <x:v>Primary</x:v>
      </x:c>
      <x:c r="E359" s="3" t="str">
        <x:f>IFERROR(INDEX(Items!$AA$6:$AA$1005,MATCH(A359,Items!$A$6:$A$1005,0)),"MISSING ITEM ID")</x:f>
        <x:v>Dust exclusion</x:v>
      </x:c>
      <x:c r="F359" s="3" t="str">
        <x:v>Legger-specific proposal; intended use is not an implemented companion ability.</x:v>
      </x:c>
    </x:row>
    <x:row r="360" ht="65" customHeight="1">
      <x:c r="A360" s="3" t="str">
        <x:v>proposal.legger.joint_shroud</x:v>
      </x:c>
      <x:c r="B360" s="3" t="str">
        <x:f>IFERROR(INDEX(Items!$B$6:$B$1005,MATCH(A360,Items!$A$6:$A$1005,0)),"MISSING ITEM ID")</x:f>
        <x:v>Joint dust shroud</x:v>
      </x:c>
      <x:c r="C360" s="3" t="str">
        <x:f>IFERROR(INDEX(Items!$D$6:$D$1005,MATCH(A360,Items!$A$6:$A$1005,0)),"MISSING ITEM ID")</x:f>
        <x:v>Crafting components</x:v>
      </x:c>
      <x:c r="D360" s="3" t="str">
        <x:v>Secondary</x:v>
      </x:c>
      <x:c r="E360" s="3" t="str">
        <x:v>Protection</x:v>
      </x:c>
      <x:c r="F360" s="3" t="str">
        <x:v>Legger-specific proposal; intended use is not an implemented companion ability.</x:v>
      </x:c>
    </x:row>
    <x:row r="361" ht="65" customHeight="1">
      <x:c r="A361" s="3" t="str">
        <x:v>proposal.legger.grease_cup</x:v>
      </x:c>
      <x:c r="B361" s="3" t="str">
        <x:f>IFERROR(INDEX(Items!$B$6:$B$1005,MATCH(A361,Items!$A$6:$A$1005,0)),"MISSING ITEM ID")</x:f>
        <x:v>Fitted joint lubricant cup</x:v>
      </x:c>
      <x:c r="C361" s="3" t="str">
        <x:f>IFERROR(INDEX(Items!$D$6:$D$1005,MATCH(A361,Items!$A$6:$A$1005,0)),"MISSING ITEM ID")</x:f>
        <x:v>Crafting components</x:v>
      </x:c>
      <x:c r="D361" s="3" t="str">
        <x:v>Primary</x:v>
      </x:c>
      <x:c r="E361" s="3" t="str">
        <x:f>IFERROR(INDEX(Items!$AA$6:$AA$1005,MATCH(A361,Items!$A$6:$A$1005,0)),"MISSING ITEM ID")</x:f>
        <x:v>Lubrication</x:v>
      </x:c>
      <x:c r="F361" s="3" t="str">
        <x:v>Legger-specific proposal; intended use is not an implemented companion ability.</x:v>
      </x:c>
    </x:row>
    <x:row r="362" ht="65" customHeight="1">
      <x:c r="A362" s="3" t="str">
        <x:v>proposal.legger.seal_cartridge</x:v>
      </x:c>
      <x:c r="B362" s="3" t="str">
        <x:f>IFERROR(INDEX(Items!$B$6:$B$1005,MATCH(A362,Items!$A$6:$A$1005,0)),"MISSING ITEM ID")</x:f>
        <x:v>Replaceable joint-seal cartridge</x:v>
      </x:c>
      <x:c r="C362" s="3" t="str">
        <x:f>IFERROR(INDEX(Items!$D$6:$D$1005,MATCH(A362,Items!$A$6:$A$1005,0)),"MISSING ITEM ID")</x:f>
        <x:v>Crafting components</x:v>
      </x:c>
      <x:c r="D362" s="3" t="str">
        <x:v>Primary</x:v>
      </x:c>
      <x:c r="E362" s="3" t="str">
        <x:f>IFERROR(INDEX(Items!$AA$6:$AA$1005,MATCH(A362,Items!$A$6:$A$1005,0)),"MISSING ITEM ID")</x:f>
        <x:v>Sealing</x:v>
      </x:c>
      <x:c r="F362" s="3" t="str">
        <x:v>Legger-specific proposal; intended use is not an implemented companion ability.</x:v>
      </x:c>
    </x:row>
    <x:row r="363" ht="65" customHeight="1">
      <x:c r="A363" s="3" t="str">
        <x:v>proposal.legger.seal_cartridge</x:v>
      </x:c>
      <x:c r="B363" s="3" t="str">
        <x:f>IFERROR(INDEX(Items!$B$6:$B$1005,MATCH(A363,Items!$A$6:$A$1005,0)),"MISSING ITEM ID")</x:f>
        <x:v>Replaceable joint-seal cartridge</x:v>
      </x:c>
      <x:c r="C363" s="3" t="str">
        <x:f>IFERROR(INDEX(Items!$D$6:$D$1005,MATCH(A363,Items!$A$6:$A$1005,0)),"MISSING ITEM ID")</x:f>
        <x:v>Crafting components</x:v>
      </x:c>
      <x:c r="D363" s="3" t="str">
        <x:v>Secondary</x:v>
      </x:c>
      <x:c r="E363" s="3" t="str">
        <x:v>Equipment repair</x:v>
      </x:c>
      <x:c r="F363" s="3" t="str">
        <x:v>Legger-specific proposal; intended use is not an implemented companion ability.</x:v>
      </x:c>
    </x:row>
    <x:row r="364" ht="65" customHeight="1">
      <x:c r="A364" s="3" t="str">
        <x:v>proposal.legger.fastener_pack</x:v>
      </x:c>
      <x:c r="B364" s="3" t="str">
        <x:f>IFERROR(INDEX(Items!$B$6:$B$1005,MATCH(A364,Items!$A$6:$A$1005,0)),"MISSING ITEM ID")</x:f>
        <x:v>Legger service fastener pack</x:v>
      </x:c>
      <x:c r="C364" s="3" t="str">
        <x:f>IFERROR(INDEX(Items!$D$6:$D$1005,MATCH(A364,Items!$A$6:$A$1005,0)),"MISSING ITEM ID")</x:f>
        <x:v>Crafting components</x:v>
      </x:c>
      <x:c r="D364" s="3" t="str">
        <x:v>Primary</x:v>
      </x:c>
      <x:c r="E364" s="3" t="str">
        <x:f>IFERROR(INDEX(Items!$AA$6:$AA$1005,MATCH(A364,Items!$A$6:$A$1005,0)),"MISSING ITEM ID")</x:f>
        <x:v>Equipment repair</x:v>
      </x:c>
      <x:c r="F364" s="3" t="str">
        <x:v>Legger-specific proposal; intended use is not an implemented companion ability.</x:v>
      </x:c>
    </x:row>
    <x:row r="365" ht="65" customHeight="1">
      <x:c r="A365" s="3" t="str">
        <x:v>proposal.legger.shell_guard</x:v>
      </x:c>
      <x:c r="B365" s="3" t="str">
        <x:f>IFERROR(INDEX(Items!$B$6:$B$1005,MATCH(A365,Items!$A$6:$A$1005,0)),"MISSING ITEM ID")</x:f>
        <x:v>Chitin chassis guard</x:v>
      </x:c>
      <x:c r="C365" s="3" t="str">
        <x:f>IFERROR(INDEX(Items!$D$6:$D$1005,MATCH(A365,Items!$A$6:$A$1005,0)),"MISSING ITEM ID")</x:f>
        <x:v>Legger armor</x:v>
      </x:c>
      <x:c r="D365" s="3" t="str">
        <x:v>Primary</x:v>
      </x:c>
      <x:c r="E365" s="3" t="str">
        <x:f>IFERROR(INDEX(Items!$AA$6:$AA$1005,MATCH(A365,Items!$A$6:$A$1005,0)),"MISSING ITEM ID")</x:f>
        <x:v>Protection</x:v>
      </x:c>
      <x:c r="F365" s="3" t="str">
        <x:v>Legger-specific proposal; intended use is not an implemented companion ability.</x:v>
      </x:c>
    </x:row>
    <x:row r="366" ht="65" customHeight="1">
      <x:c r="A366" s="3" t="str">
        <x:v>proposal.legger.iron_guard</x:v>
      </x:c>
      <x:c r="B366" s="3" t="str">
        <x:f>IFERROR(INDEX(Items!$B$6:$B$1005,MATCH(A366,Items!$A$6:$A$1005,0)),"MISSING ITEM ID")</x:f>
        <x:v>Iron chassis guard</x:v>
      </x:c>
      <x:c r="C366" s="3" t="str">
        <x:f>IFERROR(INDEX(Items!$D$6:$D$1005,MATCH(A366,Items!$A$6:$A$1005,0)),"MISSING ITEM ID")</x:f>
        <x:v>Legger armor</x:v>
      </x:c>
      <x:c r="D366" s="3" t="str">
        <x:v>Primary</x:v>
      </x:c>
      <x:c r="E366" s="3" t="str">
        <x:f>IFERROR(INDEX(Items!$AA$6:$AA$1005,MATCH(A366,Items!$A$6:$A$1005,0)),"MISSING ITEM ID")</x:f>
        <x:v>Protection</x:v>
      </x:c>
      <x:c r="F366" s="3" t="str">
        <x:v>Legger-specific proposal; intended use is not an implemented companion ability.</x:v>
      </x:c>
    </x:row>
    <x:row r="367" ht="65" customHeight="1">
      <x:c r="A367" s="3"/>
      <x:c r="B367" s="3"/>
      <x:c r="C367" s="3"/>
      <x:c r="D367" s="3"/>
      <x:c r="E367" s="3"/>
      <x:c r="F367" s="3"/>
    </x:row>
    <x:row r="368" ht="65" customHeight="1">
      <x:c r="A368" s="3" t="str">
        <x:v>proposal.legger.ceramic_backing</x:v>
      </x:c>
      <x:c r="B368" s="3" t="str">
        <x:f>IFERROR(INDEX(Items!$B$6:$B$1005,MATCH(A368,Items!$A$6:$A$1005,0)),"MISSING ITEM ID")</x:f>
        <x:v>Ceramic armor backing insert</x:v>
      </x:c>
      <x:c r="C368" s="3" t="str">
        <x:f>IFERROR(INDEX(Items!$D$6:$D$1005,MATCH(A368,Items!$A$6:$A$1005,0)),"MISSING ITEM ID")</x:f>
        <x:v>Legger attachments</x:v>
      </x:c>
      <x:c r="D368" s="3" t="str">
        <x:v>Primary</x:v>
      </x:c>
      <x:c r="E368" s="3" t="str">
        <x:f>IFERROR(INDEX(Items!$AA$6:$AA$1005,MATCH(A368,Items!$A$6:$A$1005,0)),"MISSING ITEM ID")</x:f>
        <x:v>Protection</x:v>
      </x:c>
      <x:c r="F368" s="3" t="str">
        <x:v>Legger-specific proposal; intended use is not an implemented companion ability.</x:v>
      </x:c>
    </x:row>
    <x:row r="369" ht="65" customHeight="1">
      <x:c r="A369" s="3" t="str">
        <x:v>proposal.legger.plasteel_rib</x:v>
      </x:c>
      <x:c r="B369" s="3" t="str">
        <x:f>IFERROR(INDEX(Items!$B$6:$B$1005,MATCH(A369,Items!$A$6:$A$1005,0)),"MISSING ITEM ID")</x:f>
        <x:v>Ancient plasteel replacement member</x:v>
      </x:c>
      <x:c r="C369" s="3" t="str">
        <x:f>IFERROR(INDEX(Items!$D$6:$D$1005,MATCH(A369,Items!$A$6:$A$1005,0)),"MISSING ITEM ID")</x:f>
        <x:v>Ancient salvage</x:v>
      </x:c>
      <x:c r="D369" s="3" t="str">
        <x:v>Primary</x:v>
      </x:c>
      <x:c r="E369" s="3" t="str">
        <x:f>IFERROR(INDEX(Items!$AA$6:$AA$1005,MATCH(A369,Items!$A$6:$A$1005,0)),"MISSING ITEM ID")</x:f>
        <x:v>Equipment repair</x:v>
      </x:c>
      <x:c r="F369" s="3" t="str">
        <x:v>Legger-specific proposal; intended use is not an implemented companion ability.</x:v>
      </x:c>
    </x:row>
    <x:row r="370" ht="65" customHeight="1">
      <x:c r="A370" s="3" t="str">
        <x:v>proposal.legger.nanocarbon_panel</x:v>
      </x:c>
      <x:c r="B370" s="3" t="str">
        <x:f>IFERROR(INDEX(Items!$B$6:$B$1005,MATCH(A370,Items!$A$6:$A$1005,0)),"MISSING ITEM ID")</x:f>
        <x:v>Ancient nanocarbon armor panel</x:v>
      </x:c>
      <x:c r="C370" s="3" t="str">
        <x:f>IFERROR(INDEX(Items!$D$6:$D$1005,MATCH(A370,Items!$A$6:$A$1005,0)),"MISSING ITEM ID")</x:f>
        <x:v>Legger armor</x:v>
      </x:c>
      <x:c r="D370" s="3" t="str">
        <x:v>Primary</x:v>
      </x:c>
      <x:c r="E370" s="3" t="str">
        <x:f>IFERROR(INDEX(Items!$AA$6:$AA$1005,MATCH(A370,Items!$A$6:$A$1005,0)),"MISSING ITEM ID")</x:f>
        <x:v>Protection</x:v>
      </x:c>
      <x:c r="F370" s="3" t="str">
        <x:v>Legger-specific proposal; intended use is not an implemented companion ability.</x:v>
      </x:c>
    </x:row>
    <x:row r="371" ht="65" customHeight="1">
      <x:c r="A371" s="3" t="str">
        <x:v>proposal.legger.ancient_bearing</x:v>
      </x:c>
      <x:c r="B371" s="3" t="str">
        <x:f>IFERROR(INDEX(Items!$B$6:$B$1005,MATCH(A371,Items!$A$6:$A$1005,0)),"MISSING ITEM ID")</x:f>
        <x:v>Ancient bearing cassette</x:v>
      </x:c>
      <x:c r="C371" s="3" t="str">
        <x:f>IFERROR(INDEX(Items!$D$6:$D$1005,MATCH(A371,Items!$A$6:$A$1005,0)),"MISSING ITEM ID")</x:f>
        <x:v>Ancient salvage</x:v>
      </x:c>
      <x:c r="D371" s="3" t="str">
        <x:v>Primary</x:v>
      </x:c>
      <x:c r="E371" s="3" t="str">
        <x:f>IFERROR(INDEX(Items!$AA$6:$AA$1005,MATCH(A371,Items!$A$6:$A$1005,0)),"MISSING ITEM ID")</x:f>
        <x:v>Equipment repair</x:v>
      </x:c>
      <x:c r="F371" s="3" t="str">
        <x:v>Legger-specific proposal; intended use is not an implemented companion ability.</x:v>
      </x:c>
    </x:row>
    <x:row r="372" ht="65" customHeight="1">
      <x:c r="A372" s="3" t="str">
        <x:v>proposal.legger.ballistic_guard</x:v>
      </x:c>
      <x:c r="B372" s="3" t="str">
        <x:f>IFERROR(INDEX(Items!$B$6:$B$1005,MATCH(A372,Items!$A$6:$A$1005,0)),"MISSING ITEM ID")</x:f>
        <x:v>Ancient ballistic-deflecting guard</x:v>
      </x:c>
      <x:c r="C372" s="3" t="str">
        <x:f>IFERROR(INDEX(Items!$D$6:$D$1005,MATCH(A372,Items!$A$6:$A$1005,0)),"MISSING ITEM ID")</x:f>
        <x:v>Legger armor</x:v>
      </x:c>
      <x:c r="D372" s="3" t="str">
        <x:v>Primary</x:v>
      </x:c>
      <x:c r="E372" s="3" t="str">
        <x:f>IFERROR(INDEX(Items!$AA$6:$AA$1005,MATCH(A372,Items!$A$6:$A$1005,0)),"MISSING ITEM ID")</x:f>
        <x:v>Protection</x:v>
      </x:c>
      <x:c r="F372" s="3" t="str">
        <x:v>Legger-specific proposal; intended use is not an implemented companion ability.</x:v>
      </x:c>
    </x:row>
    <x:row r="373" ht="65" customHeight="1">
      <x:c r="A373" s="3" t="str">
        <x:v>proposal.legger.pannier_frame</x:v>
      </x:c>
      <x:c r="B373" s="3" t="str">
        <x:f>IFERROR(INDEX(Items!$B$6:$B$1005,MATCH(A373,Items!$A$6:$A$1005,0)),"MISSING ITEM ID")</x:f>
        <x:v>Legger side-pannier frame</x:v>
      </x:c>
      <x:c r="C373" s="3" t="str">
        <x:f>IFERROR(INDEX(Items!$D$6:$D$1005,MATCH(A373,Items!$A$6:$A$1005,0)),"MISSING ITEM ID")</x:f>
        <x:v>Legger attachments</x:v>
      </x:c>
      <x:c r="D373" s="3" t="str">
        <x:v>Primary</x:v>
      </x:c>
      <x:c r="E373" s="3" t="str">
        <x:f>IFERROR(INDEX(Items!$AA$6:$AA$1005,MATCH(A373,Items!$A$6:$A$1005,0)),"MISSING ITEM ID")</x:f>
        <x:v>Cargo organization</x:v>
      </x:c>
      <x:c r="F373" s="3" t="str">
        <x:v>Legger-specific proposal; intended use is not an implemented companion ability.</x:v>
      </x:c>
    </x:row>
    <x:row r="374" ht="65" customHeight="1">
      <x:c r="A374" s="3" t="str">
        <x:v>proposal.legger.pannier_frame</x:v>
      </x:c>
      <x:c r="B374" s="3" t="str">
        <x:f>IFERROR(INDEX(Items!$B$6:$B$1005,MATCH(A374,Items!$A$6:$A$1005,0)),"MISSING ITEM ID")</x:f>
        <x:v>Legger side-pannier frame</x:v>
      </x:c>
      <x:c r="C374" s="3" t="str">
        <x:f>IFERROR(INDEX(Items!$D$6:$D$1005,MATCH(A374,Items!$A$6:$A$1005,0)),"MISSING ITEM ID")</x:f>
        <x:v>Legger attachments</x:v>
      </x:c>
      <x:c r="D374" s="3" t="str">
        <x:v>Secondary</x:v>
      </x:c>
      <x:c r="E374" s="3" t="str">
        <x:v>Equipment mounting</x:v>
      </x:c>
      <x:c r="F374" s="3" t="str">
        <x:v>Legger-specific proposal; intended use is not an implemented companion ability.</x:v>
      </x:c>
    </x:row>
    <x:row r="375" ht="65" customHeight="1">
      <x:c r="A375" s="3" t="str">
        <x:v>proposal.legger.sample_rack</x:v>
      </x:c>
      <x:c r="B375" s="3" t="str">
        <x:f>IFERROR(INDEX(Items!$B$6:$B$1005,MATCH(A375,Items!$A$6:$A$1005,0)),"MISSING ITEM ID")</x:f>
        <x:v>Legger sample-vial rack</x:v>
      </x:c>
      <x:c r="C375" s="3" t="str">
        <x:f>IFERROR(INDEX(Items!$D$6:$D$1005,MATCH(A375,Items!$A$6:$A$1005,0)),"MISSING ITEM ID")</x:f>
        <x:v>Legger attachments</x:v>
      </x:c>
      <x:c r="D375" s="3" t="str">
        <x:v>Primary</x:v>
      </x:c>
      <x:c r="E375" s="3" t="str">
        <x:f>IFERROR(INDEX(Items!$AA$6:$AA$1005,MATCH(A375,Items!$A$6:$A$1005,0)),"MISSING ITEM ID")</x:f>
        <x:v>Cargo organization</x:v>
      </x:c>
      <x:c r="F375" s="3" t="str">
        <x:v>Legger-specific proposal; intended use is not an implemented companion ability.</x:v>
      </x:c>
    </x:row>
    <x:row r="376" ht="65" customHeight="1">
      <x:c r="A376" s="3" t="str">
        <x:v>proposal.legger.ore_bin</x:v>
      </x:c>
      <x:c r="B376" s="3" t="str">
        <x:f>IFERROR(INDEX(Items!$B$6:$B$1005,MATCH(A376,Items!$A$6:$A$1005,0)),"MISSING ITEM ID")</x:f>
        <x:v>Legger removable ore bin</x:v>
      </x:c>
      <x:c r="C376" s="3" t="str">
        <x:f>IFERROR(INDEX(Items!$D$6:$D$1005,MATCH(A376,Items!$A$6:$A$1005,0)),"MISSING ITEM ID")</x:f>
        <x:v>Legger attachments</x:v>
      </x:c>
      <x:c r="D376" s="3" t="str">
        <x:v>Primary</x:v>
      </x:c>
      <x:c r="E376" s="3" t="str">
        <x:f>IFERROR(INDEX(Items!$AA$6:$AA$1005,MATCH(A376,Items!$A$6:$A$1005,0)),"MISSING ITEM ID")</x:f>
        <x:v>Cargo organization</x:v>
      </x:c>
      <x:c r="F376" s="3" t="str">
        <x:v>Legger-specific proposal; intended use is not an implemented companion ability.</x:v>
      </x:c>
    </x:row>
    <x:row r="377" ht="65" customHeight="1">
      <x:c r="A377" s="3" t="str">
        <x:v>proposal.legger.long_load_clamp</x:v>
      </x:c>
      <x:c r="B377" s="3" t="str">
        <x:f>IFERROR(INDEX(Items!$B$6:$B$1005,MATCH(A377,Items!$A$6:$A$1005,0)),"MISSING ITEM ID")</x:f>
        <x:v>Legger long-load clamp</x:v>
      </x:c>
      <x:c r="C377" s="3" t="str">
        <x:f>IFERROR(INDEX(Items!$D$6:$D$1005,MATCH(A377,Items!$A$6:$A$1005,0)),"MISSING ITEM ID")</x:f>
        <x:v>Crafting components</x:v>
      </x:c>
      <x:c r="D377" s="3" t="str">
        <x:v>Primary</x:v>
      </x:c>
      <x:c r="E377" s="3" t="str">
        <x:f>IFERROR(INDEX(Items!$AA$6:$AA$1005,MATCH(A377,Items!$A$6:$A$1005,0)),"MISSING ITEM ID")</x:f>
        <x:v>Equipment mounting</x:v>
      </x:c>
      <x:c r="F377" s="3" t="str">
        <x:v>Legger-specific proposal; intended use is not an implemented companion ability.</x:v>
      </x:c>
    </x:row>
    <x:row r="378" ht="65" customHeight="1">
      <x:c r="A378" s="3" t="str">
        <x:v>proposal.legger.long_load_clamp</x:v>
      </x:c>
      <x:c r="B378" s="3" t="str">
        <x:f>IFERROR(INDEX(Items!$B$6:$B$1005,MATCH(A378,Items!$A$6:$A$1005,0)),"MISSING ITEM ID")</x:f>
        <x:v>Legger long-load clamp</x:v>
      </x:c>
      <x:c r="C378" s="3" t="str">
        <x:f>IFERROR(INDEX(Items!$D$6:$D$1005,MATCH(A378,Items!$A$6:$A$1005,0)),"MISSING ITEM ID")</x:f>
        <x:v>Crafting components</x:v>
      </x:c>
      <x:c r="D378" s="3" t="str">
        <x:v>Secondary</x:v>
      </x:c>
      <x:c r="E378" s="3" t="str">
        <x:v>Cargo organization</x:v>
      </x:c>
      <x:c r="F378" s="3" t="str">
        <x:v>Legger-specific proposal; intended use is not an implemented companion ability.</x:v>
      </x:c>
    </x:row>
    <x:row r="379" ht="65" customHeight="1">
      <x:c r="A379" s="3"/>
      <x:c r="B379" s="3"/>
      <x:c r="C379" s="3"/>
      <x:c r="D379" s="3"/>
      <x:c r="E379" s="3"/>
      <x:c r="F379" s="3"/>
    </x:row>
    <x:row r="380" ht="65" customHeight="1">
      <x:c r="A380" s="3" t="str">
        <x:v>proposal.legger.board_bracket</x:v>
      </x:c>
      <x:c r="B380" s="3" t="str">
        <x:f>IFERROR(INDEX(Items!$B$6:$B$1005,MATCH(A380,Items!$A$6:$A$1005,0)),"MISSING ITEM ID")</x:f>
        <x:v>Legger dirtboard carrying bracket</x:v>
      </x:c>
      <x:c r="C380" s="3" t="str">
        <x:f>IFERROR(INDEX(Items!$D$6:$D$1005,MATCH(A380,Items!$A$6:$A$1005,0)),"MISSING ITEM ID")</x:f>
        <x:v>Salvage</x:v>
      </x:c>
      <x:c r="D380" s="3" t="str">
        <x:v>Primary</x:v>
      </x:c>
      <x:c r="E380" s="3" t="str">
        <x:f>IFERROR(INDEX(Items!$AA$6:$AA$1005,MATCH(A380,Items!$A$6:$A$1005,0)),"MISSING ITEM ID")</x:f>
        <x:v>Cargo organization</x:v>
      </x:c>
      <x:c r="F380" s="3" t="str">
        <x:v>Legger-specific proposal; intended use is not an implemented companion ability.</x:v>
      </x:c>
    </x:row>
    <x:row r="381" ht="65" customHeight="1">
      <x:c r="A381" s="3" t="str">
        <x:v>proposal.legger.board_bracket</x:v>
      </x:c>
      <x:c r="B381" s="3" t="str">
        <x:f>IFERROR(INDEX(Items!$B$6:$B$1005,MATCH(A381,Items!$A$6:$A$1005,0)),"MISSING ITEM ID")</x:f>
        <x:v>Legger dirtboard carrying bracket</x:v>
      </x:c>
      <x:c r="C381" s="3" t="str">
        <x:f>IFERROR(INDEX(Items!$D$6:$D$1005,MATCH(A381,Items!$A$6:$A$1005,0)),"MISSING ITEM ID")</x:f>
        <x:v>Salvage</x:v>
      </x:c>
      <x:c r="D381" s="3" t="str">
        <x:v>Secondary</x:v>
      </x:c>
      <x:c r="E381" s="3" t="str">
        <x:v>Equipment mounting</x:v>
      </x:c>
      <x:c r="F381" s="3" t="str">
        <x:v>Legger-specific proposal; intended use is not an implemented companion ability.</x:v>
      </x:c>
    </x:row>
    <x:row r="382" ht="65" customHeight="1">
      <x:c r="A382" s="3" t="str">
        <x:v>proposal.legger.hinge_plate</x:v>
      </x:c>
      <x:c r="B382" s="3" t="str">
        <x:f>IFERROR(INDEX(Items!$B$6:$B$1005,MATCH(A382,Items!$A$6:$A$1005,0)),"MISSING ITEM ID")</x:f>
        <x:v>Chassis hinge-mount plate</x:v>
      </x:c>
      <x:c r="C382" s="3" t="str">
        <x:f>IFERROR(INDEX(Items!$D$6:$D$1005,MATCH(A382,Items!$A$6:$A$1005,0)),"MISSING ITEM ID")</x:f>
        <x:v>Crafting components</x:v>
      </x:c>
      <x:c r="D382" s="3" t="str">
        <x:v>Primary</x:v>
      </x:c>
      <x:c r="E382" s="3" t="str">
        <x:f>IFERROR(INDEX(Items!$AA$6:$AA$1005,MATCH(A382,Items!$A$6:$A$1005,0)),"MISSING ITEM ID")</x:f>
        <x:v>Equipment repair</x:v>
      </x:c>
      <x:c r="F382" s="3" t="str">
        <x:v>Legger-specific proposal; intended use is not an implemented companion ability.</x:v>
      </x:c>
    </x:row>
    <x:row r="383" ht="65" customHeight="1">
      <x:c r="A383" s="3" t="str">
        <x:v>proposal.legger.hinge_plate</x:v>
      </x:c>
      <x:c r="B383" s="3" t="str">
        <x:f>IFERROR(INDEX(Items!$B$6:$B$1005,MATCH(A383,Items!$A$6:$A$1005,0)),"MISSING ITEM ID")</x:f>
        <x:v>Chassis hinge-mount plate</x:v>
      </x:c>
      <x:c r="C383" s="3" t="str">
        <x:f>IFERROR(INDEX(Items!$D$6:$D$1005,MATCH(A383,Items!$A$6:$A$1005,0)),"MISSING ITEM ID")</x:f>
        <x:v>Crafting components</x:v>
      </x:c>
      <x:c r="D383" s="3" t="str">
        <x:v>Secondary</x:v>
      </x:c>
      <x:c r="E383" s="3" t="str">
        <x:v>Equipment mounting</x:v>
      </x:c>
      <x:c r="F383" s="3" t="str">
        <x:v>Legger-specific proposal; intended use is not an implemented companion ability.</x:v>
      </x:c>
    </x:row>
    <x:row r="384" ht="65" customHeight="1">
      <x:c r="A384" s="3" t="str">
        <x:v>proposal.legger.inspection_hatch</x:v>
      </x:c>
      <x:c r="B384" s="3" t="str">
        <x:f>IFERROR(INDEX(Items!$B$6:$B$1005,MATCH(A384,Items!$A$6:$A$1005,0)),"MISSING ITEM ID")</x:f>
        <x:v>Legger inspection hatch</x:v>
      </x:c>
      <x:c r="C384" s="3" t="str">
        <x:f>IFERROR(INDEX(Items!$D$6:$D$1005,MATCH(A384,Items!$A$6:$A$1005,0)),"MISSING ITEM ID")</x:f>
        <x:v>Crafting components</x:v>
      </x:c>
      <x:c r="D384" s="3" t="str">
        <x:v>Primary</x:v>
      </x:c>
      <x:c r="E384" s="3" t="str">
        <x:f>IFERROR(INDEX(Items!$AA$6:$AA$1005,MATCH(A384,Items!$A$6:$A$1005,0)),"MISSING ITEM ID")</x:f>
        <x:v>Inspection</x:v>
      </x:c>
      <x:c r="F384" s="3" t="str">
        <x:v>Legger-specific proposal; intended use is not an implemented companion ability.</x:v>
      </x:c>
    </x:row>
    <x:row r="385" ht="65" customHeight="1">
      <x:c r="A385" s="3" t="str">
        <x:v>proposal.legger.inspection_hatch</x:v>
      </x:c>
      <x:c r="B385" s="3" t="str">
        <x:f>IFERROR(INDEX(Items!$B$6:$B$1005,MATCH(A385,Items!$A$6:$A$1005,0)),"MISSING ITEM ID")</x:f>
        <x:v>Legger inspection hatch</x:v>
      </x:c>
      <x:c r="C385" s="3" t="str">
        <x:f>IFERROR(INDEX(Items!$D$6:$D$1005,MATCH(A385,Items!$A$6:$A$1005,0)),"MISSING ITEM ID")</x:f>
        <x:v>Crafting components</x:v>
      </x:c>
      <x:c r="D385" s="3" t="str">
        <x:v>Secondary</x:v>
      </x:c>
      <x:c r="E385" s="3" t="str">
        <x:v>Equipment repair</x:v>
      </x:c>
      <x:c r="F385" s="3" t="str">
        <x:v>Legger-specific proposal; intended use is not an implemented companion ability.</x:v>
      </x:c>
    </x:row>
    <x:row r="386" ht="65" customHeight="1">
      <x:c r="A386" s="3" t="str">
        <x:v>proposal.legger.fracture_patch</x:v>
      </x:c>
      <x:c r="B386" s="3" t="str">
        <x:f>IFERROR(INDEX(Items!$B$6:$B$1005,MATCH(A386,Items!$A$6:$A$1005,0)),"MISSING ITEM ID")</x:f>
        <x:v>Iron chassis fracture patch</x:v>
      </x:c>
      <x:c r="C386" s="3" t="str">
        <x:f>IFERROR(INDEX(Items!$D$6:$D$1005,MATCH(A386,Items!$A$6:$A$1005,0)),"MISSING ITEM ID")</x:f>
        <x:v>Crafting components</x:v>
      </x:c>
      <x:c r="D386" s="3" t="str">
        <x:v>Primary</x:v>
      </x:c>
      <x:c r="E386" s="3" t="str">
        <x:f>IFERROR(INDEX(Items!$AA$6:$AA$1005,MATCH(A386,Items!$A$6:$A$1005,0)),"MISSING ITEM ID")</x:f>
        <x:v>Equipment repair</x:v>
      </x:c>
      <x:c r="F386" s="3" t="str">
        <x:v>Legger-specific proposal; intended use is not an implemented companion ability.</x:v>
      </x:c>
    </x:row>
    <x:row r="387" ht="65" customHeight="1">
      <x:c r="A387" s="3" t="str">
        <x:v>proposal.legger.crush_mount</x:v>
      </x:c>
      <x:c r="B387" s="3" t="str">
        <x:f>IFERROR(INDEX(Items!$B$6:$B$1005,MATCH(A387,Items!$A$6:$A$1005,0)),"MISSING ITEM ID")</x:f>
        <x:v>Sacrificial attachment mount</x:v>
      </x:c>
      <x:c r="C387" s="3" t="str">
        <x:f>IFERROR(INDEX(Items!$D$6:$D$1005,MATCH(A387,Items!$A$6:$A$1005,0)),"MISSING ITEM ID")</x:f>
        <x:v>Crafting components</x:v>
      </x:c>
      <x:c r="D387" s="3" t="str">
        <x:v>Primary</x:v>
      </x:c>
      <x:c r="E387" s="3" t="str">
        <x:f>IFERROR(INDEX(Items!$AA$6:$AA$1005,MATCH(A387,Items!$A$6:$A$1005,0)),"MISSING ITEM ID")</x:f>
        <x:v>Equipment mounting</x:v>
      </x:c>
      <x:c r="F387" s="3" t="str">
        <x:v>Legger-specific proposal; intended use is not an implemented companion ability.</x:v>
      </x:c>
    </x:row>
    <x:row r="388" ht="65" customHeight="1">
      <x:c r="A388" s="3" t="str">
        <x:v>proposal.legger.crush_mount</x:v>
      </x:c>
      <x:c r="B388" s="3" t="str">
        <x:f>IFERROR(INDEX(Items!$B$6:$B$1005,MATCH(A388,Items!$A$6:$A$1005,0)),"MISSING ITEM ID")</x:f>
        <x:v>Sacrificial attachment mount</x:v>
      </x:c>
      <x:c r="C388" s="3" t="str">
        <x:f>IFERROR(INDEX(Items!$D$6:$D$1005,MATCH(A388,Items!$A$6:$A$1005,0)),"MISSING ITEM ID")</x:f>
        <x:v>Crafting components</x:v>
      </x:c>
      <x:c r="D388" s="3" t="str">
        <x:v>Secondary</x:v>
      </x:c>
      <x:c r="E388" s="3" t="str">
        <x:v>Protection</x:v>
      </x:c>
      <x:c r="F388" s="3" t="str">
        <x:v>Legger-specific proposal; intended use is not an implemented companion ability.</x:v>
      </x:c>
    </x:row>
    <x:row r="389" ht="65" customHeight="1">
      <x:c r="A389" s="3" t="str">
        <x:v>proposal.legger.bulkhead_ring</x:v>
      </x:c>
      <x:c r="B389" s="3" t="str">
        <x:f>IFERROR(INDEX(Items!$B$6:$B$1005,MATCH(A389,Items!$A$6:$A$1005,0)),"MISSING ITEM ID")</x:f>
        <x:v>Chassis reinforcing ring</x:v>
      </x:c>
      <x:c r="C389" s="3" t="str">
        <x:f>IFERROR(INDEX(Items!$D$6:$D$1005,MATCH(A389,Items!$A$6:$A$1005,0)),"MISSING ITEM ID")</x:f>
        <x:v>Crafting components</x:v>
      </x:c>
      <x:c r="D389" s="3" t="str">
        <x:v>Primary</x:v>
      </x:c>
      <x:c r="E389" s="3" t="str">
        <x:f>IFERROR(INDEX(Items!$AA$6:$AA$1005,MATCH(A389,Items!$A$6:$A$1005,0)),"MISSING ITEM ID")</x:f>
        <x:v>Equipment fabrication</x:v>
      </x:c>
      <x:c r="F389" s="3" t="str">
        <x:v>Legger-specific proposal; intended use is not an implemented companion ability.</x:v>
      </x:c>
    </x:row>
    <x:row r="390" ht="65" customHeight="1">
      <x:c r="A390" s="3" t="str">
        <x:v>proposal.legger.alignment_shims</x:v>
      </x:c>
      <x:c r="B390" s="3" t="str">
        <x:f>IFERROR(INDEX(Items!$B$6:$B$1005,MATCH(A390,Items!$A$6:$A$1005,0)),"MISSING ITEM ID")</x:f>
        <x:v>Chassis alignment-shim set</x:v>
      </x:c>
      <x:c r="C390" s="3" t="str">
        <x:f>IFERROR(INDEX(Items!$D$6:$D$1005,MATCH(A390,Items!$A$6:$A$1005,0)),"MISSING ITEM ID")</x:f>
        <x:v>Crafting components</x:v>
      </x:c>
      <x:c r="D390" s="3" t="str">
        <x:v>Primary</x:v>
      </x:c>
      <x:c r="E390" s="3" t="str">
        <x:f>IFERROR(INDEX(Items!$AA$6:$AA$1005,MATCH(A390,Items!$A$6:$A$1005,0)),"MISSING ITEM ID")</x:f>
        <x:v>Equipment repair</x:v>
      </x:c>
      <x:c r="F390" s="3" t="str">
        <x:v>Legger-specific proposal; intended use is not an implemented companion ability.</x:v>
      </x:c>
    </x:row>
    <x:row r="391" ht="65" customHeight="1">
      <x:c r="A391" s="3" t="str">
        <x:v>proposal.legger.joint_pin</x:v>
      </x:c>
      <x:c r="B391" s="3" t="str">
        <x:f>IFERROR(INDEX(Items!$B$6:$B$1005,MATCH(A391,Items!$A$6:$A$1005,0)),"MISSING ITEM ID")</x:f>
        <x:v>Replaceable joint pin</x:v>
      </x:c>
      <x:c r="C391" s="3" t="str">
        <x:f>IFERROR(INDEX(Items!$D$6:$D$1005,MATCH(A391,Items!$A$6:$A$1005,0)),"MISSING ITEM ID")</x:f>
        <x:v>Crafting components</x:v>
      </x:c>
      <x:c r="D391" s="3" t="str">
        <x:v>Primary</x:v>
      </x:c>
      <x:c r="E391" s="3" t="str">
        <x:f>IFERROR(INDEX(Items!$AA$6:$AA$1005,MATCH(A391,Items!$A$6:$A$1005,0)),"MISSING ITEM ID")</x:f>
        <x:v>Equipment repair</x:v>
      </x:c>
      <x:c r="F391" s="3" t="str">
        <x:v>Legger-specific proposal; intended use is not an implemented companion ability.</x:v>
      </x:c>
    </x:row>
    <x:row r="392" ht="65" customHeight="1">
      <x:c r="A392" s="3" t="str">
        <x:v>proposal.legger.thrust_washer</x:v>
      </x:c>
      <x:c r="B392" s="3" t="str">
        <x:f>IFERROR(INDEX(Items!$B$6:$B$1005,MATCH(A392,Items!$A$6:$A$1005,0)),"MISSING ITEM ID")</x:f>
        <x:v>Joint thrust washer</x:v>
      </x:c>
      <x:c r="C392" s="3" t="str">
        <x:f>IFERROR(INDEX(Items!$D$6:$D$1005,MATCH(A392,Items!$A$6:$A$1005,0)),"MISSING ITEM ID")</x:f>
        <x:v>Crafting components</x:v>
      </x:c>
      <x:c r="D392" s="3" t="str">
        <x:v>Primary</x:v>
      </x:c>
      <x:c r="E392" s="3" t="str">
        <x:f>IFERROR(INDEX(Items!$AA$6:$AA$1005,MATCH(A392,Items!$A$6:$A$1005,0)),"MISSING ITEM ID")</x:f>
        <x:v>Equipment repair</x:v>
      </x:c>
      <x:c r="F392" s="3" t="str">
        <x:v>Legger-specific proposal; intended use is not an implemented companion ability.</x:v>
      </x:c>
    </x:row>
    <x:row r="393" ht="65" customHeight="1">
      <x:c r="A393" s="3" t="str">
        <x:v>proposal.legger.gear_cluster</x:v>
      </x:c>
      <x:c r="B393" s="3" t="str">
        <x:f>IFERROR(INDEX(Items!$B$6:$B$1005,MATCH(A393,Items!$A$6:$A$1005,0)),"MISSING ITEM ID")</x:f>
        <x:v>Replacement gear cluster</x:v>
      </x:c>
      <x:c r="C393" s="3" t="str">
        <x:f>IFERROR(INDEX(Items!$D$6:$D$1005,MATCH(A393,Items!$A$6:$A$1005,0)),"MISSING ITEM ID")</x:f>
        <x:v>Crafting components</x:v>
      </x:c>
      <x:c r="D393" s="3" t="str">
        <x:v>Primary</x:v>
      </x:c>
      <x:c r="E393" s="3" t="str">
        <x:f>IFERROR(INDEX(Items!$AA$6:$AA$1005,MATCH(A393,Items!$A$6:$A$1005,0)),"MISSING ITEM ID")</x:f>
        <x:v>Machinery drive</x:v>
      </x:c>
      <x:c r="F393" s="3" t="str">
        <x:v>Legger-specific proposal; intended use is not an implemented companion ability.</x:v>
      </x:c>
    </x:row>
    <x:row r="394" ht="65" customHeight="1">
      <x:c r="A394" s="3" t="str">
        <x:v>proposal.legger.gear_cluster</x:v>
      </x:c>
      <x:c r="B394" s="3" t="str">
        <x:f>IFERROR(INDEX(Items!$B$6:$B$1005,MATCH(A394,Items!$A$6:$A$1005,0)),"MISSING ITEM ID")</x:f>
        <x:v>Replacement gear cluster</x:v>
      </x:c>
      <x:c r="C394" s="3" t="str">
        <x:f>IFERROR(INDEX(Items!$D$6:$D$1005,MATCH(A394,Items!$A$6:$A$1005,0)),"MISSING ITEM ID")</x:f>
        <x:v>Crafting components</x:v>
      </x:c>
      <x:c r="D394" s="3" t="str">
        <x:v>Secondary</x:v>
      </x:c>
      <x:c r="E394" s="3" t="str">
        <x:v>Equipment repair</x:v>
      </x:c>
      <x:c r="F394" s="3" t="str">
        <x:v>Legger-specific proposal; intended use is not an implemented companion ability.</x:v>
      </x:c>
    </x:row>
    <x:row r="395" ht="65" customHeight="1">
      <x:c r="A395" s="3" t="str">
        <x:v>proposal.legger.linkage_end</x:v>
      </x:c>
      <x:c r="B395" s="3" t="str">
        <x:f>IFERROR(INDEX(Items!$B$6:$B$1005,MATCH(A395,Items!$A$6:$A$1005,0)),"MISSING ITEM ID")</x:f>
        <x:v>Replacement linkage-end joint</x:v>
      </x:c>
      <x:c r="C395" s="3" t="str">
        <x:f>IFERROR(INDEX(Items!$D$6:$D$1005,MATCH(A395,Items!$A$6:$A$1005,0)),"MISSING ITEM ID")</x:f>
        <x:v>Crafting components</x:v>
      </x:c>
      <x:c r="D395" s="3" t="str">
        <x:v>Primary</x:v>
      </x:c>
      <x:c r="E395" s="3" t="str">
        <x:f>IFERROR(INDEX(Items!$AA$6:$AA$1005,MATCH(A395,Items!$A$6:$A$1005,0)),"MISSING ITEM ID")</x:f>
        <x:v>Equipment repair</x:v>
      </x:c>
      <x:c r="F395" s="3" t="str">
        <x:v>Legger-specific proposal; intended use is not an implemented companion ability.</x:v>
      </x:c>
    </x:row>
    <x:row r="396" ht="65" customHeight="1">
      <x:c r="A396" s="3" t="str">
        <x:v>proposal.legger.tensioner</x:v>
      </x:c>
      <x:c r="B396" s="3" t="str">
        <x:f>IFERROR(INDEX(Items!$B$6:$B$1005,MATCH(A396,Items!$A$6:$A$1005,0)),"MISSING ITEM ID")</x:f>
        <x:v>Drive tensioner assembly</x:v>
      </x:c>
      <x:c r="C396" s="3" t="str">
        <x:f>IFERROR(INDEX(Items!$D$6:$D$1005,MATCH(A396,Items!$A$6:$A$1005,0)),"MISSING ITEM ID")</x:f>
        <x:v>Crafting components</x:v>
      </x:c>
      <x:c r="D396" s="3" t="str">
        <x:v>Primary</x:v>
      </x:c>
      <x:c r="E396" s="3" t="str">
        <x:f>IFERROR(INDEX(Items!$AA$6:$AA$1005,MATCH(A396,Items!$A$6:$A$1005,0)),"MISSING ITEM ID")</x:f>
        <x:v>Machinery drive</x:v>
      </x:c>
      <x:c r="F396" s="3" t="str">
        <x:v>Legger-specific proposal; intended use is not an implemented companion ability.</x:v>
      </x:c>
    </x:row>
    <x:row r="397" ht="65" customHeight="1">
      <x:c r="A397" s="3" t="str">
        <x:v>proposal.legger.tensioner</x:v>
      </x:c>
      <x:c r="B397" s="3" t="str">
        <x:f>IFERROR(INDEX(Items!$B$6:$B$1005,MATCH(A397,Items!$A$6:$A$1005,0)),"MISSING ITEM ID")</x:f>
        <x:v>Drive tensioner assembly</x:v>
      </x:c>
      <x:c r="C397" s="3" t="str">
        <x:f>IFERROR(INDEX(Items!$D$6:$D$1005,MATCH(A397,Items!$A$6:$A$1005,0)),"MISSING ITEM ID")</x:f>
        <x:v>Crafting components</x:v>
      </x:c>
      <x:c r="D397" s="3" t="str">
        <x:v>Secondary</x:v>
      </x:c>
      <x:c r="E397" s="3" t="str">
        <x:v>Equipment repair</x:v>
      </x:c>
      <x:c r="F397" s="3" t="str">
        <x:v>Legger-specific proposal; intended use is not an implemented companion ability.</x:v>
      </x:c>
    </x:row>
    <x:row r="398" ht="65" customHeight="1">
      <x:c r="A398" s="3" t="str">
        <x:v>proposal.legger.scraper_ring</x:v>
      </x:c>
      <x:c r="B398" s="3" t="str">
        <x:f>IFERROR(INDEX(Items!$B$6:$B$1005,MATCH(A398,Items!$A$6:$A$1005,0)),"MISSING ITEM ID")</x:f>
        <x:v>Joint grit-scraper ring</x:v>
      </x:c>
      <x:c r="C398" s="3" t="str">
        <x:f>IFERROR(INDEX(Items!$D$6:$D$1005,MATCH(A398,Items!$A$6:$A$1005,0)),"MISSING ITEM ID")</x:f>
        <x:v>Crafting components</x:v>
      </x:c>
      <x:c r="D398" s="3" t="str">
        <x:v>Primary</x:v>
      </x:c>
      <x:c r="E398" s="3" t="str">
        <x:f>IFERROR(INDEX(Items!$AA$6:$AA$1005,MATCH(A398,Items!$A$6:$A$1005,0)),"MISSING ITEM ID")</x:f>
        <x:v>Dust exclusion</x:v>
      </x:c>
      <x:c r="F398" s="3" t="str">
        <x:v>Legger-specific proposal; intended use is not an implemented companion ability.</x:v>
      </x:c>
    </x:row>
    <x:row r="399" ht="65" customHeight="1">
      <x:c r="A399" s="3" t="str">
        <x:v>proposal.legger.scraper_ring</x:v>
      </x:c>
      <x:c r="B399" s="3" t="str">
        <x:f>IFERROR(INDEX(Items!$B$6:$B$1005,MATCH(A399,Items!$A$6:$A$1005,0)),"MISSING ITEM ID")</x:f>
        <x:v>Joint grit-scraper ring</x:v>
      </x:c>
      <x:c r="C399" s="3" t="str">
        <x:f>IFERROR(INDEX(Items!$D$6:$D$1005,MATCH(A399,Items!$A$6:$A$1005,0)),"MISSING ITEM ID")</x:f>
        <x:v>Crafting components</x:v>
      </x:c>
      <x:c r="D399" s="3" t="str">
        <x:v>Secondary</x:v>
      </x:c>
      <x:c r="E399" s="3" t="str">
        <x:v>Equipment repair</x:v>
      </x:c>
      <x:c r="F399" s="3" t="str">
        <x:v>Legger-specific proposal; intended use is not an implemented companion ability.</x:v>
      </x:c>
    </x:row>
    <x:row r="400" ht="65" customHeight="1">
      <x:c r="A400" s="3" t="str">
        <x:v>proposal.legger.grease_applicator</x:v>
      </x:c>
      <x:c r="B400" s="3" t="str">
        <x:f>IFERROR(INDEX(Items!$B$6:$B$1005,MATCH(A400,Items!$A$6:$A$1005,0)),"MISSING ITEM ID")</x:f>
        <x:v>Joint grease applicator</x:v>
      </x:c>
      <x:c r="C400" s="3" t="str">
        <x:f>IFERROR(INDEX(Items!$D$6:$D$1005,MATCH(A400,Items!$A$6:$A$1005,0)),"MISSING ITEM ID")</x:f>
        <x:v>Salvage</x:v>
      </x:c>
      <x:c r="D400" s="3" t="str">
        <x:v>Primary</x:v>
      </x:c>
      <x:c r="E400" s="3" t="str">
        <x:f>IFERROR(INDEX(Items!$AA$6:$AA$1005,MATCH(A400,Items!$A$6:$A$1005,0)),"MISSING ITEM ID")</x:f>
        <x:v>Lubrication</x:v>
      </x:c>
      <x:c r="F400" s="3" t="str">
        <x:v>Legger-specific proposal; intended use is not an implemented companion ability.</x:v>
      </x:c>
    </x:row>
    <x:row r="401" ht="65" customHeight="1">
      <x:c r="A401" s="3" t="str">
        <x:v>proposal.legger.grease_applicator</x:v>
      </x:c>
      <x:c r="B401" s="3" t="str">
        <x:f>IFERROR(INDEX(Items!$B$6:$B$1005,MATCH(A401,Items!$A$6:$A$1005,0)),"MISSING ITEM ID")</x:f>
        <x:v>Joint grease applicator</x:v>
      </x:c>
      <x:c r="C401" s="3" t="str">
        <x:f>IFERROR(INDEX(Items!$D$6:$D$1005,MATCH(A401,Items!$A$6:$A$1005,0)),"MISSING ITEM ID")</x:f>
        <x:v>Salvage</x:v>
      </x:c>
      <x:c r="D401" s="3" t="str">
        <x:v>Secondary</x:v>
      </x:c>
      <x:c r="E401" s="3" t="str">
        <x:v>Equipment repair</x:v>
      </x:c>
      <x:c r="F401" s="3" t="str">
        <x:v>Legger-specific proposal; intended use is not an implemented companion ability.</x:v>
      </x:c>
    </x:row>
    <x:row r="402" ht="65" customHeight="1">
      <x:c r="A402" s="3" t="str">
        <x:v>proposal.legger.service_adapter</x:v>
      </x:c>
      <x:c r="B402" s="3" t="str">
        <x:f>IFERROR(INDEX(Items!$B$6:$B$1005,MATCH(A402,Items!$A$6:$A$1005,0)),"MISSING ITEM ID")</x:f>
        <x:v>Lubricant service-port adapter</x:v>
      </x:c>
      <x:c r="C402" s="3" t="str">
        <x:f>IFERROR(INDEX(Items!$D$6:$D$1005,MATCH(A402,Items!$A$6:$A$1005,0)),"MISSING ITEM ID")</x:f>
        <x:v>Crafting components</x:v>
      </x:c>
      <x:c r="D402" s="3" t="str">
        <x:v>Primary</x:v>
      </x:c>
      <x:c r="E402" s="3" t="str">
        <x:f>IFERROR(INDEX(Items!$AA$6:$AA$1005,MATCH(A402,Items!$A$6:$A$1005,0)),"MISSING ITEM ID")</x:f>
        <x:v>Material transfer</x:v>
      </x:c>
      <x:c r="F402" s="3" t="str">
        <x:v>Legger-specific proposal; intended use is not an implemented companion ability.</x:v>
      </x:c>
    </x:row>
    <x:row r="403" ht="65" customHeight="1">
      <x:c r="A403" s="3" t="str">
        <x:v>proposal.legger.service_adapter</x:v>
      </x:c>
      <x:c r="B403" s="3" t="str">
        <x:f>IFERROR(INDEX(Items!$B$6:$B$1005,MATCH(A403,Items!$A$6:$A$1005,0)),"MISSING ITEM ID")</x:f>
        <x:v>Lubricant service-port adapter</x:v>
      </x:c>
      <x:c r="C403" s="3" t="str">
        <x:f>IFERROR(INDEX(Items!$D$6:$D$1005,MATCH(A403,Items!$A$6:$A$1005,0)),"MISSING ITEM ID")</x:f>
        <x:v>Crafting components</x:v>
      </x:c>
      <x:c r="D403" s="3" t="str">
        <x:v>Secondary</x:v>
      </x:c>
      <x:c r="E403" s="3" t="str">
        <x:v>Lubrication</x:v>
      </x:c>
      <x:c r="F403" s="3" t="str">
        <x:v>Legger-specific proposal; intended use is not an implemented companion ability.</x:v>
      </x:c>
    </x:row>
    <x:row r="404" ht="65" customHeight="1">
      <x:c r="A404" s="3" t="str">
        <x:v>proposal.legger.service_pick</x:v>
      </x:c>
      <x:c r="B404" s="3" t="str">
        <x:f>IFERROR(INDEX(Items!$B$6:$B$1005,MATCH(A404,Items!$A$6:$A$1005,0)),"MISSING ITEM ID")</x:f>
        <x:v>Joint-service cleaning pick</x:v>
      </x:c>
      <x:c r="C404" s="3" t="str">
        <x:f>IFERROR(INDEX(Items!$D$6:$D$1005,MATCH(A404,Items!$A$6:$A$1005,0)),"MISSING ITEM ID")</x:f>
        <x:v>Salvage</x:v>
      </x:c>
      <x:c r="D404" s="3" t="str">
        <x:v>Primary</x:v>
      </x:c>
      <x:c r="E404" s="3" t="str">
        <x:f>IFERROR(INDEX(Items!$AA$6:$AA$1005,MATCH(A404,Items!$A$6:$A$1005,0)),"MISSING ITEM ID")</x:f>
        <x:v>Cleaning</x:v>
      </x:c>
      <x:c r="F404" s="3" t="str">
        <x:v>Legger-specific proposal; intended use is not an implemented companion ability.</x:v>
      </x:c>
    </x:row>
    <x:row r="405" ht="65" customHeight="1">
      <x:c r="A405" s="3" t="str">
        <x:v>proposal.legger.service_pick</x:v>
      </x:c>
      <x:c r="B405" s="3" t="str">
        <x:f>IFERROR(INDEX(Items!$B$6:$B$1005,MATCH(A405,Items!$A$6:$A$1005,0)),"MISSING ITEM ID")</x:f>
        <x:v>Joint-service cleaning pick</x:v>
      </x:c>
      <x:c r="C405" s="3" t="str">
        <x:f>IFERROR(INDEX(Items!$D$6:$D$1005,MATCH(A405,Items!$A$6:$A$1005,0)),"MISSING ITEM ID")</x:f>
        <x:v>Salvage</x:v>
      </x:c>
      <x:c r="D405" s="3" t="str">
        <x:v>Secondary</x:v>
      </x:c>
      <x:c r="E405" s="3" t="str">
        <x:v>Equipment repair</x:v>
      </x:c>
      <x:c r="F405" s="3" t="str">
        <x:v>Legger-specific proposal; intended use is not an implemented companion ability.</x:v>
      </x:c>
    </x:row>
    <x:row r="406" ht="65" customHeight="1">
      <x:c r="A406" s="3" t="str">
        <x:v>proposal.legger.bearing_puller</x:v>
      </x:c>
      <x:c r="B406" s="3" t="str">
        <x:f>IFERROR(INDEX(Items!$B$6:$B$1005,MATCH(A406,Items!$A$6:$A$1005,0)),"MISSING ITEM ID")</x:f>
        <x:v>Matched bearing-removal tool</x:v>
      </x:c>
      <x:c r="C406" s="3" t="str">
        <x:f>IFERROR(INDEX(Items!$D$6:$D$1005,MATCH(A406,Items!$A$6:$A$1005,0)),"MISSING ITEM ID")</x:f>
        <x:v>Salvage</x:v>
      </x:c>
      <x:c r="D406" s="3" t="str">
        <x:v>Primary</x:v>
      </x:c>
      <x:c r="E406" s="3" t="str">
        <x:f>IFERROR(INDEX(Items!$AA$6:$AA$1005,MATCH(A406,Items!$A$6:$A$1005,0)),"MISSING ITEM ID")</x:f>
        <x:v>Equipment repair</x:v>
      </x:c>
      <x:c r="F406" s="3" t="str">
        <x:v>Legger-specific proposal; intended use is not an implemented companion ability.</x:v>
      </x:c>
    </x:row>
    <x:row r="407" ht="65" customHeight="1">
      <x:c r="A407" s="3" t="str">
        <x:v>proposal.legger.alignment_gauge</x:v>
      </x:c>
      <x:c r="B407" s="3" t="str">
        <x:f>IFERROR(INDEX(Items!$B$6:$B$1005,MATCH(A407,Items!$A$6:$A$1005,0)),"MISSING ITEM ID")</x:f>
        <x:v>Legger alignment gauge</x:v>
      </x:c>
      <x:c r="C407" s="3" t="str">
        <x:f>IFERROR(INDEX(Items!$D$6:$D$1005,MATCH(A407,Items!$A$6:$A$1005,0)),"MISSING ITEM ID")</x:f>
        <x:v>Salvage</x:v>
      </x:c>
      <x:c r="D407" s="3" t="str">
        <x:v>Primary</x:v>
      </x:c>
      <x:c r="E407" s="3" t="str">
        <x:f>IFERROR(INDEX(Items!$AA$6:$AA$1005,MATCH(A407,Items!$A$6:$A$1005,0)),"MISSING ITEM ID")</x:f>
        <x:v>Inspection</x:v>
      </x:c>
      <x:c r="F407" s="3" t="str">
        <x:v>Legger-specific proposal; intended use is not an implemented companion ability.</x:v>
      </x:c>
    </x:row>
    <x:row r="408" ht="65" customHeight="1">
      <x:c r="A408" s="3" t="str">
        <x:v>proposal.legger.alignment_gauge</x:v>
      </x:c>
      <x:c r="B408" s="3" t="str">
        <x:f>IFERROR(INDEX(Items!$B$6:$B$1005,MATCH(A408,Items!$A$6:$A$1005,0)),"MISSING ITEM ID")</x:f>
        <x:v>Legger alignment gauge</x:v>
      </x:c>
      <x:c r="C408" s="3" t="str">
        <x:f>IFERROR(INDEX(Items!$D$6:$D$1005,MATCH(A408,Items!$A$6:$A$1005,0)),"MISSING ITEM ID")</x:f>
        <x:v>Salvage</x:v>
      </x:c>
      <x:c r="D408" s="3" t="str">
        <x:v>Secondary</x:v>
      </x:c>
      <x:c r="E408" s="3" t="str">
        <x:v>Equipment repair</x:v>
      </x:c>
      <x:c r="F408" s="3" t="str">
        <x:v>Legger-specific proposal; intended use is not an implemented companion ability.</x:v>
      </x:c>
    </x:row>
    <x:row r="409" ht="65" customHeight="1">
      <x:c r="A409" s="3" t="str">
        <x:v>proposal.legger.spares_case</x:v>
      </x:c>
      <x:c r="B409" s="3" t="str">
        <x:f>IFERROR(INDEX(Items!$B$6:$B$1005,MATCH(A409,Items!$A$6:$A$1005,0)),"MISSING ITEM ID")</x:f>
        <x:v>Legger fitted spares case</x:v>
      </x:c>
      <x:c r="C409" s="3" t="str">
        <x:f>IFERROR(INDEX(Items!$D$6:$D$1005,MATCH(A409,Items!$A$6:$A$1005,0)),"MISSING ITEM ID")</x:f>
        <x:v>Legger attachments</x:v>
      </x:c>
      <x:c r="D409" s="3" t="str">
        <x:v>Primary</x:v>
      </x:c>
      <x:c r="E409" s="3" t="str">
        <x:f>IFERROR(INDEX(Items!$AA$6:$AA$1005,MATCH(A409,Items!$A$6:$A$1005,0)),"MISSING ITEM ID")</x:f>
        <x:v>Cargo organization</x:v>
      </x:c>
      <x:c r="F409" s="3" t="str">
        <x:v>Legger-specific proposal; intended use is not an implemented companion ability.</x:v>
      </x:c>
    </x:row>
    <x:row r="410" ht="65" customHeight="1">
      <x:c r="A410" s="3" t="str">
        <x:v>proposal.legger.edge_guard</x:v>
      </x:c>
      <x:c r="B410" s="3" t="str">
        <x:f>IFERROR(INDEX(Items!$B$6:$B$1005,MATCH(A410,Items!$A$6:$A$1005,0)),"MISSING ITEM ID")</x:f>
        <x:v>Chassis leading-edge guard</x:v>
      </x:c>
      <x:c r="C410" s="3" t="str">
        <x:f>IFERROR(INDEX(Items!$D$6:$D$1005,MATCH(A410,Items!$A$6:$A$1005,0)),"MISSING ITEM ID")</x:f>
        <x:v>Legger armor</x:v>
      </x:c>
      <x:c r="D410" s="3" t="str">
        <x:v>Primary</x:v>
      </x:c>
      <x:c r="E410" s="3" t="str">
        <x:f>IFERROR(INDEX(Items!$AA$6:$AA$1005,MATCH(A410,Items!$A$6:$A$1005,0)),"MISSING ITEM ID")</x:f>
        <x:v>Protection</x:v>
      </x:c>
      <x:c r="F410" s="3" t="str">
        <x:v>Legger-specific proposal; intended use is not an implemented companion ability.</x:v>
      </x:c>
    </x:row>
    <x:row r="411" ht="65" customHeight="1">
      <x:c r="A411" s="3" t="str">
        <x:v>proposal.legger.instrument_guard</x:v>
      </x:c>
      <x:c r="B411" s="3" t="str">
        <x:f>IFERROR(INDEX(Items!$B$6:$B$1005,MATCH(A411,Items!$A$6:$A$1005,0)),"MISSING ITEM ID")</x:f>
        <x:v>Instrument-face guard</x:v>
      </x:c>
      <x:c r="C411" s="3" t="str">
        <x:f>IFERROR(INDEX(Items!$D$6:$D$1005,MATCH(A411,Items!$A$6:$A$1005,0)),"MISSING ITEM ID")</x:f>
        <x:v>Legger armor</x:v>
      </x:c>
      <x:c r="D411" s="3" t="str">
        <x:v>Primary</x:v>
      </x:c>
      <x:c r="E411" s="3" t="str">
        <x:f>IFERROR(INDEX(Items!$AA$6:$AA$1005,MATCH(A411,Items!$A$6:$A$1005,0)),"MISSING ITEM ID")</x:f>
        <x:v>Protection</x:v>
      </x:c>
      <x:c r="F411" s="3" t="str">
        <x:v>Legger-specific proposal; intended use is not an implemented companion ability.</x:v>
      </x:c>
    </x:row>
    <x:row r="412" ht="65" customHeight="1">
      <x:c r="A412" s="3" t="str">
        <x:v>proposal.legger.seam_guard</x:v>
      </x:c>
      <x:c r="B412" s="3" t="str">
        <x:f>IFERROR(INDEX(Items!$B$6:$B$1005,MATCH(A412,Items!$A$6:$A$1005,0)),"MISSING ITEM ID")</x:f>
        <x:v>Armor seam-cover strip</x:v>
      </x:c>
      <x:c r="C412" s="3" t="str">
        <x:f>IFERROR(INDEX(Items!$D$6:$D$1005,MATCH(A412,Items!$A$6:$A$1005,0)),"MISSING ITEM ID")</x:f>
        <x:v>Legger attachments</x:v>
      </x:c>
      <x:c r="D412" s="3" t="str">
        <x:v>Primary</x:v>
      </x:c>
      <x:c r="E412" s="3" t="str">
        <x:f>IFERROR(INDEX(Items!$AA$6:$AA$1005,MATCH(A412,Items!$A$6:$A$1005,0)),"MISSING ITEM ID")</x:f>
        <x:v>Protection</x:v>
      </x:c>
      <x:c r="F412" s="3" t="str">
        <x:v>Legger-specific proposal; intended use is not an implemented companion ability.</x:v>
      </x:c>
    </x:row>
    <x:row r="413" ht="65" customHeight="1">
      <x:c r="A413" s="3" t="str">
        <x:v>proposal.legger.impact_cap</x:v>
      </x:c>
      <x:c r="B413" s="3" t="str">
        <x:f>IFERROR(INDEX(Items!$B$6:$B$1005,MATCH(A413,Items!$A$6:$A$1005,0)),"MISSING ITEM ID")</x:f>
        <x:v>Sacrificial impact cap</x:v>
      </x:c>
      <x:c r="C413" s="3" t="str">
        <x:f>IFERROR(INDEX(Items!$D$6:$D$1005,MATCH(A413,Items!$A$6:$A$1005,0)),"MISSING ITEM ID")</x:f>
        <x:v>Salvage</x:v>
      </x:c>
      <x:c r="D413" s="3" t="str">
        <x:v>Primary</x:v>
      </x:c>
      <x:c r="E413" s="3" t="str">
        <x:f>IFERROR(INDEX(Items!$AA$6:$AA$1005,MATCH(A413,Items!$A$6:$A$1005,0)),"MISSING ITEM ID")</x:f>
        <x:v>Protection</x:v>
      </x:c>
      <x:c r="F413" s="3" t="str">
        <x:v>Legger-specific proposal; intended use is not an implemented companion ability.</x:v>
      </x:c>
    </x:row>
    <x:row r="414" ht="65" customHeight="1">
      <x:c r="A414" s="3" t="str">
        <x:v>proposal.legger.fragment_liner</x:v>
      </x:c>
      <x:c r="B414" s="3" t="str">
        <x:f>IFERROR(INDEX(Items!$B$6:$B$1005,MATCH(A414,Items!$A$6:$A$1005,0)),"MISSING ITEM ID")</x:f>
        <x:v>Pressed-husk fragment liner</x:v>
      </x:c>
      <x:c r="C414" s="3" t="str">
        <x:f>IFERROR(INDEX(Items!$D$6:$D$1005,MATCH(A414,Items!$A$6:$A$1005,0)),"MISSING ITEM ID")</x:f>
        <x:v>Legger attachments</x:v>
      </x:c>
      <x:c r="D414" s="3" t="str">
        <x:v>Primary</x:v>
      </x:c>
      <x:c r="E414" s="3" t="str">
        <x:f>IFERROR(INDEX(Items!$AA$6:$AA$1005,MATCH(A414,Items!$A$6:$A$1005,0)),"MISSING ITEM ID")</x:f>
        <x:v>Protection</x:v>
      </x:c>
      <x:c r="F414" s="3" t="str">
        <x:v>Legger-specific proposal; intended use is not an implemented companion ability.</x:v>
      </x:c>
    </x:row>
    <x:row r="415" ht="65" customHeight="1">
      <x:c r="A415" s="3" t="str">
        <x:v>proposal.legger.guard_hinge</x:v>
      </x:c>
      <x:c r="B415" s="3" t="str">
        <x:f>IFERROR(INDEX(Items!$B$6:$B$1005,MATCH(A415,Items!$A$6:$A$1005,0)),"MISSING ITEM ID")</x:f>
        <x:v>Armor-guard hinge assembly</x:v>
      </x:c>
      <x:c r="C415" s="3" t="str">
        <x:f>IFERROR(INDEX(Items!$D$6:$D$1005,MATCH(A415,Items!$A$6:$A$1005,0)),"MISSING ITEM ID")</x:f>
        <x:v>Crafting components</x:v>
      </x:c>
      <x:c r="D415" s="3" t="str">
        <x:v>Primary</x:v>
      </x:c>
      <x:c r="E415" s="3" t="str">
        <x:f>IFERROR(INDEX(Items!$AA$6:$AA$1005,MATCH(A415,Items!$A$6:$A$1005,0)),"MISSING ITEM ID")</x:f>
        <x:v>Equipment mounting</x:v>
      </x:c>
      <x:c r="F415" s="3" t="str">
        <x:v>Legger-specific proposal; intended use is not an implemented companion ability.</x:v>
      </x:c>
    </x:row>
    <x:row r="416" ht="65" customHeight="1">
      <x:c r="A416" s="3" t="str">
        <x:v>proposal.legger.guard_hinge</x:v>
      </x:c>
      <x:c r="B416" s="3" t="str">
        <x:f>IFERROR(INDEX(Items!$B$6:$B$1005,MATCH(A416,Items!$A$6:$A$1005,0)),"MISSING ITEM ID")</x:f>
        <x:v>Armor-guard hinge assembly</x:v>
      </x:c>
      <x:c r="C416" s="3" t="str">
        <x:f>IFERROR(INDEX(Items!$D$6:$D$1005,MATCH(A416,Items!$A$6:$A$1005,0)),"MISSING ITEM ID")</x:f>
        <x:v>Crafting components</x:v>
      </x:c>
      <x:c r="D416" s="3" t="str">
        <x:v>Secondary</x:v>
      </x:c>
      <x:c r="E416" s="3" t="str">
        <x:v>Equipment repair</x:v>
      </x:c>
      <x:c r="F416" s="3" t="str">
        <x:v>Legger-specific proposal; intended use is not an implemented companion ability.</x:v>
      </x:c>
    </x:row>
    <x:row r="417" ht="65" customHeight="1">
      <x:c r="A417" s="3" t="str">
        <x:v>proposal.legger.plasteel_collar</x:v>
      </x:c>
      <x:c r="B417" s="3" t="str">
        <x:f>IFERROR(INDEX(Items!$B$6:$B$1005,MATCH(A417,Items!$A$6:$A$1005,0)),"MISSING ITEM ID")</x:f>
        <x:v>Ancient plasteel joint collar</x:v>
      </x:c>
      <x:c r="C417" s="3" t="str">
        <x:f>IFERROR(INDEX(Items!$D$6:$D$1005,MATCH(A417,Items!$A$6:$A$1005,0)),"MISSING ITEM ID")</x:f>
        <x:v>Ancient salvage</x:v>
      </x:c>
      <x:c r="D417" s="3" t="str">
        <x:v>Primary</x:v>
      </x:c>
      <x:c r="E417" s="3" t="str">
        <x:f>IFERROR(INDEX(Items!$AA$6:$AA$1005,MATCH(A417,Items!$A$6:$A$1005,0)),"MISSING ITEM ID")</x:f>
        <x:v>Equipment repair</x:v>
      </x:c>
      <x:c r="F417" s="3" t="str">
        <x:v>Legger-specific proposal; intended use is not an implemented companion ability.</x:v>
      </x:c>
    </x:row>
    <x:row r="418" ht="65" customHeight="1">
      <x:c r="A418" s="3" t="str">
        <x:v>proposal.legger.tension_member</x:v>
      </x:c>
      <x:c r="B418" s="3" t="str">
        <x:f>IFERROR(INDEX(Items!$B$6:$B$1005,MATCH(A418,Items!$A$6:$A$1005,0)),"MISSING ITEM ID")</x:f>
        <x:v>Ancient nanocarbon tension member</x:v>
      </x:c>
      <x:c r="C418" s="3" t="str">
        <x:f>IFERROR(INDEX(Items!$D$6:$D$1005,MATCH(A418,Items!$A$6:$A$1005,0)),"MISSING ITEM ID")</x:f>
        <x:v>Ancient salvage</x:v>
      </x:c>
      <x:c r="D418" s="3" t="str">
        <x:v>Primary</x:v>
      </x:c>
      <x:c r="E418" s="3" t="str">
        <x:f>IFERROR(INDEX(Items!$AA$6:$AA$1005,MATCH(A418,Items!$A$6:$A$1005,0)),"MISSING ITEM ID")</x:f>
        <x:v>Equipment repair</x:v>
      </x:c>
      <x:c r="F418" s="3" t="str">
        <x:v>Legger-specific proposal; intended use is not an implemented companion ability.</x:v>
      </x:c>
    </x:row>
    <x:row r="419" ht="65" customHeight="1">
      <x:c r="A419" s="3" t="str">
        <x:v>proposal.legger.friction_insert</x:v>
      </x:c>
      <x:c r="B419" s="3" t="str">
        <x:f>IFERROR(INDEX(Items!$B$6:$B$1005,MATCH(A419,Items!$A$6:$A$1005,0)),"MISSING ITEM ID")</x:f>
        <x:v>Ancient friction-interface insert</x:v>
      </x:c>
      <x:c r="C419" s="3" t="str">
        <x:f>IFERROR(INDEX(Items!$D$6:$D$1005,MATCH(A419,Items!$A$6:$A$1005,0)),"MISSING ITEM ID")</x:f>
        <x:v>Ancient salvage</x:v>
      </x:c>
      <x:c r="D419" s="3" t="str">
        <x:v>Primary</x:v>
      </x:c>
      <x:c r="E419" s="3" t="str">
        <x:f>IFERROR(INDEX(Items!$AA$6:$AA$1005,MATCH(A419,Items!$A$6:$A$1005,0)),"MISSING ITEM ID")</x:f>
        <x:v>Equipment repair</x:v>
      </x:c>
      <x:c r="F419" s="3" t="str">
        <x:v>Legger-specific proposal; intended use is not an implemented companion ability.</x:v>
      </x:c>
    </x:row>
    <x:row r="420" ht="65" customHeight="1">
      <x:c r="A420" s="3" t="str">
        <x:v>proposal.legger.ceramic_race</x:v>
      </x:c>
      <x:c r="B420" s="3" t="str">
        <x:f>IFERROR(INDEX(Items!$B$6:$B$1005,MATCH(A420,Items!$A$6:$A$1005,0)),"MISSING ITEM ID")</x:f>
        <x:v>Ancient precision ceramic bearing race</x:v>
      </x:c>
      <x:c r="C420" s="3" t="str">
        <x:f>IFERROR(INDEX(Items!$D$6:$D$1005,MATCH(A420,Items!$A$6:$A$1005,0)),"MISSING ITEM ID")</x:f>
        <x:v>Ancient salvage</x:v>
      </x:c>
      <x:c r="D420" s="3" t="str">
        <x:v>Primary</x:v>
      </x:c>
      <x:c r="E420" s="3" t="str">
        <x:f>IFERROR(INDEX(Items!$AA$6:$AA$1005,MATCH(A420,Items!$A$6:$A$1005,0)),"MISSING ITEM ID")</x:f>
        <x:v>Equipment repair</x:v>
      </x:c>
      <x:c r="F420" s="3" t="str">
        <x:v>Legger-specific proposal; intended use is not an implemented companion ability.</x:v>
      </x:c>
    </x:row>
    <x:row r="421" ht="65" customHeight="1">
      <x:c r="A421" s="3" t="str">
        <x:v>proposal.legger.impact_lattice</x:v>
      </x:c>
      <x:c r="B421" s="3" t="str">
        <x:f>IFERROR(INDEX(Items!$B$6:$B$1005,MATCH(A421,Items!$A$6:$A$1005,0)),"MISSING ITEM ID")</x:f>
        <x:v>Ancient impact-lattice backing</x:v>
      </x:c>
      <x:c r="C421" s="3" t="str">
        <x:f>IFERROR(INDEX(Items!$D$6:$D$1005,MATCH(A421,Items!$A$6:$A$1005,0)),"MISSING ITEM ID")</x:f>
        <x:v>Legger attachments</x:v>
      </x:c>
      <x:c r="D421" s="3" t="str">
        <x:v>Primary</x:v>
      </x:c>
      <x:c r="E421" s="3" t="str">
        <x:f>IFERROR(INDEX(Items!$AA$6:$AA$1005,MATCH(A421,Items!$A$6:$A$1005,0)),"MISSING ITEM ID")</x:f>
        <x:v>Protection</x:v>
      </x:c>
      <x:c r="F421" s="3" t="str">
        <x:v>Legger-specific proposal; intended use is not an implemented companion ability.</x:v>
      </x:c>
    </x:row>
    <x:row r="422" ht="65" customHeight="1">
      <x:c r="A422" s="3" t="str">
        <x:v>proposal.legger.interface_adapter</x:v>
      </x:c>
      <x:c r="B422" s="3" t="str">
        <x:f>IFERROR(INDEX(Items!$B$6:$B$1005,MATCH(A422,Items!$A$6:$A$1005,0)),"MISSING ITEM ID")</x:f>
        <x:v>Ancient module interface adapter</x:v>
      </x:c>
      <x:c r="C422" s="3" t="str">
        <x:f>IFERROR(INDEX(Items!$D$6:$D$1005,MATCH(A422,Items!$A$6:$A$1005,0)),"MISSING ITEM ID")</x:f>
        <x:v>Ancient salvage</x:v>
      </x:c>
      <x:c r="D422" s="3" t="str">
        <x:v>Primary</x:v>
      </x:c>
      <x:c r="E422" s="3" t="str">
        <x:f>IFERROR(INDEX(Items!$AA$6:$AA$1005,MATCH(A422,Items!$A$6:$A$1005,0)),"MISSING ITEM ID")</x:f>
        <x:v>Equipment mounting</x:v>
      </x:c>
      <x:c r="F422" s="3" t="str">
        <x:v>Legger-specific proposal; intended use is not an implemented companion ability.</x:v>
      </x:c>
    </x:row>
    <x:row r="423" ht="65" customHeight="1">
      <x:c r="A423" s="3"/>
      <x:c r="B423" s="3"/>
      <x:c r="C423" s="3"/>
      <x:c r="D423" s="3"/>
      <x:c r="E423" s="3"/>
      <x:c r="F423" s="3"/>
    </x:row>
    <x:row r="424" ht="65" customHeight="1">
      <x:c r="A424" s="3"/>
      <x:c r="B424" s="3"/>
      <x:c r="C424" s="3"/>
      <x:c r="D424" s="3"/>
      <x:c r="E424" s="3"/>
      <x:c r="F424" s="3"/>
    </x:row>
    <x:row r="425" ht="65" customHeight="1">
      <x:c r="A425" s="3" t="str">
        <x:v>proposal.food.dense_drink</x:v>
      </x:c>
      <x:c r="B425" s="3" t="str">
        <x:f>IFERROR(INDEX(Items!$B$6:$B$1005,MATCH(A425,Items!$A$6:$A$1005,0)),"MISSING ITEM ID")</x:f>
        <x:v>Dense Phagia nutrient drink</x:v>
      </x:c>
      <x:c r="C425" s="3" t="str">
        <x:f>IFERROR(INDEX(Items!$D$6:$D$1005,MATCH(A425,Items!$A$6:$A$1005,0)),"MISSING ITEM ID")</x:f>
        <x:v>Consumables</x:v>
      </x:c>
      <x:c r="D425" s="3" t="str">
        <x:v>Primary</x:v>
      </x:c>
      <x:c r="E425" s="3" t="str">
        <x:f>IFERROR(INDEX(Items!$AA$6:$AA$1005,MATCH(A425,Items!$A$6:$A$1005,0)),"MISSING ITEM ID")</x:f>
        <x:v>Nutrition</x:v>
      </x:c>
      <x:c r="F425" s="3" t="str">
        <x:v>Food direction / item proposal. Consumption values, ingredient compatibility and packaging behavior unresolved.</x:v>
      </x:c>
    </x:row>
    <x:row r="426" ht="65" customHeight="1">
      <x:c r="A426" s="3" t="str">
        <x:v>proposal.food.dense_drink</x:v>
      </x:c>
      <x:c r="B426" s="3" t="str">
        <x:f>IFERROR(INDEX(Items!$B$6:$B$1005,MATCH(A426,Items!$A$6:$A$1005,0)),"MISSING ITEM ID")</x:f>
        <x:v>Dense Phagia nutrient drink</x:v>
      </x:c>
      <x:c r="C426" s="3" t="str">
        <x:f>IFERROR(INDEX(Items!$D$6:$D$1005,MATCH(A426,Items!$A$6:$A$1005,0)),"MISSING ITEM ID")</x:f>
        <x:v>Consumables</x:v>
      </x:c>
      <x:c r="D426" s="3" t="str">
        <x:v>Secondary</x:v>
      </x:c>
      <x:c r="E426" s="3" t="str">
        <x:v>Hydration</x:v>
      </x:c>
      <x:c r="F426" s="3" t="str">
        <x:v>Food direction / item proposal. Consumption values, ingredient compatibility and packaging behavior unresolved.</x:v>
      </x:c>
    </x:row>
    <x:row r="427" ht="65" customHeight="1">
      <x:c r="A427" s="3" t="str">
        <x:v>proposal.food.ration_bar</x:v>
      </x:c>
      <x:c r="B427" s="3" t="str">
        <x:f>IFERROR(INDEX(Items!$B$6:$B$1005,MATCH(A427,Items!$A$6:$A$1005,0)),"MISSING ITEM ID")</x:f>
        <x:v>Phagia ration bar</x:v>
      </x:c>
      <x:c r="C427" s="3" t="str">
        <x:f>IFERROR(INDEX(Items!$D$6:$D$1005,MATCH(A427,Items!$A$6:$A$1005,0)),"MISSING ITEM ID")</x:f>
        <x:v>Consumables</x:v>
      </x:c>
      <x:c r="D427" s="3" t="str">
        <x:v>Primary</x:v>
      </x:c>
      <x:c r="E427" s="3" t="str">
        <x:f>IFERROR(INDEX(Items!$AA$6:$AA$1005,MATCH(A427,Items!$A$6:$A$1005,0)),"MISSING ITEM ID")</x:f>
        <x:v>Nutrition</x:v>
      </x:c>
      <x:c r="F427" s="3" t="str">
        <x:v>Food direction / item proposal. Consumption values, ingredient compatibility and packaging behavior unresolved.</x:v>
      </x:c>
    </x:row>
    <x:row r="428" ht="65" customHeight="1">
      <x:c r="A428" s="3" t="str">
        <x:v>proposal.food.dried_bar</x:v>
      </x:c>
      <x:c r="B428" s="3" t="str">
        <x:f>IFERROR(INDEX(Items!$B$6:$B$1005,MATCH(A428,Items!$A$6:$A$1005,0)),"MISSING ITEM ID")</x:f>
        <x:v>Dried Phagia travel bar</x:v>
      </x:c>
      <x:c r="C428" s="3" t="str">
        <x:f>IFERROR(INDEX(Items!$D$6:$D$1005,MATCH(A428,Items!$A$6:$A$1005,0)),"MISSING ITEM ID")</x:f>
        <x:v>Consumables</x:v>
      </x:c>
      <x:c r="D428" s="3" t="str">
        <x:v>Primary</x:v>
      </x:c>
      <x:c r="E428" s="3" t="str">
        <x:f>IFERROR(INDEX(Items!$AA$6:$AA$1005,MATCH(A428,Items!$A$6:$A$1005,0)),"MISSING ITEM ID")</x:f>
        <x:v>Nutrition</x:v>
      </x:c>
      <x:c r="F428" s="3" t="str">
        <x:v>Food direction / item proposal. Consumption values, ingredient compatibility and packaging behavior unresolved.</x:v>
      </x:c>
    </x:row>
    <x:row r="429" ht="65" customHeight="1">
      <x:c r="A429" s="3" t="str">
        <x:v>proposal.food.meal_paste</x:v>
      </x:c>
      <x:c r="B429" s="3" t="str">
        <x:f>IFERROR(INDEX(Items!$B$6:$B$1005,MATCH(A429,Items!$A$6:$A$1005,0)),"MISSING ITEM ID")</x:f>
        <x:v>Prepared Phagia meal paste</x:v>
      </x:c>
      <x:c r="C429" s="3" t="str">
        <x:f>IFERROR(INDEX(Items!$D$6:$D$1005,MATCH(A429,Items!$A$6:$A$1005,0)),"MISSING ITEM ID")</x:f>
        <x:v>Consumables</x:v>
      </x:c>
      <x:c r="D429" s="3" t="str">
        <x:v>Primary</x:v>
      </x:c>
      <x:c r="E429" s="3" t="str">
        <x:f>IFERROR(INDEX(Items!$AA$6:$AA$1005,MATCH(A429,Items!$A$6:$A$1005,0)),"MISSING ITEM ID")</x:f>
        <x:v>Nutrition</x:v>
      </x:c>
      <x:c r="F429" s="3" t="str">
        <x:v>Food direction / item proposal. Consumption values, ingredient compatibility and packaging behavior unresolved.</x:v>
      </x:c>
    </x:row>
    <x:row r="430" ht="65" customHeight="1">
      <x:c r="A430" s="3" t="str">
        <x:v>proposal.food.meal_portion</x:v>
      </x:c>
      <x:c r="B430" s="3" t="str">
        <x:f>IFERROR(INDEX(Items!$B$6:$B$1005,MATCH(A430,Items!$A$6:$A$1005,0)),"MISSING ITEM ID")</x:f>
        <x:v>Prepared Phagia meal portion</x:v>
      </x:c>
      <x:c r="C430" s="3" t="str">
        <x:f>IFERROR(INDEX(Items!$D$6:$D$1005,MATCH(A430,Items!$A$6:$A$1005,0)),"MISSING ITEM ID")</x:f>
        <x:v>Consumables</x:v>
      </x:c>
      <x:c r="D430" s="3" t="str">
        <x:v>Primary</x:v>
      </x:c>
      <x:c r="E430" s="3" t="str">
        <x:f>IFERROR(INDEX(Items!$AA$6:$AA$1005,MATCH(A430,Items!$A$6:$A$1005,0)),"MISSING ITEM ID")</x:f>
        <x:v>Nutrition</x:v>
      </x:c>
      <x:c r="F430" s="3" t="str">
        <x:v>Food direction / item proposal. Consumption values, ingredient compatibility and packaging behavior unresolved.</x:v>
      </x:c>
    </x:row>
    <x:row r="431" ht="65" customHeight="1">
      <x:c r="A431" s="3" t="str">
        <x:v>proposal.food.fauna_flake_dish</x:v>
      </x:c>
      <x:c r="B431" s="3" t="str">
        <x:f>IFERROR(INDEX(Items!$B$6:$B$1005,MATCH(A431,Items!$A$6:$A$1005,0)),"MISSING ITEM ID")</x:f>
        <x:v>Phagia and edible-fauna flake delicacy</x:v>
      </x:c>
      <x:c r="C431" s="3" t="str">
        <x:f>IFERROR(INDEX(Items!$D$6:$D$1005,MATCH(A431,Items!$A$6:$A$1005,0)),"MISSING ITEM ID")</x:f>
        <x:v>Consumables</x:v>
      </x:c>
      <x:c r="D431" s="3" t="str">
        <x:v>Primary</x:v>
      </x:c>
      <x:c r="E431" s="3" t="str">
        <x:f>IFERROR(INDEX(Items!$AA$6:$AA$1005,MATCH(A431,Items!$A$6:$A$1005,0)),"MISSING ITEM ID")</x:f>
        <x:v>Nutrition</x:v>
      </x:c>
      <x:c r="F431" s="3" t="str">
        <x:v>Food direction / item proposal. Consumption values, ingredient compatibility and packaging behavior unresolved.</x:v>
      </x:c>
    </x:row>
    <x:row r="432" ht="65" customHeight="1">
      <x:c r="A432" s="3" t="str">
        <x:v>proposal.food.layered_delicacy</x:v>
      </x:c>
      <x:c r="B432" s="3" t="str">
        <x:f>IFERROR(INDEX(Items!$B$6:$B$1005,MATCH(A432,Items!$A$6:$A$1005,0)),"MISSING ITEM ID")</x:f>
        <x:v>Layered Phagia-fauna delicacy</x:v>
      </x:c>
      <x:c r="C432" s="3" t="str">
        <x:f>IFERROR(INDEX(Items!$D$6:$D$1005,MATCH(A432,Items!$A$6:$A$1005,0)),"MISSING ITEM ID")</x:f>
        <x:v>Consumables</x:v>
      </x:c>
      <x:c r="D432" s="3" t="str">
        <x:v>Primary</x:v>
      </x:c>
      <x:c r="E432" s="3" t="str">
        <x:f>IFERROR(INDEX(Items!$AA$6:$AA$1005,MATCH(A432,Items!$A$6:$A$1005,0)),"MISSING ITEM ID")</x:f>
        <x:v>Nutrition</x:v>
      </x:c>
      <x:c r="F432" s="3" t="str">
        <x:v>Food direction / item proposal. Consumption values, ingredient compatibility and packaging behavior unresolved.</x:v>
      </x:c>
    </x:row>
    <x:row r="433" ht="65" customHeight="1">
      <x:c r="A433" s="3" t="str">
        <x:v>proposal.food.crisp_delicacy</x:v>
      </x:c>
      <x:c r="B433" s="3" t="str">
        <x:f>IFERROR(INDEX(Items!$B$6:$B$1005,MATCH(A433,Items!$A$6:$A$1005,0)),"MISSING ITEM ID")</x:f>
        <x:v>Crisp Phagia-fauna wafer</x:v>
      </x:c>
      <x:c r="C433" s="3" t="str">
        <x:f>IFERROR(INDEX(Items!$D$6:$D$1005,MATCH(A433,Items!$A$6:$A$1005,0)),"MISSING ITEM ID")</x:f>
        <x:v>Consumables</x:v>
      </x:c>
      <x:c r="D433" s="3" t="str">
        <x:v>Primary</x:v>
      </x:c>
      <x:c r="E433" s="3" t="str">
        <x:f>IFERROR(INDEX(Items!$AA$6:$AA$1005,MATCH(A433,Items!$A$6:$A$1005,0)),"MISSING ITEM ID")</x:f>
        <x:v>Nutrition</x:v>
      </x:c>
      <x:c r="F433" s="3" t="str">
        <x:v>Food direction / item proposal. Consumption values, ingredient compatibility and packaging behavior unresolved.</x:v>
      </x:c>
    </x:row>
    <x:row r="434" ht="65" customHeight="1">
      <x:c r="A434" s="3" t="str">
        <x:v>proposal.food.edible_flakes</x:v>
      </x:c>
      <x:c r="B434" s="3" t="str">
        <x:f>IFERROR(INDEX(Items!$B$6:$B$1005,MATCH(A434,Items!$A$6:$A$1005,0)),"MISSING ITEM ID")</x:f>
        <x:v>Prepared edible-fauna flakes</x:v>
      </x:c>
      <x:c r="C434" s="3" t="str">
        <x:f>IFERROR(INDEX(Items!$D$6:$D$1005,MATCH(A434,Items!$A$6:$A$1005,0)),"MISSING ITEM ID")</x:f>
        <x:v>Cooking ingredients</x:v>
      </x:c>
      <x:c r="D434" s="3" t="str">
        <x:v>Primary</x:v>
      </x:c>
      <x:c r="E434" s="3" t="str">
        <x:f>IFERROR(INDEX(Items!$AA$6:$AA$1005,MATCH(A434,Items!$A$6:$A$1005,0)),"MISSING ITEM ID")</x:f>
        <x:v>Food preparation</x:v>
      </x:c>
      <x:c r="F434" s="3" t="str">
        <x:v>Food direction / item proposal. Consumption values, ingredient compatibility and packaging behavior unresolved.</x:v>
      </x:c>
    </x:row>
    <x:row r="435" ht="65" customHeight="1">
      <x:c r="A435" s="3" t="str">
        <x:v>proposal.food.edible_paste</x:v>
      </x:c>
      <x:c r="B435" s="3" t="str">
        <x:f>IFERROR(INDEX(Items!$B$6:$B$1005,MATCH(A435,Items!$A$6:$A$1005,0)),"MISSING ITEM ID")</x:f>
        <x:v>Prepared edible-fauna paste</x:v>
      </x:c>
      <x:c r="C435" s="3" t="str">
        <x:f>IFERROR(INDEX(Items!$D$6:$D$1005,MATCH(A435,Items!$A$6:$A$1005,0)),"MISSING ITEM ID")</x:f>
        <x:v>Cooking ingredients</x:v>
      </x:c>
      <x:c r="D435" s="3" t="str">
        <x:v>Primary</x:v>
      </x:c>
      <x:c r="E435" s="3" t="str">
        <x:f>IFERROR(INDEX(Items!$AA$6:$AA$1005,MATCH(A435,Items!$A$6:$A$1005,0)),"MISSING ITEM ID")</x:f>
        <x:v>Food preparation</x:v>
      </x:c>
      <x:c r="F435" s="3" t="str">
        <x:v>Food direction / item proposal. Consumption values, ingredient compatibility and packaging behavior unresolved.</x:v>
      </x:c>
    </x:row>
    <x:row r="436" ht="65" customHeight="1">
      <x:c r="A436" s="3" t="str">
        <x:v>proposal.food.drink_flask</x:v>
      </x:c>
      <x:c r="B436" s="3" t="str">
        <x:f>IFERROR(INDEX(Items!$B$6:$B$1005,MATCH(A436,Items!$A$6:$A$1005,0)),"MISSING ITEM ID")</x:f>
        <x:v>Reusable Phagia drinking flask</x:v>
      </x:c>
      <x:c r="C436" s="3" t="str">
        <x:f>IFERROR(INDEX(Items!$D$6:$D$1005,MATCH(A436,Items!$A$6:$A$1005,0)),"MISSING ITEM ID")</x:f>
        <x:v>Salvage</x:v>
      </x:c>
      <x:c r="D436" s="3" t="str">
        <x:v>Primary</x:v>
      </x:c>
      <x:c r="E436" s="3" t="str">
        <x:f>IFERROR(INDEX(Items!$AA$6:$AA$1005,MATCH(A436,Items!$A$6:$A$1005,0)),"MISSING ITEM ID")</x:f>
        <x:v>Food service</x:v>
      </x:c>
      <x:c r="F436" s="3" t="str">
        <x:v>Food direction / item proposal. Consumption values, ingredient compatibility and packaging behavior unresolved.</x:v>
      </x:c>
    </x:row>
    <x:row r="437" ht="65" customHeight="1">
      <x:c r="A437" s="3" t="str">
        <x:v>proposal.food.drink_flask</x:v>
      </x:c>
      <x:c r="B437" s="3" t="str">
        <x:f>IFERROR(INDEX(Items!$B$6:$B$1005,MATCH(A437,Items!$A$6:$A$1005,0)),"MISSING ITEM ID")</x:f>
        <x:v>Reusable Phagia drinking flask</x:v>
      </x:c>
      <x:c r="C437" s="3" t="str">
        <x:f>IFERROR(INDEX(Items!$D$6:$D$1005,MATCH(A437,Items!$A$6:$A$1005,0)),"MISSING ITEM ID")</x:f>
        <x:v>Salvage</x:v>
      </x:c>
      <x:c r="D437" s="3" t="str">
        <x:v>Secondary</x:v>
      </x:c>
      <x:c r="E437" s="3" t="str">
        <x:v>Cargo organization</x:v>
      </x:c>
      <x:c r="F437" s="3" t="str">
        <x:v>Food direction / item proposal. Consumption values, ingredient compatibility and packaging behavior unresolved.</x:v>
      </x:c>
    </x:row>
    <x:row r="438" ht="65" customHeight="1">
      <x:c r="A438" s="3" t="str">
        <x:v>proposal.food.bar_case</x:v>
      </x:c>
      <x:c r="B438" s="3" t="str">
        <x:f>IFERROR(INDEX(Items!$B$6:$B$1005,MATCH(A438,Items!$A$6:$A$1005,0)),"MISSING ITEM ID")</x:f>
        <x:v>Phagia ration-bar case</x:v>
      </x:c>
      <x:c r="C438" s="3" t="str">
        <x:f>IFERROR(INDEX(Items!$D$6:$D$1005,MATCH(A438,Items!$A$6:$A$1005,0)),"MISSING ITEM ID")</x:f>
        <x:v>Salvage</x:v>
      </x:c>
      <x:c r="D438" s="3" t="str">
        <x:v>Primary</x:v>
      </x:c>
      <x:c r="E438" s="3" t="str">
        <x:f>IFERROR(INDEX(Items!$AA$6:$AA$1005,MATCH(A438,Items!$A$6:$A$1005,0)),"MISSING ITEM ID")</x:f>
        <x:v>Food service</x:v>
      </x:c>
      <x:c r="F438" s="3" t="str">
        <x:v>Food direction / item proposal. Consumption values, ingredient compatibility and packaging behavior unresolved.</x:v>
      </x:c>
    </x:row>
    <x:row r="439" ht="65" customHeight="1">
      <x:c r="A439" s="3" t="str">
        <x:v>proposal.food.bar_case</x:v>
      </x:c>
      <x:c r="B439" s="3" t="str">
        <x:f>IFERROR(INDEX(Items!$B$6:$B$1005,MATCH(A439,Items!$A$6:$A$1005,0)),"MISSING ITEM ID")</x:f>
        <x:v>Phagia ration-bar case</x:v>
      </x:c>
      <x:c r="C439" s="3" t="str">
        <x:f>IFERROR(INDEX(Items!$D$6:$D$1005,MATCH(A439,Items!$A$6:$A$1005,0)),"MISSING ITEM ID")</x:f>
        <x:v>Salvage</x:v>
      </x:c>
      <x:c r="D439" s="3" t="str">
        <x:v>Secondary</x:v>
      </x:c>
      <x:c r="E439" s="3" t="str">
        <x:v>Cargo organization</x:v>
      </x:c>
      <x:c r="F439" s="3" t="str">
        <x:v>Food direction / item proposal. Consumption values, ingredient compatibility and packaging behavior unresolved.</x:v>
      </x:c>
    </x:row>
    <x:row r="440" ht="65" customHeight="1">
      <x:c r="A440" s="3"/>
      <x:c r="B440" s="3"/>
      <x:c r="C440" s="3"/>
      <x:c r="D440" s="3"/>
      <x:c r="E440" s="3"/>
      <x:c r="F440" s="3"/>
    </x:row>
    <x:row r="441" ht="65" customHeight="1">
      <x:c r="A441" s="3"/>
      <x:c r="B441" s="3"/>
      <x:c r="C441" s="3"/>
      <x:c r="D441" s="3"/>
      <x:c r="E441" s="3"/>
      <x:c r="F441" s="3"/>
    </x:row>
    <x:row r="442" ht="65" customHeight="1">
      <x:c r="A442" s="3"/>
      <x:c r="B442" s="3"/>
      <x:c r="C442" s="3"/>
      <x:c r="D442" s="3"/>
      <x:c r="E442" s="3"/>
      <x:c r="F442" s="3"/>
    </x:row>
    <x:row r="443" ht="65" customHeight="1">
      <x:c r="A443" s="3"/>
      <x:c r="B443" s="3"/>
      <x:c r="C443" s="3"/>
      <x:c r="D443" s="3"/>
      <x:c r="E443" s="3"/>
      <x:c r="F443" s="3"/>
    </x:row>
    <x:row r="444" ht="65" customHeight="1">
      <x:c r="A444" s="3"/>
      <x:c r="B444" s="3"/>
      <x:c r="C444" s="3"/>
      <x:c r="D444" s="3"/>
      <x:c r="E444" s="3"/>
      <x:c r="F444" s="3"/>
    </x:row>
    <x:row r="445" ht="65" customHeight="1">
      <x:c r="A445" s="3" t="str">
        <x:v>proposal.raw.pumice</x:v>
      </x:c>
      <x:c r="B445" s="3" t="str">
        <x:f>IFERROR(INDEX(Items!$B$6:$B$1005,MATCH(A445,Items!$A$6:$A$1005,0)),"MISSING ITEM ID")</x:f>
        <x:v>Pumice lumps</x:v>
      </x:c>
      <x:c r="C445" s="3" t="str">
        <x:f>IFERROR(INDEX(Items!$D$6:$D$1005,MATCH(A445,Items!$A$6:$A$1005,0)),"MISSING ITEM ID")</x:f>
        <x:v>Salvage</x:v>
      </x:c>
      <x:c r="D445" s="3" t="str">
        <x:v>Primary</x:v>
      </x:c>
      <x:c r="E445" s="3" t="str">
        <x:f>IFERROR(INDEX(Items!$AA$6:$AA$1005,MATCH(A445,Items!$A$6:$A$1005,0)),"MISSING ITEM ID")</x:f>
        <x:v>Surface finishing</x:v>
      </x:c>
      <x:c r="F445" s="3" t="str">
        <x:v>Candidate use for a specific raw form. Material qualification and processing remain proposed.</x:v>
      </x:c>
    </x:row>
    <x:row r="446" ht="65" customHeight="1">
      <x:c r="A446" s="3" t="str">
        <x:v>proposal.raw.feldspar</x:v>
      </x:c>
      <x:c r="B446" s="3" t="str">
        <x:f>IFERROR(INDEX(Items!$B$6:$B$1005,MATCH(A446,Items!$A$6:$A$1005,0)),"MISSING ITEM ID")</x:f>
        <x:v>Feldspar fragments</x:v>
      </x:c>
      <x:c r="C446" s="3" t="str">
        <x:f>IFERROR(INDEX(Items!$D$6:$D$1005,MATCH(A446,Items!$A$6:$A$1005,0)),"MISSING ITEM ID")</x:f>
        <x:v>Mineral resources</x:v>
      </x:c>
      <x:c r="D446" s="3" t="str">
        <x:v>Primary</x:v>
      </x:c>
      <x:c r="E446" s="3" t="str">
        <x:f>IFERROR(INDEX(Items!$AA$6:$AA$1005,MATCH(A446,Items!$A$6:$A$1005,0)),"MISSING ITEM ID")</x:f>
        <x:v>Glass and ceramics</x:v>
      </x:c>
      <x:c r="F446" s="3" t="str">
        <x:v>Candidate use for a specific raw form. Material qualification and processing remain proposed.</x:v>
      </x:c>
    </x:row>
    <x:row r="447" ht="65" customHeight="1">
      <x:c r="A447" s="3" t="str">
        <x:v>proposal.raw.spines</x:v>
      </x:c>
      <x:c r="B447" s="3" t="str">
        <x:f>IFERROR(INDEX(Items!$B$6:$B$1005,MATCH(A447,Items!$A$6:$A$1005,0)),"MISSING ITEM ID")</x:f>
        <x:v>Loose fauna spines</x:v>
      </x:c>
      <x:c r="C447" s="3" t="str">
        <x:f>IFERROR(INDEX(Items!$D$6:$D$1005,MATCH(A447,Items!$A$6:$A$1005,0)),"MISSING ITEM ID")</x:f>
        <x:v>Biological resources</x:v>
      </x:c>
      <x:c r="D447" s="3" t="str">
        <x:v>Primary</x:v>
      </x:c>
      <x:c r="E447" s="3" t="str">
        <x:f>IFERROR(INDEX(Items!$AA$6:$AA$1005,MATCH(A447,Items!$A$6:$A$1005,0)),"MISSING ITEM ID")</x:f>
        <x:v>Tool fabrication</x:v>
      </x:c>
      <x:c r="F447" s="3" t="str">
        <x:v>Candidate use for a specific raw form. Material qualification and processing remain proposed.</x:v>
      </x:c>
    </x:row>
    <x:row r="448" ht="65" customHeight="1">
      <x:c r="A448" s="3" t="str">
        <x:v>proposal.raw.claws</x:v>
      </x:c>
      <x:c r="B448" s="3" t="str">
        <x:f>IFERROR(INDEX(Items!$B$6:$B$1005,MATCH(A448,Items!$A$6:$A$1005,0)),"MISSING ITEM ID")</x:f>
        <x:v>Fauna claw tips</x:v>
      </x:c>
      <x:c r="C448" s="3" t="str">
        <x:f>IFERROR(INDEX(Items!$D$6:$D$1005,MATCH(A448,Items!$A$6:$A$1005,0)),"MISSING ITEM ID")</x:f>
        <x:v>Biological resources</x:v>
      </x:c>
      <x:c r="D448" s="3" t="str">
        <x:v>Primary</x:v>
      </x:c>
      <x:c r="E448" s="3" t="str">
        <x:f>IFERROR(INDEX(Items!$AA$6:$AA$1005,MATCH(A448,Items!$A$6:$A$1005,0)),"MISSING ITEM ID")</x:f>
        <x:v>Tool fabrication</x:v>
      </x:c>
      <x:c r="F448" s="3" t="str">
        <x:v>Candidate use for a specific raw form. Material qualification and processing remain proposed.</x:v>
      </x:c>
    </x:row>
    <x:row r="449" ht="65" customHeight="1">
      <x:c r="A449" s="3" t="str">
        <x:v>proposal.raw.brood_casing</x:v>
      </x:c>
      <x:c r="B449" s="3" t="str">
        <x:f>IFERROR(INDEX(Items!$B$6:$B$1005,MATCH(A449,Items!$A$6:$A$1005,0)),"MISSING ITEM ID")</x:f>
        <x:v>Empty brood casings</x:v>
      </x:c>
      <x:c r="C449" s="3" t="str">
        <x:f>IFERROR(INDEX(Items!$D$6:$D$1005,MATCH(A449,Items!$A$6:$A$1005,0)),"MISSING ITEM ID")</x:f>
        <x:v>Biological resources</x:v>
      </x:c>
      <x:c r="D449" s="3" t="str">
        <x:v>Primary</x:v>
      </x:c>
      <x:c r="E449" s="3" t="str">
        <x:f>IFERROR(INDEX(Items!$AA$6:$AA$1005,MATCH(A449,Items!$A$6:$A$1005,0)),"MISSING ITEM ID")</x:f>
        <x:v>Fabrication</x:v>
      </x:c>
      <x:c r="F449" s="3" t="str">
        <x:v>Candidate use for a specific raw form. Material qualification and processing remain proposed.</x:v>
      </x:c>
    </x:row>
    <x:row r="450" ht="65" customHeight="1">
      <x:c r="A450" s="3" t="str">
        <x:v>proposal.raw.antenna_sheath</x:v>
      </x:c>
      <x:c r="B450" s="3" t="str">
        <x:f>IFERROR(INDEX(Items!$B$6:$B$1005,MATCH(A450,Items!$A$6:$A$1005,0)),"MISSING ITEM ID")</x:f>
        <x:v>Empty antenna sheaths</x:v>
      </x:c>
      <x:c r="C450" s="3" t="str">
        <x:f>IFERROR(INDEX(Items!$D$6:$D$1005,MATCH(A450,Items!$A$6:$A$1005,0)),"MISSING ITEM ID")</x:f>
        <x:v>Biological resources</x:v>
      </x:c>
      <x:c r="D450" s="3" t="str">
        <x:v>Primary</x:v>
      </x:c>
      <x:c r="E450" s="3" t="str">
        <x:f>IFERROR(INDEX(Items!$AA$6:$AA$1005,MATCH(A450,Items!$A$6:$A$1005,0)),"MISSING ITEM ID")</x:f>
        <x:v>Fabrication</x:v>
      </x:c>
      <x:c r="F450" s="3" t="str">
        <x:v>Candidate use for a specific raw form. Material qualification and processing remain proposed.</x:v>
      </x:c>
    </x:row>
    <x:row r="451" ht="65" customHeight="1">
      <x:c r="A451" s="3" t="str">
        <x:v>proposal.raw.wing_ribs</x:v>
      </x:c>
      <x:c r="B451" s="3" t="str">
        <x:f>IFERROR(INDEX(Items!$B$6:$B$1005,MATCH(A451,Items!$A$6:$A$1005,0)),"MISSING ITEM ID")</x:f>
        <x:v>Insectoid wing ribs</x:v>
      </x:c>
      <x:c r="C451" s="3" t="str">
        <x:f>IFERROR(INDEX(Items!$D$6:$D$1005,MATCH(A451,Items!$A$6:$A$1005,0)),"MISSING ITEM ID")</x:f>
        <x:v>Biological resources</x:v>
      </x:c>
      <x:c r="D451" s="3" t="str">
        <x:v>Primary</x:v>
      </x:c>
      <x:c r="E451" s="3" t="str">
        <x:f>IFERROR(INDEX(Items!$AA$6:$AA$1005,MATCH(A451,Items!$A$6:$A$1005,0)),"MISSING ITEM ID")</x:f>
        <x:v>Fabrication</x:v>
      </x:c>
      <x:c r="F451" s="3" t="str">
        <x:v>Candidate use for a specific raw form. Material qualification and processing remain proposed.</x:v>
      </x:c>
    </x:row>
    <x:row r="452" ht="65" customHeight="1">
      <x:c r="A452" s="3" t="str">
        <x:v>proposal.raw.wing_ribs</x:v>
      </x:c>
      <x:c r="B452" s="3" t="str">
        <x:f>IFERROR(INDEX(Items!$B$6:$B$1005,MATCH(A452,Items!$A$6:$A$1005,0)),"MISSING ITEM ID")</x:f>
        <x:v>Insectoid wing ribs</x:v>
      </x:c>
      <x:c r="C452" s="3" t="str">
        <x:f>IFERROR(INDEX(Items!$D$6:$D$1005,MATCH(A452,Items!$A$6:$A$1005,0)),"MISSING ITEM ID")</x:f>
        <x:v>Biological resources</x:v>
      </x:c>
      <x:c r="D452" s="3" t="str">
        <x:v>Secondary</x:v>
      </x:c>
      <x:c r="E452" s="3" t="str">
        <x:v>Equipment fabrication</x:v>
      </x:c>
      <x:c r="F452" s="3" t="str">
        <x:v>Candidate use for a specific raw form. Material qualification and processing remain proposed.</x:v>
      </x:c>
    </x:row>
    <x:row r="453" ht="65" customHeight="1">
      <x:c r="A453" s="3" t="str">
        <x:v>proposal.raw.ceramic_shards</x:v>
      </x:c>
      <x:c r="B453" s="3" t="str">
        <x:f>IFERROR(INDEX(Items!$B$6:$B$1005,MATCH(A453,Items!$A$6:$A$1005,0)),"MISSING ITEM ID")</x:f>
        <x:v>Broken ceramic shards</x:v>
      </x:c>
      <x:c r="C453" s="3" t="str">
        <x:f>IFERROR(INDEX(Items!$D$6:$D$1005,MATCH(A453,Items!$A$6:$A$1005,0)),"MISSING ITEM ID")</x:f>
        <x:v>Salvage</x:v>
      </x:c>
      <x:c r="D453" s="3" t="str">
        <x:v>Primary</x:v>
      </x:c>
      <x:c r="E453" s="3" t="str">
        <x:f>IFERROR(INDEX(Items!$AA$6:$AA$1005,MATCH(A453,Items!$A$6:$A$1005,0)),"MISSING ITEM ID")</x:f>
        <x:v>Glass and ceramics</x:v>
      </x:c>
      <x:c r="F453" s="3" t="str">
        <x:v>Candidate use for a specific raw form. Material qualification and processing remain proposed.</x:v>
      </x:c>
    </x:row>
    <x:row r="454" ht="65" customHeight="1">
      <x:c r="A454" s="3" t="str">
        <x:v>proposal.raw.glass_shards</x:v>
      </x:c>
      <x:c r="B454" s="3" t="str">
        <x:f>IFERROR(INDEX(Items!$B$6:$B$1005,MATCH(A454,Items!$A$6:$A$1005,0)),"MISSING ITEM ID")</x:f>
        <x:v>Broken glass pieces</x:v>
      </x:c>
      <x:c r="C454" s="3" t="str">
        <x:f>IFERROR(INDEX(Items!$D$6:$D$1005,MATCH(A454,Items!$A$6:$A$1005,0)),"MISSING ITEM ID")</x:f>
        <x:v>Salvage</x:v>
      </x:c>
      <x:c r="D454" s="3" t="str">
        <x:v>Primary</x:v>
      </x:c>
      <x:c r="E454" s="3" t="str">
        <x:f>IFERROR(INDEX(Items!$AA$6:$AA$1005,MATCH(A454,Items!$A$6:$A$1005,0)),"MISSING ITEM ID")</x:f>
        <x:v>Glass and ceramics</x:v>
      </x:c>
      <x:c r="F454" s="3" t="str">
        <x:v>Candidate use for a specific raw form. Material qualification and processing remain proposed.</x:v>
      </x:c>
    </x:row>
    <x:row r="455" ht="65" customHeight="1">
      <x:c r="A455" s="3" t="str">
        <x:v>proposal.raw.spring_strips</x:v>
      </x:c>
      <x:c r="B455" s="3" t="str">
        <x:f>IFERROR(INDEX(Items!$B$6:$B$1005,MATCH(A455,Items!$A$6:$A$1005,0)),"MISSING ITEM ID")</x:f>
        <x:v>Salvaged spring-metal strips</x:v>
      </x:c>
      <x:c r="C455" s="3" t="str">
        <x:f>IFERROR(INDEX(Items!$D$6:$D$1005,MATCH(A455,Items!$A$6:$A$1005,0)),"MISSING ITEM ID")</x:f>
        <x:v>Salvage</x:v>
      </x:c>
      <x:c r="D455" s="3" t="str">
        <x:v>Primary</x:v>
      </x:c>
      <x:c r="E455" s="3" t="str">
        <x:f>IFERROR(INDEX(Items!$AA$6:$AA$1005,MATCH(A455,Items!$A$6:$A$1005,0)),"MISSING ITEM ID")</x:f>
        <x:v>Equipment fabrication</x:v>
      </x:c>
      <x:c r="F455" s="3" t="str">
        <x:v>Candidate use for a specific raw form. Material qualification and processing remain proposed.</x:v>
      </x:c>
    </x:row>
    <x:row r="456" ht="65" customHeight="1">
      <x:c r="A456" s="3" t="str">
        <x:v>proposal.raw.spring_strips</x:v>
      </x:c>
      <x:c r="B456" s="3" t="str">
        <x:f>IFERROR(INDEX(Items!$B$6:$B$1005,MATCH(A456,Items!$A$6:$A$1005,0)),"MISSING ITEM ID")</x:f>
        <x:v>Salvaged spring-metal strips</x:v>
      </x:c>
      <x:c r="C456" s="3" t="str">
        <x:f>IFERROR(INDEX(Items!$D$6:$D$1005,MATCH(A456,Items!$A$6:$A$1005,0)),"MISSING ITEM ID")</x:f>
        <x:v>Salvage</x:v>
      </x:c>
      <x:c r="D456" s="3" t="str">
        <x:v>Secondary</x:v>
      </x:c>
      <x:c r="E456" s="3" t="str">
        <x:v>Equipment repair</x:v>
      </x:c>
      <x:c r="F456" s="3" t="str">
        <x:v>Candidate use for a specific raw form. Material qualification and processing remain proposed.</x:v>
      </x:c>
    </x:row>
    <x:row r="457" ht="65" customHeight="1">
      <x:c r="A457" s="3" t="str">
        <x:v>proposal.raw.metal_cable</x:v>
      </x:c>
      <x:c r="B457" s="3" t="str">
        <x:f>IFERROR(INDEX(Items!$B$6:$B$1005,MATCH(A457,Items!$A$6:$A$1005,0)),"MISSING ITEM ID")</x:f>
        <x:v>Salvaged metal cable</x:v>
      </x:c>
      <x:c r="C457" s="3" t="str">
        <x:f>IFERROR(INDEX(Items!$D$6:$D$1005,MATCH(A457,Items!$A$6:$A$1005,0)),"MISSING ITEM ID")</x:f>
        <x:v>Salvage</x:v>
      </x:c>
      <x:c r="D457" s="3" t="str">
        <x:v>Primary</x:v>
      </x:c>
      <x:c r="E457" s="3" t="str">
        <x:f>IFERROR(INDEX(Items!$AA$6:$AA$1005,MATCH(A457,Items!$A$6:$A$1005,0)),"MISSING ITEM ID")</x:f>
        <x:v>Binding and construction</x:v>
      </x:c>
      <x:c r="F457" s="3" t="str">
        <x:v>Candidate use for a specific raw form. Material qualification and processing remain proposed.</x:v>
      </x:c>
    </x:row>
    <x:row r="458" ht="65" customHeight="1">
      <x:c r="A458" s="3" t="str">
        <x:v>proposal.raw.metal_cable</x:v>
      </x:c>
      <x:c r="B458" s="3" t="str">
        <x:f>IFERROR(INDEX(Items!$B$6:$B$1005,MATCH(A458,Items!$A$6:$A$1005,0)),"MISSING ITEM ID")</x:f>
        <x:v>Salvaged metal cable</x:v>
      </x:c>
      <x:c r="C458" s="3" t="str">
        <x:f>IFERROR(INDEX(Items!$D$6:$D$1005,MATCH(A458,Items!$A$6:$A$1005,0)),"MISSING ITEM ID")</x:f>
        <x:v>Salvage</x:v>
      </x:c>
      <x:c r="D458" s="3" t="str">
        <x:v>Secondary</x:v>
      </x:c>
      <x:c r="E458" s="3" t="str">
        <x:v>Equipment mounting</x:v>
      </x:c>
      <x:c r="F458" s="3" t="str">
        <x:v>Candidate use for a specific raw form. Material qualification and processing remain proposed.</x:v>
      </x:c>
    </x:row>
    <x:row r="459" ht="65" customHeight="1">
      <x:c r="A459" s="3" t="str">
        <x:v>proposal.raw.metal_mesh</x:v>
      </x:c>
      <x:c r="B459" s="3" t="str">
        <x:f>IFERROR(INDEX(Items!$B$6:$B$1005,MATCH(A459,Items!$A$6:$A$1005,0)),"MISSING ITEM ID")</x:f>
        <x:v>Metal mesh scrap</x:v>
      </x:c>
      <x:c r="C459" s="3" t="str">
        <x:f>IFERROR(INDEX(Items!$D$6:$D$1005,MATCH(A459,Items!$A$6:$A$1005,0)),"MISSING ITEM ID")</x:f>
        <x:v>Salvage</x:v>
      </x:c>
      <x:c r="D459" s="3" t="str">
        <x:v>Primary</x:v>
      </x:c>
      <x:c r="E459" s="3" t="str">
        <x:f>IFERROR(INDEX(Items!$AA$6:$AA$1005,MATCH(A459,Items!$A$6:$A$1005,0)),"MISSING ITEM ID")</x:f>
        <x:v>Fabrication</x:v>
      </x:c>
      <x:c r="F459" s="3" t="str">
        <x:v>Candidate use for a specific raw form. Material qualification and processing remain proposed.</x:v>
      </x:c>
    </x:row>
    <x:row r="460" ht="65" customHeight="1">
      <x:c r="A460" s="3" t="str">
        <x:v>proposal.raw.metal_mesh</x:v>
      </x:c>
      <x:c r="B460" s="3" t="str">
        <x:f>IFERROR(INDEX(Items!$B$6:$B$1005,MATCH(A460,Items!$A$6:$A$1005,0)),"MISSING ITEM ID")</x:f>
        <x:v>Metal mesh scrap</x:v>
      </x:c>
      <x:c r="C460" s="3" t="str">
        <x:f>IFERROR(INDEX(Items!$D$6:$D$1005,MATCH(A460,Items!$A$6:$A$1005,0)),"MISSING ITEM ID")</x:f>
        <x:v>Salvage</x:v>
      </x:c>
      <x:c r="D460" s="3" t="str">
        <x:v>Secondary</x:v>
      </x:c>
      <x:c r="E460" s="3" t="str">
        <x:v>Protection</x:v>
      </x:c>
      <x:c r="F460" s="3" t="str">
        <x:v>Candidate use for a specific raw form. Material qualification and processing remain proposed.</x:v>
      </x:c>
    </x:row>
    <x:row r="461" ht="65" customHeight="1">
      <x:c r="A461" s="3"/>
      <x:c r="B461" s="3"/>
      <x:c r="C461" s="3"/>
      <x:c r="D461" s="3"/>
      <x:c r="E461" s="3"/>
      <x:c r="F461" s="3"/>
    </x:row>
    <x:row r="462" ht="65" customHeight="1">
      <x:c r="A462" s="3" t="str">
        <x:v>proposal.raw.spent_refractory</x:v>
      </x:c>
      <x:c r="B462" s="3" t="str">
        <x:f>IFERROR(INDEX(Items!$B$6:$B$1005,MATCH(A462,Items!$A$6:$A$1005,0)),"MISSING ITEM ID")</x:f>
        <x:v>Spent refractory chunks</x:v>
      </x:c>
      <x:c r="C462" s="3" t="str">
        <x:f>IFERROR(INDEX(Items!$D$6:$D$1005,MATCH(A462,Items!$A$6:$A$1005,0)),"MISSING ITEM ID")</x:f>
        <x:v>Salvage</x:v>
      </x:c>
      <x:c r="D462" s="3" t="str">
        <x:v>Primary</x:v>
      </x:c>
      <x:c r="E462" s="3" t="str">
        <x:f>IFERROR(INDEX(Items!$AA$6:$AA$1005,MATCH(A462,Items!$A$6:$A$1005,0)),"MISSING ITEM ID")</x:f>
        <x:v>Glass and ceramics</x:v>
      </x:c>
      <x:c r="F462" s="3" t="str">
        <x:v>Candidate use for a specific raw form. Material qualification and processing remain proposed.</x:v>
      </x:c>
    </x:row>
    <x:row r="463" ht="65" customHeight="1">
      <x:c r="A463" s="3" t="str">
        <x:v>proposal.raw.spent_refractory</x:v>
      </x:c>
      <x:c r="B463" s="3" t="str">
        <x:f>IFERROR(INDEX(Items!$B$6:$B$1005,MATCH(A463,Items!$A$6:$A$1005,0)),"MISSING ITEM ID")</x:f>
        <x:v>Spent refractory chunks</x:v>
      </x:c>
      <x:c r="C463" s="3" t="str">
        <x:f>IFERROR(INDEX(Items!$D$6:$D$1005,MATCH(A463,Items!$A$6:$A$1005,0)),"MISSING ITEM ID")</x:f>
        <x:v>Salvage</x:v>
      </x:c>
      <x:c r="D463" s="3" t="str">
        <x:v>Secondary</x:v>
      </x:c>
      <x:c r="E463" s="3" t="str">
        <x:v>Equipment repair</x:v>
      </x:c>
      <x:c r="F463" s="3" t="str">
        <x:v>Candidate use for a specific raw form. Material qualification and processing remain proposed.</x:v>
      </x:c>
    </x:row>
    <x:row r="464" ht="65" customHeight="1">
      <x:c r="A464" s="3"/>
      <x:c r="B464" s="3"/>
      <x:c r="C464" s="3"/>
      <x:c r="D464" s="3"/>
      <x:c r="E464" s="3"/>
      <x:c r="F464" s="3"/>
    </x:row>
    <x:row r="465" ht="65" customHeight="1">
      <x:c r="A465" s="3" t="str">
        <x:v>proposal.raw.obsidian</x:v>
      </x:c>
      <x:c r="B465" s="3" t="str">
        <x:f>IFERROR(INDEX(Items!$B$6:$B$1005,MATCH(A465,Items!$A$6:$A$1005,0)),"MISSING ITEM ID")</x:f>
        <x:v>Obsidian chunks</x:v>
      </x:c>
      <x:c r="C465" s="3" t="str">
        <x:f>IFERROR(INDEX(Items!$D$6:$D$1005,MATCH(A465,Items!$A$6:$A$1005,0)),"MISSING ITEM ID")</x:f>
        <x:v>Mineral resources</x:v>
      </x:c>
      <x:c r="D465" s="3" t="str">
        <x:v>Primary</x:v>
      </x:c>
      <x:c r="E465" s="3" t="str">
        <x:f>IFERROR(INDEX(Items!$AA$6:$AA$1005,MATCH(A465,Items!$A$6:$A$1005,0)),"MISSING ITEM ID")</x:f>
        <x:v>Tool fabrication</x:v>
      </x:c>
      <x:c r="F465" s="3" t="str">
        <x:v>Candidate use for a specific raw form. Material qualification and processing remain proposed.</x:v>
      </x:c>
    </x:row>
    <x:row r="466" ht="65" customHeight="1">
      <x:c r="A466" s="3" t="str">
        <x:v>proposal.raw.emery</x:v>
      </x:c>
      <x:c r="B466" s="3" t="str">
        <x:f>IFERROR(INDEX(Items!$B$6:$B$1005,MATCH(A466,Items!$A$6:$A$1005,0)),"MISSING ITEM ID")</x:f>
        <x:v>Emery-bearing lumps</x:v>
      </x:c>
      <x:c r="C466" s="3" t="str">
        <x:f>IFERROR(INDEX(Items!$D$6:$D$1005,MATCH(A466,Items!$A$6:$A$1005,0)),"MISSING ITEM ID")</x:f>
        <x:v>Mineral resources</x:v>
      </x:c>
      <x:c r="D466" s="3" t="str">
        <x:v>Primary</x:v>
      </x:c>
      <x:c r="E466" s="3" t="str">
        <x:f>IFERROR(INDEX(Items!$AA$6:$AA$1005,MATCH(A466,Items!$A$6:$A$1005,0)),"MISSING ITEM ID")</x:f>
        <x:v>Surface finishing</x:v>
      </x:c>
      <x:c r="F466" s="3" t="str">
        <x:v>Candidate use for a specific raw form. Material qualification and processing remain proposed.</x:v>
      </x:c>
    </x:row>
    <x:row r="467" ht="65" customHeight="1">
      <x:c r="A467" s="3" t="str">
        <x:v>proposal.raw.barite</x:v>
      </x:c>
      <x:c r="B467" s="3" t="str">
        <x:f>IFERROR(INDEX(Items!$B$6:$B$1005,MATCH(A467,Items!$A$6:$A$1005,0)),"MISSING ITEM ID")</x:f>
        <x:v>Dense barite lumps</x:v>
      </x:c>
      <x:c r="C467" s="3" t="str">
        <x:f>IFERROR(INDEX(Items!$D$6:$D$1005,MATCH(A467,Items!$A$6:$A$1005,0)),"MISSING ITEM ID")</x:f>
        <x:v>Mineral resources</x:v>
      </x:c>
      <x:c r="D467" s="3" t="str">
        <x:v>Primary</x:v>
      </x:c>
      <x:c r="E467" s="3" t="str">
        <x:f>IFERROR(INDEX(Items!$AA$6:$AA$1005,MATCH(A467,Items!$A$6:$A$1005,0)),"MISSING ITEM ID")</x:f>
        <x:v>Fabrication</x:v>
      </x:c>
      <x:c r="F467" s="3" t="str">
        <x:v>Candidate use for a specific raw form. Material qualification and processing remain proposed.</x:v>
      </x:c>
    </x:row>
    <x:row r="468" ht="65" customHeight="1">
      <x:c r="A468" s="3" t="str">
        <x:v>proposal.raw.grinding_pebbles</x:v>
      </x:c>
      <x:c r="B468" s="3" t="str">
        <x:f>IFERROR(INDEX(Items!$B$6:$B$1005,MATCH(A468,Items!$A$6:$A$1005,0)),"MISSING ITEM ID")</x:f>
        <x:v>Rounded grinding stones</x:v>
      </x:c>
      <x:c r="C468" s="3" t="str">
        <x:f>IFERROR(INDEX(Items!$D$6:$D$1005,MATCH(A468,Items!$A$6:$A$1005,0)),"MISSING ITEM ID")</x:f>
        <x:v>Salvage</x:v>
      </x:c>
      <x:c r="D468" s="3" t="str">
        <x:v>Primary</x:v>
      </x:c>
      <x:c r="E468" s="3" t="str">
        <x:f>IFERROR(INDEX(Items!$AA$6:$AA$1005,MATCH(A468,Items!$A$6:$A$1005,0)),"MISSING ITEM ID")</x:f>
        <x:v>Chemical processing</x:v>
      </x:c>
      <x:c r="F468" s="3" t="str">
        <x:v>Candidate use for a specific raw form. Material qualification and processing remain proposed.</x:v>
      </x:c>
    </x:row>
    <x:row r="469" ht="65" customHeight="1">
      <x:c r="A469" s="3" t="str">
        <x:v>proposal.raw.grinding_pebbles</x:v>
      </x:c>
      <x:c r="B469" s="3" t="str">
        <x:f>IFERROR(INDEX(Items!$B$6:$B$1005,MATCH(A469,Items!$A$6:$A$1005,0)),"MISSING ITEM ID")</x:f>
        <x:v>Rounded grinding stones</x:v>
      </x:c>
      <x:c r="C469" s="3" t="str">
        <x:f>IFERROR(INDEX(Items!$D$6:$D$1005,MATCH(A469,Items!$A$6:$A$1005,0)),"MISSING ITEM ID")</x:f>
        <x:v>Salvage</x:v>
      </x:c>
      <x:c r="D469" s="3" t="str">
        <x:v>Secondary</x:v>
      </x:c>
      <x:c r="E469" s="3" t="str">
        <x:v>Food preparation</x:v>
      </x:c>
      <x:c r="F469" s="3" t="str">
        <x:v>Candidate use for a specific raw form. Material qualification and processing remain proposed.</x:v>
      </x:c>
    </x:row>
    <x:row r="470" ht="65" customHeight="1">
      <x:c r="A470" s="3"/>
      <x:c r="B470" s="3"/>
      <x:c r="C470" s="3"/>
      <x:c r="D470" s="3"/>
      <x:c r="E470" s="3"/>
      <x:c r="F470" s="3"/>
    </x:row>
    <x:row r="471" ht="65" customHeight="1">
      <x:c r="A471" s="3"/>
      <x:c r="B471" s="3"/>
      <x:c r="C471" s="3"/>
      <x:c r="D471" s="3"/>
      <x:c r="E471" s="3"/>
      <x:c r="F471" s="3"/>
    </x:row>
    <x:row r="472" ht="65" customHeight="1">
      <x:c r="A472" s="3" t="str">
        <x:v>proposal.raw.horn_core</x:v>
      </x:c>
      <x:c r="B472" s="3" t="str">
        <x:f>IFERROR(INDEX(Items!$B$6:$B$1005,MATCH(A472,Items!$A$6:$A$1005,0)),"MISSING ITEM ID")</x:f>
        <x:v>Fauna horn cores</x:v>
      </x:c>
      <x:c r="C472" s="3" t="str">
        <x:f>IFERROR(INDEX(Items!$D$6:$D$1005,MATCH(A472,Items!$A$6:$A$1005,0)),"MISSING ITEM ID")</x:f>
        <x:v>Biological resources</x:v>
      </x:c>
      <x:c r="D472" s="3" t="str">
        <x:v>Primary</x:v>
      </x:c>
      <x:c r="E472" s="3" t="str">
        <x:f>IFERROR(INDEX(Items!$AA$6:$AA$1005,MATCH(A472,Items!$A$6:$A$1005,0)),"MISSING ITEM ID")</x:f>
        <x:v>Tool fabrication</x:v>
      </x:c>
      <x:c r="F472" s="3" t="str">
        <x:v>Candidate use for a specific raw form. Material qualification and processing remain proposed.</x:v>
      </x:c>
    </x:row>
    <x:row r="473" ht="65" customHeight="1">
      <x:c r="A473" s="3" t="str">
        <x:v>proposal.raw.tail_rings</x:v>
      </x:c>
      <x:c r="B473" s="3" t="str">
        <x:f>IFERROR(INDEX(Items!$B$6:$B$1005,MATCH(A473,Items!$A$6:$A$1005,0)),"MISSING ITEM ID")</x:f>
        <x:v>Fauna tail rings</x:v>
      </x:c>
      <x:c r="C473" s="3" t="str">
        <x:f>IFERROR(INDEX(Items!$D$6:$D$1005,MATCH(A473,Items!$A$6:$A$1005,0)),"MISSING ITEM ID")</x:f>
        <x:v>Biological resources</x:v>
      </x:c>
      <x:c r="D473" s="3" t="str">
        <x:v>Primary</x:v>
      </x:c>
      <x:c r="E473" s="3" t="str">
        <x:f>IFERROR(INDEX(Items!$AA$6:$AA$1005,MATCH(A473,Items!$A$6:$A$1005,0)),"MISSING ITEM ID")</x:f>
        <x:v>Protective fabrication</x:v>
      </x:c>
      <x:c r="F473" s="3" t="str">
        <x:v>Candidate use for a specific raw form. Material qualification and processing remain proposed.</x:v>
      </x:c>
    </x:row>
    <x:row r="474" ht="65" customHeight="1">
      <x:c r="A474" s="3" t="str">
        <x:v>proposal.raw.tail_rings</x:v>
      </x:c>
      <x:c r="B474" s="3" t="str">
        <x:f>IFERROR(INDEX(Items!$B$6:$B$1005,MATCH(A474,Items!$A$6:$A$1005,0)),"MISSING ITEM ID")</x:f>
        <x:v>Fauna tail rings</x:v>
      </x:c>
      <x:c r="C474" s="3" t="str">
        <x:f>IFERROR(INDEX(Items!$D$6:$D$1005,MATCH(A474,Items!$A$6:$A$1005,0)),"MISSING ITEM ID")</x:f>
        <x:v>Biological resources</x:v>
      </x:c>
      <x:c r="D474" s="3" t="str">
        <x:v>Secondary</x:v>
      </x:c>
      <x:c r="E474" s="3" t="str">
        <x:v>Fabrication</x:v>
      </x:c>
      <x:c r="F474" s="3" t="str">
        <x:v>Candidate use for a specific raw form. Material qualification and processing remain proposed.</x:v>
      </x:c>
    </x:row>
    <x:row r="475" ht="65" customHeight="1">
      <x:c r="A475" s="3" t="str">
        <x:v>proposal.raw.socket_cups</x:v>
      </x:c>
      <x:c r="B475" s="3" t="str">
        <x:f>IFERROR(INDEX(Items!$B$6:$B$1005,MATCH(A475,Items!$A$6:$A$1005,0)),"MISSING ITEM ID")</x:f>
        <x:v>Fauna joint-socket cups</x:v>
      </x:c>
      <x:c r="C475" s="3" t="str">
        <x:f>IFERROR(INDEX(Items!$D$6:$D$1005,MATCH(A475,Items!$A$6:$A$1005,0)),"MISSING ITEM ID")</x:f>
        <x:v>Biological resources</x:v>
      </x:c>
      <x:c r="D475" s="3" t="str">
        <x:v>Primary</x:v>
      </x:c>
      <x:c r="E475" s="3" t="str">
        <x:f>IFERROR(INDEX(Items!$AA$6:$AA$1005,MATCH(A475,Items!$A$6:$A$1005,0)),"MISSING ITEM ID")</x:f>
        <x:v>Fabrication</x:v>
      </x:c>
      <x:c r="F475" s="3" t="str">
        <x:v>Candidate use for a specific raw form. Material qualification and processing remain proposed.</x:v>
      </x:c>
    </x:row>
    <x:row r="476" ht="65" customHeight="1">
      <x:c r="A476" s="3" t="str">
        <x:v>proposal.raw.eye_lenses</x:v>
      </x:c>
      <x:c r="B476" s="3" t="str">
        <x:f>IFERROR(INDEX(Items!$B$6:$B$1005,MATCH(A476,Items!$A$6:$A$1005,0)),"MISSING ITEM ID")</x:f>
        <x:v>Fauna eye lenses</x:v>
      </x:c>
      <x:c r="C476" s="3" t="str">
        <x:f>IFERROR(INDEX(Items!$D$6:$D$1005,MATCH(A476,Items!$A$6:$A$1005,0)),"MISSING ITEM ID")</x:f>
        <x:v>Biological resources</x:v>
      </x:c>
      <x:c r="D476" s="3" t="str">
        <x:v>Primary</x:v>
      </x:c>
      <x:c r="E476" s="3" t="str">
        <x:f>IFERROR(INDEX(Items!$AA$6:$AA$1005,MATCH(A476,Items!$A$6:$A$1005,0)),"MISSING ITEM ID")</x:f>
        <x:v>Vision</x:v>
      </x:c>
      <x:c r="F476" s="3" t="str">
        <x:v>Candidate use for a specific raw form. Material qualification and processing remain proposed.</x:v>
      </x:c>
    </x:row>
    <x:row r="477" ht="65" customHeight="1">
      <x:c r="A477" s="3" t="str">
        <x:v>proposal.raw.filter_plates</x:v>
      </x:c>
      <x:c r="B477" s="3" t="str">
        <x:f>IFERROR(INDEX(Items!$B$6:$B$1005,MATCH(A477,Items!$A$6:$A$1005,0)),"MISSING ITEM ID")</x:f>
        <x:v>Fauna breathing-filter plates</x:v>
      </x:c>
      <x:c r="C477" s="3" t="str">
        <x:f>IFERROR(INDEX(Items!$D$6:$D$1005,MATCH(A477,Items!$A$6:$A$1005,0)),"MISSING ITEM ID")</x:f>
        <x:v>Biological resources</x:v>
      </x:c>
      <x:c r="D477" s="3" t="str">
        <x:v>Primary</x:v>
      </x:c>
      <x:c r="E477" s="3" t="str">
        <x:f>IFERROR(INDEX(Items!$AA$6:$AA$1005,MATCH(A477,Items!$A$6:$A$1005,0)),"MISSING ITEM ID")</x:f>
        <x:v>Dust exclusion</x:v>
      </x:c>
      <x:c r="F477" s="3" t="str">
        <x:v>Candidate use for a specific raw form. Material qualification and processing remain proposed.</x:v>
      </x:c>
    </x:row>
    <x:row r="478" ht="65" customHeight="1">
      <x:c r="A478" s="3" t="str">
        <x:v>proposal.raw.droppings</x:v>
      </x:c>
      <x:c r="B478" s="3" t="str">
        <x:f>IFERROR(INDEX(Items!$B$6:$B$1005,MATCH(A478,Items!$A$6:$A$1005,0)),"MISSING ITEM ID")</x:f>
        <x:v>Dried mineral-rich fauna droppings</x:v>
      </x:c>
      <x:c r="C478" s="3" t="str">
        <x:f>IFERROR(INDEX(Items!$D$6:$D$1005,MATCH(A478,Items!$A$6:$A$1005,0)),"MISSING ITEM ID")</x:f>
        <x:v>Biological resources</x:v>
      </x:c>
      <x:c r="D478" s="3" t="str">
        <x:v>Primary</x:v>
      </x:c>
      <x:c r="E478" s="3" t="str">
        <x:f>IFERROR(INDEX(Items!$AA$6:$AA$1005,MATCH(A478,Items!$A$6:$A$1005,0)),"MISSING ITEM ID")</x:f>
        <x:v>Chemical processing</x:v>
      </x:c>
      <x:c r="F478" s="3" t="str">
        <x:v>Candidate use for a specific raw form. Material qualification and processing remain proposed.</x:v>
      </x:c>
    </x:row>
    <x:row r="479" ht="65" customHeight="1">
      <x:c r="A479" s="3" t="str">
        <x:v>proposal.raw.chain</x:v>
      </x:c>
      <x:c r="B479" s="3" t="str">
        <x:f>IFERROR(INDEX(Items!$B$6:$B$1005,MATCH(A479,Items!$A$6:$A$1005,0)),"MISSING ITEM ID")</x:f>
        <x:v>Rusted chain lengths</x:v>
      </x:c>
      <x:c r="C479" s="3" t="str">
        <x:f>IFERROR(INDEX(Items!$D$6:$D$1005,MATCH(A479,Items!$A$6:$A$1005,0)),"MISSING ITEM ID")</x:f>
        <x:v>Salvage</x:v>
      </x:c>
      <x:c r="D479" s="3" t="str">
        <x:v>Primary</x:v>
      </x:c>
      <x:c r="E479" s="3" t="str">
        <x:f>IFERROR(INDEX(Items!$AA$6:$AA$1005,MATCH(A479,Items!$A$6:$A$1005,0)),"MISSING ITEM ID")</x:f>
        <x:v>Binding and construction</x:v>
      </x:c>
      <x:c r="F479" s="3" t="str">
        <x:v>Candidate use for a specific raw form. Material qualification and processing remain proposed.</x:v>
      </x:c>
    </x:row>
    <x:row r="480" ht="65" customHeight="1">
      <x:c r="A480" s="3" t="str">
        <x:v>proposal.raw.chain</x:v>
      </x:c>
      <x:c r="B480" s="3" t="str">
        <x:f>IFERROR(INDEX(Items!$B$6:$B$1005,MATCH(A480,Items!$A$6:$A$1005,0)),"MISSING ITEM ID")</x:f>
        <x:v>Rusted chain lengths</x:v>
      </x:c>
      <x:c r="C480" s="3" t="str">
        <x:f>IFERROR(INDEX(Items!$D$6:$D$1005,MATCH(A480,Items!$A$6:$A$1005,0)),"MISSING ITEM ID")</x:f>
        <x:v>Salvage</x:v>
      </x:c>
      <x:c r="D480" s="3" t="str">
        <x:v>Secondary</x:v>
      </x:c>
      <x:c r="E480" s="3" t="str">
        <x:v>Equipment mounting</x:v>
      </x:c>
      <x:c r="F480" s="3" t="str">
        <x:v>Candidate use for a specific raw form. Material qualification and processing remain proposed.</x:v>
      </x:c>
    </x:row>
    <x:row r="481" ht="65" customHeight="1">
      <x:c r="A481" s="3" t="str">
        <x:v>proposal.raw.brass_scrap</x:v>
      </x:c>
      <x:c r="B481" s="3" t="str">
        <x:f>IFERROR(INDEX(Items!$B$6:$B$1005,MATCH(A481,Items!$A$6:$A$1005,0)),"MISSING ITEM ID")</x:f>
        <x:v>Salvaged brass fragments</x:v>
      </x:c>
      <x:c r="C481" s="3" t="str">
        <x:f>IFERROR(INDEX(Items!$D$6:$D$1005,MATCH(A481,Items!$A$6:$A$1005,0)),"MISSING ITEM ID")</x:f>
        <x:v>Salvage</x:v>
      </x:c>
      <x:c r="D481" s="3" t="str">
        <x:v>Primary</x:v>
      </x:c>
      <x:c r="E481" s="3" t="str">
        <x:f>IFERROR(INDEX(Items!$AA$6:$AA$1005,MATCH(A481,Items!$A$6:$A$1005,0)),"MISSING ITEM ID")</x:f>
        <x:v>Metal refining</x:v>
      </x:c>
      <x:c r="F481" s="3" t="str">
        <x:v>Candidate use for a specific raw form. Material qualification and processing remain proposed.</x:v>
      </x:c>
    </x:row>
    <x:row r="482" ht="65" customHeight="1">
      <x:c r="A482" s="3" t="str">
        <x:v>proposal.raw.bronze_scrap</x:v>
      </x:c>
      <x:c r="B482" s="3" t="str">
        <x:f>IFERROR(INDEX(Items!$B$6:$B$1005,MATCH(A482,Items!$A$6:$A$1005,0)),"MISSING ITEM ID")</x:f>
        <x:v>Salvaged bronze fragments</x:v>
      </x:c>
      <x:c r="C482" s="3" t="str">
        <x:f>IFERROR(INDEX(Items!$D$6:$D$1005,MATCH(A482,Items!$A$6:$A$1005,0)),"MISSING ITEM ID")</x:f>
        <x:v>Salvage</x:v>
      </x:c>
      <x:c r="D482" s="3" t="str">
        <x:v>Primary</x:v>
      </x:c>
      <x:c r="E482" s="3" t="str">
        <x:f>IFERROR(INDEX(Items!$AA$6:$AA$1005,MATCH(A482,Items!$A$6:$A$1005,0)),"MISSING ITEM ID")</x:f>
        <x:v>Metal refining</x:v>
      </x:c>
      <x:c r="F482" s="3" t="str">
        <x:v>Candidate use for a specific raw form. Material qualification and processing remain proposed.</x:v>
      </x:c>
    </x:row>
    <x:row r="483" ht="65" customHeight="1">
      <x:c r="A483" s="3" t="str">
        <x:v>proposal.raw.hinge_halves</x:v>
      </x:c>
      <x:c r="B483" s="3" t="str">
        <x:f>IFERROR(INDEX(Items!$B$6:$B$1005,MATCH(A483,Items!$A$6:$A$1005,0)),"MISSING ITEM ID")</x:f>
        <x:v>Discarded hinge halves</x:v>
      </x:c>
      <x:c r="C483" s="3" t="str">
        <x:f>IFERROR(INDEX(Items!$D$6:$D$1005,MATCH(A483,Items!$A$6:$A$1005,0)),"MISSING ITEM ID")</x:f>
        <x:v>Salvage</x:v>
      </x:c>
      <x:c r="D483" s="3" t="str">
        <x:v>Primary</x:v>
      </x:c>
      <x:c r="E483" s="3" t="str">
        <x:f>IFERROR(INDEX(Items!$AA$6:$AA$1005,MATCH(A483,Items!$A$6:$A$1005,0)),"MISSING ITEM ID")</x:f>
        <x:v>Equipment fabrication</x:v>
      </x:c>
      <x:c r="F483" s="3" t="str">
        <x:v>Candidate use for a specific raw form. Material qualification and processing remain proposed.</x:v>
      </x:c>
    </x:row>
    <x:row r="484" ht="65" customHeight="1">
      <x:c r="A484" s="3" t="str">
        <x:v>proposal.raw.hinge_halves</x:v>
      </x:c>
      <x:c r="B484" s="3" t="str">
        <x:f>IFERROR(INDEX(Items!$B$6:$B$1005,MATCH(A484,Items!$A$6:$A$1005,0)),"MISSING ITEM ID")</x:f>
        <x:v>Discarded hinge halves</x:v>
      </x:c>
      <x:c r="C484" s="3" t="str">
        <x:f>IFERROR(INDEX(Items!$D$6:$D$1005,MATCH(A484,Items!$A$6:$A$1005,0)),"MISSING ITEM ID")</x:f>
        <x:v>Salvage</x:v>
      </x:c>
      <x:c r="D484" s="3" t="str">
        <x:v>Secondary</x:v>
      </x:c>
      <x:c r="E484" s="3" t="str">
        <x:v>Equipment repair</x:v>
      </x:c>
      <x:c r="F484" s="3" t="str">
        <x:v>Candidate use for a specific raw form. Material qualification and processing remain proposed.</x:v>
      </x:c>
    </x:row>
    <x:row r="485" ht="65" customHeight="1">
      <x:c r="A485" s="3" t="str">
        <x:v>proposal.raw.hoop_bands</x:v>
      </x:c>
      <x:c r="B485" s="3" t="str">
        <x:f>IFERROR(INDEX(Items!$B$6:$B$1005,MATCH(A485,Items!$A$6:$A$1005,0)),"MISSING ITEM ID")</x:f>
        <x:v>Salvaged metal hoop bands</x:v>
      </x:c>
      <x:c r="C485" s="3" t="str">
        <x:f>IFERROR(INDEX(Items!$D$6:$D$1005,MATCH(A485,Items!$A$6:$A$1005,0)),"MISSING ITEM ID")</x:f>
        <x:v>Salvage</x:v>
      </x:c>
      <x:c r="D485" s="3" t="str">
        <x:v>Primary</x:v>
      </x:c>
      <x:c r="E485" s="3" t="str">
        <x:f>IFERROR(INDEX(Items!$AA$6:$AA$1005,MATCH(A485,Items!$A$6:$A$1005,0)),"MISSING ITEM ID")</x:f>
        <x:v>Equipment mounting</x:v>
      </x:c>
      <x:c r="F485" s="3" t="str">
        <x:v>Candidate use for a specific raw form. Material qualification and processing remain proposed.</x:v>
      </x:c>
    </x:row>
    <x:row r="486" ht="65" customHeight="1">
      <x:c r="A486" s="3" t="str">
        <x:v>proposal.raw.hoop_bands</x:v>
      </x:c>
      <x:c r="B486" s="3" t="str">
        <x:f>IFERROR(INDEX(Items!$B$6:$B$1005,MATCH(A486,Items!$A$6:$A$1005,0)),"MISSING ITEM ID")</x:f>
        <x:v>Salvaged metal hoop bands</x:v>
      </x:c>
      <x:c r="C486" s="3" t="str">
        <x:f>IFERROR(INDEX(Items!$D$6:$D$1005,MATCH(A486,Items!$A$6:$A$1005,0)),"MISSING ITEM ID")</x:f>
        <x:v>Salvage</x:v>
      </x:c>
      <x:c r="D486" s="3" t="str">
        <x:v>Secondary</x:v>
      </x:c>
      <x:c r="E486" s="3" t="str">
        <x:v>Fabrication</x:v>
      </x:c>
      <x:c r="F486" s="3" t="str">
        <x:v>Candidate use for a specific raw form. Material qualification and processing remain proposed.</x:v>
      </x:c>
    </x:row>
    <x:row r="487" ht="65" customHeight="1">
      <x:c r="A487" s="3" t="str">
        <x:v>proposal.raw.pipe_sections</x:v>
      </x:c>
      <x:c r="B487" s="3" t="str">
        <x:f>IFERROR(INDEX(Items!$B$6:$B$1005,MATCH(A487,Items!$A$6:$A$1005,0)),"MISSING ITEM ID")</x:f>
        <x:v>Old metal pipe sections</x:v>
      </x:c>
      <x:c r="C487" s="3" t="str">
        <x:f>IFERROR(INDEX(Items!$D$6:$D$1005,MATCH(A487,Items!$A$6:$A$1005,0)),"MISSING ITEM ID")</x:f>
        <x:v>Salvage</x:v>
      </x:c>
      <x:c r="D487" s="3" t="str">
        <x:v>Primary</x:v>
      </x:c>
      <x:c r="E487" s="3" t="str">
        <x:f>IFERROR(INDEX(Items!$AA$6:$AA$1005,MATCH(A487,Items!$A$6:$A$1005,0)),"MISSING ITEM ID")</x:f>
        <x:v>Fabrication</x:v>
      </x:c>
      <x:c r="F487" s="3" t="str">
        <x:v>Candidate use for a specific raw form. Material qualification and processing remain proposed.</x:v>
      </x:c>
    </x:row>
    <x:row r="488" ht="65" customHeight="1">
      <x:c r="A488" s="3" t="str">
        <x:v>proposal.raw.coated_sheet</x:v>
      </x:c>
      <x:c r="B488" s="3" t="str">
        <x:f>IFERROR(INDEX(Items!$B$6:$B$1005,MATCH(A488,Items!$A$6:$A$1005,0)),"MISSING ITEM ID")</x:f>
        <x:v>Coated sheet-metal scrap</x:v>
      </x:c>
      <x:c r="C488" s="3" t="str">
        <x:f>IFERROR(INDEX(Items!$D$6:$D$1005,MATCH(A488,Items!$A$6:$A$1005,0)),"MISSING ITEM ID")</x:f>
        <x:v>Salvage</x:v>
      </x:c>
      <x:c r="D488" s="3" t="str">
        <x:v>Primary</x:v>
      </x:c>
      <x:c r="E488" s="3" t="str">
        <x:f>IFERROR(INDEX(Items!$AA$6:$AA$1005,MATCH(A488,Items!$A$6:$A$1005,0)),"MISSING ITEM ID")</x:f>
        <x:v>Fabrication</x:v>
      </x:c>
      <x:c r="F488" s="3" t="str">
        <x:v>Candidate use for a specific raw form. Material qualification and processing remain proposed.</x:v>
      </x:c>
    </x:row>
    <x:row r="489" ht="65" customHeight="1">
      <x:c r="A489" s="3" t="str">
        <x:v>proposal.raw.bent_fasteners</x:v>
      </x:c>
      <x:c r="B489" s="3" t="str">
        <x:f>IFERROR(INDEX(Items!$B$6:$B$1005,MATCH(A489,Items!$A$6:$A$1005,0)),"MISSING ITEM ID")</x:f>
        <x:v>Bent nails and rivets</x:v>
      </x:c>
      <x:c r="C489" s="3" t="str">
        <x:f>IFERROR(INDEX(Items!$D$6:$D$1005,MATCH(A489,Items!$A$6:$A$1005,0)),"MISSING ITEM ID")</x:f>
        <x:v>Salvage</x:v>
      </x:c>
      <x:c r="D489" s="3" t="str">
        <x:v>Primary</x:v>
      </x:c>
      <x:c r="E489" s="3" t="str">
        <x:f>IFERROR(INDEX(Items!$AA$6:$AA$1005,MATCH(A489,Items!$A$6:$A$1005,0)),"MISSING ITEM ID")</x:f>
        <x:v>Metal refining</x:v>
      </x:c>
      <x:c r="F489" s="3" t="str">
        <x:v>Candidate use for a specific raw form. Material qualification and processing remain proposed.</x:v>
      </x:c>
    </x:row>
    <x:row r="490" ht="65" customHeight="1">
      <x:c r="A490" s="3" t="str">
        <x:v>proposal.raw.bent_fasteners</x:v>
      </x:c>
      <x:c r="B490" s="3" t="str">
        <x:f>IFERROR(INDEX(Items!$B$6:$B$1005,MATCH(A490,Items!$A$6:$A$1005,0)),"MISSING ITEM ID")</x:f>
        <x:v>Bent nails and rivets</x:v>
      </x:c>
      <x:c r="C490" s="3" t="str">
        <x:f>IFERROR(INDEX(Items!$D$6:$D$1005,MATCH(A490,Items!$A$6:$A$1005,0)),"MISSING ITEM ID")</x:f>
        <x:v>Salvage</x:v>
      </x:c>
      <x:c r="D490" s="3" t="str">
        <x:v>Secondary</x:v>
      </x:c>
      <x:c r="E490" s="3" t="str">
        <x:v>Equipment fabrication</x:v>
      </x:c>
      <x:c r="F490" s="3" t="str">
        <x:v>Candidate use for a specific raw form. Material qualification and processing remain proposed.</x:v>
      </x:c>
    </x:row>
    <x:row r="491" ht="65" customHeight="1">
      <x:c r="A491" s="3" t="str">
        <x:v>proposal.raw.furnace_ash</x:v>
      </x:c>
      <x:c r="B491" s="3" t="str">
        <x:f>IFERROR(INDEX(Items!$B$6:$B$1005,MATCH(A491,Items!$A$6:$A$1005,0)),"MISSING ITEM ID")</x:f>
        <x:v>Coarse furnace ash</x:v>
      </x:c>
      <x:c r="C491" s="3" t="str">
        <x:f>IFERROR(INDEX(Items!$D$6:$D$1005,MATCH(A491,Items!$A$6:$A$1005,0)),"MISSING ITEM ID")</x:f>
        <x:v>Salvage</x:v>
      </x:c>
      <x:c r="D491" s="3" t="str">
        <x:v>Primary</x:v>
      </x:c>
      <x:c r="E491" s="3" t="str">
        <x:f>IFERROR(INDEX(Items!$AA$6:$AA$1005,MATCH(A491,Items!$A$6:$A$1005,0)),"MISSING ITEM ID")</x:f>
        <x:v>Chemical processing</x:v>
      </x:c>
      <x:c r="F491" s="3" t="str">
        <x:v>Candidate use for a specific raw form. Material qualification and processing remain proposed.</x:v>
      </x:c>
    </x:row>
    <x:row r="492" ht="65" customHeight="1">
      <x:c r="A492" s="3" t="str">
        <x:v>proposal.raw.abrasive_fragments</x:v>
      </x:c>
      <x:c r="B492" s="3" t="str">
        <x:f>IFERROR(INDEX(Items!$B$6:$B$1005,MATCH(A492,Items!$A$6:$A$1005,0)),"MISSING ITEM ID")</x:f>
        <x:v>Broken abrasive-wheel fragments</x:v>
      </x:c>
      <x:c r="C492" s="3" t="str">
        <x:f>IFERROR(INDEX(Items!$D$6:$D$1005,MATCH(A492,Items!$A$6:$A$1005,0)),"MISSING ITEM ID")</x:f>
        <x:v>Salvage</x:v>
      </x:c>
      <x:c r="D492" s="3" t="str">
        <x:v>Primary</x:v>
      </x:c>
      <x:c r="E492" s="3" t="str">
        <x:f>IFERROR(INDEX(Items!$AA$6:$AA$1005,MATCH(A492,Items!$A$6:$A$1005,0)),"MISSING ITEM ID")</x:f>
        <x:v>Surface finishing</x:v>
      </x:c>
      <x:c r="F492" s="3" t="str">
        <x:v>Candidate use for a specific raw form. Material qualification and processing remain proposed.</x:v>
      </x:c>
    </x:row>
    <x:row r="493" ht="65" customHeight="1">
      <x:c r="A493" s="3" t="str">
        <x:v>proposal.raw.magnet_fragments</x:v>
      </x:c>
      <x:c r="B493" s="3" t="str">
        <x:f>IFERROR(INDEX(Items!$B$6:$B$1005,MATCH(A493,Items!$A$6:$A$1005,0)),"MISSING ITEM ID")</x:f>
        <x:v>Broken magnet fragments</x:v>
      </x:c>
      <x:c r="C493" s="3" t="str">
        <x:f>IFERROR(INDEX(Items!$D$6:$D$1005,MATCH(A493,Items!$A$6:$A$1005,0)),"MISSING ITEM ID")</x:f>
        <x:v>Salvage</x:v>
      </x:c>
      <x:c r="D493" s="3" t="str">
        <x:v>Primary</x:v>
      </x:c>
      <x:c r="E493" s="3" t="str">
        <x:f>IFERROR(INDEX(Items!$AA$6:$AA$1005,MATCH(A493,Items!$A$6:$A$1005,0)),"MISSING ITEM ID")</x:f>
        <x:v>Magnetic tools</x:v>
      </x:c>
      <x:c r="F493" s="3" t="str">
        <x:v>Candidate use for a specific raw form. Material qualification and processing remain proposed.</x:v>
      </x:c>
    </x:row>
    <x:row r="494" ht="65" customHeight="1">
      <x:c r="A494" s="3" t="str">
        <x:v>proposal.raw.magnet_fragments</x:v>
      </x:c>
      <x:c r="B494" s="3" t="str">
        <x:f>IFERROR(INDEX(Items!$B$6:$B$1005,MATCH(A494,Items!$A$6:$A$1005,0)),"MISSING ITEM ID")</x:f>
        <x:v>Broken magnet fragments</x:v>
      </x:c>
      <x:c r="C494" s="3" t="str">
        <x:f>IFERROR(INDEX(Items!$D$6:$D$1005,MATCH(A494,Items!$A$6:$A$1005,0)),"MISSING ITEM ID")</x:f>
        <x:v>Salvage</x:v>
      </x:c>
      <x:c r="D494" s="3" t="str">
        <x:v>Secondary</x:v>
      </x:c>
      <x:c r="E494" s="3" t="str">
        <x:v>Work holding</x:v>
      </x:c>
      <x:c r="F494" s="3" t="str">
        <x:v>Candidate use for a specific raw form. Material qualification and processing remain proposed.</x:v>
      </x:c>
    </x:row>
    <x:row r="495" ht="65" customHeight="1">
      <x:c r="A495" s="3" t="str">
        <x:v>proposal.raw.punching_offcuts</x:v>
      </x:c>
      <x:c r="B495" s="3" t="str">
        <x:f>IFERROR(INDEX(Items!$B$6:$B$1005,MATCH(A495,Items!$A$6:$A$1005,0)),"MISSING ITEM ID")</x:f>
        <x:v>Metal punching offcuts</x:v>
      </x:c>
      <x:c r="C495" s="3" t="str">
        <x:f>IFERROR(INDEX(Items!$D$6:$D$1005,MATCH(A495,Items!$A$6:$A$1005,0)),"MISSING ITEM ID")</x:f>
        <x:v>Salvage</x:v>
      </x:c>
      <x:c r="D495" s="3" t="str">
        <x:v>Primary</x:v>
      </x:c>
      <x:c r="E495" s="3" t="str">
        <x:f>IFERROR(INDEX(Items!$AA$6:$AA$1005,MATCH(A495,Items!$A$6:$A$1005,0)),"MISSING ITEM ID")</x:f>
        <x:v>Equipment fabrication</x:v>
      </x:c>
      <x:c r="F495" s="3" t="str">
        <x:v>Candidate use for a specific raw form. Material qualification and processing remain proposed.</x:v>
      </x:c>
    </x:row>
    <x:row r="496" ht="65" customHeight="1">
      <x:c r="A496" s="3" t="str">
        <x:v>proposal.t1.iron_bloom</x:v>
      </x:c>
      <x:c r="B496" s="3" t="str">
        <x:f>IFERROR(INDEX(Items!$B$6:$B$1005,MATCH(A496,Items!$A$6:$A$1005,0)),"MISSING ITEM ID")</x:f>
        <x:v>Smelted iron bloom</x:v>
      </x:c>
      <x:c r="C496" s="3" t="str">
        <x:f>IFERROR(INDEX(Items!$D$6:$D$1005,MATCH(A496,Items!$A$6:$A$1005,0)),"MISSING ITEM ID")</x:f>
        <x:v>Manufactured stock</x:v>
      </x:c>
      <x:c r="D496" s="3" t="str">
        <x:v>Primary</x:v>
      </x:c>
      <x:c r="E496" s="3" t="str">
        <x:f>IFERROR(INDEX(Items!$AA$6:$AA$1005,MATCH(A496,Items!$A$6:$A$1005,0)),"MISSING ITEM ID")</x:f>
        <x:v>Metal refining</x:v>
      </x:c>
      <x:c r="F496" s="3" t="str">
        <x:v>Proposed first-stage material use; no production recipe or material performance approved.</x:v>
      </x:c>
    </x:row>
    <x:row r="497" ht="65" customHeight="1">
      <x:c r="A497" s="3" t="str">
        <x:v>proposal.t1.iron_bloom</x:v>
      </x:c>
      <x:c r="B497" s="3" t="str">
        <x:f>IFERROR(INDEX(Items!$B$6:$B$1005,MATCH(A497,Items!$A$6:$A$1005,0)),"MISSING ITEM ID")</x:f>
        <x:v>Smelted iron bloom</x:v>
      </x:c>
      <x:c r="C497" s="3" t="str">
        <x:f>IFERROR(INDEX(Items!$D$6:$D$1005,MATCH(A497,Items!$A$6:$A$1005,0)),"MISSING ITEM ID")</x:f>
        <x:v>Manufactured stock</x:v>
      </x:c>
      <x:c r="D497" s="3" t="str">
        <x:v>Secondary</x:v>
      </x:c>
      <x:c r="E497" s="3" t="str">
        <x:v>Fabrication</x:v>
      </x:c>
      <x:c r="F497" s="3" t="str">
        <x:v>Proposed first-stage material use; no production recipe or material performance approved.</x:v>
      </x:c>
    </x:row>
    <x:row r="498" ht="65" customHeight="1">
      <x:c r="A498" s="3" t="str">
        <x:v>proposal.t1.copper_cake</x:v>
      </x:c>
      <x:c r="B498" s="3" t="str">
        <x:f>IFERROR(INDEX(Items!$B$6:$B$1005,MATCH(A498,Items!$A$6:$A$1005,0)),"MISSING ITEM ID")</x:f>
        <x:v>Refined copper cake</x:v>
      </x:c>
      <x:c r="C498" s="3" t="str">
        <x:f>IFERROR(INDEX(Items!$D$6:$D$1005,MATCH(A498,Items!$A$6:$A$1005,0)),"MISSING ITEM ID")</x:f>
        <x:v>Manufactured stock</x:v>
      </x:c>
      <x:c r="D498" s="3" t="str">
        <x:v>Primary</x:v>
      </x:c>
      <x:c r="E498" s="3" t="str">
        <x:f>IFERROR(INDEX(Items!$AA$6:$AA$1005,MATCH(A498,Items!$A$6:$A$1005,0)),"MISSING ITEM ID")</x:f>
        <x:v>Electrical conduction</x:v>
      </x:c>
      <x:c r="F498" s="3" t="str">
        <x:v>Proposed first-stage material use; no production recipe or material performance approved.</x:v>
      </x:c>
    </x:row>
    <x:row r="499" ht="65" customHeight="1">
      <x:c r="A499" s="3" t="str">
        <x:v>proposal.t1.copper_cake</x:v>
      </x:c>
      <x:c r="B499" s="3" t="str">
        <x:f>IFERROR(INDEX(Items!$B$6:$B$1005,MATCH(A499,Items!$A$6:$A$1005,0)),"MISSING ITEM ID")</x:f>
        <x:v>Refined copper cake</x:v>
      </x:c>
      <x:c r="C499" s="3" t="str">
        <x:f>IFERROR(INDEX(Items!$D$6:$D$1005,MATCH(A499,Items!$A$6:$A$1005,0)),"MISSING ITEM ID")</x:f>
        <x:v>Manufactured stock</x:v>
      </x:c>
      <x:c r="D499" s="3" t="str">
        <x:v>Secondary</x:v>
      </x:c>
      <x:c r="E499" s="3" t="str">
        <x:v>Fabrication</x:v>
      </x:c>
      <x:c r="F499" s="3" t="str">
        <x:v>Proposed first-stage material use; no production recipe or material performance approved.</x:v>
      </x:c>
    </x:row>
    <x:row r="500" ht="65" customHeight="1">
      <x:c r="A500" s="3" t="str">
        <x:v>proposal.t1.brass_billet</x:v>
      </x:c>
      <x:c r="B500" s="3" t="str">
        <x:f>IFERROR(INDEX(Items!$B$6:$B$1005,MATCH(A500,Items!$A$6:$A$1005,0)),"MISSING ITEM ID")</x:f>
        <x:v>Reclaimed brass billet</x:v>
      </x:c>
      <x:c r="C500" s="3" t="str">
        <x:f>IFERROR(INDEX(Items!$D$6:$D$1005,MATCH(A500,Items!$A$6:$A$1005,0)),"MISSING ITEM ID")</x:f>
        <x:v>Manufactured stock</x:v>
      </x:c>
      <x:c r="D500" s="3" t="str">
        <x:v>Primary</x:v>
      </x:c>
      <x:c r="E500" s="3" t="str">
        <x:f>IFERROR(INDEX(Items!$AA$6:$AA$1005,MATCH(A500,Items!$A$6:$A$1005,0)),"MISSING ITEM ID")</x:f>
        <x:v>Fabrication</x:v>
      </x:c>
      <x:c r="F500" s="3" t="str">
        <x:v>Proposed first-stage material use; no production recipe or material performance approved.</x:v>
      </x:c>
    </x:row>
    <x:row r="501" ht="65" customHeight="1">
      <x:c r="A501" s="3" t="str">
        <x:v>proposal.t1.bronze_billet</x:v>
      </x:c>
      <x:c r="B501" s="3" t="str">
        <x:f>IFERROR(INDEX(Items!$B$6:$B$1005,MATCH(A501,Items!$A$6:$A$1005,0)),"MISSING ITEM ID")</x:f>
        <x:v>Reclaimed bronze billet</x:v>
      </x:c>
      <x:c r="C501" s="3" t="str">
        <x:f>IFERROR(INDEX(Items!$D$6:$D$1005,MATCH(A501,Items!$A$6:$A$1005,0)),"MISSING ITEM ID")</x:f>
        <x:v>Manufactured stock</x:v>
      </x:c>
      <x:c r="D501" s="3" t="str">
        <x:v>Primary</x:v>
      </x:c>
      <x:c r="E501" s="3" t="str">
        <x:f>IFERROR(INDEX(Items!$AA$6:$AA$1005,MATCH(A501,Items!$A$6:$A$1005,0)),"MISSING ITEM ID")</x:f>
        <x:v>Fabrication</x:v>
      </x:c>
      <x:c r="F501" s="3" t="str">
        <x:v>Proposed first-stage material use; no production recipe or material performance approved.</x:v>
      </x:c>
    </x:row>
    <x:row r="502" ht="65" customHeight="1">
      <x:c r="A502" s="3" t="str">
        <x:v>proposal.t1.opaque_glass</x:v>
      </x:c>
      <x:c r="B502" s="3" t="str">
        <x:f>IFERROR(INDEX(Items!$B$6:$B$1005,MATCH(A502,Items!$A$6:$A$1005,0)),"MISSING ITEM ID")</x:f>
        <x:v>Opaque mineral-glass stock</x:v>
      </x:c>
      <x:c r="C502" s="3" t="str">
        <x:f>IFERROR(INDEX(Items!$D$6:$D$1005,MATCH(A502,Items!$A$6:$A$1005,0)),"MISSING ITEM ID")</x:f>
        <x:v>Manufactured stock</x:v>
      </x:c>
      <x:c r="D502" s="3" t="str">
        <x:v>Primary</x:v>
      </x:c>
      <x:c r="E502" s="3" t="str">
        <x:f>IFERROR(INDEX(Items!$AA$6:$AA$1005,MATCH(A502,Items!$A$6:$A$1005,0)),"MISSING ITEM ID")</x:f>
        <x:v>Glass and ceramics</x:v>
      </x:c>
      <x:c r="F502" s="3" t="str">
        <x:v>Proposed first-stage material use; no production recipe or material performance approved.</x:v>
      </x:c>
    </x:row>
    <x:row r="503" ht="65" customHeight="1">
      <x:c r="A503" s="3" t="str">
        <x:v>proposal.t1.opaque_glass</x:v>
      </x:c>
      <x:c r="B503" s="3" t="str">
        <x:f>IFERROR(INDEX(Items!$B$6:$B$1005,MATCH(A503,Items!$A$6:$A$1005,0)),"MISSING ITEM ID")</x:f>
        <x:v>Opaque mineral-glass stock</x:v>
      </x:c>
      <x:c r="C503" s="3" t="str">
        <x:f>IFERROR(INDEX(Items!$D$6:$D$1005,MATCH(A503,Items!$A$6:$A$1005,0)),"MISSING ITEM ID")</x:f>
        <x:v>Manufactured stock</x:v>
      </x:c>
      <x:c r="D503" s="3" t="str">
        <x:v>Secondary</x:v>
      </x:c>
      <x:c r="E503" s="3" t="str">
        <x:v>Fabrication</x:v>
      </x:c>
      <x:c r="F503" s="3" t="str">
        <x:v>Proposed first-stage material use; no production recipe or material performance approved.</x:v>
      </x:c>
    </x:row>
    <x:row r="504" ht="65" customHeight="1">
      <x:c r="A504" s="3" t="str">
        <x:v>proposal.t1.clear_glass_blank</x:v>
      </x:c>
      <x:c r="B504" s="3" t="str">
        <x:f>IFERROR(INDEX(Items!$B$6:$B$1005,MATCH(A504,Items!$A$6:$A$1005,0)),"MISSING ITEM ID")</x:f>
        <x:v>Rough clear-glass blank</x:v>
      </x:c>
      <x:c r="C504" s="3" t="str">
        <x:f>IFERROR(INDEX(Items!$D$6:$D$1005,MATCH(A504,Items!$A$6:$A$1005,0)),"MISSING ITEM ID")</x:f>
        <x:v>Manufactured stock</x:v>
      </x:c>
      <x:c r="D504" s="3" t="str">
        <x:v>Primary</x:v>
      </x:c>
      <x:c r="E504" s="3" t="str">
        <x:f>IFERROR(INDEX(Items!$AA$6:$AA$1005,MATCH(A504,Items!$A$6:$A$1005,0)),"MISSING ITEM ID")</x:f>
        <x:v>Inspection</x:v>
      </x:c>
      <x:c r="F504" s="3" t="str">
        <x:v>Proposed first-stage material use; no production recipe or material performance approved.</x:v>
      </x:c>
    </x:row>
    <x:row r="505" ht="65" customHeight="1">
      <x:c r="A505" s="3" t="str">
        <x:v>proposal.t1.clear_glass_blank</x:v>
      </x:c>
      <x:c r="B505" s="3" t="str">
        <x:f>IFERROR(INDEX(Items!$B$6:$B$1005,MATCH(A505,Items!$A$6:$A$1005,0)),"MISSING ITEM ID")</x:f>
        <x:v>Rough clear-glass blank</x:v>
      </x:c>
      <x:c r="C505" s="3" t="str">
        <x:f>IFERROR(INDEX(Items!$D$6:$D$1005,MATCH(A505,Items!$A$6:$A$1005,0)),"MISSING ITEM ID")</x:f>
        <x:v>Manufactured stock</x:v>
      </x:c>
      <x:c r="D505" s="3" t="str">
        <x:v>Secondary</x:v>
      </x:c>
      <x:c r="E505" s="3" t="str">
        <x:v>Glass and ceramics</x:v>
      </x:c>
      <x:c r="F505" s="3" t="str">
        <x:v>Proposed first-stage material use; no production recipe or material performance approved.</x:v>
      </x:c>
    </x:row>
    <x:row r="506" ht="65" customHeight="1">
      <x:c r="A506" s="3" t="str">
        <x:v>proposal.t1.dressed_stone</x:v>
      </x:c>
      <x:c r="B506" s="3" t="str">
        <x:f>IFERROR(INDEX(Items!$B$6:$B$1005,MATCH(A506,Items!$A$6:$A$1005,0)),"MISSING ITEM ID")</x:f>
        <x:v>Dressed building-stone stock</x:v>
      </x:c>
      <x:c r="C506" s="3" t="str">
        <x:f>IFERROR(INDEX(Items!$D$6:$D$1005,MATCH(A506,Items!$A$6:$A$1005,0)),"MISSING ITEM ID")</x:f>
        <x:v>Manufactured stock</x:v>
      </x:c>
      <x:c r="D506" s="3" t="str">
        <x:v>Primary</x:v>
      </x:c>
      <x:c r="E506" s="3" t="str">
        <x:f>IFERROR(INDEX(Items!$AA$6:$AA$1005,MATCH(A506,Items!$A$6:$A$1005,0)),"MISSING ITEM ID")</x:f>
        <x:v>Binding and construction</x:v>
      </x:c>
      <x:c r="F506" s="3" t="str">
        <x:v>Proposed first-stage material use; no production recipe or material performance approved.</x:v>
      </x:c>
    </x:row>
    <x:row r="507" ht="65" customHeight="1">
      <x:c r="A507" s="3" t="str">
        <x:v>proposal.t1.dressed_stone</x:v>
      </x:c>
      <x:c r="B507" s="3" t="str">
        <x:f>IFERROR(INDEX(Items!$B$6:$B$1005,MATCH(A507,Items!$A$6:$A$1005,0)),"MISSING ITEM ID")</x:f>
        <x:v>Dressed building-stone stock</x:v>
      </x:c>
      <x:c r="C507" s="3" t="str">
        <x:f>IFERROR(INDEX(Items!$D$6:$D$1005,MATCH(A507,Items!$A$6:$A$1005,0)),"MISSING ITEM ID")</x:f>
        <x:v>Manufactured stock</x:v>
      </x:c>
      <x:c r="D507" s="3" t="str">
        <x:v>Secondary</x:v>
      </x:c>
      <x:c r="E507" s="3" t="str">
        <x:v>Fabrication</x:v>
      </x:c>
      <x:c r="F507" s="3" t="str">
        <x:v>Proposed first-stage material use; no production recipe or material performance approved.</x:v>
      </x:c>
    </x:row>
    <x:row r="508" ht="65" customHeight="1">
      <x:c r="A508" s="3" t="str">
        <x:v>proposal.t1.resonant_blank</x:v>
      </x:c>
      <x:c r="B508" s="3" t="str">
        <x:f>IFERROR(INDEX(Items!$B$6:$B$1005,MATCH(A508,Items!$A$6:$A$1005,0)),"MISSING ITEM ID")</x:f>
        <x:v>Selected resonant-stone blank</x:v>
      </x:c>
      <x:c r="C508" s="3" t="str">
        <x:f>IFERROR(INDEX(Items!$D$6:$D$1005,MATCH(A508,Items!$A$6:$A$1005,0)),"MISSING ITEM ID")</x:f>
        <x:v>Manufactured stock</x:v>
      </x:c>
      <x:c r="D508" s="3" t="str">
        <x:v>Primary</x:v>
      </x:c>
      <x:c r="E508" s="3" t="str">
        <x:f>IFERROR(INDEX(Items!$AA$6:$AA$1005,MATCH(A508,Items!$A$6:$A$1005,0)),"MISSING ITEM ID")</x:f>
        <x:v>Music</x:v>
      </x:c>
      <x:c r="F508" s="3" t="str">
        <x:v>Proposed first-stage material use; no production recipe or material performance approved.</x:v>
      </x:c>
    </x:row>
    <x:row r="509" ht="65" customHeight="1">
      <x:c r="A509" s="3" t="str">
        <x:v>proposal.t1.resonant_blank</x:v>
      </x:c>
      <x:c r="B509" s="3" t="str">
        <x:f>IFERROR(INDEX(Items!$B$6:$B$1005,MATCH(A509,Items!$A$6:$A$1005,0)),"MISSING ITEM ID")</x:f>
        <x:v>Selected resonant-stone blank</x:v>
      </x:c>
      <x:c r="C509" s="3" t="str">
        <x:f>IFERROR(INDEX(Items!$D$6:$D$1005,MATCH(A509,Items!$A$6:$A$1005,0)),"MISSING ITEM ID")</x:f>
        <x:v>Manufactured stock</x:v>
      </x:c>
      <x:c r="D509" s="3" t="str">
        <x:v>Secondary</x:v>
      </x:c>
      <x:c r="E509" s="3" t="str">
        <x:v>Fabrication</x:v>
      </x:c>
      <x:c r="F509" s="3" t="str">
        <x:v>Proposed first-stage material use; no production recipe or material performance approved.</x:v>
      </x:c>
    </x:row>
    <x:row r="510" ht="65" customHeight="1">
      <x:c r="A510" s="3" t="str">
        <x:v>proposal.t1.pigment_powder</x:v>
      </x:c>
      <x:c r="B510" s="3" t="str">
        <x:f>IFERROR(INDEX(Items!$B$6:$B$1005,MATCH(A510,Items!$A$6:$A$1005,0)),"MISSING ITEM ID")</x:f>
        <x:v>Prepared mineral pigment powder</x:v>
      </x:c>
      <x:c r="C510" s="3" t="str">
        <x:f>IFERROR(INDEX(Items!$D$6:$D$1005,MATCH(A510,Items!$A$6:$A$1005,0)),"MISSING ITEM ID")</x:f>
        <x:v>Manufactured stock</x:v>
      </x:c>
      <x:c r="D510" s="3" t="str">
        <x:v>Primary</x:v>
      </x:c>
      <x:c r="E510" s="3" t="str">
        <x:f>IFERROR(INDEX(Items!$AA$6:$AA$1005,MATCH(A510,Items!$A$6:$A$1005,0)),"MISSING ITEM ID")</x:f>
        <x:v>Decoration</x:v>
      </x:c>
      <x:c r="F510" s="3" t="str">
        <x:v>Proposed first-stage material use; no production recipe or material performance approved.</x:v>
      </x:c>
    </x:row>
    <x:row r="511" ht="65" customHeight="1">
      <x:c r="A511" s="3" t="str">
        <x:v>proposal.t1.pigment_powder</x:v>
      </x:c>
      <x:c r="B511" s="3" t="str">
        <x:f>IFERROR(INDEX(Items!$B$6:$B$1005,MATCH(A511,Items!$A$6:$A$1005,0)),"MISSING ITEM ID")</x:f>
        <x:v>Prepared mineral pigment powder</x:v>
      </x:c>
      <x:c r="C511" s="3" t="str">
        <x:f>IFERROR(INDEX(Items!$D$6:$D$1005,MATCH(A511,Items!$A$6:$A$1005,0)),"MISSING ITEM ID")</x:f>
        <x:v>Manufactured stock</x:v>
      </x:c>
      <x:c r="D511" s="3" t="str">
        <x:v>Secondary</x:v>
      </x:c>
      <x:c r="E511" s="3" t="str">
        <x:v>Writing and records</x:v>
      </x:c>
      <x:c r="F511" s="3" t="str">
        <x:v>Proposed first-stage material use; no production recipe or material performance approved.</x:v>
      </x:c>
    </x:row>
    <x:row r="512" ht="65" customHeight="1">
      <x:c r="A512" s="3" t="str">
        <x:v>proposal.t1.mineral_filler</x:v>
      </x:c>
      <x:c r="B512" s="3" t="str">
        <x:f>IFERROR(INDEX(Items!$B$6:$B$1005,MATCH(A512,Items!$A$6:$A$1005,0)),"MISSING ITEM ID")</x:f>
        <x:v>Graded mineral filler</x:v>
      </x:c>
      <x:c r="C512" s="3" t="str">
        <x:f>IFERROR(INDEX(Items!$D$6:$D$1005,MATCH(A512,Items!$A$6:$A$1005,0)),"MISSING ITEM ID")</x:f>
        <x:v>Manufactured stock</x:v>
      </x:c>
      <x:c r="D512" s="3" t="str">
        <x:v>Primary</x:v>
      </x:c>
      <x:c r="E512" s="3" t="str">
        <x:f>IFERROR(INDEX(Items!$AA$6:$AA$1005,MATCH(A512,Items!$A$6:$A$1005,0)),"MISSING ITEM ID")</x:f>
        <x:v>Binding and construction</x:v>
      </x:c>
      <x:c r="F512" s="3" t="str">
        <x:v>Proposed first-stage material use; no production recipe or material performance approved.</x:v>
      </x:c>
    </x:row>
    <x:row r="513" ht="65" customHeight="1">
      <x:c r="A513" s="3" t="str">
        <x:v>proposal.t1.mineral_filler</x:v>
      </x:c>
      <x:c r="B513" s="3" t="str">
        <x:f>IFERROR(INDEX(Items!$B$6:$B$1005,MATCH(A513,Items!$A$6:$A$1005,0)),"MISSING ITEM ID")</x:f>
        <x:v>Graded mineral filler</x:v>
      </x:c>
      <x:c r="C513" s="3" t="str">
        <x:f>IFERROR(INDEX(Items!$D$6:$D$1005,MATCH(A513,Items!$A$6:$A$1005,0)),"MISSING ITEM ID")</x:f>
        <x:v>Manufactured stock</x:v>
      </x:c>
      <x:c r="D513" s="3" t="str">
        <x:v>Secondary</x:v>
      </x:c>
      <x:c r="E513" s="3" t="str">
        <x:v>Fabrication</x:v>
      </x:c>
      <x:c r="F513" s="3" t="str">
        <x:v>Proposed first-stage material use; no production recipe or material performance approved.</x:v>
      </x:c>
    </x:row>
    <x:row r="514" ht="65" customHeight="1">
      <x:c r="A514" s="3" t="str">
        <x:v>proposal.t1.glass_feed</x:v>
      </x:c>
      <x:c r="B514" s="3" t="str">
        <x:f>IFERROR(INDEX(Items!$B$6:$B$1005,MATCH(A514,Items!$A$6:$A$1005,0)),"MISSING ITEM ID")</x:f>
        <x:v>Sorted glass remelt feed</x:v>
      </x:c>
      <x:c r="C514" s="3" t="str">
        <x:f>IFERROR(INDEX(Items!$D$6:$D$1005,MATCH(A514,Items!$A$6:$A$1005,0)),"MISSING ITEM ID")</x:f>
        <x:v>Manufactured stock</x:v>
      </x:c>
      <x:c r="D514" s="3" t="str">
        <x:v>Primary</x:v>
      </x:c>
      <x:c r="E514" s="3" t="str">
        <x:f>IFERROR(INDEX(Items!$AA$6:$AA$1005,MATCH(A514,Items!$A$6:$A$1005,0)),"MISSING ITEM ID")</x:f>
        <x:v>Glass and ceramics</x:v>
      </x:c>
      <x:c r="F514" s="3" t="str">
        <x:v>Proposed first-stage material use; no production recipe or material performance approved.</x:v>
      </x:c>
    </x:row>
    <x:row r="515" ht="65" customHeight="1">
      <x:c r="A515" s="3" t="str">
        <x:v>proposal.t1.mica_flakes</x:v>
      </x:c>
      <x:c r="B515" s="3" t="str">
        <x:f>IFERROR(INDEX(Items!$B$6:$B$1005,MATCH(A515,Items!$A$6:$A$1005,0)),"MISSING ITEM ID")</x:f>
        <x:v>Separated mica flake grade</x:v>
      </x:c>
      <x:c r="C515" s="3" t="str">
        <x:f>IFERROR(INDEX(Items!$D$6:$D$1005,MATCH(A515,Items!$A$6:$A$1005,0)),"MISSING ITEM ID")</x:f>
        <x:v>Manufactured stock</x:v>
      </x:c>
      <x:c r="D515" s="3" t="str">
        <x:v>Primary</x:v>
      </x:c>
      <x:c r="E515" s="3" t="str">
        <x:f>IFERROR(INDEX(Items!$AA$6:$AA$1005,MATCH(A515,Items!$A$6:$A$1005,0)),"MISSING ITEM ID")</x:f>
        <x:v>Fabrication</x:v>
      </x:c>
      <x:c r="F515" s="3" t="str">
        <x:v>Proposed first-stage material use; no production recipe or material performance approved.</x:v>
      </x:c>
    </x:row>
    <x:row r="516" ht="65" customHeight="1">
      <x:c r="A516" s="3" t="str">
        <x:v>proposal.t1.mica_flakes</x:v>
      </x:c>
      <x:c r="B516" s="3" t="str">
        <x:f>IFERROR(INDEX(Items!$B$6:$B$1005,MATCH(A516,Items!$A$6:$A$1005,0)),"MISSING ITEM ID")</x:f>
        <x:v>Separated mica flake grade</x:v>
      </x:c>
      <x:c r="C516" s="3" t="str">
        <x:f>IFERROR(INDEX(Items!$D$6:$D$1005,MATCH(A516,Items!$A$6:$A$1005,0)),"MISSING ITEM ID")</x:f>
        <x:v>Manufactured stock</x:v>
      </x:c>
      <x:c r="D516" s="3" t="str">
        <x:v>Secondary</x:v>
      </x:c>
      <x:c r="E516" s="3" t="str">
        <x:v>Decoration</x:v>
      </x:c>
      <x:c r="F516" s="3" t="str">
        <x:v>Proposed first-stage material use; no production recipe or material performance approved.</x:v>
      </x:c>
    </x:row>
    <x:row r="517" ht="65" customHeight="1">
      <x:c r="A517" s="3" t="str">
        <x:v>proposal.t1.husk_pulp</x:v>
      </x:c>
      <x:c r="B517" s="3" t="str">
        <x:f>IFERROR(INDEX(Items!$B$6:$B$1005,MATCH(A517,Items!$A$6:$A$1005,0)),"MISSING ITEM ID")</x:f>
        <x:v>Prepared husk-fiber pulp</x:v>
      </x:c>
      <x:c r="C517" s="3" t="str">
        <x:f>IFERROR(INDEX(Items!$D$6:$D$1005,MATCH(A517,Items!$A$6:$A$1005,0)),"MISSING ITEM ID")</x:f>
        <x:v>Manufactured stock</x:v>
      </x:c>
      <x:c r="D517" s="3" t="str">
        <x:v>Primary</x:v>
      </x:c>
      <x:c r="E517" s="3" t="str">
        <x:f>IFERROR(INDEX(Items!$AA$6:$AA$1005,MATCH(A517,Items!$A$6:$A$1005,0)),"MISSING ITEM ID")</x:f>
        <x:v>Paper making</x:v>
      </x:c>
      <x:c r="F517" s="3" t="str">
        <x:v>Proposed first-stage material use; no production recipe or material performance approved.</x:v>
      </x:c>
    </x:row>
    <x:row r="518" ht="65" customHeight="1">
      <x:c r="A518" s="3" t="str">
        <x:v>proposal.t1.husk_pulp</x:v>
      </x:c>
      <x:c r="B518" s="3" t="str">
        <x:f>IFERROR(INDEX(Items!$B$6:$B$1005,MATCH(A518,Items!$A$6:$A$1005,0)),"MISSING ITEM ID")</x:f>
        <x:v>Prepared husk-fiber pulp</x:v>
      </x:c>
      <x:c r="C518" s="3" t="str">
        <x:f>IFERROR(INDEX(Items!$D$6:$D$1005,MATCH(A518,Items!$A$6:$A$1005,0)),"MISSING ITEM ID")</x:f>
        <x:v>Manufactured stock</x:v>
      </x:c>
      <x:c r="D518" s="3" t="str">
        <x:v>Secondary</x:v>
      </x:c>
      <x:c r="E518" s="3" t="str">
        <x:v>Textile processing</x:v>
      </x:c>
      <x:c r="F518" s="3" t="str">
        <x:v>Proposed first-stage material use; no production recipe or material performance approved.</x:v>
      </x:c>
    </x:row>
    <x:row r="519" ht="65" customHeight="1">
      <x:c r="A519" s="3" t="str">
        <x:v>proposal.t1.bristle_bundle</x:v>
      </x:c>
      <x:c r="B519" s="3" t="str">
        <x:f>IFERROR(INDEX(Items!$B$6:$B$1005,MATCH(A519,Items!$A$6:$A$1005,0)),"MISSING ITEM ID")</x:f>
        <x:v>Clean graded bristle bundles</x:v>
      </x:c>
      <x:c r="C519" s="3" t="str">
        <x:f>IFERROR(INDEX(Items!$D$6:$D$1005,MATCH(A519,Items!$A$6:$A$1005,0)),"MISSING ITEM ID")</x:f>
        <x:v>Manufactured stock</x:v>
      </x:c>
      <x:c r="D519" s="3" t="str">
        <x:v>Primary</x:v>
      </x:c>
      <x:c r="E519" s="3" t="str">
        <x:f>IFERROR(INDEX(Items!$AA$6:$AA$1005,MATCH(A519,Items!$A$6:$A$1005,0)),"MISSING ITEM ID")</x:f>
        <x:v>Dust exclusion</x:v>
      </x:c>
      <x:c r="F519" s="3" t="str">
        <x:v>Proposed first-stage material use; no production recipe or material performance approved.</x:v>
      </x:c>
    </x:row>
    <x:row r="520" ht="65" customHeight="1">
      <x:c r="A520" s="3" t="str">
        <x:v>proposal.t1.shell_lamina</x:v>
      </x:c>
      <x:c r="B520" s="3" t="str">
        <x:f>IFERROR(INDEX(Items!$B$6:$B$1005,MATCH(A520,Items!$A$6:$A$1005,0)),"MISSING ITEM ID")</x:f>
        <x:v>Separated shell lamina stock</x:v>
      </x:c>
      <x:c r="C520" s="3" t="str">
        <x:f>IFERROR(INDEX(Items!$D$6:$D$1005,MATCH(A520,Items!$A$6:$A$1005,0)),"MISSING ITEM ID")</x:f>
        <x:v>Manufactured stock</x:v>
      </x:c>
      <x:c r="D520" s="3" t="str">
        <x:v>Primary</x:v>
      </x:c>
      <x:c r="E520" s="3" t="str">
        <x:f>IFERROR(INDEX(Items!$AA$6:$AA$1005,MATCH(A520,Items!$A$6:$A$1005,0)),"MISSING ITEM ID")</x:f>
        <x:v>Protective fabrication</x:v>
      </x:c>
      <x:c r="F520" s="3" t="str">
        <x:v>Proposed first-stage material use; no production recipe or material performance approved.</x:v>
      </x:c>
    </x:row>
    <x:row r="521" ht="65" customHeight="1">
      <x:c r="A521" s="3" t="str">
        <x:v>proposal.t1.shell_lamina</x:v>
      </x:c>
      <x:c r="B521" s="3" t="str">
        <x:f>IFERROR(INDEX(Items!$B$6:$B$1005,MATCH(A521,Items!$A$6:$A$1005,0)),"MISSING ITEM ID")</x:f>
        <x:v>Separated shell lamina stock</x:v>
      </x:c>
      <x:c r="C521" s="3" t="str">
        <x:f>IFERROR(INDEX(Items!$D$6:$D$1005,MATCH(A521,Items!$A$6:$A$1005,0)),"MISSING ITEM ID")</x:f>
        <x:v>Manufactured stock</x:v>
      </x:c>
      <x:c r="D521" s="3" t="str">
        <x:v>Secondary</x:v>
      </x:c>
      <x:c r="E521" s="3" t="str">
        <x:v>Fabrication</x:v>
      </x:c>
      <x:c r="F521" s="3" t="str">
        <x:v>Proposed first-stage material use; no production recipe or material performance approved.</x:v>
      </x:c>
    </x:row>
    <x:row r="522" ht="65" customHeight="1">
      <x:c r="A522" s="3" t="str">
        <x:v>proposal.t1.hardpart_blank</x:v>
      </x:c>
      <x:c r="B522" s="3" t="str">
        <x:f>IFERROR(INDEX(Items!$B$6:$B$1005,MATCH(A522,Items!$A$6:$A$1005,0)),"MISSING ITEM ID")</x:f>
        <x:v>Shaped fauna hard-part blanks</x:v>
      </x:c>
      <x:c r="C522" s="3" t="str">
        <x:f>IFERROR(INDEX(Items!$D$6:$D$1005,MATCH(A522,Items!$A$6:$A$1005,0)),"MISSING ITEM ID")</x:f>
        <x:v>Manufactured stock</x:v>
      </x:c>
      <x:c r="D522" s="3" t="str">
        <x:v>Primary</x:v>
      </x:c>
      <x:c r="E522" s="3" t="str">
        <x:f>IFERROR(INDEX(Items!$AA$6:$AA$1005,MATCH(A522,Items!$A$6:$A$1005,0)),"MISSING ITEM ID")</x:f>
        <x:v>Tool fabrication</x:v>
      </x:c>
      <x:c r="F522" s="3" t="str">
        <x:v>Proposed first-stage material use; no production recipe or material performance approved.</x:v>
      </x:c>
    </x:row>
    <x:row r="523" ht="65" customHeight="1">
      <x:c r="A523" s="3" t="str">
        <x:v>proposal.t1.process_salts</x:v>
      </x:c>
      <x:c r="B523" s="3" t="str">
        <x:f>IFERROR(INDEX(Items!$B$6:$B$1005,MATCH(A523,Items!$A$6:$A$1005,0)),"MISSING ITEM ID")</x:f>
        <x:v>Graded process salts</x:v>
      </x:c>
      <x:c r="C523" s="3" t="str">
        <x:f>IFERROR(INDEX(Items!$D$6:$D$1005,MATCH(A523,Items!$A$6:$A$1005,0)),"MISSING ITEM ID")</x:f>
        <x:v>Manufactured stock</x:v>
      </x:c>
      <x:c r="D523" s="3" t="str">
        <x:v>Primary</x:v>
      </x:c>
      <x:c r="E523" s="3" t="str">
        <x:f>IFERROR(INDEX(Items!$AA$6:$AA$1005,MATCH(A523,Items!$A$6:$A$1005,0)),"MISSING ITEM ID")</x:f>
        <x:v>Chemical processing</x:v>
      </x:c>
      <x:c r="F523" s="3" t="str">
        <x:v>Proposed first-stage material use; no production recipe or material performance approved.</x:v>
      </x:c>
    </x:row>
    <x:row r="524" ht="65" customHeight="1">
      <x:c r="A524" s="3" t="str">
        <x:v>proposal.t1.faunal_carrier</x:v>
      </x:c>
      <x:c r="B524" s="3" t="str">
        <x:f>IFERROR(INDEX(Items!$B$6:$B$1005,MATCH(A524,Items!$A$6:$A$1005,0)),"MISSING ITEM ID")</x:f>
        <x:v>Selected faunal carrier fraction</x:v>
      </x:c>
      <x:c r="C524" s="3" t="str">
        <x:f>IFERROR(INDEX(Items!$D$6:$D$1005,MATCH(A524,Items!$A$6:$A$1005,0)),"MISSING ITEM ID")</x:f>
        <x:v>Crafting components</x:v>
      </x:c>
      <x:c r="D524" s="3" t="str">
        <x:v>Primary</x:v>
      </x:c>
      <x:c r="E524" s="3" t="str">
        <x:f>IFERROR(INDEX(Items!$AA$6:$AA$1005,MATCH(A524,Items!$A$6:$A$1005,0)),"MISSING ITEM ID")</x:f>
        <x:v>Chemical processing</x:v>
      </x:c>
      <x:c r="F524" s="3" t="str">
        <x:v>Proposed first-stage material use; no production recipe or material performance approved.</x:v>
      </x:c>
    </x:row>
    <x:row r="525" ht="65" customHeight="1">
      <x:c r="A525" s="3" t="str">
        <x:v>proposal.t1.faunal_carrier</x:v>
      </x:c>
      <x:c r="B525" s="3" t="str">
        <x:f>IFERROR(INDEX(Items!$B$6:$B$1005,MATCH(A525,Items!$A$6:$A$1005,0)),"MISSING ITEM ID")</x:f>
        <x:v>Selected faunal carrier fraction</x:v>
      </x:c>
      <x:c r="C525" s="3" t="str">
        <x:f>IFERROR(INDEX(Items!$D$6:$D$1005,MATCH(A525,Items!$A$6:$A$1005,0)),"MISSING ITEM ID")</x:f>
        <x:v>Crafting components</x:v>
      </x:c>
      <x:c r="D525" s="3" t="str">
        <x:v>Secondary</x:v>
      </x:c>
      <x:c r="E525" s="3" t="str">
        <x:v>Surface finishing</x:v>
      </x:c>
      <x:c r="F525" s="3" t="str">
        <x:v>Proposed first-stage material use; no production recipe or material performance approved.</x:v>
      </x:c>
    </x:row>
    <x:row r="526" ht="65" customHeight="1">
      <x:c r="A526" s="3" t="str">
        <x:v>proposal.t1.shell_adhesive</x:v>
      </x:c>
      <x:c r="B526" s="3" t="str">
        <x:f>IFERROR(INDEX(Items!$B$6:$B$1005,MATCH(A526,Items!$A$6:$A$1005,0)),"MISSING ITEM ID")</x:f>
        <x:v>Prepared shell-binding adhesive</x:v>
      </x:c>
      <x:c r="C526" s="3" t="str">
        <x:f>IFERROR(INDEX(Items!$D$6:$D$1005,MATCH(A526,Items!$A$6:$A$1005,0)),"MISSING ITEM ID")</x:f>
        <x:v>Crafting components</x:v>
      </x:c>
      <x:c r="D526" s="3" t="str">
        <x:v>Primary</x:v>
      </x:c>
      <x:c r="E526" s="3" t="str">
        <x:f>IFERROR(INDEX(Items!$AA$6:$AA$1005,MATCH(A526,Items!$A$6:$A$1005,0)),"MISSING ITEM ID")</x:f>
        <x:v>Binding and construction</x:v>
      </x:c>
      <x:c r="F526" s="3" t="str">
        <x:v>Proposed first-stage material use; no production recipe or material performance approved.</x:v>
      </x:c>
    </x:row>
    <x:row r="527" ht="65" customHeight="1">
      <x:c r="A527" s="3" t="str">
        <x:v>proposal.t1.shell_adhesive</x:v>
      </x:c>
      <x:c r="B527" s="3" t="str">
        <x:f>IFERROR(INDEX(Items!$B$6:$B$1005,MATCH(A527,Items!$A$6:$A$1005,0)),"MISSING ITEM ID")</x:f>
        <x:v>Prepared shell-binding adhesive</x:v>
      </x:c>
      <x:c r="C527" s="3" t="str">
        <x:f>IFERROR(INDEX(Items!$D$6:$D$1005,MATCH(A527,Items!$A$6:$A$1005,0)),"MISSING ITEM ID")</x:f>
        <x:v>Crafting components</x:v>
      </x:c>
      <x:c r="D527" s="3" t="str">
        <x:v>Secondary</x:v>
      </x:c>
      <x:c r="E527" s="3" t="str">
        <x:v>Protective fabrication</x:v>
      </x:c>
      <x:c r="F527" s="3" t="str">
        <x:v>Proposed first-stage material use; no production recipe or material performance approved.</x:v>
      </x:c>
    </x:row>
    <x:row r="528" ht="65" customHeight="1">
      <x:c r="A528" s="3" t="str">
        <x:v>proposal.t1.clot_seal</x:v>
      </x:c>
      <x:c r="B528" s="3" t="str">
        <x:f>IFERROR(INDEX(Items!$B$6:$B$1005,MATCH(A528,Items!$A$6:$A$1005,0)),"MISSING ITEM ID")</x:f>
        <x:v>Prepared clot-seal compound</x:v>
      </x:c>
      <x:c r="C528" s="3" t="str">
        <x:f>IFERROR(INDEX(Items!$D$6:$D$1005,MATCH(A528,Items!$A$6:$A$1005,0)),"MISSING ITEM ID")</x:f>
        <x:v>Crafting components</x:v>
      </x:c>
      <x:c r="D528" s="3" t="str">
        <x:v>Primary</x:v>
      </x:c>
      <x:c r="E528" s="3" t="str">
        <x:f>IFERROR(INDEX(Items!$AA$6:$AA$1005,MATCH(A528,Items!$A$6:$A$1005,0)),"MISSING ITEM ID")</x:f>
        <x:v>Equipment repair</x:v>
      </x:c>
      <x:c r="F528" s="3" t="str">
        <x:v>Proposed first-stage material use; no production recipe or material performance approved.</x:v>
      </x:c>
    </x:row>
    <x:row r="529" ht="65" customHeight="1">
      <x:c r="A529" s="3" t="str">
        <x:v>proposal.t1.clot_seal</x:v>
      </x:c>
      <x:c r="B529" s="3" t="str">
        <x:f>IFERROR(INDEX(Items!$B$6:$B$1005,MATCH(A529,Items!$A$6:$A$1005,0)),"MISSING ITEM ID")</x:f>
        <x:v>Prepared clot-seal compound</x:v>
      </x:c>
      <x:c r="C529" s="3" t="str">
        <x:f>IFERROR(INDEX(Items!$D$6:$D$1005,MATCH(A529,Items!$A$6:$A$1005,0)),"MISSING ITEM ID")</x:f>
        <x:v>Crafting components</x:v>
      </x:c>
      <x:c r="D529" s="3" t="str">
        <x:v>Secondary</x:v>
      </x:c>
      <x:c r="E529" s="3" t="str">
        <x:v>Sealing</x:v>
      </x:c>
      <x:c r="F529" s="3" t="str">
        <x:v>Proposed first-stage material use; no production recipe or material performance approved.</x:v>
      </x:c>
    </x:row>
    <x:row r="530" ht="65" customHeight="1">
      <x:c r="A530" s="3" t="str">
        <x:v>proposal.t1.gem_preform</x:v>
      </x:c>
      <x:c r="B530" s="3" t="str">
        <x:f>IFERROR(INDEX(Items!$B$6:$B$1005,MATCH(A530,Items!$A$6:$A$1005,0)),"MISSING ITEM ID")</x:f>
        <x:v>Cut gemstone preform</x:v>
      </x:c>
      <x:c r="C530" s="3" t="str">
        <x:f>IFERROR(INDEX(Items!$D$6:$D$1005,MATCH(A530,Items!$A$6:$A$1005,0)),"MISSING ITEM ID")</x:f>
        <x:v>Manufactured stock</x:v>
      </x:c>
      <x:c r="D530" s="3" t="str">
        <x:v>Primary</x:v>
      </x:c>
      <x:c r="E530" s="3" t="str">
        <x:f>IFERROR(INDEX(Items!$AA$6:$AA$1005,MATCH(A530,Items!$A$6:$A$1005,0)),"MISSING ITEM ID")</x:f>
        <x:v>Decoration</x:v>
      </x:c>
      <x:c r="F530" s="3" t="str">
        <x:v>Proposed first-stage material use; no production recipe or material performance approved.</x:v>
      </x:c>
    </x:row>
    <x:row r="531" ht="65" customHeight="1">
      <x:c r="A531" s="3" t="str">
        <x:v>proposal.t1.gem_chips</x:v>
      </x:c>
      <x:c r="B531" s="3" t="str">
        <x:f>IFERROR(INDEX(Items!$B$6:$B$1005,MATCH(A531,Items!$A$6:$A$1005,0)),"MISSING ITEM ID")</x:f>
        <x:v>Graded stone inlay chips</x:v>
      </x:c>
      <x:c r="C531" s="3" t="str">
        <x:f>IFERROR(INDEX(Items!$D$6:$D$1005,MATCH(A531,Items!$A$6:$A$1005,0)),"MISSING ITEM ID")</x:f>
        <x:v>Manufactured stock</x:v>
      </x:c>
      <x:c r="D531" s="3" t="str">
        <x:v>Primary</x:v>
      </x:c>
      <x:c r="E531" s="3" t="str">
        <x:f>IFERROR(INDEX(Items!$AA$6:$AA$1005,MATCH(A531,Items!$A$6:$A$1005,0)),"MISSING ITEM ID")</x:f>
        <x:v>Decoration</x:v>
      </x:c>
      <x:c r="F531" s="3" t="str">
        <x:v>Proposed first-stage material use; no production recipe or material performance approved.</x:v>
      </x:c>
    </x:row>
    <x:row r="532" ht="65" customHeight="1">
      <x:c r="A532" s="3" t="str">
        <x:v>proposal.t1.shell_inlay</x:v>
      </x:c>
      <x:c r="B532" s="3" t="str">
        <x:f>IFERROR(INDEX(Items!$B$6:$B$1005,MATCH(A532,Items!$A$6:$A$1005,0)),"MISSING ITEM ID")</x:f>
        <x:v>Burnished shell inlay scales</x:v>
      </x:c>
      <x:c r="C532" s="3" t="str">
        <x:f>IFERROR(INDEX(Items!$D$6:$D$1005,MATCH(A532,Items!$A$6:$A$1005,0)),"MISSING ITEM ID")</x:f>
        <x:v>Manufactured stock</x:v>
      </x:c>
      <x:c r="D532" s="3" t="str">
        <x:v>Primary</x:v>
      </x:c>
      <x:c r="E532" s="3" t="str">
        <x:f>IFERROR(INDEX(Items!$AA$6:$AA$1005,MATCH(A532,Items!$A$6:$A$1005,0)),"MISSING ITEM ID")</x:f>
        <x:v>Decoration</x:v>
      </x:c>
      <x:c r="F532" s="3" t="str">
        <x:v>Proposed first-stage material use; no production recipe or material performance approved.</x:v>
      </x:c>
    </x:row>
    <x:row r="533" ht="65" customHeight="1">
      <x:c r="A533" s="3" t="str">
        <x:v>proposal.t1.mica_window</x:v>
      </x:c>
      <x:c r="B533" s="3" t="str">
        <x:f>IFERROR(INDEX(Items!$B$6:$B$1005,MATCH(A533,Items!$A$6:$A$1005,0)),"MISSING ITEM ID")</x:f>
        <x:v>Sized mica viewing sheet</x:v>
      </x:c>
      <x:c r="C533" s="3" t="str">
        <x:f>IFERROR(INDEX(Items!$D$6:$D$1005,MATCH(A533,Items!$A$6:$A$1005,0)),"MISSING ITEM ID")</x:f>
        <x:v>Manufactured stock</x:v>
      </x:c>
      <x:c r="D533" s="3" t="str">
        <x:v>Primary</x:v>
      </x:c>
      <x:c r="E533" s="3" t="str">
        <x:f>IFERROR(INDEX(Items!$AA$6:$AA$1005,MATCH(A533,Items!$A$6:$A$1005,0)),"MISSING ITEM ID")</x:f>
        <x:v>Inspection</x:v>
      </x:c>
      <x:c r="F533" s="3" t="str">
        <x:v>Proposed first-stage material use; no production recipe or material performance approved.</x:v>
      </x:c>
    </x:row>
    <x:row r="534" ht="65" customHeight="1">
      <x:c r="A534" s="3" t="str">
        <x:v>proposal.t1.mica_window</x:v>
      </x:c>
      <x:c r="B534" s="3" t="str">
        <x:f>IFERROR(INDEX(Items!$B$6:$B$1005,MATCH(A534,Items!$A$6:$A$1005,0)),"MISSING ITEM ID")</x:f>
        <x:v>Sized mica viewing sheet</x:v>
      </x:c>
      <x:c r="C534" s="3" t="str">
        <x:f>IFERROR(INDEX(Items!$D$6:$D$1005,MATCH(A534,Items!$A$6:$A$1005,0)),"MISSING ITEM ID")</x:f>
        <x:v>Manufactured stock</x:v>
      </x:c>
      <x:c r="D534" s="3" t="str">
        <x:v>Secondary</x:v>
      </x:c>
      <x:c r="E534" s="3" t="str">
        <x:v>Fabrication</x:v>
      </x:c>
      <x:c r="F534" s="3" t="str">
        <x:v>Proposed first-stage material use; no production recipe or material performance approved.</x:v>
      </x:c>
    </x:row>
    <x:row r="535">
      <x:c r="A535" s="3" t="str">
        <x:v>author.communication.crude_two_way_radio</x:v>
      </x:c>
      <x:c r="B535" s="3" t="str">
        <x:f>IFERROR(INDEX(Items!$B$6:$B$1005,MATCH(A535,Items!$A$6:$A$1005,0)),"MISSING ITEM ID")</x:f>
        <x:v>Crude two-way radio</x:v>
      </x:c>
      <x:c r="C535" s="3" t="str">
        <x:f>IFERROR(INDEX(Items!$D$6:$D$1005,MATCH(A535,Items!$A$6:$A$1005,0)),"MISSING ITEM ID")</x:f>
        <x:v>Tools</x:v>
      </x:c>
      <x:c r="D535" s="3" t="str">
        <x:v>Primary</x:v>
      </x:c>
      <x:c r="E535" s="3" t="str">
        <x:f>IFERROR(INDEX(Items!$AA$6:$AA$1005,MATCH(A535,Items!$A$6:$A$1005,0)),"MISSING ITEM ID")</x:f>
        <x:v>Radio communication</x:v>
      </x:c>
      <x:c r="F535" s="3" t="str">
        <x:v>Author-directed two-way radio communication; technical behavior remains open.</x:v>
      </x:c>
    </x:row>
    <x:row r="536">
      <x:c r="A536" s="3" t="str">
        <x:v>author.ancient.laser_sword</x:v>
      </x:c>
      <x:c r="B536" s="3" t="str">
        <x:f>IFERROR(INDEX(Items!$B$6:$B$1005,MATCH(A536,Items!$A$6:$A$1005,0)),"MISSING ITEM ID")</x:f>
        <x:v>Laser sword</x:v>
      </x:c>
      <x:c r="C536" s="3" t="str">
        <x:f>IFERROR(INDEX(Items!$D$6:$D$1005,MATCH(A536,Items!$A$6:$A$1005,0)),"MISSING ITEM ID")</x:f>
        <x:v>Weapons</x:v>
      </x:c>
      <x:c r="D536" s="3" t="str">
        <x:v>Primary</x:v>
      </x:c>
      <x:c r="E536" s="3" t="str">
        <x:f>IFERROR(INDEX(Items!$AA$6:$AA$1005,MATCH(A536,Items!$A$6:$A$1005,0)),"MISSING ITEM ID")</x:f>
        <x:v>Offensive combat</x:v>
      </x:c>
      <x:c r="F536" s="3" t="str">
        <x:v>Author-directed ancient weapon/ammunition family; technical and gameplay details unresolved.</x:v>
      </x:c>
    </x:row>
    <x:row r="537">
      <x:c r="A537" s="3" t="str">
        <x:v>author.ancient.laser_blaster</x:v>
      </x:c>
      <x:c r="B537" s="3" t="str">
        <x:f>IFERROR(INDEX(Items!$B$6:$B$1005,MATCH(A537,Items!$A$6:$A$1005,0)),"MISSING ITEM ID")</x:f>
        <x:v>Laser blaster</x:v>
      </x:c>
      <x:c r="C537" s="3" t="str">
        <x:f>IFERROR(INDEX(Items!$D$6:$D$1005,MATCH(A537,Items!$A$6:$A$1005,0)),"MISSING ITEM ID")</x:f>
        <x:v>Weapons</x:v>
      </x:c>
      <x:c r="D537" s="3" t="str">
        <x:v>Primary</x:v>
      </x:c>
      <x:c r="E537" s="3" t="str">
        <x:f>IFERROR(INDEX(Items!$AA$6:$AA$1005,MATCH(A537,Items!$A$6:$A$1005,0)),"MISSING ITEM ID")</x:f>
        <x:v>Offensive combat</x:v>
      </x:c>
      <x:c r="F537" s="3" t="str">
        <x:v>Author-directed ancient weapon/ammunition family; technical and gameplay details unresolved.</x:v>
      </x:c>
    </x:row>
    <x:row r="538">
      <x:c r="A538" s="3" t="str">
        <x:v>author.ancient.rocket</x:v>
      </x:c>
      <x:c r="B538" s="3" t="str">
        <x:f>IFERROR(INDEX(Items!$B$6:$B$1005,MATCH(A538,Items!$A$6:$A$1005,0)),"MISSING ITEM ID")</x:f>
        <x:v>Rocket</x:v>
      </x:c>
      <x:c r="C538" s="3" t="str">
        <x:f>IFERROR(INDEX(Items!$D$6:$D$1005,MATCH(A538,Items!$A$6:$A$1005,0)),"MISSING ITEM ID")</x:f>
        <x:v>Ammunition</x:v>
      </x:c>
      <x:c r="D538" s="3" t="str">
        <x:v>Primary</x:v>
      </x:c>
      <x:c r="E538" s="3" t="str">
        <x:f>IFERROR(INDEX(Items!$AA$6:$AA$1005,MATCH(A538,Items!$A$6:$A$1005,0)),"MISSING ITEM ID")</x:f>
        <x:v>Offensive combat</x:v>
      </x:c>
      <x:c r="F538" s="3" t="str">
        <x:v>Author-directed ancient weapon/ammunition family; technical and gameplay details unresolved.</x:v>
      </x:c>
    </x:row>
    <x:row r="539">
      <x:c r="A539" s="3" t="str">
        <x:v>author.ancient.rocket_launcher</x:v>
      </x:c>
      <x:c r="B539" s="3" t="str">
        <x:f>IFERROR(INDEX(Items!$B$6:$B$1005,MATCH(A539,Items!$A$6:$A$1005,0)),"MISSING ITEM ID")</x:f>
        <x:v>Rocket launcher</x:v>
      </x:c>
      <x:c r="C539" s="3" t="str">
        <x:f>IFERROR(INDEX(Items!$D$6:$D$1005,MATCH(A539,Items!$A$6:$A$1005,0)),"MISSING ITEM ID")</x:f>
        <x:v>Weapons</x:v>
      </x:c>
      <x:c r="D539" s="3" t="str">
        <x:v>Primary</x:v>
      </x:c>
      <x:c r="E539" s="3" t="str">
        <x:f>IFERROR(INDEX(Items!$AA$6:$AA$1005,MATCH(A539,Items!$A$6:$A$1005,0)),"MISSING ITEM ID")</x:f>
        <x:v>Offensive combat</x:v>
      </x:c>
      <x:c r="F539" s="3" t="str">
        <x:v>Author-directed ancient weapon/ammunition family; technical and gameplay details unresolved.</x:v>
      </x:c>
    </x:row>
    <x:row r="540">
      <x:c r="A540" s="3"/>
      <x:c r="B540" s="3"/>
      <x:c r="C540" s="3"/>
      <x:c r="D540" s="3"/>
      <x:c r="E540" s="3"/>
      <x:c r="F540" s="3"/>
    </x:row>
    <x:row r="541">
      <x:c r="A541" s="3" t="str">
        <x:v>author.electrical.magnetic_inhibitor</x:v>
      </x:c>
      <x:c r="B541" s="3" t="str">
        <x:f>IFERROR(INDEX(Items!$B$6:$B$1005,MATCH(A541,Items!$A$6:$A$1005,0)),"MISSING ITEM ID")</x:f>
        <x:v>Magnetic field inhibitor</x:v>
      </x:c>
      <x:c r="C541" s="3" t="str">
        <x:f>IFERROR(INDEX(Items!$D$6:$D$1005,MATCH(A541,Items!$A$6:$A$1005,0)),"MISSING ITEM ID")</x:f>
        <x:v>Tools</x:v>
      </x:c>
      <x:c r="D541" s="3" t="str">
        <x:v>Primary</x:v>
      </x:c>
      <x:c r="E541" s="3" t="str">
        <x:f>IFERROR(INDEX(Items!$AA$6:$AA$1005,MATCH(A541,Items!$A$6:$A$1005,0)),"MISSING ITEM ID")</x:f>
        <x:v>Magnetic field control</x:v>
      </x:c>
      <x:c r="F541" s="3" t="str">
        <x:v>Author-directed intended use; no numeric operating capability or recipe assigned.</x:v>
      </x:c>
    </x:row>
    <x:row r="542">
      <x:c r="A542" s="3" t="str">
        <x:v>author.electrical.magnetic_enhancer</x:v>
      </x:c>
      <x:c r="B542" s="3" t="str">
        <x:f>IFERROR(INDEX(Items!$B$6:$B$1005,MATCH(A542,Items!$A$6:$A$1005,0)),"MISSING ITEM ID")</x:f>
        <x:v>Magnetic field enhancer</x:v>
      </x:c>
      <x:c r="C542" s="3" t="str">
        <x:f>IFERROR(INDEX(Items!$D$6:$D$1005,MATCH(A542,Items!$A$6:$A$1005,0)),"MISSING ITEM ID")</x:f>
        <x:v>Tools</x:v>
      </x:c>
      <x:c r="D542" s="3" t="str">
        <x:v>Primary</x:v>
      </x:c>
      <x:c r="E542" s="3" t="str">
        <x:f>IFERROR(INDEX(Items!$AA$6:$AA$1005,MATCH(A542,Items!$A$6:$A$1005,0)),"MISSING ITEM ID")</x:f>
        <x:v>Magnetic field control</x:v>
      </x:c>
      <x:c r="F542" s="3" t="str">
        <x:v>Author-directed intended use; no numeric operating capability or recipe assigned.</x:v>
      </x:c>
    </x:row>
    <x:row r="543">
      <x:c r="A543" s="3" t="str">
        <x:v>author.electrical.static_enhancer</x:v>
      </x:c>
      <x:c r="B543" s="3" t="str">
        <x:f>IFERROR(INDEX(Items!$B$6:$B$1005,MATCH(A543,Items!$A$6:$A$1005,0)),"MISSING ITEM ID")</x:f>
        <x:v>Static-electricity field enhancer</x:v>
      </x:c>
      <x:c r="C543" s="3" t="str">
        <x:f>IFERROR(INDEX(Items!$D$6:$D$1005,MATCH(A543,Items!$A$6:$A$1005,0)),"MISSING ITEM ID")</x:f>
        <x:v>Tools</x:v>
      </x:c>
      <x:c r="D543" s="3" t="str">
        <x:v>Primary</x:v>
      </x:c>
      <x:c r="E543" s="3" t="str">
        <x:f>IFERROR(INDEX(Items!$AA$6:$AA$1005,MATCH(A543,Items!$A$6:$A$1005,0)),"MISSING ITEM ID")</x:f>
        <x:v>Static management</x:v>
      </x:c>
      <x:c r="F543" s="3" t="str">
        <x:v>Author-directed intended use; no numeric operating capability or recipe assigned.</x:v>
      </x:c>
    </x:row>
    <x:row r="544">
      <x:c r="A544" s="3" t="str">
        <x:v>author.electrical.static_disruptor</x:v>
      </x:c>
      <x:c r="B544" s="3" t="str">
        <x:f>IFERROR(INDEX(Items!$B$6:$B$1005,MATCH(A544,Items!$A$6:$A$1005,0)),"MISSING ITEM ID")</x:f>
        <x:v>Static-electricity field disruptor</x:v>
      </x:c>
      <x:c r="C544" s="3" t="str">
        <x:f>IFERROR(INDEX(Items!$D$6:$D$1005,MATCH(A544,Items!$A$6:$A$1005,0)),"MISSING ITEM ID")</x:f>
        <x:v>Tools</x:v>
      </x:c>
      <x:c r="D544" s="3" t="str">
        <x:v>Primary</x:v>
      </x:c>
      <x:c r="E544" s="3" t="str">
        <x:f>IFERROR(INDEX(Items!$AA$6:$AA$1005,MATCH(A544,Items!$A$6:$A$1005,0)),"MISSING ITEM ID")</x:f>
        <x:v>Static management</x:v>
      </x:c>
      <x:c r="F544" s="3" t="str">
        <x:v>Author-directed intended use; no numeric operating capability or recipe assigned.</x:v>
      </x:c>
    </x:row>
    <x:row r="545">
      <x:c r="A545" s="3" t="str">
        <x:v>author.electrical.arc_ray_gun</x:v>
      </x:c>
      <x:c r="B545" s="3" t="str">
        <x:f>IFERROR(INDEX(Items!$B$6:$B$1005,MATCH(A545,Items!$A$6:$A$1005,0)),"MISSING ITEM ID")</x:f>
        <x:v>Arc ray gun</x:v>
      </x:c>
      <x:c r="C545" s="3" t="str">
        <x:f>IFERROR(INDEX(Items!$D$6:$D$1005,MATCH(A545,Items!$A$6:$A$1005,0)),"MISSING ITEM ID")</x:f>
        <x:v>Weapons</x:v>
      </x:c>
      <x:c r="D545" s="3" t="str">
        <x:v>Primary</x:v>
      </x:c>
      <x:c r="E545" s="3" t="str">
        <x:f>IFERROR(INDEX(Items!$AA$6:$AA$1005,MATCH(A545,Items!$A$6:$A$1005,0)),"MISSING ITEM ID")</x:f>
        <x:v>Offensive combat</x:v>
      </x:c>
      <x:c r="F545" s="3" t="str">
        <x:v>Author-directed intended use; no numeric operating capability or recipe assigned.</x:v>
      </x:c>
    </x:row>
    <x:row r="546">
      <x:c r="A546" s="3" t="str">
        <x:v>author.electrical.insulation_stock</x:v>
      </x:c>
      <x:c r="B546" s="3" t="str">
        <x:f>IFERROR(INDEX(Items!$B$6:$B$1005,MATCH(A546,Items!$A$6:$A$1005,0)),"MISSING ITEM ID")</x:f>
        <x:v>Prepared electrical insulation stock</x:v>
      </x:c>
      <x:c r="C546" s="3" t="str">
        <x:f>IFERROR(INDEX(Items!$D$6:$D$1005,MATCH(A546,Items!$A$6:$A$1005,0)),"MISSING ITEM ID")</x:f>
        <x:v>Manufactured stock</x:v>
      </x:c>
      <x:c r="D546" s="3" t="str">
        <x:v>Primary</x:v>
      </x:c>
      <x:c r="E546" s="3" t="str">
        <x:f>IFERROR(INDEX(Items!$AA$6:$AA$1005,MATCH(A546,Items!$A$6:$A$1005,0)),"MISSING ITEM ID")</x:f>
        <x:v>Electrical insulation</x:v>
      </x:c>
      <x:c r="F546" s="3" t="str">
        <x:v>Author-directed intended use; no numeric operating capability or recipe assigned.</x:v>
      </x:c>
    </x:row>
    <x:row r="547">
      <x:c r="A547" s="3" t="str">
        <x:v>author.electrical.insulation_stock</x:v>
      </x:c>
      <x:c r="B547" s="3" t="str">
        <x:f>IFERROR(INDEX(Items!$B$6:$B$1005,MATCH(A547,Items!$A$6:$A$1005,0)),"MISSING ITEM ID")</x:f>
        <x:v>Prepared electrical insulation stock</x:v>
      </x:c>
      <x:c r="C547" s="3" t="str">
        <x:f>IFERROR(INDEX(Items!$D$6:$D$1005,MATCH(A547,Items!$A$6:$A$1005,0)),"MISSING ITEM ID")</x:f>
        <x:v>Manufactured stock</x:v>
      </x:c>
      <x:c r="D547" s="3" t="str">
        <x:v>Secondary</x:v>
      </x:c>
      <x:c r="E547" s="3" t="str">
        <x:v>Electrical work</x:v>
      </x:c>
      <x:c r="F547" s="3" t="str">
        <x:v>Author-directed intended use; no numeric operating capability or recipe assigned.</x:v>
      </x:c>
    </x:row>
    <x:row r="548">
      <x:c r="A548" s="3" t="str">
        <x:v>author.electrical.insulated_suit</x:v>
      </x:c>
      <x:c r="B548" s="3" t="str">
        <x:f>IFERROR(INDEX(Items!$B$6:$B$1005,MATCH(A548,Items!$A$6:$A$1005,0)),"MISSING ITEM ID")</x:f>
        <x:v>Electrical insulating jacket</x:v>
      </x:c>
      <x:c r="C548" s="3" t="str">
        <x:f>IFERROR(INDEX(Items!$D$6:$D$1005,MATCH(A548,Items!$A$6:$A$1005,0)),"MISSING ITEM ID")</x:f>
        <x:v>Clothing</x:v>
      </x:c>
      <x:c r="D548" s="3" t="str">
        <x:v>Primary</x:v>
      </x:c>
      <x:c r="E548" s="3" t="str">
        <x:f>IFERROR(INDEX(Items!$AA$6:$AA$1005,MATCH(A548,Items!$A$6:$A$1005,0)),"MISSING ITEM ID")</x:f>
        <x:v>Electrical insulation</x:v>
      </x:c>
      <x:c r="F548" s="3" t="str">
        <x:v>Author-directed intended use; no numeric operating capability or recipe assigned.</x:v>
      </x:c>
    </x:row>
    <x:row r="549">
      <x:c r="A549" s="3" t="str">
        <x:v>author.electrical.insulated_suit</x:v>
      </x:c>
      <x:c r="B549" s="3" t="str">
        <x:f>IFERROR(INDEX(Items!$B$6:$B$1005,MATCH(A549,Items!$A$6:$A$1005,0)),"MISSING ITEM ID")</x:f>
        <x:v>Electrical insulating jacket</x:v>
      </x:c>
      <x:c r="C549" s="3" t="str">
        <x:f>IFERROR(INDEX(Items!$D$6:$D$1005,MATCH(A549,Items!$A$6:$A$1005,0)),"MISSING ITEM ID")</x:f>
        <x:v>Clothing</x:v>
      </x:c>
      <x:c r="D549" s="3" t="str">
        <x:v>Secondary</x:v>
      </x:c>
      <x:c r="E549" s="3" t="str">
        <x:v>Electrical work</x:v>
      </x:c>
      <x:c r="F549" s="3" t="str">
        <x:v>Author-directed intended use; no numeric operating capability or recipe assigned.</x:v>
      </x:c>
    </x:row>
    <x:row r="550">
      <x:c r="A550" s="3" t="str">
        <x:v>author.electrical.insulated_gloves</x:v>
      </x:c>
      <x:c r="B550" s="3" t="str">
        <x:f>IFERROR(INDEX(Items!$B$6:$B$1005,MATCH(A550,Items!$A$6:$A$1005,0)),"MISSING ITEM ID")</x:f>
        <x:v>Electrical insulating gloves</x:v>
      </x:c>
      <x:c r="C550" s="3" t="str">
        <x:f>IFERROR(INDEX(Items!$D$6:$D$1005,MATCH(A550,Items!$A$6:$A$1005,0)),"MISSING ITEM ID")</x:f>
        <x:v>Clothing</x:v>
      </x:c>
      <x:c r="D550" s="3" t="str">
        <x:v>Primary</x:v>
      </x:c>
      <x:c r="E550" s="3" t="str">
        <x:f>IFERROR(INDEX(Items!$AA$6:$AA$1005,MATCH(A550,Items!$A$6:$A$1005,0)),"MISSING ITEM ID")</x:f>
        <x:v>Electrical insulation</x:v>
      </x:c>
      <x:c r="F550" s="3" t="str">
        <x:v>Author-directed intended use; no numeric operating capability or recipe assigned.</x:v>
      </x:c>
    </x:row>
    <x:row r="551">
      <x:c r="A551" s="3" t="str">
        <x:v>author.electrical.insulated_gloves</x:v>
      </x:c>
      <x:c r="B551" s="3" t="str">
        <x:f>IFERROR(INDEX(Items!$B$6:$B$1005,MATCH(A551,Items!$A$6:$A$1005,0)),"MISSING ITEM ID")</x:f>
        <x:v>Electrical insulating gloves</x:v>
      </x:c>
      <x:c r="C551" s="3" t="str">
        <x:f>IFERROR(INDEX(Items!$D$6:$D$1005,MATCH(A551,Items!$A$6:$A$1005,0)),"MISSING ITEM ID")</x:f>
        <x:v>Clothing</x:v>
      </x:c>
      <x:c r="D551" s="3" t="str">
        <x:v>Secondary</x:v>
      </x:c>
      <x:c r="E551" s="3" t="str">
        <x:v>Electrical work</x:v>
      </x:c>
      <x:c r="F551" s="3" t="str">
        <x:v>Author-directed intended use; no numeric operating capability or recipe assigned.</x:v>
      </x:c>
    </x:row>
    <x:row r="552">
      <x:c r="A552" s="3" t="str">
        <x:v>author.electrical.insulated_boots</x:v>
      </x:c>
      <x:c r="B552" s="3" t="str">
        <x:f>IFERROR(INDEX(Items!$B$6:$B$1005,MATCH(A552,Items!$A$6:$A$1005,0)),"MISSING ITEM ID")</x:f>
        <x:v>Electrical insulating boots</x:v>
      </x:c>
      <x:c r="C552" s="3" t="str">
        <x:f>IFERROR(INDEX(Items!$D$6:$D$1005,MATCH(A552,Items!$A$6:$A$1005,0)),"MISSING ITEM ID")</x:f>
        <x:v>Clothing</x:v>
      </x:c>
      <x:c r="D552" s="3" t="str">
        <x:v>Primary</x:v>
      </x:c>
      <x:c r="E552" s="3" t="str">
        <x:f>IFERROR(INDEX(Items!$AA$6:$AA$1005,MATCH(A552,Items!$A$6:$A$1005,0)),"MISSING ITEM ID")</x:f>
        <x:v>Electrical insulation</x:v>
      </x:c>
      <x:c r="F552" s="3" t="str">
        <x:v>Author-directed intended use; no numeric operating capability or recipe assigned.</x:v>
      </x:c>
    </x:row>
    <x:row r="553">
      <x:c r="A553" s="3" t="str">
        <x:v>author.electrical.insulated_boots</x:v>
      </x:c>
      <x:c r="B553" s="3" t="str">
        <x:f>IFERROR(INDEX(Items!$B$6:$B$1005,MATCH(A553,Items!$A$6:$A$1005,0)),"MISSING ITEM ID")</x:f>
        <x:v>Electrical insulating boots</x:v>
      </x:c>
      <x:c r="C553" s="3" t="str">
        <x:f>IFERROR(INDEX(Items!$D$6:$D$1005,MATCH(A553,Items!$A$6:$A$1005,0)),"MISSING ITEM ID")</x:f>
        <x:v>Clothing</x:v>
      </x:c>
      <x:c r="D553" s="3" t="str">
        <x:v>Secondary</x:v>
      </x:c>
      <x:c r="E553" s="3" t="str">
        <x:v>Electrical work</x:v>
      </x:c>
      <x:c r="F553" s="3" t="str">
        <x:v>Author-directed intended use; no numeric operating capability or recipe assigned.</x:v>
      </x:c>
    </x:row>
    <x:row r="554">
      <x:c r="A554" s="3" t="str">
        <x:v>author.forging.hammer</x:v>
      </x:c>
      <x:c r="B554" s="3" t="str">
        <x:f>IFERROR(INDEX(Items!$B$6:$B$1005,MATCH(A554,Items!$A$6:$A$1005,0)),"MISSING ITEM ID")</x:f>
        <x:v>Forging hammer</x:v>
      </x:c>
      <x:c r="C554" s="3" t="str">
        <x:f>IFERROR(INDEX(Items!$D$6:$D$1005,MATCH(A554,Items!$A$6:$A$1005,0)),"MISSING ITEM ID")</x:f>
        <x:v>Salvage</x:v>
      </x:c>
      <x:c r="D554" s="3" t="str">
        <x:v>Primary</x:v>
      </x:c>
      <x:c r="E554" s="3" t="str">
        <x:f>IFERROR(INDEX(Items!$AA$6:$AA$1005,MATCH(A554,Items!$A$6:$A$1005,0)),"MISSING ITEM ID")</x:f>
        <x:v>Metal forging</x:v>
      </x:c>
      <x:c r="F554" s="3" t="str">
        <x:v>Workshop-use classification; tool construction, recipes and mechanics remain open.</x:v>
      </x:c>
    </x:row>
    <x:row r="555">
      <x:c r="A555" s="3"/>
      <x:c r="B555" s="3"/>
      <x:c r="C555" s="3"/>
      <x:c r="D555" s="3"/>
      <x:c r="E555" s="3"/>
      <x:c r="F555" s="3"/>
    </x:row>
    <x:row r="556">
      <x:c r="A556" s="3" t="str">
        <x:v>proposal.forging.tongs</x:v>
      </x:c>
      <x:c r="B556" s="3" t="str">
        <x:f>IFERROR(INDEX(Items!$B$6:$B$1005,MATCH(A556,Items!$A$6:$A$1005,0)),"MISSING ITEM ID")</x:f>
        <x:v>Smithing tongs</x:v>
      </x:c>
      <x:c r="C556" s="3" t="str">
        <x:f>IFERROR(INDEX(Items!$D$6:$D$1005,MATCH(A556,Items!$A$6:$A$1005,0)),"MISSING ITEM ID")</x:f>
        <x:v>Salvage</x:v>
      </x:c>
      <x:c r="D556" s="3" t="str">
        <x:v>Primary</x:v>
      </x:c>
      <x:c r="E556" s="3" t="str">
        <x:f>IFERROR(INDEX(Items!$AA$6:$AA$1005,MATCH(A556,Items!$A$6:$A$1005,0)),"MISSING ITEM ID")</x:f>
        <x:v>Work holding</x:v>
      </x:c>
      <x:c r="F556" s="3" t="str">
        <x:v>Workshop-use classification; tool construction, recipes and mechanics remain open.</x:v>
      </x:c>
    </x:row>
    <x:row r="557">
      <x:c r="A557" s="3" t="str">
        <x:v>proposal.forging.sledge</x:v>
      </x:c>
      <x:c r="B557" s="3" t="str">
        <x:f>IFERROR(INDEX(Items!$B$6:$B$1005,MATCH(A557,Items!$A$6:$A$1005,0)),"MISSING ITEM ID")</x:f>
        <x:v>Forging sledge</x:v>
      </x:c>
      <x:c r="C557" s="3" t="str">
        <x:f>IFERROR(INDEX(Items!$D$6:$D$1005,MATCH(A557,Items!$A$6:$A$1005,0)),"MISSING ITEM ID")</x:f>
        <x:v>Salvage</x:v>
      </x:c>
      <x:c r="D557" s="3" t="str">
        <x:v>Primary</x:v>
      </x:c>
      <x:c r="E557" s="3" t="str">
        <x:f>IFERROR(INDEX(Items!$AA$6:$AA$1005,MATCH(A557,Items!$A$6:$A$1005,0)),"MISSING ITEM ID")</x:f>
        <x:v>Metal forging</x:v>
      </x:c>
      <x:c r="F557" s="3" t="str">
        <x:v>Workshop-use classification; tool construction, recipes and mechanics remain open.</x:v>
      </x:c>
    </x:row>
    <x:row r="558">
      <x:c r="A558" s="3" t="str">
        <x:v>proposal.forging.hot_cut</x:v>
      </x:c>
      <x:c r="B558" s="3" t="str">
        <x:f>IFERROR(INDEX(Items!$B$6:$B$1005,MATCH(A558,Items!$A$6:$A$1005,0)),"MISSING ITEM ID")</x:f>
        <x:v>Hot-cut chisel</x:v>
      </x:c>
      <x:c r="C558" s="3" t="str">
        <x:f>IFERROR(INDEX(Items!$D$6:$D$1005,MATCH(A558,Items!$A$6:$A$1005,0)),"MISSING ITEM ID")</x:f>
        <x:v>Salvage</x:v>
      </x:c>
      <x:c r="D558" s="3" t="str">
        <x:v>Primary</x:v>
      </x:c>
      <x:c r="E558" s="3" t="str">
        <x:f>IFERROR(INDEX(Items!$AA$6:$AA$1005,MATCH(A558,Items!$A$6:$A$1005,0)),"MISSING ITEM ID")</x:f>
        <x:v>Metal forging</x:v>
      </x:c>
      <x:c r="F558" s="3" t="str">
        <x:v>Workshop-use classification; tool construction, recipes and mechanics remain open.</x:v>
      </x:c>
    </x:row>
    <x:row r="559">
      <x:c r="A559" s="3" t="str">
        <x:v>proposal.forging.punch</x:v>
      </x:c>
      <x:c r="B559" s="3" t="str">
        <x:f>IFERROR(INDEX(Items!$B$6:$B$1005,MATCH(A559,Items!$A$6:$A$1005,0)),"MISSING ITEM ID")</x:f>
        <x:v>Forging punch</x:v>
      </x:c>
      <x:c r="C559" s="3" t="str">
        <x:f>IFERROR(INDEX(Items!$D$6:$D$1005,MATCH(A559,Items!$A$6:$A$1005,0)),"MISSING ITEM ID")</x:f>
        <x:v>Salvage</x:v>
      </x:c>
      <x:c r="D559" s="3" t="str">
        <x:v>Primary</x:v>
      </x:c>
      <x:c r="E559" s="3" t="str">
        <x:f>IFERROR(INDEX(Items!$AA$6:$AA$1005,MATCH(A559,Items!$A$6:$A$1005,0)),"MISSING ITEM ID")</x:f>
        <x:v>Metal forging</x:v>
      </x:c>
      <x:c r="F559" s="3" t="str">
        <x:v>Workshop-use classification; tool construction, recipes and mechanics remain open.</x:v>
      </x:c>
    </x:row>
    <x:row r="560">
      <x:c r="A560" s="3" t="str">
        <x:v>proposal.forging.drift</x:v>
      </x:c>
      <x:c r="B560" s="3" t="str">
        <x:f>IFERROR(INDEX(Items!$B$6:$B$1005,MATCH(A560,Items!$A$6:$A$1005,0)),"MISSING ITEM ID")</x:f>
        <x:v>Forming drift</x:v>
      </x:c>
      <x:c r="C560" s="3" t="str">
        <x:f>IFERROR(INDEX(Items!$D$6:$D$1005,MATCH(A560,Items!$A$6:$A$1005,0)),"MISSING ITEM ID")</x:f>
        <x:v>Salvage</x:v>
      </x:c>
      <x:c r="D560" s="3" t="str">
        <x:v>Primary</x:v>
      </x:c>
      <x:c r="E560" s="3" t="str">
        <x:f>IFERROR(INDEX(Items!$AA$6:$AA$1005,MATCH(A560,Items!$A$6:$A$1005,0)),"MISSING ITEM ID")</x:f>
        <x:v>Metal forging</x:v>
      </x:c>
      <x:c r="F560" s="3" t="str">
        <x:v>Workshop-use classification; tool construction, recipes and mechanics remain open.</x:v>
      </x:c>
    </x:row>
    <x:row r="561">
      <x:c r="A561" s="3" t="str">
        <x:v>proposal.forging.swage_block</x:v>
      </x:c>
      <x:c r="B561" s="3" t="str">
        <x:f>IFERROR(INDEX(Items!$B$6:$B$1005,MATCH(A561,Items!$A$6:$A$1005,0)),"MISSING ITEM ID")</x:f>
        <x:v>Swage block</x:v>
      </x:c>
      <x:c r="C561" s="3" t="str">
        <x:f>IFERROR(INDEX(Items!$D$6:$D$1005,MATCH(A561,Items!$A$6:$A$1005,0)),"MISSING ITEM ID")</x:f>
        <x:v>Salvage</x:v>
      </x:c>
      <x:c r="D561" s="3" t="str">
        <x:v>Primary</x:v>
      </x:c>
      <x:c r="E561" s="3" t="str">
        <x:f>IFERROR(INDEX(Items!$AA$6:$AA$1005,MATCH(A561,Items!$A$6:$A$1005,0)),"MISSING ITEM ID")</x:f>
        <x:v>Metal forging</x:v>
      </x:c>
      <x:c r="F561" s="3" t="str">
        <x:v>Workshop-use classification; tool construction, recipes and mechanics remain open.</x:v>
      </x:c>
    </x:row>
    <x:row r="562">
      <x:c r="A562" s="3" t="str">
        <x:v>proposal.forging.file</x:v>
      </x:c>
      <x:c r="B562" s="3" t="str">
        <x:f>IFERROR(INDEX(Items!$B$6:$B$1005,MATCH(A562,Items!$A$6:$A$1005,0)),"MISSING ITEM ID")</x:f>
        <x:v>Metalworking file</x:v>
      </x:c>
      <x:c r="C562" s="3" t="str">
        <x:f>IFERROR(INDEX(Items!$D$6:$D$1005,MATCH(A562,Items!$A$6:$A$1005,0)),"MISSING ITEM ID")</x:f>
        <x:v>Salvage</x:v>
      </x:c>
      <x:c r="D562" s="3" t="str">
        <x:v>Primary</x:v>
      </x:c>
      <x:c r="E562" s="3" t="str">
        <x:f>IFERROR(INDEX(Items!$AA$6:$AA$1005,MATCH(A562,Items!$A$6:$A$1005,0)),"MISSING ITEM ID")</x:f>
        <x:v>Surface finishing</x:v>
      </x:c>
      <x:c r="F562" s="3" t="str">
        <x:v>Workshop-use classification; tool construction, recipes and mechanics remain open.</x:v>
      </x:c>
    </x:row>
    <x:row r="563">
      <x:c r="A563" s="3" t="str">
        <x:v>proposal.forging.hearth</x:v>
      </x:c>
      <x:c r="B563" s="3" t="str">
        <x:f>IFERROR(INDEX(Items!$B$6:$B$1005,MATCH(A563,Items!$A$6:$A$1005,0)),"MISSING ITEM ID")</x:f>
        <x:v>Forge hearth</x:v>
      </x:c>
      <x:c r="C563" s="3" t="str">
        <x:f>IFERROR(INDEX(Items!$D$6:$D$1005,MATCH(A563,Items!$A$6:$A$1005,0)),"MISSING ITEM ID")</x:f>
        <x:v>Crafting stations</x:v>
      </x:c>
      <x:c r="D563" s="3" t="str">
        <x:v>Primary</x:v>
      </x:c>
      <x:c r="E563" s="3" t="str">
        <x:f>IFERROR(INDEX(Items!$AA$6:$AA$1005,MATCH(A563,Items!$A$6:$A$1005,0)),"MISSING ITEM ID")</x:f>
        <x:v>Metal forging</x:v>
      </x:c>
      <x:c r="F563" s="3" t="str">
        <x:v>Workshop-use classification; tool construction, recipes and mechanics remain open.</x:v>
      </x:c>
    </x:row>
    <x:row r="564">
      <x:c r="A564" s="3" t="str">
        <x:v>author.metallurgy.steel_stock</x:v>
      </x:c>
      <x:c r="B564" s="3" t="str">
        <x:f>IFERROR(INDEX(Items!$B$6:$B$1005,MATCH(A564,Items!$A$6:$A$1005,0)),"MISSING ITEM ID")</x:f>
        <x:v>Steel stock</x:v>
      </x:c>
      <x:c r="C564" s="3" t="str">
        <x:f>IFERROR(INDEX(Items!$D$6:$D$1005,MATCH(A564,Items!$A$6:$A$1005,0)),"MISSING ITEM ID")</x:f>
        <x:v>Manufactured stock</x:v>
      </x:c>
      <x:c r="D564" s="3" t="str">
        <x:v>Primary</x:v>
      </x:c>
      <x:c r="E564" s="3" t="str">
        <x:f>IFERROR(INDEX(Items!$AA$6:$AA$1005,MATCH(A564,Items!$A$6:$A$1005,0)),"MISSING ITEM ID")</x:f>
        <x:v>Fabrication</x:v>
      </x:c>
      <x:c r="F564" s="3" t="str">
        <x:v>Steel stock is fabrication material; specific tool, armor and machine grades remain unassigned.</x:v>
      </x:c>
    </x:row>
    <x:row r="565">
      <x:c r="A565" s="3"/>
      <x:c r="B565" s="3"/>
      <x:c r="C565" s="3"/>
      <x:c r="D565" s="3"/>
      <x:c r="E565" s="3"/>
      <x:c r="F565" s="3"/>
    </x:row>
    <x:row r="566">
      <x:c r="A566" s="3"/>
      <x:c r="B566" s="3"/>
      <x:c r="C566" s="3"/>
      <x:c r="D566" s="3"/>
      <x:c r="E566" s="3"/>
      <x:c r="F566" s="3"/>
    </x:row>
    <x:row r="567">
      <x:c r="A567" s="3" t="str">
        <x:v>author.corrosion.advanced_remover</x:v>
      </x:c>
      <x:c r="B567" s="3" t="str">
        <x:f>IFERROR(INDEX(Items!$B$6:$B$1005,MATCH(A567,Items!$A$6:$A$1005,0)),"MISSING ITEM ID")</x:f>
        <x:v>Advanced rust-removal compound</x:v>
      </x:c>
      <x:c r="C567" s="3" t="str">
        <x:f>IFERROR(INDEX(Items!$D$6:$D$1005,MATCH(A567,Items!$A$6:$A$1005,0)),"MISSING ITEM ID")</x:f>
        <x:v>Crafting components</x:v>
      </x:c>
      <x:c r="D567" s="3" t="str">
        <x:v>Primary</x:v>
      </x:c>
      <x:c r="E567" s="3" t="str">
        <x:f>IFERROR(INDEX(Items!$AA$6:$AA$1005,MATCH(A567,Items!$A$6:$A$1005,0)),"MISSING ITEM ID")</x:f>
        <x:v>Surface finishing</x:v>
      </x:c>
      <x:c r="F567" s="3" t="str">
        <x:v>Metal surface-treatment function; formulation and performance remain open.</x:v>
      </x:c>
    </x:row>
    <x:row r="568">
      <x:c r="A568" s="3" t="str">
        <x:v>author.corrosion.advanced_remover</x:v>
      </x:c>
      <x:c r="B568" s="3" t="str">
        <x:f>IFERROR(INDEX(Items!$B$6:$B$1005,MATCH(A568,Items!$A$6:$A$1005,0)),"MISSING ITEM ID")</x:f>
        <x:v>Advanced rust-removal compound</x:v>
      </x:c>
      <x:c r="C568" s="3" t="str">
        <x:f>IFERROR(INDEX(Items!$D$6:$D$1005,MATCH(A568,Items!$A$6:$A$1005,0)),"MISSING ITEM ID")</x:f>
        <x:v>Crafting components</x:v>
      </x:c>
      <x:c r="D568" s="3" t="str">
        <x:v>Secondary</x:v>
      </x:c>
      <x:c r="E568" s="3" t="str">
        <x:v>Equipment repair</x:v>
      </x:c>
      <x:c r="F568" s="3" t="str">
        <x:v>Candidate maintenance use; compatibility must be specified.</x:v>
      </x:c>
    </x:row>
    <x:row r="569">
      <x:c r="A569" s="3" t="str">
        <x:v>proposal.corrosion.converter</x:v>
      </x:c>
      <x:c r="B569" s="3" t="str">
        <x:f>IFERROR(INDEX(Items!$B$6:$B$1005,MATCH(A569,Items!$A$6:$A$1005,0)),"MISSING ITEM ID")</x:f>
        <x:v>Rust-conversion treatment</x:v>
      </x:c>
      <x:c r="C569" s="3" t="str">
        <x:f>IFERROR(INDEX(Items!$D$6:$D$1005,MATCH(A569,Items!$A$6:$A$1005,0)),"MISSING ITEM ID")</x:f>
        <x:v>Crafting components</x:v>
      </x:c>
      <x:c r="D569" s="3" t="str">
        <x:v>Primary</x:v>
      </x:c>
      <x:c r="E569" s="3" t="str">
        <x:f>IFERROR(INDEX(Items!$AA$6:$AA$1005,MATCH(A569,Items!$A$6:$A$1005,0)),"MISSING ITEM ID")</x:f>
        <x:v>Surface finishing</x:v>
      </x:c>
      <x:c r="F569" s="3" t="str">
        <x:v>Metal surface-treatment function; formulation and performance remain open.</x:v>
      </x:c>
    </x:row>
    <x:row r="570">
      <x:c r="A570" s="3" t="str">
        <x:v>proposal.corrosion.converter</x:v>
      </x:c>
      <x:c r="B570" s="3" t="str">
        <x:f>IFERROR(INDEX(Items!$B$6:$B$1005,MATCH(A570,Items!$A$6:$A$1005,0)),"MISSING ITEM ID")</x:f>
        <x:v>Rust-conversion treatment</x:v>
      </x:c>
      <x:c r="C570" s="3" t="str">
        <x:f>IFERROR(INDEX(Items!$D$6:$D$1005,MATCH(A570,Items!$A$6:$A$1005,0)),"MISSING ITEM ID")</x:f>
        <x:v>Crafting components</x:v>
      </x:c>
      <x:c r="D570" s="3" t="str">
        <x:v>Secondary</x:v>
      </x:c>
      <x:c r="E570" s="3" t="str">
        <x:v>Equipment repair</x:v>
      </x:c>
      <x:c r="F570" s="3" t="str">
        <x:v>Candidate maintenance use; compatibility must be specified.</x:v>
      </x:c>
    </x:row>
    <x:row r="571">
      <x:c r="A571" s="3" t="str">
        <x:v>proposal.corrosion.inhibitor</x:v>
      </x:c>
      <x:c r="B571" s="3" t="str">
        <x:f>IFERROR(INDEX(Items!$B$6:$B$1005,MATCH(A571,Items!$A$6:$A$1005,0)),"MISSING ITEM ID")</x:f>
        <x:v>Corrosion-inhibiting finish</x:v>
      </x:c>
      <x:c r="C571" s="3" t="str">
        <x:f>IFERROR(INDEX(Items!$D$6:$D$1005,MATCH(A571,Items!$A$6:$A$1005,0)),"MISSING ITEM ID")</x:f>
        <x:v>Crafting components</x:v>
      </x:c>
      <x:c r="D571" s="3" t="str">
        <x:v>Primary</x:v>
      </x:c>
      <x:c r="E571" s="3" t="str">
        <x:f>IFERROR(INDEX(Items!$AA$6:$AA$1005,MATCH(A571,Items!$A$6:$A$1005,0)),"MISSING ITEM ID")</x:f>
        <x:v>Surface finishing</x:v>
      </x:c>
      <x:c r="F571" s="3" t="str">
        <x:v>Metal surface-treatment function; formulation and performance remain open.</x:v>
      </x:c>
    </x:row>
    <x:row r="572">
      <x:c r="A572" s="3" t="str">
        <x:v>proposal.corrosion.inhibitor</x:v>
      </x:c>
      <x:c r="B572" s="3" t="str">
        <x:f>IFERROR(INDEX(Items!$B$6:$B$1005,MATCH(A572,Items!$A$6:$A$1005,0)),"MISSING ITEM ID")</x:f>
        <x:v>Corrosion-inhibiting finish</x:v>
      </x:c>
      <x:c r="C572" s="3" t="str">
        <x:f>IFERROR(INDEX(Items!$D$6:$D$1005,MATCH(A572,Items!$A$6:$A$1005,0)),"MISSING ITEM ID")</x:f>
        <x:v>Crafting components</x:v>
      </x:c>
      <x:c r="D572" s="3" t="str">
        <x:v>Secondary</x:v>
      </x:c>
      <x:c r="E572" s="3" t="str">
        <x:v>Equipment repair</x:v>
      </x:c>
      <x:c r="F572" s="3" t="str">
        <x:v>Candidate maintenance use; compatibility must be specified.</x:v>
      </x:c>
    </x:row>
    <x:row r="573">
      <x:c r="A573" s="3" t="str">
        <x:v>proposal.branch.elastic_secretion</x:v>
      </x:c>
      <x:c r="B573" s="3" t="str">
        <x:f>IFERROR(INDEX('Items'!$B$6:$B$1005,MATCH(A573,'Items'!$A$6:$A$1005,0)),"MISSING ID")</x:f>
        <x:v>Elastic-joint secretion</x:v>
      </x:c>
      <x:c r="C573" s="3" t="str">
        <x:f>IFERROR(INDEX('Items'!$D$6:$D$1005,MATCH(A573,'Items'!$A$6:$A$1005,0)),"MISSING ID")</x:f>
        <x:v>Biological resources</x:v>
      </x:c>
      <x:c r="D573" s="3" t="str">
        <x:v>Primary</x:v>
      </x:c>
      <x:c r="E573" s="3" t="str">
        <x:f>IFERROR(INDEX('Items'!$AA$6:$AA$1005,MATCH(A573,'Items'!$A$6:$A$1005,0)),"MISSING ID")</x:f>
        <x:v>Chemical processing</x:v>
      </x:c>
      <x:c r="F573" s="3" t="str">
        <x:v>Primary intended material/component use; qualification and service compatibility remain open.</x:v>
      </x:c>
    </x:row>
    <x:row r="574">
      <x:c r="A574" s="3" t="str">
        <x:v>proposal.branch.flux</x:v>
      </x:c>
      <x:c r="B574" s="3" t="str">
        <x:f>IFERROR(INDEX('Items'!$B$6:$B$1005,MATCH(A574,'Items'!$A$6:$A$1005,0)),"MISSING ID")</x:f>
        <x:v>Prepared metallurgical flux</x:v>
      </x:c>
      <x:c r="C574" s="3" t="str">
        <x:f>IFERROR(INDEX('Items'!$D$6:$D$1005,MATCH(A574,'Items'!$A$6:$A$1005,0)),"MISSING ID")</x:f>
        <x:v>Crafting components</x:v>
      </x:c>
      <x:c r="D574" s="3" t="str">
        <x:v>Primary</x:v>
      </x:c>
      <x:c r="E574" s="3" t="str">
        <x:f>IFERROR(INDEX('Items'!$AA$6:$AA$1005,MATCH(A574,'Items'!$A$6:$A$1005,0)),"MISSING ID")</x:f>
        <x:v>Metal refining</x:v>
      </x:c>
      <x:c r="F574" s="3" t="str">
        <x:v>Primary intended material/component use; qualification and service compatibility remain open.</x:v>
      </x:c>
    </x:row>
    <x:row r="575">
      <x:c r="A575" s="3" t="str">
        <x:v>proposal.branch.refractory_feed</x:v>
      </x:c>
      <x:c r="B575" s="3" t="str">
        <x:f>IFERROR(INDEX('Items'!$B$6:$B$1005,MATCH(A575,'Items'!$A$6:$A$1005,0)),"MISSING ID")</x:f>
        <x:v>Graded refractory mineral feed</x:v>
      </x:c>
      <x:c r="C575" s="3" t="str">
        <x:f>IFERROR(INDEX('Items'!$D$6:$D$1005,MATCH(A575,'Items'!$A$6:$A$1005,0)),"MISSING ID")</x:f>
        <x:v>Manufactured stock</x:v>
      </x:c>
      <x:c r="D575" s="3" t="str">
        <x:v>Primary</x:v>
      </x:c>
      <x:c r="E575" s="3" t="str">
        <x:f>IFERROR(INDEX('Items'!$AA$6:$AA$1005,MATCH(A575,'Items'!$A$6:$A$1005,0)),"MISSING ID")</x:f>
        <x:v>Glass and ceramics</x:v>
      </x:c>
      <x:c r="F575" s="3" t="str">
        <x:v>Primary intended material/component use; qualification and service compatibility remain open.</x:v>
      </x:c>
    </x:row>
    <x:row r="576">
      <x:c r="A576" s="3" t="str">
        <x:v>proposal.branch.manganese_feed</x:v>
      </x:c>
      <x:c r="B576" s="3" t="str">
        <x:f>IFERROR(INDEX('Items'!$B$6:$B$1005,MATCH(A576,'Items'!$A$6:$A$1005,0)),"MISSING ID")</x:f>
        <x:v>Manganese-bearing alloy feed</x:v>
      </x:c>
      <x:c r="C576" s="3" t="str">
        <x:f>IFERROR(INDEX('Items'!$D$6:$D$1005,MATCH(A576,'Items'!$A$6:$A$1005,0)),"MISSING ID")</x:f>
        <x:v>Manufactured stock</x:v>
      </x:c>
      <x:c r="D576" s="3" t="str">
        <x:v>Primary</x:v>
      </x:c>
      <x:c r="E576" s="3" t="str">
        <x:f>IFERROR(INDEX('Items'!$AA$6:$AA$1005,MATCH(A576,'Items'!$A$6:$A$1005,0)),"MISSING ID")</x:f>
        <x:v>Metal refining</x:v>
      </x:c>
      <x:c r="F576" s="3" t="str">
        <x:v>Primary intended material/component use; qualification and service compatibility remain open.</x:v>
      </x:c>
    </x:row>
    <x:row r="577">
      <x:c r="A577" s="3" t="str">
        <x:v>proposal.branch.flex_binder</x:v>
      </x:c>
      <x:c r="B577" s="3" t="str">
        <x:f>IFERROR(INDEX('Items'!$B$6:$B$1005,MATCH(A577,'Items'!$A$6:$A$1005,0)),"MISSING ID")</x:f>
        <x:v>Prepared flexible faunal binder</x:v>
      </x:c>
      <x:c r="C577" s="3" t="str">
        <x:f>IFERROR(INDEX('Items'!$D$6:$D$1005,MATCH(A577,'Items'!$A$6:$A$1005,0)),"MISSING ID")</x:f>
        <x:v>Crafting components</x:v>
      </x:c>
      <x:c r="D577" s="3" t="str">
        <x:v>Primary</x:v>
      </x:c>
      <x:c r="E577" s="3" t="str">
        <x:f>IFERROR(INDEX('Items'!$AA$6:$AA$1005,MATCH(A577,'Items'!$A$6:$A$1005,0)),"MISSING ID")</x:f>
        <x:v>Binding and construction</x:v>
      </x:c>
      <x:c r="F577" s="3" t="str">
        <x:v>Primary intended material/component use; qualification and service compatibility remain open.</x:v>
      </x:c>
    </x:row>
    <x:row r="578">
      <x:c r="A578" s="3" t="str">
        <x:v>proposal.branch.etchant</x:v>
      </x:c>
      <x:c r="B578" s="3" t="str">
        <x:f>IFERROR(INDEX('Items'!$B$6:$B$1005,MATCH(A578,'Items'!$A$6:$A$1005,0)),"MISSING ID")</x:f>
        <x:v>Conditioned faunal etchant</x:v>
      </x:c>
      <x:c r="C578" s="3" t="str">
        <x:f>IFERROR(INDEX('Items'!$D$6:$D$1005,MATCH(A578,'Items'!$A$6:$A$1005,0)),"MISSING ID")</x:f>
        <x:v>Crafting components</x:v>
      </x:c>
      <x:c r="D578" s="3" t="str">
        <x:v>Primary</x:v>
      </x:c>
      <x:c r="E578" s="3" t="str">
        <x:f>IFERROR(INDEX('Items'!$AA$6:$AA$1005,MATCH(A578,'Items'!$A$6:$A$1005,0)),"MISSING ID")</x:f>
        <x:v>Surface finishing</x:v>
      </x:c>
      <x:c r="F578" s="3" t="str">
        <x:v>Primary intended material/component use; qualification and service compatibility remain open.</x:v>
      </x:c>
    </x:row>
    <x:row r="579">
      <x:c r="A579" s="3" t="str">
        <x:v>proposal.branch.alloy_addition</x:v>
      </x:c>
      <x:c r="B579" s="3" t="str">
        <x:f>IFERROR(INDEX('Items'!$B$6:$B$1005,MATCH(A579,'Items'!$A$6:$A$1005,0)),"MISSING ID")</x:f>
        <x:v>Prepared manganese alloying stock</x:v>
      </x:c>
      <x:c r="C579" s="3" t="str">
        <x:f>IFERROR(INDEX('Items'!$D$6:$D$1005,MATCH(A579,'Items'!$A$6:$A$1005,0)),"MISSING ID")</x:f>
        <x:v>Manufactured stock</x:v>
      </x:c>
      <x:c r="D579" s="3" t="str">
        <x:v>Primary</x:v>
      </x:c>
      <x:c r="E579" s="3" t="str">
        <x:f>IFERROR(INDEX('Items'!$AA$6:$AA$1005,MATCH(A579,'Items'!$A$6:$A$1005,0)),"MISSING ID")</x:f>
        <x:v>Metal refining</x:v>
      </x:c>
      <x:c r="F579" s="3" t="str">
        <x:v>Primary intended material/component use; qualification and service compatibility remain open.</x:v>
      </x:c>
    </x:row>
    <x:row r="580">
      <x:c r="A580" s="3" t="str">
        <x:v>proposal.branch.drawn_copper</x:v>
      </x:c>
      <x:c r="B580" s="3" t="str">
        <x:f>IFERROR(INDEX('Items'!$B$6:$B$1005,MATCH(A580,'Items'!$A$6:$A$1005,0)),"MISSING ID")</x:f>
        <x:v>Drawn copper stock</x:v>
      </x:c>
      <x:c r="C580" s="3" t="str">
        <x:f>IFERROR(INDEX('Items'!$D$6:$D$1005,MATCH(A580,'Items'!$A$6:$A$1005,0)),"MISSING ID")</x:f>
        <x:v>Manufactured stock</x:v>
      </x:c>
      <x:c r="D580" s="3" t="str">
        <x:v>Primary</x:v>
      </x:c>
      <x:c r="E580" s="3" t="str">
        <x:f>IFERROR(INDEX('Items'!$AA$6:$AA$1005,MATCH(A580,'Items'!$A$6:$A$1005,0)),"MISSING ID")</x:f>
        <x:v>Electrical conduction</x:v>
      </x:c>
      <x:c r="F580" s="3" t="str">
        <x:v>Primary intended material/component use; qualification and service compatibility remain open.</x:v>
      </x:c>
    </x:row>
    <x:row r="581">
      <x:c r="A581" s="3" t="str">
        <x:v>proposal.branch.bearing_bronze</x:v>
      </x:c>
      <x:c r="B581" s="3" t="str">
        <x:f>IFERROR(INDEX('Items'!$B$6:$B$1005,MATCH(A581,'Items'!$A$6:$A$1005,0)),"MISSING ID")</x:f>
        <x:v>Prepared bronze bearing stock</x:v>
      </x:c>
      <x:c r="C581" s="3" t="str">
        <x:f>IFERROR(INDEX('Items'!$D$6:$D$1005,MATCH(A581,'Items'!$A$6:$A$1005,0)),"MISSING ID")</x:f>
        <x:v>Manufactured stock</x:v>
      </x:c>
      <x:c r="D581" s="3" t="str">
        <x:v>Primary</x:v>
      </x:c>
      <x:c r="E581" s="3" t="str">
        <x:f>IFERROR(INDEX('Items'!$AA$6:$AA$1005,MATCH(A581,'Items'!$A$6:$A$1005,0)),"MISSING ID")</x:f>
        <x:v>Machinery repair</x:v>
      </x:c>
      <x:c r="F581" s="3" t="str">
        <x:v>Primary intended material/component use; qualification and service compatibility remain open.</x:v>
      </x:c>
    </x:row>
    <x:row r="582">
      <x:c r="A582" s="3" t="str">
        <x:v>proposal.branch.refractory_ceramic</x:v>
      </x:c>
      <x:c r="B582" s="3" t="str">
        <x:f>IFERROR(INDEX('Items'!$B$6:$B$1005,MATCH(A582,'Items'!$A$6:$A$1005,0)),"MISSING ID")</x:f>
        <x:v>Refractory ceramic stock</x:v>
      </x:c>
      <x:c r="C582" s="3" t="str">
        <x:f>IFERROR(INDEX('Items'!$D$6:$D$1005,MATCH(A582,'Items'!$A$6:$A$1005,0)),"MISSING ID")</x:f>
        <x:v>Manufactured stock</x:v>
      </x:c>
      <x:c r="D582" s="3" t="str">
        <x:v>Primary</x:v>
      </x:c>
      <x:c r="E582" s="3" t="str">
        <x:f>IFERROR(INDEX('Items'!$AA$6:$AA$1005,MATCH(A582,'Items'!$A$6:$A$1005,0)),"MISSING ID")</x:f>
        <x:v>Fire management</x:v>
      </x:c>
      <x:c r="F582" s="3" t="str">
        <x:v>Primary intended material/component use; qualification and service compatibility remain open.</x:v>
      </x:c>
    </x:row>
    <x:row r="583">
      <x:c r="A583" s="3" t="str">
        <x:v>proposal.branch.opaque_sheet</x:v>
      </x:c>
      <x:c r="B583" s="3" t="str">
        <x:f>IFERROR(INDEX('Items'!$B$6:$B$1005,MATCH(A583,'Items'!$A$6:$A$1005,0)),"MISSING ID")</x:f>
        <x:v>Formed opaque glass sheet</x:v>
      </x:c>
      <x:c r="C583" s="3" t="str">
        <x:f>IFERROR(INDEX('Items'!$D$6:$D$1005,MATCH(A583,'Items'!$A$6:$A$1005,0)),"MISSING ID")</x:f>
        <x:v>Manufactured stock</x:v>
      </x:c>
      <x:c r="D583" s="3" t="str">
        <x:v>Primary</x:v>
      </x:c>
      <x:c r="E583" s="3" t="str">
        <x:f>IFERROR(INDEX('Items'!$AA$6:$AA$1005,MATCH(A583,'Items'!$A$6:$A$1005,0)),"MISSING ID")</x:f>
        <x:v>Glass and ceramics</x:v>
      </x:c>
      <x:c r="F583" s="3" t="str">
        <x:v>Primary intended material/component use; qualification and service compatibility remain open.</x:v>
      </x:c>
    </x:row>
    <x:row r="584">
      <x:c r="A584" s="3" t="str">
        <x:v>proposal.branch.viewing_glass</x:v>
      </x:c>
      <x:c r="B584" s="3" t="str">
        <x:f>IFERROR(INDEX('Items'!$B$6:$B$1005,MATCH(A584,'Items'!$A$6:$A$1005,0)),"MISSING ID")</x:f>
        <x:v>Selected viewing-glass stock</x:v>
      </x:c>
      <x:c r="C584" s="3" t="str">
        <x:f>IFERROR(INDEX('Items'!$D$6:$D$1005,MATCH(A584,'Items'!$A$6:$A$1005,0)),"MISSING ID")</x:f>
        <x:v>Manufactured stock</x:v>
      </x:c>
      <x:c r="D584" s="3" t="str">
        <x:v>Primary</x:v>
      </x:c>
      <x:c r="E584" s="3" t="str">
        <x:f>IFERROR(INDEX('Items'!$AA$6:$AA$1005,MATCH(A584,'Items'!$A$6:$A$1005,0)),"MISSING ID")</x:f>
        <x:v>Vision</x:v>
      </x:c>
      <x:c r="F584" s="3" t="str">
        <x:v>Primary intended material/component use; qualification and service compatibility remain open.</x:v>
      </x:c>
    </x:row>
    <x:row r="585">
      <x:c r="A585" s="3" t="str">
        <x:v>proposal.branch.husk_sheet</x:v>
      </x:c>
      <x:c r="B585" s="3" t="str">
        <x:f>IFERROR(INDEX('Items'!$B$6:$B$1005,MATCH(A585,'Items'!$A$6:$A$1005,0)),"MISSING ID")</x:f>
        <x:v>Bonded husk sheet</x:v>
      </x:c>
      <x:c r="C585" s="3" t="str">
        <x:f>IFERROR(INDEX('Items'!$D$6:$D$1005,MATCH(A585,'Items'!$A$6:$A$1005,0)),"MISSING ID")</x:f>
        <x:v>Manufactured stock</x:v>
      </x:c>
      <x:c r="D585" s="3" t="str">
        <x:v>Primary</x:v>
      </x:c>
      <x:c r="E585" s="3" t="str">
        <x:f>IFERROR(INDEX('Items'!$AA$6:$AA$1005,MATCH(A585,'Items'!$A$6:$A$1005,0)),"MISSING ID")</x:f>
        <x:v>Clothing fabrication</x:v>
      </x:c>
      <x:c r="F585" s="3" t="str">
        <x:v>Primary intended material/component use; qualification and service compatibility remain open.</x:v>
      </x:c>
    </x:row>
    <x:row r="586">
      <x:c r="A586" s="3" t="str">
        <x:v>proposal.branch.wing_membrane</x:v>
      </x:c>
      <x:c r="B586" s="3" t="str">
        <x:f>IFERROR(INDEX('Items'!$B$6:$B$1005,MATCH(A586,'Items'!$A$6:$A$1005,0)),"MISSING ID")</x:f>
        <x:v>Reinforced wing membrane</x:v>
      </x:c>
      <x:c r="C586" s="3" t="str">
        <x:f>IFERROR(INDEX('Items'!$D$6:$D$1005,MATCH(A586,'Items'!$A$6:$A$1005,0)),"MISSING ID")</x:f>
        <x:v>Manufactured stock</x:v>
      </x:c>
      <x:c r="D586" s="3" t="str">
        <x:v>Primary</x:v>
      </x:c>
      <x:c r="E586" s="3" t="str">
        <x:f>IFERROR(INDEX('Items'!$AA$6:$AA$1005,MATCH(A586,'Items'!$A$6:$A$1005,0)),"MISSING ID")</x:f>
        <x:v>Wind propulsion</x:v>
      </x:c>
      <x:c r="F586" s="3" t="str">
        <x:v>Primary intended material/component use; qualification and service compatibility remain open.</x:v>
      </x:c>
    </x:row>
    <x:row r="587">
      <x:c r="A587" s="3" t="str">
        <x:v>proposal.branch.filled_seal</x:v>
      </x:c>
      <x:c r="B587" s="3" t="str">
        <x:f>IFERROR(INDEX('Items'!$B$6:$B$1005,MATCH(A587,'Items'!$A$6:$A$1005,0)),"MISSING ID")</x:f>
        <x:v>Filled faunal seal compound</x:v>
      </x:c>
      <x:c r="C587" s="3" t="str">
        <x:f>IFERROR(INDEX('Items'!$D$6:$D$1005,MATCH(A587,'Items'!$A$6:$A$1005,0)),"MISSING ID")</x:f>
        <x:v>Crafting components</x:v>
      </x:c>
      <x:c r="D587" s="3" t="str">
        <x:v>Primary</x:v>
      </x:c>
      <x:c r="E587" s="3" t="str">
        <x:f>IFERROR(INDEX('Items'!$AA$6:$AA$1005,MATCH(A587,'Items'!$A$6:$A$1005,0)),"MISSING ID")</x:f>
        <x:v>Sealing</x:v>
      </x:c>
      <x:c r="F587" s="3" t="str">
        <x:v>Primary intended material/component use; qualification and service compatibility remain open.</x:v>
      </x:c>
    </x:row>
    <x:row r="588">
      <x:c r="A588" s="3" t="str">
        <x:v>proposal.branch.flex_bond</x:v>
      </x:c>
      <x:c r="B588" s="3" t="str">
        <x:f>IFERROR(INDEX('Items'!$B$6:$B$1005,MATCH(A588,'Items'!$A$6:$A$1005,0)),"MISSING ID")</x:f>
        <x:v>Flexible membrane-bonding compound</x:v>
      </x:c>
      <x:c r="C588" s="3" t="str">
        <x:f>IFERROR(INDEX('Items'!$D$6:$D$1005,MATCH(A588,'Items'!$A$6:$A$1005,0)),"MISSING ID")</x:f>
        <x:v>Crafting components</x:v>
      </x:c>
      <x:c r="D588" s="3" t="str">
        <x:v>Primary</x:v>
      </x:c>
      <x:c r="E588" s="3" t="str">
        <x:f>IFERROR(INDEX('Items'!$AA$6:$AA$1005,MATCH(A588,'Items'!$A$6:$A$1005,0)),"MISSING ID")</x:f>
        <x:v>Binding and construction</x:v>
      </x:c>
      <x:c r="F588" s="3" t="str">
        <x:v>Primary intended material/component use; qualification and service compatibility remain open.</x:v>
      </x:c>
    </x:row>
    <x:row r="589">
      <x:c r="A589" s="3" t="str">
        <x:v>proposal.branch.pigment_coating</x:v>
      </x:c>
      <x:c r="B589" s="3" t="str">
        <x:f>IFERROR(INDEX('Items'!$B$6:$B$1005,MATCH(A589,'Items'!$A$6:$A$1005,0)),"MISSING ID")</x:f>
        <x:v>Mineral pigment coating</x:v>
      </x:c>
      <x:c r="C589" s="3" t="str">
        <x:f>IFERROR(INDEX('Items'!$D$6:$D$1005,MATCH(A589,'Items'!$A$6:$A$1005,0)),"MISSING ID")</x:f>
        <x:v>Manufactured stock</x:v>
      </x:c>
      <x:c r="D589" s="3" t="str">
        <x:v>Primary</x:v>
      </x:c>
      <x:c r="E589" s="3" t="str">
        <x:f>IFERROR(INDEX('Items'!$AA$6:$AA$1005,MATCH(A589,'Items'!$A$6:$A$1005,0)),"MISSING ID")</x:f>
        <x:v>Decoration</x:v>
      </x:c>
      <x:c r="F589" s="3" t="str">
        <x:v>Primary intended material/component use; qualification and service compatibility remain open.</x:v>
      </x:c>
    </x:row>
    <x:row r="590">
      <x:c r="A590" s="3" t="str">
        <x:v>proposal.branch.filled_binder</x:v>
      </x:c>
      <x:c r="B590" s="3" t="str">
        <x:f>IFERROR(INDEX('Items'!$B$6:$B$1005,MATCH(A590,'Items'!$A$6:$A$1005,0)),"MISSING ID")</x:f>
        <x:v>Filled shell-binding compound</x:v>
      </x:c>
      <x:c r="C590" s="3" t="str">
        <x:f>IFERROR(INDEX('Items'!$D$6:$D$1005,MATCH(A590,'Items'!$A$6:$A$1005,0)),"MISSING ID")</x:f>
        <x:v>Crafting components</x:v>
      </x:c>
      <x:c r="D590" s="3" t="str">
        <x:v>Primary</x:v>
      </x:c>
      <x:c r="E590" s="3" t="str">
        <x:f>IFERROR(INDEX('Items'!$AA$6:$AA$1005,MATCH(A590,'Items'!$A$6:$A$1005,0)),"MISSING ID")</x:f>
        <x:v>Binding and construction</x:v>
      </x:c>
      <x:c r="F590" s="3" t="str">
        <x:v>Primary intended material/component use; qualification and service compatibility remain open.</x:v>
      </x:c>
    </x:row>
    <x:row r="591">
      <x:c r="A591" s="3" t="str">
        <x:v>proposal.branch.mica_sheet</x:v>
      </x:c>
      <x:c r="B591" s="3" t="str">
        <x:f>IFERROR(INDEX('Items'!$B$6:$B$1005,MATCH(A591,'Items'!$A$6:$A$1005,0)),"MISSING ID")</x:f>
        <x:v>Mica composite sheet</x:v>
      </x:c>
      <x:c r="C591" s="3" t="str">
        <x:f>IFERROR(INDEX('Items'!$D$6:$D$1005,MATCH(A591,'Items'!$A$6:$A$1005,0)),"MISSING ID")</x:f>
        <x:v>Manufactured stock</x:v>
      </x:c>
      <x:c r="D591" s="3" t="str">
        <x:v>Primary</x:v>
      </x:c>
      <x:c r="E591" s="3" t="str">
        <x:f>IFERROR(INDEX('Items'!$AA$6:$AA$1005,MATCH(A591,'Items'!$A$6:$A$1005,0)),"MISSING ID")</x:f>
        <x:v>Electrical insulation</x:v>
      </x:c>
      <x:c r="F591" s="3" t="str">
        <x:v>Primary intended material/component use; qualification and service compatibility remain open.</x:v>
      </x:c>
    </x:row>
    <x:row r="592">
      <x:c r="A592" s="3" t="str">
        <x:v>proposal.branch.tuned_stone</x:v>
      </x:c>
      <x:c r="B592" s="3" t="str">
        <x:f>IFERROR(INDEX('Items'!$B$6:$B$1005,MATCH(A592,'Items'!$A$6:$A$1005,0)),"MISSING ID")</x:f>
        <x:v>Tuned stone stock</x:v>
      </x:c>
      <x:c r="C592" s="3" t="str">
        <x:f>IFERROR(INDEX('Items'!$D$6:$D$1005,MATCH(A592,'Items'!$A$6:$A$1005,0)),"MISSING ID")</x:f>
        <x:v>Manufactured stock</x:v>
      </x:c>
      <x:c r="D592" s="3" t="str">
        <x:v>Primary</x:v>
      </x:c>
      <x:c r="E592" s="3" t="str">
        <x:f>IFERROR(INDEX('Items'!$AA$6:$AA$1005,MATCH(A592,'Items'!$A$6:$A$1005,0)),"MISSING ID")</x:f>
        <x:v>Music</x:v>
      </x:c>
      <x:c r="F592" s="3" t="str">
        <x:v>Primary intended material/component use; qualification and service compatibility remain open.</x:v>
      </x:c>
    </x:row>
    <x:row r="593">
      <x:c r="A593" s="3" t="str">
        <x:v>proposal.branch.polished_gem</x:v>
      </x:c>
      <x:c r="B593" s="3" t="str">
        <x:f>IFERROR(INDEX('Items'!$B$6:$B$1005,MATCH(A593,'Items'!$A$6:$A$1005,0)),"MISSING ID")</x:f>
        <x:v>Polished gemstone blanks</x:v>
      </x:c>
      <x:c r="C593" s="3" t="str">
        <x:f>IFERROR(INDEX('Items'!$D$6:$D$1005,MATCH(A593,'Items'!$A$6:$A$1005,0)),"MISSING ID")</x:f>
        <x:v>Manufactured stock</x:v>
      </x:c>
      <x:c r="D593" s="3" t="str">
        <x:v>Primary</x:v>
      </x:c>
      <x:c r="E593" s="3" t="str">
        <x:f>IFERROR(INDEX('Items'!$AA$6:$AA$1005,MATCH(A593,'Items'!$A$6:$A$1005,0)),"MISSING ID")</x:f>
        <x:v>Decoration</x:v>
      </x:c>
      <x:c r="F593" s="3" t="str">
        <x:v>Primary intended material/component use; qualification and service compatibility remain open.</x:v>
      </x:c>
    </x:row>
    <x:row r="594">
      <x:c r="A594" s="3" t="str">
        <x:v>proposal.branch.steel_shell</x:v>
      </x:c>
      <x:c r="B594" s="3" t="str">
        <x:f>IFERROR(INDEX('Items'!$B$6:$B$1005,MATCH(A594,'Items'!$A$6:$A$1005,0)),"MISSING ID")</x:f>
        <x:v>Steel-faced shell composite</x:v>
      </x:c>
      <x:c r="C594" s="3" t="str">
        <x:f>IFERROR(INDEX('Items'!$D$6:$D$1005,MATCH(A594,'Items'!$A$6:$A$1005,0)),"MISSING ID")</x:f>
        <x:v>Manufactured stock</x:v>
      </x:c>
      <x:c r="D594" s="3" t="str">
        <x:v>Primary</x:v>
      </x:c>
      <x:c r="E594" s="3" t="str">
        <x:f>IFERROR(INDEX('Items'!$AA$6:$AA$1005,MATCH(A594,'Items'!$A$6:$A$1005,0)),"MISSING ID")</x:f>
        <x:v>Protective fabrication</x:v>
      </x:c>
      <x:c r="F594" s="3" t="str">
        <x:v>Primary intended material/component use; qualification and service compatibility remain open.</x:v>
      </x:c>
    </x:row>
    <x:row r="595">
      <x:c r="A595" s="3" t="str">
        <x:v>proposal.branch.spring_steel</x:v>
      </x:c>
      <x:c r="B595" s="3" t="str">
        <x:f>IFERROR(INDEX('Items'!$B$6:$B$1005,MATCH(A595,'Items'!$A$6:$A$1005,0)),"MISSING ID")</x:f>
        <x:v>Spring-grade steel stock</x:v>
      </x:c>
      <x:c r="C595" s="3" t="str">
        <x:f>IFERROR(INDEX('Items'!$D$6:$D$1005,MATCH(A595,'Items'!$A$6:$A$1005,0)),"MISSING ID")</x:f>
        <x:v>Manufactured stock</x:v>
      </x:c>
      <x:c r="D595" s="3" t="str">
        <x:v>Primary</x:v>
      </x:c>
      <x:c r="E595" s="3" t="str">
        <x:f>IFERROR(INDEX('Items'!$AA$6:$AA$1005,MATCH(A595,'Items'!$A$6:$A$1005,0)),"MISSING ID")</x:f>
        <x:v>Machinery repair</x:v>
      </x:c>
      <x:c r="F595" s="3" t="str">
        <x:v>Primary intended material/component use; qualification and service compatibility remain open.</x:v>
      </x:c>
    </x:row>
    <x:row r="596">
      <x:c r="A596" s="3" t="str">
        <x:v>proposal.branch.insulated_conductor</x:v>
      </x:c>
      <x:c r="B596" s="3" t="str">
        <x:f>IFERROR(INDEX('Items'!$B$6:$B$1005,MATCH(A596,'Items'!$A$6:$A$1005,0)),"MISSING ID")</x:f>
        <x:v>Insulated conductor stock</x:v>
      </x:c>
      <x:c r="C596" s="3" t="str">
        <x:f>IFERROR(INDEX('Items'!$D$6:$D$1005,MATCH(A596,'Items'!$A$6:$A$1005,0)),"MISSING ID")</x:f>
        <x:v>Manufactured stock</x:v>
      </x:c>
      <x:c r="D596" s="3" t="str">
        <x:v>Primary</x:v>
      </x:c>
      <x:c r="E596" s="3" t="str">
        <x:f>IFERROR(INDEX('Items'!$AA$6:$AA$1005,MATCH(A596,'Items'!$A$6:$A$1005,0)),"MISSING ID")</x:f>
        <x:v>Electrical conduction</x:v>
      </x:c>
      <x:c r="F596" s="3" t="str">
        <x:v>Primary intended material/component use; qualification and service compatibility remain open.</x:v>
      </x:c>
    </x:row>
    <x:row r="597">
      <x:c r="A597" s="3" t="str">
        <x:v>proposal.branch.ceramic_shell</x:v>
      </x:c>
      <x:c r="B597" s="3" t="str">
        <x:f>IFERROR(INDEX('Items'!$B$6:$B$1005,MATCH(A597,'Items'!$A$6:$A$1005,0)),"MISSING ID")</x:f>
        <x:v>Bonded ceramic-shell composite</x:v>
      </x:c>
      <x:c r="C597" s="3" t="str">
        <x:f>IFERROR(INDEX('Items'!$D$6:$D$1005,MATCH(A597,'Items'!$A$6:$A$1005,0)),"MISSING ID")</x:f>
        <x:v>Manufactured stock</x:v>
      </x:c>
      <x:c r="D597" s="3" t="str">
        <x:v>Primary</x:v>
      </x:c>
      <x:c r="E597" s="3" t="str">
        <x:f>IFERROR(INDEX('Items'!$AA$6:$AA$1005,MATCH(A597,'Items'!$A$6:$A$1005,0)),"MISSING ID")</x:f>
        <x:v>Protective fabrication</x:v>
      </x:c>
      <x:c r="F597" s="3" t="str">
        <x:v>Primary intended material/component use; qualification and service compatibility remain open.</x:v>
      </x:c>
    </x:row>
    <x:row r="598">
      <x:c r="A598" s="3" t="str">
        <x:v>proposal.branch.optical_glass</x:v>
      </x:c>
      <x:c r="B598" s="3" t="str">
        <x:f>IFERROR(INDEX('Items'!$B$6:$B$1005,MATCH(A598,'Items'!$A$6:$A$1005,0)),"MISSING ID")</x:f>
        <x:v>Ground optical glass stock</x:v>
      </x:c>
      <x:c r="C598" s="3" t="str">
        <x:f>IFERROR(INDEX('Items'!$D$6:$D$1005,MATCH(A598,'Items'!$A$6:$A$1005,0)),"MISSING ID")</x:f>
        <x:v>Manufactured stock</x:v>
      </x:c>
      <x:c r="D598" s="3" t="str">
        <x:v>Primary</x:v>
      </x:c>
      <x:c r="E598" s="3" t="str">
        <x:f>IFERROR(INDEX('Items'!$AA$6:$AA$1005,MATCH(A598,'Items'!$A$6:$A$1005,0)),"MISSING ID")</x:f>
        <x:v>Vision</x:v>
      </x:c>
      <x:c r="F598" s="3" t="str">
        <x:v>Primary intended material/component use; qualification and service compatibility remain open.</x:v>
      </x:c>
    </x:row>
    <x:row r="599">
      <x:c r="A599" s="3" t="str">
        <x:v>proposal.branch.husk_composite</x:v>
      </x:c>
      <x:c r="B599" s="3" t="str">
        <x:f>IFERROR(INDEX('Items'!$B$6:$B$1005,MATCH(A599,'Items'!$A$6:$A$1005,0)),"MISSING ID")</x:f>
        <x:v>Layered husk composite stock</x:v>
      </x:c>
      <x:c r="C599" s="3" t="str">
        <x:f>IFERROR(INDEX('Items'!$D$6:$D$1005,MATCH(A599,'Items'!$A$6:$A$1005,0)),"MISSING ID")</x:f>
        <x:v>Manufactured stock</x:v>
      </x:c>
      <x:c r="D599" s="3" t="str">
        <x:v>Primary</x:v>
      </x:c>
      <x:c r="E599" s="3" t="str">
        <x:f>IFERROR(INDEX('Items'!$AA$6:$AA$1005,MATCH(A599,'Items'!$A$6:$A$1005,0)),"MISSING ID")</x:f>
        <x:v>Binding and construction</x:v>
      </x:c>
      <x:c r="F599" s="3" t="str">
        <x:v>Primary intended material/component use; qualification and service compatibility remain open.</x:v>
      </x:c>
    </x:row>
    <x:row r="600">
      <x:c r="A600" s="3" t="str">
        <x:v>proposal.branch.sealing_sheet</x:v>
      </x:c>
      <x:c r="B600" s="3" t="str">
        <x:f>IFERROR(INDEX('Items'!$B$6:$B$1005,MATCH(A600,'Items'!$A$6:$A$1005,0)),"MISSING ID")</x:f>
        <x:v>Reinforced sealing sheet</x:v>
      </x:c>
      <x:c r="C600" s="3" t="str">
        <x:f>IFERROR(INDEX('Items'!$D$6:$D$1005,MATCH(A600,'Items'!$A$6:$A$1005,0)),"MISSING ID")</x:f>
        <x:v>Manufactured stock</x:v>
      </x:c>
      <x:c r="D600" s="3" t="str">
        <x:v>Primary</x:v>
      </x:c>
      <x:c r="E600" s="3" t="str">
        <x:f>IFERROR(INDEX('Items'!$AA$6:$AA$1005,MATCH(A600,'Items'!$A$6:$A$1005,0)),"MISSING ID")</x:f>
        <x:v>Sealing</x:v>
      </x:c>
      <x:c r="F600" s="3" t="str">
        <x:v>Primary intended material/component use; qualification and service compatibility remain open.</x:v>
      </x:c>
    </x:row>
    <x:row r="601">
      <x:c r="A601" s="3" t="str">
        <x:v>proposal.branch.decorative_husk</x:v>
      </x:c>
      <x:c r="B601" s="3" t="str">
        <x:f>IFERROR(INDEX('Items'!$B$6:$B$1005,MATCH(A601,'Items'!$A$6:$A$1005,0)),"MISSING ID")</x:f>
        <x:v>Finished decorative husk stock</x:v>
      </x:c>
      <x:c r="C601" s="3" t="str">
        <x:f>IFERROR(INDEX('Items'!$D$6:$D$1005,MATCH(A601,'Items'!$A$6:$A$1005,0)),"MISSING ID")</x:f>
        <x:v>Manufactured stock</x:v>
      </x:c>
      <x:c r="D601" s="3" t="str">
        <x:v>Primary</x:v>
      </x:c>
      <x:c r="E601" s="3" t="str">
        <x:f>IFERROR(INDEX('Items'!$AA$6:$AA$1005,MATCH(A601,'Items'!$A$6:$A$1005,0)),"MISSING ID")</x:f>
        <x:v>Decoration</x:v>
      </x:c>
      <x:c r="F601" s="3" t="str">
        <x:v>Primary intended material/component use; qualification and service compatibility remain open.</x:v>
      </x:c>
    </x:row>
    <x:row r="602">
      <x:c r="A602" s="3" t="str">
        <x:v>proposal.branch.protective_stock</x:v>
      </x:c>
      <x:c r="B602" s="3" t="str">
        <x:f>IFERROR(INDEX('Items'!$B$6:$B$1005,MATCH(A602,'Items'!$A$6:$A$1005,0)),"MISSING ID")</x:f>
        <x:v>Layered protective composite stock</x:v>
      </x:c>
      <x:c r="C602" s="3" t="str">
        <x:f>IFERROR(INDEX('Items'!$D$6:$D$1005,MATCH(A602,'Items'!$A$6:$A$1005,0)),"MISSING ID")</x:f>
        <x:v>Manufactured stock</x:v>
      </x:c>
      <x:c r="D602" s="3" t="str">
        <x:v>Primary</x:v>
      </x:c>
      <x:c r="E602" s="3" t="str">
        <x:f>IFERROR(INDEX('Items'!$AA$6:$AA$1005,MATCH(A602,'Items'!$A$6:$A$1005,0)),"MISSING ID")</x:f>
        <x:v>Protective fabrication</x:v>
      </x:c>
      <x:c r="F602" s="3" t="str">
        <x:v>Primary intended material/component use; qualification and service compatibility remain open.</x:v>
      </x:c>
    </x:row>
    <x:row r="603">
      <x:c r="A603" s="3" t="str">
        <x:v>proposal.branch.encapsulated_conductor</x:v>
      </x:c>
      <x:c r="B603" s="3" t="str">
        <x:f>IFERROR(INDEX('Items'!$B$6:$B$1005,MATCH(A603,'Items'!$A$6:$A$1005,0)),"MISSING ID")</x:f>
        <x:v>Encapsulated conductor stock</x:v>
      </x:c>
      <x:c r="C603" s="3" t="str">
        <x:f>IFERROR(INDEX('Items'!$D$6:$D$1005,MATCH(A603,'Items'!$A$6:$A$1005,0)),"MISSING ID")</x:f>
        <x:v>Manufactured stock</x:v>
      </x:c>
      <x:c r="D603" s="3" t="str">
        <x:v>Primary</x:v>
      </x:c>
      <x:c r="E603" s="3" t="str">
        <x:f>IFERROR(INDEX('Items'!$AA$6:$AA$1005,MATCH(A603,'Items'!$A$6:$A$1005,0)),"MISSING ID")</x:f>
        <x:v>Electrical conduction</x:v>
      </x:c>
      <x:c r="F603" s="3" t="str">
        <x:v>Primary intended material/component use; qualification and service compatibility remain open.</x:v>
      </x:c>
    </x:row>
    <x:row r="604">
      <x:c r="A604" s="3" t="str">
        <x:v>proposal.branch.optical_module</x:v>
      </x:c>
      <x:c r="B604" s="3" t="str">
        <x:f>IFERROR(INDEX('Items'!$B$6:$B$1005,MATCH(A604,'Items'!$A$6:$A$1005,0)),"MISSING ID")</x:f>
        <x:v>Aligned optical subassembly</x:v>
      </x:c>
      <x:c r="C604" s="3" t="str">
        <x:f>IFERROR(INDEX('Items'!$D$6:$D$1005,MATCH(A604,'Items'!$A$6:$A$1005,0)),"MISSING ID")</x:f>
        <x:v>Crafting components</x:v>
      </x:c>
      <x:c r="D604" s="3" t="str">
        <x:v>Primary</x:v>
      </x:c>
      <x:c r="E604" s="3" t="str">
        <x:f>IFERROR(INDEX('Items'!$AA$6:$AA$1005,MATCH(A604,'Items'!$A$6:$A$1005,0)),"MISSING ID")</x:f>
        <x:v>Vision</x:v>
      </x:c>
      <x:c r="F604" s="3" t="str">
        <x:v>Primary intended material/component use; qualification and service compatibility remain open.</x:v>
      </x:c>
    </x:row>
    <x:row r="605">
      <x:c r="A605" s="3" t="str">
        <x:v>proposal.branch.sealed_casing</x:v>
      </x:c>
      <x:c r="B605" s="3" t="str">
        <x:f>IFERROR(INDEX('Items'!$B$6:$B$1005,MATCH(A605,'Items'!$A$6:$A$1005,0)),"MISSING ID")</x:f>
        <x:v>Sealed composite casing stock</x:v>
      </x:c>
      <x:c r="C605" s="3" t="str">
        <x:f>IFERROR(INDEX('Items'!$D$6:$D$1005,MATCH(A605,'Items'!$A$6:$A$1005,0)),"MISSING ID")</x:f>
        <x:v>Manufactured stock</x:v>
      </x:c>
      <x:c r="D605" s="3" t="str">
        <x:v>Primary</x:v>
      </x:c>
      <x:c r="E605" s="3" t="str">
        <x:f>IFERROR(INDEX('Items'!$AA$6:$AA$1005,MATCH(A605,'Items'!$A$6:$A$1005,0)),"MISSING ID")</x:f>
        <x:v>Equipment fabrication</x:v>
      </x:c>
      <x:c r="F605" s="3" t="str">
        <x:v>Primary intended material/component use; qualification and service compatibility remain open.</x:v>
      </x:c>
    </x:row>
    <x:row r="606">
      <x:c r="A606" s="3" t="str">
        <x:v>proposal.branch.spring_pack</x:v>
      </x:c>
      <x:c r="B606" s="3" t="str">
        <x:f>IFERROR(INDEX('Items'!$B$6:$B$1005,MATCH(A606,'Items'!$A$6:$A$1005,0)),"MISSING ID")</x:f>
        <x:v>Preloaded spring subassembly</x:v>
      </x:c>
      <x:c r="C606" s="3" t="str">
        <x:f>IFERROR(INDEX('Items'!$D$6:$D$1005,MATCH(A606,'Items'!$A$6:$A$1005,0)),"MISSING ID")</x:f>
        <x:v>Crafting components</x:v>
      </x:c>
      <x:c r="D606" s="3" t="str">
        <x:v>Primary</x:v>
      </x:c>
      <x:c r="E606" s="3" t="str">
        <x:f>IFERROR(INDEX('Items'!$AA$6:$AA$1005,MATCH(A606,'Items'!$A$6:$A$1005,0)),"MISSING ID")</x:f>
        <x:v>Machinery repair</x:v>
      </x:c>
      <x:c r="F606" s="3" t="str">
        <x:v>Primary intended material/component use; qualification and service compatibility remain open.</x:v>
      </x:c>
    </x:row>
    <x:row r="607" ht="115" customHeight="1">
      <x:c r="A607" s="3" t="str">
        <x:v>proposal.t3.gear_blank</x:v>
      </x:c>
      <x:c r="B607" s="3" t="str">
        <x:f>IFERROR(INDEX('Items'!$B$6:$B$1005,MATCH(A607,'Items'!$A$6:$A$1005,0)),"MISSING ID")</x:f>
        <x:v>Heat-treated steel gear blanks</x:v>
      </x:c>
      <x:c r="C607" s="3" t="str">
        <x:f>IFERROR(INDEX('Items'!$D$6:$D$1005,MATCH(A607,'Items'!$A$6:$A$1005,0)),"MISSING ID")</x:f>
        <x:v>Crafting components</x:v>
      </x:c>
      <x:c r="D607" s="3" t="str">
        <x:v>Primary</x:v>
      </x:c>
      <x:c r="E607" s="3" t="str">
        <x:f>IFERROR(INDEX('Items'!$AA$6:$AA$1005,MATCH(A607,'Items'!$A$6:$A$1005,0)),"MISSING ID")</x:f>
        <x:v>Machinery repair</x:v>
      </x:c>
      <x:c r="F607" s="3" t="str">
        <x:v>Proposed primary intermediate-stock use; downstream assembly remains planning only.</x:v>
      </x:c>
    </x:row>
    <x:row r="608" ht="115" customHeight="1">
      <x:c r="A608" s="3" t="str">
        <x:v>proposal.t3.bearing_blank</x:v>
      </x:c>
      <x:c r="B608" s="3" t="str">
        <x:f>IFERROR(INDEX('Items'!$B$6:$B$1005,MATCH(A608,'Items'!$A$6:$A$1005,0)),"MISSING ID")</x:f>
        <x:v>Lapped bronze bearing blanks</x:v>
      </x:c>
      <x:c r="C608" s="3" t="str">
        <x:f>IFERROR(INDEX('Items'!$D$6:$D$1005,MATCH(A608,'Items'!$A$6:$A$1005,0)),"MISSING ID")</x:f>
        <x:v>Crafting components</x:v>
      </x:c>
      <x:c r="D608" s="3" t="str">
        <x:v>Primary</x:v>
      </x:c>
      <x:c r="E608" s="3" t="str">
        <x:f>IFERROR(INDEX('Items'!$AA$6:$AA$1005,MATCH(A608,'Items'!$A$6:$A$1005,0)),"MISSING ID")</x:f>
        <x:v>Machinery repair</x:v>
      </x:c>
      <x:c r="F608" s="3" t="str">
        <x:v>Proposed primary intermediate-stock use; downstream assembly remains planning only.</x:v>
      </x:c>
    </x:row>
    <x:row r="609" ht="115" customHeight="1">
      <x:c r="A609" s="3" t="str">
        <x:v>proposal.t3.precision_tube</x:v>
      </x:c>
      <x:c r="B609" s="3" t="str">
        <x:f>IFERROR(INDEX('Items'!$B$6:$B$1005,MATCH(A609,'Items'!$A$6:$A$1005,0)),"MISSING ID")</x:f>
        <x:v>Drawn steel tube stock</x:v>
      </x:c>
      <x:c r="C609" s="3" t="str">
        <x:f>IFERROR(INDEX('Items'!$D$6:$D$1005,MATCH(A609,'Items'!$A$6:$A$1005,0)),"MISSING ID")</x:f>
        <x:v>Manufactured stock</x:v>
      </x:c>
      <x:c r="D609" s="3" t="str">
        <x:v>Primary</x:v>
      </x:c>
      <x:c r="E609" s="3" t="str">
        <x:f>IFERROR(INDEX('Items'!$AA$6:$AA$1005,MATCH(A609,'Items'!$A$6:$A$1005,0)),"MISSING ID")</x:f>
        <x:v>Fabrication</x:v>
      </x:c>
      <x:c r="F609" s="3" t="str">
        <x:v>Proposed primary intermediate-stock use; downstream assembly remains planning only.</x:v>
      </x:c>
    </x:row>
    <x:row r="610" ht="115" customHeight="1">
      <x:c r="A610" s="3" t="str">
        <x:v>proposal.t3.grounding_braid</x:v>
      </x:c>
      <x:c r="B610" s="3" t="str">
        <x:f>IFERROR(INDEX('Items'!$B$6:$B$1005,MATCH(A610,'Items'!$A$6:$A$1005,0)),"MISSING ID")</x:f>
        <x:v>Braided copper grounding stock</x:v>
      </x:c>
      <x:c r="C610" s="3" t="str">
        <x:f>IFERROR(INDEX('Items'!$D$6:$D$1005,MATCH(A610,'Items'!$A$6:$A$1005,0)),"MISSING ID")</x:f>
        <x:v>Manufactured stock</x:v>
      </x:c>
      <x:c r="D610" s="3" t="str">
        <x:v>Primary</x:v>
      </x:c>
      <x:c r="E610" s="3" t="str">
        <x:f>IFERROR(INDEX('Items'!$AA$6:$AA$1005,MATCH(A610,'Items'!$A$6:$A$1005,0)),"MISSING ID")</x:f>
        <x:v>Electrical conduction</x:v>
      </x:c>
      <x:c r="F610" s="3" t="str">
        <x:v>Proposed primary intermediate-stock use; downstream assembly remains planning only.</x:v>
      </x:c>
    </x:row>
    <x:row r="611" ht="115" customHeight="1">
      <x:c r="A611" s="3" t="str">
        <x:v>proposal.t3.wound_coil</x:v>
      </x:c>
      <x:c r="B611" s="3" t="str">
        <x:f>IFERROR(INDEX('Items'!$B$6:$B$1005,MATCH(A611,'Items'!$A$6:$A$1005,0)),"MISSING ID")</x:f>
        <x:v>Wound copper coil blanks</x:v>
      </x:c>
      <x:c r="C611" s="3" t="str">
        <x:f>IFERROR(INDEX('Items'!$D$6:$D$1005,MATCH(A611,'Items'!$A$6:$A$1005,0)),"MISSING ID")</x:f>
        <x:v>Crafting components</x:v>
      </x:c>
      <x:c r="D611" s="3" t="str">
        <x:v>Primary</x:v>
      </x:c>
      <x:c r="E611" s="3" t="str">
        <x:f>IFERROR(INDEX('Items'!$AA$6:$AA$1005,MATCH(A611,'Items'!$A$6:$A$1005,0)),"MISSING ID")</x:f>
        <x:v>Electrical conduction</x:v>
      </x:c>
      <x:c r="F611" s="3" t="str">
        <x:v>Proposed primary intermediate-stock use; downstream assembly remains planning only.</x:v>
      </x:c>
    </x:row>
    <x:row r="612" ht="115" customHeight="1">
      <x:c r="A612" s="3" t="str">
        <x:v>proposal.t3.copper_mesh</x:v>
      </x:c>
      <x:c r="B612" s="3" t="str">
        <x:f>IFERROR(INDEX('Items'!$B$6:$B$1005,MATCH(A612,'Items'!$A$6:$A$1005,0)),"MISSING ID")</x:f>
        <x:v>Woven copper mesh stock</x:v>
      </x:c>
      <x:c r="C612" s="3" t="str">
        <x:f>IFERROR(INDEX('Items'!$D$6:$D$1005,MATCH(A612,'Items'!$A$6:$A$1005,0)),"MISSING ID")</x:f>
        <x:v>Manufactured stock</x:v>
      </x:c>
      <x:c r="D612" s="3" t="str">
        <x:v>Primary</x:v>
      </x:c>
      <x:c r="E612" s="3" t="str">
        <x:f>IFERROR(INDEX('Items'!$AA$6:$AA$1005,MATCH(A612,'Items'!$A$6:$A$1005,0)),"MISSING ID")</x:f>
        <x:v>Electrical conduction</x:v>
      </x:c>
      <x:c r="F612" s="3" t="str">
        <x:v>Proposed primary intermediate-stock use; downstream assembly remains planning only.</x:v>
      </x:c>
    </x:row>
    <x:row r="613" ht="115" customHeight="1">
      <x:c r="A613" s="3" t="str">
        <x:v>proposal.t3.contact_mount</x:v>
      </x:c>
      <x:c r="B613" s="3" t="str">
        <x:f>IFERROR(INDEX('Items'!$B$6:$B$1005,MATCH(A613,'Items'!$A$6:$A$1005,0)),"MISSING ID")</x:f>
        <x:v>Fitted ceramic contact mounts</x:v>
      </x:c>
      <x:c r="C613" s="3" t="str">
        <x:f>IFERROR(INDEX('Items'!$D$6:$D$1005,MATCH(A613,'Items'!$A$6:$A$1005,0)),"MISSING ID")</x:f>
        <x:v>Crafting components</x:v>
      </x:c>
      <x:c r="D613" s="3" t="str">
        <x:v>Primary</x:v>
      </x:c>
      <x:c r="E613" s="3" t="str">
        <x:f>IFERROR(INDEX('Items'!$AA$6:$AA$1005,MATCH(A613,'Items'!$A$6:$A$1005,0)),"MISSING ID")</x:f>
        <x:v>Electrical insulation</x:v>
      </x:c>
      <x:c r="F613" s="3" t="str">
        <x:v>Proposed primary intermediate-stock use; downstream assembly remains planning only.</x:v>
      </x:c>
    </x:row>
    <x:row r="614" ht="115" customHeight="1">
      <x:c r="A614" s="3" t="str">
        <x:v>proposal.t3.feedthrough_blank</x:v>
      </x:c>
      <x:c r="B614" s="3" t="str">
        <x:f>IFERROR(INDEX('Items'!$B$6:$B$1005,MATCH(A614,'Items'!$A$6:$A$1005,0)),"MISSING ID")</x:f>
        <x:v>Ceramic-metal feedthrough blanks</x:v>
      </x:c>
      <x:c r="C614" s="3" t="str">
        <x:f>IFERROR(INDEX('Items'!$D$6:$D$1005,MATCH(A614,'Items'!$A$6:$A$1005,0)),"MISSING ID")</x:f>
        <x:v>Crafting components</x:v>
      </x:c>
      <x:c r="D614" s="3" t="str">
        <x:v>Primary</x:v>
      </x:c>
      <x:c r="E614" s="3" t="str">
        <x:f>IFERROR(INDEX('Items'!$AA$6:$AA$1005,MATCH(A614,'Items'!$A$6:$A$1005,0)),"MISSING ID")</x:f>
        <x:v>Electrical insulation</x:v>
      </x:c>
      <x:c r="F614" s="3" t="str">
        <x:v>Proposed primary intermediate-stock use; downstream assembly remains planning only.</x:v>
      </x:c>
    </x:row>
    <x:row r="615" ht="115" customHeight="1">
      <x:c r="A615" s="3" t="str">
        <x:v>proposal.t3.spacer_set</x:v>
      </x:c>
      <x:c r="B615" s="3" t="str">
        <x:f>IFERROR(INDEX('Items'!$B$6:$B$1005,MATCH(A615,'Items'!$A$6:$A$1005,0)),"MISSING ID")</x:f>
        <x:v>Matched ceramic spacer sets</x:v>
      </x:c>
      <x:c r="C615" s="3" t="str">
        <x:f>IFERROR(INDEX('Items'!$D$6:$D$1005,MATCH(A615,'Items'!$A$6:$A$1005,0)),"MISSING ID")</x:f>
        <x:v>Crafting components</x:v>
      </x:c>
      <x:c r="D615" s="3" t="str">
        <x:v>Primary</x:v>
      </x:c>
      <x:c r="E615" s="3" t="str">
        <x:f>IFERROR(INDEX('Items'!$AA$6:$AA$1005,MATCH(A615,'Items'!$A$6:$A$1005,0)),"MISSING ID")</x:f>
        <x:v>Electrical insulation</x:v>
      </x:c>
      <x:c r="F615" s="3" t="str">
        <x:v>Proposed primary intermediate-stock use; downstream assembly remains planning only.</x:v>
      </x:c>
    </x:row>
    <x:row r="616" ht="115" customHeight="1">
      <x:c r="A616" s="3" t="str">
        <x:v>proposal.t3.reflector_stock</x:v>
      </x:c>
      <x:c r="B616" s="3" t="str">
        <x:f>IFERROR(INDEX('Items'!$B$6:$B$1005,MATCH(A616,'Items'!$A$6:$A$1005,0)),"MISSING ID")</x:f>
        <x:v>Polished copper reflector blanks</x:v>
      </x:c>
      <x:c r="C616" s="3" t="str">
        <x:f>IFERROR(INDEX('Items'!$D$6:$D$1005,MATCH(A616,'Items'!$A$6:$A$1005,0)),"MISSING ID")</x:f>
        <x:v>Manufactured stock</x:v>
      </x:c>
      <x:c r="D616" s="3" t="str">
        <x:v>Primary</x:v>
      </x:c>
      <x:c r="E616" s="3" t="str">
        <x:f>IFERROR(INDEX('Items'!$AA$6:$AA$1005,MATCH(A616,'Items'!$A$6:$A$1005,0)),"MISSING ID")</x:f>
        <x:v>Vision</x:v>
      </x:c>
      <x:c r="F616" s="3" t="str">
        <x:v>Proposed primary intermediate-stock use; downstream assembly remains planning only.</x:v>
      </x:c>
    </x:row>
    <x:row r="617" ht="115" customHeight="1">
      <x:c r="A617" s="3" t="str">
        <x:v>proposal.t3.packing_stock</x:v>
      </x:c>
      <x:c r="B617" s="3" t="str">
        <x:f>IFERROR(INDEX('Items'!$B$6:$B$1005,MATCH(A617,'Items'!$A$6:$A$1005,0)),"MISSING ID")</x:f>
        <x:v>Husk-reinforced packing stock</x:v>
      </x:c>
      <x:c r="C617" s="3" t="str">
        <x:f>IFERROR(INDEX('Items'!$D$6:$D$1005,MATCH(A617,'Items'!$A$6:$A$1005,0)),"MISSING ID")</x:f>
        <x:v>Manufactured stock</x:v>
      </x:c>
      <x:c r="D617" s="3" t="str">
        <x:v>Primary</x:v>
      </x:c>
      <x:c r="E617" s="3" t="str">
        <x:f>IFERROR(INDEX('Items'!$AA$6:$AA$1005,MATCH(A617,'Items'!$A$6:$A$1005,0)),"MISSING ID")</x:f>
        <x:v>Sealing</x:v>
      </x:c>
      <x:c r="F617" s="3" t="str">
        <x:v>Proposed primary intermediate-stock use; downstream assembly remains planning only.</x:v>
      </x:c>
    </x:row>
    <x:row r="618" ht="115" customHeight="1">
      <x:c r="A618" s="3" t="str">
        <x:v>proposal.t3.service_grease</x:v>
      </x:c>
      <x:c r="B618" s="3" t="str">
        <x:f>IFERROR(INDEX('Items'!$B$6:$B$1005,MATCH(A618,'Items'!$A$6:$A$1005,0)),"MISSING ID")</x:f>
        <x:v>Conditioned mechanism-service grease</x:v>
      </x:c>
      <x:c r="C618" s="3" t="str">
        <x:f>IFERROR(INDEX('Items'!$D$6:$D$1005,MATCH(A618,'Items'!$A$6:$A$1005,0)),"MISSING ID")</x:f>
        <x:v>Crafting components</x:v>
      </x:c>
      <x:c r="D618" s="3" t="str">
        <x:v>Primary</x:v>
      </x:c>
      <x:c r="E618" s="3" t="str">
        <x:f>IFERROR(INDEX('Items'!$AA$6:$AA$1005,MATCH(A618,'Items'!$A$6:$A$1005,0)),"MISSING ID")</x:f>
        <x:v>Lubrication</x:v>
      </x:c>
      <x:c r="F618" s="3" t="str">
        <x:v>Proposed primary intermediate-stock use; downstream assembly remains planning only.</x:v>
      </x:c>
    </x:row>
    <x:row r="619" ht="115" customHeight="1">
      <x:c r="A619" s="3" t="str">
        <x:v>proposal.t3.wing_seam</x:v>
      </x:c>
      <x:c r="B619" s="3" t="str">
        <x:f>IFERROR(INDEX('Items'!$B$6:$B$1005,MATCH(A619,'Items'!$A$6:$A$1005,0)),"MISSING ID")</x:f>
        <x:v>Bonded wing-seam reinforcement strips</x:v>
      </x:c>
      <x:c r="C619" s="3" t="str">
        <x:f>IFERROR(INDEX('Items'!$D$6:$D$1005,MATCH(A619,'Items'!$A$6:$A$1005,0)),"MISSING ID")</x:f>
        <x:v>Manufactured stock</x:v>
      </x:c>
      <x:c r="D619" s="3" t="str">
        <x:v>Primary</x:v>
      </x:c>
      <x:c r="E619" s="3" t="str">
        <x:f>IFERROR(INDEX('Items'!$AA$6:$AA$1005,MATCH(A619,'Items'!$A$6:$A$1005,0)),"MISSING ID")</x:f>
        <x:v>Wind propulsion</x:v>
      </x:c>
      <x:c r="F619" s="3" t="str">
        <x:v>Proposed primary intermediate-stock use; downstream assembly remains planning only.</x:v>
      </x:c>
    </x:row>
    <x:row r="620" ht="115" customHeight="1">
      <x:c r="A620" s="3" t="str">
        <x:v>proposal.t3.sail_panel_set</x:v>
      </x:c>
      <x:c r="B620" s="3" t="str">
        <x:f>IFERROR(INDEX('Items'!$B$6:$B$1005,MATCH(A620,'Items'!$A$6:$A$1005,0)),"MISSING ID")</x:f>
        <x:v>Matched folding wing-panel sets</x:v>
      </x:c>
      <x:c r="C620" s="3" t="str">
        <x:f>IFERROR(INDEX('Items'!$D$6:$D$1005,MATCH(A620,'Items'!$A$6:$A$1005,0)),"MISSING ID")</x:f>
        <x:v>Crafting components</x:v>
      </x:c>
      <x:c r="D620" s="3" t="str">
        <x:v>Primary</x:v>
      </x:c>
      <x:c r="E620" s="3" t="str">
        <x:f>IFERROR(INDEX('Items'!$AA$6:$AA$1005,MATCH(A620,'Items'!$A$6:$A$1005,0)),"MISSING ID")</x:f>
        <x:v>Wind propulsion</x:v>
      </x:c>
      <x:c r="F620" s="3" t="str">
        <x:v>Proposed primary intermediate-stock use; downstream assembly remains planning only.</x:v>
      </x:c>
    </x:row>
    <x:row r="621" ht="115" customHeight="1">
      <x:c r="A621" s="3" t="str">
        <x:v>proposal.t3.husk_joint</x:v>
      </x:c>
      <x:c r="B621" s="3" t="str">
        <x:f>IFERROR(INDEX('Items'!$B$6:$B$1005,MATCH(A621,'Items'!$A$6:$A$1005,0)),"MISSING ID")</x:f>
        <x:v>Flexible husk joint strips</x:v>
      </x:c>
      <x:c r="C621" s="3" t="str">
        <x:f>IFERROR(INDEX('Items'!$D$6:$D$1005,MATCH(A621,'Items'!$A$6:$A$1005,0)),"MISSING ID")</x:f>
        <x:v>Manufactured stock</x:v>
      </x:c>
      <x:c r="D621" s="3" t="str">
        <x:v>Primary</x:v>
      </x:c>
      <x:c r="E621" s="3" t="str">
        <x:f>IFERROR(INDEX('Items'!$AA$6:$AA$1005,MATCH(A621,'Items'!$A$6:$A$1005,0)),"MISSING ID")</x:f>
        <x:v>Binding and construction</x:v>
      </x:c>
      <x:c r="F621" s="3" t="str">
        <x:v>Proposed primary intermediate-stock use; downstream assembly remains planning only.</x:v>
      </x:c>
    </x:row>
    <x:row r="622" ht="115" customHeight="1">
      <x:c r="A622" s="3" t="str">
        <x:v>proposal.t3.abrasive_stock</x:v>
      </x:c>
      <x:c r="B622" s="3" t="str">
        <x:f>IFERROR(INDEX('Items'!$B$6:$B$1005,MATCH(A622,'Items'!$A$6:$A$1005,0)),"MISSING ID")</x:f>
        <x:v>Bonded abrasive-faced stock</x:v>
      </x:c>
      <x:c r="C622" s="3" t="str">
        <x:f>IFERROR(INDEX('Items'!$D$6:$D$1005,MATCH(A622,'Items'!$A$6:$A$1005,0)),"MISSING ID")</x:f>
        <x:v>Manufactured stock</x:v>
      </x:c>
      <x:c r="D622" s="3" t="str">
        <x:v>Primary</x:v>
      </x:c>
      <x:c r="E622" s="3" t="str">
        <x:f>IFERROR(INDEX('Items'!$AA$6:$AA$1005,MATCH(A622,'Items'!$A$6:$A$1005,0)),"MISSING ID")</x:f>
        <x:v>Surface finishing</x:v>
      </x:c>
      <x:c r="F622" s="3" t="str">
        <x:v>Proposed primary intermediate-stock use; downstream assembly remains planning only.</x:v>
      </x:c>
    </x:row>
    <x:row r="623" ht="115" customHeight="1">
      <x:c r="A623" s="3" t="str">
        <x:v>proposal.t3.inlay_stock</x:v>
      </x:c>
      <x:c r="B623" s="3" t="str">
        <x:f>IFERROR(INDEX('Items'!$B$6:$B$1005,MATCH(A623,'Items'!$A$6:$A$1005,0)),"MISSING ID")</x:f>
        <x:v>Gem-inlaid metal panel blanks</x:v>
      </x:c>
      <x:c r="C623" s="3" t="str">
        <x:f>IFERROR(INDEX('Items'!$D$6:$D$1005,MATCH(A623,'Items'!$A$6:$A$1005,0)),"MISSING ID")</x:f>
        <x:v>Manufactured stock</x:v>
      </x:c>
      <x:c r="D623" s="3" t="str">
        <x:v>Primary</x:v>
      </x:c>
      <x:c r="E623" s="3" t="str">
        <x:f>IFERROR(INDEX('Items'!$AA$6:$AA$1005,MATCH(A623,'Items'!$A$6:$A$1005,0)),"MISSING ID")</x:f>
        <x:v>Decoration</x:v>
      </x:c>
      <x:c r="F623" s="3" t="str">
        <x:v>Proposed primary intermediate-stock use; downstream assembly remains planning only.</x:v>
      </x:c>
    </x:row>
    <x:row r="624" ht="115" customHeight="1">
      <x:c r="A624" s="3" t="str">
        <x:v>proposal.t3.tuned_insert</x:v>
      </x:c>
      <x:c r="B624" s="3" t="str">
        <x:f>IFERROR(INDEX('Items'!$B$6:$B$1005,MATCH(A624,'Items'!$A$6:$A$1005,0)),"MISSING ID")</x:f>
        <x:v>Mounted tuned-stone inserts</x:v>
      </x:c>
      <x:c r="C624" s="3" t="str">
        <x:f>IFERROR(INDEX('Items'!$D$6:$D$1005,MATCH(A624,'Items'!$A$6:$A$1005,0)),"MISSING ID")</x:f>
        <x:v>Crafting components</x:v>
      </x:c>
      <x:c r="D624" s="3" t="str">
        <x:v>Primary</x:v>
      </x:c>
      <x:c r="E624" s="3" t="str">
        <x:f>IFERROR(INDEX('Items'!$AA$6:$AA$1005,MATCH(A624,'Items'!$A$6:$A$1005,0)),"MISSING ID")</x:f>
        <x:v>Music</x:v>
      </x:c>
      <x:c r="F624" s="3" t="str">
        <x:v>Proposed primary intermediate-stock use; downstream assembly remains planning only.</x:v>
      </x:c>
    </x:row>
    <x:row r="625" ht="115" customHeight="1">
      <x:c r="A625" s="3" t="str">
        <x:v>proposal.t3.hinged_shell</x:v>
      </x:c>
      <x:c r="B625" s="3" t="str">
        <x:f>IFERROR(INDEX('Items'!$B$6:$B$1005,MATCH(A625,'Items'!$A$6:$A$1005,0)),"MISSING ID")</x:f>
        <x:v>Hinged shell-panel sets</x:v>
      </x:c>
      <x:c r="C625" s="3" t="str">
        <x:f>IFERROR(INDEX('Items'!$D$6:$D$1005,MATCH(A625,'Items'!$A$6:$A$1005,0)),"MISSING ID")</x:f>
        <x:v>Crafting components</x:v>
      </x:c>
      <x:c r="D625" s="3" t="str">
        <x:v>Primary</x:v>
      </x:c>
      <x:c r="E625" s="3" t="str">
        <x:f>IFERROR(INDEX('Items'!$AA$6:$AA$1005,MATCH(A625,'Items'!$A$6:$A$1005,0)),"MISSING ID")</x:f>
        <x:v>Protective fabrication</x:v>
      </x:c>
      <x:c r="F625" s="3" t="str">
        <x:v>Proposed primary intermediate-stock use; downstream assembly remains planning only.</x:v>
      </x:c>
    </x:row>
    <x:row r="626" ht="115" customHeight="1">
      <x:c r="A626" s="3" t="str">
        <x:v>proposal.t3.lining_stock</x:v>
      </x:c>
      <x:c r="B626" s="3" t="str">
        <x:f>IFERROR(INDEX('Items'!$B$6:$B$1005,MATCH(A626,'Items'!$A$6:$A$1005,0)),"MISSING ID")</x:f>
        <x:v>Bonded glass-ceramic lining stock</x:v>
      </x:c>
      <x:c r="C626" s="3" t="str">
        <x:f>IFERROR(INDEX('Items'!$D$6:$D$1005,MATCH(A626,'Items'!$A$6:$A$1005,0)),"MISSING ID")</x:f>
        <x:v>Manufactured stock</x:v>
      </x:c>
      <x:c r="D626" s="3" t="str">
        <x:v>Primary</x:v>
      </x:c>
      <x:c r="E626" s="3" t="str">
        <x:f>IFERROR(INDEX('Items'!$AA$6:$AA$1005,MATCH(A626,'Items'!$A$6:$A$1005,0)),"MISSING ID")</x:f>
        <x:v>Chemical processing</x:v>
      </x:c>
      <x:c r="F626" s="3" t="str">
        <x:v>Proposed primary intermediate-stock use; downstream assembly remains planning only.</x:v>
      </x:c>
    </x:row>
    <x:row r="627" ht="115" customHeight="1">
      <x:c r="A627" s="3" t="str">
        <x:v>proposal.t4.drive_cassette</x:v>
      </x:c>
      <x:c r="B627" s="3" t="str">
        <x:f>IFERROR(INDEX('Items'!$B$6:$B$1005,MATCH(A627,'Items'!$A$6:$A$1005,0)),"MISSING ID")</x:f>
        <x:v>Matched mechanical drive cassette</x:v>
      </x:c>
      <x:c r="C627" s="3" t="str">
        <x:f>IFERROR(INDEX('Items'!$D$6:$D$1005,MATCH(A627,'Items'!$A$6:$A$1005,0)),"MISSING ID")</x:f>
        <x:v>Crafting components</x:v>
      </x:c>
      <x:c r="D627" s="3" t="str">
        <x:v>Primary</x:v>
      </x:c>
      <x:c r="E627" s="3" t="str">
        <x:f>IFERROR(INDEX('Items'!$AA$6:$AA$1005,MATCH(A627,'Items'!$A$6:$A$1005,0)),"MISSING ID")</x:f>
        <x:v>Machinery repair</x:v>
      </x:c>
      <x:c r="F627" s="3" t="str">
        <x:v>Proposed primary intermediate-stock use; downstream assembly remains planning only.</x:v>
      </x:c>
    </x:row>
    <x:row r="628" ht="115" customHeight="1">
      <x:c r="A628" s="3" t="str">
        <x:v>proposal.t4.bearing_cartridge</x:v>
      </x:c>
      <x:c r="B628" s="3" t="str">
        <x:f>IFERROR(INDEX('Items'!$B$6:$B$1005,MATCH(A628,'Items'!$A$6:$A$1005,0)),"MISSING ID")</x:f>
        <x:v>Dust-excluding bearing cartridge</x:v>
      </x:c>
      <x:c r="C628" s="3" t="str">
        <x:f>IFERROR(INDEX('Items'!$D$6:$D$1005,MATCH(A628,'Items'!$A$6:$A$1005,0)),"MISSING ID")</x:f>
        <x:v>Crafting components</x:v>
      </x:c>
      <x:c r="D628" s="3" t="str">
        <x:v>Primary</x:v>
      </x:c>
      <x:c r="E628" s="3" t="str">
        <x:f>IFERROR(INDEX('Items'!$AA$6:$AA$1005,MATCH(A628,'Items'!$A$6:$A$1005,0)),"MISSING ID")</x:f>
        <x:v>Machinery repair</x:v>
      </x:c>
      <x:c r="F628" s="3" t="str">
        <x:v>Proposed primary intermediate-stock use; downstream assembly remains planning only.</x:v>
      </x:c>
    </x:row>
    <x:row r="629" ht="115" customHeight="1">
      <x:c r="A629" s="3" t="str">
        <x:v>proposal.t4.grounding_harness</x:v>
      </x:c>
      <x:c r="B629" s="3" t="str">
        <x:f>IFERROR(INDEX('Items'!$B$6:$B$1005,MATCH(A629,'Items'!$A$6:$A$1005,0)),"MISSING ID")</x:f>
        <x:v>Terminated grounding harness</x:v>
      </x:c>
      <x:c r="C629" s="3" t="str">
        <x:f>IFERROR(INDEX('Items'!$D$6:$D$1005,MATCH(A629,'Items'!$A$6:$A$1005,0)),"MISSING ID")</x:f>
        <x:v>Crafting components</x:v>
      </x:c>
      <x:c r="D629" s="3" t="str">
        <x:v>Primary</x:v>
      </x:c>
      <x:c r="E629" s="3" t="str">
        <x:f>IFERROR(INDEX('Items'!$AA$6:$AA$1005,MATCH(A629,'Items'!$A$6:$A$1005,0)),"MISSING ID")</x:f>
        <x:v>Electrical conduction</x:v>
      </x:c>
      <x:c r="F629" s="3" t="str">
        <x:v>Proposed primary intermediate-stock use; downstream assembly remains planning only.</x:v>
      </x:c>
    </x:row>
    <x:row r="630" ht="115" customHeight="1">
      <x:c r="A630" s="3" t="str">
        <x:v>proposal.t4.insulated_winding</x:v>
      </x:c>
      <x:c r="B630" s="3" t="str">
        <x:f>IFERROR(INDEX('Items'!$B$6:$B$1005,MATCH(A630,'Items'!$A$6:$A$1005,0)),"MISSING ID")</x:f>
        <x:v>Insulated winding subassembly</x:v>
      </x:c>
      <x:c r="C630" s="3" t="str">
        <x:f>IFERROR(INDEX('Items'!$D$6:$D$1005,MATCH(A630,'Items'!$A$6:$A$1005,0)),"MISSING ID")</x:f>
        <x:v>Crafting components</x:v>
      </x:c>
      <x:c r="D630" s="3" t="str">
        <x:v>Primary</x:v>
      </x:c>
      <x:c r="E630" s="3" t="str">
        <x:f>IFERROR(INDEX('Items'!$AA$6:$AA$1005,MATCH(A630,'Items'!$A$6:$A$1005,0)),"MISSING ID")</x:f>
        <x:v>Electrical conduction</x:v>
      </x:c>
      <x:c r="F630" s="3" t="str">
        <x:v>Proposed primary intermediate-stock use; downstream assembly remains planning only.</x:v>
      </x:c>
    </x:row>
    <x:row r="631" ht="115" customHeight="1">
      <x:c r="A631" s="3" t="str">
        <x:v>proposal.t4.radio_tuning</x:v>
      </x:c>
      <x:c r="B631" s="3" t="str">
        <x:f>IFERROR(INDEX('Items'!$B$6:$B$1005,MATCH(A631,'Items'!$A$6:$A$1005,0)),"MISSING ID")</x:f>
        <x:v>Radio tuning support block</x:v>
      </x:c>
      <x:c r="C631" s="3" t="str">
        <x:f>IFERROR(INDEX('Items'!$D$6:$D$1005,MATCH(A631,'Items'!$A$6:$A$1005,0)),"MISSING ID")</x:f>
        <x:v>Crafting components</x:v>
      </x:c>
      <x:c r="D631" s="3" t="str">
        <x:v>Primary</x:v>
      </x:c>
      <x:c r="E631" s="3" t="str">
        <x:f>IFERROR(INDEX('Items'!$AA$6:$AA$1005,MATCH(A631,'Items'!$A$6:$A$1005,0)),"MISSING ID")</x:f>
        <x:v>Equipment fabrication</x:v>
      </x:c>
      <x:c r="F631" s="3" t="str">
        <x:v>Proposed primary intermediate-stock use; downstream assembly remains planning only.</x:v>
      </x:c>
    </x:row>
    <x:row r="632" ht="115" customHeight="1">
      <x:c r="A632" s="3" t="str">
        <x:v>proposal.t4.screened_chassis</x:v>
      </x:c>
      <x:c r="B632" s="3" t="str">
        <x:f>IFERROR(INDEX('Items'!$B$6:$B$1005,MATCH(A632,'Items'!$A$6:$A$1005,0)),"MISSING ID")</x:f>
        <x:v>Screened radio chassis insert</x:v>
      </x:c>
      <x:c r="C632" s="3" t="str">
        <x:f>IFERROR(INDEX('Items'!$D$6:$D$1005,MATCH(A632,'Items'!$A$6:$A$1005,0)),"MISSING ID")</x:f>
        <x:v>Crafting components</x:v>
      </x:c>
      <x:c r="D632" s="3" t="str">
        <x:v>Primary</x:v>
      </x:c>
      <x:c r="E632" s="3" t="str">
        <x:f>IFERROR(INDEX('Items'!$AA$6:$AA$1005,MATCH(A632,'Items'!$A$6:$A$1005,0)),"MISSING ID")</x:f>
        <x:v>Equipment fabrication</x:v>
      </x:c>
      <x:c r="F632" s="3" t="str">
        <x:v>Proposed primary intermediate-stock use; downstream assembly remains planning only.</x:v>
      </x:c>
    </x:row>
    <x:row r="633" ht="115" customHeight="1">
      <x:c r="A633" s="3" t="str">
        <x:v>proposal.t4.electrical_bulkhead</x:v>
      </x:c>
      <x:c r="B633" s="3" t="str">
        <x:f>IFERROR(INDEX('Items'!$B$6:$B$1005,MATCH(A633,'Items'!$A$6:$A$1005,0)),"MISSING ID")</x:f>
        <x:v>Sealed electrical bulkhead insert</x:v>
      </x:c>
      <x:c r="C633" s="3" t="str">
        <x:f>IFERROR(INDEX('Items'!$D$6:$D$1005,MATCH(A633,'Items'!$A$6:$A$1005,0)),"MISSING ID")</x:f>
        <x:v>Crafting components</x:v>
      </x:c>
      <x:c r="D633" s="3" t="str">
        <x:v>Primary</x:v>
      </x:c>
      <x:c r="E633" s="3" t="str">
        <x:f>IFERROR(INDEX('Items'!$AA$6:$AA$1005,MATCH(A633,'Items'!$A$6:$A$1005,0)),"MISSING ID")</x:f>
        <x:v>Electrical insulation</x:v>
      </x:c>
      <x:c r="F633" s="3" t="str">
        <x:v>Proposed primary intermediate-stock use; downstream assembly remains planning only.</x:v>
      </x:c>
    </x:row>
    <x:row r="634" ht="115" customHeight="1">
      <x:c r="A634" s="3" t="str">
        <x:v>proposal.t4.contact_block</x:v>
      </x:c>
      <x:c r="B634" s="3" t="str">
        <x:f>IFERROR(INDEX('Items'!$B$6:$B$1005,MATCH(A634,'Items'!$A$6:$A$1005,0)),"MISSING ID")</x:f>
        <x:v>Serviceable insulated contact block</x:v>
      </x:c>
      <x:c r="C634" s="3" t="str">
        <x:f>IFERROR(INDEX('Items'!$D$6:$D$1005,MATCH(A634,'Items'!$A$6:$A$1005,0)),"MISSING ID")</x:f>
        <x:v>Crafting components</x:v>
      </x:c>
      <x:c r="D634" s="3" t="str">
        <x:v>Primary</x:v>
      </x:c>
      <x:c r="E634" s="3" t="str">
        <x:f>IFERROR(INDEX('Items'!$AA$6:$AA$1005,MATCH(A634,'Items'!$A$6:$A$1005,0)),"MISSING ID")</x:f>
        <x:v>Electrical insulation</x:v>
      </x:c>
      <x:c r="F634" s="3" t="str">
        <x:v>Proposed primary intermediate-stock use; downstream assembly remains planning only.</x:v>
      </x:c>
    </x:row>
    <x:row r="635" ht="115" customHeight="1">
      <x:c r="A635" s="3" t="str">
        <x:v>proposal.t4.articulated_guard</x:v>
      </x:c>
      <x:c r="B635" s="3" t="str">
        <x:f>IFERROR(INDEX('Items'!$B$6:$B$1005,MATCH(A635,'Items'!$A$6:$A$1005,0)),"MISSING ID")</x:f>
        <x:v>Articulated guard-panel subassembly</x:v>
      </x:c>
      <x:c r="C635" s="3" t="str">
        <x:f>IFERROR(INDEX('Items'!$D$6:$D$1005,MATCH(A635,'Items'!$A$6:$A$1005,0)),"MISSING ID")</x:f>
        <x:v>Crafting components</x:v>
      </x:c>
      <x:c r="D635" s="3" t="str">
        <x:v>Primary</x:v>
      </x:c>
      <x:c r="E635" s="3" t="str">
        <x:f>IFERROR(INDEX('Items'!$AA$6:$AA$1005,MATCH(A635,'Items'!$A$6:$A$1005,0)),"MISSING ID")</x:f>
        <x:v>Protective fabrication</x:v>
      </x:c>
      <x:c r="F635" s="3" t="str">
        <x:v>Proposed primary intermediate-stock use; downstream assembly remains planning only.</x:v>
      </x:c>
    </x:row>
    <x:row r="636" ht="115" customHeight="1">
      <x:c r="A636" s="3" t="str">
        <x:v>proposal.t4.valve_core</x:v>
      </x:c>
      <x:c r="B636" s="3" t="str">
        <x:f>IFERROR(INDEX('Items'!$B$6:$B$1005,MATCH(A636,'Items'!$A$6:$A$1005,0)),"MISSING ID")</x:f>
        <x:v>Fitted canister valve-core assembly</x:v>
      </x:c>
      <x:c r="C636" s="3" t="str">
        <x:f>IFERROR(INDEX('Items'!$D$6:$D$1005,MATCH(A636,'Items'!$A$6:$A$1005,0)),"MISSING ID")</x:f>
        <x:v>Crafting components</x:v>
      </x:c>
      <x:c r="D636" s="3" t="str">
        <x:v>Primary</x:v>
      </x:c>
      <x:c r="E636" s="3" t="str">
        <x:f>IFERROR(INDEX('Items'!$AA$6:$AA$1005,MATCH(A636,'Items'!$A$6:$A$1005,0)),"MISSING ID")</x:f>
        <x:v>Sealing</x:v>
      </x:c>
      <x:c r="F636" s="3" t="str">
        <x:v>Proposed primary intermediate-stock use; downstream assembly remains planning only.</x:v>
      </x:c>
    </x:row>
    <x:row r="637" ht="115" customHeight="1">
      <x:c r="A637" s="3" t="str">
        <x:v>proposal.t4.seal_carrier</x:v>
      </x:c>
      <x:c r="B637" s="3" t="str">
        <x:f>IFERROR(INDEX('Items'!$B$6:$B$1005,MATCH(A637,'Items'!$A$6:$A$1005,0)),"MISSING ID")</x:f>
        <x:v>Replaceable seal-carrier assembly</x:v>
      </x:c>
      <x:c r="C637" s="3" t="str">
        <x:f>IFERROR(INDEX('Items'!$D$6:$D$1005,MATCH(A637,'Items'!$A$6:$A$1005,0)),"MISSING ID")</x:f>
        <x:v>Crafting components</x:v>
      </x:c>
      <x:c r="D637" s="3" t="str">
        <x:v>Primary</x:v>
      </x:c>
      <x:c r="E637" s="3" t="str">
        <x:f>IFERROR(INDEX('Items'!$AA$6:$AA$1005,MATCH(A637,'Items'!$A$6:$A$1005,0)),"MISSING ID")</x:f>
        <x:v>Sealing</x:v>
      </x:c>
      <x:c r="F637" s="3" t="str">
        <x:v>Proposed primary intermediate-stock use; downstream assembly remains planning only.</x:v>
      </x:c>
    </x:row>
    <x:row r="638" ht="115" customHeight="1">
      <x:c r="A638" s="3" t="str">
        <x:v>proposal.t4.spar_joint</x:v>
      </x:c>
      <x:c r="B638" s="3" t="str">
        <x:f>IFERROR(INDEX('Items'!$B$6:$B$1005,MATCH(A638,'Items'!$A$6:$A$1005,0)),"MISSING ID")</x:f>
        <x:v>Collapsible sail-spar joint kit</x:v>
      </x:c>
      <x:c r="C638" s="3" t="str">
        <x:f>IFERROR(INDEX('Items'!$D$6:$D$1005,MATCH(A638,'Items'!$A$6:$A$1005,0)),"MISSING ID")</x:f>
        <x:v>Salvage</x:v>
      </x:c>
      <x:c r="D638" s="3" t="str">
        <x:v>Primary</x:v>
      </x:c>
      <x:c r="E638" s="3" t="str">
        <x:f>IFERROR(INDEX('Items'!$AA$6:$AA$1005,MATCH(A638,'Items'!$A$6:$A$1005,0)),"MISSING ID")</x:f>
        <x:v>Wind propulsion</x:v>
      </x:c>
      <x:c r="F638" s="3" t="str">
        <x:v>Proposed primary intermediate-stock use; downstream assembly remains planning only.</x:v>
      </x:c>
    </x:row>
    <x:row r="639" ht="115" customHeight="1">
      <x:c r="A639" s="3" t="str">
        <x:v>proposal.t4.joined_wing_panels</x:v>
      </x:c>
      <x:c r="B639" s="3" t="str">
        <x:f>IFERROR(INDEX('Items'!$B$6:$B$1005,MATCH(A639,'Items'!$A$6:$A$1005,0)),"MISSING ID")</x:f>
        <x:v>Joined folding wing-panel assembly</x:v>
      </x:c>
      <x:c r="C639" s="3" t="str">
        <x:f>IFERROR(INDEX('Items'!$D$6:$D$1005,MATCH(A639,'Items'!$A$6:$A$1005,0)),"MISSING ID")</x:f>
        <x:v>Crafting components</x:v>
      </x:c>
      <x:c r="D639" s="3" t="str">
        <x:v>Primary</x:v>
      </x:c>
      <x:c r="E639" s="3" t="str">
        <x:f>IFERROR(INDEX('Items'!$AA$6:$AA$1005,MATCH(A639,'Items'!$A$6:$A$1005,0)),"MISSING ID")</x:f>
        <x:v>Wind propulsion</x:v>
      </x:c>
      <x:c r="F639" s="3" t="str">
        <x:v>Proposed primary intermediate-stock use; downstream assembly remains planning only.</x:v>
      </x:c>
    </x:row>
    <x:row r="640" ht="115" customHeight="1">
      <x:c r="A640" s="3" t="str">
        <x:v>proposal.t4.turbine_hub</x:v>
      </x:c>
      <x:c r="B640" s="3" t="str">
        <x:f>IFERROR(INDEX('Items'!$B$6:$B$1005,MATCH(A640,'Items'!$A$6:$A$1005,0)),"MISSING ID")</x:f>
        <x:v>Matched wind-turbine hub core</x:v>
      </x:c>
      <x:c r="C640" s="3" t="str">
        <x:f>IFERROR(INDEX('Items'!$D$6:$D$1005,MATCH(A640,'Items'!$A$6:$A$1005,0)),"MISSING ID")</x:f>
        <x:v>Crafting components</x:v>
      </x:c>
      <x:c r="D640" s="3" t="str">
        <x:v>Primary</x:v>
      </x:c>
      <x:c r="E640" s="3" t="str">
        <x:f>IFERROR(INDEX('Items'!$AA$6:$AA$1005,MATCH(A640,'Items'!$A$6:$A$1005,0)),"MISSING ID")</x:f>
        <x:v>Machinery repair</x:v>
      </x:c>
      <x:c r="F640" s="3" t="str">
        <x:v>Proposed primary intermediate-stock use; downstream assembly remains planning only.</x:v>
      </x:c>
    </x:row>
    <x:row r="641" ht="115" customHeight="1">
      <x:c r="A641" s="3" t="str">
        <x:v>proposal.t4.wheel_hub</x:v>
      </x:c>
      <x:c r="B641" s="3" t="str">
        <x:f>IFERROR(INDEX('Items'!$B$6:$B$1005,MATCH(A641,'Items'!$A$6:$A$1005,0)),"MISSING ID")</x:f>
        <x:v>Dirtboard wheel-hub core</x:v>
      </x:c>
      <x:c r="C641" s="3" t="str">
        <x:f>IFERROR(INDEX('Items'!$D$6:$D$1005,MATCH(A641,'Items'!$A$6:$A$1005,0)),"MISSING ID")</x:f>
        <x:v>Salvage</x:v>
      </x:c>
      <x:c r="D641" s="3" t="str">
        <x:v>Primary</x:v>
      </x:c>
      <x:c r="E641" s="3" t="str">
        <x:f>IFERROR(INDEX('Items'!$AA$6:$AA$1005,MATCH(A641,'Items'!$A$6:$A$1005,0)),"MISSING ID")</x:f>
        <x:v>Machinery repair</x:v>
      </x:c>
      <x:c r="F641" s="3" t="str">
        <x:v>Proposed primary intermediate-stock use; downstream assembly remains planning only.</x:v>
      </x:c>
    </x:row>
    <x:row r="642" ht="115" customHeight="1">
      <x:c r="A642" s="3" t="str">
        <x:v>proposal.t4.vessel_liner</x:v>
      </x:c>
      <x:c r="B642" s="3" t="str">
        <x:f>IFERROR(INDEX('Items'!$B$6:$B$1005,MATCH(A642,'Items'!$A$6:$A$1005,0)),"MISSING ID")</x:f>
        <x:v>Fitted chemical-vessel liner insert</x:v>
      </x:c>
      <x:c r="C642" s="3" t="str">
        <x:f>IFERROR(INDEX('Items'!$D$6:$D$1005,MATCH(A642,'Items'!$A$6:$A$1005,0)),"MISSING ID")</x:f>
        <x:v>Crafting components</x:v>
      </x:c>
      <x:c r="D642" s="3" t="str">
        <x:v>Primary</x:v>
      </x:c>
      <x:c r="E642" s="3" t="str">
        <x:f>IFERROR(INDEX('Items'!$AA$6:$AA$1005,MATCH(A642,'Items'!$A$6:$A$1005,0)),"MISSING ID")</x:f>
        <x:v>Chemical processing</x:v>
      </x:c>
      <x:c r="F642" s="3" t="str">
        <x:v>Proposed primary intermediate-stock use; downstream assembly remains planning only.</x:v>
      </x:c>
    </x:row>
    <x:row r="643" ht="115" customHeight="1">
      <x:c r="A643" s="3" t="str">
        <x:v>proposal.t4.grinding_head</x:v>
      </x:c>
      <x:c r="B643" s="3" t="str">
        <x:f>IFERROR(INDEX('Items'!$B$6:$B$1005,MATCH(A643,'Items'!$A$6:$A$1005,0)),"MISSING ID")</x:f>
        <x:v>Replaceable abrasive-head assembly</x:v>
      </x:c>
      <x:c r="C643" s="3" t="str">
        <x:f>IFERROR(INDEX('Items'!$D$6:$D$1005,MATCH(A643,'Items'!$A$6:$A$1005,0)),"MISSING ID")</x:f>
        <x:v>Crafting components</x:v>
      </x:c>
      <x:c r="D643" s="3" t="str">
        <x:v>Primary</x:v>
      </x:c>
      <x:c r="E643" s="3" t="str">
        <x:f>IFERROR(INDEX('Items'!$AA$6:$AA$1005,MATCH(A643,'Items'!$A$6:$A$1005,0)),"MISSING ID")</x:f>
        <x:v>Surface finishing</x:v>
      </x:c>
      <x:c r="F643" s="3" t="str">
        <x:v>Proposed primary intermediate-stock use; downstream assembly remains planning only.</x:v>
      </x:c>
    </x:row>
    <x:row r="644" ht="115" customHeight="1">
      <x:c r="A644" s="3" t="str">
        <x:v>proposal.t4.insulating_board</x:v>
      </x:c>
      <x:c r="B644" s="3" t="str">
        <x:f>IFERROR(INDEX('Items'!$B$6:$B$1005,MATCH(A644,'Items'!$A$6:$A$1005,0)),"MISSING ID")</x:f>
        <x:v>Pressed mineral-husk insulating board</x:v>
      </x:c>
      <x:c r="C644" s="3" t="str">
        <x:f>IFERROR(INDEX('Items'!$D$6:$D$1005,MATCH(A644,'Items'!$A$6:$A$1005,0)),"MISSING ID")</x:f>
        <x:v>Manufactured stock</x:v>
      </x:c>
      <x:c r="D644" s="3" t="str">
        <x:v>Primary</x:v>
      </x:c>
      <x:c r="E644" s="3" t="str">
        <x:f>IFERROR(INDEX('Items'!$AA$6:$AA$1005,MATCH(A644,'Items'!$A$6:$A$1005,0)),"MISSING ID")</x:f>
        <x:v>Electrical insulation</x:v>
      </x:c>
      <x:c r="F644" s="3" t="str">
        <x:v>Proposed primary intermediate-stock use; downstream assembly remains planning only.</x:v>
      </x:c>
    </x:row>
    <x:row r="645" ht="115" customHeight="1">
      <x:c r="A645" s="3" t="str">
        <x:v>proposal.t4.decorative_veneer</x:v>
      </x:c>
      <x:c r="B645" s="3" t="str">
        <x:f>IFERROR(INDEX('Items'!$B$6:$B$1005,MATCH(A645,'Items'!$A$6:$A$1005,0)),"MISSING ID")</x:f>
        <x:v>Layered ceremonial inlay stock</x:v>
      </x:c>
      <x:c r="C645" s="3" t="str">
        <x:f>IFERROR(INDEX('Items'!$D$6:$D$1005,MATCH(A645,'Items'!$A$6:$A$1005,0)),"MISSING ID")</x:f>
        <x:v>Manufactured stock</x:v>
      </x:c>
      <x:c r="D645" s="3" t="str">
        <x:v>Primary</x:v>
      </x:c>
      <x:c r="E645" s="3" t="str">
        <x:f>IFERROR(INDEX('Items'!$AA$6:$AA$1005,MATCH(A645,'Items'!$A$6:$A$1005,0)),"MISSING ID")</x:f>
        <x:v>Decoration</x:v>
      </x:c>
      <x:c r="F645" s="3" t="str">
        <x:v>Proposed primary intermediate-stock use; downstream assembly remains planning only.</x:v>
      </x:c>
    </x:row>
    <x:row r="646" ht="115" customHeight="1">
      <x:c r="A646" s="3" t="str">
        <x:v>proposal.t4.acoustic_cassette</x:v>
      </x:c>
      <x:c r="B646" s="3" t="str">
        <x:f>IFERROR(INDEX('Items'!$B$6:$B$1005,MATCH(A646,'Items'!$A$6:$A$1005,0)),"MISSING ID")</x:f>
        <x:v>Matched stone-resonator cassette</x:v>
      </x:c>
      <x:c r="C646" s="3" t="str">
        <x:f>IFERROR(INDEX('Items'!$D$6:$D$1005,MATCH(A646,'Items'!$A$6:$A$1005,0)),"MISSING ID")</x:f>
        <x:v>Crafting components</x:v>
      </x:c>
      <x:c r="D646" s="3" t="str">
        <x:v>Primary</x:v>
      </x:c>
      <x:c r="E646" s="3" t="str">
        <x:f>IFERROR(INDEX('Items'!$AA$6:$AA$1005,MATCH(A646,'Items'!$A$6:$A$1005,0)),"MISSING ID")</x:f>
        <x:v>Music</x:v>
      </x:c>
      <x:c r="F646" s="3" t="str">
        <x:v>Proposed primary intermediate-stock use; downstream assembly remains planning only.</x:v>
      </x:c>
    </x:row>
    <x:row r="647" ht="115" customHeight="1">
      <x:c r="A647" s="4" t="str">
        <x:v>proposal.review.oxide_reactive_fraction</x:v>
      </x:c>
      <x:c r="B647" s="4" t="str">
        <x:f>IFERROR(INDEX('Items'!$B$6:$B$1005,MATCH(A647,'Items'!$A$6:$A$1005,0)),"MISSING ID")</x:f>
        <x:v>Selected oxide-reactive faunal fraction</x:v>
      </x:c>
      <x:c r="C647" s="4" t="str">
        <x:f>IFERROR(INDEX('Items'!$D$6:$D$1005,MATCH(A647,'Items'!$A$6:$A$1005,0)),"MISSING ID")</x:f>
        <x:v>Crafting components</x:v>
      </x:c>
      <x:c r="D647" s="4" t="str">
        <x:v>Primary</x:v>
      </x:c>
      <x:c r="E647" s="4" t="str">
        <x:f>IFERROR(INDEX('Items'!$AA$6:$AA$1005,MATCH(A647,'Items'!$A$6:$A$1005,0)),"MISSING ID")</x:f>
        <x:v>Chemical processing</x:v>
      </x:c>
      <x:c r="F647" s="4" t="str">
        <x:v>Hypothetical precursor use; no chemical efficacy asserted.</x:v>
      </x:c>
    </x:row>
    <x:row r="648" ht="115" customHeight="1">
      <x:c r="A648" s="4" t="str">
        <x:v>proposal.lore.young_growth</x:v>
      </x:c>
      <x:c r="B648" s="4" t="str">
        <x:f>IFERROR(INDEX('Items'!$B$6:$B$1005,MATCH(A648,'Items'!$A$6:$A$1005,0)),"MISSING ID")</x:f>
        <x:v>Young surface Iron Growth fragments</x:v>
      </x:c>
      <x:c r="C648" s="4" t="str">
        <x:f>IFERROR(INDEX('Items'!$D$6:$D$1005,MATCH(A648,'Items'!$A$6:$A$1005,0)),"MISSING ID")</x:f>
        <x:v>Mineral resources</x:v>
      </x:c>
      <x:c r="D648" s="4" t="str">
        <x:v>Primary</x:v>
      </x:c>
      <x:c r="E648" s="4" t="str">
        <x:f>IFERROR(INDEX('Items'!$AA$6:$AA$1005,MATCH(A648,'Items'!$A$6:$A$1005,0)),"MISSING ID")</x:f>
        <x:v>Material analysis</x:v>
      </x:c>
      <x:c r="F648" s="4" t="str">
        <x:v>Source-informed intended use; item and route remain proposals.</x:v>
      </x:c>
    </x:row>
    <x:row r="649" ht="115" customHeight="1">
      <x:c r="A649" s="4" t="str">
        <x:v>proposal.lore.mature_growth</x:v>
      </x:c>
      <x:c r="B649" s="4" t="str">
        <x:f>IFERROR(INDEX('Items'!$B$6:$B$1005,MATCH(A649,'Items'!$A$6:$A$1005,0)),"MISSING ID")</x:f>
        <x:v>Mature formation Iron Growth pieces</x:v>
      </x:c>
      <x:c r="C649" s="4" t="str">
        <x:f>IFERROR(INDEX('Items'!$D$6:$D$1005,MATCH(A649,'Items'!$A$6:$A$1005,0)),"MISSING ID")</x:f>
        <x:v>Mineral resources</x:v>
      </x:c>
      <x:c r="D649" s="4" t="str">
        <x:v>Primary</x:v>
      </x:c>
      <x:c r="E649" s="4" t="str">
        <x:f>IFERROR(INDEX('Items'!$AA$6:$AA$1005,MATCH(A649,'Items'!$A$6:$A$1005,0)),"MISSING ID")</x:f>
        <x:v>Material analysis</x:v>
      </x:c>
      <x:c r="F649" s="4" t="str">
        <x:v>Source-informed intended use; item and route remain proposals.</x:v>
      </x:c>
    </x:row>
    <x:row r="650" ht="115" customHeight="1">
      <x:c r="A650" s="4" t="str">
        <x:v>proposal.lore.old_growth</x:v>
      </x:c>
      <x:c r="B650" s="4" t="str">
        <x:f>IFERROR(INDEX('Items'!$B$6:$B$1005,MATCH(A650,'Items'!$A$6:$A$1005,0)),"MISSING ID")</x:f>
        <x:v>Old formation Iron Growth cores</x:v>
      </x:c>
      <x:c r="C650" s="4" t="str">
        <x:f>IFERROR(INDEX('Items'!$D$6:$D$1005,MATCH(A650,'Items'!$A$6:$A$1005,0)),"MISSING ID")</x:f>
        <x:v>Mineral resources</x:v>
      </x:c>
      <x:c r="D650" s="4" t="str">
        <x:v>Primary</x:v>
      </x:c>
      <x:c r="E650" s="4" t="str">
        <x:f>IFERROR(INDEX('Items'!$AA$6:$AA$1005,MATCH(A650,'Items'!$A$6:$A$1005,0)),"MISSING ID")</x:f>
        <x:v>Material analysis</x:v>
      </x:c>
      <x:c r="F650" s="4" t="str">
        <x:v>Source-informed intended use; item and route remain proposals.</x:v>
      </x:c>
    </x:row>
    <x:row r="651" ht="115" customHeight="1">
      <x:c r="A651" s="4" t="str">
        <x:v>proposal.lore.ruin_growth</x:v>
      </x:c>
      <x:c r="B651" s="4" t="str">
        <x:f>IFERROR(INDEX('Items'!$B$6:$B$1005,MATCH(A651,'Items'!$A$6:$A$1005,0)),"MISSING ID")</x:f>
        <x:v>Ruin-associated Iron Growth specimens</x:v>
      </x:c>
      <x:c r="C651" s="4" t="str">
        <x:f>IFERROR(INDEX('Items'!$D$6:$D$1005,MATCH(A651,'Items'!$A$6:$A$1005,0)),"MISSING ID")</x:f>
        <x:v>Salvage</x:v>
      </x:c>
      <x:c r="D651" s="4" t="str">
        <x:v>Primary</x:v>
      </x:c>
      <x:c r="E651" s="4" t="str">
        <x:f>IFERROR(INDEX('Items'!$AA$6:$AA$1005,MATCH(A651,'Items'!$A$6:$A$1005,0)),"MISSING ID")</x:f>
        <x:v>Material analysis</x:v>
      </x:c>
      <x:c r="F651" s="4" t="str">
        <x:v>Source-informed intended use; item and route remain proposals.</x:v>
      </x:c>
    </x:row>
    <x:row r="652" ht="115" customHeight="1">
      <x:c r="A652" s="4" t="str">
        <x:v>proposal.lore.assayed_growth</x:v>
      </x:c>
      <x:c r="B652" s="4" t="str">
        <x:f>IFERROR(INDEX('Items'!$B$6:$B$1005,MATCH(A652,'Items'!$A$6:$A$1005,0)),"MISSING ID")</x:f>
        <x:v>Assayed Iron Growth feedstock</x:v>
      </x:c>
      <x:c r="C652" s="4" t="str">
        <x:f>IFERROR(INDEX('Items'!$D$6:$D$1005,MATCH(A652,'Items'!$A$6:$A$1005,0)),"MISSING ID")</x:f>
        <x:v>Manufactured stock</x:v>
      </x:c>
      <x:c r="D652" s="4" t="str">
        <x:v>Primary</x:v>
      </x:c>
      <x:c r="E652" s="4" t="str">
        <x:f>IFERROR(INDEX('Items'!$AA$6:$AA$1005,MATCH(A652,'Items'!$A$6:$A$1005,0)),"MISSING ID")</x:f>
        <x:v>Metal refining</x:v>
      </x:c>
      <x:c r="F652" s="4" t="str">
        <x:v>Source-informed intended use; item and route remain proposals.</x:v>
      </x:c>
    </x:row>
    <x:row r="653" ht="115" customHeight="1">
      <x:c r="A653" s="4" t="str">
        <x:v>proposal.lore.growth_alloy</x:v>
      </x:c>
      <x:c r="B653" s="4" t="str">
        <x:f>IFERROR(INDEX('Items'!$B$6:$B$1005,MATCH(A653,'Items'!$A$6:$A$1005,0)),"MISSING ID")</x:f>
        <x:v>Canister-grade Growth alloy stock</x:v>
      </x:c>
      <x:c r="C653" s="4" t="str">
        <x:f>IFERROR(INDEX('Items'!$D$6:$D$1005,MATCH(A653,'Items'!$A$6:$A$1005,0)),"MISSING ID")</x:f>
        <x:v>Manufactured stock</x:v>
      </x:c>
      <x:c r="D653" s="4" t="str">
        <x:v>Primary</x:v>
      </x:c>
      <x:c r="E653" s="4" t="str">
        <x:f>IFERROR(INDEX('Items'!$AA$6:$AA$1005,MATCH(A653,'Items'!$A$6:$A$1005,0)),"MISSING ID")</x:f>
        <x:v>Fabrication</x:v>
      </x:c>
      <x:c r="F653" s="4" t="str">
        <x:v>Source-informed intended use; item and route remain proposals.</x:v>
      </x:c>
    </x:row>
    <x:row r="654" ht="115" customHeight="1">
      <x:c r="A654" s="4" t="str">
        <x:v>proposal.lore.growth_seat_blank</x:v>
      </x:c>
      <x:c r="B654" s="4" t="str">
        <x:f>IFERROR(INDEX('Items'!$B$6:$B$1005,MATCH(A654,'Items'!$A$6:$A$1005,0)),"MISSING ID")</x:f>
        <x:v>Growth-alloy seal-seat blanks</x:v>
      </x:c>
      <x:c r="C654" s="4" t="str">
        <x:f>IFERROR(INDEX('Items'!$D$6:$D$1005,MATCH(A654,'Items'!$A$6:$A$1005,0)),"MISSING ID")</x:f>
        <x:v>Crafting components</x:v>
      </x:c>
      <x:c r="D654" s="4" t="str">
        <x:v>Primary</x:v>
      </x:c>
      <x:c r="E654" s="4" t="str">
        <x:f>IFERROR(INDEX('Items'!$AA$6:$AA$1005,MATCH(A654,'Items'!$A$6:$A$1005,0)),"MISSING ID")</x:f>
        <x:v>Sealing</x:v>
      </x:c>
      <x:c r="F654" s="4" t="str">
        <x:v>Source-informed intended use; item and route remain proposals.</x:v>
      </x:c>
    </x:row>
    <x:row r="655" ht="115" customHeight="1">
      <x:c r="A655" s="4" t="str">
        <x:v>proposal.lore.growth_seat_assembly</x:v>
      </x:c>
      <x:c r="B655" s="4" t="str">
        <x:f>IFERROR(INDEX('Items'!$B$6:$B$1005,MATCH(A655,'Items'!$A$6:$A$1005,0)),"MISSING ID")</x:f>
        <x:v>Matched Growth seal-seat assembly</x:v>
      </x:c>
      <x:c r="C655" s="4" t="str">
        <x:f>IFERROR(INDEX('Items'!$D$6:$D$1005,MATCH(A655,'Items'!$A$6:$A$1005,0)),"MISSING ID")</x:f>
        <x:v>Crafting components</x:v>
      </x:c>
      <x:c r="D655" s="4" t="str">
        <x:v>Primary</x:v>
      </x:c>
      <x:c r="E655" s="4" t="str">
        <x:f>IFERROR(INDEX('Items'!$AA$6:$AA$1005,MATCH(A655,'Items'!$A$6:$A$1005,0)),"MISSING ID")</x:f>
        <x:v>Sealing</x:v>
      </x:c>
      <x:c r="F655" s="4" t="str">
        <x:v>Source-informed intended use; item and route remain proposals.</x:v>
      </x:c>
    </x:row>
    <x:row r="656" ht="115" customHeight="1">
      <x:c r="A656" s="4" t="str">
        <x:v>proposal.lore.alkaline_crust</x:v>
      </x:c>
      <x:c r="B656" s="4" t="str">
        <x:f>IFERROR(INDEX('Items'!$B$6:$B$1005,MATCH(A656,'Items'!$A$6:$A$1005,0)),"MISSING ID")</x:f>
        <x:v>Alkaline mineral crust</x:v>
      </x:c>
      <x:c r="C656" s="4" t="str">
        <x:f>IFERROR(INDEX('Items'!$D$6:$D$1005,MATCH(A656,'Items'!$A$6:$A$1005,0)),"MISSING ID")</x:f>
        <x:v>Mineral resources</x:v>
      </x:c>
      <x:c r="D656" s="4" t="str">
        <x:v>Primary</x:v>
      </x:c>
      <x:c r="E656" s="4" t="str">
        <x:f>IFERROR(INDEX('Items'!$AA$6:$AA$1005,MATCH(A656,'Items'!$A$6:$A$1005,0)),"MISSING ID")</x:f>
        <x:v>Chemical processing</x:v>
      </x:c>
      <x:c r="F656" s="4" t="str">
        <x:v>Source-informed intended use; item and route remain proposals.</x:v>
      </x:c>
    </x:row>
    <x:row r="657" ht="115" customHeight="1">
      <x:c r="A657" s="4" t="str">
        <x:v>proposal.lore.alkali_concentrate</x:v>
      </x:c>
      <x:c r="B657" s="4" t="str">
        <x:f>IFERROR(INDEX('Items'!$B$6:$B$1005,MATCH(A657,'Items'!$A$6:$A$1005,0)),"MISSING ID")</x:f>
        <x:v>Prepared alkaline mineral concentrate</x:v>
      </x:c>
      <x:c r="C657" s="4" t="str">
        <x:f>IFERROR(INDEX('Items'!$D$6:$D$1005,MATCH(A657,'Items'!$A$6:$A$1005,0)),"MISSING ID")</x:f>
        <x:v>Crafting components</x:v>
      </x:c>
      <x:c r="D657" s="4" t="str">
        <x:v>Primary</x:v>
      </x:c>
      <x:c r="E657" s="4" t="str">
        <x:f>IFERROR(INDEX('Items'!$AA$6:$AA$1005,MATCH(A657,'Items'!$A$6:$A$1005,0)),"MISSING ID")</x:f>
        <x:v>Chemical processing</x:v>
      </x:c>
      <x:c r="F657" s="4" t="str">
        <x:v>Source-informed intended use; item and route remain proposals.</x:v>
      </x:c>
    </x:row>
    <x:row r="658" ht="115" customHeight="1">
      <x:c r="A658" s="4" t="str">
        <x:v>proposal.lore.sulfur_charge</x:v>
      </x:c>
      <x:c r="B658" s="4" t="str">
        <x:f>IFERROR(INDEX('Items'!$B$6:$B$1005,MATCH(A658,'Items'!$A$6:$A$1005,0)),"MISSING ID")</x:f>
        <x:v>Prepared sulfur process charge</x:v>
      </x:c>
      <x:c r="C658" s="4" t="str">
        <x:f>IFERROR(INDEX('Items'!$D$6:$D$1005,MATCH(A658,'Items'!$A$6:$A$1005,0)),"MISSING ID")</x:f>
        <x:v>Crafting components</x:v>
      </x:c>
      <x:c r="D658" s="4" t="str">
        <x:v>Primary</x:v>
      </x:c>
      <x:c r="E658" s="4" t="str">
        <x:f>IFERROR(INDEX('Items'!$AA$6:$AA$1005,MATCH(A658,'Items'!$A$6:$A$1005,0)),"MISSING ID")</x:f>
        <x:v>Chemical processing</x:v>
      </x:c>
      <x:c r="F658" s="4" t="str">
        <x:v>Source-informed intended use; item and route remain proposals.</x:v>
      </x:c>
    </x:row>
    <x:row r="659" ht="115" customHeight="1">
      <x:c r="A659" s="4" t="str">
        <x:v>proposal.lore.phagia_byproduct</x:v>
      </x:c>
      <x:c r="B659" s="4" t="str">
        <x:f>IFERROR(INDEX('Items'!$B$6:$B$1005,MATCH(A659,'Items'!$A$6:$A$1005,0)),"MISSING ID")</x:f>
        <x:v>Contained Phagia vat byproduct</x:v>
      </x:c>
      <x:c r="C659" s="4" t="str">
        <x:f>IFERROR(INDEX('Items'!$D$6:$D$1005,MATCH(A659,'Items'!$A$6:$A$1005,0)),"MISSING ID")</x:f>
        <x:v>Biological resources</x:v>
      </x:c>
      <x:c r="D659" s="4" t="str">
        <x:v>Primary</x:v>
      </x:c>
      <x:c r="E659" s="4" t="str">
        <x:f>IFERROR(INDEX('Items'!$AA$6:$AA$1005,MATCH(A659,'Items'!$A$6:$A$1005,0)),"MISSING ID")</x:f>
        <x:v>Chemical processing</x:v>
      </x:c>
      <x:c r="F659" s="4" t="str">
        <x:v>Source-informed intended use; item and route remain proposals.</x:v>
      </x:c>
    </x:row>
    <x:row r="660" ht="115" customHeight="1">
      <x:c r="A660" s="4" t="str">
        <x:v>proposal.lore.phagia_enzyme</x:v>
      </x:c>
      <x:c r="B660" s="4" t="str">
        <x:f>IFERROR(INDEX('Items'!$B$6:$B$1005,MATCH(A660,'Items'!$A$6:$A$1005,0)),"MISSING ID")</x:f>
        <x:v>Selected Phagia enzyme fraction</x:v>
      </x:c>
      <x:c r="C660" s="4" t="str">
        <x:f>IFERROR(INDEX('Items'!$D$6:$D$1005,MATCH(A660,'Items'!$A$6:$A$1005,0)),"MISSING ID")</x:f>
        <x:v>Crafting components</x:v>
      </x:c>
      <x:c r="D660" s="4" t="str">
        <x:v>Primary</x:v>
      </x:c>
      <x:c r="E660" s="4" t="str">
        <x:f>IFERROR(INDEX('Items'!$AA$6:$AA$1005,MATCH(A660,'Items'!$A$6:$A$1005,0)),"MISSING ID")</x:f>
        <x:v>Chemical processing</x:v>
      </x:c>
      <x:c r="F660" s="4" t="str">
        <x:v>Source-informed intended use; item and route remain proposals.</x:v>
      </x:c>
    </x:row>
    <x:row r="661" ht="115" customHeight="1">
      <x:c r="A661" s="4" t="str">
        <x:v>proposal.lore.phagia_acid</x:v>
      </x:c>
      <x:c r="B661" s="4" t="str">
        <x:f>IFERROR(INDEX('Items'!$B$6:$B$1005,MATCH(A661,'Items'!$A$6:$A$1005,0)),"MISSING ID")</x:f>
        <x:v>Selected Phagia mild-acid fraction</x:v>
      </x:c>
      <x:c r="C661" s="4" t="str">
        <x:f>IFERROR(INDEX('Items'!$D$6:$D$1005,MATCH(A661,'Items'!$A$6:$A$1005,0)),"MISSING ID")</x:f>
        <x:v>Crafting components</x:v>
      </x:c>
      <x:c r="D661" s="4" t="str">
        <x:v>Primary</x:v>
      </x:c>
      <x:c r="E661" s="4" t="str">
        <x:f>IFERROR(INDEX('Items'!$AA$6:$AA$1005,MATCH(A661,'Items'!$A$6:$A$1005,0)),"MISSING ID")</x:f>
        <x:v>Surface finishing</x:v>
      </x:c>
      <x:c r="F661" s="4" t="str">
        <x:v>Source-informed intended use; item and route remain proposals.</x:v>
      </x:c>
    </x:row>
    <x:row r="662" ht="115" customHeight="1">
      <x:c r="A662" s="4" t="str">
        <x:v>proposal.lore.phagia_adhesive</x:v>
      </x:c>
      <x:c r="B662" s="4" t="str">
        <x:f>IFERROR(INDEX('Items'!$B$6:$B$1005,MATCH(A662,'Items'!$A$6:$A$1005,0)),"MISSING ID")</x:f>
        <x:v>Concentrated Phagia adhesive base</x:v>
      </x:c>
      <x:c r="C662" s="4" t="str">
        <x:f>IFERROR(INDEX('Items'!$D$6:$D$1005,MATCH(A662,'Items'!$A$6:$A$1005,0)),"MISSING ID")</x:f>
        <x:v>Crafting components</x:v>
      </x:c>
      <x:c r="D662" s="4" t="str">
        <x:v>Primary</x:v>
      </x:c>
      <x:c r="E662" s="4" t="str">
        <x:f>IFERROR(INDEX('Items'!$AA$6:$AA$1005,MATCH(A662,'Items'!$A$6:$A$1005,0)),"MISSING ID")</x:f>
        <x:v>Binding and construction</x:v>
      </x:c>
      <x:c r="F662" s="4" t="str">
        <x:v>Source-informed intended use; item and route remain proposals.</x:v>
      </x:c>
    </x:row>
    <x:row r="663" ht="115" customHeight="1">
      <x:c r="A663" s="4" t="str">
        <x:v>proposal.lore.shell_cleaning_charge</x:v>
      </x:c>
      <x:c r="B663" s="4" t="str">
        <x:f>IFERROR(INDEX('Items'!$B$6:$B$1005,MATCH(A663,'Items'!$A$6:$A$1005,0)),"MISSING ID")</x:f>
        <x:v>Chitin-cleaning process charge</x:v>
      </x:c>
      <x:c r="C663" s="4" t="str">
        <x:f>IFERROR(INDEX('Items'!$D$6:$D$1005,MATCH(A663,'Items'!$A$6:$A$1005,0)),"MISSING ID")</x:f>
        <x:v>Crafting components</x:v>
      </x:c>
      <x:c r="D663" s="4" t="str">
        <x:v>Primary</x:v>
      </x:c>
      <x:c r="E663" s="4" t="str">
        <x:f>IFERROR(INDEX('Items'!$AA$6:$AA$1005,MATCH(A663,'Items'!$A$6:$A$1005,0)),"MISSING ID")</x:f>
        <x:v>Chemical processing</x:v>
      </x:c>
      <x:c r="F663" s="4" t="str">
        <x:v>Source-informed intended use; item and route remain proposals.</x:v>
      </x:c>
    </x:row>
    <x:row r="664" ht="115" customHeight="1">
      <x:c r="A664" s="4" t="str">
        <x:v>proposal.lore.chitin_binder_residue</x:v>
      </x:c>
      <x:c r="B664" s="4" t="str">
        <x:f>IFERROR(INDEX('Items'!$B$6:$B$1005,MATCH(A664,'Items'!$A$6:$A$1005,0)),"MISSING ID")</x:f>
        <x:v>Concentrated chitin binder residue</x:v>
      </x:c>
      <x:c r="C664" s="4" t="str">
        <x:f>IFERROR(INDEX('Items'!$D$6:$D$1005,MATCH(A664,'Items'!$A$6:$A$1005,0)),"MISSING ID")</x:f>
        <x:v>Crafting components</x:v>
      </x:c>
      <x:c r="D664" s="4" t="str">
        <x:v>Primary</x:v>
      </x:c>
      <x:c r="E664" s="4" t="str">
        <x:f>IFERROR(INDEX('Items'!$AA$6:$AA$1005,MATCH(A664,'Items'!$A$6:$A$1005,0)),"MISSING ID")</x:f>
        <x:v>Binding and construction</x:v>
      </x:c>
      <x:c r="F664" s="4" t="str">
        <x:v>Source-informed intended use; item and route remain proposals.</x:v>
      </x:c>
    </x:row>
    <x:row r="665" ht="115" customHeight="1">
      <x:c r="A665" s="4" t="str">
        <x:v>proposal.lore.membrane_bond</x:v>
      </x:c>
      <x:c r="B665" s="4" t="str">
        <x:f>IFERROR(INDEX('Items'!$B$6:$B$1005,MATCH(A665,'Items'!$A$6:$A$1005,0)),"MISSING ID")</x:f>
        <x:v>Rendered membrane bonding stock</x:v>
      </x:c>
      <x:c r="C665" s="4" t="str">
        <x:f>IFERROR(INDEX('Items'!$D$6:$D$1005,MATCH(A665,'Items'!$A$6:$A$1005,0)),"MISSING ID")</x:f>
        <x:v>Crafting components</x:v>
      </x:c>
      <x:c r="D665" s="4" t="str">
        <x:v>Primary</x:v>
      </x:c>
      <x:c r="E665" s="4" t="str">
        <x:f>IFERROR(INDEX('Items'!$AA$6:$AA$1005,MATCH(A665,'Items'!$A$6:$A$1005,0)),"MISSING ID")</x:f>
        <x:v>Binding and construction</x:v>
      </x:c>
      <x:c r="F665" s="4" t="str">
        <x:v>Source-informed intended use; item and route remain proposals.</x:v>
      </x:c>
    </x:row>
    <x:row r="666" ht="115" customHeight="1">
      <x:c r="A666" s="4" t="str">
        <x:v>proposal.lore.ichor_sediment</x:v>
      </x:c>
      <x:c r="B666" s="4" t="str">
        <x:f>IFERROR(INDEX('Items'!$B$6:$B$1005,MATCH(A666,'Items'!$A$6:$A$1005,0)),"MISSING ID")</x:f>
        <x:v>Separated ichor mineral sediment</x:v>
      </x:c>
      <x:c r="C666" s="4" t="str">
        <x:f>IFERROR(INDEX('Items'!$D$6:$D$1005,MATCH(A666,'Items'!$A$6:$A$1005,0)),"MISSING ID")</x:f>
        <x:v>Crafting components</x:v>
      </x:c>
      <x:c r="D666" s="4" t="str">
        <x:v>Primary</x:v>
      </x:c>
      <x:c r="E666" s="4" t="str">
        <x:f>IFERROR(INDEX('Items'!$AA$6:$AA$1005,MATCH(A666,'Items'!$A$6:$A$1005,0)),"MISSING ID")</x:f>
        <x:v>Chemical processing</x:v>
      </x:c>
      <x:c r="F666" s="4" t="str">
        <x:v>Source-informed intended use; item and route remain proposals.</x:v>
      </x:c>
    </x:row>
    <x:row r="667" ht="115" customHeight="1">
      <x:c r="A667" s="4" t="str">
        <x:v>proposal.lore.electroactive_bundle</x:v>
      </x:c>
      <x:c r="B667" s="4" t="str">
        <x:f>IFERROR(INDEX('Items'!$B$6:$B$1005,MATCH(A667,'Items'!$A$6:$A$1005,0)),"MISSING ID")</x:f>
        <x:v>Harvested electroactive fiber bundles</x:v>
      </x:c>
      <x:c r="C667" s="4" t="str">
        <x:f>IFERROR(INDEX('Items'!$D$6:$D$1005,MATCH(A667,'Items'!$A$6:$A$1005,0)),"MISSING ID")</x:f>
        <x:v>Biological resources</x:v>
      </x:c>
      <x:c r="D667" s="4" t="str">
        <x:v>Primary</x:v>
      </x:c>
      <x:c r="E667" s="4" t="str">
        <x:f>IFERROR(INDEX('Items'!$AA$6:$AA$1005,MATCH(A667,'Items'!$A$6:$A$1005,0)),"MISSING ID")</x:f>
        <x:v>Binding and construction</x:v>
      </x:c>
      <x:c r="F667" s="4" t="str">
        <x:v>Source-informed intended use; item and route remain proposals.</x:v>
      </x:c>
    </x:row>
    <x:row r="668" ht="115" customHeight="1">
      <x:c r="A668" s="4" t="str">
        <x:v>proposal.lore.dried_fiber</x:v>
      </x:c>
      <x:c r="B668" s="4" t="str">
        <x:f>IFERROR(INDEX('Items'!$B$6:$B$1005,MATCH(A668,'Items'!$A$6:$A$1005,0)),"MISSING ID")</x:f>
        <x:v>Dried electroactive-fiber reinforcement stock</x:v>
      </x:c>
      <x:c r="C668" s="4" t="str">
        <x:f>IFERROR(INDEX('Items'!$D$6:$D$1005,MATCH(A668,'Items'!$A$6:$A$1005,0)),"MISSING ID")</x:f>
        <x:v>Manufactured stock</x:v>
      </x:c>
      <x:c r="D668" s="4" t="str">
        <x:v>Primary</x:v>
      </x:c>
      <x:c r="E668" s="4" t="str">
        <x:f>IFERROR(INDEX('Items'!$AA$6:$AA$1005,MATCH(A668,'Items'!$A$6:$A$1005,0)),"MISSING ID")</x:f>
        <x:v>Binding and construction</x:v>
      </x:c>
      <x:c r="F668" s="4" t="str">
        <x:v>Source-informed intended use; item and route remain proposals.</x:v>
      </x:c>
    </x:row>
    <x:row r="669" ht="115" customHeight="1">
      <x:c r="A669" s="4" t="str">
        <x:v>proposal.lore.feedstone_mix</x:v>
      </x:c>
      <x:c r="B669" s="4" t="str">
        <x:f>IFERROR(INDEX('Items'!$B$6:$B$1005,MATCH(A669,'Items'!$A$6:$A$1005,0)),"MISSING ID")</x:f>
        <x:v>Graded domestic-beetle feedstone mix</x:v>
      </x:c>
      <x:c r="C669" s="4" t="str">
        <x:f>IFERROR(INDEX('Items'!$D$6:$D$1005,MATCH(A669,'Items'!$A$6:$A$1005,0)),"MISSING ID")</x:f>
        <x:v>Manufactured stock</x:v>
      </x:c>
      <x:c r="D669" s="4" t="str">
        <x:v>Primary</x:v>
      </x:c>
      <x:c r="E669" s="4" t="str">
        <x:f>IFERROR(INDEX('Items'!$AA$6:$AA$1005,MATCH(A669,'Items'!$A$6:$A$1005,0)),"MISSING ID")</x:f>
        <x:v>Animal husbandry</x:v>
      </x:c>
      <x:c r="F669" s="4" t="str">
        <x:v>Source-informed intended use; item and route remain proposals.</x:v>
      </x:c>
    </x:row>
    <x:row r="670" ht="115" customHeight="1">
      <x:c r="A670" s="4"/>
      <x:c r="B670" s="4"/>
      <x:c r="C670" s="4"/>
      <x:c r="D670" s="4"/>
      <x:c r="E670" s="4"/>
      <x:c r="F670" s="4"/>
    </x:row>
    <x:row r="671" ht="115" customHeight="1">
      <x:c r="A671" s="4"/>
      <x:c r="B671" s="4"/>
      <x:c r="C671" s="4"/>
      <x:c r="D671" s="4"/>
      <x:c r="E671" s="4"/>
      <x:c r="F671" s="4"/>
    </x:row>
    <x:row r="672" ht="115" customHeight="1">
      <x:c r="A672" s="4" t="str">
        <x:v>proposal.lore.shell_scraper</x:v>
      </x:c>
      <x:c r="B672" s="4" t="str">
        <x:f>IFERROR(INDEX('Items'!$B$6:$B$1005,MATCH(A672,'Items'!$A$6:$A$1005,0)),"MISSING ID")</x:f>
        <x:v>Domestic shell-trimming scraper</x:v>
      </x:c>
      <x:c r="C672" s="4" t="str">
        <x:f>IFERROR(INDEX('Items'!$D$6:$D$1005,MATCH(A672,'Items'!$A$6:$A$1005,0)),"MISSING ID")</x:f>
        <x:v>Salvage</x:v>
      </x:c>
      <x:c r="D672" s="4" t="str">
        <x:v>Primary</x:v>
      </x:c>
      <x:c r="E672" s="4" t="str">
        <x:f>IFERROR(INDEX('Items'!$AA$6:$AA$1005,MATCH(A672,'Items'!$A$6:$A$1005,0)),"MISSING ID")</x:f>
        <x:v>Animal husbandry</x:v>
      </x:c>
      <x:c r="F672" s="4" t="str">
        <x:v>Source-informed intended use; item and route remain proposals.</x:v>
      </x:c>
    </x:row>
    <x:row r="673" ht="115" customHeight="1">
      <x:c r="A673" s="4" t="str">
        <x:v>proposal.lore.iron_conductor</x:v>
      </x:c>
      <x:c r="B673" s="4" t="str">
        <x:f>IFERROR(INDEX('Items'!$B$6:$B$1005,MATCH(A673,'Items'!$A$6:$A$1005,0)),"MISSING ID")</x:f>
        <x:v>Drawn iron conductor stock</x:v>
      </x:c>
      <x:c r="C673" s="4" t="str">
        <x:f>IFERROR(INDEX('Items'!$D$6:$D$1005,MATCH(A673,'Items'!$A$6:$A$1005,0)),"MISSING ID")</x:f>
        <x:v>Manufactured stock</x:v>
      </x:c>
      <x:c r="D673" s="4" t="str">
        <x:v>Primary</x:v>
      </x:c>
      <x:c r="E673" s="4" t="str">
        <x:f>IFERROR(INDEX('Items'!$AA$6:$AA$1005,MATCH(A673,'Items'!$A$6:$A$1005,0)),"MISSING ID")</x:f>
        <x:v>Electrical conduction</x:v>
      </x:c>
      <x:c r="F673" s="4" t="str">
        <x:v>Source-informed intended use; item and route remain proposals.</x:v>
      </x:c>
    </x:row>
    <x:row r="674" ht="115" customHeight="1">
      <x:c r="A674" s="4" t="str">
        <x:v>proposal.lore.iron_core_plates</x:v>
      </x:c>
      <x:c r="B674" s="4" t="str">
        <x:f>IFERROR(INDEX('Items'!$B$6:$B$1005,MATCH(A674,'Items'!$A$6:$A$1005,0)),"MISSING ID")</x:f>
        <x:v>Shaped iron core plates</x:v>
      </x:c>
      <x:c r="C674" s="4" t="str">
        <x:f>IFERROR(INDEX('Items'!$D$6:$D$1005,MATCH(A674,'Items'!$A$6:$A$1005,0)),"MISSING ID")</x:f>
        <x:v>Crafting components</x:v>
      </x:c>
      <x:c r="D674" s="4" t="str">
        <x:v>Primary</x:v>
      </x:c>
      <x:c r="E674" s="4" t="str">
        <x:f>IFERROR(INDEX('Items'!$AA$6:$AA$1005,MATCH(A674,'Items'!$A$6:$A$1005,0)),"MISSING ID")</x:f>
        <x:v>Equipment fabrication</x:v>
      </x:c>
      <x:c r="F674" s="4" t="str">
        <x:v>Source-informed intended use; item and route remain proposals.</x:v>
      </x:c>
    </x:row>
    <x:row r="675" ht="115" customHeight="1">
      <x:c r="A675" s="4" t="str">
        <x:v>proposal.lore.iron_winding</x:v>
      </x:c>
      <x:c r="B675" s="4" t="str">
        <x:f>IFERROR(INDEX('Items'!$B$6:$B$1005,MATCH(A675,'Items'!$A$6:$A$1005,0)),"MISSING ID")</x:f>
        <x:v>Iron-wound core blank</x:v>
      </x:c>
      <x:c r="C675" s="4" t="str">
        <x:f>IFERROR(INDEX('Items'!$D$6:$D$1005,MATCH(A675,'Items'!$A$6:$A$1005,0)),"MISSING ID")</x:f>
        <x:v>Crafting components</x:v>
      </x:c>
      <x:c r="D675" s="4" t="str">
        <x:v>Primary</x:v>
      </x:c>
      <x:c r="E675" s="4" t="str">
        <x:f>IFERROR(INDEX('Items'!$AA$6:$AA$1005,MATCH(A675,'Items'!$A$6:$A$1005,0)),"MISSING ID")</x:f>
        <x:v>Electrical conduction</x:v>
      </x:c>
      <x:c r="F675" s="4" t="str">
        <x:v>Source-informed intended use; item and route remain proposals.</x:v>
      </x:c>
    </x:row>
    <x:row r="676" ht="115" customHeight="1">
      <x:c r="A676" s="4" t="str">
        <x:v>proposal.lore.rivet_stock</x:v>
      </x:c>
      <x:c r="B676" s="4" t="str">
        <x:f>IFERROR(INDEX('Items'!$B$6:$B$1005,MATCH(A676,'Items'!$A$6:$A$1005,0)),"MISSING ID")</x:f>
        <x:v>Rough iron rivet stock</x:v>
      </x:c>
      <x:c r="C676" s="4" t="str">
        <x:f>IFERROR(INDEX('Items'!$D$6:$D$1005,MATCH(A676,'Items'!$A$6:$A$1005,0)),"MISSING ID")</x:f>
        <x:v>Manufactured stock</x:v>
      </x:c>
      <x:c r="D676" s="4" t="str">
        <x:v>Primary</x:v>
      </x:c>
      <x:c r="E676" s="4" t="str">
        <x:f>IFERROR(INDEX('Items'!$AA$6:$AA$1005,MATCH(A676,'Items'!$A$6:$A$1005,0)),"MISSING ID")</x:f>
        <x:v>Fabrication</x:v>
      </x:c>
      <x:c r="F676" s="4" t="str">
        <x:v>Source-informed intended use; item and route remain proposals.</x:v>
      </x:c>
    </x:row>
    <x:row r="677" ht="115" customHeight="1">
      <x:c r="A677" s="4" t="str">
        <x:v>proposal.lore.fastener_set</x:v>
      </x:c>
      <x:c r="B677" s="4" t="str">
        <x:f>IFERROR(INDEX('Items'!$B$6:$B$1005,MATCH(A677,'Items'!$A$6:$A$1005,0)),"MISSING ID")</x:f>
        <x:v>Matched metal fastener set</x:v>
      </x:c>
      <x:c r="C677" s="4" t="str">
        <x:f>IFERROR(INDEX('Items'!$D$6:$D$1005,MATCH(A677,'Items'!$A$6:$A$1005,0)),"MISSING ID")</x:f>
        <x:v>Crafting components</x:v>
      </x:c>
      <x:c r="D677" s="4" t="str">
        <x:v>Primary</x:v>
      </x:c>
      <x:c r="E677" s="4" t="str">
        <x:f>IFERROR(INDEX('Items'!$AA$6:$AA$1005,MATCH(A677,'Items'!$A$6:$A$1005,0)),"MISSING ID")</x:f>
        <x:v>Equipment mounting</x:v>
      </x:c>
      <x:c r="F677" s="4" t="str">
        <x:v>Source-informed intended use; item and route remain proposals.</x:v>
      </x:c>
    </x:row>
    <x:row r="678" ht="115" customHeight="1">
      <x:c r="A678" s="4" t="str">
        <x:v>proposal.lore.threaded_fittings</x:v>
      </x:c>
      <x:c r="B678" s="4" t="str">
        <x:f>IFERROR(INDEX('Items'!$B$6:$B$1005,MATCH(A678,'Items'!$A$6:$A$1005,0)),"MISSING ID")</x:f>
        <x:v>Threaded metal fitting blanks</x:v>
      </x:c>
      <x:c r="C678" s="4" t="str">
        <x:f>IFERROR(INDEX('Items'!$D$6:$D$1005,MATCH(A678,'Items'!$A$6:$A$1005,0)),"MISSING ID")</x:f>
        <x:v>Crafting components</x:v>
      </x:c>
      <x:c r="D678" s="4" t="str">
        <x:v>Primary</x:v>
      </x:c>
      <x:c r="E678" s="4" t="str">
        <x:f>IFERROR(INDEX('Items'!$AA$6:$AA$1005,MATCH(A678,'Items'!$A$6:$A$1005,0)),"MISSING ID")</x:f>
        <x:v>Material transfer</x:v>
      </x:c>
      <x:c r="F678" s="4" t="str">
        <x:v>Source-informed intended use; item and route remain proposals.</x:v>
      </x:c>
    </x:row>
    <x:row r="679" ht="115" customHeight="1">
      <x:c r="A679" s="4" t="str">
        <x:v>proposal.lore.assay_packet</x:v>
      </x:c>
      <x:c r="B679" s="4" t="str">
        <x:f>IFERROR(INDEX('Items'!$B$6:$B$1005,MATCH(A679,'Items'!$A$6:$A$1005,0)),"MISSING ID")</x:f>
        <x:v>Growth assay reference packet</x:v>
      </x:c>
      <x:c r="C679" s="4" t="str">
        <x:f>IFERROR(INDEX('Items'!$D$6:$D$1005,MATCH(A679,'Items'!$A$6:$A$1005,0)),"MISSING ID")</x:f>
        <x:v>Crafting components</x:v>
      </x:c>
      <x:c r="D679" s="4" t="str">
        <x:v>Primary</x:v>
      </x:c>
      <x:c r="E679" s="4" t="str">
        <x:f>IFERROR(INDEX('Items'!$AA$6:$AA$1005,MATCH(A679,'Items'!$A$6:$A$1005,0)),"MISSING ID")</x:f>
        <x:v>Material analysis</x:v>
      </x:c>
      <x:c r="F679" s="4" t="str">
        <x:v>Source-informed intended use; item and route remain proposals.</x:v>
      </x:c>
    </x:row>
    <x:row r="680" ht="115" customHeight="1">
      <x:c r="A680" s="4" t="str">
        <x:v>proposal.lore.ancient_seal_strip</x:v>
      </x:c>
      <x:c r="B680" s="4" t="str">
        <x:f>IFERROR(INDEX('Items'!$B$6:$B$1005,MATCH(A680,'Items'!$A$6:$A$1005,0)),"MISSING ID")</x:f>
        <x:v>Recovered ancient seal strip</x:v>
      </x:c>
      <x:c r="C680" s="4" t="str">
        <x:f>IFERROR(INDEX('Items'!$D$6:$D$1005,MATCH(A680,'Items'!$A$6:$A$1005,0)),"MISSING ID")</x:f>
        <x:v>Ancient salvage</x:v>
      </x:c>
      <x:c r="D680" s="4" t="str">
        <x:v>Primary</x:v>
      </x:c>
      <x:c r="E680" s="4" t="str">
        <x:f>IFERROR(INDEX('Items'!$AA$6:$AA$1005,MATCH(A680,'Items'!$A$6:$A$1005,0)),"MISSING ID")</x:f>
        <x:v>Sealing</x:v>
      </x:c>
      <x:c r="F680" s="4" t="str">
        <x:v>Source-informed intended use; item and route remain proposals.</x:v>
      </x:c>
    </x:row>
    <x:row r="681" ht="115" customHeight="1">
      <x:c r="A681" s="4" t="str">
        <x:v>proposal.lore.ancient_view_plate</x:v>
      </x:c>
      <x:c r="B681" s="4" t="str">
        <x:f>IFERROR(INDEX('Items'!$B$6:$B$1005,MATCH(A681,'Items'!$A$6:$A$1005,0)),"MISSING ID")</x:f>
        <x:v>Recovered ancient transparent plate</x:v>
      </x:c>
      <x:c r="C681" s="4" t="str">
        <x:f>IFERROR(INDEX('Items'!$D$6:$D$1005,MATCH(A681,'Items'!$A$6:$A$1005,0)),"MISSING ID")</x:f>
        <x:v>Ancient salvage</x:v>
      </x:c>
      <x:c r="D681" s="4" t="str">
        <x:v>Primary</x:v>
      </x:c>
      <x:c r="E681" s="4" t="str">
        <x:f>IFERROR(INDEX('Items'!$AA$6:$AA$1005,MATCH(A681,'Items'!$A$6:$A$1005,0)),"MISSING ID")</x:f>
        <x:v>Vision</x:v>
      </x:c>
      <x:c r="F681" s="4" t="str">
        <x:v>Source-informed intended use; item and route remain proposals.</x:v>
      </x:c>
    </x:row>
    <x:row r="682" ht="64" customHeight="1">
      <x:c r="A682" s="4" t="str">
        <x:v>proposal.collection.nickel_bearing_nodules</x:v>
      </x:c>
      <x:c r="B682" s="4" t="str">
        <x:f>IFERROR(INDEX('Items'!$B$6:$B$1005,MATCH(A682,'Items'!$A$6:$A$1005,0)),"MISSING ID")</x:f>
        <x:v>Nickel-bearing nodules</x:v>
      </x:c>
      <x:c r="C682" s="4" t="str">
        <x:f>IFERROR(INDEX('Items'!$D$6:$D$1005,MATCH(A682,'Items'!$A$6:$A$1005,0)),"MISSING ID")</x:f>
        <x:v>Mineral resources</x:v>
      </x:c>
      <x:c r="D682" s="4" t="str">
        <x:v>Primary</x:v>
      </x:c>
      <x:c r="E682" s="4" t="str">
        <x:f>IFERROR(INDEX('Items'!$AA$6:$AA$1005,MATCH(A682,'Items'!$A$6:$A$1005,0)),"MISSING ID")</x:f>
        <x:v>Fabrication</x:v>
      </x:c>
      <x:c r="F682" s="4" t="str">
        <x:v>Collection proposal: Scarce candidate feed for specialty steel and electrical contacts</x:v>
      </x:c>
    </x:row>
    <x:row r="683" ht="64" customHeight="1">
      <x:c r="A683" s="4" t="str">
        <x:v>proposal.collection.tin_bearing_gravel</x:v>
      </x:c>
      <x:c r="B683" s="4" t="str">
        <x:f>IFERROR(INDEX('Items'!$B$6:$B$1005,MATCH(A683,'Items'!$A$6:$A$1005,0)),"MISSING ID")</x:f>
        <x:v>Tin-bearing gravel</x:v>
      </x:c>
      <x:c r="C683" s="4" t="str">
        <x:f>IFERROR(INDEX('Items'!$D$6:$D$1005,MATCH(A683,'Items'!$A$6:$A$1005,0)),"MISSING ID")</x:f>
        <x:v>Mineral resources</x:v>
      </x:c>
      <x:c r="D683" s="4" t="str">
        <x:v>Primary</x:v>
      </x:c>
      <x:c r="E683" s="4" t="str">
        <x:f>IFERROR(INDEX('Items'!$AA$6:$AA$1005,MATCH(A683,'Items'!$A$6:$A$1005,0)),"MISSING ID")</x:f>
        <x:v>Fabrication</x:v>
      </x:c>
      <x:c r="F683" s="4" t="str">
        <x:v>Collection proposal: Candidate bronze alloying feed</x:v>
      </x:c>
    </x:row>
    <x:row r="684" ht="64" customHeight="1">
      <x:c r="A684" s="4" t="str">
        <x:v>proposal.collection.chromite_rich_stone</x:v>
      </x:c>
      <x:c r="B684" s="4" t="str">
        <x:f>IFERROR(INDEX('Items'!$B$6:$B$1005,MATCH(A684,'Items'!$A$6:$A$1005,0)),"MISSING ID")</x:f>
        <x:v>Chromite-rich stone</x:v>
      </x:c>
      <x:c r="C684" s="4" t="str">
        <x:f>IFERROR(INDEX('Items'!$D$6:$D$1005,MATCH(A684,'Items'!$A$6:$A$1005,0)),"MISSING ID")</x:f>
        <x:v>Mineral resources</x:v>
      </x:c>
      <x:c r="D684" s="4" t="str">
        <x:v>Primary</x:v>
      </x:c>
      <x:c r="E684" s="4" t="str">
        <x:f>IFERROR(INDEX('Items'!$AA$6:$AA$1005,MATCH(A684,'Items'!$A$6:$A$1005,0)),"MISSING ID")</x:f>
        <x:v>Fabrication</x:v>
      </x:c>
      <x:c r="F684" s="4" t="str">
        <x:v>Collection proposal: Candidate alloy and refractory feed</x:v>
      </x:c>
    </x:row>
    <x:row r="685" ht="64" customHeight="1">
      <x:c r="A685" s="4" t="str">
        <x:v>proposal.collection.ilmenite_rich_sand</x:v>
      </x:c>
      <x:c r="B685" s="4" t="str">
        <x:f>IFERROR(INDEX('Items'!$B$6:$B$1005,MATCH(A685,'Items'!$A$6:$A$1005,0)),"MISSING ID")</x:f>
        <x:v>Ilmenite-rich sand</x:v>
      </x:c>
      <x:c r="C685" s="4" t="str">
        <x:f>IFERROR(INDEX('Items'!$D$6:$D$1005,MATCH(A685,'Items'!$A$6:$A$1005,0)),"MISSING ID")</x:f>
        <x:v>Mineral resources</x:v>
      </x:c>
      <x:c r="D685" s="4" t="str">
        <x:v>Primary</x:v>
      </x:c>
      <x:c r="E685" s="4" t="str">
        <x:f>IFERROR(INDEX('Items'!$AA$6:$AA$1005,MATCH(A685,'Items'!$A$6:$A$1005,0)),"MISSING ID")</x:f>
        <x:v>Fabrication</x:v>
      </x:c>
      <x:c r="F685" s="4" t="str">
        <x:v>Collection proposal: Candidate pigment and specialist mineral feed</x:v>
      </x:c>
    </x:row>
    <x:row r="686" ht="64" customHeight="1">
      <x:c r="A686" s="4"/>
      <x:c r="B686" s="4"/>
      <x:c r="C686" s="4"/>
      <x:c r="D686" s="4"/>
      <x:c r="E686" s="4"/>
      <x:c r="F686" s="4"/>
    </x:row>
    <x:row r="687" ht="64" customHeight="1">
      <x:c r="A687" s="4"/>
      <x:c r="B687" s="4"/>
      <x:c r="C687" s="4"/>
      <x:c r="D687" s="4"/>
      <x:c r="E687" s="4"/>
      <x:c r="F687" s="4"/>
    </x:row>
    <x:row r="688" ht="64" customHeight="1">
      <x:c r="A688" s="4"/>
      <x:c r="B688" s="4"/>
      <x:c r="C688" s="4"/>
      <x:c r="D688" s="4"/>
      <x:c r="E688" s="4"/>
      <x:c r="F688" s="4"/>
    </x:row>
    <x:row r="689" ht="64" customHeight="1">
      <x:c r="A689" s="4" t="str">
        <x:v>proposal.collection.dolomite_fragments</x:v>
      </x:c>
      <x:c r="B689" s="4" t="str">
        <x:f>IFERROR(INDEX('Items'!$B$6:$B$1005,MATCH(A689,'Items'!$A$6:$A$1005,0)),"MISSING ID")</x:f>
        <x:v>Dolomite fragments</x:v>
      </x:c>
      <x:c r="C689" s="4" t="str">
        <x:f>IFERROR(INDEX('Items'!$D$6:$D$1005,MATCH(A689,'Items'!$A$6:$A$1005,0)),"MISSING ID")</x:f>
        <x:v>Mineral resources</x:v>
      </x:c>
      <x:c r="D689" s="4" t="str">
        <x:v>Primary</x:v>
      </x:c>
      <x:c r="E689" s="4" t="str">
        <x:f>IFERROR(INDEX('Items'!$AA$6:$AA$1005,MATCH(A689,'Items'!$A$6:$A$1005,0)),"MISSING ID")</x:f>
        <x:v>Fabrication</x:v>
      </x:c>
      <x:c r="F689" s="4" t="str">
        <x:v>Collection proposal: Candidate lime and kiln flux feed</x:v>
      </x:c>
    </x:row>
    <x:row r="690" ht="64" customHeight="1">
      <x:c r="A690" s="4" t="str">
        <x:v>proposal.collection.halite_chunks</x:v>
      </x:c>
      <x:c r="B690" s="4" t="str">
        <x:f>IFERROR(INDEX('Items'!$B$6:$B$1005,MATCH(A690,'Items'!$A$6:$A$1005,0)),"MISSING ID")</x:f>
        <x:v>Halite chunks</x:v>
      </x:c>
      <x:c r="C690" s="4" t="str">
        <x:f>IFERROR(INDEX('Items'!$D$6:$D$1005,MATCH(A690,'Items'!$A$6:$A$1005,0)),"MISSING ID")</x:f>
        <x:v>Mineral resources</x:v>
      </x:c>
      <x:c r="D690" s="4" t="str">
        <x:v>Primary</x:v>
      </x:c>
      <x:c r="E690" s="4" t="str">
        <x:f>IFERROR(INDEX('Items'!$AA$6:$AA$1005,MATCH(A690,'Items'!$A$6:$A$1005,0)),"MISSING ID")</x:f>
        <x:v>Fabrication</x:v>
      </x:c>
      <x:c r="F690" s="4" t="str">
        <x:v>Collection proposal: Candidate industrial salt feed, separate from culinary grades</x:v>
      </x:c>
    </x:row>
    <x:row r="691" ht="64" customHeight="1">
      <x:c r="A691" s="4"/>
      <x:c r="B691" s="4"/>
      <x:c r="C691" s="4"/>
      <x:c r="D691" s="4"/>
      <x:c r="E691" s="4"/>
      <x:c r="F691" s="4"/>
    </x:row>
    <x:row r="692" ht="64" customHeight="1">
      <x:c r="A692" s="4" t="str">
        <x:v>proposal.collection.dense_heat_holding_stone</x:v>
      </x:c>
      <x:c r="B692" s="4" t="str">
        <x:f>IFERROR(INDEX('Items'!$B$6:$B$1005,MATCH(A692,'Items'!$A$6:$A$1005,0)),"MISSING ID")</x:f>
        <x:v>Dense heat-holding stone</x:v>
      </x:c>
      <x:c r="C692" s="4" t="str">
        <x:f>IFERROR(INDEX('Items'!$D$6:$D$1005,MATCH(A692,'Items'!$A$6:$A$1005,0)),"MISSING ID")</x:f>
        <x:v>Crafting components</x:v>
      </x:c>
      <x:c r="D692" s="4" t="str">
        <x:v>Primary</x:v>
      </x:c>
      <x:c r="E692" s="4" t="str">
        <x:f>IFERROR(INDEX('Items'!$AA$6:$AA$1005,MATCH(A692,'Items'!$A$6:$A$1005,0)),"MISSING ID")</x:f>
        <x:v>Fabrication</x:v>
      </x:c>
      <x:c r="F692" s="4" t="str">
        <x:v>Collection proposal: Candidate thermal mass for cooking and heat storage</x:v>
      </x:c>
    </x:row>
    <x:row r="693" ht="64" customHeight="1">
      <x:c r="A693" s="4"/>
      <x:c r="B693" s="4"/>
      <x:c r="C693" s="4"/>
      <x:c r="D693" s="4"/>
      <x:c r="E693" s="4"/>
      <x:c r="F693" s="4"/>
    </x:row>
    <x:row r="694" ht="64" customHeight="1">
      <x:c r="A694" s="4" t="str">
        <x:v>proposal.collection.selected_edible_fauna_gland_tissue</x:v>
      </x:c>
      <x:c r="B694" s="4" t="str">
        <x:f>IFERROR(INDEX('Items'!$B$6:$B$1005,MATCH(A694,'Items'!$A$6:$A$1005,0)),"MISSING ID")</x:f>
        <x:v>Selected edible-fauna gland tissue</x:v>
      </x:c>
      <x:c r="C694" s="4" t="str">
        <x:f>IFERROR(INDEX('Items'!$D$6:$D$1005,MATCH(A694,'Items'!$A$6:$A$1005,0)),"MISSING ID")</x:f>
        <x:v>Cooking ingredients</x:v>
      </x:c>
      <x:c r="D694" s="4" t="str">
        <x:v>Primary</x:v>
      </x:c>
      <x:c r="E694" s="4" t="str">
        <x:f>IFERROR(INDEX('Items'!$AA$6:$AA$1005,MATCH(A694,'Items'!$A$6:$A$1005,0)),"MISSING ID")</x:f>
        <x:v>Food preparation</x:v>
      </x:c>
      <x:c r="F694" s="4" t="str">
        <x:v>Collection proposal: Species-specific culinary hypothesis requiring edibility review</x:v>
      </x:c>
    </x:row>
    <x:row r="695" ht="64" customHeight="1">
      <x:c r="A695" s="4" t="str">
        <x:v>proposal.collection.sorted_nickel_alloying_feed</x:v>
      </x:c>
      <x:c r="B695" s="4" t="str">
        <x:f>IFERROR(INDEX('Items'!$B$6:$B$1005,MATCH(A695,'Items'!$A$6:$A$1005,0)),"MISSING ID")</x:f>
        <x:v>Sorted nickel alloying feed</x:v>
      </x:c>
      <x:c r="C695" s="4" t="str">
        <x:f>IFERROR(INDEX('Items'!$D$6:$D$1005,MATCH(A695,'Items'!$A$6:$A$1005,0)),"MISSING ID")</x:f>
        <x:v>Manufactured stock</x:v>
      </x:c>
      <x:c r="D695" s="4" t="str">
        <x:v>Primary</x:v>
      </x:c>
      <x:c r="E695" s="4" t="str">
        <x:f>IFERROR(INDEX('Items'!$AA$6:$AA$1005,MATCH(A695,'Items'!$A$6:$A$1005,0)),"MISSING ID")</x:f>
        <x:v>Fabrication</x:v>
      </x:c>
      <x:c r="F695" s="4" t="str">
        <x:v>Collection proposal: Selected alloying fraction, composition unresolved</x:v>
      </x:c>
    </x:row>
    <x:row r="696" ht="64" customHeight="1">
      <x:c r="A696" s="4" t="str">
        <x:v>proposal.collection.sorted_tin_smelter_feed</x:v>
      </x:c>
      <x:c r="B696" s="4" t="str">
        <x:f>IFERROR(INDEX('Items'!$B$6:$B$1005,MATCH(A696,'Items'!$A$6:$A$1005,0)),"MISSING ID")</x:f>
        <x:v>Sorted tin smelter feed</x:v>
      </x:c>
      <x:c r="C696" s="4" t="str">
        <x:f>IFERROR(INDEX('Items'!$D$6:$D$1005,MATCH(A696,'Items'!$A$6:$A$1005,0)),"MISSING ID")</x:f>
        <x:v>Manufactured stock</x:v>
      </x:c>
      <x:c r="D696" s="4" t="str">
        <x:v>Primary</x:v>
      </x:c>
      <x:c r="E696" s="4" t="str">
        <x:f>IFERROR(INDEX('Items'!$AA$6:$AA$1005,MATCH(A696,'Items'!$A$6:$A$1005,0)),"MISSING ID")</x:f>
        <x:v>Fabrication</x:v>
      </x:c>
      <x:c r="F696" s="4" t="str">
        <x:v>Collection proposal: Concentrated candidate bronze feed</x:v>
      </x:c>
    </x:row>
    <x:row r="697" ht="64" customHeight="1">
      <x:c r="A697" s="4" t="str">
        <x:v>proposal.collection.prepared_kaolin_body_stock</x:v>
      </x:c>
      <x:c r="B697" s="4" t="str">
        <x:f>IFERROR(INDEX('Items'!$B$6:$B$1005,MATCH(A697,'Items'!$A$6:$A$1005,0)),"MISSING ID")</x:f>
        <x:v>Prepared kaolin body stock</x:v>
      </x:c>
      <x:c r="C697" s="4" t="str">
        <x:f>IFERROR(INDEX('Items'!$D$6:$D$1005,MATCH(A697,'Items'!$A$6:$A$1005,0)),"MISSING ID")</x:f>
        <x:v>Manufactured stock</x:v>
      </x:c>
      <x:c r="D697" s="4" t="str">
        <x:v>Primary</x:v>
      </x:c>
      <x:c r="E697" s="4" t="str">
        <x:f>IFERROR(INDEX('Items'!$AA$6:$AA$1005,MATCH(A697,'Items'!$A$6:$A$1005,0)),"MISSING ID")</x:f>
        <x:v>Fabrication</x:v>
      </x:c>
      <x:c r="F697" s="4" t="str">
        <x:v>Collection proposal: Fine ceramic shaping mixture</x:v>
      </x:c>
    </x:row>
    <x:row r="698" ht="64" customHeight="1">
      <x:c r="A698" s="4" t="str">
        <x:v>proposal.collection.graded_magnesite_refractory_meal</x:v>
      </x:c>
      <x:c r="B698" s="4" t="str">
        <x:f>IFERROR(INDEX('Items'!$B$6:$B$1005,MATCH(A698,'Items'!$A$6:$A$1005,0)),"MISSING ID")</x:f>
        <x:v>Graded magnesite refractory meal</x:v>
      </x:c>
      <x:c r="C698" s="4" t="str">
        <x:f>IFERROR(INDEX('Items'!$D$6:$D$1005,MATCH(A698,'Items'!$A$6:$A$1005,0)),"MISSING ID")</x:f>
        <x:v>Manufactured stock</x:v>
      </x:c>
      <x:c r="D698" s="4" t="str">
        <x:v>Primary</x:v>
      </x:c>
      <x:c r="E698" s="4" t="str">
        <x:f>IFERROR(INDEX('Items'!$AA$6:$AA$1005,MATCH(A698,'Items'!$A$6:$A$1005,0)),"MISSING ID")</x:f>
        <x:v>Fabrication</x:v>
      </x:c>
      <x:c r="F698" s="4" t="str">
        <x:v>Collection proposal: Candidate high-temperature vessel feed</x:v>
      </x:c>
    </x:row>
    <x:row r="699" ht="64" customHeight="1">
      <x:c r="A699" s="4" t="str">
        <x:v>proposal.collection.drawn_bronze_strip_stock</x:v>
      </x:c>
      <x:c r="B699" s="4" t="str">
        <x:f>IFERROR(INDEX('Items'!$B$6:$B$1005,MATCH(A699,'Items'!$A$6:$A$1005,0)),"MISSING ID")</x:f>
        <x:v>Drawn bronze strip stock</x:v>
      </x:c>
      <x:c r="C699" s="4" t="str">
        <x:f>IFERROR(INDEX('Items'!$D$6:$D$1005,MATCH(A699,'Items'!$A$6:$A$1005,0)),"MISSING ID")</x:f>
        <x:v>Manufactured stock</x:v>
      </x:c>
      <x:c r="D699" s="4" t="str">
        <x:v>Primary</x:v>
      </x:c>
      <x:c r="E699" s="4" t="str">
        <x:f>IFERROR(INDEX('Items'!$AA$6:$AA$1005,MATCH(A699,'Items'!$A$6:$A$1005,0)),"MISSING ID")</x:f>
        <x:v>Fabrication</x:v>
      </x:c>
      <x:c r="F699" s="4" t="str">
        <x:v>Collection proposal: Spring, decorative and contact stock distinct from bearing bronze</x:v>
      </x:c>
    </x:row>
    <x:row r="700" ht="64" customHeight="1">
      <x:c r="A700" s="4" t="str">
        <x:v>proposal.collection.annealed_iron_sheet_stock</x:v>
      </x:c>
      <x:c r="B700" s="4" t="str">
        <x:f>IFERROR(INDEX('Items'!$B$6:$B$1005,MATCH(A700,'Items'!$A$6:$A$1005,0)),"MISSING ID")</x:f>
        <x:v>Annealed iron sheet stock</x:v>
      </x:c>
      <x:c r="C700" s="4" t="str">
        <x:f>IFERROR(INDEX('Items'!$D$6:$D$1005,MATCH(A700,'Items'!$A$6:$A$1005,0)),"MISSING ID")</x:f>
        <x:v>Manufactured stock</x:v>
      </x:c>
      <x:c r="D700" s="4" t="str">
        <x:v>Primary</x:v>
      </x:c>
      <x:c r="E700" s="4" t="str">
        <x:f>IFERROR(INDEX('Items'!$AA$6:$AA$1005,MATCH(A700,'Items'!$A$6:$A$1005,0)),"MISSING ID")</x:f>
        <x:v>Fabrication</x:v>
      </x:c>
      <x:c r="F700" s="4" t="str">
        <x:v>Collection proposal: Thin sheet for housings, utensils and instruments</x:v>
      </x:c>
    </x:row>
    <x:row r="701" ht="64" customHeight="1">
      <x:c r="A701" s="4" t="str">
        <x:v>proposal.collection.pressed_chitin_friction_stock</x:v>
      </x:c>
      <x:c r="B701" s="4" t="str">
        <x:f>IFERROR(INDEX('Items'!$B$6:$B$1005,MATCH(A701,'Items'!$A$6:$A$1005,0)),"MISSING ID")</x:f>
        <x:v>Pressed chitin friction stock</x:v>
      </x:c>
      <x:c r="C701" s="4" t="str">
        <x:f>IFERROR(INDEX('Items'!$D$6:$D$1005,MATCH(A701,'Items'!$A$6:$A$1005,0)),"MISSING ID")</x:f>
        <x:v>Manufactured stock</x:v>
      </x:c>
      <x:c r="D701" s="4" t="str">
        <x:v>Primary</x:v>
      </x:c>
      <x:c r="E701" s="4" t="str">
        <x:f>IFERROR(INDEX('Items'!$AA$6:$AA$1005,MATCH(A701,'Items'!$A$6:$A$1005,0)),"MISSING ID")</x:f>
        <x:v>Fabrication</x:v>
      </x:c>
      <x:c r="F701" s="4" t="str">
        <x:v>Collection proposal: Replaceable dry friction surface for brakes and clutches</x:v>
      </x:c>
    </x:row>
    <x:row r="702" ht="64" customHeight="1">
      <x:c r="A702" s="4" t="str">
        <x:v>proposal.collection.calibrated_ceramic_mounting_saddle</x:v>
      </x:c>
      <x:c r="B702" s="4" t="str">
        <x:f>IFERROR(INDEX('Items'!$B$6:$B$1005,MATCH(A702,'Items'!$A$6:$A$1005,0)),"MISSING ID")</x:f>
        <x:v>Calibrated ceramic mounting saddle</x:v>
      </x:c>
      <x:c r="C702" s="4" t="str">
        <x:f>IFERROR(INDEX('Items'!$D$6:$D$1005,MATCH(A702,'Items'!$A$6:$A$1005,0)),"MISSING ID")</x:f>
        <x:v>Crafting components</x:v>
      </x:c>
      <x:c r="D702" s="4" t="str">
        <x:v>Primary</x:v>
      </x:c>
      <x:c r="E702" s="4" t="str">
        <x:f>IFERROR(INDEX('Items'!$AA$6:$AA$1005,MATCH(A702,'Items'!$A$6:$A$1005,0)),"MISSING ID")</x:f>
        <x:v>Equipment fabrication</x:v>
      </x:c>
      <x:c r="F702" s="4" t="str">
        <x:v>Collection proposal: Locates a vessel or instrument on a metal support</x:v>
      </x:c>
    </x:row>
    <x:row r="703" ht="64" customHeight="1">
      <x:c r="A703" s="4" t="str">
        <x:v>proposal.collection.glass_joint_bedding_paste</x:v>
      </x:c>
      <x:c r="B703" s="4" t="str">
        <x:f>IFERROR(INDEX('Items'!$B$6:$B$1005,MATCH(A703,'Items'!$A$6:$A$1005,0)),"MISSING ID")</x:f>
        <x:v>Glass-joint bedding paste</x:v>
      </x:c>
      <x:c r="C703" s="4" t="str">
        <x:f>IFERROR(INDEX('Items'!$D$6:$D$1005,MATCH(A703,'Items'!$A$6:$A$1005,0)),"MISSING ID")</x:f>
        <x:v>Crafting components</x:v>
      </x:c>
      <x:c r="D703" s="4" t="str">
        <x:v>Primary</x:v>
      </x:c>
      <x:c r="E703" s="4" t="str">
        <x:f>IFERROR(INDEX('Items'!$AA$6:$AA$1005,MATCH(A703,'Items'!$A$6:$A$1005,0)),"MISSING ID")</x:f>
        <x:v>Surface finishing</x:v>
      </x:c>
      <x:c r="F703" s="4" t="str">
        <x:v>Collection proposal: Seats glass in a protective cage without claiming pressure compatibility</x:v>
      </x:c>
    </x:row>
    <x:row r="704" ht="64" customHeight="1">
      <x:c r="A704" s="4"/>
      <x:c r="B704" s="4"/>
      <x:c r="C704" s="4"/>
      <x:c r="D704" s="4"/>
      <x:c r="E704" s="4"/>
      <x:c r="F704" s="4"/>
    </x:row>
    <x:row r="705" ht="64" customHeight="1">
      <x:c r="A705" s="4" t="str">
        <x:v>proposal.collection.shell_pigment_suspension</x:v>
      </x:c>
      <x:c r="B705" s="4" t="str">
        <x:f>IFERROR(INDEX('Items'!$B$6:$B$1005,MATCH(A705,'Items'!$A$6:$A$1005,0)),"MISSING ID")</x:f>
        <x:v>Shell-pigment suspension</x:v>
      </x:c>
      <x:c r="C705" s="4" t="str">
        <x:f>IFERROR(INDEX('Items'!$D$6:$D$1005,MATCH(A705,'Items'!$A$6:$A$1005,0)),"MISSING ID")</x:f>
        <x:v>Crafting components</x:v>
      </x:c>
      <x:c r="D705" s="4" t="str">
        <x:v>Primary</x:v>
      </x:c>
      <x:c r="E705" s="4" t="str">
        <x:f>IFERROR(INDEX('Items'!$AA$6:$AA$1005,MATCH(A705,'Items'!$A$6:$A$1005,0)),"MISSING ID")</x:f>
        <x:v>Surface finishing</x:v>
      </x:c>
      <x:c r="F705" s="4" t="str">
        <x:v>Collection proposal: Carries mineral color onto shell objects</x:v>
      </x:c>
    </x:row>
    <x:row r="706" ht="64" customHeight="1">
      <x:c r="A706" s="4" t="str">
        <x:v>proposal.collection.mineral_contact_cleaning_charge</x:v>
      </x:c>
      <x:c r="B706" s="4" t="str">
        <x:f>IFERROR(INDEX('Items'!$B$6:$B$1005,MATCH(A706,'Items'!$A$6:$A$1005,0)),"MISSING ID")</x:f>
        <x:v>Mineral contact-cleaning charge</x:v>
      </x:c>
      <x:c r="C706" s="4" t="str">
        <x:f>IFERROR(INDEX('Items'!$D$6:$D$1005,MATCH(A706,'Items'!$A$6:$A$1005,0)),"MISSING ID")</x:f>
        <x:v>Crafting components</x:v>
      </x:c>
      <x:c r="D706" s="4" t="str">
        <x:v>Primary</x:v>
      </x:c>
      <x:c r="E706" s="4" t="str">
        <x:f>IFERROR(INDEX('Items'!$AA$6:$AA$1005,MATCH(A706,'Items'!$A$6:$A$1005,0)),"MISSING ID")</x:f>
        <x:v>Surface finishing</x:v>
      </x:c>
      <x:c r="F706" s="4" t="str">
        <x:v>Collection proposal: Candidate residue-removal agent for exposed contacts</x:v>
      </x:c>
    </x:row>
    <x:row r="707" ht="64" customHeight="1">
      <x:c r="A707" s="4" t="str">
        <x:v>proposal.collection.hand_cranked_metal_drill</x:v>
      </x:c>
      <x:c r="B707" s="4" t="str">
        <x:f>IFERROR(INDEX('Items'!$B$6:$B$1005,MATCH(A707,'Items'!$A$6:$A$1005,0)),"MISSING ID")</x:f>
        <x:v>Hand-cranked metal drill</x:v>
      </x:c>
      <x:c r="C707" s="4" t="str">
        <x:f>IFERROR(INDEX('Items'!$D$6:$D$1005,MATCH(A707,'Items'!$A$6:$A$1005,0)),"MISSING ID")</x:f>
        <x:v>Salvage</x:v>
      </x:c>
      <x:c r="D707" s="4" t="str">
        <x:v>Primary</x:v>
      </x:c>
      <x:c r="E707" s="4" t="str">
        <x:f>IFERROR(INDEX('Items'!$AA$6:$AA$1005,MATCH(A707,'Items'!$A$6:$A$1005,0)),"MISSING ID")</x:f>
        <x:v>Fabrication</x:v>
      </x:c>
      <x:c r="F707" s="4" t="str">
        <x:v>Collection proposal: Bores small workshop holes with replaceable cutting tips</x:v>
      </x:c>
    </x:row>
    <x:row r="708" ht="64" customHeight="1">
      <x:c r="A708" s="4"/>
      <x:c r="B708" s="4"/>
      <x:c r="C708" s="4"/>
      <x:c r="D708" s="4"/>
      <x:c r="E708" s="4"/>
      <x:c r="F708" s="4"/>
    </x:row>
    <x:row r="709" ht="64" customHeight="1">
      <x:c r="A709" s="4" t="str">
        <x:v>proposal.collection.husk_sheet_cutting_shears</x:v>
      </x:c>
      <x:c r="B709" s="4" t="str">
        <x:f>IFERROR(INDEX('Items'!$B$6:$B$1005,MATCH(A709,'Items'!$A$6:$A$1005,0)),"MISSING ID")</x:f>
        <x:v>Husk-sheet cutting shears</x:v>
      </x:c>
      <x:c r="C709" s="4" t="str">
        <x:f>IFERROR(INDEX('Items'!$D$6:$D$1005,MATCH(A709,'Items'!$A$6:$A$1005,0)),"MISSING ID")</x:f>
        <x:v>Salvage</x:v>
      </x:c>
      <x:c r="D709" s="4" t="str">
        <x:v>Primary</x:v>
      </x:c>
      <x:c r="E709" s="4" t="str">
        <x:f>IFERROR(INDEX('Items'!$AA$6:$AA$1005,MATCH(A709,'Items'!$A$6:$A$1005,0)),"MISSING ID")</x:f>
        <x:v>Fabrication</x:v>
      </x:c>
      <x:c r="F709" s="4" t="str">
        <x:v>Collection proposal: Cuts prepared husk sheets and thin hides</x:v>
      </x:c>
    </x:row>
    <x:row r="710" ht="64" customHeight="1">
      <x:c r="A710" s="4" t="str">
        <x:v>proposal.collection.divided_ceramic_reagent_caddy</x:v>
      </x:c>
      <x:c r="B710" s="4" t="str">
        <x:f>IFERROR(INDEX('Items'!$B$6:$B$1005,MATCH(A710,'Items'!$A$6:$A$1005,0)),"MISSING ID")</x:f>
        <x:v>Divided ceramic reagent caddy</x:v>
      </x:c>
      <x:c r="C710" s="4" t="str">
        <x:f>IFERROR(INDEX('Items'!$D$6:$D$1005,MATCH(A710,'Items'!$A$6:$A$1005,0)),"MISSING ID")</x:f>
        <x:v>Salvage</x:v>
      </x:c>
      <x:c r="D710" s="4" t="str">
        <x:v>Primary</x:v>
      </x:c>
      <x:c r="E710" s="4" t="inlineStr">
        <x:is>
          <x:t xml:space="preserve">Salvage reuse</x:t>
        </x:is>
      </x:c>
      <x:c r="F7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711" ht="64" customHeight="1">
      <x:c r="A711" s="4" t="str">
        <x:v>proposal.collection.canister_drain_plug</x:v>
      </x:c>
      <x:c r="B711" s="4" t="str">
        <x:f>IFERROR(INDEX('Items'!$B$6:$B$1005,MATCH(A711,'Items'!$A$6:$A$1005,0)),"MISSING ID")</x:f>
        <x:v>Canister drain plug</x:v>
      </x:c>
      <x:c r="C711" s="4" t="str">
        <x:f>IFERROR(INDEX('Items'!$D$6:$D$1005,MATCH(A711,'Items'!$A$6:$A$1005,0)),"MISSING ID")</x:f>
        <x:v>Crafting components</x:v>
      </x:c>
      <x:c r="D711" s="4" t="str">
        <x:v>Primary</x:v>
      </x:c>
      <x:c r="E711" s="4" t="str">
        <x:f>IFERROR(INDEX('Items'!$AA$6:$AA$1005,MATCH(A711,'Items'!$A$6:$A$1005,0)),"MISSING ID")</x:f>
        <x:v>Sealing</x:v>
      </x:c>
      <x:c r="F711" s="4" t="str">
        <x:v>Collection proposal: Removable service closure for a compatible vessel</x:v>
      </x:c>
    </x:row>
    <x:row r="712" ht="64" customHeight="1">
      <x:c r="A712" s="4" t="str">
        <x:v>proposal.collection.bottle_retaining_cage</x:v>
      </x:c>
      <x:c r="B712" s="4" t="str">
        <x:f>IFERROR(INDEX('Items'!$B$6:$B$1005,MATCH(A712,'Items'!$A$6:$A$1005,0)),"MISSING ID")</x:f>
        <x:v>Bottle retaining cage</x:v>
      </x:c>
      <x:c r="C712" s="4" t="str">
        <x:f>IFERROR(INDEX('Items'!$D$6:$D$1005,MATCH(A712,'Items'!$A$6:$A$1005,0)),"MISSING ID")</x:f>
        <x:v>Crafting components</x:v>
      </x:c>
      <x:c r="D712" s="4" t="str">
        <x:v>Primary</x:v>
      </x:c>
      <x:c r="E712" s="4" t="str">
        <x:f>IFERROR(INDEX('Items'!$AA$6:$AA$1005,MATCH(A712,'Items'!$A$6:$A$1005,0)),"MISSING ID")</x:f>
        <x:v>Sealing</x:v>
      </x:c>
      <x:c r="F712" s="4" t="str">
        <x:v>Collection proposal: Protects a fragile bottle with a fitted metal frame</x:v>
      </x:c>
    </x:row>
    <x:row r="713" ht="64" customHeight="1">
      <x:c r="A713" s="4" t="str">
        <x:v>proposal.collection.ceramic_vent_labyrinth_insert</x:v>
      </x:c>
      <x:c r="B713" s="4" t="str">
        <x:f>IFERROR(INDEX('Items'!$B$6:$B$1005,MATCH(A713,'Items'!$A$6:$A$1005,0)),"MISSING ID")</x:f>
        <x:v>Ceramic vent labyrinth insert</x:v>
      </x:c>
      <x:c r="C713" s="4" t="str">
        <x:f>IFERROR(INDEX('Items'!$D$6:$D$1005,MATCH(A713,'Items'!$A$6:$A$1005,0)),"MISSING ID")</x:f>
        <x:v>Crafting components</x:v>
      </x:c>
      <x:c r="D713" s="4" t="str">
        <x:v>Primary</x:v>
      </x:c>
      <x:c r="E713" s="4" t="str">
        <x:f>IFERROR(INDEX('Items'!$AA$6:$AA$1005,MATCH(A713,'Items'!$A$6:$A$1005,0)),"MISSING ID")</x:f>
        <x:v>Sealing</x:v>
      </x:c>
      <x:c r="F713" s="4" t="str">
        <x:v>Collection proposal: Candidate grit-excluding vent path, without filtration claims</x:v>
      </x:c>
    </x:row>
    <x:row r="714" ht="64" customHeight="1">
      <x:c r="A714" s="4" t="str">
        <x:v>proposal.collection.vial_neck_locking_clip</x:v>
      </x:c>
      <x:c r="B714" s="4" t="str">
        <x:f>IFERROR(INDEX('Items'!$B$6:$B$1005,MATCH(A714,'Items'!$A$6:$A$1005,0)),"MISSING ID")</x:f>
        <x:v>Vial neck locking clip</x:v>
      </x:c>
      <x:c r="C714" s="4" t="str">
        <x:f>IFERROR(INDEX('Items'!$D$6:$D$1005,MATCH(A714,'Items'!$A$6:$A$1005,0)),"MISSING ID")</x:f>
        <x:v>Crafting components</x:v>
      </x:c>
      <x:c r="D714" s="4" t="str">
        <x:v>Primary</x:v>
      </x:c>
      <x:c r="E714" s="4" t="str">
        <x:f>IFERROR(INDEX('Items'!$AA$6:$AA$1005,MATCH(A714,'Items'!$A$6:$A$1005,0)),"MISSING ID")</x:f>
        <x:v>Sealing</x:v>
      </x:c>
      <x:c r="F714" s="4" t="str">
        <x:v>Collection proposal: Retains a matched stopper during travel</x:v>
      </x:c>
    </x:row>
    <x:row r="715" ht="64" customHeight="1">
      <x:c r="A715" s="4" t="str">
        <x:v>proposal.collection.husk_fiber_face_wrap</x:v>
      </x:c>
      <x:c r="B715" s="4" t="str">
        <x:f>IFERROR(INDEX('Items'!$B$6:$B$1005,MATCH(A715,'Items'!$A$6:$A$1005,0)),"MISSING ID")</x:f>
        <x:v>Husk-fiber face wrap</x:v>
      </x:c>
      <x:c r="C715" s="4" t="str">
        <x:f>IFERROR(INDEX('Items'!$D$6:$D$1005,MATCH(A715,'Items'!$A$6:$A$1005,0)),"MISSING ID")</x:f>
        <x:v>Clothing</x:v>
      </x:c>
      <x:c r="D715" s="4" t="str">
        <x:v>Primary</x:v>
      </x:c>
      <x:c r="E715" s="4" t="str">
        <x:f>IFERROR(INDEX('Items'!$AA$6:$AA$1005,MATCH(A715,'Items'!$A$6:$A$1005,0)),"MISSING ID")</x:f>
        <x:v>Protection</x:v>
      </x:c>
      <x:c r="F715" s="4" t="str">
        <x:v>Collection proposal: Simple dust-facing wrap with no certified filtration claim</x:v>
      </x:c>
    </x:row>
    <x:row r="716" ht="64" customHeight="1">
      <x:c r="A716" s="4" t="str">
        <x:v>proposal.collection.chainmail_shoulder_mantle</x:v>
      </x:c>
      <x:c r="B716" s="4" t="str">
        <x:f>IFERROR(INDEX('Items'!$B$6:$B$1005,MATCH(A716,'Items'!$A$6:$A$1005,0)),"MISSING ID")</x:f>
        <x:v>Chainmail shoulder mantle</x:v>
      </x:c>
      <x:c r="C716" s="4" t="str">
        <x:f>IFERROR(INDEX('Items'!$D$6:$D$1005,MATCH(A716,'Items'!$A$6:$A$1005,0)),"MISSING ID")</x:f>
        <x:v>Armor</x:v>
      </x:c>
      <x:c r="D716" s="4" t="str">
        <x:v>Primary</x:v>
      </x:c>
      <x:c r="E716" s="4" t="str">
        <x:f>IFERROR(INDEX('Items'!$AA$6:$AA$1005,MATCH(A716,'Items'!$A$6:$A$1005,0)),"MISSING ID")</x:f>
        <x:v>Protection</x:v>
      </x:c>
      <x:c r="F716" s="4" t="str">
        <x:v>Collection proposal: Everyday metal shoulder covering with minimal hide ties</x:v>
      </x:c>
    </x:row>
    <x:row r="717" ht="64" customHeight="1">
      <x:c r="A717" s="4"/>
      <x:c r="B717" s="4"/>
      <x:c r="C717" s="4"/>
      <x:c r="D717" s="4"/>
      <x:c r="E717" s="4"/>
      <x:c r="F717" s="4"/>
    </x:row>
    <x:row r="718" ht="64" customHeight="1">
      <x:c r="A718" s="4"/>
      <x:c r="B718" s="4"/>
      <x:c r="C718" s="4"/>
      <x:c r="D718" s="4"/>
      <x:c r="E718" s="4"/>
      <x:c r="F718" s="4"/>
    </x:row>
    <x:row r="719" ht="64" customHeight="1">
      <x:c r="A719" s="4"/>
      <x:c r="B719" s="4"/>
      <x:c r="C719" s="4"/>
      <x:c r="D719" s="4"/>
      <x:c r="E719" s="4"/>
      <x:c r="F719" s="4"/>
    </x:row>
    <x:row r="720" ht="64" customHeight="1">
      <x:c r="A720" s="4" t="str">
        <x:v>proposal.collection.mica_brim_sun_visor</x:v>
      </x:c>
      <x:c r="B720" s="4" t="str">
        <x:f>IFERROR(INDEX('Items'!$B$6:$B$1005,MATCH(A720,'Items'!$A$6:$A$1005,0)),"MISSING ID")</x:f>
        <x:v>Mica-brim sun visor</x:v>
      </x:c>
      <x:c r="C720" s="4" t="str">
        <x:f>IFERROR(INDEX('Items'!$D$6:$D$1005,MATCH(A720,'Items'!$A$6:$A$1005,0)),"MISSING ID")</x:f>
        <x:v>Clothing</x:v>
      </x:c>
      <x:c r="D720" s="4" t="str">
        <x:v>Primary</x:v>
      </x:c>
      <x:c r="E720" s="4" t="str">
        <x:f>IFERROR(INDEX('Items'!$AA$6:$AA$1005,MATCH(A720,'Items'!$A$6:$A$1005,0)),"MISSING ID")</x:f>
        <x:v>Sun shading</x:v>
      </x:c>
      <x:c r="F720" s="4" t="str">
        <x:v>Collection proposal: Rare framed shade worn above the eyes</x:v>
      </x:c>
    </x:row>
    <x:row r="721" ht="64" customHeight="1">
      <x:c r="A721" s="4" t="str">
        <x:v>proposal.collection.founding_stone_keepsake</x:v>
      </x:c>
      <x:c r="B721" s="4" t="str">
        <x:f>IFERROR(INDEX('Items'!$B$6:$B$1005,MATCH(A721,'Items'!$A$6:$A$1005,0)),"MISSING ID")</x:f>
        <x:v>Founding-stone keepsake</x:v>
      </x:c>
      <x:c r="C721" s="4" t="str">
        <x:f>IFERROR(INDEX('Items'!$D$6:$D$1005,MATCH(A721,'Items'!$A$6:$A$1005,0)),"MISSING ID")</x:f>
        <x:v>Salvage</x:v>
      </x:c>
      <x:c r="D721" s="4" t="str">
        <x:v>Primary</x:v>
      </x:c>
      <x:c r="E721" s="4" t="str">
        <x:f>IFERROR(INDEX('Items'!$AA$6:$AA$1005,MATCH(A721,'Items'!$A$6:$A$1005,0)),"MISSING ID")</x:f>
        <x:v>Ceremony</x:v>
      </x:c>
      <x:c r="F721" s="4" t="str">
        <x:v>Collection proposal: Portable memorial of a settlement foundation, custom proposed</x:v>
      </x:c>
    </x:row>
    <x:row r="722" ht="64" customHeight="1">
      <x:c r="A722" s="4" t="str">
        <x:v>proposal.collection.guild_craft_exemplar</x:v>
      </x:c>
      <x:c r="B722" s="4" t="str">
        <x:f>IFERROR(INDEX('Items'!$B$6:$B$1005,MATCH(A722,'Items'!$A$6:$A$1005,0)),"MISSING ID")</x:f>
        <x:v>Guild craft exemplar</x:v>
      </x:c>
      <x:c r="C722" s="4" t="str">
        <x:f>IFERROR(INDEX('Items'!$D$6:$D$1005,MATCH(A722,'Items'!$A$6:$A$1005,0)),"MISSING ID")</x:f>
        <x:v>Salvage</x:v>
      </x:c>
      <x:c r="D722" s="4" t="str">
        <x:v>Primary</x:v>
      </x:c>
      <x:c r="E722" s="4" t="str">
        <x:f>IFERROR(INDEX('Items'!$AA$6:$AA$1005,MATCH(A722,'Items'!$A$6:$A$1005,0)),"MISSING ID")</x:f>
        <x:v>Ceremony</x:v>
      </x:c>
      <x:c r="F722" s="4" t="str">
        <x:v>Collection proposal: Small displayed sample of a maker's specialty</x:v>
      </x:c>
    </x:row>
    <x:row r="723" ht="64" customHeight="1">
      <x:c r="A723" s="4" t="str">
        <x:v>proposal.collection.witness_chain</x:v>
      </x:c>
      <x:c r="B723" s="4" t="str">
        <x:f>IFERROR(INDEX('Items'!$B$6:$B$1005,MATCH(A723,'Items'!$A$6:$A$1005,0)),"MISSING ID")</x:f>
        <x:v>Witness chain</x:v>
      </x:c>
      <x:c r="C723" s="4" t="str">
        <x:f>IFERROR(INDEX('Items'!$D$6:$D$1005,MATCH(A723,'Items'!$A$6:$A$1005,0)),"MISSING ID")</x:f>
        <x:v>Salvage</x:v>
      </x:c>
      <x:c r="D723" s="4" t="str">
        <x:v>Primary</x:v>
      </x:c>
      <x:c r="E723" s="4" t="str">
        <x:f>IFERROR(INDEX('Items'!$AA$6:$AA$1005,MATCH(A723,'Items'!$A$6:$A$1005,0)),"MISSING ID")</x:f>
        <x:v>Ceremony</x:v>
      </x:c>
      <x:c r="F723" s="4" t="str">
        <x:v>Collection proposal: Linked metal token exchanged at a witnessed agreement</x:v>
      </x:c>
    </x:row>
    <x:row r="724" ht="64" customHeight="1">
      <x:c r="A724" s="4"/>
      <x:c r="B724" s="4"/>
      <x:c r="C724" s="4"/>
      <x:c r="D724" s="4"/>
      <x:c r="E724" s="4"/>
      <x:c r="F724" s="4"/>
    </x:row>
    <x:row r="725" ht="64" customHeight="1">
      <x:c r="A725" s="4" t="str">
        <x:v>proposal.collection.pilgrim_route_bead_strand</x:v>
      </x:c>
      <x:c r="B725" s="4" t="str">
        <x:f>IFERROR(INDEX('Items'!$B$6:$B$1005,MATCH(A725,'Items'!$A$6:$A$1005,0)),"MISSING ID")</x:f>
        <x:v>Pilgrim route bead strand</x:v>
      </x:c>
      <x:c r="C725" s="4" t="str">
        <x:f>IFERROR(INDEX('Items'!$D$6:$D$1005,MATCH(A725,'Items'!$A$6:$A$1005,0)),"MISSING ID")</x:f>
        <x:v>Salvage</x:v>
      </x:c>
      <x:c r="D725" s="4" t="str">
        <x:v>Primary</x:v>
      </x:c>
      <x:c r="E725" s="4" t="str">
        <x:f>IFERROR(INDEX('Items'!$AA$6:$AA$1005,MATCH(A725,'Items'!$A$6:$A$1005,0)),"MISSING ID")</x:f>
        <x:v>Ceremony</x:v>
      </x:c>
      <x:c r="F725" s="4" t="str">
        <x:v>Collection proposal: Personal record of a proposed journey tradition</x:v>
      </x:c>
    </x:row>
    <x:row r="726" ht="64" customHeight="1">
      <x:c r="A726" s="4" t="str">
        <x:v>proposal.collection.ancestor_shell_silhouette</x:v>
      </x:c>
      <x:c r="B726" s="4" t="str">
        <x:f>IFERROR(INDEX('Items'!$B$6:$B$1005,MATCH(A726,'Items'!$A$6:$A$1005,0)),"MISSING ID")</x:f>
        <x:v>Ancestor shell silhouette</x:v>
      </x:c>
      <x:c r="C726" s="4" t="str">
        <x:f>IFERROR(INDEX('Items'!$D$6:$D$1005,MATCH(A726,'Items'!$A$6:$A$1005,0)),"MISSING ID")</x:f>
        <x:v>Salvage</x:v>
      </x:c>
      <x:c r="D726" s="4" t="str">
        <x:v>Primary</x:v>
      </x:c>
      <x:c r="E726" s="4" t="str">
        <x:f>IFERROR(INDEX('Items'!$AA$6:$AA$1005,MATCH(A726,'Items'!$A$6:$A$1005,0)),"MISSING ID")</x:f>
        <x:v>Ceremony</x:v>
      </x:c>
      <x:c r="F726" s="4" t="str">
        <x:v>Collection proposal: Memorial cutout in polished shell</x:v>
      </x:c>
    </x:row>
    <x:row r="727" ht="64" customHeight="1">
      <x:c r="A727" s="4" t="str">
        <x:v>proposal.collection.work_crew_oath_clasp</x:v>
      </x:c>
      <x:c r="B727" s="4" t="str">
        <x:f>IFERROR(INDEX('Items'!$B$6:$B$1005,MATCH(A727,'Items'!$A$6:$A$1005,0)),"MISSING ID")</x:f>
        <x:v>Work-crew oath clasp</x:v>
      </x:c>
      <x:c r="C727" s="4" t="str">
        <x:f>IFERROR(INDEX('Items'!$D$6:$D$1005,MATCH(A727,'Items'!$A$6:$A$1005,0)),"MISSING ID")</x:f>
        <x:v>Salvage</x:v>
      </x:c>
      <x:c r="D727" s="4" t="str">
        <x:v>Primary</x:v>
      </x:c>
      <x:c r="E727" s="4" t="str">
        <x:f>IFERROR(INDEX('Items'!$AA$6:$AA$1005,MATCH(A727,'Items'!$A$6:$A$1005,0)),"MISSING ID")</x:f>
        <x:v>Ceremony</x:v>
      </x:c>
      <x:c r="F727" s="4" t="str">
        <x:v>Collection proposal: Shared insignia for a crew agreement, no named faction assigned</x:v>
      </x:c>
    </x:row>
    <x:row r="728" ht="64" customHeight="1">
      <x:c r="A728" s="4" t="str">
        <x:v>proposal.collection.ceremonial_magnet_stand</x:v>
      </x:c>
      <x:c r="B728" s="4" t="str">
        <x:f>IFERROR(INDEX('Items'!$B$6:$B$1005,MATCH(A728,'Items'!$A$6:$A$1005,0)),"MISSING ID")</x:f>
        <x:v>Ceremonial magnet stand</x:v>
      </x:c>
      <x:c r="C728" s="4" t="str">
        <x:f>IFERROR(INDEX('Items'!$D$6:$D$1005,MATCH(A728,'Items'!$A$6:$A$1005,0)),"MISSING ID")</x:f>
        <x:v>Salvage</x:v>
      </x:c>
      <x:c r="D728" s="4" t="str">
        <x:v>Primary</x:v>
      </x:c>
      <x:c r="E728" s="4" t="str">
        <x:f>IFERROR(INDEX('Items'!$AA$6:$AA$1005,MATCH(A728,'Items'!$A$6:$A$1005,0)),"MISSING ID")</x:f>
        <x:v>Ceremony</x:v>
      </x:c>
      <x:c r="F728" s="4" t="str">
        <x:v>Collection proposal: Displays a magnet as a ritual focus without asserting a specific faith</x:v>
      </x:c>
    </x:row>
    <x:row r="729" ht="64" customHeight="1">
      <x:c r="A729" s="4" t="str">
        <x:v>proposal.collection.masterwork_presentation_tile</x:v>
      </x:c>
      <x:c r="B729" s="4" t="str">
        <x:f>IFERROR(INDEX('Items'!$B$6:$B$1005,MATCH(A729,'Items'!$A$6:$A$1005,0)),"MISSING ID")</x:f>
        <x:v>Masterwork presentation tile</x:v>
      </x:c>
      <x:c r="C729" s="4" t="str">
        <x:f>IFERROR(INDEX('Items'!$D$6:$D$1005,MATCH(A729,'Items'!$A$6:$A$1005,0)),"MISSING ID")</x:f>
        <x:v>Salvage</x:v>
      </x:c>
      <x:c r="D729" s="4" t="str">
        <x:v>Primary</x:v>
      </x:c>
      <x:c r="E729" s="4" t="str">
        <x:f>IFERROR(INDEX('Items'!$AA$6:$AA$1005,MATCH(A729,'Items'!$A$6:$A$1005,0)),"MISSING ID")</x:f>
        <x:v>Ceremony</x:v>
      </x:c>
      <x:c r="F729" s="4" t="str">
        <x:v>Collection proposal: Supports a valued artisan commission during presentation</x:v>
      </x:c>
    </x:row>
    <x:row r="730" ht="64" customHeight="1">
      <x:c r="A730" s="4" t="str">
        <x:v>proposal.collection.agate_nodule</x:v>
      </x:c>
      <x:c r="B730" s="4" t="str">
        <x:f>IFERROR(INDEX('Items'!$B$6:$B$1005,MATCH(A730,'Items'!$A$6:$A$1005,0)),"MISSING ID")</x:f>
        <x:v>Agate nodule</x:v>
      </x:c>
      <x:c r="C730" s="4" t="str">
        <x:f>IFERROR(INDEX('Items'!$D$6:$D$1005,MATCH(A730,'Items'!$A$6:$A$1005,0)),"MISSING ID")</x:f>
        <x:v>Mineral resources</x:v>
      </x:c>
      <x:c r="D730" s="4" t="str">
        <x:v>Primary</x:v>
      </x:c>
      <x:c r="E730" s="4" t="str">
        <x:f>IFERROR(INDEX('Items'!$AA$6:$AA$1005,MATCH(A730,'Items'!$A$6:$A$1005,0)),"MISSING ID")</x:f>
        <x:v>Decoration</x:v>
      </x:c>
      <x:c r="F730" s="4" t="str">
        <x:v>Collection proposal: Banded candidate cutting stone for beads and small inlays</x:v>
      </x:c>
    </x:row>
    <x:row r="731" ht="64" customHeight="1">
      <x:c r="A731" s="4" t="str">
        <x:v>proposal.collection.chalcedony_seam_stone</x:v>
      </x:c>
      <x:c r="B731" s="4" t="str">
        <x:f>IFERROR(INDEX('Items'!$B$6:$B$1005,MATCH(A731,'Items'!$A$6:$A$1005,0)),"MISSING ID")</x:f>
        <x:v>Chalcedony seam stone</x:v>
      </x:c>
      <x:c r="C731" s="4" t="str">
        <x:f>IFERROR(INDEX('Items'!$D$6:$D$1005,MATCH(A731,'Items'!$A$6:$A$1005,0)),"MISSING ID")</x:f>
        <x:v>Mineral resources</x:v>
      </x:c>
      <x:c r="D731" s="4" t="str">
        <x:v>Primary</x:v>
      </x:c>
      <x:c r="E731" s="4" t="str">
        <x:f>IFERROR(INDEX('Items'!$AA$6:$AA$1005,MATCH(A731,'Items'!$A$6:$A$1005,0)),"MISSING ID")</x:f>
        <x:v>Decoration</x:v>
      </x:c>
      <x:c r="F731" s="4" t="str">
        <x:v>Collection proposal: Translucent candidate carving and inlay material</x:v>
      </x:c>
    </x:row>
    <x:row r="732" ht="64" customHeight="1">
      <x:c r="A732" s="4" t="str">
        <x:v>proposal.collection.long_handled_meal_ladle</x:v>
      </x:c>
      <x:c r="B732" s="4" t="str">
        <x:f>IFERROR(INDEX('Items'!$B$6:$B$1005,MATCH(A732,'Items'!$A$6:$A$1005,0)),"MISSING ID")</x:f>
        <x:v>Long-handled meal ladle</x:v>
      </x:c>
      <x:c r="C732" s="4" t="str">
        <x:f>IFERROR(INDEX('Items'!$D$6:$D$1005,MATCH(A732,'Items'!$A$6:$A$1005,0)),"MISSING ID")</x:f>
        <x:v>Salvage</x:v>
      </x:c>
      <x:c r="D732" s="4" t="str">
        <x:v>Primary</x:v>
      </x:c>
      <x:c r="E732" s="4" t="str">
        <x:f>IFERROR(INDEX('Items'!$AA$6:$AA$1005,MATCH(A732,'Items'!$A$6:$A$1005,0)),"MISSING ID")</x:f>
        <x:v>Food service</x:v>
      </x:c>
      <x:c r="F732" s="4" t="str">
        <x:v>Collection proposal: Transfers thick Phagia meal portions</x:v>
      </x:c>
    </x:row>
    <x:row r="733" ht="64" customHeight="1">
      <x:c r="A733" s="4" t="str">
        <x:v>proposal.collection.ceramic_portion_scoop</x:v>
      </x:c>
      <x:c r="B733" s="4" t="str">
        <x:f>IFERROR(INDEX('Items'!$B$6:$B$1005,MATCH(A733,'Items'!$A$6:$A$1005,0)),"MISSING ID")</x:f>
        <x:v>Ceramic portion scoop</x:v>
      </x:c>
      <x:c r="C733" s="4" t="str">
        <x:f>IFERROR(INDEX('Items'!$D$6:$D$1005,MATCH(A733,'Items'!$A$6:$A$1005,0)),"MISSING ID")</x:f>
        <x:v>Salvage</x:v>
      </x:c>
      <x:c r="D733" s="4" t="str">
        <x:v>Primary</x:v>
      </x:c>
      <x:c r="E733" s="4" t="str">
        <x:f>IFERROR(INDEX('Items'!$AA$6:$AA$1005,MATCH(A733,'Items'!$A$6:$A$1005,0)),"MISSING ID")</x:f>
        <x:v>Food service</x:v>
      </x:c>
      <x:c r="F733" s="4" t="str">
        <x:v>Collection proposal: Measures consistent meal portions</x:v>
      </x:c>
    </x:row>
    <x:row r="734" ht="64" customHeight="1">
      <x:c r="A734" s="4" t="str">
        <x:v>proposal.collection.shell_serving_tray</x:v>
      </x:c>
      <x:c r="B734" s="4" t="str">
        <x:f>IFERROR(INDEX('Items'!$B$6:$B$1005,MATCH(A734,'Items'!$A$6:$A$1005,0)),"MISSING ID")</x:f>
        <x:v>Shell serving tray</x:v>
      </x:c>
      <x:c r="C734" s="4" t="str">
        <x:f>IFERROR(INDEX('Items'!$D$6:$D$1005,MATCH(A734,'Items'!$A$6:$A$1005,0)),"MISSING ID")</x:f>
        <x:v>Salvage</x:v>
      </x:c>
      <x:c r="D734" s="4" t="str">
        <x:v>Primary</x:v>
      </x:c>
      <x:c r="E734" s="4" t="str">
        <x:f>IFERROR(INDEX('Items'!$AA$6:$AA$1005,MATCH(A734,'Items'!$A$6:$A$1005,0)),"MISSING ID")</x:f>
        <x:v>Food service</x:v>
      </x:c>
      <x:c r="F734" s="4" t="str">
        <x:v>Collection proposal: Carries bowls and sealed portions</x:v>
      </x:c>
    </x:row>
    <x:row r="735" ht="64" customHeight="1">
      <x:c r="A735" s="4" t="str">
        <x:v>proposal.collection.metal_eating_tongs</x:v>
      </x:c>
      <x:c r="B735" s="4" t="str">
        <x:f>IFERROR(INDEX('Items'!$B$6:$B$1005,MATCH(A735,'Items'!$A$6:$A$1005,0)),"MISSING ID")</x:f>
        <x:v>Metal eating tongs</x:v>
      </x:c>
      <x:c r="C735" s="4" t="str">
        <x:f>IFERROR(INDEX('Items'!$D$6:$D$1005,MATCH(A735,'Items'!$A$6:$A$1005,0)),"MISSING ID")</x:f>
        <x:v>Salvage</x:v>
      </x:c>
      <x:c r="D735" s="4" t="str">
        <x:v>Primary</x:v>
      </x:c>
      <x:c r="E735" s="4" t="str">
        <x:f>IFERROR(INDEX('Items'!$AA$6:$AA$1005,MATCH(A735,'Items'!$A$6:$A$1005,0)),"MISSING ID")</x:f>
        <x:v>Food service</x:v>
      </x:c>
      <x:c r="F735" s="4" t="str">
        <x:v>Collection proposal: Handles firm ration pieces with reusable metal tips</x:v>
      </x:c>
    </x:row>
    <x:row r="736" ht="64" customHeight="1">
      <x:c r="A736" s="4" t="str">
        <x:v>proposal.collection.salvage_claim_leaf</x:v>
      </x:c>
      <x:c r="B736" s="4" t="str">
        <x:f>IFERROR(INDEX('Items'!$B$6:$B$1005,MATCH(A736,'Items'!$A$6:$A$1005,0)),"MISSING ID")</x:f>
        <x:v>Salvage claim leaf</x:v>
      </x:c>
      <x:c r="C736" s="4" t="str">
        <x:f>IFERROR(INDEX('Items'!$D$6:$D$1005,MATCH(A736,'Items'!$A$6:$A$1005,0)),"MISSING ID")</x:f>
        <x:v>Salvage</x:v>
      </x:c>
      <x:c r="D736" s="4" t="str">
        <x:v>Primary</x:v>
      </x:c>
      <x:c r="E736" s="4" t="str">
        <x:f>IFERROR(INDEX('Items'!$AA$6:$AA$1005,MATCH(A736,'Items'!$A$6:$A$1005,0)),"MISSING ID")</x:f>
        <x:v>Writing and records</x:v>
      </x:c>
      <x:c r="F736" s="4" t="str">
        <x:v>Collection proposal: Records a proposed site claim and witnesses</x:v>
      </x:c>
    </x:row>
    <x:row r="737" ht="64" customHeight="1">
      <x:c r="A737" s="4"/>
      <x:c r="B737" s="4"/>
      <x:c r="C737" s="4"/>
      <x:c r="D737" s="4"/>
      <x:c r="E737" s="4"/>
      <x:c r="F737" s="4"/>
    </x:row>
    <x:row r="738" ht="64" customHeight="1">
      <x:c r="A738" s="4"/>
      <x:c r="B738" s="4"/>
      <x:c r="C738" s="4"/>
      <x:c r="D738" s="4"/>
      <x:c r="E738" s="4"/>
      <x:c r="F738" s="4"/>
    </x:row>
    <x:row r="739" ht="64" customHeight="1">
      <x:c r="A739" s="4" t="str">
        <x:v>proposal.collection.household_meal_ledger</x:v>
      </x:c>
      <x:c r="B739" s="4" t="str">
        <x:f>IFERROR(INDEX('Items'!$B$6:$B$1005,MATCH(A739,'Items'!$A$6:$A$1005,0)),"MISSING ID")</x:f>
        <x:v>Household meal ledger</x:v>
      </x:c>
      <x:c r="C739" s="4" t="str">
        <x:f>IFERROR(INDEX('Items'!$D$6:$D$1005,MATCH(A739,'Items'!$A$6:$A$1005,0)),"MISSING ID")</x:f>
        <x:v>Salvage</x:v>
      </x:c>
      <x:c r="D739" s="4" t="str">
        <x:v>Primary</x:v>
      </x:c>
      <x:c r="E739" s="4" t="str">
        <x:f>IFERROR(INDEX('Items'!$AA$6:$AA$1005,MATCH(A739,'Items'!$A$6:$A$1005,0)),"MISSING ID")</x:f>
        <x:v>Writing and records</x:v>
      </x:c>
      <x:c r="F739" s="4" t="str">
        <x:v>Collection proposal: Records rations and food preparation notes</x:v>
      </x:c>
    </x:row>
    <x:row r="740" ht="64" customHeight="1">
      <x:c r="A740" s="4"/>
      <x:c r="B740" s="4"/>
      <x:c r="C740" s="4"/>
      <x:c r="D740" s="4"/>
      <x:c r="E740" s="4"/>
      <x:c r="F740" s="4"/>
    </x:row>
    <x:row r="741" ht="64" customHeight="1">
      <x:c r="A741" s="4" t="str">
        <x:v>proposal.collection.straight_cut_spur_gear</x:v>
      </x:c>
      <x:c r="B741" s="4" t="str">
        <x:f>IFERROR(INDEX('Items'!$B$6:$B$1005,MATCH(A741,'Items'!$A$6:$A$1005,0)),"MISSING ID")</x:f>
        <x:v>Straight-cut spur gear</x:v>
      </x:c>
      <x:c r="C741" s="4" t="str">
        <x:f>IFERROR(INDEX('Items'!$D$6:$D$1005,MATCH(A741,'Items'!$A$6:$A$1005,0)),"MISSING ID")</x:f>
        <x:v>Crafting components</x:v>
      </x:c>
      <x:c r="D741" s="4" t="str">
        <x:v>Primary</x:v>
      </x:c>
      <x:c r="E741" s="4" t="str">
        <x:f>IFERROR(INDEX('Items'!$AA$6:$AA$1005,MATCH(A741,'Items'!$A$6:$A$1005,0)),"MISSING ID")</x:f>
        <x:v>Machinery repair</x:v>
      </x:c>
      <x:c r="F741" s="4" t="str">
        <x:v>Collection proposal: Transfers rotation between parallel shafts</x:v>
      </x:c>
    </x:row>
    <x:row r="742" ht="64" customHeight="1">
      <x:c r="A742" s="4" t="str">
        <x:v>proposal.collection.bevel_drive_gear</x:v>
      </x:c>
      <x:c r="B742" s="4" t="str">
        <x:f>IFERROR(INDEX('Items'!$B$6:$B$1005,MATCH(A742,'Items'!$A$6:$A$1005,0)),"MISSING ID")</x:f>
        <x:v>Bevel drive gear</x:v>
      </x:c>
      <x:c r="C742" s="4" t="str">
        <x:f>IFERROR(INDEX('Items'!$D$6:$D$1005,MATCH(A742,'Items'!$A$6:$A$1005,0)),"MISSING ID")</x:f>
        <x:v>Crafting components</x:v>
      </x:c>
      <x:c r="D742" s="4" t="str">
        <x:v>Primary</x:v>
      </x:c>
      <x:c r="E742" s="4" t="str">
        <x:f>IFERROR(INDEX('Items'!$AA$6:$AA$1005,MATCH(A742,'Items'!$A$6:$A$1005,0)),"MISSING ID")</x:f>
        <x:v>Machinery repair</x:v>
      </x:c>
      <x:c r="F742" s="4" t="str">
        <x:v>Collection proposal: Turns a drive through an angle</x:v>
      </x:c>
    </x:row>
    <x:row r="743" ht="64" customHeight="1">
      <x:c r="A743" s="4" t="str">
        <x:v>proposal.collection.worm_drive_screw</x:v>
      </x:c>
      <x:c r="B743" s="4" t="str">
        <x:f>IFERROR(INDEX('Items'!$B$6:$B$1005,MATCH(A743,'Items'!$A$6:$A$1005,0)),"MISSING ID")</x:f>
        <x:v>Worm drive screw</x:v>
      </x:c>
      <x:c r="C743" s="4" t="str">
        <x:f>IFERROR(INDEX('Items'!$D$6:$D$1005,MATCH(A743,'Items'!$A$6:$A$1005,0)),"MISSING ID")</x:f>
        <x:v>Crafting components</x:v>
      </x:c>
      <x:c r="D743" s="4" t="str">
        <x:v>Primary</x:v>
      </x:c>
      <x:c r="E743" s="4" t="str">
        <x:f>IFERROR(INDEX('Items'!$AA$6:$AA$1005,MATCH(A743,'Items'!$A$6:$A$1005,0)),"MISSING ID")</x:f>
        <x:v>Machinery repair</x:v>
      </x:c>
      <x:c r="F743" s="4" t="str">
        <x:v>Collection proposal: Drives a slow reduction mechanism</x:v>
      </x:c>
    </x:row>
    <x:row r="744" ht="64" customHeight="1">
      <x:c r="A744" s="4" t="str">
        <x:v>proposal.collection.worm_wheel</x:v>
      </x:c>
      <x:c r="B744" s="4" t="str">
        <x:f>IFERROR(INDEX('Items'!$B$6:$B$1005,MATCH(A744,'Items'!$A$6:$A$1005,0)),"MISSING ID")</x:f>
        <x:v>Worm wheel</x:v>
      </x:c>
      <x:c r="C744" s="4" t="str">
        <x:f>IFERROR(INDEX('Items'!$D$6:$D$1005,MATCH(A744,'Items'!$A$6:$A$1005,0)),"MISSING ID")</x:f>
        <x:v>Crafting components</x:v>
      </x:c>
      <x:c r="D744" s="4" t="str">
        <x:v>Primary</x:v>
      </x:c>
      <x:c r="E744" s="4" t="str">
        <x:f>IFERROR(INDEX('Items'!$AA$6:$AA$1005,MATCH(A744,'Items'!$A$6:$A$1005,0)),"MISSING ID")</x:f>
        <x:v>Machinery repair</x:v>
      </x:c>
      <x:c r="F744" s="4" t="str">
        <x:v>Collection proposal: Matched driven wheel for a worm mechanism</x:v>
      </x:c>
    </x:row>
    <x:row r="745" ht="64" customHeight="1">
      <x:c r="A745" s="4"/>
      <x:c r="B745" s="4"/>
      <x:c r="C745" s="4"/>
      <x:c r="D745" s="4"/>
      <x:c r="E745" s="4"/>
      <x:c r="F745" s="4"/>
    </x:row>
    <x:row r="746" ht="64" customHeight="1">
      <x:c r="A746" s="4" t="str">
        <x:v>proposal.collection.chain_drive_sprocket</x:v>
      </x:c>
      <x:c r="B746" s="4" t="str">
        <x:f>IFERROR(INDEX('Items'!$B$6:$B$1005,MATCH(A746,'Items'!$A$6:$A$1005,0)),"MISSING ID")</x:f>
        <x:v>Chain drive sprocket</x:v>
      </x:c>
      <x:c r="C746" s="4" t="str">
        <x:f>IFERROR(INDEX('Items'!$D$6:$D$1005,MATCH(A746,'Items'!$A$6:$A$1005,0)),"MISSING ID")</x:f>
        <x:v>Crafting components</x:v>
      </x:c>
      <x:c r="D746" s="4" t="str">
        <x:v>Primary</x:v>
      </x:c>
      <x:c r="E746" s="4" t="str">
        <x:f>IFERROR(INDEX('Items'!$AA$6:$AA$1005,MATCH(A746,'Items'!$A$6:$A$1005,0)),"MISSING ID")</x:f>
        <x:v>Machinery repair</x:v>
      </x:c>
      <x:c r="F746" s="4" t="str">
        <x:v>Collection proposal: Engages a linked metal drive chain</x:v>
      </x:c>
    </x:row>
    <x:row r="747" ht="64" customHeight="1">
      <x:c r="A747" s="4" t="str">
        <x:v>proposal.collection.split_shaft_coupling</x:v>
      </x:c>
      <x:c r="B747" s="4" t="str">
        <x:f>IFERROR(INDEX('Items'!$B$6:$B$1005,MATCH(A747,'Items'!$A$6:$A$1005,0)),"MISSING ID")</x:f>
        <x:v>Split shaft coupling</x:v>
      </x:c>
      <x:c r="C747" s="4" t="str">
        <x:f>IFERROR(INDEX('Items'!$D$6:$D$1005,MATCH(A747,'Items'!$A$6:$A$1005,0)),"MISSING ID")</x:f>
        <x:v>Crafting components</x:v>
      </x:c>
      <x:c r="D747" s="4" t="str">
        <x:v>Primary</x:v>
      </x:c>
      <x:c r="E747" s="4" t="str">
        <x:f>IFERROR(INDEX('Items'!$AA$6:$AA$1005,MATCH(A747,'Items'!$A$6:$A$1005,0)),"MISSING ID")</x:f>
        <x:v>Machinery repair</x:v>
      </x:c>
      <x:c r="F747" s="4" t="str">
        <x:v>Collection proposal: Joins aligned shaft ends for service access</x:v>
      </x:c>
    </x:row>
    <x:row r="748" ht="64" customHeight="1">
      <x:c r="A748" s="4" t="str">
        <x:v>proposal.collection.keyed_drive_shaft</x:v>
      </x:c>
      <x:c r="B748" s="4" t="str">
        <x:f>IFERROR(INDEX('Items'!$B$6:$B$1005,MATCH(A748,'Items'!$A$6:$A$1005,0)),"MISSING ID")</x:f>
        <x:v>Keyed drive shaft</x:v>
      </x:c>
      <x:c r="C748" s="4" t="str">
        <x:f>IFERROR(INDEX('Items'!$D$6:$D$1005,MATCH(A748,'Items'!$A$6:$A$1005,0)),"MISSING ID")</x:f>
        <x:v>Crafting components</x:v>
      </x:c>
      <x:c r="D748" s="4" t="str">
        <x:v>Primary</x:v>
      </x:c>
      <x:c r="E748" s="4" t="str">
        <x:f>IFERROR(INDEX('Items'!$AA$6:$AA$1005,MATCH(A748,'Items'!$A$6:$A$1005,0)),"MISSING ID")</x:f>
        <x:v>Machinery repair</x:v>
      </x:c>
      <x:c r="F748" s="4" t="str">
        <x:v>Collection proposal: Carries rotary torque through a keyed seat</x:v>
      </x:c>
    </x:row>
    <x:row r="749" ht="64" customHeight="1">
      <x:c r="A749" s="4" t="str">
        <x:v>proposal.collection.eccentric_cam_disc</x:v>
      </x:c>
      <x:c r="B749" s="4" t="str">
        <x:f>IFERROR(INDEX('Items'!$B$6:$B$1005,MATCH(A749,'Items'!$A$6:$A$1005,0)),"MISSING ID")</x:f>
        <x:v>Eccentric cam disc</x:v>
      </x:c>
      <x:c r="C749" s="4" t="str">
        <x:f>IFERROR(INDEX('Items'!$D$6:$D$1005,MATCH(A749,'Items'!$A$6:$A$1005,0)),"MISSING ID")</x:f>
        <x:v>Crafting components</x:v>
      </x:c>
      <x:c r="D749" s="4" t="str">
        <x:v>Primary</x:v>
      </x:c>
      <x:c r="E749" s="4" t="str">
        <x:f>IFERROR(INDEX('Items'!$AA$6:$AA$1005,MATCH(A749,'Items'!$A$6:$A$1005,0)),"MISSING ID")</x:f>
        <x:v>Machinery repair</x:v>
      </x:c>
      <x:c r="F749" s="4" t="str">
        <x:v>Collection proposal: Produces an offset reciprocating stroke</x:v>
      </x:c>
    </x:row>
    <x:row r="750" ht="64" customHeight="1">
      <x:c r="A750" s="4" t="str">
        <x:v>proposal.collection.cam_follower_roller</x:v>
      </x:c>
      <x:c r="B750" s="4" t="str">
        <x:f>IFERROR(INDEX('Items'!$B$6:$B$1005,MATCH(A750,'Items'!$A$6:$A$1005,0)),"MISSING ID")</x:f>
        <x:v>Cam follower roller</x:v>
      </x:c>
      <x:c r="C750" s="4" t="str">
        <x:f>IFERROR(INDEX('Items'!$D$6:$D$1005,MATCH(A750,'Items'!$A$6:$A$1005,0)),"MISSING ID")</x:f>
        <x:v>Crafting components</x:v>
      </x:c>
      <x:c r="D750" s="4" t="str">
        <x:v>Primary</x:v>
      </x:c>
      <x:c r="E750" s="4" t="str">
        <x:f>IFERROR(INDEX('Items'!$AA$6:$AA$1005,MATCH(A750,'Items'!$A$6:$A$1005,0)),"MISSING ID")</x:f>
        <x:v>Machinery repair</x:v>
      </x:c>
      <x:c r="F750" s="4" t="str">
        <x:v>Collection proposal: Tracks a cam with a replaceable contact roller</x:v>
      </x:c>
    </x:row>
    <x:row r="751" ht="64" customHeight="1">
      <x:c r="A751" s="4" t="str">
        <x:v>proposal.collection.ratchet_wheel</x:v>
      </x:c>
      <x:c r="B751" s="4" t="str">
        <x:f>IFERROR(INDEX('Items'!$B$6:$B$1005,MATCH(A751,'Items'!$A$6:$A$1005,0)),"MISSING ID")</x:f>
        <x:v>Ratchet wheel</x:v>
      </x:c>
      <x:c r="C751" s="4" t="str">
        <x:f>IFERROR(INDEX('Items'!$D$6:$D$1005,MATCH(A751,'Items'!$A$6:$A$1005,0)),"MISSING ID")</x:f>
        <x:v>Crafting components</x:v>
      </x:c>
      <x:c r="D751" s="4" t="str">
        <x:v>Primary</x:v>
      </x:c>
      <x:c r="E751" s="4" t="str">
        <x:f>IFERROR(INDEX('Items'!$AA$6:$AA$1005,MATCH(A751,'Items'!$A$6:$A$1005,0)),"MISSING ID")</x:f>
        <x:v>Machinery repair</x:v>
      </x:c>
      <x:c r="F751" s="4" t="str">
        <x:v>Collection proposal: Provides indexed one-way motion</x:v>
      </x:c>
    </x:row>
    <x:row r="752" ht="64" customHeight="1">
      <x:c r="A752" s="4" t="str">
        <x:v>proposal.collection.ratchet_pawl</x:v>
      </x:c>
      <x:c r="B752" s="4" t="str">
        <x:f>IFERROR(INDEX('Items'!$B$6:$B$1005,MATCH(A752,'Items'!$A$6:$A$1005,0)),"MISSING ID")</x:f>
        <x:v>Ratchet pawl</x:v>
      </x:c>
      <x:c r="C752" s="4" t="str">
        <x:f>IFERROR(INDEX('Items'!$D$6:$D$1005,MATCH(A752,'Items'!$A$6:$A$1005,0)),"MISSING ID")</x:f>
        <x:v>Crafting components</x:v>
      </x:c>
      <x:c r="D752" s="4" t="str">
        <x:v>Primary</x:v>
      </x:c>
      <x:c r="E752" s="4" t="str">
        <x:f>IFERROR(INDEX('Items'!$AA$6:$AA$1005,MATCH(A752,'Items'!$A$6:$A$1005,0)),"MISSING ID")</x:f>
        <x:v>Machinery repair</x:v>
      </x:c>
      <x:c r="F752" s="4" t="str">
        <x:v>Collection proposal: Retains a ratchet wheel between strokes</x:v>
      </x:c>
    </x:row>
    <x:row r="753" ht="64" customHeight="1">
      <x:c r="A753" s="4" t="str">
        <x:v>proposal.collection.helical_return_spring</x:v>
      </x:c>
      <x:c r="B753" s="4" t="str">
        <x:f>IFERROR(INDEX('Items'!$B$6:$B$1005,MATCH(A753,'Items'!$A$6:$A$1005,0)),"MISSING ID")</x:f>
        <x:v>Helical return spring</x:v>
      </x:c>
      <x:c r="C753" s="4" t="str">
        <x:f>IFERROR(INDEX('Items'!$D$6:$D$1005,MATCH(A753,'Items'!$A$6:$A$1005,0)),"MISSING ID")</x:f>
        <x:v>Crafting components</x:v>
      </x:c>
      <x:c r="D753" s="4" t="str">
        <x:v>Primary</x:v>
      </x:c>
      <x:c r="E753" s="4" t="str">
        <x:f>IFERROR(INDEX('Items'!$AA$6:$AA$1005,MATCH(A753,'Items'!$A$6:$A$1005,0)),"MISSING ID")</x:f>
        <x:v>Machinery repair</x:v>
      </x:c>
      <x:c r="F753" s="4" t="str">
        <x:v>Collection proposal: Stores return force in a compact mechanism</x:v>
      </x:c>
    </x:row>
    <x:row r="754" ht="64" customHeight="1">
      <x:c r="A754" s="4" t="str">
        <x:v>proposal.collection.flat_spiral_clock_spring</x:v>
      </x:c>
      <x:c r="B754" s="4" t="str">
        <x:f>IFERROR(INDEX('Items'!$B$6:$B$1005,MATCH(A754,'Items'!$A$6:$A$1005,0)),"MISSING ID")</x:f>
        <x:v>Flat spiral clock spring</x:v>
      </x:c>
      <x:c r="C754" s="4" t="str">
        <x:f>IFERROR(INDEX('Items'!$D$6:$D$1005,MATCH(A754,'Items'!$A$6:$A$1005,0)),"MISSING ID")</x:f>
        <x:v>Crafting components</x:v>
      </x:c>
      <x:c r="D754" s="4" t="str">
        <x:v>Primary</x:v>
      </x:c>
      <x:c r="E754" s="4" t="str">
        <x:f>IFERROR(INDEX('Items'!$AA$6:$AA$1005,MATCH(A754,'Items'!$A$6:$A$1005,0)),"MISSING ID")</x:f>
        <x:v>Machinery repair</x:v>
      </x:c>
      <x:c r="F754" s="4" t="str">
        <x:v>Collection proposal: Stores a wound mechanical charge</x:v>
      </x:c>
    </x:row>
    <x:row r="755" ht="64" customHeight="1">
      <x:c r="A755" s="4" t="str">
        <x:v>proposal.collection.steel_hinge_knuckle</x:v>
      </x:c>
      <x:c r="B755" s="4" t="str">
        <x:f>IFERROR(INDEX('Items'!$B$6:$B$1005,MATCH(A755,'Items'!$A$6:$A$1005,0)),"MISSING ID")</x:f>
        <x:v>Steel hinge knuckle</x:v>
      </x:c>
      <x:c r="C755" s="4" t="str">
        <x:f>IFERROR(INDEX('Items'!$D$6:$D$1005,MATCH(A755,'Items'!$A$6:$A$1005,0)),"MISSING ID")</x:f>
        <x:v>Crafting components</x:v>
      </x:c>
      <x:c r="D755" s="4" t="str">
        <x:v>Primary</x:v>
      </x:c>
      <x:c r="E755" s="4" t="str">
        <x:f>IFERROR(INDEX('Items'!$AA$6:$AA$1005,MATCH(A755,'Items'!$A$6:$A$1005,0)),"MISSING ID")</x:f>
        <x:v>Machinery repair</x:v>
      </x:c>
      <x:c r="F755" s="4" t="str">
        <x:v>Collection proposal: Forms a replaceable pivot barrel</x:v>
      </x:c>
    </x:row>
    <x:row r="756" ht="64" customHeight="1">
      <x:c r="A756" s="4" t="str">
        <x:v>proposal.collection.oil_channel_bronze_sleeve</x:v>
      </x:c>
      <x:c r="B756" s="4" t="str">
        <x:f>IFERROR(INDEX('Items'!$B$6:$B$1005,MATCH(A756,'Items'!$A$6:$A$1005,0)),"MISSING ID")</x:f>
        <x:v>Oil-channel bronze sleeve</x:v>
      </x:c>
      <x:c r="C756" s="4" t="str">
        <x:f>IFERROR(INDEX('Items'!$D$6:$D$1005,MATCH(A756,'Items'!$A$6:$A$1005,0)),"MISSING ID")</x:f>
        <x:v>Crafting components</x:v>
      </x:c>
      <x:c r="D756" s="4" t="str">
        <x:v>Primary</x:v>
      </x:c>
      <x:c r="E756" s="4" t="str">
        <x:f>IFERROR(INDEX('Items'!$AA$6:$AA$1005,MATCH(A756,'Items'!$A$6:$A$1005,0)),"MISSING ID")</x:f>
        <x:v>Machinery repair</x:v>
      </x:c>
      <x:c r="F756" s="4" t="str">
        <x:v>Collection proposal: Carries a shaft with a lubricant distribution groove</x:v>
      </x:c>
    </x:row>
    <x:row r="757" ht="64" customHeight="1">
      <x:c r="A757" s="4" t="str">
        <x:v>proposal.collection.split_bearing_pillow_block</x:v>
      </x:c>
      <x:c r="B757" s="4" t="str">
        <x:f>IFERROR(INDEX('Items'!$B$6:$B$1005,MATCH(A757,'Items'!$A$6:$A$1005,0)),"MISSING ID")</x:f>
        <x:v>Split bearing pillow block</x:v>
      </x:c>
      <x:c r="C757" s="4" t="str">
        <x:f>IFERROR(INDEX('Items'!$D$6:$D$1005,MATCH(A757,'Items'!$A$6:$A$1005,0)),"MISSING ID")</x:f>
        <x:v>Crafting components</x:v>
      </x:c>
      <x:c r="D757" s="4" t="str">
        <x:v>Primary</x:v>
      </x:c>
      <x:c r="E757" s="4" t="str">
        <x:f>IFERROR(INDEX('Items'!$AA$6:$AA$1005,MATCH(A757,'Items'!$A$6:$A$1005,0)),"MISSING ID")</x:f>
        <x:v>Machinery repair</x:v>
      </x:c>
      <x:c r="F757" s="4" t="str">
        <x:v>Collection proposal: Locates a serviceable bearing in a housing</x:v>
      </x:c>
    </x:row>
    <x:row r="758" ht="64" customHeight="1">
      <x:c r="A758" s="4" t="str">
        <x:v>proposal.collection.flywheel_rim_segment</x:v>
      </x:c>
      <x:c r="B758" s="4" t="str">
        <x:f>IFERROR(INDEX('Items'!$B$6:$B$1005,MATCH(A758,'Items'!$A$6:$A$1005,0)),"MISSING ID")</x:f>
        <x:v>Flywheel rim segment</x:v>
      </x:c>
      <x:c r="C758" s="4" t="str">
        <x:f>IFERROR(INDEX('Items'!$D$6:$D$1005,MATCH(A758,'Items'!$A$6:$A$1005,0)),"MISSING ID")</x:f>
        <x:v>Crafting components</x:v>
      </x:c>
      <x:c r="D758" s="4" t="str">
        <x:v>Primary</x:v>
      </x:c>
      <x:c r="E758" s="4" t="str">
        <x:f>IFERROR(INDEX('Items'!$AA$6:$AA$1005,MATCH(A758,'Items'!$A$6:$A$1005,0)),"MISSING ID")</x:f>
        <x:v>Machinery repair</x:v>
      </x:c>
      <x:c r="F758" s="4" t="str">
        <x:v>Collection proposal: Adds rotating mass to a guarded storage wheel</x:v>
      </x:c>
    </x:row>
    <x:row r="759" ht="64" customHeight="1">
      <x:c r="A759" s="4" t="str">
        <x:v>proposal.collection.clutch_friction_disc</x:v>
      </x:c>
      <x:c r="B759" s="4" t="str">
        <x:f>IFERROR(INDEX('Items'!$B$6:$B$1005,MATCH(A759,'Items'!$A$6:$A$1005,0)),"MISSING ID")</x:f>
        <x:v>Clutch friction disc</x:v>
      </x:c>
      <x:c r="C759" s="4" t="str">
        <x:f>IFERROR(INDEX('Items'!$D$6:$D$1005,MATCH(A759,'Items'!$A$6:$A$1005,0)),"MISSING ID")</x:f>
        <x:v>Crafting components</x:v>
      </x:c>
      <x:c r="D759" s="4" t="str">
        <x:v>Primary</x:v>
      </x:c>
      <x:c r="E759" s="4" t="str">
        <x:f>IFERROR(INDEX('Items'!$AA$6:$AA$1005,MATCH(A759,'Items'!$A$6:$A$1005,0)),"MISSING ID")</x:f>
        <x:v>Machinery repair</x:v>
      </x:c>
      <x:c r="F759" s="4" t="str">
        <x:v>Collection proposal: Transfers drive through a replaceable friction face</x:v>
      </x:c>
    </x:row>
    <x:row r="760" ht="64" customHeight="1">
      <x:c r="A760" s="4" t="str">
        <x:v>proposal.collection.brake_drum</x:v>
      </x:c>
      <x:c r="B760" s="4" t="str">
        <x:f>IFERROR(INDEX('Items'!$B$6:$B$1005,MATCH(A760,'Items'!$A$6:$A$1005,0)),"MISSING ID")</x:f>
        <x:v>Brake drum</x:v>
      </x:c>
      <x:c r="C760" s="4" t="str">
        <x:f>IFERROR(INDEX('Items'!$D$6:$D$1005,MATCH(A760,'Items'!$A$6:$A$1005,0)),"MISSING ID")</x:f>
        <x:v>Crafting components</x:v>
      </x:c>
      <x:c r="D760" s="4" t="str">
        <x:v>Primary</x:v>
      </x:c>
      <x:c r="E760" s="4" t="str">
        <x:f>IFERROR(INDEX('Items'!$AA$6:$AA$1005,MATCH(A760,'Items'!$A$6:$A$1005,0)),"MISSING ID")</x:f>
        <x:v>Machinery repair</x:v>
      </x:c>
      <x:c r="F760" s="4" t="str">
        <x:v>Collection proposal: Provides a guarded braking surface</x:v>
      </x:c>
    </x:row>
    <x:row r="761" ht="64" customHeight="1">
      <x:c r="A761" s="4" t="str">
        <x:v>proposal.collection.brake_lining_shoe</x:v>
      </x:c>
      <x:c r="B761" s="4" t="str">
        <x:f>IFERROR(INDEX('Items'!$B$6:$B$1005,MATCH(A761,'Items'!$A$6:$A$1005,0)),"MISSING ID")</x:f>
        <x:v>Brake lining shoe</x:v>
      </x:c>
      <x:c r="C761" s="4" t="str">
        <x:f>IFERROR(INDEX('Items'!$D$6:$D$1005,MATCH(A761,'Items'!$A$6:$A$1005,0)),"MISSING ID")</x:f>
        <x:v>Crafting components</x:v>
      </x:c>
      <x:c r="D761" s="4" t="str">
        <x:v>Primary</x:v>
      </x:c>
      <x:c r="E761" s="4" t="str">
        <x:f>IFERROR(INDEX('Items'!$AA$6:$AA$1005,MATCH(A761,'Items'!$A$6:$A$1005,0)),"MISSING ID")</x:f>
        <x:v>Machinery repair</x:v>
      </x:c>
      <x:c r="F761" s="4" t="str">
        <x:v>Collection proposal: Supports a replaceable mineral-chitin friction face</x:v>
      </x:c>
    </x:row>
    <x:row r="762" ht="64" customHeight="1">
      <x:c r="A762" s="4" t="str">
        <x:v>proposal.collection.counterweight_chain_link</x:v>
      </x:c>
      <x:c r="B762" s="4" t="str">
        <x:f>IFERROR(INDEX('Items'!$B$6:$B$1005,MATCH(A762,'Items'!$A$6:$A$1005,0)),"MISSING ID")</x:f>
        <x:v>Counterweight chain link</x:v>
      </x:c>
      <x:c r="C762" s="4" t="str">
        <x:f>IFERROR(INDEX('Items'!$D$6:$D$1005,MATCH(A762,'Items'!$A$6:$A$1005,0)),"MISSING ID")</x:f>
        <x:v>Crafting components</x:v>
      </x:c>
      <x:c r="D762" s="4" t="str">
        <x:v>Primary</x:v>
      </x:c>
      <x:c r="E762" s="4" t="str">
        <x:f>IFERROR(INDEX('Items'!$AA$6:$AA$1005,MATCH(A762,'Items'!$A$6:$A$1005,0)),"MISSING ID")</x:f>
        <x:v>Machinery repair</x:v>
      </x:c>
      <x:c r="F762" s="4" t="str">
        <x:v>Collection proposal: Joins a lifted-mass drive chain</x:v>
      </x:c>
    </x:row>
    <x:row r="763" ht="64" customHeight="1">
      <x:c r="A763" s="4" t="str">
        <x:v>proposal.collection.grooved_lift_pulley</x:v>
      </x:c>
      <x:c r="B763" s="4" t="str">
        <x:f>IFERROR(INDEX('Items'!$B$6:$B$1005,MATCH(A763,'Items'!$A$6:$A$1005,0)),"MISSING ID")</x:f>
        <x:v>Grooved lift pulley</x:v>
      </x:c>
      <x:c r="C763" s="4" t="str">
        <x:f>IFERROR(INDEX('Items'!$D$6:$D$1005,MATCH(A763,'Items'!$A$6:$A$1005,0)),"MISSING ID")</x:f>
        <x:v>Crafting components</x:v>
      </x:c>
      <x:c r="D763" s="4" t="str">
        <x:v>Primary</x:v>
      </x:c>
      <x:c r="E763" s="4" t="str">
        <x:f>IFERROR(INDEX('Items'!$AA$6:$AA$1005,MATCH(A763,'Items'!$A$6:$A$1005,0)),"MISSING ID")</x:f>
        <x:v>Machinery repair</x:v>
      </x:c>
      <x:c r="F763" s="4" t="str">
        <x:v>Collection proposal: Guides cable through a lift mechanism</x:v>
      </x:c>
    </x:row>
    <x:row r="764" ht="64" customHeight="1">
      <x:c r="A764" s="4" t="str">
        <x:v>proposal.collection.mechanical_escapement_fork</x:v>
      </x:c>
      <x:c r="B764" s="4" t="str">
        <x:f>IFERROR(INDEX('Items'!$B$6:$B$1005,MATCH(A764,'Items'!$A$6:$A$1005,0)),"MISSING ID")</x:f>
        <x:v>Mechanical escapement fork</x:v>
      </x:c>
      <x:c r="C764" s="4" t="str">
        <x:f>IFERROR(INDEX('Items'!$D$6:$D$1005,MATCH(A764,'Items'!$A$6:$A$1005,0)),"MISSING ID")</x:f>
        <x:v>Crafting components</x:v>
      </x:c>
      <x:c r="D764" s="4" t="str">
        <x:v>Primary</x:v>
      </x:c>
      <x:c r="E764" s="4" t="str">
        <x:f>IFERROR(INDEX('Items'!$AA$6:$AA$1005,MATCH(A764,'Items'!$A$6:$A$1005,0)),"MISSING ID")</x:f>
        <x:v>Machinery repair</x:v>
      </x:c>
      <x:c r="F764" s="4" t="str">
        <x:v>Collection proposal: Meters a spring or weight mechanism into steps</x:v>
      </x:c>
    </x:row>
    <x:row r="765" ht="64" customHeight="1">
      <x:c r="A765" s="4" t="str">
        <x:v>proposal.collection.pressure_bellows_capsule</x:v>
      </x:c>
      <x:c r="B765" s="4" t="str">
        <x:f>IFERROR(INDEX('Items'!$B$6:$B$1005,MATCH(A765,'Items'!$A$6:$A$1005,0)),"MISSING ID")</x:f>
        <x:v>Pressure bellows capsule</x:v>
      </x:c>
      <x:c r="C765" s="4" t="str">
        <x:f>IFERROR(INDEX('Items'!$D$6:$D$1005,MATCH(A765,'Items'!$A$6:$A$1005,0)),"MISSING ID")</x:f>
        <x:v>Crafting components</x:v>
      </x:c>
      <x:c r="D765" s="4" t="str">
        <x:v>Primary</x:v>
      </x:c>
      <x:c r="E765" s="4" t="str">
        <x:f>IFERROR(INDEX('Items'!$AA$6:$AA$1005,MATCH(A765,'Items'!$A$6:$A$1005,0)),"MISSING ID")</x:f>
        <x:v>Machinery repair</x:v>
      </x:c>
      <x:c r="F765" s="4" t="str">
        <x:v>Collection proposal: Converts a pressure difference to short travel</x:v>
      </x:c>
    </x:row>
    <x:row r="766" ht="64" customHeight="1">
      <x:c r="A766" s="4" t="str">
        <x:v>proposal.collection.ceramic_piston_sleeve</x:v>
      </x:c>
      <x:c r="B766" s="4" t="str">
        <x:f>IFERROR(INDEX('Items'!$B$6:$B$1005,MATCH(A766,'Items'!$A$6:$A$1005,0)),"MISSING ID")</x:f>
        <x:v>Ceramic piston sleeve</x:v>
      </x:c>
      <x:c r="C766" s="4" t="str">
        <x:f>IFERROR(INDEX('Items'!$D$6:$D$1005,MATCH(A766,'Items'!$A$6:$A$1005,0)),"MISSING ID")</x:f>
        <x:v>Crafting components</x:v>
      </x:c>
      <x:c r="D766" s="4" t="str">
        <x:v>Primary</x:v>
      </x:c>
      <x:c r="E766" s="4" t="str">
        <x:f>IFERROR(INDEX('Items'!$AA$6:$AA$1005,MATCH(A766,'Items'!$A$6:$A$1005,0)),"MISSING ID")</x:f>
        <x:v>Machinery repair</x:v>
      </x:c>
      <x:c r="F766" s="4" t="str">
        <x:v>Collection proposal: Provides a replaceable bore liner</x:v>
      </x:c>
    </x:row>
    <x:row r="767" ht="64" customHeight="1">
      <x:c r="A767" s="4" t="str">
        <x:v>proposal.collection.metal_piston_head</x:v>
      </x:c>
      <x:c r="B767" s="4" t="str">
        <x:f>IFERROR(INDEX('Items'!$B$6:$B$1005,MATCH(A767,'Items'!$A$6:$A$1005,0)),"MISSING ID")</x:f>
        <x:v>Metal piston head</x:v>
      </x:c>
      <x:c r="C767" s="4" t="str">
        <x:f>IFERROR(INDEX('Items'!$D$6:$D$1005,MATCH(A767,'Items'!$A$6:$A$1005,0)),"MISSING ID")</x:f>
        <x:v>Crafting components</x:v>
      </x:c>
      <x:c r="D767" s="4" t="str">
        <x:v>Primary</x:v>
      </x:c>
      <x:c r="E767" s="4" t="str">
        <x:f>IFERROR(INDEX('Items'!$AA$6:$AA$1005,MATCH(A767,'Items'!$A$6:$A$1005,0)),"MISSING ID")</x:f>
        <x:v>Machinery repair</x:v>
      </x:c>
      <x:c r="F767" s="4" t="str">
        <x:v>Collection proposal: Transfers pressure or linkage force in a compatible bore</x:v>
      </x:c>
    </x:row>
    <x:row r="768" ht="64" customHeight="1">
      <x:c r="A768" s="4" t="str">
        <x:v>proposal.collection.spring_seated_check_valve</x:v>
      </x:c>
      <x:c r="B768" s="4" t="str">
        <x:f>IFERROR(INDEX('Items'!$B$6:$B$1005,MATCH(A768,'Items'!$A$6:$A$1005,0)),"MISSING ID")</x:f>
        <x:v>Spring-seated check valve</x:v>
      </x:c>
      <x:c r="C768" s="4" t="str">
        <x:f>IFERROR(INDEX('Items'!$D$6:$D$1005,MATCH(A768,'Items'!$A$6:$A$1005,0)),"MISSING ID")</x:f>
        <x:v>Crafting components</x:v>
      </x:c>
      <x:c r="D768" s="4" t="str">
        <x:v>Primary</x:v>
      </x:c>
      <x:c r="E768" s="4" t="str">
        <x:f>IFERROR(INDEX('Items'!$AA$6:$AA$1005,MATCH(A768,'Items'!$A$6:$A$1005,0)),"MISSING ID")</x:f>
        <x:v>Machinery repair</x:v>
      </x:c>
      <x:c r="F768" s="4" t="str">
        <x:v>Collection proposal: Controls one-way flow in a compatible closed system</x:v>
      </x:c>
    </x:row>
    <x:row r="769" ht="64" customHeight="1">
      <x:c r="A769" s="4" t="str">
        <x:v>proposal.collection.graphite_current_brush</x:v>
      </x:c>
      <x:c r="B769" s="4" t="str">
        <x:f>IFERROR(INDEX('Items'!$B$6:$B$1005,MATCH(A769,'Items'!$A$6:$A$1005,0)),"MISSING ID")</x:f>
        <x:v>Graphite current brush</x:v>
      </x:c>
      <x:c r="C769" s="4" t="str">
        <x:f>IFERROR(INDEX('Items'!$D$6:$D$1005,MATCH(A769,'Items'!$A$6:$A$1005,0)),"MISSING ID")</x:f>
        <x:v>Crafting components</x:v>
      </x:c>
      <x:c r="D769" s="4" t="str">
        <x:v>Primary</x:v>
      </x:c>
      <x:c r="E769" s="4" t="str">
        <x:f>IFERROR(INDEX('Items'!$AA$6:$AA$1005,MATCH(A769,'Items'!$A$6:$A$1005,0)),"MISSING ID")</x:f>
        <x:v>Machinery repair</x:v>
      </x:c>
      <x:c r="F769" s="4" t="str">
        <x:v>Collection proposal: Makes a replaceable electrical rubbing contact</x:v>
      </x:c>
    </x:row>
    <x:row r="770" ht="64" customHeight="1">
      <x:c r="A770" s="4" t="str">
        <x:v>proposal.collection.segmented_commutator_ring</x:v>
      </x:c>
      <x:c r="B770" s="4" t="str">
        <x:f>IFERROR(INDEX('Items'!$B$6:$B$1005,MATCH(A770,'Items'!$A$6:$A$1005,0)),"MISSING ID")</x:f>
        <x:v>Segmented commutator ring</x:v>
      </x:c>
      <x:c r="C770" s="4" t="str">
        <x:f>IFERROR(INDEX('Items'!$D$6:$D$1005,MATCH(A770,'Items'!$A$6:$A$1005,0)),"MISSING ID")</x:f>
        <x:v>Crafting components</x:v>
      </x:c>
      <x:c r="D770" s="4" t="str">
        <x:v>Primary</x:v>
      </x:c>
      <x:c r="E770" s="4" t="str">
        <x:f>IFERROR(INDEX('Items'!$AA$6:$AA$1005,MATCH(A770,'Items'!$A$6:$A$1005,0)),"MISSING ID")</x:f>
        <x:v>Machinery repair</x:v>
      </x:c>
      <x:c r="F770" s="4" t="str">
        <x:v>Collection proposal: Switches current in a crude rotating machine</x:v>
      </x:c>
    </x:row>
    <x:row r="771" ht="64" customHeight="1">
      <x:c r="A771" s="4" t="str">
        <x:v>proposal.collection.iron_wound_relay_core</x:v>
      </x:c>
      <x:c r="B771" s="4" t="str">
        <x:f>IFERROR(INDEX('Items'!$B$6:$B$1005,MATCH(A771,'Items'!$A$6:$A$1005,0)),"MISSING ID")</x:f>
        <x:v>Iron-wound relay core</x:v>
      </x:c>
      <x:c r="C771" s="4" t="str">
        <x:f>IFERROR(INDEX('Items'!$D$6:$D$1005,MATCH(A771,'Items'!$A$6:$A$1005,0)),"MISSING ID")</x:f>
        <x:v>Crafting components</x:v>
      </x:c>
      <x:c r="D771" s="4" t="str">
        <x:v>Primary</x:v>
      </x:c>
      <x:c r="E771" s="4" t="str">
        <x:f>IFERROR(INDEX('Items'!$AA$6:$AA$1005,MATCH(A771,'Items'!$A$6:$A$1005,0)),"MISSING ID")</x:f>
        <x:v>Machinery repair</x:v>
      </x:c>
      <x:c r="F771" s="4" t="str">
        <x:v>Collection proposal: Provides a bulky electromechanical switching element</x:v>
      </x:c>
    </x:row>
    <x:row r="772" ht="64" customHeight="1">
      <x:c r="A772" s="4" t="str">
        <x:v>proposal.collection.mica_separated_terminal_strip</x:v>
      </x:c>
      <x:c r="B772" s="4" t="str">
        <x:f>IFERROR(INDEX('Items'!$B$6:$B$1005,MATCH(A772,'Items'!$A$6:$A$1005,0)),"MISSING ID")</x:f>
        <x:v>Mica-separated terminal strip</x:v>
      </x:c>
      <x:c r="C772" s="4" t="str">
        <x:f>IFERROR(INDEX('Items'!$D$6:$D$1005,MATCH(A772,'Items'!$A$6:$A$1005,0)),"MISSING ID")</x:f>
        <x:v>Crafting components</x:v>
      </x:c>
      <x:c r="D772" s="4" t="str">
        <x:v>Primary</x:v>
      </x:c>
      <x:c r="E772" s="4" t="str">
        <x:f>IFERROR(INDEX('Items'!$AA$6:$AA$1005,MATCH(A772,'Items'!$A$6:$A$1005,0)),"MISSING ID")</x:f>
        <x:v>Machinery repair</x:v>
      </x:c>
      <x:c r="F772" s="4" t="str">
        <x:v>Collection proposal: Keeps exposed terminals spaced on an insulating base</x:v>
      </x:c>
    </x:row>
    <x:row r="773" ht="64" customHeight="1">
      <x:c r="A773" s="4" t="str">
        <x:v>proposal.collection.ceramic_wire_routing_comb</x:v>
      </x:c>
      <x:c r="B773" s="4" t="str">
        <x:f>IFERROR(INDEX('Items'!$B$6:$B$1005,MATCH(A773,'Items'!$A$6:$A$1005,0)),"MISSING ID")</x:f>
        <x:v>Ceramic wire-routing comb</x:v>
      </x:c>
      <x:c r="C773" s="4" t="str">
        <x:f>IFERROR(INDEX('Items'!$D$6:$D$1005,MATCH(A773,'Items'!$A$6:$A$1005,0)),"MISSING ID")</x:f>
        <x:v>Crafting components</x:v>
      </x:c>
      <x:c r="D773" s="4" t="str">
        <x:v>Primary</x:v>
      </x:c>
      <x:c r="E773" s="4" t="str">
        <x:f>IFERROR(INDEX('Items'!$AA$6:$AA$1005,MATCH(A773,'Items'!$A$6:$A$1005,0)),"MISSING ID")</x:f>
        <x:v>Machinery repair</x:v>
      </x:c>
      <x:c r="F773" s="4" t="str">
        <x:v>Collection proposal: Spaces conductors along a machine frame</x:v>
      </x:c>
    </x:row>
    <x:row r="774" ht="64" customHeight="1">
      <x:c r="A774" s="4" t="str">
        <x:v>proposal.collection.braided_iron_signal_lead</x:v>
      </x:c>
      <x:c r="B774" s="4" t="str">
        <x:f>IFERROR(INDEX('Items'!$B$6:$B$1005,MATCH(A774,'Items'!$A$6:$A$1005,0)),"MISSING ID")</x:f>
        <x:v>Braided iron signal lead</x:v>
      </x:c>
      <x:c r="C774" s="4" t="str">
        <x:f>IFERROR(INDEX('Items'!$D$6:$D$1005,MATCH(A774,'Items'!$A$6:$A$1005,0)),"MISSING ID")</x:f>
        <x:v>Crafting components</x:v>
      </x:c>
      <x:c r="D774" s="4" t="str">
        <x:v>Primary</x:v>
      </x:c>
      <x:c r="E774" s="4" t="str">
        <x:f>IFERROR(INDEX('Items'!$AA$6:$AA$1005,MATCH(A774,'Items'!$A$6:$A$1005,0)),"MISSING ID")</x:f>
        <x:v>Machinery repair</x:v>
      </x:c>
      <x:c r="F774" s="4" t="str">
        <x:v>Collection proposal: Provides a rugged short-distance electrical connection</x:v>
      </x:c>
    </x:row>
    <x:row r="775" ht="64" customHeight="1">
      <x:c r="A775" s="4" t="str">
        <x:v>proposal.collection.flexible_copper_service_jumper</x:v>
      </x:c>
      <x:c r="B775" s="4" t="str">
        <x:f>IFERROR(INDEX('Items'!$B$6:$B$1005,MATCH(A775,'Items'!$A$6:$A$1005,0)),"MISSING ID")</x:f>
        <x:v>Flexible copper service jumper</x:v>
      </x:c>
      <x:c r="C775" s="4" t="str">
        <x:f>IFERROR(INDEX('Items'!$D$6:$D$1005,MATCH(A775,'Items'!$A$6:$A$1005,0)),"MISSING ID")</x:f>
        <x:v>Crafting components</x:v>
      </x:c>
      <x:c r="D775" s="4" t="str">
        <x:v>Primary</x:v>
      </x:c>
      <x:c r="E775" s="4" t="str">
        <x:f>IFERROR(INDEX('Items'!$AA$6:$AA$1005,MATCH(A775,'Items'!$A$6:$A$1005,0)),"MISSING ID")</x:f>
        <x:v>Machinery repair</x:v>
      </x:c>
      <x:c r="F775" s="4" t="str">
        <x:v>Collection proposal: Bridges a moving joint with scarce conductive stock</x:v>
      </x:c>
    </x:row>
    <x:row r="776" ht="64" customHeight="1">
      <x:c r="A776" s="4" t="str">
        <x:v>proposal.collection.ancient_nanocarbon_rotary_bearing</x:v>
      </x:c>
      <x:c r="B776" s="4" t="str">
        <x:f>IFERROR(INDEX('Items'!$B$6:$B$1005,MATCH(A776,'Items'!$A$6:$A$1005,0)),"MISSING ID")</x:f>
        <x:v>Ancient nanocarbon rotary bearing</x:v>
      </x:c>
      <x:c r="C776" s="4" t="str">
        <x:f>IFERROR(INDEX('Items'!$D$6:$D$1005,MATCH(A776,'Items'!$A$6:$A$1005,0)),"MISSING ID")</x:f>
        <x:v>Ancient salvage</x:v>
      </x:c>
      <x:c r="D776" s="4" t="str">
        <x:v>Primary</x:v>
      </x:c>
      <x:c r="E776" s="4" t="str">
        <x:f>IFERROR(INDEX('Items'!$AA$6:$AA$1005,MATCH(A776,'Items'!$A$6:$A$1005,0)),"MISSING ID")</x:f>
        <x:v>Machinery repair</x:v>
      </x:c>
      <x:c r="F776" s="4" t="str">
        <x:v>Collection proposal: Extremely rare recovered rotary support with unknown service life</x:v>
      </x:c>
    </x:row>
    <x:row r="777" ht="64" customHeight="1">
      <x:c r="A777" s="4" t="str">
        <x:v>proposal.collection.ancient_plasteel_flexure_joint</x:v>
      </x:c>
      <x:c r="B777" s="4" t="str">
        <x:f>IFERROR(INDEX('Items'!$B$6:$B$1005,MATCH(A777,'Items'!$A$6:$A$1005,0)),"MISSING ID")</x:f>
        <x:v>Ancient plasteel flexure joint</x:v>
      </x:c>
      <x:c r="C777" s="4" t="str">
        <x:f>IFERROR(INDEX('Items'!$D$6:$D$1005,MATCH(A777,'Items'!$A$6:$A$1005,0)),"MISSING ID")</x:f>
        <x:v>Ancient salvage</x:v>
      </x:c>
      <x:c r="D777" s="4" t="str">
        <x:v>Primary</x:v>
      </x:c>
      <x:c r="E777" s="4" t="str">
        <x:f>IFERROR(INDEX('Items'!$AA$6:$AA$1005,MATCH(A777,'Items'!$A$6:$A$1005,0)),"MISSING ID")</x:f>
        <x:v>Machinery repair</x:v>
      </x:c>
      <x:c r="F777" s="4" t="str">
        <x:v>Collection proposal: Recovered compliant machine joint requiring a matched interface</x:v>
      </x:c>
    </x:row>
    <x:row r="778" ht="64" customHeight="1">
      <x:c r="A778" s="4" t="str">
        <x:v>proposal.collection.ancient_microservo_cartridge</x:v>
      </x:c>
      <x:c r="B778" s="4" t="str">
        <x:f>IFERROR(INDEX('Items'!$B$6:$B$1005,MATCH(A778,'Items'!$A$6:$A$1005,0)),"MISSING ID")</x:f>
        <x:v>Ancient microservo cartridge</x:v>
      </x:c>
      <x:c r="C778" s="4" t="str">
        <x:f>IFERROR(INDEX('Items'!$D$6:$D$1005,MATCH(A778,'Items'!$A$6:$A$1005,0)),"MISSING ID")</x:f>
        <x:v>Ancient salvage</x:v>
      </x:c>
      <x:c r="D778" s="4" t="str">
        <x:v>Primary</x:v>
      </x:c>
      <x:c r="E778" s="4" t="str">
        <x:f>IFERROR(INDEX('Items'!$AA$6:$AA$1005,MATCH(A778,'Items'!$A$6:$A$1005,0)),"MISSING ID")</x:f>
        <x:v>Machinery repair</x:v>
      </x:c>
      <x:c r="F778" s="4" t="str">
        <x:v>Collection proposal: Sealed miniature actuator of unknown power and control needs</x:v>
      </x:c>
    </x:row>
    <x:row r="779" ht="64" customHeight="1">
      <x:c r="A779" s="4" t="str">
        <x:v>proposal.collection.ancient_self_aligning_optical_cradle</x:v>
      </x:c>
      <x:c r="B779" s="4" t="str">
        <x:f>IFERROR(INDEX('Items'!$B$6:$B$1005,MATCH(A779,'Items'!$A$6:$A$1005,0)),"MISSING ID")</x:f>
        <x:v>Ancient self-aligning optical cradle</x:v>
      </x:c>
      <x:c r="C779" s="4" t="str">
        <x:f>IFERROR(INDEX('Items'!$D$6:$D$1005,MATCH(A779,'Items'!$A$6:$A$1005,0)),"MISSING ID")</x:f>
        <x:v>Ancient salvage</x:v>
      </x:c>
      <x:c r="D779" s="4" t="str">
        <x:v>Primary</x:v>
      </x:c>
      <x:c r="E779" s="4" t="str">
        <x:f>IFERROR(INDEX('Items'!$AA$6:$AA$1005,MATCH(A779,'Items'!$A$6:$A$1005,0)),"MISSING ID")</x:f>
        <x:v>Machinery repair</x:v>
      </x:c>
      <x:c r="F779" s="4" t="str">
        <x:v>Collection proposal: Recovered precision optical positioning part</x:v>
      </x:c>
    </x:row>
    <x:row r="780" ht="64" customHeight="1">
      <x:c r="A780" s="4" t="str">
        <x:v>proposal.collection.ancient_superconducting_bus_link</x:v>
      </x:c>
      <x:c r="B780" s="4" t="str">
        <x:f>IFERROR(INDEX('Items'!$B$6:$B$1005,MATCH(A780,'Items'!$A$6:$A$1005,0)),"MISSING ID")</x:f>
        <x:v>Ancient superconducting bus link</x:v>
      </x:c>
      <x:c r="C780" s="4" t="str">
        <x:f>IFERROR(INDEX('Items'!$D$6:$D$1005,MATCH(A780,'Items'!$A$6:$A$1005,0)),"MISSING ID")</x:f>
        <x:v>Ancient salvage</x:v>
      </x:c>
      <x:c r="D780" s="4" t="str">
        <x:v>Primary</x:v>
      </x:c>
      <x:c r="E780" s="4" t="str">
        <x:f>IFERROR(INDEX('Items'!$AA$6:$AA$1005,MATCH(A780,'Items'!$A$6:$A$1005,0)),"MISSING ID")</x:f>
        <x:v>Machinery repair</x:v>
      </x:c>
      <x:c r="F780" s="4" t="str">
        <x:v>Collection proposal: Hypothetical recovered low-loss conductor with unknown operating conditions</x:v>
      </x:c>
    </x:row>
    <x:row r="781" ht="64" customHeight="1">
      <x:c r="A781" s="4" t="str">
        <x:v>proposal.collection.ancient_field_shaping_lattice</x:v>
      </x:c>
      <x:c r="B781" s="4" t="str">
        <x:f>IFERROR(INDEX('Items'!$B$6:$B$1005,MATCH(A781,'Items'!$A$6:$A$1005,0)),"MISSING ID")</x:f>
        <x:v>Ancient field-shaping lattice</x:v>
      </x:c>
      <x:c r="C781" s="4" t="str">
        <x:f>IFERROR(INDEX('Items'!$D$6:$D$1005,MATCH(A781,'Items'!$A$6:$A$1005,0)),"MISSING ID")</x:f>
        <x:v>Ancient salvage</x:v>
      </x:c>
      <x:c r="D781" s="4" t="str">
        <x:v>Primary</x:v>
      </x:c>
      <x:c r="E781" s="4" t="str">
        <x:f>IFERROR(INDEX('Items'!$AA$6:$AA$1005,MATCH(A781,'Items'!$A$6:$A$1005,0)),"MISSING ID")</x:f>
        <x:v>Machinery repair</x:v>
      </x:c>
      <x:c r="F781" s="4" t="str">
        <x:v>Collection proposal: Recovered field-control geometry with undefined behavior</x:v>
      </x:c>
    </x:row>
    <x:row r="782" ht="64" customHeight="1">
      <x:c r="A782" s="4" t="str">
        <x:v>proposal.collection.ancient_phase_memory_logic_tile</x:v>
      </x:c>
      <x:c r="B782" s="4" t="str">
        <x:f>IFERROR(INDEX('Items'!$B$6:$B$1005,MATCH(A782,'Items'!$A$6:$A$1005,0)),"MISSING ID")</x:f>
        <x:v>Ancient phase-memory logic tile</x:v>
      </x:c>
      <x:c r="C782" s="4" t="str">
        <x:f>IFERROR(INDEX('Items'!$D$6:$D$1005,MATCH(A782,'Items'!$A$6:$A$1005,0)),"MISSING ID")</x:f>
        <x:v>Ancient salvage</x:v>
      </x:c>
      <x:c r="D782" s="4" t="str">
        <x:v>Primary</x:v>
      </x:c>
      <x:c r="E782" s="4" t="str">
        <x:f>IFERROR(INDEX('Items'!$AA$6:$AA$1005,MATCH(A782,'Items'!$A$6:$A$1005,0)),"MISSING ID")</x:f>
        <x:v>Machinery repair</x:v>
      </x:c>
      <x:c r="F782" s="4" t="str">
        <x:v>Collection proposal: Fantasy recovered control element whose encoding is unresolved</x:v>
      </x:c>
    </x:row>
    <x:row r="783" ht="64" customHeight="1">
      <x:c r="A783" s="4" t="str">
        <x:v>proposal.collection.ancient_machine_identity_wafer</x:v>
      </x:c>
      <x:c r="B783" s="4" t="str">
        <x:f>IFERROR(INDEX('Items'!$B$6:$B$1005,MATCH(A783,'Items'!$A$6:$A$1005,0)),"MISSING ID")</x:f>
        <x:v>Ancient machine identity wafer</x:v>
      </x:c>
      <x:c r="C783" s="4" t="str">
        <x:f>IFERROR(INDEX('Items'!$D$6:$D$1005,MATCH(A783,'Items'!$A$6:$A$1005,0)),"MISSING ID")</x:f>
        <x:v>Ancient salvage</x:v>
      </x:c>
      <x:c r="D783" s="4" t="str">
        <x:v>Primary</x:v>
      </x:c>
      <x:c r="E783" s="4" t="str">
        <x:f>IFERROR(INDEX('Items'!$AA$6:$AA$1005,MATCH(A783,'Items'!$A$6:$A$1005,0)),"MISSING ID")</x:f>
        <x:v>Machinery repair</x:v>
      </x:c>
      <x:c r="F783" s="4" t="str">
        <x:v>Collection proposal: Recovered machine recognition element, function unconfirmed</x:v>
      </x:c>
    </x:row>
    <x:row r="784" ht="64" customHeight="1">
      <x:c r="A784" s="4" t="str">
        <x:v>proposal.collection.ancient_inertial_reference_sphere</x:v>
      </x:c>
      <x:c r="B784" s="4" t="str">
        <x:f>IFERROR(INDEX('Items'!$B$6:$B$1005,MATCH(A784,'Items'!$A$6:$A$1005,0)),"MISSING ID")</x:f>
        <x:v>Ancient inertial reference sphere</x:v>
      </x:c>
      <x:c r="C784" s="4" t="str">
        <x:f>IFERROR(INDEX('Items'!$D$6:$D$1005,MATCH(A784,'Items'!$A$6:$A$1005,0)),"MISSING ID")</x:f>
        <x:v>Ancient salvage</x:v>
      </x:c>
      <x:c r="D784" s="4" t="str">
        <x:v>Primary</x:v>
      </x:c>
      <x:c r="E784" s="4" t="str">
        <x:f>IFERROR(INDEX('Items'!$AA$6:$AA$1005,MATCH(A784,'Items'!$A$6:$A$1005,0)),"MISSING ID")</x:f>
        <x:v>Machinery repair</x:v>
      </x:c>
      <x:c r="F784" s="4" t="str">
        <x:v>Collection proposal: Recovered navigation reference component</x:v>
      </x:c>
    </x:row>
    <x:row r="785" ht="64" customHeight="1">
      <x:c r="A785" s="4" t="str">
        <x:v>proposal.collection.ancient_vacuum_sealed_sensor_eye</x:v>
      </x:c>
      <x:c r="B785" s="4" t="str">
        <x:f>IFERROR(INDEX('Items'!$B$6:$B$1005,MATCH(A785,'Items'!$A$6:$A$1005,0)),"MISSING ID")</x:f>
        <x:v>Ancient vacuum-sealed sensor eye</x:v>
      </x:c>
      <x:c r="C785" s="4" t="str">
        <x:f>IFERROR(INDEX('Items'!$D$6:$D$1005,MATCH(A785,'Items'!$A$6:$A$1005,0)),"MISSING ID")</x:f>
        <x:v>Ancient salvage</x:v>
      </x:c>
      <x:c r="D785" s="4" t="str">
        <x:v>Primary</x:v>
      </x:c>
      <x:c r="E785" s="4" t="str">
        <x:f>IFERROR(INDEX('Items'!$AA$6:$AA$1005,MATCH(A785,'Items'!$A$6:$A$1005,0)),"MISSING ID")</x:f>
        <x:v>Machinery repair</x:v>
      </x:c>
      <x:c r="F785" s="4" t="str">
        <x:v>Collection proposal: Recovered optical or field-sensing package</x:v>
      </x:c>
    </x:row>
    <x:row r="786" ht="64" customHeight="1">
      <x:c r="A786" s="4" t="str">
        <x:v>proposal.collection.ancient_force_distribution_mesh</x:v>
      </x:c>
      <x:c r="B786" s="4" t="str">
        <x:f>IFERROR(INDEX('Items'!$B$6:$B$1005,MATCH(A786,'Items'!$A$6:$A$1005,0)),"MISSING ID")</x:f>
        <x:v>Ancient force-distribution mesh</x:v>
      </x:c>
      <x:c r="C786" s="4" t="str">
        <x:f>IFERROR(INDEX('Items'!$D$6:$D$1005,MATCH(A786,'Items'!$A$6:$A$1005,0)),"MISSING ID")</x:f>
        <x:v>Ancient salvage</x:v>
      </x:c>
      <x:c r="D786" s="4" t="str">
        <x:v>Primary</x:v>
      </x:c>
      <x:c r="E786" s="4" t="str">
        <x:f>IFERROR(INDEX('Items'!$AA$6:$AA$1005,MATCH(A786,'Items'!$A$6:$A$1005,0)),"MISSING ID")</x:f>
        <x:v>Machinery repair</x:v>
      </x:c>
      <x:c r="F786" s="4" t="str">
        <x:v>Collection proposal: Recovered load-spreading machine insert</x:v>
      </x:c>
    </x:row>
    <x:row r="787" ht="64" customHeight="1">
      <x:c r="A787" s="4" t="str">
        <x:v>proposal.collection.ancient_beam_focusing_crystal_mount</x:v>
      </x:c>
      <x:c r="B787" s="4" t="str">
        <x:f>IFERROR(INDEX('Items'!$B$6:$B$1005,MATCH(A787,'Items'!$A$6:$A$1005,0)),"MISSING ID")</x:f>
        <x:v>Ancient beam-focusing crystal mount</x:v>
      </x:c>
      <x:c r="C787" s="4" t="str">
        <x:f>IFERROR(INDEX('Items'!$D$6:$D$1005,MATCH(A787,'Items'!$A$6:$A$1005,0)),"MISSING ID")</x:f>
        <x:v>Ancient salvage</x:v>
      </x:c>
      <x:c r="D787" s="4" t="str">
        <x:v>Primary</x:v>
      </x:c>
      <x:c r="E787" s="4" t="str">
        <x:f>IFERROR(INDEX('Items'!$AA$6:$AA$1005,MATCH(A787,'Items'!$A$6:$A$1005,0)),"MISSING ID")</x:f>
        <x:v>Machinery repair</x:v>
      </x:c>
      <x:c r="F787" s="4" t="str">
        <x:v>Collection proposal: Recovered energy-weapon optical seat</x:v>
      </x:c>
    </x:row>
    <x:row r="788" ht="64" customHeight="1">
      <x:c r="A788" s="4" t="str">
        <x:v>proposal.collection.ancient_magnetic_containment_yoke</x:v>
      </x:c>
      <x:c r="B788" s="4" t="str">
        <x:f>IFERROR(INDEX('Items'!$B$6:$B$1005,MATCH(A788,'Items'!$A$6:$A$1005,0)),"MISSING ID")</x:f>
        <x:v>Ancient magnetic containment yoke</x:v>
      </x:c>
      <x:c r="C788" s="4" t="str">
        <x:f>IFERROR(INDEX('Items'!$D$6:$D$1005,MATCH(A788,'Items'!$A$6:$A$1005,0)),"MISSING ID")</x:f>
        <x:v>Ancient salvage</x:v>
      </x:c>
      <x:c r="D788" s="4" t="str">
        <x:v>Primary</x:v>
      </x:c>
      <x:c r="E788" s="4" t="str">
        <x:f>IFERROR(INDEX('Items'!$AA$6:$AA$1005,MATCH(A788,'Items'!$A$6:$A$1005,0)),"MISSING ID")</x:f>
        <x:v>Machinery repair</x:v>
      </x:c>
      <x:c r="F788" s="4" t="str">
        <x:v>Collection proposal: Recovered containment component without a working reproduction</x:v>
      </x:c>
    </x:row>
    <x:row r="789" ht="64" customHeight="1">
      <x:c r="A789" s="4" t="str">
        <x:v>proposal.collection.ancient_adaptive_seal_actuator</x:v>
      </x:c>
      <x:c r="B789" s="4" t="str">
        <x:f>IFERROR(INDEX('Items'!$B$6:$B$1005,MATCH(A789,'Items'!$A$6:$A$1005,0)),"MISSING ID")</x:f>
        <x:v>Ancient adaptive seal actuator</x:v>
      </x:c>
      <x:c r="C789" s="4" t="str">
        <x:f>IFERROR(INDEX('Items'!$D$6:$D$1005,MATCH(A789,'Items'!$A$6:$A$1005,0)),"MISSING ID")</x:f>
        <x:v>Ancient salvage</x:v>
      </x:c>
      <x:c r="D789" s="4" t="str">
        <x:v>Primary</x:v>
      </x:c>
      <x:c r="E789" s="4" t="str">
        <x:f>IFERROR(INDEX('Items'!$AA$6:$AA$1005,MATCH(A789,'Items'!$A$6:$A$1005,0)),"MISSING ID")</x:f>
        <x:v>Machinery repair</x:v>
      </x:c>
      <x:c r="F789" s="4" t="str">
        <x:v>Collection proposal: Recovered powered seal adjuster with unknown control needs</x:v>
      </x:c>
    </x:row>
    <x:row r="790" ht="64" customHeight="1">
      <x:c r="A790" s="4" t="str">
        <x:v>proposal.collection.ancient_microfluidic_routing_plate</x:v>
      </x:c>
      <x:c r="B790" s="4" t="str">
        <x:f>IFERROR(INDEX('Items'!$B$6:$B$1005,MATCH(A790,'Items'!$A$6:$A$1005,0)),"MISSING ID")</x:f>
        <x:v>Ancient microfluidic routing plate</x:v>
      </x:c>
      <x:c r="C790" s="4" t="str">
        <x:f>IFERROR(INDEX('Items'!$D$6:$D$1005,MATCH(A790,'Items'!$A$6:$A$1005,0)),"MISSING ID")</x:f>
        <x:v>Ancient salvage</x:v>
      </x:c>
      <x:c r="D790" s="4" t="str">
        <x:v>Primary</x:v>
      </x:c>
      <x:c r="E790" s="4" t="str">
        <x:f>IFERROR(INDEX('Items'!$AA$6:$AA$1005,MATCH(A790,'Items'!$A$6:$A$1005,0)),"MISSING ID")</x:f>
        <x:v>Machinery repair</x:v>
      </x:c>
      <x:c r="F790" s="4" t="str">
        <x:v>Collection proposal: Recovered precision internal liquid-routing manifold</x:v>
      </x:c>
    </x:row>
    <x:row r="791" ht="64" customHeight="1">
      <x:c r="A791" s="4" t="str">
        <x:v>proposal.collection.metal_shaft_hunting_spear</x:v>
      </x:c>
      <x:c r="B791" s="4" t="str">
        <x:f>IFERROR(INDEX('Items'!$B$6:$B$1005,MATCH(A791,'Items'!$A$6:$A$1005,0)),"MISSING ID")</x:f>
        <x:v>Metal-shaft hunting spear</x:v>
      </x:c>
      <x:c r="C791" s="4" t="str">
        <x:f>IFERROR(INDEX('Items'!$D$6:$D$1005,MATCH(A791,'Items'!$A$6:$A$1005,0)),"MISSING ID")</x:f>
        <x:v>Weapons</x:v>
      </x:c>
      <x:c r="D791" s="4" t="str">
        <x:v>Primary</x:v>
      </x:c>
      <x:c r="E791" s="4" t="str">
        <x:f>IFERROR(INDEX('Items'!$AA$6:$AA$1005,MATCH(A791,'Items'!$A$6:$A$1005,0)),"MISSING ID")</x:f>
        <x:v>Offensive combat</x:v>
      </x:c>
      <x:c r="F791" s="4" t="str">
        <x:v>Collection proposal: Reusable close-range thrusting weapon</x:v>
      </x:c>
    </x:row>
    <x:row r="792" ht="64" customHeight="1">
      <x:c r="A792" s="4" t="str">
        <x:v>proposal.collection.shell_edged_glaive</x:v>
      </x:c>
      <x:c r="B792" s="4" t="str">
        <x:f>IFERROR(INDEX('Items'!$B$6:$B$1005,MATCH(A792,'Items'!$A$6:$A$1005,0)),"MISSING ID")</x:f>
        <x:v>Shell-edged glaive</x:v>
      </x:c>
      <x:c r="C792" s="4" t="str">
        <x:f>IFERROR(INDEX('Items'!$D$6:$D$1005,MATCH(A792,'Items'!$A$6:$A$1005,0)),"MISSING ID")</x:f>
        <x:v>Weapons</x:v>
      </x:c>
      <x:c r="D792" s="4" t="str">
        <x:v>Primary</x:v>
      </x:c>
      <x:c r="E792" s="4" t="str">
        <x:f>IFERROR(INDEX('Items'!$AA$6:$AA$1005,MATCH(A792,'Items'!$A$6:$A$1005,0)),"MISSING ID")</x:f>
        <x:v>Offensive combat</x:v>
      </x:c>
      <x:c r="F792" s="4" t="str">
        <x:v>Collection proposal: Long cutting weapon with replaceable hard-part edge</x:v>
      </x:c>
    </x:row>
    <x:row r="793" ht="64" customHeight="1">
      <x:c r="A793" s="4"/>
      <x:c r="B793" s="4"/>
      <x:c r="C793" s="4"/>
      <x:c r="D793" s="4"/>
      <x:c r="E793" s="4"/>
      <x:c r="F793" s="4"/>
    </x:row>
    <x:row r="794" ht="64" customHeight="1">
      <x:c r="A794" s="4" t="str">
        <x:v>proposal.collection.steel_salvage_cleaver</x:v>
      </x:c>
      <x:c r="B794" s="4" t="str">
        <x:f>IFERROR(INDEX('Items'!$B$6:$B$1005,MATCH(A794,'Items'!$A$6:$A$1005,0)),"MISSING ID")</x:f>
        <x:v>Steel salvage cleaver</x:v>
      </x:c>
      <x:c r="C794" s="4" t="str">
        <x:f>IFERROR(INDEX('Items'!$D$6:$D$1005,MATCH(A794,'Items'!$A$6:$A$1005,0)),"MISSING ID")</x:f>
        <x:v>Weapons</x:v>
      </x:c>
      <x:c r="D794" s="4" t="str">
        <x:v>Primary</x:v>
      </x:c>
      <x:c r="E794" s="4" t="str">
        <x:f>IFERROR(INDEX('Items'!$AA$6:$AA$1005,MATCH(A794,'Items'!$A$6:$A$1005,0)),"MISSING ID")</x:f>
        <x:v>Offensive combat</x:v>
      </x:c>
      <x:c r="F794" s="4" t="str">
        <x:v>Collection proposal: Heavy cutting weapon built around a replaceable metal edge</x:v>
      </x:c>
    </x:row>
    <x:row r="795" ht="64" customHeight="1">
      <x:c r="A795" s="4" t="str">
        <x:v>proposal.collection.hooked_catchstaff</x:v>
      </x:c>
      <x:c r="B795" s="4" t="str">
        <x:f>IFERROR(INDEX('Items'!$B$6:$B$1005,MATCH(A795,'Items'!$A$6:$A$1005,0)),"MISSING ID")</x:f>
        <x:v>Hooked catchstaff</x:v>
      </x:c>
      <x:c r="C795" s="4" t="str">
        <x:f>IFERROR(INDEX('Items'!$D$6:$D$1005,MATCH(A795,'Items'!$A$6:$A$1005,0)),"MISSING ID")</x:f>
        <x:v>Weapons</x:v>
      </x:c>
      <x:c r="D795" s="4" t="str">
        <x:v>Primary</x:v>
      </x:c>
      <x:c r="E795" s="4" t="str">
        <x:f>IFERROR(INDEX('Items'!$AA$6:$AA$1005,MATCH(A795,'Items'!$A$6:$A$1005,0)),"MISSING ID")</x:f>
        <x:v>Offensive combat</x:v>
      </x:c>
      <x:c r="F795" s="4" t="str">
        <x:v>Collection proposal: Hooked pole weapon for control and obstruction</x:v>
      </x:c>
    </x:row>
    <x:row r="796" ht="64" customHeight="1">
      <x:c r="A796" s="4" t="str">
        <x:v>proposal.collection.tendon_pouch_sling</x:v>
      </x:c>
      <x:c r="B796" s="4" t="str">
        <x:f>IFERROR(INDEX('Items'!$B$6:$B$1005,MATCH(A796,'Items'!$A$6:$A$1005,0)),"MISSING ID")</x:f>
        <x:v>Tendon-pouch sling</x:v>
      </x:c>
      <x:c r="C796" s="4" t="str">
        <x:f>IFERROR(INDEX('Items'!$D$6:$D$1005,MATCH(A796,'Items'!$A$6:$A$1005,0)),"MISSING ID")</x:f>
        <x:v>Weapons</x:v>
      </x:c>
      <x:c r="D796" s="4" t="str">
        <x:v>Primary</x:v>
      </x:c>
      <x:c r="E796" s="4" t="str">
        <x:f>IFERROR(INDEX('Items'!$AA$6:$AA$1005,MATCH(A796,'Items'!$A$6:$A$1005,0)),"MISSING ID")</x:f>
        <x:v>Offensive combat</x:v>
      </x:c>
      <x:c r="F796" s="4" t="str">
        <x:v>Collection proposal: Throws shaped pellets using scarce prepared biological material</x:v>
      </x:c>
    </x:row>
    <x:row r="797" ht="64" customHeight="1">
      <x:c r="A797" s="4" t="str">
        <x:v>proposal.collection.steel_limbed_crossbow</x:v>
      </x:c>
      <x:c r="B797" s="4" t="str">
        <x:f>IFERROR(INDEX('Items'!$B$6:$B$1005,MATCH(A797,'Items'!$A$6:$A$1005,0)),"MISSING ID")</x:f>
        <x:v>Steel-limbed crossbow</x:v>
      </x:c>
      <x:c r="C797" s="4" t="str">
        <x:f>IFERROR(INDEX('Items'!$D$6:$D$1005,MATCH(A797,'Items'!$A$6:$A$1005,0)),"MISSING ID")</x:f>
        <x:v>Weapons</x:v>
      </x:c>
      <x:c r="D797" s="4" t="str">
        <x:v>Primary</x:v>
      </x:c>
      <x:c r="E797" s="4" t="str">
        <x:f>IFERROR(INDEX('Items'!$AA$6:$AA$1005,MATCH(A797,'Items'!$A$6:$A$1005,0)),"MISSING ID")</x:f>
        <x:v>Offensive combat</x:v>
      </x:c>
      <x:c r="F797" s="4" t="str">
        <x:v>Collection proposal: Slow mechanical bolt launcher with metal limbs</x:v>
      </x:c>
    </x:row>
    <x:row r="798" ht="64" customHeight="1">
      <x:c r="A798" s="4" t="str">
        <x:v>proposal.collection.crank_wound_siege_bow</x:v>
      </x:c>
      <x:c r="B798" s="4" t="str">
        <x:f>IFERROR(INDEX('Items'!$B$6:$B$1005,MATCH(A798,'Items'!$A$6:$A$1005,0)),"MISSING ID")</x:f>
        <x:v>Crank-wound siege bow</x:v>
      </x:c>
      <x:c r="C798" s="4" t="str">
        <x:f>IFERROR(INDEX('Items'!$D$6:$D$1005,MATCH(A798,'Items'!$A$6:$A$1005,0)),"MISSING ID")</x:f>
        <x:v>Weapons</x:v>
      </x:c>
      <x:c r="D798" s="4" t="str">
        <x:v>Primary</x:v>
      </x:c>
      <x:c r="E798" s="4" t="str">
        <x:f>IFERROR(INDEX('Items'!$AA$6:$AA$1005,MATCH(A798,'Items'!$A$6:$A$1005,0)),"MISSING ID")</x:f>
        <x:v>Offensive combat</x:v>
      </x:c>
      <x:c r="F798" s="4" t="str">
        <x:v>Collection proposal: Heavy portable emplacement launcher, transport limits unresolved</x:v>
      </x:c>
    </x:row>
    <x:row r="799" ht="64" customHeight="1">
      <x:c r="A799" s="4"/>
      <x:c r="B799" s="4"/>
      <x:c r="C799" s="4"/>
      <x:c r="D799" s="4"/>
      <x:c r="E799" s="4"/>
      <x:c r="F799" s="4"/>
    </x:row>
    <x:row r="800" ht="64" customHeight="1">
      <x:c r="A800" s="4" t="str">
        <x:v>proposal.collection.pressure_rivet_launcher</x:v>
      </x:c>
      <x:c r="B800" s="4" t="str">
        <x:f>IFERROR(INDEX('Items'!$B$6:$B$1005,MATCH(A800,'Items'!$A$6:$A$1005,0)),"MISSING ID")</x:f>
        <x:v>Pressure rivet launcher</x:v>
      </x:c>
      <x:c r="C800" s="4" t="str">
        <x:f>IFERROR(INDEX('Items'!$D$6:$D$1005,MATCH(A800,'Items'!$A$6:$A$1005,0)),"MISSING ID")</x:f>
        <x:v>Weapons</x:v>
      </x:c>
      <x:c r="D800" s="4" t="str">
        <x:v>Primary</x:v>
      </x:c>
      <x:c r="E800" s="4" t="str">
        <x:f>IFERROR(INDEX('Items'!$AA$6:$AA$1005,MATCH(A800,'Items'!$A$6:$A$1005,0)),"MISSING ID")</x:f>
        <x:v>Offensive combat</x:v>
      </x:c>
      <x:c r="F800" s="4" t="str">
        <x:v>Collection proposal: Crude machine-derived pressure launcher, working medium unresolved</x:v>
      </x:c>
    </x:row>
    <x:row r="801" ht="64" customHeight="1">
      <x:c r="A801" s="4" t="str">
        <x:v>proposal.collection.magnetic_dart_projector</x:v>
      </x:c>
      <x:c r="B801" s="4" t="str">
        <x:f>IFERROR(INDEX('Items'!$B$6:$B$1005,MATCH(A801,'Items'!$A$6:$A$1005,0)),"MISSING ID")</x:f>
        <x:v>Magnetic dart projector</x:v>
      </x:c>
      <x:c r="C801" s="4" t="str">
        <x:f>IFERROR(INDEX('Items'!$D$6:$D$1005,MATCH(A801,'Items'!$A$6:$A$1005,0)),"MISSING ID")</x:f>
        <x:v>Weapons</x:v>
      </x:c>
      <x:c r="D801" s="4" t="str">
        <x:v>Primary</x:v>
      </x:c>
      <x:c r="E801" s="4" t="str">
        <x:f>IFERROR(INDEX('Items'!$AA$6:$AA$1005,MATCH(A801,'Items'!$A$6:$A$1005,0)),"MISSING ID")</x:f>
        <x:v>Offensive combat</x:v>
      </x:c>
      <x:c r="F801" s="4" t="str">
        <x:v>Collection proposal: Experimental field-driven dart weapon, performance unresolved</x:v>
      </x:c>
    </x:row>
    <x:row r="802" ht="64" customHeight="1">
      <x:c r="A802" s="4" t="str">
        <x:v>proposal.collection.coil_slug_carbine</x:v>
      </x:c>
      <x:c r="B802" s="4" t="str">
        <x:f>IFERROR(INDEX('Items'!$B$6:$B$1005,MATCH(A802,'Items'!$A$6:$A$1005,0)),"MISSING ID")</x:f>
        <x:v>Coil slug carbine</x:v>
      </x:c>
      <x:c r="C802" s="4" t="str">
        <x:f>IFERROR(INDEX('Items'!$D$6:$D$1005,MATCH(A802,'Items'!$A$6:$A$1005,0)),"MISSING ID")</x:f>
        <x:v>Weapons</x:v>
      </x:c>
      <x:c r="D802" s="4" t="str">
        <x:v>Primary</x:v>
      </x:c>
      <x:c r="E802" s="4" t="str">
        <x:f>IFERROR(INDEX('Items'!$AA$6:$AA$1005,MATCH(A802,'Items'!$A$6:$A$1005,0)),"MISSING ID")</x:f>
        <x:v>Offensive combat</x:v>
      </x:c>
      <x:c r="F802" s="4" t="str">
        <x:v>Collection proposal: Bulky reverse-engineering proposal with power demands unresolved</x:v>
      </x:c>
    </x:row>
    <x:row r="803" ht="64" customHeight="1">
      <x:c r="A803" s="4" t="str">
        <x:v>proposal.collection.ancient_pulse_rifle</x:v>
      </x:c>
      <x:c r="B803" s="4" t="str">
        <x:f>IFERROR(INDEX('Items'!$B$6:$B$1005,MATCH(A803,'Items'!$A$6:$A$1005,0)),"MISSING ID")</x:f>
        <x:v>Ancient pulse rifle</x:v>
      </x:c>
      <x:c r="C803" s="4" t="str">
        <x:f>IFERROR(INDEX('Items'!$D$6:$D$1005,MATCH(A803,'Items'!$A$6:$A$1005,0)),"MISSING ID")</x:f>
        <x:v>Weapons</x:v>
      </x:c>
      <x:c r="D803" s="4" t="str">
        <x:v>Primary</x:v>
      </x:c>
      <x:c r="E803" s="4" t="str">
        <x:f>IFERROR(INDEX('Items'!$AA$6:$AA$1005,MATCH(A803,'Items'!$A$6:$A$1005,0)),"MISSING ID")</x:f>
        <x:v>Offensive combat</x:v>
      </x:c>
      <x:c r="F803" s="4" t="str">
        <x:v>Collection proposal: Rare recovered pulsed-energy weapon; firing mechanism unresolved</x:v>
      </x:c>
    </x:row>
    <x:row r="804" ht="64" customHeight="1">
      <x:c r="A804" s="4" t="str">
        <x:v>proposal.collection.ancient_plasma_lance</x:v>
      </x:c>
      <x:c r="B804" s="4" t="str">
        <x:f>IFERROR(INDEX('Items'!$B$6:$B$1005,MATCH(A804,'Items'!$A$6:$A$1005,0)),"MISSING ID")</x:f>
        <x:v>Ancient plasma lance</x:v>
      </x:c>
      <x:c r="C804" s="4" t="str">
        <x:f>IFERROR(INDEX('Items'!$D$6:$D$1005,MATCH(A804,'Items'!$A$6:$A$1005,0)),"MISSING ID")</x:f>
        <x:v>Weapons</x:v>
      </x:c>
      <x:c r="D804" s="4" t="str">
        <x:v>Primary</x:v>
      </x:c>
      <x:c r="E804" s="4" t="str">
        <x:f>IFERROR(INDEX('Items'!$AA$6:$AA$1005,MATCH(A804,'Items'!$A$6:$A$1005,0)),"MISSING ID")</x:f>
        <x:v>Offensive combat</x:v>
      </x:c>
      <x:c r="F804" s="4" t="str">
        <x:v>Collection proposal: Rare recovered short-range energy weapon; containment unresolved</x:v>
      </x:c>
    </x:row>
    <x:row r="805" ht="64" customHeight="1">
      <x:c r="A805" s="4" t="str">
        <x:v>proposal.collection.ancient_microrocket_pod</x:v>
      </x:c>
      <x:c r="B805" s="4" t="str">
        <x:f>IFERROR(INDEX('Items'!$B$6:$B$1005,MATCH(A805,'Items'!$A$6:$A$1005,0)),"MISSING ID")</x:f>
        <x:v>Ancient microrocket pod</x:v>
      </x:c>
      <x:c r="C805" s="4" t="str">
        <x:f>IFERROR(INDEX('Items'!$D$6:$D$1005,MATCH(A805,'Items'!$A$6:$A$1005,0)),"MISSING ID")</x:f>
        <x:v>Weapons</x:v>
      </x:c>
      <x:c r="D805" s="4" t="str">
        <x:v>Primary</x:v>
      </x:c>
      <x:c r="E805" s="4" t="str">
        <x:f>IFERROR(INDEX('Items'!$AA$6:$AA$1005,MATCH(A805,'Items'!$A$6:$A$1005,0)),"MISSING ID")</x:f>
        <x:v>Offensive combat</x:v>
      </x:c>
      <x:c r="F805" s="4" t="str">
        <x:v>Collection proposal: Recovered multi-shot launcher with matched ancient rounds</x:v>
      </x:c>
    </x:row>
    <x:row r="806" ht="64" customHeight="1">
      <x:c r="A806" s="4" t="str">
        <x:v>proposal.collection.ancient_sonic_disruptor</x:v>
      </x:c>
      <x:c r="B806" s="4" t="str">
        <x:f>IFERROR(INDEX('Items'!$B$6:$B$1005,MATCH(A806,'Items'!$A$6:$A$1005,0)),"MISSING ID")</x:f>
        <x:v>Ancient sonic disruptor</x:v>
      </x:c>
      <x:c r="C806" s="4" t="str">
        <x:f>IFERROR(INDEX('Items'!$D$6:$D$1005,MATCH(A806,'Items'!$A$6:$A$1005,0)),"MISSING ID")</x:f>
        <x:v>Weapons</x:v>
      </x:c>
      <x:c r="D806" s="4" t="str">
        <x:v>Primary</x:v>
      </x:c>
      <x:c r="E806" s="4" t="str">
        <x:f>IFERROR(INDEX('Items'!$AA$6:$AA$1005,MATCH(A806,'Items'!$A$6:$A$1005,0)),"MISSING ID")</x:f>
        <x:v>Offensive combat</x:v>
      </x:c>
      <x:c r="F806" s="4" t="str">
        <x:v>Collection proposal: Fantasy recovered acoustic weapon, limits and effects unresolved</x:v>
      </x:c>
    </x:row>
    <x:row r="807" ht="64" customHeight="1">
      <x:c r="A807" s="4" t="str">
        <x:v>proposal.collection.drained_culinary_phagia_curd</x:v>
      </x:c>
      <x:c r="B807" s="4" t="str">
        <x:f>IFERROR(INDEX('Items'!$B$6:$B$1005,MATCH(A807,'Items'!$A$6:$A$1005,0)),"MISSING ID")</x:f>
        <x:v>Drained culinary Phagia curd</x:v>
      </x:c>
      <x:c r="C807" s="4" t="str">
        <x:f>IFERROR(INDEX('Items'!$D$6:$D$1005,MATCH(A807,'Items'!$A$6:$A$1005,0)),"MISSING ID")</x:f>
        <x:v>Cooking ingredients</x:v>
      </x:c>
      <x:c r="D807" s="4" t="str">
        <x:v>Primary</x:v>
      </x:c>
      <x:c r="E807" s="4" t="str">
        <x:f>IFERROR(INDEX('Items'!$AA$6:$AA$1005,MATCH(A807,'Items'!$A$6:$A$1005,0)),"MISSING ID")</x:f>
        <x:v>Food preparation</x:v>
      </x:c>
      <x:c r="F807" s="4" t="str">
        <x:v>Collection proposal: Firm meal base separated from a food-designated culture</x:v>
      </x:c>
    </x:row>
    <x:row r="808" ht="64" customHeight="1">
      <x:c r="A808" s="4" t="str">
        <x:v>proposal.collection.culinary_phagia_liquid_fraction</x:v>
      </x:c>
      <x:c r="B808" s="4" t="str">
        <x:f>IFERROR(INDEX('Items'!$B$6:$B$1005,MATCH(A808,'Items'!$A$6:$A$1005,0)),"MISSING ID")</x:f>
        <x:v>Culinary Phagia liquid fraction</x:v>
      </x:c>
      <x:c r="C808" s="4" t="str">
        <x:f>IFERROR(INDEX('Items'!$D$6:$D$1005,MATCH(A808,'Items'!$A$6:$A$1005,0)),"MISSING ID")</x:f>
        <x:v>Cooking ingredients</x:v>
      </x:c>
      <x:c r="D808" s="4" t="str">
        <x:v>Primary</x:v>
      </x:c>
      <x:c r="E808" s="4" t="str">
        <x:f>IFERROR(INDEX('Items'!$AA$6:$AA$1005,MATCH(A808,'Items'!$A$6:$A$1005,0)),"MISSING ID")</x:f>
        <x:v>Food preparation</x:v>
      </x:c>
      <x:c r="F808" s="4" t="str">
        <x:v>Collection proposal: Retained food-designated liquid for drink preparation</x:v>
      </x:c>
    </x:row>
    <x:row r="809" ht="64" customHeight="1">
      <x:c r="A809" s="4" t="str">
        <x:v>proposal.collection.fine_culinary_phagia_meal</x:v>
      </x:c>
      <x:c r="B809" s="4" t="str">
        <x:f>IFERROR(INDEX('Items'!$B$6:$B$1005,MATCH(A809,'Items'!$A$6:$A$1005,0)),"MISSING ID")</x:f>
        <x:v>Fine culinary Phagia meal</x:v>
      </x:c>
      <x:c r="C809" s="4" t="str">
        <x:f>IFERROR(INDEX('Items'!$D$6:$D$1005,MATCH(A809,'Items'!$A$6:$A$1005,0)),"MISSING ID")</x:f>
        <x:v>Cooking ingredients</x:v>
      </x:c>
      <x:c r="D809" s="4" t="str">
        <x:v>Primary</x:v>
      </x:c>
      <x:c r="E809" s="4" t="str">
        <x:f>IFERROR(INDEX('Items'!$AA$6:$AA$1005,MATCH(A809,'Items'!$A$6:$A$1005,0)),"MISSING ID")</x:f>
        <x:v>Food preparation</x:v>
      </x:c>
      <x:c r="F809" s="4" t="str">
        <x:v>Collection proposal: Dry milled food stock for bars and wafers</x:v>
      </x:c>
    </x:row>
    <x:row r="810" ht="64" customHeight="1">
      <x:c r="A810" s="4" t="str">
        <x:v>proposal.collection.pressed_culinary_phagia_flakes</x:v>
      </x:c>
      <x:c r="B810" s="4" t="str">
        <x:f>IFERROR(INDEX('Items'!$B$6:$B$1005,MATCH(A810,'Items'!$A$6:$A$1005,0)),"MISSING ID")</x:f>
        <x:v>Pressed culinary Phagia flakes</x:v>
      </x:c>
      <x:c r="C810" s="4" t="str">
        <x:f>IFERROR(INDEX('Items'!$D$6:$D$1005,MATCH(A810,'Items'!$A$6:$A$1005,0)),"MISSING ID")</x:f>
        <x:v>Cooking ingredients</x:v>
      </x:c>
      <x:c r="D810" s="4" t="str">
        <x:v>Primary</x:v>
      </x:c>
      <x:c r="E810" s="4" t="str">
        <x:f>IFERROR(INDEX('Items'!$AA$6:$AA$1005,MATCH(A810,'Items'!$A$6:$A$1005,0)),"MISSING ID")</x:f>
        <x:v>Food preparation</x:v>
      </x:c>
      <x:c r="F810" s="4" t="str">
        <x:v>Collection proposal: Thin dry food stock for layered meals</x:v>
      </x:c>
    </x:row>
    <x:row r="811" ht="64" customHeight="1">
      <x:c r="A811" s="4"/>
      <x:c r="B811" s="4"/>
      <x:c r="C811" s="4"/>
      <x:c r="D811" s="4"/>
      <x:c r="E811" s="4"/>
      <x:c r="F811" s="4"/>
    </x:row>
    <x:row r="812" ht="64" customHeight="1">
      <x:c r="A812" s="4" t="str">
        <x:v>proposal.collection.culinary_phagia_binding_paste</x:v>
      </x:c>
      <x:c r="B812" s="4" t="str">
        <x:f>IFERROR(INDEX('Items'!$B$6:$B$1005,MATCH(A812,'Items'!$A$6:$A$1005,0)),"MISSING ID")</x:f>
        <x:v>Culinary Phagia binding paste</x:v>
      </x:c>
      <x:c r="C812" s="4" t="str">
        <x:f>IFERROR(INDEX('Items'!$D$6:$D$1005,MATCH(A812,'Items'!$A$6:$A$1005,0)),"MISSING ID")</x:f>
        <x:v>Cooking ingredients</x:v>
      </x:c>
      <x:c r="D812" s="4" t="str">
        <x:v>Primary</x:v>
      </x:c>
      <x:c r="E812" s="4" t="str">
        <x:f>IFERROR(INDEX('Items'!$AA$6:$AA$1005,MATCH(A812,'Items'!$A$6:$A$1005,0)),"MISSING ID")</x:f>
        <x:v>Food preparation</x:v>
      </x:c>
      <x:c r="F812" s="4" t="str">
        <x:v>Collection proposal: Binds prepared food portions using food-designated culture</x:v>
      </x:c>
    </x:row>
    <x:row r="813" ht="64" customHeight="1">
      <x:c r="A813" s="4"/>
      <x:c r="B813" s="4"/>
      <x:c r="C813" s="4"/>
      <x:c r="D813" s="4"/>
      <x:c r="E813" s="4"/>
      <x:c r="F813" s="4"/>
    </x:row>
    <x:row r="814" ht="64" customHeight="1">
      <x:c r="A814" s="4" t="str">
        <x:v>proposal.collection.reduced_culinary_phagia_concentrate</x:v>
      </x:c>
      <x:c r="B814" s="4" t="str">
        <x:f>IFERROR(INDEX('Items'!$B$6:$B$1005,MATCH(A814,'Items'!$A$6:$A$1005,0)),"MISSING ID")</x:f>
        <x:v>Reduced culinary Phagia concentrate</x:v>
      </x:c>
      <x:c r="C814" s="4" t="str">
        <x:f>IFERROR(INDEX('Items'!$D$6:$D$1005,MATCH(A814,'Items'!$A$6:$A$1005,0)),"MISSING ID")</x:f>
        <x:v>Cooking ingredients</x:v>
      </x:c>
      <x:c r="D814" s="4" t="str">
        <x:v>Primary</x:v>
      </x:c>
      <x:c r="E814" s="4" t="str">
        <x:f>IFERROR(INDEX('Items'!$AA$6:$AA$1005,MATCH(A814,'Items'!$A$6:$A$1005,0)),"MISSING ID")</x:f>
        <x:v>Food preparation</x:v>
      </x:c>
      <x:c r="F814" s="4" t="str">
        <x:v>Collection proposal: Thick food stock from a contained separation process</x:v>
      </x:c>
    </x:row>
    <x:row r="815" ht="64" customHeight="1">
      <x:c r="A815" s="4" t="str">
        <x:v>proposal.collection.aerated_culinary_phagia_curd</x:v>
      </x:c>
      <x:c r="B815" s="4" t="str">
        <x:f>IFERROR(INDEX('Items'!$B$6:$B$1005,MATCH(A815,'Items'!$A$6:$A$1005,0)),"MISSING ID")</x:f>
        <x:v>Aerated culinary Phagia curd</x:v>
      </x:c>
      <x:c r="C815" s="4" t="str">
        <x:f>IFERROR(INDEX('Items'!$D$6:$D$1005,MATCH(A815,'Items'!$A$6:$A$1005,0)),"MISSING ID")</x:f>
        <x:v>Cooking ingredients</x:v>
      </x:c>
      <x:c r="D815" s="4" t="str">
        <x:v>Primary</x:v>
      </x:c>
      <x:c r="E815" s="4" t="str">
        <x:f>IFERROR(INDEX('Items'!$AA$6:$AA$1005,MATCH(A815,'Items'!$A$6:$A$1005,0)),"MISSING ID")</x:f>
        <x:v>Food preparation</x:v>
      </x:c>
      <x:c r="F815" s="4" t="str">
        <x:v>Collection proposal: Light-textured food stock prepared in closed equipment</x:v>
      </x:c>
    </x:row>
    <x:row r="816" ht="64" customHeight="1">
      <x:c r="A816" s="4" t="str">
        <x:v>proposal.collection.food_grade_mineral_seasoning</x:v>
      </x:c>
      <x:c r="B816" s="4" t="str">
        <x:f>IFERROR(INDEX('Items'!$B$6:$B$1005,MATCH(A816,'Items'!$A$6:$A$1005,0)),"MISSING ID")</x:f>
        <x:v>Food-grade mineral seasoning</x:v>
      </x:c>
      <x:c r="C816" s="4" t="str">
        <x:f>IFERROR(INDEX('Items'!$D$6:$D$1005,MATCH(A816,'Items'!$A$6:$A$1005,0)),"MISSING ID")</x:f>
        <x:v>Cooking ingredients</x:v>
      </x:c>
      <x:c r="D816" s="4" t="str">
        <x:v>Primary</x:v>
      </x:c>
      <x:c r="E816" s="4" t="str">
        <x:f>IFERROR(INDEX('Items'!$AA$6:$AA$1005,MATCH(A816,'Items'!$A$6:$A$1005,0)),"MISSING ID")</x:f>
        <x:v>Food preparation</x:v>
      </x:c>
      <x:c r="F816" s="4" t="str">
        <x:v>Collection proposal: Selected dietary mineral hypothesis, not industrial salt substitution</x:v>
      </x:c>
    </x:row>
    <x:row r="817" ht="64" customHeight="1">
      <x:c r="A817" s="4" t="str">
        <x:v>proposal.collection.selected_edible_fauna_gel</x:v>
      </x:c>
      <x:c r="B817" s="4" t="str">
        <x:f>IFERROR(INDEX('Items'!$B$6:$B$1005,MATCH(A817,'Items'!$A$6:$A$1005,0)),"MISSING ID")</x:f>
        <x:v>Selected edible-fauna gel</x:v>
      </x:c>
      <x:c r="C817" s="4" t="str">
        <x:f>IFERROR(INDEX('Items'!$D$6:$D$1005,MATCH(A817,'Items'!$A$6:$A$1005,0)),"MISSING ID")</x:f>
        <x:v>Cooking ingredients</x:v>
      </x:c>
      <x:c r="D817" s="4" t="str">
        <x:v>Primary</x:v>
      </x:c>
      <x:c r="E817" s="4" t="str">
        <x:f>IFERROR(INDEX('Items'!$AA$6:$AA$1005,MATCH(A817,'Items'!$A$6:$A$1005,0)),"MISSING ID")</x:f>
        <x:v>Food preparation</x:v>
      </x:c>
      <x:c r="F817" s="4" t="str">
        <x:v>Collection proposal: Species-specific texture ingredient, screening unresolved</x:v>
      </x:c>
    </x:row>
    <x:row r="818" ht="64" customHeight="1">
      <x:c r="A818" s="4" t="str">
        <x:v>proposal.collection.dried_edible_fauna_granules</x:v>
      </x:c>
      <x:c r="B818" s="4" t="str">
        <x:f>IFERROR(INDEX('Items'!$B$6:$B$1005,MATCH(A818,'Items'!$A$6:$A$1005,0)),"MISSING ID")</x:f>
        <x:v>Dried edible-fauna granules</x:v>
      </x:c>
      <x:c r="C818" s="4" t="str">
        <x:f>IFERROR(INDEX('Items'!$D$6:$D$1005,MATCH(A818,'Items'!$A$6:$A$1005,0)),"MISSING ID")</x:f>
        <x:v>Cooking ingredients</x:v>
      </x:c>
      <x:c r="D818" s="4" t="str">
        <x:v>Primary</x:v>
      </x:c>
      <x:c r="E818" s="4" t="str">
        <x:f>IFERROR(INDEX('Items'!$AA$6:$AA$1005,MATCH(A818,'Items'!$A$6:$A$1005,0)),"MISSING ID")</x:f>
        <x:v>Food preparation</x:v>
      </x:c>
      <x:c r="F818" s="4" t="str">
        <x:v>Collection proposal: Small culinary solids from a selected edible fraction</x:v>
      </x:c>
    </x:row>
    <x:row r="819" ht="64" customHeight="1">
      <x:c r="A819" s="4" t="str">
        <x:v>proposal.collection.strained_edible_fauna_broth_base</x:v>
      </x:c>
      <x:c r="B819" s="4" t="str">
        <x:f>IFERROR(INDEX('Items'!$B$6:$B$1005,MATCH(A819,'Items'!$A$6:$A$1005,0)),"MISSING ID")</x:f>
        <x:v>Strained edible-fauna broth base</x:v>
      </x:c>
      <x:c r="C819" s="4" t="str">
        <x:f>IFERROR(INDEX('Items'!$D$6:$D$1005,MATCH(A819,'Items'!$A$6:$A$1005,0)),"MISSING ID")</x:f>
        <x:v>Cooking ingredients</x:v>
      </x:c>
      <x:c r="D819" s="4" t="str">
        <x:v>Primary</x:v>
      </x:c>
      <x:c r="E819" s="4" t="str">
        <x:f>IFERROR(INDEX('Items'!$AA$6:$AA$1005,MATCH(A819,'Items'!$A$6:$A$1005,0)),"MISSING ID")</x:f>
        <x:v>Food preparation</x:v>
      </x:c>
      <x:c r="F819" s="4" t="str">
        <x:v>Collection proposal: Contained culinary extract, no free-water premise</x:v>
      </x:c>
    </x:row>
    <x:row r="820" ht="64" customHeight="1">
      <x:c r="A820" s="4"/>
      <x:c r="B820" s="4"/>
      <x:c r="C820" s="4"/>
      <x:c r="D820" s="4"/>
      <x:c r="E820" s="4"/>
      <x:c r="F820" s="4"/>
    </x:row>
    <x:row r="821" ht="64" customHeight="1">
      <x:c r="A821" s="4" t="str">
        <x:v>proposal.collection.cooked_edible_fauna_morsels</x:v>
      </x:c>
      <x:c r="B821" s="4" t="str">
        <x:f>IFERROR(INDEX('Items'!$B$6:$B$1005,MATCH(A821,'Items'!$A$6:$A$1005,0)),"MISSING ID")</x:f>
        <x:v>Cooked edible-fauna morsels</x:v>
      </x:c>
      <x:c r="C821" s="4" t="str">
        <x:f>IFERROR(INDEX('Items'!$D$6:$D$1005,MATCH(A821,'Items'!$A$6:$A$1005,0)),"MISSING ID")</x:f>
        <x:v>Cooking ingredients</x:v>
      </x:c>
      <x:c r="D821" s="4" t="str">
        <x:v>Primary</x:v>
      </x:c>
      <x:c r="E821" s="4" t="str">
        <x:f>IFERROR(INDEX('Items'!$AA$6:$AA$1005,MATCH(A821,'Items'!$A$6:$A$1005,0)),"MISSING ID")</x:f>
        <x:v>Food preparation</x:v>
      </x:c>
      <x:c r="F821" s="4" t="str">
        <x:v>Collection proposal: Prepared minor delicacy ingredient with low nutrition assumed</x:v>
      </x:c>
    </x:row>
    <x:row r="822" ht="64" customHeight="1">
      <x:c r="A822" s="4" t="str">
        <x:v>proposal.collection.culinary_fauna_aroma_fraction</x:v>
      </x:c>
      <x:c r="B822" s="4" t="str">
        <x:f>IFERROR(INDEX('Items'!$B$6:$B$1005,MATCH(A822,'Items'!$A$6:$A$1005,0)),"MISSING ID")</x:f>
        <x:v>Culinary fauna aroma fraction</x:v>
      </x:c>
      <x:c r="C822" s="4" t="str">
        <x:f>IFERROR(INDEX('Items'!$D$6:$D$1005,MATCH(A822,'Items'!$A$6:$A$1005,0)),"MISSING ID")</x:f>
        <x:v>Cooking ingredients</x:v>
      </x:c>
      <x:c r="D822" s="4" t="str">
        <x:v>Primary</x:v>
      </x:c>
      <x:c r="E822" s="4" t="str">
        <x:f>IFERROR(INDEX('Items'!$AA$6:$AA$1005,MATCH(A822,'Items'!$A$6:$A$1005,0)),"MISSING ID")</x:f>
        <x:v>Food preparation</x:v>
      </x:c>
      <x:c r="F822" s="4" t="str">
        <x:v>Collection proposal: Trace flavor ingredient from selected edible tissue</x:v>
      </x:c>
    </x:row>
    <x:row r="823" ht="64" customHeight="1">
      <x:c r="A823" s="4" t="str">
        <x:v>proposal.collection.phagia_fauna_savory_filling</x:v>
      </x:c>
      <x:c r="B823" s="4" t="str">
        <x:f>IFERROR(INDEX('Items'!$B$6:$B$1005,MATCH(A823,'Items'!$A$6:$A$1005,0)),"MISSING ID")</x:f>
        <x:v>Phagia-fauna savory filling</x:v>
      </x:c>
      <x:c r="C823" s="4" t="str">
        <x:f>IFERROR(INDEX('Items'!$D$6:$D$1005,MATCH(A823,'Items'!$A$6:$A$1005,0)),"MISSING ID")</x:f>
        <x:v>Cooking ingredients</x:v>
      </x:c>
      <x:c r="D823" s="4" t="str">
        <x:v>Primary</x:v>
      </x:c>
      <x:c r="E823" s="4" t="str">
        <x:f>IFERROR(INDEX('Items'!$AA$6:$AA$1005,MATCH(A823,'Items'!$A$6:$A$1005,0)),"MISSING ID")</x:f>
        <x:v>Food preparation</x:v>
      </x:c>
      <x:c r="F823" s="4" t="str">
        <x:v>Collection proposal: Prepared mixed filling for a scarce delicacy</x:v>
      </x:c>
    </x:row>
    <x:row r="824" ht="64" customHeight="1">
      <x:c r="A824" s="4" t="str">
        <x:v>proposal.collection.pressed_phagia_travel_cake</x:v>
      </x:c>
      <x:c r="B824" s="4" t="str">
        <x:f>IFERROR(INDEX('Items'!$B$6:$B$1005,MATCH(A824,'Items'!$A$6:$A$1005,0)),"MISSING ID")</x:f>
        <x:v>Pressed Phagia travel cake</x:v>
      </x:c>
      <x:c r="C824" s="4" t="str">
        <x:f>IFERROR(INDEX('Items'!$D$6:$D$1005,MATCH(A824,'Items'!$A$6:$A$1005,0)),"MISSING ID")</x:f>
        <x:v>Consumables</x:v>
      </x:c>
      <x:c r="D824" s="4" t="str">
        <x:v>Primary</x:v>
      </x:c>
      <x:c r="E824" s="4" t="str">
        <x:f>IFERROR(INDEX('Items'!$AA$6:$AA$1005,MATCH(A824,'Items'!$A$6:$A$1005,0)),"MISSING ID")</x:f>
        <x:v>Nutrition</x:v>
      </x:c>
      <x:c r="F824" s="4" t="str">
        <x:v>Collection proposal: Dense packed meal with a firm texture</x:v>
      </x:c>
    </x:row>
    <x:row r="825" ht="64" customHeight="1">
      <x:c r="A825" s="4"/>
      <x:c r="B825" s="4"/>
      <x:c r="C825" s="4"/>
      <x:c r="D825" s="4"/>
      <x:c r="E825" s="4"/>
      <x:c r="F825" s="4"/>
    </x:row>
    <x:row r="826" ht="64" customHeight="1">
      <x:c r="A826" s="4" t="str">
        <x:v>proposal.collection.layered_savory_phagia_parcel</x:v>
      </x:c>
      <x:c r="B826" s="4" t="str">
        <x:f>IFERROR(INDEX('Items'!$B$6:$B$1005,MATCH(A826,'Items'!$A$6:$A$1005,0)),"MISSING ID")</x:f>
        <x:v>Layered savory Phagia parcel</x:v>
      </x:c>
      <x:c r="C826" s="4" t="str">
        <x:f>IFERROR(INDEX('Items'!$D$6:$D$1005,MATCH(A826,'Items'!$A$6:$A$1005,0)),"MISSING ID")</x:f>
        <x:v>Consumables</x:v>
      </x:c>
      <x:c r="D826" s="4" t="str">
        <x:v>Primary</x:v>
      </x:c>
      <x:c r="E826" s="4" t="str">
        <x:f>IFERROR(INDEX('Items'!$AA$6:$AA$1005,MATCH(A826,'Items'!$A$6:$A$1005,0)),"MISSING ID")</x:f>
        <x:v>Nutrition</x:v>
      </x:c>
      <x:c r="F826" s="4" t="str">
        <x:v>Collection proposal: Layered pressed flakes around a prepared filling</x:v>
      </x:c>
    </x:row>
    <x:row r="827" ht="64" customHeight="1">
      <x:c r="A827" s="4"/>
      <x:c r="B827" s="4"/>
      <x:c r="C827" s="4"/>
      <x:c r="D827" s="4"/>
      <x:c r="E827" s="4"/>
      <x:c r="F827" s="4"/>
    </x:row>
    <x:row r="828" ht="64" customHeight="1">
      <x:c r="A828" s="4" t="str">
        <x:v>proposal.collection.smooth_phagia_curd_drink</x:v>
      </x:c>
      <x:c r="B828" s="4" t="str">
        <x:f>IFERROR(INDEX('Items'!$B$6:$B$1005,MATCH(A828,'Items'!$A$6:$A$1005,0)),"MISSING ID")</x:f>
        <x:v>Smooth Phagia curd drink</x:v>
      </x:c>
      <x:c r="C828" s="4" t="str">
        <x:f>IFERROR(INDEX('Items'!$D$6:$D$1005,MATCH(A828,'Items'!$A$6:$A$1005,0)),"MISSING ID")</x:f>
        <x:v>Consumables</x:v>
      </x:c>
      <x:c r="D828" s="4" t="str">
        <x:v>Primary</x:v>
      </x:c>
      <x:c r="E828" s="4" t="str">
        <x:f>IFERROR(INDEX('Items'!$AA$6:$AA$1005,MATCH(A828,'Items'!$A$6:$A$1005,0)),"MISSING ID")</x:f>
        <x:v>Hydration</x:v>
      </x:c>
      <x:c r="F828" s="4" t="str">
        <x:v>Collection proposal: Suspended fine curd drink with a thick texture</x:v>
      </x:c>
    </x:row>
    <x:row r="829" ht="64" customHeight="1">
      <x:c r="A829" s="4"/>
      <x:c r="B829" s="4"/>
      <x:c r="C829" s="4"/>
      <x:c r="D829" s="4"/>
      <x:c r="E829" s="4"/>
      <x:c r="F829" s="4"/>
    </x:row>
    <x:row r="830" ht="64" customHeight="1">
      <x:c r="A830" s="4" t="str">
        <x:v>proposal.collection.savory_mineral_phagia_drink</x:v>
      </x:c>
      <x:c r="B830" s="4" t="str">
        <x:f>IFERROR(INDEX('Items'!$B$6:$B$1005,MATCH(A830,'Items'!$A$6:$A$1005,0)),"MISSING ID")</x:f>
        <x:v>Savory mineral Phagia drink</x:v>
      </x:c>
      <x:c r="C830" s="4" t="str">
        <x:f>IFERROR(INDEX('Items'!$D$6:$D$1005,MATCH(A830,'Items'!$A$6:$A$1005,0)),"MISSING ID")</x:f>
        <x:v>Consumables</x:v>
      </x:c>
      <x:c r="D830" s="4" t="str">
        <x:v>Primary</x:v>
      </x:c>
      <x:c r="E830" s="4" t="str">
        <x:f>IFERROR(INDEX('Items'!$AA$6:$AA$1005,MATCH(A830,'Items'!$A$6:$A$1005,0)),"MISSING ID")</x:f>
        <x:v>Hydration</x:v>
      </x:c>
      <x:c r="F830" s="4" t="str">
        <x:v>Collection proposal: Candidate food-grade seasoning drink</x:v>
      </x:c>
    </x:row>
    <x:row r="831" ht="64" customHeight="1">
      <x:c r="A831" s="4"/>
      <x:c r="B831" s="4"/>
      <x:c r="C831" s="4"/>
      <x:c r="D831" s="4"/>
      <x:c r="E831" s="4"/>
      <x:c r="F831" s="4"/>
    </x:row>
    <x:row r="832" ht="64" customHeight="1">
      <x:c r="A832" s="4"/>
      <x:c r="B832" s="4"/>
      <x:c r="C832" s="4"/>
      <x:c r="D832" s="4"/>
      <x:c r="E832" s="4"/>
      <x:c r="F832" s="4"/>
    </x:row>
    <x:row r="833" ht="64" customHeight="1">
      <x:c r="A833" s="4"/>
      <x:c r="B833" s="4"/>
      <x:c r="C833" s="4"/>
      <x:c r="D833" s="4"/>
      <x:c r="E833" s="4"/>
      <x:c r="F833" s="4"/>
    </x:row>
    <x:row r="834" ht="64" customHeight="1">
      <x:c r="A834" s="4"/>
      <x:c r="B834" s="4"/>
      <x:c r="C834" s="4"/>
      <x:c r="D834" s="4"/>
      <x:c r="E834" s="4"/>
      <x:c r="F834" s="4"/>
    </x:row>
    <x:row r="835" ht="64" customHeight="1">
      <x:c r="A835" s="4" t="str">
        <x:v>proposal.collection.warm_phagia_meal_drink</x:v>
      </x:c>
      <x:c r="B835" s="4" t="str">
        <x:f>IFERROR(INDEX('Items'!$B$6:$B$1005,MATCH(A835,'Items'!$A$6:$A$1005,0)),"MISSING ID")</x:f>
        <x:v>Warm Phagia meal drink</x:v>
      </x:c>
      <x:c r="C835" s="4" t="str">
        <x:f>IFERROR(INDEX('Items'!$D$6:$D$1005,MATCH(A835,'Items'!$A$6:$A$1005,0)),"MISSING ID")</x:f>
        <x:v>Consumables</x:v>
      </x:c>
      <x:c r="D835" s="4" t="str">
        <x:v>Primary</x:v>
      </x:c>
      <x:c r="E835" s="4" t="str">
        <x:f>IFERROR(INDEX('Items'!$AA$6:$AA$1005,MATCH(A835,'Items'!$A$6:$A$1005,0)),"MISSING ID")</x:f>
        <x:v>Hydration</x:v>
      </x:c>
      <x:c r="F835" s="4" t="str">
        <x:v>Collection proposal: Heated drinkable meal, heating conditions unresolved</x:v>
      </x:c>
    </x:row>
    <x:row r="836" ht="64" customHeight="1">
      <x:c r="A836" s="4" t="str">
        <x:v>proposal.collection.cool_cellar_phagia_drink</x:v>
      </x:c>
      <x:c r="B836" s="4" t="str">
        <x:f>IFERROR(INDEX('Items'!$B$6:$B$1005,MATCH(A836,'Items'!$A$6:$A$1005,0)),"MISSING ID")</x:f>
        <x:v>Cool-cellar Phagia drink</x:v>
      </x:c>
      <x:c r="C836" s="4" t="str">
        <x:f>IFERROR(INDEX('Items'!$D$6:$D$1005,MATCH(A836,'Items'!$A$6:$A$1005,0)),"MISSING ID")</x:f>
        <x:v>Consumables</x:v>
      </x:c>
      <x:c r="D836" s="4" t="str">
        <x:v>Primary</x:v>
      </x:c>
      <x:c r="E836" s="4" t="str">
        <x:f>IFERROR(INDEX('Items'!$AA$6:$AA$1005,MATCH(A836,'Items'!$A$6:$A$1005,0)),"MISSING ID")</x:f>
        <x:v>Hydration</x:v>
      </x:c>
      <x:c r="F836" s="4" t="str">
        <x:v>Collection proposal: Cooled serving using a dry cellar rather than ice or free water</x:v>
      </x:c>
    </x:row>
    <x:row r="837" ht="64" customHeight="1">
      <x:c r="A837" s="4" t="str">
        <x:v>proposal.collection.phagia_fauna_savory_broth</x:v>
      </x:c>
      <x:c r="B837" s="4" t="str">
        <x:f>IFERROR(INDEX('Items'!$B$6:$B$1005,MATCH(A837,'Items'!$A$6:$A$1005,0)),"MISSING ID")</x:f>
        <x:v>Phagia-fauna savory broth</x:v>
      </x:c>
      <x:c r="C837" s="4" t="str">
        <x:f>IFERROR(INDEX('Items'!$D$6:$D$1005,MATCH(A837,'Items'!$A$6:$A$1005,0)),"MISSING ID")</x:f>
        <x:v>Consumables</x:v>
      </x:c>
      <x:c r="D837" s="4" t="str">
        <x:v>Primary</x:v>
      </x:c>
      <x:c r="E837" s="4" t="str">
        <x:f>IFERROR(INDEX('Items'!$AA$6:$AA$1005,MATCH(A837,'Items'!$A$6:$A$1005,0)),"MISSING ID")</x:f>
        <x:v>Hydration</x:v>
      </x:c>
      <x:c r="F837" s="4" t="str">
        <x:v>Collection proposal: Rare culinary broth from a selected edible fauna source</x:v>
      </x:c>
    </x:row>
    <x:row r="838" ht="64" customHeight="1">
      <x:c r="A838" s="4"/>
      <x:c r="B838" s="4"/>
      <x:c r="C838" s="4"/>
      <x:c r="D838" s="4"/>
      <x:c r="E838" s="4"/>
      <x:c r="F838" s="4"/>
    </x:row>
    <x:row r="839" ht="64" customHeight="1">
      <x:c r="A839" s="4" t="str">
        <x:v>proposal.collection.phagia_aroma_tasting_cup</x:v>
      </x:c>
      <x:c r="B839" s="4" t="str">
        <x:f>IFERROR(INDEX('Items'!$B$6:$B$1005,MATCH(A839,'Items'!$A$6:$A$1005,0)),"MISSING ID")</x:f>
        <x:v>Phagia aroma tasting cup</x:v>
      </x:c>
      <x:c r="C839" s="4" t="str">
        <x:f>IFERROR(INDEX('Items'!$D$6:$D$1005,MATCH(A839,'Items'!$A$6:$A$1005,0)),"MISSING ID")</x:f>
        <x:v>Consumables</x:v>
      </x:c>
      <x:c r="D839" s="4" t="str">
        <x:v>Primary</x:v>
      </x:c>
      <x:c r="E839" s="4" t="str">
        <x:f>IFERROR(INDEX('Items'!$AA$6:$AA$1005,MATCH(A839,'Items'!$A$6:$A$1005,0)),"MISSING ID")</x:f>
        <x:v>Hydration</x:v>
      </x:c>
      <x:c r="F839" s="4" t="str">
        <x:v>Collection proposal: Trace fauna-flavored drink for specialist cooks</x:v>
      </x:c>
    </x:row>
    <x:row r="840" ht="64" customHeight="1">
      <x:c r="A840" s="4" t="str">
        <x:v>proposal.collection.coarse_meal_phagia_drink</x:v>
      </x:c>
      <x:c r="B840" s="4" t="str">
        <x:f>IFERROR(INDEX('Items'!$B$6:$B$1005,MATCH(A840,'Items'!$A$6:$A$1005,0)),"MISSING ID")</x:f>
        <x:v>Coarse-meal Phagia drink</x:v>
      </x:c>
      <x:c r="C840" s="4" t="str">
        <x:f>IFERROR(INDEX('Items'!$D$6:$D$1005,MATCH(A840,'Items'!$A$6:$A$1005,0)),"MISSING ID")</x:f>
        <x:v>Consumables</x:v>
      </x:c>
      <x:c r="D840" s="4" t="str">
        <x:v>Primary</x:v>
      </x:c>
      <x:c r="E840" s="4" t="str">
        <x:f>IFERROR(INDEX('Items'!$AA$6:$AA$1005,MATCH(A840,'Items'!$A$6:$A$1005,0)),"MISSING ID")</x:f>
        <x:v>Hydration</x:v>
      </x:c>
      <x:c r="F840" s="4" t="str">
        <x:v>Collection proposal: Fine Phagia meal suspended for a coarse texture</x:v>
      </x:c>
    </x:row>
    <x:row r="841" ht="64" customHeight="1">
      <x:c r="A841" s="4" t="str">
        <x:v>proposal.collection.two_layer_phagia_cup</x:v>
      </x:c>
      <x:c r="B841" s="4" t="str">
        <x:f>IFERROR(INDEX('Items'!$B$6:$B$1005,MATCH(A841,'Items'!$A$6:$A$1005,0)),"MISSING ID")</x:f>
        <x:v>Two-layer Phagia cup</x:v>
      </x:c>
      <x:c r="C841" s="4" t="str">
        <x:f>IFERROR(INDEX('Items'!$D$6:$D$1005,MATCH(A841,'Items'!$A$6:$A$1005,0)),"MISSING ID")</x:f>
        <x:v>Consumables</x:v>
      </x:c>
      <x:c r="D841" s="4" t="str">
        <x:v>Primary</x:v>
      </x:c>
      <x:c r="E841" s="4" t="str">
        <x:f>IFERROR(INDEX('Items'!$AA$6:$AA$1005,MATCH(A841,'Items'!$A$6:$A$1005,0)),"MISSING ID")</x:f>
        <x:v>Hydration</x:v>
      </x:c>
      <x:c r="F841" s="4" t="str">
        <x:v>Collection proposal: Separated curd and liquid presented as a drink</x:v>
      </x:c>
    </x:row>
    <x:row r="842" ht="64" customHeight="1">
      <x:c r="A842" s="4"/>
      <x:c r="B842" s="4"/>
      <x:c r="C842" s="4"/>
      <x:c r="D842" s="4"/>
      <x:c r="E842" s="4"/>
      <x:c r="F842" s="4"/>
    </x:row>
    <x:row r="843" ht="64" customHeight="1">
      <x:c r="A843" s="4" t="str">
        <x:v>proposal.collection.sour_savory_phagia_blend</x:v>
      </x:c>
      <x:c r="B843" s="4" t="str">
        <x:f>IFERROR(INDEX('Items'!$B$6:$B$1005,MATCH(A843,'Items'!$A$6:$A$1005,0)),"MISSING ID")</x:f>
        <x:v>Sour-savory Phagia blend</x:v>
      </x:c>
      <x:c r="C843" s="4" t="str">
        <x:f>IFERROR(INDEX('Items'!$D$6:$D$1005,MATCH(A843,'Items'!$A$6:$A$1005,0)),"MISSING ID")</x:f>
        <x:v>Consumables</x:v>
      </x:c>
      <x:c r="D843" s="4" t="str">
        <x:v>Primary</x:v>
      </x:c>
      <x:c r="E843" s="4" t="str">
        <x:f>IFERROR(INDEX('Items'!$AA$6:$AA$1005,MATCH(A843,'Items'!$A$6:$A$1005,0)),"MISSING ID")</x:f>
        <x:v>Hydration</x:v>
      </x:c>
      <x:c r="F843" s="4" t="str">
        <x:v>Collection proposal: Combines controlled-sour culture and edible culinary broth</x:v>
      </x:c>
    </x:row>
    <x:row r="844" ht="64" customHeight="1">
      <x:c r="A844" s="4" t="str">
        <x:v>proposal.collection.phagia_concentrate_tasting_flight</x:v>
      </x:c>
      <x:c r="B844" s="4" t="str">
        <x:f>IFERROR(INDEX('Items'!$B$6:$B$1005,MATCH(A844,'Items'!$A$6:$A$1005,0)),"MISSING ID")</x:f>
        <x:v>Phagia concentrate tasting flight</x:v>
      </x:c>
      <x:c r="C844" s="4" t="str">
        <x:f>IFERROR(INDEX('Items'!$D$6:$D$1005,MATCH(A844,'Items'!$A$6:$A$1005,0)),"MISSING ID")</x:f>
        <x:v>Consumables</x:v>
      </x:c>
      <x:c r="D844" s="4" t="str">
        <x:v>Primary</x:v>
      </x:c>
      <x:c r="E844" s="4" t="str">
        <x:f>IFERROR(INDEX('Items'!$AA$6:$AA$1005,MATCH(A844,'Items'!$A$6:$A$1005,0)),"MISSING ID")</x:f>
        <x:v>Hydration</x:v>
      </x:c>
      <x:c r="F844" s="4" t="str">
        <x:v>Collection proposal: Several small contained servings for comparing food preparations</x:v>
      </x:c>
    </x:row>
    <x:row r="845" ht="64" customHeight="1">
      <x:c r="A845" s="4" t="str">
        <x:v>proposal.collection.guarded_flywheel_cartridge</x:v>
      </x:c>
      <x:c r="B845" s="4" t="str">
        <x:f>IFERROR(INDEX('Items'!$B$6:$B$1005,MATCH(A845,'Items'!$A$6:$A$1005,0)),"MISSING ID")</x:f>
        <x:v>Guarded flywheel cartridge</x:v>
      </x:c>
      <x:c r="C845" s="4" t="str">
        <x:f>IFERROR(INDEX('Items'!$D$6:$D$1005,MATCH(A845,'Items'!$A$6:$A$1005,0)),"MISSING ID")</x:f>
        <x:v>Crafting components</x:v>
      </x:c>
      <x:c r="D845" s="4" t="str">
        <x:v>Primary</x:v>
      </x:c>
      <x:c r="E845" s="4" t="str">
        <x:f>IFERROR(INDEX('Items'!$AA$6:$AA$1005,MATCH(A845,'Items'!$A$6:$A$1005,0)),"MISSING ID")</x:f>
        <x:v>Energy storage</x:v>
      </x:c>
      <x:c r="F845" s="4" t="str">
        <x:v>Collection proposal: Stores rotational motion for a compatible small machine</x:v>
      </x:c>
    </x:row>
    <x:row r="846" ht="64" customHeight="1">
      <x:c r="A846" s="4" t="str">
        <x:v>proposal.collection.wound_clock_spring_pack</x:v>
      </x:c>
      <x:c r="B846" s="4" t="str">
        <x:f>IFERROR(INDEX('Items'!$B$6:$B$1005,MATCH(A846,'Items'!$A$6:$A$1005,0)),"MISSING ID")</x:f>
        <x:v>Wound clock-spring pack</x:v>
      </x:c>
      <x:c r="C846" s="4" t="str">
        <x:f>IFERROR(INDEX('Items'!$D$6:$D$1005,MATCH(A846,'Items'!$A$6:$A$1005,0)),"MISSING ID")</x:f>
        <x:v>Crafting components</x:v>
      </x:c>
      <x:c r="D846" s="4" t="str">
        <x:v>Primary</x:v>
      </x:c>
      <x:c r="E846" s="4" t="str">
        <x:f>IFERROR(INDEX('Items'!$AA$6:$AA$1005,MATCH(A846,'Items'!$A$6:$A$1005,0)),"MISSING ID")</x:f>
        <x:v>Energy storage</x:v>
      </x:c>
      <x:c r="F846" s="4" t="str">
        <x:v>Collection proposal: Stores wound mechanical energy</x:v>
      </x:c>
    </x:row>
    <x:row r="847" ht="64" customHeight="1">
      <x:c r="A847" s="4" t="str">
        <x:v>proposal.collection.torsion_spring_accumulator</x:v>
      </x:c>
      <x:c r="B847" s="4" t="str">
        <x:f>IFERROR(INDEX('Items'!$B$6:$B$1005,MATCH(A847,'Items'!$A$6:$A$1005,0)),"MISSING ID")</x:f>
        <x:v>Torsion-spring accumulator</x:v>
      </x:c>
      <x:c r="C847" s="4" t="str">
        <x:f>IFERROR(INDEX('Items'!$D$6:$D$1005,MATCH(A847,'Items'!$A$6:$A$1005,0)),"MISSING ID")</x:f>
        <x:v>Crafting components</x:v>
      </x:c>
      <x:c r="D847" s="4" t="str">
        <x:v>Primary</x:v>
      </x:c>
      <x:c r="E847" s="4" t="str">
        <x:f>IFERROR(INDEX('Items'!$AA$6:$AA$1005,MATCH(A847,'Items'!$A$6:$A$1005,0)),"MISSING ID")</x:f>
        <x:v>Energy storage</x:v>
      </x:c>
      <x:c r="F847" s="4" t="str">
        <x:v>Collection proposal: Stores mechanical energy in a tensioned spring assembly</x:v>
      </x:c>
    </x:row>
    <x:row r="848" ht="64" customHeight="1">
      <x:c r="A848" s="4" t="str">
        <x:v>proposal.collection.lifted_counterweight_module</x:v>
      </x:c>
      <x:c r="B848" s="4" t="str">
        <x:f>IFERROR(INDEX('Items'!$B$6:$B$1005,MATCH(A848,'Items'!$A$6:$A$1005,0)),"MISSING ID")</x:f>
        <x:v>Lifted counterweight module</x:v>
      </x:c>
      <x:c r="C848" s="4" t="str">
        <x:f>IFERROR(INDEX('Items'!$D$6:$D$1005,MATCH(A848,'Items'!$A$6:$A$1005,0)),"MISSING ID")</x:f>
        <x:v>Crafting components</x:v>
      </x:c>
      <x:c r="D848" s="4" t="str">
        <x:v>Primary</x:v>
      </x:c>
      <x:c r="E848" s="4" t="str">
        <x:f>IFERROR(INDEX('Items'!$AA$6:$AA$1005,MATCH(A848,'Items'!$A$6:$A$1005,0)),"MISSING ID")</x:f>
        <x:v>Energy storage</x:v>
      </x:c>
      <x:c r="F848" s="4" t="str">
        <x:v>Collection proposal: Stores gravitational energy in an installed lifting system</x:v>
      </x:c>
    </x:row>
    <x:row r="849" ht="64" customHeight="1">
      <x:c r="A849" s="4" t="str">
        <x:v>proposal.collection.shaft_drop_weight_train</x:v>
      </x:c>
      <x:c r="B849" s="4" t="str">
        <x:f>IFERROR(INDEX('Items'!$B$6:$B$1005,MATCH(A849,'Items'!$A$6:$A$1005,0)),"MISSING ID")</x:f>
        <x:v>Shaft-drop weight train</x:v>
      </x:c>
      <x:c r="C849" s="4" t="str">
        <x:f>IFERROR(INDEX('Items'!$D$6:$D$1005,MATCH(A849,'Items'!$A$6:$A$1005,0)),"MISSING ID")</x:f>
        <x:v>Salvage</x:v>
      </x:c>
      <x:c r="D849" s="4" t="str">
        <x:v>Primary</x:v>
      </x:c>
      <x:c r="E849" s="4" t="str">
        <x:f>IFERROR(INDEX('Items'!$AA$6:$AA$1005,MATCH(A849,'Items'!$A$6:$A$1005,0)),"MISSING ID")</x:f>
        <x:v>Energy storage</x:v>
      </x:c>
      <x:c r="F849" s="4" t="str">
        <x:v>Collection proposal: Large canyon storage assembly requiring a fixed drop shaft</x:v>
      </x:c>
    </x:row>
    <x:row r="850" ht="64" customHeight="1">
      <x:c r="A850" s="4" t="str">
        <x:v>proposal.collection.sealed_pressure_accumulator</x:v>
      </x:c>
      <x:c r="B850" s="4" t="str">
        <x:f>IFERROR(INDEX('Items'!$B$6:$B$1005,MATCH(A850,'Items'!$A$6:$A$1005,0)),"MISSING ID")</x:f>
        <x:v>Sealed pressure accumulator</x:v>
      </x:c>
      <x:c r="C850" s="4" t="str">
        <x:f>IFERROR(INDEX('Items'!$D$6:$D$1005,MATCH(A850,'Items'!$A$6:$A$1005,0)),"MISSING ID")</x:f>
        <x:v>Crafting components</x:v>
      </x:c>
      <x:c r="D850" s="4" t="str">
        <x:v>Primary</x:v>
      </x:c>
      <x:c r="E850" s="4" t="str">
        <x:f>IFERROR(INDEX('Items'!$AA$6:$AA$1005,MATCH(A850,'Items'!$A$6:$A$1005,0)),"MISSING ID")</x:f>
        <x:v>Energy storage</x:v>
      </x:c>
      <x:c r="F850" s="4" t="str">
        <x:v>Collection proposal: Stores pressure in a compatible closed vessel, no rating assigned</x:v>
      </x:c>
    </x:row>
    <x:row r="851" ht="64" customHeight="1">
      <x:c r="A851" s="4" t="str">
        <x:v>proposal.collection.packed_stone_thermal_block</x:v>
      </x:c>
      <x:c r="B851" s="4" t="str">
        <x:f>IFERROR(INDEX('Items'!$B$6:$B$1005,MATCH(A851,'Items'!$A$6:$A$1005,0)),"MISSING ID")</x:f>
        <x:v>Packed-stone thermal block</x:v>
      </x:c>
      <x:c r="C851" s="4" t="str">
        <x:f>IFERROR(INDEX('Items'!$D$6:$D$1005,MATCH(A851,'Items'!$A$6:$A$1005,0)),"MISSING ID")</x:f>
        <x:v>Crafting components</x:v>
      </x:c>
      <x:c r="D851" s="4" t="str">
        <x:v>Primary</x:v>
      </x:c>
      <x:c r="E851" s="4" t="str">
        <x:f>IFERROR(INDEX('Items'!$AA$6:$AA$1005,MATCH(A851,'Items'!$A$6:$A$1005,0)),"MISSING ID")</x:f>
        <x:v>Energy storage</x:v>
      </x:c>
      <x:c r="F851" s="4" t="str">
        <x:v>Collection proposal: Stores sensible heat for controlled release</x:v>
      </x:c>
    </x:row>
    <x:row r="852" ht="64" customHeight="1">
      <x:c r="A852" s="4" t="str">
        <x:v>proposal.collection.contained_salt_heat_cell</x:v>
      </x:c>
      <x:c r="B852" s="4" t="str">
        <x:f>IFERROR(INDEX('Items'!$B$6:$B$1005,MATCH(A852,'Items'!$A$6:$A$1005,0)),"MISSING ID")</x:f>
        <x:v>Contained salt heat cell</x:v>
      </x:c>
      <x:c r="C852" s="4" t="str">
        <x:f>IFERROR(INDEX('Items'!$D$6:$D$1005,MATCH(A852,'Items'!$A$6:$A$1005,0)),"MISSING ID")</x:f>
        <x:v>Crafting components</x:v>
      </x:c>
      <x:c r="D852" s="4" t="str">
        <x:v>Primary</x:v>
      </x:c>
      <x:c r="E852" s="4" t="str">
        <x:f>IFERROR(INDEX('Items'!$AA$6:$AA$1005,MATCH(A852,'Items'!$A$6:$A$1005,0)),"MISSING ID")</x:f>
        <x:v>Energy storage</x:v>
      </x:c>
      <x:c r="F852" s="4" t="str">
        <x:v>Collection proposal: Candidate thermal storage medium kept inside a compatible vessel</x:v>
      </x:c>
    </x:row>
    <x:row r="853" ht="64" customHeight="1">
      <x:c r="A853" s="4" t="str">
        <x:v>proposal.collection.ceramic_housed_mineral_battery</x:v>
      </x:c>
      <x:c r="B853" s="4" t="str">
        <x:f>IFERROR(INDEX('Items'!$B$6:$B$1005,MATCH(A853,'Items'!$A$6:$A$1005,0)),"MISSING ID")</x:f>
        <x:v>Ceramic-housed mineral battery</x:v>
      </x:c>
      <x:c r="C853" s="4" t="str">
        <x:f>IFERROR(INDEX('Items'!$D$6:$D$1005,MATCH(A853,'Items'!$A$6:$A$1005,0)),"MISSING ID")</x:f>
        <x:v>Crafting components</x:v>
      </x:c>
      <x:c r="D853" s="4" t="str">
        <x:v>Primary</x:v>
      </x:c>
      <x:c r="E853" s="4" t="str">
        <x:f>IFERROR(INDEX('Items'!$AA$6:$AA$1005,MATCH(A853,'Items'!$A$6:$A$1005,0)),"MISSING ID")</x:f>
        <x:v>Energy storage</x:v>
      </x:c>
      <x:c r="F853" s="4" t="str">
        <x:v>Collection proposal: Rugged chemical battery candidate with unresolved chemistry</x:v>
      </x:c>
    </x:row>
    <x:row r="854" ht="64" customHeight="1">
      <x:c r="A854" s="4" t="str">
        <x:v>proposal.collection.replaceable_electrode_battery_jar</x:v>
      </x:c>
      <x:c r="B854" s="4" t="str">
        <x:f>IFERROR(INDEX('Items'!$B$6:$B$1005,MATCH(A854,'Items'!$A$6:$A$1005,0)),"MISSING ID")</x:f>
        <x:v>Replaceable electrode battery jar</x:v>
      </x:c>
      <x:c r="C854" s="4" t="str">
        <x:f>IFERROR(INDEX('Items'!$D$6:$D$1005,MATCH(A854,'Items'!$A$6:$A$1005,0)),"MISSING ID")</x:f>
        <x:v>Salvage</x:v>
      </x:c>
      <x:c r="D854" s="4" t="str">
        <x:v>Primary</x:v>
      </x:c>
      <x:c r="E854" s="4" t="str">
        <x:f>IFERROR(INDEX('Items'!$AA$6:$AA$1005,MATCH(A854,'Items'!$A$6:$A$1005,0)),"MISSING ID")</x:f>
        <x:v>Energy storage</x:v>
      </x:c>
      <x:c r="F854" s="4" t="str">
        <x:v>Collection proposal: Serviceable battery architecture with replaceable contacts</x:v>
      </x:c>
    </x:row>
    <x:row r="855" ht="64" customHeight="1">
      <x:c r="A855" s="4" t="str">
        <x:v>proposal.collection.packed_separator_battery_stack</x:v>
      </x:c>
      <x:c r="B855" s="4" t="str">
        <x:f>IFERROR(INDEX('Items'!$B$6:$B$1005,MATCH(A855,'Items'!$A$6:$A$1005,0)),"MISSING ID")</x:f>
        <x:v>Packed separator battery stack</x:v>
      </x:c>
      <x:c r="C855" s="4" t="str">
        <x:f>IFERROR(INDEX('Items'!$D$6:$D$1005,MATCH(A855,'Items'!$A$6:$A$1005,0)),"MISSING ID")</x:f>
        <x:v>Crafting components</x:v>
      </x:c>
      <x:c r="D855" s="4" t="str">
        <x:v>Primary</x:v>
      </x:c>
      <x:c r="E855" s="4" t="str">
        <x:f>IFERROR(INDEX('Items'!$AA$6:$AA$1005,MATCH(A855,'Items'!$A$6:$A$1005,0)),"MISSING ID")</x:f>
        <x:v>Energy storage</x:v>
      </x:c>
      <x:c r="F855" s="4" t="str">
        <x:v>Collection proposal: Layered chemical storage architecture, chemistry unresolved</x:v>
      </x:c>
    </x:row>
    <x:row r="856" ht="64" customHeight="1">
      <x:c r="A856" s="4" t="str">
        <x:v>proposal.collection.mica_plate_capacitor_pack</x:v>
      </x:c>
      <x:c r="B856" s="4" t="str">
        <x:f>IFERROR(INDEX('Items'!$B$6:$B$1005,MATCH(A856,'Items'!$A$6:$A$1005,0)),"MISSING ID")</x:f>
        <x:v>Mica-plate capacitor pack</x:v>
      </x:c>
      <x:c r="C856" s="4" t="str">
        <x:f>IFERROR(INDEX('Items'!$D$6:$D$1005,MATCH(A856,'Items'!$A$6:$A$1005,0)),"MISSING ID")</x:f>
        <x:v>Crafting components</x:v>
      </x:c>
      <x:c r="D856" s="4" t="str">
        <x:v>Primary</x:v>
      </x:c>
      <x:c r="E856" s="4" t="str">
        <x:f>IFERROR(INDEX('Items'!$AA$6:$AA$1005,MATCH(A856,'Items'!$A$6:$A$1005,0)),"MISSING ID")</x:f>
        <x:v>Energy storage</x:v>
      </x:c>
      <x:c r="F856" s="4" t="str">
        <x:v>Collection proposal: Electrical storage candidate using layered mineral insulation</x:v>
      </x:c>
    </x:row>
    <x:row r="857" ht="64" customHeight="1">
      <x:c r="A857" s="4" t="str">
        <x:v>proposal.collection.glass_jar_capacitor_bank</x:v>
      </x:c>
      <x:c r="B857" s="4" t="str">
        <x:f>IFERROR(INDEX('Items'!$B$6:$B$1005,MATCH(A857,'Items'!$A$6:$A$1005,0)),"MISSING ID")</x:f>
        <x:v>Glass-jar capacitor bank</x:v>
      </x:c>
      <x:c r="C857" s="4" t="str">
        <x:f>IFERROR(INDEX('Items'!$D$6:$D$1005,MATCH(A857,'Items'!$A$6:$A$1005,0)),"MISSING ID")</x:f>
        <x:v>Crafting components</x:v>
      </x:c>
      <x:c r="D857" s="4" t="str">
        <x:v>Primary</x:v>
      </x:c>
      <x:c r="E857" s="4" t="str">
        <x:f>IFERROR(INDEX('Items'!$AA$6:$AA$1005,MATCH(A857,'Items'!$A$6:$A$1005,0)),"MISSING ID")</x:f>
        <x:v>Energy storage</x:v>
      </x:c>
      <x:c r="F857" s="4" t="str">
        <x:v>Collection proposal: Bulky urban electrical storage bank</x:v>
      </x:c>
    </x:row>
    <x:row r="858" ht="64" customHeight="1">
      <x:c r="A858" s="4" t="str">
        <x:v>proposal.collection.ceramic_dielectric_pulse_bank</x:v>
      </x:c>
      <x:c r="B858" s="4" t="str">
        <x:f>IFERROR(INDEX('Items'!$B$6:$B$1005,MATCH(A858,'Items'!$A$6:$A$1005,0)),"MISSING ID")</x:f>
        <x:v>Ceramic-dielectric pulse bank</x:v>
      </x:c>
      <x:c r="C858" s="4" t="str">
        <x:f>IFERROR(INDEX('Items'!$D$6:$D$1005,MATCH(A858,'Items'!$A$6:$A$1005,0)),"MISSING ID")</x:f>
        <x:v>Crafting components</x:v>
      </x:c>
      <x:c r="D858" s="4" t="str">
        <x:v>Primary</x:v>
      </x:c>
      <x:c r="E858" s="4" t="str">
        <x:f>IFERROR(INDEX('Items'!$AA$6:$AA$1005,MATCH(A858,'Items'!$A$6:$A$1005,0)),"MISSING ID")</x:f>
        <x:v>Energy storage</x:v>
      </x:c>
      <x:c r="F858" s="4" t="str">
        <x:v>Collection proposal: Workshop pulse-storage assembly without a specified rating</x:v>
      </x:c>
    </x:row>
    <x:row r="859" ht="64" customHeight="1">
      <x:c r="A859" s="4" t="str">
        <x:v>proposal.collection.ancient_compact_power_cell</x:v>
      </x:c>
      <x:c r="B859" s="4" t="str">
        <x:f>IFERROR(INDEX('Items'!$B$6:$B$1005,MATCH(A859,'Items'!$A$6:$A$1005,0)),"MISSING ID")</x:f>
        <x:v>Ancient compact power cell</x:v>
      </x:c>
      <x:c r="C859" s="4" t="str">
        <x:f>IFERROR(INDEX('Items'!$D$6:$D$1005,MATCH(A859,'Items'!$A$6:$A$1005,0)),"MISSING ID")</x:f>
        <x:v>Ancient salvage</x:v>
      </x:c>
      <x:c r="D859" s="4" t="str">
        <x:v>Primary</x:v>
      </x:c>
      <x:c r="E859" s="4" t="str">
        <x:f>IFERROR(INDEX('Items'!$AA$6:$AA$1005,MATCH(A859,'Items'!$A$6:$A$1005,0)),"MISSING ID")</x:f>
        <x:v>Energy storage</x:v>
      </x:c>
      <x:c r="F859" s="4" t="str">
        <x:v>Collection proposal: Recovered power supply with unknown charging method</x:v>
      </x:c>
    </x:row>
    <x:row r="860" ht="64" customHeight="1">
      <x:c r="A860" s="4" t="str">
        <x:v>proposal.collection.ancient_microcapacitor_brick</x:v>
      </x:c>
      <x:c r="B860" s="4" t="str">
        <x:f>IFERROR(INDEX('Items'!$B$6:$B$1005,MATCH(A860,'Items'!$A$6:$A$1005,0)),"MISSING ID")</x:f>
        <x:v>Ancient microcapacitor brick</x:v>
      </x:c>
      <x:c r="C860" s="4" t="str">
        <x:f>IFERROR(INDEX('Items'!$D$6:$D$1005,MATCH(A860,'Items'!$A$6:$A$1005,0)),"MISSING ID")</x:f>
        <x:v>Ancient salvage</x:v>
      </x:c>
      <x:c r="D860" s="4" t="str">
        <x:v>Primary</x:v>
      </x:c>
      <x:c r="E860" s="4" t="str">
        <x:f>IFERROR(INDEX('Items'!$AA$6:$AA$1005,MATCH(A860,'Items'!$A$6:$A$1005,0)),"MISSING ID")</x:f>
        <x:v>Energy storage</x:v>
      </x:c>
      <x:c r="F860" s="4" t="str">
        <x:v>Collection proposal: Rare recovered compact pulse storage</x:v>
      </x:c>
    </x:row>
    <x:row r="861" ht="64" customHeight="1">
      <x:c r="A861" s="4" t="str">
        <x:v>proposal.collection.ancient_persistent_current_ring</x:v>
      </x:c>
      <x:c r="B861" s="4" t="str">
        <x:f>IFERROR(INDEX('Items'!$B$6:$B$1005,MATCH(A861,'Items'!$A$6:$A$1005,0)),"MISSING ID")</x:f>
        <x:v>Ancient persistent-current ring</x:v>
      </x:c>
      <x:c r="C861" s="4" t="str">
        <x:f>IFERROR(INDEX('Items'!$D$6:$D$1005,MATCH(A861,'Items'!$A$6:$A$1005,0)),"MISSING ID")</x:f>
        <x:v>Ancient salvage</x:v>
      </x:c>
      <x:c r="D861" s="4" t="str">
        <x:v>Primary</x:v>
      </x:c>
      <x:c r="E861" s="4" t="str">
        <x:f>IFERROR(INDEX('Items'!$AA$6:$AA$1005,MATCH(A861,'Items'!$A$6:$A$1005,0)),"MISSING ID")</x:f>
        <x:v>Energy storage</x:v>
      </x:c>
      <x:c r="F861" s="4" t="str">
        <x:v>Collection proposal: Fantasy recovered magnetic-energy storage with unknown conditions</x:v>
      </x:c>
    </x:row>
    <x:row r="862" ht="64" customHeight="1">
      <x:c r="A862" s="4" t="str">
        <x:v>proposal.collection.ancient_inertial_storage_capsule</x:v>
      </x:c>
      <x:c r="B862" s="4" t="str">
        <x:f>IFERROR(INDEX('Items'!$B$6:$B$1005,MATCH(A862,'Items'!$A$6:$A$1005,0)),"MISSING ID")</x:f>
        <x:v>Ancient inertial storage capsule</x:v>
      </x:c>
      <x:c r="C862" s="4" t="str">
        <x:f>IFERROR(INDEX('Items'!$D$6:$D$1005,MATCH(A862,'Items'!$A$6:$A$1005,0)),"MISSING ID")</x:f>
        <x:v>Ancient salvage</x:v>
      </x:c>
      <x:c r="D862" s="4" t="str">
        <x:v>Primary</x:v>
      </x:c>
      <x:c r="E862" s="4" t="str">
        <x:f>IFERROR(INDEX('Items'!$AA$6:$AA$1005,MATCH(A862,'Items'!$A$6:$A$1005,0)),"MISSING ID")</x:f>
        <x:v>Energy storage</x:v>
      </x:c>
      <x:c r="F862" s="4" t="str">
        <x:v>Collection proposal: Recovered sealed rotational storage device</x:v>
      </x:c>
    </x:row>
    <x:row r="863" ht="64" customHeight="1">
      <x:c r="A863" s="4" t="str">
        <x:v>proposal.collection.ancient_true_arc_vessel</x:v>
      </x:c>
      <x:c r="B863" s="4" t="str">
        <x:f>IFERROR(INDEX('Items'!$B$6:$B$1005,MATCH(A863,'Items'!$A$6:$A$1005,0)),"MISSING ID")</x:f>
        <x:v>Ancient true-Arc vessel</x:v>
      </x:c>
      <x:c r="C863" s="4" t="str">
        <x:f>IFERROR(INDEX('Items'!$D$6:$D$1005,MATCH(A863,'Items'!$A$6:$A$1005,0)),"MISSING ID")</x:f>
        <x:v>Ancient salvage</x:v>
      </x:c>
      <x:c r="D863" s="4" t="str">
        <x:v>Primary</x:v>
      </x:c>
      <x:c r="E863" s="4" t="str">
        <x:f>IFERROR(INDEX('Items'!$AA$6:$AA$1005,MATCH(A863,'Items'!$A$6:$A$1005,0)),"MISSING ID")</x:f>
        <x:v>Energy storage</x:v>
      </x:c>
      <x:c r="F863" s="4" t="str">
        <x:v>Collection proposal: Extremely rare recovered Arc-arresting container, distinct from electricity storage</x:v>
      </x:c>
    </x:row>
    <x:row r="864" ht="64" customHeight="1">
      <x:c r="A864" s="4" t="str">
        <x:v>proposal.collection.radio_contact_service_kit</x:v>
      </x:c>
      <x:c r="B864" s="4" t="str">
        <x:f>IFERROR(INDEX('Items'!$B$6:$B$1005,MATCH(A864,'Items'!$A$6:$A$1005,0)),"MISSING ID")</x:f>
        <x:v>Radio contact service kit</x:v>
      </x:c>
      <x:c r="C864" s="4" t="str">
        <x:f>IFERROR(INDEX('Items'!$D$6:$D$1005,MATCH(A864,'Items'!$A$6:$A$1005,0)),"MISSING ID")</x:f>
        <x:v>Salvage</x:v>
      </x:c>
      <x:c r="D864" s="4" t="str">
        <x:v>Primary</x:v>
      </x:c>
      <x:c r="E864" s="4" t="str">
        <x:f>IFERROR(INDEX('Items'!$AA$6:$AA$1005,MATCH(A864,'Items'!$A$6:$A$1005,0)),"MISSING ID")</x:f>
        <x:v>Equipment repair</x:v>
      </x:c>
      <x:c r="F864" s="4" t="str">
        <x:v>Collection proposal: Replacement contacts and cleaning implements for a compatible crude radio</x:v>
      </x:c>
    </x:row>
    <x:row r="865" ht="64" customHeight="1">
      <x:c r="A865" s="4"/>
      <x:c r="B865" s="4"/>
      <x:c r="C865" s="4"/>
      <x:c r="D865" s="4"/>
      <x:c r="E865" s="4"/>
      <x:c r="F865" s="4"/>
    </x:row>
    <x:row r="866" ht="64" customHeight="1">
      <x:c r="A866" s="4" t="str">
        <x:v>proposal.collection.dirtboard_running_gear_kit</x:v>
      </x:c>
      <x:c r="B866" s="4" t="str">
        <x:f>IFERROR(INDEX('Items'!$B$6:$B$1005,MATCH(A866,'Items'!$A$6:$A$1005,0)),"MISSING ID")</x:f>
        <x:v>Dirtboard running-gear kit</x:v>
      </x:c>
      <x:c r="C866" s="4" t="str">
        <x:f>IFERROR(INDEX('Items'!$D$6:$D$1005,MATCH(A866,'Items'!$A$6:$A$1005,0)),"MISSING ID")</x:f>
        <x:v>Salvage</x:v>
      </x:c>
      <x:c r="D866" s="4" t="str">
        <x:v>Primary</x:v>
      </x:c>
      <x:c r="E866" s="4" t="str">
        <x:f>IFERROR(INDEX('Items'!$AA$6:$AA$1005,MATCH(A866,'Items'!$A$6:$A$1005,0)),"MISSING ID")</x:f>
        <x:v>Equipment repair</x:v>
      </x:c>
      <x:c r="F866" s="4" t="str">
        <x:v>Collection proposal: Selected bearing and retaining parts for a matched dirtboard</x:v>
      </x:c>
    </x:row>
    <x:row r="867" ht="64" customHeight="1">
      <x:c r="A867" s="4"/>
      <x:c r="B867" s="4"/>
      <x:c r="C867" s="4"/>
      <x:c r="D867" s="4"/>
      <x:c r="E867" s="4"/>
      <x:c r="F867" s="4"/>
    </x:row>
    <x:row r="868" ht="64" customHeight="1">
      <x:c r="A868" s="4"/>
      <x:c r="B868" s="4"/>
      <x:c r="C868" s="4"/>
      <x:c r="D868" s="4"/>
      <x:c r="E868" s="4"/>
      <x:c r="F868" s="4"/>
    </x:row>
    <x:row r="869" ht="64" customHeight="1">
      <x:c r="A869" s="4"/>
      <x:c r="B869" s="4"/>
      <x:c r="C869" s="4"/>
      <x:c r="D869" s="4"/>
      <x:c r="E869" s="4"/>
      <x:c r="F869" s="4"/>
    </x:row>
    <x:row r="870" ht="64" customHeight="1">
      <x:c r="A870" s="4" t="str">
        <x:v>proposal.collection.iron_mark</x:v>
      </x:c>
      <x:c r="B870" s="4" t="str">
        <x:f>IFERROR(INDEX('Items'!$B$6:$B$1005,MATCH(A870,'Items'!$A$6:$A$1005,0)),"MISSING ID")</x:f>
        <x:v>Iron mark</x:v>
      </x:c>
      <x:c r="C870" s="4" t="str">
        <x:f>IFERROR(INDEX('Items'!$D$6:$D$1005,MATCH(A870,'Items'!$A$6:$A$1005,0)),"MISSING ID")</x:f>
        <x:v>Currency</x:v>
      </x:c>
      <x:c r="D870" s="4" t="str">
        <x:v>Primary</x:v>
      </x:c>
      <x:c r="E870" s="4" t="str">
        <x:f>IFERROR(INDEX('Items'!$AA$6:$AA$1005,MATCH(A870,'Items'!$A$6:$A$1005,0)),"MISSING ID")</x:f>
        <x:v>Trade</x:v>
      </x:c>
      <x:c r="F870" s="4" t="str">
        <x:v>Collection proposal: Author-directed currency material class, denomination value and craft grades open</x:v>
      </x:c>
    </x:row>
    <x:row r="871" ht="64" customHeight="1">
      <x:c r="A871" s="4" t="str">
        <x:v>proposal.collection.steel_mark</x:v>
      </x:c>
      <x:c r="B871" s="4" t="str">
        <x:f>IFERROR(INDEX('Items'!$B$6:$B$1005,MATCH(A871,'Items'!$A$6:$A$1005,0)),"MISSING ID")</x:f>
        <x:v>Steel mark</x:v>
      </x:c>
      <x:c r="C871" s="4" t="str">
        <x:f>IFERROR(INDEX('Items'!$D$6:$D$1005,MATCH(A871,'Items'!$A$6:$A$1005,0)),"MISSING ID")</x:f>
        <x:v>Currency</x:v>
      </x:c>
      <x:c r="D871" s="4" t="str">
        <x:v>Primary</x:v>
      </x:c>
      <x:c r="E871" s="4" t="str">
        <x:f>IFERROR(INDEX('Items'!$AA$6:$AA$1005,MATCH(A871,'Items'!$A$6:$A$1005,0)),"MISSING ID")</x:f>
        <x:v>Trade</x:v>
      </x:c>
      <x:c r="F871" s="4" t="str">
        <x:v>Collection proposal: Author-directed currency material class, denomination value and craft grades open</x:v>
      </x:c>
    </x:row>
    <x:row r="872" ht="64" customHeight="1">
      <x:c r="A872" s="4" t="str">
        <x:v>proposal.collection.ceramic_mark</x:v>
      </x:c>
      <x:c r="B872" s="4" t="str">
        <x:f>IFERROR(INDEX('Items'!$B$6:$B$1005,MATCH(A872,'Items'!$A$6:$A$1005,0)),"MISSING ID")</x:f>
        <x:v>Ceramic mark</x:v>
      </x:c>
      <x:c r="C872" s="4" t="str">
        <x:f>IFERROR(INDEX('Items'!$D$6:$D$1005,MATCH(A872,'Items'!$A$6:$A$1005,0)),"MISSING ID")</x:f>
        <x:v>Currency</x:v>
      </x:c>
      <x:c r="D872" s="4" t="str">
        <x:v>Primary</x:v>
      </x:c>
      <x:c r="E872" s="4" t="str">
        <x:f>IFERROR(INDEX('Items'!$AA$6:$AA$1005,MATCH(A872,'Items'!$A$6:$A$1005,0)),"MISSING ID")</x:f>
        <x:v>Trade</x:v>
      </x:c>
      <x:c r="F872" s="4" t="str">
        <x:v>Collection proposal: Author-directed currency material class, denomination value and craft grades open</x:v>
      </x:c>
    </x:row>
    <x:row r="873" ht="64" customHeight="1">
      <x:c r="A873" s="4" t="str">
        <x:v>proposal.collection.glass_mark</x:v>
      </x:c>
      <x:c r="B873" s="4" t="str">
        <x:f>IFERROR(INDEX('Items'!$B$6:$B$1005,MATCH(A873,'Items'!$A$6:$A$1005,0)),"MISSING ID")</x:f>
        <x:v>Glass mark</x:v>
      </x:c>
      <x:c r="C873" s="4" t="str">
        <x:f>IFERROR(INDEX('Items'!$D$6:$D$1005,MATCH(A873,'Items'!$A$6:$A$1005,0)),"MISSING ID")</x:f>
        <x:v>Currency</x:v>
      </x:c>
      <x:c r="D873" s="4" t="str">
        <x:v>Primary</x:v>
      </x:c>
      <x:c r="E873" s="4" t="str">
        <x:f>IFERROR(INDEX('Items'!$AA$6:$AA$1005,MATCH(A873,'Items'!$A$6:$A$1005,0)),"MISSING ID")</x:f>
        <x:v>Trade</x:v>
      </x:c>
      <x:c r="F873" s="4" t="str">
        <x:v>Collection proposal: Author-directed currency material class, denomination value and craft grades open</x:v>
      </x:c>
    </x:row>
    <x:row r="874" ht="64" customHeight="1">
      <x:c r="A874" s="4" t="str">
        <x:v>proposal.collection.hide_headed_shell_drum</x:v>
      </x:c>
      <x:c r="B874" s="4" t="str">
        <x:f>IFERROR(INDEX('Items'!$B$6:$B$1005,MATCH(A874,'Items'!$A$6:$A$1005,0)),"MISSING ID")</x:f>
        <x:v>Hide-headed shell drum</x:v>
      </x:c>
      <x:c r="C874" s="4" t="str">
        <x:f>IFERROR(INDEX('Items'!$D$6:$D$1005,MATCH(A874,'Items'!$A$6:$A$1005,0)),"MISSING ID")</x:f>
        <x:v>Salvage</x:v>
      </x:c>
      <x:c r="D874" s="4" t="str">
        <x:v>Primary</x:v>
      </x:c>
      <x:c r="E874" s="4" t="str">
        <x:f>IFERROR(INDEX('Items'!$AA$6:$AA$1005,MATCH(A874,'Items'!$A$6:$A$1005,0)),"MISSING ID")</x:f>
        <x:v>Music</x:v>
      </x:c>
      <x:c r="F874" s="4" t="str">
        <x:v>Collection proposal: Scarce hide membrane tensioned over an insect shell bowl</x:v>
      </x:c>
    </x:row>
    <x:row r="875" ht="64" customHeight="1">
      <x:c r="A875" s="4" t="str">
        <x:v>proposal.collection.double_headed_metal_drum</x:v>
      </x:c>
      <x:c r="B875" s="4" t="str">
        <x:f>IFERROR(INDEX('Items'!$B$6:$B$1005,MATCH(A875,'Items'!$A$6:$A$1005,0)),"MISSING ID")</x:f>
        <x:v>Double-headed metal drum</x:v>
      </x:c>
      <x:c r="C875" s="4" t="str">
        <x:f>IFERROR(INDEX('Items'!$D$6:$D$1005,MATCH(A875,'Items'!$A$6:$A$1005,0)),"MISSING ID")</x:f>
        <x:v>Salvage</x:v>
      </x:c>
      <x:c r="D875" s="4" t="str">
        <x:v>Primary</x:v>
      </x:c>
      <x:c r="E875" s="4" t="str">
        <x:f>IFERROR(INDEX('Items'!$AA$6:$AA$1005,MATCH(A875,'Items'!$A$6:$A$1005,0)),"MISSING ID")</x:f>
        <x:v>Music</x:v>
      </x:c>
      <x:c r="F875" s="4" t="str">
        <x:v>Collection proposal: Two scarce hide heads on a worked metal body</x:v>
      </x:c>
    </x:row>
    <x:row r="876" ht="64" customHeight="1">
      <x:c r="A876" s="4" t="str">
        <x:v>proposal.collection.slit_shell_drum</x:v>
      </x:c>
      <x:c r="B876" s="4" t="str">
        <x:f>IFERROR(INDEX('Items'!$B$6:$B$1005,MATCH(A876,'Items'!$A$6:$A$1005,0)),"MISSING ID")</x:f>
        <x:v>Slit shell drum</x:v>
      </x:c>
      <x:c r="C876" s="4" t="str">
        <x:f>IFERROR(INDEX('Items'!$D$6:$D$1005,MATCH(A876,'Items'!$A$6:$A$1005,0)),"MISSING ID")</x:f>
        <x:v>Salvage</x:v>
      </x:c>
      <x:c r="D876" s="4" t="str">
        <x:v>Primary</x:v>
      </x:c>
      <x:c r="E876" s="4" t="str">
        <x:f>IFERROR(INDEX('Items'!$AA$6:$AA$1005,MATCH(A876,'Items'!$A$6:$A$1005,0)),"MISSING ID")</x:f>
        <x:v>Music</x:v>
      </x:c>
      <x:c r="F876" s="4" t="str">
        <x:v>Collection proposal: Rigid resonant shell instrument requiring no hide head</x:v>
      </x:c>
    </x:row>
    <x:row r="877" ht="64" customHeight="1">
      <x:c r="A877" s="4" t="str">
        <x:v>proposal.collection.metal_frame_drum</x:v>
      </x:c>
      <x:c r="B877" s="4" t="str">
        <x:f>IFERROR(INDEX('Items'!$B$6:$B$1005,MATCH(A877,'Items'!$A$6:$A$1005,0)),"MISSING ID")</x:f>
        <x:v>Metal frame drum</x:v>
      </x:c>
      <x:c r="C877" s="4" t="str">
        <x:f>IFERROR(INDEX('Items'!$D$6:$D$1005,MATCH(A877,'Items'!$A$6:$A$1005,0)),"MISSING ID")</x:f>
        <x:v>Salvage</x:v>
      </x:c>
      <x:c r="D877" s="4" t="str">
        <x:v>Primary</x:v>
      </x:c>
      <x:c r="E877" s="4" t="str">
        <x:f>IFERROR(INDEX('Items'!$AA$6:$AA$1005,MATCH(A877,'Items'!$A$6:$A$1005,0)),"MISSING ID")</x:f>
        <x:v>Music</x:v>
      </x:c>
      <x:c r="F877" s="4" t="str">
        <x:v>Collection proposal: Shallow ring instrument with a minimal hide head</x:v>
      </x:c>
    </x:row>
    <x:row r="878" ht="64" customHeight="1">
      <x:c r="A878" s="4" t="str">
        <x:v>proposal.collection.shell_clapper_pair</x:v>
      </x:c>
      <x:c r="B878" s="4" t="str">
        <x:f>IFERROR(INDEX('Items'!$B$6:$B$1005,MATCH(A878,'Items'!$A$6:$A$1005,0)),"MISSING ID")</x:f>
        <x:v>Shell-clapper pair</x:v>
      </x:c>
      <x:c r="C878" s="4" t="str">
        <x:f>IFERROR(INDEX('Items'!$D$6:$D$1005,MATCH(A878,'Items'!$A$6:$A$1005,0)),"MISSING ID")</x:f>
        <x:v>Salvage</x:v>
      </x:c>
      <x:c r="D878" s="4" t="str">
        <x:v>Primary</x:v>
      </x:c>
      <x:c r="E878" s="4" t="str">
        <x:f>IFERROR(INDEX('Items'!$AA$6:$AA$1005,MATCH(A878,'Items'!$A$6:$A$1005,0)),"MISSING ID")</x:f>
        <x:v>Music</x:v>
      </x:c>
      <x:c r="F878" s="4" t="str">
        <x:v>Collection proposal: Two shaped shell halves struck together</x:v>
      </x:c>
    </x:row>
    <x:row r="879" ht="64" customHeight="1">
      <x:c r="A879" s="4" t="str">
        <x:v>proposal.collection.bronze_hand_bell</x:v>
      </x:c>
      <x:c r="B879" s="4" t="str">
        <x:f>IFERROR(INDEX('Items'!$B$6:$B$1005,MATCH(A879,'Items'!$A$6:$A$1005,0)),"MISSING ID")</x:f>
        <x:v>Bronze hand bell</x:v>
      </x:c>
      <x:c r="C879" s="4" t="str">
        <x:f>IFERROR(INDEX('Items'!$D$6:$D$1005,MATCH(A879,'Items'!$A$6:$A$1005,0)),"MISSING ID")</x:f>
        <x:v>Salvage</x:v>
      </x:c>
      <x:c r="D879" s="4" t="str">
        <x:v>Primary</x:v>
      </x:c>
      <x:c r="E879" s="4" t="str">
        <x:f>IFERROR(INDEX('Items'!$AA$6:$AA$1005,MATCH(A879,'Items'!$A$6:$A$1005,0)),"MISSING ID")</x:f>
        <x:v>Music</x:v>
      </x:c>
      <x:c r="F879" s="4" t="str">
        <x:v>Collection proposal: Cast bell with a suspended striker</x:v>
      </x:c>
    </x:row>
    <x:row r="880" ht="64" customHeight="1">
      <x:c r="A880" s="4" t="str">
        <x:v>proposal.collection.iron_cup_bell_chime</x:v>
      </x:c>
      <x:c r="B880" s="4" t="str">
        <x:f>IFERROR(INDEX('Items'!$B$6:$B$1005,MATCH(A880,'Items'!$A$6:$A$1005,0)),"MISSING ID")</x:f>
        <x:v>Iron cup-bell chime</x:v>
      </x:c>
      <x:c r="C880" s="4" t="str">
        <x:f>IFERROR(INDEX('Items'!$D$6:$D$1005,MATCH(A880,'Items'!$A$6:$A$1005,0)),"MISSING ID")</x:f>
        <x:v>Salvage</x:v>
      </x:c>
      <x:c r="D880" s="4" t="str">
        <x:v>Primary</x:v>
      </x:c>
      <x:c r="E880" s="4" t="str">
        <x:f>IFERROR(INDEX('Items'!$AA$6:$AA$1005,MATCH(A880,'Items'!$A$6:$A$1005,0)),"MISSING ID")</x:f>
        <x:v>Music</x:v>
      </x:c>
      <x:c r="F880" s="4" t="str">
        <x:v>Collection proposal: Several tuned metal cups suspended from a frame</x:v>
      </x:c>
    </x:row>
    <x:row r="881" ht="64" customHeight="1">
      <x:c r="A881" s="4" t="str">
        <x:v>proposal.collection.stone_bar_resonator</x:v>
      </x:c>
      <x:c r="B881" s="4" t="str">
        <x:f>IFERROR(INDEX('Items'!$B$6:$B$1005,MATCH(A881,'Items'!$A$6:$A$1005,0)),"MISSING ID")</x:f>
        <x:v>Stone-bar resonator</x:v>
      </x:c>
      <x:c r="C881" s="4" t="str">
        <x:f>IFERROR(INDEX('Items'!$D$6:$D$1005,MATCH(A881,'Items'!$A$6:$A$1005,0)),"MISSING ID")</x:f>
        <x:v>Salvage</x:v>
      </x:c>
      <x:c r="D881" s="4" t="str">
        <x:v>Primary</x:v>
      </x:c>
      <x:c r="E881" s="4" t="str">
        <x:f>IFERROR(INDEX('Items'!$AA$6:$AA$1005,MATCH(A881,'Items'!$A$6:$A$1005,0)),"MISSING ID")</x:f>
        <x:v>Music</x:v>
      </x:c>
      <x:c r="F881" s="4" t="str">
        <x:v>Collection proposal: Tuned stone bars mounted over a shell resonance cavity</x:v>
      </x:c>
    </x:row>
    <x:row r="882" ht="64" customHeight="1">
      <x:c r="A882" s="4" t="str">
        <x:v>proposal.collection.steel_tongue_drum</x:v>
      </x:c>
      <x:c r="B882" s="4" t="str">
        <x:f>IFERROR(INDEX('Items'!$B$6:$B$1005,MATCH(A882,'Items'!$A$6:$A$1005,0)),"MISSING ID")</x:f>
        <x:v>Steel tongue drum</x:v>
      </x:c>
      <x:c r="C882" s="4" t="str">
        <x:f>IFERROR(INDEX('Items'!$D$6:$D$1005,MATCH(A882,'Items'!$A$6:$A$1005,0)),"MISSING ID")</x:f>
        <x:v>Salvage</x:v>
      </x:c>
      <x:c r="D882" s="4" t="str">
        <x:v>Primary</x:v>
      </x:c>
      <x:c r="E882" s="4" t="str">
        <x:f>IFERROR(INDEX('Items'!$AA$6:$AA$1005,MATCH(A882,'Items'!$A$6:$A$1005,0)),"MISSING ID")</x:f>
        <x:v>Music</x:v>
      </x:c>
      <x:c r="F882" s="4" t="str">
        <x:v>Collection proposal: Cut metal tongues on a hollow metal body</x:v>
      </x:c>
    </x:row>
    <x:row r="883" ht="64" customHeight="1">
      <x:c r="A883" s="4" t="str">
        <x:v>proposal.collection.metal_transverse_flute</x:v>
      </x:c>
      <x:c r="B883" s="4" t="str">
        <x:f>IFERROR(INDEX('Items'!$B$6:$B$1005,MATCH(A883,'Items'!$A$6:$A$1005,0)),"MISSING ID")</x:f>
        <x:v>Metal transverse flute</x:v>
      </x:c>
      <x:c r="C883" s="4" t="str">
        <x:f>IFERROR(INDEX('Items'!$D$6:$D$1005,MATCH(A883,'Items'!$A$6:$A$1005,0)),"MISSING ID")</x:f>
        <x:v>Salvage</x:v>
      </x:c>
      <x:c r="D883" s="4" t="str">
        <x:v>Primary</x:v>
      </x:c>
      <x:c r="E883" s="4" t="str">
        <x:f>IFERROR(INDEX('Items'!$AA$6:$AA$1005,MATCH(A883,'Items'!$A$6:$A$1005,0)),"MISSING ID")</x:f>
        <x:v>Music</x:v>
      </x:c>
      <x:c r="F883" s="4" t="str">
        <x:v>Collection proposal: Side-blown metal tube instrument</x:v>
      </x:c>
    </x:row>
    <x:row r="884" ht="64" customHeight="1">
      <x:c r="A884" s="4" t="str">
        <x:v>proposal.collection.ceramic_duct_flute</x:v>
      </x:c>
      <x:c r="B884" s="4" t="str">
        <x:f>IFERROR(INDEX('Items'!$B$6:$B$1005,MATCH(A884,'Items'!$A$6:$A$1005,0)),"MISSING ID")</x:f>
        <x:v>Ceramic duct flute</x:v>
      </x:c>
      <x:c r="C884" s="4" t="str">
        <x:f>IFERROR(INDEX('Items'!$D$6:$D$1005,MATCH(A884,'Items'!$A$6:$A$1005,0)),"MISSING ID")</x:f>
        <x:v>Salvage</x:v>
      </x:c>
      <x:c r="D884" s="4" t="str">
        <x:v>Primary</x:v>
      </x:c>
      <x:c r="E884" s="4" t="str">
        <x:f>IFERROR(INDEX('Items'!$AA$6:$AA$1005,MATCH(A884,'Items'!$A$6:$A$1005,0)),"MISSING ID")</x:f>
        <x:v>Music</x:v>
      </x:c>
      <x:c r="F884" s="4" t="str">
        <x:v>Collection proposal: Molded air channel and finger-hole instrument</x:v>
      </x:c>
    </x:row>
    <x:row r="885" ht="64" customHeight="1">
      <x:c r="A885" s="4" t="str">
        <x:v>proposal.collection.hollow_horn_flute</x:v>
      </x:c>
      <x:c r="B885" s="4" t="str">
        <x:f>IFERROR(INDEX('Items'!$B$6:$B$1005,MATCH(A885,'Items'!$A$6:$A$1005,0)),"MISSING ID")</x:f>
        <x:v>Hollow-horn flute</x:v>
      </x:c>
      <x:c r="C885" s="4" t="str">
        <x:f>IFERROR(INDEX('Items'!$D$6:$D$1005,MATCH(A885,'Items'!$A$6:$A$1005,0)),"MISSING ID")</x:f>
        <x:v>Salvage</x:v>
      </x:c>
      <x:c r="D885" s="4" t="str">
        <x:v>Primary</x:v>
      </x:c>
      <x:c r="E885" s="4" t="str">
        <x:f>IFERROR(INDEX('Items'!$AA$6:$AA$1005,MATCH(A885,'Items'!$A$6:$A$1005,0)),"MISSING ID")</x:f>
        <x:v>Music</x:v>
      </x:c>
      <x:c r="F885" s="4" t="str">
        <x:v>Collection proposal: Worked fauna horn core used as a wind instrument</x:v>
      </x:c>
    </x:row>
    <x:row r="886" ht="64" customHeight="1">
      <x:c r="A886" s="4" t="str">
        <x:v>proposal.collection.wing_rib_whistle</x:v>
      </x:c>
      <x:c r="B886" s="4" t="str">
        <x:f>IFERROR(INDEX('Items'!$B$6:$B$1005,MATCH(A886,'Items'!$A$6:$A$1005,0)),"MISSING ID")</x:f>
        <x:v>Wing-rib whistle</x:v>
      </x:c>
      <x:c r="C886" s="4" t="str">
        <x:f>IFERROR(INDEX('Items'!$D$6:$D$1005,MATCH(A886,'Items'!$A$6:$A$1005,0)),"MISSING ID")</x:f>
        <x:v>Salvage</x:v>
      </x:c>
      <x:c r="D886" s="4" t="str">
        <x:v>Primary</x:v>
      </x:c>
      <x:c r="E886" s="4" t="str">
        <x:f>IFERROR(INDEX('Items'!$AA$6:$AA$1005,MATCH(A886,'Items'!$A$6:$A$1005,0)),"MISSING ID")</x:f>
        <x:v>Music</x:v>
      </x:c>
      <x:c r="F886" s="4" t="str">
        <x:v>Collection proposal: Small shaped hard-part whistle</x:v>
      </x:c>
    </x:row>
    <x:row r="887" ht="64" customHeight="1">
      <x:c r="A887" s="4" t="str">
        <x:v>proposal.collection.shell_chamber_ocarina</x:v>
      </x:c>
      <x:c r="B887" s="4" t="str">
        <x:f>IFERROR(INDEX('Items'!$B$6:$B$1005,MATCH(A887,'Items'!$A$6:$A$1005,0)),"MISSING ID")</x:f>
        <x:v>Shell chamber ocarina</x:v>
      </x:c>
      <x:c r="C887" s="4" t="str">
        <x:f>IFERROR(INDEX('Items'!$D$6:$D$1005,MATCH(A887,'Items'!$A$6:$A$1005,0)),"MISSING ID")</x:f>
        <x:v>Salvage</x:v>
      </x:c>
      <x:c r="D887" s="4" t="str">
        <x:v>Primary</x:v>
      </x:c>
      <x:c r="E887" s="4" t="str">
        <x:f>IFERROR(INDEX('Items'!$AA$6:$AA$1005,MATCH(A887,'Items'!$A$6:$A$1005,0)),"MISSING ID")</x:f>
        <x:v>Music</x:v>
      </x:c>
      <x:c r="F887" s="4" t="str">
        <x:v>Collection proposal: Hollow shell wind instrument with fitted mouthpiece</x:v>
      </x:c>
    </x:row>
    <x:row r="888" ht="64" customHeight="1">
      <x:c r="A888" s="4" t="str">
        <x:v>proposal.collection.bronze_lip_horn</x:v>
      </x:c>
      <x:c r="B888" s="4" t="str">
        <x:f>IFERROR(INDEX('Items'!$B$6:$B$1005,MATCH(A888,'Items'!$A$6:$A$1005,0)),"MISSING ID")</x:f>
        <x:v>Bronze lip horn</x:v>
      </x:c>
      <x:c r="C888" s="4" t="str">
        <x:f>IFERROR(INDEX('Items'!$D$6:$D$1005,MATCH(A888,'Items'!$A$6:$A$1005,0)),"MISSING ID")</x:f>
        <x:v>Salvage</x:v>
      </x:c>
      <x:c r="D888" s="4" t="str">
        <x:v>Primary</x:v>
      </x:c>
      <x:c r="E888" s="4" t="str">
        <x:f>IFERROR(INDEX('Items'!$AA$6:$AA$1005,MATCH(A888,'Items'!$A$6:$A$1005,0)),"MISSING ID")</x:f>
        <x:v>Music</x:v>
      </x:c>
      <x:c r="F888" s="4" t="str">
        <x:v>Collection proposal: Metal flared wind instrument</x:v>
      </x:c>
    </x:row>
    <x:row r="889" ht="64" customHeight="1">
      <x:c r="A889" s="4" t="str">
        <x:v>proposal.collection.metal_free_reed_mouth_organ</x:v>
      </x:c>
      <x:c r="B889" s="4" t="str">
        <x:f>IFERROR(INDEX('Items'!$B$6:$B$1005,MATCH(A889,'Items'!$A$6:$A$1005,0)),"MISSING ID")</x:f>
        <x:v>Metal free-reed mouth organ</x:v>
      </x:c>
      <x:c r="C889" s="4" t="str">
        <x:f>IFERROR(INDEX('Items'!$D$6:$D$1005,MATCH(A889,'Items'!$A$6:$A$1005,0)),"MISSING ID")</x:f>
        <x:v>Salvage</x:v>
      </x:c>
      <x:c r="D889" s="4" t="str">
        <x:v>Primary</x:v>
      </x:c>
      <x:c r="E889" s="4" t="str">
        <x:f>IFERROR(INDEX('Items'!$AA$6:$AA$1005,MATCH(A889,'Items'!$A$6:$A$1005,0)),"MISSING ID")</x:f>
        <x:v>Music</x:v>
      </x:c>
      <x:c r="F889" s="4" t="str">
        <x:v>Collection proposal: Small metal reed bank with a fitted mouthpiece</x:v>
      </x:c>
    </x:row>
    <x:row r="890" ht="64" customHeight="1">
      <x:c r="A890" s="4" t="str">
        <x:v>proposal.collection.wire_strung_shell_lyre</x:v>
      </x:c>
      <x:c r="B890" s="4" t="str">
        <x:f>IFERROR(INDEX('Items'!$B$6:$B$1005,MATCH(A890,'Items'!$A$6:$A$1005,0)),"MISSING ID")</x:f>
        <x:v>Wire-strung shell lyre</x:v>
      </x:c>
      <x:c r="C890" s="4" t="str">
        <x:f>IFERROR(INDEX('Items'!$D$6:$D$1005,MATCH(A890,'Items'!$A$6:$A$1005,0)),"MISSING ID")</x:f>
        <x:v>Salvage</x:v>
      </x:c>
      <x:c r="D890" s="4" t="str">
        <x:v>Primary</x:v>
      </x:c>
      <x:c r="E890" s="4" t="str">
        <x:f>IFERROR(INDEX('Items'!$AA$6:$AA$1005,MATCH(A890,'Items'!$A$6:$A$1005,0)),"MISSING ID")</x:f>
        <x:v>Music</x:v>
      </x:c>
      <x:c r="F890" s="4" t="str">
        <x:v>Collection proposal: Scarce conductive wire or steel strings on a shell frame</x:v>
      </x:c>
    </x:row>
    <x:row r="891" ht="64" customHeight="1">
      <x:c r="A891" s="4" t="str">
        <x:v>proposal.collection.tendon_strung_metal_zither</x:v>
      </x:c>
      <x:c r="B891" s="4" t="str">
        <x:f>IFERROR(INDEX('Items'!$B$6:$B$1005,MATCH(A891,'Items'!$A$6:$A$1005,0)),"MISSING ID")</x:f>
        <x:v>Tendon-strung metal zither</x:v>
      </x:c>
      <x:c r="C891" s="4" t="str">
        <x:f>IFERROR(INDEX('Items'!$D$6:$D$1005,MATCH(A891,'Items'!$A$6:$A$1005,0)),"MISSING ID")</x:f>
        <x:v>Salvage</x:v>
      </x:c>
      <x:c r="D891" s="4" t="str">
        <x:v>Primary</x:v>
      </x:c>
      <x:c r="E891" s="4" t="str">
        <x:f>IFERROR(INDEX('Items'!$AA$6:$AA$1005,MATCH(A891,'Items'!$A$6:$A$1005,0)),"MISSING ID")</x:f>
        <x:v>Music</x:v>
      </x:c>
      <x:c r="F891" s="4" t="str">
        <x:v>Collection proposal: Prepared tendon strings on a resonant metal tray</x:v>
      </x:c>
    </x:row>
    <x:row r="892" ht="64" customHeight="1">
      <x:c r="A892" s="4" t="str">
        <x:v>proposal.collection.steel_jaw_harp</x:v>
      </x:c>
      <x:c r="B892" s="4" t="str">
        <x:f>IFERROR(INDEX('Items'!$B$6:$B$1005,MATCH(A892,'Items'!$A$6:$A$1005,0)),"MISSING ID")</x:f>
        <x:v>Steel jaw harp</x:v>
      </x:c>
      <x:c r="C892" s="4" t="str">
        <x:f>IFERROR(INDEX('Items'!$D$6:$D$1005,MATCH(A892,'Items'!$A$6:$A$1005,0)),"MISSING ID")</x:f>
        <x:v>Salvage</x:v>
      </x:c>
      <x:c r="D892" s="4" t="str">
        <x:v>Primary</x:v>
      </x:c>
      <x:c r="E892" s="4" t="str">
        <x:f>IFERROR(INDEX('Items'!$AA$6:$AA$1005,MATCH(A892,'Items'!$A$6:$A$1005,0)),"MISSING ID")</x:f>
        <x:v>Music</x:v>
      </x:c>
      <x:c r="F892" s="4" t="str">
        <x:v>Collection proposal: Plucked spring tongue in a compact metal frame</x:v>
      </x:c>
    </x:row>
    <x:row r="893" ht="64" customHeight="1">
      <x:c r="A893" s="4" t="str">
        <x:v>proposal.collection.folding_vertical_wing_shade</x:v>
      </x:c>
      <x:c r="B893" s="4" t="str">
        <x:f>IFERROR(INDEX('Items'!$B$6:$B$1005,MATCH(A893,'Items'!$A$6:$A$1005,0)),"MISSING ID")</x:f>
        <x:v>Folding vertical wing shade</x:v>
      </x:c>
      <x:c r="C893" s="4" t="str">
        <x:f>IFERROR(INDEX('Items'!$D$6:$D$1005,MATCH(A893,'Items'!$A$6:$A$1005,0)),"MISSING ID")</x:f>
        <x:v>Salvage</x:v>
      </x:c>
      <x:c r="D893" s="4" t="str">
        <x:v>Primary</x:v>
      </x:c>
      <x:c r="E893" s="4" t="str">
        <x:f>IFERROR(INDEX('Items'!$AA$6:$AA$1005,MATCH(A893,'Items'!$A$6:$A$1005,0)),"MISSING ID")</x:f>
        <x:v>Sun shading</x:v>
      </x:c>
      <x:c r="F893" s="4" t="str">
        <x:v>Collection proposal: Upright inner-wing panel for directional sun shade</x:v>
      </x:c>
    </x:row>
    <x:row r="894" ht="64" customHeight="1">
      <x:c r="A894" s="4" t="str">
        <x:v>proposal.collection.low_wing_roof_panel</x:v>
      </x:c>
      <x:c r="B894" s="4" t="str">
        <x:f>IFERROR(INDEX('Items'!$B$6:$B$1005,MATCH(A894,'Items'!$A$6:$A$1005,0)),"MISSING ID")</x:f>
        <x:v>Low wing-roof panel</x:v>
      </x:c>
      <x:c r="C894" s="4" t="str">
        <x:f>IFERROR(INDEX('Items'!$D$6:$D$1005,MATCH(A894,'Items'!$A$6:$A$1005,0)),"MISSING ID")</x:f>
        <x:v>Salvage</x:v>
      </x:c>
      <x:c r="D894" s="4" t="str">
        <x:v>Primary</x:v>
      </x:c>
      <x:c r="E894" s="4" t="str">
        <x:f>IFERROR(INDEX('Items'!$AA$6:$AA$1005,MATCH(A894,'Items'!$A$6:$A$1005,0)),"MISSING ID")</x:f>
        <x:v>Sun shading</x:v>
      </x:c>
      <x:c r="F894" s="4" t="str">
        <x:v>Collection proposal: Overhead wing membrane roof section</x:v>
      </x:c>
    </x:row>
    <x:row r="895" ht="64" customHeight="1">
      <x:c r="A895" s="4" t="str">
        <x:v>proposal.collection.segmented_shelter_pole_set</x:v>
      </x:c>
      <x:c r="B895" s="4" t="str">
        <x:f>IFERROR(INDEX('Items'!$B$6:$B$1005,MATCH(A895,'Items'!$A$6:$A$1005,0)),"MISSING ID")</x:f>
        <x:v>Segmented shelter pole set</x:v>
      </x:c>
      <x:c r="C895" s="4" t="str">
        <x:f>IFERROR(INDEX('Items'!$D$6:$D$1005,MATCH(A895,'Items'!$A$6:$A$1005,0)),"MISSING ID")</x:f>
        <x:v>Salvage</x:v>
      </x:c>
      <x:c r="D895" s="4" t="str">
        <x:v>Primary</x:v>
      </x:c>
      <x:c r="E895" s="4" t="str">
        <x:f>IFERROR(INDEX('Items'!$AA$6:$AA$1005,MATCH(A895,'Items'!$A$6:$A$1005,0)),"MISSING ID")</x:f>
        <x:v>Camp rest</x:v>
      </x:c>
      <x:c r="F895" s="4" t="str">
        <x:v>Collection proposal: Packable metal supports for a proposed camp arrangement</x:v>
      </x:c>
    </x:row>
    <x:row r="896" ht="64" customHeight="1">
      <x:c r="A896" s="4" t="str">
        <x:v>proposal.collection.ground_anchor_stake_set</x:v>
      </x:c>
      <x:c r="B896" s="4" t="str">
        <x:f>IFERROR(INDEX('Items'!$B$6:$B$1005,MATCH(A896,'Items'!$A$6:$A$1005,0)),"MISSING ID")</x:f>
        <x:v>Ground-anchor stake set</x:v>
      </x:c>
      <x:c r="C896" s="4" t="str">
        <x:f>IFERROR(INDEX('Items'!$D$6:$D$1005,MATCH(A896,'Items'!$A$6:$A$1005,0)),"MISSING ID")</x:f>
        <x:v>Salvage</x:v>
      </x:c>
      <x:c r="D896" s="4" t="str">
        <x:v>Primary</x:v>
      </x:c>
      <x:c r="E896" s="4" t="str">
        <x:f>IFERROR(INDEX('Items'!$AA$6:$AA$1005,MATCH(A896,'Items'!$A$6:$A$1005,0)),"MISSING ID")</x:f>
        <x:v>Camp rest</x:v>
      </x:c>
      <x:c r="F896" s="4" t="str">
        <x:v>Collection proposal: Retains camp lines in suitable ground</x:v>
      </x:c>
    </x:row>
    <x:row r="897" ht="64" customHeight="1">
      <x:c r="A897" s="4" t="str">
        <x:v>proposal.collection.tendon_guyline_bundle</x:v>
      </x:c>
      <x:c r="B897" s="4" t="str">
        <x:f>IFERROR(INDEX('Items'!$B$6:$B$1005,MATCH(A897,'Items'!$A$6:$A$1005,0)),"MISSING ID")</x:f>
        <x:v>Tendon guyline bundle</x:v>
      </x:c>
      <x:c r="C897" s="4" t="str">
        <x:f>IFERROR(INDEX('Items'!$D$6:$D$1005,MATCH(A897,'Items'!$A$6:$A$1005,0)),"MISSING ID")</x:f>
        <x:v>Salvage</x:v>
      </x:c>
      <x:c r="D897" s="4" t="str">
        <x:v>Primary</x:v>
      </x:c>
      <x:c r="E897" s="4" t="str">
        <x:f>IFERROR(INDEX('Items'!$AA$6:$AA$1005,MATCH(A897,'Items'!$A$6:$A$1005,0)),"MISSING ID")</x:f>
        <x:v>Camp rest</x:v>
      </x:c>
      <x:c r="F897" s="4" t="str">
        <x:v>Collection proposal: Prepared biological lines for shelter anchoring</x:v>
      </x:c>
    </x:row>
    <x:row r="898" ht="64" customHeight="1">
      <x:c r="A898" s="4" t="str">
        <x:v>proposal.collection.husk_sheet_grit_screen</x:v>
      </x:c>
      <x:c r="B898" s="4" t="str">
        <x:f>IFERROR(INDEX('Items'!$B$6:$B$1005,MATCH(A898,'Items'!$A$6:$A$1005,0)),"MISSING ID")</x:f>
        <x:v>Husk-sheet grit screen</x:v>
      </x:c>
      <x:c r="C898" s="4" t="str">
        <x:f>IFERROR(INDEX('Items'!$D$6:$D$1005,MATCH(A898,'Items'!$A$6:$A$1005,0)),"MISSING ID")</x:f>
        <x:v>Salvage</x:v>
      </x:c>
      <x:c r="D898" s="4" t="str">
        <x:v>Primary</x:v>
      </x:c>
      <x:c r="E898" s="4" t="str">
        <x:f>IFERROR(INDEX('Items'!$AA$6:$AA$1005,MATCH(A898,'Items'!$A$6:$A$1005,0)),"MISSING ID")</x:f>
        <x:v>Camp rest</x:v>
      </x:c>
      <x:c r="F898" s="4" t="str">
        <x:v>Collection proposal: Replaceable wind-facing grit screen, no filtration rating</x:v>
      </x:c>
    </x:row>
    <x:row r="899" ht="64" customHeight="1">
      <x:c r="A899" s="4" t="str">
        <x:v>proposal.collection.shell_ground_rest_panel</x:v>
      </x:c>
      <x:c r="B899" s="4" t="str">
        <x:f>IFERROR(INDEX('Items'!$B$6:$B$1005,MATCH(A899,'Items'!$A$6:$A$1005,0)),"MISSING ID")</x:f>
        <x:v>Shell ground-rest panel</x:v>
      </x:c>
      <x:c r="C899" s="4" t="str">
        <x:f>IFERROR(INDEX('Items'!$D$6:$D$1005,MATCH(A899,'Items'!$A$6:$A$1005,0)),"MISSING ID")</x:f>
        <x:v>Salvage</x:v>
      </x:c>
      <x:c r="D899" s="4" t="str">
        <x:v>Primary</x:v>
      </x:c>
      <x:c r="E899" s="4" t="str">
        <x:f>IFERROR(INDEX('Items'!$AA$6:$AA$1005,MATCH(A899,'Items'!$A$6:$A$1005,0)),"MISSING ID")</x:f>
        <x:v>Camp rest</x:v>
      </x:c>
      <x:c r="F899" s="4" t="str">
        <x:v>Collection proposal: Raised resting surface with little textile demand</x:v>
      </x:c>
    </x:row>
    <x:row r="900" ht="64" customHeight="1">
      <x:c r="A900" s="4" t="str">
        <x:v>proposal.collection.folding_privacy_partition</x:v>
      </x:c>
      <x:c r="B900" s="4" t="str">
        <x:f>IFERROR(INDEX('Items'!$B$6:$B$1005,MATCH(A900,'Items'!$A$6:$A$1005,0)),"MISSING ID")</x:f>
        <x:v>Folding privacy partition</x:v>
      </x:c>
      <x:c r="C900" s="4" t="str">
        <x:f>IFERROR(INDEX('Items'!$D$6:$D$1005,MATCH(A900,'Items'!$A$6:$A$1005,0)),"MISSING ID")</x:f>
        <x:v>Salvage</x:v>
      </x:c>
      <x:c r="D900" s="4" t="str">
        <x:v>Primary</x:v>
      </x:c>
      <x:c r="E900" s="4" t="str">
        <x:f>IFERROR(INDEX('Items'!$AA$6:$AA$1005,MATCH(A900,'Items'!$A$6:$A$1005,0)),"MISSING ID")</x:f>
        <x:v>Camp rest</x:v>
      </x:c>
      <x:c r="F900" s="4" t="str">
        <x:v>Collection proposal: Pressed-husk panel on a reusable frame</x:v>
      </x:c>
    </x:row>
    <x:row r="901" ht="64" customHeight="1">
      <x:c r="A901" s="4" t="str">
        <x:v>proposal.collection.canister_shelter_docking_stand</x:v>
      </x:c>
      <x:c r="B901" s="4" t="str">
        <x:f>IFERROR(INDEX('Items'!$B$6:$B$1005,MATCH(A901,'Items'!$A$6:$A$1005,0)),"MISSING ID")</x:f>
        <x:v>Canister shelter docking stand</x:v>
      </x:c>
      <x:c r="C901" s="4" t="str">
        <x:f>IFERROR(INDEX('Items'!$D$6:$D$1005,MATCH(A901,'Items'!$A$6:$A$1005,0)),"MISSING ID")</x:f>
        <x:v>Salvage</x:v>
      </x:c>
      <x:c r="D901" s="4" t="str">
        <x:v>Primary</x:v>
      </x:c>
      <x:c r="E901" s="4" t="str">
        <x:f>IFERROR(INDEX('Items'!$AA$6:$AA$1005,MATCH(A901,'Items'!$A$6:$A$1005,0)),"MISSING ID")</x:f>
        <x:v>Camp rest</x:v>
      </x:c>
      <x:c r="F901" s="4" t="str">
        <x:v>Collection proposal: Keeps a canister upright near a resting place</x:v>
      </x:c>
    </x:row>
    <x:row r="902" ht="64" customHeight="1">
      <x:c r="A902" s="4" t="str">
        <x:v>proposal.collection.shelter_repair_patch_roll</x:v>
      </x:c>
      <x:c r="B902" s="4" t="str">
        <x:f>IFERROR(INDEX('Items'!$B$6:$B$1005,MATCH(A902,'Items'!$A$6:$A$1005,0)),"MISSING ID")</x:f>
        <x:v>Shelter repair patch roll</x:v>
      </x:c>
      <x:c r="C902" s="4" t="str">
        <x:f>IFERROR(INDEX('Items'!$D$6:$D$1005,MATCH(A902,'Items'!$A$6:$A$1005,0)),"MISSING ID")</x:f>
        <x:v>Salvage</x:v>
      </x:c>
      <x:c r="D902" s="4" t="str">
        <x:v>Primary</x:v>
      </x:c>
      <x:c r="E902" s="4" t="str">
        <x:f>IFERROR(INDEX('Items'!$AA$6:$AA$1005,MATCH(A902,'Items'!$A$6:$A$1005,0)),"MISSING ID")</x:f>
        <x:v>Camp rest</x:v>
      </x:c>
      <x:c r="F902" s="4" t="str">
        <x:v>Collection proposal: Prepared membrane patches and retainers for the kit</x:v>
      </x:c>
    </x:row>
    <x:row r="903" ht="64" customHeight="1">
      <x:c r="A903" s="4" t="str">
        <x:v>proposal.collection.round_iron_buckler</x:v>
      </x:c>
      <x:c r="B903" s="4" t="str">
        <x:f>IFERROR(INDEX('Items'!$B$6:$B$1005,MATCH(A903,'Items'!$A$6:$A$1005,0)),"MISSING ID")</x:f>
        <x:v>Round iron buckler</x:v>
      </x:c>
      <x:c r="C903" s="4" t="str">
        <x:f>IFERROR(INDEX('Items'!$D$6:$D$1005,MATCH(A903,'Items'!$A$6:$A$1005,0)),"MISSING ID")</x:f>
        <x:v>Armor</x:v>
      </x:c>
      <x:c r="D903" s="4" t="str">
        <x:v>Primary</x:v>
      </x:c>
      <x:c r="E903" s="4" t="str">
        <x:f>IFERROR(INDEX('Items'!$AA$6:$AA$1005,MATCH(A903,'Items'!$A$6:$A$1005,0)),"MISSING ID")</x:f>
        <x:v>Defensive combat</x:v>
      </x:c>
      <x:c r="F903" s="4" t="str">
        <x:v>Collection proposal: Small hand shield with a metal grip</x:v>
      </x:c>
    </x:row>
    <x:row r="904" ht="64" customHeight="1">
      <x:c r="A904" s="4" t="str">
        <x:v>proposal.collection.riveted_steel_round_shield</x:v>
      </x:c>
      <x:c r="B904" s="4" t="str">
        <x:f>IFERROR(INDEX('Items'!$B$6:$B$1005,MATCH(A904,'Items'!$A$6:$A$1005,0)),"MISSING ID")</x:f>
        <x:v>Riveted steel round shield</x:v>
      </x:c>
      <x:c r="C904" s="4" t="str">
        <x:f>IFERROR(INDEX('Items'!$D$6:$D$1005,MATCH(A904,'Items'!$A$6:$A$1005,0)),"MISSING ID")</x:f>
        <x:v>Armor</x:v>
      </x:c>
      <x:c r="D904" s="4" t="str">
        <x:v>Primary</x:v>
      </x:c>
      <x:c r="E904" s="4" t="str">
        <x:f>IFERROR(INDEX('Items'!$AA$6:$AA$1005,MATCH(A904,'Items'!$A$6:$A$1005,0)),"MISSING ID")</x:f>
        <x:v>Defensive combat</x:v>
      </x:c>
      <x:c r="F904" s="4" t="str">
        <x:v>Collection proposal: Broader metal shield with replaceable handle fittings</x:v>
      </x:c>
    </x:row>
    <x:row r="905" ht="64" customHeight="1">
      <x:c r="A905" s="4" t="str">
        <x:v>proposal.collection.broad_chitin_shield</x:v>
      </x:c>
      <x:c r="B905" s="4" t="str">
        <x:f>IFERROR(INDEX('Items'!$B$6:$B$1005,MATCH(A905,'Items'!$A$6:$A$1005,0)),"MISSING ID")</x:f>
        <x:v>Broad chitin shield</x:v>
      </x:c>
      <x:c r="C905" s="4" t="str">
        <x:f>IFERROR(INDEX('Items'!$D$6:$D$1005,MATCH(A905,'Items'!$A$6:$A$1005,0)),"MISSING ID")</x:f>
        <x:v>Armor</x:v>
      </x:c>
      <x:c r="D905" s="4" t="str">
        <x:v>Primary</x:v>
      </x:c>
      <x:c r="E905" s="4" t="str">
        <x:f>IFERROR(INDEX('Items'!$AA$6:$AA$1005,MATCH(A905,'Items'!$A$6:$A$1005,0)),"MISSING ID")</x:f>
        <x:v>Defensive combat</x:v>
      </x:c>
      <x:c r="F905" s="4" t="str">
        <x:v>Collection proposal: Cheap shell plate with a reinforced grip</x:v>
      </x:c>
    </x:row>
    <x:row r="906" ht="64" customHeight="1">
      <x:c r="A906" s="4"/>
      <x:c r="B906" s="4"/>
      <x:c r="C906" s="4"/>
      <x:c r="D906" s="4"/>
      <x:c r="E906" s="4"/>
      <x:c r="F906" s="4"/>
    </x:row>
    <x:row r="907" ht="64" customHeight="1">
      <x:c r="A907" s="4" t="str">
        <x:v>proposal.collection.tall_iron_pavise</x:v>
      </x:c>
      <x:c r="B907" s="4" t="str">
        <x:f>IFERROR(INDEX('Items'!$B$6:$B$1005,MATCH(A907,'Items'!$A$6:$A$1005,0)),"MISSING ID")</x:f>
        <x:v>Tall iron pavise</x:v>
      </x:c>
      <x:c r="C907" s="4" t="str">
        <x:f>IFERROR(INDEX('Items'!$D$6:$D$1005,MATCH(A907,'Items'!$A$6:$A$1005,0)),"MISSING ID")</x:f>
        <x:v>Armor</x:v>
      </x:c>
      <x:c r="D907" s="4" t="str">
        <x:v>Primary</x:v>
      </x:c>
      <x:c r="E907" s="4" t="str">
        <x:f>IFERROR(INDEX('Items'!$AA$6:$AA$1005,MATCH(A907,'Items'!$A$6:$A$1005,0)),"MISSING ID")</x:f>
        <x:v>Defensive combat</x:v>
      </x:c>
      <x:c r="F907" s="4" t="str">
        <x:v>Collection proposal: Set-down metal shield for a fixed position</x:v>
      </x:c>
    </x:row>
    <x:row r="908" ht="64" customHeight="1">
      <x:c r="A908" s="4" t="str">
        <x:v>proposal.collection.folding_wing_frame_screen_shield</x:v>
      </x:c>
      <x:c r="B908" s="4" t="str">
        <x:f>IFERROR(INDEX('Items'!$B$6:$B$1005,MATCH(A908,'Items'!$A$6:$A$1005,0)),"MISSING ID")</x:f>
        <x:v>Folding wing-frame screen shield</x:v>
      </x:c>
      <x:c r="C908" s="4" t="str">
        <x:f>IFERROR(INDEX('Items'!$D$6:$D$1005,MATCH(A908,'Items'!$A$6:$A$1005,0)),"MISSING ID")</x:f>
        <x:v>Armor</x:v>
      </x:c>
      <x:c r="D908" s="4" t="str">
        <x:v>Primary</x:v>
      </x:c>
      <x:c r="E908" s="4" t="str">
        <x:f>IFERROR(INDEX('Items'!$AA$6:$AA$1005,MATCH(A908,'Items'!$A$6:$A$1005,0)),"MISSING ID")</x:f>
        <x:v>Defensive combat</x:v>
      </x:c>
      <x:c r="F908" s="4" t="str">
        <x:v>Collection proposal: Light frame with membrane screening, limited physical protection proposed</x:v>
      </x:c>
    </x:row>
    <x:row r="909" ht="64" customHeight="1">
      <x:c r="A909" s="4"/>
      <x:c r="B909" s="4"/>
      <x:c r="C909" s="4"/>
      <x:c r="D909" s="4"/>
      <x:c r="E909" s="4"/>
      <x:c r="F909" s="4"/>
    </x:row>
    <x:row r="910" ht="64" customHeight="1">
      <x:c r="A910" s="4" t="str">
        <x:v>proposal.collection.layered_husk_shield</x:v>
      </x:c>
      <x:c r="B910" s="4" t="str">
        <x:f>IFERROR(INDEX('Items'!$B$6:$B$1005,MATCH(A910,'Items'!$A$6:$A$1005,0)),"MISSING ID")</x:f>
        <x:v>Layered husk shield</x:v>
      </x:c>
      <x:c r="C910" s="4" t="str">
        <x:f>IFERROR(INDEX('Items'!$D$6:$D$1005,MATCH(A910,'Items'!$A$6:$A$1005,0)),"MISSING ID")</x:f>
        <x:v>Armor</x:v>
      </x:c>
      <x:c r="D910" s="4" t="str">
        <x:v>Primary</x:v>
      </x:c>
      <x:c r="E910" s="4" t="str">
        <x:f>IFERROR(INDEX('Items'!$AA$6:$AA$1005,MATCH(A910,'Items'!$A$6:$A$1005,0)),"MISSING ID")</x:f>
        <x:v>Defensive combat</x:v>
      </x:c>
      <x:c r="F910" s="4" t="str">
        <x:v>Collection proposal: Costly bonded husk panels for a light shield</x:v>
      </x:c>
    </x:row>
    <x:row r="911" ht="64" customHeight="1">
      <x:c r="A911" s="4" t="str">
        <x:v>proposal.collection.steel_rimmed_shell_shield</x:v>
      </x:c>
      <x:c r="B911" s="4" t="str">
        <x:f>IFERROR(INDEX('Items'!$B$6:$B$1005,MATCH(A911,'Items'!$A$6:$A$1005,0)),"MISSING ID")</x:f>
        <x:v>Steel-rimmed shell shield</x:v>
      </x:c>
      <x:c r="C911" s="4" t="str">
        <x:f>IFERROR(INDEX('Items'!$D$6:$D$1005,MATCH(A911,'Items'!$A$6:$A$1005,0)),"MISSING ID")</x:f>
        <x:v>Armor</x:v>
      </x:c>
      <x:c r="D911" s="4" t="str">
        <x:v>Primary</x:v>
      </x:c>
      <x:c r="E911" s="4" t="str">
        <x:f>IFERROR(INDEX('Items'!$AA$6:$AA$1005,MATCH(A911,'Items'!$A$6:$A$1005,0)),"MISSING ID")</x:f>
        <x:v>Defensive combat</x:v>
      </x:c>
      <x:c r="F911" s="4" t="str">
        <x:v>Collection proposal: Metal rim protects a replaceable shell center</x:v>
      </x:c>
    </x:row>
    <x:row r="912" ht="64" customHeight="1">
      <x:c r="A912" s="4"/>
      <x:c r="B912" s="4"/>
      <x:c r="C912" s="4"/>
      <x:c r="D912" s="4"/>
      <x:c r="E912" s="4"/>
      <x:c r="F912" s="4"/>
    </x:row>
    <x:row r="913" ht="64" customHeight="1">
      <x:c r="A913" s="4" t="str">
        <x:v>proposal.collection.elbow_strapped_work_shield</x:v>
      </x:c>
      <x:c r="B913" s="4" t="str">
        <x:f>IFERROR(INDEX('Items'!$B$6:$B$1005,MATCH(A913,'Items'!$A$6:$A$1005,0)),"MISSING ID")</x:f>
        <x:v>Elbow-strapped work shield</x:v>
      </x:c>
      <x:c r="C913" s="4" t="str">
        <x:f>IFERROR(INDEX('Items'!$D$6:$D$1005,MATCH(A913,'Items'!$A$6:$A$1005,0)),"MISSING ID")</x:f>
        <x:v>Armor</x:v>
      </x:c>
      <x:c r="D913" s="4" t="str">
        <x:v>Primary</x:v>
      </x:c>
      <x:c r="E913" s="4" t="str">
        <x:f>IFERROR(INDEX('Items'!$AA$6:$AA$1005,MATCH(A913,'Items'!$A$6:$A$1005,0)),"MISSING ID")</x:f>
        <x:v>Defensive combat</x:v>
      </x:c>
      <x:c r="F913" s="4" t="str">
        <x:v>Collection proposal: Small arm shield leaving a limited hand grip</x:v>
      </x:c>
    </x:row>
    <x:row r="914" ht="64" customHeight="1">
      <x:c r="A914" s="4" t="str">
        <x:v>proposal.collection.knee_braced_ground_shield</x:v>
      </x:c>
      <x:c r="B914" s="4" t="str">
        <x:f>IFERROR(INDEX('Items'!$B$6:$B$1005,MATCH(A914,'Items'!$A$6:$A$1005,0)),"MISSING ID")</x:f>
        <x:v>Knee-braced ground shield</x:v>
      </x:c>
      <x:c r="C914" s="4" t="str">
        <x:f>IFERROR(INDEX('Items'!$D$6:$D$1005,MATCH(A914,'Items'!$A$6:$A$1005,0)),"MISSING ID")</x:f>
        <x:v>Armor</x:v>
      </x:c>
      <x:c r="D914" s="4" t="str">
        <x:v>Primary</x:v>
      </x:c>
      <x:c r="E914" s="4" t="str">
        <x:f>IFERROR(INDEX('Items'!$AA$6:$AA$1005,MATCH(A914,'Items'!$A$6:$A$1005,0)),"MISSING ID")</x:f>
        <x:v>Defensive combat</x:v>
      </x:c>
      <x:c r="F914" s="4" t="str">
        <x:v>Collection proposal: Braced shield for low stationary cover</x:v>
      </x:c>
    </x:row>
    <x:row r="915" ht="64" customHeight="1">
      <x:c r="A915" s="4" t="str">
        <x:v>proposal.collection.segmented_tower_shield</x:v>
      </x:c>
      <x:c r="B915" s="4" t="str">
        <x:f>IFERROR(INDEX('Items'!$B$6:$B$1005,MATCH(A915,'Items'!$A$6:$A$1005,0)),"MISSING ID")</x:f>
        <x:v>Segmented tower shield</x:v>
      </x:c>
      <x:c r="C915" s="4" t="str">
        <x:f>IFERROR(INDEX('Items'!$D$6:$D$1005,MATCH(A915,'Items'!$A$6:$A$1005,0)),"MISSING ID")</x:f>
        <x:v>Armor</x:v>
      </x:c>
      <x:c r="D915" s="4" t="str">
        <x:v>Primary</x:v>
      </x:c>
      <x:c r="E915" s="4" t="str">
        <x:f>IFERROR(INDEX('Items'!$AA$6:$AA$1005,MATCH(A915,'Items'!$A$6:$A$1005,0)),"MISSING ID")</x:f>
        <x:v>Defensive combat</x:v>
      </x:c>
      <x:c r="F915" s="4" t="str">
        <x:v>Collection proposal: Linked metal panels with a serviceable grip frame</x:v>
      </x:c>
    </x:row>
    <x:row r="916" ht="64" customHeight="1">
      <x:c r="A916" s="4"/>
      <x:c r="B916" s="4"/>
      <x:c r="C916" s="4"/>
      <x:c r="D916" s="4"/>
      <x:c r="E916" s="4"/>
      <x:c r="F916" s="4"/>
    </x:row>
    <x:row r="917" ht="64" customHeight="1">
      <x:c r="A917" s="4"/>
      <x:c r="B917" s="4"/>
      <x:c r="C917" s="4"/>
      <x:c r="D917" s="4"/>
      <x:c r="E917" s="4"/>
      <x:c r="F917" s="4"/>
    </x:row>
    <x:row r="918" ht="64" customHeight="1">
      <x:c r="A918" s="4" t="str">
        <x:v>proposal.collection.insulated_handle_shield</x:v>
      </x:c>
      <x:c r="B918" s="4" t="str">
        <x:f>IFERROR(INDEX('Items'!$B$6:$B$1005,MATCH(A918,'Items'!$A$6:$A$1005,0)),"MISSING ID")</x:f>
        <x:v>Insulated-handle shield</x:v>
      </x:c>
      <x:c r="C918" s="4" t="str">
        <x:f>IFERROR(INDEX('Items'!$D$6:$D$1005,MATCH(A918,'Items'!$A$6:$A$1005,0)),"MISSING ID")</x:f>
        <x:v>Armor</x:v>
      </x:c>
      <x:c r="D918" s="4" t="str">
        <x:v>Primary</x:v>
      </x:c>
      <x:c r="E918" s="4" t="str">
        <x:f>IFERROR(INDEX('Items'!$AA$6:$AA$1005,MATCH(A918,'Items'!$A$6:$A$1005,0)),"MISSING ID")</x:f>
        <x:v>Defensive combat</x:v>
      </x:c>
      <x:c r="F918" s="4" t="str">
        <x:v>Collection proposal: Shield with separated handle contacts, no voltage rating</x:v>
      </x:c>
    </x:row>
    <x:row r="919" ht="64" customHeight="1">
      <x:c r="A919" s="4"/>
      <x:c r="B919" s="4"/>
      <x:c r="C919" s="4"/>
      <x:c r="D919" s="4"/>
      <x:c r="E919" s="4"/>
      <x:c r="F919" s="4"/>
    </x:row>
    <x:row r="920" ht="64" customHeight="1">
      <x:c r="A920" s="4" t="str">
        <x:v>proposal.collection.magnet_clamp_utility_shield</x:v>
      </x:c>
      <x:c r="B920" s="4" t="str">
        <x:f>IFERROR(INDEX('Items'!$B$6:$B$1005,MATCH(A920,'Items'!$A$6:$A$1005,0)),"MISSING ID")</x:f>
        <x:v>Magnet-clamp utility shield</x:v>
      </x:c>
      <x:c r="C920" s="4" t="str">
        <x:f>IFERROR(INDEX('Items'!$D$6:$D$1005,MATCH(A920,'Items'!$A$6:$A$1005,0)),"MISSING ID")</x:f>
        <x:v>Armor</x:v>
      </x:c>
      <x:c r="D920" s="4" t="str">
        <x:v>Primary</x:v>
      </x:c>
      <x:c r="E920" s="4" t="str">
        <x:f>IFERROR(INDEX('Items'!$AA$6:$AA$1005,MATCH(A920,'Items'!$A$6:$A$1005,0)),"MISSING ID")</x:f>
        <x:v>Defensive combat</x:v>
      </x:c>
      <x:c r="F920" s="4" t="str">
        <x:v>Collection proposal: Utility face with removable magnetic attachment, combat behavior open</x:v>
      </x:c>
    </x:row>
    <x:row r="921" ht="64" customHeight="1">
      <x:c r="A921" s="4" t="str">
        <x:v>proposal.collection.replaceable_scale_shield</x:v>
      </x:c>
      <x:c r="B921" s="4" t="str">
        <x:f>IFERROR(INDEX('Items'!$B$6:$B$1005,MATCH(A921,'Items'!$A$6:$A$1005,0)),"MISSING ID")</x:f>
        <x:v>Replaceable-scale shield</x:v>
      </x:c>
      <x:c r="C921" s="4" t="str">
        <x:f>IFERROR(INDEX('Items'!$D$6:$D$1005,MATCH(A921,'Items'!$A$6:$A$1005,0)),"MISSING ID")</x:f>
        <x:v>Armor</x:v>
      </x:c>
      <x:c r="D921" s="4" t="str">
        <x:v>Primary</x:v>
      </x:c>
      <x:c r="E921" s="4" t="str">
        <x:f>IFERROR(INDEX('Items'!$AA$6:$AA$1005,MATCH(A921,'Items'!$A$6:$A$1005,0)),"MISSING ID")</x:f>
        <x:v>Defensive combat</x:v>
      </x:c>
      <x:c r="F921" s="4" t="str">
        <x:v>Collection proposal: Small bolted shell scales on a metal back</x:v>
      </x:c>
    </x:row>
    <x:row r="922" ht="64" customHeight="1">
      <x:c r="A922" s="4" t="str">
        <x:v>proposal.collection.ancient_plasteel_guard_shield</x:v>
      </x:c>
      <x:c r="B922" s="4" t="str">
        <x:f>IFERROR(INDEX('Items'!$B$6:$B$1005,MATCH(A922,'Items'!$A$6:$A$1005,0)),"MISSING ID")</x:f>
        <x:v>Ancient plasteel guard shield</x:v>
      </x:c>
      <x:c r="C922" s="4" t="str">
        <x:f>IFERROR(INDEX('Items'!$D$6:$D$1005,MATCH(A922,'Items'!$A$6:$A$1005,0)),"MISSING ID")</x:f>
        <x:v>Armor</x:v>
      </x:c>
      <x:c r="D922" s="4" t="str">
        <x:v>Primary</x:v>
      </x:c>
      <x:c r="E922" s="4" t="str">
        <x:f>IFERROR(INDEX('Items'!$AA$6:$AA$1005,MATCH(A922,'Items'!$A$6:$A$1005,0)),"MISSING ID")</x:f>
        <x:v>Defensive combat</x:v>
      </x:c>
      <x:c r="F922" s="4" t="str">
        <x:v>Collection proposal: Rare recovered physical guard with unknown original use</x:v>
      </x:c>
    </x:row>
    <x:row r="923" ht="64" customHeight="1">
      <x:c r="A923" s="4" t="str">
        <x:v>proposal.collection.tendon_ankle_tripline</x:v>
      </x:c>
      <x:c r="B923" s="4" t="str">
        <x:f>IFERROR(INDEX('Items'!$B$6:$B$1005,MATCH(A923,'Items'!$A$6:$A$1005,0)),"MISSING ID")</x:f>
        <x:v>Tendon ankle tripline</x:v>
      </x:c>
      <x:c r="C923" s="4" t="str">
        <x:f>IFERROR(INDEX('Items'!$D$6:$D$1005,MATCH(A923,'Items'!$A$6:$A$1005,0)),"MISSING ID")</x:f>
        <x:v>Weapons</x:v>
      </x:c>
      <x:c r="D923" s="4" t="str">
        <x:v>Primary</x:v>
      </x:c>
      <x:c r="E923" s="4" t="str">
        <x:f>IFERROR(INDEX('Items'!$AA$6:$AA$1005,MATCH(A923,'Items'!$A$6:$A$1005,0)),"MISSING ID")</x:f>
        <x:v>Area denial</x:v>
      </x:c>
      <x:c r="F923" s="4" t="str">
        <x:v>Collection proposal: Low tension line intended to obstruct a path</x:v>
      </x:c>
    </x:row>
    <x:row r="924" ht="64" customHeight="1">
      <x:c r="A924" s="4" t="str">
        <x:v>proposal.collection.rattle_alarm_tripline</x:v>
      </x:c>
      <x:c r="B924" s="4" t="str">
        <x:f>IFERROR(INDEX('Items'!$B$6:$B$1005,MATCH(A924,'Items'!$A$6:$A$1005,0)),"MISSING ID")</x:f>
        <x:v>Rattle alarm tripline</x:v>
      </x:c>
      <x:c r="C924" s="4" t="str">
        <x:f>IFERROR(INDEX('Items'!$D$6:$D$1005,MATCH(A924,'Items'!$A$6:$A$1005,0)),"MISSING ID")</x:f>
        <x:v>Weapons</x:v>
      </x:c>
      <x:c r="D924" s="4" t="str">
        <x:v>Primary</x:v>
      </x:c>
      <x:c r="E924" s="4" t="str">
        <x:f>IFERROR(INDEX('Items'!$AA$6:$AA$1005,MATCH(A924,'Items'!$A$6:$A$1005,0)),"MISSING ID")</x:f>
        <x:v>Warning and detection</x:v>
      </x:c>
      <x:c r="F924" s="4" t="str">
        <x:v>Collection proposal: Tripline that shakes shell pieces as an audible alarm</x:v>
      </x:c>
    </x:row>
    <x:row r="925" ht="64" customHeight="1">
      <x:c r="A925" s="4" t="str">
        <x:v>proposal.collection.metal_bell_alarm_tether</x:v>
      </x:c>
      <x:c r="B925" s="4" t="str">
        <x:f>IFERROR(INDEX('Items'!$B$6:$B$1005,MATCH(A925,'Items'!$A$6:$A$1005,0)),"MISSING ID")</x:f>
        <x:v>Metal bell alarm tether</x:v>
      </x:c>
      <x:c r="C925" s="4" t="str">
        <x:f>IFERROR(INDEX('Items'!$D$6:$D$1005,MATCH(A925,'Items'!$A$6:$A$1005,0)),"MISSING ID")</x:f>
        <x:v>Weapons</x:v>
      </x:c>
      <x:c r="D925" s="4" t="str">
        <x:v>Primary</x:v>
      </x:c>
      <x:c r="E925" s="4" t="str">
        <x:f>IFERROR(INDEX('Items'!$AA$6:$AA$1005,MATCH(A925,'Items'!$A$6:$A$1005,0)),"MISSING ID")</x:f>
        <x:v>Warning and detection</x:v>
      </x:c>
      <x:c r="F925" s="4" t="str">
        <x:v>Collection proposal: Contact line connected to a small bell</x:v>
      </x:c>
    </x:row>
    <x:row r="926" ht="64" customHeight="1">
      <x:c r="A926" s="4" t="str">
        <x:v>proposal.collection.folding_hooked_trip_frame</x:v>
      </x:c>
      <x:c r="B926" s="4" t="str">
        <x:f>IFERROR(INDEX('Items'!$B$6:$B$1005,MATCH(A926,'Items'!$A$6:$A$1005,0)),"MISSING ID")</x:f>
        <x:v>Folding hooked trip frame</x:v>
      </x:c>
      <x:c r="C926" s="4" t="str">
        <x:f>IFERROR(INDEX('Items'!$D$6:$D$1005,MATCH(A926,'Items'!$A$6:$A$1005,0)),"MISSING ID")</x:f>
        <x:v>Weapons</x:v>
      </x:c>
      <x:c r="D926" s="4" t="str">
        <x:v>Primary</x:v>
      </x:c>
      <x:c r="E926" s="4" t="str">
        <x:f>IFERROR(INDEX('Items'!$AA$6:$AA$1005,MATCH(A926,'Items'!$A$6:$A$1005,0)),"MISSING ID")</x:f>
        <x:v>Area denial</x:v>
      </x:c>
      <x:c r="F926" s="4" t="str">
        <x:v>Collection proposal: Low reusable frame intended to catch a passing foot</x:v>
      </x:c>
    </x:row>
    <x:row r="927" ht="64" customHeight="1">
      <x:c r="A927" s="4"/>
      <x:c r="B927" s="4"/>
      <x:c r="C927" s="4"/>
      <x:c r="D927" s="4"/>
      <x:c r="E927" s="4"/>
      <x:c r="F927" s="4"/>
    </x:row>
    <x:row r="928" ht="64" customHeight="1">
      <x:c r="A928" s="4"/>
      <x:c r="B928" s="4"/>
      <x:c r="C928" s="4"/>
      <x:c r="D928" s="4"/>
      <x:c r="E928" s="4"/>
      <x:c r="F928" s="4"/>
    </x:row>
    <x:row r="929" ht="64" customHeight="1">
      <x:c r="A929" s="4" t="str">
        <x:v>proposal.collection.shell_spine_scatter_mat</x:v>
      </x:c>
      <x:c r="B929" s="4" t="str">
        <x:f>IFERROR(INDEX('Items'!$B$6:$B$1005,MATCH(A929,'Items'!$A$6:$A$1005,0)),"MISSING ID")</x:f>
        <x:v>Shell-spine scatter mat</x:v>
      </x:c>
      <x:c r="C929" s="4" t="str">
        <x:f>IFERROR(INDEX('Items'!$D$6:$D$1005,MATCH(A929,'Items'!$A$6:$A$1005,0)),"MISSING ID")</x:f>
        <x:v>Weapons</x:v>
      </x:c>
      <x:c r="D929" s="4" t="str">
        <x:v>Primary</x:v>
      </x:c>
      <x:c r="E929" s="4" t="str">
        <x:f>IFERROR(INDEX('Items'!$AA$6:$AA$1005,MATCH(A929,'Items'!$A$6:$A$1005,0)),"MISSING ID")</x:f>
        <x:v>Area denial</x:v>
      </x:c>
      <x:c r="F929" s="4" t="str">
        <x:v>Collection proposal: Loose hard spines retained on a small prepared carrier</x:v>
      </x:c>
    </x:row>
    <x:row r="930" ht="64" customHeight="1">
      <x:c r="A930" s="4" t="str">
        <x:v>proposal.collection.collapsible_wheel_chock</x:v>
      </x:c>
      <x:c r="B930" s="4" t="str">
        <x:f>IFERROR(INDEX('Items'!$B$6:$B$1005,MATCH(A930,'Items'!$A$6:$A$1005,0)),"MISSING ID")</x:f>
        <x:v>Collapsible wheel chock</x:v>
      </x:c>
      <x:c r="C930" s="4" t="str">
        <x:f>IFERROR(INDEX('Items'!$D$6:$D$1005,MATCH(A930,'Items'!$A$6:$A$1005,0)),"MISSING ID")</x:f>
        <x:v>Weapons</x:v>
      </x:c>
      <x:c r="D930" s="4" t="str">
        <x:v>Primary</x:v>
      </x:c>
      <x:c r="E930" s="4" t="str">
        <x:f>IFERROR(INDEX('Items'!$AA$6:$AA$1005,MATCH(A930,'Items'!$A$6:$A$1005,0)),"MISSING ID")</x:f>
        <x:v>Area denial</x:v>
      </x:c>
      <x:c r="F930" s="4" t="str">
        <x:v>Collection proposal: Blocks a suitable wheel or rolling load</x:v>
      </x:c>
    </x:row>
    <x:row r="931" ht="64" customHeight="1">
      <x:c r="A931" s="4" t="str">
        <x:v>proposal.collection.cable_snag_hoop</x:v>
      </x:c>
      <x:c r="B931" s="4" t="str">
        <x:f>IFERROR(INDEX('Items'!$B$6:$B$1005,MATCH(A931,'Items'!$A$6:$A$1005,0)),"MISSING ID")</x:f>
        <x:v>Cable snag hoop</x:v>
      </x:c>
      <x:c r="C931" s="4" t="str">
        <x:f>IFERROR(INDEX('Items'!$D$6:$D$1005,MATCH(A931,'Items'!$A$6:$A$1005,0)),"MISSING ID")</x:f>
        <x:v>Weapons</x:v>
      </x:c>
      <x:c r="D931" s="4" t="str">
        <x:v>Primary</x:v>
      </x:c>
      <x:c r="E931" s="4" t="str">
        <x:f>IFERROR(INDEX('Items'!$AA$6:$AA$1005,MATCH(A931,'Items'!$A$6:$A$1005,0)),"MISSING ID")</x:f>
        <x:v>Area denial</x:v>
      </x:c>
      <x:c r="F931" s="4" t="str">
        <x:v>Collection proposal: Metal loop intended to foul moving equipment</x:v>
      </x:c>
    </x:row>
    <x:row r="932" ht="64" customHeight="1">
      <x:c r="A932" s="4"/>
      <x:c r="B932" s="4"/>
      <x:c r="C932" s="4"/>
      <x:c r="D932" s="4"/>
      <x:c r="E932" s="4"/>
      <x:c r="F932" s="4"/>
    </x:row>
    <x:row r="933" ht="64" customHeight="1">
      <x:c r="A933" s="4"/>
      <x:c r="B933" s="4"/>
      <x:c r="C933" s="4"/>
      <x:c r="D933" s="4"/>
      <x:c r="E933" s="4"/>
      <x:c r="F933" s="4"/>
    </x:row>
    <x:row r="934" ht="64" customHeight="1">
      <x:c r="A934" s="4" t="str">
        <x:v>proposal.collection.counterweight_net_drop</x:v>
      </x:c>
      <x:c r="B934" s="4" t="str">
        <x:f>IFERROR(INDEX('Items'!$B$6:$B$1005,MATCH(A934,'Items'!$A$6:$A$1005,0)),"MISSING ID")</x:f>
        <x:v>Counterweight net drop</x:v>
      </x:c>
      <x:c r="C934" s="4" t="str">
        <x:f>IFERROR(INDEX('Items'!$D$6:$D$1005,MATCH(A934,'Items'!$A$6:$A$1005,0)),"MISSING ID")</x:f>
        <x:v>Weapons</x:v>
      </x:c>
      <x:c r="D934" s="4" t="str">
        <x:v>Primary</x:v>
      </x:c>
      <x:c r="E934" s="4" t="str">
        <x:f>IFERROR(INDEX('Items'!$AA$6:$AA$1005,MATCH(A934,'Items'!$A$6:$A$1005,0)),"MISSING ID")</x:f>
        <x:v>Fauna interaction</x:v>
      </x:c>
      <x:c r="F934" s="4" t="str">
        <x:v>Collection proposal: Open cord lattice released by a mechanical latch</x:v>
      </x:c>
    </x:row>
    <x:row r="935" ht="64" customHeight="1">
      <x:c r="A935" s="4" t="str">
        <x:v>proposal.collection.pressure_plate_shell_clacker</x:v>
      </x:c>
      <x:c r="B935" s="4" t="str">
        <x:f>IFERROR(INDEX('Items'!$B$6:$B$1005,MATCH(A935,'Items'!$A$6:$A$1005,0)),"MISSING ID")</x:f>
        <x:v>Pressure-plate shell clacker</x:v>
      </x:c>
      <x:c r="C935" s="4" t="str">
        <x:f>IFERROR(INDEX('Items'!$D$6:$D$1005,MATCH(A935,'Items'!$A$6:$A$1005,0)),"MISSING ID")</x:f>
        <x:v>Weapons</x:v>
      </x:c>
      <x:c r="D935" s="4" t="str">
        <x:v>Primary</x:v>
      </x:c>
      <x:c r="E935" s="4" t="str">
        <x:f>IFERROR(INDEX('Items'!$AA$6:$AA$1005,MATCH(A935,'Items'!$A$6:$A$1005,0)),"MISSING ID")</x:f>
        <x:v>Warning and detection</x:v>
      </x:c>
      <x:c r="F935" s="4" t="str">
        <x:v>Collection proposal: Foot contact produces a loud mechanical signal</x:v>
      </x:c>
    </x:row>
    <x:row r="936" ht="64" customHeight="1">
      <x:c r="A936" s="4"/>
      <x:c r="B936" s="4"/>
      <x:c r="C936" s="4"/>
      <x:c r="D936" s="4"/>
      <x:c r="E936" s="4"/>
      <x:c r="F936" s="4"/>
    </x:row>
    <x:row r="937" ht="64" customHeight="1">
      <x:c r="A937" s="4" t="str">
        <x:v>proposal.collection.fauna_scent_lure_station</x:v>
      </x:c>
      <x:c r="B937" s="4" t="str">
        <x:f>IFERROR(INDEX('Items'!$B$6:$B$1005,MATCH(A937,'Items'!$A$6:$A$1005,0)),"MISSING ID")</x:f>
        <x:v>Fauna scent lure station</x:v>
      </x:c>
      <x:c r="C937" s="4" t="str">
        <x:f>IFERROR(INDEX('Items'!$D$6:$D$1005,MATCH(A937,'Items'!$A$6:$A$1005,0)),"MISSING ID")</x:f>
        <x:v>Weapons</x:v>
      </x:c>
      <x:c r="D937" s="4" t="str">
        <x:v>Primary</x:v>
      </x:c>
      <x:c r="E937" s="4" t="str">
        <x:f>IFERROR(INDEX('Items'!$AA$6:$AA$1005,MATCH(A937,'Items'!$A$6:$A$1005,0)),"MISSING ID")</x:f>
        <x:v>Fauna interaction</x:v>
      </x:c>
      <x:c r="F937" s="4" t="str">
        <x:v>Collection proposal: Holds a sealed scent carrier for a designed target species</x:v>
      </x:c>
    </x:row>
    <x:row r="938" ht="64" customHeight="1">
      <x:c r="A938" s="4" t="str">
        <x:v>proposal.collection.magnetic_salvage_catch_plate</x:v>
      </x:c>
      <x:c r="B938" s="4" t="str">
        <x:f>IFERROR(INDEX('Items'!$B$6:$B$1005,MATCH(A938,'Items'!$A$6:$A$1005,0)),"MISSING ID")</x:f>
        <x:v>Magnetic salvage catch plate</x:v>
      </x:c>
      <x:c r="C938" s="4" t="str">
        <x:f>IFERROR(INDEX('Items'!$D$6:$D$1005,MATCH(A938,'Items'!$A$6:$A$1005,0)),"MISSING ID")</x:f>
        <x:v>Crafting components</x:v>
      </x:c>
      <x:c r="D938" s="4" t="str">
        <x:v>Primary</x:v>
      </x:c>
      <x:c r="E938" s="4" t="str">
        <x:f>IFERROR(INDEX('Items'!$AA$6:$AA$1005,MATCH(A938,'Items'!$A$6:$A$1005,0)),"MISSING ID")</x:f>
        <x:v>Resource collection</x:v>
      </x:c>
      <x:c r="F938" s="4" t="str">
        <x:v>Collection proposal: Catches compatible loose ferrous machine pieces</x:v>
      </x:c>
    </x:row>
    <x:row r="939" ht="64" customHeight="1">
      <x:c r="A939" s="4" t="str">
        <x:v>proposal.collection.dirtboard_lane_snag_bar</x:v>
      </x:c>
      <x:c r="B939" s="4" t="str">
        <x:f>IFERROR(INDEX('Items'!$B$6:$B$1005,MATCH(A939,'Items'!$A$6:$A$1005,0)),"MISSING ID")</x:f>
        <x:v>Dirtboard lane snag bar</x:v>
      </x:c>
      <x:c r="C939" s="4" t="str">
        <x:f>IFERROR(INDEX('Items'!$D$6:$D$1005,MATCH(A939,'Items'!$A$6:$A$1005,0)),"MISSING ID")</x:f>
        <x:v>Salvage</x:v>
      </x:c>
      <x:c r="D939" s="4" t="str">
        <x:v>Primary</x:v>
      </x:c>
      <x:c r="E939" s="4" t="str">
        <x:f>IFERROR(INDEX('Items'!$AA$6:$AA$1005,MATCH(A939,'Items'!$A$6:$A$1005,0)),"MISSING ID")</x:f>
        <x:v>Area denial</x:v>
      </x:c>
      <x:c r="F939" s="4" t="str">
        <x:v>Collection proposal: Prepared low obstacle for a designed traversal encounter</x:v>
      </x:c>
    </x:row>
    <x:row r="940" ht="64" customHeight="1">
      <x:c r="A940" s="4"/>
      <x:c r="B940" s="4"/>
      <x:c r="C940" s="4"/>
      <x:c r="D940" s="4"/>
      <x:c r="E940" s="4"/>
      <x:c r="F940" s="4"/>
    </x:row>
    <x:row r="941" ht="64" customHeight="1">
      <x:c r="A941" s="4" t="str">
        <x:v>proposal.collection.static_alarm_contact_line</x:v>
      </x:c>
      <x:c r="B941" s="4" t="str">
        <x:f>IFERROR(INDEX('Items'!$B$6:$B$1005,MATCH(A941,'Items'!$A$6:$A$1005,0)),"MISSING ID")</x:f>
        <x:v>Static alarm contact line</x:v>
      </x:c>
      <x:c r="C941" s="4" t="str">
        <x:f>IFERROR(INDEX('Items'!$D$6:$D$1005,MATCH(A941,'Items'!$A$6:$A$1005,0)),"MISSING ID")</x:f>
        <x:v>Weapons</x:v>
      </x:c>
      <x:c r="D941" s="4" t="str">
        <x:v>Primary</x:v>
      </x:c>
      <x:c r="E941" s="4" t="str">
        <x:f>IFERROR(INDEX('Items'!$AA$6:$AA$1005,MATCH(A941,'Items'!$A$6:$A$1005,0)),"MISSING ID")</x:f>
        <x:v>Warning and detection</x:v>
      </x:c>
      <x:c r="F941" s="4" t="str">
        <x:v>Collection proposal: Contact-triggered warning concept, no electrical attack claim</x:v>
      </x:c>
    </x:row>
    <x:row r="942" ht="64" customHeight="1">
      <x:c r="A942" s="4" t="str">
        <x:v>proposal.collection.shaped_stone_sling_pellet</x:v>
      </x:c>
      <x:c r="B942" s="4" t="str">
        <x:f>IFERROR(INDEX('Items'!$B$6:$B$1005,MATCH(A942,'Items'!$A$6:$A$1005,0)),"MISSING ID")</x:f>
        <x:v>Shaped stone sling pellet</x:v>
      </x:c>
      <x:c r="C942" s="4" t="str">
        <x:f>IFERROR(INDEX('Items'!$D$6:$D$1005,MATCH(A942,'Items'!$A$6:$A$1005,0)),"MISSING ID")</x:f>
        <x:v>Ammunition</x:v>
      </x:c>
      <x:c r="D942" s="4" t="str">
        <x:v>Primary</x:v>
      </x:c>
      <x:c r="E942" s="4" t="str">
        <x:f>IFERROR(INDEX('Items'!$AA$6:$AA$1005,MATCH(A942,'Items'!$A$6:$A$1005,0)),"MISSING ID")</x:f>
        <x:v>Offensive combat</x:v>
      </x:c>
      <x:c r="F942" s="4" t="str">
        <x:v>Collection proposal: Reusable candidate projectile for a tendon sling</x:v>
      </x:c>
    </x:row>
    <x:row r="943" ht="64" customHeight="1">
      <x:c r="A943" s="4" t="str">
        <x:v>proposal.collection.steel_broadhead_bolt</x:v>
      </x:c>
      <x:c r="B943" s="4" t="str">
        <x:f>IFERROR(INDEX('Items'!$B$6:$B$1005,MATCH(A943,'Items'!$A$6:$A$1005,0)),"MISSING ID")</x:f>
        <x:v>Steel broadhead bolt</x:v>
      </x:c>
      <x:c r="C943" s="4" t="str">
        <x:f>IFERROR(INDEX('Items'!$D$6:$D$1005,MATCH(A943,'Items'!$A$6:$A$1005,0)),"MISSING ID")</x:f>
        <x:v>Ammunition</x:v>
      </x:c>
      <x:c r="D943" s="4" t="str">
        <x:v>Primary</x:v>
      </x:c>
      <x:c r="E943" s="4" t="str">
        <x:f>IFERROR(INDEX('Items'!$AA$6:$AA$1005,MATCH(A943,'Items'!$A$6:$A$1005,0)),"MISSING ID")</x:f>
        <x:v>Offensive combat</x:v>
      </x:c>
      <x:c r="F943" s="4" t="str">
        <x:v>Collection proposal: Recoverable crossbow projectile with metal shaft</x:v>
      </x:c>
    </x:row>
    <x:row r="944" ht="64" customHeight="1">
      <x:c r="A944" s="4" t="str">
        <x:v>proposal.collection.heavy_siege_bolt</x:v>
      </x:c>
      <x:c r="B944" s="4" t="str">
        <x:f>IFERROR(INDEX('Items'!$B$6:$B$1005,MATCH(A944,'Items'!$A$6:$A$1005,0)),"MISSING ID")</x:f>
        <x:v>Heavy siege bolt</x:v>
      </x:c>
      <x:c r="C944" s="4" t="str">
        <x:f>IFERROR(INDEX('Items'!$D$6:$D$1005,MATCH(A944,'Items'!$A$6:$A$1005,0)),"MISSING ID")</x:f>
        <x:v>Ammunition</x:v>
      </x:c>
      <x:c r="D944" s="4" t="str">
        <x:v>Primary</x:v>
      </x:c>
      <x:c r="E944" s="4" t="str">
        <x:f>IFERROR(INDEX('Items'!$AA$6:$AA$1005,MATCH(A944,'Items'!$A$6:$A$1005,0)),"MISSING ID")</x:f>
        <x:v>Offensive combat</x:v>
      </x:c>
      <x:c r="F944" s="4" t="str">
        <x:v>Collection proposal: Large projectile for a crank-wound launcher</x:v>
      </x:c>
    </x:row>
    <x:row r="945" ht="64" customHeight="1">
      <x:c r="A945" s="4"/>
      <x:c r="B945" s="4"/>
      <x:c r="C945" s="4"/>
      <x:c r="D945" s="4"/>
      <x:c r="E945" s="4"/>
      <x:c r="F945" s="4"/>
    </x:row>
    <x:row r="946" ht="64" customHeight="1">
      <x:c r="A946" s="4" t="str">
        <x:v>proposal.collection.pressure_launcher_rivet_round</x:v>
      </x:c>
      <x:c r="B946" s="4" t="str">
        <x:f>IFERROR(INDEX('Items'!$B$6:$B$1005,MATCH(A946,'Items'!$A$6:$A$1005,0)),"MISSING ID")</x:f>
        <x:v>Pressure-launcher rivet round</x:v>
      </x:c>
      <x:c r="C946" s="4" t="str">
        <x:f>IFERROR(INDEX('Items'!$D$6:$D$1005,MATCH(A946,'Items'!$A$6:$A$1005,0)),"MISSING ID")</x:f>
        <x:v>Ammunition</x:v>
      </x:c>
      <x:c r="D946" s="4" t="str">
        <x:v>Primary</x:v>
      </x:c>
      <x:c r="E946" s="4" t="str">
        <x:f>IFERROR(INDEX('Items'!$AA$6:$AA$1005,MATCH(A946,'Items'!$A$6:$A$1005,0)),"MISSING ID")</x:f>
        <x:v>Offensive combat</x:v>
      </x:c>
      <x:c r="F946" s="4" t="str">
        <x:v>Collection proposal: Matched non-explosive projectile for a pressure launcher</x:v>
      </x:c>
    </x:row>
    <x:row r="947" ht="64" customHeight="1">
      <x:c r="A947" s="4" t="str">
        <x:v>proposal.collection.magnetic_projector_dart</x:v>
      </x:c>
      <x:c r="B947" s="4" t="str">
        <x:f>IFERROR(INDEX('Items'!$B$6:$B$1005,MATCH(A947,'Items'!$A$6:$A$1005,0)),"MISSING ID")</x:f>
        <x:v>Magnetic projector dart</x:v>
      </x:c>
      <x:c r="C947" s="4" t="str">
        <x:f>IFERROR(INDEX('Items'!$D$6:$D$1005,MATCH(A947,'Items'!$A$6:$A$1005,0)),"MISSING ID")</x:f>
        <x:v>Ammunition</x:v>
      </x:c>
      <x:c r="D947" s="4" t="str">
        <x:v>Primary</x:v>
      </x:c>
      <x:c r="E947" s="4" t="str">
        <x:f>IFERROR(INDEX('Items'!$AA$6:$AA$1005,MATCH(A947,'Items'!$A$6:$A$1005,0)),"MISSING ID")</x:f>
        <x:v>Offensive combat</x:v>
      </x:c>
      <x:c r="F947" s="4" t="str">
        <x:v>Collection proposal: Ferrous projectile with a fitted guide surface</x:v>
      </x:c>
    </x:row>
    <x:row r="948" ht="64" customHeight="1">
      <x:c r="A948" s="4" t="str">
        <x:v>proposal.collection.coil_carbine_slug</x:v>
      </x:c>
      <x:c r="B948" s="4" t="str">
        <x:f>IFERROR(INDEX('Items'!$B$6:$B$1005,MATCH(A948,'Items'!$A$6:$A$1005,0)),"MISSING ID")</x:f>
        <x:v>Coil-carbine slug</x:v>
      </x:c>
      <x:c r="C948" s="4" t="str">
        <x:f>IFERROR(INDEX('Items'!$D$6:$D$1005,MATCH(A948,'Items'!$A$6:$A$1005,0)),"MISSING ID")</x:f>
        <x:v>Ammunition</x:v>
      </x:c>
      <x:c r="D948" s="4" t="str">
        <x:v>Primary</x:v>
      </x:c>
      <x:c r="E948" s="4" t="str">
        <x:f>IFERROR(INDEX('Items'!$AA$6:$AA$1005,MATCH(A948,'Items'!$A$6:$A$1005,0)),"MISSING ID")</x:f>
        <x:v>Offensive combat</x:v>
      </x:c>
      <x:c r="F948" s="4" t="str">
        <x:v>Collection proposal: Matched ferrous projectile for a coil weapon</x:v>
      </x:c>
    </x:row>
    <x:row r="949" ht="64" customHeight="1">
      <x:c r="A949" s="4" t="str">
        <x:v>proposal.collection.arc_gun_discharge_cartridge</x:v>
      </x:c>
      <x:c r="B949" s="4" t="str">
        <x:f>IFERROR(INDEX('Items'!$B$6:$B$1005,MATCH(A949,'Items'!$A$6:$A$1005,0)),"MISSING ID")</x:f>
        <x:v>Arc-gun discharge cartridge</x:v>
      </x:c>
      <x:c r="C949" s="4" t="str">
        <x:f>IFERROR(INDEX('Items'!$D$6:$D$1005,MATCH(A949,'Items'!$A$6:$A$1005,0)),"MISSING ID")</x:f>
        <x:v>Ammunition</x:v>
      </x:c>
      <x:c r="D949" s="4" t="str">
        <x:v>Primary</x:v>
      </x:c>
      <x:c r="E949" s="4" t="str">
        <x:f>IFERROR(INDEX('Items'!$AA$6:$AA$1005,MATCH(A949,'Items'!$A$6:$A$1005,0)),"MISSING ID")</x:f>
        <x:v>Offensive combat</x:v>
      </x:c>
      <x:c r="F949" s="4" t="str">
        <x:v>Collection proposal: Candidate electrical pulse supply for the arc ray gun</x:v>
      </x:c>
    </x:row>
    <x:row r="950" ht="64" customHeight="1">
      <x:c r="A950" s="4" t="str">
        <x:v>proposal.collection.laser_blaster_power_cassette</x:v>
      </x:c>
      <x:c r="B950" s="4" t="str">
        <x:f>IFERROR(INDEX('Items'!$B$6:$B$1005,MATCH(A950,'Items'!$A$6:$A$1005,0)),"MISSING ID")</x:f>
        <x:v>Laser-blaster power cassette</x:v>
      </x:c>
      <x:c r="C950" s="4" t="str">
        <x:f>IFERROR(INDEX('Items'!$D$6:$D$1005,MATCH(A950,'Items'!$A$6:$A$1005,0)),"MISSING ID")</x:f>
        <x:v>Ammunition</x:v>
      </x:c>
      <x:c r="D950" s="4" t="str">
        <x:v>Primary</x:v>
      </x:c>
      <x:c r="E950" s="4" t="str">
        <x:f>IFERROR(INDEX('Items'!$AA$6:$AA$1005,MATCH(A950,'Items'!$A$6:$A$1005,0)),"MISSING ID")</x:f>
        <x:v>Offensive combat</x:v>
      </x:c>
      <x:c r="F950" s="4" t="str">
        <x:v>Collection proposal: Rare recovered compatible energy feed, no modern recipe</x:v>
      </x:c>
    </x:row>
    <x:row r="951" ht="64" customHeight="1">
      <x:c r="A951" s="4" t="str">
        <x:v>proposal.collection.laser_sword_energy_insert</x:v>
      </x:c>
      <x:c r="B951" s="4" t="str">
        <x:f>IFERROR(INDEX('Items'!$B$6:$B$1005,MATCH(A951,'Items'!$A$6:$A$1005,0)),"MISSING ID")</x:f>
        <x:v>Laser-sword energy insert</x:v>
      </x:c>
      <x:c r="C951" s="4" t="str">
        <x:f>IFERROR(INDEX('Items'!$D$6:$D$1005,MATCH(A951,'Items'!$A$6:$A$1005,0)),"MISSING ID")</x:f>
        <x:v>Ammunition</x:v>
      </x:c>
      <x:c r="D951" s="4" t="str">
        <x:v>Primary</x:v>
      </x:c>
      <x:c r="E951" s="4" t="str">
        <x:f>IFERROR(INDEX('Items'!$AA$6:$AA$1005,MATCH(A951,'Items'!$A$6:$A$1005,0)),"MISSING ID")</x:f>
        <x:v>Offensive combat</x:v>
      </x:c>
      <x:c r="F951" s="4" t="str">
        <x:v>Collection proposal: Rare recovered blade power feed, distinct from a thrown projectile</x:v>
      </x:c>
    </x:row>
    <x:row r="952" ht="64" customHeight="1">
      <x:c r="A952" s="4" t="str">
        <x:v>proposal.collection.ancient_pulse_rifle_cell</x:v>
      </x:c>
      <x:c r="B952" s="4" t="str">
        <x:f>IFERROR(INDEX('Items'!$B$6:$B$1005,MATCH(A952,'Items'!$A$6:$A$1005,0)),"MISSING ID")</x:f>
        <x:v>Ancient pulse-rifle cell</x:v>
      </x:c>
      <x:c r="C952" s="4" t="str">
        <x:f>IFERROR(INDEX('Items'!$D$6:$D$1005,MATCH(A952,'Items'!$A$6:$A$1005,0)),"MISSING ID")</x:f>
        <x:v>Ammunition</x:v>
      </x:c>
      <x:c r="D952" s="4" t="str">
        <x:v>Primary</x:v>
      </x:c>
      <x:c r="E952" s="4" t="str">
        <x:f>IFERROR(INDEX('Items'!$AA$6:$AA$1005,MATCH(A952,'Items'!$A$6:$A$1005,0)),"MISSING ID")</x:f>
        <x:v>Offensive combat</x:v>
      </x:c>
      <x:c r="F952" s="4" t="str">
        <x:v>Collection proposal: Recovered matched electrical or ancient-energy feed</x:v>
      </x:c>
    </x:row>
    <x:row r="953" ht="64" customHeight="1">
      <x:c r="A953" s="4" t="str">
        <x:v>proposal.collection.ancient_plasma_lance_charge</x:v>
      </x:c>
      <x:c r="B953" s="4" t="str">
        <x:f>IFERROR(INDEX('Items'!$B$6:$B$1005,MATCH(A953,'Items'!$A$6:$A$1005,0)),"MISSING ID")</x:f>
        <x:v>Ancient plasma-lance charge</x:v>
      </x:c>
      <x:c r="C953" s="4" t="str">
        <x:f>IFERROR(INDEX('Items'!$D$6:$D$1005,MATCH(A953,'Items'!$A$6:$A$1005,0)),"MISSING ID")</x:f>
        <x:v>Ammunition</x:v>
      </x:c>
      <x:c r="D953" s="4" t="str">
        <x:v>Primary</x:v>
      </x:c>
      <x:c r="E953" s="4" t="str">
        <x:f>IFERROR(INDEX('Items'!$AA$6:$AA$1005,MATCH(A953,'Items'!$A$6:$A$1005,0)),"MISSING ID")</x:f>
        <x:v>Offensive combat</x:v>
      </x:c>
      <x:c r="F953" s="4" t="str">
        <x:v>Collection proposal: Recovered contained feed with unknown internal medium</x:v>
      </x:c>
    </x:row>
    <x:row r="954" ht="64" customHeight="1">
      <x:c r="A954" s="4" t="str">
        <x:v>proposal.collection.ancient_microrocket_cluster</x:v>
      </x:c>
      <x:c r="B954" s="4" t="str">
        <x:f>IFERROR(INDEX('Items'!$B$6:$B$1005,MATCH(A954,'Items'!$A$6:$A$1005,0)),"MISSING ID")</x:f>
        <x:v>Ancient microrocket cluster</x:v>
      </x:c>
      <x:c r="C954" s="4" t="str">
        <x:f>IFERROR(INDEX('Items'!$D$6:$D$1005,MATCH(A954,'Items'!$A$6:$A$1005,0)),"MISSING ID")</x:f>
        <x:v>Ammunition</x:v>
      </x:c>
      <x:c r="D954" s="4" t="str">
        <x:v>Primary</x:v>
      </x:c>
      <x:c r="E954" s="4" t="str">
        <x:f>IFERROR(INDEX('Items'!$AA$6:$AA$1005,MATCH(A954,'Items'!$A$6:$A$1005,0)),"MISSING ID")</x:f>
        <x:v>Offensive combat</x:v>
      </x:c>
      <x:c r="F954" s="4" t="str">
        <x:v>Collection proposal: Matched sealed ancient rounds, propellant unspecified</x:v>
      </x:c>
    </x:row>
    <x:row r="955" ht="64" customHeight="1">
      <x:c r="A955" s="4" t="str">
        <x:v>proposal.collection.ancient_sonic_pulse_pack</x:v>
      </x:c>
      <x:c r="B955" s="4" t="str">
        <x:f>IFERROR(INDEX('Items'!$B$6:$B$1005,MATCH(A955,'Items'!$A$6:$A$1005,0)),"MISSING ID")</x:f>
        <x:v>Ancient sonic pulse pack</x:v>
      </x:c>
      <x:c r="C955" s="4" t="str">
        <x:f>IFERROR(INDEX('Items'!$D$6:$D$1005,MATCH(A955,'Items'!$A$6:$A$1005,0)),"MISSING ID")</x:f>
        <x:v>Ammunition</x:v>
      </x:c>
      <x:c r="D955" s="4" t="str">
        <x:v>Primary</x:v>
      </x:c>
      <x:c r="E955" s="4" t="str">
        <x:f>IFERROR(INDEX('Items'!$AA$6:$AA$1005,MATCH(A955,'Items'!$A$6:$A$1005,0)),"MISSING ID")</x:f>
        <x:v>Offensive combat</x:v>
      </x:c>
      <x:c r="F955" s="4" t="str">
        <x:v>Collection proposal: Recovered matched power feed for an acoustic weapon</x:v>
      </x:c>
    </x:row>
    <x:row r="956" ht="64" customHeight="1">
      <x:c r="A956" s="4" t="str">
        <x:v>proposal.audit.selected_culinary_salt_crystals</x:v>
      </x:c>
      <x:c r="B956" s="4" t="str">
        <x:f>IFERROR(INDEX('Items'!$B$6:$B$1005,MATCH(A956,'Items'!$A$6:$A$1005,0)),"MISSING ID")</x:f>
        <x:v>Selected culinary salt crystals</x:v>
      </x:c>
      <x:c r="C956" s="4" t="str">
        <x:f>IFERROR(INDEX('Items'!$D$6:$D$1005,MATCH(A956,'Items'!$A$6:$A$1005,0)),"MISSING ID")</x:f>
        <x:v>Mineral resources</x:v>
      </x:c>
      <x:c r="D956" s="4" t="str">
        <x:v>Primary</x:v>
      </x:c>
      <x:c r="E956" s="4" t="str">
        <x:f>IFERROR(INDEX('Items'!$AA$6:$AA$1005,MATCH(A956,'Items'!$A$6:$A$1005,0)),"MISSING ID")</x:f>
        <x:v>Food preparation</x:v>
      </x:c>
      <x:c r="F956" s="4" t="str">
        <x:v>Primary use from October 15 chain audit.</x:v>
      </x:c>
    </x:row>
    <x:row r="957" ht="64" customHeight="1">
      <x:c r="A957" s="4"/>
      <x:c r="B957" s="4"/>
      <x:c r="C957" s="4"/>
      <x:c r="D957" s="4"/>
      <x:c r="E957" s="4"/>
      <x:c r="F957" s="4"/>
    </x:row>
    <x:row r="958" ht="64" customHeight="1">
      <x:c r="A958" s="4" t="str">
        <x:v>proposal.audit.contained_dry_working_gas</x:v>
      </x:c>
      <x:c r="B958" s="4" t="str">
        <x:f>IFERROR(INDEX('Items'!$B$6:$B$1005,MATCH(A958,'Items'!$A$6:$A$1005,0)),"MISSING ID")</x:f>
        <x:v>Contained dry working gas</x:v>
      </x:c>
      <x:c r="C958" s="4" t="str">
        <x:f>IFERROR(INDEX('Items'!$D$6:$D$1005,MATCH(A958,'Items'!$A$6:$A$1005,0)),"MISSING ID")</x:f>
        <x:v>Atmospheric resources</x:v>
      </x:c>
      <x:c r="D958" s="4" t="str">
        <x:v>Primary</x:v>
      </x:c>
      <x:c r="E958" s="4" t="str">
        <x:f>IFERROR(INDEX('Items'!$AA$6:$AA$1005,MATCH(A958,'Items'!$A$6:$A$1005,0)),"MISSING ID")</x:f>
        <x:v>Energy storage</x:v>
      </x:c>
      <x:c r="F958" s="4" t="str">
        <x:v>Primary use from October 15 chain audit.</x:v>
      </x:c>
    </x:row>
    <x:row r="959" ht="64" customHeight="1">
      <x:c r="A959" s="4" t="str">
        <x:v>proposal.audit.screened_remanent_magnet_pieces</x:v>
      </x:c>
      <x:c r="B959" s="4" t="str">
        <x:f>IFERROR(INDEX('Items'!$B$6:$B$1005,MATCH(A959,'Items'!$A$6:$A$1005,0)),"MISSING ID")</x:f>
        <x:v>Screened remanent magnet pieces</x:v>
      </x:c>
      <x:c r="C959" s="4" t="str">
        <x:f>IFERROR(INDEX('Items'!$D$6:$D$1005,MATCH(A959,'Items'!$A$6:$A$1005,0)),"MISSING ID")</x:f>
        <x:v>Manufactured stock</x:v>
      </x:c>
      <x:c r="D959" s="4" t="str">
        <x:v>Primary</x:v>
      </x:c>
      <x:c r="E959" s="4" t="str">
        <x:f>IFERROR(INDEX('Items'!$AA$6:$AA$1005,MATCH(A959,'Items'!$A$6:$A$1005,0)),"MISSING ID")</x:f>
        <x:v>Magnetic tools</x:v>
      </x:c>
      <x:c r="F959" s="4" t="str">
        <x:v>Primary use from October 15 chain audit.</x:v>
      </x:c>
    </x:row>
    <x:row r="960" ht="64" customHeight="1">
      <x:c r="A960" s="4" t="str">
        <x:v>proposal.audit.pressed_hide_fastening_strips</x:v>
      </x:c>
      <x:c r="B960" s="4" t="str">
        <x:f>IFERROR(INDEX('Items'!$B$6:$B$1005,MATCH(A960,'Items'!$A$6:$A$1005,0)),"MISSING ID")</x:f>
        <x:v>Pressed hide fastening strips</x:v>
      </x:c>
      <x:c r="C960" s="4" t="str">
        <x:f>IFERROR(INDEX('Items'!$D$6:$D$1005,MATCH(A960,'Items'!$A$6:$A$1005,0)),"MISSING ID")</x:f>
        <x:v>Manufactured stock</x:v>
      </x:c>
      <x:c r="D960" s="4" t="str">
        <x:v>Primary</x:v>
      </x:c>
      <x:c r="E960" s="4" t="str">
        <x:f>IFERROR(INDEX('Items'!$AA$6:$AA$1005,MATCH(A960,'Items'!$A$6:$A$1005,0)),"MISSING ID")</x:f>
        <x:v>Clothing fabrication</x:v>
      </x:c>
      <x:c r="F960" s="4" t="str">
        <x:v>Primary use from October 15 chain audit.</x:v>
      </x:c>
    </x:row>
    <x:row r="961" ht="64" customHeight="1">
      <x:c r="A961" s="4" t="str">
        <x:v>proposal.audit.drawn_steel_music_wire_stock</x:v>
      </x:c>
      <x:c r="B961" s="4" t="str">
        <x:f>IFERROR(INDEX('Items'!$B$6:$B$1005,MATCH(A961,'Items'!$A$6:$A$1005,0)),"MISSING ID")</x:f>
        <x:v>Drawn steel music-wire stock</x:v>
      </x:c>
      <x:c r="C961" s="4" t="str">
        <x:f>IFERROR(INDEX('Items'!$D$6:$D$1005,MATCH(A961,'Items'!$A$6:$A$1005,0)),"MISSING ID")</x:f>
        <x:v>Manufactured stock</x:v>
      </x:c>
      <x:c r="D961" s="4" t="str">
        <x:v>Primary</x:v>
      </x:c>
      <x:c r="E961" s="4" t="str">
        <x:f>IFERROR(INDEX('Items'!$AA$6:$AA$1005,MATCH(A961,'Items'!$A$6:$A$1005,0)),"MISSING ID")</x:f>
        <x:v>Music</x:v>
      </x:c>
      <x:c r="F961" s="4" t="str">
        <x:v>Primary use from October 15 chain audit.</x:v>
      </x:c>
    </x:row>
    <x:row r="962" ht="64" customHeight="1">
      <x:c r="A962" s="4" t="str">
        <x:v>proposal.audit.mineral_cell_electrolyte_candidate</x:v>
      </x:c>
      <x:c r="B962" s="4" t="str">
        <x:f>IFERROR(INDEX('Items'!$B$6:$B$1005,MATCH(A962,'Items'!$A$6:$A$1005,0)),"MISSING ID")</x:f>
        <x:v>Mineral-cell electrolyte candidate</x:v>
      </x:c>
      <x:c r="C962" s="4" t="str">
        <x:f>IFERROR(INDEX('Items'!$D$6:$D$1005,MATCH(A962,'Items'!$A$6:$A$1005,0)),"MISSING ID")</x:f>
        <x:v>Crafting components</x:v>
      </x:c>
      <x:c r="D962" s="4" t="str">
        <x:v>Primary</x:v>
      </x:c>
      <x:c r="E962" s="4" t="str">
        <x:f>IFERROR(INDEX('Items'!$AA$6:$AA$1005,MATCH(A962,'Items'!$A$6:$A$1005,0)),"MISSING ID")</x:f>
        <x:v>Energy storage</x:v>
      </x:c>
      <x:c r="F962" s="4" t="str">
        <x:v>Primary use from October 15 chain audit.</x:v>
      </x:c>
    </x:row>
    <x:row r="963" ht="64" customHeight="1">
      <x:c r="A963" s="4" t="str">
        <x:v>proposal.audit.graphite_electrode_plate_stock</x:v>
      </x:c>
      <x:c r="B963" s="4" t="str">
        <x:f>IFERROR(INDEX('Items'!$B$6:$B$1005,MATCH(A963,'Items'!$A$6:$A$1005,0)),"MISSING ID")</x:f>
        <x:v>Graphite electrode plate stock</x:v>
      </x:c>
      <x:c r="C963" s="4" t="str">
        <x:f>IFERROR(INDEX('Items'!$D$6:$D$1005,MATCH(A963,'Items'!$A$6:$A$1005,0)),"MISSING ID")</x:f>
        <x:v>Manufactured stock</x:v>
      </x:c>
      <x:c r="D963" s="4" t="str">
        <x:v>Primary</x:v>
      </x:c>
      <x:c r="E963" s="4" t="str">
        <x:f>IFERROR(INDEX('Items'!$AA$6:$AA$1005,MATCH(A963,'Items'!$A$6:$A$1005,0)),"MISSING ID")</x:f>
        <x:v>Electrical work</x:v>
      </x:c>
      <x:c r="F963" s="4" t="str">
        <x:v>Primary use from October 15 chain audit.</x:v>
      </x:c>
    </x:row>
    <x:row r="964" ht="64" customHeight="1">
      <x:c r="A964" s="4"/>
      <x:c r="B964" s="4"/>
      <x:c r="C964" s="4"/>
      <x:c r="D964" s="4"/>
      <x:c r="E964" s="4"/>
      <x:c r="F964" s="4"/>
    </x:row>
    <x:row r="965" ht="64" customHeight="1">
      <x:c r="A965" s="4" t="str">
        <x:v>proposal.audit.shaped_metal_grip_blank</x:v>
      </x:c>
      <x:c r="B965" s="4" t="str">
        <x:f>IFERROR(INDEX('Items'!$B$6:$B$1005,MATCH(A965,'Items'!$A$6:$A$1005,0)),"MISSING ID")</x:f>
        <x:v>Shaped metal grip blank</x:v>
      </x:c>
      <x:c r="C965" s="4" t="str">
        <x:f>IFERROR(INDEX('Items'!$D$6:$D$1005,MATCH(A965,'Items'!$A$6:$A$1005,0)),"MISSING ID")</x:f>
        <x:v>Crafting components</x:v>
      </x:c>
      <x:c r="D965" s="4" t="str">
        <x:v>Primary</x:v>
      </x:c>
      <x:c r="E965" s="4" t="str">
        <x:f>IFERROR(INDEX('Items'!$AA$6:$AA$1005,MATCH(A965,'Items'!$A$6:$A$1005,0)),"MISSING ID")</x:f>
        <x:v>Equipment fabrication</x:v>
      </x:c>
      <x:c r="F965" s="4" t="str">
        <x:v>Primary use from October 15 chain audit.</x:v>
      </x:c>
    </x:row>
    <x:row r="966" ht="64" customHeight="1">
      <x:c r="A966" s="4" t="str">
        <x:v>proposal.audit.linked_steel_mail_rings</x:v>
      </x:c>
      <x:c r="B966" s="4" t="str">
        <x:f>IFERROR(INDEX('Items'!$B$6:$B$1005,MATCH(A966,'Items'!$A$6:$A$1005,0)),"MISSING ID")</x:f>
        <x:v>Linked steel mail rings</x:v>
      </x:c>
      <x:c r="C966" s="4" t="str">
        <x:f>IFERROR(INDEX('Items'!$D$6:$D$1005,MATCH(A966,'Items'!$A$6:$A$1005,0)),"MISSING ID")</x:f>
        <x:v>Crafting components</x:v>
      </x:c>
      <x:c r="D966" s="4" t="str">
        <x:v>Primary</x:v>
      </x:c>
      <x:c r="E966" s="4" t="str">
        <x:f>IFERROR(INDEX('Items'!$AA$6:$AA$1005,MATCH(A966,'Items'!$A$6:$A$1005,0)),"MISSING ID")</x:f>
        <x:v>Protective fabrication</x:v>
      </x:c>
      <x:c r="F966" s="4" t="str">
        <x:v>Primary use from October 15 chain audit.</x:v>
      </x:c>
    </x:row>
    <x:row r="967" ht="64" customHeight="1">
      <x:c r="A967" s="4" t="str">
        <x:v>proposal.audit.small_metal_hinge_pair</x:v>
      </x:c>
      <x:c r="B967" s="4" t="str">
        <x:f>IFERROR(INDEX('Items'!$B$6:$B$1005,MATCH(A967,'Items'!$A$6:$A$1005,0)),"MISSING ID")</x:f>
        <x:v>Small metal hinge pair</x:v>
      </x:c>
      <x:c r="C967" s="4" t="str">
        <x:f>IFERROR(INDEX('Items'!$D$6:$D$1005,MATCH(A967,'Items'!$A$6:$A$1005,0)),"MISSING ID")</x:f>
        <x:v>Crafting components</x:v>
      </x:c>
      <x:c r="D967" s="4" t="str">
        <x:v>Primary</x:v>
      </x:c>
      <x:c r="E967" s="4" t="str">
        <x:f>IFERROR(INDEX('Items'!$AA$6:$AA$1005,MATCH(A967,'Items'!$A$6:$A$1005,0)),"MISSING ID")</x:f>
        <x:v>Equipment fabrication</x:v>
      </x:c>
      <x:c r="F967" s="4" t="str">
        <x:v>Primary use from October 15 chain audit.</x:v>
      </x:c>
    </x:row>
    <x:row r="968" ht="64" customHeight="1">
      <x:c r="A968" s="4" t="str">
        <x:v>proposal.audit.bent_wire_spectacle_frame</x:v>
      </x:c>
      <x:c r="B968" s="4" t="str">
        <x:f>IFERROR(INDEX('Items'!$B$6:$B$1005,MATCH(A968,'Items'!$A$6:$A$1005,0)),"MISSING ID")</x:f>
        <x:v>Bent-wire spectacle frame</x:v>
      </x:c>
      <x:c r="C968" s="4" t="str">
        <x:f>IFERROR(INDEX('Items'!$D$6:$D$1005,MATCH(A968,'Items'!$A$6:$A$1005,0)),"MISSING ID")</x:f>
        <x:v>Crafting components</x:v>
      </x:c>
      <x:c r="D968" s="4" t="str">
        <x:v>Primary</x:v>
      </x:c>
      <x:c r="E968" s="4" t="str">
        <x:f>IFERROR(INDEX('Items'!$AA$6:$AA$1005,MATCH(A968,'Items'!$A$6:$A$1005,0)),"MISSING ID")</x:f>
        <x:v>Vision</x:v>
      </x:c>
      <x:c r="F968" s="4" t="str">
        <x:v>Primary use from October 15 chain audit.</x:v>
      </x:c>
    </x:row>
    <x:row r="969" ht="64" customHeight="1">
      <x:c r="A969" s="4"/>
      <x:c r="B969" s="4"/>
      <x:c r="C969" s="4"/>
      <x:c r="D969" s="4"/>
      <x:c r="E969" s="4"/>
      <x:c r="F969" s="4"/>
    </x:row>
    <x:row r="970" ht="64" customHeight="1">
      <x:c r="A970" s="4" t="str">
        <x:v>proposal.audit.fired_ceramic_vessel_blank</x:v>
      </x:c>
      <x:c r="B970" s="4" t="str">
        <x:f>IFERROR(INDEX('Items'!$B$6:$B$1005,MATCH(A970,'Items'!$A$6:$A$1005,0)),"MISSING ID")</x:f>
        <x:v>Fired ceramic vessel blank</x:v>
      </x:c>
      <x:c r="C970" s="4" t="str">
        <x:f>IFERROR(INDEX('Items'!$D$6:$D$1005,MATCH(A970,'Items'!$A$6:$A$1005,0)),"MISSING ID")</x:f>
        <x:v>Crafting components</x:v>
      </x:c>
      <x:c r="D970" s="4" t="str">
        <x:v>Primary</x:v>
      </x:c>
      <x:c r="E970" s="4" t="str">
        <x:f>IFERROR(INDEX('Items'!$AA$6:$AA$1005,MATCH(A970,'Items'!$A$6:$A$1005,0)),"MISSING ID")</x:f>
        <x:v>Liquid and bulk containment</x:v>
      </x:c>
      <x:c r="F970" s="4" t="str">
        <x:v>Primary use from October 15 chain audit.</x:v>
      </x:c>
    </x:row>
    <x:row r="971" ht="64" customHeight="1">
      <x:c r="A971" s="4" t="str">
        <x:v>proposal.audit.membrane_tension_hoop</x:v>
      </x:c>
      <x:c r="B971" s="4" t="str">
        <x:f>IFERROR(INDEX('Items'!$B$6:$B$1005,MATCH(A971,'Items'!$A$6:$A$1005,0)),"MISSING ID")</x:f>
        <x:v>Membrane tension hoop</x:v>
      </x:c>
      <x:c r="C971" s="4" t="str">
        <x:f>IFERROR(INDEX('Items'!$D$6:$D$1005,MATCH(A971,'Items'!$A$6:$A$1005,0)),"MISSING ID")</x:f>
        <x:v>Crafting components</x:v>
      </x:c>
      <x:c r="D971" s="4" t="str">
        <x:v>Primary</x:v>
      </x:c>
      <x:c r="E971" s="4" t="str">
        <x:f>IFERROR(INDEX('Items'!$AA$6:$AA$1005,MATCH(A971,'Items'!$A$6:$A$1005,0)),"MISSING ID")</x:f>
        <x:v>Music</x:v>
      </x:c>
      <x:c r="F971" s="4" t="str">
        <x:v>Primary use from October 15 chain audit.</x:v>
      </x:c>
    </x:row>
    <x:row r="972" ht="64" customHeight="1">
      <x:c r="A972" s="4"/>
      <x:c r="B972" s="4"/>
      <x:c r="C972" s="4"/>
      <x:c r="D972" s="4"/>
      <x:c r="E972" s="4"/>
      <x:c r="F972" s="4"/>
    </x:row>
    <x:row r="973" ht="64" customHeight="1">
      <x:c r="A973" s="4"/>
      <x:c r="B973" s="4"/>
      <x:c r="C973" s="4"/>
      <x:c r="D973" s="4"/>
      <x:c r="E973" s="4"/>
      <x:c r="F973" s="4"/>
    </x:row>
    <x:row r="974" ht="64" customHeight="1">
      <x:c r="A974" s="4" t="str">
        <x:v>proposal.audit.cut_metal_reed_set</x:v>
      </x:c>
      <x:c r="B974" s="4" t="str">
        <x:f>IFERROR(INDEX('Items'!$B$6:$B$1005,MATCH(A974,'Items'!$A$6:$A$1005,0)),"MISSING ID")</x:f>
        <x:v>Cut metal reed set</x:v>
      </x:c>
      <x:c r="C974" s="4" t="str">
        <x:f>IFERROR(INDEX('Items'!$D$6:$D$1005,MATCH(A974,'Items'!$A$6:$A$1005,0)),"MISSING ID")</x:f>
        <x:v>Crafting components</x:v>
      </x:c>
      <x:c r="D974" s="4" t="str">
        <x:v>Primary</x:v>
      </x:c>
      <x:c r="E974" s="4" t="str">
        <x:f>IFERROR(INDEX('Items'!$AA$6:$AA$1005,MATCH(A974,'Items'!$A$6:$A$1005,0)),"MISSING ID")</x:f>
        <x:v>Music</x:v>
      </x:c>
      <x:c r="F974" s="4" t="str">
        <x:v>Primary use from October 15 chain audit.</x:v>
      </x:c>
    </x:row>
    <x:row r="975" ht="64" customHeight="1">
      <x:c r="A975" s="4" t="str">
        <x:v>proposal.audit.ceramic_whistle_mouthpiece</x:v>
      </x:c>
      <x:c r="B975" s="4" t="str">
        <x:f>IFERROR(INDEX('Items'!$B$6:$B$1005,MATCH(A975,'Items'!$A$6:$A$1005,0)),"MISSING ID")</x:f>
        <x:v>Ceramic whistle mouthpiece</x:v>
      </x:c>
      <x:c r="C975" s="4" t="str">
        <x:f>IFERROR(INDEX('Items'!$D$6:$D$1005,MATCH(A975,'Items'!$A$6:$A$1005,0)),"MISSING ID")</x:f>
        <x:v>Crafting components</x:v>
      </x:c>
      <x:c r="D975" s="4" t="str">
        <x:v>Primary</x:v>
      </x:c>
      <x:c r="E975" s="4" t="str">
        <x:f>IFERROR(INDEX('Items'!$AA$6:$AA$1005,MATCH(A975,'Items'!$A$6:$A$1005,0)),"MISSING ID")</x:f>
        <x:v>Music</x:v>
      </x:c>
      <x:c r="F975" s="4" t="str">
        <x:v>Primary use from October 15 chain audit.</x:v>
      </x:c>
    </x:row>
    <x:row r="976" ht="64" customHeight="1">
      <x:c r="A976" s="4" t="str">
        <x:v>proposal.audit.threaded_drive_screw</x:v>
      </x:c>
      <x:c r="B976" s="4" t="str">
        <x:f>IFERROR(INDEX('Items'!$B$6:$B$1005,MATCH(A976,'Items'!$A$6:$A$1005,0)),"MISSING ID")</x:f>
        <x:v>Threaded drive screw</x:v>
      </x:c>
      <x:c r="C976" s="4" t="str">
        <x:f>IFERROR(INDEX('Items'!$D$6:$D$1005,MATCH(A976,'Items'!$A$6:$A$1005,0)),"MISSING ID")</x:f>
        <x:v>Crafting components</x:v>
      </x:c>
      <x:c r="D976" s="4" t="str">
        <x:v>Primary</x:v>
      </x:c>
      <x:c r="E976" s="4" t="str">
        <x:f>IFERROR(INDEX('Items'!$AA$6:$AA$1005,MATCH(A976,'Items'!$A$6:$A$1005,0)),"MISSING ID")</x:f>
        <x:v>Machinery drive</x:v>
      </x:c>
      <x:c r="F976" s="4" t="str">
        <x:v>Primary use from October 15 chain audit.</x:v>
      </x:c>
    </x:row>
    <x:row r="977" ht="64" customHeight="1">
      <x:c r="A977" s="4" t="str">
        <x:v>proposal.audit.hand_drill_spindle</x:v>
      </x:c>
      <x:c r="B977" s="4" t="str">
        <x:f>IFERROR(INDEX('Items'!$B$6:$B$1005,MATCH(A977,'Items'!$A$6:$A$1005,0)),"MISSING ID")</x:f>
        <x:v>Hand-drill spindle</x:v>
      </x:c>
      <x:c r="C977" s="4" t="str">
        <x:f>IFERROR(INDEX('Items'!$D$6:$D$1005,MATCH(A977,'Items'!$A$6:$A$1005,0)),"MISSING ID")</x:f>
        <x:v>Crafting components</x:v>
      </x:c>
      <x:c r="D977" s="4" t="str">
        <x:v>Primary</x:v>
      </x:c>
      <x:c r="E977" s="4" t="str">
        <x:f>IFERROR(INDEX('Items'!$AA$6:$AA$1005,MATCH(A977,'Items'!$A$6:$A$1005,0)),"MISSING ID")</x:f>
        <x:v>Machinery repair</x:v>
      </x:c>
      <x:c r="F977" s="4" t="str">
        <x:v>Primary use from October 15 chain audit.</x:v>
      </x:c>
    </x:row>
    <x:row r="978" ht="64" customHeight="1">
      <x:c r="A978" s="4" t="str">
        <x:v>proposal.audit.replaceable_drill_bit_insert</x:v>
      </x:c>
      <x:c r="B978" s="4" t="str">
        <x:f>IFERROR(INDEX('Items'!$B$6:$B$1005,MATCH(A978,'Items'!$A$6:$A$1005,0)),"MISSING ID")</x:f>
        <x:v>Replaceable drill-bit insert</x:v>
      </x:c>
      <x:c r="C978" s="4" t="str">
        <x:f>IFERROR(INDEX('Items'!$D$6:$D$1005,MATCH(A978,'Items'!$A$6:$A$1005,0)),"MISSING ID")</x:f>
        <x:v>Crafting components</x:v>
      </x:c>
      <x:c r="D978" s="4" t="str">
        <x:v>Primary</x:v>
      </x:c>
      <x:c r="E978" s="4" t="str">
        <x:f>IFERROR(INDEX('Items'!$AA$6:$AA$1005,MATCH(A978,'Items'!$A$6:$A$1005,0)),"MISSING ID")</x:f>
        <x:v>Fabrication</x:v>
      </x:c>
      <x:c r="F978" s="4" t="str">
        <x:v>Primary use from October 15 chain audit.</x:v>
      </x:c>
    </x:row>
    <x:row r="979" ht="64" customHeight="1">
      <x:c r="A979" s="4" t="str">
        <x:v>proposal.audit.compact_latch_and_trigger_pack</x:v>
      </x:c>
      <x:c r="B979" s="4" t="str">
        <x:f>IFERROR(INDEX('Items'!$B$6:$B$1005,MATCH(A979,'Items'!$A$6:$A$1005,0)),"MISSING ID")</x:f>
        <x:v>Compact latch and trigger pack</x:v>
      </x:c>
      <x:c r="C979" s="4" t="str">
        <x:f>IFERROR(INDEX('Items'!$D$6:$D$1005,MATCH(A979,'Items'!$A$6:$A$1005,0)),"MISSING ID")</x:f>
        <x:v>Crafting components</x:v>
      </x:c>
      <x:c r="D979" s="4" t="str">
        <x:v>Primary</x:v>
      </x:c>
      <x:c r="E979" s="4" t="str">
        <x:f>IFERROR(INDEX('Items'!$AA$6:$AA$1005,MATCH(A979,'Items'!$A$6:$A$1005,0)),"MISSING ID")</x:f>
        <x:v>Equipment fabrication</x:v>
      </x:c>
      <x:c r="F979" s="4" t="str">
        <x:v>Primary use from October 15 chain audit.</x:v>
      </x:c>
    </x:row>
    <x:row r="980" ht="64" customHeight="1">
      <x:c r="A980" s="4" t="str">
        <x:v>proposal.audit.valve_poppet_blank</x:v>
      </x:c>
      <x:c r="B980" s="4" t="str">
        <x:f>IFERROR(INDEX('Items'!$B$6:$B$1005,MATCH(A980,'Items'!$A$6:$A$1005,0)),"MISSING ID")</x:f>
        <x:v>Valve poppet blank</x:v>
      </x:c>
      <x:c r="C980" s="4" t="str">
        <x:f>IFERROR(INDEX('Items'!$D$6:$D$1005,MATCH(A980,'Items'!$A$6:$A$1005,0)),"MISSING ID")</x:f>
        <x:v>Crafting components</x:v>
      </x:c>
      <x:c r="D980" s="4" t="str">
        <x:v>Primary</x:v>
      </x:c>
      <x:c r="E980" s="4" t="str">
        <x:f>IFERROR(INDEX('Items'!$AA$6:$AA$1005,MATCH(A980,'Items'!$A$6:$A$1005,0)),"MISSING ID")</x:f>
        <x:v>Machinery repair</x:v>
      </x:c>
      <x:c r="F980" s="4" t="str">
        <x:v>Primary use from October 15 chain audit.</x:v>
      </x:c>
    </x:row>
    <x:row r="981" ht="64" customHeight="1">
      <x:c r="A981" s="4" t="str">
        <x:v>proposal.audit.fitted_pressure_barrel_module</x:v>
      </x:c>
      <x:c r="B981" s="4" t="str">
        <x:f>IFERROR(INDEX('Items'!$B$6:$B$1005,MATCH(A981,'Items'!$A$6:$A$1005,0)),"MISSING ID")</x:f>
        <x:v>Fitted pressure-barrel module</x:v>
      </x:c>
      <x:c r="C981" s="4" t="str">
        <x:f>IFERROR(INDEX('Items'!$D$6:$D$1005,MATCH(A981,'Items'!$A$6:$A$1005,0)),"MISSING ID")</x:f>
        <x:v>Crafting components</x:v>
      </x:c>
      <x:c r="D981" s="4" t="str">
        <x:v>Primary</x:v>
      </x:c>
      <x:c r="E981" s="4" t="str">
        <x:f>IFERROR(INDEX('Items'!$AA$6:$AA$1005,MATCH(A981,'Items'!$A$6:$A$1005,0)),"MISSING ID")</x:f>
        <x:v>Equipment fabrication</x:v>
      </x:c>
      <x:c r="F981" s="4" t="str">
        <x:v>Primary use from October 15 chain audit.</x:v>
      </x:c>
    </x:row>
    <x:row r="982" ht="64" customHeight="1">
      <x:c r="A982" s="4" t="str">
        <x:v>proposal.audit.ceramic_backed_control_switch</x:v>
      </x:c>
      <x:c r="B982" s="4" t="str">
        <x:f>IFERROR(INDEX('Items'!$B$6:$B$1005,MATCH(A982,'Items'!$A$6:$A$1005,0)),"MISSING ID")</x:f>
        <x:v>Ceramic-backed control switch</x:v>
      </x:c>
      <x:c r="C982" s="4" t="str">
        <x:f>IFERROR(INDEX('Items'!$D$6:$D$1005,MATCH(A982,'Items'!$A$6:$A$1005,0)),"MISSING ID")</x:f>
        <x:v>Crafting components</x:v>
      </x:c>
      <x:c r="D982" s="4" t="str">
        <x:v>Primary</x:v>
      </x:c>
      <x:c r="E982" s="4" t="str">
        <x:f>IFERROR(INDEX('Items'!$AA$6:$AA$1005,MATCH(A982,'Items'!$A$6:$A$1005,0)),"MISSING ID")</x:f>
        <x:v>Electrical work</x:v>
      </x:c>
      <x:c r="F982" s="4" t="str">
        <x:v>Primary use from October 15 chain audit.</x:v>
      </x:c>
    </x:row>
    <x:row r="983" ht="64" customHeight="1">
      <x:c r="A983" s="4" t="str">
        <x:v>proposal.audit.fitted_machine_casing</x:v>
      </x:c>
      <x:c r="B983" s="4" t="str">
        <x:f>IFERROR(INDEX('Items'!$B$6:$B$1005,MATCH(A983,'Items'!$A$6:$A$1005,0)),"MISSING ID")</x:f>
        <x:v>Fitted machine casing</x:v>
      </x:c>
      <x:c r="C983" s="4" t="str">
        <x:f>IFERROR(INDEX('Items'!$D$6:$D$1005,MATCH(A983,'Items'!$A$6:$A$1005,0)),"MISSING ID")</x:f>
        <x:v>Crafting components</x:v>
      </x:c>
      <x:c r="D983" s="4" t="str">
        <x:v>Primary</x:v>
      </x:c>
      <x:c r="E983" s="4" t="str">
        <x:f>IFERROR(INDEX('Items'!$AA$6:$AA$1005,MATCH(A983,'Items'!$A$6:$A$1005,0)),"MISSING ID")</x:f>
        <x:v>Equipment fabrication</x:v>
      </x:c>
      <x:c r="F983" s="4" t="str">
        <x:v>Primary use from October 15 chain audit.</x:v>
      </x:c>
    </x:row>
    <x:row r="984" ht="64" customHeight="1">
      <x:c r="A984" s="4" t="str">
        <x:v>proposal.audit.recovered_radio_detector_element</x:v>
      </x:c>
      <x:c r="B984" s="4" t="str">
        <x:f>IFERROR(INDEX('Items'!$B$6:$B$1005,MATCH(A984,'Items'!$A$6:$A$1005,0)),"MISSING ID")</x:f>
        <x:v>Recovered radio detector element</x:v>
      </x:c>
      <x:c r="C984" s="4" t="str">
        <x:f>IFERROR(INDEX('Items'!$D$6:$D$1005,MATCH(A984,'Items'!$A$6:$A$1005,0)),"MISSING ID")</x:f>
        <x:v>Salvage</x:v>
      </x:c>
      <x:c r="D984" s="4" t="str">
        <x:v>Primary</x:v>
      </x:c>
      <x:c r="E984" s="4" t="str">
        <x:f>IFERROR(INDEX('Items'!$AA$6:$AA$1005,MATCH(A984,'Items'!$A$6:$A$1005,0)),"MISSING ID")</x:f>
        <x:v>Radio communication</x:v>
      </x:c>
      <x:c r="F984" s="4" t="str">
        <x:v>Primary use from October 15 chain audit.</x:v>
      </x:c>
    </x:row>
    <x:row r="985" ht="64" customHeight="1">
      <x:c r="A985" s="4" t="str">
        <x:v>proposal.audit.recovered_acoustic_receiver_capsule</x:v>
      </x:c>
      <x:c r="B985" s="4" t="str">
        <x:f>IFERROR(INDEX('Items'!$B$6:$B$1005,MATCH(A985,'Items'!$A$6:$A$1005,0)),"MISSING ID")</x:f>
        <x:v>Recovered acoustic receiver capsule</x:v>
      </x:c>
      <x:c r="C985" s="4" t="str">
        <x:f>IFERROR(INDEX('Items'!$D$6:$D$1005,MATCH(A985,'Items'!$A$6:$A$1005,0)),"MISSING ID")</x:f>
        <x:v>Salvage</x:v>
      </x:c>
      <x:c r="D985" s="4" t="str">
        <x:v>Primary</x:v>
      </x:c>
      <x:c r="E985" s="4" t="str">
        <x:f>IFERROR(INDEX('Items'!$AA$6:$AA$1005,MATCH(A985,'Items'!$A$6:$A$1005,0)),"MISSING ID")</x:f>
        <x:v>Radio communication</x:v>
      </x:c>
      <x:c r="F985" s="4" t="str">
        <x:v>Primary use from October 15 chain audit.</x:v>
      </x:c>
    </x:row>
    <x:row r="986" ht="64" customHeight="1">
      <x:c r="A986" s="4" t="str">
        <x:v>proposal.audit.supported_iron_heating_element</x:v>
      </x:c>
      <x:c r="B986" s="4" t="str">
        <x:f>IFERROR(INDEX('Items'!$B$6:$B$1005,MATCH(A986,'Items'!$A$6:$A$1005,0)),"MISSING ID")</x:f>
        <x:v>Supported iron heating element</x:v>
      </x:c>
      <x:c r="C986" s="4" t="str">
        <x:f>IFERROR(INDEX('Items'!$D$6:$D$1005,MATCH(A986,'Items'!$A$6:$A$1005,0)),"MISSING ID")</x:f>
        <x:v>Crafting components</x:v>
      </x:c>
      <x:c r="D986" s="4" t="str">
        <x:v>Primary</x:v>
      </x:c>
      <x:c r="E986" s="4" t="str">
        <x:f>IFERROR(INDEX('Items'!$AA$6:$AA$1005,MATCH(A986,'Items'!$A$6:$A$1005,0)),"MISSING ID")</x:f>
        <x:v>Electrical work</x:v>
      </x:c>
      <x:c r="F986" s="4" t="str">
        <x:v>Primary use from October 15 chain audit.</x:v>
      </x:c>
    </x:row>
    <x:row r="987" ht="64" customHeight="1">
      <x:c r="A987" s="4" t="str">
        <x:v>proposal.audit.controlled_heating_firing_kiln</x:v>
      </x:c>
      <x:c r="B987" s="4" t="str">
        <x:f>IFERROR(INDEX('Items'!$B$6:$B$1005,MATCH(A987,'Items'!$A$6:$A$1005,0)),"MISSING ID")</x:f>
        <x:v>Controlled-heating firing kiln</x:v>
      </x:c>
      <x:c r="C987" s="4" t="str">
        <x:f>IFERROR(INDEX('Items'!$D$6:$D$1005,MATCH(A987,'Items'!$A$6:$A$1005,0)),"MISSING ID")</x:f>
        <x:v>Crafting stations</x:v>
      </x:c>
      <x:c r="D987" s="4" t="str">
        <x:v>Primary</x:v>
      </x:c>
      <x:c r="E987" s="4" t="str">
        <x:f>IFERROR(INDEX('Items'!$AA$6:$AA$1005,MATCH(A987,'Items'!$A$6:$A$1005,0)),"MISSING ID")</x:f>
        <x:v>Glass and ceramics</x:v>
      </x:c>
      <x:c r="F987" s="4" t="str">
        <x:v>Primary use from October 15 chain audit.</x:v>
      </x:c>
    </x:row>
    <x:row r="988" ht="64" customHeight="1">
      <x:c r="A988" s="4" t="str">
        <x:v>proposal.audit.metalworking_hand_saw</x:v>
      </x:c>
      <x:c r="B988" s="4" t="str">
        <x:f>IFERROR(INDEX('Items'!$B$6:$B$1005,MATCH(A988,'Items'!$A$6:$A$1005,0)),"MISSING ID")</x:f>
        <x:v>Metalworking hand saw</x:v>
      </x:c>
      <x:c r="C988" s="4" t="str">
        <x:f>IFERROR(INDEX('Items'!$D$6:$D$1005,MATCH(A988,'Items'!$A$6:$A$1005,0)),"MISSING ID")</x:f>
        <x:v>Salvage</x:v>
      </x:c>
      <x:c r="D988" s="4" t="str">
        <x:v>Primary</x:v>
      </x:c>
      <x:c r="E988" s="4" t="str">
        <x:f>IFERROR(INDEX('Items'!$AA$6:$AA$1005,MATCH(A988,'Items'!$A$6:$A$1005,0)),"MISSING ID")</x:f>
        <x:v>Fabrication</x:v>
      </x:c>
      <x:c r="F988" s="4" t="str">
        <x:v>Primary use from October 15 chain audit.</x:v>
      </x:c>
    </x:row>
    <x:row r="989" ht="64" customHeight="1">
      <x:c r="A989" s="4" t="str">
        <x:v>proposal.audit.workshop_winding_mandrel</x:v>
      </x:c>
      <x:c r="B989" s="4" t="str">
        <x:f>IFERROR(INDEX('Items'!$B$6:$B$1005,MATCH(A989,'Items'!$A$6:$A$1005,0)),"MISSING ID")</x:f>
        <x:v>Workshop winding mandrel</x:v>
      </x:c>
      <x:c r="C989" s="4" t="str">
        <x:f>IFERROR(INDEX('Items'!$D$6:$D$1005,MATCH(A989,'Items'!$A$6:$A$1005,0)),"MISSING ID")</x:f>
        <x:v>Salvage</x:v>
      </x:c>
      <x:c r="D989" s="4" t="str">
        <x:v>Primary</x:v>
      </x:c>
      <x:c r="E989" s="4" t="str">
        <x:f>IFERROR(INDEX('Items'!$AA$6:$AA$1005,MATCH(A989,'Items'!$A$6:$A$1005,0)),"MISSING ID")</x:f>
        <x:v>Electrical work</x:v>
      </x:c>
      <x:c r="F989" s="4" t="str">
        <x:v>Primary use from October 15 chain audit.</x:v>
      </x:c>
    </x:row>
    <x:row r="990" ht="64" customHeight="1">
      <x:c r="A990" s="4" t="str">
        <x:v>proposal.audit.food_preparation_screen</x:v>
      </x:c>
      <x:c r="B990" s="4" t="str">
        <x:f>IFERROR(INDEX('Items'!$B$6:$B$1005,MATCH(A990,'Items'!$A$6:$A$1005,0)),"MISSING ID")</x:f>
        <x:v>Food preparation screen</x:v>
      </x:c>
      <x:c r="C990" s="4" t="str">
        <x:f>IFERROR(INDEX('Items'!$D$6:$D$1005,MATCH(A990,'Items'!$A$6:$A$1005,0)),"MISSING ID")</x:f>
        <x:v>Salvage</x:v>
      </x:c>
      <x:c r="D990" s="4" t="str">
        <x:v>Primary</x:v>
      </x:c>
      <x:c r="E990" s="4" t="str">
        <x:f>IFERROR(INDEX('Items'!$AA$6:$AA$1005,MATCH(A990,'Items'!$A$6:$A$1005,0)),"MISSING ID")</x:f>
        <x:v>Food preparation</x:v>
      </x:c>
      <x:c r="F990" s="4" t="str">
        <x:v>Primary use from October 15 chain audit.</x:v>
      </x:c>
    </x:row>
    <x:row r="991" ht="64" customHeight="1">
      <x:c r="A991" s="4" t="str">
        <x:v>proposal.audit.metal_glassworking_blowpipe</x:v>
      </x:c>
      <x:c r="B991" s="4" t="str">
        <x:f>IFERROR(INDEX('Items'!$B$6:$B$1005,MATCH(A991,'Items'!$A$6:$A$1005,0)),"MISSING ID")</x:f>
        <x:v>Metal glassworking blowpipe</x:v>
      </x:c>
      <x:c r="C991" s="4" t="str">
        <x:f>IFERROR(INDEX('Items'!$D$6:$D$1005,MATCH(A991,'Items'!$A$6:$A$1005,0)),"MISSING ID")</x:f>
        <x:v>Salvage</x:v>
      </x:c>
      <x:c r="D991" s="4" t="str">
        <x:v>Primary</x:v>
      </x:c>
      <x:c r="E991" s="4" t="str">
        <x:f>IFERROR(INDEX('Items'!$AA$6:$AA$1005,MATCH(A991,'Items'!$A$6:$A$1005,0)),"MISSING ID")</x:f>
        <x:v>Glass and ceramics</x:v>
      </x:c>
      <x:c r="F991" s="4" t="str">
        <x:v>Primary use from October 15 chain audit.</x:v>
      </x:c>
    </x:row>
    <x:row r="992">
      <x:c r="A992" s="4" t="inlineStr">
        <x:is>
          <x:t xml:space="preserve">proposal.ancient.heat_exchange_comb</x:t>
        </x:is>
      </x:c>
      <x:c r="B992" s="4" t="str">
        <x:f>IFERROR(INDEX('Items'!$B$6:$B$1005,MATCH(A992,'Items'!$A$6:$A$1005,0)),"MISSING ID")</x:f>
        <x:v>Ancient heat-exchange comb</x:v>
      </x:c>
      <x:c r="C992" s="4" t="str">
        <x:f>IFERROR(INDEX('Items'!$D$6:$D$1005,MATCH(A992,'Items'!$A$6:$A$1005,0)),"MISSING ID")</x:f>
        <x:v>Ancient salvage</x:v>
      </x:c>
      <x:c r="D992" s="4" t="inlineStr">
        <x:is>
          <x:t xml:space="preserve">Primary</x:t>
        </x:is>
      </x:c>
      <x:c r="E992" s="4" t="str">
        <x:f>IFERROR(INDEX('Items'!$AA$6:$AA$1005,MATCH(A992,'Items'!$A$6:$A$1005,0)),"MISSING ID")</x:f>
        <x:v>Machinery repair</x:v>
      </x:c>
      <x:c r="F992" s="4" t="inlineStr">
        <x:is>
          <x:t xml:space="preserve">Author-selected salvage proposal; functional use awaits qualification.</x:t>
        </x:is>
      </x:c>
    </x:row>
    <x:row r="993">
      <x:c r="A993" s="4" t="inlineStr">
        <x:is>
          <x:t xml:space="preserve">proposal.ancient.service_recorder</x:t>
        </x:is>
      </x:c>
      <x:c r="B993" s="4" t="str">
        <x:f>IFERROR(INDEX('Items'!$B$6:$B$1005,MATCH(A993,'Items'!$A$6:$A$1005,0)),"MISSING ID")</x:f>
        <x:v>Ancient service recorder</x:v>
      </x:c>
      <x:c r="C993" s="4" t="str">
        <x:f>IFERROR(INDEX('Items'!$D$6:$D$1005,MATCH(A993,'Items'!$A$6:$A$1005,0)),"MISSING ID")</x:f>
        <x:v>Ancient salvage</x:v>
      </x:c>
      <x:c r="D993" s="4" t="inlineStr">
        <x:is>
          <x:t xml:space="preserve">Primary</x:t>
        </x:is>
      </x:c>
      <x:c r="E993" s="4" t="str">
        <x:f>IFERROR(INDEX('Items'!$AA$6:$AA$1005,MATCH(A993,'Items'!$A$6:$A$1005,0)),"MISSING ID")</x:f>
        <x:v>Use unresolved</x:v>
      </x:c>
      <x:c r="F993" s="4" t="inlineStr">
        <x:is>
          <x:t xml:space="preserve">Author-selected salvage proposal; functional use awaits qualification.</x:t>
        </x:is>
      </x:c>
    </x:row>
    <x:row r="994">
      <x:c r="A994" s="4" t="inlineStr">
        <x:is>
          <x:t xml:space="preserve">proposal.ancient.vibration_isolation_mount</x:t>
        </x:is>
      </x:c>
      <x:c r="B994" s="4" t="str">
        <x:f>IFERROR(INDEX('Items'!$B$6:$B$1005,MATCH(A994,'Items'!$A$6:$A$1005,0)),"MISSING ID")</x:f>
        <x:v>Ancient vibration-isolation mount</x:v>
      </x:c>
      <x:c r="C994" s="4" t="str">
        <x:f>IFERROR(INDEX('Items'!$D$6:$D$1005,MATCH(A994,'Items'!$A$6:$A$1005,0)),"MISSING ID")</x:f>
        <x:v>Ancient salvage</x:v>
      </x:c>
      <x:c r="D994" s="4" t="inlineStr">
        <x:is>
          <x:t xml:space="preserve">Primary</x:t>
        </x:is>
      </x:c>
      <x:c r="E994" s="4" t="str">
        <x:f>IFERROR(INDEX('Items'!$AA$6:$AA$1005,MATCH(A994,'Items'!$A$6:$A$1005,0)),"MISSING ID")</x:f>
        <x:v>Machinery repair</x:v>
      </x:c>
      <x:c r="F994" s="4" t="inlineStr">
        <x:is>
          <x:t xml:space="preserve">Author-selected salvage proposal; functional use awaits qualification.</x:t>
        </x:is>
      </x:c>
    </x:row>
    <x:row r="995">
      <x:c r="A995" s="4" t="inlineStr">
        <x:is>
          <x:t xml:space="preserve">proposal.camp.divided_warming_pot</x:t>
        </x:is>
      </x:c>
      <x:c r="B995" s="4" t="str">
        <x:f>IFERROR(INDEX('Items'!$B$6:$B$1005,MATCH(A995,'Items'!$A$6:$A$1005,0)),"MISSING ID")</x:f>
        <x:v>Divided meal-warming pot</x:v>
      </x:c>
      <x:c r="C995" s="4" t="str">
        <x:f>IFERROR(INDEX('Items'!$D$6:$D$1005,MATCH(A995,'Items'!$A$6:$A$1005,0)),"MISSING ID")</x:f>
        <x:v>Salvage</x:v>
      </x:c>
      <x:c r="D995" s="4" t="inlineStr">
        <x:is>
          <x:t xml:space="preserve">Primary</x:t>
        </x:is>
      </x:c>
      <x:c r="E995" s="4" t="str">
        <x:f>IFERROR(INDEX('Items'!$AA$6:$AA$1005,MATCH(A995,'Items'!$A$6:$A$1005,0)),"MISSING ID")</x:f>
        <x:v>Cooking</x:v>
      </x:c>
      <x:c r="F995" s="4" t="inlineStr">
        <x:is>
          <x:t xml:space="preserve">Author-requested catalog proposal; intended use, not an implemented action.</x:t>
        </x:is>
      </x:c>
    </x:row>
    <x:row r="996">
      <x:c r="A996" s="4" t="inlineStr">
        <x:is>
          <x:t xml:space="preserve">proposal.camp.pot_lid_rest</x:t>
        </x:is>
      </x:c>
      <x:c r="B996" s="4" t="str">
        <x:f>IFERROR(INDEX('Items'!$B$6:$B$1005,MATCH(A996,'Items'!$A$6:$A$1005,0)),"MISSING ID")</x:f>
        <x:v>Folding pot-lid rest</x:v>
      </x:c>
      <x:c r="C996" s="4" t="str">
        <x:f>IFERROR(INDEX('Items'!$D$6:$D$1005,MATCH(A996,'Items'!$A$6:$A$1005,0)),"MISSING ID")</x:f>
        <x:v>Salvage</x:v>
      </x:c>
      <x:c r="D996" s="4" t="inlineStr">
        <x:is>
          <x:t xml:space="preserve">Primary</x:t>
        </x:is>
      </x:c>
      <x:c r="E996" s="4" t="str">
        <x:f>IFERROR(INDEX('Items'!$AA$6:$AA$1005,MATCH(A996,'Items'!$A$6:$A$1005,0)),"MISSING ID")</x:f>
        <x:v>Food preparation</x:v>
      </x:c>
      <x:c r="F996" s="4" t="inlineStr">
        <x:is>
          <x:t xml:space="preserve">Author-requested catalog proposal; intended use, not an implemented action.</x:t>
        </x:is>
      </x:c>
    </x:row>
    <x:row r="997">
      <x:c r="A997" s="4" t="inlineStr">
        <x:is>
          <x:t xml:space="preserve">proposal.camp.cam_tie_down_buckle</x:t>
        </x:is>
      </x:c>
      <x:c r="B997" s="4" t="str">
        <x:f>IFERROR(INDEX('Items'!$B$6:$B$1005,MATCH(A997,'Items'!$A$6:$A$1005,0)),"MISSING ID")</x:f>
        <x:v>Cam-lever tie-down buckle</x:v>
      </x:c>
      <x:c r="C997" s="4" t="str">
        <x:f>IFERROR(INDEX('Items'!$D$6:$D$1005,MATCH(A997,'Items'!$A$6:$A$1005,0)),"MISSING ID")</x:f>
        <x:v>Salvage</x:v>
      </x:c>
      <x:c r="D997" s="4" t="inlineStr">
        <x:is>
          <x:t xml:space="preserve">Primary</x:t>
        </x:is>
      </x:c>
      <x:c r="E997" s="4" t="str">
        <x:f>IFERROR(INDEX('Items'!$AA$6:$AA$1005,MATCH(A997,'Items'!$A$6:$A$1005,0)),"MISSING ID")</x:f>
        <x:v>Binding and construction</x:v>
      </x:c>
      <x:c r="F997" s="4" t="inlineStr">
        <x:is>
          <x:t xml:space="preserve">Author-requested catalog proposal; intended use, not an implemented action.</x:t>
        </x:is>
      </x:c>
    </x:row>
    <x:row r="998">
      <x:c r="A998" s="4" t="inlineStr">
        <x:is>
          <x:t xml:space="preserve">proposal.camp.guyline_tensioner</x:t>
        </x:is>
      </x:c>
      <x:c r="B998" s="4" t="str">
        <x:f>IFERROR(INDEX('Items'!$B$6:$B$1005,MATCH(A998,'Items'!$A$6:$A$1005,0)),"MISSING ID")</x:f>
        <x:v>Three-hole guyline tensioner</x:v>
      </x:c>
      <x:c r="C998" s="4" t="str">
        <x:f>IFERROR(INDEX('Items'!$D$6:$D$1005,MATCH(A998,'Items'!$A$6:$A$1005,0)),"MISSING ID")</x:f>
        <x:v>Salvage</x:v>
      </x:c>
      <x:c r="D998" s="4" t="inlineStr">
        <x:is>
          <x:t xml:space="preserve">Primary</x:t>
        </x:is>
      </x:c>
      <x:c r="E998" s="4" t="str">
        <x:f>IFERROR(INDEX('Items'!$AA$6:$AA$1005,MATCH(A998,'Items'!$A$6:$A$1005,0)),"MISSING ID")</x:f>
        <x:v>Binding and construction</x:v>
      </x:c>
      <x:c r="F998" s="4" t="inlineStr">
        <x:is>
          <x:t xml:space="preserve">Author-requested catalog proposal; intended use, not an implemented action.</x:t>
        </x:is>
      </x:c>
    </x:row>
    <x:row r="999">
      <x:c r="A999" s="4" t="inlineStr">
        <x:is>
          <x:t xml:space="preserve">proposal.camp.split_ring_hanging_hook</x:t>
        </x:is>
      </x:c>
      <x:c r="B999" s="4" t="str">
        <x:f>IFERROR(INDEX('Items'!$B$6:$B$1005,MATCH(A999,'Items'!$A$6:$A$1005,0)),"MISSING ID")</x:f>
        <x:v>Split-ring hanging hook</x:v>
      </x:c>
      <x:c r="C999" s="4" t="str">
        <x:f>IFERROR(INDEX('Items'!$D$6:$D$1005,MATCH(A999,'Items'!$A$6:$A$1005,0)),"MISSING ID")</x:f>
        <x:v>Salvage</x:v>
      </x:c>
      <x:c r="D999" s="4" t="inlineStr">
        <x:is>
          <x:t xml:space="preserve">Primary</x:t>
        </x:is>
      </x:c>
      <x:c r="E999" s="4" t="str">
        <x:f>IFERROR(INDEX('Items'!$AA$6:$AA$1005,MATCH(A999,'Items'!$A$6:$A$1005,0)),"MISSING ID")</x:f>
        <x:v>Equipment mounting</x:v>
      </x:c>
      <x:c r="F999" s="4" t="inlineStr">
        <x:is>
          <x:t xml:space="preserve">Author-requested catalog proposal; intended use, not an implemented action.</x:t>
        </x:is>
      </x:c>
    </x:row>
    <x:row r="1000">
      <x:c r="A1000" s="4" t="inlineStr">
        <x:is>
          <x:t xml:space="preserve">proposal.camp.hinged_utensil_case</x:t>
        </x:is>
      </x:c>
      <x:c r="B1000" s="4" t="str">
        <x:f>IFERROR(INDEX('Items'!$B$6:$B$1005,MATCH(A1000,'Items'!$A$6:$A$1005,0)),"MISSING ID")</x:f>
        <x:v>Hinged camp utensil case</x:v>
      </x:c>
      <x:c r="C1000" s="4" t="str">
        <x:f>IFERROR(INDEX('Items'!$D$6:$D$1005,MATCH(A1000,'Items'!$A$6:$A$1005,0)),"MISSING ID")</x:f>
        <x:v>Salvage</x:v>
      </x:c>
      <x:c r="D1000" s="4" t="inlineStr">
        <x:is>
          <x:t xml:space="preserve">Primary</x:t>
        </x:is>
      </x:c>
      <x:c r="E1000" s="4" t="str">
        <x:f>IFERROR(INDEX('Items'!$AA$6:$AA$1005,MATCH(A1000,'Items'!$A$6:$A$1005,0)),"MISSING ID")</x:f>
        <x:v>Cargo organization</x:v>
      </x:c>
      <x:c r="F1000" s="4" t="inlineStr">
        <x:is>
          <x:t xml:space="preserve">Author-requested catalog proposal; intended use, not an implemented action.</x:t>
        </x:is>
      </x:c>
    </x:row>
    <x:row r="1001">
      <x:c r="A1001" s="4" t="inlineStr">
        <x:is>
          <x:t xml:space="preserve">proposal.camp.folding_grit_pan</x:t>
        </x:is>
      </x:c>
      <x:c r="B1001" s="4" t="str">
        <x:f>IFERROR(INDEX('Items'!$B$6:$B$1005,MATCH(A1001,'Items'!$A$6:$A$1005,0)),"MISSING ID")</x:f>
        <x:v>Folding grit pan</x:v>
      </x:c>
      <x:c r="C1001" s="4" t="str">
        <x:f>IFERROR(INDEX('Items'!$D$6:$D$1005,MATCH(A1001,'Items'!$A$6:$A$1005,0)),"MISSING ID")</x:f>
        <x:v>Salvage</x:v>
      </x:c>
      <x:c r="D1001" s="4" t="inlineStr">
        <x:is>
          <x:t xml:space="preserve">Primary</x:t>
        </x:is>
      </x:c>
      <x:c r="E1001" s="4" t="str">
        <x:f>IFERROR(INDEX('Items'!$AA$6:$AA$1005,MATCH(A1001,'Items'!$A$6:$A$1005,0)),"MISSING ID")</x:f>
        <x:v>Cleaning</x:v>
      </x:c>
      <x:c r="F1001" s="4" t="inlineStr">
        <x:is>
          <x:t xml:space="preserve">Author-requested catalog proposal; intended use, not an implemented action.</x:t>
        </x:is>
      </x:c>
    </x:row>
    <x:row r="1002">
      <x:c r="A1002" s="4" t="inlineStr">
        <x:is>
          <x:t xml:space="preserve">proposal.legger.articulated_joint_guards</x:t>
        </x:is>
      </x:c>
      <x:c r="B1002" s="4" t="str">
        <x:f>Items!B847</x:f>
        <x:v>Articulated joint guards</x:v>
      </x:c>
      <x:c r="C1002" s="4" t="str">
        <x:f>Items!D847</x:f>
        <x:v>Legger armor</x:v>
      </x:c>
      <x:c r="D1002" s="4" t="inlineStr">
        <x:is>
          <x:t xml:space="preserve">Primary</x:t>
        </x:is>
      </x:c>
      <x:c r="E1002" s="4" t="str">
        <x:f>Items!AA847</x:f>
        <x:v>Protection</x:v>
      </x:c>
      <x:c r="F1002" s="4" t="inlineStr">
        <x:is>
          <x:t xml:space="preserve">Author-requested armor concept; intended use only.</x:t>
        </x:is>
      </x:c>
    </x:row>
    <x:row r="1003">
      <x:c r="A1003" s="4" t="inlineStr">
        <x:is>
          <x:t xml:space="preserve">proposal.legger.cargo_flank_screens</x:t>
        </x:is>
      </x:c>
      <x:c r="B1003" s="4" t="str">
        <x:f>Items!B848</x:f>
        <x:v>Cargo flank screens</x:v>
      </x:c>
      <x:c r="C1003" s="4" t="str">
        <x:f>Items!D848</x:f>
        <x:v>Legger armor</x:v>
      </x:c>
      <x:c r="D1003" s="4" t="inlineStr">
        <x:is>
          <x:t xml:space="preserve">Primary</x:t>
        </x:is>
      </x:c>
      <x:c r="E1003" s="4" t="str">
        <x:f>Items!AA848</x:f>
        <x:v>Protection</x:v>
      </x:c>
      <x:c r="F1003" s="4" t="inlineStr">
        <x:is>
          <x:t xml:space="preserve">Author-requested armor concept; intended use only.</x:t>
        </x:is>
      </x:c>
    </x:row>
    <x:row r="1004">
      <x:c r="A1004" s="4" t="inlineStr">
        <x:is>
          <x:t xml:space="preserve">proposal.legger.dorsal_shingle_carapace</x:t>
        </x:is>
      </x:c>
      <x:c r="B1004" s="4" t="str">
        <x:f>Items!B849</x:f>
        <x:v>Dorsal shingle carapace</x:v>
      </x:c>
      <x:c r="C1004" s="4" t="str">
        <x:f>Items!D849</x:f>
        <x:v>Legger armor</x:v>
      </x:c>
      <x:c r="D1004" s="4" t="inlineStr">
        <x:is>
          <x:t xml:space="preserve">Primary</x:t>
        </x:is>
      </x:c>
      <x:c r="E1004" s="4" t="str">
        <x:f>Items!AA849</x:f>
        <x:v>Protection</x:v>
      </x:c>
      <x:c r="F1004" s="4" t="inlineStr">
        <x:is>
          <x:t xml:space="preserve">Author-requested armor concept; intended use only.</x:t>
        </x:is>
      </x:c>
    </x:row>
    <x:row r="1005">
      <x:c r="A1005" s="4" t="inlineStr">
        <x:is>
          <x:t xml:space="preserve">proposal.salvage.expedition_cookpot</x:t>
        </x:is>
      </x:c>
      <x:c r="B1005" s="4" t="str">
        <x:f>Items!B850</x:f>
        <x:v>Dented expedition cookpot</x:v>
      </x:c>
      <x:c r="C1005" s="4" t="str">
        <x:f>Items!D850</x:f>
        <x:v>Salvage</x:v>
      </x:c>
      <x:c r="D1005" s="4" t="inlineStr">
        <x:is>
          <x:t xml:space="preserve">Primary</x:t>
        </x:is>
      </x:c>
      <x:c r="E1005" s="4" t="str">
        <x:f>Items!AA850</x:f>
        <x:v>Cooking</x:v>
      </x:c>
      <x:c r="F1005" s="4" t="inlineStr">
        <x:is>
          <x:t xml:space="preserve">Author-requested catalog proposal; intended use, not an implemented action.</x:t>
        </x:is>
      </x:c>
    </x:row>
    <x:row r="1006">
      <x:c r="A1006" s="4" t="inlineStr">
        <x:is>
          <x:t xml:space="preserve">proposal.salvage.buckled_pack_frame</x:t>
        </x:is>
      </x:c>
      <x:c r="B1006" s="4" t="str">
        <x:f>Items!B851</x:f>
        <x:v>Buckled pack frame</x:v>
      </x:c>
      <x:c r="C1006" s="4" t="str">
        <x:f>Items!D851</x:f>
        <x:v>Salvage</x:v>
      </x:c>
      <x:c r="D1006" s="4" t="inlineStr">
        <x:is>
          <x:t xml:space="preserve">Primary</x:t>
        </x:is>
      </x:c>
      <x:c r="E1006" s="4" t="str">
        <x:f>Items!AA851</x:f>
        <x:v>Cargo organization</x:v>
      </x:c>
      <x:c r="F1006" s="4" t="inlineStr">
        <x:is>
          <x:t xml:space="preserve">Author-requested catalog proposal; intended use, not an implemented action.</x:t>
        </x:is>
      </x:c>
    </x:row>
    <x:row r="1007">
      <x:c r="A1007" s="4" t="inlineStr">
        <x:is>
          <x:t xml:space="preserve">proposal.salvage.mixed_field_fasteners</x:t>
        </x:is>
      </x:c>
      <x:c r="B1007" s="4" t="str">
        <x:f>Items!B852</x:f>
        <x:v>Mixed field-repair fasteners</x:v>
      </x:c>
      <x:c r="C1007" s="4" t="str">
        <x:f>Items!D852</x:f>
        <x:v>Salvage</x:v>
      </x:c>
      <x:c r="D1007" s="4" t="inlineStr">
        <x:is>
          <x:t xml:space="preserve">Primary</x:t>
        </x:is>
      </x:c>
      <x:c r="E1007" s="4" t="str">
        <x:f>Items!AA852</x:f>
        <x:v>Equipment repair</x:v>
      </x:c>
      <x:c r="F1007" s="4" t="inlineStr">
        <x:is>
          <x:t xml:space="preserve">Author-requested catalog proposal; intended use, not an implemented action.</x:t>
        </x:is>
      </x:c>
    </x:row>
    <x:row r="1008">
      <x:c r="A1008" s="4" t="inlineStr">
        <x:is>
          <x:t xml:space="preserve">proposal.salvage.cracked_haul_canister</x:t>
        </x:is>
      </x:c>
      <x:c r="B1008" s="4" t="str">
        <x:f>Items!B853</x:f>
        <x:v>Cracked empty haul canister</x:v>
      </x:c>
      <x:c r="C1008" s="4" t="str">
        <x:f>Items!D853</x:f>
        <x:v>Salvage</x:v>
      </x:c>
      <x:c r="D1008" s="4" t="inlineStr">
        <x:is>
          <x:t xml:space="preserve">Primary</x:t>
        </x:is>
      </x:c>
      <x:c r="E1008" s="4" t="str">
        <x:f>Items!AA853</x:f>
        <x:v>Liquid and bulk containment</x:v>
      </x:c>
      <x:c r="F1008" s="4" t="inlineStr">
        <x:is>
          <x:t xml:space="preserve">Author-requested catalog proposal; intended use, not an implemented action.</x:t>
        </x:is>
      </x:c>
    </x:row>
    <x:row r="1009">
      <x:c r="A1009" s="4" t="inlineStr">
        <x:is>
          <x:t xml:space="preserve">proposal.salvage.worn_boot_sole_plates</x:t>
        </x:is>
      </x:c>
      <x:c r="B1009" s="4" t="str">
        <x:f>Items!B854</x:f>
        <x:v>Worn boot sole plates</x:v>
      </x:c>
      <x:c r="C1009" s="4" t="str">
        <x:f>Items!D854</x:f>
        <x:v>Salvage</x:v>
      </x:c>
      <x:c r="D1009" s="4" t="inlineStr">
        <x:is>
          <x:t xml:space="preserve">Primary</x:t>
        </x:is>
      </x:c>
      <x:c r="E1009" s="4" t="str">
        <x:f>Items!AA854</x:f>
        <x:v>Equipment repair</x:v>
      </x:c>
      <x:c r="F1009" s="4" t="inlineStr">
        <x:is>
          <x:t xml:space="preserve">Author-requested catalog proposal; intended use, not an implemented action.</x:t>
        </x:is>
      </x:c>
    </x:row>
    <x:row r="1010">
      <x:c r="A1010" s="4" t="inlineStr">
        <x:is>
          <x:t xml:space="preserve">proposal.salvage.weathered_route_plates</x:t>
        </x:is>
      </x:c>
      <x:c r="B1010" s="4" t="str">
        <x:f>Items!B855</x:f>
        <x:v>Weathered expedition route plates</x:v>
      </x:c>
      <x:c r="C1010" s="4" t="str">
        <x:f>Items!D855</x:f>
        <x:v>Salvage</x:v>
      </x:c>
      <x:c r="D1010" s="4" t="inlineStr">
        <x:is>
          <x:t xml:space="preserve">Primary</x:t>
        </x:is>
      </x:c>
      <x:c r="E1010" s="4" t="str">
        <x:f>Items!AA855</x:f>
        <x:v>Writing and records</x:v>
      </x:c>
      <x:c r="F1010" s="4" t="inlineStr">
        <x:is>
          <x:t xml:space="preserve">Author-requested catalog proposal; intended use, not an implemented action.</x:t>
        </x:is>
      </x:c>
    </x:row>
    <x:row r="1011">
      <x:c r="A1011" s="4" t="inlineStr">
        <x:is>
          <x:t xml:space="preserve">proposal.salvage.damaged_sail_hinge</x:t>
        </x:is>
      </x:c>
      <x:c r="B1011" s="4" t="str">
        <x:f>Items!B856</x:f>
        <x:v>Damaged folding-sail hinge</x:v>
      </x:c>
      <x:c r="C1011" s="4" t="str">
        <x:f>Items!D856</x:f>
        <x:v>Salvage</x:v>
      </x:c>
      <x:c r="D1011" s="4" t="inlineStr">
        <x:is>
          <x:t xml:space="preserve">Primary</x:t>
        </x:is>
      </x:c>
      <x:c r="E1011" s="4" t="str">
        <x:f>Items!AA856</x:f>
        <x:v>Equipment repair</x:v>
      </x:c>
      <x:c r="F1011" s="4" t="inlineStr">
        <x:is>
          <x:t xml:space="preserve">Author-requested catalog proposal; intended use, not an implemented action.</x:t>
        </x:is>
      </x:c>
    </x:row>
    <x:row r="1012">
      <x:c r="A1012" s="4" t="inlineStr">
        <x:is>
          <x:t xml:space="preserve">proposal.salvage.seized_hand_drill</x:t>
        </x:is>
      </x:c>
      <x:c r="B1012" s="4" t="str">
        <x:f>Items!B857</x:f>
        <x:v>Seized hand-crank drill</x:v>
      </x:c>
      <x:c r="C1012" s="4" t="str">
        <x:f>Items!D857</x:f>
        <x:v>Salvage</x:v>
      </x:c>
      <x:c r="D1012" s="4" t="inlineStr">
        <x:is>
          <x:t xml:space="preserve">Primary</x:t>
        </x:is>
      </x:c>
      <x:c r="E1012" s="4" t="str">
        <x:f>Items!AA857</x:f>
        <x:v>Fabrication</x:v>
      </x:c>
      <x:c r="F1012" s="4" t="inlineStr">
        <x:is>
          <x:t xml:space="preserve">Author-requested catalog proposal; intended use, not an implemented action.</x:t>
        </x:is>
      </x:c>
    </x:row>
    <x:row r="1013">
      <x:c r="A1013" s="4" t="inlineStr">
        <x:is>
          <x:t xml:space="preserve">proposal.salvage.cracked_expedition_spectacles</x:t>
        </x:is>
      </x:c>
      <x:c r="B1013" s="4" t="str">
        <x:f>Items!B858</x:f>
        <x:v>Cracked expedition spectacles</x:v>
      </x:c>
      <x:c r="C1013" s="4" t="str">
        <x:f>Items!D858</x:f>
        <x:v>Salvage</x:v>
      </x:c>
      <x:c r="D1013" s="4" t="inlineStr">
        <x:is>
          <x:t xml:space="preserve">Primary</x:t>
        </x:is>
      </x:c>
      <x:c r="E1013" s="4" t="str">
        <x:f>Items!AA858</x:f>
        <x:v>Vision</x:v>
      </x:c>
      <x:c r="F1013" s="4" t="inlineStr">
        <x:is>
          <x:t xml:space="preserve">Author-requested catalog proposal; intended use, not an implemented action.</x:t>
        </x:is>
      </x:c>
    </x:row>
    <x:row r="1014">
      <x:c r="A1014" s="4"/>
      <x:c r="B1014" s="4"/>
      <x:c r="C1014" s="4"/>
      <x:c r="D1014" s="4"/>
      <x:c r="E1014" s="4"/>
      <x:c r="F1014" s="4"/>
    </x:row>
    <x:row r="1015">
      <x:c r="A1015" s="4" t="inlineStr">
        <x:is>
          <x:t xml:space="preserve">proposal.stock.perforated_iron_sheet</x:t>
        </x:is>
      </x:c>
      <x:c r="B1015" s="4" t="str">
        <x:f>Items!B860</x:f>
        <x:v>Perforated iron sheet stock</x:v>
      </x:c>
      <x:c r="C1015" s="4" t="str">
        <x:f>Items!D860</x:f>
        <x:v>Manufactured stock</x:v>
      </x:c>
      <x:c r="D1015" s="4" t="inlineStr">
        <x:is>
          <x:t xml:space="preserve">Primary</x:t>
        </x:is>
      </x:c>
      <x:c r="E1015" s="4" t="str">
        <x:f>Items!AA860</x:f>
        <x:v>Fabrication</x:v>
      </x:c>
      <x:c r="F1015" s="4" t="inlineStr">
        <x:is>
          <x:t xml:space="preserve">Author-requested catalog proposal; intended use, not an implemented action.</x:t>
        </x:is>
      </x:c>
    </x:row>
    <x:row r="1016">
      <x:c r="A1016" s="4" t="inlineStr">
        <x:is>
          <x:t xml:space="preserve">proposal.stock.flanged_iron_channel</x:t>
        </x:is>
      </x:c>
      <x:c r="B1016" s="4" t="str">
        <x:f>Items!B861</x:f>
        <x:v>Flanged iron channel stock</x:v>
      </x:c>
      <x:c r="C1016" s="4" t="str">
        <x:f>Items!D861</x:f>
        <x:v>Manufactured stock</x:v>
      </x:c>
      <x:c r="D1016" s="4" t="inlineStr">
        <x:is>
          <x:t xml:space="preserve">Primary</x:t>
        </x:is>
      </x:c>
      <x:c r="E1016" s="4" t="str">
        <x:f>Items!AA861</x:f>
        <x:v>Equipment fabrication</x:v>
      </x:c>
      <x:c r="F1016" s="4" t="inlineStr">
        <x:is>
          <x:t xml:space="preserve">Author-requested catalog proposal; intended use, not an implemented action.</x:t>
        </x:is>
      </x:c>
    </x:row>
    <x:row r="1017">
      <x:c r="A1017" s="4" t="inlineStr">
        <x:is>
          <x:t xml:space="preserve">proposal.stock.corrugated_steel_sheet</x:t>
        </x:is>
      </x:c>
      <x:c r="B1017" s="4" t="str">
        <x:f>Items!B862</x:f>
        <x:v>Corrugated steel sheet stock</x:v>
      </x:c>
      <x:c r="C1017" s="4" t="str">
        <x:f>Items!D862</x:f>
        <x:v>Manufactured stock</x:v>
      </x:c>
      <x:c r="D1017" s="4" t="inlineStr">
        <x:is>
          <x:t xml:space="preserve">Primary</x:t>
        </x:is>
      </x:c>
      <x:c r="E1017" s="4" t="str">
        <x:f>Items!AA862</x:f>
        <x:v>Equipment fabrication</x:v>
      </x:c>
      <x:c r="F1017" s="4" t="inlineStr">
        <x:is>
          <x:t xml:space="preserve">Author-requested catalog proposal; intended use, not an implemented action.</x:t>
        </x:is>
      </x:c>
    </x:row>
    <x:row r="1018">
      <x:c r="A1018" s="4" t="inlineStr">
        <x:is>
          <x:t xml:space="preserve">proposal.stock.hollow_ceramic_tube_blanks</x:t>
        </x:is>
      </x:c>
      <x:c r="B1018" s="4" t="str">
        <x:f>Items!B863</x:f>
        <x:v>Hollow ceramic tube blanks</x:v>
      </x:c>
      <x:c r="C1018" s="4" t="str">
        <x:f>Items!D863</x:f>
        <x:v>Manufactured stock</x:v>
      </x:c>
      <x:c r="D1018" s="4" t="inlineStr">
        <x:is>
          <x:t xml:space="preserve">Primary</x:t>
        </x:is>
      </x:c>
      <x:c r="E1018" s="4" t="str">
        <x:f>Items!AA863</x:f>
        <x:v>Fabrication</x:v>
      </x:c>
      <x:c r="F1018" s="4" t="inlineStr">
        <x:is>
          <x:t xml:space="preserve">Author-requested catalog proposal; intended use, not an implemented action.</x:t>
        </x:is>
      </x:c>
    </x:row>
    <x:row r="1019">
      <x:c r="A1019" s="4" t="inlineStr">
        <x:is>
          <x:t xml:space="preserve">proposal.stock.fired_ceramic_ring_blanks</x:t>
        </x:is>
      </x:c>
      <x:c r="B1019" s="4" t="str">
        <x:f>Items!B864</x:f>
        <x:v>Fired ceramic ring blanks</x:v>
      </x:c>
      <x:c r="C1019" s="4" t="str">
        <x:f>Items!D864</x:f>
        <x:v>Manufactured stock</x:v>
      </x:c>
      <x:c r="D1019" s="4" t="inlineStr">
        <x:is>
          <x:t xml:space="preserve">Primary</x:t>
        </x:is>
      </x:c>
      <x:c r="E1019" s="4" t="str">
        <x:f>Items!AA864</x:f>
        <x:v>Fabrication</x:v>
      </x:c>
      <x:c r="F1019" s="4" t="inlineStr">
        <x:is>
          <x:t xml:space="preserve">Author-requested catalog proposal; intended use, not an implemented action.</x:t>
        </x:is>
      </x:c>
    </x:row>
    <x:row r="1020">
      <x:c r="A1020" s="4" t="inlineStr">
        <x:is>
          <x:t xml:space="preserve">proposal.stock.laminated_mica_shims</x:t>
        </x:is>
      </x:c>
      <x:c r="B1020" s="4" t="str">
        <x:f>Items!B865</x:f>
        <x:v>Laminated mica shim stock</x:v>
      </x:c>
      <x:c r="C1020" s="4" t="str">
        <x:f>Items!D865</x:f>
        <x:v>Manufactured stock</x:v>
      </x:c>
      <x:c r="D1020" s="4" t="inlineStr">
        <x:is>
          <x:t xml:space="preserve">Primary</x:t>
        </x:is>
      </x:c>
      <x:c r="E1020" s="4" t="str">
        <x:f>Items!AA865</x:f>
        <x:v>Equipment fabrication</x:v>
      </x:c>
      <x:c r="F1020" s="4" t="inlineStr">
        <x:is>
          <x:t xml:space="preserve">Author-requested catalog proposal; intended use, not an implemented action.</x:t>
        </x:is>
      </x:c>
    </x:row>
    <x:row r="1021">
      <x:c r="A1021" s="4" t="inlineStr">
        <x:is>
          <x:t xml:space="preserve">proposal.stock.copper_capillary_tube</x:t>
        </x:is>
      </x:c>
      <x:c r="B1021" s="4" t="str">
        <x:f>Items!B866</x:f>
        <x:v>Copper capillary tube stock</x:v>
      </x:c>
      <x:c r="C1021" s="4" t="str">
        <x:f>Items!D866</x:f>
        <x:v>Manufactured stock</x:v>
      </x:c>
      <x:c r="D1021" s="4" t="inlineStr">
        <x:is>
          <x:t xml:space="preserve">Primary</x:t>
        </x:is>
      </x:c>
      <x:c r="E1021" s="4" t="str">
        <x:f>Items!AA866</x:f>
        <x:v>Equipment fabrication</x:v>
      </x:c>
      <x:c r="F1021" s="4" t="inlineStr">
        <x:is>
          <x:t xml:space="preserve">Author-requested catalog proposal; intended use, not an implemented action.</x:t>
        </x:is>
      </x:c>
    </x:row>
    <x:row r="1022">
      <x:c r="A1022" s="4" t="inlineStr">
        <x:is>
          <x:t xml:space="preserve">proposal.stock.hammered_bronze_foil</x:t>
        </x:is>
      </x:c>
      <x:c r="B1022" s="4" t="str">
        <x:f>Items!B867</x:f>
        <x:v>Hammered bronze foil stock</x:v>
      </x:c>
      <x:c r="C1022" s="4" t="str">
        <x:f>Items!D867</x:f>
        <x:v>Manufactured stock</x:v>
      </x:c>
      <x:c r="D1022" s="4" t="inlineStr">
        <x:is>
          <x:t xml:space="preserve">Primary</x:t>
        </x:is>
      </x:c>
      <x:c r="E1022" s="4" t="str">
        <x:f>Items!AA867</x:f>
        <x:v>Fabrication</x:v>
      </x:c>
      <x:c r="F1022" s="4" t="inlineStr">
        <x:is>
          <x:t xml:space="preserve">Author-requested catalog proposal; intended use, not an implemented action.</x:t>
        </x:is>
      </x:c>
    </x:row>
    <x:row r="1023">
      <x:c r="A1023" s="4" t="inlineStr">
        <x:is>
          <x:t xml:space="preserve">author.station.workbench</x:t>
        </x:is>
      </x:c>
      <x:c r="B1023" s="4" t="str">
        <x:f>Items!B868</x:f>
        <x:v>Workbench</x:v>
      </x:c>
      <x:c r="C1023" s="4" t="str">
        <x:f>Items!D868</x:f>
        <x:v>Crafting stations</x:v>
      </x:c>
      <x:c r="D1023" s="4" t="inlineStr">
        <x:is>
          <x:t xml:space="preserve">Primary</x:t>
        </x:is>
      </x:c>
      <x:c r="E1023" s="4" t="str">
        <x:f>Items!AA868</x:f>
        <x:v>Equipment fabrication</x:v>
      </x:c>
      <x:c r="F1023" s="4" t="inlineStr">
        <x:is>
          <x:t xml:space="preserve">Author-requested catalog proposal; intended use, not an implemented action.</x:t>
        </x:is>
      </x:c>
    </x:row>
    <x:row r="1024">
      <x:c r="A1024" s="4" t="inlineStr">
        <x:is>
          <x:t xml:space="preserve">author.station.ironstone_refinery</x:t>
        </x:is>
      </x:c>
      <x:c r="B1024" s="4" t="str">
        <x:f>Items!B869</x:f>
        <x:v>Ironstone refinery</x:v>
      </x:c>
      <x:c r="C1024" s="4" t="str">
        <x:f>Items!D869</x:f>
        <x:v>Crafting stations</x:v>
      </x:c>
      <x:c r="D1024" s="4" t="inlineStr">
        <x:is>
          <x:t xml:space="preserve">Primary</x:t>
        </x:is>
      </x:c>
      <x:c r="E1024" s="4" t="str">
        <x:f>Items!AA869</x:f>
        <x:v>Metal refining</x:v>
      </x:c>
      <x:c r="F1024" s="4" t="inlineStr">
        <x:is>
          <x:t xml:space="preserve">Author-requested catalog proposal; intended use, not an implemented action.</x:t>
        </x:is>
      </x:c>
    </x:row>
    <x:row r="1025">
      <x:c r="A1025" s="4" t="inlineStr">
        <x:is>
          <x:t xml:space="preserve">author.station.dust_refinery</x:t>
        </x:is>
      </x:c>
      <x:c r="B1025" s="4" t="str">
        <x:f>Items!B870</x:f>
        <x:v>Dust refinery</x:v>
      </x:c>
      <x:c r="C1025" s="4" t="str">
        <x:f>Items!D870</x:f>
        <x:v>Crafting stations</x:v>
      </x:c>
      <x:c r="D1025" s="4" t="inlineStr">
        <x:is>
          <x:t xml:space="preserve">Primary</x:t>
        </x:is>
      </x:c>
      <x:c r="E1025" s="4" t="str">
        <x:f>Items!AA870</x:f>
        <x:v>Energy processing</x:v>
      </x:c>
      <x:c r="F1025" s="4" t="inlineStr">
        <x:is>
          <x:t xml:space="preserve">Author-requested catalog proposal; intended use, not an implemented action.</x:t>
        </x:is>
      </x:c>
    </x:row>
    <x:row r="1026">
      <x:c r="A1026" s="4" t="inlineStr">
        <x:is>
          <x:t xml:space="preserve">proposal.station.salvage_dismantling_bench</x:t>
        </x:is>
      </x:c>
      <x:c r="B1026" s="4" t="str">
        <x:f>Items!B871</x:f>
        <x:v>Salvage dismantling bench</x:v>
      </x:c>
      <x:c r="C1026" s="4" t="str">
        <x:f>Items!D871</x:f>
        <x:v>Crafting stations</x:v>
      </x:c>
      <x:c r="D1026" s="4" t="inlineStr">
        <x:is>
          <x:t xml:space="preserve">Primary</x:t>
        </x:is>
      </x:c>
      <x:c r="E1026" s="4" t="str">
        <x:f>Items!AA871</x:f>
        <x:v>Equipment repair</x:v>
      </x:c>
      <x:c r="F1026" s="4" t="inlineStr">
        <x:is>
          <x:t xml:space="preserve">Author-requested catalog proposal; intended use, not an implemented action.</x:t>
        </x:is>
      </x:c>
    </x:row>
    <x:row r="1027">
      <x:c r="A1027" s="4" t="inlineStr">
        <x:is>
          <x:t xml:space="preserve">proposal.station.husk_processing_table</x:t>
        </x:is>
      </x:c>
      <x:c r="B1027" s="4" t="str">
        <x:f>Items!B872</x:f>
        <x:v>Husk processing table</x:v>
      </x:c>
      <x:c r="C1027" s="4" t="str">
        <x:f>Items!D872</x:f>
        <x:v>Crafting stations</x:v>
      </x:c>
      <x:c r="D1027" s="4" t="inlineStr">
        <x:is>
          <x:t xml:space="preserve">Primary</x:t>
        </x:is>
      </x:c>
      <x:c r="E1027" s="4" t="str">
        <x:f>Items!AA872</x:f>
        <x:v>Fiber processing</x:v>
      </x:c>
      <x:c r="F1027" s="4" t="inlineStr">
        <x:is>
          <x:t xml:space="preserve">Author-requested catalog proposal; intended use, not an implemented action.</x:t>
        </x:is>
      </x:c>
    </x:row>
    <x:row r="1028">
      <x:c r="A1028" s="4" t="inlineStr">
        <x:is>
          <x:t xml:space="preserve">proposal.station.husk_fiber_press</x:t>
        </x:is>
      </x:c>
      <x:c r="B1028" s="4" t="str">
        <x:f>Items!B873</x:f>
        <x:v>Husk-fiber press</x:v>
      </x:c>
      <x:c r="C1028" s="4" t="str">
        <x:f>Items!D873</x:f>
        <x:v>Crafting stations</x:v>
      </x:c>
      <x:c r="D1028" s="4" t="inlineStr">
        <x:is>
          <x:t xml:space="preserve">Primary</x:t>
        </x:is>
      </x:c>
      <x:c r="E1028" s="4" t="str">
        <x:f>Items!AA873</x:f>
        <x:v>Paper making</x:v>
      </x:c>
      <x:c r="F1028" s="4" t="inlineStr">
        <x:is>
          <x:t xml:space="preserve">Author-requested catalog proposal; intended use, not an implemented action.</x:t>
        </x:is>
      </x:c>
    </x:row>
    <x:row r="1029">
      <x:c r="A1029" s="4" t="inlineStr">
        <x:is>
          <x:t xml:space="preserve">proposal.station.ceramic_forming_bench</x:t>
        </x:is>
      </x:c>
      <x:c r="B1029" s="4" t="str">
        <x:f>Items!B874</x:f>
        <x:v>Ceramic forming bench</x:v>
      </x:c>
      <x:c r="C1029" s="4" t="str">
        <x:f>Items!D874</x:f>
        <x:v>Crafting stations</x:v>
      </x:c>
      <x:c r="D1029" s="4" t="inlineStr">
        <x:is>
          <x:t xml:space="preserve">Primary</x:t>
        </x:is>
      </x:c>
      <x:c r="E1029" s="4" t="str">
        <x:f>Items!AA874</x:f>
        <x:v>Glass and ceramics</x:v>
      </x:c>
      <x:c r="F1029" s="4" t="inlineStr">
        <x:is>
          <x:t xml:space="preserve">Author-requested catalog proposal; intended use, not an implemented action.</x:t>
        </x:is>
      </x:c>
    </x:row>
    <x:row r="1030">
      <x:c r="A1030" s="4" t="inlineStr">
        <x:is>
          <x:t xml:space="preserve">proposal.station.contained_chemical_processing_station</x:t>
        </x:is>
      </x:c>
      <x:c r="B1030" s="4" t="str">
        <x:f>Items!B875</x:f>
        <x:v>Contained chemical processing station</x:v>
      </x:c>
      <x:c r="C1030" s="4" t="str">
        <x:f>Items!D875</x:f>
        <x:v>Crafting stations</x:v>
      </x:c>
      <x:c r="D1030" s="4" t="inlineStr">
        <x:is>
          <x:t xml:space="preserve">Primary</x:t>
        </x:is>
      </x:c>
      <x:c r="E1030" s="4" t="str">
        <x:f>Items!AA875</x:f>
        <x:v>Chemical processing</x:v>
      </x:c>
      <x:c r="F1030" s="4" t="inlineStr">
        <x:is>
          <x:t xml:space="preserve">Author-requested catalog proposal; intended use, not an implemented action.</x:t>
        </x:is>
      </x:c>
    </x:row>
    <x:row r="1031">
      <x:c r="A1031" s="4" t="inlineStr">
        <x:is>
          <x:t xml:space="preserve">proposal.station.legger_service_stand</x:t>
        </x:is>
      </x:c>
      <x:c r="B1031" s="4" t="str">
        <x:f>Items!B876</x:f>
        <x:v>Legger service stand</x:v>
      </x:c>
      <x:c r="C1031" s="4" t="str">
        <x:f>Items!D876</x:f>
        <x:v>Crafting stations</x:v>
      </x:c>
      <x:c r="D1031" s="4" t="inlineStr">
        <x:is>
          <x:t xml:space="preserve">Primary</x:t>
        </x:is>
      </x:c>
      <x:c r="E1031" s="4" t="str">
        <x:f>Items!AA876</x:f>
        <x:v>Machinery repair</x:v>
      </x:c>
      <x:c r="F1031" s="4" t="inlineStr">
        <x:is>
          <x:t xml:space="preserve">Author-requested catalog proposal; intended use, not an implemented action.</x:t>
        </x:is>
      </x:c>
    </x:row>
    <x:row r="1032">
      <x:c r="A1032" s="4" t="inlineStr">
        <x:is>
          <x:t xml:space="preserve">proposal.bio.tracheal_tubes</x:t>
        </x:is>
      </x:c>
      <x:c r="B1032" s="4" t="str">
        <x:f>Items!B877</x:f>
        <x:v>Faunal tracheal tubes</x:v>
      </x:c>
      <x:c r="C1032" s="4" t="str">
        <x:f>Items!D877</x:f>
        <x:v>Biological resources</x:v>
      </x:c>
      <x:c r="D1032" s="4" t="inlineStr">
        <x:is>
          <x:t xml:space="preserve">Primary</x:t>
        </x:is>
      </x:c>
      <x:c r="E1032" s="4" t="str">
        <x:f>Items!AA877</x:f>
        <x:v>Fabrication</x:v>
      </x:c>
      <x:c r="F1032" s="4" t="inlineStr">
        <x:is>
          <x:t xml:space="preserve">Author-requested catalog proposal; intended use, not an implemented action.</x:t>
        </x:is>
      </x:c>
    </x:row>
    <x:row r="1033">
      <x:c r="A1033" s="4" t="inlineStr">
        <x:is>
          <x:t xml:space="preserve">proposal.bio.gut_lining_sacs</x:t>
        </x:is>
      </x:c>
      <x:c r="B1033" s="4" t="str">
        <x:f>Items!B878</x:f>
        <x:v>Faunal gut-lining sacs</x:v>
      </x:c>
      <x:c r="C1033" s="4" t="str">
        <x:f>Items!D878</x:f>
        <x:v>Biological resources</x:v>
      </x:c>
      <x:c r="D1033" s="4" t="inlineStr">
        <x:is>
          <x:t xml:space="preserve">Primary</x:t>
        </x:is>
      </x:c>
      <x:c r="E1033" s="4" t="str">
        <x:f>Items!AA878</x:f>
        <x:v>Liquid and bulk containment</x:v>
      </x:c>
      <x:c r="F1033" s="4" t="inlineStr">
        <x:is>
          <x:t xml:space="preserve">Author-requested catalog proposal; intended use, not an implemented action.</x:t>
        </x:is>
      </x:c>
    </x:row>
    <x:row r="1034">
      <x:c r="A1034" s="4" t="inlineStr">
        <x:is>
          <x:t xml:space="preserve">proposal.bio.pigment_nodules</x:t>
        </x:is>
      </x:c>
      <x:c r="B1034" s="4" t="str">
        <x:f>Items!B879</x:f>
        <x:v>Faunal pigment nodules</x:v>
      </x:c>
      <x:c r="C1034" s="4" t="str">
        <x:f>Items!D879</x:f>
        <x:v>Biological resources</x:v>
      </x:c>
      <x:c r="D1034" s="4" t="inlineStr">
        <x:is>
          <x:t xml:space="preserve">Primary</x:t>
        </x:is>
      </x:c>
      <x:c r="E1034" s="4" t="str">
        <x:f>Items!AA879</x:f>
        <x:v>Decoration</x:v>
      </x:c>
      <x:c r="F1034" s="4" t="inlineStr">
        <x:is>
          <x:t xml:space="preserve">Author-requested catalog proposal; intended use, not an implemented action.</x:t>
        </x:is>
      </x:c>
    </x:row>
    <x:row r="1035">
      <x:c r="A1035" s="4" t="inlineStr">
        <x:is>
          <x:t xml:space="preserve">proposal.bio.spring_arches</x:t>
        </x:is>
      </x:c>
      <x:c r="B1035" s="4" t="str">
        <x:f>Items!B880</x:f>
        <x:v>Faunal spring arches</x:v>
      </x:c>
      <x:c r="C1035" s="4" t="str">
        <x:f>Items!D880</x:f>
        <x:v>Biological resources</x:v>
      </x:c>
      <x:c r="D1035" s="4" t="inlineStr">
        <x:is>
          <x:t xml:space="preserve">Primary</x:t>
        </x:is>
      </x:c>
      <x:c r="E1035" s="4" t="str">
        <x:f>Items!AA880</x:f>
        <x:v>Fabrication</x:v>
      </x:c>
      <x:c r="F1035" s="4" t="inlineStr">
        <x:is>
          <x:t xml:space="preserve">Author-requested catalog proposal; intended use, not an implemented action.</x:t>
        </x:is>
      </x:c>
    </x:row>
    <x:row r="1036">
      <x:c r="A1036" s="4" t="inlineStr">
        <x:is>
          <x:t xml:space="preserve">proposal.bio.balance_stones</x:t>
        </x:is>
      </x:c>
      <x:c r="B1036" s="4" t="str">
        <x:f>Items!B881</x:f>
        <x:v>Faunal balance stones</x:v>
      </x:c>
      <x:c r="C1036" s="4" t="str">
        <x:f>Items!D881</x:f>
        <x:v>Biological resources</x:v>
      </x:c>
      <x:c r="D1036" s="4" t="inlineStr">
        <x:is>
          <x:t xml:space="preserve">Primary</x:t>
        </x:is>
      </x:c>
      <x:c r="E1036" s="4" t="str">
        <x:f>Items!AA881</x:f>
        <x:v>Fabrication</x:v>
      </x:c>
      <x:c r="F1036" s="4" t="inlineStr">
        <x:is>
          <x:t xml:space="preserve">Author-requested catalog proposal; intended use, not an implemented action.</x:t>
        </x:is>
      </x:c>
    </x:row>
    <x:row r="1037">
      <x:c r="A1037" s="4" t="inlineStr">
        <x:is>
          <x:t xml:space="preserve">proposal.bio.grooming_comb_plates</x:t>
        </x:is>
      </x:c>
      <x:c r="B1037" s="4" t="str">
        <x:f>Items!B882</x:f>
        <x:v>Faunal grooming-comb plates</x:v>
      </x:c>
      <x:c r="C1037" s="4" t="str">
        <x:f>Items!D882</x:f>
        <x:v>Biological resources</x:v>
      </x:c>
      <x:c r="D1037" s="4" t="inlineStr">
        <x:is>
          <x:t xml:space="preserve">Primary</x:t>
        </x:is>
      </x:c>
      <x:c r="E1037" s="4" t="str">
        <x:f>Items!AA882</x:f>
        <x:v>Fiber processing</x:v>
      </x:c>
      <x:c r="F1037" s="4" t="inlineStr">
        <x:is>
          <x:t xml:space="preserve">Author-requested catalog proposal; intended use, not an implemented action.</x:t>
        </x:is>
      </x:c>
    </x:row>
    <x:row r="1038">
      <x:c r="A1038" s="4" t="inlineStr">
        <x:is>
          <x:t xml:space="preserve">proposal.salvage.sand_choked_cable_winch</x:t>
        </x:is>
      </x:c>
      <x:c r="B1038" s="4" t="str">
        <x:f>Items!B883</x:f>
        <x:v>Sand-choked cable winch</x:v>
      </x:c>
      <x:c r="C1038" s="4" t="str">
        <x:f>Items!D883</x:f>
        <x:v>Salvage</x:v>
      </x:c>
      <x:c r="D1038" s="4" t="inlineStr">
        <x:is>
          <x:t xml:space="preserve">Primary</x:t>
        </x:is>
      </x:c>
      <x:c r="E1038" s="4" t="str">
        <x:f>Items!AA883</x:f>
        <x:v>Machinery repair</x:v>
      </x:c>
      <x:c r="F1038" s="4" t="inlineStr">
        <x:is>
          <x:t xml:space="preserve">Author-requested catalog proposal; intended use, not an implemented action.</x:t>
        </x:is>
      </x:c>
    </x:row>
    <x:row r="1039">
      <x:c r="A1039" s="4" t="inlineStr">
        <x:is>
          <x:t xml:space="preserve">proposal.accessory.folding_grounding_rod</x:t>
        </x:is>
      </x:c>
      <x:c r="B1039" s="4" t="str">
        <x:f>Items!B884</x:f>
        <x:v>Folding static-grounding rod</x:v>
      </x:c>
      <x:c r="C1039" s="4" t="str">
        <x:f>Items!D884</x:f>
        <x:v>Tools</x:v>
      </x:c>
      <x:c r="D1039" s="4" t="inlineStr">
        <x:is>
          <x:t xml:space="preserve">Primary</x:t>
        </x:is>
      </x:c>
      <x:c r="E1039" s="4" t="str">
        <x:f>Items!AA884</x:f>
        <x:v>Static management</x:v>
      </x:c>
      <x:c r="F1039" s="4" t="inlineStr">
        <x:is>
          <x:t xml:space="preserve">Author-requested catalog proposal; intended use, not an implemented action.</x:t>
        </x:is>
      </x:c>
    </x:row>
    <x:row r="1040">
      <x:c r="A1040" s="4" t="inlineStr">
        <x:is>
          <x:t xml:space="preserve">proposal.accessory.static_discharge_wand</x:t>
        </x:is>
      </x:c>
      <x:c r="B1040" s="4" t="str">
        <x:f>Items!B885</x:f>
        <x:v>Static-discharge contact wand</x:v>
      </x:c>
      <x:c r="C1040" s="4" t="str">
        <x:f>Items!D885</x:f>
        <x:v>Salvage</x:v>
      </x:c>
      <x:c r="D1040" s="4" t="inlineStr">
        <x:is>
          <x:t xml:space="preserve">Primary</x:t>
        </x:is>
      </x:c>
      <x:c r="E1040" s="4" t="str">
        <x:f>Items!AA885</x:f>
        <x:v>Static management</x:v>
      </x:c>
      <x:c r="F1040" s="4" t="inlineStr">
        <x:is>
          <x:t xml:space="preserve">Author-requested catalog proposal; intended use, not an implemented action.</x:t>
        </x:is>
      </x:c>
    </x:row>
    <x:row r="1041">
      <x:c r="A1041" s="4" t="inlineStr">
        <x:is>
          <x:t xml:space="preserve">proposal.accessory.grounding_drag_chain</x:t>
        </x:is>
      </x:c>
      <x:c r="B1041" s="4" t="str">
        <x:f>Items!B886</x:f>
        <x:v>Grounding drag chain</x:v>
      </x:c>
      <x:c r="C1041" s="4" t="str">
        <x:f>Items!D886</x:f>
        <x:v>Tools</x:v>
      </x:c>
      <x:c r="D1041" s="4" t="inlineStr">
        <x:is>
          <x:t xml:space="preserve">Primary</x:t>
        </x:is>
      </x:c>
      <x:c r="E1041" s="4" t="str">
        <x:f>Items!AA886</x:f>
        <x:v>Static management</x:v>
      </x:c>
      <x:c r="F1041" s="4" t="inlineStr">
        <x:is>
          <x:t xml:space="preserve">Author-requested catalog proposal; intended use, not an implemented action.</x:t>
        </x:is>
      </x:c>
    </x:row>
    <x:row r="1042">
      <x:c r="A1042" s="4" t="inlineStr">
        <x:is>
          <x:t xml:space="preserve">proposal.accessory.spectacle_keeper_chain</x:t>
        </x:is>
      </x:c>
      <x:c r="B1042" s="4" t="str">
        <x:f>Items!B887</x:f>
        <x:v>Spectacle keeper chain</x:v>
      </x:c>
      <x:c r="C1042" s="4" t="str">
        <x:f>Items!D887</x:f>
        <x:v>Salvage</x:v>
      </x:c>
      <x:c r="D1042" s="4" t="inlineStr">
        <x:is>
          <x:t xml:space="preserve">Primary</x:t>
        </x:is>
      </x:c>
      <x:c r="E1042" s="4" t="str">
        <x:f>Items!AA887</x:f>
        <x:v>Survival provision</x:v>
      </x:c>
      <x:c r="F1042" s="4" t="inlineStr">
        <x:is>
          <x:t xml:space="preserve">Author-requested catalog proposal; intended use, not an implemented action.</x:t>
        </x:is>
      </x:c>
    </x:row>
    <x:row r="1043">
      <x:c r="A1043" s="4" t="inlineStr">
        <x:is>
          <x:t xml:space="preserve">proposal.accessory.pocket_sighting_compass</x:t>
        </x:is>
      </x:c>
      <x:c r="B1043" s="4" t="str">
        <x:f>Items!B888</x:f>
        <x:v>Pocket sighting compass</x:v>
      </x:c>
      <x:c r="C1043" s="4" t="str">
        <x:f>Items!D888</x:f>
        <x:v>Tools</x:v>
      </x:c>
      <x:c r="D1043" s="4" t="inlineStr">
        <x:is>
          <x:t xml:space="preserve">Primary</x:t>
        </x:is>
      </x:c>
      <x:c r="E1043" s="4" t="str">
        <x:f>Items!AA888</x:f>
        <x:v>Traversal</x:v>
      </x:c>
      <x:c r="F1043" s="4" t="inlineStr">
        <x:is>
          <x:t xml:space="preserve">Author-requested catalog proposal; intended use, not an implemented action.</x:t>
        </x:is>
      </x:c>
    </x:row>
    <x:row r="1044">
      <x:c r="A1044" s="4" t="inlineStr">
        <x:is>
          <x:t xml:space="preserve">proposal.accessory.metal_signal_mirror</x:t>
        </x:is>
      </x:c>
      <x:c r="B1044" s="4" t="str">
        <x:f>Items!B889</x:f>
        <x:v>Polished-metal signal mirror</x:v>
      </x:c>
      <x:c r="C1044" s="4" t="str">
        <x:f>Items!D889</x:f>
        <x:v>Salvage</x:v>
      </x:c>
      <x:c r="D1044" s="4" t="inlineStr">
        <x:is>
          <x:t xml:space="preserve">Primary</x:t>
        </x:is>
      </x:c>
      <x:c r="E1044" s="4" t="str">
        <x:f>Items!AA889</x:f>
        <x:v>Public communication</x:v>
      </x:c>
      <x:c r="F1044" s="4" t="inlineStr">
        <x:is>
          <x:t xml:space="preserve">Author-requested catalog proposal; intended use, not an implemented action.</x:t>
        </x:is>
      </x:c>
    </x:row>
    <x:row r="1045">
      <x:c r="A1045" s="4" t="inlineStr">
        <x:is>
          <x:t xml:space="preserve">proposal.accessory.mechanical_travel_counter</x:t>
        </x:is>
      </x:c>
      <x:c r="B1045" s="4" t="str">
        <x:f>Items!B890</x:f>
        <x:v>Mechanical travel counter</x:v>
      </x:c>
      <x:c r="C1045" s="4" t="str">
        <x:f>Items!D890</x:f>
        <x:v>Salvage</x:v>
      </x:c>
      <x:c r="D1045" s="4" t="inlineStr">
        <x:is>
          <x:t xml:space="preserve">Primary</x:t>
        </x:is>
      </x:c>
      <x:c r="E1045" s="4" t="str">
        <x:f>Items!AA890</x:f>
        <x:v>Writing and records</x:v>
      </x:c>
      <x:c r="F1045" s="4" t="inlineStr">
        <x:is>
          <x:t xml:space="preserve">Author-requested catalog proposal; intended use, not an implemented action.</x:t>
        </x:is>
      </x:c>
    </x:row>
    <x:row r="1046">
      <x:c r="A1046" s="4"/>
      <x:c r="B1046" s="4"/>
      <x:c r="C1046" s="4"/>
      <x:c r="D1046" s="4"/>
      <x:c r="E1046" s="4"/>
      <x:c r="F1046" s="4"/>
    </x:row>
    <x:row r="1047">
      <x:c r="A1047" s="4" t="inlineStr">
        <x:is>
          <x:t xml:space="preserve">proposal.accessory.personal_cord_reel</x:t>
        </x:is>
      </x:c>
      <x:c r="B1047" s="4" t="str">
        <x:f>Items!B892</x:f>
        <x:v>Personal cord reel</x:v>
      </x:c>
      <x:c r="C1047" s="4" t="str">
        <x:f>Items!D892</x:f>
        <x:v>Salvage</x:v>
      </x:c>
      <x:c r="D1047" s="4" t="inlineStr">
        <x:is>
          <x:t xml:space="preserve">Primary</x:t>
        </x:is>
      </x:c>
      <x:c r="E1047" s="4" t="str">
        <x:f>Items!AA892</x:f>
        <x:v>Cargo organization</x:v>
      </x:c>
      <x:c r="F1047" s="4" t="inlineStr">
        <x:is>
          <x:t xml:space="preserve">Author-requested catalog proposal; intended use, not an implemented action.</x:t>
        </x:is>
      </x:c>
    </x:row>
    <x:row r="1048">
      <x:c r="A1048" s="4" t="inlineStr">
        <x:is>
          <x:t xml:space="preserve">proposal.accessory.folding_wing_hand_fan</x:t>
        </x:is>
      </x:c>
      <x:c r="B1048" s="4" t="str">
        <x:f>Items!B893</x:f>
        <x:v>Folding wing-membrane hand fan</x:v>
      </x:c>
      <x:c r="C1048" s="4" t="str">
        <x:f>Items!D893</x:f>
        <x:v>Salvage</x:v>
      </x:c>
      <x:c r="D1048" s="4" t="inlineStr">
        <x:is>
          <x:t xml:space="preserve">Primary</x:t>
        </x:is>
      </x:c>
      <x:c r="E1048" s="4" t="str">
        <x:f>Items!AA893</x:f>
        <x:v>Survival provision</x:v>
      </x:c>
      <x:c r="F1048" s="4" t="inlineStr">
        <x:is>
          <x:t xml:space="preserve">Author-requested catalog proposal; intended use, not an implemented action.</x:t>
        </x:is>
      </x:c>
    </x:row>
    <x:row r="1049">
      <x:c r="A1049" s="4"/>
      <x:c r="B1049" s="4"/>
      <x:c r="C1049" s="4"/>
      <x:c r="D1049" s="4"/>
      <x:c r="E1049" s="4"/>
      <x:c r="F1049" s="4"/>
    </x:row>
    <x:row r="1050">
      <x:c r="A1050" s="4" t="inlineStr">
        <x:is>
          <x:t xml:space="preserve">proposal.accessory.pocket_grit_bellows</x:t>
        </x:is>
      </x:c>
      <x:c r="B1050" s="4" t="str">
        <x:f>Items!B895</x:f>
        <x:v>Pocket grit bellows</x:v>
      </x:c>
      <x:c r="C1050" s="4" t="str">
        <x:f>Items!D895</x:f>
        <x:v>Salvage</x:v>
      </x:c>
      <x:c r="D1050" s="4" t="inlineStr">
        <x:is>
          <x:t xml:space="preserve">Primary</x:t>
        </x:is>
      </x:c>
      <x:c r="E1050" s="4" t="str">
        <x:f>Items!AA895</x:f>
        <x:v>Cleaning</x:v>
      </x:c>
      <x:c r="F1050" s="4" t="inlineStr">
        <x:is>
          <x:t xml:space="preserve">Author-requested catalog proposal; intended use, not an implemented action.</x:t>
        </x:is>
      </x:c>
    </x:row>
    <x:row r="1051">
      <x:c r="A1051" s="4" t="inlineStr">
        <x:is>
          <x:t xml:space="preserve">proposal.accessory.metal_signal_whistle</x:t>
        </x:is>
      </x:c>
      <x:c r="B1051" s="4" t="str">
        <x:f>Items!B896</x:f>
        <x:v>Pealess metal signal whistle</x:v>
      </x:c>
      <x:c r="C1051" s="4" t="str">
        <x:f>Items!D896</x:f>
        <x:v>Tools</x:v>
      </x:c>
      <x:c r="D1051" s="4" t="inlineStr">
        <x:is>
          <x:t xml:space="preserve">Primary</x:t>
        </x:is>
      </x:c>
      <x:c r="E1051" s="4" t="str">
        <x:f>Items!AA896</x:f>
        <x:v>Public communication</x:v>
      </x:c>
      <x:c r="F1051" s="4" t="inlineStr">
        <x:is>
          <x:t xml:space="preserve">Author-requested catalog proposal; intended use, not an implemented action.</x:t>
        </x:is>
      </x:c>
    </x:row>
    <x:row r="1052">
      <x:c r="A1052" s="4" t="inlineStr">
        <x:is>
          <x:t xml:space="preserve">proposal.armor.iron.boots</x:t>
        </x:is>
      </x:c>
      <x:c r="B1052" s="4" t="str">
        <x:f>Items!B897</x:f>
        <x:v>Iron armored boots</x:v>
      </x:c>
      <x:c r="C1052" s="4" t="str">
        <x:f>Items!D897</x:f>
        <x:v>Armor</x:v>
      </x:c>
      <x:c r="D1052" s="4" t="inlineStr">
        <x:is>
          <x:t xml:space="preserve">Primary</x:t>
        </x:is>
      </x:c>
      <x:c r="E1052" s="4" t="str">
        <x:f>Items!AA897</x:f>
        <x:v>Protection</x:v>
      </x:c>
      <x:c r="F1052" s="4" t="inlineStr">
        <x:is>
          <x:t xml:space="preserve">Author-requested catalog proposal; intended use, not an implemented action.</x:t>
        </x:is>
      </x:c>
    </x:row>
    <x:row r="1053">
      <x:c r="A1053" s="4" t="inlineStr">
        <x:is>
          <x:t xml:space="preserve">proposal.armor.iron.arms</x:t>
        </x:is>
      </x:c>
      <x:c r="B1053" s="4" t="str">
        <x:f>Items!B898</x:f>
        <x:v>Iron arm guards</x:v>
      </x:c>
      <x:c r="C1053" s="4" t="str">
        <x:f>Items!D898</x:f>
        <x:v>Armor</x:v>
      </x:c>
      <x:c r="D1053" s="4" t="inlineStr">
        <x:is>
          <x:t xml:space="preserve">Primary</x:t>
        </x:is>
      </x:c>
      <x:c r="E1053" s="4" t="str">
        <x:f>Items!AA898</x:f>
        <x:v>Protection</x:v>
      </x:c>
      <x:c r="F1053" s="4" t="inlineStr">
        <x:is>
          <x:t xml:space="preserve">Author-requested catalog proposal; intended use, not an implemented action.</x:t>
        </x:is>
      </x:c>
    </x:row>
    <x:row r="1054">
      <x:c r="A1054" s="4" t="inlineStr">
        <x:is>
          <x:t xml:space="preserve">proposal.armor.steel.chest</x:t>
        </x:is>
      </x:c>
      <x:c r="B1054" s="4" t="str">
        <x:f>Items!B899</x:f>
        <x:v>Steel chestplate</x:v>
      </x:c>
      <x:c r="C1054" s="4" t="str">
        <x:f>Items!D899</x:f>
        <x:v>Armor</x:v>
      </x:c>
      <x:c r="D1054" s="4" t="inlineStr">
        <x:is>
          <x:t xml:space="preserve">Primary</x:t>
        </x:is>
      </x:c>
      <x:c r="E1054" s="4" t="str">
        <x:f>Items!AA899</x:f>
        <x:v>Protection</x:v>
      </x:c>
      <x:c r="F1054" s="4" t="inlineStr">
        <x:is>
          <x:t xml:space="preserve">Author-requested catalog proposal; intended use, not an implemented action.</x:t>
        </x:is>
      </x:c>
    </x:row>
    <x:row r="1055">
      <x:c r="A1055" s="4" t="inlineStr">
        <x:is>
          <x:t xml:space="preserve">proposal.armor.steel.legs</x:t>
        </x:is>
      </x:c>
      <x:c r="B1055" s="4" t="str">
        <x:f>Items!B900</x:f>
        <x:v>Steel leg guards</x:v>
      </x:c>
      <x:c r="C1055" s="4" t="str">
        <x:f>Items!D900</x:f>
        <x:v>Armor</x:v>
      </x:c>
      <x:c r="D1055" s="4" t="inlineStr">
        <x:is>
          <x:t xml:space="preserve">Primary</x:t>
        </x:is>
      </x:c>
      <x:c r="E1055" s="4" t="str">
        <x:f>Items!AA900</x:f>
        <x:v>Protection</x:v>
      </x:c>
      <x:c r="F1055" s="4" t="inlineStr">
        <x:is>
          <x:t xml:space="preserve">Author-requested catalog proposal; intended use, not an implemented action.</x:t>
        </x:is>
      </x:c>
    </x:row>
    <x:row r="1056">
      <x:c r="A1056" s="4" t="inlineStr">
        <x:is>
          <x:t xml:space="preserve">proposal.armor.steel.boots</x:t>
        </x:is>
      </x:c>
      <x:c r="B1056" s="4" t="str">
        <x:f>Items!B901</x:f>
        <x:v>Steel armored boots</x:v>
      </x:c>
      <x:c r="C1056" s="4" t="str">
        <x:f>Items!D901</x:f>
        <x:v>Armor</x:v>
      </x:c>
      <x:c r="D1056" s="4" t="inlineStr">
        <x:is>
          <x:t xml:space="preserve">Primary</x:t>
        </x:is>
      </x:c>
      <x:c r="E1056" s="4" t="str">
        <x:f>Items!AA901</x:f>
        <x:v>Protection</x:v>
      </x:c>
      <x:c r="F1056" s="4" t="inlineStr">
        <x:is>
          <x:t xml:space="preserve">Author-requested catalog proposal; intended use, not an implemented action.</x:t>
        </x:is>
      </x:c>
    </x:row>
    <x:row r="1057">
      <x:c r="A1057" s="4" t="inlineStr">
        <x:is>
          <x:t xml:space="preserve">proposal.armor.steel.arms</x:t>
        </x:is>
      </x:c>
      <x:c r="B1057" s="4" t="str">
        <x:f>Items!B902</x:f>
        <x:v>Steel arm guards</x:v>
      </x:c>
      <x:c r="C1057" s="4" t="str">
        <x:f>Items!D902</x:f>
        <x:v>Armor</x:v>
      </x:c>
      <x:c r="D1057" s="4" t="inlineStr">
        <x:is>
          <x:t xml:space="preserve">Primary</x:t>
        </x:is>
      </x:c>
      <x:c r="E1057" s="4" t="str">
        <x:f>Items!AA902</x:f>
        <x:v>Protection</x:v>
      </x:c>
      <x:c r="F1057" s="4" t="inlineStr">
        <x:is>
          <x:t xml:space="preserve">Author-requested catalog proposal; intended use, not an implemented action.</x:t>
        </x:is>
      </x:c>
    </x:row>
    <x:row r="1058">
      <x:c r="A1058" s="4" t="inlineStr">
        <x:is>
          <x:t xml:space="preserve">proposal.armor.steel.helmet</x:t>
        </x:is>
      </x:c>
      <x:c r="B1058" s="4" t="str">
        <x:f>Items!B903</x:f>
        <x:v>Steel helmet</x:v>
      </x:c>
      <x:c r="C1058" s="4" t="str">
        <x:f>Items!D903</x:f>
        <x:v>Armor</x:v>
      </x:c>
      <x:c r="D1058" s="4" t="inlineStr">
        <x:is>
          <x:t xml:space="preserve">Primary</x:t>
        </x:is>
      </x:c>
      <x:c r="E1058" s="4" t="str">
        <x:f>Items!AA903</x:f>
        <x:v>Protection</x:v>
      </x:c>
      <x:c r="F1058" s="4" t="inlineStr">
        <x:is>
          <x:t xml:space="preserve">Author-requested catalog proposal; intended use, not an implemented action.</x:t>
        </x:is>
      </x:c>
    </x:row>
    <x:row r="1059">
      <x:c r="A1059" s="4" t="inlineStr">
        <x:is>
          <x:t xml:space="preserve">proposal.armor.chitin.chest</x:t>
        </x:is>
      </x:c>
      <x:c r="B1059" s="4" t="str">
        <x:f>Items!B904</x:f>
        <x:v>Chitin chestplate</x:v>
      </x:c>
      <x:c r="C1059" s="4" t="str">
        <x:f>Items!D904</x:f>
        <x:v>Armor</x:v>
      </x:c>
      <x:c r="D1059" s="4" t="inlineStr">
        <x:is>
          <x:t xml:space="preserve">Primary</x:t>
        </x:is>
      </x:c>
      <x:c r="E1059" s="4" t="str">
        <x:f>Items!AA904</x:f>
        <x:v>Protection</x:v>
      </x:c>
      <x:c r="F1059" s="4" t="inlineStr">
        <x:is>
          <x:t xml:space="preserve">Author-requested catalog proposal; intended use, not an implemented action.</x:t>
        </x:is>
      </x:c>
    </x:row>
    <x:row r="1060">
      <x:c r="A1060" s="4" t="inlineStr">
        <x:is>
          <x:t xml:space="preserve">proposal.armor.chitin.legs</x:t>
        </x:is>
      </x:c>
      <x:c r="B1060" s="4" t="str">
        <x:f>Items!B905</x:f>
        <x:v>Chitin leg guards</x:v>
      </x:c>
      <x:c r="C1060" s="4" t="str">
        <x:f>Items!D905</x:f>
        <x:v>Armor</x:v>
      </x:c>
      <x:c r="D1060" s="4" t="inlineStr">
        <x:is>
          <x:t xml:space="preserve">Primary</x:t>
        </x:is>
      </x:c>
      <x:c r="E1060" s="4" t="str">
        <x:f>Items!AA905</x:f>
        <x:v>Protection</x:v>
      </x:c>
      <x:c r="F1060" s="4" t="inlineStr">
        <x:is>
          <x:t xml:space="preserve">Author-requested catalog proposal; intended use, not an implemented action.</x:t>
        </x:is>
      </x:c>
    </x:row>
    <x:row r="1061">
      <x:c r="A1061" s="4" t="inlineStr">
        <x:is>
          <x:t xml:space="preserve">proposal.armor.chitin.boots</x:t>
        </x:is>
      </x:c>
      <x:c r="B1061" s="4" t="str">
        <x:f>Items!B906</x:f>
        <x:v>Chitin armored boots</x:v>
      </x:c>
      <x:c r="C1061" s="4" t="str">
        <x:f>Items!D906</x:f>
        <x:v>Armor</x:v>
      </x:c>
      <x:c r="D1061" s="4" t="inlineStr">
        <x:is>
          <x:t xml:space="preserve">Primary</x:t>
        </x:is>
      </x:c>
      <x:c r="E1061" s="4" t="str">
        <x:f>Items!AA906</x:f>
        <x:v>Protection</x:v>
      </x:c>
      <x:c r="F1061" s="4" t="inlineStr">
        <x:is>
          <x:t xml:space="preserve">Author-requested catalog proposal; intended use, not an implemented action.</x:t>
        </x:is>
      </x:c>
    </x:row>
    <x:row r="1062">
      <x:c r="A1062" s="4" t="inlineStr">
        <x:is>
          <x:t xml:space="preserve">proposal.armor.chitin.arms</x:t>
        </x:is>
      </x:c>
      <x:c r="B1062" s="4" t="str">
        <x:f>Items!B907</x:f>
        <x:v>Chitin arm guards</x:v>
      </x:c>
      <x:c r="C1062" s="4" t="str">
        <x:f>Items!D907</x:f>
        <x:v>Armor</x:v>
      </x:c>
      <x:c r="D1062" s="4" t="inlineStr">
        <x:is>
          <x:t xml:space="preserve">Primary</x:t>
        </x:is>
      </x:c>
      <x:c r="E1062" s="4" t="str">
        <x:f>Items!AA907</x:f>
        <x:v>Protection</x:v>
      </x:c>
      <x:c r="F1062" s="4" t="inlineStr">
        <x:is>
          <x:t xml:space="preserve">Author-requested catalog proposal; intended use, not an implemented action.</x:t>
        </x:is>
      </x:c>
    </x:row>
    <x:row r="1063">
      <x:c r="A1063" s="4" t="inlineStr">
        <x:is>
          <x:t xml:space="preserve">proposal.armor.chitin.helmet</x:t>
        </x:is>
      </x:c>
      <x:c r="B1063" s="4" t="str">
        <x:f>Items!B908</x:f>
        <x:v>Chitin helmet</x:v>
      </x:c>
      <x:c r="C1063" s="4" t="str">
        <x:f>Items!D908</x:f>
        <x:v>Armor</x:v>
      </x:c>
      <x:c r="D1063" s="4" t="inlineStr">
        <x:is>
          <x:t xml:space="preserve">Primary</x:t>
        </x:is>
      </x:c>
      <x:c r="E1063" s="4" t="str">
        <x:f>Items!AA908</x:f>
        <x:v>Protection</x:v>
      </x:c>
      <x:c r="F1063" s="4" t="inlineStr">
        <x:is>
          <x:t xml:space="preserve">Author-requested catalog proposal; intended use, not an implemented action.</x:t>
        </x:is>
      </x:c>
    </x:row>
    <x:row r="1064">
      <x:c r="A1064" s="4"/>
      <x:c r="B1064" s="4"/>
      <x:c r="C1064" s="4"/>
      <x:c r="D1064" s="4"/>
      <x:c r="E1064" s="4"/>
      <x:c r="F1064" s="4"/>
    </x:row>
    <x:row r="1065">
      <x:c r="A1065" s="4"/>
      <x:c r="B1065" s="4"/>
      <x:c r="C1065" s="4"/>
      <x:c r="D1065" s="4"/>
      <x:c r="E1065" s="4"/>
      <x:c r="F1065" s="4"/>
    </x:row>
    <x:row r="1066">
      <x:c r="A1066" s="4"/>
      <x:c r="B1066" s="4"/>
      <x:c r="C1066" s="4"/>
      <x:c r="D1066" s="4"/>
      <x:c r="E1066" s="4"/>
      <x:c r="F1066" s="4"/>
    </x:row>
    <x:row r="1067">
      <x:c r="A1067" s="4"/>
      <x:c r="B1067" s="4"/>
      <x:c r="C1067" s="4"/>
      <x:c r="D1067" s="4"/>
      <x:c r="E1067" s="4"/>
      <x:c r="F1067" s="4"/>
    </x:row>
    <x:row r="1068">
      <x:c r="A1068" s="4"/>
      <x:c r="B1068" s="4"/>
      <x:c r="C1068" s="4"/>
      <x:c r="D1068" s="4"/>
      <x:c r="E1068" s="4"/>
      <x:c r="F1068" s="4"/>
    </x:row>
    <x:row r="1069">
      <x:c r="A1069" s="4" t="inlineStr">
        <x:is>
          <x:t xml:space="preserve">proposal.armor.plasteel.chest</x:t>
        </x:is>
      </x:c>
      <x:c r="B1069" s="4" t="str">
        <x:f>Items!B914</x:f>
        <x:v>Ancient plasteel chestplate</x:v>
      </x:c>
      <x:c r="C1069" s="4" t="str">
        <x:f>Items!D914</x:f>
        <x:v>Armor</x:v>
      </x:c>
      <x:c r="D1069" s="4" t="inlineStr">
        <x:is>
          <x:t xml:space="preserve">Primary</x:t>
        </x:is>
      </x:c>
      <x:c r="E1069" s="4" t="str">
        <x:f>Items!AA914</x:f>
        <x:v>Protection</x:v>
      </x:c>
      <x:c r="F1069" s="4" t="inlineStr">
        <x:is>
          <x:t xml:space="preserve">Author-requested catalog proposal; intended use, not an implemented action.</x:t>
        </x:is>
      </x:c>
    </x:row>
    <x:row r="1070">
      <x:c r="A1070" s="4" t="inlineStr">
        <x:is>
          <x:t xml:space="preserve">proposal.armor.plasteel.legs</x:t>
        </x:is>
      </x:c>
      <x:c r="B1070" s="4" t="str">
        <x:f>Items!B915</x:f>
        <x:v>Ancient plasteel leg guards</x:v>
      </x:c>
      <x:c r="C1070" s="4" t="str">
        <x:f>Items!D915</x:f>
        <x:v>Armor</x:v>
      </x:c>
      <x:c r="D1070" s="4" t="inlineStr">
        <x:is>
          <x:t xml:space="preserve">Primary</x:t>
        </x:is>
      </x:c>
      <x:c r="E1070" s="4" t="str">
        <x:f>Items!AA915</x:f>
        <x:v>Protection</x:v>
      </x:c>
      <x:c r="F1070" s="4" t="inlineStr">
        <x:is>
          <x:t xml:space="preserve">Author-requested catalog proposal; intended use, not an implemented action.</x:t>
        </x:is>
      </x:c>
    </x:row>
    <x:row r="1071">
      <x:c r="A1071" s="4" t="inlineStr">
        <x:is>
          <x:t xml:space="preserve">proposal.armor.plasteel.boots</x:t>
        </x:is>
      </x:c>
      <x:c r="B1071" s="4" t="str">
        <x:f>Items!B916</x:f>
        <x:v>Ancient plasteel armored boots</x:v>
      </x:c>
      <x:c r="C1071" s="4" t="str">
        <x:f>Items!D916</x:f>
        <x:v>Armor</x:v>
      </x:c>
      <x:c r="D1071" s="4" t="inlineStr">
        <x:is>
          <x:t xml:space="preserve">Primary</x:t>
        </x:is>
      </x:c>
      <x:c r="E1071" s="4" t="str">
        <x:f>Items!AA916</x:f>
        <x:v>Protection</x:v>
      </x:c>
      <x:c r="F1071" s="4" t="inlineStr">
        <x:is>
          <x:t xml:space="preserve">Author-requested catalog proposal; intended use, not an implemented action.</x:t>
        </x:is>
      </x:c>
    </x:row>
    <x:row r="1072">
      <x:c r="A1072" s="4" t="inlineStr">
        <x:is>
          <x:t xml:space="preserve">proposal.armor.plasteel.arms</x:t>
        </x:is>
      </x:c>
      <x:c r="B1072" s="4" t="str">
        <x:f>Items!B917</x:f>
        <x:v>Ancient plasteel arm guards</x:v>
      </x:c>
      <x:c r="C1072" s="4" t="str">
        <x:f>Items!D917</x:f>
        <x:v>Armor</x:v>
      </x:c>
      <x:c r="D1072" s="4" t="inlineStr">
        <x:is>
          <x:t xml:space="preserve">Primary</x:t>
        </x:is>
      </x:c>
      <x:c r="E1072" s="4" t="str">
        <x:f>Items!AA917</x:f>
        <x:v>Protection</x:v>
      </x:c>
      <x:c r="F1072" s="4" t="inlineStr">
        <x:is>
          <x:t xml:space="preserve">Author-requested catalog proposal; intended use, not an implemented action.</x:t>
        </x:is>
      </x:c>
    </x:row>
    <x:row r="1073">
      <x:c r="A1073" s="4" t="inlineStr">
        <x:is>
          <x:t xml:space="preserve">proposal.armor.plasteel.helmet</x:t>
        </x:is>
      </x:c>
      <x:c r="B1073" s="4" t="str">
        <x:f>Items!B918</x:f>
        <x:v>Ancient plasteel helmet</x:v>
      </x:c>
      <x:c r="C1073" s="4" t="str">
        <x:f>Items!D918</x:f>
        <x:v>Armor</x:v>
      </x:c>
      <x:c r="D1073" s="4" t="inlineStr">
        <x:is>
          <x:t xml:space="preserve">Primary</x:t>
        </x:is>
      </x:c>
      <x:c r="E1073" s="4" t="str">
        <x:f>Items!AA918</x:f>
        <x:v>Protection</x:v>
      </x:c>
      <x:c r="F1073" s="4" t="inlineStr">
        <x:is>
          <x:t xml:space="preserve">Author-requested catalog proposal; intended use, not an implemented action.</x:t>
        </x:is>
      </x:c>
    </x:row>
    <x:row r="1074">
      <x:c r="A1074" s="4" t="inlineStr">
        <x:is>
          <x:t xml:space="preserve">proposal.culture.engraved_game_tiles</x:t>
        </x:is>
      </x:c>
      <x:c r="B1074" s="4" t="str">
        <x:f>Items!B919</x:f>
        <x:v>Engraved shell game tiles</x:v>
      </x:c>
      <x:c r="C1074" s="4" t="str">
        <x:f>Items!D919</x:f>
        <x:v>Salvage</x:v>
      </x:c>
      <x:c r="D1074" s="4" t="inlineStr">
        <x:is>
          <x:t xml:space="preserve">Primary</x:t>
        </x:is>
      </x:c>
      <x:c r="E1074" s="4" t="str">
        <x:f>Items!AA919</x:f>
        <x:v>Culture support</x:v>
      </x:c>
      <x:c r="F1074" s="4" t="inlineStr">
        <x:is>
          <x:t xml:space="preserve">Author-requested catalog proposal; intended use, not an implemented action.</x:t>
        </x:is>
      </x:c>
    </x:row>
    <x:row r="1075">
      <x:c r="A1075" s="4" t="inlineStr">
        <x:is>
          <x:t xml:space="preserve">proposal.culture.ceramic_storytelling_mask</x:t>
        </x:is>
      </x:c>
      <x:c r="B1075" s="4" t="str">
        <x:f>Items!B920</x:f>
        <x:v>Ceramic storytelling mask</x:v>
      </x:c>
      <x:c r="C1075" s="4" t="str">
        <x:f>Items!D920</x:f>
        <x:v>Salvage</x:v>
      </x:c>
      <x:c r="D1075" s="4" t="inlineStr">
        <x:is>
          <x:t xml:space="preserve">Primary</x:t>
        </x:is>
      </x:c>
      <x:c r="E1075" s="4" t="str">
        <x:f>Items!AA920</x:f>
        <x:v>Culture support</x:v>
      </x:c>
      <x:c r="F1075" s="4" t="inlineStr">
        <x:is>
          <x:t xml:space="preserve">Author-requested catalog proposal; intended use, not an implemented action.</x:t>
        </x:is>
      </x:c>
    </x:row>
    <x:row r="1076">
      <x:c r="A1076" s="4"/>
      <x:c r="B1076" s="4"/>
      <x:c r="C1076" s="4"/>
      <x:c r="D1076" s="4"/>
      <x:c r="E1076" s="4"/>
      <x:c r="F1076" s="4"/>
    </x:row>
    <x:row r="1077">
      <x:c r="A1077" s="4" t="inlineStr">
        <x:is>
          <x:t xml:space="preserve">proposal.culture.husk_paper_songbook</x:t>
        </x:is>
      </x:c>
      <x:c r="B1077" s="4" t="str">
        <x:f>Items!B922</x:f>
        <x:v>Husk-paper songbook</x:v>
      </x:c>
      <x:c r="C1077" s="4" t="str">
        <x:f>Items!D922</x:f>
        <x:v>Salvage</x:v>
      </x:c>
      <x:c r="D1077" s="4" t="inlineStr">
        <x:is>
          <x:t xml:space="preserve">Primary</x:t>
        </x:is>
      </x:c>
      <x:c r="E1077" s="4" t="str">
        <x:f>Items!AA922</x:f>
        <x:v>Writing and records</x:v>
      </x:c>
      <x:c r="F1077" s="4" t="inlineStr">
        <x:is>
          <x:t xml:space="preserve">Author-requested catalog proposal; intended use, not an implemented action.</x:t>
        </x:is>
      </x:c>
    </x:row>
    <x:row r="1078">
      <x:c r="A1078" s="4"/>
      <x:c r="B1078" s="4"/>
      <x:c r="C1078" s="4"/>
      <x:c r="D1078" s="4"/>
      <x:c r="E1078" s="4"/>
      <x:c r="F1078" s="4"/>
    </x:row>
    <x:row r="1079">
      <x:c r="A1079" s="4" t="inlineStr">
        <x:is>
          <x:t xml:space="preserve">proposal.culture.household_pattern_roller</x:t>
        </x:is>
      </x:c>
      <x:c r="B1079" s="4" t="str">
        <x:f>Items!B924</x:f>
        <x:v>Household pattern roller</x:v>
      </x:c>
      <x:c r="C1079" s="4" t="str">
        <x:f>Items!D924</x:f>
        <x:v>Salvage</x:v>
      </x:c>
      <x:c r="D1079" s="4" t="inlineStr">
        <x:is>
          <x:t xml:space="preserve">Primary</x:t>
        </x:is>
      </x:c>
      <x:c r="E1079" s="4" t="str">
        <x:f>Items!AA924</x:f>
        <x:v>Decoration</x:v>
      </x:c>
      <x:c r="F1079" s="4" t="inlineStr">
        <x:is>
          <x:t xml:space="preserve">Author-requested catalog proposal; intended use, not an implemented action.</x:t>
        </x:is>
      </x:c>
    </x:row>
    <x:row r="1080">
      <x:c r="A1080" s="4" t="inlineStr">
        <x:is>
          <x:t xml:space="preserve">proposal.armor.arc_power.chest</x:t>
        </x:is>
      </x:c>
      <x:c r="B1080" s="4" t="str">
        <x:f>Items!B925</x:f>
        <x:v>Arc power chestplate</x:v>
      </x:c>
      <x:c r="C1080" s="4" t="str">
        <x:f>Items!D925</x:f>
        <x:v>Armor</x:v>
      </x:c>
      <x:c r="D1080" s="4" t="inlineStr">
        <x:is>
          <x:t xml:space="preserve">Primary</x:t>
        </x:is>
      </x:c>
      <x:c r="E1080" s="4" t="str">
        <x:f>Items!AA925</x:f>
        <x:v>Protection</x:v>
      </x:c>
      <x:c r="F1080" s="4" t="inlineStr">
        <x:is>
          <x:t xml:space="preserve">Author-requested catalog proposal; intended use, not an implemented action.</x:t>
        </x:is>
      </x:c>
    </x:row>
    <x:row r="1081">
      <x:c r="A1081" s="4" t="inlineStr">
        <x:is>
          <x:t xml:space="preserve">proposal.armor.arc_power.legs</x:t>
        </x:is>
      </x:c>
      <x:c r="B1081" s="4" t="str">
        <x:f>Items!B926</x:f>
        <x:v>Arc power leg guards</x:v>
      </x:c>
      <x:c r="C1081" s="4" t="str">
        <x:f>Items!D926</x:f>
        <x:v>Armor</x:v>
      </x:c>
      <x:c r="D1081" s="4" t="inlineStr">
        <x:is>
          <x:t xml:space="preserve">Primary</x:t>
        </x:is>
      </x:c>
      <x:c r="E1081" s="4" t="str">
        <x:f>Items!AA926</x:f>
        <x:v>Protection</x:v>
      </x:c>
      <x:c r="F1081" s="4" t="inlineStr">
        <x:is>
          <x:t xml:space="preserve">Author-requested catalog proposal; intended use, not an implemented action.</x:t>
        </x:is>
      </x:c>
    </x:row>
    <x:row r="1082">
      <x:c r="A1082" s="4" t="inlineStr">
        <x:is>
          <x:t xml:space="preserve">proposal.armor.arc_power.boots</x:t>
        </x:is>
      </x:c>
      <x:c r="B1082" s="4" t="str">
        <x:f>Items!B927</x:f>
        <x:v>Arc power armored boots</x:v>
      </x:c>
      <x:c r="C1082" s="4" t="str">
        <x:f>Items!D927</x:f>
        <x:v>Armor</x:v>
      </x:c>
      <x:c r="D1082" s="4" t="inlineStr">
        <x:is>
          <x:t xml:space="preserve">Primary</x:t>
        </x:is>
      </x:c>
      <x:c r="E1082" s="4" t="str">
        <x:f>Items!AA927</x:f>
        <x:v>Protection</x:v>
      </x:c>
      <x:c r="F1082" s="4" t="inlineStr">
        <x:is>
          <x:t xml:space="preserve">Author-requested catalog proposal; intended use, not an implemented action.</x:t>
        </x:is>
      </x:c>
    </x:row>
    <x:row r="1083">
      <x:c r="A1083" s="4" t="inlineStr">
        <x:is>
          <x:t xml:space="preserve">proposal.armor.arc_power.arms</x:t>
        </x:is>
      </x:c>
      <x:c r="B1083" s="4" t="str">
        <x:f>Items!B928</x:f>
        <x:v>Arc power arm guards</x:v>
      </x:c>
      <x:c r="C1083" s="4" t="str">
        <x:f>Items!D928</x:f>
        <x:v>Armor</x:v>
      </x:c>
      <x:c r="D1083" s="4" t="inlineStr">
        <x:is>
          <x:t xml:space="preserve">Primary</x:t>
        </x:is>
      </x:c>
      <x:c r="E1083" s="4" t="str">
        <x:f>Items!AA928</x:f>
        <x:v>Protection</x:v>
      </x:c>
      <x:c r="F1083" s="4" t="inlineStr">
        <x:is>
          <x:t xml:space="preserve">Author-requested catalog proposal; intended use, not an implemented action.</x:t>
        </x:is>
      </x:c>
    </x:row>
    <x:row r="1084">
      <x:c r="A1084" s="4" t="inlineStr">
        <x:is>
          <x:t xml:space="preserve">proposal.armor.arc_power.helmet</x:t>
        </x:is>
      </x:c>
      <x:c r="B1084" s="4" t="str">
        <x:f>Items!B929</x:f>
        <x:v>Arc power helmet</x:v>
      </x:c>
      <x:c r="C1084" s="4" t="str">
        <x:f>Items!D929</x:f>
        <x:v>Armor</x:v>
      </x:c>
      <x:c r="D1084" s="4" t="inlineStr">
        <x:is>
          <x:t xml:space="preserve">Primary</x:t>
        </x:is>
      </x:c>
      <x:c r="E1084" s="4" t="str">
        <x:f>Items!AA929</x:f>
        <x:v>Protection</x:v>
      </x:c>
      <x:c r="F1084" s="4" t="inlineStr">
        <x:is>
          <x:t xml:space="preserve">Author-requested catalog proposal; intended use, not an implemented action.</x:t>
        </x:is>
      </x:c>
    </x:row>
    <x:row r="1085">
      <x:c r="A1085" s="4" t="inlineStr">
        <x:is>
          <x:t xml:space="preserve">proposal.armor.fur.chest</x:t>
        </x:is>
      </x:c>
      <x:c r="B1085" s="4" t="str">
        <x:f>Items!B930</x:f>
        <x:v>Fur chest armor</x:v>
      </x:c>
      <x:c r="C1085" s="4" t="str">
        <x:f>Items!D930</x:f>
        <x:v>Armor</x:v>
      </x:c>
      <x:c r="D1085" s="4" t="inlineStr">
        <x:is>
          <x:t xml:space="preserve">Primary</x:t>
        </x:is>
      </x:c>
      <x:c r="E1085" s="4" t="str">
        <x:f>Items!AA930</x:f>
        <x:v>Protection</x:v>
      </x:c>
      <x:c r="F1085" s="4" t="inlineStr">
        <x:is>
          <x:t xml:space="preserve">Author-requested catalog proposal; intended use, not an implemented action.</x:t>
        </x:is>
      </x:c>
    </x:row>
    <x:row r="1086">
      <x:c r="A1086" s="4" t="inlineStr">
        <x:is>
          <x:t xml:space="preserve">proposal.armor.fur.legs</x:t>
        </x:is>
      </x:c>
      <x:c r="B1086" s="4" t="str">
        <x:f>Items!B931</x:f>
        <x:v>Fur leg guards</x:v>
      </x:c>
      <x:c r="C1086" s="4" t="str">
        <x:f>Items!D931</x:f>
        <x:v>Armor</x:v>
      </x:c>
      <x:c r="D1086" s="4" t="inlineStr">
        <x:is>
          <x:t xml:space="preserve">Primary</x:t>
        </x:is>
      </x:c>
      <x:c r="E1086" s="4" t="str">
        <x:f>Items!AA931</x:f>
        <x:v>Protection</x:v>
      </x:c>
      <x:c r="F1086" s="4" t="inlineStr">
        <x:is>
          <x:t xml:space="preserve">Author-requested catalog proposal; intended use, not an implemented action.</x:t>
        </x:is>
      </x:c>
    </x:row>
    <x:row r="1087">
      <x:c r="A1087" s="4" t="inlineStr">
        <x:is>
          <x:t xml:space="preserve">proposal.armor.fur.boots</x:t>
        </x:is>
      </x:c>
      <x:c r="B1087" s="4" t="str">
        <x:f>Items!B932</x:f>
        <x:v>Fur armored boots</x:v>
      </x:c>
      <x:c r="C1087" s="4" t="str">
        <x:f>Items!D932</x:f>
        <x:v>Armor</x:v>
      </x:c>
      <x:c r="D1087" s="4" t="inlineStr">
        <x:is>
          <x:t xml:space="preserve">Primary</x:t>
        </x:is>
      </x:c>
      <x:c r="E1087" s="4" t="str">
        <x:f>Items!AA932</x:f>
        <x:v>Protection</x:v>
      </x:c>
      <x:c r="F1087" s="4" t="inlineStr">
        <x:is>
          <x:t xml:space="preserve">Author-requested catalog proposal; intended use, not an implemented action.</x:t>
        </x:is>
      </x:c>
    </x:row>
    <x:row r="1088">
      <x:c r="A1088" s="4" t="inlineStr">
        <x:is>
          <x:t xml:space="preserve">proposal.armor.fur.arms</x:t>
        </x:is>
      </x:c>
      <x:c r="B1088" s="4" t="str">
        <x:f>Items!B933</x:f>
        <x:v>Fur arm guards</x:v>
      </x:c>
      <x:c r="C1088" s="4" t="str">
        <x:f>Items!D933</x:f>
        <x:v>Armor</x:v>
      </x:c>
      <x:c r="D1088" s="4" t="inlineStr">
        <x:is>
          <x:t xml:space="preserve">Primary</x:t>
        </x:is>
      </x:c>
      <x:c r="E1088" s="4" t="str">
        <x:f>Items!AA933</x:f>
        <x:v>Protection</x:v>
      </x:c>
      <x:c r="F1088" s="4" t="inlineStr">
        <x:is>
          <x:t xml:space="preserve">Author-requested catalog proposal; intended use, not an implemented action.</x:t>
        </x:is>
      </x:c>
    </x:row>
    <x:row r="1089">
      <x:c r="A1089" s="4" t="inlineStr">
        <x:is>
          <x:t xml:space="preserve">proposal.armor.fur.helmet</x:t>
        </x:is>
      </x:c>
      <x:c r="B1089" s="4" t="str">
        <x:f>Items!B934</x:f>
        <x:v>Fur helmet</x:v>
      </x:c>
      <x:c r="C1089" s="4" t="str">
        <x:f>Items!D934</x:f>
        <x:v>Armor</x:v>
      </x:c>
      <x:c r="D1089" s="4" t="inlineStr">
        <x:is>
          <x:t xml:space="preserve">Primary</x:t>
        </x:is>
      </x:c>
      <x:c r="E1089" s="4" t="str">
        <x:f>Items!AA934</x:f>
        <x:v>Protection</x:v>
      </x:c>
      <x:c r="F1089" s="4" t="inlineStr">
        <x:is>
          <x:t xml:space="preserve">Author-requested catalog proposal; intended use, not an implemented action.</x:t>
        </x:is>
      </x:c>
    </x:row>
    <x:row r="1090">
      <x:c r="A1090" s="4" t="inlineStr">
        <x:is>
          <x:t xml:space="preserve">proposal.clothing.hide.top</x:t>
        </x:is>
      </x:c>
      <x:c r="B1090" s="4" t="str">
        <x:f>Items!B935</x:f>
        <x:v>Hide jacket</x:v>
      </x:c>
      <x:c r="C1090" s="4" t="str">
        <x:f>Items!D935</x:f>
        <x:v>Clothing</x:v>
      </x:c>
      <x:c r="D1090" s="4" t="inlineStr">
        <x:is>
          <x:t xml:space="preserve">Primary</x:t>
        </x:is>
      </x:c>
      <x:c r="E1090" s="4" t="str">
        <x:f>Items!AA935</x:f>
        <x:v>Clothing</x:v>
      </x:c>
      <x:c r="F1090" s="4" t="inlineStr">
        <x:is>
          <x:t xml:space="preserve">Author-requested catalog proposal; intended use, not an implemented action.</x:t>
        </x:is>
      </x:c>
    </x:row>
    <x:row r="1091">
      <x:c r="A1091" s="4" t="inlineStr">
        <x:is>
          <x:t xml:space="preserve">proposal.clothing.hide.legs</x:t>
        </x:is>
      </x:c>
      <x:c r="B1091" s="4" t="str">
        <x:f>Items!B936</x:f>
        <x:v>Hide trousers</x:v>
      </x:c>
      <x:c r="C1091" s="4" t="str">
        <x:f>Items!D936</x:f>
        <x:v>Clothing</x:v>
      </x:c>
      <x:c r="D1091" s="4" t="inlineStr">
        <x:is>
          <x:t xml:space="preserve">Primary</x:t>
        </x:is>
      </x:c>
      <x:c r="E1091" s="4" t="str">
        <x:f>Items!AA936</x:f>
        <x:v>Clothing</x:v>
      </x:c>
      <x:c r="F1091" s="4" t="inlineStr">
        <x:is>
          <x:t xml:space="preserve">Author-requested catalog proposal; intended use, not an implemented action.</x:t>
        </x:is>
      </x:c>
    </x:row>
    <x:row r="1092">
      <x:c r="A1092" s="4" t="inlineStr">
        <x:is>
          <x:t xml:space="preserve">proposal.clothing.hide.boots</x:t>
        </x:is>
      </x:c>
      <x:c r="B1092" s="4" t="str">
        <x:f>Items!B937</x:f>
        <x:v>Hide boots</x:v>
      </x:c>
      <x:c r="C1092" s="4" t="str">
        <x:f>Items!D937</x:f>
        <x:v>Clothing</x:v>
      </x:c>
      <x:c r="D1092" s="4" t="inlineStr">
        <x:is>
          <x:t xml:space="preserve">Primary</x:t>
        </x:is>
      </x:c>
      <x:c r="E1092" s="4" t="str">
        <x:f>Items!AA937</x:f>
        <x:v>Clothing</x:v>
      </x:c>
      <x:c r="F1092" s="4" t="inlineStr">
        <x:is>
          <x:t xml:space="preserve">Author-requested catalog proposal; intended use, not an implemented action.</x:t>
        </x:is>
      </x:c>
    </x:row>
    <x:row r="1093">
      <x:c r="A1093" s="4" t="inlineStr">
        <x:is>
          <x:t xml:space="preserve">proposal.clothing.hide.gloves</x:t>
        </x:is>
      </x:c>
      <x:c r="B1093" s="4" t="str">
        <x:f>Items!B938</x:f>
        <x:v>Hide gloves</x:v>
      </x:c>
      <x:c r="C1093" s="4" t="str">
        <x:f>Items!D938</x:f>
        <x:v>Clothing</x:v>
      </x:c>
      <x:c r="D1093" s="4" t="inlineStr">
        <x:is>
          <x:t xml:space="preserve">Primary</x:t>
        </x:is>
      </x:c>
      <x:c r="E1093" s="4" t="str">
        <x:f>Items!AA938</x:f>
        <x:v>Clothing</x:v>
      </x:c>
      <x:c r="F1093" s="4" t="inlineStr">
        <x:is>
          <x:t xml:space="preserve">Author-requested catalog proposal; intended use, not an implemented action.</x:t>
        </x:is>
      </x:c>
    </x:row>
    <x:row r="1094">
      <x:c r="A1094" s="4" t="inlineStr">
        <x:is>
          <x:t xml:space="preserve">proposal.clothing.hide.head</x:t>
        </x:is>
      </x:c>
      <x:c r="B1094" s="4" t="str">
        <x:f>Items!B939</x:f>
        <x:v>Hide hood</x:v>
      </x:c>
      <x:c r="C1094" s="4" t="str">
        <x:f>Items!D939</x:f>
        <x:v>Clothing</x:v>
      </x:c>
      <x:c r="D1094" s="4" t="inlineStr">
        <x:is>
          <x:t xml:space="preserve">Primary</x:t>
        </x:is>
      </x:c>
      <x:c r="E1094" s="4" t="str">
        <x:f>Items!AA939</x:f>
        <x:v>Clothing</x:v>
      </x:c>
      <x:c r="F1094" s="4" t="inlineStr">
        <x:is>
          <x:t xml:space="preserve">Author-requested catalog proposal; intended use, not an implemented action.</x:t>
        </x:is>
      </x:c>
    </x:row>
    <x:row r="1095">
      <x:c r="A1095" s="4" t="inlineStr">
        <x:is>
          <x:t xml:space="preserve">proposal.clothing.fur.top</x:t>
        </x:is>
      </x:c>
      <x:c r="B1095" s="4" t="str">
        <x:f>Items!B940</x:f>
        <x:v>Fur jacket</x:v>
      </x:c>
      <x:c r="C1095" s="4" t="str">
        <x:f>Items!D940</x:f>
        <x:v>Clothing</x:v>
      </x:c>
      <x:c r="D1095" s="4" t="inlineStr">
        <x:is>
          <x:t xml:space="preserve">Primary</x:t>
        </x:is>
      </x:c>
      <x:c r="E1095" s="4" t="str">
        <x:f>Items!AA940</x:f>
        <x:v>Clothing</x:v>
      </x:c>
      <x:c r="F1095" s="4" t="inlineStr">
        <x:is>
          <x:t xml:space="preserve">Author-requested catalog proposal; intended use, not an implemented action.</x:t>
        </x:is>
      </x:c>
    </x:row>
    <x:row r="1096">
      <x:c r="A1096" s="4" t="inlineStr">
        <x:is>
          <x:t xml:space="preserve">proposal.clothing.fur.legs</x:t>
        </x:is>
      </x:c>
      <x:c r="B1096" s="4" t="str">
        <x:f>Items!B941</x:f>
        <x:v>Fur trousers</x:v>
      </x:c>
      <x:c r="C1096" s="4" t="str">
        <x:f>Items!D941</x:f>
        <x:v>Clothing</x:v>
      </x:c>
      <x:c r="D1096" s="4" t="inlineStr">
        <x:is>
          <x:t xml:space="preserve">Primary</x:t>
        </x:is>
      </x:c>
      <x:c r="E1096" s="4" t="str">
        <x:f>Items!AA941</x:f>
        <x:v>Clothing</x:v>
      </x:c>
      <x:c r="F1096" s="4" t="inlineStr">
        <x:is>
          <x:t xml:space="preserve">Author-requested catalog proposal; intended use, not an implemented action.</x:t>
        </x:is>
      </x:c>
    </x:row>
    <x:row r="1097">
      <x:c r="A1097" s="4" t="inlineStr">
        <x:is>
          <x:t xml:space="preserve">proposal.clothing.fur.boots</x:t>
        </x:is>
      </x:c>
      <x:c r="B1097" s="4" t="str">
        <x:f>Items!B942</x:f>
        <x:v>Fur boots</x:v>
      </x:c>
      <x:c r="C1097" s="4" t="str">
        <x:f>Items!D942</x:f>
        <x:v>Clothing</x:v>
      </x:c>
      <x:c r="D1097" s="4" t="inlineStr">
        <x:is>
          <x:t xml:space="preserve">Primary</x:t>
        </x:is>
      </x:c>
      <x:c r="E1097" s="4" t="str">
        <x:f>Items!AA942</x:f>
        <x:v>Clothing</x:v>
      </x:c>
      <x:c r="F1097" s="4" t="inlineStr">
        <x:is>
          <x:t xml:space="preserve">Author-requested catalog proposal; intended use, not an implemented action.</x:t>
        </x:is>
      </x:c>
    </x:row>
    <x:row r="1098">
      <x:c r="A1098" s="4" t="inlineStr">
        <x:is>
          <x:t xml:space="preserve">proposal.clothing.fur.gloves</x:t>
        </x:is>
      </x:c>
      <x:c r="B1098" s="4" t="str">
        <x:f>Items!B943</x:f>
        <x:v>Fur gloves</x:v>
      </x:c>
      <x:c r="C1098" s="4" t="str">
        <x:f>Items!D943</x:f>
        <x:v>Clothing</x:v>
      </x:c>
      <x:c r="D1098" s="4" t="inlineStr">
        <x:is>
          <x:t xml:space="preserve">Primary</x:t>
        </x:is>
      </x:c>
      <x:c r="E1098" s="4" t="str">
        <x:f>Items!AA943</x:f>
        <x:v>Clothing</x:v>
      </x:c>
      <x:c r="F1098" s="4" t="inlineStr">
        <x:is>
          <x:t xml:space="preserve">Author-requested catalog proposal; intended use, not an implemented action.</x:t>
        </x:is>
      </x:c>
    </x:row>
    <x:row r="1099">
      <x:c r="A1099" s="4" t="inlineStr">
        <x:is>
          <x:t xml:space="preserve">proposal.clothing.fur.head</x:t>
        </x:is>
      </x:c>
      <x:c r="B1099" s="4" t="str">
        <x:f>Items!B944</x:f>
        <x:v>Fur hood</x:v>
      </x:c>
      <x:c r="C1099" s="4" t="str">
        <x:f>Items!D944</x:f>
        <x:v>Clothing</x:v>
      </x:c>
      <x:c r="D1099" s="4" t="inlineStr">
        <x:is>
          <x:t xml:space="preserve">Primary</x:t>
        </x:is>
      </x:c>
      <x:c r="E1099" s="4" t="str">
        <x:f>Items!AA944</x:f>
        <x:v>Clothing</x:v>
      </x:c>
      <x:c r="F1099" s="4" t="inlineStr">
        <x:is>
          <x:t xml:space="preserve">Author-requested catalog proposal; intended use, not an implemented action.</x:t>
        </x:is>
      </x:c>
    </x:row>
    <x:row r="1100">
      <x:c r="A1100" s="4" t="inlineStr">
        <x:is>
          <x:t xml:space="preserve">proposal.clothing.fine_chainmail.top</x:t>
        </x:is>
      </x:c>
      <x:c r="B1100" s="4" t="str">
        <x:f>Items!B945</x:f>
        <x:v>Delicate chainmail jacket</x:v>
      </x:c>
      <x:c r="C1100" s="4" t="str">
        <x:f>Items!D945</x:f>
        <x:v>Clothing</x:v>
      </x:c>
      <x:c r="D1100" s="4" t="inlineStr">
        <x:is>
          <x:t xml:space="preserve">Primary</x:t>
        </x:is>
      </x:c>
      <x:c r="E1100" s="4" t="str">
        <x:f>Items!AA945</x:f>
        <x:v>Clothing</x:v>
      </x:c>
      <x:c r="F1100" s="4" t="inlineStr">
        <x:is>
          <x:t xml:space="preserve">Author-requested catalog proposal; intended use, not an implemented action.</x:t>
        </x:is>
      </x:c>
    </x:row>
    <x:row r="1101">
      <x:c r="A1101" s="4" t="inlineStr">
        <x:is>
          <x:t xml:space="preserve">proposal.clothing.fine_chainmail.legs</x:t>
        </x:is>
      </x:c>
      <x:c r="B1101" s="4" t="str">
        <x:f>Items!B946</x:f>
        <x:v>Delicate chainmail trousers</x:v>
      </x:c>
      <x:c r="C1101" s="4" t="str">
        <x:f>Items!D946</x:f>
        <x:v>Clothing</x:v>
      </x:c>
      <x:c r="D1101" s="4" t="inlineStr">
        <x:is>
          <x:t xml:space="preserve">Primary</x:t>
        </x:is>
      </x:c>
      <x:c r="E1101" s="4" t="str">
        <x:f>Items!AA946</x:f>
        <x:v>Clothing</x:v>
      </x:c>
      <x:c r="F1101" s="4" t="inlineStr">
        <x:is>
          <x:t xml:space="preserve">Author-requested catalog proposal; intended use, not an implemented action.</x:t>
        </x:is>
      </x:c>
    </x:row>
    <x:row r="1102">
      <x:c r="A1102" s="4" t="inlineStr">
        <x:is>
          <x:t xml:space="preserve">proposal.clothing.fine_chainmail.boots</x:t>
        </x:is>
      </x:c>
      <x:c r="B1102" s="4" t="str">
        <x:f>Items!B947</x:f>
        <x:v>Delicate chainmail boots</x:v>
      </x:c>
      <x:c r="C1102" s="4" t="str">
        <x:f>Items!D947</x:f>
        <x:v>Clothing</x:v>
      </x:c>
      <x:c r="D1102" s="4" t="inlineStr">
        <x:is>
          <x:t xml:space="preserve">Primary</x:t>
        </x:is>
      </x:c>
      <x:c r="E1102" s="4" t="str">
        <x:f>Items!AA947</x:f>
        <x:v>Clothing</x:v>
      </x:c>
      <x:c r="F1102" s="4" t="inlineStr">
        <x:is>
          <x:t xml:space="preserve">Author-requested catalog proposal; intended use, not an implemented action.</x:t>
        </x:is>
      </x:c>
    </x:row>
    <x:row r="1103">
      <x:c r="A1103" s="4" t="inlineStr">
        <x:is>
          <x:t xml:space="preserve">proposal.clothing.fine_chainmail.gloves</x:t>
        </x:is>
      </x:c>
      <x:c r="B1103" s="4" t="str">
        <x:f>Items!B948</x:f>
        <x:v>Delicate chainmail gloves</x:v>
      </x:c>
      <x:c r="C1103" s="4" t="str">
        <x:f>Items!D948</x:f>
        <x:v>Clothing</x:v>
      </x:c>
      <x:c r="D1103" s="4" t="inlineStr">
        <x:is>
          <x:t xml:space="preserve">Primary</x:t>
        </x:is>
      </x:c>
      <x:c r="E1103" s="4" t="str">
        <x:f>Items!AA948</x:f>
        <x:v>Clothing</x:v>
      </x:c>
      <x:c r="F1103" s="4" t="inlineStr">
        <x:is>
          <x:t xml:space="preserve">Author-requested catalog proposal; intended use, not an implemented action.</x:t>
        </x:is>
      </x:c>
    </x:row>
    <x:row r="1104">
      <x:c r="A1104" s="4" t="inlineStr">
        <x:is>
          <x:t xml:space="preserve">proposal.clothing.fine_chainmail.head</x:t>
        </x:is>
      </x:c>
      <x:c r="B1104" s="4" t="str">
        <x:f>Items!B949</x:f>
        <x:v>Delicate chainmail coif</x:v>
      </x:c>
      <x:c r="C1104" s="4" t="str">
        <x:f>Items!D949</x:f>
        <x:v>Clothing</x:v>
      </x:c>
      <x:c r="D1104" s="4" t="inlineStr">
        <x:is>
          <x:t xml:space="preserve">Primary</x:t>
        </x:is>
      </x:c>
      <x:c r="E1104" s="4" t="str">
        <x:f>Items!AA949</x:f>
        <x:v>Clothing</x:v>
      </x:c>
      <x:c r="F1104" s="4" t="inlineStr">
        <x:is>
          <x:t xml:space="preserve">Author-requested catalog proposal; intended use, not an implemented action.</x:t>
        </x:is>
      </x:c>
    </x:row>
    <x:row r="1105">
      <x:c r="A1105" s="4" t="inlineStr">
        <x:is>
          <x:t xml:space="preserve">proposal.clothing.insulated.legs</x:t>
        </x:is>
      </x:c>
      <x:c r="B1105" s="4" t="str">
        <x:f>Items!B950</x:f>
        <x:v>Electrical insulating trousers</x:v>
      </x:c>
      <x:c r="C1105" s="4" t="str">
        <x:f>Items!D950</x:f>
        <x:v>Clothing</x:v>
      </x:c>
      <x:c r="D1105" s="4" t="inlineStr">
        <x:is>
          <x:t xml:space="preserve">Primary</x:t>
        </x:is>
      </x:c>
      <x:c r="E1105" s="4" t="str">
        <x:f>Items!AA950</x:f>
        <x:v>Electrical insulation</x:v>
      </x:c>
      <x:c r="F1105" s="4" t="inlineStr">
        <x:is>
          <x:t xml:space="preserve">Author-requested catalog proposal; intended use, not an implemented action.</x:t>
        </x:is>
      </x:c>
    </x:row>
    <x:row r="1106">
      <x:c r="A1106" s="4" t="inlineStr">
        <x:is>
          <x:t xml:space="preserve">proposal.clothing.insulated.head</x:t>
        </x:is>
      </x:c>
      <x:c r="B1106" s="4" t="str">
        <x:f>Items!B951</x:f>
        <x:v>Electrical insulating hood</x:v>
      </x:c>
      <x:c r="C1106" s="4" t="str">
        <x:f>Items!D951</x:f>
        <x:v>Clothing</x:v>
      </x:c>
      <x:c r="D1106" s="4" t="inlineStr">
        <x:is>
          <x:t xml:space="preserve">Primary</x:t>
        </x:is>
      </x:c>
      <x:c r="E1106" s="4" t="str">
        <x:f>Items!AA951</x:f>
        <x:v>Electrical insulation</x:v>
      </x:c>
      <x:c r="F1106" s="4" t="inlineStr">
        <x:is>
          <x:t xml:space="preserve">Author-requested catalog proposal; intended use, not an implemented action.</x:t>
        </x:is>
      </x:c>
    </x:row>
    <x:row r="1107">
      <x:c r="A1107" s="4" t="inlineStr">
        <x:is>
          <x:t xml:space="preserve">proposal.clothing.chitin.top</x:t>
        </x:is>
      </x:c>
      <x:c r="B1107" s="4" t="str">
        <x:f>Items!B952</x:f>
        <x:v>Chitin jacket</x:v>
      </x:c>
      <x:c r="C1107" s="4" t="str">
        <x:f>Items!D952</x:f>
        <x:v>Clothing</x:v>
      </x:c>
      <x:c r="D1107" s="4" t="inlineStr">
        <x:is>
          <x:t xml:space="preserve">Primary</x:t>
        </x:is>
      </x:c>
      <x:c r="E1107" s="4" t="str">
        <x:f>Items!AA952</x:f>
        <x:v>Clothing</x:v>
      </x:c>
      <x:c r="F1107" s="4" t="inlineStr">
        <x:is>
          <x:t xml:space="preserve">Author-requested catalog proposal; intended use, not an implemented action.</x:t>
        </x:is>
      </x:c>
    </x:row>
    <x:row r="1108">
      <x:c r="A1108" s="4" t="inlineStr">
        <x:is>
          <x:t xml:space="preserve">proposal.clothing.chitin.legs</x:t>
        </x:is>
      </x:c>
      <x:c r="B1108" s="4" t="str">
        <x:f>Items!B953</x:f>
        <x:v>Chitin trousers</x:v>
      </x:c>
      <x:c r="C1108" s="4" t="str">
        <x:f>Items!D953</x:f>
        <x:v>Clothing</x:v>
      </x:c>
      <x:c r="D1108" s="4" t="inlineStr">
        <x:is>
          <x:t xml:space="preserve">Primary</x:t>
        </x:is>
      </x:c>
      <x:c r="E1108" s="4" t="str">
        <x:f>Items!AA953</x:f>
        <x:v>Clothing</x:v>
      </x:c>
      <x:c r="F1108" s="4" t="inlineStr">
        <x:is>
          <x:t xml:space="preserve">Author-requested catalog proposal; intended use, not an implemented action.</x:t>
        </x:is>
      </x:c>
    </x:row>
    <x:row r="1109">
      <x:c r="A1109" s="4" t="inlineStr">
        <x:is>
          <x:t xml:space="preserve">proposal.clothing.chitin.boots</x:t>
        </x:is>
      </x:c>
      <x:c r="B1109" s="4" t="str">
        <x:f>Items!B954</x:f>
        <x:v>Chitin boots</x:v>
      </x:c>
      <x:c r="C1109" s="4" t="str">
        <x:f>Items!D954</x:f>
        <x:v>Clothing</x:v>
      </x:c>
      <x:c r="D1109" s="4" t="inlineStr">
        <x:is>
          <x:t xml:space="preserve">Primary</x:t>
        </x:is>
      </x:c>
      <x:c r="E1109" s="4" t="str">
        <x:f>Items!AA954</x:f>
        <x:v>Clothing</x:v>
      </x:c>
      <x:c r="F1109" s="4" t="inlineStr">
        <x:is>
          <x:t xml:space="preserve">Author-requested catalog proposal; intended use, not an implemented action.</x:t>
        </x:is>
      </x:c>
    </x:row>
    <x:row r="1110">
      <x:c r="A1110" s="4" t="inlineStr">
        <x:is>
          <x:t xml:space="preserve">proposal.clothing.chitin.gloves</x:t>
        </x:is>
      </x:c>
      <x:c r="B1110" s="4" t="str">
        <x:f>Items!B955</x:f>
        <x:v>Chitin gloves</x:v>
      </x:c>
      <x:c r="C1110" s="4" t="str">
        <x:f>Items!D955</x:f>
        <x:v>Clothing</x:v>
      </x:c>
      <x:c r="D1110" s="4" t="inlineStr">
        <x:is>
          <x:t xml:space="preserve">Primary</x:t>
        </x:is>
      </x:c>
      <x:c r="E1110" s="4" t="str">
        <x:f>Items!AA955</x:f>
        <x:v>Clothing</x:v>
      </x:c>
      <x:c r="F1110" s="4" t="inlineStr">
        <x:is>
          <x:t xml:space="preserve">Author-requested catalog proposal; intended use, not an implemented action.</x:t>
        </x:is>
      </x:c>
    </x:row>
    <x:row r="1111">
      <x:c r="A1111" s="4" t="inlineStr">
        <x:is>
          <x:t xml:space="preserve">proposal.clothing.chitin.head</x:t>
        </x:is>
      </x:c>
      <x:c r="B1111" s="4" t="str">
        <x:f>Items!B956</x:f>
        <x:v>Chitin cap</x:v>
      </x:c>
      <x:c r="C1111" s="4" t="str">
        <x:f>Items!D956</x:f>
        <x:v>Clothing</x:v>
      </x:c>
      <x:c r="D1111" s="4" t="inlineStr">
        <x:is>
          <x:t xml:space="preserve">Primary</x:t>
        </x:is>
      </x:c>
      <x:c r="E1111" s="4" t="str">
        <x:f>Items!AA956</x:f>
        <x:v>Clothing</x:v>
      </x:c>
      <x:c r="F1111" s="4" t="inlineStr">
        <x:is>
          <x:t xml:space="preserve">Author-requested catalog proposal; intended use, not an implemented action.</x:t>
        </x:is>
      </x:c>
    </x:row>
    <x:row r="1112">
      <x:c r="A1112" s="4" t="inlineStr">
        <x:is>
          <x:t xml:space="preserve">proposal.armor.shoulder.raised_rim_iron</x:t>
        </x:is>
      </x:c>
      <x:c r="B1112" s="4" t="str">
        <x:f>Items!B957</x:f>
        <x:v>Raised-rim iron pauldron</x:v>
      </x:c>
      <x:c r="C1112" s="4" t="str">
        <x:f>Items!D957</x:f>
        <x:v>Armor</x:v>
      </x:c>
      <x:c r="D1112" s="4" t="inlineStr">
        <x:is>
          <x:t xml:space="preserve">Primary</x:t>
        </x:is>
      </x:c>
      <x:c r="E1112" s="4" t="str">
        <x:f>Items!AA957</x:f>
        <x:v>Protection</x:v>
      </x:c>
      <x:c r="F1112" s="4" t="inlineStr">
        <x:is>
          <x:t xml:space="preserve">Author-requested catalog proposal; intended use, not an implemented action.</x:t>
        </x:is>
      </x:c>
    </x:row>
    <x:row r="1113">
      <x:c r="A1113" s="4" t="inlineStr">
        <x:is>
          <x:t xml:space="preserve">proposal.armor.shoulder.layered_chitin</x:t>
        </x:is>
      </x:c>
      <x:c r="B1113" s="4" t="str">
        <x:f>Items!B958</x:f>
        <x:v>Layered chitin shoulder guard</x:v>
      </x:c>
      <x:c r="C1113" s="4" t="str">
        <x:f>Items!D958</x:f>
        <x:v>Armor</x:v>
      </x:c>
      <x:c r="D1113" s="4" t="inlineStr">
        <x:is>
          <x:t xml:space="preserve">Primary</x:t>
        </x:is>
      </x:c>
      <x:c r="E1113" s="4" t="str">
        <x:f>Items!AA958</x:f>
        <x:v>Protection</x:v>
      </x:c>
      <x:c r="F1113" s="4" t="inlineStr">
        <x:is>
          <x:t xml:space="preserve">Author-requested catalog proposal; intended use, not an implemented action.</x:t>
        </x:is>
      </x:c>
    </x:row>
    <x:row r="1114">
      <x:c r="A1114" s="4"/>
      <x:c r="B1114" s="4"/>
      <x:c r="C1114" s="4"/>
      <x:c r="D1114" s="4"/>
      <x:c r="E1114" s="4"/>
      <x:c r="F1114" s="4"/>
    </x:row>
    <x:row r="1115">
      <x:c r="A1115" s="4" t="inlineStr">
        <x:is>
          <x:t xml:space="preserve">proposal.clothing.everyday_wraps.legs</x:t>
        </x:is>
      </x:c>
      <x:c r="B1115" s="4" t="str">
        <x:f>Items!B960</x:f>
        <x:v>Everyday leg wraps</x:v>
      </x:c>
      <x:c r="C1115" s="4" t="str">
        <x:f>Items!D960</x:f>
        <x:v>Clothing</x:v>
      </x:c>
      <x:c r="D1115" s="4" t="inlineStr">
        <x:is>
          <x:t xml:space="preserve">Primary</x:t>
        </x:is>
      </x:c>
      <x:c r="E1115" s="4" t="str">
        <x:f>Items!AA960</x:f>
        <x:v>Clothing</x:v>
      </x:c>
      <x:c r="F1115" s="4" t="inlineStr">
        <x:is>
          <x:t xml:space="preserve">Author-requested catalog proposal; intended use, not an implemented action.</x:t>
        </x:is>
      </x:c>
    </x:row>
    <x:row r="1116">
      <x:c r="A1116" s="4" t="inlineStr">
        <x:is>
          <x:t xml:space="preserve">proposal.clothing.everyday_wraps.feet</x:t>
        </x:is>
      </x:c>
      <x:c r="B1116" s="4" t="str">
        <x:f>Items!B961</x:f>
        <x:v>Everyday foot wraps</x:v>
      </x:c>
      <x:c r="C1116" s="4" t="str">
        <x:f>Items!D961</x:f>
        <x:v>Clothing</x:v>
      </x:c>
      <x:c r="D1116" s="4" t="inlineStr">
        <x:is>
          <x:t xml:space="preserve">Primary</x:t>
        </x:is>
      </x:c>
      <x:c r="E1116" s="4" t="str">
        <x:f>Items!AA961</x:f>
        <x:v>Clothing</x:v>
      </x:c>
      <x:c r="F1116" s="4" t="inlineStr">
        <x:is>
          <x:t xml:space="preserve">Author-requested catalog proposal; intended use, not an implemented action.</x:t>
        </x:is>
      </x:c>
    </x:row>
    <x:row r="1117">
      <x:c r="A1117" s="4" t="inlineStr">
        <x:is>
          <x:t xml:space="preserve">proposal.clothing.everyday_wraps.hands</x:t>
        </x:is>
      </x:c>
      <x:c r="B1117" s="4" t="str">
        <x:f>Items!B962</x:f>
        <x:v>Everyday hand wraps</x:v>
      </x:c>
      <x:c r="C1117" s="4" t="str">
        <x:f>Items!D962</x:f>
        <x:v>Clothing</x:v>
      </x:c>
      <x:c r="D1117" s="4" t="inlineStr">
        <x:is>
          <x:t xml:space="preserve">Primary</x:t>
        </x:is>
      </x:c>
      <x:c r="E1117" s="4" t="str">
        <x:f>Items!AA962</x:f>
        <x:v>Clothing</x:v>
      </x:c>
      <x:c r="F1117" s="4" t="inlineStr">
        <x:is>
          <x:t xml:space="preserve">Author-requested catalog proposal; intended use, not an implemented action.</x:t>
        </x:is>
      </x:c>
    </x:row>
    <x:row r="1118">
      <x:c r="A1118" s="4" t="inlineStr">
        <x:is>
          <x:t xml:space="preserve">proposal.clothing.everyday_wraps.head</x:t>
        </x:is>
      </x:c>
      <x:c r="B1118" s="4" t="str">
        <x:f>Items!B963</x:f>
        <x:v>Everyday head wrap</x:v>
      </x:c>
      <x:c r="C1118" s="4" t="str">
        <x:f>Items!D963</x:f>
        <x:v>Clothing</x:v>
      </x:c>
      <x:c r="D1118" s="4" t="inlineStr">
        <x:is>
          <x:t xml:space="preserve">Primary</x:t>
        </x:is>
      </x:c>
      <x:c r="E1118" s="4" t="str">
        <x:f>Items!AA963</x:f>
        <x:v>Clothing</x:v>
      </x:c>
      <x:c r="F1118" s="4" t="inlineStr">
        <x:is>
          <x:t xml:space="preserve">Author-requested catalog proposal; intended use, not an implemented action.</x:t>
        </x:is>
      </x:c>
    </x:row>
    <x:row r="1119">
      <x:c r="A1119" s="4" t="inlineStr">
        <x:is>
          <x:t xml:space="preserve">proposal.camp.folding_shell_stool</x:t>
        </x:is>
      </x:c>
      <x:c r="B1119" s="4" t="str">
        <x:f>Items!B964</x:f>
        <x:v>Folding shell stool</x:v>
      </x:c>
      <x:c r="C1119" s="4" t="str">
        <x:f>Items!D964</x:f>
        <x:v>Salvage</x:v>
      </x:c>
      <x:c r="D1119" s="4" t="inlineStr">
        <x:is>
          <x:t xml:space="preserve">Primary</x:t>
        </x:is>
      </x:c>
      <x:c r="E1119" s="4" t="str">
        <x:f>Items!AA964</x:f>
        <x:v>Camp rest</x:v>
      </x:c>
      <x:c r="F1119" s="4" t="inlineStr">
        <x:is>
          <x:t xml:space="preserve">Author-requested catalog proposal; intended use, not an implemented action.</x:t>
        </x:is>
      </x:c>
    </x:row>
    <x:row r="1120">
      <x:c r="A1120" s="4" t="inlineStr">
        <x:is>
          <x:t xml:space="preserve">proposal.camp.folding_camp_table</x:t>
        </x:is>
      </x:c>
      <x:c r="B1120" s="4" t="str">
        <x:f>Items!B965</x:f>
        <x:v>Folding camp table</x:v>
      </x:c>
      <x:c r="C1120" s="4" t="str">
        <x:f>Items!D965</x:f>
        <x:v>Salvage</x:v>
      </x:c>
      <x:c r="D1120" s="4" t="inlineStr">
        <x:is>
          <x:t xml:space="preserve">Primary</x:t>
        </x:is>
      </x:c>
      <x:c r="E1120" s="4" t="str">
        <x:f>Items!AA965</x:f>
        <x:v>Food service</x:v>
      </x:c>
      <x:c r="F1120" s="4" t="inlineStr">
        <x:is>
          <x:t xml:space="preserve">Author-requested catalog proposal; intended use, not an implemented action.</x:t>
        </x:is>
      </x:c>
    </x:row>
    <x:row r="1121">
      <x:c r="A1121" s="4" t="inlineStr">
        <x:is>
          <x:t xml:space="preserve">proposal.camp.adjustable_shell_headrest</x:t>
        </x:is>
      </x:c>
      <x:c r="B1121" s="4" t="str">
        <x:f>Items!B966</x:f>
        <x:v>Adjustable shell headrest</x:v>
      </x:c>
      <x:c r="C1121" s="4" t="str">
        <x:f>Items!D966</x:f>
        <x:v>Salvage</x:v>
      </x:c>
      <x:c r="D1121" s="4" t="inlineStr">
        <x:is>
          <x:t xml:space="preserve">Primary</x:t>
        </x:is>
      </x:c>
      <x:c r="E1121" s="4" t="str">
        <x:f>Items!AA966</x:f>
        <x:v>Camp rest</x:v>
      </x:c>
      <x:c r="F1121" s="4" t="inlineStr">
        <x:is>
          <x:t xml:space="preserve">Author-requested catalog proposal; intended use, not an implemented action.</x:t>
        </x:is>
      </x:c>
    </x:row>
    <x:row r="1122">
      <x:c r="A1122" s="4" t="inlineStr">
        <x:is>
          <x:t xml:space="preserve">proposal.camp.boot_scraper</x:t>
        </x:is>
      </x:c>
      <x:c r="B1122" s="4" t="str">
        <x:f>Items!B967</x:f>
        <x:v>Camp boot scraper</x:v>
      </x:c>
      <x:c r="C1122" s="4" t="str">
        <x:f>Items!D967</x:f>
        <x:v>Salvage</x:v>
      </x:c>
      <x:c r="D1122" s="4" t="inlineStr">
        <x:is>
          <x:t xml:space="preserve">Primary</x:t>
        </x:is>
      </x:c>
      <x:c r="E1122" s="4" t="str">
        <x:f>Items!AA967</x:f>
        <x:v>Cleaning</x:v>
      </x:c>
      <x:c r="F1122" s="4" t="inlineStr">
        <x:is>
          <x:t xml:space="preserve">Author-requested catalog proposal; intended use, not an implemented action.</x:t>
        </x:is>
      </x:c>
    </x:row>
    <x:row r="1123">
      <x:c r="A1123" s="4" t="inlineStr">
        <x:is>
          <x:t xml:space="preserve">proposal.culture.interlocking_iron_ring_puzzle</x:t>
        </x:is>
      </x:c>
      <x:c r="B1123" s="4" t="str">
        <x:f>Items!B968</x:f>
        <x:v>Interlocking iron ring puzzle</x:v>
      </x:c>
      <x:c r="C1123" s="4" t="str">
        <x:f>Items!D968</x:f>
        <x:v>Salvage</x:v>
      </x:c>
      <x:c r="D1123" s="4" t="inlineStr">
        <x:is>
          <x:t xml:space="preserve">Primary</x:t>
        </x:is>
      </x:c>
      <x:c r="E1123" s="4" t="str">
        <x:f>Items!AA968</x:f>
        <x:v>Culture support</x:v>
      </x:c>
      <x:c r="F1123" s="4" t="inlineStr">
        <x:is>
          <x:t xml:space="preserve">Author-requested catalog proposal; intended use, not an implemented action.</x:t>
        </x:is>
      </x:c>
    </x:row>
    <x:row r="1124">
      <x:c r="A1124" s="4" t="inlineStr">
        <x:is>
          <x:t xml:space="preserve">proposal.clothing.fancy_husk_fiber.trousers</x:t>
        </x:is>
      </x:c>
      <x:c r="B1124" s="4" t="str">
        <x:f>Items!B969</x:f>
        <x:v>Panelled husk-fiber dress trousers</x:v>
      </x:c>
      <x:c r="C1124" s="4" t="str">
        <x:f>Items!D969</x:f>
        <x:v>Clothing</x:v>
      </x:c>
      <x:c r="D1124" s="4" t="inlineStr">
        <x:is>
          <x:t xml:space="preserve">Primary</x:t>
        </x:is>
      </x:c>
      <x:c r="E1124" s="4" t="str">
        <x:f>Items!AA969</x:f>
        <x:v>Fashion</x:v>
      </x:c>
      <x:c r="F1124" s="4" t="inlineStr">
        <x:is>
          <x:t xml:space="preserve">Author-requested catalog proposal; intended use, not an implemented action.</x:t>
        </x:is>
      </x:c>
    </x:row>
    <x:row r="1125">
      <x:c r="A1125" s="4" t="inlineStr">
        <x:is>
          <x:t xml:space="preserve">proposal.clothing.fancy_husk_fiber.shoes</x:t>
        </x:is>
      </x:c>
      <x:c r="B1125" s="4" t="str">
        <x:f>Items!B970</x:f>
        <x:v>Folded husk-fiber court shoes</x:v>
      </x:c>
      <x:c r="C1125" s="4" t="str">
        <x:f>Items!D970</x:f>
        <x:v>Clothing</x:v>
      </x:c>
      <x:c r="D1125" s="4" t="inlineStr">
        <x:is>
          <x:t xml:space="preserve">Primary</x:t>
        </x:is>
      </x:c>
      <x:c r="E1125" s="4" t="str">
        <x:f>Items!AA970</x:f>
        <x:v>Fashion</x:v>
      </x:c>
      <x:c r="F1125" s="4" t="inlineStr">
        <x:is>
          <x:t xml:space="preserve">Author-requested catalog proposal; intended use, not an implemented action.</x:t>
        </x:is>
      </x:c>
    </x:row>
    <x:row r="1126">
      <x:c r="A1126" s="4" t="inlineStr">
        <x:is>
          <x:t xml:space="preserve">proposal.clothing.fancy_husk_fiber.gloves</x:t>
        </x:is>
      </x:c>
      <x:c r="B1126" s="4" t="str">
        <x:f>Items!B971</x:f>
        <x:v>Layered-cuff husk-fiber dress gloves</x:v>
      </x:c>
      <x:c r="C1126" s="4" t="str">
        <x:f>Items!D971</x:f>
        <x:v>Clothing</x:v>
      </x:c>
      <x:c r="D1126" s="4" t="inlineStr">
        <x:is>
          <x:t xml:space="preserve">Primary</x:t>
        </x:is>
      </x:c>
      <x:c r="E1126" s="4" t="str">
        <x:f>Items!AA971</x:f>
        <x:v>Fashion</x:v>
      </x:c>
      <x:c r="F1126" s="4" t="inlineStr">
        <x:is>
          <x:t xml:space="preserve">Author-requested catalog proposal; intended use, not an implemented action.</x:t>
        </x:is>
      </x:c>
    </x:row>
    <x:row r="1127">
      <x:c r="A1127" s="4" t="inlineStr">
        <x:is>
          <x:t xml:space="preserve">proposal.clothing.fancy_husk_fiber.headdress</x:t>
        </x:is>
      </x:c>
      <x:c r="B1127" s="4" t="str">
        <x:f>Items!B972</x:f>
        <x:v>Fan-fold husk-fiber headdress</x:v>
      </x:c>
      <x:c r="C1127" s="4" t="str">
        <x:f>Items!D972</x:f>
        <x:v>Clothing</x:v>
      </x:c>
      <x:c r="D1127" s="4" t="inlineStr">
        <x:is>
          <x:t xml:space="preserve">Primary</x:t>
        </x:is>
      </x:c>
      <x:c r="E1127" s="4" t="str">
        <x:f>Items!AA972</x:f>
        <x:v>Fashion</x:v>
      </x:c>
      <x:c r="F1127" s="4" t="inlineStr">
        <x:is>
          <x:t xml:space="preserve">Author-requested catalog proposal; intended use, not an implemented action.</x:t>
        </x:is>
      </x:c>
    </x:row>
    <x:row r="1128">
      <x:c r="A1128" s="4" t="inlineStr">
        <x:is>
          <x:t xml:space="preserve">proposal.clothing.husk_hat</x:t>
        </x:is>
      </x:c>
      <x:c r="B1128" s="4" t="str">
        <x:f>Items!B973</x:f>
        <x:v>Husk hat</x:v>
      </x:c>
      <x:c r="C1128" s="4" t="str">
        <x:f>Items!D973</x:f>
        <x:v>Clothing</x:v>
      </x:c>
      <x:c r="D1128" s="4" t="inlineStr">
        <x:is>
          <x:t xml:space="preserve">Primary</x:t>
        </x:is>
      </x:c>
      <x:c r="E1128" s="4" t="str">
        <x:f>Items!AA973</x:f>
        <x:v>Clothing</x:v>
      </x:c>
      <x:c r="F1128" s="4" t="inlineStr">
        <x:is>
          <x:t xml:space="preserve">Author-requested catalog proposal; intended use, not an implemented action.</x:t>
        </x:is>
      </x:c>
    </x:row>
    <x:row r="1129">
      <x:c r="A1129" s="4" t="inlineStr">
        <x:is>
          <x:t xml:space="preserve">proposal.ancient.optical_data_ribbon</x:t>
        </x:is>
      </x:c>
      <x:c r="B1129" s="4" t="str">
        <x:f>Items!B974</x:f>
        <x:v>Ancient optical data ribbon</x:v>
      </x:c>
      <x:c r="C1129" s="4" t="str">
        <x:f>Items!D974</x:f>
        <x:v>Ancient salvage</x:v>
      </x:c>
      <x:c r="D1129" s="4" t="inlineStr">
        <x:is>
          <x:t xml:space="preserve">Primary</x:t>
        </x:is>
      </x:c>
      <x:c r="E1129" s="4" t="str">
        <x:f>Items!AA974</x:f>
        <x:v>Provenance</x:v>
      </x:c>
      <x:c r="F1129" s="4" t="inlineStr">
        <x:is>
          <x:t xml:space="preserve">Author-requested catalog proposal; intended use, not an implemented action.</x:t>
        </x:is>
      </x:c>
    </x:row>
    <x:row r="1130">
      <x:c r="A1130" s="4" t="inlineStr">
        <x:is>
          <x:t xml:space="preserve">proposal.ancient.vacuum_pump_core</x:t>
        </x:is>
      </x:c>
      <x:c r="B1130" s="4" t="str">
        <x:f>Items!B975</x:f>
        <x:v>Ancient vacuum pump core</x:v>
      </x:c>
      <x:c r="C1130" s="4" t="str">
        <x:f>Items!D975</x:f>
        <x:v>Ancient salvage</x:v>
      </x:c>
      <x:c r="D1130" s="4" t="inlineStr">
        <x:is>
          <x:t xml:space="preserve">Primary</x:t>
        </x:is>
      </x:c>
      <x:c r="E1130" s="4" t="str">
        <x:f>Items!AA975</x:f>
        <x:v>Chemical processing</x:v>
      </x:c>
      <x:c r="F1130" s="4" t="inlineStr">
        <x:is>
          <x:t xml:space="preserve">Author-requested catalog proposal; intended use, not an implemented action.</x:t>
        </x:is>
      </x:c>
    </x:row>
    <x:row r="1131">
      <x:c r="A1131" s="4" t="inlineStr">
        <x:is>
          <x:t xml:space="preserve">proposal.ancient.phase_change_heat_sink</x:t>
        </x:is>
      </x:c>
      <x:c r="B1131" s="4" t="str">
        <x:f>Items!B976</x:f>
        <x:v>Ancient phase-change heat sink</x:v>
      </x:c>
      <x:c r="C1131" s="4" t="str">
        <x:f>Items!D976</x:f>
        <x:v>Ancient salvage</x:v>
      </x:c>
      <x:c r="D1131" s="4" t="inlineStr">
        <x:is>
          <x:t xml:space="preserve">Primary</x:t>
        </x:is>
      </x:c>
      <x:c r="E1131" s="4" t="str">
        <x:f>Items!AA976</x:f>
        <x:v>Equipment repair</x:v>
      </x:c>
      <x:c r="F1131" s="4" t="inlineStr">
        <x:is>
          <x:t xml:space="preserve">Author-requested catalog proposal; intended use, not an implemented action.</x:t>
        </x:is>
      </x:c>
    </x:row>
    <x:row r="1132">
      <x:c r="A1132" s="4" t="inlineStr">
        <x:is>
          <x:t xml:space="preserve">proposal.ancient.microtool_turret</x:t>
        </x:is>
      </x:c>
      <x:c r="B1132" s="4" t="str">
        <x:f>Items!B977</x:f>
        <x:v>Ancient microtool turret</x:v>
      </x:c>
      <x:c r="C1132" s="4" t="str">
        <x:f>Items!D977</x:f>
        <x:v>Ancient salvage</x:v>
      </x:c>
      <x:c r="D1132" s="4" t="inlineStr">
        <x:is>
          <x:t xml:space="preserve">Primary</x:t>
        </x:is>
      </x:c>
      <x:c r="E1132" s="4" t="str">
        <x:f>Items!AA977</x:f>
        <x:v>Equipment repair</x:v>
      </x:c>
      <x:c r="F1132" s="4" t="inlineStr">
        <x:is>
          <x:t xml:space="preserve">Author-requested catalog proposal; intended use, not an implemented action.</x:t>
        </x:is>
      </x:c>
    </x:row>
    <x:row r="1133">
      <x:c r="A1133" s="4" t="inlineStr">
        <x:is>
          <x:t xml:space="preserve">proposal.ancient.spectral_filter_disk</x:t>
        </x:is>
      </x:c>
      <x:c r="B1133" s="4" t="str">
        <x:f>Items!B978</x:f>
        <x:v>Ancient spectral filter disk</x:v>
      </x:c>
      <x:c r="C1133" s="4" t="str">
        <x:f>Items!D978</x:f>
        <x:v>Ancient salvage</x:v>
      </x:c>
      <x:c r="D1133" s="4" t="inlineStr">
        <x:is>
          <x:t xml:space="preserve">Primary</x:t>
        </x:is>
      </x:c>
      <x:c r="E1133" s="4" t="str">
        <x:f>Items!AA978</x:f>
        <x:v>Vision</x:v>
      </x:c>
      <x:c r="F1133" s="4" t="inlineStr">
        <x:is>
          <x:t xml:space="preserve">Author-requested catalog proposal; intended use, not an implemented action.</x:t>
        </x:is>
      </x:c>
    </x:row>
  </x:sheetData>
  <x:dataValidations count="3">
    <x:dataValidation type="list" sqref="D6:D1014">
      <x:formula1>"Primary,Secondary"</x:formula1>
    </x:dataValidation>
    <x:dataValidation type="list" sqref="A6:A1505">
      <x:formula1>'Items'!$A$6:$A$978</x:formula1>
    </x:dataValidation>
    <x:dataValidation type="list" sqref="E6:E1505">
      <x:formula1>'Taxonomy'!$B$76:$B$158</x:formula1>
    </x:dataValidation>
  </x:dataValidations>
  <x:pageMargins left="0.7" right="0.7" top="0.75" bottom="0.75" header="0.3" footer="0.3"/>
  <x:tableParts count="1">
    <x:tablePart xmlns:r="http://schemas.openxmlformats.org/officeDocument/2006/relationships" r:id="R339a636cbcd34adb"/>
  </x:tableParts>
</x:worksheet>
</file>

<file path=xl/worksheets/sheet14.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4" hidden="0" customWidth="1"/>
    <x:col min="2" max="2" width="46" hidden="0" customWidth="1"/>
    <x:col min="3" max="3" width="25" hidden="0" customWidth="1"/>
    <x:col min="4" max="4" width="45" hidden="0" customWidth="1"/>
    <x:col min="5" max="5" width="38" hidden="0" customWidth="1"/>
    <x:col min="6" max="6" width="20" hidden="0" customWidth="1"/>
    <x:col min="7" max="7" width="26" hidden="0" customWidth="1"/>
    <x:col min="8" max="8" width="27" hidden="0" customWidth="1"/>
    <x:col min="9" max="9" width="17" hidden="0" customWidth="1"/>
    <x:col min="10" max="10" width="25" hidden="0" customWidth="1"/>
    <x:col min="11" max="11" width="27" hidden="0" customWidth="1"/>
    <x:col min="12" max="12" width="24" hidden="0" customWidth="1"/>
    <x:col min="13" max="13" width="28" hidden="0" customWidth="1"/>
    <x:col min="14" max="14" width="100" hidden="0" customWidth="1"/>
    <x:col min="15" max="15" width="110" hidden="0" customWidth="1"/>
    <x:col min="16" max="16" width="23" hidden="0" customWidth="1"/>
    <x:col min="17" max="17" width="23" hidden="0" customWidth="1"/>
  </x:cols>
  <x:sheetData>
    <x:row r="2">
      <x:c r="A2" s="2" t="str">
        <x:v>Crafting ingredients, outputs and prerequisites</x:v>
      </x:c>
    </x:row>
    <x:row r="3">
      <x:c r="A3" t="str">
        <x:v>Normalized owner of recipe-item links. Original Material routes tab name retained. Unknown quantities remain blank.</x:v>
      </x:c>
    </x:row>
    <x:row r="5" ht="42" customHeight="1">
      <x:c r="A5" s="64" t="str">
        <x:v>Link ID</x:v>
      </x:c>
      <x:c r="B5" s="64" t="str">
        <x:v>Recipe ID</x:v>
      </x:c>
      <x:c r="C5" s="64" t="str">
        <x:v>Relationship</x:v>
      </x:c>
      <x:c r="D5" s="64" t="str">
        <x:v>Item ID</x:v>
      </x:c>
      <x:c r="E5" s="64" t="str">
        <x:v>Item name</x:v>
      </x:c>
      <x:c r="F5" s="64" t="str">
        <x:v>Material tier</x:v>
      </x:c>
      <x:c r="G5" s="64" t="str">
        <x:v>Category</x:v>
      </x:c>
      <x:c r="H5" s="64" t="str">
        <x:v>Item type</x:v>
      </x:c>
      <x:c r="I5" s="64" t="str">
        <x:v>Quantity</x:v>
      </x:c>
      <x:c r="J5" s="64" t="str">
        <x:v>Unit</x:v>
      </x:c>
      <x:c r="K5" s="64" t="str">
        <x:v>Route status</x:v>
      </x:c>
      <x:c r="L5" s="64" t="str">
        <x:v>Item design status</x:v>
      </x:c>
      <x:c r="M5" s="64" t="str">
        <x:v>Completeness</x:v>
      </x:c>
      <x:c r="N5" s="64" t="str">
        <x:v>Notes</x:v>
      </x:c>
      <x:c r="O5" s="64" t="str">
        <x:v>Source / basis</x:v>
      </x:c>
      <x:c r="P5" s="64" t="str">
        <x:v>Ingredient tier number</x:v>
      </x:c>
      <x:c r="Q5" s="64" t="str">
        <x:v>Unresolved ingredient tier</x:v>
      </x:c>
    </x:row>
    <x:row r="6" ht="85" customHeight="1">
      <x:c r="A6" s="4" t="str">
        <x:v>material.route.001</x:v>
      </x:c>
      <x:c r="B6" s="4" t="str">
        <x:v>design.refine.natural.iron_feed</x:v>
      </x:c>
      <x:c r="C6" s="4" t="str">
        <x:v>Ingredient candidate</x:v>
      </x:c>
      <x:c r="D6" s="4" t="str">
        <x:v>proposal.natural.magnetite</x:v>
      </x:c>
      <x:c r="E6" s="4" t="str">
        <x:f>IFERROR(INDEX('Items'!$B$6:$B$1005,MATCH(D6,'Items'!$A$6:$A$1005,0)),"MISSING ID")</x:f>
        <x:v>Magnetite-rich stone</x:v>
      </x:c>
      <x:c r="F6" s="4" t="str">
        <x:f>IFERROR(INDEX('Items'!$C$6:$C$1005,MATCH(D6,'Items'!$A$6:$A$1005,0)),"MISSING ID")</x:f>
        <x:v>T0</x:v>
      </x:c>
      <x:c r="G6" s="4" t="str">
        <x:f>IFERROR(INDEX('Items'!$D$6:$D$1005,MATCH(D6,'Items'!$A$6:$A$1005,0)),"MISSING ID")</x:f>
        <x:v>Mineral resources</x:v>
      </x:c>
      <x:c r="H6" s="4" t="str">
        <x:f>IFERROR(INDEX('Items'!$X$6:$X$1005,MATCH(D6,'Items'!$A$6:$A$1005,0)),"MISSING ID")</x:f>
        <x:v>Raw material</x:v>
      </x:c>
      <x:c r="I6" s="4"/>
      <x:c r="J6" s="4" t="str">
        <x:v>Unspecified</x:v>
      </x:c>
      <x:c r="K6" s="4" t="str">
        <x:f>IFERROR(INDEX('Crafting recipes'!$D$6:$D$1005,MATCH(B6,'Crafting recipes'!$A$6:$A$1005,0)),"MISSING ID")</x:f>
        <x:v>Proposal</x:v>
      </x:c>
      <x:c r="L6" s="4" t="str">
        <x:f>IFERROR(INDEX('Items'!$AD$6:$AD$1005,MATCH(D6,'Items'!$A$6:$A$1005,0)),"MISSING ID")</x:f>
        <x:v>Proposal</x:v>
      </x:c>
      <x:c r="M6" s="4" t="str">
        <x:f>IFERROR(INDEX('Crafting recipes'!$E$6:$E$1005,MATCH(B6,'Crafting recipes'!$A$6:$A$1005,0)),"MISSING ID")</x:f>
        <x:v>Partial proposal</x:v>
      </x:c>
      <x:c r="N6" s="4" t="str">
        <x:v>Dry mineral separation into iron-bearing feed. Original boundary: Proposed tier edge; input candidate only, not complete recipe</x:v>
      </x:c>
      <x:c r="O6" s="4" t="str">
        <x:v>New game proposal; no complete recipe</x:v>
      </x:c>
      <x:c r="P6" s="4" t="n">
        <x:f>IF(OR(C6="Ingredient candidate",C6="Consumed input",C6="Contained input",C6="Transform input"),IF(F6="T0",0,IF(F6="T1",1,IF(F6="T2",2,IF(F6="T3",3,IF(F6="T4",4,-1))))),-1)</x:f>
        <x:v>0</x:v>
      </x:c>
      <x:c r="Q6" s="4" t="n">
        <x:f>IF(AND(OR(C6="Ingredient candidate",C6="Consumed input",C6="Contained input",C6="Transform input"),P6=-1),1,0)</x:f>
        <x:v>0</x:v>
      </x:c>
    </x:row>
    <x:row r="7" ht="85" customHeight="1">
      <x:c r="A7" s="4" t="str">
        <x:v>material.route.003</x:v>
      </x:c>
      <x:c r="B7" s="4" t="str">
        <x:v>design.refine.natural.abrasive</x:v>
      </x:c>
      <x:c r="C7" s="4" t="str">
        <x:v>Ingredient candidate</x:v>
      </x:c>
      <x:c r="D7" s="4" t="str">
        <x:v>proposal.raw.emery</x:v>
      </x:c>
      <x:c r="E7" s="4" t="str">
        <x:f>IFERROR(INDEX('Items'!$B$6:$B$1005,MATCH(D7,'Items'!$A$6:$A$1005,0)),"MISSING ID")</x:f>
        <x:v>Emery-bearing lumps</x:v>
      </x:c>
      <x:c r="F7" s="4" t="str">
        <x:f>IFERROR(INDEX('Items'!$C$6:$C$1005,MATCH(D7,'Items'!$A$6:$A$1005,0)),"MISSING ID")</x:f>
        <x:v>T0</x:v>
      </x:c>
      <x:c r="G7" s="4" t="str">
        <x:f>IFERROR(INDEX('Items'!$D$6:$D$1005,MATCH(D7,'Items'!$A$6:$A$1005,0)),"MISSING ID")</x:f>
        <x:v>Mineral resources</x:v>
      </x:c>
      <x:c r="H7" s="4" t="str">
        <x:f>IFERROR(INDEX('Items'!$X$6:$X$1005,MATCH(D7,'Items'!$A$6:$A$1005,0)),"MISSING ID")</x:f>
        <x:v>Raw material</x:v>
      </x:c>
      <x:c r="I7" s="4"/>
      <x:c r="J7" s="4" t="str">
        <x:v>Unspecified</x:v>
      </x:c>
      <x:c r="K7" s="4" t="str">
        <x:f>IFERROR(INDEX('Crafting recipes'!$D$6:$D$1005,MATCH(B7,'Crafting recipes'!$A$6:$A$1005,0)),"MISSING ID")</x:f>
        <x:v>Proposal</x:v>
      </x:c>
      <x:c r="L7" s="4" t="str">
        <x:f>IFERROR(INDEX('Items'!$AD$6:$AD$1005,MATCH(D7,'Items'!$A$6:$A$1005,0)),"MISSING ID")</x:f>
        <x:v>Proposal</x:v>
      </x:c>
      <x:c r="M7" s="4" t="str">
        <x:f>IFERROR(INDEX('Crafting recipes'!$E$6:$E$1005,MATCH(B7,'Crafting recipes'!$A$6:$A$1005,0)),"MISSING ID")</x:f>
        <x:v>Partial proposal</x:v>
      </x:c>
      <x:c r="N7" s="4" t="str">
        <x:v>Grade a candidate abrasive fraction; reuse existing abrasive stock. Original boundary: Proposed tier edge; input candidate only, not complete recipe</x:v>
      </x:c>
      <x:c r="O7" s="4" t="str">
        <x:v>New game proposal; no complete recipe</x:v>
      </x:c>
      <x:c r="P7" s="4" t="n">
        <x:f>IF(OR(C7="Ingredient candidate",C7="Consumed input",C7="Contained input",C7="Transform input"),IF(F7="T0",0,IF(F7="T1",1,IF(F7="T2",2,IF(F7="T3",3,IF(F7="T4",4,-1))))),-1)</x:f>
        <x:v>0</x:v>
      </x:c>
      <x:c r="Q7" s="4" t="n">
        <x:f>IF(AND(OR(C7="Ingredient candidate",C7="Consumed input",C7="Contained input",C7="Transform input"),P7=-1),1,0)</x:f>
        <x:v>0</x:v>
      </x:c>
    </x:row>
    <x:row r="8" ht="85" customHeight="1">
      <x:c r="A8" s="4" t="str">
        <x:v>material.route.004</x:v>
      </x:c>
      <x:c r="B8" s="4" t="str">
        <x:v>design.refine.natural.carbon</x:v>
      </x:c>
      <x:c r="C8" s="4" t="str">
        <x:v>Ingredient candidate</x:v>
      </x:c>
      <x:c r="D8" s="4" t="str">
        <x:v>proposal.natural.graphite</x:v>
      </x:c>
      <x:c r="E8" s="4" t="str">
        <x:f>IFERROR(INDEX('Items'!$B$6:$B$1005,MATCH(D8,'Items'!$A$6:$A$1005,0)),"MISSING ID")</x:f>
        <x:v>Graphite-bearing stone</x:v>
      </x:c>
      <x:c r="F8" s="4" t="str">
        <x:f>IFERROR(INDEX('Items'!$C$6:$C$1005,MATCH(D8,'Items'!$A$6:$A$1005,0)),"MISSING ID")</x:f>
        <x:v>T0</x:v>
      </x:c>
      <x:c r="G8" s="4" t="str">
        <x:f>IFERROR(INDEX('Items'!$D$6:$D$1005,MATCH(D8,'Items'!$A$6:$A$1005,0)),"MISSING ID")</x:f>
        <x:v>Mineral resources</x:v>
      </x:c>
      <x:c r="H8" s="4" t="str">
        <x:f>IFERROR(INDEX('Items'!$X$6:$X$1005,MATCH(D8,'Items'!$A$6:$A$1005,0)),"MISSING ID")</x:f>
        <x:v>Raw material</x:v>
      </x:c>
      <x:c r="I8" s="4"/>
      <x:c r="J8" s="4" t="str">
        <x:v>Unspecified</x:v>
      </x:c>
      <x:c r="K8" s="4" t="str">
        <x:f>IFERROR(INDEX('Crafting recipes'!$D$6:$D$1005,MATCH(B8,'Crafting recipes'!$A$6:$A$1005,0)),"MISSING ID")</x:f>
        <x:v>Proposal</x:v>
      </x:c>
      <x:c r="L8" s="4" t="str">
        <x:f>IFERROR(INDEX('Items'!$AD$6:$AD$1005,MATCH(D8,'Items'!$A$6:$A$1005,0)),"MISSING ID")</x:f>
        <x:v>Proposal</x:v>
      </x:c>
      <x:c r="M8" s="4" t="str">
        <x:f>IFERROR(INDEX('Crafting recipes'!$E$6:$E$1005,MATCH(B8,'Crafting recipes'!$A$6:$A$1005,0)),"MISSING ID")</x:f>
        <x:v>Partial proposal</x:v>
      </x:c>
      <x:c r="N8" s="4" t="str">
        <x:v>Separate/grade graphite flakes. Original boundary: Proposed tier edge; input candidate only, not complete recipe</x:v>
      </x:c>
      <x:c r="O8" s="4" t="str">
        <x:v>New game proposal; no complete recipe</x:v>
      </x:c>
      <x:c r="P8" s="4" t="n">
        <x:f>IF(OR(C8="Ingredient candidate",C8="Consumed input",C8="Contained input",C8="Transform input"),IF(F8="T0",0,IF(F8="T1",1,IF(F8="T2",2,IF(F8="T3",3,IF(F8="T4",4,-1))))),-1)</x:f>
        <x:v>0</x:v>
      </x:c>
      <x:c r="Q8" s="4" t="n">
        <x:f>IF(AND(OR(C8="Ingredient candidate",C8="Consumed input",C8="Contained input",C8="Transform input"),P8=-1),1,0)</x:f>
        <x:v>0</x:v>
      </x:c>
    </x:row>
    <x:row r="9" ht="85" customHeight="1">
      <x:c r="A9" s="4" t="str">
        <x:v>material.route.005</x:v>
      </x:c>
      <x:c r="B9" s="4" t="str">
        <x:v>design.refine.natural.lime</x:v>
      </x:c>
      <x:c r="C9" s="4" t="str">
        <x:v>Ingredient candidate</x:v>
      </x:c>
      <x:c r="D9" s="4" t="str">
        <x:v>proposal.natural.carbonate</x:v>
      </x:c>
      <x:c r="E9" s="4" t="str">
        <x:f>IFERROR(INDEX('Items'!$B$6:$B$1005,MATCH(D9,'Items'!$A$6:$A$1005,0)),"MISSING ID")</x:f>
        <x:v>Carbonate stone</x:v>
      </x:c>
      <x:c r="F9" s="4" t="str">
        <x:f>IFERROR(INDEX('Items'!$C$6:$C$1005,MATCH(D9,'Items'!$A$6:$A$1005,0)),"MISSING ID")</x:f>
        <x:v>T0</x:v>
      </x:c>
      <x:c r="G9" s="4" t="str">
        <x:f>IFERROR(INDEX('Items'!$D$6:$D$1005,MATCH(D9,'Items'!$A$6:$A$1005,0)),"MISSING ID")</x:f>
        <x:v>Mineral resources</x:v>
      </x:c>
      <x:c r="H9" s="4" t="str">
        <x:f>IFERROR(INDEX('Items'!$X$6:$X$1005,MATCH(D9,'Items'!$A$6:$A$1005,0)),"MISSING ID")</x:f>
        <x:v>Raw material</x:v>
      </x:c>
      <x:c r="I9" s="4"/>
      <x:c r="J9" s="4" t="str">
        <x:v>Unspecified</x:v>
      </x:c>
      <x:c r="K9" s="4" t="str">
        <x:f>IFERROR(INDEX('Crafting recipes'!$D$6:$D$1005,MATCH(B9,'Crafting recipes'!$A$6:$A$1005,0)),"MISSING ID")</x:f>
        <x:v>Proposal</x:v>
      </x:c>
      <x:c r="L9" s="4" t="str">
        <x:f>IFERROR(INDEX('Items'!$AD$6:$AD$1005,MATCH(D9,'Items'!$A$6:$A$1005,0)),"MISSING ID")</x:f>
        <x:v>Proposal</x:v>
      </x:c>
      <x:c r="M9" s="4" t="str">
        <x:f>IFERROR(INDEX('Crafting recipes'!$E$6:$E$1005,MATCH(B9,'Crafting recipes'!$A$6:$A$1005,0)),"MISSING ID")</x:f>
        <x:v>Partial proposal</x:v>
      </x:c>
      <x:c r="N9" s="4" t="str">
        <x:v>Specialist kiln route to existing calcined binder. Original boundary: Proposed tier edge; input candidate only, not complete recipe</x:v>
      </x:c>
      <x:c r="O9" s="4" t="str">
        <x:v>New game proposal; no complete recipe</x:v>
      </x:c>
      <x:c r="P9" s="4" t="n">
        <x:f>IF(OR(C9="Ingredient candidate",C9="Consumed input",C9="Contained input",C9="Transform input"),IF(F9="T0",0,IF(F9="T1",1,IF(F9="T2",2,IF(F9="T3",3,IF(F9="T4",4,-1))))),-1)</x:f>
        <x:v>0</x:v>
      </x:c>
      <x:c r="Q9" s="4" t="n">
        <x:f>IF(AND(OR(C9="Ingredient candidate",C9="Consumed input",C9="Contained input",C9="Transform input"),P9=-1),1,0)</x:f>
        <x:v>0</x:v>
      </x:c>
    </x:row>
    <x:row r="10" ht="85" customHeight="1">
      <x:c r="A10" s="4" t="str">
        <x:v>material.route.006</x:v>
      </x:c>
      <x:c r="B10" s="4" t="str">
        <x:v>design.refine.ceramic.grog</x:v>
      </x:c>
      <x:c r="C10" s="4" t="str">
        <x:v>Ingredient candidate</x:v>
      </x:c>
      <x:c r="D10" s="4" t="str">
        <x:v>proposal.raw.ceramic_shards</x:v>
      </x:c>
      <x:c r="E10" s="4" t="str">
        <x:f>IFERROR(INDEX('Items'!$B$6:$B$1005,MATCH(D10,'Items'!$A$6:$A$1005,0)),"MISSING ID")</x:f>
        <x:v>Broken ceramic shards</x:v>
      </x:c>
      <x:c r="F10" s="4" t="str">
        <x:f>IFERROR(INDEX('Items'!$C$6:$C$1005,MATCH(D10,'Items'!$A$6:$A$1005,0)),"MISSING ID")</x:f>
        <x:v>T0</x:v>
      </x:c>
      <x:c r="G10" s="4" t="str">
        <x:f>IFERROR(INDEX('Items'!$D$6:$D$1005,MATCH(D10,'Items'!$A$6:$A$1005,0)),"MISSING ID")</x:f>
        <x:v>Salvage</x:v>
      </x:c>
      <x:c r="H10" s="4" t="str">
        <x:f>IFERROR(INDEX('Items'!$X$6:$X$1005,MATCH(D10,'Items'!$A$6:$A$1005,0)),"MISSING ID")</x:f>
        <x:v>Raw material</x:v>
      </x:c>
      <x:c r="I10" s="4"/>
      <x:c r="J10" s="4" t="str">
        <x:v>Unspecified</x:v>
      </x:c>
      <x:c r="K10" s="4" t="str">
        <x:f>IFERROR(INDEX('Crafting recipes'!$D$6:$D$1005,MATCH(B10,'Crafting recipes'!$A$6:$A$1005,0)),"MISSING ID")</x:f>
        <x:v>Proposal</x:v>
      </x:c>
      <x:c r="L10" s="4" t="str">
        <x:f>IFERROR(INDEX('Items'!$AD$6:$AD$1005,MATCH(D10,'Items'!$A$6:$A$1005,0)),"MISSING ID")</x:f>
        <x:v>Proposal</x:v>
      </x:c>
      <x:c r="M10" s="4" t="str">
        <x:f>IFERROR(INDEX('Crafting recipes'!$E$6:$E$1005,MATCH(B10,'Crafting recipes'!$A$6:$A$1005,0)),"MISSING ID")</x:f>
        <x:v>Partial proposal</x:v>
      </x:c>
      <x:c r="N10" s="4" t="str">
        <x:v>Sort and crush qualified ceramic waste. Original boundary: Proposed tier edge; input candidate only, not complete recipe</x:v>
      </x:c>
      <x:c r="O10" s="4" t="str">
        <x:v>New game proposal; no complete recipe</x:v>
      </x:c>
      <x:c r="P10" s="4" t="n">
        <x:f>IF(OR(C10="Ingredient candidate",C10="Consumed input",C10="Contained input",C10="Transform input"),IF(F10="T0",0,IF(F10="T1",1,IF(F10="T2",2,IF(F10="T3",3,IF(F10="T4",4,-1))))),-1)</x:f>
        <x:v>0</x:v>
      </x:c>
      <x:c r="Q10" s="4" t="n">
        <x:f>IF(AND(OR(C10="Ingredient candidate",C10="Consumed input",C10="Contained input",C10="Transform input"),P10=-1),1,0)</x:f>
        <x:v>0</x:v>
      </x:c>
    </x:row>
    <x:row r="11" ht="85" customHeight="1">
      <x:c r="A11" s="4"/>
      <x:c r="B11" s="4"/>
      <x:c r="C11" s="4"/>
      <x:c r="D11" s="4"/>
      <x:c r="E11" s="4"/>
      <x:c r="F11" s="4"/>
      <x:c r="G11" s="4"/>
      <x:c r="H11" s="4"/>
      <x:c r="I11" s="4"/>
      <x:c r="J11" s="4"/>
      <x:c r="K11" s="4"/>
      <x:c r="L11" s="4"/>
      <x:c r="M11" s="4"/>
      <x:c r="N11" s="4"/>
      <x:c r="O11" s="4"/>
      <x:c r="P11" s="4"/>
      <x:c r="Q11" s="4"/>
    </x:row>
    <x:row r="12" ht="85" customHeight="1">
      <x:c r="A12" s="4"/>
      <x:c r="B12" s="4"/>
      <x:c r="C12" s="4"/>
      <x:c r="D12" s="4"/>
      <x:c r="E12" s="4"/>
      <x:c r="F12" s="4"/>
      <x:c r="G12" s="4"/>
      <x:c r="H12" s="4"/>
      <x:c r="I12" s="4"/>
      <x:c r="J12" s="4"/>
      <x:c r="K12" s="4"/>
      <x:c r="L12" s="4"/>
      <x:c r="M12" s="4"/>
      <x:c r="N12" s="4"/>
      <x:c r="O12" s="4"/>
      <x:c r="P12" s="4"/>
      <x:c r="Q12" s="4"/>
    </x:row>
    <x:row r="13" ht="85" customHeight="1">
      <x:c r="A13" s="4" t="str">
        <x:v>material.route.009</x:v>
      </x:c>
      <x:c r="B13" s="4" t="str">
        <x:v>design.refine.bio.hide_material</x:v>
      </x:c>
      <x:c r="C13" s="4" t="str">
        <x:v>Ingredient candidate</x:v>
      </x:c>
      <x:c r="D13" s="4" t="str">
        <x:v>proposal.bio.hide</x:v>
      </x:c>
      <x:c r="E13" s="4" t="str">
        <x:f>IFERROR(INDEX('Items'!$B$6:$B$1005,MATCH(D13,'Items'!$A$6:$A$1005,0)),"MISSING ID")</x:f>
        <x:v>Raw hide</x:v>
      </x:c>
      <x:c r="F13" s="4" t="str">
        <x:f>IFERROR(INDEX('Items'!$C$6:$C$1005,MATCH(D13,'Items'!$A$6:$A$1005,0)),"MISSING ID")</x:f>
        <x:v>T0</x:v>
      </x:c>
      <x:c r="G13" s="4" t="str">
        <x:f>IFERROR(INDEX('Items'!$D$6:$D$1005,MATCH(D13,'Items'!$A$6:$A$1005,0)),"MISSING ID")</x:f>
        <x:v>Biological resources</x:v>
      </x:c>
      <x:c r="H13" s="4" t="str">
        <x:f>IFERROR(INDEX('Items'!$X$6:$X$1005,MATCH(D13,'Items'!$A$6:$A$1005,0)),"MISSING ID")</x:f>
        <x:v>Raw material</x:v>
      </x:c>
      <x:c r="I13" s="4"/>
      <x:c r="J13" s="4" t="str">
        <x:v>Unspecified</x:v>
      </x:c>
      <x:c r="K13" s="4" t="str">
        <x:f>IFERROR(INDEX('Crafting recipes'!$D$6:$D$1005,MATCH(B13,'Crafting recipes'!$A$6:$A$1005,0)),"MISSING ID")</x:f>
        <x:v>Proposal</x:v>
      </x:c>
      <x:c r="L13" s="4" t="str">
        <x:f>IFERROR(INDEX('Items'!$AD$6:$AD$1005,MATCH(D13,'Items'!$A$6:$A$1005,0)),"MISSING ID")</x:f>
        <x:v>Author direction</x:v>
      </x:c>
      <x:c r="M13" s="4" t="str">
        <x:f>IFERROR(INDEX('Crafting recipes'!$E$6:$E$1005,MATCH(B13,'Crafting recipes'!$A$6:$A$1005,0)),"MISSING ID")</x:f>
        <x:v>Partial proposal</x:v>
      </x:c>
      <x:c r="N13" s="4" t="str">
        <x:v>Extremely low-yield hide preparation; no ordinary leather/cloth supply. Original boundary: Proposed tier edge; input candidate only, not complete recipe</x:v>
      </x:c>
      <x:c r="O13" s="4" t="str">
        <x:v>New game proposal; no complete recipe</x:v>
      </x:c>
      <x:c r="P13" s="4" t="n">
        <x:f>IF(OR(C13="Ingredient candidate",C13="Consumed input",C13="Contained input",C13="Transform input"),IF(F13="T0",0,IF(F13="T1",1,IF(F13="T2",2,IF(F13="T3",3,IF(F13="T4",4,-1))))),-1)</x:f>
        <x:v>0</x:v>
      </x:c>
      <x:c r="Q13" s="4" t="n">
        <x:f>IF(AND(OR(C13="Ingredient candidate",C13="Consumed input",C13="Contained input",C13="Transform input"),P13=-1),1,0)</x:f>
        <x:v>0</x:v>
      </x:c>
    </x:row>
    <x:row r="14" ht="85" customHeight="1">
      <x:c r="A14" s="4" t="str">
        <x:v>material.route.010</x:v>
      </x:c>
      <x:c r="B14" s="4" t="str">
        <x:v>design.refine.bio.liner</x:v>
      </x:c>
      <x:c r="C14" s="4" t="str">
        <x:v>Ingredient candidate</x:v>
      </x:c>
      <x:c r="D14" s="4" t="str">
        <x:v>proposal.bio.underfur</x:v>
      </x:c>
      <x:c r="E14" s="4" t="str">
        <x:f>IFERROR(INDEX('Items'!$B$6:$B$1005,MATCH(D14,'Items'!$A$6:$A$1005,0)),"MISSING ID")</x:f>
        <x:v>Shed underfur</x:v>
      </x:c>
      <x:c r="F14" s="4" t="str">
        <x:f>IFERROR(INDEX('Items'!$C$6:$C$1005,MATCH(D14,'Items'!$A$6:$A$1005,0)),"MISSING ID")</x:f>
        <x:v>T0</x:v>
      </x:c>
      <x:c r="G14" s="4" t="str">
        <x:f>IFERROR(INDEX('Items'!$D$6:$D$1005,MATCH(D14,'Items'!$A$6:$A$1005,0)),"MISSING ID")</x:f>
        <x:v>Biological resources</x:v>
      </x:c>
      <x:c r="H14" s="4" t="str">
        <x:f>IFERROR(INDEX('Items'!$X$6:$X$1005,MATCH(D14,'Items'!$A$6:$A$1005,0)),"MISSING ID")</x:f>
        <x:v>Raw material</x:v>
      </x:c>
      <x:c r="I14" s="4"/>
      <x:c r="J14" s="4" t="str">
        <x:v>Unspecified</x:v>
      </x:c>
      <x:c r="K14" s="4" t="str">
        <x:f>IFERROR(INDEX('Crafting recipes'!$D$6:$D$1005,MATCH(B14,'Crafting recipes'!$A$6:$A$1005,0)),"MISSING ID")</x:f>
        <x:v>Proposal</x:v>
      </x:c>
      <x:c r="L14" s="4" t="str">
        <x:f>IFERROR(INDEX('Items'!$AD$6:$AD$1005,MATCH(D14,'Items'!$A$6:$A$1005,0)),"MISSING ID")</x:f>
        <x:v>Proposal</x:v>
      </x:c>
      <x:c r="M14" s="4" t="str">
        <x:f>IFERROR(INDEX('Crafting recipes'!$E$6:$E$1005,MATCH(B14,'Crafting recipes'!$A$6:$A$1005,0)),"MISSING ID")</x:f>
        <x:v>Partial proposal</x:v>
      </x:c>
      <x:c r="N14" s="4" t="str">
        <x:v>Extremely low-yield pressed fur-material preparation. Original boundary: Proposed tier edge; input candidate only, not complete recipe</x:v>
      </x:c>
      <x:c r="O14" s="4" t="str">
        <x:v>New game proposal; no complete recipe</x:v>
      </x:c>
      <x:c r="P14" s="4" t="n">
        <x:f>IF(OR(C14="Ingredient candidate",C14="Consumed input",C14="Contained input",C14="Transform input"),IF(F14="T0",0,IF(F14="T1",1,IF(F14="T2",2,IF(F14="T3",3,IF(F14="T4",4,-1))))),-1)</x:f>
        <x:v>0</x:v>
      </x:c>
      <x:c r="Q14" s="4" t="n">
        <x:f>IF(AND(OR(C14="Ingredient candidate",C14="Consumed input",C14="Contained input",C14="Transform input"),P14=-1),1,0)</x:f>
        <x:v>0</x:v>
      </x:c>
    </x:row>
    <x:row r="15" ht="85" customHeight="1">
      <x:c r="A15" s="4" t="str">
        <x:v>material.route.011</x:v>
      </x:c>
      <x:c r="B15" s="4" t="str">
        <x:v>design.refine.bio.cord</x:v>
      </x:c>
      <x:c r="C15" s="4" t="str">
        <x:v>Ingredient candidate</x:v>
      </x:c>
      <x:c r="D15" s="4" t="str">
        <x:v>proposal.bio.tendon</x:v>
      </x:c>
      <x:c r="E15" s="4" t="str">
        <x:f>IFERROR(INDEX('Items'!$B$6:$B$1005,MATCH(D15,'Items'!$A$6:$A$1005,0)),"MISSING ID")</x:f>
        <x:v>Dried tendon bundles</x:v>
      </x:c>
      <x:c r="F15" s="4" t="str">
        <x:f>IFERROR(INDEX('Items'!$C$6:$C$1005,MATCH(D15,'Items'!$A$6:$A$1005,0)),"MISSING ID")</x:f>
        <x:v>T0</x:v>
      </x:c>
      <x:c r="G15" s="4" t="str">
        <x:f>IFERROR(INDEX('Items'!$D$6:$D$1005,MATCH(D15,'Items'!$A$6:$A$1005,0)),"MISSING ID")</x:f>
        <x:v>Biological resources</x:v>
      </x:c>
      <x:c r="H15" s="4" t="str">
        <x:f>IFERROR(INDEX('Items'!$X$6:$X$1005,MATCH(D15,'Items'!$A$6:$A$1005,0)),"MISSING ID")</x:f>
        <x:v>Raw material</x:v>
      </x:c>
      <x:c r="I15" s="4"/>
      <x:c r="J15" s="4" t="str">
        <x:v>Unspecified</x:v>
      </x:c>
      <x:c r="K15" s="4" t="str">
        <x:f>IFERROR(INDEX('Crafting recipes'!$D$6:$D$1005,MATCH(B15,'Crafting recipes'!$A$6:$A$1005,0)),"MISSING ID")</x:f>
        <x:v>Proposal</x:v>
      </x:c>
      <x:c r="L15" s="4" t="str">
        <x:f>IFERROR(INDEX('Items'!$AD$6:$AD$1005,MATCH(D15,'Items'!$A$6:$A$1005,0)),"MISSING ID")</x:f>
        <x:v>Proposal</x:v>
      </x:c>
      <x:c r="M15" s="4" t="str">
        <x:f>IFERROR(INDEX('Crafting recipes'!$E$6:$E$1005,MATCH(B15,'Crafting recipes'!$A$6:$A$1005,0)),"MISSING ID")</x:f>
        <x:v>Partial proposal</x:v>
      </x:c>
      <x:c r="N15" s="4" t="str">
        <x:v>Prepare a candidate binding cord. Original boundary: Proposed tier edge; input candidate only, not complete recipe</x:v>
      </x:c>
      <x:c r="O15" s="4" t="str">
        <x:v>New game proposal; no complete recipe</x:v>
      </x:c>
      <x:c r="P15" s="4" t="n">
        <x:f>IF(OR(C15="Ingredient candidate",C15="Consumed input",C15="Contained input",C15="Transform input"),IF(F15="T0",0,IF(F15="T1",1,IF(F15="T2",2,IF(F15="T3",3,IF(F15="T4",4,-1))))),-1)</x:f>
        <x:v>0</x:v>
      </x:c>
      <x:c r="Q15" s="4" t="n">
        <x:f>IF(AND(OR(C15="Ingredient candidate",C15="Consumed input",C15="Contained input",C15="Transform input"),P15=-1),1,0)</x:f>
        <x:v>0</x:v>
      </x:c>
    </x:row>
    <x:row r="16" ht="85" customHeight="1">
      <x:c r="A16" s="4" t="str">
        <x:v>material.route.012</x:v>
      </x:c>
      <x:c r="B16" s="4" t="str">
        <x:v>design.refine.bio.seal</x:v>
      </x:c>
      <x:c r="C16" s="4" t="str">
        <x:v>Ingredient candidate</x:v>
      </x:c>
      <x:c r="D16" s="4" t="str">
        <x:v>proposal.bio.membrane</x:v>
      </x:c>
      <x:c r="E16" s="4" t="str">
        <x:f>IFERROR(INDEX('Items'!$B$6:$B$1005,MATCH(D16,'Items'!$A$6:$A$1005,0)),"MISSING ID")</x:f>
        <x:v>Dried joint membrane</x:v>
      </x:c>
      <x:c r="F16" s="4" t="str">
        <x:f>IFERROR(INDEX('Items'!$C$6:$C$1005,MATCH(D16,'Items'!$A$6:$A$1005,0)),"MISSING ID")</x:f>
        <x:v>T0</x:v>
      </x:c>
      <x:c r="G16" s="4" t="str">
        <x:f>IFERROR(INDEX('Items'!$D$6:$D$1005,MATCH(D16,'Items'!$A$6:$A$1005,0)),"MISSING ID")</x:f>
        <x:v>Biological resources</x:v>
      </x:c>
      <x:c r="H16" s="4" t="str">
        <x:f>IFERROR(INDEX('Items'!$X$6:$X$1005,MATCH(D16,'Items'!$A$6:$A$1005,0)),"MISSING ID")</x:f>
        <x:v>Raw material</x:v>
      </x:c>
      <x:c r="I16" s="4"/>
      <x:c r="J16" s="4" t="str">
        <x:v>Unspecified</x:v>
      </x:c>
      <x:c r="K16" s="4" t="str">
        <x:f>IFERROR(INDEX('Crafting recipes'!$D$6:$D$1005,MATCH(B16,'Crafting recipes'!$A$6:$A$1005,0)),"MISSING ID")</x:f>
        <x:v>Proposal</x:v>
      </x:c>
      <x:c r="L16" s="4" t="str">
        <x:f>IFERROR(INDEX('Items'!$AD$6:$AD$1005,MATCH(D16,'Items'!$A$6:$A$1005,0)),"MISSING ID")</x:f>
        <x:v>Proposal</x:v>
      </x:c>
      <x:c r="M16" s="4" t="str">
        <x:f>IFERROR(INDEX('Crafting recipes'!$E$6:$E$1005,MATCH(B16,'Crafting recipes'!$A$6:$A$1005,0)),"MISSING ID")</x:f>
        <x:v>Partial proposal</x:v>
      </x:c>
      <x:c r="N16" s="4" t="str">
        <x:v>Cut/prepare selected membrane seal patches. Original boundary: Proposed tier edge; input candidate only, not complete recipe</x:v>
      </x:c>
      <x:c r="O16" s="4" t="str">
        <x:v>New game proposal; no complete recipe</x:v>
      </x:c>
      <x:c r="P16" s="4" t="n">
        <x:f>IF(OR(C16="Ingredient candidate",C16="Consumed input",C16="Contained input",C16="Transform input"),IF(F16="T0",0,IF(F16="T1",1,IF(F16="T2",2,IF(F16="T3",3,IF(F16="T4",4,-1))))),-1)</x:f>
        <x:v>0</x:v>
      </x:c>
      <x:c r="Q16" s="4" t="n">
        <x:f>IF(AND(OR(C16="Ingredient candidate",C16="Consumed input",C16="Contained input",C16="Transform input"),P16=-1),1,0)</x:f>
        <x:v>0</x:v>
      </x:c>
    </x:row>
    <x:row r="17" ht="85" customHeight="1">
      <x:c r="A17" s="4" t="str">
        <x:v>material.route.013</x:v>
      </x:c>
      <x:c r="B17" s="4" t="str">
        <x:v>design.refine.bio.pressed_husk</x:v>
      </x:c>
      <x:c r="C17" s="4" t="str">
        <x:v>Ingredient candidate</x:v>
      </x:c>
      <x:c r="D17" s="4" t="str">
        <x:v>proposal.bio.icore_fibers</x:v>
      </x:c>
      <x:c r="E17" s="4" t="str">
        <x:f>IFERROR(INDEX('Items'!$B$6:$B$1005,MATCH(D17,'Items'!$A$6:$A$1005,0)),"MISSING ID")</x:f>
        <x:v>Scraped icore fibers</x:v>
      </x:c>
      <x:c r="F17" s="4" t="str">
        <x:f>IFERROR(INDEX('Items'!$C$6:$C$1005,MATCH(D17,'Items'!$A$6:$A$1005,0)),"MISSING ID")</x:f>
        <x:v>T0</x:v>
      </x:c>
      <x:c r="G17" s="4" t="str">
        <x:f>IFERROR(INDEX('Items'!$D$6:$D$1005,MATCH(D17,'Items'!$A$6:$A$1005,0)),"MISSING ID")</x:f>
        <x:v>Biological resources</x:v>
      </x:c>
      <x:c r="H17" s="4" t="str">
        <x:f>IFERROR(INDEX('Items'!$X$6:$X$1005,MATCH(D17,'Items'!$A$6:$A$1005,0)),"MISSING ID")</x:f>
        <x:v>Raw material</x:v>
      </x:c>
      <x:c r="I17" s="4"/>
      <x:c r="J17" s="4" t="str">
        <x:v>Unspecified</x:v>
      </x:c>
      <x:c r="K17" s="4" t="str">
        <x:f>IFERROR(INDEX('Crafting recipes'!$D$6:$D$1005,MATCH(B17,'Crafting recipes'!$A$6:$A$1005,0)),"MISSING ID")</x:f>
        <x:v>Proposal</x:v>
      </x:c>
      <x:c r="L17" s="4" t="str">
        <x:f>IFERROR(INDEX('Items'!$AD$6:$AD$1005,MATCH(D17,'Items'!$A$6:$A$1005,0)),"MISSING ID")</x:f>
        <x:v>Author direction</x:v>
      </x:c>
      <x:c r="M17" s="4" t="str">
        <x:f>IFERROR(INDEX('Crafting recipes'!$E$6:$E$1005,MATCH(B17,'Crafting recipes'!$A$6:$A$1005,0)),"MISSING ID")</x:f>
        <x:v>Partial proposal</x:v>
      </x:c>
      <x:c r="N17" s="4" t="str">
        <x:v>Difficult selected fiber pressing route. Original boundary: Proposed tier edge; input candidate only, not complete recipe</x:v>
      </x:c>
      <x:c r="O17" s="4" t="str">
        <x:v>New game proposal; no complete recipe</x:v>
      </x:c>
      <x:c r="P17" s="4" t="n">
        <x:f>IF(OR(C17="Ingredient candidate",C17="Consumed input",C17="Contained input",C17="Transform input"),IF(F17="T0",0,IF(F17="T1",1,IF(F17="T2",2,IF(F17="T3",3,IF(F17="T4",4,-1))))),-1)</x:f>
        <x:v>0</x:v>
      </x:c>
      <x:c r="Q17" s="4" t="n">
        <x:f>IF(AND(OR(C17="Ingredient candidate",C17="Consumed input",C17="Contained input",C17="Transform input"),P17=-1),1,0)</x:f>
        <x:v>0</x:v>
      </x:c>
    </x:row>
    <x:row r="18" ht="85" customHeight="1">
      <x:c r="A18" s="4" t="str">
        <x:v>material.route.014</x:v>
      </x:c>
      <x:c r="B18" s="4" t="str">
        <x:v>design.refine.bio.wing_panel</x:v>
      </x:c>
      <x:c r="C18" s="4" t="str">
        <x:v>Ingredient candidate</x:v>
      </x:c>
      <x:c r="D18" s="4" t="str">
        <x:v>proposal.bio.inner_wing</x:v>
      </x:c>
      <x:c r="E18" s="4" t="str">
        <x:f>IFERROR(INDEX('Items'!$B$6:$B$1005,MATCH(D18,'Items'!$A$6:$A$1005,0)),"MISSING ID")</x:f>
        <x:v>Delicate inner wing</x:v>
      </x:c>
      <x:c r="F18" s="4" t="str">
        <x:f>IFERROR(INDEX('Items'!$C$6:$C$1005,MATCH(D18,'Items'!$A$6:$A$1005,0)),"MISSING ID")</x:f>
        <x:v>T0</x:v>
      </x:c>
      <x:c r="G18" s="4" t="str">
        <x:f>IFERROR(INDEX('Items'!$D$6:$D$1005,MATCH(D18,'Items'!$A$6:$A$1005,0)),"MISSING ID")</x:f>
        <x:v>Biological resources</x:v>
      </x:c>
      <x:c r="H18" s="4" t="str">
        <x:f>IFERROR(INDEX('Items'!$X$6:$X$1005,MATCH(D18,'Items'!$A$6:$A$1005,0)),"MISSING ID")</x:f>
        <x:v>Raw material</x:v>
      </x:c>
      <x:c r="I18" s="4"/>
      <x:c r="J18" s="4" t="str">
        <x:v>Unspecified</x:v>
      </x:c>
      <x:c r="K18" s="4" t="str">
        <x:f>IFERROR(INDEX('Crafting recipes'!$D$6:$D$1005,MATCH(B18,'Crafting recipes'!$A$6:$A$1005,0)),"MISSING ID")</x:f>
        <x:v>Proposal</x:v>
      </x:c>
      <x:c r="L18" s="4" t="str">
        <x:f>IFERROR(INDEX('Items'!$AD$6:$AD$1005,MATCH(D18,'Items'!$A$6:$A$1005,0)),"MISSING ID")</x:f>
        <x:v>Author direction</x:v>
      </x:c>
      <x:c r="M18" s="4" t="str">
        <x:f>IFERROR(INDEX('Crafting recipes'!$E$6:$E$1005,MATCH(B18,'Crafting recipes'!$A$6:$A$1005,0)),"MISSING ID")</x:f>
        <x:v>Partial proposal</x:v>
      </x:c>
      <x:c r="N18" s="4" t="str">
        <x:v>Prepare shade-service wing panel. Original boundary: Proposed tier edge; input candidate only, not complete recipe</x:v>
      </x:c>
      <x:c r="O18" s="4" t="str">
        <x:v>New game proposal; no complete recipe</x:v>
      </x:c>
      <x:c r="P18" s="4" t="n">
        <x:f>IF(OR(C18="Ingredient candidate",C18="Consumed input",C18="Contained input",C18="Transform input"),IF(F18="T0",0,IF(F18="T1",1,IF(F18="T2",2,IF(F18="T3",3,IF(F18="T4",4,-1))))),-1)</x:f>
        <x:v>0</x:v>
      </x:c>
      <x:c r="Q18" s="4" t="n">
        <x:f>IF(AND(OR(C18="Ingredient candidate",C18="Consumed input",C18="Contained input",C18="Transform input"),P18=-1),1,0)</x:f>
        <x:v>0</x:v>
      </x:c>
    </x:row>
    <x:row r="19" ht="85" customHeight="1">
      <x:c r="A19" s="4" t="str">
        <x:v>material.route.015</x:v>
      </x:c>
      <x:c r="B19" s="4" t="str">
        <x:v>design.refine.wind.sail_panel</x:v>
      </x:c>
      <x:c r="C19" s="4" t="str">
        <x:v>Ingredient candidate</x:v>
      </x:c>
      <x:c r="D19" s="4" t="str">
        <x:v>proposal.bio.inner_wing</x:v>
      </x:c>
      <x:c r="E19" s="4" t="str">
        <x:f>IFERROR(INDEX('Items'!$B$6:$B$1005,MATCH(D19,'Items'!$A$6:$A$1005,0)),"MISSING ID")</x:f>
        <x:v>Delicate inner wing</x:v>
      </x:c>
      <x:c r="F19" s="4" t="str">
        <x:f>IFERROR(INDEX('Items'!$C$6:$C$1005,MATCH(D19,'Items'!$A$6:$A$1005,0)),"MISSING ID")</x:f>
        <x:v>T0</x:v>
      </x:c>
      <x:c r="G19" s="4" t="str">
        <x:f>IFERROR(INDEX('Items'!$D$6:$D$1005,MATCH(D19,'Items'!$A$6:$A$1005,0)),"MISSING ID")</x:f>
        <x:v>Biological resources</x:v>
      </x:c>
      <x:c r="H19" s="4" t="str">
        <x:f>IFERROR(INDEX('Items'!$X$6:$X$1005,MATCH(D19,'Items'!$A$6:$A$1005,0)),"MISSING ID")</x:f>
        <x:v>Raw material</x:v>
      </x:c>
      <x:c r="I19" s="4"/>
      <x:c r="J19" s="4" t="str">
        <x:v>Unspecified</x:v>
      </x:c>
      <x:c r="K19" s="4" t="str">
        <x:f>IFERROR(INDEX('Crafting recipes'!$D$6:$D$1005,MATCH(B19,'Crafting recipes'!$A$6:$A$1005,0)),"MISSING ID")</x:f>
        <x:v>Proposal</x:v>
      </x:c>
      <x:c r="L19" s="4" t="str">
        <x:f>IFERROR(INDEX('Items'!$AD$6:$AD$1005,MATCH(D19,'Items'!$A$6:$A$1005,0)),"MISSING ID")</x:f>
        <x:v>Author direction</x:v>
      </x:c>
      <x:c r="M19" s="4" t="str">
        <x:f>IFERROR(INDEX('Crafting recipes'!$E$6:$E$1005,MATCH(B19,'Crafting recipes'!$A$6:$A$1005,0)),"MISSING ID")</x:f>
        <x:v>Partial proposal</x:v>
      </x:c>
      <x:c r="N19" s="4" t="str">
        <x:v>Prepare sail-service wing panel; may later merge preparation with shade grade. Original boundary: Proposed tier edge; input candidate only, not complete recipe</x:v>
      </x:c>
      <x:c r="O19" s="4" t="str">
        <x:v>New game proposal; no complete recipe</x:v>
      </x:c>
      <x:c r="P19" s="4" t="n">
        <x:f>IF(OR(C19="Ingredient candidate",C19="Consumed input",C19="Contained input",C19="Transform input"),IF(F19="T0",0,IF(F19="T1",1,IF(F19="T2",2,IF(F19="T3",3,IF(F19="T4",4,-1))))),-1)</x:f>
        <x:v>0</x:v>
      </x:c>
      <x:c r="Q19" s="4" t="n">
        <x:f>IF(AND(OR(C19="Ingredient candidate",C19="Consumed input",C19="Contained input",C19="Transform input"),P19=-1),1,0)</x:f>
        <x:v>0</x:v>
      </x:c>
    </x:row>
    <x:row r="20" ht="85" customHeight="1">
      <x:c r="A20" s="4" t="str">
        <x:v>material.route.016</x:v>
      </x:c>
      <x:c r="B20" s="4" t="str">
        <x:v>design.refine.lubricant.base</x:v>
      </x:c>
      <x:c r="C20" s="4" t="str">
        <x:v>Ingredient candidate</x:v>
      </x:c>
      <x:c r="D20" s="4" t="str">
        <x:v>proposal.chemical.joint_lubricant</x:v>
      </x:c>
      <x:c r="E20" s="4" t="str">
        <x:f>IFERROR(INDEX('Items'!$B$6:$B$1005,MATCH(D20,'Items'!$A$6:$A$1005,0)),"MISSING ID")</x:f>
        <x:v>Joint-lubricating secretion</x:v>
      </x:c>
      <x:c r="F20" s="4" t="str">
        <x:f>IFERROR(INDEX('Items'!$C$6:$C$1005,MATCH(D20,'Items'!$A$6:$A$1005,0)),"MISSING ID")</x:f>
        <x:v>T0</x:v>
      </x:c>
      <x:c r="G20" s="4" t="str">
        <x:f>IFERROR(INDEX('Items'!$D$6:$D$1005,MATCH(D20,'Items'!$A$6:$A$1005,0)),"MISSING ID")</x:f>
        <x:v>Biological resources</x:v>
      </x:c>
      <x:c r="H20" s="4" t="str">
        <x:f>IFERROR(INDEX('Items'!$X$6:$X$1005,MATCH(D20,'Items'!$A$6:$A$1005,0)),"MISSING ID")</x:f>
        <x:v>Chemical material</x:v>
      </x:c>
      <x:c r="I20" s="4"/>
      <x:c r="J20" s="4" t="str">
        <x:v>Unspecified</x:v>
      </x:c>
      <x:c r="K20" s="4" t="str">
        <x:f>IFERROR(INDEX('Crafting recipes'!$D$6:$D$1005,MATCH(B20,'Crafting recipes'!$A$6:$A$1005,0)),"MISSING ID")</x:f>
        <x:v>Proposal</x:v>
      </x:c>
      <x:c r="L20" s="4" t="str">
        <x:f>IFERROR(INDEX('Items'!$AD$6:$AD$1005,MATCH(D20,'Items'!$A$6:$A$1005,0)),"MISSING ID")</x:f>
        <x:v>Proposal</x:v>
      </x:c>
      <x:c r="M20" s="4" t="str">
        <x:f>IFERROR(INDEX('Crafting recipes'!$E$6:$E$1005,MATCH(B20,'Crafting recipes'!$A$6:$A$1005,0)),"MISSING ID")</x:f>
        <x:v>Partial proposal</x:v>
      </x:c>
      <x:c r="N20" s="4" t="str">
        <x:v>Select and clarify candidate joint-liquid base. Original boundary: Proposed tier edge; input candidate only, not complete recipe</x:v>
      </x:c>
      <x:c r="O20" s="4" t="str">
        <x:v>New game proposal; no complete recipe</x:v>
      </x:c>
      <x:c r="P20" s="4" t="n">
        <x:f>IF(OR(C20="Ingredient candidate",C20="Consumed input",C20="Contained input",C20="Transform input"),IF(F20="T0",0,IF(F20="T1",1,IF(F20="T2",2,IF(F20="T3",3,IF(F20="T4",4,-1))))),-1)</x:f>
        <x:v>0</x:v>
      </x:c>
      <x:c r="Q20" s="4" t="n">
        <x:f>IF(AND(OR(C20="Ingredient candidate",C20="Consumed input",C20="Contained input",C20="Transform input"),P20=-1),1,0)</x:f>
        <x:v>0</x:v>
      </x:c>
    </x:row>
    <x:row r="21" ht="85" customHeight="1">
      <x:c r="A21" s="4" t="str">
        <x:v>material.route.017</x:v>
      </x:c>
      <x:c r="B21" s="4" t="str">
        <x:v>design.refine.lubricant.thickener</x:v>
      </x:c>
      <x:c r="C21" s="4" t="str">
        <x:v>Ingredient candidate</x:v>
      </x:c>
      <x:c r="D21" s="4" t="str">
        <x:v>proposal.bio.chemical_material</x:v>
      </x:c>
      <x:c r="E21" s="4" t="str">
        <x:f>IFERROR(INDEX('Items'!$B$6:$B$1005,MATCH(D21,'Items'!$A$6:$A$1005,0)),"MISSING ID")</x:f>
        <x:v>Faunal chemical material (unspecified)</x:v>
      </x:c>
      <x:c r="F21" s="4" t="str">
        <x:f>IFERROR(INDEX('Items'!$C$6:$C$1005,MATCH(D21,'Items'!$A$6:$A$1005,0)),"MISSING ID")</x:f>
        <x:v>T0</x:v>
      </x:c>
      <x:c r="G21" s="4" t="str">
        <x:f>IFERROR(INDEX('Items'!$D$6:$D$1005,MATCH(D21,'Items'!$A$6:$A$1005,0)),"MISSING ID")</x:f>
        <x:v>Biological resources</x:v>
      </x:c>
      <x:c r="H21" s="4" t="str">
        <x:f>IFERROR(INDEX('Items'!$X$6:$X$1005,MATCH(D21,'Items'!$A$6:$A$1005,0)),"MISSING ID")</x:f>
        <x:v>Chemical material</x:v>
      </x:c>
      <x:c r="I21" s="4"/>
      <x:c r="J21" s="4" t="str">
        <x:v>Unspecified</x:v>
      </x:c>
      <x:c r="K21" s="4" t="str">
        <x:f>IFERROR(INDEX('Crafting recipes'!$D$6:$D$1005,MATCH(B21,'Crafting recipes'!$A$6:$A$1005,0)),"MISSING ID")</x:f>
        <x:v>Proposal</x:v>
      </x:c>
      <x:c r="L21" s="4" t="str">
        <x:f>IFERROR(INDEX('Items'!$AD$6:$AD$1005,MATCH(D21,'Items'!$A$6:$A$1005,0)),"MISSING ID")</x:f>
        <x:v>Author direction</x:v>
      </x:c>
      <x:c r="M21" s="4" t="str">
        <x:f>IFERROR(INDEX('Crafting recipes'!$E$6:$E$1005,MATCH(B21,'Crafting recipes'!$A$6:$A$1005,0)),"MISSING ID")</x:f>
        <x:v>Partial proposal</x:v>
      </x:c>
      <x:c r="N21" s="4" t="str">
        <x:v>Research a compatible non-curing thickener fraction; not raw glue. Original boundary: Proposed tier edge; input candidate only, not complete recipe</x:v>
      </x:c>
      <x:c r="O21" s="4" t="str">
        <x:v>New game proposal; no complete recipe</x:v>
      </x:c>
      <x:c r="P21" s="4" t="n">
        <x:f>IF(OR(C21="Ingredient candidate",C21="Consumed input",C21="Contained input",C21="Transform input"),IF(F21="T0",0,IF(F21="T1",1,IF(F21="T2",2,IF(F21="T3",3,IF(F21="T4",4,-1))))),-1)</x:f>
        <x:v>0</x:v>
      </x:c>
      <x:c r="Q21" s="4" t="n">
        <x:f>IF(AND(OR(C21="Ingredient candidate",C21="Consumed input",C21="Contained input",C21="Transform input"),P21=-1),1,0)</x:f>
        <x:v>0</x:v>
      </x:c>
    </x:row>
    <x:row r="22" ht="85" customHeight="1">
      <x:c r="A22" s="4" t="str">
        <x:v>material.route.018</x:v>
      </x:c>
      <x:c r="B22" s="4" t="str">
        <x:v>design.refine.t1.iron_bloom</x:v>
      </x:c>
      <x:c r="C22" s="4" t="str">
        <x:v>Ingredient candidate</x:v>
      </x:c>
      <x:c r="D22" s="4" t="str">
        <x:v>resource.ironstone_ore</x:v>
      </x:c>
      <x:c r="E22" s="4" t="str">
        <x:f>IFERROR(INDEX('Items'!$B$6:$B$1005,MATCH(D22,'Items'!$A$6:$A$1005,0)),"MISSING ID")</x:f>
        <x:v>Ironstone Ore</x:v>
      </x:c>
      <x:c r="F22" s="4" t="str">
        <x:f>IFERROR(INDEX('Items'!$C$6:$C$1005,MATCH(D22,'Items'!$A$6:$A$1005,0)),"MISSING ID")</x:f>
        <x:v>T0</x:v>
      </x:c>
      <x:c r="G22" s="4" t="str">
        <x:f>IFERROR(INDEX('Items'!$D$6:$D$1005,MATCH(D22,'Items'!$A$6:$A$1005,0)),"MISSING ID")</x:f>
        <x:v>Mineral resources</x:v>
      </x:c>
      <x:c r="H22" s="4" t="str">
        <x:f>IFERROR(INDEX('Items'!$X$6:$X$1005,MATCH(D22,'Items'!$A$6:$A$1005,0)),"MISSING ID")</x:f>
        <x:v>Raw material</x:v>
      </x:c>
      <x:c r="I22" s="4"/>
      <x:c r="J22" s="4" t="str">
        <x:v>Unspecified</x:v>
      </x:c>
      <x:c r="K22" s="4" t="str">
        <x:f>IFERROR(INDEX('Crafting recipes'!$D$6:$D$1005,MATCH(B22,'Crafting recipes'!$A$6:$A$1005,0)),"MISSING ID")</x:f>
        <x:v>Proposal</x:v>
      </x:c>
      <x:c r="L22" s="4" t="str">
        <x:f>IFERROR(INDEX('Items'!$AD$6:$AD$1005,MATCH(D22,'Items'!$A$6:$A$1005,0)),"MISSING ID")</x:f>
        <x:v>Existing definition</x:v>
      </x:c>
      <x:c r="M22" s="4" t="str">
        <x:f>IFERROR(INDEX('Crafting recipes'!$E$6:$E$1005,MATCH(B22,'Crafting recipes'!$A$6:$A$1005,0)),"MISSING ID")</x:f>
        <x:v>Partial proposal</x:v>
      </x:c>
      <x:c r="N22" s="4" t="str">
        <x:v>Sort/reduce raw iron-rich feed into a first metal mass in a specialist furnace. Original boundary: Proposed tier edge; input candidate only, not complete recipe</x:v>
      </x:c>
      <x:c r="O22" s="4" t="str">
        <x:v>https://github.com/sleepyseamonster/Arc-Dust/blob/f6f98515c005dc3c73cccd9cbc031691745740c6/02-Arc-Dust-Worldbuilding/world/materials/industrial-material-palette.md (source proposal; game route proposed)</x:v>
      </x:c>
      <x:c r="P22" s="4" t="n">
        <x:f>IF(OR(C22="Ingredient candidate",C22="Consumed input",C22="Contained input",C22="Transform input"),IF(F22="T0",0,IF(F22="T1",1,IF(F22="T2",2,IF(F22="T3",3,IF(F22="T4",4,-1))))),-1)</x:f>
        <x:v>0</x:v>
      </x:c>
      <x:c r="Q22" s="4" t="n">
        <x:f>IF(AND(OR(C22="Ingredient candidate",C22="Consumed input",C22="Contained input",C22="Transform input"),P22=-1),1,0)</x:f>
        <x:v>0</x:v>
      </x:c>
    </x:row>
    <x:row r="23" ht="85" customHeight="1">
      <x:c r="A23" s="4" t="str">
        <x:v>material.route.019</x:v>
      </x:c>
      <x:c r="B23" s="4" t="str">
        <x:v>design.refine.t1.copper_cake</x:v>
      </x:c>
      <x:c r="C23" s="4" t="str">
        <x:v>Ingredient candidate</x:v>
      </x:c>
      <x:c r="D23" s="4" t="str">
        <x:v>proposal.natural.raw_copper</x:v>
      </x:c>
      <x:c r="E23" s="4" t="str">
        <x:f>IFERROR(INDEX('Items'!$B$6:$B$1005,MATCH(D23,'Items'!$A$6:$A$1005,0)),"MISSING ID")</x:f>
        <x:v>Raw copper lump</x:v>
      </x:c>
      <x:c r="F23" s="4" t="str">
        <x:f>IFERROR(INDEX('Items'!$C$6:$C$1005,MATCH(D23,'Items'!$A$6:$A$1005,0)),"MISSING ID")</x:f>
        <x:v>T0</x:v>
      </x:c>
      <x:c r="G23" s="4" t="str">
        <x:f>IFERROR(INDEX('Items'!$D$6:$D$1005,MATCH(D23,'Items'!$A$6:$A$1005,0)),"MISSING ID")</x:f>
        <x:v>Mineral resources</x:v>
      </x:c>
      <x:c r="H23" s="4" t="str">
        <x:f>IFERROR(INDEX('Items'!$X$6:$X$1005,MATCH(D23,'Items'!$A$6:$A$1005,0)),"MISSING ID")</x:f>
        <x:v>Processed material</x:v>
      </x:c>
      <x:c r="I23" s="4"/>
      <x:c r="J23" s="4" t="str">
        <x:v>Unspecified</x:v>
      </x:c>
      <x:c r="K23" s="4" t="str">
        <x:f>IFERROR(INDEX('Crafting recipes'!$D$6:$D$1005,MATCH(B23,'Crafting recipes'!$A$6:$A$1005,0)),"MISSING ID")</x:f>
        <x:v>Proposal</x:v>
      </x:c>
      <x:c r="L23" s="4" t="str">
        <x:f>IFERROR(INDEX('Items'!$AD$6:$AD$1005,MATCH(D23,'Items'!$A$6:$A$1005,0)),"MISSING ID")</x:f>
        <x:v>Author direction</x:v>
      </x:c>
      <x:c r="M23" s="4" t="str">
        <x:f>IFERROR(INDEX('Crafting recipes'!$E$6:$E$1005,MATCH(B23,'Crafting recipes'!$A$6:$A$1005,0)),"MISSING ID")</x:f>
        <x:v>Partial proposal</x:v>
      </x:c>
      <x:c r="N23" s="4" t="str">
        <x:v>Select and refine unworked copper into a qualified first metal batch. Original boundary: Proposed tier edge; input candidate only, not complete recipe</x:v>
      </x:c>
      <x:c r="O23" s="4" t="str">
        <x:v>https://github.com/sleepyseamonster/Arc-Dust/blob/f6f98515c005dc3c73cccd9cbc031691745740c6/02-Arc-Dust-Worldbuilding/world/materials/industrial-material-palette.md (source proposal; game route proposed)</x:v>
      </x:c>
      <x:c r="P23" s="4" t="n">
        <x:f>IF(OR(C23="Ingredient candidate",C23="Consumed input",C23="Contained input",C23="Transform input"),IF(F23="T0",0,IF(F23="T1",1,IF(F23="T2",2,IF(F23="T3",3,IF(F23="T4",4,-1))))),-1)</x:f>
        <x:v>0</x:v>
      </x:c>
      <x:c r="Q23" s="4" t="n">
        <x:f>IF(AND(OR(C23="Ingredient candidate",C23="Consumed input",C23="Contained input",C23="Transform input"),P23=-1),1,0)</x:f>
        <x:v>0</x:v>
      </x:c>
    </x:row>
    <x:row r="24" ht="85" customHeight="1">
      <x:c r="A24" s="4" t="str">
        <x:v>material.route.020</x:v>
      </x:c>
      <x:c r="B24" s="4" t="str">
        <x:v>design.refine.t1.brass_billet</x:v>
      </x:c>
      <x:c r="C24" s="4" t="str">
        <x:v>Ingredient candidate</x:v>
      </x:c>
      <x:c r="D24" s="4" t="str">
        <x:v>proposal.raw.brass_scrap</x:v>
      </x:c>
      <x:c r="E24" s="4" t="str">
        <x:f>IFERROR(INDEX('Items'!$B$6:$B$1005,MATCH(D24,'Items'!$A$6:$A$1005,0)),"MISSING ID")</x:f>
        <x:v>Salvaged brass fragments</x:v>
      </x:c>
      <x:c r="F24" s="4" t="str">
        <x:f>IFERROR(INDEX('Items'!$C$6:$C$1005,MATCH(D24,'Items'!$A$6:$A$1005,0)),"MISSING ID")</x:f>
        <x:v>T0</x:v>
      </x:c>
      <x:c r="G24" s="4" t="str">
        <x:f>IFERROR(INDEX('Items'!$D$6:$D$1005,MATCH(D24,'Items'!$A$6:$A$1005,0)),"MISSING ID")</x:f>
        <x:v>Salvage</x:v>
      </x:c>
      <x:c r="H24" s="4" t="str">
        <x:f>IFERROR(INDEX('Items'!$X$6:$X$1005,MATCH(D24,'Items'!$A$6:$A$1005,0)),"MISSING ID")</x:f>
        <x:v>Raw material</x:v>
      </x:c>
      <x:c r="I24" s="4"/>
      <x:c r="J24" s="4" t="str">
        <x:v>Unspecified</x:v>
      </x:c>
      <x:c r="K24" s="4" t="str">
        <x:f>IFERROR(INDEX('Crafting recipes'!$D$6:$D$1005,MATCH(B24,'Crafting recipes'!$A$6:$A$1005,0)),"MISSING ID")</x:f>
        <x:v>Proposal</x:v>
      </x:c>
      <x:c r="L24" s="4" t="str">
        <x:f>IFERROR(INDEX('Items'!$AD$6:$AD$1005,MATCH(D24,'Items'!$A$6:$A$1005,0)),"MISSING ID")</x:f>
        <x:v>Proposal</x:v>
      </x:c>
      <x:c r="M24" s="4" t="str">
        <x:f>IFERROR(INDEX('Crafting recipes'!$E$6:$E$1005,MATCH(B24,'Crafting recipes'!$A$6:$A$1005,0)),"MISSING ID")</x:f>
        <x:v>Partial proposal</x:v>
      </x:c>
      <x:c r="N24" s="4" t="str">
        <x:v>Sort identified brass scrap and recover a first usable metal billet. Original boundary: Proposed tier edge; input candidate only, not complete recipe</x:v>
      </x:c>
      <x:c r="O24" s="4" t="str">
        <x:v>https://github.com/sleepyseamonster/Arc-Dust/blob/f6f98515c005dc3c73cccd9cbc031691745740c6/02-Arc-Dust-Worldbuilding/world/materials/industrial-material-palette.md (source proposal; game route proposed)</x:v>
      </x:c>
      <x:c r="P24" s="4" t="n">
        <x:f>IF(OR(C24="Ingredient candidate",C24="Consumed input",C24="Contained input",C24="Transform input"),IF(F24="T0",0,IF(F24="T1",1,IF(F24="T2",2,IF(F24="T3",3,IF(F24="T4",4,-1))))),-1)</x:f>
        <x:v>0</x:v>
      </x:c>
      <x:c r="Q24" s="4" t="n">
        <x:f>IF(AND(OR(C24="Ingredient candidate",C24="Consumed input",C24="Contained input",C24="Transform input"),P24=-1),1,0)</x:f>
        <x:v>0</x:v>
      </x:c>
    </x:row>
    <x:row r="25" ht="85" customHeight="1">
      <x:c r="A25" s="4" t="str">
        <x:v>material.route.021</x:v>
      </x:c>
      <x:c r="B25" s="4" t="str">
        <x:v>design.refine.t1.bronze_billet</x:v>
      </x:c>
      <x:c r="C25" s="4" t="str">
        <x:v>Ingredient candidate</x:v>
      </x:c>
      <x:c r="D25" s="4" t="str">
        <x:v>proposal.raw.bronze_scrap</x:v>
      </x:c>
      <x:c r="E25" s="4" t="str">
        <x:f>IFERROR(INDEX('Items'!$B$6:$B$1005,MATCH(D25,'Items'!$A$6:$A$1005,0)),"MISSING ID")</x:f>
        <x:v>Salvaged bronze fragments</x:v>
      </x:c>
      <x:c r="F25" s="4" t="str">
        <x:f>IFERROR(INDEX('Items'!$C$6:$C$1005,MATCH(D25,'Items'!$A$6:$A$1005,0)),"MISSING ID")</x:f>
        <x:v>T0</x:v>
      </x:c>
      <x:c r="G25" s="4" t="str">
        <x:f>IFERROR(INDEX('Items'!$D$6:$D$1005,MATCH(D25,'Items'!$A$6:$A$1005,0)),"MISSING ID")</x:f>
        <x:v>Salvage</x:v>
      </x:c>
      <x:c r="H25" s="4" t="str">
        <x:f>IFERROR(INDEX('Items'!$X$6:$X$1005,MATCH(D25,'Items'!$A$6:$A$1005,0)),"MISSING ID")</x:f>
        <x:v>Raw material</x:v>
      </x:c>
      <x:c r="I25" s="4"/>
      <x:c r="J25" s="4" t="str">
        <x:v>Unspecified</x:v>
      </x:c>
      <x:c r="K25" s="4" t="str">
        <x:f>IFERROR(INDEX('Crafting recipes'!$D$6:$D$1005,MATCH(B25,'Crafting recipes'!$A$6:$A$1005,0)),"MISSING ID")</x:f>
        <x:v>Proposal</x:v>
      </x:c>
      <x:c r="L25" s="4" t="str">
        <x:f>IFERROR(INDEX('Items'!$AD$6:$AD$1005,MATCH(D25,'Items'!$A$6:$A$1005,0)),"MISSING ID")</x:f>
        <x:v>Proposal</x:v>
      </x:c>
      <x:c r="M25" s="4" t="str">
        <x:f>IFERROR(INDEX('Crafting recipes'!$E$6:$E$1005,MATCH(B25,'Crafting recipes'!$A$6:$A$1005,0)),"MISSING ID")</x:f>
        <x:v>Partial proposal</x:v>
      </x:c>
      <x:c r="N25" s="4" t="str">
        <x:v>Sort identified bronze scrap and recover a first usable metal billet. Original boundary: Proposed tier edge; input candidate only, not complete recipe</x:v>
      </x:c>
      <x:c r="O25" s="4" t="str">
        <x:v>https://github.com/sleepyseamonster/Arc-Dust/blob/f6f98515c005dc3c73cccd9cbc031691745740c6/02-Arc-Dust-Worldbuilding/world/materials/industrial-material-palette.md (source proposal; game route proposed)</x:v>
      </x:c>
      <x:c r="P25" s="4" t="n">
        <x:f>IF(OR(C25="Ingredient candidate",C25="Consumed input",C25="Contained input",C25="Transform input"),IF(F25="T0",0,IF(F25="T1",1,IF(F25="T2",2,IF(F25="T3",3,IF(F25="T4",4,-1))))),-1)</x:f>
        <x:v>0</x:v>
      </x:c>
      <x:c r="Q25" s="4" t="n">
        <x:f>IF(AND(OR(C25="Ingredient candidate",C25="Consumed input",C25="Contained input",C25="Transform input"),P25=-1),1,0)</x:f>
        <x:v>0</x:v>
      </x:c>
    </x:row>
    <x:row r="26" ht="85" customHeight="1">
      <x:c r="A26" s="4" t="str">
        <x:v>material.route.022</x:v>
      </x:c>
      <x:c r="B26" s="4" t="str">
        <x:v>design.refine.t1.opaque_glass</x:v>
      </x:c>
      <x:c r="C26" s="4" t="str">
        <x:v>Ingredient candidate</x:v>
      </x:c>
      <x:c r="D26" s="4" t="str">
        <x:v>proposal.natural.silica</x:v>
      </x:c>
      <x:c r="E26" s="4" t="str">
        <x:f>IFERROR(INDEX('Items'!$B$6:$B$1005,MATCH(D26,'Items'!$A$6:$A$1005,0)),"MISSING ID")</x:f>
        <x:v>Silica-rich grit</x:v>
      </x:c>
      <x:c r="F26" s="4" t="str">
        <x:f>IFERROR(INDEX('Items'!$C$6:$C$1005,MATCH(D26,'Items'!$A$6:$A$1005,0)),"MISSING ID")</x:f>
        <x:v>T0</x:v>
      </x:c>
      <x:c r="G26" s="4" t="str">
        <x:f>IFERROR(INDEX('Items'!$D$6:$D$1005,MATCH(D26,'Items'!$A$6:$A$1005,0)),"MISSING ID")</x:f>
        <x:v>Mineral resources</x:v>
      </x:c>
      <x:c r="H26" s="4" t="str">
        <x:f>IFERROR(INDEX('Items'!$X$6:$X$1005,MATCH(D26,'Items'!$A$6:$A$1005,0)),"MISSING ID")</x:f>
        <x:v>Raw material</x:v>
      </x:c>
      <x:c r="I26" s="4"/>
      <x:c r="J26" s="4" t="str">
        <x:v>Unspecified</x:v>
      </x:c>
      <x:c r="K26" s="4" t="str">
        <x:f>IFERROR(INDEX('Crafting recipes'!$D$6:$D$1005,MATCH(B26,'Crafting recipes'!$A$6:$A$1005,0)),"MISSING ID")</x:f>
        <x:v>Proposal</x:v>
      </x:c>
      <x:c r="L26" s="4" t="str">
        <x:f>IFERROR(INDEX('Items'!$AD$6:$AD$1005,MATCH(D26,'Items'!$A$6:$A$1005,0)),"MISSING ID")</x:f>
        <x:v>Proposal</x:v>
      </x:c>
      <x:c r="M26" s="4" t="str">
        <x:f>IFERROR(INDEX('Crafting recipes'!$E$6:$E$1005,MATCH(B26,'Crafting recipes'!$A$6:$A$1005,0)),"MISSING ID")</x:f>
        <x:v>Partial proposal</x:v>
      </x:c>
      <x:c r="N26" s="4" t="str">
        <x:v>Use qualified raw silicate/mineral inputs in a first integrated melt and cooling batch. Original boundary: Proposed tier edge; input candidate only, not complete recipe</x:v>
      </x:c>
      <x:c r="O26" s="4" t="str">
        <x:v>https://github.com/sleepyseamonster/Arc-Dust/blob/f6f98515c005dc3c73cccd9cbc031691745740c6/02-Arc-Dust-Worldbuilding/world/materials/glass.md (source proposal; game route proposed)</x:v>
      </x:c>
      <x:c r="P26" s="4" t="n">
        <x:f>IF(OR(C26="Ingredient candidate",C26="Consumed input",C26="Contained input",C26="Transform input"),IF(F26="T0",0,IF(F26="T1",1,IF(F26="T2",2,IF(F26="T3",3,IF(F26="T4",4,-1))))),-1)</x:f>
        <x:v>0</x:v>
      </x:c>
      <x:c r="Q26" s="4" t="n">
        <x:f>IF(AND(OR(C26="Ingredient candidate",C26="Consumed input",C26="Contained input",C26="Transform input"),P26=-1),1,0)</x:f>
        <x:v>0</x:v>
      </x:c>
    </x:row>
    <x:row r="27" ht="85" customHeight="1">
      <x:c r="A27" s="4" t="str">
        <x:v>material.route.023</x:v>
      </x:c>
      <x:c r="B27" s="4" t="str">
        <x:v>design.refine.t1.clear_glass_blank</x:v>
      </x:c>
      <x:c r="C27" s="4" t="str">
        <x:v>Ingredient candidate</x:v>
      </x:c>
      <x:c r="D27" s="4" t="str">
        <x:v>proposal.natural.silica</x:v>
      </x:c>
      <x:c r="E27" s="4" t="str">
        <x:f>IFERROR(INDEX('Items'!$B$6:$B$1005,MATCH(D27,'Items'!$A$6:$A$1005,0)),"MISSING ID")</x:f>
        <x:v>Silica-rich grit</x:v>
      </x:c>
      <x:c r="F27" s="4" t="str">
        <x:f>IFERROR(INDEX('Items'!$C$6:$C$1005,MATCH(D27,'Items'!$A$6:$A$1005,0)),"MISSING ID")</x:f>
        <x:v>T0</x:v>
      </x:c>
      <x:c r="G27" s="4" t="str">
        <x:f>IFERROR(INDEX('Items'!$D$6:$D$1005,MATCH(D27,'Items'!$A$6:$A$1005,0)),"MISSING ID")</x:f>
        <x:v>Mineral resources</x:v>
      </x:c>
      <x:c r="H27" s="4" t="str">
        <x:f>IFERROR(INDEX('Items'!$X$6:$X$1005,MATCH(D27,'Items'!$A$6:$A$1005,0)),"MISSING ID")</x:f>
        <x:v>Raw material</x:v>
      </x:c>
      <x:c r="I27" s="4"/>
      <x:c r="J27" s="4" t="str">
        <x:v>Unspecified</x:v>
      </x:c>
      <x:c r="K27" s="4" t="str">
        <x:f>IFERROR(INDEX('Crafting recipes'!$D$6:$D$1005,MATCH(B27,'Crafting recipes'!$A$6:$A$1005,0)),"MISSING ID")</x:f>
        <x:v>Proposal</x:v>
      </x:c>
      <x:c r="L27" s="4" t="str">
        <x:f>IFERROR(INDEX('Items'!$AD$6:$AD$1005,MATCH(D27,'Items'!$A$6:$A$1005,0)),"MISSING ID")</x:f>
        <x:v>Proposal</x:v>
      </x:c>
      <x:c r="M27" s="4" t="str">
        <x:f>IFERROR(INDEX('Crafting recipes'!$E$6:$E$1005,MATCH(B27,'Crafting recipes'!$A$6:$A$1005,0)),"MISSING ID")</x:f>
        <x:v>Partial proposal</x:v>
      </x:c>
      <x:c r="N27" s="4" t="str">
        <x:v>Select exceptional clean raw silicate for a specialist first clear-glass batch. Original boundary: Proposed tier edge; input candidate only, not complete recipe</x:v>
      </x:c>
      <x:c r="O27" s="4" t="str">
        <x:v>https://github.com/sleepyseamonster/Arc-Dust/blob/f6f98515c005dc3c73cccd9cbc031691745740c6/02-Arc-Dust-Worldbuilding/world/materials/glass.md (source proposal; game route proposed)</x:v>
      </x:c>
      <x:c r="P27" s="4" t="n">
        <x:f>IF(OR(C27="Ingredient candidate",C27="Consumed input",C27="Contained input",C27="Transform input"),IF(F27="T0",0,IF(F27="T1",1,IF(F27="T2",2,IF(F27="T3",3,IF(F27="T4",4,-1))))),-1)</x:f>
        <x:v>0</x:v>
      </x:c>
      <x:c r="Q27" s="4" t="n">
        <x:f>IF(AND(OR(C27="Ingredient candidate",C27="Consumed input",C27="Contained input",C27="Transform input"),P27=-1),1,0)</x:f>
        <x:v>0</x:v>
      </x:c>
    </x:row>
    <x:row r="28" ht="85" customHeight="1">
      <x:c r="A28" s="4"/>
      <x:c r="B28" s="4"/>
      <x:c r="C28" s="4"/>
      <x:c r="D28" s="4"/>
      <x:c r="E28" s="4"/>
      <x:c r="F28" s="4"/>
      <x:c r="G28" s="4"/>
      <x:c r="H28" s="4"/>
      <x:c r="I28" s="4"/>
      <x:c r="J28" s="4"/>
      <x:c r="K28" s="4"/>
      <x:c r="L28" s="4"/>
      <x:c r="M28" s="4"/>
      <x:c r="N28" s="4"/>
      <x:c r="O28" s="4"/>
      <x:c r="P28" s="4"/>
      <x:c r="Q28" s="4"/>
    </x:row>
    <x:row r="29" ht="85" customHeight="1">
      <x:c r="A29" s="4"/>
      <x:c r="B29" s="4"/>
      <x:c r="C29" s="4"/>
      <x:c r="D29" s="4"/>
      <x:c r="E29" s="4"/>
      <x:c r="F29" s="4"/>
      <x:c r="G29" s="4"/>
      <x:c r="H29" s="4"/>
      <x:c r="I29" s="4"/>
      <x:c r="J29" s="4"/>
      <x:c r="K29" s="4"/>
      <x:c r="L29" s="4"/>
      <x:c r="M29" s="4"/>
      <x:c r="N29" s="4"/>
      <x:c r="O29" s="4"/>
      <x:c r="P29" s="4"/>
      <x:c r="Q29" s="4"/>
    </x:row>
    <x:row r="30" ht="85" customHeight="1">
      <x:c r="A30" s="4"/>
      <x:c r="B30" s="4"/>
      <x:c r="C30" s="4"/>
      <x:c r="D30" s="4"/>
      <x:c r="E30" s="4"/>
      <x:c r="F30" s="4"/>
      <x:c r="G30" s="4"/>
      <x:c r="H30" s="4"/>
      <x:c r="I30" s="4"/>
      <x:c r="J30" s="4"/>
      <x:c r="K30" s="4"/>
      <x:c r="L30" s="4"/>
      <x:c r="M30" s="4"/>
      <x:c r="N30" s="4"/>
      <x:c r="O30" s="4"/>
      <x:c r="P30" s="4"/>
      <x:c r="Q30" s="4"/>
    </x:row>
    <x:row r="31" ht="85" customHeight="1">
      <x:c r="A31" s="4" t="str">
        <x:v>material.route.027</x:v>
      </x:c>
      <x:c r="B31" s="4" t="str">
        <x:v>design.refine.t1.mineral_filler</x:v>
      </x:c>
      <x:c r="C31" s="4" t="str">
        <x:v>Ingredient candidate</x:v>
      </x:c>
      <x:c r="D31" s="4" t="str">
        <x:v>proposal.raw.barite</x:v>
      </x:c>
      <x:c r="E31" s="4" t="str">
        <x:f>IFERROR(INDEX('Items'!$B$6:$B$1005,MATCH(D31,'Items'!$A$6:$A$1005,0)),"MISSING ID")</x:f>
        <x:v>Dense barite lumps</x:v>
      </x:c>
      <x:c r="F31" s="4" t="str">
        <x:f>IFERROR(INDEX('Items'!$C$6:$C$1005,MATCH(D31,'Items'!$A$6:$A$1005,0)),"MISSING ID")</x:f>
        <x:v>T0</x:v>
      </x:c>
      <x:c r="G31" s="4" t="str">
        <x:f>IFERROR(INDEX('Items'!$D$6:$D$1005,MATCH(D31,'Items'!$A$6:$A$1005,0)),"MISSING ID")</x:f>
        <x:v>Mineral resources</x:v>
      </x:c>
      <x:c r="H31" s="4" t="str">
        <x:f>IFERROR(INDEX('Items'!$X$6:$X$1005,MATCH(D31,'Items'!$A$6:$A$1005,0)),"MISSING ID")</x:f>
        <x:v>Raw material</x:v>
      </x:c>
      <x:c r="I31" s="4"/>
      <x:c r="J31" s="4" t="str">
        <x:v>Unspecified</x:v>
      </x:c>
      <x:c r="K31" s="4" t="str">
        <x:f>IFERROR(INDEX('Crafting recipes'!$D$6:$D$1005,MATCH(B31,'Crafting recipes'!$A$6:$A$1005,0)),"MISSING ID")</x:f>
        <x:v>Proposal</x:v>
      </x:c>
      <x:c r="L31" s="4" t="str">
        <x:f>IFERROR(INDEX('Items'!$AD$6:$AD$1005,MATCH(D31,'Items'!$A$6:$A$1005,0)),"MISSING ID")</x:f>
        <x:v>Proposal</x:v>
      </x:c>
      <x:c r="M31" s="4" t="str">
        <x:f>IFERROR(INDEX('Crafting recipes'!$E$6:$E$1005,MATCH(B31,'Crafting recipes'!$A$6:$A$1005,0)),"MISSING ID")</x:f>
        <x:v>Partial proposal</x:v>
      </x:c>
      <x:c r="N31" s="4" t="str">
        <x:v>Select and grade raw mineral feed into a defined filler fraction. Original boundary: Proposed tier edge; input candidate only, not complete recipe</x:v>
      </x:c>
      <x:c r="O31" s="4" t="str">
        <x:v>https://github.com/sleepyseamonster/Arc-Dust/blob/f6f98515c005dc3c73cccd9cbc031691745740c6/02-Arc-Dust-Worldbuilding/world/materials/chemical-processing-agents.md (source proposal; game route proposed)</x:v>
      </x:c>
      <x:c r="P31" s="4" t="n">
        <x:f>IF(OR(C31="Ingredient candidate",C31="Consumed input",C31="Contained input",C31="Transform input"),IF(F31="T0",0,IF(F31="T1",1,IF(F31="T2",2,IF(F31="T3",3,IF(F31="T4",4,-1))))),-1)</x:f>
        <x:v>0</x:v>
      </x:c>
      <x:c r="Q31" s="4" t="n">
        <x:f>IF(AND(OR(C31="Ingredient candidate",C31="Consumed input",C31="Contained input",C31="Transform input"),P31=-1),1,0)</x:f>
        <x:v>0</x:v>
      </x:c>
    </x:row>
    <x:row r="32" ht="85" customHeight="1">
      <x:c r="A32" s="4" t="str">
        <x:v>material.route.028</x:v>
      </x:c>
      <x:c r="B32" s="4" t="str">
        <x:v>design.refine.t1.glass_feed</x:v>
      </x:c>
      <x:c r="C32" s="4" t="str">
        <x:v>Ingredient candidate</x:v>
      </x:c>
      <x:c r="D32" s="4" t="str">
        <x:v>proposal.raw.glass_shards</x:v>
      </x:c>
      <x:c r="E32" s="4" t="str">
        <x:f>IFERROR(INDEX('Items'!$B$6:$B$1005,MATCH(D32,'Items'!$A$6:$A$1005,0)),"MISSING ID")</x:f>
        <x:v>Broken glass pieces</x:v>
      </x:c>
      <x:c r="F32" s="4" t="str">
        <x:f>IFERROR(INDEX('Items'!$C$6:$C$1005,MATCH(D32,'Items'!$A$6:$A$1005,0)),"MISSING ID")</x:f>
        <x:v>T0</x:v>
      </x:c>
      <x:c r="G32" s="4" t="str">
        <x:f>IFERROR(INDEX('Items'!$D$6:$D$1005,MATCH(D32,'Items'!$A$6:$A$1005,0)),"MISSING ID")</x:f>
        <x:v>Salvage</x:v>
      </x:c>
      <x:c r="H32" s="4" t="str">
        <x:f>IFERROR(INDEX('Items'!$X$6:$X$1005,MATCH(D32,'Items'!$A$6:$A$1005,0)),"MISSING ID")</x:f>
        <x:v>Raw material</x:v>
      </x:c>
      <x:c r="I32" s="4"/>
      <x:c r="J32" s="4" t="str">
        <x:v>Unspecified</x:v>
      </x:c>
      <x:c r="K32" s="4" t="str">
        <x:f>IFERROR(INDEX('Crafting recipes'!$D$6:$D$1005,MATCH(B32,'Crafting recipes'!$A$6:$A$1005,0)),"MISSING ID")</x:f>
        <x:v>Proposal</x:v>
      </x:c>
      <x:c r="L32" s="4" t="str">
        <x:f>IFERROR(INDEX('Items'!$AD$6:$AD$1005,MATCH(D32,'Items'!$A$6:$A$1005,0)),"MISSING ID")</x:f>
        <x:v>Proposal</x:v>
      </x:c>
      <x:c r="M32" s="4" t="str">
        <x:f>IFERROR(INDEX('Crafting recipes'!$E$6:$E$1005,MATCH(B32,'Crafting recipes'!$A$6:$A$1005,0)),"MISSING ID")</x:f>
        <x:v>Partial proposal</x:v>
      </x:c>
      <x:c r="N32" s="4" t="str">
        <x:v>Identify, segregate and prepare recovered glass for a compatible later melt. Original boundary: Proposed tier edge; input candidate only, not complete recipe</x:v>
      </x:c>
      <x:c r="O32" s="4" t="str">
        <x:v>https://github.com/sleepyseamonster/Arc-Dust/blob/f6f98515c005dc3c73cccd9cbc031691745740c6/02-Arc-Dust-Worldbuilding/world/materials/glass.md (source proposal; game route proposed)</x:v>
      </x:c>
      <x:c r="P32" s="4" t="n">
        <x:f>IF(OR(C32="Ingredient candidate",C32="Consumed input",C32="Contained input",C32="Transform input"),IF(F32="T0",0,IF(F32="T1",1,IF(F32="T2",2,IF(F32="T3",3,IF(F32="T4",4,-1))))),-1)</x:f>
        <x:v>0</x:v>
      </x:c>
      <x:c r="Q32" s="4" t="n">
        <x:f>IF(AND(OR(C32="Ingredient candidate",C32="Consumed input",C32="Contained input",C32="Transform input"),P32=-1),1,0)</x:f>
        <x:v>0</x:v>
      </x:c>
    </x:row>
    <x:row r="33" ht="85" customHeight="1">
      <x:c r="A33" s="4" t="str">
        <x:v>material.route.029</x:v>
      </x:c>
      <x:c r="B33" s="4" t="str">
        <x:v>design.refine.t1.mica_flakes</x:v>
      </x:c>
      <x:c r="C33" s="4" t="str">
        <x:v>Ingredient candidate</x:v>
      </x:c>
      <x:c r="D33" s="4" t="str">
        <x:v>proposal.natural.mica</x:v>
      </x:c>
      <x:c r="E33" s="4" t="str">
        <x:f>IFERROR(INDEX('Items'!$B$6:$B$1005,MATCH(D33,'Items'!$A$6:$A$1005,0)),"MISSING ID")</x:f>
        <x:v>Mica sheets</x:v>
      </x:c>
      <x:c r="F33" s="4" t="str">
        <x:f>IFERROR(INDEX('Items'!$C$6:$C$1005,MATCH(D33,'Items'!$A$6:$A$1005,0)),"MISSING ID")</x:f>
        <x:v>T0</x:v>
      </x:c>
      <x:c r="G33" s="4" t="str">
        <x:f>IFERROR(INDEX('Items'!$D$6:$D$1005,MATCH(D33,'Items'!$A$6:$A$1005,0)),"MISSING ID")</x:f>
        <x:v>Salvage</x:v>
      </x:c>
      <x:c r="H33" s="4" t="str">
        <x:f>IFERROR(INDEX('Items'!$X$6:$X$1005,MATCH(D33,'Items'!$A$6:$A$1005,0)),"MISSING ID")</x:f>
        <x:v>Raw material</x:v>
      </x:c>
      <x:c r="I33" s="4"/>
      <x:c r="J33" s="4" t="str">
        <x:v>Unspecified</x:v>
      </x:c>
      <x:c r="K33" s="4" t="str">
        <x:f>IFERROR(INDEX('Crafting recipes'!$D$6:$D$1005,MATCH(B33,'Crafting recipes'!$A$6:$A$1005,0)),"MISSING ID")</x:f>
        <x:v>Proposal</x:v>
      </x:c>
      <x:c r="L33" s="4" t="str">
        <x:f>IFERROR(INDEX('Items'!$AD$6:$AD$1005,MATCH(D33,'Items'!$A$6:$A$1005,0)),"MISSING ID")</x:f>
        <x:v>Proposal</x:v>
      </x:c>
      <x:c r="M33" s="4" t="str">
        <x:f>IFERROR(INDEX('Crafting recipes'!$E$6:$E$1005,MATCH(B33,'Crafting recipes'!$A$6:$A$1005,0)),"MISSING ID")</x:f>
        <x:v>Partial proposal</x:v>
      </x:c>
      <x:c r="N33" s="4" t="str">
        <x:v>Split and grade selected raw mica into flake feed. Original boundary: Proposed tier edge; input candidate only, not complete recipe</x:v>
      </x:c>
      <x:c r="O33" s="4" t="str">
        <x:v>https://github.com/sleepyseamonster/Arc-Dust/blob/f6f98515c005dc3c73cccd9cbc031691745740c6/02-Arc-Dust-Worldbuilding/world/materials/industrial-material-palette.md (source proposal; game route proposed)</x:v>
      </x:c>
      <x:c r="P33" s="4" t="n">
        <x:f>IF(OR(C33="Ingredient candidate",C33="Consumed input",C33="Contained input",C33="Transform input"),IF(F33="T0",0,IF(F33="T1",1,IF(F33="T2",2,IF(F33="T3",3,IF(F33="T4",4,-1))))),-1)</x:f>
        <x:v>0</x:v>
      </x:c>
      <x:c r="Q33" s="4" t="n">
        <x:f>IF(AND(OR(C33="Ingredient candidate",C33="Consumed input",C33="Contained input",C33="Transform input"),P33=-1),1,0)</x:f>
        <x:v>0</x:v>
      </x:c>
    </x:row>
    <x:row r="34" ht="85" customHeight="1">
      <x:c r="A34" s="4" t="str">
        <x:v>material.route.030</x:v>
      </x:c>
      <x:c r="B34" s="4" t="str">
        <x:v>design.refine.t1.husk_pulp</x:v>
      </x:c>
      <x:c r="C34" s="4" t="str">
        <x:v>Ingredient candidate</x:v>
      </x:c>
      <x:c r="D34" s="4" t="str">
        <x:v>proposal.bio.chitin_fibers</x:v>
      </x:c>
      <x:c r="E34" s="4" t="str">
        <x:f>IFERROR(INDEX('Items'!$B$6:$B$1005,MATCH(D34,'Items'!$A$6:$A$1005,0)),"MISSING ID")</x:f>
        <x:v>Scraped chitin fibers</x:v>
      </x:c>
      <x:c r="F34" s="4" t="str">
        <x:f>IFERROR(INDEX('Items'!$C$6:$C$1005,MATCH(D34,'Items'!$A$6:$A$1005,0)),"MISSING ID")</x:f>
        <x:v>T0</x:v>
      </x:c>
      <x:c r="G34" s="4" t="str">
        <x:f>IFERROR(INDEX('Items'!$D$6:$D$1005,MATCH(D34,'Items'!$A$6:$A$1005,0)),"MISSING ID")</x:f>
        <x:v>Biological resources</x:v>
      </x:c>
      <x:c r="H34" s="4" t="str">
        <x:f>IFERROR(INDEX('Items'!$X$6:$X$1005,MATCH(D34,'Items'!$A$6:$A$1005,0)),"MISSING ID")</x:f>
        <x:v>Raw material</x:v>
      </x:c>
      <x:c r="I34" s="4"/>
      <x:c r="J34" s="4" t="str">
        <x:v>Unspecified</x:v>
      </x:c>
      <x:c r="K34" s="4" t="str">
        <x:f>IFERROR(INDEX('Crafting recipes'!$D$6:$D$1005,MATCH(B34,'Crafting recipes'!$A$6:$A$1005,0)),"MISSING ID")</x:f>
        <x:v>Proposal</x:v>
      </x:c>
      <x:c r="L34" s="4" t="str">
        <x:f>IFERROR(INDEX('Items'!$AD$6:$AD$1005,MATCH(D34,'Items'!$A$6:$A$1005,0)),"MISSING ID")</x:f>
        <x:v>Author direction</x:v>
      </x:c>
      <x:c r="M34" s="4" t="str">
        <x:f>IFERROR(INDEX('Crafting recipes'!$E$6:$E$1005,MATCH(B34,'Crafting recipes'!$A$6:$A$1005,0)),"MISSING ID")</x:f>
        <x:v>Partial proposal</x:v>
      </x:c>
      <x:c r="N34" s="4" t="str">
        <x:v>Separate and condition scraped husk fiber into a first paper-making feed. Original boundary: Proposed tier edge; input candidate only, not complete recipe</x:v>
      </x:c>
      <x:c r="O34" s="4" t="str">
        <x:v>https://github.com/sleepyseamonster/Arc-Dust/blob/f6f98515c005dc3c73cccd9cbc031691745740c6/02-Arc-Dust-Worldbuilding/world/materials/chitin.md (source proposal; game route proposed)</x:v>
      </x:c>
      <x:c r="P34" s="4" t="n">
        <x:f>IF(OR(C34="Ingredient candidate",C34="Consumed input",C34="Contained input",C34="Transform input"),IF(F34="T0",0,IF(F34="T1",1,IF(F34="T2",2,IF(F34="T3",3,IF(F34="T4",4,-1))))),-1)</x:f>
        <x:v>0</x:v>
      </x:c>
      <x:c r="Q34" s="4" t="n">
        <x:f>IF(AND(OR(C34="Ingredient candidate",C34="Consumed input",C34="Contained input",C34="Transform input"),P34=-1),1,0)</x:f>
        <x:v>0</x:v>
      </x:c>
    </x:row>
    <x:row r="35" ht="85" customHeight="1">
      <x:c r="A35" s="4" t="str">
        <x:v>material.route.031</x:v>
      </x:c>
      <x:c r="B35" s="4" t="str">
        <x:v>design.refine.t1.bristle_bundle</x:v>
      </x:c>
      <x:c r="C35" s="4" t="str">
        <x:v>Ingredient candidate</x:v>
      </x:c>
      <x:c r="D35" s="4" t="str">
        <x:v>proposal.bio.bristles</x:v>
      </x:c>
      <x:c r="E35" s="4" t="str">
        <x:f>IFERROR(INDEX('Items'!$B$6:$B$1005,MATCH(D35,'Items'!$A$6:$A$1005,0)),"MISSING ID")</x:f>
        <x:v>Coarse sensory bristles</x:v>
      </x:c>
      <x:c r="F35" s="4" t="str">
        <x:f>IFERROR(INDEX('Items'!$C$6:$C$1005,MATCH(D35,'Items'!$A$6:$A$1005,0)),"MISSING ID")</x:f>
        <x:v>T0</x:v>
      </x:c>
      <x:c r="G35" s="4" t="str">
        <x:f>IFERROR(INDEX('Items'!$D$6:$D$1005,MATCH(D35,'Items'!$A$6:$A$1005,0)),"MISSING ID")</x:f>
        <x:v>Biological resources</x:v>
      </x:c>
      <x:c r="H35" s="4" t="str">
        <x:f>IFERROR(INDEX('Items'!$X$6:$X$1005,MATCH(D35,'Items'!$A$6:$A$1005,0)),"MISSING ID")</x:f>
        <x:v>Raw material</x:v>
      </x:c>
      <x:c r="I35" s="4"/>
      <x:c r="J35" s="4" t="str">
        <x:v>Unspecified</x:v>
      </x:c>
      <x:c r="K35" s="4" t="str">
        <x:f>IFERROR(INDEX('Crafting recipes'!$D$6:$D$1005,MATCH(B35,'Crafting recipes'!$A$6:$A$1005,0)),"MISSING ID")</x:f>
        <x:v>Proposal</x:v>
      </x:c>
      <x:c r="L35" s="4" t="str">
        <x:f>IFERROR(INDEX('Items'!$AD$6:$AD$1005,MATCH(D35,'Items'!$A$6:$A$1005,0)),"MISSING ID")</x:f>
        <x:v>Proposal</x:v>
      </x:c>
      <x:c r="M35" s="4" t="str">
        <x:f>IFERROR(INDEX('Crafting recipes'!$E$6:$E$1005,MATCH(B35,'Crafting recipes'!$A$6:$A$1005,0)),"MISSING ID")</x:f>
        <x:v>Partial proposal</x:v>
      </x:c>
      <x:c r="N35" s="4" t="str">
        <x:v>Sort and prepare a selected bristle batch. Original boundary: Proposed tier edge; input candidate only, not complete recipe</x:v>
      </x:c>
      <x:c r="O35" s="4" t="str">
        <x:v>https://github.com/sleepyseamonster/Arc-Dust/blob/f6f98515c005dc3c73cccd9cbc031691745740c6/02-Arc-Dust-Worldbuilding/world/materials/chitin.md (source proposal; game route proposed)</x:v>
      </x:c>
      <x:c r="P35" s="4" t="n">
        <x:f>IF(OR(C35="Ingredient candidate",C35="Consumed input",C35="Contained input",C35="Transform input"),IF(F35="T0",0,IF(F35="T1",1,IF(F35="T2",2,IF(F35="T3",3,IF(F35="T4",4,-1))))),-1)</x:f>
        <x:v>0</x:v>
      </x:c>
      <x:c r="Q35" s="4" t="n">
        <x:f>IF(AND(OR(C35="Ingredient candidate",C35="Consumed input",C35="Contained input",C35="Transform input"),P35=-1),1,0)</x:f>
        <x:v>0</x:v>
      </x:c>
    </x:row>
    <x:row r="36" ht="85" customHeight="1">
      <x:c r="A36" s="4" t="str">
        <x:v>material.route.032</x:v>
      </x:c>
      <x:c r="B36" s="4" t="str">
        <x:v>design.refine.t1.shell_lamina</x:v>
      </x:c>
      <x:c r="C36" s="4" t="str">
        <x:v>Ingredient candidate</x:v>
      </x:c>
      <x:c r="D36" s="4" t="str">
        <x:v>proposal.bio.shell</x:v>
      </x:c>
      <x:c r="E36" s="4" t="str">
        <x:f>IFERROR(INDEX('Items'!$B$6:$B$1005,MATCH(D36,'Items'!$A$6:$A$1005,0)),"MISSING ID")</x:f>
        <x:v>Shell husks / shed plates</x:v>
      </x:c>
      <x:c r="F36" s="4" t="str">
        <x:f>IFERROR(INDEX('Items'!$C$6:$C$1005,MATCH(D36,'Items'!$A$6:$A$1005,0)),"MISSING ID")</x:f>
        <x:v>T0</x:v>
      </x:c>
      <x:c r="G36" s="4" t="str">
        <x:f>IFERROR(INDEX('Items'!$D$6:$D$1005,MATCH(D36,'Items'!$A$6:$A$1005,0)),"MISSING ID")</x:f>
        <x:v>Biological resources</x:v>
      </x:c>
      <x:c r="H36" s="4" t="str">
        <x:f>IFERROR(INDEX('Items'!$X$6:$X$1005,MATCH(D36,'Items'!$A$6:$A$1005,0)),"MISSING ID")</x:f>
        <x:v>Raw material</x:v>
      </x:c>
      <x:c r="I36" s="4"/>
      <x:c r="J36" s="4" t="str">
        <x:v>Unspecified</x:v>
      </x:c>
      <x:c r="K36" s="4" t="str">
        <x:f>IFERROR(INDEX('Crafting recipes'!$D$6:$D$1005,MATCH(B36,'Crafting recipes'!$A$6:$A$1005,0)),"MISSING ID")</x:f>
        <x:v>Proposal</x:v>
      </x:c>
      <x:c r="L36" s="4" t="str">
        <x:f>IFERROR(INDEX('Items'!$AD$6:$AD$1005,MATCH(D36,'Items'!$A$6:$A$1005,0)),"MISSING ID")</x:f>
        <x:v>Author direction</x:v>
      </x:c>
      <x:c r="M36" s="4" t="str">
        <x:f>IFERROR(INDEX('Crafting recipes'!$E$6:$E$1005,MATCH(B36,'Crafting recipes'!$A$6:$A$1005,0)),"MISSING ID")</x:f>
        <x:v>Partial proposal</x:v>
      </x:c>
      <x:c r="N36" s="4" t="str">
        <x:v>Separate and prepare selected shell layers as first sheet stock. Original boundary: Proposed tier edge; input candidate only, not complete recipe</x:v>
      </x:c>
      <x:c r="O36" s="4" t="str">
        <x:v>https://github.com/sleepyseamonster/Arc-Dust/blob/f6f98515c005dc3c73cccd9cbc031691745740c6/02-Arc-Dust-Worldbuilding/world/materials/chitin.md (source proposal; game route proposed)</x:v>
      </x:c>
      <x:c r="P36" s="4" t="n">
        <x:f>IF(OR(C36="Ingredient candidate",C36="Consumed input",C36="Contained input",C36="Transform input"),IF(F36="T0",0,IF(F36="T1",1,IF(F36="T2",2,IF(F36="T3",3,IF(F36="T4",4,-1))))),-1)</x:f>
        <x:v>0</x:v>
      </x:c>
      <x:c r="Q36" s="4" t="n">
        <x:f>IF(AND(OR(C36="Ingredient candidate",C36="Consumed input",C36="Contained input",C36="Transform input"),P36=-1),1,0)</x:f>
        <x:v>0</x:v>
      </x:c>
    </x:row>
    <x:row r="37" ht="85" customHeight="1">
      <x:c r="A37" s="4" t="str">
        <x:v>material.route.033</x:v>
      </x:c>
      <x:c r="B37" s="4" t="str">
        <x:v>design.refine.t1.hardpart_blank</x:v>
      </x:c>
      <x:c r="C37" s="4" t="str">
        <x:v>Ingredient candidate</x:v>
      </x:c>
      <x:c r="D37" s="4" t="str">
        <x:v>proposal.raw.horn_core</x:v>
      </x:c>
      <x:c r="E37" s="4" t="str">
        <x:f>IFERROR(INDEX('Items'!$B$6:$B$1005,MATCH(D37,'Items'!$A$6:$A$1005,0)),"MISSING ID")</x:f>
        <x:v>Fauna horn cores</x:v>
      </x:c>
      <x:c r="F37" s="4" t="str">
        <x:f>IFERROR(INDEX('Items'!$C$6:$C$1005,MATCH(D37,'Items'!$A$6:$A$1005,0)),"MISSING ID")</x:f>
        <x:v>T0</x:v>
      </x:c>
      <x:c r="G37" s="4" t="str">
        <x:f>IFERROR(INDEX('Items'!$D$6:$D$1005,MATCH(D37,'Items'!$A$6:$A$1005,0)),"MISSING ID")</x:f>
        <x:v>Biological resources</x:v>
      </x:c>
      <x:c r="H37" s="4" t="str">
        <x:f>IFERROR(INDEX('Items'!$X$6:$X$1005,MATCH(D37,'Items'!$A$6:$A$1005,0)),"MISSING ID")</x:f>
        <x:v>Raw material</x:v>
      </x:c>
      <x:c r="I37" s="4"/>
      <x:c r="J37" s="4" t="str">
        <x:v>Unspecified</x:v>
      </x:c>
      <x:c r="K37" s="4" t="str">
        <x:f>IFERROR(INDEX('Crafting recipes'!$D$6:$D$1005,MATCH(B37,'Crafting recipes'!$A$6:$A$1005,0)),"MISSING ID")</x:f>
        <x:v>Proposal</x:v>
      </x:c>
      <x:c r="L37" s="4" t="str">
        <x:f>IFERROR(INDEX('Items'!$AD$6:$AD$1005,MATCH(D37,'Items'!$A$6:$A$1005,0)),"MISSING ID")</x:f>
        <x:v>Proposal</x:v>
      </x:c>
      <x:c r="M37" s="4" t="str">
        <x:f>IFERROR(INDEX('Crafting recipes'!$E$6:$E$1005,MATCH(B37,'Crafting recipes'!$A$6:$A$1005,0)),"MISSING ID")</x:f>
        <x:v>Partial proposal</x:v>
      </x:c>
      <x:c r="N37" s="4" t="str">
        <x:v>Select and rough-shape usable horn/core hard tissue into tool-stock blanks. Original boundary: Proposed tier edge; input candidate only, not complete recipe</x:v>
      </x:c>
      <x:c r="O37" s="4" t="str">
        <x:v>https://github.com/sleepyseamonster/Arc-Dust/blob/f6f98515c005dc3c73cccd9cbc031691745740c6/02-Arc-Dust-Worldbuilding/world/materials/chitin.md (source proposal; game route proposed)</x:v>
      </x:c>
      <x:c r="P37" s="4" t="n">
        <x:f>IF(OR(C37="Ingredient candidate",C37="Consumed input",C37="Contained input",C37="Transform input"),IF(F37="T0",0,IF(F37="T1",1,IF(F37="T2",2,IF(F37="T3",3,IF(F37="T4",4,-1))))),-1)</x:f>
        <x:v>0</x:v>
      </x:c>
      <x:c r="Q37" s="4" t="n">
        <x:f>IF(AND(OR(C37="Ingredient candidate",C37="Consumed input",C37="Contained input",C37="Transform input"),P37=-1),1,0)</x:f>
        <x:v>0</x:v>
      </x:c>
    </x:row>
    <x:row r="38" ht="85" customHeight="1">
      <x:c r="A38" s="4" t="str">
        <x:v>material.route.034</x:v>
      </x:c>
      <x:c r="B38" s="4" t="str">
        <x:v>design.refine.t1.process_salts</x:v>
      </x:c>
      <x:c r="C38" s="4" t="str">
        <x:v>Ingredient candidate</x:v>
      </x:c>
      <x:c r="D38" s="4" t="str">
        <x:v>proposal.natural.salts</x:v>
      </x:c>
      <x:c r="E38" s="4" t="str">
        <x:f>IFERROR(INDEX('Items'!$B$6:$B$1005,MATCH(D38,'Items'!$A$6:$A$1005,0)),"MISSING ID")</x:f>
        <x:v>Dry mineral salts</x:v>
      </x:c>
      <x:c r="F38" s="4" t="str">
        <x:f>IFERROR(INDEX('Items'!$C$6:$C$1005,MATCH(D38,'Items'!$A$6:$A$1005,0)),"MISSING ID")</x:f>
        <x:v>T0</x:v>
      </x:c>
      <x:c r="G38" s="4" t="str">
        <x:f>IFERROR(INDEX('Items'!$D$6:$D$1005,MATCH(D38,'Items'!$A$6:$A$1005,0)),"MISSING ID")</x:f>
        <x:v>Mineral resources</x:v>
      </x:c>
      <x:c r="H38" s="4" t="str">
        <x:f>IFERROR(INDEX('Items'!$X$6:$X$1005,MATCH(D38,'Items'!$A$6:$A$1005,0)),"MISSING ID")</x:f>
        <x:v>Raw material</x:v>
      </x:c>
      <x:c r="I38" s="4"/>
      <x:c r="J38" s="4" t="str">
        <x:v>Unspecified</x:v>
      </x:c>
      <x:c r="K38" s="4" t="str">
        <x:f>IFERROR(INDEX('Crafting recipes'!$D$6:$D$1005,MATCH(B38,'Crafting recipes'!$A$6:$A$1005,0)),"MISSING ID")</x:f>
        <x:v>Proposal</x:v>
      </x:c>
      <x:c r="L38" s="4" t="str">
        <x:f>IFERROR(INDEX('Items'!$AD$6:$AD$1005,MATCH(D38,'Items'!$A$6:$A$1005,0)),"MISSING ID")</x:f>
        <x:v>Proposal</x:v>
      </x:c>
      <x:c r="M38" s="4" t="str">
        <x:f>IFERROR(INDEX('Crafting recipes'!$E$6:$E$1005,MATCH(B38,'Crafting recipes'!$A$6:$A$1005,0)),"MISSING ID")</x:f>
        <x:v>Partial proposal</x:v>
      </x:c>
      <x:c r="N38" s="4" t="str">
        <x:v>Identify and segregate a specific raw salt fraction for workshop use. Original boundary: Proposed tier edge; input candidate only, not complete recipe</x:v>
      </x:c>
      <x:c r="O38" s="4" t="str">
        <x:v>https://github.com/sleepyseamonster/Arc-Dust/blob/f6f98515c005dc3c73cccd9cbc031691745740c6/02-Arc-Dust-Worldbuilding/world/materials/chemical-processing-agents.md (source proposal; game route proposed)</x:v>
      </x:c>
      <x:c r="P38" s="4" t="n">
        <x:f>IF(OR(C38="Ingredient candidate",C38="Consumed input",C38="Contained input",C38="Transform input"),IF(F38="T0",0,IF(F38="T1",1,IF(F38="T2",2,IF(F38="T3",3,IF(F38="T4",4,-1))))),-1)</x:f>
        <x:v>0</x:v>
      </x:c>
      <x:c r="Q38" s="4" t="n">
        <x:f>IF(AND(OR(C38="Ingredient candidate",C38="Consumed input",C38="Contained input",C38="Transform input"),P38=-1),1,0)</x:f>
        <x:v>0</x:v>
      </x:c>
    </x:row>
    <x:row r="39" ht="85" customHeight="1">
      <x:c r="A39" s="4" t="str">
        <x:v>material.route.035</x:v>
      </x:c>
      <x:c r="B39" s="4" t="str">
        <x:v>design.refine.t1.faunal_carrier</x:v>
      </x:c>
      <x:c r="C39" s="4" t="str">
        <x:v>Ingredient candidate</x:v>
      </x:c>
      <x:c r="D39" s="4" t="str">
        <x:v>proposal.bio.liquid_material</x:v>
      </x:c>
      <x:c r="E39" s="4" t="str">
        <x:f>IFERROR(INDEX('Items'!$B$6:$B$1005,MATCH(D39,'Items'!$A$6:$A$1005,0)),"MISSING ID")</x:f>
        <x:v>Faunal liquid material (unspecified)</x:v>
      </x:c>
      <x:c r="F39" s="4" t="str">
        <x:f>IFERROR(INDEX('Items'!$C$6:$C$1005,MATCH(D39,'Items'!$A$6:$A$1005,0)),"MISSING ID")</x:f>
        <x:v>T0</x:v>
      </x:c>
      <x:c r="G39" s="4" t="str">
        <x:f>IFERROR(INDEX('Items'!$D$6:$D$1005,MATCH(D39,'Items'!$A$6:$A$1005,0)),"MISSING ID")</x:f>
        <x:v>Biological resources</x:v>
      </x:c>
      <x:c r="H39" s="4" t="str">
        <x:f>IFERROR(INDEX('Items'!$X$6:$X$1005,MATCH(D39,'Items'!$A$6:$A$1005,0)),"MISSING ID")</x:f>
        <x:v>Chemical material</x:v>
      </x:c>
      <x:c r="I39" s="4"/>
      <x:c r="J39" s="4" t="str">
        <x:v>Unspecified</x:v>
      </x:c>
      <x:c r="K39" s="4" t="str">
        <x:f>IFERROR(INDEX('Crafting recipes'!$D$6:$D$1005,MATCH(B39,'Crafting recipes'!$A$6:$A$1005,0)),"MISSING ID")</x:f>
        <x:v>Proposal</x:v>
      </x:c>
      <x:c r="L39" s="4" t="str">
        <x:f>IFERROR(INDEX('Items'!$AD$6:$AD$1005,MATCH(D39,'Items'!$A$6:$A$1005,0)),"MISSING ID")</x:f>
        <x:v>Author direction</x:v>
      </x:c>
      <x:c r="M39" s="4" t="str">
        <x:f>IFERROR(INDEX('Crafting recipes'!$E$6:$E$1005,MATCH(B39,'Crafting recipes'!$A$6:$A$1005,0)),"MISSING ID")</x:f>
        <x:v>Partial proposal</x:v>
      </x:c>
      <x:c r="N39" s="4" t="str">
        <x:v>Separate a candidate contained faunal liquid for controlled coating/material application. Original boundary: Proposed tier edge; input candidate only, not complete recipe</x:v>
      </x:c>
      <x:c r="O39" s="4" t="str">
        <x:v>https://github.com/sleepyseamonster/Arc-Dust/blob/f6f98515c005dc3c73cccd9cbc031691745740c6/02-Arc-Dust-Worldbuilding/world/materials/chemical-processing-agents.md (source proposal; game route proposed)</x:v>
      </x:c>
      <x:c r="P39" s="4" t="n">
        <x:f>IF(OR(C39="Ingredient candidate",C39="Consumed input",C39="Contained input",C39="Transform input"),IF(F39="T0",0,IF(F39="T1",1,IF(F39="T2",2,IF(F39="T3",3,IF(F39="T4",4,-1))))),-1)</x:f>
        <x:v>0</x:v>
      </x:c>
      <x:c r="Q39" s="4" t="n">
        <x:f>IF(AND(OR(C39="Ingredient candidate",C39="Consumed input",C39="Contained input",C39="Transform input"),P39=-1),1,0)</x:f>
        <x:v>0</x:v>
      </x:c>
    </x:row>
    <x:row r="40" ht="85" customHeight="1">
      <x:c r="A40" s="4" t="str">
        <x:v>material.route.036</x:v>
      </x:c>
      <x:c r="B40" s="4" t="str">
        <x:v>design.refine.t1.shell_adhesive</x:v>
      </x:c>
      <x:c r="C40" s="4" t="str">
        <x:v>Ingredient candidate</x:v>
      </x:c>
      <x:c r="D40" s="4" t="str">
        <x:v>proposal.chemical.shell_binder</x:v>
      </x:c>
      <x:c r="E40" s="4" t="str">
        <x:f>IFERROR(INDEX('Items'!$B$6:$B$1005,MATCH(D40,'Items'!$A$6:$A$1005,0)),"MISSING ID")</x:f>
        <x:v>Shell-binding secretion</x:v>
      </x:c>
      <x:c r="F40" s="4" t="str">
        <x:f>IFERROR(INDEX('Items'!$C$6:$C$1005,MATCH(D40,'Items'!$A$6:$A$1005,0)),"MISSING ID")</x:f>
        <x:v>T0</x:v>
      </x:c>
      <x:c r="G40" s="4" t="str">
        <x:f>IFERROR(INDEX('Items'!$D$6:$D$1005,MATCH(D40,'Items'!$A$6:$A$1005,0)),"MISSING ID")</x:f>
        <x:v>Biological resources</x:v>
      </x:c>
      <x:c r="H40" s="4" t="str">
        <x:f>IFERROR(INDEX('Items'!$X$6:$X$1005,MATCH(D40,'Items'!$A$6:$A$1005,0)),"MISSING ID")</x:f>
        <x:v>Chemical material</x:v>
      </x:c>
      <x:c r="I40" s="4"/>
      <x:c r="J40" s="4" t="str">
        <x:v>Unspecified</x:v>
      </x:c>
      <x:c r="K40" s="4" t="str">
        <x:f>IFERROR(INDEX('Crafting recipes'!$D$6:$D$1005,MATCH(B40,'Crafting recipes'!$A$6:$A$1005,0)),"MISSING ID")</x:f>
        <x:v>Proposal</x:v>
      </x:c>
      <x:c r="L40" s="4" t="str">
        <x:f>IFERROR(INDEX('Items'!$AD$6:$AD$1005,MATCH(D40,'Items'!$A$6:$A$1005,0)),"MISSING ID")</x:f>
        <x:v>Proposal</x:v>
      </x:c>
      <x:c r="M40" s="4" t="str">
        <x:f>IFERROR(INDEX('Crafting recipes'!$E$6:$E$1005,MATCH(B40,'Crafting recipes'!$A$6:$A$1005,0)),"MISSING ID")</x:f>
        <x:v>Partial proposal</x:v>
      </x:c>
      <x:c r="N40" s="4" t="str">
        <x:v>Qualify and prepare a selected raw shell-binding secretion. Original boundary: Proposed tier edge; input candidate only, not complete recipe</x:v>
      </x:c>
      <x:c r="O40" s="4" t="str">
        <x:v>https://github.com/sleepyseamonster/Arc-Dust/blob/f6f98515c005dc3c73cccd9cbc031691745740c6/02-Arc-Dust-Worldbuilding/world/materials/chemical-processing-agents.md (source proposal; game route proposed)</x:v>
      </x:c>
      <x:c r="P40" s="4" t="n">
        <x:f>IF(OR(C40="Ingredient candidate",C40="Consumed input",C40="Contained input",C40="Transform input"),IF(F40="T0",0,IF(F40="T1",1,IF(F40="T2",2,IF(F40="T3",3,IF(F40="T4",4,-1))))),-1)</x:f>
        <x:v>0</x:v>
      </x:c>
      <x:c r="Q40" s="4" t="n">
        <x:f>IF(AND(OR(C40="Ingredient candidate",C40="Consumed input",C40="Contained input",C40="Transform input"),P40=-1),1,0)</x:f>
        <x:v>0</x:v>
      </x:c>
    </x:row>
    <x:row r="41" ht="85" customHeight="1">
      <x:c r="A41" s="4" t="str">
        <x:v>material.route.037</x:v>
      </x:c>
      <x:c r="B41" s="4" t="str">
        <x:v>design.refine.t1.clot_seal</x:v>
      </x:c>
      <x:c r="C41" s="4" t="str">
        <x:v>Ingredient candidate</x:v>
      </x:c>
      <x:c r="D41" s="4" t="str">
        <x:v>proposal.chemical.clotting_compound</x:v>
      </x:c>
      <x:c r="E41" s="4" t="str">
        <x:f>IFERROR(INDEX('Items'!$B$6:$B$1005,MATCH(D41,'Items'!$A$6:$A$1005,0)),"MISSING ID")</x:f>
        <x:v>Mineral clotting compound</x:v>
      </x:c>
      <x:c r="F41" s="4" t="str">
        <x:f>IFERROR(INDEX('Items'!$C$6:$C$1005,MATCH(D41,'Items'!$A$6:$A$1005,0)),"MISSING ID")</x:f>
        <x:v>T0</x:v>
      </x:c>
      <x:c r="G41" s="4" t="str">
        <x:f>IFERROR(INDEX('Items'!$D$6:$D$1005,MATCH(D41,'Items'!$A$6:$A$1005,0)),"MISSING ID")</x:f>
        <x:v>Biological resources</x:v>
      </x:c>
      <x:c r="H41" s="4" t="str">
        <x:f>IFERROR(INDEX('Items'!$X$6:$X$1005,MATCH(D41,'Items'!$A$6:$A$1005,0)),"MISSING ID")</x:f>
        <x:v>Chemical material</x:v>
      </x:c>
      <x:c r="I41" s="4"/>
      <x:c r="J41" s="4" t="str">
        <x:v>Unspecified</x:v>
      </x:c>
      <x:c r="K41" s="4" t="str">
        <x:f>IFERROR(INDEX('Crafting recipes'!$D$6:$D$1005,MATCH(B41,'Crafting recipes'!$A$6:$A$1005,0)),"MISSING ID")</x:f>
        <x:v>Proposal</x:v>
      </x:c>
      <x:c r="L41" s="4" t="str">
        <x:f>IFERROR(INDEX('Items'!$AD$6:$AD$1005,MATCH(D41,'Items'!$A$6:$A$1005,0)),"MISSING ID")</x:f>
        <x:v>Proposal</x:v>
      </x:c>
      <x:c r="M41" s="4" t="str">
        <x:f>IFERROR(INDEX('Crafting recipes'!$E$6:$E$1005,MATCH(B41,'Crafting recipes'!$A$6:$A$1005,0)),"MISSING ID")</x:f>
        <x:v>Partial proposal</x:v>
      </x:c>
      <x:c r="N41" s="4" t="str">
        <x:v>Separate and prepare a selected raw hard-setting secretion for a bounded patching service. Original boundary: Proposed tier edge; input candidate only, not complete recipe</x:v>
      </x:c>
      <x:c r="O41" s="4" t="str">
        <x:v>https://github.com/sleepyseamonster/Arc-Dust/blob/f6f98515c005dc3c73cccd9cbc031691745740c6/02-Arc-Dust-Worldbuilding/world/materials/chemical-processing-agents.md (source proposal; game route proposed)</x:v>
      </x:c>
      <x:c r="P41" s="4" t="n">
        <x:f>IF(OR(C41="Ingredient candidate",C41="Consumed input",C41="Contained input",C41="Transform input"),IF(F41="T0",0,IF(F41="T1",1,IF(F41="T2",2,IF(F41="T3",3,IF(F41="T4",4,-1))))),-1)</x:f>
        <x:v>0</x:v>
      </x:c>
      <x:c r="Q41" s="4" t="n">
        <x:f>IF(AND(OR(C41="Ingredient candidate",C41="Consumed input",C41="Contained input",C41="Transform input"),P41=-1),1,0)</x:f>
        <x:v>0</x:v>
      </x:c>
    </x:row>
    <x:row r="42" ht="85" customHeight="1">
      <x:c r="A42" s="4" t="str">
        <x:v>material.route.038</x:v>
      </x:c>
      <x:c r="B42" s="4" t="str">
        <x:v>design.refine.t1.gem_preform</x:v>
      </x:c>
      <x:c r="C42" s="4" t="str">
        <x:v>Ingredient candidate</x:v>
      </x:c>
      <x:c r="D42" s="4" t="str">
        <x:v>proposal.gem.garnet</x:v>
      </x:c>
      <x:c r="E42" s="4" t="str">
        <x:f>IFERROR(INDEX('Items'!$B$6:$B$1005,MATCH(D42,'Items'!$A$6:$A$1005,0)),"MISSING ID")</x:f>
        <x:v>Garnet</x:v>
      </x:c>
      <x:c r="F42" s="4" t="str">
        <x:f>IFERROR(INDEX('Items'!$C$6:$C$1005,MATCH(D42,'Items'!$A$6:$A$1005,0)),"MISSING ID")</x:f>
        <x:v>T0</x:v>
      </x:c>
      <x:c r="G42" s="4" t="str">
        <x:f>IFERROR(INDEX('Items'!$D$6:$D$1005,MATCH(D42,'Items'!$A$6:$A$1005,0)),"MISSING ID")</x:f>
        <x:v>Mineral resources</x:v>
      </x:c>
      <x:c r="H42" s="4" t="str">
        <x:f>IFERROR(INDEX('Items'!$X$6:$X$1005,MATCH(D42,'Items'!$A$6:$A$1005,0)),"MISSING ID")</x:f>
        <x:v>Gem material</x:v>
      </x:c>
      <x:c r="I42" s="4"/>
      <x:c r="J42" s="4" t="str">
        <x:v>Unspecified</x:v>
      </x:c>
      <x:c r="K42" s="4" t="str">
        <x:f>IFERROR(INDEX('Crafting recipes'!$D$6:$D$1005,MATCH(B42,'Crafting recipes'!$A$6:$A$1005,0)),"MISSING ID")</x:f>
        <x:v>Proposal</x:v>
      </x:c>
      <x:c r="L42" s="4" t="str">
        <x:f>IFERROR(INDEX('Items'!$AD$6:$AD$1005,MATCH(D42,'Items'!$A$6:$A$1005,0)),"MISSING ID")</x:f>
        <x:v>Proposal</x:v>
      </x:c>
      <x:c r="M42" s="4" t="str">
        <x:f>IFERROR(INDEX('Crafting recipes'!$E$6:$E$1005,MATCH(B42,'Crafting recipes'!$A$6:$A$1005,0)),"MISSING ID")</x:f>
        <x:v>Partial proposal</x:v>
      </x:c>
      <x:c r="N42" s="4" t="str">
        <x:v>Select and rough-cut a raw-gem interpretation of the existing gemstone family. Original boundary: Proposed tier edge; input candidate only, not complete recipe</x:v>
      </x:c>
      <x:c r="O42" s="4" t="str">
        <x:v>https://github.com/sleepyseamonster/Arc-Dust/blob/f6f98515c005dc3c73cccd9cbc031691745740c6/02-Arc-Dust-Worldbuilding/world/materials/canyon-depth-geology.md (source proposal; game route proposed)</x:v>
      </x:c>
      <x:c r="P42" s="4" t="n">
        <x:f>IF(OR(C42="Ingredient candidate",C42="Consumed input",C42="Contained input",C42="Transform input"),IF(F42="T0",0,IF(F42="T1",1,IF(F42="T2",2,IF(F42="T3",3,IF(F42="T4",4,-1))))),-1)</x:f>
        <x:v>0</x:v>
      </x:c>
      <x:c r="Q42" s="4" t="n">
        <x:f>IF(AND(OR(C42="Ingredient candidate",C42="Consumed input",C42="Contained input",C42="Transform input"),P42=-1),1,0)</x:f>
        <x:v>0</x:v>
      </x:c>
    </x:row>
    <x:row r="43" ht="85" customHeight="1">
      <x:c r="A43" s="4" t="str">
        <x:v>material.route.039</x:v>
      </x:c>
      <x:c r="B43" s="4" t="str">
        <x:v>design.refine.t1.gem_chips</x:v>
      </x:c>
      <x:c r="C43" s="4" t="str">
        <x:v>Ingredient candidate</x:v>
      </x:c>
      <x:c r="D43" s="4" t="str">
        <x:v>proposal.gem.clear_quartz</x:v>
      </x:c>
      <x:c r="E43" s="4" t="str">
        <x:f>IFERROR(INDEX('Items'!$B$6:$B$1005,MATCH(D43,'Items'!$A$6:$A$1005,0)),"MISSING ID")</x:f>
        <x:v>Clear quartz</x:v>
      </x:c>
      <x:c r="F43" s="4" t="str">
        <x:f>IFERROR(INDEX('Items'!$C$6:$C$1005,MATCH(D43,'Items'!$A$6:$A$1005,0)),"MISSING ID")</x:f>
        <x:v>T0</x:v>
      </x:c>
      <x:c r="G43" s="4" t="str">
        <x:f>IFERROR(INDEX('Items'!$D$6:$D$1005,MATCH(D43,'Items'!$A$6:$A$1005,0)),"MISSING ID")</x:f>
        <x:v>Mineral resources</x:v>
      </x:c>
      <x:c r="H43" s="4" t="str">
        <x:f>IFERROR(INDEX('Items'!$X$6:$X$1005,MATCH(D43,'Items'!$A$6:$A$1005,0)),"MISSING ID")</x:f>
        <x:v>Gem material</x:v>
      </x:c>
      <x:c r="I43" s="4"/>
      <x:c r="J43" s="4" t="str">
        <x:v>Unspecified</x:v>
      </x:c>
      <x:c r="K43" s="4" t="str">
        <x:f>IFERROR(INDEX('Crafting recipes'!$D$6:$D$1005,MATCH(B43,'Crafting recipes'!$A$6:$A$1005,0)),"MISSING ID")</x:f>
        <x:v>Proposal</x:v>
      </x:c>
      <x:c r="L43" s="4" t="str">
        <x:f>IFERROR(INDEX('Items'!$AD$6:$AD$1005,MATCH(D43,'Items'!$A$6:$A$1005,0)),"MISSING ID")</x:f>
        <x:v>Proposal</x:v>
      </x:c>
      <x:c r="M43" s="4" t="str">
        <x:f>IFERROR(INDEX('Crafting recipes'!$E$6:$E$1005,MATCH(B43,'Crafting recipes'!$A$6:$A$1005,0)),"MISSING ID")</x:f>
        <x:v>Partial proposal</x:v>
      </x:c>
      <x:c r="N43" s="4" t="str">
        <x:v>Select and size raw crystal offcuts for decorative setting work. Original boundary: Proposed tier edge; input candidate only, not complete recipe</x:v>
      </x:c>
      <x:c r="O43" s="4" t="str">
        <x:v>https://github.com/sleepyseamonster/Arc-Dust/blob/f6f98515c005dc3c73cccd9cbc031691745740c6/02-Arc-Dust-Worldbuilding/world/materials/canyon-depth-geology.md (source proposal; game route proposed)</x:v>
      </x:c>
      <x:c r="P43" s="4" t="n">
        <x:f>IF(OR(C43="Ingredient candidate",C43="Consumed input",C43="Contained input",C43="Transform input"),IF(F43="T0",0,IF(F43="T1",1,IF(F43="T2",2,IF(F43="T3",3,IF(F43="T4",4,-1))))),-1)</x:f>
        <x:v>0</x:v>
      </x:c>
      <x:c r="Q43" s="4" t="n">
        <x:f>IF(AND(OR(C43="Ingredient candidate",C43="Consumed input",C43="Contained input",C43="Transform input"),P43=-1),1,0)</x:f>
        <x:v>0</x:v>
      </x:c>
    </x:row>
    <x:row r="44" ht="85" customHeight="1">
      <x:c r="A44" s="4" t="str">
        <x:v>material.route.040</x:v>
      </x:c>
      <x:c r="B44" s="4" t="str">
        <x:v>design.refine.t1.shell_inlay</x:v>
      </x:c>
      <x:c r="C44" s="4" t="str">
        <x:v>Ingredient candidate</x:v>
      </x:c>
      <x:c r="D44" s="4" t="str">
        <x:v>proposal.bio.shell</x:v>
      </x:c>
      <x:c r="E44" s="4" t="str">
        <x:f>IFERROR(INDEX('Items'!$B$6:$B$1005,MATCH(D44,'Items'!$A$6:$A$1005,0)),"MISSING ID")</x:f>
        <x:v>Shell husks / shed plates</x:v>
      </x:c>
      <x:c r="F44" s="4" t="str">
        <x:f>IFERROR(INDEX('Items'!$C$6:$C$1005,MATCH(D44,'Items'!$A$6:$A$1005,0)),"MISSING ID")</x:f>
        <x:v>T0</x:v>
      </x:c>
      <x:c r="G44" s="4" t="str">
        <x:f>IFERROR(INDEX('Items'!$D$6:$D$1005,MATCH(D44,'Items'!$A$6:$A$1005,0)),"MISSING ID")</x:f>
        <x:v>Biological resources</x:v>
      </x:c>
      <x:c r="H44" s="4" t="str">
        <x:f>IFERROR(INDEX('Items'!$X$6:$X$1005,MATCH(D44,'Items'!$A$6:$A$1005,0)),"MISSING ID")</x:f>
        <x:v>Raw material</x:v>
      </x:c>
      <x:c r="I44" s="4"/>
      <x:c r="J44" s="4" t="str">
        <x:v>Unspecified</x:v>
      </x:c>
      <x:c r="K44" s="4" t="str">
        <x:f>IFERROR(INDEX('Crafting recipes'!$D$6:$D$1005,MATCH(B44,'Crafting recipes'!$A$6:$A$1005,0)),"MISSING ID")</x:f>
        <x:v>Proposal</x:v>
      </x:c>
      <x:c r="L44" s="4" t="str">
        <x:f>IFERROR(INDEX('Items'!$AD$6:$AD$1005,MATCH(D44,'Items'!$A$6:$A$1005,0)),"MISSING ID")</x:f>
        <x:v>Author direction</x:v>
      </x:c>
      <x:c r="M44" s="4" t="str">
        <x:f>IFERROR(INDEX('Crafting recipes'!$E$6:$E$1005,MATCH(B44,'Crafting recipes'!$A$6:$A$1005,0)),"MISSING ID")</x:f>
        <x:v>Partial proposal</x:v>
      </x:c>
      <x:c r="N44" s="4" t="str">
        <x:v>Select and prepare small shell surfaces for decorative inlay stock. Original boundary: Proposed tier edge; input candidate only, not complete recipe</x:v>
      </x:c>
      <x:c r="O44" s="4" t="str">
        <x:v>https://github.com/sleepyseamonster/Arc-Dust/blob/f6f98515c005dc3c73cccd9cbc031691745740c6/02-Arc-Dust-Worldbuilding/world/economy/canister-identity.md (source proposal; game route proposed)</x:v>
      </x:c>
      <x:c r="P44" s="4" t="n">
        <x:f>IF(OR(C44="Ingredient candidate",C44="Consumed input",C44="Contained input",C44="Transform input"),IF(F44="T0",0,IF(F44="T1",1,IF(F44="T2",2,IF(F44="T3",3,IF(F44="T4",4,-1))))),-1)</x:f>
        <x:v>0</x:v>
      </x:c>
      <x:c r="Q44" s="4" t="n">
        <x:f>IF(AND(OR(C44="Ingredient candidate",C44="Consumed input",C44="Contained input",C44="Transform input"),P44=-1),1,0)</x:f>
        <x:v>0</x:v>
      </x:c>
    </x:row>
    <x:row r="45" ht="85" customHeight="1">
      <x:c r="A45" s="4" t="str">
        <x:v>material.route.041</x:v>
      </x:c>
      <x:c r="B45" s="4" t="str">
        <x:v>design.refine.t1.mica_window</x:v>
      </x:c>
      <x:c r="C45" s="4" t="str">
        <x:v>Ingredient candidate</x:v>
      </x:c>
      <x:c r="D45" s="4" t="str">
        <x:v>proposal.natural.mica</x:v>
      </x:c>
      <x:c r="E45" s="4" t="str">
        <x:f>IFERROR(INDEX('Items'!$B$6:$B$1005,MATCH(D45,'Items'!$A$6:$A$1005,0)),"MISSING ID")</x:f>
        <x:v>Mica sheets</x:v>
      </x:c>
      <x:c r="F45" s="4" t="str">
        <x:f>IFERROR(INDEX('Items'!$C$6:$C$1005,MATCH(D45,'Items'!$A$6:$A$1005,0)),"MISSING ID")</x:f>
        <x:v>T0</x:v>
      </x:c>
      <x:c r="G45" s="4" t="str">
        <x:f>IFERROR(INDEX('Items'!$D$6:$D$1005,MATCH(D45,'Items'!$A$6:$A$1005,0)),"MISSING ID")</x:f>
        <x:v>Salvage</x:v>
      </x:c>
      <x:c r="H45" s="4" t="str">
        <x:f>IFERROR(INDEX('Items'!$X$6:$X$1005,MATCH(D45,'Items'!$A$6:$A$1005,0)),"MISSING ID")</x:f>
        <x:v>Raw material</x:v>
      </x:c>
      <x:c r="I45" s="4"/>
      <x:c r="J45" s="4" t="str">
        <x:v>Unspecified</x:v>
      </x:c>
      <x:c r="K45" s="4" t="str">
        <x:f>IFERROR(INDEX('Crafting recipes'!$D$6:$D$1005,MATCH(B45,'Crafting recipes'!$A$6:$A$1005,0)),"MISSING ID")</x:f>
        <x:v>Proposal</x:v>
      </x:c>
      <x:c r="L45" s="4" t="str">
        <x:f>IFERROR(INDEX('Items'!$AD$6:$AD$1005,MATCH(D45,'Items'!$A$6:$A$1005,0)),"MISSING ID")</x:f>
        <x:v>Proposal</x:v>
      </x:c>
      <x:c r="M45" s="4" t="str">
        <x:f>IFERROR(INDEX('Crafting recipes'!$E$6:$E$1005,MATCH(B45,'Crafting recipes'!$A$6:$A$1005,0)),"MISSING ID")</x:f>
        <x:v>Partial proposal</x:v>
      </x:c>
      <x:c r="N45" s="4" t="str">
        <x:v>Split, select and size a suitable raw sheet for a proposed viewing/cover insert. Original boundary: Proposed tier edge; input candidate only, not complete recipe</x:v>
      </x:c>
      <x:c r="O45" s="4" t="str">
        <x:v>https://github.com/sleepyseamonster/Arc-Dust/blob/f6f98515c005dc3c73cccd9cbc031691745740c6/02-Arc-Dust-Worldbuilding/world/materials/industrial-material-palette.md (source proposal; game route proposed)</x:v>
      </x:c>
      <x:c r="P45" s="4" t="n">
        <x:f>IF(OR(C45="Ingredient candidate",C45="Consumed input",C45="Contained input",C45="Transform input"),IF(F45="T0",0,IF(F45="T1",1,IF(F45="T2",2,IF(F45="T3",3,IF(F45="T4",4,-1))))),-1)</x:f>
        <x:v>0</x:v>
      </x:c>
      <x:c r="Q45" s="4" t="n">
        <x:f>IF(AND(OR(C45="Ingredient candidate",C45="Consumed input",C45="Contained input",C45="Transform input"),P45=-1),1,0)</x:f>
        <x:v>0</x:v>
      </x:c>
    </x:row>
    <x:row r="46" ht="85" customHeight="1">
      <x:c r="A46" s="4"/>
      <x:c r="B46" s="4"/>
      <x:c r="C46" s="4"/>
      <x:c r="D46" s="4"/>
      <x:c r="E46" s="4"/>
      <x:c r="F46" s="4"/>
      <x:c r="G46" s="4"/>
      <x:c r="H46" s="4"/>
      <x:c r="I46" s="4"/>
      <x:c r="J46" s="4"/>
      <x:c r="K46" s="4"/>
      <x:c r="L46" s="4"/>
      <x:c r="M46" s="4"/>
      <x:c r="N46" s="4"/>
      <x:c r="O46" s="4"/>
      <x:c r="P46" s="4"/>
      <x:c r="Q46" s="4"/>
    </x:row>
    <x:row r="47" ht="85" customHeight="1">
      <x:c r="A47" s="4" t="str">
        <x:v>material.route.043</x:v>
      </x:c>
      <x:c r="B47" s="4" t="str">
        <x:v>design.refine.natural.iron_stock</x:v>
      </x:c>
      <x:c r="C47" s="4" t="str">
        <x:v>Ingredient candidate</x:v>
      </x:c>
      <x:c r="D47" s="4" t="str">
        <x:v>proposal.t1.iron_bloom</x:v>
      </x:c>
      <x:c r="E47" s="4" t="str">
        <x:f>IFERROR(INDEX('Items'!$B$6:$B$1005,MATCH(D47,'Items'!$A$6:$A$1005,0)),"MISSING ID")</x:f>
        <x:v>Smelted iron bloom</x:v>
      </x:c>
      <x:c r="F47" s="4" t="str">
        <x:f>IFERROR(INDEX('Items'!$C$6:$C$1005,MATCH(D47,'Items'!$A$6:$A$1005,0)),"MISSING ID")</x:f>
        <x:v>T1</x:v>
      </x:c>
      <x:c r="G47" s="4" t="str">
        <x:f>IFERROR(INDEX('Items'!$D$6:$D$1005,MATCH(D47,'Items'!$A$6:$A$1005,0)),"MISSING ID")</x:f>
        <x:v>Manufactured stock</x:v>
      </x:c>
      <x:c r="H47" s="4" t="str">
        <x:f>IFERROR(INDEX('Items'!$X$6:$X$1005,MATCH(D47,'Items'!$A$6:$A$1005,0)),"MISSING ID")</x:f>
        <x:v>Processed material</x:v>
      </x:c>
      <x:c r="I47" s="4"/>
      <x:c r="J47" s="4" t="str">
        <x:v>Unspecified</x:v>
      </x:c>
      <x:c r="K47" s="4" t="str">
        <x:f>IFERROR(INDEX('Crafting recipes'!$D$6:$D$1005,MATCH(B47,'Crafting recipes'!$A$6:$A$1005,0)),"MISSING ID")</x:f>
        <x:v>Proposal</x:v>
      </x:c>
      <x:c r="L47" s="4" t="str">
        <x:f>IFERROR(INDEX('Items'!$AD$6:$AD$1005,MATCH(D47,'Items'!$A$6:$A$1005,0)),"MISSING ID")</x:f>
        <x:v>Proposal</x:v>
      </x:c>
      <x:c r="M47" s="4" t="str">
        <x:f>IFERROR(INDEX('Crafting recipes'!$E$6:$E$1005,MATCH(B47,'Crafting recipes'!$A$6:$A$1005,0)),"MISSING ID")</x:f>
        <x:v>Partial proposal</x:v>
      </x:c>
      <x:c r="N47" s="4" t="str">
        <x:v>Work selected first metal into repair/structural stock. Original boundary: Proposed tier edge; input candidate only, not complete recipe</x:v>
      </x:c>
      <x:c r="O47" s="4" t="str">
        <x:v>New game proposal; no complete recipe</x:v>
      </x:c>
      <x:c r="P47" s="4" t="n">
        <x:f>IF(OR(C47="Ingredient candidate",C47="Consumed input",C47="Contained input",C47="Transform input"),IF(F47="T0",0,IF(F47="T1",1,IF(F47="T2",2,IF(F47="T3",3,IF(F47="T4",4,-1))))),-1)</x:f>
        <x:v>1</x:v>
      </x:c>
      <x:c r="Q47" s="4" t="n">
        <x:f>IF(AND(OR(C47="Ingredient candidate",C47="Consumed input",C47="Contained input",C47="Transform input"),P47=-1),1,0)</x:f>
        <x:v>0</x:v>
      </x:c>
    </x:row>
    <x:row r="48" ht="85" customHeight="1">
      <x:c r="A48" s="4" t="str">
        <x:v>material.route.044</x:v>
      </x:c>
      <x:c r="B48" s="4" t="str">
        <x:v>design.refine.bio.laminate</x:v>
      </x:c>
      <x:c r="C48" s="4" t="str">
        <x:v>Ingredient candidate</x:v>
      </x:c>
      <x:c r="D48" s="4" t="str">
        <x:v>proposal.t1.shell_lamina</x:v>
      </x:c>
      <x:c r="E48" s="4" t="str">
        <x:f>IFERROR(INDEX('Items'!$B$6:$B$1005,MATCH(D48,'Items'!$A$6:$A$1005,0)),"MISSING ID")</x:f>
        <x:v>Separated shell lamina stock</x:v>
      </x:c>
      <x:c r="F48" s="4" t="str">
        <x:f>IFERROR(INDEX('Items'!$C$6:$C$1005,MATCH(D48,'Items'!$A$6:$A$1005,0)),"MISSING ID")</x:f>
        <x:v>T1</x:v>
      </x:c>
      <x:c r="G48" s="4" t="str">
        <x:f>IFERROR(INDEX('Items'!$D$6:$D$1005,MATCH(D48,'Items'!$A$6:$A$1005,0)),"MISSING ID")</x:f>
        <x:v>Manufactured stock</x:v>
      </x:c>
      <x:c r="H48" s="4" t="str">
        <x:f>IFERROR(INDEX('Items'!$X$6:$X$1005,MATCH(D48,'Items'!$A$6:$A$1005,0)),"MISSING ID")</x:f>
        <x:v>Processed material</x:v>
      </x:c>
      <x:c r="I48" s="4"/>
      <x:c r="J48" s="4" t="str">
        <x:v>Unspecified</x:v>
      </x:c>
      <x:c r="K48" s="4" t="str">
        <x:f>IFERROR(INDEX('Crafting recipes'!$D$6:$D$1005,MATCH(B48,'Crafting recipes'!$A$6:$A$1005,0)),"MISSING ID")</x:f>
        <x:v>Proposal</x:v>
      </x:c>
      <x:c r="L48" s="4" t="str">
        <x:f>IFERROR(INDEX('Items'!$AD$6:$AD$1005,MATCH(D48,'Items'!$A$6:$A$1005,0)),"MISSING ID")</x:f>
        <x:v>Proposal</x:v>
      </x:c>
      <x:c r="M48" s="4" t="str">
        <x:f>IFERROR(INDEX('Crafting recipes'!$E$6:$E$1005,MATCH(B48,'Crafting recipes'!$A$6:$A$1005,0)),"MISSING ID")</x:f>
        <x:v>Partial proposal</x:v>
      </x:c>
      <x:c r="N48" s="4" t="str">
        <x:v>Proposed sheet input for layered shell material. Original boundary: Proposed tier edge; input candidate only, not complete recipe</x:v>
      </x:c>
      <x:c r="O48" s="4" t="str">
        <x:v>New game proposal; no complete recipe</x:v>
      </x:c>
      <x:c r="P48" s="4" t="n">
        <x:f>IF(OR(C48="Ingredient candidate",C48="Consumed input",C48="Contained input",C48="Transform input"),IF(F48="T0",0,IF(F48="T1",1,IF(F48="T2",2,IF(F48="T3",3,IF(F48="T4",4,-1))))),-1)</x:f>
        <x:v>1</x:v>
      </x:c>
      <x:c r="Q48" s="4" t="n">
        <x:f>IF(AND(OR(C48="Ingredient candidate",C48="Consumed input",C48="Contained input",C48="Transform input"),P48=-1),1,0)</x:f>
        <x:v>0</x:v>
      </x:c>
    </x:row>
    <x:row r="49" ht="85" customHeight="1">
      <x:c r="A49" s="4" t="str">
        <x:v>material.route.045</x:v>
      </x:c>
      <x:c r="B49" s="4" t="str">
        <x:v>design.refine.bio.laminate</x:v>
      </x:c>
      <x:c r="C49" s="4" t="str">
        <x:v>Ingredient candidate</x:v>
      </x:c>
      <x:c r="D49" s="4" t="str">
        <x:v>proposal.t1.shell_adhesive</x:v>
      </x:c>
      <x:c r="E49" s="4" t="str">
        <x:f>IFERROR(INDEX('Items'!$B$6:$B$1005,MATCH(D49,'Items'!$A$6:$A$1005,0)),"MISSING ID")</x:f>
        <x:v>Prepared shell-binding adhesive</x:v>
      </x:c>
      <x:c r="F49" s="4" t="str">
        <x:f>IFERROR(INDEX('Items'!$C$6:$C$1005,MATCH(D49,'Items'!$A$6:$A$1005,0)),"MISSING ID")</x:f>
        <x:v>T1</x:v>
      </x:c>
      <x:c r="G49" s="4" t="str">
        <x:f>IFERROR(INDEX('Items'!$D$6:$D$1005,MATCH(D49,'Items'!$A$6:$A$1005,0)),"MISSING ID")</x:f>
        <x:v>Crafting components</x:v>
      </x:c>
      <x:c r="H49" s="4" t="str">
        <x:f>IFERROR(INDEX('Items'!$X$6:$X$1005,MATCH(D49,'Items'!$A$6:$A$1005,0)),"MISSING ID")</x:f>
        <x:v>Chemical material</x:v>
      </x:c>
      <x:c r="I49" s="4"/>
      <x:c r="J49" s="4" t="str">
        <x:v>Unspecified</x:v>
      </x:c>
      <x:c r="K49" s="4" t="str">
        <x:f>IFERROR(INDEX('Crafting recipes'!$D$6:$D$1005,MATCH(B49,'Crafting recipes'!$A$6:$A$1005,0)),"MISSING ID")</x:f>
        <x:v>Proposal</x:v>
      </x:c>
      <x:c r="L49" s="4" t="str">
        <x:f>IFERROR(INDEX('Items'!$AD$6:$AD$1005,MATCH(D49,'Items'!$A$6:$A$1005,0)),"MISSING ID")</x:f>
        <x:v>Proposal</x:v>
      </x:c>
      <x:c r="M49" s="4" t="str">
        <x:f>IFERROR(INDEX('Crafting recipes'!$E$6:$E$1005,MATCH(B49,'Crafting recipes'!$A$6:$A$1005,0)),"MISSING ID")</x:f>
        <x:v>Partial proposal</x:v>
      </x:c>
      <x:c r="N49" s="4" t="str">
        <x:v>Proposed compatible binder input for the same laminate route. Original boundary: Proposed tier edge; input candidate only, not complete recipe</x:v>
      </x:c>
      <x:c r="O49" s="4" t="str">
        <x:v>New game proposal; no complete recipe</x:v>
      </x:c>
      <x:c r="P49" s="4" t="n">
        <x:f>IF(OR(C49="Ingredient candidate",C49="Consumed input",C49="Contained input",C49="Transform input"),IF(F49="T0",0,IF(F49="T1",1,IF(F49="T2",2,IF(F49="T3",3,IF(F49="T4",4,-1))))),-1)</x:f>
        <x:v>1</x:v>
      </x:c>
      <x:c r="Q49" s="4" t="n">
        <x:f>IF(AND(OR(C49="Ingredient candidate",C49="Consumed input",C49="Contained input",C49="Transform input"),P49=-1),1,0)</x:f>
        <x:v>0</x:v>
      </x:c>
    </x:row>
    <x:row r="50" ht="85" customHeight="1">
      <x:c r="A50" s="4" t="str">
        <x:v>material.route.046</x:v>
      </x:c>
      <x:c r="B50" s="4" t="str">
        <x:v>design.refine.lubricant.joint_grease</x:v>
      </x:c>
      <x:c r="C50" s="4" t="str">
        <x:v>Ingredient candidate</x:v>
      </x:c>
      <x:c r="D50" s="4" t="str">
        <x:v>proposal.lubricant.base</x:v>
      </x:c>
      <x:c r="E50" s="4" t="str">
        <x:f>IFERROR(INDEX('Items'!$B$6:$B$1005,MATCH(D50,'Items'!$A$6:$A$1005,0)),"MISSING ID")</x:f>
        <x:v>Clarified faunal lubricant base</x:v>
      </x:c>
      <x:c r="F50" s="4" t="str">
        <x:f>IFERROR(INDEX('Items'!$C$6:$C$1005,MATCH(D50,'Items'!$A$6:$A$1005,0)),"MISSING ID")</x:f>
        <x:v>T1</x:v>
      </x:c>
      <x:c r="G50" s="4" t="str">
        <x:f>IFERROR(INDEX('Items'!$D$6:$D$1005,MATCH(D50,'Items'!$A$6:$A$1005,0)),"MISSING ID")</x:f>
        <x:v>Crafting components</x:v>
      </x:c>
      <x:c r="H50" s="4" t="str">
        <x:f>IFERROR(INDEX('Items'!$X$6:$X$1005,MATCH(D50,'Items'!$A$6:$A$1005,0)),"MISSING ID")</x:f>
        <x:v>Chemical material</x:v>
      </x:c>
      <x:c r="I50" s="4"/>
      <x:c r="J50" s="4" t="str">
        <x:v>Unspecified</x:v>
      </x:c>
      <x:c r="K50" s="4" t="str">
        <x:f>IFERROR(INDEX('Crafting recipes'!$D$6:$D$1005,MATCH(B50,'Crafting recipes'!$A$6:$A$1005,0)),"MISSING ID")</x:f>
        <x:v>Proposal</x:v>
      </x:c>
      <x:c r="L50" s="4" t="str">
        <x:f>IFERROR(INDEX('Items'!$AD$6:$AD$1005,MATCH(D50,'Items'!$A$6:$A$1005,0)),"MISSING ID")</x:f>
        <x:v>Proposal</x:v>
      </x:c>
      <x:c r="M50" s="4" t="str">
        <x:f>IFERROR(INDEX('Crafting recipes'!$E$6:$E$1005,MATCH(B50,'Crafting recipes'!$A$6:$A$1005,0)),"MISSING ID")</x:f>
        <x:v>Partial proposal</x:v>
      </x:c>
      <x:c r="N50" s="4" t="str">
        <x:v>Candidate base input for formulated joint grease. Original boundary: Proposed tier edge; input candidate only, not complete recipe</x:v>
      </x:c>
      <x:c r="O50" s="4" t="str">
        <x:v>New game proposal; no complete recipe</x:v>
      </x:c>
      <x:c r="P50" s="4" t="n">
        <x:f>IF(OR(C50="Ingredient candidate",C50="Consumed input",C50="Contained input",C50="Transform input"),IF(F50="T0",0,IF(F50="T1",1,IF(F50="T2",2,IF(F50="T3",3,IF(F50="T4",4,-1))))),-1)</x:f>
        <x:v>1</x:v>
      </x:c>
      <x:c r="Q50" s="4" t="n">
        <x:f>IF(AND(OR(C50="Ingredient candidate",C50="Consumed input",C50="Contained input",C50="Transform input"),P50=-1),1,0)</x:f>
        <x:v>0</x:v>
      </x:c>
    </x:row>
    <x:row r="51" ht="85" customHeight="1">
      <x:c r="A51" s="4" t="str">
        <x:v>material.route.047</x:v>
      </x:c>
      <x:c r="B51" s="4" t="str">
        <x:v>design.refine.lubricant.joint_grease</x:v>
      </x:c>
      <x:c r="C51" s="4" t="str">
        <x:v>Ingredient candidate</x:v>
      </x:c>
      <x:c r="D51" s="4" t="str">
        <x:v>proposal.lubricant.thickener</x:v>
      </x:c>
      <x:c r="E51" s="4" t="str">
        <x:f>IFERROR(INDEX('Items'!$B$6:$B$1005,MATCH(D51,'Items'!$A$6:$A$1005,0)),"MISSING ID")</x:f>
        <x:v>Prepared secretion thickener</x:v>
      </x:c>
      <x:c r="F51" s="4" t="str">
        <x:f>IFERROR(INDEX('Items'!$C$6:$C$1005,MATCH(D51,'Items'!$A$6:$A$1005,0)),"MISSING ID")</x:f>
        <x:v>T1</x:v>
      </x:c>
      <x:c r="G51" s="4" t="str">
        <x:f>IFERROR(INDEX('Items'!$D$6:$D$1005,MATCH(D51,'Items'!$A$6:$A$1005,0)),"MISSING ID")</x:f>
        <x:v>Crafting components</x:v>
      </x:c>
      <x:c r="H51" s="4" t="str">
        <x:f>IFERROR(INDEX('Items'!$X$6:$X$1005,MATCH(D51,'Items'!$A$6:$A$1005,0)),"MISSING ID")</x:f>
        <x:v>Chemical material</x:v>
      </x:c>
      <x:c r="I51" s="4"/>
      <x:c r="J51" s="4" t="str">
        <x:v>Unspecified</x:v>
      </x:c>
      <x:c r="K51" s="4" t="str">
        <x:f>IFERROR(INDEX('Crafting recipes'!$D$6:$D$1005,MATCH(B51,'Crafting recipes'!$A$6:$A$1005,0)),"MISSING ID")</x:f>
        <x:v>Proposal</x:v>
      </x:c>
      <x:c r="L51" s="4" t="str">
        <x:f>IFERROR(INDEX('Items'!$AD$6:$AD$1005,MATCH(D51,'Items'!$A$6:$A$1005,0)),"MISSING ID")</x:f>
        <x:v>Proposal</x:v>
      </x:c>
      <x:c r="M51" s="4" t="str">
        <x:f>IFERROR(INDEX('Crafting recipes'!$E$6:$E$1005,MATCH(B51,'Crafting recipes'!$A$6:$A$1005,0)),"MISSING ID")</x:f>
        <x:v>Partial proposal</x:v>
      </x:c>
      <x:c r="N51" s="4" t="str">
        <x:v>Compatible thickener input for formulated joint grease. Original boundary: Proposed tier edge; input candidate only, not complete recipe</x:v>
      </x:c>
      <x:c r="O51" s="4" t="str">
        <x:v>New game proposal; no complete recipe</x:v>
      </x:c>
      <x:c r="P51" s="4" t="n">
        <x:f>IF(OR(C51="Ingredient candidate",C51="Consumed input",C51="Contained input",C51="Transform input"),IF(F51="T0",0,IF(F51="T1",1,IF(F51="T2",2,IF(F51="T3",3,IF(F51="T4",4,-1))))),-1)</x:f>
        <x:v>1</x:v>
      </x:c>
      <x:c r="Q51" s="4" t="n">
        <x:f>IF(AND(OR(C51="Ingredient candidate",C51="Consumed input",C51="Contained input",C51="Transform input"),P51=-1),1,0)</x:f>
        <x:v>0</x:v>
      </x:c>
    </x:row>
    <x:row r="52" ht="85" customHeight="1">
      <x:c r="A52" s="4" t="str">
        <x:v>output.design.refine.natural.iron_feed</x:v>
      </x:c>
      <x:c r="B52" s="4" t="str">
        <x:v>design.refine.natural.iron_feed</x:v>
      </x:c>
      <x:c r="C52" s="4" t="str">
        <x:v>Output</x:v>
      </x:c>
      <x:c r="D52" s="4" t="str">
        <x:v>proposal.natural.iron_feed</x:v>
      </x:c>
      <x:c r="E52" s="4" t="str">
        <x:f>IFERROR(INDEX('Items'!$B$6:$B$1005,MATCH(D52,'Items'!$A$6:$A$1005,0)),"MISSING ID")</x:f>
        <x:v>Iron-rich mineral feed</x:v>
      </x:c>
      <x:c r="F52" s="4" t="str">
        <x:f>IFERROR(INDEX('Items'!$C$6:$C$1005,MATCH(D52,'Items'!$A$6:$A$1005,0)),"MISSING ID")</x:f>
        <x:v>T1</x:v>
      </x:c>
      <x:c r="G52" s="4" t="str">
        <x:f>IFERROR(INDEX('Items'!$D$6:$D$1005,MATCH(D52,'Items'!$A$6:$A$1005,0)),"MISSING ID")</x:f>
        <x:v>Manufactured stock</x:v>
      </x:c>
      <x:c r="H52" s="4" t="str">
        <x:f>IFERROR(INDEX('Items'!$X$6:$X$1005,MATCH(D52,'Items'!$A$6:$A$1005,0)),"MISSING ID")</x:f>
        <x:v>Processed material</x:v>
      </x:c>
      <x:c r="I52" s="4"/>
      <x:c r="J52" s="4" t="str">
        <x:v>Unspecified</x:v>
      </x:c>
      <x:c r="K52" s="4" t="str">
        <x:f>IFERROR(INDEX('Crafting recipes'!$D$6:$D$1005,MATCH(B52,'Crafting recipes'!$A$6:$A$1005,0)),"MISSING ID")</x:f>
        <x:v>Proposal</x:v>
      </x:c>
      <x:c r="L52" s="4" t="str">
        <x:f>IFERROR(INDEX('Items'!$AD$6:$AD$1005,MATCH(D52,'Items'!$A$6:$A$1005,0)),"MISSING ID")</x:f>
        <x:v>Proposal</x:v>
      </x:c>
      <x:c r="M52" s="4" t="str">
        <x:f>IFERROR(INDEX('Crafting recipes'!$E$6:$E$1005,MATCH(B52,'Crafting recipes'!$A$6:$A$1005,0)),"MISSING ID")</x:f>
        <x:v>Partial proposal</x:v>
      </x:c>
      <x:c r="N52" s="4" t="str">
        <x:v>Proposed output; yield and complete formulation unresolved.</x:v>
      </x:c>
      <x:c r="O52" s="4" t="str">
        <x:v>New game proposal; no complete recipe</x:v>
      </x:c>
      <x:c r="P52" s="4" t="n">
        <x:f>IF(OR(C52="Ingredient candidate",C52="Consumed input",C52="Contained input",C52="Transform input"),IF(F52="T0",0,IF(F52="T1",1,IF(F52="T2",2,IF(F52="T3",3,IF(F52="T4",4,-1))))),-1)</x:f>
        <x:v>-1</x:v>
      </x:c>
      <x:c r="Q52" s="4" t="n">
        <x:f>IF(AND(OR(C52="Ingredient candidate",C52="Consumed input",C52="Contained input",C52="Transform input"),P52=-1),1,0)</x:f>
        <x:v>0</x:v>
      </x:c>
    </x:row>
    <x:row r="53" ht="85" customHeight="1">
      <x:c r="A53" s="4" t="str">
        <x:v>output.design.refine.natural.abrasive</x:v>
      </x:c>
      <x:c r="B53" s="4" t="str">
        <x:v>design.refine.natural.abrasive</x:v>
      </x:c>
      <x:c r="C53" s="4" t="str">
        <x:v>Output</x:v>
      </x:c>
      <x:c r="D53" s="4" t="str">
        <x:v>proposal.natural.abrasive</x:v>
      </x:c>
      <x:c r="E53" s="4" t="str">
        <x:f>IFERROR(INDEX('Items'!$B$6:$B$1005,MATCH(D53,'Items'!$A$6:$A$1005,0)),"MISSING ID")</x:f>
        <x:v>Graded abrasive grit</x:v>
      </x:c>
      <x:c r="F53" s="4" t="str">
        <x:f>IFERROR(INDEX('Items'!$C$6:$C$1005,MATCH(D53,'Items'!$A$6:$A$1005,0)),"MISSING ID")</x:f>
        <x:v>T1</x:v>
      </x:c>
      <x:c r="G53" s="4" t="str">
        <x:f>IFERROR(INDEX('Items'!$D$6:$D$1005,MATCH(D53,'Items'!$A$6:$A$1005,0)),"MISSING ID")</x:f>
        <x:v>Manufactured stock</x:v>
      </x:c>
      <x:c r="H53" s="4" t="str">
        <x:f>IFERROR(INDEX('Items'!$X$6:$X$1005,MATCH(D53,'Items'!$A$6:$A$1005,0)),"MISSING ID")</x:f>
        <x:v>Processed material</x:v>
      </x:c>
      <x:c r="I53" s="4"/>
      <x:c r="J53" s="4" t="str">
        <x:v>Unspecified</x:v>
      </x:c>
      <x:c r="K53" s="4" t="str">
        <x:f>IFERROR(INDEX('Crafting recipes'!$D$6:$D$1005,MATCH(B53,'Crafting recipes'!$A$6:$A$1005,0)),"MISSING ID")</x:f>
        <x:v>Proposal</x:v>
      </x:c>
      <x:c r="L53" s="4" t="str">
        <x:f>IFERROR(INDEX('Items'!$AD$6:$AD$1005,MATCH(D53,'Items'!$A$6:$A$1005,0)),"MISSING ID")</x:f>
        <x:v>Proposal</x:v>
      </x:c>
      <x:c r="M53" s="4" t="str">
        <x:f>IFERROR(INDEX('Crafting recipes'!$E$6:$E$1005,MATCH(B53,'Crafting recipes'!$A$6:$A$1005,0)),"MISSING ID")</x:f>
        <x:v>Partial proposal</x:v>
      </x:c>
      <x:c r="N53" s="4" t="str">
        <x:v>Proposed output; yield and complete formulation unresolved.</x:v>
      </x:c>
      <x:c r="O53" s="4" t="str">
        <x:v>New game proposal; no complete recipe</x:v>
      </x:c>
      <x:c r="P53" s="4" t="n">
        <x:f>IF(OR(C53="Ingredient candidate",C53="Consumed input",C53="Contained input",C53="Transform input"),IF(F53="T0",0,IF(F53="T1",1,IF(F53="T2",2,IF(F53="T3",3,IF(F53="T4",4,-1))))),-1)</x:f>
        <x:v>-1</x:v>
      </x:c>
      <x:c r="Q53" s="4" t="n">
        <x:f>IF(AND(OR(C53="Ingredient candidate",C53="Consumed input",C53="Contained input",C53="Transform input"),P53=-1),1,0)</x:f>
        <x:v>0</x:v>
      </x:c>
    </x:row>
    <x:row r="54" ht="85" customHeight="1">
      <x:c r="A54" s="4" t="str">
        <x:v>output.design.refine.natural.carbon</x:v>
      </x:c>
      <x:c r="B54" s="4" t="str">
        <x:v>design.refine.natural.carbon</x:v>
      </x:c>
      <x:c r="C54" s="4" t="str">
        <x:v>Output</x:v>
      </x:c>
      <x:c r="D54" s="4" t="str">
        <x:v>proposal.natural.carbon</x:v>
      </x:c>
      <x:c r="E54" s="4" t="str">
        <x:f>IFERROR(INDEX('Items'!$B$6:$B$1005,MATCH(D54,'Items'!$A$6:$A$1005,0)),"MISSING ID")</x:f>
        <x:v>Graded graphite flakes</x:v>
      </x:c>
      <x:c r="F54" s="4" t="str">
        <x:f>IFERROR(INDEX('Items'!$C$6:$C$1005,MATCH(D54,'Items'!$A$6:$A$1005,0)),"MISSING ID")</x:f>
        <x:v>T1</x:v>
      </x:c>
      <x:c r="G54" s="4" t="str">
        <x:f>IFERROR(INDEX('Items'!$D$6:$D$1005,MATCH(D54,'Items'!$A$6:$A$1005,0)),"MISSING ID")</x:f>
        <x:v>Manufactured stock</x:v>
      </x:c>
      <x:c r="H54" s="4" t="str">
        <x:f>IFERROR(INDEX('Items'!$X$6:$X$1005,MATCH(D54,'Items'!$A$6:$A$1005,0)),"MISSING ID")</x:f>
        <x:v>Processed material</x:v>
      </x:c>
      <x:c r="I54" s="4"/>
      <x:c r="J54" s="4" t="str">
        <x:v>Unspecified</x:v>
      </x:c>
      <x:c r="K54" s="4" t="str">
        <x:f>IFERROR(INDEX('Crafting recipes'!$D$6:$D$1005,MATCH(B54,'Crafting recipes'!$A$6:$A$1005,0)),"MISSING ID")</x:f>
        <x:v>Proposal</x:v>
      </x:c>
      <x:c r="L54" s="4" t="str">
        <x:f>IFERROR(INDEX('Items'!$AD$6:$AD$1005,MATCH(D54,'Items'!$A$6:$A$1005,0)),"MISSING ID")</x:f>
        <x:v>Proposal</x:v>
      </x:c>
      <x:c r="M54" s="4" t="str">
        <x:f>IFERROR(INDEX('Crafting recipes'!$E$6:$E$1005,MATCH(B54,'Crafting recipes'!$A$6:$A$1005,0)),"MISSING ID")</x:f>
        <x:v>Partial proposal</x:v>
      </x:c>
      <x:c r="N54" s="4" t="str">
        <x:v>Proposed output; yield and complete formulation unresolved.</x:v>
      </x:c>
      <x:c r="O54" s="4" t="str">
        <x:v>New game proposal; no complete recipe</x:v>
      </x:c>
      <x:c r="P54" s="4" t="n">
        <x:f>IF(OR(C54="Ingredient candidate",C54="Consumed input",C54="Contained input",C54="Transform input"),IF(F54="T0",0,IF(F54="T1",1,IF(F54="T2",2,IF(F54="T3",3,IF(F54="T4",4,-1))))),-1)</x:f>
        <x:v>-1</x:v>
      </x:c>
      <x:c r="Q54" s="4" t="n">
        <x:f>IF(AND(OR(C54="Ingredient candidate",C54="Consumed input",C54="Contained input",C54="Transform input"),P54=-1),1,0)</x:f>
        <x:v>0</x:v>
      </x:c>
    </x:row>
    <x:row r="55" ht="85" customHeight="1">
      <x:c r="A55" s="4" t="str">
        <x:v>output.design.refine.natural.lime</x:v>
      </x:c>
      <x:c r="B55" s="4" t="str">
        <x:v>design.refine.natural.lime</x:v>
      </x:c>
      <x:c r="C55" s="4" t="str">
        <x:v>Output</x:v>
      </x:c>
      <x:c r="D55" s="4" t="str">
        <x:v>proposal.natural.lime</x:v>
      </x:c>
      <x:c r="E55" s="4" t="str">
        <x:f>IFERROR(INDEX('Items'!$B$6:$B$1005,MATCH(D55,'Items'!$A$6:$A$1005,0)),"MISSING ID")</x:f>
        <x:v>Calcined mineral binder</x:v>
      </x:c>
      <x:c r="F55" s="4" t="str">
        <x:f>IFERROR(INDEX('Items'!$C$6:$C$1005,MATCH(D55,'Items'!$A$6:$A$1005,0)),"MISSING ID")</x:f>
        <x:v>T1</x:v>
      </x:c>
      <x:c r="G55" s="4" t="str">
        <x:f>IFERROR(INDEX('Items'!$D$6:$D$1005,MATCH(D55,'Items'!$A$6:$A$1005,0)),"MISSING ID")</x:f>
        <x:v>Manufactured stock</x:v>
      </x:c>
      <x:c r="H55" s="4" t="str">
        <x:f>IFERROR(INDEX('Items'!$X$6:$X$1005,MATCH(D55,'Items'!$A$6:$A$1005,0)),"MISSING ID")</x:f>
        <x:v>Processed material</x:v>
      </x:c>
      <x:c r="I55" s="4"/>
      <x:c r="J55" s="4" t="str">
        <x:v>Unspecified</x:v>
      </x:c>
      <x:c r="K55" s="4" t="str">
        <x:f>IFERROR(INDEX('Crafting recipes'!$D$6:$D$1005,MATCH(B55,'Crafting recipes'!$A$6:$A$1005,0)),"MISSING ID")</x:f>
        <x:v>Proposal</x:v>
      </x:c>
      <x:c r="L55" s="4" t="str">
        <x:f>IFERROR(INDEX('Items'!$AD$6:$AD$1005,MATCH(D55,'Items'!$A$6:$A$1005,0)),"MISSING ID")</x:f>
        <x:v>Proposal</x:v>
      </x:c>
      <x:c r="M55" s="4" t="str">
        <x:f>IFERROR(INDEX('Crafting recipes'!$E$6:$E$1005,MATCH(B55,'Crafting recipes'!$A$6:$A$1005,0)),"MISSING ID")</x:f>
        <x:v>Partial proposal</x:v>
      </x:c>
      <x:c r="N55" s="4" t="str">
        <x:v>Proposed output; yield and complete formulation unresolved.</x:v>
      </x:c>
      <x:c r="O55" s="4" t="str">
        <x:v>New game proposal; no complete recipe</x:v>
      </x:c>
      <x:c r="P55" s="4" t="n">
        <x:f>IF(OR(C55="Ingredient candidate",C55="Consumed input",C55="Contained input",C55="Transform input"),IF(F55="T0",0,IF(F55="T1",1,IF(F55="T2",2,IF(F55="T3",3,IF(F55="T4",4,-1))))),-1)</x:f>
        <x:v>-1</x:v>
      </x:c>
      <x:c r="Q55" s="4" t="n">
        <x:f>IF(AND(OR(C55="Ingredient candidate",C55="Consumed input",C55="Contained input",C55="Transform input"),P55=-1),1,0)</x:f>
        <x:v>0</x:v>
      </x:c>
    </x:row>
    <x:row r="56" ht="85" customHeight="1">
      <x:c r="A56" s="4" t="str">
        <x:v>output.design.refine.ceramic.grog</x:v>
      </x:c>
      <x:c r="B56" s="4" t="str">
        <x:v>design.refine.ceramic.grog</x:v>
      </x:c>
      <x:c r="C56" s="4" t="str">
        <x:v>Output</x:v>
      </x:c>
      <x:c r="D56" s="4" t="str">
        <x:v>proposal.ceramic.grog</x:v>
      </x:c>
      <x:c r="E56" s="4" t="str">
        <x:f>IFERROR(INDEX('Items'!$B$6:$B$1005,MATCH(D56,'Items'!$A$6:$A$1005,0)),"MISSING ID")</x:f>
        <x:v>Crushed fired ceramic grit</x:v>
      </x:c>
      <x:c r="F56" s="4" t="str">
        <x:f>IFERROR(INDEX('Items'!$C$6:$C$1005,MATCH(D56,'Items'!$A$6:$A$1005,0)),"MISSING ID")</x:f>
        <x:v>T1</x:v>
      </x:c>
      <x:c r="G56" s="4" t="str">
        <x:f>IFERROR(INDEX('Items'!$D$6:$D$1005,MATCH(D56,'Items'!$A$6:$A$1005,0)),"MISSING ID")</x:f>
        <x:v>Manufactured stock</x:v>
      </x:c>
      <x:c r="H56" s="4" t="str">
        <x:f>IFERROR(INDEX('Items'!$X$6:$X$1005,MATCH(D56,'Items'!$A$6:$A$1005,0)),"MISSING ID")</x:f>
        <x:v>Processed material</x:v>
      </x:c>
      <x:c r="I56" s="4"/>
      <x:c r="J56" s="4" t="str">
        <x:v>Unspecified</x:v>
      </x:c>
      <x:c r="K56" s="4" t="str">
        <x:f>IFERROR(INDEX('Crafting recipes'!$D$6:$D$1005,MATCH(B56,'Crafting recipes'!$A$6:$A$1005,0)),"MISSING ID")</x:f>
        <x:v>Proposal</x:v>
      </x:c>
      <x:c r="L56" s="4" t="str">
        <x:f>IFERROR(INDEX('Items'!$AD$6:$AD$1005,MATCH(D56,'Items'!$A$6:$A$1005,0)),"MISSING ID")</x:f>
        <x:v>Proposal</x:v>
      </x:c>
      <x:c r="M56" s="4" t="str">
        <x:f>IFERROR(INDEX('Crafting recipes'!$E$6:$E$1005,MATCH(B56,'Crafting recipes'!$A$6:$A$1005,0)),"MISSING ID")</x:f>
        <x:v>Partial proposal</x:v>
      </x:c>
      <x:c r="N56" s="4" t="str">
        <x:v>Proposed output; yield and complete formulation unresolved.</x:v>
      </x:c>
      <x:c r="O56" s="4" t="str">
        <x:v>New game proposal; no complete recipe</x:v>
      </x:c>
      <x:c r="P56" s="4" t="n">
        <x:f>IF(OR(C56="Ingredient candidate",C56="Consumed input",C56="Contained input",C56="Transform input"),IF(F56="T0",0,IF(F56="T1",1,IF(F56="T2",2,IF(F56="T3",3,IF(F56="T4",4,-1))))),-1)</x:f>
        <x:v>-1</x:v>
      </x:c>
      <x:c r="Q56" s="4" t="n">
        <x:f>IF(AND(OR(C56="Ingredient candidate",C56="Consumed input",C56="Contained input",C56="Transform input"),P56=-1),1,0)</x:f>
        <x:v>0</x:v>
      </x:c>
    </x:row>
    <x:row r="57" ht="85" customHeight="1">
      <x:c r="A57" s="4"/>
      <x:c r="B57" s="4"/>
      <x:c r="C57" s="4"/>
      <x:c r="D57" s="4"/>
      <x:c r="E57" s="4"/>
      <x:c r="F57" s="4"/>
      <x:c r="G57" s="4"/>
      <x:c r="H57" s="4"/>
      <x:c r="I57" s="4"/>
      <x:c r="J57" s="4"/>
      <x:c r="K57" s="4"/>
      <x:c r="L57" s="4"/>
      <x:c r="M57" s="4"/>
      <x:c r="N57" s="4"/>
      <x:c r="O57" s="4"/>
      <x:c r="P57" s="4"/>
      <x:c r="Q57" s="4"/>
    </x:row>
    <x:row r="58" ht="85" customHeight="1">
      <x:c r="A58" s="4"/>
      <x:c r="B58" s="4"/>
      <x:c r="C58" s="4"/>
      <x:c r="D58" s="4"/>
      <x:c r="E58" s="4"/>
      <x:c r="F58" s="4"/>
      <x:c r="G58" s="4"/>
      <x:c r="H58" s="4"/>
      <x:c r="I58" s="4"/>
      <x:c r="J58" s="4"/>
      <x:c r="K58" s="4"/>
      <x:c r="L58" s="4"/>
      <x:c r="M58" s="4"/>
      <x:c r="N58" s="4"/>
      <x:c r="O58" s="4"/>
      <x:c r="P58" s="4"/>
      <x:c r="Q58" s="4"/>
    </x:row>
    <x:row r="59" ht="85" customHeight="1">
      <x:c r="A59" s="4" t="str">
        <x:v>output.design.refine.bio.hide_material</x:v>
      </x:c>
      <x:c r="B59" s="4" t="str">
        <x:v>design.refine.bio.hide_material</x:v>
      </x:c>
      <x:c r="C59" s="4" t="str">
        <x:v>Output</x:v>
      </x:c>
      <x:c r="D59" s="4" t="str">
        <x:v>proposal.bio.hide_material</x:v>
      </x:c>
      <x:c r="E59" s="4" t="str">
        <x:f>IFERROR(INDEX('Items'!$B$6:$B$1005,MATCH(D59,'Items'!$A$6:$A$1005,0)),"MISSING ID")</x:f>
        <x:v>Processed hide material</x:v>
      </x:c>
      <x:c r="F59" s="4" t="str">
        <x:f>IFERROR(INDEX('Items'!$C$6:$C$1005,MATCH(D59,'Items'!$A$6:$A$1005,0)),"MISSING ID")</x:f>
        <x:v>T1</x:v>
      </x:c>
      <x:c r="G59" s="4" t="str">
        <x:f>IFERROR(INDEX('Items'!$D$6:$D$1005,MATCH(D59,'Items'!$A$6:$A$1005,0)),"MISSING ID")</x:f>
        <x:v>Crafting components</x:v>
      </x:c>
      <x:c r="H59" s="4" t="str">
        <x:f>IFERROR(INDEX('Items'!$X$6:$X$1005,MATCH(D59,'Items'!$A$6:$A$1005,0)),"MISSING ID")</x:f>
        <x:v>Processed material</x:v>
      </x:c>
      <x:c r="I59" s="4"/>
      <x:c r="J59" s="4" t="str">
        <x:v>Unspecified</x:v>
      </x:c>
      <x:c r="K59" s="4" t="str">
        <x:f>IFERROR(INDEX('Crafting recipes'!$D$6:$D$1005,MATCH(B59,'Crafting recipes'!$A$6:$A$1005,0)),"MISSING ID")</x:f>
        <x:v>Proposal</x:v>
      </x:c>
      <x:c r="L59" s="4" t="str">
        <x:f>IFERROR(INDEX('Items'!$AD$6:$AD$1005,MATCH(D59,'Items'!$A$6:$A$1005,0)),"MISSING ID")</x:f>
        <x:v>Author direction</x:v>
      </x:c>
      <x:c r="M59" s="4" t="str">
        <x:f>IFERROR(INDEX('Crafting recipes'!$E$6:$E$1005,MATCH(B59,'Crafting recipes'!$A$6:$A$1005,0)),"MISSING ID")</x:f>
        <x:v>Partial proposal</x:v>
      </x:c>
      <x:c r="N59" s="4" t="str">
        <x:v>Proposed output; yield and complete formulation unresolved.</x:v>
      </x:c>
      <x:c r="O59" s="4" t="str">
        <x:v>New game proposal; no complete recipe</x:v>
      </x:c>
      <x:c r="P59" s="4" t="n">
        <x:f>IF(OR(C59="Ingredient candidate",C59="Consumed input",C59="Contained input",C59="Transform input"),IF(F59="T0",0,IF(F59="T1",1,IF(F59="T2",2,IF(F59="T3",3,IF(F59="T4",4,-1))))),-1)</x:f>
        <x:v>-1</x:v>
      </x:c>
      <x:c r="Q59" s="4" t="n">
        <x:f>IF(AND(OR(C59="Ingredient candidate",C59="Consumed input",C59="Contained input",C59="Transform input"),P59=-1),1,0)</x:f>
        <x:v>0</x:v>
      </x:c>
    </x:row>
    <x:row r="60" ht="85" customHeight="1">
      <x:c r="A60" s="4" t="str">
        <x:v>output.design.refine.bio.liner</x:v>
      </x:c>
      <x:c r="B60" s="4" t="str">
        <x:v>design.refine.bio.liner</x:v>
      </x:c>
      <x:c r="C60" s="4" t="str">
        <x:v>Output</x:v>
      </x:c>
      <x:c r="D60" s="4" t="str">
        <x:v>proposal.bio.liner</x:v>
      </x:c>
      <x:c r="E60" s="4" t="str">
        <x:f>IFERROR(INDEX('Items'!$B$6:$B$1005,MATCH(D60,'Items'!$A$6:$A$1005,0)),"MISSING ID")</x:f>
        <x:v>Pressed fur-fiber material</x:v>
      </x:c>
      <x:c r="F60" s="4" t="str">
        <x:f>IFERROR(INDEX('Items'!$C$6:$C$1005,MATCH(D60,'Items'!$A$6:$A$1005,0)),"MISSING ID")</x:f>
        <x:v>T1</x:v>
      </x:c>
      <x:c r="G60" s="4" t="str">
        <x:f>IFERROR(INDEX('Items'!$D$6:$D$1005,MATCH(D60,'Items'!$A$6:$A$1005,0)),"MISSING ID")</x:f>
        <x:v>Crafting components</x:v>
      </x:c>
      <x:c r="H60" s="4" t="str">
        <x:f>IFERROR(INDEX('Items'!$X$6:$X$1005,MATCH(D60,'Items'!$A$6:$A$1005,0)),"MISSING ID")</x:f>
        <x:v>Processed material</x:v>
      </x:c>
      <x:c r="I60" s="4"/>
      <x:c r="J60" s="4" t="str">
        <x:v>Unspecified</x:v>
      </x:c>
      <x:c r="K60" s="4" t="str">
        <x:f>IFERROR(INDEX('Crafting recipes'!$D$6:$D$1005,MATCH(B60,'Crafting recipes'!$A$6:$A$1005,0)),"MISSING ID")</x:f>
        <x:v>Proposal</x:v>
      </x:c>
      <x:c r="L60" s="4" t="str">
        <x:f>IFERROR(INDEX('Items'!$AD$6:$AD$1005,MATCH(D60,'Items'!$A$6:$A$1005,0)),"MISSING ID")</x:f>
        <x:v>Proposal</x:v>
      </x:c>
      <x:c r="M60" s="4" t="str">
        <x:f>IFERROR(INDEX('Crafting recipes'!$E$6:$E$1005,MATCH(B60,'Crafting recipes'!$A$6:$A$1005,0)),"MISSING ID")</x:f>
        <x:v>Partial proposal</x:v>
      </x:c>
      <x:c r="N60" s="4" t="str">
        <x:v>Proposed output; yield and complete formulation unresolved.</x:v>
      </x:c>
      <x:c r="O60" s="4" t="str">
        <x:v>New game proposal; no complete recipe</x:v>
      </x:c>
      <x:c r="P60" s="4" t="n">
        <x:f>IF(OR(C60="Ingredient candidate",C60="Consumed input",C60="Contained input",C60="Transform input"),IF(F60="T0",0,IF(F60="T1",1,IF(F60="T2",2,IF(F60="T3",3,IF(F60="T4",4,-1))))),-1)</x:f>
        <x:v>-1</x:v>
      </x:c>
      <x:c r="Q60" s="4" t="n">
        <x:f>IF(AND(OR(C60="Ingredient candidate",C60="Consumed input",C60="Contained input",C60="Transform input"),P60=-1),1,0)</x:f>
        <x:v>0</x:v>
      </x:c>
    </x:row>
    <x:row r="61" ht="85" customHeight="1">
      <x:c r="A61" s="4" t="str">
        <x:v>output.design.refine.bio.cord</x:v>
      </x:c>
      <x:c r="B61" s="4" t="str">
        <x:v>design.refine.bio.cord</x:v>
      </x:c>
      <x:c r="C61" s="4" t="str">
        <x:v>Output</x:v>
      </x:c>
      <x:c r="D61" s="4" t="str">
        <x:v>proposal.bio.cord</x:v>
      </x:c>
      <x:c r="E61" s="4" t="str">
        <x:f>IFERROR(INDEX('Items'!$B$6:$B$1005,MATCH(D61,'Items'!$A$6:$A$1005,0)),"MISSING ID")</x:f>
        <x:v>Tendon cord</x:v>
      </x:c>
      <x:c r="F61" s="4" t="str">
        <x:f>IFERROR(INDEX('Items'!$C$6:$C$1005,MATCH(D61,'Items'!$A$6:$A$1005,0)),"MISSING ID")</x:f>
        <x:v>T1</x:v>
      </x:c>
      <x:c r="G61" s="4" t="str">
        <x:f>IFERROR(INDEX('Items'!$D$6:$D$1005,MATCH(D61,'Items'!$A$6:$A$1005,0)),"MISSING ID")</x:f>
        <x:v>Crafting components</x:v>
      </x:c>
      <x:c r="H61" s="4" t="str">
        <x:f>IFERROR(INDEX('Items'!$X$6:$X$1005,MATCH(D61,'Items'!$A$6:$A$1005,0)),"MISSING ID")</x:f>
        <x:v>Crafting component</x:v>
      </x:c>
      <x:c r="I61" s="4"/>
      <x:c r="J61" s="4" t="str">
        <x:v>Unspecified</x:v>
      </x:c>
      <x:c r="K61" s="4" t="str">
        <x:f>IFERROR(INDEX('Crafting recipes'!$D$6:$D$1005,MATCH(B61,'Crafting recipes'!$A$6:$A$1005,0)),"MISSING ID")</x:f>
        <x:v>Proposal</x:v>
      </x:c>
      <x:c r="L61" s="4" t="str">
        <x:f>IFERROR(INDEX('Items'!$AD$6:$AD$1005,MATCH(D61,'Items'!$A$6:$A$1005,0)),"MISSING ID")</x:f>
        <x:v>Proposal</x:v>
      </x:c>
      <x:c r="M61" s="4" t="str">
        <x:f>IFERROR(INDEX('Crafting recipes'!$E$6:$E$1005,MATCH(B61,'Crafting recipes'!$A$6:$A$1005,0)),"MISSING ID")</x:f>
        <x:v>Partial proposal</x:v>
      </x:c>
      <x:c r="N61" s="4" t="str">
        <x:v>Proposed output; yield and complete formulation unresolved.</x:v>
      </x:c>
      <x:c r="O61" s="4" t="str">
        <x:v>New game proposal; no complete recipe</x:v>
      </x:c>
      <x:c r="P61" s="4" t="n">
        <x:f>IF(OR(C61="Ingredient candidate",C61="Consumed input",C61="Contained input",C61="Transform input"),IF(F61="T0",0,IF(F61="T1",1,IF(F61="T2",2,IF(F61="T3",3,IF(F61="T4",4,-1))))),-1)</x:f>
        <x:v>-1</x:v>
      </x:c>
      <x:c r="Q61" s="4" t="n">
        <x:f>IF(AND(OR(C61="Ingredient candidate",C61="Consumed input",C61="Contained input",C61="Transform input"),P61=-1),1,0)</x:f>
        <x:v>0</x:v>
      </x:c>
    </x:row>
    <x:row r="62" ht="85" customHeight="1">
      <x:c r="A62" s="4" t="str">
        <x:v>output.design.refine.bio.seal</x:v>
      </x:c>
      <x:c r="B62" s="4" t="str">
        <x:v>design.refine.bio.seal</x:v>
      </x:c>
      <x:c r="C62" s="4" t="str">
        <x:v>Output</x:v>
      </x:c>
      <x:c r="D62" s="4" t="str">
        <x:v>proposal.bio.seal</x:v>
      </x:c>
      <x:c r="E62" s="4" t="str">
        <x:f>IFERROR(INDEX('Items'!$B$6:$B$1005,MATCH(D62,'Items'!$A$6:$A$1005,0)),"MISSING ID")</x:f>
        <x:v>Membrane seal patches</x:v>
      </x:c>
      <x:c r="F62" s="4" t="str">
        <x:f>IFERROR(INDEX('Items'!$C$6:$C$1005,MATCH(D62,'Items'!$A$6:$A$1005,0)),"MISSING ID")</x:f>
        <x:v>T1</x:v>
      </x:c>
      <x:c r="G62" s="4" t="str">
        <x:f>IFERROR(INDEX('Items'!$D$6:$D$1005,MATCH(D62,'Items'!$A$6:$A$1005,0)),"MISSING ID")</x:f>
        <x:v>Crafting components</x:v>
      </x:c>
      <x:c r="H62" s="4" t="str">
        <x:f>IFERROR(INDEX('Items'!$X$6:$X$1005,MATCH(D62,'Items'!$A$6:$A$1005,0)),"MISSING ID")</x:f>
        <x:v>Crafting component</x:v>
      </x:c>
      <x:c r="I62" s="4"/>
      <x:c r="J62" s="4" t="str">
        <x:v>Unspecified</x:v>
      </x:c>
      <x:c r="K62" s="4" t="str">
        <x:f>IFERROR(INDEX('Crafting recipes'!$D$6:$D$1005,MATCH(B62,'Crafting recipes'!$A$6:$A$1005,0)),"MISSING ID")</x:f>
        <x:v>Proposal</x:v>
      </x:c>
      <x:c r="L62" s="4" t="str">
        <x:f>IFERROR(INDEX('Items'!$AD$6:$AD$1005,MATCH(D62,'Items'!$A$6:$A$1005,0)),"MISSING ID")</x:f>
        <x:v>Proposal</x:v>
      </x:c>
      <x:c r="M62" s="4" t="str">
        <x:f>IFERROR(INDEX('Crafting recipes'!$E$6:$E$1005,MATCH(B62,'Crafting recipes'!$A$6:$A$1005,0)),"MISSING ID")</x:f>
        <x:v>Partial proposal</x:v>
      </x:c>
      <x:c r="N62" s="4" t="str">
        <x:v>Proposed output; yield and complete formulation unresolved.</x:v>
      </x:c>
      <x:c r="O62" s="4" t="str">
        <x:v>New game proposal; no complete recipe</x:v>
      </x:c>
      <x:c r="P62" s="4" t="n">
        <x:f>IF(OR(C62="Ingredient candidate",C62="Consumed input",C62="Contained input",C62="Transform input"),IF(F62="T0",0,IF(F62="T1",1,IF(F62="T2",2,IF(F62="T3",3,IF(F62="T4",4,-1))))),-1)</x:f>
        <x:v>-1</x:v>
      </x:c>
      <x:c r="Q62" s="4" t="n">
        <x:f>IF(AND(OR(C62="Ingredient candidate",C62="Consumed input",C62="Contained input",C62="Transform input"),P62=-1),1,0)</x:f>
        <x:v>0</x:v>
      </x:c>
    </x:row>
    <x:row r="63" ht="85" customHeight="1">
      <x:c r="A63" s="4" t="str">
        <x:v>output.design.refine.bio.pressed_husk</x:v>
      </x:c>
      <x:c r="B63" s="4" t="str">
        <x:v>design.refine.bio.pressed_husk</x:v>
      </x:c>
      <x:c r="C63" s="4" t="str">
        <x:v>Output</x:v>
      </x:c>
      <x:c r="D63" s="4" t="str">
        <x:v>proposal.bio.pressed_husk</x:v>
      </x:c>
      <x:c r="E63" s="4" t="str">
        <x:f>IFERROR(INDEX('Items'!$B$6:$B$1005,MATCH(D63,'Items'!$A$6:$A$1005,0)),"MISSING ID")</x:f>
        <x:v>Pressed husk-fiber textile material</x:v>
      </x:c>
      <x:c r="F63" s="4" t="str">
        <x:f>IFERROR(INDEX('Items'!$C$6:$C$1005,MATCH(D63,'Items'!$A$6:$A$1005,0)),"MISSING ID")</x:f>
        <x:v>T1</x:v>
      </x:c>
      <x:c r="G63" s="4" t="str">
        <x:f>IFERROR(INDEX('Items'!$D$6:$D$1005,MATCH(D63,'Items'!$A$6:$A$1005,0)),"MISSING ID")</x:f>
        <x:v>Crafting components</x:v>
      </x:c>
      <x:c r="H63" s="4" t="str">
        <x:f>IFERROR(INDEX('Items'!$X$6:$X$1005,MATCH(D63,'Items'!$A$6:$A$1005,0)),"MISSING ID")</x:f>
        <x:v>Processed material</x:v>
      </x:c>
      <x:c r="I63" s="4"/>
      <x:c r="J63" s="4" t="str">
        <x:v>Unspecified</x:v>
      </x:c>
      <x:c r="K63" s="4" t="str">
        <x:f>IFERROR(INDEX('Crafting recipes'!$D$6:$D$1005,MATCH(B63,'Crafting recipes'!$A$6:$A$1005,0)),"MISSING ID")</x:f>
        <x:v>Proposal</x:v>
      </x:c>
      <x:c r="L63" s="4" t="str">
        <x:f>IFERROR(INDEX('Items'!$AD$6:$AD$1005,MATCH(D63,'Items'!$A$6:$A$1005,0)),"MISSING ID")</x:f>
        <x:v>Author direction</x:v>
      </x:c>
      <x:c r="M63" s="4" t="str">
        <x:f>IFERROR(INDEX('Crafting recipes'!$E$6:$E$1005,MATCH(B63,'Crafting recipes'!$A$6:$A$1005,0)),"MISSING ID")</x:f>
        <x:v>Partial proposal</x:v>
      </x:c>
      <x:c r="N63" s="4" t="str">
        <x:v>Proposed output; yield and complete formulation unresolved.</x:v>
      </x:c>
      <x:c r="O63" s="4" t="str">
        <x:v>New game proposal; no complete recipe</x:v>
      </x:c>
      <x:c r="P63" s="4" t="n">
        <x:f>IF(OR(C63="Ingredient candidate",C63="Consumed input",C63="Contained input",C63="Transform input"),IF(F63="T0",0,IF(F63="T1",1,IF(F63="T2",2,IF(F63="T3",3,IF(F63="T4",4,-1))))),-1)</x:f>
        <x:v>-1</x:v>
      </x:c>
      <x:c r="Q63" s="4" t="n">
        <x:f>IF(AND(OR(C63="Ingredient candidate",C63="Consumed input",C63="Contained input",C63="Transform input"),P63=-1),1,0)</x:f>
        <x:v>0</x:v>
      </x:c>
    </x:row>
    <x:row r="64" ht="85" customHeight="1">
      <x:c r="A64" s="4" t="str">
        <x:v>output.design.refine.bio.wing_panel</x:v>
      </x:c>
      <x:c r="B64" s="4" t="str">
        <x:v>design.refine.bio.wing_panel</x:v>
      </x:c>
      <x:c r="C64" s="4" t="str">
        <x:v>Output</x:v>
      </x:c>
      <x:c r="D64" s="4" t="str">
        <x:v>proposal.bio.wing_panel</x:v>
      </x:c>
      <x:c r="E64" s="4" t="str">
        <x:f>IFERROR(INDEX('Items'!$B$6:$B$1005,MATCH(D64,'Items'!$A$6:$A$1005,0)),"MISSING ID")</x:f>
        <x:v>Prepared wing shade panel</x:v>
      </x:c>
      <x:c r="F64" s="4" t="str">
        <x:f>IFERROR(INDEX('Items'!$C$6:$C$1005,MATCH(D64,'Items'!$A$6:$A$1005,0)),"MISSING ID")</x:f>
        <x:v>T1</x:v>
      </x:c>
      <x:c r="G64" s="4" t="str">
        <x:f>IFERROR(INDEX('Items'!$D$6:$D$1005,MATCH(D64,'Items'!$A$6:$A$1005,0)),"MISSING ID")</x:f>
        <x:v>Salvage</x:v>
      </x:c>
      <x:c r="H64" s="4" t="str">
        <x:f>IFERROR(INDEX('Items'!$X$6:$X$1005,MATCH(D64,'Items'!$A$6:$A$1005,0)),"MISSING ID")</x:f>
        <x:v>Crafting component</x:v>
      </x:c>
      <x:c r="I64" s="4"/>
      <x:c r="J64" s="4" t="str">
        <x:v>Unspecified</x:v>
      </x:c>
      <x:c r="K64" s="4" t="str">
        <x:f>IFERROR(INDEX('Crafting recipes'!$D$6:$D$1005,MATCH(B64,'Crafting recipes'!$A$6:$A$1005,0)),"MISSING ID")</x:f>
        <x:v>Proposal</x:v>
      </x:c>
      <x:c r="L64" s="4" t="str">
        <x:f>IFERROR(INDEX('Items'!$AD$6:$AD$1005,MATCH(D64,'Items'!$A$6:$A$1005,0)),"MISSING ID")</x:f>
        <x:v>Proposal</x:v>
      </x:c>
      <x:c r="M64" s="4" t="str">
        <x:f>IFERROR(INDEX('Crafting recipes'!$E$6:$E$1005,MATCH(B64,'Crafting recipes'!$A$6:$A$1005,0)),"MISSING ID")</x:f>
        <x:v>Partial proposal</x:v>
      </x:c>
      <x:c r="N64" s="4" t="str">
        <x:v>Proposed output; yield and complete formulation unresolved.</x:v>
      </x:c>
      <x:c r="O64" s="4" t="str">
        <x:v>New game proposal; no complete recipe</x:v>
      </x:c>
      <x:c r="P64" s="4" t="n">
        <x:f>IF(OR(C64="Ingredient candidate",C64="Consumed input",C64="Contained input",C64="Transform input"),IF(F64="T0",0,IF(F64="T1",1,IF(F64="T2",2,IF(F64="T3",3,IF(F64="T4",4,-1))))),-1)</x:f>
        <x:v>-1</x:v>
      </x:c>
      <x:c r="Q64" s="4" t="n">
        <x:f>IF(AND(OR(C64="Ingredient candidate",C64="Consumed input",C64="Contained input",C64="Transform input"),P64=-1),1,0)</x:f>
        <x:v>0</x:v>
      </x:c>
    </x:row>
    <x:row r="65" ht="85" customHeight="1">
      <x:c r="A65" s="4" t="str">
        <x:v>output.design.refine.wind.sail_panel</x:v>
      </x:c>
      <x:c r="B65" s="4" t="str">
        <x:v>design.refine.wind.sail_panel</x:v>
      </x:c>
      <x:c r="C65" s="4" t="str">
        <x:v>Output</x:v>
      </x:c>
      <x:c r="D65" s="4" t="str">
        <x:v>proposal.wind.sail_panel</x:v>
      </x:c>
      <x:c r="E65" s="4" t="str">
        <x:f>IFERROR(INDEX('Items'!$B$6:$B$1005,MATCH(D65,'Items'!$A$6:$A$1005,0)),"MISSING ID")</x:f>
        <x:v>Prepared insect-wing sail panel</x:v>
      </x:c>
      <x:c r="F65" s="4" t="str">
        <x:f>IFERROR(INDEX('Items'!$C$6:$C$1005,MATCH(D65,'Items'!$A$6:$A$1005,0)),"MISSING ID")</x:f>
        <x:v>T1</x:v>
      </x:c>
      <x:c r="G65" s="4" t="str">
        <x:f>IFERROR(INDEX('Items'!$D$6:$D$1005,MATCH(D65,'Items'!$A$6:$A$1005,0)),"MISSING ID")</x:f>
        <x:v>Salvage</x:v>
      </x:c>
      <x:c r="H65" s="4" t="str">
        <x:f>IFERROR(INDEX('Items'!$X$6:$X$1005,MATCH(D65,'Items'!$A$6:$A$1005,0)),"MISSING ID")</x:f>
        <x:v>Crafting component</x:v>
      </x:c>
      <x:c r="I65" s="4"/>
      <x:c r="J65" s="4" t="str">
        <x:v>Unspecified</x:v>
      </x:c>
      <x:c r="K65" s="4" t="str">
        <x:f>IFERROR(INDEX('Crafting recipes'!$D$6:$D$1005,MATCH(B65,'Crafting recipes'!$A$6:$A$1005,0)),"MISSING ID")</x:f>
        <x:v>Proposal</x:v>
      </x:c>
      <x:c r="L65" s="4" t="str">
        <x:f>IFERROR(INDEX('Items'!$AD$6:$AD$1005,MATCH(D65,'Items'!$A$6:$A$1005,0)),"MISSING ID")</x:f>
        <x:v>Author direction</x:v>
      </x:c>
      <x:c r="M65" s="4" t="str">
        <x:f>IFERROR(INDEX('Crafting recipes'!$E$6:$E$1005,MATCH(B65,'Crafting recipes'!$A$6:$A$1005,0)),"MISSING ID")</x:f>
        <x:v>Partial proposal</x:v>
      </x:c>
      <x:c r="N65" s="4" t="str">
        <x:v>Proposed output; yield and complete formulation unresolved.</x:v>
      </x:c>
      <x:c r="O65" s="4" t="str">
        <x:v>New game proposal; no complete recipe</x:v>
      </x:c>
      <x:c r="P65" s="4" t="n">
        <x:f>IF(OR(C65="Ingredient candidate",C65="Consumed input",C65="Contained input",C65="Transform input"),IF(F65="T0",0,IF(F65="T1",1,IF(F65="T2",2,IF(F65="T3",3,IF(F65="T4",4,-1))))),-1)</x:f>
        <x:v>-1</x:v>
      </x:c>
      <x:c r="Q65" s="4" t="n">
        <x:f>IF(AND(OR(C65="Ingredient candidate",C65="Consumed input",C65="Contained input",C65="Transform input"),P65=-1),1,0)</x:f>
        <x:v>0</x:v>
      </x:c>
    </x:row>
    <x:row r="66" ht="85" customHeight="1">
      <x:c r="A66" s="4" t="str">
        <x:v>output.design.refine.lubricant.base</x:v>
      </x:c>
      <x:c r="B66" s="4" t="str">
        <x:v>design.refine.lubricant.base</x:v>
      </x:c>
      <x:c r="C66" s="4" t="str">
        <x:v>Output</x:v>
      </x:c>
      <x:c r="D66" s="4" t="str">
        <x:v>proposal.lubricant.base</x:v>
      </x:c>
      <x:c r="E66" s="4" t="str">
        <x:f>IFERROR(INDEX('Items'!$B$6:$B$1005,MATCH(D66,'Items'!$A$6:$A$1005,0)),"MISSING ID")</x:f>
        <x:v>Clarified faunal lubricant base</x:v>
      </x:c>
      <x:c r="F66" s="4" t="str">
        <x:f>IFERROR(INDEX('Items'!$C$6:$C$1005,MATCH(D66,'Items'!$A$6:$A$1005,0)),"MISSING ID")</x:f>
        <x:v>T1</x:v>
      </x:c>
      <x:c r="G66" s="4" t="str">
        <x:f>IFERROR(INDEX('Items'!$D$6:$D$1005,MATCH(D66,'Items'!$A$6:$A$1005,0)),"MISSING ID")</x:f>
        <x:v>Crafting components</x:v>
      </x:c>
      <x:c r="H66" s="4" t="str">
        <x:f>IFERROR(INDEX('Items'!$X$6:$X$1005,MATCH(D66,'Items'!$A$6:$A$1005,0)),"MISSING ID")</x:f>
        <x:v>Chemical material</x:v>
      </x:c>
      <x:c r="I66" s="4"/>
      <x:c r="J66" s="4" t="str">
        <x:v>Unspecified</x:v>
      </x:c>
      <x:c r="K66" s="4" t="str">
        <x:f>IFERROR(INDEX('Crafting recipes'!$D$6:$D$1005,MATCH(B66,'Crafting recipes'!$A$6:$A$1005,0)),"MISSING ID")</x:f>
        <x:v>Proposal</x:v>
      </x:c>
      <x:c r="L66" s="4" t="str">
        <x:f>IFERROR(INDEX('Items'!$AD$6:$AD$1005,MATCH(D66,'Items'!$A$6:$A$1005,0)),"MISSING ID")</x:f>
        <x:v>Proposal</x:v>
      </x:c>
      <x:c r="M66" s="4" t="str">
        <x:f>IFERROR(INDEX('Crafting recipes'!$E$6:$E$1005,MATCH(B66,'Crafting recipes'!$A$6:$A$1005,0)),"MISSING ID")</x:f>
        <x:v>Partial proposal</x:v>
      </x:c>
      <x:c r="N66" s="4" t="str">
        <x:v>Proposed output; yield and complete formulation unresolved.</x:v>
      </x:c>
      <x:c r="O66" s="4" t="str">
        <x:v>New game proposal; no complete recipe</x:v>
      </x:c>
      <x:c r="P66" s="4" t="n">
        <x:f>IF(OR(C66="Ingredient candidate",C66="Consumed input",C66="Contained input",C66="Transform input"),IF(F66="T0",0,IF(F66="T1",1,IF(F66="T2",2,IF(F66="T3",3,IF(F66="T4",4,-1))))),-1)</x:f>
        <x:v>-1</x:v>
      </x:c>
      <x:c r="Q66" s="4" t="n">
        <x:f>IF(AND(OR(C66="Ingredient candidate",C66="Consumed input",C66="Contained input",C66="Transform input"),P66=-1),1,0)</x:f>
        <x:v>0</x:v>
      </x:c>
    </x:row>
    <x:row r="67" ht="85" customHeight="1">
      <x:c r="A67" s="4" t="str">
        <x:v>output.design.refine.lubricant.thickener</x:v>
      </x:c>
      <x:c r="B67" s="4" t="str">
        <x:v>design.refine.lubricant.thickener</x:v>
      </x:c>
      <x:c r="C67" s="4" t="str">
        <x:v>Output</x:v>
      </x:c>
      <x:c r="D67" s="4" t="str">
        <x:v>proposal.lubricant.thickener</x:v>
      </x:c>
      <x:c r="E67" s="4" t="str">
        <x:f>IFERROR(INDEX('Items'!$B$6:$B$1005,MATCH(D67,'Items'!$A$6:$A$1005,0)),"MISSING ID")</x:f>
        <x:v>Prepared secretion thickener</x:v>
      </x:c>
      <x:c r="F67" s="4" t="str">
        <x:f>IFERROR(INDEX('Items'!$C$6:$C$1005,MATCH(D67,'Items'!$A$6:$A$1005,0)),"MISSING ID")</x:f>
        <x:v>T1</x:v>
      </x:c>
      <x:c r="G67" s="4" t="str">
        <x:f>IFERROR(INDEX('Items'!$D$6:$D$1005,MATCH(D67,'Items'!$A$6:$A$1005,0)),"MISSING ID")</x:f>
        <x:v>Crafting components</x:v>
      </x:c>
      <x:c r="H67" s="4" t="str">
        <x:f>IFERROR(INDEX('Items'!$X$6:$X$1005,MATCH(D67,'Items'!$A$6:$A$1005,0)),"MISSING ID")</x:f>
        <x:v>Chemical material</x:v>
      </x:c>
      <x:c r="I67" s="4"/>
      <x:c r="J67" s="4" t="str">
        <x:v>Unspecified</x:v>
      </x:c>
      <x:c r="K67" s="4" t="str">
        <x:f>IFERROR(INDEX('Crafting recipes'!$D$6:$D$1005,MATCH(B67,'Crafting recipes'!$A$6:$A$1005,0)),"MISSING ID")</x:f>
        <x:v>Proposal</x:v>
      </x:c>
      <x:c r="L67" s="4" t="str">
        <x:f>IFERROR(INDEX('Items'!$AD$6:$AD$1005,MATCH(D67,'Items'!$A$6:$A$1005,0)),"MISSING ID")</x:f>
        <x:v>Proposal</x:v>
      </x:c>
      <x:c r="M67" s="4" t="str">
        <x:f>IFERROR(INDEX('Crafting recipes'!$E$6:$E$1005,MATCH(B67,'Crafting recipes'!$A$6:$A$1005,0)),"MISSING ID")</x:f>
        <x:v>Partial proposal</x:v>
      </x:c>
      <x:c r="N67" s="4" t="str">
        <x:v>Proposed output; yield and complete formulation unresolved.</x:v>
      </x:c>
      <x:c r="O67" s="4" t="str">
        <x:v>New game proposal; no complete recipe</x:v>
      </x:c>
      <x:c r="P67" s="4" t="n">
        <x:f>IF(OR(C67="Ingredient candidate",C67="Consumed input",C67="Contained input",C67="Transform input"),IF(F67="T0",0,IF(F67="T1",1,IF(F67="T2",2,IF(F67="T3",3,IF(F67="T4",4,-1))))),-1)</x:f>
        <x:v>-1</x:v>
      </x:c>
      <x:c r="Q67" s="4" t="n">
        <x:f>IF(AND(OR(C67="Ingredient candidate",C67="Consumed input",C67="Contained input",C67="Transform input"),P67=-1),1,0)</x:f>
        <x:v>0</x:v>
      </x:c>
    </x:row>
    <x:row r="68" ht="85" customHeight="1">
      <x:c r="A68" s="4" t="str">
        <x:v>output.design.refine.t1.iron_bloom</x:v>
      </x:c>
      <x:c r="B68" s="4" t="str">
        <x:v>design.refine.t1.iron_bloom</x:v>
      </x:c>
      <x:c r="C68" s="4" t="str">
        <x:v>Output</x:v>
      </x:c>
      <x:c r="D68" s="4" t="str">
        <x:v>proposal.t1.iron_bloom</x:v>
      </x:c>
      <x:c r="E68" s="4" t="str">
        <x:f>IFERROR(INDEX('Items'!$B$6:$B$1005,MATCH(D68,'Items'!$A$6:$A$1005,0)),"MISSING ID")</x:f>
        <x:v>Smelted iron bloom</x:v>
      </x:c>
      <x:c r="F68" s="4" t="str">
        <x:f>IFERROR(INDEX('Items'!$C$6:$C$1005,MATCH(D68,'Items'!$A$6:$A$1005,0)),"MISSING ID")</x:f>
        <x:v>T1</x:v>
      </x:c>
      <x:c r="G68" s="4" t="str">
        <x:f>IFERROR(INDEX('Items'!$D$6:$D$1005,MATCH(D68,'Items'!$A$6:$A$1005,0)),"MISSING ID")</x:f>
        <x:v>Manufactured stock</x:v>
      </x:c>
      <x:c r="H68" s="4" t="str">
        <x:f>IFERROR(INDEX('Items'!$X$6:$X$1005,MATCH(D68,'Items'!$A$6:$A$1005,0)),"MISSING ID")</x:f>
        <x:v>Processed material</x:v>
      </x:c>
      <x:c r="I68" s="4"/>
      <x:c r="J68" s="4" t="str">
        <x:v>Unspecified</x:v>
      </x:c>
      <x:c r="K68" s="4" t="str">
        <x:f>IFERROR(INDEX('Crafting recipes'!$D$6:$D$1005,MATCH(B68,'Crafting recipes'!$A$6:$A$1005,0)),"MISSING ID")</x:f>
        <x:v>Proposal</x:v>
      </x:c>
      <x:c r="L68" s="4" t="str">
        <x:f>IFERROR(INDEX('Items'!$AD$6:$AD$1005,MATCH(D68,'Items'!$A$6:$A$1005,0)),"MISSING ID")</x:f>
        <x:v>Proposal</x:v>
      </x:c>
      <x:c r="M68" s="4" t="str">
        <x:f>IFERROR(INDEX('Crafting recipes'!$E$6:$E$1005,MATCH(B68,'Crafting recipes'!$A$6:$A$1005,0)),"MISSING ID")</x:f>
        <x:v>Partial proposal</x:v>
      </x:c>
      <x:c r="N68" s="4" t="str">
        <x:v>Proposed output; yield and complete formulation unresolved.</x:v>
      </x:c>
      <x:c r="O68" s="4" t="str">
        <x:v>https://github.com/sleepyseamonster/Arc-Dust/blob/f6f98515c005dc3c73cccd9cbc031691745740c6/02-Arc-Dust-Worldbuilding/world/materials/industrial-material-palette.md (source proposal; game route proposed)</x:v>
      </x:c>
      <x:c r="P68" s="4" t="n">
        <x:f>IF(OR(C68="Ingredient candidate",C68="Consumed input",C68="Contained input",C68="Transform input"),IF(F68="T0",0,IF(F68="T1",1,IF(F68="T2",2,IF(F68="T3",3,IF(F68="T4",4,-1))))),-1)</x:f>
        <x:v>-1</x:v>
      </x:c>
      <x:c r="Q68" s="4" t="n">
        <x:f>IF(AND(OR(C68="Ingredient candidate",C68="Consumed input",C68="Contained input",C68="Transform input"),P68=-1),1,0)</x:f>
        <x:v>0</x:v>
      </x:c>
    </x:row>
    <x:row r="69" ht="85" customHeight="1">
      <x:c r="A69" s="4" t="str">
        <x:v>output.design.refine.t1.copper_cake</x:v>
      </x:c>
      <x:c r="B69" s="4" t="str">
        <x:v>design.refine.t1.copper_cake</x:v>
      </x:c>
      <x:c r="C69" s="4" t="str">
        <x:v>Output</x:v>
      </x:c>
      <x:c r="D69" s="4" t="str">
        <x:v>proposal.t1.copper_cake</x:v>
      </x:c>
      <x:c r="E69" s="4" t="str">
        <x:f>IFERROR(INDEX('Items'!$B$6:$B$1005,MATCH(D69,'Items'!$A$6:$A$1005,0)),"MISSING ID")</x:f>
        <x:v>Refined copper cake</x:v>
      </x:c>
      <x:c r="F69" s="4" t="str">
        <x:f>IFERROR(INDEX('Items'!$C$6:$C$1005,MATCH(D69,'Items'!$A$6:$A$1005,0)),"MISSING ID")</x:f>
        <x:v>T1</x:v>
      </x:c>
      <x:c r="G69" s="4" t="str">
        <x:f>IFERROR(INDEX('Items'!$D$6:$D$1005,MATCH(D69,'Items'!$A$6:$A$1005,0)),"MISSING ID")</x:f>
        <x:v>Manufactured stock</x:v>
      </x:c>
      <x:c r="H69" s="4" t="str">
        <x:f>IFERROR(INDEX('Items'!$X$6:$X$1005,MATCH(D69,'Items'!$A$6:$A$1005,0)),"MISSING ID")</x:f>
        <x:v>Processed material</x:v>
      </x:c>
      <x:c r="I69" s="4"/>
      <x:c r="J69" s="4" t="str">
        <x:v>Unspecified</x:v>
      </x:c>
      <x:c r="K69" s="4" t="str">
        <x:f>IFERROR(INDEX('Crafting recipes'!$D$6:$D$1005,MATCH(B69,'Crafting recipes'!$A$6:$A$1005,0)),"MISSING ID")</x:f>
        <x:v>Proposal</x:v>
      </x:c>
      <x:c r="L69" s="4" t="str">
        <x:f>IFERROR(INDEX('Items'!$AD$6:$AD$1005,MATCH(D69,'Items'!$A$6:$A$1005,0)),"MISSING ID")</x:f>
        <x:v>Proposal</x:v>
      </x:c>
      <x:c r="M69" s="4" t="str">
        <x:f>IFERROR(INDEX('Crafting recipes'!$E$6:$E$1005,MATCH(B69,'Crafting recipes'!$A$6:$A$1005,0)),"MISSING ID")</x:f>
        <x:v>Partial proposal</x:v>
      </x:c>
      <x:c r="N69" s="4" t="str">
        <x:v>Proposed output; yield and complete formulation unresolved.</x:v>
      </x:c>
      <x:c r="O69" s="4" t="str">
        <x:v>https://github.com/sleepyseamonster/Arc-Dust/blob/f6f98515c005dc3c73cccd9cbc031691745740c6/02-Arc-Dust-Worldbuilding/world/materials/industrial-material-palette.md (source proposal; game route proposed)</x:v>
      </x:c>
      <x:c r="P69" s="4" t="n">
        <x:f>IF(OR(C69="Ingredient candidate",C69="Consumed input",C69="Contained input",C69="Transform input"),IF(F69="T0",0,IF(F69="T1",1,IF(F69="T2",2,IF(F69="T3",3,IF(F69="T4",4,-1))))),-1)</x:f>
        <x:v>-1</x:v>
      </x:c>
      <x:c r="Q69" s="4" t="n">
        <x:f>IF(AND(OR(C69="Ingredient candidate",C69="Consumed input",C69="Contained input",C69="Transform input"),P69=-1),1,0)</x:f>
        <x:v>0</x:v>
      </x:c>
    </x:row>
    <x:row r="70" ht="85" customHeight="1">
      <x:c r="A70" s="4" t="str">
        <x:v>output.design.refine.t1.brass_billet</x:v>
      </x:c>
      <x:c r="B70" s="4" t="str">
        <x:v>design.refine.t1.brass_billet</x:v>
      </x:c>
      <x:c r="C70" s="4" t="str">
        <x:v>Output</x:v>
      </x:c>
      <x:c r="D70" s="4" t="str">
        <x:v>proposal.t1.brass_billet</x:v>
      </x:c>
      <x:c r="E70" s="4" t="str">
        <x:f>IFERROR(INDEX('Items'!$B$6:$B$1005,MATCH(D70,'Items'!$A$6:$A$1005,0)),"MISSING ID")</x:f>
        <x:v>Reclaimed brass billet</x:v>
      </x:c>
      <x:c r="F70" s="4" t="str">
        <x:f>IFERROR(INDEX('Items'!$C$6:$C$1005,MATCH(D70,'Items'!$A$6:$A$1005,0)),"MISSING ID")</x:f>
        <x:v>T1</x:v>
      </x:c>
      <x:c r="G70" s="4" t="str">
        <x:f>IFERROR(INDEX('Items'!$D$6:$D$1005,MATCH(D70,'Items'!$A$6:$A$1005,0)),"MISSING ID")</x:f>
        <x:v>Manufactured stock</x:v>
      </x:c>
      <x:c r="H70" s="4" t="str">
        <x:f>IFERROR(INDEX('Items'!$X$6:$X$1005,MATCH(D70,'Items'!$A$6:$A$1005,0)),"MISSING ID")</x:f>
        <x:v>Processed material</x:v>
      </x:c>
      <x:c r="I70" s="4"/>
      <x:c r="J70" s="4" t="str">
        <x:v>Unspecified</x:v>
      </x:c>
      <x:c r="K70" s="4" t="str">
        <x:f>IFERROR(INDEX('Crafting recipes'!$D$6:$D$1005,MATCH(B70,'Crafting recipes'!$A$6:$A$1005,0)),"MISSING ID")</x:f>
        <x:v>Proposal</x:v>
      </x:c>
      <x:c r="L70" s="4" t="str">
        <x:f>IFERROR(INDEX('Items'!$AD$6:$AD$1005,MATCH(D70,'Items'!$A$6:$A$1005,0)),"MISSING ID")</x:f>
        <x:v>Proposal</x:v>
      </x:c>
      <x:c r="M70" s="4" t="str">
        <x:f>IFERROR(INDEX('Crafting recipes'!$E$6:$E$1005,MATCH(B70,'Crafting recipes'!$A$6:$A$1005,0)),"MISSING ID")</x:f>
        <x:v>Partial proposal</x:v>
      </x:c>
      <x:c r="N70" s="4" t="str">
        <x:v>Proposed output; yield and complete formulation unresolved.</x:v>
      </x:c>
      <x:c r="O70" s="4" t="str">
        <x:v>https://github.com/sleepyseamonster/Arc-Dust/blob/f6f98515c005dc3c73cccd9cbc031691745740c6/02-Arc-Dust-Worldbuilding/world/materials/industrial-material-palette.md (source proposal; game route proposed)</x:v>
      </x:c>
      <x:c r="P70" s="4" t="n">
        <x:f>IF(OR(C70="Ingredient candidate",C70="Consumed input",C70="Contained input",C70="Transform input"),IF(F70="T0",0,IF(F70="T1",1,IF(F70="T2",2,IF(F70="T3",3,IF(F70="T4",4,-1))))),-1)</x:f>
        <x:v>-1</x:v>
      </x:c>
      <x:c r="Q70" s="4" t="n">
        <x:f>IF(AND(OR(C70="Ingredient candidate",C70="Consumed input",C70="Contained input",C70="Transform input"),P70=-1),1,0)</x:f>
        <x:v>0</x:v>
      </x:c>
    </x:row>
    <x:row r="71" ht="85" customHeight="1">
      <x:c r="A71" s="4" t="str">
        <x:v>output.design.refine.t1.bronze_billet</x:v>
      </x:c>
      <x:c r="B71" s="4" t="str">
        <x:v>design.refine.t1.bronze_billet</x:v>
      </x:c>
      <x:c r="C71" s="4" t="str">
        <x:v>Output</x:v>
      </x:c>
      <x:c r="D71" s="4" t="str">
        <x:v>proposal.t1.bronze_billet</x:v>
      </x:c>
      <x:c r="E71" s="4" t="str">
        <x:f>IFERROR(INDEX('Items'!$B$6:$B$1005,MATCH(D71,'Items'!$A$6:$A$1005,0)),"MISSING ID")</x:f>
        <x:v>Reclaimed bronze billet</x:v>
      </x:c>
      <x:c r="F71" s="4" t="str">
        <x:f>IFERROR(INDEX('Items'!$C$6:$C$1005,MATCH(D71,'Items'!$A$6:$A$1005,0)),"MISSING ID")</x:f>
        <x:v>T1</x:v>
      </x:c>
      <x:c r="G71" s="4" t="str">
        <x:f>IFERROR(INDEX('Items'!$D$6:$D$1005,MATCH(D71,'Items'!$A$6:$A$1005,0)),"MISSING ID")</x:f>
        <x:v>Manufactured stock</x:v>
      </x:c>
      <x:c r="H71" s="4" t="str">
        <x:f>IFERROR(INDEX('Items'!$X$6:$X$1005,MATCH(D71,'Items'!$A$6:$A$1005,0)),"MISSING ID")</x:f>
        <x:v>Processed material</x:v>
      </x:c>
      <x:c r="I71" s="4"/>
      <x:c r="J71" s="4" t="str">
        <x:v>Unspecified</x:v>
      </x:c>
      <x:c r="K71" s="4" t="str">
        <x:f>IFERROR(INDEX('Crafting recipes'!$D$6:$D$1005,MATCH(B71,'Crafting recipes'!$A$6:$A$1005,0)),"MISSING ID")</x:f>
        <x:v>Proposal</x:v>
      </x:c>
      <x:c r="L71" s="4" t="str">
        <x:f>IFERROR(INDEX('Items'!$AD$6:$AD$1005,MATCH(D71,'Items'!$A$6:$A$1005,0)),"MISSING ID")</x:f>
        <x:v>Proposal</x:v>
      </x:c>
      <x:c r="M71" s="4" t="str">
        <x:f>IFERROR(INDEX('Crafting recipes'!$E$6:$E$1005,MATCH(B71,'Crafting recipes'!$A$6:$A$1005,0)),"MISSING ID")</x:f>
        <x:v>Partial proposal</x:v>
      </x:c>
      <x:c r="N71" s="4" t="str">
        <x:v>Proposed output; yield and complete formulation unresolved.</x:v>
      </x:c>
      <x:c r="O71" s="4" t="str">
        <x:v>https://github.com/sleepyseamonster/Arc-Dust/blob/f6f98515c005dc3c73cccd9cbc031691745740c6/02-Arc-Dust-Worldbuilding/world/materials/industrial-material-palette.md (source proposal; game route proposed)</x:v>
      </x:c>
      <x:c r="P71" s="4" t="n">
        <x:f>IF(OR(C71="Ingredient candidate",C71="Consumed input",C71="Contained input",C71="Transform input"),IF(F71="T0",0,IF(F71="T1",1,IF(F71="T2",2,IF(F71="T3",3,IF(F71="T4",4,-1))))),-1)</x:f>
        <x:v>-1</x:v>
      </x:c>
      <x:c r="Q71" s="4" t="n">
        <x:f>IF(AND(OR(C71="Ingredient candidate",C71="Consumed input",C71="Contained input",C71="Transform input"),P71=-1),1,0)</x:f>
        <x:v>0</x:v>
      </x:c>
    </x:row>
    <x:row r="72" ht="85" customHeight="1">
      <x:c r="A72" s="4" t="str">
        <x:v>output.design.refine.t1.opaque_glass</x:v>
      </x:c>
      <x:c r="B72" s="4" t="str">
        <x:v>design.refine.t1.opaque_glass</x:v>
      </x:c>
      <x:c r="C72" s="4" t="str">
        <x:v>Output</x:v>
      </x:c>
      <x:c r="D72" s="4" t="str">
        <x:v>proposal.t1.opaque_glass</x:v>
      </x:c>
      <x:c r="E72" s="4" t="str">
        <x:f>IFERROR(INDEX('Items'!$B$6:$B$1005,MATCH(D72,'Items'!$A$6:$A$1005,0)),"MISSING ID")</x:f>
        <x:v>Opaque mineral-glass stock</x:v>
      </x:c>
      <x:c r="F72" s="4" t="str">
        <x:f>IFERROR(INDEX('Items'!$C$6:$C$1005,MATCH(D72,'Items'!$A$6:$A$1005,0)),"MISSING ID")</x:f>
        <x:v>T1</x:v>
      </x:c>
      <x:c r="G72" s="4" t="str">
        <x:f>IFERROR(INDEX('Items'!$D$6:$D$1005,MATCH(D72,'Items'!$A$6:$A$1005,0)),"MISSING ID")</x:f>
        <x:v>Manufactured stock</x:v>
      </x:c>
      <x:c r="H72" s="4" t="str">
        <x:f>IFERROR(INDEX('Items'!$X$6:$X$1005,MATCH(D72,'Items'!$A$6:$A$1005,0)),"MISSING ID")</x:f>
        <x:v>Processed material</x:v>
      </x:c>
      <x:c r="I72" s="4"/>
      <x:c r="J72" s="4" t="str">
        <x:v>Unspecified</x:v>
      </x:c>
      <x:c r="K72" s="4" t="str">
        <x:f>IFERROR(INDEX('Crafting recipes'!$D$6:$D$1005,MATCH(B72,'Crafting recipes'!$A$6:$A$1005,0)),"MISSING ID")</x:f>
        <x:v>Proposal</x:v>
      </x:c>
      <x:c r="L72" s="4" t="str">
        <x:f>IFERROR(INDEX('Items'!$AD$6:$AD$1005,MATCH(D72,'Items'!$A$6:$A$1005,0)),"MISSING ID")</x:f>
        <x:v>Proposal</x:v>
      </x:c>
      <x:c r="M72" s="4" t="str">
        <x:f>IFERROR(INDEX('Crafting recipes'!$E$6:$E$1005,MATCH(B72,'Crafting recipes'!$A$6:$A$1005,0)),"MISSING ID")</x:f>
        <x:v>Partial proposal</x:v>
      </x:c>
      <x:c r="N72" s="4" t="str">
        <x:v>Proposed output; yield and complete formulation unresolved.</x:v>
      </x:c>
      <x:c r="O72" s="4" t="str">
        <x:v>https://github.com/sleepyseamonster/Arc-Dust/blob/f6f98515c005dc3c73cccd9cbc031691745740c6/02-Arc-Dust-Worldbuilding/world/materials/glass.md (source proposal; game route proposed)</x:v>
      </x:c>
      <x:c r="P72" s="4" t="n">
        <x:f>IF(OR(C72="Ingredient candidate",C72="Consumed input",C72="Contained input",C72="Transform input"),IF(F72="T0",0,IF(F72="T1",1,IF(F72="T2",2,IF(F72="T3",3,IF(F72="T4",4,-1))))),-1)</x:f>
        <x:v>-1</x:v>
      </x:c>
      <x:c r="Q72" s="4" t="n">
        <x:f>IF(AND(OR(C72="Ingredient candidate",C72="Consumed input",C72="Contained input",C72="Transform input"),P72=-1),1,0)</x:f>
        <x:v>0</x:v>
      </x:c>
    </x:row>
    <x:row r="73" ht="85" customHeight="1">
      <x:c r="A73" s="4" t="str">
        <x:v>output.design.refine.t1.clear_glass_blank</x:v>
      </x:c>
      <x:c r="B73" s="4" t="str">
        <x:v>design.refine.t1.clear_glass_blank</x:v>
      </x:c>
      <x:c r="C73" s="4" t="str">
        <x:v>Output</x:v>
      </x:c>
      <x:c r="D73" s="4" t="str">
        <x:v>proposal.t1.clear_glass_blank</x:v>
      </x:c>
      <x:c r="E73" s="4" t="str">
        <x:f>IFERROR(INDEX('Items'!$B$6:$B$1005,MATCH(D73,'Items'!$A$6:$A$1005,0)),"MISSING ID")</x:f>
        <x:v>Rough clear-glass blank</x:v>
      </x:c>
      <x:c r="F73" s="4" t="str">
        <x:f>IFERROR(INDEX('Items'!$C$6:$C$1005,MATCH(D73,'Items'!$A$6:$A$1005,0)),"MISSING ID")</x:f>
        <x:v>T1</x:v>
      </x:c>
      <x:c r="G73" s="4" t="str">
        <x:f>IFERROR(INDEX('Items'!$D$6:$D$1005,MATCH(D73,'Items'!$A$6:$A$1005,0)),"MISSING ID")</x:f>
        <x:v>Manufactured stock</x:v>
      </x:c>
      <x:c r="H73" s="4" t="str">
        <x:f>IFERROR(INDEX('Items'!$X$6:$X$1005,MATCH(D73,'Items'!$A$6:$A$1005,0)),"MISSING ID")</x:f>
        <x:v>Processed material</x:v>
      </x:c>
      <x:c r="I73" s="4"/>
      <x:c r="J73" s="4" t="str">
        <x:v>Unspecified</x:v>
      </x:c>
      <x:c r="K73" s="4" t="str">
        <x:f>IFERROR(INDEX('Crafting recipes'!$D$6:$D$1005,MATCH(B73,'Crafting recipes'!$A$6:$A$1005,0)),"MISSING ID")</x:f>
        <x:v>Proposal</x:v>
      </x:c>
      <x:c r="L73" s="4" t="str">
        <x:f>IFERROR(INDEX('Items'!$AD$6:$AD$1005,MATCH(D73,'Items'!$A$6:$A$1005,0)),"MISSING ID")</x:f>
        <x:v>Proposal</x:v>
      </x:c>
      <x:c r="M73" s="4" t="str">
        <x:f>IFERROR(INDEX('Crafting recipes'!$E$6:$E$1005,MATCH(B73,'Crafting recipes'!$A$6:$A$1005,0)),"MISSING ID")</x:f>
        <x:v>Partial proposal</x:v>
      </x:c>
      <x:c r="N73" s="4" t="str">
        <x:v>Proposed output; yield and complete formulation unresolved.</x:v>
      </x:c>
      <x:c r="O73" s="4" t="str">
        <x:v>https://github.com/sleepyseamonster/Arc-Dust/blob/f6f98515c005dc3c73cccd9cbc031691745740c6/02-Arc-Dust-Worldbuilding/world/materials/glass.md (source proposal; game route proposed)</x:v>
      </x:c>
      <x:c r="P73" s="4" t="n">
        <x:f>IF(OR(C73="Ingredient candidate",C73="Consumed input",C73="Contained input",C73="Transform input"),IF(F73="T0",0,IF(F73="T1",1,IF(F73="T2",2,IF(F73="T3",3,IF(F73="T4",4,-1))))),-1)</x:f>
        <x:v>-1</x:v>
      </x:c>
      <x:c r="Q73" s="4" t="n">
        <x:f>IF(AND(OR(C73="Ingredient candidate",C73="Consumed input",C73="Contained input",C73="Transform input"),P73=-1),1,0)</x:f>
        <x:v>0</x:v>
      </x:c>
    </x:row>
    <x:row r="74" ht="85" customHeight="1">
      <x:c r="A74" s="4"/>
      <x:c r="B74" s="4"/>
      <x:c r="C74" s="4"/>
      <x:c r="D74" s="4"/>
      <x:c r="E74" s="4"/>
      <x:c r="F74" s="4"/>
      <x:c r="G74" s="4"/>
      <x:c r="H74" s="4"/>
      <x:c r="I74" s="4"/>
      <x:c r="J74" s="4"/>
      <x:c r="K74" s="4"/>
      <x:c r="L74" s="4"/>
      <x:c r="M74" s="4"/>
      <x:c r="N74" s="4"/>
      <x:c r="O74" s="4"/>
      <x:c r="P74" s="4"/>
      <x:c r="Q74" s="4"/>
    </x:row>
    <x:row r="75" ht="85" customHeight="1">
      <x:c r="A75" s="4"/>
      <x:c r="B75" s="4"/>
      <x:c r="C75" s="4"/>
      <x:c r="D75" s="4"/>
      <x:c r="E75" s="4"/>
      <x:c r="F75" s="4"/>
      <x:c r="G75" s="4"/>
      <x:c r="H75" s="4"/>
      <x:c r="I75" s="4"/>
      <x:c r="J75" s="4"/>
      <x:c r="K75" s="4"/>
      <x:c r="L75" s="4"/>
      <x:c r="M75" s="4"/>
      <x:c r="N75" s="4"/>
      <x:c r="O75" s="4"/>
      <x:c r="P75" s="4"/>
      <x:c r="Q75" s="4"/>
    </x:row>
    <x:row r="76" ht="85" customHeight="1">
      <x:c r="A76" s="4"/>
      <x:c r="B76" s="4"/>
      <x:c r="C76" s="4"/>
      <x:c r="D76" s="4"/>
      <x:c r="E76" s="4"/>
      <x:c r="F76" s="4"/>
      <x:c r="G76" s="4"/>
      <x:c r="H76" s="4"/>
      <x:c r="I76" s="4"/>
      <x:c r="J76" s="4"/>
      <x:c r="K76" s="4"/>
      <x:c r="L76" s="4"/>
      <x:c r="M76" s="4"/>
      <x:c r="N76" s="4"/>
      <x:c r="O76" s="4"/>
      <x:c r="P76" s="4"/>
      <x:c r="Q76" s="4"/>
    </x:row>
    <x:row r="77" ht="85" customHeight="1">
      <x:c r="A77" s="4" t="str">
        <x:v>output.design.refine.t1.mineral_filler</x:v>
      </x:c>
      <x:c r="B77" s="4" t="str">
        <x:v>design.refine.t1.mineral_filler</x:v>
      </x:c>
      <x:c r="C77" s="4" t="str">
        <x:v>Output</x:v>
      </x:c>
      <x:c r="D77" s="4" t="str">
        <x:v>proposal.t1.mineral_filler</x:v>
      </x:c>
      <x:c r="E77" s="4" t="str">
        <x:f>IFERROR(INDEX('Items'!$B$6:$B$1005,MATCH(D77,'Items'!$A$6:$A$1005,0)),"MISSING ID")</x:f>
        <x:v>Graded mineral filler</x:v>
      </x:c>
      <x:c r="F77" s="4" t="str">
        <x:f>IFERROR(INDEX('Items'!$C$6:$C$1005,MATCH(D77,'Items'!$A$6:$A$1005,0)),"MISSING ID")</x:f>
        <x:v>T1</x:v>
      </x:c>
      <x:c r="G77" s="4" t="str">
        <x:f>IFERROR(INDEX('Items'!$D$6:$D$1005,MATCH(D77,'Items'!$A$6:$A$1005,0)),"MISSING ID")</x:f>
        <x:v>Manufactured stock</x:v>
      </x:c>
      <x:c r="H77" s="4" t="str">
        <x:f>IFERROR(INDEX('Items'!$X$6:$X$1005,MATCH(D77,'Items'!$A$6:$A$1005,0)),"MISSING ID")</x:f>
        <x:v>Processed material</x:v>
      </x:c>
      <x:c r="I77" s="4"/>
      <x:c r="J77" s="4" t="str">
        <x:v>Unspecified</x:v>
      </x:c>
      <x:c r="K77" s="4" t="str">
        <x:f>IFERROR(INDEX('Crafting recipes'!$D$6:$D$1005,MATCH(B77,'Crafting recipes'!$A$6:$A$1005,0)),"MISSING ID")</x:f>
        <x:v>Proposal</x:v>
      </x:c>
      <x:c r="L77" s="4" t="str">
        <x:f>IFERROR(INDEX('Items'!$AD$6:$AD$1005,MATCH(D77,'Items'!$A$6:$A$1005,0)),"MISSING ID")</x:f>
        <x:v>Proposal</x:v>
      </x:c>
      <x:c r="M77" s="4" t="str">
        <x:f>IFERROR(INDEX('Crafting recipes'!$E$6:$E$1005,MATCH(B77,'Crafting recipes'!$A$6:$A$1005,0)),"MISSING ID")</x:f>
        <x:v>Partial proposal</x:v>
      </x:c>
      <x:c r="N77" s="4" t="str">
        <x:v>Proposed output; yield and complete formulation unresolved.</x:v>
      </x:c>
      <x:c r="O77" s="4" t="str">
        <x:v>https://github.com/sleepyseamonster/Arc-Dust/blob/f6f98515c005dc3c73cccd9cbc031691745740c6/02-Arc-Dust-Worldbuilding/world/materials/chemical-processing-agents.md (source proposal; game route proposed)</x:v>
      </x:c>
      <x:c r="P77" s="4" t="n">
        <x:f>IF(OR(C77="Ingredient candidate",C77="Consumed input",C77="Contained input",C77="Transform input"),IF(F77="T0",0,IF(F77="T1",1,IF(F77="T2",2,IF(F77="T3",3,IF(F77="T4",4,-1))))),-1)</x:f>
        <x:v>-1</x:v>
      </x:c>
      <x:c r="Q77" s="4" t="n">
        <x:f>IF(AND(OR(C77="Ingredient candidate",C77="Consumed input",C77="Contained input",C77="Transform input"),P77=-1),1,0)</x:f>
        <x:v>0</x:v>
      </x:c>
    </x:row>
    <x:row r="78" ht="85" customHeight="1">
      <x:c r="A78" s="4" t="str">
        <x:v>output.design.refine.t1.glass_feed</x:v>
      </x:c>
      <x:c r="B78" s="4" t="str">
        <x:v>design.refine.t1.glass_feed</x:v>
      </x:c>
      <x:c r="C78" s="4" t="str">
        <x:v>Output</x:v>
      </x:c>
      <x:c r="D78" s="4" t="str">
        <x:v>proposal.t1.glass_feed</x:v>
      </x:c>
      <x:c r="E78" s="4" t="str">
        <x:f>IFERROR(INDEX('Items'!$B$6:$B$1005,MATCH(D78,'Items'!$A$6:$A$1005,0)),"MISSING ID")</x:f>
        <x:v>Sorted glass remelt feed</x:v>
      </x:c>
      <x:c r="F78" s="4" t="str">
        <x:f>IFERROR(INDEX('Items'!$C$6:$C$1005,MATCH(D78,'Items'!$A$6:$A$1005,0)),"MISSING ID")</x:f>
        <x:v>T1</x:v>
      </x:c>
      <x:c r="G78" s="4" t="str">
        <x:f>IFERROR(INDEX('Items'!$D$6:$D$1005,MATCH(D78,'Items'!$A$6:$A$1005,0)),"MISSING ID")</x:f>
        <x:v>Manufactured stock</x:v>
      </x:c>
      <x:c r="H78" s="4" t="str">
        <x:f>IFERROR(INDEX('Items'!$X$6:$X$1005,MATCH(D78,'Items'!$A$6:$A$1005,0)),"MISSING ID")</x:f>
        <x:v>Processed material</x:v>
      </x:c>
      <x:c r="I78" s="4"/>
      <x:c r="J78" s="4" t="str">
        <x:v>Unspecified</x:v>
      </x:c>
      <x:c r="K78" s="4" t="str">
        <x:f>IFERROR(INDEX('Crafting recipes'!$D$6:$D$1005,MATCH(B78,'Crafting recipes'!$A$6:$A$1005,0)),"MISSING ID")</x:f>
        <x:v>Proposal</x:v>
      </x:c>
      <x:c r="L78" s="4" t="str">
        <x:f>IFERROR(INDEX('Items'!$AD$6:$AD$1005,MATCH(D78,'Items'!$A$6:$A$1005,0)),"MISSING ID")</x:f>
        <x:v>Proposal</x:v>
      </x:c>
      <x:c r="M78" s="4" t="str">
        <x:f>IFERROR(INDEX('Crafting recipes'!$E$6:$E$1005,MATCH(B78,'Crafting recipes'!$A$6:$A$1005,0)),"MISSING ID")</x:f>
        <x:v>Partial proposal</x:v>
      </x:c>
      <x:c r="N78" s="4" t="str">
        <x:v>Proposed output; yield and complete formulation unresolved.</x:v>
      </x:c>
      <x:c r="O78" s="4" t="str">
        <x:v>https://github.com/sleepyseamonster/Arc-Dust/blob/f6f98515c005dc3c73cccd9cbc031691745740c6/02-Arc-Dust-Worldbuilding/world/materials/glass.md (source proposal; game route proposed)</x:v>
      </x:c>
      <x:c r="P78" s="4" t="n">
        <x:f>IF(OR(C78="Ingredient candidate",C78="Consumed input",C78="Contained input",C78="Transform input"),IF(F78="T0",0,IF(F78="T1",1,IF(F78="T2",2,IF(F78="T3",3,IF(F78="T4",4,-1))))),-1)</x:f>
        <x:v>-1</x:v>
      </x:c>
      <x:c r="Q78" s="4" t="n">
        <x:f>IF(AND(OR(C78="Ingredient candidate",C78="Consumed input",C78="Contained input",C78="Transform input"),P78=-1),1,0)</x:f>
        <x:v>0</x:v>
      </x:c>
    </x:row>
    <x:row r="79" ht="85" customHeight="1">
      <x:c r="A79" s="4" t="str">
        <x:v>output.design.refine.t1.mica_flakes</x:v>
      </x:c>
      <x:c r="B79" s="4" t="str">
        <x:v>design.refine.t1.mica_flakes</x:v>
      </x:c>
      <x:c r="C79" s="4" t="str">
        <x:v>Output</x:v>
      </x:c>
      <x:c r="D79" s="4" t="str">
        <x:v>proposal.t1.mica_flakes</x:v>
      </x:c>
      <x:c r="E79" s="4" t="str">
        <x:f>IFERROR(INDEX('Items'!$B$6:$B$1005,MATCH(D79,'Items'!$A$6:$A$1005,0)),"MISSING ID")</x:f>
        <x:v>Separated mica flake grade</x:v>
      </x:c>
      <x:c r="F79" s="4" t="str">
        <x:f>IFERROR(INDEX('Items'!$C$6:$C$1005,MATCH(D79,'Items'!$A$6:$A$1005,0)),"MISSING ID")</x:f>
        <x:v>T1</x:v>
      </x:c>
      <x:c r="G79" s="4" t="str">
        <x:f>IFERROR(INDEX('Items'!$D$6:$D$1005,MATCH(D79,'Items'!$A$6:$A$1005,0)),"MISSING ID")</x:f>
        <x:v>Manufactured stock</x:v>
      </x:c>
      <x:c r="H79" s="4" t="str">
        <x:f>IFERROR(INDEX('Items'!$X$6:$X$1005,MATCH(D79,'Items'!$A$6:$A$1005,0)),"MISSING ID")</x:f>
        <x:v>Processed material</x:v>
      </x:c>
      <x:c r="I79" s="4"/>
      <x:c r="J79" s="4" t="str">
        <x:v>Unspecified</x:v>
      </x:c>
      <x:c r="K79" s="4" t="str">
        <x:f>IFERROR(INDEX('Crafting recipes'!$D$6:$D$1005,MATCH(B79,'Crafting recipes'!$A$6:$A$1005,0)),"MISSING ID")</x:f>
        <x:v>Proposal</x:v>
      </x:c>
      <x:c r="L79" s="4" t="str">
        <x:f>IFERROR(INDEX('Items'!$AD$6:$AD$1005,MATCH(D79,'Items'!$A$6:$A$1005,0)),"MISSING ID")</x:f>
        <x:v>Proposal</x:v>
      </x:c>
      <x:c r="M79" s="4" t="str">
        <x:f>IFERROR(INDEX('Crafting recipes'!$E$6:$E$1005,MATCH(B79,'Crafting recipes'!$A$6:$A$1005,0)),"MISSING ID")</x:f>
        <x:v>Partial proposal</x:v>
      </x:c>
      <x:c r="N79" s="4" t="str">
        <x:v>Proposed output; yield and complete formulation unresolved.</x:v>
      </x:c>
      <x:c r="O79" s="4" t="str">
        <x:v>https://github.com/sleepyseamonster/Arc-Dust/blob/f6f98515c005dc3c73cccd9cbc031691745740c6/02-Arc-Dust-Worldbuilding/world/materials/industrial-material-palette.md (source proposal; game route proposed)</x:v>
      </x:c>
      <x:c r="P79" s="4" t="n">
        <x:f>IF(OR(C79="Ingredient candidate",C79="Consumed input",C79="Contained input",C79="Transform input"),IF(F79="T0",0,IF(F79="T1",1,IF(F79="T2",2,IF(F79="T3",3,IF(F79="T4",4,-1))))),-1)</x:f>
        <x:v>-1</x:v>
      </x:c>
      <x:c r="Q79" s="4" t="n">
        <x:f>IF(AND(OR(C79="Ingredient candidate",C79="Consumed input",C79="Contained input",C79="Transform input"),P79=-1),1,0)</x:f>
        <x:v>0</x:v>
      </x:c>
    </x:row>
    <x:row r="80" ht="85" customHeight="1">
      <x:c r="A80" s="4" t="str">
        <x:v>output.design.refine.t1.husk_pulp</x:v>
      </x:c>
      <x:c r="B80" s="4" t="str">
        <x:v>design.refine.t1.husk_pulp</x:v>
      </x:c>
      <x:c r="C80" s="4" t="str">
        <x:v>Output</x:v>
      </x:c>
      <x:c r="D80" s="4" t="str">
        <x:v>proposal.t1.husk_pulp</x:v>
      </x:c>
      <x:c r="E80" s="4" t="str">
        <x:f>IFERROR(INDEX('Items'!$B$6:$B$1005,MATCH(D80,'Items'!$A$6:$A$1005,0)),"MISSING ID")</x:f>
        <x:v>Prepared husk-fiber pulp</x:v>
      </x:c>
      <x:c r="F80" s="4" t="str">
        <x:f>IFERROR(INDEX('Items'!$C$6:$C$1005,MATCH(D80,'Items'!$A$6:$A$1005,0)),"MISSING ID")</x:f>
        <x:v>T1</x:v>
      </x:c>
      <x:c r="G80" s="4" t="str">
        <x:f>IFERROR(INDEX('Items'!$D$6:$D$1005,MATCH(D80,'Items'!$A$6:$A$1005,0)),"MISSING ID")</x:f>
        <x:v>Manufactured stock</x:v>
      </x:c>
      <x:c r="H80" s="4" t="str">
        <x:f>IFERROR(INDEX('Items'!$X$6:$X$1005,MATCH(D80,'Items'!$A$6:$A$1005,0)),"MISSING ID")</x:f>
        <x:v>Processed material</x:v>
      </x:c>
      <x:c r="I80" s="4"/>
      <x:c r="J80" s="4" t="str">
        <x:v>Unspecified</x:v>
      </x:c>
      <x:c r="K80" s="4" t="str">
        <x:f>IFERROR(INDEX('Crafting recipes'!$D$6:$D$1005,MATCH(B80,'Crafting recipes'!$A$6:$A$1005,0)),"MISSING ID")</x:f>
        <x:v>Proposal</x:v>
      </x:c>
      <x:c r="L80" s="4" t="str">
        <x:f>IFERROR(INDEX('Items'!$AD$6:$AD$1005,MATCH(D80,'Items'!$A$6:$A$1005,0)),"MISSING ID")</x:f>
        <x:v>Proposal</x:v>
      </x:c>
      <x:c r="M80" s="4" t="str">
        <x:f>IFERROR(INDEX('Crafting recipes'!$E$6:$E$1005,MATCH(B80,'Crafting recipes'!$A$6:$A$1005,0)),"MISSING ID")</x:f>
        <x:v>Partial proposal</x:v>
      </x:c>
      <x:c r="N80" s="4" t="str">
        <x:v>Proposed output; yield and complete formulation unresolved.</x:v>
      </x:c>
      <x:c r="O80" s="4" t="str">
        <x:v>https://github.com/sleepyseamonster/Arc-Dust/blob/f6f98515c005dc3c73cccd9cbc031691745740c6/02-Arc-Dust-Worldbuilding/world/materials/chitin.md (source proposal; game route proposed)</x:v>
      </x:c>
      <x:c r="P80" s="4" t="n">
        <x:f>IF(OR(C80="Ingredient candidate",C80="Consumed input",C80="Contained input",C80="Transform input"),IF(F80="T0",0,IF(F80="T1",1,IF(F80="T2",2,IF(F80="T3",3,IF(F80="T4",4,-1))))),-1)</x:f>
        <x:v>-1</x:v>
      </x:c>
      <x:c r="Q80" s="4" t="n">
        <x:f>IF(AND(OR(C80="Ingredient candidate",C80="Consumed input",C80="Contained input",C80="Transform input"),P80=-1),1,0)</x:f>
        <x:v>0</x:v>
      </x:c>
    </x:row>
    <x:row r="81" ht="85" customHeight="1">
      <x:c r="A81" s="4" t="str">
        <x:v>output.design.refine.t1.bristle_bundle</x:v>
      </x:c>
      <x:c r="B81" s="4" t="str">
        <x:v>design.refine.t1.bristle_bundle</x:v>
      </x:c>
      <x:c r="C81" s="4" t="str">
        <x:v>Output</x:v>
      </x:c>
      <x:c r="D81" s="4" t="str">
        <x:v>proposal.t1.bristle_bundle</x:v>
      </x:c>
      <x:c r="E81" s="4" t="str">
        <x:f>IFERROR(INDEX('Items'!$B$6:$B$1005,MATCH(D81,'Items'!$A$6:$A$1005,0)),"MISSING ID")</x:f>
        <x:v>Clean graded bristle bundles</x:v>
      </x:c>
      <x:c r="F81" s="4" t="str">
        <x:f>IFERROR(INDEX('Items'!$C$6:$C$1005,MATCH(D81,'Items'!$A$6:$A$1005,0)),"MISSING ID")</x:f>
        <x:v>T1</x:v>
      </x:c>
      <x:c r="G81" s="4" t="str">
        <x:f>IFERROR(INDEX('Items'!$D$6:$D$1005,MATCH(D81,'Items'!$A$6:$A$1005,0)),"MISSING ID")</x:f>
        <x:v>Manufactured stock</x:v>
      </x:c>
      <x:c r="H81" s="4" t="str">
        <x:f>IFERROR(INDEX('Items'!$X$6:$X$1005,MATCH(D81,'Items'!$A$6:$A$1005,0)),"MISSING ID")</x:f>
        <x:v>Processed material</x:v>
      </x:c>
      <x:c r="I81" s="4"/>
      <x:c r="J81" s="4" t="str">
        <x:v>Unspecified</x:v>
      </x:c>
      <x:c r="K81" s="4" t="str">
        <x:f>IFERROR(INDEX('Crafting recipes'!$D$6:$D$1005,MATCH(B81,'Crafting recipes'!$A$6:$A$1005,0)),"MISSING ID")</x:f>
        <x:v>Proposal</x:v>
      </x:c>
      <x:c r="L81" s="4" t="str">
        <x:f>IFERROR(INDEX('Items'!$AD$6:$AD$1005,MATCH(D81,'Items'!$A$6:$A$1005,0)),"MISSING ID")</x:f>
        <x:v>Proposal</x:v>
      </x:c>
      <x:c r="M81" s="4" t="str">
        <x:f>IFERROR(INDEX('Crafting recipes'!$E$6:$E$1005,MATCH(B81,'Crafting recipes'!$A$6:$A$1005,0)),"MISSING ID")</x:f>
        <x:v>Partial proposal</x:v>
      </x:c>
      <x:c r="N81" s="4" t="str">
        <x:v>Proposed output; yield and complete formulation unresolved.</x:v>
      </x:c>
      <x:c r="O81" s="4" t="str">
        <x:v>https://github.com/sleepyseamonster/Arc-Dust/blob/f6f98515c005dc3c73cccd9cbc031691745740c6/02-Arc-Dust-Worldbuilding/world/materials/chitin.md (source proposal; game route proposed)</x:v>
      </x:c>
      <x:c r="P81" s="4" t="n">
        <x:f>IF(OR(C81="Ingredient candidate",C81="Consumed input",C81="Contained input",C81="Transform input"),IF(F81="T0",0,IF(F81="T1",1,IF(F81="T2",2,IF(F81="T3",3,IF(F81="T4",4,-1))))),-1)</x:f>
        <x:v>-1</x:v>
      </x:c>
      <x:c r="Q81" s="4" t="n">
        <x:f>IF(AND(OR(C81="Ingredient candidate",C81="Consumed input",C81="Contained input",C81="Transform input"),P81=-1),1,0)</x:f>
        <x:v>0</x:v>
      </x:c>
    </x:row>
    <x:row r="82" ht="85" customHeight="1">
      <x:c r="A82" s="4" t="str">
        <x:v>output.design.refine.t1.shell_lamina</x:v>
      </x:c>
      <x:c r="B82" s="4" t="str">
        <x:v>design.refine.t1.shell_lamina</x:v>
      </x:c>
      <x:c r="C82" s="4" t="str">
        <x:v>Output</x:v>
      </x:c>
      <x:c r="D82" s="4" t="str">
        <x:v>proposal.t1.shell_lamina</x:v>
      </x:c>
      <x:c r="E82" s="4" t="str">
        <x:f>IFERROR(INDEX('Items'!$B$6:$B$1005,MATCH(D82,'Items'!$A$6:$A$1005,0)),"MISSING ID")</x:f>
        <x:v>Separated shell lamina stock</x:v>
      </x:c>
      <x:c r="F82" s="4" t="str">
        <x:f>IFERROR(INDEX('Items'!$C$6:$C$1005,MATCH(D82,'Items'!$A$6:$A$1005,0)),"MISSING ID")</x:f>
        <x:v>T1</x:v>
      </x:c>
      <x:c r="G82" s="4" t="str">
        <x:f>IFERROR(INDEX('Items'!$D$6:$D$1005,MATCH(D82,'Items'!$A$6:$A$1005,0)),"MISSING ID")</x:f>
        <x:v>Manufactured stock</x:v>
      </x:c>
      <x:c r="H82" s="4" t="str">
        <x:f>IFERROR(INDEX('Items'!$X$6:$X$1005,MATCH(D82,'Items'!$A$6:$A$1005,0)),"MISSING ID")</x:f>
        <x:v>Processed material</x:v>
      </x:c>
      <x:c r="I82" s="4"/>
      <x:c r="J82" s="4" t="str">
        <x:v>Unspecified</x:v>
      </x:c>
      <x:c r="K82" s="4" t="str">
        <x:f>IFERROR(INDEX('Crafting recipes'!$D$6:$D$1005,MATCH(B82,'Crafting recipes'!$A$6:$A$1005,0)),"MISSING ID")</x:f>
        <x:v>Proposal</x:v>
      </x:c>
      <x:c r="L82" s="4" t="str">
        <x:f>IFERROR(INDEX('Items'!$AD$6:$AD$1005,MATCH(D82,'Items'!$A$6:$A$1005,0)),"MISSING ID")</x:f>
        <x:v>Proposal</x:v>
      </x:c>
      <x:c r="M82" s="4" t="str">
        <x:f>IFERROR(INDEX('Crafting recipes'!$E$6:$E$1005,MATCH(B82,'Crafting recipes'!$A$6:$A$1005,0)),"MISSING ID")</x:f>
        <x:v>Partial proposal</x:v>
      </x:c>
      <x:c r="N82" s="4" t="str">
        <x:v>Proposed output; yield and complete formulation unresolved.</x:v>
      </x:c>
      <x:c r="O82" s="4" t="str">
        <x:v>https://github.com/sleepyseamonster/Arc-Dust/blob/f6f98515c005dc3c73cccd9cbc031691745740c6/02-Arc-Dust-Worldbuilding/world/materials/chitin.md (source proposal; game route proposed)</x:v>
      </x:c>
      <x:c r="P82" s="4" t="n">
        <x:f>IF(OR(C82="Ingredient candidate",C82="Consumed input",C82="Contained input",C82="Transform input"),IF(F82="T0",0,IF(F82="T1",1,IF(F82="T2",2,IF(F82="T3",3,IF(F82="T4",4,-1))))),-1)</x:f>
        <x:v>-1</x:v>
      </x:c>
      <x:c r="Q82" s="4" t="n">
        <x:f>IF(AND(OR(C82="Ingredient candidate",C82="Consumed input",C82="Contained input",C82="Transform input"),P82=-1),1,0)</x:f>
        <x:v>0</x:v>
      </x:c>
    </x:row>
    <x:row r="83" ht="85" customHeight="1">
      <x:c r="A83" s="4" t="str">
        <x:v>output.design.refine.t1.hardpart_blank</x:v>
      </x:c>
      <x:c r="B83" s="4" t="str">
        <x:v>design.refine.t1.hardpart_blank</x:v>
      </x:c>
      <x:c r="C83" s="4" t="str">
        <x:v>Output</x:v>
      </x:c>
      <x:c r="D83" s="4" t="str">
        <x:v>proposal.t1.hardpart_blank</x:v>
      </x:c>
      <x:c r="E83" s="4" t="str">
        <x:f>IFERROR(INDEX('Items'!$B$6:$B$1005,MATCH(D83,'Items'!$A$6:$A$1005,0)),"MISSING ID")</x:f>
        <x:v>Shaped fauna hard-part blanks</x:v>
      </x:c>
      <x:c r="F83" s="4" t="str">
        <x:f>IFERROR(INDEX('Items'!$C$6:$C$1005,MATCH(D83,'Items'!$A$6:$A$1005,0)),"MISSING ID")</x:f>
        <x:v>T1</x:v>
      </x:c>
      <x:c r="G83" s="4" t="str">
        <x:f>IFERROR(INDEX('Items'!$D$6:$D$1005,MATCH(D83,'Items'!$A$6:$A$1005,0)),"MISSING ID")</x:f>
        <x:v>Manufactured stock</x:v>
      </x:c>
      <x:c r="H83" s="4" t="str">
        <x:f>IFERROR(INDEX('Items'!$X$6:$X$1005,MATCH(D83,'Items'!$A$6:$A$1005,0)),"MISSING ID")</x:f>
        <x:v>Processed material</x:v>
      </x:c>
      <x:c r="I83" s="4"/>
      <x:c r="J83" s="4" t="str">
        <x:v>Unspecified</x:v>
      </x:c>
      <x:c r="K83" s="4" t="str">
        <x:f>IFERROR(INDEX('Crafting recipes'!$D$6:$D$1005,MATCH(B83,'Crafting recipes'!$A$6:$A$1005,0)),"MISSING ID")</x:f>
        <x:v>Proposal</x:v>
      </x:c>
      <x:c r="L83" s="4" t="str">
        <x:f>IFERROR(INDEX('Items'!$AD$6:$AD$1005,MATCH(D83,'Items'!$A$6:$A$1005,0)),"MISSING ID")</x:f>
        <x:v>Proposal</x:v>
      </x:c>
      <x:c r="M83" s="4" t="str">
        <x:f>IFERROR(INDEX('Crafting recipes'!$E$6:$E$1005,MATCH(B83,'Crafting recipes'!$A$6:$A$1005,0)),"MISSING ID")</x:f>
        <x:v>Partial proposal</x:v>
      </x:c>
      <x:c r="N83" s="4" t="str">
        <x:v>Proposed output; yield and complete formulation unresolved.</x:v>
      </x:c>
      <x:c r="O83" s="4" t="str">
        <x:v>https://github.com/sleepyseamonster/Arc-Dust/blob/f6f98515c005dc3c73cccd9cbc031691745740c6/02-Arc-Dust-Worldbuilding/world/materials/chitin.md (source proposal; game route proposed)</x:v>
      </x:c>
      <x:c r="P83" s="4" t="n">
        <x:f>IF(OR(C83="Ingredient candidate",C83="Consumed input",C83="Contained input",C83="Transform input"),IF(F83="T0",0,IF(F83="T1",1,IF(F83="T2",2,IF(F83="T3",3,IF(F83="T4",4,-1))))),-1)</x:f>
        <x:v>-1</x:v>
      </x:c>
      <x:c r="Q83" s="4" t="n">
        <x:f>IF(AND(OR(C83="Ingredient candidate",C83="Consumed input",C83="Contained input",C83="Transform input"),P83=-1),1,0)</x:f>
        <x:v>0</x:v>
      </x:c>
    </x:row>
    <x:row r="84" ht="85" customHeight="1">
      <x:c r="A84" s="4" t="str">
        <x:v>output.design.refine.t1.process_salts</x:v>
      </x:c>
      <x:c r="B84" s="4" t="str">
        <x:v>design.refine.t1.process_salts</x:v>
      </x:c>
      <x:c r="C84" s="4" t="str">
        <x:v>Output</x:v>
      </x:c>
      <x:c r="D84" s="4" t="str">
        <x:v>proposal.t1.process_salts</x:v>
      </x:c>
      <x:c r="E84" s="4" t="str">
        <x:f>IFERROR(INDEX('Items'!$B$6:$B$1005,MATCH(D84,'Items'!$A$6:$A$1005,0)),"MISSING ID")</x:f>
        <x:v>Graded process salts</x:v>
      </x:c>
      <x:c r="F84" s="4" t="str">
        <x:f>IFERROR(INDEX('Items'!$C$6:$C$1005,MATCH(D84,'Items'!$A$6:$A$1005,0)),"MISSING ID")</x:f>
        <x:v>T1</x:v>
      </x:c>
      <x:c r="G84" s="4" t="str">
        <x:f>IFERROR(INDEX('Items'!$D$6:$D$1005,MATCH(D84,'Items'!$A$6:$A$1005,0)),"MISSING ID")</x:f>
        <x:v>Manufactured stock</x:v>
      </x:c>
      <x:c r="H84" s="4" t="str">
        <x:f>IFERROR(INDEX('Items'!$X$6:$X$1005,MATCH(D84,'Items'!$A$6:$A$1005,0)),"MISSING ID")</x:f>
        <x:v>Processed material</x:v>
      </x:c>
      <x:c r="I84" s="4"/>
      <x:c r="J84" s="4" t="str">
        <x:v>Unspecified</x:v>
      </x:c>
      <x:c r="K84" s="4" t="str">
        <x:f>IFERROR(INDEX('Crafting recipes'!$D$6:$D$1005,MATCH(B84,'Crafting recipes'!$A$6:$A$1005,0)),"MISSING ID")</x:f>
        <x:v>Proposal</x:v>
      </x:c>
      <x:c r="L84" s="4" t="str">
        <x:f>IFERROR(INDEX('Items'!$AD$6:$AD$1005,MATCH(D84,'Items'!$A$6:$A$1005,0)),"MISSING ID")</x:f>
        <x:v>Proposal</x:v>
      </x:c>
      <x:c r="M84" s="4" t="str">
        <x:f>IFERROR(INDEX('Crafting recipes'!$E$6:$E$1005,MATCH(B84,'Crafting recipes'!$A$6:$A$1005,0)),"MISSING ID")</x:f>
        <x:v>Partial proposal</x:v>
      </x:c>
      <x:c r="N84" s="4" t="str">
        <x:v>Proposed output; yield and complete formulation unresolved.</x:v>
      </x:c>
      <x:c r="O84" s="4" t="str">
        <x:v>https://github.com/sleepyseamonster/Arc-Dust/blob/f6f98515c005dc3c73cccd9cbc031691745740c6/02-Arc-Dust-Worldbuilding/world/materials/chemical-processing-agents.md (source proposal; game route proposed)</x:v>
      </x:c>
      <x:c r="P84" s="4" t="n">
        <x:f>IF(OR(C84="Ingredient candidate",C84="Consumed input",C84="Contained input",C84="Transform input"),IF(F84="T0",0,IF(F84="T1",1,IF(F84="T2",2,IF(F84="T3",3,IF(F84="T4",4,-1))))),-1)</x:f>
        <x:v>-1</x:v>
      </x:c>
      <x:c r="Q84" s="4" t="n">
        <x:f>IF(AND(OR(C84="Ingredient candidate",C84="Consumed input",C84="Contained input",C84="Transform input"),P84=-1),1,0)</x:f>
        <x:v>0</x:v>
      </x:c>
    </x:row>
    <x:row r="85" ht="85" customHeight="1">
      <x:c r="A85" s="4" t="str">
        <x:v>output.design.refine.t1.faunal_carrier</x:v>
      </x:c>
      <x:c r="B85" s="4" t="str">
        <x:v>design.refine.t1.faunal_carrier</x:v>
      </x:c>
      <x:c r="C85" s="4" t="str">
        <x:v>Output</x:v>
      </x:c>
      <x:c r="D85" s="4" t="str">
        <x:v>proposal.t1.faunal_carrier</x:v>
      </x:c>
      <x:c r="E85" s="4" t="str">
        <x:f>IFERROR(INDEX('Items'!$B$6:$B$1005,MATCH(D85,'Items'!$A$6:$A$1005,0)),"MISSING ID")</x:f>
        <x:v>Selected faunal carrier fraction</x:v>
      </x:c>
      <x:c r="F85" s="4" t="str">
        <x:f>IFERROR(INDEX('Items'!$C$6:$C$1005,MATCH(D85,'Items'!$A$6:$A$1005,0)),"MISSING ID")</x:f>
        <x:v>T1</x:v>
      </x:c>
      <x:c r="G85" s="4" t="str">
        <x:f>IFERROR(INDEX('Items'!$D$6:$D$1005,MATCH(D85,'Items'!$A$6:$A$1005,0)),"MISSING ID")</x:f>
        <x:v>Crafting components</x:v>
      </x:c>
      <x:c r="H85" s="4" t="str">
        <x:f>IFERROR(INDEX('Items'!$X$6:$X$1005,MATCH(D85,'Items'!$A$6:$A$1005,0)),"MISSING ID")</x:f>
        <x:v>Chemical material</x:v>
      </x:c>
      <x:c r="I85" s="4"/>
      <x:c r="J85" s="4" t="str">
        <x:v>Unspecified</x:v>
      </x:c>
      <x:c r="K85" s="4" t="str">
        <x:f>IFERROR(INDEX('Crafting recipes'!$D$6:$D$1005,MATCH(B85,'Crafting recipes'!$A$6:$A$1005,0)),"MISSING ID")</x:f>
        <x:v>Proposal</x:v>
      </x:c>
      <x:c r="L85" s="4" t="str">
        <x:f>IFERROR(INDEX('Items'!$AD$6:$AD$1005,MATCH(D85,'Items'!$A$6:$A$1005,0)),"MISSING ID")</x:f>
        <x:v>Proposal</x:v>
      </x:c>
      <x:c r="M85" s="4" t="str">
        <x:f>IFERROR(INDEX('Crafting recipes'!$E$6:$E$1005,MATCH(B85,'Crafting recipes'!$A$6:$A$1005,0)),"MISSING ID")</x:f>
        <x:v>Partial proposal</x:v>
      </x:c>
      <x:c r="N85" s="4" t="str">
        <x:v>Proposed output; yield and complete formulation unresolved.</x:v>
      </x:c>
      <x:c r="O85" s="4" t="str">
        <x:v>https://github.com/sleepyseamonster/Arc-Dust/blob/f6f98515c005dc3c73cccd9cbc031691745740c6/02-Arc-Dust-Worldbuilding/world/materials/chemical-processing-agents.md (source proposal; game route proposed)</x:v>
      </x:c>
      <x:c r="P85" s="4" t="n">
        <x:f>IF(OR(C85="Ingredient candidate",C85="Consumed input",C85="Contained input",C85="Transform input"),IF(F85="T0",0,IF(F85="T1",1,IF(F85="T2",2,IF(F85="T3",3,IF(F85="T4",4,-1))))),-1)</x:f>
        <x:v>-1</x:v>
      </x:c>
      <x:c r="Q85" s="4" t="n">
        <x:f>IF(AND(OR(C85="Ingredient candidate",C85="Consumed input",C85="Contained input",C85="Transform input"),P85=-1),1,0)</x:f>
        <x:v>0</x:v>
      </x:c>
    </x:row>
    <x:row r="86" ht="85" customHeight="1">
      <x:c r="A86" s="4" t="str">
        <x:v>output.design.refine.t1.shell_adhesive</x:v>
      </x:c>
      <x:c r="B86" s="4" t="str">
        <x:v>design.refine.t1.shell_adhesive</x:v>
      </x:c>
      <x:c r="C86" s="4" t="str">
        <x:v>Output</x:v>
      </x:c>
      <x:c r="D86" s="4" t="str">
        <x:v>proposal.t1.shell_adhesive</x:v>
      </x:c>
      <x:c r="E86" s="4" t="str">
        <x:f>IFERROR(INDEX('Items'!$B$6:$B$1005,MATCH(D86,'Items'!$A$6:$A$1005,0)),"MISSING ID")</x:f>
        <x:v>Prepared shell-binding adhesive</x:v>
      </x:c>
      <x:c r="F86" s="4" t="str">
        <x:f>IFERROR(INDEX('Items'!$C$6:$C$1005,MATCH(D86,'Items'!$A$6:$A$1005,0)),"MISSING ID")</x:f>
        <x:v>T1</x:v>
      </x:c>
      <x:c r="G86" s="4" t="str">
        <x:f>IFERROR(INDEX('Items'!$D$6:$D$1005,MATCH(D86,'Items'!$A$6:$A$1005,0)),"MISSING ID")</x:f>
        <x:v>Crafting components</x:v>
      </x:c>
      <x:c r="H86" s="4" t="str">
        <x:f>IFERROR(INDEX('Items'!$X$6:$X$1005,MATCH(D86,'Items'!$A$6:$A$1005,0)),"MISSING ID")</x:f>
        <x:v>Chemical material</x:v>
      </x:c>
      <x:c r="I86" s="4"/>
      <x:c r="J86" s="4" t="str">
        <x:v>Unspecified</x:v>
      </x:c>
      <x:c r="K86" s="4" t="str">
        <x:f>IFERROR(INDEX('Crafting recipes'!$D$6:$D$1005,MATCH(B86,'Crafting recipes'!$A$6:$A$1005,0)),"MISSING ID")</x:f>
        <x:v>Proposal</x:v>
      </x:c>
      <x:c r="L86" s="4" t="str">
        <x:f>IFERROR(INDEX('Items'!$AD$6:$AD$1005,MATCH(D86,'Items'!$A$6:$A$1005,0)),"MISSING ID")</x:f>
        <x:v>Proposal</x:v>
      </x:c>
      <x:c r="M86" s="4" t="str">
        <x:f>IFERROR(INDEX('Crafting recipes'!$E$6:$E$1005,MATCH(B86,'Crafting recipes'!$A$6:$A$1005,0)),"MISSING ID")</x:f>
        <x:v>Partial proposal</x:v>
      </x:c>
      <x:c r="N86" s="4" t="str">
        <x:v>Proposed output; yield and complete formulation unresolved.</x:v>
      </x:c>
      <x:c r="O86" s="4" t="str">
        <x:v>https://github.com/sleepyseamonster/Arc-Dust/blob/f6f98515c005dc3c73cccd9cbc031691745740c6/02-Arc-Dust-Worldbuilding/world/materials/chemical-processing-agents.md (source proposal; game route proposed)</x:v>
      </x:c>
      <x:c r="P86" s="4" t="n">
        <x:f>IF(OR(C86="Ingredient candidate",C86="Consumed input",C86="Contained input",C86="Transform input"),IF(F86="T0",0,IF(F86="T1",1,IF(F86="T2",2,IF(F86="T3",3,IF(F86="T4",4,-1))))),-1)</x:f>
        <x:v>-1</x:v>
      </x:c>
      <x:c r="Q86" s="4" t="n">
        <x:f>IF(AND(OR(C86="Ingredient candidate",C86="Consumed input",C86="Contained input",C86="Transform input"),P86=-1),1,0)</x:f>
        <x:v>0</x:v>
      </x:c>
    </x:row>
    <x:row r="87" ht="85" customHeight="1">
      <x:c r="A87" s="4" t="str">
        <x:v>output.design.refine.t1.clot_seal</x:v>
      </x:c>
      <x:c r="B87" s="4" t="str">
        <x:v>design.refine.t1.clot_seal</x:v>
      </x:c>
      <x:c r="C87" s="4" t="str">
        <x:v>Output</x:v>
      </x:c>
      <x:c r="D87" s="4" t="str">
        <x:v>proposal.t1.clot_seal</x:v>
      </x:c>
      <x:c r="E87" s="4" t="str">
        <x:f>IFERROR(INDEX('Items'!$B$6:$B$1005,MATCH(D87,'Items'!$A$6:$A$1005,0)),"MISSING ID")</x:f>
        <x:v>Prepared clot-seal compound</x:v>
      </x:c>
      <x:c r="F87" s="4" t="str">
        <x:f>IFERROR(INDEX('Items'!$C$6:$C$1005,MATCH(D87,'Items'!$A$6:$A$1005,0)),"MISSING ID")</x:f>
        <x:v>T1</x:v>
      </x:c>
      <x:c r="G87" s="4" t="str">
        <x:f>IFERROR(INDEX('Items'!$D$6:$D$1005,MATCH(D87,'Items'!$A$6:$A$1005,0)),"MISSING ID")</x:f>
        <x:v>Crafting components</x:v>
      </x:c>
      <x:c r="H87" s="4" t="str">
        <x:f>IFERROR(INDEX('Items'!$X$6:$X$1005,MATCH(D87,'Items'!$A$6:$A$1005,0)),"MISSING ID")</x:f>
        <x:v>Chemical material</x:v>
      </x:c>
      <x:c r="I87" s="4"/>
      <x:c r="J87" s="4" t="str">
        <x:v>Unspecified</x:v>
      </x:c>
      <x:c r="K87" s="4" t="str">
        <x:f>IFERROR(INDEX('Crafting recipes'!$D$6:$D$1005,MATCH(B87,'Crafting recipes'!$A$6:$A$1005,0)),"MISSING ID")</x:f>
        <x:v>Proposal</x:v>
      </x:c>
      <x:c r="L87" s="4" t="str">
        <x:f>IFERROR(INDEX('Items'!$AD$6:$AD$1005,MATCH(D87,'Items'!$A$6:$A$1005,0)),"MISSING ID")</x:f>
        <x:v>Proposal</x:v>
      </x:c>
      <x:c r="M87" s="4" t="str">
        <x:f>IFERROR(INDEX('Crafting recipes'!$E$6:$E$1005,MATCH(B87,'Crafting recipes'!$A$6:$A$1005,0)),"MISSING ID")</x:f>
        <x:v>Partial proposal</x:v>
      </x:c>
      <x:c r="N87" s="4" t="str">
        <x:v>Proposed output; yield and complete formulation unresolved.</x:v>
      </x:c>
      <x:c r="O87" s="4" t="str">
        <x:v>https://github.com/sleepyseamonster/Arc-Dust/blob/f6f98515c005dc3c73cccd9cbc031691745740c6/02-Arc-Dust-Worldbuilding/world/materials/chemical-processing-agents.md (source proposal; game route proposed)</x:v>
      </x:c>
      <x:c r="P87" s="4" t="n">
        <x:f>IF(OR(C87="Ingredient candidate",C87="Consumed input",C87="Contained input",C87="Transform input"),IF(F87="T0",0,IF(F87="T1",1,IF(F87="T2",2,IF(F87="T3",3,IF(F87="T4",4,-1))))),-1)</x:f>
        <x:v>-1</x:v>
      </x:c>
      <x:c r="Q87" s="4" t="n">
        <x:f>IF(AND(OR(C87="Ingredient candidate",C87="Consumed input",C87="Contained input",C87="Transform input"),P87=-1),1,0)</x:f>
        <x:v>0</x:v>
      </x:c>
    </x:row>
    <x:row r="88" ht="85" customHeight="1">
      <x:c r="A88" s="4" t="str">
        <x:v>output.design.refine.t1.gem_preform</x:v>
      </x:c>
      <x:c r="B88" s="4" t="str">
        <x:v>design.refine.t1.gem_preform</x:v>
      </x:c>
      <x:c r="C88" s="4" t="str">
        <x:v>Output</x:v>
      </x:c>
      <x:c r="D88" s="4" t="str">
        <x:v>proposal.t1.gem_preform</x:v>
      </x:c>
      <x:c r="E88" s="4" t="str">
        <x:f>IFERROR(INDEX('Items'!$B$6:$B$1005,MATCH(D88,'Items'!$A$6:$A$1005,0)),"MISSING ID")</x:f>
        <x:v>Cut gemstone preform</x:v>
      </x:c>
      <x:c r="F88" s="4" t="str">
        <x:f>IFERROR(INDEX('Items'!$C$6:$C$1005,MATCH(D88,'Items'!$A$6:$A$1005,0)),"MISSING ID")</x:f>
        <x:v>T1</x:v>
      </x:c>
      <x:c r="G88" s="4" t="str">
        <x:f>IFERROR(INDEX('Items'!$D$6:$D$1005,MATCH(D88,'Items'!$A$6:$A$1005,0)),"MISSING ID")</x:f>
        <x:v>Manufactured stock</x:v>
      </x:c>
      <x:c r="H88" s="4" t="str">
        <x:f>IFERROR(INDEX('Items'!$X$6:$X$1005,MATCH(D88,'Items'!$A$6:$A$1005,0)),"MISSING ID")</x:f>
        <x:v>Processed material</x:v>
      </x:c>
      <x:c r="I88" s="4"/>
      <x:c r="J88" s="4" t="str">
        <x:v>Unspecified</x:v>
      </x:c>
      <x:c r="K88" s="4" t="str">
        <x:f>IFERROR(INDEX('Crafting recipes'!$D$6:$D$1005,MATCH(B88,'Crafting recipes'!$A$6:$A$1005,0)),"MISSING ID")</x:f>
        <x:v>Proposal</x:v>
      </x:c>
      <x:c r="L88" s="4" t="str">
        <x:f>IFERROR(INDEX('Items'!$AD$6:$AD$1005,MATCH(D88,'Items'!$A$6:$A$1005,0)),"MISSING ID")</x:f>
        <x:v>Proposal</x:v>
      </x:c>
      <x:c r="M88" s="4" t="str">
        <x:f>IFERROR(INDEX('Crafting recipes'!$E$6:$E$1005,MATCH(B88,'Crafting recipes'!$A$6:$A$1005,0)),"MISSING ID")</x:f>
        <x:v>Partial proposal</x:v>
      </x:c>
      <x:c r="N88" s="4" t="str">
        <x:v>Proposed output; yield and complete formulation unresolved.</x:v>
      </x:c>
      <x:c r="O88" s="4" t="str">
        <x:v>https://github.com/sleepyseamonster/Arc-Dust/blob/f6f98515c005dc3c73cccd9cbc031691745740c6/02-Arc-Dust-Worldbuilding/world/materials/canyon-depth-geology.md (source proposal; game route proposed)</x:v>
      </x:c>
      <x:c r="P88" s="4" t="n">
        <x:f>IF(OR(C88="Ingredient candidate",C88="Consumed input",C88="Contained input",C88="Transform input"),IF(F88="T0",0,IF(F88="T1",1,IF(F88="T2",2,IF(F88="T3",3,IF(F88="T4",4,-1))))),-1)</x:f>
        <x:v>-1</x:v>
      </x:c>
      <x:c r="Q88" s="4" t="n">
        <x:f>IF(AND(OR(C88="Ingredient candidate",C88="Consumed input",C88="Contained input",C88="Transform input"),P88=-1),1,0)</x:f>
        <x:v>0</x:v>
      </x:c>
    </x:row>
    <x:row r="89" ht="85" customHeight="1">
      <x:c r="A89" s="4" t="str">
        <x:v>output.design.refine.t1.gem_chips</x:v>
      </x:c>
      <x:c r="B89" s="4" t="str">
        <x:v>design.refine.t1.gem_chips</x:v>
      </x:c>
      <x:c r="C89" s="4" t="str">
        <x:v>Output</x:v>
      </x:c>
      <x:c r="D89" s="4" t="str">
        <x:v>proposal.t1.gem_chips</x:v>
      </x:c>
      <x:c r="E89" s="4" t="str">
        <x:f>IFERROR(INDEX('Items'!$B$6:$B$1005,MATCH(D89,'Items'!$A$6:$A$1005,0)),"MISSING ID")</x:f>
        <x:v>Graded stone inlay chips</x:v>
      </x:c>
      <x:c r="F89" s="4" t="str">
        <x:f>IFERROR(INDEX('Items'!$C$6:$C$1005,MATCH(D89,'Items'!$A$6:$A$1005,0)),"MISSING ID")</x:f>
        <x:v>T1</x:v>
      </x:c>
      <x:c r="G89" s="4" t="str">
        <x:f>IFERROR(INDEX('Items'!$D$6:$D$1005,MATCH(D89,'Items'!$A$6:$A$1005,0)),"MISSING ID")</x:f>
        <x:v>Manufactured stock</x:v>
      </x:c>
      <x:c r="H89" s="4" t="str">
        <x:f>IFERROR(INDEX('Items'!$X$6:$X$1005,MATCH(D89,'Items'!$A$6:$A$1005,0)),"MISSING ID")</x:f>
        <x:v>Processed material</x:v>
      </x:c>
      <x:c r="I89" s="4"/>
      <x:c r="J89" s="4" t="str">
        <x:v>Unspecified</x:v>
      </x:c>
      <x:c r="K89" s="4" t="str">
        <x:f>IFERROR(INDEX('Crafting recipes'!$D$6:$D$1005,MATCH(B89,'Crafting recipes'!$A$6:$A$1005,0)),"MISSING ID")</x:f>
        <x:v>Proposal</x:v>
      </x:c>
      <x:c r="L89" s="4" t="str">
        <x:f>IFERROR(INDEX('Items'!$AD$6:$AD$1005,MATCH(D89,'Items'!$A$6:$A$1005,0)),"MISSING ID")</x:f>
        <x:v>Proposal</x:v>
      </x:c>
      <x:c r="M89" s="4" t="str">
        <x:f>IFERROR(INDEX('Crafting recipes'!$E$6:$E$1005,MATCH(B89,'Crafting recipes'!$A$6:$A$1005,0)),"MISSING ID")</x:f>
        <x:v>Partial proposal</x:v>
      </x:c>
      <x:c r="N89" s="4" t="str">
        <x:v>Proposed output; yield and complete formulation unresolved.</x:v>
      </x:c>
      <x:c r="O89" s="4" t="str">
        <x:v>https://github.com/sleepyseamonster/Arc-Dust/blob/f6f98515c005dc3c73cccd9cbc031691745740c6/02-Arc-Dust-Worldbuilding/world/materials/canyon-depth-geology.md (source proposal; game route proposed)</x:v>
      </x:c>
      <x:c r="P89" s="4" t="n">
        <x:f>IF(OR(C89="Ingredient candidate",C89="Consumed input",C89="Contained input",C89="Transform input"),IF(F89="T0",0,IF(F89="T1",1,IF(F89="T2",2,IF(F89="T3",3,IF(F89="T4",4,-1))))),-1)</x:f>
        <x:v>-1</x:v>
      </x:c>
      <x:c r="Q89" s="4" t="n">
        <x:f>IF(AND(OR(C89="Ingredient candidate",C89="Consumed input",C89="Contained input",C89="Transform input"),P89=-1),1,0)</x:f>
        <x:v>0</x:v>
      </x:c>
    </x:row>
    <x:row r="90" ht="85" customHeight="1">
      <x:c r="A90" s="4" t="str">
        <x:v>output.design.refine.t1.shell_inlay</x:v>
      </x:c>
      <x:c r="B90" s="4" t="str">
        <x:v>design.refine.t1.shell_inlay</x:v>
      </x:c>
      <x:c r="C90" s="4" t="str">
        <x:v>Output</x:v>
      </x:c>
      <x:c r="D90" s="4" t="str">
        <x:v>proposal.t1.shell_inlay</x:v>
      </x:c>
      <x:c r="E90" s="4" t="str">
        <x:f>IFERROR(INDEX('Items'!$B$6:$B$1005,MATCH(D90,'Items'!$A$6:$A$1005,0)),"MISSING ID")</x:f>
        <x:v>Burnished shell inlay scales</x:v>
      </x:c>
      <x:c r="F90" s="4" t="str">
        <x:f>IFERROR(INDEX('Items'!$C$6:$C$1005,MATCH(D90,'Items'!$A$6:$A$1005,0)),"MISSING ID")</x:f>
        <x:v>T1</x:v>
      </x:c>
      <x:c r="G90" s="4" t="str">
        <x:f>IFERROR(INDEX('Items'!$D$6:$D$1005,MATCH(D90,'Items'!$A$6:$A$1005,0)),"MISSING ID")</x:f>
        <x:v>Manufactured stock</x:v>
      </x:c>
      <x:c r="H90" s="4" t="str">
        <x:f>IFERROR(INDEX('Items'!$X$6:$X$1005,MATCH(D90,'Items'!$A$6:$A$1005,0)),"MISSING ID")</x:f>
        <x:v>Processed material</x:v>
      </x:c>
      <x:c r="I90" s="4"/>
      <x:c r="J90" s="4" t="str">
        <x:v>Unspecified</x:v>
      </x:c>
      <x:c r="K90" s="4" t="str">
        <x:f>IFERROR(INDEX('Crafting recipes'!$D$6:$D$1005,MATCH(B90,'Crafting recipes'!$A$6:$A$1005,0)),"MISSING ID")</x:f>
        <x:v>Proposal</x:v>
      </x:c>
      <x:c r="L90" s="4" t="str">
        <x:f>IFERROR(INDEX('Items'!$AD$6:$AD$1005,MATCH(D90,'Items'!$A$6:$A$1005,0)),"MISSING ID")</x:f>
        <x:v>Proposal</x:v>
      </x:c>
      <x:c r="M90" s="4" t="str">
        <x:f>IFERROR(INDEX('Crafting recipes'!$E$6:$E$1005,MATCH(B90,'Crafting recipes'!$A$6:$A$1005,0)),"MISSING ID")</x:f>
        <x:v>Partial proposal</x:v>
      </x:c>
      <x:c r="N90" s="4" t="str">
        <x:v>Proposed output; yield and complete formulation unresolved.</x:v>
      </x:c>
      <x:c r="O90" s="4" t="str">
        <x:v>https://github.com/sleepyseamonster/Arc-Dust/blob/f6f98515c005dc3c73cccd9cbc031691745740c6/02-Arc-Dust-Worldbuilding/world/economy/canister-identity.md (source proposal; game route proposed)</x:v>
      </x:c>
      <x:c r="P90" s="4" t="n">
        <x:f>IF(OR(C90="Ingredient candidate",C90="Consumed input",C90="Contained input",C90="Transform input"),IF(F90="T0",0,IF(F90="T1",1,IF(F90="T2",2,IF(F90="T3",3,IF(F90="T4",4,-1))))),-1)</x:f>
        <x:v>-1</x:v>
      </x:c>
      <x:c r="Q90" s="4" t="n">
        <x:f>IF(AND(OR(C90="Ingredient candidate",C90="Consumed input",C90="Contained input",C90="Transform input"),P90=-1),1,0)</x:f>
        <x:v>0</x:v>
      </x:c>
    </x:row>
    <x:row r="91" ht="85" customHeight="1">
      <x:c r="A91" s="4" t="str">
        <x:v>output.design.refine.t1.mica_window</x:v>
      </x:c>
      <x:c r="B91" s="4" t="str">
        <x:v>design.refine.t1.mica_window</x:v>
      </x:c>
      <x:c r="C91" s="4" t="str">
        <x:v>Output</x:v>
      </x:c>
      <x:c r="D91" s="4" t="str">
        <x:v>proposal.t1.mica_window</x:v>
      </x:c>
      <x:c r="E91" s="4" t="str">
        <x:f>IFERROR(INDEX('Items'!$B$6:$B$1005,MATCH(D91,'Items'!$A$6:$A$1005,0)),"MISSING ID")</x:f>
        <x:v>Sized mica viewing sheet</x:v>
      </x:c>
      <x:c r="F91" s="4" t="str">
        <x:f>IFERROR(INDEX('Items'!$C$6:$C$1005,MATCH(D91,'Items'!$A$6:$A$1005,0)),"MISSING ID")</x:f>
        <x:v>T1</x:v>
      </x:c>
      <x:c r="G91" s="4" t="str">
        <x:f>IFERROR(INDEX('Items'!$D$6:$D$1005,MATCH(D91,'Items'!$A$6:$A$1005,0)),"MISSING ID")</x:f>
        <x:v>Manufactured stock</x:v>
      </x:c>
      <x:c r="H91" s="4" t="str">
        <x:f>IFERROR(INDEX('Items'!$X$6:$X$1005,MATCH(D91,'Items'!$A$6:$A$1005,0)),"MISSING ID")</x:f>
        <x:v>Processed material</x:v>
      </x:c>
      <x:c r="I91" s="4"/>
      <x:c r="J91" s="4" t="str">
        <x:v>Unspecified</x:v>
      </x:c>
      <x:c r="K91" s="4" t="str">
        <x:f>IFERROR(INDEX('Crafting recipes'!$D$6:$D$1005,MATCH(B91,'Crafting recipes'!$A$6:$A$1005,0)),"MISSING ID")</x:f>
        <x:v>Proposal</x:v>
      </x:c>
      <x:c r="L91" s="4" t="str">
        <x:f>IFERROR(INDEX('Items'!$AD$6:$AD$1005,MATCH(D91,'Items'!$A$6:$A$1005,0)),"MISSING ID")</x:f>
        <x:v>Proposal</x:v>
      </x:c>
      <x:c r="M91" s="4" t="str">
        <x:f>IFERROR(INDEX('Crafting recipes'!$E$6:$E$1005,MATCH(B91,'Crafting recipes'!$A$6:$A$1005,0)),"MISSING ID")</x:f>
        <x:v>Partial proposal</x:v>
      </x:c>
      <x:c r="N91" s="4" t="str">
        <x:v>Proposed output; yield and complete formulation unresolved.</x:v>
      </x:c>
      <x:c r="O91" s="4" t="str">
        <x:v>https://github.com/sleepyseamonster/Arc-Dust/blob/f6f98515c005dc3c73cccd9cbc031691745740c6/02-Arc-Dust-Worldbuilding/world/materials/industrial-material-palette.md (source proposal; game route proposed)</x:v>
      </x:c>
      <x:c r="P91" s="4" t="n">
        <x:f>IF(OR(C91="Ingredient candidate",C91="Consumed input",C91="Contained input",C91="Transform input"),IF(F91="T0",0,IF(F91="T1",1,IF(F91="T2",2,IF(F91="T3",3,IF(F91="T4",4,-1))))),-1)</x:f>
        <x:v>-1</x:v>
      </x:c>
      <x:c r="Q91" s="4" t="n">
        <x:f>IF(AND(OR(C91="Ingredient candidate",C91="Consumed input",C91="Contained input",C91="Transform input"),P91=-1),1,0)</x:f>
        <x:v>0</x:v>
      </x:c>
    </x:row>
    <x:row r="92" ht="85" customHeight="1">
      <x:c r="A92" s="4"/>
      <x:c r="B92" s="4"/>
      <x:c r="C92" s="4"/>
      <x:c r="D92" s="4"/>
      <x:c r="E92" s="4"/>
      <x:c r="F92" s="4"/>
      <x:c r="G92" s="4"/>
      <x:c r="H92" s="4"/>
      <x:c r="I92" s="4"/>
      <x:c r="J92" s="4"/>
      <x:c r="K92" s="4"/>
      <x:c r="L92" s="4"/>
      <x:c r="M92" s="4"/>
      <x:c r="N92" s="4"/>
      <x:c r="O92" s="4"/>
      <x:c r="P92" s="4"/>
      <x:c r="Q92" s="4"/>
    </x:row>
    <x:row r="93" ht="85" customHeight="1">
      <x:c r="A93" s="4" t="str">
        <x:v>output.design.refine.natural.iron_stock</x:v>
      </x:c>
      <x:c r="B93" s="4" t="str">
        <x:v>design.refine.natural.iron_stock</x:v>
      </x:c>
      <x:c r="C93" s="4" t="str">
        <x:v>Output</x:v>
      </x:c>
      <x:c r="D93" s="4" t="str">
        <x:v>proposal.natural.iron_stock</x:v>
      </x:c>
      <x:c r="E93" s="4" t="str">
        <x:f>IFERROR(INDEX('Items'!$B$6:$B$1005,MATCH(D93,'Items'!$A$6:$A$1005,0)),"MISSING ID")</x:f>
        <x:v>Worked iron stock</x:v>
      </x:c>
      <x:c r="F93" s="4" t="str">
        <x:f>IFERROR(INDEX('Items'!$C$6:$C$1005,MATCH(D93,'Items'!$A$6:$A$1005,0)),"MISSING ID")</x:f>
        <x:v>T2</x:v>
      </x:c>
      <x:c r="G93" s="4" t="str">
        <x:f>IFERROR(INDEX('Items'!$D$6:$D$1005,MATCH(D93,'Items'!$A$6:$A$1005,0)),"MISSING ID")</x:f>
        <x:v>Manufactured stock</x:v>
      </x:c>
      <x:c r="H93" s="4" t="str">
        <x:f>IFERROR(INDEX('Items'!$X$6:$X$1005,MATCH(D93,'Items'!$A$6:$A$1005,0)),"MISSING ID")</x:f>
        <x:v>Processed material</x:v>
      </x:c>
      <x:c r="I93" s="4"/>
      <x:c r="J93" s="4" t="str">
        <x:v>Unspecified</x:v>
      </x:c>
      <x:c r="K93" s="4" t="str">
        <x:f>IFERROR(INDEX('Crafting recipes'!$D$6:$D$1005,MATCH(B93,'Crafting recipes'!$A$6:$A$1005,0)),"MISSING ID")</x:f>
        <x:v>Proposal</x:v>
      </x:c>
      <x:c r="L93" s="4" t="str">
        <x:f>IFERROR(INDEX('Items'!$AD$6:$AD$1005,MATCH(D93,'Items'!$A$6:$A$1005,0)),"MISSING ID")</x:f>
        <x:v>Proposal</x:v>
      </x:c>
      <x:c r="M93" s="4" t="str">
        <x:f>IFERROR(INDEX('Crafting recipes'!$E$6:$E$1005,MATCH(B93,'Crafting recipes'!$A$6:$A$1005,0)),"MISSING ID")</x:f>
        <x:v>Partial proposal</x:v>
      </x:c>
      <x:c r="N93" s="4" t="str">
        <x:v>Proposed output; yield and complete formulation unresolved.</x:v>
      </x:c>
      <x:c r="O93" s="4" t="str">
        <x:v>New game proposal; no complete recipe</x:v>
      </x:c>
      <x:c r="P93" s="4" t="n">
        <x:f>IF(OR(C93="Ingredient candidate",C93="Consumed input",C93="Contained input",C93="Transform input"),IF(F93="T0",0,IF(F93="T1",1,IF(F93="T2",2,IF(F93="T3",3,IF(F93="T4",4,-1))))),-1)</x:f>
        <x:v>-1</x:v>
      </x:c>
      <x:c r="Q93" s="4" t="n">
        <x:f>IF(AND(OR(C93="Ingredient candidate",C93="Consumed input",C93="Contained input",C93="Transform input"),P93=-1),1,0)</x:f>
        <x:v>0</x:v>
      </x:c>
    </x:row>
    <x:row r="94" ht="85" customHeight="1">
      <x:c r="A94" s="4" t="str">
        <x:v>output.design.refine.bio.laminate</x:v>
      </x:c>
      <x:c r="B94" s="4" t="str">
        <x:v>design.refine.bio.laminate</x:v>
      </x:c>
      <x:c r="C94" s="4" t="str">
        <x:v>Output</x:v>
      </x:c>
      <x:c r="D94" s="4" t="str">
        <x:v>proposal.bio.laminate</x:v>
      </x:c>
      <x:c r="E94" s="4" t="str">
        <x:f>IFERROR(INDEX('Items'!$B$6:$B$1005,MATCH(D94,'Items'!$A$6:$A$1005,0)),"MISSING ID")</x:f>
        <x:v>Shell laminate</x:v>
      </x:c>
      <x:c r="F94" s="4" t="str">
        <x:f>IFERROR(INDEX('Items'!$C$6:$C$1005,MATCH(D94,'Items'!$A$6:$A$1005,0)),"MISSING ID")</x:f>
        <x:v>T2</x:v>
      </x:c>
      <x:c r="G94" s="4" t="str">
        <x:f>IFERROR(INDEX('Items'!$D$6:$D$1005,MATCH(D94,'Items'!$A$6:$A$1005,0)),"MISSING ID")</x:f>
        <x:v>Crafting components</x:v>
      </x:c>
      <x:c r="H94" s="4" t="str">
        <x:f>IFERROR(INDEX('Items'!$X$6:$X$1005,MATCH(D94,'Items'!$A$6:$A$1005,0)),"MISSING ID")</x:f>
        <x:v>Crafting component</x:v>
      </x:c>
      <x:c r="I94" s="4"/>
      <x:c r="J94" s="4" t="str">
        <x:v>Unspecified</x:v>
      </x:c>
      <x:c r="K94" s="4" t="str">
        <x:f>IFERROR(INDEX('Crafting recipes'!$D$6:$D$1005,MATCH(B94,'Crafting recipes'!$A$6:$A$1005,0)),"MISSING ID")</x:f>
        <x:v>Proposal</x:v>
      </x:c>
      <x:c r="L94" s="4" t="str">
        <x:f>IFERROR(INDEX('Items'!$AD$6:$AD$1005,MATCH(D94,'Items'!$A$6:$A$1005,0)),"MISSING ID")</x:f>
        <x:v>Proposal</x:v>
      </x:c>
      <x:c r="M94" s="4" t="str">
        <x:f>IFERROR(INDEX('Crafting recipes'!$E$6:$E$1005,MATCH(B94,'Crafting recipes'!$A$6:$A$1005,0)),"MISSING ID")</x:f>
        <x:v>Partial proposal</x:v>
      </x:c>
      <x:c r="N94" s="4" t="str">
        <x:v>Proposed output; yield and complete formulation unresolved.</x:v>
      </x:c>
      <x:c r="O94" s="4" t="str">
        <x:v>New game proposal; no complete recipe</x:v>
      </x:c>
      <x:c r="P94" s="4" t="n">
        <x:f>IF(OR(C94="Ingredient candidate",C94="Consumed input",C94="Contained input",C94="Transform input"),IF(F94="T0",0,IF(F94="T1",1,IF(F94="T2",2,IF(F94="T3",3,IF(F94="T4",4,-1))))),-1)</x:f>
        <x:v>-1</x:v>
      </x:c>
      <x:c r="Q94" s="4" t="n">
        <x:f>IF(AND(OR(C94="Ingredient candidate",C94="Consumed input",C94="Contained input",C94="Transform input"),P94=-1),1,0)</x:f>
        <x:v>0</x:v>
      </x:c>
    </x:row>
    <x:row r="95" ht="85" customHeight="1">
      <x:c r="A95" s="4" t="str">
        <x:v>output.design.refine.lubricant.joint_grease</x:v>
      </x:c>
      <x:c r="B95" s="4" t="str">
        <x:v>design.refine.lubricant.joint_grease</x:v>
      </x:c>
      <x:c r="C95" s="4" t="str">
        <x:v>Output</x:v>
      </x:c>
      <x:c r="D95" s="4" t="str">
        <x:v>proposal.lubricant.joint_grease</x:v>
      </x:c>
      <x:c r="E95" s="4" t="str">
        <x:f>IFERROR(INDEX('Items'!$B$6:$B$1005,MATCH(D95,'Items'!$A$6:$A$1005,0)),"MISSING ID")</x:f>
        <x:v>Faunal joint grease</x:v>
      </x:c>
      <x:c r="F95" s="4" t="str">
        <x:f>IFERROR(INDEX('Items'!$C$6:$C$1005,MATCH(D95,'Items'!$A$6:$A$1005,0)),"MISSING ID")</x:f>
        <x:v>T2</x:v>
      </x:c>
      <x:c r="G95" s="4" t="str">
        <x:f>IFERROR(INDEX('Items'!$D$6:$D$1005,MATCH(D95,'Items'!$A$6:$A$1005,0)),"MISSING ID")</x:f>
        <x:v>Crafting components</x:v>
      </x:c>
      <x:c r="H95" s="4" t="str">
        <x:f>IFERROR(INDEX('Items'!$X$6:$X$1005,MATCH(D95,'Items'!$A$6:$A$1005,0)),"MISSING ID")</x:f>
        <x:v>Chemical material</x:v>
      </x:c>
      <x:c r="I95" s="4"/>
      <x:c r="J95" s="4" t="str">
        <x:v>Unspecified</x:v>
      </x:c>
      <x:c r="K95" s="4" t="str">
        <x:f>IFERROR(INDEX('Crafting recipes'!$D$6:$D$1005,MATCH(B95,'Crafting recipes'!$A$6:$A$1005,0)),"MISSING ID")</x:f>
        <x:v>Proposal</x:v>
      </x:c>
      <x:c r="L95" s="4" t="str">
        <x:f>IFERROR(INDEX('Items'!$AD$6:$AD$1005,MATCH(D95,'Items'!$A$6:$A$1005,0)),"MISSING ID")</x:f>
        <x:v>Proposal</x:v>
      </x:c>
      <x:c r="M95" s="4" t="str">
        <x:f>IFERROR(INDEX('Crafting recipes'!$E$6:$E$1005,MATCH(B95,'Crafting recipes'!$A$6:$A$1005,0)),"MISSING ID")</x:f>
        <x:v>Partial proposal</x:v>
      </x:c>
      <x:c r="N95" s="4" t="str">
        <x:v>Proposed output; yield and complete formulation unresolved.</x:v>
      </x:c>
      <x:c r="O95" s="4" t="str">
        <x:v>New game proposal; no complete recipe</x:v>
      </x:c>
      <x:c r="P95" s="4" t="n">
        <x:f>IF(OR(C95="Ingredient candidate",C95="Consumed input",C95="Contained input",C95="Transform input"),IF(F95="T0",0,IF(F95="T1",1,IF(F95="T2",2,IF(F95="T3",3,IF(F95="T4",4,-1))))),-1)</x:f>
        <x:v>-1</x:v>
      </x:c>
      <x:c r="Q95" s="4" t="n">
        <x:f>IF(AND(OR(C95="Ingredient candidate",C95="Consumed input",C95="Contained input",C95="Transform input"),P95=-1),1,0)</x:f>
        <x:v>0</x:v>
      </x:c>
    </x:row>
    <x:row r="96" ht="85" customHeight="1">
      <x:c r="A96" s="4" t="str">
        <x:v>source.recipe.line.6</x:v>
      </x:c>
      <x:c r="B96" s="4" t="str">
        <x:v>camp.empty-arc-battery.v1</x:v>
      </x:c>
      <x:c r="C96" s="4" t="str">
        <x:v>Consumed input</x:v>
      </x:c>
      <x:c r="D96" s="4" t="str">
        <x:v>resource.ironstone_ore</x:v>
      </x:c>
      <x:c r="E96" s="4" t="str">
        <x:f>IFERROR(INDEX('Items'!$B$6:$B$1005,MATCH(D96,'Items'!$A$6:$A$1005,0)),"MISSING ID")</x:f>
        <x:v>Ironstone Ore</x:v>
      </x:c>
      <x:c r="F96" s="4" t="str">
        <x:f>IFERROR(INDEX('Items'!$C$6:$C$1005,MATCH(D96,'Items'!$A$6:$A$1005,0)),"MISSING ID")</x:f>
        <x:v>T0</x:v>
      </x:c>
      <x:c r="G96" s="4" t="str">
        <x:f>IFERROR(INDEX('Items'!$D$6:$D$1005,MATCH(D96,'Items'!$A$6:$A$1005,0)),"MISSING ID")</x:f>
        <x:v>Mineral resources</x:v>
      </x:c>
      <x:c r="H96" s="4" t="str">
        <x:f>IFERROR(INDEX('Items'!$X$6:$X$1005,MATCH(D96,'Items'!$A$6:$A$1005,0)),"MISSING ID")</x:f>
        <x:v>Raw material</x:v>
      </x:c>
      <x:c r="I96" s="4" t="n">
        <x:f>'Recipes'!E6</x:f>
        <x:v>4</x:v>
      </x:c>
      <x:c r="J96" s="4" t="str">
        <x:v>Item</x:v>
      </x:c>
      <x:c r="K96" s="4" t="str">
        <x:f>IFERROR(INDEX('Crafting recipes'!$D$6:$D$1005,MATCH(B96,'Crafting recipes'!$A$6:$A$1005,0)),"MISSING ID")</x:f>
        <x:v>Existing recipe</x:v>
      </x:c>
      <x:c r="L96" s="4" t="str">
        <x:f>IFERROR(INDEX('Items'!$AD$6:$AD$1005,MATCH(D96,'Items'!$A$6:$A$1005,0)),"MISSING ID")</x:f>
        <x:v>Existing definition</x:v>
      </x:c>
      <x:c r="M96" s="4" t="str">
        <x:f>IFERROR(INDEX('Crafting recipes'!$E$6:$E$1005,MATCH(B96,'Crafting recipes'!$A$6:$A$1005,0)),"MISSING ID")</x:f>
        <x:v>Authored recipe list</x:v>
      </x:c>
      <x:c r="N96" s="4" t="str">
        <x:v>Authored recipe version 1</x:v>
      </x:c>
      <x:c r="O96" s="4" t="str">
        <x:v>Assets/_Project/Settings/Items/CampLoop/EmptyArcBatteryRecipe.asset</x:v>
      </x:c>
      <x:c r="P96" s="4" t="n">
        <x:f>IF(OR(C96="Ingredient candidate",C96="Consumed input",C96="Contained input",C96="Transform input"),IF(F96="T0",0,IF(F96="T1",1,IF(F96="T2",2,IF(F96="T3",3,IF(F96="T4",4,-1))))),-1)</x:f>
        <x:v>0</x:v>
      </x:c>
      <x:c r="Q96" s="4" t="n">
        <x:f>IF(AND(OR(C96="Ingredient candidate",C96="Consumed input",C96="Contained input",C96="Transform input"),P96=-1),1,0)</x:f>
        <x:v>0</x:v>
      </x:c>
    </x:row>
    <x:row r="97" ht="85" customHeight="1">
      <x:c r="A97" s="4" t="str">
        <x:v>source.recipe.line.7</x:v>
      </x:c>
      <x:c r="B97" s="4" t="str">
        <x:v>camp.empty-arc-battery.v1</x:v>
      </x:c>
      <x:c r="C97" s="4" t="str">
        <x:v>Output</x:v>
      </x:c>
      <x:c r="D97" s="4" t="str">
        <x:v>equipment.arc_battery_empty</x:v>
      </x:c>
      <x:c r="E97" s="4" t="str">
        <x:f>IFERROR(INDEX('Items'!$B$6:$B$1005,MATCH(D97,'Items'!$A$6:$A$1005,0)),"MISSING ID")</x:f>
        <x:v>Empty Arc Battery</x:v>
      </x:c>
      <x:c r="F97" s="4" t="str">
        <x:f>IFERROR(INDEX('Items'!$C$6:$C$1005,MATCH(D97,'Items'!$A$6:$A$1005,0)),"MISSING ID")</x:f>
        <x:v>Not applicable</x:v>
      </x:c>
      <x:c r="G97" s="4" t="str">
        <x:f>IFERROR(INDEX('Items'!$D$6:$D$1005,MATCH(D97,'Items'!$A$6:$A$1005,0)),"MISSING ID")</x:f>
        <x:v>Salvage</x:v>
      </x:c>
      <x:c r="H97" s="4" t="str">
        <x:f>IFERROR(INDEX('Items'!$X$6:$X$1005,MATCH(D97,'Items'!$A$6:$A$1005,0)),"MISSING ID")</x:f>
        <x:v>Energy storage</x:v>
      </x:c>
      <x:c r="I97" s="4" t="n">
        <x:f>'Recipes'!E7</x:f>
        <x:v>1</x:v>
      </x:c>
      <x:c r="J97" s="4" t="str">
        <x:v>Item</x:v>
      </x:c>
      <x:c r="K97" s="4" t="str">
        <x:f>IFERROR(INDEX('Crafting recipes'!$D$6:$D$1005,MATCH(B97,'Crafting recipes'!$A$6:$A$1005,0)),"MISSING ID")</x:f>
        <x:v>Existing recipe</x:v>
      </x:c>
      <x:c r="L97" s="4" t="str">
        <x:f>IFERROR(INDEX('Items'!$AD$6:$AD$1005,MATCH(D97,'Items'!$A$6:$A$1005,0)),"MISSING ID")</x:f>
        <x:v>Existing definition</x:v>
      </x:c>
      <x:c r="M97" s="4" t="str">
        <x:f>IFERROR(INDEX('Crafting recipes'!$E$6:$E$1005,MATCH(B97,'Crafting recipes'!$A$6:$A$1005,0)),"MISSING ID")</x:f>
        <x:v>Authored recipe list</x:v>
      </x:c>
      <x:c r="N97" s="4" t="str">
        <x:v>Output to legal supply pocket</x:v>
      </x:c>
      <x:c r="O97" s="4" t="str">
        <x:v>Assets/_Project/Settings/Items/CampLoop/EmptyArcBatteryRecipe.asset</x:v>
      </x:c>
      <x:c r="P97" s="4" t="n">
        <x:f>IF(OR(C97="Ingredient candidate",C97="Consumed input",C97="Contained input",C97="Transform input"),IF(F97="T0",0,IF(F97="T1",1,IF(F97="T2",2,IF(F97="T3",3,IF(F97="T4",4,-1))))),-1)</x:f>
        <x:v>-1</x:v>
      </x:c>
      <x:c r="Q97" s="4" t="n">
        <x:f>IF(AND(OR(C97="Ingredient candidate",C97="Consumed input",C97="Contained input",C97="Transform input"),P97=-1),1,0)</x:f>
        <x:v>0</x:v>
      </x:c>
    </x:row>
    <x:row r="98" ht="85" customHeight="1">
      <x:c r="A98" s="4" t="str">
        <x:v>material.route.002</x:v>
      </x:c>
      <x:c r="B98" s="4" t="str">
        <x:v>lab.ironstone.dry-sort</x:v>
      </x:c>
      <x:c r="C98" s="4" t="str">
        <x:v>Consumed input</x:v>
      </x:c>
      <x:c r="D98" s="4" t="str">
        <x:v>resource.ironstone_ore</x:v>
      </x:c>
      <x:c r="E98" s="4" t="str">
        <x:f>IFERROR(INDEX('Items'!$B$6:$B$1005,MATCH(D98,'Items'!$A$6:$A$1005,0)),"MISSING ID")</x:f>
        <x:v>Ironstone Ore</x:v>
      </x:c>
      <x:c r="F98" s="4" t="str">
        <x:f>IFERROR(INDEX('Items'!$C$6:$C$1005,MATCH(D98,'Items'!$A$6:$A$1005,0)),"MISSING ID")</x:f>
        <x:v>T0</x:v>
      </x:c>
      <x:c r="G98" s="4" t="str">
        <x:f>IFERROR(INDEX('Items'!$D$6:$D$1005,MATCH(D98,'Items'!$A$6:$A$1005,0)),"MISSING ID")</x:f>
        <x:v>Mineral resources</x:v>
      </x:c>
      <x:c r="H98" s="4" t="str">
        <x:f>IFERROR(INDEX('Items'!$X$6:$X$1005,MATCH(D98,'Items'!$A$6:$A$1005,0)),"MISSING ID")</x:f>
        <x:v>Raw material</x:v>
      </x:c>
      <x:c r="I98" s="4" t="n">
        <x:f>'Recipes'!E8</x:f>
        <x:v>4</x:v>
      </x:c>
      <x:c r="J98" s="4" t="str">
        <x:v>Item</x:v>
      </x:c>
      <x:c r="K98" s="4" t="str">
        <x:f>IFERROR(INDEX('Crafting recipes'!$D$6:$D$1005,MATCH(B98,'Crafting recipes'!$A$6:$A$1005,0)),"MISSING ID")</x:f>
        <x:v>Existing recipe</x:v>
      </x:c>
      <x:c r="L98" s="4" t="str">
        <x:f>IFERROR(INDEX('Items'!$AD$6:$AD$1005,MATCH(D98,'Items'!$A$6:$A$1005,0)),"MISSING ID")</x:f>
        <x:v>Existing definition</x:v>
      </x:c>
      <x:c r="M98" s="4" t="str">
        <x:f>IFERROR(INDEX('Crafting recipes'!$E$6:$E$1005,MATCH(B98,'Crafting recipes'!$A$6:$A$1005,0)),"MISSING ID")</x:f>
        <x:v>Authored recipe list</x:v>
      </x:c>
      <x:c r="N98" s="4" t="str">
        <x:v>Authored recipe version 1</x:v>
      </x:c>
      <x:c r="O98" s="4" t="str">
        <x:v>Assets/_Project/Settings/Items/CampLoopIronstone/DrySortingRecipe.asset</x:v>
      </x:c>
      <x:c r="P98" s="4" t="n">
        <x:f>IF(OR(C98="Ingredient candidate",C98="Consumed input",C98="Contained input",C98="Transform input"),IF(F98="T0",0,IF(F98="T1",1,IF(F98="T2",2,IF(F98="T3",3,IF(F98="T4",4,-1))))),-1)</x:f>
        <x:v>0</x:v>
      </x:c>
      <x:c r="Q98" s="4" t="n">
        <x:f>IF(AND(OR(C98="Ingredient candidate",C98="Consumed input",C98="Contained input",C98="Transform input"),P98=-1),1,0)</x:f>
        <x:v>0</x:v>
      </x:c>
    </x:row>
    <x:row r="99" ht="85" customHeight="1">
      <x:c r="A99" s="4" t="str">
        <x:v>source.recipe.line.9</x:v>
      </x:c>
      <x:c r="B99" s="4" t="str">
        <x:v>lab.ironstone.dry-sort</x:v>
      </x:c>
      <x:c r="C99" s="4" t="str">
        <x:v>Output</x:v>
      </x:c>
      <x:c r="D99" s="4" t="str">
        <x:v>lab.ironstone.aggregate</x:v>
      </x:c>
      <x:c r="E99" s="4" t="str">
        <x:f>IFERROR(INDEX('Items'!$B$6:$B$1005,MATCH(D99,'Items'!$A$6:$A$1005,0)),"MISSING ID")</x:f>
        <x:v>Coarse Aggregate</x:v>
      </x:c>
      <x:c r="F99" s="4" t="str">
        <x:f>IFERROR(INDEX('Items'!$C$6:$C$1005,MATCH(D99,'Items'!$A$6:$A$1005,0)),"MISSING ID")</x:f>
        <x:v>T1</x:v>
      </x:c>
      <x:c r="G99" s="4" t="str">
        <x:f>IFERROR(INDEX('Items'!$D$6:$D$1005,MATCH(D99,'Items'!$A$6:$A$1005,0)),"MISSING ID")</x:f>
        <x:v>Manufactured stock</x:v>
      </x:c>
      <x:c r="H99" s="4" t="str">
        <x:f>IFERROR(INDEX('Items'!$X$6:$X$1005,MATCH(D99,'Items'!$A$6:$A$1005,0)),"MISSING ID")</x:f>
        <x:v>Processed material</x:v>
      </x:c>
      <x:c r="I99" s="4" t="n">
        <x:f>'Recipes'!E9</x:f>
        <x:v>2</x:v>
      </x:c>
      <x:c r="J99" s="4" t="str">
        <x:v>Item</x:v>
      </x:c>
      <x:c r="K99" s="4" t="str">
        <x:f>IFERROR(INDEX('Crafting recipes'!$D$6:$D$1005,MATCH(B99,'Crafting recipes'!$A$6:$A$1005,0)),"MISSING ID")</x:f>
        <x:v>Existing recipe</x:v>
      </x:c>
      <x:c r="L99" s="4" t="str">
        <x:f>IFERROR(INDEX('Items'!$AD$6:$AD$1005,MATCH(D99,'Items'!$A$6:$A$1005,0)),"MISSING ID")</x:f>
        <x:v>Existing definition</x:v>
      </x:c>
      <x:c r="M99" s="4" t="str">
        <x:f>IFERROR(INDEX('Crafting recipes'!$E$6:$E$1005,MATCH(B99,'Crafting recipes'!$A$6:$A$1005,0)),"MISSING ID")</x:f>
        <x:v>Authored recipe list</x:v>
      </x:c>
      <x:c r="N99" s="4" t="str">
        <x:v>Output tray; batch mass conserved</x:v>
      </x:c>
      <x:c r="O99" s="4" t="str">
        <x:v>Assets/_Project/Settings/Items/CampLoopIronstone/DrySortingRecipe.asset</x:v>
      </x:c>
      <x:c r="P99" s="4" t="n">
        <x:f>IF(OR(C99="Ingredient candidate",C99="Consumed input",C99="Contained input",C99="Transform input"),IF(F99="T0",0,IF(F99="T1",1,IF(F99="T2",2,IF(F99="T3",3,IF(F99="T4",4,-1))))),-1)</x:f>
        <x:v>-1</x:v>
      </x:c>
      <x:c r="Q99" s="4" t="n">
        <x:f>IF(AND(OR(C99="Ingredient candidate",C99="Consumed input",C99="Contained input",C99="Transform input"),P99=-1),1,0)</x:f>
        <x:v>0</x:v>
      </x:c>
    </x:row>
    <x:row r="100" ht="85" customHeight="1">
      <x:c r="A100" s="4" t="str">
        <x:v>source.recipe.line.10</x:v>
      </x:c>
      <x:c r="B100" s="4" t="str">
        <x:v>lab.ironstone.dry-sort</x:v>
      </x:c>
      <x:c r="C100" s="4" t="str">
        <x:v>Output</x:v>
      </x:c>
      <x:c r="D100" s="4" t="str">
        <x:v>lab.ironstone.concentrate</x:v>
      </x:c>
      <x:c r="E100" s="4" t="str">
        <x:f>IFERROR(INDEX('Items'!$B$6:$B$1005,MATCH(D100,'Items'!$A$6:$A$1005,0)),"MISSING ID")</x:f>
        <x:v>Iron-rich Concentrate</x:v>
      </x:c>
      <x:c r="F100" s="4" t="str">
        <x:f>IFERROR(INDEX('Items'!$C$6:$C$1005,MATCH(D100,'Items'!$A$6:$A$1005,0)),"MISSING ID")</x:f>
        <x:v>T1</x:v>
      </x:c>
      <x:c r="G100" s="4" t="str">
        <x:f>IFERROR(INDEX('Items'!$D$6:$D$1005,MATCH(D100,'Items'!$A$6:$A$1005,0)),"MISSING ID")</x:f>
        <x:v>Manufactured stock</x:v>
      </x:c>
      <x:c r="H100" s="4" t="str">
        <x:f>IFERROR(INDEX('Items'!$X$6:$X$1005,MATCH(D100,'Items'!$A$6:$A$1005,0)),"MISSING ID")</x:f>
        <x:v>Processed material</x:v>
      </x:c>
      <x:c r="I100" s="4" t="n">
        <x:f>'Recipes'!E10</x:f>
        <x:v>1</x:v>
      </x:c>
      <x:c r="J100" s="4" t="str">
        <x:v>Item</x:v>
      </x:c>
      <x:c r="K100" s="4" t="str">
        <x:f>IFERROR(INDEX('Crafting recipes'!$D$6:$D$1005,MATCH(B100,'Crafting recipes'!$A$6:$A$1005,0)),"MISSING ID")</x:f>
        <x:v>Existing recipe</x:v>
      </x:c>
      <x:c r="L100" s="4" t="str">
        <x:f>IFERROR(INDEX('Items'!$AD$6:$AD$1005,MATCH(D100,'Items'!$A$6:$A$1005,0)),"MISSING ID")</x:f>
        <x:v>Existing definition</x:v>
      </x:c>
      <x:c r="M100" s="4" t="str">
        <x:f>IFERROR(INDEX('Crafting recipes'!$E$6:$E$1005,MATCH(B100,'Crafting recipes'!$A$6:$A$1005,0)),"MISSING ID")</x:f>
        <x:v>Authored recipe list</x:v>
      </x:c>
      <x:c r="N100" s="4" t="str">
        <x:v>Output tray; batch mass conserved</x:v>
      </x:c>
      <x:c r="O100" s="4" t="str">
        <x:v>Assets/_Project/Settings/Items/CampLoopIronstone/DrySortingRecipe.asset</x:v>
      </x:c>
      <x:c r="P100" s="4" t="n">
        <x:f>IF(OR(C100="Ingredient candidate",C100="Consumed input",C100="Contained input",C100="Transform input"),IF(F100="T0",0,IF(F100="T1",1,IF(F100="T2",2,IF(F100="T3",3,IF(F100="T4",4,-1))))),-1)</x:f>
        <x:v>-1</x:v>
      </x:c>
      <x:c r="Q100" s="4" t="n">
        <x:f>IF(AND(OR(C100="Ingredient candidate",C100="Consumed input",C100="Contained input",C100="Transform input"),P100=-1),1,0)</x:f>
        <x:v>0</x:v>
      </x:c>
    </x:row>
    <x:row r="101" ht="85" customHeight="1">
      <x:c r="A101" s="4" t="str">
        <x:v>source.recipe.line.11</x:v>
      </x:c>
      <x:c r="B101" s="4" t="str">
        <x:v>lab.ironstone.dry-sort</x:v>
      </x:c>
      <x:c r="C101" s="4" t="str">
        <x:v>Output</x:v>
      </x:c>
      <x:c r="D101" s="4" t="str">
        <x:v>lab.ironstone.sand</x:v>
      </x:c>
      <x:c r="E101" s="4" t="str">
        <x:f>IFERROR(INDEX('Items'!$B$6:$B$1005,MATCH(D101,'Items'!$A$6:$A$1005,0)),"MISSING ID")</x:f>
        <x:v>Mineral Sand</x:v>
      </x:c>
      <x:c r="F101" s="4" t="str">
        <x:f>IFERROR(INDEX('Items'!$C$6:$C$1005,MATCH(D101,'Items'!$A$6:$A$1005,0)),"MISSING ID")</x:f>
        <x:v>T1</x:v>
      </x:c>
      <x:c r="G101" s="4" t="str">
        <x:f>IFERROR(INDEX('Items'!$D$6:$D$1005,MATCH(D101,'Items'!$A$6:$A$1005,0)),"MISSING ID")</x:f>
        <x:v>Manufactured stock</x:v>
      </x:c>
      <x:c r="H101" s="4" t="str">
        <x:f>IFERROR(INDEX('Items'!$X$6:$X$1005,MATCH(D101,'Items'!$A$6:$A$1005,0)),"MISSING ID")</x:f>
        <x:v>Processed material</x:v>
      </x:c>
      <x:c r="I101" s="4" t="n">
        <x:f>'Recipes'!E11</x:f>
        <x:v>1</x:v>
      </x:c>
      <x:c r="J101" s="4" t="str">
        <x:v>Item</x:v>
      </x:c>
      <x:c r="K101" s="4" t="str">
        <x:f>IFERROR(INDEX('Crafting recipes'!$D$6:$D$1005,MATCH(B101,'Crafting recipes'!$A$6:$A$1005,0)),"MISSING ID")</x:f>
        <x:v>Existing recipe</x:v>
      </x:c>
      <x:c r="L101" s="4" t="str">
        <x:f>IFERROR(INDEX('Items'!$AD$6:$AD$1005,MATCH(D101,'Items'!$A$6:$A$1005,0)),"MISSING ID")</x:f>
        <x:v>Existing definition</x:v>
      </x:c>
      <x:c r="M101" s="4" t="str">
        <x:f>IFERROR(INDEX('Crafting recipes'!$E$6:$E$1005,MATCH(B101,'Crafting recipes'!$A$6:$A$1005,0)),"MISSING ID")</x:f>
        <x:v>Authored recipe list</x:v>
      </x:c>
      <x:c r="N101" s="4" t="str">
        <x:v>Output tray; batch mass conserved</x:v>
      </x:c>
      <x:c r="O101" s="4" t="str">
        <x:v>Assets/_Project/Settings/Items/CampLoopIronstone/DrySortingRecipe.asset</x:v>
      </x:c>
      <x:c r="P101" s="4" t="n">
        <x:f>IF(OR(C101="Ingredient candidate",C101="Consumed input",C101="Contained input",C101="Transform input"),IF(F101="T0",0,IF(F101="T1",1,IF(F101="T2",2,IF(F101="T3",3,IF(F101="T4",4,-1))))),-1)</x:f>
        <x:v>-1</x:v>
      </x:c>
      <x:c r="Q101" s="4" t="n">
        <x:f>IF(AND(OR(C101="Ingredient candidate",C101="Consumed input",C101="Contained input",C101="Transform input"),P101=-1),1,0)</x:f>
        <x:v>0</x:v>
      </x:c>
    </x:row>
    <x:row r="102" ht="85" customHeight="1">
      <x:c r="A102" s="4" t="str">
        <x:v>source.recipe.line.12</x:v>
      </x:c>
      <x:c r="B102" s="4" t="str">
        <x:v>lab.ironstone.dry-sort</x:v>
      </x:c>
      <x:c r="C102" s="4" t="str">
        <x:v>Output</x:v>
      </x:c>
      <x:c r="D102" s="4" t="str">
        <x:v>lab.ironstone.mineral_dust</x:v>
      </x:c>
      <x:c r="E102" s="4" t="str">
        <x:f>IFERROR(INDEX('Items'!$B$6:$B$1005,MATCH(D102,'Items'!$A$6:$A$1005,0)),"MISSING ID")</x:f>
        <x:v>Mineral Dust</x:v>
      </x:c>
      <x:c r="F102" s="4" t="str">
        <x:f>IFERROR(INDEX('Items'!$C$6:$C$1005,MATCH(D102,'Items'!$A$6:$A$1005,0)),"MISSING ID")</x:f>
        <x:v>T1</x:v>
      </x:c>
      <x:c r="G102" s="4" t="str">
        <x:f>IFERROR(INDEX('Items'!$D$6:$D$1005,MATCH(D102,'Items'!$A$6:$A$1005,0)),"MISSING ID")</x:f>
        <x:v>Manufactured stock</x:v>
      </x:c>
      <x:c r="H102" s="4" t="str">
        <x:f>IFERROR(INDEX('Items'!$X$6:$X$1005,MATCH(D102,'Items'!$A$6:$A$1005,0)),"MISSING ID")</x:f>
        <x:v>Processed material</x:v>
      </x:c>
      <x:c r="I102" s="4" t="n">
        <x:f>'Recipes'!E12</x:f>
        <x:v>2</x:v>
      </x:c>
      <x:c r="J102" s="4" t="str">
        <x:v>Item</x:v>
      </x:c>
      <x:c r="K102" s="4" t="str">
        <x:f>IFERROR(INDEX('Crafting recipes'!$D$6:$D$1005,MATCH(B102,'Crafting recipes'!$A$6:$A$1005,0)),"MISSING ID")</x:f>
        <x:v>Existing recipe</x:v>
      </x:c>
      <x:c r="L102" s="4" t="str">
        <x:f>IFERROR(INDEX('Items'!$AD$6:$AD$1005,MATCH(D102,'Items'!$A$6:$A$1005,0)),"MISSING ID")</x:f>
        <x:v>Existing definition</x:v>
      </x:c>
      <x:c r="M102" s="4" t="str">
        <x:f>IFERROR(INDEX('Crafting recipes'!$E$6:$E$1005,MATCH(B102,'Crafting recipes'!$A$6:$A$1005,0)),"MISSING ID")</x:f>
        <x:v>Authored recipe list</x:v>
      </x:c>
      <x:c r="N102" s="4" t="str">
        <x:v>Output tray; batch mass conserved</x:v>
      </x:c>
      <x:c r="O102" s="4" t="str">
        <x:v>Assets/_Project/Settings/Items/CampLoopIronstone/DrySortingRecipe.asset</x:v>
      </x:c>
      <x:c r="P102" s="4" t="n">
        <x:f>IF(OR(C102="Ingredient candidate",C102="Consumed input",C102="Contained input",C102="Transform input"),IF(F102="T0",0,IF(F102="T1",1,IF(F102="T2",2,IF(F102="T3",3,IF(F102="T4",4,-1))))),-1)</x:f>
        <x:v>-1</x:v>
      </x:c>
      <x:c r="Q102" s="4" t="n">
        <x:f>IF(AND(OR(C102="Ingredient candidate",C102="Consumed input",C102="Contained input",C102="Transform input"),P102=-1),1,0)</x:f>
        <x:v>0</x:v>
      </x:c>
    </x:row>
    <x:row r="103" ht="85" customHeight="1">
      <x:c r="A103" s="4" t="str">
        <x:v>source.recipe.line.13</x:v>
      </x:c>
      <x:c r="B103" s="4" t="str">
        <x:v>reference.refinery-charge</x:v>
      </x:c>
      <x:c r="C103" s="4" t="str">
        <x:v>Transform input</x:v>
      </x:c>
      <x:c r="D103" s="4" t="str">
        <x:v>equipment.arc_battery_empty</x:v>
      </x:c>
      <x:c r="E103" s="4" t="str">
        <x:f>IFERROR(INDEX('Items'!$B$6:$B$1005,MATCH(D103,'Items'!$A$6:$A$1005,0)),"MISSING ID")</x:f>
        <x:v>Empty Arc Battery</x:v>
      </x:c>
      <x:c r="F103" s="4" t="str">
        <x:f>IFERROR(INDEX('Items'!$C$6:$C$1005,MATCH(D103,'Items'!$A$6:$A$1005,0)),"MISSING ID")</x:f>
        <x:v>Not applicable</x:v>
      </x:c>
      <x:c r="G103" s="4" t="str">
        <x:f>IFERROR(INDEX('Items'!$D$6:$D$1005,MATCH(D103,'Items'!$A$6:$A$1005,0)),"MISSING ID")</x:f>
        <x:v>Salvage</x:v>
      </x:c>
      <x:c r="H103" s="4" t="str">
        <x:f>IFERROR(INDEX('Items'!$X$6:$X$1005,MATCH(D103,'Items'!$A$6:$A$1005,0)),"MISSING ID")</x:f>
        <x:v>Energy storage</x:v>
      </x:c>
      <x:c r="I103" s="4" t="n">
        <x:f>'Recipes'!E13</x:f>
        <x:v>1</x:v>
      </x:c>
      <x:c r="J103" s="4" t="str">
        <x:v>Item</x:v>
      </x:c>
      <x:c r="K103" s="4" t="str">
        <x:f>IFERROR(INDEX('Crafting recipes'!$D$6:$D$1005,MATCH(B103,'Crafting recipes'!$A$6:$A$1005,0)),"MISSING ID")</x:f>
        <x:v>Existing process reference</x:v>
      </x:c>
      <x:c r="L103" s="4" t="str">
        <x:f>IFERROR(INDEX('Items'!$AD$6:$AD$1005,MATCH(D103,'Items'!$A$6:$A$1005,0)),"MISSING ID")</x:f>
        <x:v>Existing definition</x:v>
      </x:c>
      <x:c r="M103" s="4" t="str">
        <x:f>IFERROR(INDEX('Crafting recipes'!$E$6:$E$1005,MATCH(B103,'Crafting recipes'!$A$6:$A$1005,0)),"MISSING ID")</x:f>
        <x:v>Documented process reference</x:v>
      </x:c>
      <x:c r="N103" s="4" t="str">
        <x:v>Workbook reference key; not an authored recipe ID; physical canister is retained while its item state changes.</x:v>
      </x:c>
      <x:c r="O103" s="4" t="str">
        <x:v>Docs/Evidence/Gameplay/CampWorkstations20261014/README.md</x:v>
      </x:c>
      <x:c r="P103" s="4" t="n">
        <x:f>IF(OR(C103="Ingredient candidate",C103="Consumed input",C103="Contained input",C103="Transform input"),IF(F103="T0",0,IF(F103="T1",1,IF(F103="T2",2,IF(F103="T3",3,IF(F103="T4",4,-1))))),-1)</x:f>
        <x:v>-1</x:v>
      </x:c>
      <x:c r="Q103" s="4" t="n">
        <x:f>IF(AND(OR(C103="Ingredient candidate",C103="Consumed input",C103="Contained input",C103="Transform input"),P103=-1),1,0)</x:f>
        <x:v>1</x:v>
      </x:c>
    </x:row>
    <x:row r="104" ht="85" customHeight="1">
      <x:c r="A104" s="4" t="str">
        <x:v>source.recipe.line.14</x:v>
      </x:c>
      <x:c r="B104" s="4" t="str">
        <x:v>reference.refinery-charge</x:v>
      </x:c>
      <x:c r="C104" s="4" t="str">
        <x:v>Contained input</x:v>
      </x:c>
      <x:c r="D104" s="4" t="str">
        <x:v>resource.airborne_dust</x:v>
      </x:c>
      <x:c r="E104" s="4" t="str">
        <x:f>IFERROR(INDEX('Items'!$B$6:$B$1005,MATCH(D104,'Items'!$A$6:$A$1005,0)),"MISSING ID")</x:f>
        <x:v>Airborne Dust</x:v>
      </x:c>
      <x:c r="F104" s="4" t="str">
        <x:f>IFERROR(INDEX('Items'!$C$6:$C$1005,MATCH(D104,'Items'!$A$6:$A$1005,0)),"MISSING ID")</x:f>
        <x:v>T0</x:v>
      </x:c>
      <x:c r="G104" s="4" t="str">
        <x:f>IFERROR(INDEX('Items'!$D$6:$D$1005,MATCH(D104,'Items'!$A$6:$A$1005,0)),"MISSING ID")</x:f>
        <x:v>Atmospheric resources</x:v>
      </x:c>
      <x:c r="H104" s="4" t="str">
        <x:f>IFERROR(INDEX('Items'!$X$6:$X$1005,MATCH(D104,'Items'!$A$6:$A$1005,0)),"MISSING ID")</x:f>
        <x:v>Raw material</x:v>
      </x:c>
      <x:c r="I104" s="4" t="n">
        <x:f>'Recipes'!E14</x:f>
        <x:v>10</x:v>
      </x:c>
      <x:c r="J104" s="4" t="str">
        <x:v>Contained game units</x:v>
      </x:c>
      <x:c r="K104" s="4" t="str">
        <x:f>IFERROR(INDEX('Crafting recipes'!$D$6:$D$1005,MATCH(B104,'Crafting recipes'!$A$6:$A$1005,0)),"MISSING ID")</x:f>
        <x:v>Existing process reference</x:v>
      </x:c>
      <x:c r="L104" s="4" t="str">
        <x:f>IFERROR(INDEX('Items'!$AD$6:$AD$1005,MATCH(D104,'Items'!$A$6:$A$1005,0)),"MISSING ID")</x:f>
        <x:v>Existing definition</x:v>
      </x:c>
      <x:c r="M104" s="4" t="str">
        <x:f>IFERROR(INDEX('Crafting recipes'!$E$6:$E$1005,MATCH(B104,'Crafting recipes'!$A$6:$A$1005,0)),"MISSING ID")</x:f>
        <x:v>Documented process reference</x:v>
      </x:c>
      <x:c r="N104" s="4" t="str">
        <x:v>Dust must be in docked canister; not a loose-stack recipe</x:v>
      </x:c>
      <x:c r="O104" s="4" t="str">
        <x:v>Docs/Evidence/Gameplay/CampWorkstations20261014/README.md</x:v>
      </x:c>
      <x:c r="P104" s="4" t="n">
        <x:f>IF(OR(C104="Ingredient candidate",C104="Consumed input",C104="Contained input",C104="Transform input"),IF(F104="T0",0,IF(F104="T1",1,IF(F104="T2",2,IF(F104="T3",3,IF(F104="T4",4,-1))))),-1)</x:f>
        <x:v>0</x:v>
      </x:c>
      <x:c r="Q104" s="4" t="n">
        <x:f>IF(AND(OR(C104="Ingredient candidate",C104="Consumed input",C104="Contained input",C104="Transform input"),P104=-1),1,0)</x:f>
        <x:v>0</x:v>
      </x:c>
    </x:row>
    <x:row r="105" ht="85" customHeight="1">
      <x:c r="A105" s="4" t="str">
        <x:v>source.recipe.line.15</x:v>
      </x:c>
      <x:c r="B105" s="4" t="str">
        <x:v>reference.refinery-charge</x:v>
      </x:c>
      <x:c r="C105" s="4" t="str">
        <x:v>Output</x:v>
      </x:c>
      <x:c r="D105" s="4" t="str">
        <x:v>equipment.arc_battery_charged</x:v>
      </x:c>
      <x:c r="E105" s="4" t="str">
        <x:f>IFERROR(INDEX('Items'!$B$6:$B$1005,MATCH(D105,'Items'!$A$6:$A$1005,0)),"MISSING ID")</x:f>
        <x:v>Charged Arc Battery</x:v>
      </x:c>
      <x:c r="F105" s="4" t="str">
        <x:f>IFERROR(INDEX('Items'!$C$6:$C$1005,MATCH(D105,'Items'!$A$6:$A$1005,0)),"MISSING ID")</x:f>
        <x:v>Not applicable</x:v>
      </x:c>
      <x:c r="G105" s="4" t="str">
        <x:f>IFERROR(INDEX('Items'!$D$6:$D$1005,MATCH(D105,'Items'!$A$6:$A$1005,0)),"MISSING ID")</x:f>
        <x:v>Tools</x:v>
      </x:c>
      <x:c r="H105" s="4" t="str">
        <x:f>IFERROR(INDEX('Items'!$X$6:$X$1005,MATCH(D105,'Items'!$A$6:$A$1005,0)),"MISSING ID")</x:f>
        <x:v>Energy storage</x:v>
      </x:c>
      <x:c r="I105" s="4" t="n">
        <x:f>'Recipes'!E15</x:f>
        <x:v>1</x:v>
      </x:c>
      <x:c r="J105" s="4" t="str">
        <x:v>Item</x:v>
      </x:c>
      <x:c r="K105" s="4" t="str">
        <x:f>IFERROR(INDEX('Crafting recipes'!$D$6:$D$1005,MATCH(B105,'Crafting recipes'!$A$6:$A$1005,0)),"MISSING ID")</x:f>
        <x:v>Existing process reference</x:v>
      </x:c>
      <x:c r="L105" s="4" t="str">
        <x:f>IFERROR(INDEX('Items'!$AD$6:$AD$1005,MATCH(D105,'Items'!$A$6:$A$1005,0)),"MISSING ID")</x:f>
        <x:v>Existing definition</x:v>
      </x:c>
      <x:c r="M105" s="4" t="str">
        <x:f>IFERROR(INDEX('Crafting recipes'!$E$6:$E$1005,MATCH(B105,'Crafting recipes'!$A$6:$A$1005,0)),"MISSING ID")</x:f>
        <x:v>Documented process reference</x:v>
      </x:c>
      <x:c r="N105" s="4" t="str">
        <x:v>Canister and leftover contents retained</x:v>
      </x:c>
      <x:c r="O105" s="4" t="str">
        <x:v>Docs/Evidence/Gameplay/CampWorkstations20261014/README.md</x:v>
      </x:c>
      <x:c r="P105" s="4" t="n">
        <x:f>IF(OR(C105="Ingredient candidate",C105="Consumed input",C105="Contained input",C105="Transform input"),IF(F105="T0",0,IF(F105="T1",1,IF(F105="T2",2,IF(F105="T3",3,IF(F105="T4",4,-1))))),-1)</x:f>
        <x:v>-1</x:v>
      </x:c>
      <x:c r="Q105" s="4" t="n">
        <x:f>IF(AND(OR(C105="Ingredient candidate",C105="Consumed input",C105="Contained input",C105="Transform input"),P105=-1),1,0)</x:f>
        <x:v>0</x:v>
      </x:c>
    </x:row>
    <x:row r="106" ht="85" customHeight="1">
      <x:c r="A106" s="4" t="str">
        <x:v>outline.input.7</x:v>
      </x:c>
      <x:c r="B106" s="4" t="str">
        <x:v>outline.resource_chain.7</x:v>
      </x:c>
      <x:c r="C106" s="4" t="str">
        <x:v>Ingredient candidate</x:v>
      </x:c>
      <x:c r="D106" s="4" t="str">
        <x:v>proposal.natural.iron_feed</x:v>
      </x:c>
      <x:c r="E106" s="4" t="str">
        <x:f>IFERROR(INDEX('Items'!$B$6:$B$1005,MATCH(D106,'Items'!$A$6:$A$1005,0)),"MISSING ID")</x:f>
        <x:v>Iron-rich mineral feed</x:v>
      </x:c>
      <x:c r="F106" s="4" t="str">
        <x:f>IFERROR(INDEX('Items'!$C$6:$C$1005,MATCH(D106,'Items'!$A$6:$A$1005,0)),"MISSING ID")</x:f>
        <x:v>T1</x:v>
      </x:c>
      <x:c r="G106" s="4" t="str">
        <x:f>IFERROR(INDEX('Items'!$D$6:$D$1005,MATCH(D106,'Items'!$A$6:$A$1005,0)),"MISSING ID")</x:f>
        <x:v>Manufactured stock</x:v>
      </x:c>
      <x:c r="H106" s="4" t="str">
        <x:f>IFERROR(INDEX('Items'!$X$6:$X$1005,MATCH(D106,'Items'!$A$6:$A$1005,0)),"MISSING ID")</x:f>
        <x:v>Processed material</x:v>
      </x:c>
      <x:c r="I106" s="4"/>
      <x:c r="J106" s="4" t="str">
        <x:v>Unspecified</x:v>
      </x:c>
      <x:c r="K106" s="4" t="str">
        <x:f>IFERROR(INDEX('Crafting recipes'!$D$6:$D$1005,MATCH(B106,'Crafting recipes'!$A$6:$A$1005,0)),"MISSING ID")</x:f>
        <x:v>Concept outline</x:v>
      </x:c>
      <x:c r="L106" s="4" t="str">
        <x:f>IFERROR(INDEX('Items'!$AD$6:$AD$1005,MATCH(D106,'Items'!$A$6:$A$1005,0)),"MISSING ID")</x:f>
        <x:v>Proposal</x:v>
      </x:c>
      <x:c r="M106" s="4" t="str">
        <x:f>IFERROR(INDEX('Crafting recipes'!$E$6:$E$1005,MATCH(B106,'Crafting recipes'!$A$6:$A$1005,0)),"MISSING ID")</x:f>
        <x:v>Concept outline</x:v>
      </x:c>
      <x:c r="N106" s="4" t="str">
        <x:v>Repair stock, fasteners and structural tool parts; Fuel, furnace, alloy and process choices unresolved; no Legger crafting platform.; New proposal</x:v>
      </x:c>
      <x:c r="O106" s="4" t="str">
        <x:v>User design direction, October 14, 2026; local brainstorming. New proposal unless explicitly marked User direction.</x:v>
      </x:c>
      <x:c r="P106" s="4" t="n">
        <x:f>IF(OR(C106="Ingredient candidate",C106="Consumed input",C106="Contained input",C106="Transform input"),IF(F106="T0",0,IF(F106="T1",1,IF(F106="T2",2,IF(F106="T3",3,IF(F106="T4",4,-1))))),-1)</x:f>
        <x:v>1</x:v>
      </x:c>
      <x:c r="Q106" s="4" t="n">
        <x:f>IF(AND(OR(C106="Ingredient candidate",C106="Consumed input",C106="Contained input",C106="Transform input"),P106=-1),1,0)</x:f>
        <x:v>0</x:v>
      </x:c>
    </x:row>
    <x:row r="107" ht="85" customHeight="1">
      <x:c r="A107" s="4" t="str">
        <x:v>outline.output.7</x:v>
      </x:c>
      <x:c r="B107" s="4" t="str">
        <x:v>outline.resource_chain.7</x:v>
      </x:c>
      <x:c r="C107" s="4" t="str">
        <x:v>Output</x:v>
      </x:c>
      <x:c r="D107" s="4" t="str">
        <x:v>proposal.natural.iron_stock</x:v>
      </x:c>
      <x:c r="E107" s="4" t="str">
        <x:f>IFERROR(INDEX('Items'!$B$6:$B$1005,MATCH(D107,'Items'!$A$6:$A$1005,0)),"MISSING ID")</x:f>
        <x:v>Worked iron stock</x:v>
      </x:c>
      <x:c r="F107" s="4" t="str">
        <x:f>IFERROR(INDEX('Items'!$C$6:$C$1005,MATCH(D107,'Items'!$A$6:$A$1005,0)),"MISSING ID")</x:f>
        <x:v>T2</x:v>
      </x:c>
      <x:c r="G107" s="4" t="str">
        <x:f>IFERROR(INDEX('Items'!$D$6:$D$1005,MATCH(D107,'Items'!$A$6:$A$1005,0)),"MISSING ID")</x:f>
        <x:v>Manufactured stock</x:v>
      </x:c>
      <x:c r="H107" s="4" t="str">
        <x:f>IFERROR(INDEX('Items'!$X$6:$X$1005,MATCH(D107,'Items'!$A$6:$A$1005,0)),"MISSING ID")</x:f>
        <x:v>Processed material</x:v>
      </x:c>
      <x:c r="I107" s="4"/>
      <x:c r="J107" s="4" t="str">
        <x:v>Unspecified</x:v>
      </x:c>
      <x:c r="K107" s="4" t="str">
        <x:f>IFERROR(INDEX('Crafting recipes'!$D$6:$D$1005,MATCH(B107,'Crafting recipes'!$A$6:$A$1005,0)),"MISSING ID")</x:f>
        <x:v>Concept outline</x:v>
      </x:c>
      <x:c r="L107" s="4" t="str">
        <x:f>IFERROR(INDEX('Items'!$AD$6:$AD$1005,MATCH(D107,'Items'!$A$6:$A$1005,0)),"MISSING ID")</x:f>
        <x:v>Proposal</x:v>
      </x:c>
      <x:c r="M107" s="4" t="str">
        <x:f>IFERROR(INDEX('Crafting recipes'!$E$6:$E$1005,MATCH(B107,'Crafting recipes'!$A$6:$A$1005,0)),"MISSING ID")</x:f>
        <x:v>Concept outline</x:v>
      </x:c>
      <x:c r="N107" s="4" t="str">
        <x:v>Output family from qualitative resource-chain outline; recipe and yield unresolved.</x:v>
      </x:c>
      <x:c r="O107" s="4" t="str">
        <x:v>User design direction, October 14, 2026; local brainstorming. New proposal unless explicitly marked User direction.</x:v>
      </x:c>
      <x:c r="P107" s="4" t="n">
        <x:f>IF(OR(C107="Ingredient candidate",C107="Consumed input",C107="Contained input",C107="Transform input"),IF(F107="T0",0,IF(F107="T1",1,IF(F107="T2",2,IF(F107="T3",3,IF(F107="T4",4,-1))))),-1)</x:f>
        <x:v>-1</x:v>
      </x:c>
      <x:c r="Q107" s="4" t="n">
        <x:f>IF(AND(OR(C107="Ingredient candidate",C107="Consumed input",C107="Contained input",C107="Transform input"),P107=-1),1,0)</x:f>
        <x:v>0</x:v>
      </x:c>
    </x:row>
    <x:row r="108" ht="85" customHeight="1">
      <x:c r="A108" s="4" t="str">
        <x:v>outline.input.8</x:v>
      </x:c>
      <x:c r="B108" s="4" t="str">
        <x:v>outline.resource_chain.8</x:v>
      </x:c>
      <x:c r="C108" s="4" t="str">
        <x:v>Ingredient candidate</x:v>
      </x:c>
      <x:c r="D108" s="4" t="str">
        <x:v>proposal.natural.silica</x:v>
      </x:c>
      <x:c r="E108" s="4" t="str">
        <x:f>IFERROR(INDEX('Items'!$B$6:$B$1005,MATCH(D108,'Items'!$A$6:$A$1005,0)),"MISSING ID")</x:f>
        <x:v>Silica-rich grit</x:v>
      </x:c>
      <x:c r="F108" s="4" t="str">
        <x:f>IFERROR(INDEX('Items'!$C$6:$C$1005,MATCH(D108,'Items'!$A$6:$A$1005,0)),"MISSING ID")</x:f>
        <x:v>T0</x:v>
      </x:c>
      <x:c r="G108" s="4" t="str">
        <x:f>IFERROR(INDEX('Items'!$D$6:$D$1005,MATCH(D108,'Items'!$A$6:$A$1005,0)),"MISSING ID")</x:f>
        <x:v>Mineral resources</x:v>
      </x:c>
      <x:c r="H108" s="4" t="str">
        <x:f>IFERROR(INDEX('Items'!$X$6:$X$1005,MATCH(D108,'Items'!$A$6:$A$1005,0)),"MISSING ID")</x:f>
        <x:v>Raw material</x:v>
      </x:c>
      <x:c r="I108" s="4"/>
      <x:c r="J108" s="4" t="str">
        <x:v>Unspecified</x:v>
      </x:c>
      <x:c r="K108" s="4" t="str">
        <x:f>IFERROR(INDEX('Crafting recipes'!$D$6:$D$1005,MATCH(B108,'Crafting recipes'!$A$6:$A$1005,0)),"MISSING ID")</x:f>
        <x:v>Concept outline</x:v>
      </x:c>
      <x:c r="L108" s="4" t="str">
        <x:f>IFERROR(INDEX('Items'!$AD$6:$AD$1005,MATCH(D108,'Items'!$A$6:$A$1005,0)),"MISSING ID")</x:f>
        <x:v>Proposal</x:v>
      </x:c>
      <x:c r="M108" s="4" t="str">
        <x:f>IFERROR(INDEX('Crafting recipes'!$E$6:$E$1005,MATCH(B108,'Crafting recipes'!$A$6:$A$1005,0)),"MISSING ID")</x:f>
        <x:v>Concept outline</x:v>
      </x:c>
      <x:c r="N108" s="4" t="str">
        <x:v>Tool sharpening and surface preparation; Could reuse existing Mineral Sand instead; resolve before implementation.; New proposal</x:v>
      </x:c>
      <x:c r="O108" s="4" t="str">
        <x:v>User design direction, October 14, 2026; local brainstorming. New proposal unless explicitly marked User direction.</x:v>
      </x:c>
      <x:c r="P108" s="4" t="n">
        <x:f>IF(OR(C108="Ingredient candidate",C108="Consumed input",C108="Contained input",C108="Transform input"),IF(F108="T0",0,IF(F108="T1",1,IF(F108="T2",2,IF(F108="T3",3,IF(F108="T4",4,-1))))),-1)</x:f>
        <x:v>0</x:v>
      </x:c>
      <x:c r="Q108" s="4" t="n">
        <x:f>IF(AND(OR(C108="Ingredient candidate",C108="Consumed input",C108="Contained input",C108="Transform input"),P108=-1),1,0)</x:f>
        <x:v>0</x:v>
      </x:c>
    </x:row>
    <x:row r="109" ht="85" customHeight="1">
      <x:c r="A109" s="4" t="str">
        <x:v>outline.output.8</x:v>
      </x:c>
      <x:c r="B109" s="4" t="str">
        <x:v>outline.resource_chain.8</x:v>
      </x:c>
      <x:c r="C109" s="4" t="str">
        <x:v>Output</x:v>
      </x:c>
      <x:c r="D109" s="4" t="str">
        <x:v>proposal.natural.abrasive</x:v>
      </x:c>
      <x:c r="E109" s="4" t="str">
        <x:f>IFERROR(INDEX('Items'!$B$6:$B$1005,MATCH(D109,'Items'!$A$6:$A$1005,0)),"MISSING ID")</x:f>
        <x:v>Graded abrasive grit</x:v>
      </x:c>
      <x:c r="F109" s="4" t="str">
        <x:f>IFERROR(INDEX('Items'!$C$6:$C$1005,MATCH(D109,'Items'!$A$6:$A$1005,0)),"MISSING ID")</x:f>
        <x:v>T1</x:v>
      </x:c>
      <x:c r="G109" s="4" t="str">
        <x:f>IFERROR(INDEX('Items'!$D$6:$D$1005,MATCH(D109,'Items'!$A$6:$A$1005,0)),"MISSING ID")</x:f>
        <x:v>Manufactured stock</x:v>
      </x:c>
      <x:c r="H109" s="4" t="str">
        <x:f>IFERROR(INDEX('Items'!$X$6:$X$1005,MATCH(D109,'Items'!$A$6:$A$1005,0)),"MISSING ID")</x:f>
        <x:v>Processed material</x:v>
      </x:c>
      <x:c r="I109" s="4"/>
      <x:c r="J109" s="4" t="str">
        <x:v>Unspecified</x:v>
      </x:c>
      <x:c r="K109" s="4" t="str">
        <x:f>IFERROR(INDEX('Crafting recipes'!$D$6:$D$1005,MATCH(B109,'Crafting recipes'!$A$6:$A$1005,0)),"MISSING ID")</x:f>
        <x:v>Concept outline</x:v>
      </x:c>
      <x:c r="L109" s="4" t="str">
        <x:f>IFERROR(INDEX('Items'!$AD$6:$AD$1005,MATCH(D109,'Items'!$A$6:$A$1005,0)),"MISSING ID")</x:f>
        <x:v>Proposal</x:v>
      </x:c>
      <x:c r="M109" s="4" t="str">
        <x:f>IFERROR(INDEX('Crafting recipes'!$E$6:$E$1005,MATCH(B109,'Crafting recipes'!$A$6:$A$1005,0)),"MISSING ID")</x:f>
        <x:v>Concept outline</x:v>
      </x:c>
      <x:c r="N109" s="4" t="str">
        <x:v>Output family from qualitative resource-chain outline; recipe and yield unresolved.</x:v>
      </x:c>
      <x:c r="O109" s="4" t="str">
        <x:v>User design direction, October 14, 2026; local brainstorming. New proposal unless explicitly marked User direction.</x:v>
      </x:c>
      <x:c r="P109" s="4" t="n">
        <x:f>IF(OR(C109="Ingredient candidate",C109="Consumed input",C109="Contained input",C109="Transform input"),IF(F109="T0",0,IF(F109="T1",1,IF(F109="T2",2,IF(F109="T3",3,IF(F109="T4",4,-1))))),-1)</x:f>
        <x:v>-1</x:v>
      </x:c>
      <x:c r="Q109" s="4" t="n">
        <x:f>IF(AND(OR(C109="Ingredient candidate",C109="Consumed input",C109="Contained input",C109="Transform input"),P109=-1),1,0)</x:f>
        <x:v>0</x:v>
      </x:c>
    </x:row>
    <x:row r="110" ht="85" customHeight="1">
      <x:c r="A110" s="4" t="str">
        <x:v>outline.input.9</x:v>
      </x:c>
      <x:c r="B110" s="4" t="str">
        <x:v>outline.resource_chain.9</x:v>
      </x:c>
      <x:c r="C110" s="4" t="str">
        <x:v>Ingredient candidate</x:v>
      </x:c>
      <x:c r="D110" s="4" t="str">
        <x:v>proposal.natural.alumina</x:v>
      </x:c>
      <x:c r="E110" s="4" t="str">
        <x:f>IFERROR(INDEX('Items'!$B$6:$B$1005,MATCH(D110,'Items'!$A$6:$A$1005,0)),"MISSING ID")</x:f>
        <x:v>Alumina-rich rock</x:v>
      </x:c>
      <x:c r="F110" s="4" t="str">
        <x:f>IFERROR(INDEX('Items'!$C$6:$C$1005,MATCH(D110,'Items'!$A$6:$A$1005,0)),"MISSING ID")</x:f>
        <x:v>T0</x:v>
      </x:c>
      <x:c r="G110" s="4" t="str">
        <x:f>IFERROR(INDEX('Items'!$D$6:$D$1005,MATCH(D110,'Items'!$A$6:$A$1005,0)),"MISSING ID")</x:f>
        <x:v>Mineral resources</x:v>
      </x:c>
      <x:c r="H110" s="4" t="str">
        <x:f>IFERROR(INDEX('Items'!$X$6:$X$1005,MATCH(D110,'Items'!$A$6:$A$1005,0)),"MISSING ID")</x:f>
        <x:v>Raw material</x:v>
      </x:c>
      <x:c r="I110" s="4"/>
      <x:c r="J110" s="4" t="str">
        <x:v>Unspecified</x:v>
      </x:c>
      <x:c r="K110" s="4" t="str">
        <x:f>IFERROR(INDEX('Crafting recipes'!$D$6:$D$1005,MATCH(B110,'Crafting recipes'!$A$6:$A$1005,0)),"MISSING ID")</x:f>
        <x:v>Needs tier review</x:v>
      </x:c>
      <x:c r="L110" s="4" t="str">
        <x:f>IFERROR(INDEX('Items'!$AD$6:$AD$1005,MATCH(D110,'Items'!$A$6:$A$1005,0)),"MISSING ID")</x:f>
        <x:v>Proposal</x:v>
      </x:c>
      <x:c r="M110" s="4" t="str">
        <x:f>IFERROR(INDEX('Crafting recipes'!$E$6:$E$1005,MATCH(B110,'Crafting recipes'!$A$6:$A$1005,0)),"MISSING ID")</x:f>
        <x:v>Concept outline</x:v>
      </x:c>
      <x:c r="N110" s="4" t="str">
        <x:v>Grounding-kit spacers and heat-resistant fixtures; Claystone may be a co-input; forming binder/energy not settled.; New proposal</x:v>
      </x:c>
      <x:c r="O110" s="4" t="str">
        <x:v>User design direction, October 14, 2026; local brainstorming. New proposal unless explicitly marked User direction.</x:v>
      </x:c>
      <x:c r="P110" s="4" t="n">
        <x:f>IF(OR(C110="Ingredient candidate",C110="Consumed input",C110="Contained input",C110="Transform input"),IF(F110="T0",0,IF(F110="T1",1,IF(F110="T2",2,IF(F110="T3",3,IF(F110="T4",4,-1))))),-1)</x:f>
        <x:v>0</x:v>
      </x:c>
      <x:c r="Q110" s="4" t="n">
        <x:f>IF(AND(OR(C110="Ingredient candidate",C110="Consumed input",C110="Contained input",C110="Transform input"),P110=-1),1,0)</x:f>
        <x:v>0</x:v>
      </x:c>
    </x:row>
    <x:row r="111" ht="85" customHeight="1">
      <x:c r="A111" s="4" t="str">
        <x:v>outline.output.9</x:v>
      </x:c>
      <x:c r="B111" s="4" t="str">
        <x:v>outline.resource_chain.9</x:v>
      </x:c>
      <x:c r="C111" s="4" t="str">
        <x:v>Output</x:v>
      </x:c>
      <x:c r="D111" s="4" t="str">
        <x:v>proposal.natural.ceramic</x:v>
      </x:c>
      <x:c r="E111" s="4" t="str">
        <x:f>IFERROR(INDEX('Items'!$B$6:$B$1005,MATCH(D111,'Items'!$A$6:$A$1005,0)),"MISSING ID")</x:f>
        <x:v>Insulating ceramic blanks</x:v>
      </x:c>
      <x:c r="F111" s="4" t="str">
        <x:f>IFERROR(INDEX('Items'!$C$6:$C$1005,MATCH(D111,'Items'!$A$6:$A$1005,0)),"MISSING ID")</x:f>
        <x:v>T2</x:v>
      </x:c>
      <x:c r="G111" s="4" t="str">
        <x:f>IFERROR(INDEX('Items'!$D$6:$D$1005,MATCH(D111,'Items'!$A$6:$A$1005,0)),"MISSING ID")</x:f>
        <x:v>Manufactured stock</x:v>
      </x:c>
      <x:c r="H111" s="4" t="str">
        <x:f>IFERROR(INDEX('Items'!$X$6:$X$1005,MATCH(D111,'Items'!$A$6:$A$1005,0)),"MISSING ID")</x:f>
        <x:v>Processed material</x:v>
      </x:c>
      <x:c r="I111" s="4"/>
      <x:c r="J111" s="4" t="str">
        <x:v>Unspecified</x:v>
      </x:c>
      <x:c r="K111" s="4" t="str">
        <x:f>IFERROR(INDEX('Crafting recipes'!$D$6:$D$1005,MATCH(B111,'Crafting recipes'!$A$6:$A$1005,0)),"MISSING ID")</x:f>
        <x:v>Needs tier review</x:v>
      </x:c>
      <x:c r="L111" s="4" t="str">
        <x:f>IFERROR(INDEX('Items'!$AD$6:$AD$1005,MATCH(D111,'Items'!$A$6:$A$1005,0)),"MISSING ID")</x:f>
        <x:v>Proposal</x:v>
      </x:c>
      <x:c r="M111" s="4" t="str">
        <x:f>IFERROR(INDEX('Crafting recipes'!$E$6:$E$1005,MATCH(B111,'Crafting recipes'!$A$6:$A$1005,0)),"MISSING ID")</x:f>
        <x:v>Concept outline</x:v>
      </x:c>
      <x:c r="N111" s="4" t="str">
        <x:v>Output family from qualitative resource-chain outline; recipe and yield unresolved.</x:v>
      </x:c>
      <x:c r="O111" s="4" t="str">
        <x:v>User design direction, October 14, 2026; local brainstorming. New proposal unless explicitly marked User direction.</x:v>
      </x:c>
      <x:c r="P111" s="4" t="n">
        <x:f>IF(OR(C111="Ingredient candidate",C111="Consumed input",C111="Contained input",C111="Transform input"),IF(F111="T0",0,IF(F111="T1",1,IF(F111="T2",2,IF(F111="T3",3,IF(F111="T4",4,-1))))),-1)</x:f>
        <x:v>-1</x:v>
      </x:c>
      <x:c r="Q111" s="4" t="n">
        <x:f>IF(AND(OR(C111="Ingredient candidate",C111="Consumed input",C111="Contained input",C111="Transform input"),P111=-1),1,0)</x:f>
        <x:v>0</x:v>
      </x:c>
    </x:row>
    <x:row r="112" ht="85" customHeight="1">
      <x:c r="A112" s="4" t="str">
        <x:v>outline.input.12</x:v>
      </x:c>
      <x:c r="B112" s="4" t="str">
        <x:v>outline.resource_chain.12</x:v>
      </x:c>
      <x:c r="C112" s="4" t="str">
        <x:v>Ingredient candidate</x:v>
      </x:c>
      <x:c r="D112" s="4" t="str">
        <x:v>proposal.bio.shell</x:v>
      </x:c>
      <x:c r="E112" s="4" t="str">
        <x:f>IFERROR(INDEX('Items'!$B$6:$B$1005,MATCH(D112,'Items'!$A$6:$A$1005,0)),"MISSING ID")</x:f>
        <x:v>Shell husks / shed plates</x:v>
      </x:c>
      <x:c r="F112" s="4" t="str">
        <x:f>IFERROR(INDEX('Items'!$C$6:$C$1005,MATCH(D112,'Items'!$A$6:$A$1005,0)),"MISSING ID")</x:f>
        <x:v>T0</x:v>
      </x:c>
      <x:c r="G112" s="4" t="str">
        <x:f>IFERROR(INDEX('Items'!$D$6:$D$1005,MATCH(D112,'Items'!$A$6:$A$1005,0)),"MISSING ID")</x:f>
        <x:v>Biological resources</x:v>
      </x:c>
      <x:c r="H112" s="4" t="str">
        <x:f>IFERROR(INDEX('Items'!$X$6:$X$1005,MATCH(D112,'Items'!$A$6:$A$1005,0)),"MISSING ID")</x:f>
        <x:v>Raw material</x:v>
      </x:c>
      <x:c r="I112" s="4"/>
      <x:c r="J112" s="4" t="str">
        <x:v>Unspecified</x:v>
      </x:c>
      <x:c r="K112" s="4" t="str">
        <x:f>IFERROR(INDEX('Crafting recipes'!$D$6:$D$1005,MATCH(B112,'Crafting recipes'!$A$6:$A$1005,0)),"MISSING ID")</x:f>
        <x:v>Needs tier review</x:v>
      </x:c>
      <x:c r="L112" s="4" t="str">
        <x:f>IFERROR(INDEX('Items'!$AD$6:$AD$1005,MATCH(D112,'Items'!$A$6:$A$1005,0)),"MISSING ID")</x:f>
        <x:v>Author direction</x:v>
      </x:c>
      <x:c r="M112" s="4" t="str">
        <x:f>IFERROR(INDEX('Crafting recipes'!$E$6:$E$1005,MATCH(B112,'Crafting recipes'!$A$6:$A$1005,0)),"MISSING ID")</x:f>
        <x:v>Concept outline</x:v>
      </x:c>
      <x:c r="N112" s="4" t="str">
        <x:v>Light armor panels and impact guards; This dry-product route has no approved yield/recipe. Faunal liquids are separately valid material candidates.; New proposal</x:v>
      </x:c>
      <x:c r="O112" s="4" t="str">
        <x:v>User design direction, October 14, 2026; local brainstorming. New proposal unless explicitly marked User direction.</x:v>
      </x:c>
      <x:c r="P112" s="4" t="n">
        <x:f>IF(OR(C112="Ingredient candidate",C112="Consumed input",C112="Contained input",C112="Transform input"),IF(F112="T0",0,IF(F112="T1",1,IF(F112="T2",2,IF(F112="T3",3,IF(F112="T4",4,-1))))),-1)</x:f>
        <x:v>0</x:v>
      </x:c>
      <x:c r="Q112" s="4" t="n">
        <x:f>IF(AND(OR(C112="Ingredient candidate",C112="Consumed input",C112="Contained input",C112="Transform input"),P112=-1),1,0)</x:f>
        <x:v>0</x:v>
      </x:c>
    </x:row>
    <x:row r="113" ht="85" customHeight="1">
      <x:c r="A113" s="4" t="str">
        <x:v>outline.output.12</x:v>
      </x:c>
      <x:c r="B113" s="4" t="str">
        <x:v>outline.resource_chain.12</x:v>
      </x:c>
      <x:c r="C113" s="4" t="str">
        <x:v>Output</x:v>
      </x:c>
      <x:c r="D113" s="4" t="str">
        <x:v>proposal.bio.laminate</x:v>
      </x:c>
      <x:c r="E113" s="4" t="str">
        <x:f>IFERROR(INDEX('Items'!$B$6:$B$1005,MATCH(D113,'Items'!$A$6:$A$1005,0)),"MISSING ID")</x:f>
        <x:v>Shell laminate</x:v>
      </x:c>
      <x:c r="F113" s="4" t="str">
        <x:f>IFERROR(INDEX('Items'!$C$6:$C$1005,MATCH(D113,'Items'!$A$6:$A$1005,0)),"MISSING ID")</x:f>
        <x:v>T2</x:v>
      </x:c>
      <x:c r="G113" s="4" t="str">
        <x:f>IFERROR(INDEX('Items'!$D$6:$D$1005,MATCH(D113,'Items'!$A$6:$A$1005,0)),"MISSING ID")</x:f>
        <x:v>Crafting components</x:v>
      </x:c>
      <x:c r="H113" s="4" t="str">
        <x:f>IFERROR(INDEX('Items'!$X$6:$X$1005,MATCH(D113,'Items'!$A$6:$A$1005,0)),"MISSING ID")</x:f>
        <x:v>Crafting component</x:v>
      </x:c>
      <x:c r="I113" s="4"/>
      <x:c r="J113" s="4" t="str">
        <x:v>Unspecified</x:v>
      </x:c>
      <x:c r="K113" s="4" t="str">
        <x:f>IFERROR(INDEX('Crafting recipes'!$D$6:$D$1005,MATCH(B113,'Crafting recipes'!$A$6:$A$1005,0)),"MISSING ID")</x:f>
        <x:v>Needs tier review</x:v>
      </x:c>
      <x:c r="L113" s="4" t="str">
        <x:f>IFERROR(INDEX('Items'!$AD$6:$AD$1005,MATCH(D113,'Items'!$A$6:$A$1005,0)),"MISSING ID")</x:f>
        <x:v>Proposal</x:v>
      </x:c>
      <x:c r="M113" s="4" t="str">
        <x:f>IFERROR(INDEX('Crafting recipes'!$E$6:$E$1005,MATCH(B113,'Crafting recipes'!$A$6:$A$1005,0)),"MISSING ID")</x:f>
        <x:v>Concept outline</x:v>
      </x:c>
      <x:c r="N113" s="4" t="str">
        <x:v>Output family from qualitative resource-chain outline; recipe and yield unresolved.</x:v>
      </x:c>
      <x:c r="O113" s="4" t="str">
        <x:v>User design direction, October 14, 2026; local brainstorming. New proposal unless explicitly marked User direction.</x:v>
      </x:c>
      <x:c r="P113" s="4" t="n">
        <x:f>IF(OR(C113="Ingredient candidate",C113="Consumed input",C113="Contained input",C113="Transform input"),IF(F113="T0",0,IF(F113="T1",1,IF(F113="T2",2,IF(F113="T3",3,IF(F113="T4",4,-1))))),-1)</x:f>
        <x:v>-1</x:v>
      </x:c>
      <x:c r="Q113" s="4" t="n">
        <x:f>IF(AND(OR(C113="Ingredient candidate",C113="Consumed input",C113="Contained input",C113="Transform input"),P113=-1),1,0)</x:f>
        <x:v>0</x:v>
      </x:c>
    </x:row>
    <x:row r="114" ht="85" customHeight="1">
      <x:c r="A114" s="4" t="str">
        <x:v>outline.input.14</x:v>
      </x:c>
      <x:c r="B114" s="4" t="str">
        <x:v>outline.resource_chain.14</x:v>
      </x:c>
      <x:c r="C114" s="4" t="str">
        <x:v>Ingredient candidate</x:v>
      </x:c>
      <x:c r="D114" s="4" t="str">
        <x:v>proposal.bio.bristles</x:v>
      </x:c>
      <x:c r="E114" s="4" t="str">
        <x:f>IFERROR(INDEX('Items'!$B$6:$B$1005,MATCH(D114,'Items'!$A$6:$A$1005,0)),"MISSING ID")</x:f>
        <x:v>Coarse sensory bristles</x:v>
      </x:c>
      <x:c r="F114" s="4" t="str">
        <x:f>IFERROR(INDEX('Items'!$C$6:$C$1005,MATCH(D114,'Items'!$A$6:$A$1005,0)),"MISSING ID")</x:f>
        <x:v>T0</x:v>
      </x:c>
      <x:c r="G114" s="4" t="str">
        <x:f>IFERROR(INDEX('Items'!$D$6:$D$1005,MATCH(D114,'Items'!$A$6:$A$1005,0)),"MISSING ID")</x:f>
        <x:v>Biological resources</x:v>
      </x:c>
      <x:c r="H114" s="4" t="str">
        <x:f>IFERROR(INDEX('Items'!$X$6:$X$1005,MATCH(D114,'Items'!$A$6:$A$1005,0)),"MISSING ID")</x:f>
        <x:v>Raw material</x:v>
      </x:c>
      <x:c r="I114" s="4"/>
      <x:c r="J114" s="4" t="str">
        <x:v>Unspecified</x:v>
      </x:c>
      <x:c r="K114" s="4" t="str">
        <x:f>IFERROR(INDEX('Crafting recipes'!$D$6:$D$1005,MATCH(B114,'Crafting recipes'!$A$6:$A$1005,0)),"MISSING ID")</x:f>
        <x:v>Needs tier review</x:v>
      </x:c>
      <x:c r="L114" s="4" t="str">
        <x:f>IFERROR(INDEX('Items'!$AD$6:$AD$1005,MATCH(D114,'Items'!$A$6:$A$1005,0)),"MISSING ID")</x:f>
        <x:v>Proposal</x:v>
      </x:c>
      <x:c r="M114" s="4" t="str">
        <x:f>IFERROR(INDEX('Crafting recipes'!$E$6:$E$1005,MATCH(B114,'Crafting recipes'!$A$6:$A$1005,0)),"MISSING ID")</x:f>
        <x:v>Concept outline</x:v>
      </x:c>
      <x:c r="N114" s="4" t="str">
        <x:v>Dust exclusion at joints and equipment closures; This dry-product route has no approved yield/recipe. Faunal liquids are separately valid material candidates.; New proposal</x:v>
      </x:c>
      <x:c r="O114" s="4" t="str">
        <x:v>User design direction, October 14, 2026; local brainstorming. New proposal unless explicitly marked User direction.</x:v>
      </x:c>
      <x:c r="P114" s="4" t="n">
        <x:f>IF(OR(C114="Ingredient candidate",C114="Consumed input",C114="Contained input",C114="Transform input"),IF(F114="T0",0,IF(F114="T1",1,IF(F114="T2",2,IF(F114="T3",3,IF(F114="T4",4,-1))))),-1)</x:f>
        <x:v>0</x:v>
      </x:c>
      <x:c r="Q114" s="4" t="n">
        <x:f>IF(AND(OR(C114="Ingredient candidate",C114="Consumed input",C114="Contained input",C114="Transform input"),P114=-1),1,0)</x:f>
        <x:v>0</x:v>
      </x:c>
    </x:row>
    <x:row r="115" ht="85" customHeight="1">
      <x:c r="A115" s="4" t="str">
        <x:v>outline.output.14</x:v>
      </x:c>
      <x:c r="B115" s="4" t="str">
        <x:v>outline.resource_chain.14</x:v>
      </x:c>
      <x:c r="C115" s="4" t="str">
        <x:v>Output</x:v>
      </x:c>
      <x:c r="D115" s="4" t="str">
        <x:v>proposal.bio.brush</x:v>
      </x:c>
      <x:c r="E115" s="4" t="str">
        <x:f>IFERROR(INDEX('Items'!$B$6:$B$1005,MATCH(D115,'Items'!$A$6:$A$1005,0)),"MISSING ID")</x:f>
        <x:v>Bristle brush strips</x:v>
      </x:c>
      <x:c r="F115" s="4" t="str">
        <x:f>IFERROR(INDEX('Items'!$C$6:$C$1005,MATCH(D115,'Items'!$A$6:$A$1005,0)),"MISSING ID")</x:f>
        <x:v>T2</x:v>
      </x:c>
      <x:c r="G115" s="4" t="str">
        <x:f>IFERROR(INDEX('Items'!$D$6:$D$1005,MATCH(D115,'Items'!$A$6:$A$1005,0)),"MISSING ID")</x:f>
        <x:v>Crafting components</x:v>
      </x:c>
      <x:c r="H115" s="4" t="str">
        <x:f>IFERROR(INDEX('Items'!$X$6:$X$1005,MATCH(D115,'Items'!$A$6:$A$1005,0)),"MISSING ID")</x:f>
        <x:v>Crafting component</x:v>
      </x:c>
      <x:c r="I115" s="4"/>
      <x:c r="J115" s="4" t="str">
        <x:v>Unspecified</x:v>
      </x:c>
      <x:c r="K115" s="4" t="str">
        <x:f>IFERROR(INDEX('Crafting recipes'!$D$6:$D$1005,MATCH(B115,'Crafting recipes'!$A$6:$A$1005,0)),"MISSING ID")</x:f>
        <x:v>Needs tier review</x:v>
      </x:c>
      <x:c r="L115" s="4" t="str">
        <x:f>IFERROR(INDEX('Items'!$AD$6:$AD$1005,MATCH(D115,'Items'!$A$6:$A$1005,0)),"MISSING ID")</x:f>
        <x:v>Proposal</x:v>
      </x:c>
      <x:c r="M115" s="4" t="str">
        <x:f>IFERROR(INDEX('Crafting recipes'!$E$6:$E$1005,MATCH(B115,'Crafting recipes'!$A$6:$A$1005,0)),"MISSING ID")</x:f>
        <x:v>Concept outline</x:v>
      </x:c>
      <x:c r="N115" s="4" t="str">
        <x:v>Output family from qualitative resource-chain outline; recipe and yield unresolved.</x:v>
      </x:c>
      <x:c r="O115" s="4" t="str">
        <x:v>User design direction, October 14, 2026; local brainstorming. New proposal unless explicitly marked User direction.</x:v>
      </x:c>
      <x:c r="P115" s="4" t="n">
        <x:f>IF(OR(C115="Ingredient candidate",C115="Consumed input",C115="Contained input",C115="Transform input"),IF(F115="T0",0,IF(F115="T1",1,IF(F115="T2",2,IF(F115="T3",3,IF(F115="T4",4,-1))))),-1)</x:f>
        <x:v>-1</x:v>
      </x:c>
      <x:c r="Q115" s="4" t="n">
        <x:f>IF(AND(OR(C115="Ingredient candidate",C115="Consumed input",C115="Contained input",C115="Transform input"),P115=-1),1,0)</x:f>
        <x:v>0</x:v>
      </x:c>
    </x:row>
    <x:row r="116" ht="85" customHeight="1">
      <x:c r="A116" s="4" t="str">
        <x:v>outline.input.16</x:v>
      </x:c>
      <x:c r="B116" s="4" t="str">
        <x:v>outline.resource_chain.16</x:v>
      </x:c>
      <x:c r="C116" s="4" t="str">
        <x:v>Ingredient candidate</x:v>
      </x:c>
      <x:c r="D116" s="4" t="str">
        <x:v>proposal.bio.jaw</x:v>
      </x:c>
      <x:c r="E116" s="4" t="str">
        <x:f>IFERROR(INDEX('Items'!$B$6:$B$1005,MATCH(D116,'Items'!$A$6:$A$1005,0)),"MISSING ID")</x:f>
        <x:v>Dense jaw plates</x:v>
      </x:c>
      <x:c r="F116" s="4" t="str">
        <x:f>IFERROR(INDEX('Items'!$C$6:$C$1005,MATCH(D116,'Items'!$A$6:$A$1005,0)),"MISSING ID")</x:f>
        <x:v>T0</x:v>
      </x:c>
      <x:c r="G116" s="4" t="str">
        <x:f>IFERROR(INDEX('Items'!$D$6:$D$1005,MATCH(D116,'Items'!$A$6:$A$1005,0)),"MISSING ID")</x:f>
        <x:v>Biological resources</x:v>
      </x:c>
      <x:c r="H116" s="4" t="str">
        <x:f>IFERROR(INDEX('Items'!$X$6:$X$1005,MATCH(D116,'Items'!$A$6:$A$1005,0)),"MISSING ID")</x:f>
        <x:v>Raw material</x:v>
      </x:c>
      <x:c r="I116" s="4"/>
      <x:c r="J116" s="4" t="str">
        <x:v>Unspecified</x:v>
      </x:c>
      <x:c r="K116" s="4" t="str">
        <x:f>IFERROR(INDEX('Crafting recipes'!$D$6:$D$1005,MATCH(B116,'Crafting recipes'!$A$6:$A$1005,0)),"MISSING ID")</x:f>
        <x:v>Needs tier review</x:v>
      </x:c>
      <x:c r="L116" s="4" t="str">
        <x:f>IFERROR(INDEX('Items'!$AD$6:$AD$1005,MATCH(D116,'Items'!$A$6:$A$1005,0)),"MISSING ID")</x:f>
        <x:v>Proposal</x:v>
      </x:c>
      <x:c r="M116" s="4" t="str">
        <x:f>IFERROR(INDEX('Crafting recipes'!$E$6:$E$1005,MATCH(B116,'Crafting recipes'!$A$6:$A$1005,0)),"MISSING ID")</x:f>
        <x:v>Concept outline</x:v>
      </x:c>
      <x:c r="N116" s="4" t="str">
        <x:v>Replaceable excavation-tool wear part; This dry-product route has no approved yield/recipe. Faunal liquids are separately valid material candidates.; New proposal</x:v>
      </x:c>
      <x:c r="O116" s="4" t="str">
        <x:v>User design direction, October 14, 2026; local brainstorming. New proposal unless explicitly marked User direction.</x:v>
      </x:c>
      <x:c r="P116" s="4" t="n">
        <x:f>IF(OR(C116="Ingredient candidate",C116="Consumed input",C116="Contained input",C116="Transform input"),IF(F116="T0",0,IF(F116="T1",1,IF(F116="T2",2,IF(F116="T3",3,IF(F116="T4",4,-1))))),-1)</x:f>
        <x:v>0</x:v>
      </x:c>
      <x:c r="Q116" s="4" t="n">
        <x:f>IF(AND(OR(C116="Ingredient candidate",C116="Consumed input",C116="Contained input",C116="Transform input"),P116=-1),1,0)</x:f>
        <x:v>0</x:v>
      </x:c>
    </x:row>
    <x:row r="117" ht="85" customHeight="1">
      <x:c r="A117" s="4" t="str">
        <x:v>outline.output.16</x:v>
      </x:c>
      <x:c r="B117" s="4" t="str">
        <x:v>outline.resource_chain.16</x:v>
      </x:c>
      <x:c r="C117" s="4" t="str">
        <x:v>Output</x:v>
      </x:c>
      <x:c r="D117" s="4" t="str">
        <x:v>proposal.bio.insert</x:v>
      </x:c>
      <x:c r="E117" s="4" t="str">
        <x:f>IFERROR(INDEX('Items'!$B$6:$B$1005,MATCH(D117,'Items'!$A$6:$A$1005,0)),"MISSING ID")</x:f>
        <x:v>Jaw cutting insert</x:v>
      </x:c>
      <x:c r="F117" s="4" t="str">
        <x:f>IFERROR(INDEX('Items'!$C$6:$C$1005,MATCH(D117,'Items'!$A$6:$A$1005,0)),"MISSING ID")</x:f>
        <x:v>T2</x:v>
      </x:c>
      <x:c r="G117" s="4" t="str">
        <x:f>IFERROR(INDEX('Items'!$D$6:$D$1005,MATCH(D117,'Items'!$A$6:$A$1005,0)),"MISSING ID")</x:f>
        <x:v>Crafting components</x:v>
      </x:c>
      <x:c r="H117" s="4" t="str">
        <x:f>IFERROR(INDEX('Items'!$X$6:$X$1005,MATCH(D117,'Items'!$A$6:$A$1005,0)),"MISSING ID")</x:f>
        <x:v>Crafting component</x:v>
      </x:c>
      <x:c r="I117" s="4"/>
      <x:c r="J117" s="4" t="str">
        <x:v>Unspecified</x:v>
      </x:c>
      <x:c r="K117" s="4" t="str">
        <x:f>IFERROR(INDEX('Crafting recipes'!$D$6:$D$1005,MATCH(B117,'Crafting recipes'!$A$6:$A$1005,0)),"MISSING ID")</x:f>
        <x:v>Needs tier review</x:v>
      </x:c>
      <x:c r="L117" s="4" t="str">
        <x:f>IFERROR(INDEX('Items'!$AD$6:$AD$1005,MATCH(D117,'Items'!$A$6:$A$1005,0)),"MISSING ID")</x:f>
        <x:v>Proposal</x:v>
      </x:c>
      <x:c r="M117" s="4" t="str">
        <x:f>IFERROR(INDEX('Crafting recipes'!$E$6:$E$1005,MATCH(B117,'Crafting recipes'!$A$6:$A$1005,0)),"MISSING ID")</x:f>
        <x:v>Concept outline</x:v>
      </x:c>
      <x:c r="N117" s="4" t="str">
        <x:v>Output family from qualitative resource-chain outline; recipe and yield unresolved.</x:v>
      </x:c>
      <x:c r="O117" s="4" t="str">
        <x:v>User design direction, October 14, 2026; local brainstorming. New proposal unless explicitly marked User direction.</x:v>
      </x:c>
      <x:c r="P117" s="4" t="n">
        <x:f>IF(OR(C117="Ingredient candidate",C117="Consumed input",C117="Contained input",C117="Transform input"),IF(F117="T0",0,IF(F117="T1",1,IF(F117="T2",2,IF(F117="T3",3,IF(F117="T4",4,-1))))),-1)</x:f>
        <x:v>-1</x:v>
      </x:c>
      <x:c r="Q117" s="4" t="n">
        <x:f>IF(AND(OR(C117="Ingredient candidate",C117="Consumed input",C117="Contained input",C117="Transform input"),P117=-1),1,0)</x:f>
        <x:v>0</x:v>
      </x:c>
    </x:row>
    <x:row r="118" ht="85" customHeight="1">
      <x:c r="A118" s="4" t="str">
        <x:v>outline.input.18</x:v>
      </x:c>
      <x:c r="B118" s="4" t="str">
        <x:v>outline.resource_chain.18</x:v>
      </x:c>
      <x:c r="C118" s="4" t="str">
        <x:v>Ingredient candidate</x:v>
      </x:c>
      <x:c r="D118" s="4" t="str">
        <x:v>proposal.bio.fat</x:v>
      </x:c>
      <x:c r="E118" s="4" t="str">
        <x:f>IFERROR(INDEX('Items'!$B$6:$B$1005,MATCH(D118,'Items'!$A$6:$A$1005,0)),"MISSING ID")</x:f>
        <x:v>Unverified fat-like tissue concept</x:v>
      </x:c>
      <x:c r="F118" s="4" t="str">
        <x:f>IFERROR(INDEX('Items'!$C$6:$C$1005,MATCH(D118,'Items'!$A$6:$A$1005,0)),"MISSING ID")</x:f>
        <x:v>Unassigned</x:v>
      </x:c>
      <x:c r="G118" s="4" t="str">
        <x:f>IFERROR(INDEX('Items'!$D$6:$D$1005,MATCH(D118,'Items'!$A$6:$A$1005,0)),"MISSING ID")</x:f>
        <x:v>Biological resources</x:v>
      </x:c>
      <x:c r="H118" s="4" t="str">
        <x:f>IFERROR(INDEX('Items'!$X$6:$X$1005,MATCH(D118,'Items'!$A$6:$A$1005,0)),"MISSING ID")</x:f>
        <x:v>Raw material</x:v>
      </x:c>
      <x:c r="I118" s="4"/>
      <x:c r="J118" s="4" t="str">
        <x:v>Unspecified</x:v>
      </x:c>
      <x:c r="K118" s="4" t="str">
        <x:f>IFERROR(INDEX('Crafting recipes'!$D$6:$D$1005,MATCH(B118,'Crafting recipes'!$A$6:$A$1005,0)),"MISSING ID")</x:f>
        <x:v>Withheld</x:v>
      </x:c>
      <x:c r="L118" s="4" t="str">
        <x:f>IFERROR(INDEX('Items'!$AD$6:$AD$1005,MATCH(D118,'Items'!$A$6:$A$1005,0)),"MISSING ID")</x:f>
        <x:v>Withheld assumption</x:v>
      </x:c>
      <x:c r="M118" s="4" t="str">
        <x:f>IFERROR(INDEX('Crafting recipes'!$E$6:$E$1005,MATCH(B118,'Crafting recipes'!$A$6:$A$1005,0)),"MISSING ID")</x:f>
        <x:v>Withheld</x:v>
      </x:c>
      <x:c r="N118" s="4" t="str">
        <x:v>Conditional solid product only; Conventional fat precursor not established; Burden Beasts source must be reviewed; Needs lore anatomy review</x:v>
      </x:c>
      <x:c r="O118" s="4" t="str">
        <x:v>Docs/WORLD_BASIS.md#faunal-biology-and-material-use; direct author direction October 14, 2026. Related source anatomy proposals now accessible at f6f98515; this item awaits reconciliation; identities and processing remain undefined.</x:v>
      </x:c>
      <x:c r="P118" s="4" t="n">
        <x:f>IF(OR(C118="Ingredient candidate",C118="Consumed input",C118="Contained input",C118="Transform input"),IF(F118="T0",0,IF(F118="T1",1,IF(F118="T2",2,IF(F118="T3",3,IF(F118="T4",4,-1))))),-1)</x:f>
        <x:v>-1</x:v>
      </x:c>
      <x:c r="Q118" s="4" t="n">
        <x:f>IF(AND(OR(C118="Ingredient candidate",C118="Consumed input",C118="Contained input",C118="Transform input"),P118=-1),1,0)</x:f>
        <x:v>1</x:v>
      </x:c>
    </x:row>
    <x:row r="119" ht="85" customHeight="1">
      <x:c r="A119" s="4" t="str">
        <x:v>outline.output.18</x:v>
      </x:c>
      <x:c r="B119" s="4" t="str">
        <x:v>outline.resource_chain.18</x:v>
      </x:c>
      <x:c r="C119" s="4" t="str">
        <x:v>Output</x:v>
      </x:c>
      <x:c r="D119" s="4" t="str">
        <x:v>proposal.bio.wax</x:v>
      </x:c>
      <x:c r="E119" s="4" t="str">
        <x:f>IFERROR(INDEX('Items'!$B$6:$B$1005,MATCH(D119,'Items'!$A$6:$A$1005,0)),"MISSING ID")</x:f>
        <x:v>Solid biological wax</x:v>
      </x:c>
      <x:c r="F119" s="4" t="str">
        <x:f>IFERROR(INDEX('Items'!$C$6:$C$1005,MATCH(D119,'Items'!$A$6:$A$1005,0)),"MISSING ID")</x:f>
        <x:v>Unassigned</x:v>
      </x:c>
      <x:c r="G119" s="4" t="str">
        <x:f>IFERROR(INDEX('Items'!$D$6:$D$1005,MATCH(D119,'Items'!$A$6:$A$1005,0)),"MISSING ID")</x:f>
        <x:v>Crafting components</x:v>
      </x:c>
      <x:c r="H119" s="4" t="str">
        <x:f>IFERROR(INDEX('Items'!$X$6:$X$1005,MATCH(D119,'Items'!$A$6:$A$1005,0)),"MISSING ID")</x:f>
        <x:v>Processed material</x:v>
      </x:c>
      <x:c r="I119" s="4"/>
      <x:c r="J119" s="4" t="str">
        <x:v>Unspecified</x:v>
      </x:c>
      <x:c r="K119" s="4" t="str">
        <x:f>IFERROR(INDEX('Crafting recipes'!$D$6:$D$1005,MATCH(B119,'Crafting recipes'!$A$6:$A$1005,0)),"MISSING ID")</x:f>
        <x:v>Withheld</x:v>
      </x:c>
      <x:c r="L119" s="4" t="str">
        <x:f>IFERROR(INDEX('Items'!$AD$6:$AD$1005,MATCH(D119,'Items'!$A$6:$A$1005,0)),"MISSING ID")</x:f>
        <x:v>Withheld assumption</x:v>
      </x:c>
      <x:c r="M119" s="4" t="str">
        <x:f>IFERROR(INDEX('Crafting recipes'!$E$6:$E$1005,MATCH(B119,'Crafting recipes'!$A$6:$A$1005,0)),"MISSING ID")</x:f>
        <x:v>Withheld</x:v>
      </x:c>
      <x:c r="N119" s="4" t="str">
        <x:v>Output family from qualitative resource-chain outline; recipe and yield unresolved.</x:v>
      </x:c>
      <x:c r="O119" s="4" t="str">
        <x:v>Docs/WORLD_BASIS.md#faunal-biology-and-material-use; direct author direction October 14, 2026. Related source anatomy proposals now accessible at f6f98515; this item awaits reconciliation; identities and processing remain undefined.</x:v>
      </x:c>
      <x:c r="P119" s="4" t="n">
        <x:f>IF(OR(C119="Ingredient candidate",C119="Consumed input",C119="Contained input",C119="Transform input"),IF(F119="T0",0,IF(F119="T1",1,IF(F119="T2",2,IF(F119="T3",3,IF(F119="T4",4,-1))))),-1)</x:f>
        <x:v>-1</x:v>
      </x:c>
      <x:c r="Q119" s="4" t="n">
        <x:f>IF(AND(OR(C119="Ingredient candidate",C119="Consumed input",C119="Contained input",C119="Transform input"),P119=-1),1,0)</x:f>
        <x:v>0</x:v>
      </x:c>
    </x:row>
    <x:row r="120" ht="85" customHeight="1">
      <x:c r="A120" s="4" t="str">
        <x:v>outline.input.19</x:v>
      </x:c>
      <x:c r="B120" s="4" t="str">
        <x:v>outline.resource_chain.19</x:v>
      </x:c>
      <x:c r="C120" s="4" t="str">
        <x:v>Ingredient candidate</x:v>
      </x:c>
      <x:c r="D120" s="4" t="str">
        <x:v>proposal.bio.organ</x:v>
      </x:c>
      <x:c r="E120" s="4" t="str">
        <x:f>IFERROR(INDEX('Items'!$B$6:$B$1005,MATCH(D120,'Items'!$A$6:$A$1005,0)),"MISSING ID")</x:f>
        <x:v>Charge-organ tissue</x:v>
      </x:c>
      <x:c r="F120" s="4" t="str">
        <x:f>IFERROR(INDEX('Items'!$C$6:$C$1005,MATCH(D120,'Items'!$A$6:$A$1005,0)),"MISSING ID")</x:f>
        <x:v>T0</x:v>
      </x:c>
      <x:c r="G120" s="4" t="str">
        <x:f>IFERROR(INDEX('Items'!$D$6:$D$1005,MATCH(D120,'Items'!$A$6:$A$1005,0)),"MISSING ID")</x:f>
        <x:v>Biological resources</x:v>
      </x:c>
      <x:c r="H120" s="4" t="str">
        <x:f>IFERROR(INDEX('Items'!$X$6:$X$1005,MATCH(D120,'Items'!$A$6:$A$1005,0)),"MISSING ID")</x:f>
        <x:v>Raw material</x:v>
      </x:c>
      <x:c r="I120" s="4"/>
      <x:c r="J120" s="4" t="str">
        <x:v>Unspecified</x:v>
      </x:c>
      <x:c r="K120" s="4" t="str">
        <x:f>IFERROR(INDEX('Crafting recipes'!$D$6:$D$1005,MATCH(B120,'Crafting recipes'!$A$6:$A$1005,0)),"MISSING ID")</x:f>
        <x:v>Concept outline</x:v>
      </x:c>
      <x:c r="L120" s="4" t="str">
        <x:f>IFERROR(INDEX('Items'!$AD$6:$AD$1005,MATCH(D120,'Items'!$A$6:$A$1005,0)),"MISSING ID")</x:f>
        <x:v>Proposal</x:v>
      </x:c>
      <x:c r="M120" s="4" t="str">
        <x:f>IFERROR(INDEX('Crafting recipes'!$E$6:$E$1005,MATCH(B120,'Crafting recipes'!$A$6:$A$1005,0)),"MISSING ID")</x:f>
        <x:v>Concept outline</x:v>
      </x:c>
      <x:c r="N120" s="4" t="str">
        <x:v>Possible charged-battery component research; This dry-product route has no approved yield/recipe. Faunal liquids are separately valid material candidates.; New proposal</x:v>
      </x:c>
      <x:c r="O120" s="4" t="str">
        <x:v>User design direction, October 14, 2026; local brainstorming. New proposal unless explicitly marked User direction.</x:v>
      </x:c>
      <x:c r="P120" s="4" t="n">
        <x:f>IF(OR(C120="Ingredient candidate",C120="Consumed input",C120="Contained input",C120="Transform input"),IF(F120="T0",0,IF(F120="T1",1,IF(F120="T2",2,IF(F120="T3",3,IF(F120="T4",4,-1))))),-1)</x:f>
        <x:v>0</x:v>
      </x:c>
      <x:c r="Q120" s="4" t="n">
        <x:f>IF(AND(OR(C120="Ingredient candidate",C120="Consumed input",C120="Contained input",C120="Transform input"),P120=-1),1,0)</x:f>
        <x:v>0</x:v>
      </x:c>
    </x:row>
    <x:row r="121" ht="85" customHeight="1">
      <x:c r="A121" s="4" t="str">
        <x:v>outline.output.19</x:v>
      </x:c>
      <x:c r="B121" s="4" t="str">
        <x:v>outline.resource_chain.19</x:v>
      </x:c>
      <x:c r="C121" s="4" t="str">
        <x:v>Output</x:v>
      </x:c>
      <x:c r="D121" s="4" t="str">
        <x:v>proposal.bio.electrode</x:v>
      </x:c>
      <x:c r="E121" s="4" t="str">
        <x:f>IFERROR(INDEX('Items'!$B$6:$B$1005,MATCH(D121,'Items'!$A$6:$A$1005,0)),"MISSING ID")</x:f>
        <x:v>Dry organ electrode scaffold</x:v>
      </x:c>
      <x:c r="F121" s="4" t="str">
        <x:f>IFERROR(INDEX('Items'!$C$6:$C$1005,MATCH(D121,'Items'!$A$6:$A$1005,0)),"MISSING ID")</x:f>
        <x:v>T1</x:v>
      </x:c>
      <x:c r="G121" s="4" t="str">
        <x:f>IFERROR(INDEX('Items'!$D$6:$D$1005,MATCH(D121,'Items'!$A$6:$A$1005,0)),"MISSING ID")</x:f>
        <x:v>Crafting components</x:v>
      </x:c>
      <x:c r="H121" s="4" t="str">
        <x:f>IFERROR(INDEX('Items'!$X$6:$X$1005,MATCH(D121,'Items'!$A$6:$A$1005,0)),"MISSING ID")</x:f>
        <x:v>Crafting component</x:v>
      </x:c>
      <x:c r="I121" s="4"/>
      <x:c r="J121" s="4" t="str">
        <x:v>Unspecified</x:v>
      </x:c>
      <x:c r="K121" s="4" t="str">
        <x:f>IFERROR(INDEX('Crafting recipes'!$D$6:$D$1005,MATCH(B121,'Crafting recipes'!$A$6:$A$1005,0)),"MISSING ID")</x:f>
        <x:v>Concept outline</x:v>
      </x:c>
      <x:c r="L121" s="4" t="str">
        <x:f>IFERROR(INDEX('Items'!$AD$6:$AD$1005,MATCH(D121,'Items'!$A$6:$A$1005,0)),"MISSING ID")</x:f>
        <x:v>Proposal</x:v>
      </x:c>
      <x:c r="M121" s="4" t="str">
        <x:f>IFERROR(INDEX('Crafting recipes'!$E$6:$E$1005,MATCH(B121,'Crafting recipes'!$A$6:$A$1005,0)),"MISSING ID")</x:f>
        <x:v>Concept outline</x:v>
      </x:c>
      <x:c r="N121" s="4" t="str">
        <x:v>Output family from qualitative resource-chain outline; recipe and yield unresolved.</x:v>
      </x:c>
      <x:c r="O121" s="4" t="str">
        <x:v>User design direction, October 14, 2026; local brainstorming. New proposal unless explicitly marked User direction.</x:v>
      </x:c>
      <x:c r="P121" s="4" t="n">
        <x:f>IF(OR(C121="Ingredient candidate",C121="Consumed input",C121="Contained input",C121="Transform input"),IF(F121="T0",0,IF(F121="T1",1,IF(F121="T2",2,IF(F121="T3",3,IF(F121="T4",4,-1))))),-1)</x:f>
        <x:v>-1</x:v>
      </x:c>
      <x:c r="Q121" s="4" t="n">
        <x:f>IF(AND(OR(C121="Ingredient candidate",C121="Consumed input",C121="Contained input",C121="Transform input"),P121=-1),1,0)</x:f>
        <x:v>0</x:v>
      </x:c>
    </x:row>
    <x:row r="122" ht="85" customHeight="1">
      <x:c r="A122" s="4"/>
      <x:c r="B122" s="4"/>
      <x:c r="C122" s="4"/>
      <x:c r="D122" s="4"/>
      <x:c r="E122" s="4"/>
      <x:c r="F122" s="4"/>
      <x:c r="G122" s="4"/>
      <x:c r="H122" s="4"/>
      <x:c r="I122" s="4"/>
      <x:c r="J122" s="4"/>
      <x:c r="K122" s="4"/>
      <x:c r="L122" s="4"/>
      <x:c r="M122" s="4"/>
      <x:c r="N122" s="4"/>
      <x:c r="O122" s="4"/>
      <x:c r="P122" s="4"/>
      <x:c r="Q122" s="4"/>
    </x:row>
    <x:row r="123" ht="85" customHeight="1">
      <x:c r="A123" s="4"/>
      <x:c r="B123" s="4"/>
      <x:c r="C123" s="4"/>
      <x:c r="D123" s="4"/>
      <x:c r="E123" s="4"/>
      <x:c r="F123" s="4"/>
      <x:c r="G123" s="4"/>
      <x:c r="H123" s="4"/>
      <x:c r="I123" s="4"/>
      <x:c r="J123" s="4"/>
      <x:c r="K123" s="4"/>
      <x:c r="L123" s="4"/>
      <x:c r="M123" s="4"/>
      <x:c r="N123" s="4"/>
      <x:c r="O123" s="4"/>
      <x:c r="P123" s="4"/>
      <x:c r="Q123" s="4"/>
    </x:row>
    <x:row r="124" ht="85" customHeight="1">
      <x:c r="A124" s="4"/>
      <x:c r="B124" s="4"/>
      <x:c r="C124" s="4"/>
      <x:c r="D124" s="4"/>
      <x:c r="E124" s="4"/>
      <x:c r="F124" s="4"/>
      <x:c r="G124" s="4"/>
      <x:c r="H124" s="4"/>
      <x:c r="I124" s="4"/>
      <x:c r="J124" s="4"/>
      <x:c r="K124" s="4"/>
      <x:c r="L124" s="4"/>
      <x:c r="M124" s="4"/>
      <x:c r="N124" s="4"/>
      <x:c r="O124" s="4"/>
      <x:c r="P124" s="4"/>
      <x:c r="Q124" s="4"/>
    </x:row>
    <x:row r="125" ht="85" customHeight="1">
      <x:c r="A125" s="4"/>
      <x:c r="B125" s="4"/>
      <x:c r="C125" s="4"/>
      <x:c r="D125" s="4"/>
      <x:c r="E125" s="4"/>
      <x:c r="F125" s="4"/>
      <x:c r="G125" s="4"/>
      <x:c r="H125" s="4"/>
      <x:c r="I125" s="4"/>
      <x:c r="J125" s="4"/>
      <x:c r="K125" s="4"/>
      <x:c r="L125" s="4"/>
      <x:c r="M125" s="4"/>
      <x:c r="N125" s="4"/>
      <x:c r="O125" s="4"/>
      <x:c r="P125" s="4"/>
      <x:c r="Q125" s="4"/>
    </x:row>
    <x:row r="126" ht="85" customHeight="1">
      <x:c r="A126" s="4" t="str">
        <x:v>outline.input.22</x:v>
      </x:c>
      <x:c r="B126" s="4" t="str">
        <x:v>outline.resource_chain.22</x:v>
      </x:c>
      <x:c r="C126" s="4" t="str">
        <x:v>Ingredient candidate</x:v>
      </x:c>
      <x:c r="D126" s="4" t="str">
        <x:v>proposal.natural.copper_stone</x:v>
      </x:c>
      <x:c r="E126" s="4" t="str">
        <x:f>IFERROR(INDEX('Items'!$B$6:$B$1005,MATCH(D126,'Items'!$A$6:$A$1005,0)),"MISSING ID")</x:f>
        <x:v>Unprocessed copper-rich stone</x:v>
      </x:c>
      <x:c r="F126" s="4" t="str">
        <x:f>IFERROR(INDEX('Items'!$C$6:$C$1005,MATCH(D126,'Items'!$A$6:$A$1005,0)),"MISSING ID")</x:f>
        <x:v>T0</x:v>
      </x:c>
      <x:c r="G126" s="4" t="str">
        <x:f>IFERROR(INDEX('Items'!$D$6:$D$1005,MATCH(D126,'Items'!$A$6:$A$1005,0)),"MISSING ID")</x:f>
        <x:v>Mineral resources</x:v>
      </x:c>
      <x:c r="H126" s="4" t="str">
        <x:f>IFERROR(INDEX('Items'!$X$6:$X$1005,MATCH(D126,'Items'!$A$6:$A$1005,0)),"MISSING ID")</x:f>
        <x:v>Raw material</x:v>
      </x:c>
      <x:c r="I126" s="4"/>
      <x:c r="J126" s="4" t="str">
        <x:v>Unspecified</x:v>
      </x:c>
      <x:c r="K126" s="4" t="str">
        <x:f>IFERROR(INDEX('Crafting recipes'!$D$6:$D$1005,MATCH(B126,'Crafting recipes'!$A$6:$A$1005,0)),"MISSING ID")</x:f>
        <x:v>Concept outline</x:v>
      </x:c>
      <x:c r="L126" s="4" t="str">
        <x:f>IFERROR(INDEX('Items'!$AD$6:$AD$1005,MATCH(D126,'Items'!$A$6:$A$1005,0)),"MISSING ID")</x:f>
        <x:v>Author direction</x:v>
      </x:c>
      <x:c r="M126" s="4" t="str">
        <x:f>IFERROR(INDEX('Crafting recipes'!$E$6:$E$1005,MATCH(B126,'Crafting recipes'!$A$6:$A$1005,0)),"MISSING ID")</x:f>
        <x:v>Concept outline</x:v>
      </x:c>
      <x:c r="N126" s="4" t="str">
        <x:v>Higher-grade copper feed; Optional extra stage; merge these entries if sorting is busywork; New proposal</x:v>
      </x:c>
      <x:c r="O126" s="4" t="str">
        <x:v>https://www.nps.gov/deva/learn/nature/mining-in-death-valley.htm</x:v>
      </x:c>
      <x:c r="P126" s="4" t="n">
        <x:f>IF(OR(C126="Ingredient candidate",C126="Consumed input",C126="Contained input",C126="Transform input"),IF(F126="T0",0,IF(F126="T1",1,IF(F126="T2",2,IF(F126="T3",3,IF(F126="T4",4,-1))))),-1)</x:f>
        <x:v>0</x:v>
      </x:c>
      <x:c r="Q126" s="4" t="n">
        <x:f>IF(AND(OR(C126="Ingredient candidate",C126="Consumed input",C126="Contained input",C126="Transform input"),P126=-1),1,0)</x:f>
        <x:v>0</x:v>
      </x:c>
    </x:row>
    <x:row r="127" ht="85" customHeight="1">
      <x:c r="A127" s="4" t="str">
        <x:v>outline.output.22</x:v>
      </x:c>
      <x:c r="B127" s="4" t="str">
        <x:v>outline.resource_chain.22</x:v>
      </x:c>
      <x:c r="C127" s="4" t="str">
        <x:v>Output</x:v>
      </x:c>
      <x:c r="D127" s="4" t="str">
        <x:v>proposal.natural.copper_ore</x:v>
      </x:c>
      <x:c r="E127" s="4" t="str">
        <x:f>IFERROR(INDEX('Items'!$B$6:$B$1005,MATCH(D127,'Items'!$A$6:$A$1005,0)),"MISSING ID")</x:f>
        <x:v>Copper ore</x:v>
      </x:c>
      <x:c r="F127" s="4" t="str">
        <x:f>IFERROR(INDEX('Items'!$C$6:$C$1005,MATCH(D127,'Items'!$A$6:$A$1005,0)),"MISSING ID")</x:f>
        <x:v>T1</x:v>
      </x:c>
      <x:c r="G127" s="4" t="str">
        <x:f>IFERROR(INDEX('Items'!$D$6:$D$1005,MATCH(D127,'Items'!$A$6:$A$1005,0)),"MISSING ID")</x:f>
        <x:v>Mineral resources</x:v>
      </x:c>
      <x:c r="H127" s="4" t="str">
        <x:f>IFERROR(INDEX('Items'!$X$6:$X$1005,MATCH(D127,'Items'!$A$6:$A$1005,0)),"MISSING ID")</x:f>
        <x:v>Raw material</x:v>
      </x:c>
      <x:c r="I127" s="4"/>
      <x:c r="J127" s="4" t="str">
        <x:v>Unspecified</x:v>
      </x:c>
      <x:c r="K127" s="4" t="str">
        <x:f>IFERROR(INDEX('Crafting recipes'!$D$6:$D$1005,MATCH(B127,'Crafting recipes'!$A$6:$A$1005,0)),"MISSING ID")</x:f>
        <x:v>Concept outline</x:v>
      </x:c>
      <x:c r="L127" s="4" t="str">
        <x:f>IFERROR(INDEX('Items'!$AD$6:$AD$1005,MATCH(D127,'Items'!$A$6:$A$1005,0)),"MISSING ID")</x:f>
        <x:v>Author direction</x:v>
      </x:c>
      <x:c r="M127" s="4" t="str">
        <x:f>IFERROR(INDEX('Crafting recipes'!$E$6:$E$1005,MATCH(B127,'Crafting recipes'!$A$6:$A$1005,0)),"MISSING ID")</x:f>
        <x:v>Concept outline</x:v>
      </x:c>
      <x:c r="N127" s="4" t="str">
        <x:v>Output family from qualitative resource-chain outline; recipe and yield unresolved.</x:v>
      </x:c>
      <x:c r="O127" s="4" t="str">
        <x:v>https://www.nps.gov/deva/learn/nature/mining-in-death-valley.htm</x:v>
      </x:c>
      <x:c r="P127" s="4" t="n">
        <x:f>IF(OR(C127="Ingredient candidate",C127="Consumed input",C127="Contained input",C127="Transform input"),IF(F127="T0",0,IF(F127="T1",1,IF(F127="T2",2,IF(F127="T3",3,IF(F127="T4",4,-1))))),-1)</x:f>
        <x:v>-1</x:v>
      </x:c>
      <x:c r="Q127" s="4" t="n">
        <x:f>IF(AND(OR(C127="Ingredient candidate",C127="Consumed input",C127="Contained input",C127="Transform input"),P127=-1),1,0)</x:f>
        <x:v>0</x:v>
      </x:c>
    </x:row>
    <x:row r="128" ht="85" customHeight="1">
      <x:c r="A128" s="4" t="str">
        <x:v>outline.input.23</x:v>
      </x:c>
      <x:c r="B128" s="4" t="str">
        <x:v>outline.resource_chain.23</x:v>
      </x:c>
      <x:c r="C128" s="4" t="str">
        <x:v>Ingredient candidate</x:v>
      </x:c>
      <x:c r="D128" s="4" t="str">
        <x:v>proposal.natural.copper_ore</x:v>
      </x:c>
      <x:c r="E128" s="4" t="str">
        <x:f>IFERROR(INDEX('Items'!$B$6:$B$1005,MATCH(D128,'Items'!$A$6:$A$1005,0)),"MISSING ID")</x:f>
        <x:v>Copper ore</x:v>
      </x:c>
      <x:c r="F128" s="4" t="str">
        <x:f>IFERROR(INDEX('Items'!$C$6:$C$1005,MATCH(D128,'Items'!$A$6:$A$1005,0)),"MISSING ID")</x:f>
        <x:v>T1</x:v>
      </x:c>
      <x:c r="G128" s="4" t="str">
        <x:f>IFERROR(INDEX('Items'!$D$6:$D$1005,MATCH(D128,'Items'!$A$6:$A$1005,0)),"MISSING ID")</x:f>
        <x:v>Mineral resources</x:v>
      </x:c>
      <x:c r="H128" s="4" t="str">
        <x:f>IFERROR(INDEX('Items'!$X$6:$X$1005,MATCH(D128,'Items'!$A$6:$A$1005,0)),"MISSING ID")</x:f>
        <x:v>Raw material</x:v>
      </x:c>
      <x:c r="I128" s="4"/>
      <x:c r="J128" s="4" t="str">
        <x:v>Unspecified</x:v>
      </x:c>
      <x:c r="K128" s="4" t="str">
        <x:f>IFERROR(INDEX('Crafting recipes'!$D$6:$D$1005,MATCH(B128,'Crafting recipes'!$A$6:$A$1005,0)),"MISSING ID")</x:f>
        <x:v>Needs tier review</x:v>
      </x:c>
      <x:c r="L128" s="4" t="str">
        <x:f>IFERROR(INDEX('Items'!$AD$6:$AD$1005,MATCH(D128,'Items'!$A$6:$A$1005,0)),"MISSING ID")</x:f>
        <x:v>Author direction</x:v>
      </x:c>
      <x:c r="M128" s="4" t="str">
        <x:f>IFERROR(INDEX('Crafting recipes'!$E$6:$E$1005,MATCH(B128,'Crafting recipes'!$A$6:$A$1005,0)),"MISSING ID")</x:f>
        <x:v>Concept outline</x:v>
      </x:c>
      <x:c r="N128" s="4" t="str">
        <x:v>Unworked copper for manufacturing; No direct conversion rate or field-smelting recipe approved; New proposal</x:v>
      </x:c>
      <x:c r="O128" s="4" t="str">
        <x:v>https://www.nps.gov/deva/learn/nature/mining-in-death-valley.htm</x:v>
      </x:c>
      <x:c r="P128" s="4" t="n">
        <x:f>IF(OR(C128="Ingredient candidate",C128="Consumed input",C128="Contained input",C128="Transform input"),IF(F128="T0",0,IF(F128="T1",1,IF(F128="T2",2,IF(F128="T3",3,IF(F128="T4",4,-1))))),-1)</x:f>
        <x:v>1</x:v>
      </x:c>
      <x:c r="Q128" s="4" t="n">
        <x:f>IF(AND(OR(C128="Ingredient candidate",C128="Consumed input",C128="Contained input",C128="Transform input"),P128=-1),1,0)</x:f>
        <x:v>0</x:v>
      </x:c>
    </x:row>
    <x:row r="129" ht="85" customHeight="1">
      <x:c r="A129" s="4" t="str">
        <x:v>outline.output.23</x:v>
      </x:c>
      <x:c r="B129" s="4" t="str">
        <x:v>outline.resource_chain.23</x:v>
      </x:c>
      <x:c r="C129" s="4" t="str">
        <x:v>Output</x:v>
      </x:c>
      <x:c r="D129" s="4" t="str">
        <x:v>proposal.natural.raw_copper</x:v>
      </x:c>
      <x:c r="E129" s="4" t="str">
        <x:f>IFERROR(INDEX('Items'!$B$6:$B$1005,MATCH(D129,'Items'!$A$6:$A$1005,0)),"MISSING ID")</x:f>
        <x:v>Raw copper lump</x:v>
      </x:c>
      <x:c r="F129" s="4" t="str">
        <x:f>IFERROR(INDEX('Items'!$C$6:$C$1005,MATCH(D129,'Items'!$A$6:$A$1005,0)),"MISSING ID")</x:f>
        <x:v>T0</x:v>
      </x:c>
      <x:c r="G129" s="4" t="str">
        <x:f>IFERROR(INDEX('Items'!$D$6:$D$1005,MATCH(D129,'Items'!$A$6:$A$1005,0)),"MISSING ID")</x:f>
        <x:v>Mineral resources</x:v>
      </x:c>
      <x:c r="H129" s="4" t="str">
        <x:f>IFERROR(INDEX('Items'!$X$6:$X$1005,MATCH(D129,'Items'!$A$6:$A$1005,0)),"MISSING ID")</x:f>
        <x:v>Processed material</x:v>
      </x:c>
      <x:c r="I129" s="4"/>
      <x:c r="J129" s="4" t="str">
        <x:v>Unspecified</x:v>
      </x:c>
      <x:c r="K129" s="4" t="str">
        <x:f>IFERROR(INDEX('Crafting recipes'!$D$6:$D$1005,MATCH(B129,'Crafting recipes'!$A$6:$A$1005,0)),"MISSING ID")</x:f>
        <x:v>Needs tier review</x:v>
      </x:c>
      <x:c r="L129" s="4" t="str">
        <x:f>IFERROR(INDEX('Items'!$AD$6:$AD$1005,MATCH(D129,'Items'!$A$6:$A$1005,0)),"MISSING ID")</x:f>
        <x:v>Author direction</x:v>
      </x:c>
      <x:c r="M129" s="4" t="str">
        <x:f>IFERROR(INDEX('Crafting recipes'!$E$6:$E$1005,MATCH(B129,'Crafting recipes'!$A$6:$A$1005,0)),"MISSING ID")</x:f>
        <x:v>Concept outline</x:v>
      </x:c>
      <x:c r="N129" s="4" t="str">
        <x:v>Output family from qualitative resource-chain outline; recipe and yield unresolved.</x:v>
      </x:c>
      <x:c r="O129" s="4" t="str">
        <x:v>https://www.nps.gov/deva/learn/nature/mining-in-death-valley.htm</x:v>
      </x:c>
      <x:c r="P129" s="4" t="n">
        <x:f>IF(OR(C129="Ingredient candidate",C129="Consumed input",C129="Contained input",C129="Transform input"),IF(F129="T0",0,IF(F129="T1",1,IF(F129="T2",2,IF(F129="T3",3,IF(F129="T4",4,-1))))),-1)</x:f>
        <x:v>-1</x:v>
      </x:c>
      <x:c r="Q129" s="4" t="n">
        <x:f>IF(AND(OR(C129="Ingredient candidate",C129="Consumed input",C129="Contained input",C129="Transform input"),P129=-1),1,0)</x:f>
        <x:v>0</x:v>
      </x:c>
    </x:row>
    <x:row r="130" ht="85" customHeight="1">
      <x:c r="A130" s="4" t="str">
        <x:v>outline.input.24</x:v>
      </x:c>
      <x:c r="B130" s="4" t="str">
        <x:v>outline.resource_chain.24</x:v>
      </x:c>
      <x:c r="C130" s="4" t="str">
        <x:v>Ingredient candidate</x:v>
      </x:c>
      <x:c r="D130" s="4" t="str">
        <x:v>proposal.natural.magnesium_rock</x:v>
      </x:c>
      <x:c r="E130" s="4" t="str">
        <x:f>IFERROR(INDEX('Items'!$B$6:$B$1005,MATCH(D130,'Items'!$A$6:$A$1005,0)),"MISSING ID")</x:f>
        <x:v>Magnesium-bearing rock</x:v>
      </x:c>
      <x:c r="F130" s="4" t="str">
        <x:f>IFERROR(INDEX('Items'!$C$6:$C$1005,MATCH(D130,'Items'!$A$6:$A$1005,0)),"MISSING ID")</x:f>
        <x:v>T0</x:v>
      </x:c>
      <x:c r="G130" s="4" t="str">
        <x:f>IFERROR(INDEX('Items'!$D$6:$D$1005,MATCH(D130,'Items'!$A$6:$A$1005,0)),"MISSING ID")</x:f>
        <x:v>Mineral resources</x:v>
      </x:c>
      <x:c r="H130" s="4" t="str">
        <x:f>IFERROR(INDEX('Items'!$X$6:$X$1005,MATCH(D130,'Items'!$A$6:$A$1005,0)),"MISSING ID")</x:f>
        <x:v>Raw material</x:v>
      </x:c>
      <x:c r="I130" s="4"/>
      <x:c r="J130" s="4" t="str">
        <x:v>Unspecified</x:v>
      </x:c>
      <x:c r="K130" s="4" t="str">
        <x:f>IFERROR(INDEX('Crafting recipes'!$D$6:$D$1005,MATCH(B130,'Crafting recipes'!$A$6:$A$1005,0)),"MISSING ID")</x:f>
        <x:v>Needs tier review</x:v>
      </x:c>
      <x:c r="L130" s="4" t="str">
        <x:f>IFERROR(INDEX('Items'!$AD$6:$AD$1005,MATCH(D130,'Items'!$A$6:$A$1005,0)),"MISSING ID")</x:f>
        <x:v>Author direction</x:v>
      </x:c>
      <x:c r="M130" s="4" t="str">
        <x:f>IFERROR(INDEX('Crafting recipes'!$E$6:$E$1005,MATCH(B130,'Crafting recipes'!$A$6:$A$1005,0)),"MISSING ID")</x:f>
        <x:v>Concept outline</x:v>
      </x:c>
      <x:c r="N130" s="4" t="str">
        <x:v>Unworked metal for alloy research; Mineral occurrence does not establish native magnesium metal; New proposal</x:v>
      </x:c>
      <x:c r="O130" s="4" t="str">
        <x:v>https://pubs.usgs.gov/publication/70018701</x:v>
      </x:c>
      <x:c r="P130" s="4" t="n">
        <x:f>IF(OR(C130="Ingredient candidate",C130="Consumed input",C130="Contained input",C130="Transform input"),IF(F130="T0",0,IF(F130="T1",1,IF(F130="T2",2,IF(F130="T3",3,IF(F130="T4",4,-1))))),-1)</x:f>
        <x:v>0</x:v>
      </x:c>
      <x:c r="Q130" s="4" t="n">
        <x:f>IF(AND(OR(C130="Ingredient candidate",C130="Consumed input",C130="Contained input",C130="Transform input"),P130=-1),1,0)</x:f>
        <x:v>0</x:v>
      </x:c>
    </x:row>
    <x:row r="131" ht="85" customHeight="1">
      <x:c r="A131" s="4" t="str">
        <x:v>outline.output.24</x:v>
      </x:c>
      <x:c r="B131" s="4" t="str">
        <x:v>outline.resource_chain.24</x:v>
      </x:c>
      <x:c r="C131" s="4" t="str">
        <x:v>Output</x:v>
      </x:c>
      <x:c r="D131" s="4" t="str">
        <x:v>proposal.natural.raw_magnesium</x:v>
      </x:c>
      <x:c r="E131" s="4" t="str">
        <x:f>IFERROR(INDEX('Items'!$B$6:$B$1005,MATCH(D131,'Items'!$A$6:$A$1005,0)),"MISSING ID")</x:f>
        <x:v>Raw magnesium metal</x:v>
      </x:c>
      <x:c r="F131" s="4" t="str">
        <x:f>IFERROR(INDEX('Items'!$C$6:$C$1005,MATCH(D131,'Items'!$A$6:$A$1005,0)),"MISSING ID")</x:f>
        <x:v>T0</x:v>
      </x:c>
      <x:c r="G131" s="4" t="str">
        <x:f>IFERROR(INDEX('Items'!$D$6:$D$1005,MATCH(D131,'Items'!$A$6:$A$1005,0)),"MISSING ID")</x:f>
        <x:v>Mineral resources</x:v>
      </x:c>
      <x:c r="H131" s="4" t="str">
        <x:f>IFERROR(INDEX('Items'!$X$6:$X$1005,MATCH(D131,'Items'!$A$6:$A$1005,0)),"MISSING ID")</x:f>
        <x:v>Processed material</x:v>
      </x:c>
      <x:c r="I131" s="4"/>
      <x:c r="J131" s="4" t="str">
        <x:v>Unspecified</x:v>
      </x:c>
      <x:c r="K131" s="4" t="str">
        <x:f>IFERROR(INDEX('Crafting recipes'!$D$6:$D$1005,MATCH(B131,'Crafting recipes'!$A$6:$A$1005,0)),"MISSING ID")</x:f>
        <x:v>Needs tier review</x:v>
      </x:c>
      <x:c r="L131" s="4" t="str">
        <x:f>IFERROR(INDEX('Items'!$AD$6:$AD$1005,MATCH(D131,'Items'!$A$6:$A$1005,0)),"MISSING ID")</x:f>
        <x:v>Author direction</x:v>
      </x:c>
      <x:c r="M131" s="4" t="str">
        <x:f>IFERROR(INDEX('Crafting recipes'!$E$6:$E$1005,MATCH(B131,'Crafting recipes'!$A$6:$A$1005,0)),"MISSING ID")</x:f>
        <x:v>Concept outline</x:v>
      </x:c>
      <x:c r="N131" s="4" t="str">
        <x:v>Output family from qualitative resource-chain outline; recipe and yield unresolved.</x:v>
      </x:c>
      <x:c r="O131" s="4" t="str">
        <x:v>https://pubs.usgs.gov/publication/70018701</x:v>
      </x:c>
      <x:c r="P131" s="4" t="n">
        <x:f>IF(OR(C131="Ingredient candidate",C131="Consumed input",C131="Contained input",C131="Transform input"),IF(F131="T0",0,IF(F131="T1",1,IF(F131="T2",2,IF(F131="T3",3,IF(F131="T4",4,-1))))),-1)</x:f>
        <x:v>-1</x:v>
      </x:c>
      <x:c r="Q131" s="4" t="n">
        <x:f>IF(AND(OR(C131="Ingredient candidate",C131="Consumed input",C131="Contained input",C131="Transform input"),P131=-1),1,0)</x:f>
        <x:v>0</x:v>
      </x:c>
    </x:row>
    <x:row r="132" ht="85" customHeight="1">
      <x:c r="A132" s="4" t="str">
        <x:v>outline.input.25</x:v>
      </x:c>
      <x:c r="B132" s="4" t="str">
        <x:v>outline.resource_chain.25</x:v>
      </x:c>
      <x:c r="C132" s="4" t="str">
        <x:v>Ingredient candidate</x:v>
      </x:c>
      <x:c r="D132" s="4" t="str">
        <x:v>proposal.natural.hematite</x:v>
      </x:c>
      <x:c r="E132" s="4" t="str">
        <x:f>IFERROR(INDEX('Items'!$B$6:$B$1005,MATCH(D132,'Items'!$A$6:$A$1005,0)),"MISSING ID")</x:f>
        <x:v>Raw hematite</x:v>
      </x:c>
      <x:c r="F132" s="4" t="str">
        <x:f>IFERROR(INDEX('Items'!$C$6:$C$1005,MATCH(D132,'Items'!$A$6:$A$1005,0)),"MISSING ID")</x:f>
        <x:v>T0</x:v>
      </x:c>
      <x:c r="G132" s="4" t="str">
        <x:f>IFERROR(INDEX('Items'!$D$6:$D$1005,MATCH(D132,'Items'!$A$6:$A$1005,0)),"MISSING ID")</x:f>
        <x:v>Mineral resources</x:v>
      </x:c>
      <x:c r="H132" s="4" t="str">
        <x:f>IFERROR(INDEX('Items'!$X$6:$X$1005,MATCH(D132,'Items'!$A$6:$A$1005,0)),"MISSING ID")</x:f>
        <x:v>Raw material</x:v>
      </x:c>
      <x:c r="I132" s="4"/>
      <x:c r="J132" s="4" t="str">
        <x:v>Unspecified</x:v>
      </x:c>
      <x:c r="K132" s="4" t="str">
        <x:f>IFERROR(INDEX('Crafting recipes'!$D$6:$D$1005,MATCH(B132,'Crafting recipes'!$A$6:$A$1005,0)),"MISSING ID")</x:f>
        <x:v>Concept outline</x:v>
      </x:c>
      <x:c r="L132" s="4" t="str">
        <x:f>IFERROR(INDEX('Items'!$AD$6:$AD$1005,MATCH(D132,'Items'!$A$6:$A$1005,0)),"MISSING ID")</x:f>
        <x:v>Author direction</x:v>
      </x:c>
      <x:c r="M132" s="4" t="str">
        <x:f>IFERROR(INDEX('Crafting recipes'!$E$6:$E$1005,MATCH(B132,'Crafting recipes'!$A$6:$A$1005,0)),"MISSING ID")</x:f>
        <x:v>Concept outline</x:v>
      </x:c>
      <x:c r="N132" s="4" t="str">
        <x:v>Common iron-refining intermediate candidate; Hematite game entry user-requested; local occurrence not verified here; New proposal</x:v>
      </x:c>
      <x:c r="O132" s="4" t="str">
        <x:v>User direction, October 14, 2026</x:v>
      </x:c>
      <x:c r="P132" s="4" t="n">
        <x:f>IF(OR(C132="Ingredient candidate",C132="Consumed input",C132="Contained input",C132="Transform input"),IF(F132="T0",0,IF(F132="T1",1,IF(F132="T2",2,IF(F132="T3",3,IF(F132="T4",4,-1))))),-1)</x:f>
        <x:v>0</x:v>
      </x:c>
      <x:c r="Q132" s="4" t="n">
        <x:f>IF(AND(OR(C132="Ingredient candidate",C132="Consumed input",C132="Contained input",C132="Transform input"),P132=-1),1,0)</x:f>
        <x:v>0</x:v>
      </x:c>
    </x:row>
    <x:row r="133" ht="85" customHeight="1">
      <x:c r="A133" s="4" t="str">
        <x:v>outline.output.25</x:v>
      </x:c>
      <x:c r="B133" s="4" t="str">
        <x:v>outline.resource_chain.25</x:v>
      </x:c>
      <x:c r="C133" s="4" t="str">
        <x:v>Output</x:v>
      </x:c>
      <x:c r="D133" s="4" t="str">
        <x:v>proposal.natural.iron_feed</x:v>
      </x:c>
      <x:c r="E133" s="4" t="str">
        <x:f>IFERROR(INDEX('Items'!$B$6:$B$1005,MATCH(D133,'Items'!$A$6:$A$1005,0)),"MISSING ID")</x:f>
        <x:v>Iron-rich mineral feed</x:v>
      </x:c>
      <x:c r="F133" s="4" t="str">
        <x:f>IFERROR(INDEX('Items'!$C$6:$C$1005,MATCH(D133,'Items'!$A$6:$A$1005,0)),"MISSING ID")</x:f>
        <x:v>T1</x:v>
      </x:c>
      <x:c r="G133" s="4" t="str">
        <x:f>IFERROR(INDEX('Items'!$D$6:$D$1005,MATCH(D133,'Items'!$A$6:$A$1005,0)),"MISSING ID")</x:f>
        <x:v>Manufactured stock</x:v>
      </x:c>
      <x:c r="H133" s="4" t="str">
        <x:f>IFERROR(INDEX('Items'!$X$6:$X$1005,MATCH(D133,'Items'!$A$6:$A$1005,0)),"MISSING ID")</x:f>
        <x:v>Processed material</x:v>
      </x:c>
      <x:c r="I133" s="4"/>
      <x:c r="J133" s="4" t="str">
        <x:v>Unspecified</x:v>
      </x:c>
      <x:c r="K133" s="4" t="str">
        <x:f>IFERROR(INDEX('Crafting recipes'!$D$6:$D$1005,MATCH(B133,'Crafting recipes'!$A$6:$A$1005,0)),"MISSING ID")</x:f>
        <x:v>Concept outline</x:v>
      </x:c>
      <x:c r="L133" s="4" t="str">
        <x:f>IFERROR(INDEX('Items'!$AD$6:$AD$1005,MATCH(D133,'Items'!$A$6:$A$1005,0)),"MISSING ID")</x:f>
        <x:v>Proposal</x:v>
      </x:c>
      <x:c r="M133" s="4" t="str">
        <x:f>IFERROR(INDEX('Crafting recipes'!$E$6:$E$1005,MATCH(B133,'Crafting recipes'!$A$6:$A$1005,0)),"MISSING ID")</x:f>
        <x:v>Concept outline</x:v>
      </x:c>
      <x:c r="N133" s="4" t="str">
        <x:v>Output family from qualitative resource-chain outline; recipe and yield unresolved.</x:v>
      </x:c>
      <x:c r="O133" s="4" t="str">
        <x:v>User direction, October 14, 2026</x:v>
      </x:c>
      <x:c r="P133" s="4" t="n">
        <x:f>IF(OR(C133="Ingredient candidate",C133="Consumed input",C133="Contained input",C133="Transform input"),IF(F133="T0",0,IF(F133="T1",1,IF(F133="T2",2,IF(F133="T3",3,IF(F133="T4",4,-1))))),-1)</x:f>
        <x:v>-1</x:v>
      </x:c>
      <x:c r="Q133" s="4" t="n">
        <x:f>IF(AND(OR(C133="Ingredient candidate",C133="Consumed input",C133="Contained input",C133="Transform input"),P133=-1),1,0)</x:f>
        <x:v>0</x:v>
      </x:c>
    </x:row>
    <x:row r="134" ht="85" customHeight="1">
      <x:c r="A134" s="4" t="str">
        <x:v>outline.input.26</x:v>
      </x:c>
      <x:c r="B134" s="4" t="str">
        <x:v>outline.resource_chain.26</x:v>
      </x:c>
      <x:c r="C134" s="4" t="str">
        <x:v>Ingredient candidate</x:v>
      </x:c>
      <x:c r="D134" s="4" t="str">
        <x:v>proposal.bio.tendon</x:v>
      </x:c>
      <x:c r="E134" s="4" t="str">
        <x:f>IFERROR(INDEX('Items'!$B$6:$B$1005,MATCH(D134,'Items'!$A$6:$A$1005,0)),"MISSING ID")</x:f>
        <x:v>Dried tendon bundles</x:v>
      </x:c>
      <x:c r="F134" s="4" t="str">
        <x:f>IFERROR(INDEX('Items'!$C$6:$C$1005,MATCH(D134,'Items'!$A$6:$A$1005,0)),"MISSING ID")</x:f>
        <x:v>T0</x:v>
      </x:c>
      <x:c r="G134" s="4" t="str">
        <x:f>IFERROR(INDEX('Items'!$D$6:$D$1005,MATCH(D134,'Items'!$A$6:$A$1005,0)),"MISSING ID")</x:f>
        <x:v>Biological resources</x:v>
      </x:c>
      <x:c r="H134" s="4" t="str">
        <x:f>IFERROR(INDEX('Items'!$X$6:$X$1005,MATCH(D134,'Items'!$A$6:$A$1005,0)),"MISSING ID")</x:f>
        <x:v>Raw material</x:v>
      </x:c>
      <x:c r="I134" s="4"/>
      <x:c r="J134" s="4" t="str">
        <x:v>Unspecified</x:v>
      </x:c>
      <x:c r="K134" s="4" t="str">
        <x:f>IFERROR(INDEX('Crafting recipes'!$D$6:$D$1005,MATCH(B134,'Crafting recipes'!$A$6:$A$1005,0)),"MISSING ID")</x:f>
        <x:v>Concept outline</x:v>
      </x:c>
      <x:c r="L134" s="4" t="str">
        <x:f>IFERROR(INDEX('Items'!$AD$6:$AD$1005,MATCH(D134,'Items'!$A$6:$A$1005,0)),"MISSING ID")</x:f>
        <x:v>Proposal</x:v>
      </x:c>
      <x:c r="M134" s="4" t="str">
        <x:f>IFERROR(INDEX('Crafting recipes'!$E$6:$E$1005,MATCH(B134,'Crafting recipes'!$A$6:$A$1005,0)),"MISSING ID")</x:f>
        <x:v>Concept outline</x:v>
      </x:c>
      <x:c r="N134" s="4" t="str">
        <x:v>Fuel from non-wood biological material; Illustrative pathway only; consumes valuable biomass; source/yield and ecology unapproved; New proposal</x:v>
      </x:c>
      <x:c r="O134" s="4" t="str">
        <x:v>https://www.nps.gov/deva/learn/historyculture/charcoalkilns.htm; game feedstock is a new proposal</x:v>
      </x:c>
      <x:c r="P134" s="4" t="n">
        <x:f>IF(OR(C134="Ingredient candidate",C134="Consumed input",C134="Contained input",C134="Transform input"),IF(F134="T0",0,IF(F134="T1",1,IF(F134="T2",2,IF(F134="T3",3,IF(F134="T4",4,-1))))),-1)</x:f>
        <x:v>0</x:v>
      </x:c>
      <x:c r="Q134" s="4" t="n">
        <x:f>IF(AND(OR(C134="Ingredient candidate",C134="Consumed input",C134="Contained input",C134="Transform input"),P134=-1),1,0)</x:f>
        <x:v>0</x:v>
      </x:c>
    </x:row>
    <x:row r="135" ht="85" customHeight="1">
      <x:c r="A135" s="4" t="str">
        <x:v>outline.output.26</x:v>
      </x:c>
      <x:c r="B135" s="4" t="str">
        <x:v>outline.resource_chain.26</x:v>
      </x:c>
      <x:c r="C135" s="4" t="str">
        <x:v>Output</x:v>
      </x:c>
      <x:c r="D135" s="4" t="str">
        <x:v>proposal.natural.charcoal</x:v>
      </x:c>
      <x:c r="E135" s="4" t="str">
        <x:f>IFERROR(INDEX('Items'!$B$6:$B$1005,MATCH(D135,'Items'!$A$6:$A$1005,0)),"MISSING ID")</x:f>
        <x:v>Charcoal</x:v>
      </x:c>
      <x:c r="F135" s="4" t="str">
        <x:f>IFERROR(INDEX('Items'!$C$6:$C$1005,MATCH(D135,'Items'!$A$6:$A$1005,0)),"MISSING ID")</x:f>
        <x:v>T1</x:v>
      </x:c>
      <x:c r="G135" s="4" t="str">
        <x:f>IFERROR(INDEX('Items'!$D$6:$D$1005,MATCH(D135,'Items'!$A$6:$A$1005,0)),"MISSING ID")</x:f>
        <x:v>Manufactured stock</x:v>
      </x:c>
      <x:c r="H135" s="4" t="str">
        <x:f>IFERROR(INDEX('Items'!$X$6:$X$1005,MATCH(D135,'Items'!$A$6:$A$1005,0)),"MISSING ID")</x:f>
        <x:v>Processed material</x:v>
      </x:c>
      <x:c r="I135" s="4"/>
      <x:c r="J135" s="4" t="str">
        <x:v>Unspecified</x:v>
      </x:c>
      <x:c r="K135" s="4" t="str">
        <x:f>IFERROR(INDEX('Crafting recipes'!$D$6:$D$1005,MATCH(B135,'Crafting recipes'!$A$6:$A$1005,0)),"MISSING ID")</x:f>
        <x:v>Concept outline</x:v>
      </x:c>
      <x:c r="L135" s="4" t="str">
        <x:f>IFERROR(INDEX('Items'!$AD$6:$AD$1005,MATCH(D135,'Items'!$A$6:$A$1005,0)),"MISSING ID")</x:f>
        <x:v>Author direction</x:v>
      </x:c>
      <x:c r="M135" s="4" t="str">
        <x:f>IFERROR(INDEX('Crafting recipes'!$E$6:$E$1005,MATCH(B135,'Crafting recipes'!$A$6:$A$1005,0)),"MISSING ID")</x:f>
        <x:v>Concept outline</x:v>
      </x:c>
      <x:c r="N135" s="4" t="str">
        <x:v>Output family from qualitative resource-chain outline; recipe and yield unresolved.</x:v>
      </x:c>
      <x:c r="O135" s="4" t="str">
        <x:v>https://www.nps.gov/deva/learn/historyculture/charcoalkilns.htm; game feedstock is a new proposal</x:v>
      </x:c>
      <x:c r="P135" s="4" t="n">
        <x:f>IF(OR(C135="Ingredient candidate",C135="Consumed input",C135="Contained input",C135="Transform input"),IF(F135="T0",0,IF(F135="T1",1,IF(F135="T2",2,IF(F135="T3",3,IF(F135="T4",4,-1))))),-1)</x:f>
        <x:v>-1</x:v>
      </x:c>
      <x:c r="Q135" s="4" t="n">
        <x:f>IF(AND(OR(C135="Ingredient candidate",C135="Consumed input",C135="Contained input",C135="Transform input"),P135=-1),1,0)</x:f>
        <x:v>0</x:v>
      </x:c>
    </x:row>
    <x:row r="136" ht="85" customHeight="1">
      <x:c r="A136" s="4"/>
      <x:c r="B136" s="4"/>
      <x:c r="C136" s="4"/>
      <x:c r="D136" s="4"/>
      <x:c r="E136" s="4"/>
      <x:c r="F136" s="4"/>
      <x:c r="G136" s="4"/>
      <x:c r="H136" s="4"/>
      <x:c r="I136" s="4"/>
      <x:c r="J136" s="4"/>
      <x:c r="K136" s="4"/>
      <x:c r="L136" s="4"/>
      <x:c r="M136" s="4"/>
      <x:c r="N136" s="4"/>
      <x:c r="O136" s="4"/>
      <x:c r="P136" s="4"/>
      <x:c r="Q136" s="4"/>
    </x:row>
    <x:row r="137" ht="85" customHeight="1">
      <x:c r="A137" s="4"/>
      <x:c r="B137" s="4"/>
      <x:c r="C137" s="4"/>
      <x:c r="D137" s="4"/>
      <x:c r="E137" s="4"/>
      <x:c r="F137" s="4"/>
      <x:c r="G137" s="4"/>
      <x:c r="H137" s="4"/>
      <x:c r="I137" s="4"/>
      <x:c r="J137" s="4"/>
      <x:c r="K137" s="4"/>
      <x:c r="L137" s="4"/>
      <x:c r="M137" s="4"/>
      <x:c r="N137" s="4"/>
      <x:c r="O137" s="4"/>
      <x:c r="P137" s="4"/>
      <x:c r="Q137" s="4"/>
    </x:row>
    <x:row r="138" ht="85" customHeight="1">
      <x:c r="A138" s="4" t="str">
        <x:v>outline.input.28</x:v>
      </x:c>
      <x:c r="B138" s="4" t="str">
        <x:v>outline.resource_chain.28</x:v>
      </x:c>
      <x:c r="C138" s="4" t="str">
        <x:v>Ingredient candidate</x:v>
      </x:c>
      <x:c r="D138" s="4" t="str">
        <x:v>proposal.bio.shell</x:v>
      </x:c>
      <x:c r="E138" s="4" t="str">
        <x:f>IFERROR(INDEX('Items'!$B$6:$B$1005,MATCH(D138,'Items'!$A$6:$A$1005,0)),"MISSING ID")</x:f>
        <x:v>Shell husks / shed plates</x:v>
      </x:c>
      <x:c r="F138" s="4" t="str">
        <x:f>IFERROR(INDEX('Items'!$C$6:$C$1005,MATCH(D138,'Items'!$A$6:$A$1005,0)),"MISSING ID")</x:f>
        <x:v>T0</x:v>
      </x:c>
      <x:c r="G138" s="4" t="str">
        <x:f>IFERROR(INDEX('Items'!$D$6:$D$1005,MATCH(D138,'Items'!$A$6:$A$1005,0)),"MISSING ID")</x:f>
        <x:v>Biological resources</x:v>
      </x:c>
      <x:c r="H138" s="4" t="str">
        <x:f>IFERROR(INDEX('Items'!$X$6:$X$1005,MATCH(D138,'Items'!$A$6:$A$1005,0)),"MISSING ID")</x:f>
        <x:v>Raw material</x:v>
      </x:c>
      <x:c r="I138" s="4"/>
      <x:c r="J138" s="4" t="str">
        <x:v>Unspecified</x:v>
      </x:c>
      <x:c r="K138" s="4" t="str">
        <x:f>IFERROR(INDEX('Crafting recipes'!$D$6:$D$1005,MATCH(B138,'Crafting recipes'!$A$6:$A$1005,0)),"MISSING ID")</x:f>
        <x:v>Concept outline</x:v>
      </x:c>
      <x:c r="L138" s="4" t="str">
        <x:f>IFERROR(INDEX('Items'!$AD$6:$AD$1005,MATCH(D138,'Items'!$A$6:$A$1005,0)),"MISSING ID")</x:f>
        <x:v>Author direction</x:v>
      </x:c>
      <x:c r="M138" s="4" t="str">
        <x:f>IFERROR(INDEX('Crafting recipes'!$E$6:$E$1005,MATCH(B138,'Crafting recipes'!$A$6:$A$1005,0)),"MISSING ID")</x:f>
        <x:v>Concept outline</x:v>
      </x:c>
      <x:c r="N138" s="4" t="str">
        <x:v>Abundant raw chitin fiber feed; Scraping rate, tools and actual collectible yield unapproved; User direction; not implemented</x:v>
      </x:c>
      <x:c r="O138" s="4" t="str">
        <x:v>Docs/WORLD_BASIS.md#material-culture; author direction October 14, 2026. Process details and specific product forms remain unimplemented.</x:v>
      </x:c>
      <x:c r="P138" s="4" t="n">
        <x:f>IF(OR(C138="Ingredient candidate",C138="Consumed input",C138="Contained input",C138="Transform input"),IF(F138="T0",0,IF(F138="T1",1,IF(F138="T2",2,IF(F138="T3",3,IF(F138="T4",4,-1))))),-1)</x:f>
        <x:v>0</x:v>
      </x:c>
      <x:c r="Q138" s="4" t="n">
        <x:f>IF(AND(OR(C138="Ingredient candidate",C138="Consumed input",C138="Contained input",C138="Transform input"),P138=-1),1,0)</x:f>
        <x:v>0</x:v>
      </x:c>
    </x:row>
    <x:row r="139" ht="85" customHeight="1">
      <x:c r="A139" s="4" t="str">
        <x:v>outline.output.28</x:v>
      </x:c>
      <x:c r="B139" s="4" t="str">
        <x:v>outline.resource_chain.28</x:v>
      </x:c>
      <x:c r="C139" s="4" t="str">
        <x:v>Output</x:v>
      </x:c>
      <x:c r="D139" s="4" t="str">
        <x:v>proposal.bio.chitin_fibers</x:v>
      </x:c>
      <x:c r="E139" s="4" t="str">
        <x:f>IFERROR(INDEX('Items'!$B$6:$B$1005,MATCH(D139,'Items'!$A$6:$A$1005,0)),"MISSING ID")</x:f>
        <x:v>Scraped chitin fibers</x:v>
      </x:c>
      <x:c r="F139" s="4" t="str">
        <x:f>IFERROR(INDEX('Items'!$C$6:$C$1005,MATCH(D139,'Items'!$A$6:$A$1005,0)),"MISSING ID")</x:f>
        <x:v>T0</x:v>
      </x:c>
      <x:c r="G139" s="4" t="str">
        <x:f>IFERROR(INDEX('Items'!$D$6:$D$1005,MATCH(D139,'Items'!$A$6:$A$1005,0)),"MISSING ID")</x:f>
        <x:v>Biological resources</x:v>
      </x:c>
      <x:c r="H139" s="4" t="str">
        <x:f>IFERROR(INDEX('Items'!$X$6:$X$1005,MATCH(D139,'Items'!$A$6:$A$1005,0)),"MISSING ID")</x:f>
        <x:v>Raw material</x:v>
      </x:c>
      <x:c r="I139" s="4"/>
      <x:c r="J139" s="4" t="str">
        <x:v>Unspecified</x:v>
      </x:c>
      <x:c r="K139" s="4" t="str">
        <x:f>IFERROR(INDEX('Crafting recipes'!$D$6:$D$1005,MATCH(B139,'Crafting recipes'!$A$6:$A$1005,0)),"MISSING ID")</x:f>
        <x:v>Concept outline</x:v>
      </x:c>
      <x:c r="L139" s="4" t="str">
        <x:f>IFERROR(INDEX('Items'!$AD$6:$AD$1005,MATCH(D139,'Items'!$A$6:$A$1005,0)),"MISSING ID")</x:f>
        <x:v>Author direction</x:v>
      </x:c>
      <x:c r="M139" s="4" t="str">
        <x:f>IFERROR(INDEX('Crafting recipes'!$E$6:$E$1005,MATCH(B139,'Crafting recipes'!$A$6:$A$1005,0)),"MISSING ID")</x:f>
        <x:v>Concept outline</x:v>
      </x:c>
      <x:c r="N139" s="4" t="str">
        <x:v>Output family from qualitative resource-chain outline; recipe and yield unresolved.</x:v>
      </x:c>
      <x:c r="O139" s="4" t="str">
        <x:v>Docs/WORLD_BASIS.md#material-culture; author direction October 14, 2026. Process details and specific product forms remain unimplemented.</x:v>
      </x:c>
      <x:c r="P139" s="4" t="n">
        <x:f>IF(OR(C139="Ingredient candidate",C139="Consumed input",C139="Contained input",C139="Transform input"),IF(F139="T0",0,IF(F139="T1",1,IF(F139="T2",2,IF(F139="T3",3,IF(F139="T4",4,-1))))),-1)</x:f>
        <x:v>-1</x:v>
      </x:c>
      <x:c r="Q139" s="4" t="n">
        <x:f>IF(AND(OR(C139="Ingredient candidate",C139="Consumed input",C139="Contained input",C139="Transform input"),P139=-1),1,0)</x:f>
        <x:v>0</x:v>
      </x:c>
    </x:row>
    <x:row r="140" ht="85" customHeight="1">
      <x:c r="A140" s="4" t="str">
        <x:v>outline.input.29</x:v>
      </x:c>
      <x:c r="B140" s="4" t="str">
        <x:v>outline.resource_chain.29</x:v>
      </x:c>
      <x:c r="C140" s="4" t="str">
        <x:v>Ingredient candidate</x:v>
      </x:c>
      <x:c r="D140" s="4" t="str">
        <x:v>proposal.bio.shell</x:v>
      </x:c>
      <x:c r="E140" s="4" t="str">
        <x:f>IFERROR(INDEX('Items'!$B$6:$B$1005,MATCH(D140,'Items'!$A$6:$A$1005,0)),"MISSING ID")</x:f>
        <x:v>Shell husks / shed plates</x:v>
      </x:c>
      <x:c r="F140" s="4" t="str">
        <x:f>IFERROR(INDEX('Items'!$C$6:$C$1005,MATCH(D140,'Items'!$A$6:$A$1005,0)),"MISSING ID")</x:f>
        <x:v>T0</x:v>
      </x:c>
      <x:c r="G140" s="4" t="str">
        <x:f>IFERROR(INDEX('Items'!$D$6:$D$1005,MATCH(D140,'Items'!$A$6:$A$1005,0)),"MISSING ID")</x:f>
        <x:v>Biological resources</x:v>
      </x:c>
      <x:c r="H140" s="4" t="str">
        <x:f>IFERROR(INDEX('Items'!$X$6:$X$1005,MATCH(D140,'Items'!$A$6:$A$1005,0)),"MISSING ID")</x:f>
        <x:v>Raw material</x:v>
      </x:c>
      <x:c r="I140" s="4"/>
      <x:c r="J140" s="4" t="str">
        <x:v>Unspecified</x:v>
      </x:c>
      <x:c r="K140" s="4" t="str">
        <x:f>IFERROR(INDEX('Crafting recipes'!$D$6:$D$1005,MATCH(B140,'Crafting recipes'!$A$6:$A$1005,0)),"MISSING ID")</x:f>
        <x:v>Concept outline</x:v>
      </x:c>
      <x:c r="L140" s="4" t="str">
        <x:f>IFERROR(INDEX('Items'!$AD$6:$AD$1005,MATCH(D140,'Items'!$A$6:$A$1005,0)),"MISSING ID")</x:f>
        <x:v>Author direction</x:v>
      </x:c>
      <x:c r="M140" s="4" t="str">
        <x:f>IFERROR(INDEX('Crafting recipes'!$E$6:$E$1005,MATCH(B140,'Crafting recipes'!$A$6:$A$1005,0)),"MISSING ID")</x:f>
        <x:v>Concept outline</x:v>
      </x:c>
      <x:c r="N140" s="4" t="str">
        <x:v>Abundant raw icore fiber feed; Icore composition undefined; no invented special properties; User direction; not implemented</x:v>
      </x:c>
      <x:c r="O140" s="4" t="str">
        <x:v>Docs/WORLD_BASIS.md#material-culture; author direction October 14, 2026. Process details and specific product forms remain unimplemented.</x:v>
      </x:c>
      <x:c r="P140" s="4" t="n">
        <x:f>IF(OR(C140="Ingredient candidate",C140="Consumed input",C140="Contained input",C140="Transform input"),IF(F140="T0",0,IF(F140="T1",1,IF(F140="T2",2,IF(F140="T3",3,IF(F140="T4",4,-1))))),-1)</x:f>
        <x:v>0</x:v>
      </x:c>
      <x:c r="Q140" s="4" t="n">
        <x:f>IF(AND(OR(C140="Ingredient candidate",C140="Consumed input",C140="Contained input",C140="Transform input"),P140=-1),1,0)</x:f>
        <x:v>0</x:v>
      </x:c>
    </x:row>
    <x:row r="141" ht="85" customHeight="1">
      <x:c r="A141" s="4" t="str">
        <x:v>outline.output.29</x:v>
      </x:c>
      <x:c r="B141" s="4" t="str">
        <x:v>outline.resource_chain.29</x:v>
      </x:c>
      <x:c r="C141" s="4" t="str">
        <x:v>Output</x:v>
      </x:c>
      <x:c r="D141" s="4" t="str">
        <x:v>proposal.bio.icore_fibers</x:v>
      </x:c>
      <x:c r="E141" s="4" t="str">
        <x:f>IFERROR(INDEX('Items'!$B$6:$B$1005,MATCH(D141,'Items'!$A$6:$A$1005,0)),"MISSING ID")</x:f>
        <x:v>Scraped icore fibers</x:v>
      </x:c>
      <x:c r="F141" s="4" t="str">
        <x:f>IFERROR(INDEX('Items'!$C$6:$C$1005,MATCH(D141,'Items'!$A$6:$A$1005,0)),"MISSING ID")</x:f>
        <x:v>T0</x:v>
      </x:c>
      <x:c r="G141" s="4" t="str">
        <x:f>IFERROR(INDEX('Items'!$D$6:$D$1005,MATCH(D141,'Items'!$A$6:$A$1005,0)),"MISSING ID")</x:f>
        <x:v>Biological resources</x:v>
      </x:c>
      <x:c r="H141" s="4" t="str">
        <x:f>IFERROR(INDEX('Items'!$X$6:$X$1005,MATCH(D141,'Items'!$A$6:$A$1005,0)),"MISSING ID")</x:f>
        <x:v>Raw material</x:v>
      </x:c>
      <x:c r="I141" s="4"/>
      <x:c r="J141" s="4" t="str">
        <x:v>Unspecified</x:v>
      </x:c>
      <x:c r="K141" s="4" t="str">
        <x:f>IFERROR(INDEX('Crafting recipes'!$D$6:$D$1005,MATCH(B141,'Crafting recipes'!$A$6:$A$1005,0)),"MISSING ID")</x:f>
        <x:v>Concept outline</x:v>
      </x:c>
      <x:c r="L141" s="4" t="str">
        <x:f>IFERROR(INDEX('Items'!$AD$6:$AD$1005,MATCH(D141,'Items'!$A$6:$A$1005,0)),"MISSING ID")</x:f>
        <x:v>Author direction</x:v>
      </x:c>
      <x:c r="M141" s="4" t="str">
        <x:f>IFERROR(INDEX('Crafting recipes'!$E$6:$E$1005,MATCH(B141,'Crafting recipes'!$A$6:$A$1005,0)),"MISSING ID")</x:f>
        <x:v>Concept outline</x:v>
      </x:c>
      <x:c r="N141" s="4" t="str">
        <x:v>Output family from qualitative resource-chain outline; recipe and yield unresolved.</x:v>
      </x:c>
      <x:c r="O141" s="4" t="str">
        <x:v>Docs/WORLD_BASIS.md#material-culture; author direction October 14, 2026. Process details and specific product forms remain unimplemented.</x:v>
      </x:c>
      <x:c r="P141" s="4" t="n">
        <x:f>IF(OR(C141="Ingredient candidate",C141="Consumed input",C141="Contained input",C141="Transform input"),IF(F141="T0",0,IF(F141="T1",1,IF(F141="T2",2,IF(F141="T3",3,IF(F141="T4",4,-1))))),-1)</x:f>
        <x:v>-1</x:v>
      </x:c>
      <x:c r="Q141" s="4" t="n">
        <x:f>IF(AND(OR(C141="Ingredient candidate",C141="Consumed input",C141="Contained input",C141="Transform input"),P141=-1),1,0)</x:f>
        <x:v>0</x:v>
      </x:c>
    </x:row>
    <x:row r="142" ht="85" customHeight="1">
      <x:c r="A142" s="4"/>
      <x:c r="B142" s="4"/>
      <x:c r="C142" s="4"/>
      <x:c r="D142" s="4"/>
      <x:c r="E142" s="4"/>
      <x:c r="F142" s="4"/>
      <x:c r="G142" s="4"/>
      <x:c r="H142" s="4"/>
      <x:c r="I142" s="4"/>
      <x:c r="J142" s="4"/>
      <x:c r="K142" s="4"/>
      <x:c r="L142" s="4"/>
      <x:c r="M142" s="4"/>
      <x:c r="N142" s="4"/>
      <x:c r="O142" s="4"/>
      <x:c r="P142" s="4"/>
      <x:c r="Q142" s="4"/>
    </x:row>
    <x:row r="143" ht="85" customHeight="1">
      <x:c r="A143" s="4"/>
      <x:c r="B143" s="4"/>
      <x:c r="C143" s="4"/>
      <x:c r="D143" s="4"/>
      <x:c r="E143" s="4"/>
      <x:c r="F143" s="4"/>
      <x:c r="G143" s="4"/>
      <x:c r="H143" s="4"/>
      <x:c r="I143" s="4"/>
      <x:c r="J143" s="4"/>
      <x:c r="K143" s="4"/>
      <x:c r="L143" s="4"/>
      <x:c r="M143" s="4"/>
      <x:c r="N143" s="4"/>
      <x:c r="O143" s="4"/>
      <x:c r="P143" s="4"/>
      <x:c r="Q143" s="4"/>
    </x:row>
    <x:row r="144" ht="85" customHeight="1">
      <x:c r="A144" s="4"/>
      <x:c r="B144" s="4"/>
      <x:c r="C144" s="4"/>
      <x:c r="D144" s="4"/>
      <x:c r="E144" s="4"/>
      <x:c r="F144" s="4"/>
      <x:c r="G144" s="4"/>
      <x:c r="H144" s="4"/>
      <x:c r="I144" s="4"/>
      <x:c r="J144" s="4"/>
      <x:c r="K144" s="4"/>
      <x:c r="L144" s="4"/>
      <x:c r="M144" s="4"/>
      <x:c r="N144" s="4"/>
      <x:c r="O144" s="4"/>
      <x:c r="P144" s="4"/>
      <x:c r="Q144" s="4"/>
    </x:row>
    <x:row r="145" ht="85" customHeight="1">
      <x:c r="A145" s="4"/>
      <x:c r="B145" s="4"/>
      <x:c r="C145" s="4"/>
      <x:c r="D145" s="4"/>
      <x:c r="E145" s="4"/>
      <x:c r="F145" s="4"/>
      <x:c r="G145" s="4"/>
      <x:c r="H145" s="4"/>
      <x:c r="I145" s="4"/>
      <x:c r="J145" s="4"/>
      <x:c r="K145" s="4"/>
      <x:c r="L145" s="4"/>
      <x:c r="M145" s="4"/>
      <x:c r="N145" s="4"/>
      <x:c r="O145" s="4"/>
      <x:c r="P145" s="4"/>
      <x:c r="Q145" s="4"/>
    </x:row>
    <x:row r="146" ht="85" customHeight="1">
      <x:c r="A146" s="4" t="str">
        <x:v>outline.input.32</x:v>
      </x:c>
      <x:c r="B146" s="4" t="str">
        <x:v>outline.resource_chain.32</x:v>
      </x:c>
      <x:c r="C146" s="4" t="str">
        <x:v>Ingredient candidate</x:v>
      </x:c>
      <x:c r="D146" s="4" t="str">
        <x:v>proposal.bio.chitin_fibers</x:v>
      </x:c>
      <x:c r="E146" s="4" t="str">
        <x:f>IFERROR(INDEX('Items'!$B$6:$B$1005,MATCH(D146,'Items'!$A$6:$A$1005,0)),"MISSING ID")</x:f>
        <x:v>Scraped chitin fibers</x:v>
      </x:c>
      <x:c r="F146" s="4" t="str">
        <x:f>IFERROR(INDEX('Items'!$C$6:$C$1005,MATCH(D146,'Items'!$A$6:$A$1005,0)),"MISSING ID")</x:f>
        <x:v>T0</x:v>
      </x:c>
      <x:c r="G146" s="4" t="str">
        <x:f>IFERROR(INDEX('Items'!$D$6:$D$1005,MATCH(D146,'Items'!$A$6:$A$1005,0)),"MISSING ID")</x:f>
        <x:v>Biological resources</x:v>
      </x:c>
      <x:c r="H146" s="4" t="str">
        <x:f>IFERROR(INDEX('Items'!$X$6:$X$1005,MATCH(D146,'Items'!$A$6:$A$1005,0)),"MISSING ID")</x:f>
        <x:v>Raw material</x:v>
      </x:c>
      <x:c r="I146" s="4"/>
      <x:c r="J146" s="4" t="str">
        <x:v>Unspecified</x:v>
      </x:c>
      <x:c r="K146" s="4" t="str">
        <x:f>IFERROR(INDEX('Crafting recipes'!$D$6:$D$1005,MATCH(B146,'Crafting recipes'!$A$6:$A$1005,0)),"MISSING ID")</x:f>
        <x:v>Concept outline</x:v>
      </x:c>
      <x:c r="L146" s="4" t="str">
        <x:f>IFERROR(INDEX('Items'!$AD$6:$AD$1005,MATCH(D146,'Items'!$A$6:$A$1005,0)),"MISSING ID")</x:f>
        <x:v>Author direction</x:v>
      </x:c>
      <x:c r="M146" s="4" t="str">
        <x:f>IFERROR(INDEX('Crafting recipes'!$E$6:$E$1005,MATCH(B146,'Crafting recipes'!$A$6:$A$1005,0)),"MISSING ID")</x:f>
        <x:v>Concept outline</x:v>
      </x:c>
      <x:c r="N146" s="4" t="str">
        <x:v>Pressed textile material; Very difficult; no cloth; exact recipe and product properties unresolved; User direction; not implemented</x:v>
      </x:c>
      <x:c r="O146" s="4" t="str">
        <x:v>Docs/WORLD_BASIS.md#material-culture; author direction October 14, 2026. Process details and specific product forms remain unimplemented.</x:v>
      </x:c>
      <x:c r="P146" s="4" t="n">
        <x:f>IF(OR(C146="Ingredient candidate",C146="Consumed input",C146="Contained input",C146="Transform input"),IF(F146="T0",0,IF(F146="T1",1,IF(F146="T2",2,IF(F146="T3",3,IF(F146="T4",4,-1))))),-1)</x:f>
        <x:v>0</x:v>
      </x:c>
      <x:c r="Q146" s="4" t="n">
        <x:f>IF(AND(OR(C146="Ingredient candidate",C146="Consumed input",C146="Contained input",C146="Transform input"),P146=-1),1,0)</x:f>
        <x:v>0</x:v>
      </x:c>
    </x:row>
    <x:row r="147" ht="85" customHeight="1">
      <x:c r="A147" s="4" t="str">
        <x:v>outline.output.32</x:v>
      </x:c>
      <x:c r="B147" s="4" t="str">
        <x:v>outline.resource_chain.32</x:v>
      </x:c>
      <x:c r="C147" s="4" t="str">
        <x:v>Output</x:v>
      </x:c>
      <x:c r="D147" s="4" t="str">
        <x:v>proposal.bio.pressed_husk</x:v>
      </x:c>
      <x:c r="E147" s="4" t="str">
        <x:f>IFERROR(INDEX('Items'!$B$6:$B$1005,MATCH(D147,'Items'!$A$6:$A$1005,0)),"MISSING ID")</x:f>
        <x:v>Pressed husk-fiber textile material</x:v>
      </x:c>
      <x:c r="F147" s="4" t="str">
        <x:f>IFERROR(INDEX('Items'!$C$6:$C$1005,MATCH(D147,'Items'!$A$6:$A$1005,0)),"MISSING ID")</x:f>
        <x:v>T1</x:v>
      </x:c>
      <x:c r="G147" s="4" t="str">
        <x:f>IFERROR(INDEX('Items'!$D$6:$D$1005,MATCH(D147,'Items'!$A$6:$A$1005,0)),"MISSING ID")</x:f>
        <x:v>Crafting components</x:v>
      </x:c>
      <x:c r="H147" s="4" t="str">
        <x:f>IFERROR(INDEX('Items'!$X$6:$X$1005,MATCH(D147,'Items'!$A$6:$A$1005,0)),"MISSING ID")</x:f>
        <x:v>Processed material</x:v>
      </x:c>
      <x:c r="I147" s="4"/>
      <x:c r="J147" s="4" t="str">
        <x:v>Unspecified</x:v>
      </x:c>
      <x:c r="K147" s="4" t="str">
        <x:f>IFERROR(INDEX('Crafting recipes'!$D$6:$D$1005,MATCH(B147,'Crafting recipes'!$A$6:$A$1005,0)),"MISSING ID")</x:f>
        <x:v>Concept outline</x:v>
      </x:c>
      <x:c r="L147" s="4" t="str">
        <x:f>IFERROR(INDEX('Items'!$AD$6:$AD$1005,MATCH(D147,'Items'!$A$6:$A$1005,0)),"MISSING ID")</x:f>
        <x:v>Author direction</x:v>
      </x:c>
      <x:c r="M147" s="4" t="str">
        <x:f>IFERROR(INDEX('Crafting recipes'!$E$6:$E$1005,MATCH(B147,'Crafting recipes'!$A$6:$A$1005,0)),"MISSING ID")</x:f>
        <x:v>Concept outline</x:v>
      </x:c>
      <x:c r="N147" s="4" t="str">
        <x:v>Output family from qualitative resource-chain outline; recipe and yield unresolved.</x:v>
      </x:c>
      <x:c r="O147" s="4" t="str">
        <x:v>Docs/WORLD_BASIS.md#material-culture; author direction October 14, 2026. Process details and specific product forms remain unimplemented.</x:v>
      </x:c>
      <x:c r="P147" s="4" t="n">
        <x:f>IF(OR(C147="Ingredient candidate",C147="Consumed input",C147="Contained input",C147="Transform input"),IF(F147="T0",0,IF(F147="T1",1,IF(F147="T2",2,IF(F147="T3",3,IF(F147="T4",4,-1))))),-1)</x:f>
        <x:v>-1</x:v>
      </x:c>
      <x:c r="Q147" s="4" t="n">
        <x:f>IF(AND(OR(C147="Ingredient candidate",C147="Consumed input",C147="Contained input",C147="Transform input"),P147=-1),1,0)</x:f>
        <x:v>0</x:v>
      </x:c>
    </x:row>
    <x:row r="148" ht="85" customHeight="1">
      <x:c r="A148" s="4"/>
      <x:c r="B148" s="4"/>
      <x:c r="C148" s="4"/>
      <x:c r="D148" s="4"/>
      <x:c r="E148" s="4"/>
      <x:c r="F148" s="4"/>
      <x:c r="G148" s="4"/>
      <x:c r="H148" s="4"/>
      <x:c r="I148" s="4"/>
      <x:c r="J148" s="4"/>
      <x:c r="K148" s="4"/>
      <x:c r="L148" s="4"/>
      <x:c r="M148" s="4"/>
      <x:c r="N148" s="4"/>
      <x:c r="O148" s="4"/>
      <x:c r="P148" s="4"/>
      <x:c r="Q148" s="4"/>
    </x:row>
    <x:row r="149" ht="85" customHeight="1">
      <x:c r="A149" s="4"/>
      <x:c r="B149" s="4"/>
      <x:c r="C149" s="4"/>
      <x:c r="D149" s="4"/>
      <x:c r="E149" s="4"/>
      <x:c r="F149" s="4"/>
      <x:c r="G149" s="4"/>
      <x:c r="H149" s="4"/>
      <x:c r="I149" s="4"/>
      <x:c r="J149" s="4"/>
      <x:c r="K149" s="4"/>
      <x:c r="L149" s="4"/>
      <x:c r="M149" s="4"/>
      <x:c r="N149" s="4"/>
      <x:c r="O149" s="4"/>
      <x:c r="P149" s="4"/>
      <x:c r="Q149" s="4"/>
    </x:row>
    <x:row r="150" ht="85" customHeight="1">
      <x:c r="A150" s="4" t="str">
        <x:v>finished.input.shell_armor</x:v>
      </x:c>
      <x:c r="B150" s="4" t="str">
        <x:v>design.finished.shell_armor</x:v>
      </x:c>
      <x:c r="C150" s="4" t="str">
        <x:v>Ingredient candidate</x:v>
      </x:c>
      <x:c r="D150" s="4" t="str">
        <x:v>proposal.bio.laminate</x:v>
      </x:c>
      <x:c r="E150" s="4" t="str">
        <x:f>IFERROR(INDEX('Items'!$B$6:$B$1005,MATCH(D150,'Items'!$A$6:$A$1005,0)),"MISSING ID")</x:f>
        <x:v>Shell laminate</x:v>
      </x:c>
      <x:c r="F150" s="4" t="str">
        <x:f>IFERROR(INDEX('Items'!$C$6:$C$1005,MATCH(D150,'Items'!$A$6:$A$1005,0)),"MISSING ID")</x:f>
        <x:v>T2</x:v>
      </x:c>
      <x:c r="G150" s="4" t="str">
        <x:f>IFERROR(INDEX('Items'!$D$6:$D$1005,MATCH(D150,'Items'!$A$6:$A$1005,0)),"MISSING ID")</x:f>
        <x:v>Crafting components</x:v>
      </x:c>
      <x:c r="H150" s="4" t="str">
        <x:f>IFERROR(INDEX('Items'!$X$6:$X$1005,MATCH(D150,'Items'!$A$6:$A$1005,0)),"MISSING ID")</x:f>
        <x:v>Crafting component</x:v>
      </x:c>
      <x:c r="I150" s="4"/>
      <x:c r="J150" s="4" t="str">
        <x:v>Unspecified</x:v>
      </x:c>
      <x:c r="K150" s="4" t="str">
        <x:f>IFERROR(INDEX('Crafting recipes'!$D$6:$D$1005,MATCH(B150,'Crafting recipes'!$A$6:$A$1005,0)),"MISSING ID")</x:f>
        <x:v>Proposal</x:v>
      </x:c>
      <x:c r="L150" s="4" t="str">
        <x:f>IFERROR(INDEX('Items'!$AD$6:$AD$1005,MATCH(D150,'Items'!$A$6:$A$1005,0)),"MISSING ID")</x:f>
        <x:v>Proposal</x:v>
      </x:c>
      <x:c r="M150" s="4" t="str">
        <x:f>IFERROR(INDEX('Crafting recipes'!$E$6:$E$1005,MATCH(B150,'Crafting recipes'!$A$6:$A$1005,0)),"MISSING ID")</x:f>
        <x:v>Partial proposal</x:v>
      </x:c>
      <x:c r="N150" s="4" t="str">
        <x:v>Candidate material contribution; not a complete ingredient list.</x:v>
      </x:c>
      <x:c r="O150" s="4" t="str">
        <x:v>New game recipe proposal</x:v>
      </x:c>
      <x:c r="P150" s="4" t="n">
        <x:f>IF(OR(C150="Ingredient candidate",C150="Consumed input",C150="Contained input",C150="Transform input"),IF(F150="T0",0,IF(F150="T1",1,IF(F150="T2",2,IF(F150="T3",3,IF(F150="T4",4,-1))))),-1)</x:f>
        <x:v>2</x:v>
      </x:c>
      <x:c r="Q150" s="4" t="n">
        <x:f>IF(AND(OR(C150="Ingredient candidate",C150="Consumed input",C150="Contained input",C150="Transform input"),P150=-1),1,0)</x:f>
        <x:v>0</x:v>
      </x:c>
    </x:row>
    <x:row r="151" ht="85" customHeight="1">
      <x:c r="A151" s="4" t="str">
        <x:v>finished.output.shell_armor</x:v>
      </x:c>
      <x:c r="B151" s="4" t="str">
        <x:v>design.finished.shell_armor</x:v>
      </x:c>
      <x:c r="C151" s="4" t="str">
        <x:v>Output</x:v>
      </x:c>
      <x:c r="D151" s="4" t="str">
        <x:v>proposal.gear.chest_armor</x:v>
      </x:c>
      <x:c r="E151" s="4" t="str">
        <x:f>IFERROR(INDEX('Items'!$B$6:$B$1005,MATCH(D151,'Items'!$A$6:$A$1005,0)),"MISSING ID")</x:f>
        <x:v>Iron chestplate</x:v>
      </x:c>
      <x:c r="F151" s="4" t="str">
        <x:f>IFERROR(INDEX('Items'!$C$6:$C$1005,MATCH(D151,'Items'!$A$6:$A$1005,0)),"MISSING ID")</x:f>
        <x:v>Not applicable</x:v>
      </x:c>
      <x:c r="G151" s="4" t="str">
        <x:f>IFERROR(INDEX('Items'!$D$6:$D$1005,MATCH(D151,'Items'!$A$6:$A$1005,0)),"MISSING ID")</x:f>
        <x:v>Armor</x:v>
      </x:c>
      <x:c r="H151" s="4" t="str">
        <x:f>IFERROR(INDEX('Items'!$X$6:$X$1005,MATCH(D151,'Items'!$A$6:$A$1005,0)),"MISSING ID")</x:f>
        <x:v>Armor</x:v>
      </x:c>
      <x:c r="I151" s="4"/>
      <x:c r="J151" s="4" t="str">
        <x:v>Unspecified</x:v>
      </x:c>
      <x:c r="K151" s="4" t="str">
        <x:f>IFERROR(INDEX('Crafting recipes'!$D$6:$D$1005,MATCH(B151,'Crafting recipes'!$A$6:$A$1005,0)),"MISSING ID")</x:f>
        <x:v>Proposal</x:v>
      </x:c>
      <x:c r="L151" s="4" t="str">
        <x:f>IFERROR(INDEX('Items'!$AD$6:$AD$1005,MATCH(D151,'Items'!$A$6:$A$1005,0)),"MISSING ID")</x:f>
        <x:v>Author direction</x:v>
      </x:c>
      <x:c r="M151" s="4" t="str">
        <x:f>IFERROR(INDEX('Crafting recipes'!$E$6:$E$1005,MATCH(B151,'Crafting recipes'!$A$6:$A$1005,0)),"MISSING ID")</x:f>
        <x:v>Partial proposal</x:v>
      </x:c>
      <x:c r="N151" s="4" t="str">
        <x:v>Finished endpoint; it does not require a T4 ladder.</x:v>
      </x:c>
      <x:c r="O151" s="4" t="str">
        <x:v>New game recipe proposal</x:v>
      </x:c>
      <x:c r="P151" s="4" t="n">
        <x:f>IF(OR(C151="Ingredient candidate",C151="Consumed input",C151="Contained input",C151="Transform input"),IF(F151="T0",0,IF(F151="T1",1,IF(F151="T2",2,IF(F151="T3",3,IF(F151="T4",4,-1))))),-1)</x:f>
        <x:v>-1</x:v>
      </x:c>
      <x:c r="Q151" s="4" t="n">
        <x:f>IF(AND(OR(C151="Ingredient candidate",C151="Consumed input",C151="Contained input",C151="Transform input"),P151=-1),1,0)</x:f>
        <x:v>0</x:v>
      </x:c>
    </x:row>
    <x:row r="152" ht="85" customHeight="1">
      <x:c r="A152" s="4" t="str">
        <x:v>finished.input.ceramic_bowl</x:v>
      </x:c>
      <x:c r="B152" s="4" t="str">
        <x:v>design.finished.ceramic_bowl</x:v>
      </x:c>
      <x:c r="C152" s="4" t="str">
        <x:v>Ingredient candidate</x:v>
      </x:c>
      <x:c r="D152" s="4" t="str">
        <x:v>proposal.ceramic.body_feed</x:v>
      </x:c>
      <x:c r="E152" s="4" t="str">
        <x:f>IFERROR(INDEX('Items'!$B$6:$B$1005,MATCH(D152,'Items'!$A$6:$A$1005,0)),"MISSING ID")</x:f>
        <x:v>Prepared ceramic body feed</x:v>
      </x:c>
      <x:c r="F152" s="4" t="str">
        <x:f>IFERROR(INDEX('Items'!$C$6:$C$1005,MATCH(D152,'Items'!$A$6:$A$1005,0)),"MISSING ID")</x:f>
        <x:v>T1</x:v>
      </x:c>
      <x:c r="G152" s="4" t="str">
        <x:f>IFERROR(INDEX('Items'!$D$6:$D$1005,MATCH(D152,'Items'!$A$6:$A$1005,0)),"MISSING ID")</x:f>
        <x:v>Manufactured stock</x:v>
      </x:c>
      <x:c r="H152" s="4" t="str">
        <x:f>IFERROR(INDEX('Items'!$X$6:$X$1005,MATCH(D152,'Items'!$A$6:$A$1005,0)),"MISSING ID")</x:f>
        <x:v>Processed material</x:v>
      </x:c>
      <x:c r="I152" s="4"/>
      <x:c r="J152" s="4" t="str">
        <x:v>Unspecified</x:v>
      </x:c>
      <x:c r="K152" s="4" t="str">
        <x:f>IFERROR(INDEX('Crafting recipes'!$D$6:$D$1005,MATCH(B152,'Crafting recipes'!$A$6:$A$1005,0)),"MISSING ID")</x:f>
        <x:v>Proposal</x:v>
      </x:c>
      <x:c r="L152" s="4" t="str">
        <x:f>IFERROR(INDEX('Items'!$AD$6:$AD$1005,MATCH(D152,'Items'!$A$6:$A$1005,0)),"MISSING ID")</x:f>
        <x:v>Proposal</x:v>
      </x:c>
      <x:c r="M152" s="4" t="str">
        <x:f>IFERROR(INDEX('Crafting recipes'!$E$6:$E$1005,MATCH(B152,'Crafting recipes'!$A$6:$A$1005,0)),"MISSING ID")</x:f>
        <x:v>Partial proposal</x:v>
      </x:c>
      <x:c r="N152" s="4" t="str">
        <x:v>Candidate material contribution; not a complete ingredient list.</x:v>
      </x:c>
      <x:c r="O152" s="4" t="str">
        <x:v>New game recipe proposal</x:v>
      </x:c>
      <x:c r="P152" s="4" t="n">
        <x:f>IF(OR(C152="Ingredient candidate",C152="Consumed input",C152="Contained input",C152="Transform input"),IF(F152="T0",0,IF(F152="T1",1,IF(F152="T2",2,IF(F152="T3",3,IF(F152="T4",4,-1))))),-1)</x:f>
        <x:v>1</x:v>
      </x:c>
      <x:c r="Q152" s="4" t="n">
        <x:f>IF(AND(OR(C152="Ingredient candidate",C152="Consumed input",C152="Contained input",C152="Transform input"),P152=-1),1,0)</x:f>
        <x:v>0</x:v>
      </x:c>
    </x:row>
    <x:row r="153" ht="85" customHeight="1">
      <x:c r="A153" s="4" t="str">
        <x:v>finished.output.ceramic_bowl</x:v>
      </x:c>
      <x:c r="B153" s="4" t="str">
        <x:v>design.finished.ceramic_bowl</x:v>
      </x:c>
      <x:c r="C153" s="4" t="str">
        <x:v>Output</x:v>
      </x:c>
      <x:c r="D153" s="4" t="str">
        <x:v>proposal.ceramic.bowl</x:v>
      </x:c>
      <x:c r="E153" s="4" t="str">
        <x:f>IFERROR(INDEX('Items'!$B$6:$B$1005,MATCH(D153,'Items'!$A$6:$A$1005,0)),"MISSING ID")</x:f>
        <x:v>Plain ceramic eating bowl</x:v>
      </x:c>
      <x:c r="F153" s="4" t="str">
        <x:f>IFERROR(INDEX('Items'!$C$6:$C$1005,MATCH(D153,'Items'!$A$6:$A$1005,0)),"MISSING ID")</x:f>
        <x:v>Not applicable</x:v>
      </x:c>
      <x:c r="G153" s="4" t="str">
        <x:f>IFERROR(INDEX('Items'!$D$6:$D$1005,MATCH(D153,'Items'!$A$6:$A$1005,0)),"MISSING ID")</x:f>
        <x:v>Salvage</x:v>
      </x:c>
      <x:c r="H153" s="4" t="str">
        <x:f>IFERROR(INDEX('Items'!$X$6:$X$1005,MATCH(D153,'Items'!$A$6:$A$1005,0)),"MISSING ID")</x:f>
        <x:v>Household utensil</x:v>
      </x:c>
      <x:c r="I153" s="4"/>
      <x:c r="J153" s="4" t="str">
        <x:v>Unspecified</x:v>
      </x:c>
      <x:c r="K153" s="4" t="str">
        <x:f>IFERROR(INDEX('Crafting recipes'!$D$6:$D$1005,MATCH(B153,'Crafting recipes'!$A$6:$A$1005,0)),"MISSING ID")</x:f>
        <x:v>Proposal</x:v>
      </x:c>
      <x:c r="L153" s="4" t="str">
        <x:f>IFERROR(INDEX('Items'!$AD$6:$AD$1005,MATCH(D153,'Items'!$A$6:$A$1005,0)),"MISSING ID")</x:f>
        <x:v>Proposal</x:v>
      </x:c>
      <x:c r="M153" s="4" t="str">
        <x:f>IFERROR(INDEX('Crafting recipes'!$E$6:$E$1005,MATCH(B153,'Crafting recipes'!$A$6:$A$1005,0)),"MISSING ID")</x:f>
        <x:v>Partial proposal</x:v>
      </x:c>
      <x:c r="N153" s="4" t="str">
        <x:v>Finished endpoint; it does not require a T4 ladder.</x:v>
      </x:c>
      <x:c r="O153" s="4" t="str">
        <x:v>New game recipe proposal</x:v>
      </x:c>
      <x:c r="P153" s="4" t="n">
        <x:f>IF(OR(C153="Ingredient candidate",C153="Consumed input",C153="Contained input",C153="Transform input"),IF(F153="T0",0,IF(F153="T1",1,IF(F153="T2",2,IF(F153="T3",3,IF(F153="T4",4,-1))))),-1)</x:f>
        <x:v>-1</x:v>
      </x:c>
      <x:c r="Q153" s="4" t="n">
        <x:f>IF(AND(OR(C153="Ingredient candidate",C153="Consumed input",C153="Contained input",C153="Transform input"),P153=-1),1,0)</x:f>
        <x:v>0</x:v>
      </x:c>
    </x:row>
    <x:row r="154" ht="85" customHeight="1">
      <x:c r="A154" s="4"/>
      <x:c r="B154" s="4"/>
      <x:c r="C154" s="4"/>
      <x:c r="D154" s="4"/>
      <x:c r="E154" s="4"/>
      <x:c r="F154" s="4"/>
      <x:c r="G154" s="4"/>
      <x:c r="H154" s="4"/>
      <x:c r="I154" s="4"/>
      <x:c r="K154" s="4"/>
      <x:c r="L154" s="4"/>
      <x:c r="M154" s="4"/>
      <x:c r="N154" s="4"/>
      <x:c r="O154" s="4"/>
      <x:c r="P154" s="4"/>
      <x:c r="Q154" s="4"/>
    </x:row>
    <x:row r="155" ht="85" customHeight="1">
      <x:c r="A155" s="4"/>
      <x:c r="B155" s="4"/>
      <x:c r="C155" s="4"/>
      <x:c r="D155" s="4"/>
      <x:c r="E155" s="4"/>
      <x:c r="F155" s="4"/>
      <x:c r="G155" s="4"/>
      <x:c r="H155" s="4"/>
      <x:c r="I155" s="4"/>
      <x:c r="K155" s="4"/>
      <x:c r="L155" s="4"/>
      <x:c r="M155" s="4"/>
      <x:c r="N155" s="4"/>
      <x:c r="O155" s="4"/>
      <x:c r="P155" s="4"/>
      <x:c r="Q155" s="4"/>
    </x:row>
    <x:row r="156" ht="85" customHeight="1">
      <x:c r="A156" s="4"/>
      <x:c r="B156" s="4"/>
      <x:c r="C156" s="4"/>
      <x:c r="D156" s="4"/>
      <x:c r="E156" s="4"/>
      <x:c r="F156" s="4"/>
      <x:c r="G156" s="4"/>
      <x:c r="H156" s="4"/>
      <x:c r="I156" s="4"/>
      <x:c r="K156" s="4"/>
      <x:c r="L156" s="4"/>
      <x:c r="M156" s="4"/>
      <x:c r="N156" s="4"/>
      <x:c r="O156" s="4"/>
      <x:c r="P156" s="4"/>
      <x:c r="Q156" s="4"/>
    </x:row>
    <x:row r="157" ht="105" customHeight="1">
      <x:c r="A157" s="4"/>
      <x:c r="B157" s="4"/>
      <x:c r="C157" s="4"/>
      <x:c r="D157" s="4"/>
      <x:c r="E157" s="4"/>
      <x:c r="F157" s="4"/>
      <x:c r="G157" s="4"/>
      <x:c r="H157" s="4"/>
      <x:c r="I157" s="4"/>
      <x:c r="J157" s="4"/>
      <x:c r="K157" s="4"/>
      <x:c r="L157" s="4"/>
      <x:c r="M157" s="4"/>
      <x:c r="N157" s="4"/>
      <x:c r="O157" s="4"/>
      <x:c r="P157" s="4"/>
      <x:c r="Q157" s="4"/>
    </x:row>
    <x:row r="158" ht="105" customHeight="1">
      <x:c r="A158" s="4"/>
      <x:c r="B158" s="4"/>
      <x:c r="C158" s="4"/>
      <x:c r="D158" s="4"/>
      <x:c r="E158" s="4"/>
      <x:c r="F158" s="4"/>
      <x:c r="G158" s="4"/>
      <x:c r="H158" s="4"/>
      <x:c r="I158" s="4"/>
      <x:c r="J158" s="4"/>
      <x:c r="K158" s="4"/>
      <x:c r="L158" s="4"/>
      <x:c r="M158" s="4"/>
      <x:c r="N158" s="4"/>
      <x:c r="O158" s="4"/>
      <x:c r="P158" s="4"/>
      <x:c r="Q158" s="4"/>
    </x:row>
    <x:row r="159" ht="105" customHeight="1">
      <x:c r="A159" s="4"/>
      <x:c r="B159" s="4"/>
      <x:c r="C159" s="4"/>
      <x:c r="D159" s="4"/>
      <x:c r="E159" s="4"/>
      <x:c r="F159" s="4"/>
      <x:c r="G159" s="4"/>
      <x:c r="H159" s="4"/>
      <x:c r="I159" s="4"/>
      <x:c r="J159" s="4"/>
      <x:c r="K159" s="4"/>
      <x:c r="L159" s="4"/>
      <x:c r="M159" s="4"/>
      <x:c r="N159" s="4"/>
      <x:c r="O159" s="4"/>
      <x:c r="P159" s="4"/>
      <x:c r="Q159" s="4"/>
    </x:row>
    <x:row r="160" ht="105" customHeight="1">
      <x:c r="A160" s="4" t="str">
        <x:v>design.branch.branch.refractory_feed.in.1</x:v>
      </x:c>
      <x:c r="B160" s="4" t="str">
        <x:v>design.branch.branch.refractory_feed</x:v>
      </x:c>
      <x:c r="C160" s="4" t="str">
        <x:v>Ingredient candidate</x:v>
      </x:c>
      <x:c r="D160" s="4" t="str">
        <x:v>proposal.natural.alumina</x:v>
      </x:c>
      <x:c r="E160" s="4" t="str">
        <x:f>IFERROR(INDEX('Items'!$B$6:$B$1005,MATCH(D160,'Items'!$A$6:$A$1005,0)),"MISSING ID")</x:f>
        <x:v>Alumina-rich rock</x:v>
      </x:c>
      <x:c r="F160" s="4" t="str">
        <x:f>IFERROR(INDEX('Items'!$C$6:$C$1005,MATCH(D160,'Items'!$A$6:$A$1005,0)),"MISSING ID")</x:f>
        <x:v>T0</x:v>
      </x:c>
      <x:c r="G160" s="4" t="str">
        <x:f>IFERROR(INDEX('Items'!$D$6:$D$1005,MATCH(D160,'Items'!$A$6:$A$1005,0)),"MISSING ID")</x:f>
        <x:v>Mineral resources</x:v>
      </x:c>
      <x:c r="H160" s="4" t="str">
        <x:f>IFERROR(INDEX('Items'!$X$6:$X$1005,MATCH(D160,'Items'!$A$6:$A$1005,0)),"MISSING ID")</x:f>
        <x:v>Raw material</x:v>
      </x:c>
      <x:c r="I160" s="4"/>
      <x:c r="J160" s="4" t="str">
        <x:v>Unspecified</x:v>
      </x:c>
      <x:c r="K160" s="4" t="str">
        <x:f>IFERROR(INDEX('Crafting recipes'!$D$6:$D$1005,MATCH(B160,'Crafting recipes'!$A$6:$A$1005,0)),"MISSING ID")</x:f>
        <x:v>Proposal</x:v>
      </x:c>
      <x:c r="L160" s="4" t="str">
        <x:f>IFERROR(INDEX('Items'!$AD$6:$AD$1005,MATCH(D160,'Items'!$A$6:$A$1005,0)),"MISSING ID")</x:f>
        <x:v>Proposal</x:v>
      </x:c>
      <x:c r="M160" s="4" t="str">
        <x:f>IFERROR(INDEX('Crafting recipes'!$E$6:$E$1005,MATCH(B160,'Crafting recipes'!$A$6:$A$1005,0)),"MISSING ID")</x:f>
        <x:v>Partial proposal</x:v>
      </x:c>
      <x:c r="N160" s="4" t="str">
        <x:v>Candidate consumed material contribution; incomplete recipe. No temperature rating or universally suitable alumina composition assigned.</x:v>
      </x:c>
      <x:c r="O160" s="4" t="str">
        <x:v>New game brainstorming, October 15, 2026.</x:v>
      </x:c>
      <x:c r="P160" s="4" t="n">
        <x:f>IF(OR(C160="Ingredient candidate",C160="Consumed input",C160="Contained input",C160="Transform input"),IF(F160="T0",0,IF(F160="T1",1,IF(F160="T2",2,IF(F160="T3",3,IF(F160="T4",4,-1))))),-1)</x:f>
        <x:v>0</x:v>
      </x:c>
      <x:c r="Q160" s="4" t="n">
        <x:f>IF(AND(OR(C160="Ingredient candidate",C160="Consumed input",C160="Contained input",C160="Transform input"),P160=-1),1,0)</x:f>
        <x:v>0</x:v>
      </x:c>
    </x:row>
    <x:row r="161" ht="105" customHeight="1">
      <x:c r="A161" s="4" t="str">
        <x:v>design.branch.branch.refractory_feed.out</x:v>
      </x:c>
      <x:c r="B161" s="4" t="str">
        <x:v>design.branch.branch.refractory_feed</x:v>
      </x:c>
      <x:c r="C161" s="4" t="str">
        <x:v>Output</x:v>
      </x:c>
      <x:c r="D161" s="4" t="str">
        <x:v>proposal.branch.refractory_feed</x:v>
      </x:c>
      <x:c r="E161" s="4" t="str">
        <x:f>IFERROR(INDEX('Items'!$B$6:$B$1005,MATCH(D161,'Items'!$A$6:$A$1005,0)),"MISSING ID")</x:f>
        <x:v>Graded refractory mineral feed</x:v>
      </x:c>
      <x:c r="F161" s="4" t="str">
        <x:f>IFERROR(INDEX('Items'!$C$6:$C$1005,MATCH(D161,'Items'!$A$6:$A$1005,0)),"MISSING ID")</x:f>
        <x:v>T1</x:v>
      </x:c>
      <x:c r="G161" s="4" t="str">
        <x:f>IFERROR(INDEX('Items'!$D$6:$D$1005,MATCH(D161,'Items'!$A$6:$A$1005,0)),"MISSING ID")</x:f>
        <x:v>Manufactured stock</x:v>
      </x:c>
      <x:c r="H161" s="4" t="str">
        <x:f>IFERROR(INDEX('Items'!$X$6:$X$1005,MATCH(D161,'Items'!$A$6:$A$1005,0)),"MISSING ID")</x:f>
        <x:v>Processed material</x:v>
      </x:c>
      <x:c r="I161" s="4"/>
      <x:c r="J161" s="4" t="str">
        <x:v>Unspecified</x:v>
      </x:c>
      <x:c r="K161" s="4" t="str">
        <x:f>IFERROR(INDEX('Crafting recipes'!$D$6:$D$1005,MATCH(B161,'Crafting recipes'!$A$6:$A$1005,0)),"MISSING ID")</x:f>
        <x:v>Proposal</x:v>
      </x:c>
      <x:c r="L161" s="4" t="str">
        <x:f>IFERROR(INDEX('Items'!$AD$6:$AD$1005,MATCH(D161,'Items'!$A$6:$A$1005,0)),"MISSING ID")</x:f>
        <x:v>Proposal</x:v>
      </x:c>
      <x:c r="M161" s="4" t="str">
        <x:f>IFERROR(INDEX('Crafting recipes'!$E$6:$E$1005,MATCH(B161,'Crafting recipes'!$A$6:$A$1005,0)),"MISSING ID")</x:f>
        <x:v>Partial proposal</x:v>
      </x:c>
      <x:c r="N161" s="4" t="str">
        <x:v>Proposed output; quantity/yield and qualification remain undefined. No temperature rating or universally suitable alumina composition assigned.</x:v>
      </x:c>
      <x:c r="O161" s="4" t="str">
        <x:v>New game brainstorming, October 15, 2026.</x:v>
      </x:c>
      <x:c r="P161" s="4" t="n">
        <x:f>IF(OR(C161="Ingredient candidate",C161="Consumed input",C161="Contained input",C161="Transform input"),IF(F161="T0",0,IF(F161="T1",1,IF(F161="T2",2,IF(F161="T3",3,IF(F161="T4",4,-1))))),-1)</x:f>
        <x:v>-1</x:v>
      </x:c>
      <x:c r="Q161" s="4" t="n">
        <x:f>IF(AND(OR(C161="Ingredient candidate",C161="Consumed input",C161="Contained input",C161="Transform input"),P161=-1),1,0)</x:f>
        <x:v>0</x:v>
      </x:c>
    </x:row>
    <x:row r="162" ht="105" customHeight="1">
      <x:c r="A162" s="4"/>
      <x:c r="B162" s="4"/>
      <x:c r="C162" s="4"/>
      <x:c r="D162" s="4"/>
      <x:c r="E162" s="4"/>
      <x:c r="F162" s="4"/>
      <x:c r="G162" s="4"/>
      <x:c r="H162" s="4"/>
      <x:c r="I162" s="4"/>
      <x:c r="J162" s="4"/>
      <x:c r="K162" s="4"/>
      <x:c r="L162" s="4"/>
      <x:c r="M162" s="4"/>
      <x:c r="N162" s="4"/>
      <x:c r="O162" s="4"/>
      <x:c r="P162" s="4"/>
      <x:c r="Q162" s="4"/>
    </x:row>
    <x:row r="163" ht="105" customHeight="1">
      <x:c r="A163" s="4"/>
      <x:c r="B163" s="4"/>
      <x:c r="C163" s="4"/>
      <x:c r="D163" s="4"/>
      <x:c r="E163" s="4"/>
      <x:c r="F163" s="4"/>
      <x:c r="G163" s="4"/>
      <x:c r="H163" s="4"/>
      <x:c r="I163" s="4"/>
      <x:c r="J163" s="4"/>
      <x:c r="K163" s="4"/>
      <x:c r="L163" s="4"/>
      <x:c r="M163" s="4"/>
      <x:c r="N163" s="4"/>
      <x:c r="O163" s="4"/>
      <x:c r="P163" s="4"/>
      <x:c r="Q163" s="4"/>
    </x:row>
    <x:row r="164" ht="105" customHeight="1">
      <x:c r="A164" s="4" t="str">
        <x:v>design.branch.branch.flex_binder.in.1</x:v>
      </x:c>
      <x:c r="B164" s="4" t="str">
        <x:v>design.branch.branch.flex_binder</x:v>
      </x:c>
      <x:c r="C164" s="4" t="str">
        <x:v>Ingredient candidate</x:v>
      </x:c>
      <x:c r="D164" s="4" t="str">
        <x:v>proposal.branch.elastic_secretion</x:v>
      </x:c>
      <x:c r="E164" s="4" t="str">
        <x:f>IFERROR(INDEX('Items'!$B$6:$B$1005,MATCH(D164,'Items'!$A$6:$A$1005,0)),"MISSING ID")</x:f>
        <x:v>Elastic-joint secretion</x:v>
      </x:c>
      <x:c r="F164" s="4" t="str">
        <x:f>IFERROR(INDEX('Items'!$C$6:$C$1005,MATCH(D164,'Items'!$A$6:$A$1005,0)),"MISSING ID")</x:f>
        <x:v>T0</x:v>
      </x:c>
      <x:c r="G164" s="4" t="str">
        <x:f>IFERROR(INDEX('Items'!$D$6:$D$1005,MATCH(D164,'Items'!$A$6:$A$1005,0)),"MISSING ID")</x:f>
        <x:v>Biological resources</x:v>
      </x:c>
      <x:c r="H164" s="4" t="str">
        <x:f>IFERROR(INDEX('Items'!$X$6:$X$1005,MATCH(D164,'Items'!$A$6:$A$1005,0)),"MISSING ID")</x:f>
        <x:v>Chemical material</x:v>
      </x:c>
      <x:c r="I164" s="4"/>
      <x:c r="J164" s="4" t="str">
        <x:v>Unspecified</x:v>
      </x:c>
      <x:c r="K164" s="4" t="str">
        <x:f>IFERROR(INDEX('Crafting recipes'!$D$6:$D$1005,MATCH(B164,'Crafting recipes'!$A$6:$A$1005,0)),"MISSING ID")</x:f>
        <x:v>Proposal</x:v>
      </x:c>
      <x:c r="L164" s="4" t="str">
        <x:f>IFERROR(INDEX('Items'!$AD$6:$AD$1005,MATCH(D164,'Items'!$A$6:$A$1005,0)),"MISSING ID")</x:f>
        <x:v>Proposal</x:v>
      </x:c>
      <x:c r="M164" s="4" t="str">
        <x:f>IFERROR(INDEX('Crafting recipes'!$E$6:$E$1005,MATCH(B164,'Crafting recipes'!$A$6:$A$1005,0)),"MISSING ID")</x:f>
        <x:v>Partial proposal</x:v>
      </x:c>
      <x:c r="N164" s="4" t="str">
        <x:v>Candidate consumed material contribution; incomplete recipe. Hypothetical adhesive behavior, toxicity, flexibility and cure remain unqualified; not lubricant thickener.</x:v>
      </x:c>
      <x:c r="O164" s="4" t="str">
        <x:v>New game brainstorming, October 15, 2026.</x:v>
      </x:c>
      <x:c r="P164" s="4" t="n">
        <x:f>IF(OR(C164="Ingredient candidate",C164="Consumed input",C164="Contained input",C164="Transform input"),IF(F164="T0",0,IF(F164="T1",1,IF(F164="T2",2,IF(F164="T3",3,IF(F164="T4",4,-1))))),-1)</x:f>
        <x:v>0</x:v>
      </x:c>
      <x:c r="Q164" s="4" t="n">
        <x:f>IF(AND(OR(C164="Ingredient candidate",C164="Consumed input",C164="Contained input",C164="Transform input"),P164=-1),1,0)</x:f>
        <x:v>0</x:v>
      </x:c>
    </x:row>
    <x:row r="165" ht="105" customHeight="1">
      <x:c r="A165" s="4" t="str">
        <x:v>design.branch.branch.flex_binder.out</x:v>
      </x:c>
      <x:c r="B165" s="4" t="str">
        <x:v>design.branch.branch.flex_binder</x:v>
      </x:c>
      <x:c r="C165" s="4" t="str">
        <x:v>Output</x:v>
      </x:c>
      <x:c r="D165" s="4" t="str">
        <x:v>proposal.branch.flex_binder</x:v>
      </x:c>
      <x:c r="E165" s="4" t="str">
        <x:f>IFERROR(INDEX('Items'!$B$6:$B$1005,MATCH(D165,'Items'!$A$6:$A$1005,0)),"MISSING ID")</x:f>
        <x:v>Prepared flexible faunal binder</x:v>
      </x:c>
      <x:c r="F165" s="4" t="str">
        <x:f>IFERROR(INDEX('Items'!$C$6:$C$1005,MATCH(D165,'Items'!$A$6:$A$1005,0)),"MISSING ID")</x:f>
        <x:v>T1</x:v>
      </x:c>
      <x:c r="G165" s="4" t="str">
        <x:f>IFERROR(INDEX('Items'!$D$6:$D$1005,MATCH(D165,'Items'!$A$6:$A$1005,0)),"MISSING ID")</x:f>
        <x:v>Crafting components</x:v>
      </x:c>
      <x:c r="H165" s="4" t="str">
        <x:f>IFERROR(INDEX('Items'!$X$6:$X$1005,MATCH(D165,'Items'!$A$6:$A$1005,0)),"MISSING ID")</x:f>
        <x:v>Chemical material</x:v>
      </x:c>
      <x:c r="I165" s="4"/>
      <x:c r="J165" s="4" t="str">
        <x:v>Unspecified</x:v>
      </x:c>
      <x:c r="K165" s="4" t="str">
        <x:f>IFERROR(INDEX('Crafting recipes'!$D$6:$D$1005,MATCH(B165,'Crafting recipes'!$A$6:$A$1005,0)),"MISSING ID")</x:f>
        <x:v>Proposal</x:v>
      </x:c>
      <x:c r="L165" s="4" t="str">
        <x:f>IFERROR(INDEX('Items'!$AD$6:$AD$1005,MATCH(D165,'Items'!$A$6:$A$1005,0)),"MISSING ID")</x:f>
        <x:v>Proposal</x:v>
      </x:c>
      <x:c r="M165" s="4" t="str">
        <x:f>IFERROR(INDEX('Crafting recipes'!$E$6:$E$1005,MATCH(B165,'Crafting recipes'!$A$6:$A$1005,0)),"MISSING ID")</x:f>
        <x:v>Partial proposal</x:v>
      </x:c>
      <x:c r="N165" s="4" t="str">
        <x:v>Proposed output; quantity/yield and qualification remain undefined. Hypothetical adhesive behavior, toxicity, flexibility and cure remain unqualified; not lubricant thickener.</x:v>
      </x:c>
      <x:c r="O165" s="4" t="str">
        <x:v>New game brainstorming, October 15, 2026.</x:v>
      </x:c>
      <x:c r="P165" s="4" t="n">
        <x:f>IF(OR(C165="Ingredient candidate",C165="Consumed input",C165="Contained input",C165="Transform input"),IF(F165="T0",0,IF(F165="T1",1,IF(F165="T2",2,IF(F165="T3",3,IF(F165="T4",4,-1))))),-1)</x:f>
        <x:v>-1</x:v>
      </x:c>
      <x:c r="Q165" s="4" t="n">
        <x:f>IF(AND(OR(C165="Ingredient candidate",C165="Consumed input",C165="Contained input",C165="Transform input"),P165=-1),1,0)</x:f>
        <x:v>0</x:v>
      </x:c>
    </x:row>
    <x:row r="166" ht="105" customHeight="1">
      <x:c r="A166" s="4" t="str">
        <x:v>design.branch.branch.etchant.in.1</x:v>
      </x:c>
      <x:c r="B166" s="4" t="str">
        <x:v>design.branch.branch.etchant</x:v>
      </x:c>
      <x:c r="C166" s="4" t="str">
        <x:v>Ingredient candidate</x:v>
      </x:c>
      <x:c r="D166" s="4" t="str">
        <x:v>proposal.chemical.digestive_etchant</x:v>
      </x:c>
      <x:c r="E166" s="4" t="str">
        <x:f>IFERROR(INDEX('Items'!$B$6:$B$1005,MATCH(D166,'Items'!$A$6:$A$1005,0)),"MISSING ID")</x:f>
        <x:v>Digestive etchant</x:v>
      </x:c>
      <x:c r="F166" s="4" t="str">
        <x:f>IFERROR(INDEX('Items'!$C$6:$C$1005,MATCH(D166,'Items'!$A$6:$A$1005,0)),"MISSING ID")</x:f>
        <x:v>T0</x:v>
      </x:c>
      <x:c r="G166" s="4" t="str">
        <x:f>IFERROR(INDEX('Items'!$D$6:$D$1005,MATCH(D166,'Items'!$A$6:$A$1005,0)),"MISSING ID")</x:f>
        <x:v>Biological resources</x:v>
      </x:c>
      <x:c r="H166" s="4" t="str">
        <x:f>IFERROR(INDEX('Items'!$X$6:$X$1005,MATCH(D166,'Items'!$A$6:$A$1005,0)),"MISSING ID")</x:f>
        <x:v>Chemical material</x:v>
      </x:c>
      <x:c r="I166" s="4"/>
      <x:c r="J166" s="4" t="str">
        <x:v>Unspecified</x:v>
      </x:c>
      <x:c r="K166" s="4" t="str">
        <x:f>IFERROR(INDEX('Crafting recipes'!$D$6:$D$1005,MATCH(B166,'Crafting recipes'!$A$6:$A$1005,0)),"MISSING ID")</x:f>
        <x:v>Proposal</x:v>
      </x:c>
      <x:c r="L166" s="4" t="str">
        <x:f>IFERROR(INDEX('Items'!$AD$6:$AD$1005,MATCH(D166,'Items'!$A$6:$A$1005,0)),"MISSING ID")</x:f>
        <x:v>Proposal</x:v>
      </x:c>
      <x:c r="M166" s="4" t="str">
        <x:f>IFERROR(INDEX('Crafting recipes'!$E$6:$E$1005,MATCH(B166,'Crafting recipes'!$A$6:$A$1005,0)),"MISSING ID")</x:f>
        <x:v>Partial proposal</x:v>
      </x:c>
      <x:c r="N166" s="4" t="str">
        <x:v>Candidate consumed material contribution; incomplete recipe. No exact acid, concentration, metal selectivity or safe application method established.</x:v>
      </x:c>
      <x:c r="O166" s="4" t="str">
        <x:v>New game brainstorming, October 15, 2026.</x:v>
      </x:c>
      <x:c r="P166" s="4" t="n">
        <x:f>IF(OR(C166="Ingredient candidate",C166="Consumed input",C166="Contained input",C166="Transform input"),IF(F166="T0",0,IF(F166="T1",1,IF(F166="T2",2,IF(F166="T3",3,IF(F166="T4",4,-1))))),-1)</x:f>
        <x:v>0</x:v>
      </x:c>
      <x:c r="Q166" s="4" t="n">
        <x:f>IF(AND(OR(C166="Ingredient candidate",C166="Consumed input",C166="Contained input",C166="Transform input"),P166=-1),1,0)</x:f>
        <x:v>0</x:v>
      </x:c>
    </x:row>
    <x:row r="167" ht="105" customHeight="1">
      <x:c r="A167" s="4" t="str">
        <x:v>design.branch.branch.etchant.out</x:v>
      </x:c>
      <x:c r="B167" s="4" t="str">
        <x:v>design.branch.branch.etchant</x:v>
      </x:c>
      <x:c r="C167" s="4" t="str">
        <x:v>Output</x:v>
      </x:c>
      <x:c r="D167" s="4" t="str">
        <x:v>proposal.branch.etchant</x:v>
      </x:c>
      <x:c r="E167" s="4" t="str">
        <x:f>IFERROR(INDEX('Items'!$B$6:$B$1005,MATCH(D167,'Items'!$A$6:$A$1005,0)),"MISSING ID")</x:f>
        <x:v>Conditioned faunal etchant</x:v>
      </x:c>
      <x:c r="F167" s="4" t="str">
        <x:f>IFERROR(INDEX('Items'!$C$6:$C$1005,MATCH(D167,'Items'!$A$6:$A$1005,0)),"MISSING ID")</x:f>
        <x:v>T1</x:v>
      </x:c>
      <x:c r="G167" s="4" t="str">
        <x:f>IFERROR(INDEX('Items'!$D$6:$D$1005,MATCH(D167,'Items'!$A$6:$A$1005,0)),"MISSING ID")</x:f>
        <x:v>Crafting components</x:v>
      </x:c>
      <x:c r="H167" s="4" t="str">
        <x:f>IFERROR(INDEX('Items'!$X$6:$X$1005,MATCH(D167,'Items'!$A$6:$A$1005,0)),"MISSING ID")</x:f>
        <x:v>Chemical material</x:v>
      </x:c>
      <x:c r="I167" s="4"/>
      <x:c r="J167" s="4" t="str">
        <x:v>Unspecified</x:v>
      </x:c>
      <x:c r="K167" s="4" t="str">
        <x:f>IFERROR(INDEX('Crafting recipes'!$D$6:$D$1005,MATCH(B167,'Crafting recipes'!$A$6:$A$1005,0)),"MISSING ID")</x:f>
        <x:v>Proposal</x:v>
      </x:c>
      <x:c r="L167" s="4" t="str">
        <x:f>IFERROR(INDEX('Items'!$AD$6:$AD$1005,MATCH(D167,'Items'!$A$6:$A$1005,0)),"MISSING ID")</x:f>
        <x:v>Proposal</x:v>
      </x:c>
      <x:c r="M167" s="4" t="str">
        <x:f>IFERROR(INDEX('Crafting recipes'!$E$6:$E$1005,MATCH(B167,'Crafting recipes'!$A$6:$A$1005,0)),"MISSING ID")</x:f>
        <x:v>Partial proposal</x:v>
      </x:c>
      <x:c r="N167" s="4" t="str">
        <x:v>Proposed output; quantity/yield and qualification remain undefined. No exact acid, concentration, metal selectivity or safe application method established.</x:v>
      </x:c>
      <x:c r="O167" s="4" t="str">
        <x:v>New game brainstorming, October 15, 2026.</x:v>
      </x:c>
      <x:c r="P167" s="4" t="n">
        <x:f>IF(OR(C167="Ingredient candidate",C167="Consumed input",C167="Contained input",C167="Transform input"),IF(F167="T0",0,IF(F167="T1",1,IF(F167="T2",2,IF(F167="T3",3,IF(F167="T4",4,-1))))),-1)</x:f>
        <x:v>-1</x:v>
      </x:c>
      <x:c r="Q167" s="4" t="n">
        <x:f>IF(AND(OR(C167="Ingredient candidate",C167="Consumed input",C167="Contained input",C167="Transform input"),P167=-1),1,0)</x:f>
        <x:v>0</x:v>
      </x:c>
    </x:row>
    <x:row r="168" ht="105" customHeight="1">
      <x:c r="A168" s="4" t="str">
        <x:v>design.branch.metallurgy.steel_stock.in.1</x:v>
      </x:c>
      <x:c r="B168" s="4" t="str">
        <x:v>design.branch.metallurgy.steel_stock</x:v>
      </x:c>
      <x:c r="C168" s="4" t="str">
        <x:v>Ingredient candidate</x:v>
      </x:c>
      <x:c r="D168" s="4" t="str">
        <x:v>proposal.t1.iron_bloom</x:v>
      </x:c>
      <x:c r="E168" s="4" t="str">
        <x:f>IFERROR(INDEX('Items'!$B$6:$B$1005,MATCH(D168,'Items'!$A$6:$A$1005,0)),"MISSING ID")</x:f>
        <x:v>Smelted iron bloom</x:v>
      </x:c>
      <x:c r="F168" s="4" t="str">
        <x:f>IFERROR(INDEX('Items'!$C$6:$C$1005,MATCH(D168,'Items'!$A$6:$A$1005,0)),"MISSING ID")</x:f>
        <x:v>T1</x:v>
      </x:c>
      <x:c r="G168" s="4" t="str">
        <x:f>IFERROR(INDEX('Items'!$D$6:$D$1005,MATCH(D168,'Items'!$A$6:$A$1005,0)),"MISSING ID")</x:f>
        <x:v>Manufactured stock</x:v>
      </x:c>
      <x:c r="H168" s="4" t="str">
        <x:f>IFERROR(INDEX('Items'!$X$6:$X$1005,MATCH(D168,'Items'!$A$6:$A$1005,0)),"MISSING ID")</x:f>
        <x:v>Processed material</x:v>
      </x:c>
      <x:c r="I168" s="4"/>
      <x:c r="J168" s="4" t="str">
        <x:v>Unspecified</x:v>
      </x:c>
      <x:c r="K168" s="4" t="str">
        <x:f>IFERROR(INDEX('Crafting recipes'!$D$6:$D$1005,MATCH(B168,'Crafting recipes'!$A$6:$A$1005,0)),"MISSING ID")</x:f>
        <x:v>Proposal</x:v>
      </x:c>
      <x:c r="L168" s="4" t="str">
        <x:f>IFERROR(INDEX('Items'!$AD$6:$AD$1005,MATCH(D168,'Items'!$A$6:$A$1005,0)),"MISSING ID")</x:f>
        <x:v>Proposal</x:v>
      </x:c>
      <x:c r="M168" s="4" t="str">
        <x:f>IFERROR(INDEX('Crafting recipes'!$E$6:$E$1005,MATCH(B168,'Crafting recipes'!$A$6:$A$1005,0)),"MISSING ID")</x:f>
        <x:v>Partial proposal</x:v>
      </x:c>
      <x:c r="N168" s="4" t="str">
        <x:v>Candidate consumed material contribution; incomplete recipe. Existing author-directed steel family reused. Tier/inputs are proposed; carbon control, process, qualified grade and heat treatment remain open.</x:v>
      </x:c>
      <x:c r="O168" s="4" t="str">
        <x:v>New game brainstorming, October 15, 2026.</x:v>
      </x:c>
      <x:c r="P168" s="4" t="n">
        <x:f>IF(OR(C168="Ingredient candidate",C168="Consumed input",C168="Contained input",C168="Transform input"),IF(F168="T0",0,IF(F168="T1",1,IF(F168="T2",2,IF(F168="T3",3,IF(F168="T4",4,-1))))),-1)</x:f>
        <x:v>1</x:v>
      </x:c>
      <x:c r="Q168" s="4" t="n">
        <x:f>IF(AND(OR(C168="Ingredient candidate",C168="Consumed input",C168="Contained input",C168="Transform input"),P168=-1),1,0)</x:f>
        <x:v>0</x:v>
      </x:c>
    </x:row>
    <x:row r="169" ht="105" customHeight="1">
      <x:c r="A169" s="4" t="str">
        <x:v>design.branch.metallurgy.steel_stock.in.2</x:v>
      </x:c>
      <x:c r="B169" s="4" t="str">
        <x:v>design.branch.metallurgy.steel_stock</x:v>
      </x:c>
      <x:c r="C169" s="4" t="str">
        <x:v>Ingredient candidate</x:v>
      </x:c>
      <x:c r="D169" s="4" t="str">
        <x:v>proposal.natural.carbon</x:v>
      </x:c>
      <x:c r="E169" s="4" t="str">
        <x:f>IFERROR(INDEX('Items'!$B$6:$B$1005,MATCH(D169,'Items'!$A$6:$A$1005,0)),"MISSING ID")</x:f>
        <x:v>Graded graphite flakes</x:v>
      </x:c>
      <x:c r="F169" s="4" t="str">
        <x:f>IFERROR(INDEX('Items'!$C$6:$C$1005,MATCH(D169,'Items'!$A$6:$A$1005,0)),"MISSING ID")</x:f>
        <x:v>T1</x:v>
      </x:c>
      <x:c r="G169" s="4" t="str">
        <x:f>IFERROR(INDEX('Items'!$D$6:$D$1005,MATCH(D169,'Items'!$A$6:$A$1005,0)),"MISSING ID")</x:f>
        <x:v>Manufactured stock</x:v>
      </x:c>
      <x:c r="H169" s="4" t="str">
        <x:f>IFERROR(INDEX('Items'!$X$6:$X$1005,MATCH(D169,'Items'!$A$6:$A$1005,0)),"MISSING ID")</x:f>
        <x:v>Processed material</x:v>
      </x:c>
      <x:c r="I169" s="4"/>
      <x:c r="J169" s="4" t="str">
        <x:v>Unspecified</x:v>
      </x:c>
      <x:c r="K169" s="4" t="str">
        <x:f>IFERROR(INDEX('Crafting recipes'!$D$6:$D$1005,MATCH(B169,'Crafting recipes'!$A$6:$A$1005,0)),"MISSING ID")</x:f>
        <x:v>Proposal</x:v>
      </x:c>
      <x:c r="L169" s="4" t="str">
        <x:f>IFERROR(INDEX('Items'!$AD$6:$AD$1005,MATCH(D169,'Items'!$A$6:$A$1005,0)),"MISSING ID")</x:f>
        <x:v>Proposal</x:v>
      </x:c>
      <x:c r="M169" s="4" t="str">
        <x:f>IFERROR(INDEX('Crafting recipes'!$E$6:$E$1005,MATCH(B169,'Crafting recipes'!$A$6:$A$1005,0)),"MISSING ID")</x:f>
        <x:v>Partial proposal</x:v>
      </x:c>
      <x:c r="N169" s="4" t="str">
        <x:v>Candidate consumed material contribution; incomplete recipe. Existing author-directed steel family reused. Tier/inputs are proposed; carbon control, process, qualified grade and heat treatment remain open.</x:v>
      </x:c>
      <x:c r="O169" s="4" t="str">
        <x:v>New game brainstorming, October 15, 2026.</x:v>
      </x:c>
      <x:c r="P169" s="4" t="n">
        <x:f>IF(OR(C169="Ingredient candidate",C169="Consumed input",C169="Contained input",C169="Transform input"),IF(F169="T0",0,IF(F169="T1",1,IF(F169="T2",2,IF(F169="T3",3,IF(F169="T4",4,-1))))),-1)</x:f>
        <x:v>1</x:v>
      </x:c>
      <x:c r="Q169" s="4" t="n">
        <x:f>IF(AND(OR(C169="Ingredient candidate",C169="Consumed input",C169="Contained input",C169="Transform input"),P169=-1),1,0)</x:f>
        <x:v>0</x:v>
      </x:c>
    </x:row>
    <x:row r="170" ht="105" customHeight="1">
      <x:c r="A170" s="4" t="str">
        <x:v>design.branch.metallurgy.steel_stock.in.3</x:v>
      </x:c>
      <x:c r="B170" s="4" t="str">
        <x:v>design.branch.metallurgy.steel_stock</x:v>
      </x:c>
      <x:c r="C170" s="4" t="str">
        <x:v>Ingredient candidate</x:v>
      </x:c>
      <x:c r="D170" s="4" t="str">
        <x:v>proposal.branch.flux</x:v>
      </x:c>
      <x:c r="E170" s="4" t="str">
        <x:f>IFERROR(INDEX('Items'!$B$6:$B$1005,MATCH(D170,'Items'!$A$6:$A$1005,0)),"MISSING ID")</x:f>
        <x:v>Prepared metallurgical flux</x:v>
      </x:c>
      <x:c r="F170" s="4" t="str">
        <x:f>IFERROR(INDEX('Items'!$C$6:$C$1005,MATCH(D170,'Items'!$A$6:$A$1005,0)),"MISSING ID")</x:f>
        <x:v>T1</x:v>
      </x:c>
      <x:c r="G170" s="4" t="str">
        <x:f>IFERROR(INDEX('Items'!$D$6:$D$1005,MATCH(D170,'Items'!$A$6:$A$1005,0)),"MISSING ID")</x:f>
        <x:v>Crafting components</x:v>
      </x:c>
      <x:c r="H170" s="4" t="str">
        <x:f>IFERROR(INDEX('Items'!$X$6:$X$1005,MATCH(D170,'Items'!$A$6:$A$1005,0)),"MISSING ID")</x:f>
        <x:v>Processed material</x:v>
      </x:c>
      <x:c r="I170" s="4"/>
      <x:c r="J170" s="4" t="str">
        <x:v>Unspecified</x:v>
      </x:c>
      <x:c r="K170" s="4" t="str">
        <x:f>IFERROR(INDEX('Crafting recipes'!$D$6:$D$1005,MATCH(B170,'Crafting recipes'!$A$6:$A$1005,0)),"MISSING ID")</x:f>
        <x:v>Proposal</x:v>
      </x:c>
      <x:c r="L170" s="4" t="str">
        <x:f>IFERROR(INDEX('Items'!$AD$6:$AD$1005,MATCH(D170,'Items'!$A$6:$A$1005,0)),"MISSING ID")</x:f>
        <x:v>Proposal</x:v>
      </x:c>
      <x:c r="M170" s="4" t="str">
        <x:f>IFERROR(INDEX('Crafting recipes'!$E$6:$E$1005,MATCH(B170,'Crafting recipes'!$A$6:$A$1005,0)),"MISSING ID")</x:f>
        <x:v>Partial proposal</x:v>
      </x:c>
      <x:c r="N170" s="4" t="str">
        <x:v>Candidate consumed material contribution; incomplete recipe. Existing author-directed steel family reused. Tier/inputs are proposed; carbon control, process, qualified grade and heat treatment remain open.</x:v>
      </x:c>
      <x:c r="O170" s="4" t="str">
        <x:v>New game brainstorming, October 15, 2026.</x:v>
      </x:c>
      <x:c r="P170" s="4" t="n">
        <x:f>IF(OR(C170="Ingredient candidate",C170="Consumed input",C170="Contained input",C170="Transform input"),IF(F170="T0",0,IF(F170="T1",1,IF(F170="T2",2,IF(F170="T3",3,IF(F170="T4",4,-1))))),-1)</x:f>
        <x:v>1</x:v>
      </x:c>
      <x:c r="Q170" s="4" t="n">
        <x:f>IF(AND(OR(C170="Ingredient candidate",C170="Consumed input",C170="Contained input",C170="Transform input"),P170=-1),1,0)</x:f>
        <x:v>0</x:v>
      </x:c>
    </x:row>
    <x:row r="171" ht="105" customHeight="1">
      <x:c r="A171" s="4" t="str">
        <x:v>design.branch.metallurgy.steel_stock.out</x:v>
      </x:c>
      <x:c r="B171" s="4" t="str">
        <x:v>design.branch.metallurgy.steel_stock</x:v>
      </x:c>
      <x:c r="C171" s="4" t="str">
        <x:v>Output</x:v>
      </x:c>
      <x:c r="D171" s="4" t="str">
        <x:v>author.metallurgy.steel_stock</x:v>
      </x:c>
      <x:c r="E171" s="4" t="str">
        <x:f>IFERROR(INDEX('Items'!$B$6:$B$1005,MATCH(D171,'Items'!$A$6:$A$1005,0)),"MISSING ID")</x:f>
        <x:v>Steel stock</x:v>
      </x:c>
      <x:c r="F171" s="4" t="str">
        <x:f>IFERROR(INDEX('Items'!$C$6:$C$1005,MATCH(D171,'Items'!$A$6:$A$1005,0)),"MISSING ID")</x:f>
        <x:v>T2</x:v>
      </x:c>
      <x:c r="G171" s="4" t="str">
        <x:f>IFERROR(INDEX('Items'!$D$6:$D$1005,MATCH(D171,'Items'!$A$6:$A$1005,0)),"MISSING ID")</x:f>
        <x:v>Manufactured stock</x:v>
      </x:c>
      <x:c r="H171" s="4" t="str">
        <x:f>IFERROR(INDEX('Items'!$X$6:$X$1005,MATCH(D171,'Items'!$A$6:$A$1005,0)),"MISSING ID")</x:f>
        <x:v>Processed material</x:v>
      </x:c>
      <x:c r="I171" s="4"/>
      <x:c r="J171" s="4" t="str">
        <x:v>Unspecified</x:v>
      </x:c>
      <x:c r="K171" s="4" t="str">
        <x:f>IFERROR(INDEX('Crafting recipes'!$D$6:$D$1005,MATCH(B171,'Crafting recipes'!$A$6:$A$1005,0)),"MISSING ID")</x:f>
        <x:v>Proposal</x:v>
      </x:c>
      <x:c r="L171" s="4" t="str">
        <x:f>IFERROR(INDEX('Items'!$AD$6:$AD$1005,MATCH(D171,'Items'!$A$6:$A$1005,0)),"MISSING ID")</x:f>
        <x:v>Author direction</x:v>
      </x:c>
      <x:c r="M171" s="4" t="str">
        <x:f>IFERROR(INDEX('Crafting recipes'!$E$6:$E$1005,MATCH(B171,'Crafting recipes'!$A$6:$A$1005,0)),"MISSING ID")</x:f>
        <x:v>Partial proposal</x:v>
      </x:c>
      <x:c r="N171" s="4" t="str">
        <x:v>Proposed output; quantity/yield and qualification remain undefined. Existing author-directed steel family reused. Tier/inputs are proposed; carbon control, process, qualified grade and heat treatment remain open.</x:v>
      </x:c>
      <x:c r="O171" s="4" t="str">
        <x:v>New game brainstorming, October 15, 2026.</x:v>
      </x:c>
      <x:c r="P171" s="4" t="n">
        <x:f>IF(OR(C171="Ingredient candidate",C171="Consumed input",C171="Contained input",C171="Transform input"),IF(F171="T0",0,IF(F171="T1",1,IF(F171="T2",2,IF(F171="T3",3,IF(F171="T4",4,-1))))),-1)</x:f>
        <x:v>-1</x:v>
      </x:c>
      <x:c r="Q171" s="4" t="n">
        <x:f>IF(AND(OR(C171="Ingredient candidate",C171="Consumed input",C171="Contained input",C171="Transform input"),P171=-1),1,0)</x:f>
        <x:v>0</x:v>
      </x:c>
    </x:row>
    <x:row r="172" ht="105" customHeight="1">
      <x:c r="A172" s="4" t="str">
        <x:v>design.branch.branch.alloy_addition.in.1</x:v>
      </x:c>
      <x:c r="B172" s="4" t="str">
        <x:v>design.branch.branch.alloy_addition</x:v>
      </x:c>
      <x:c r="C172" s="4" t="str">
        <x:v>Ingredient candidate</x:v>
      </x:c>
      <x:c r="D172" s="4" t="str">
        <x:v>proposal.branch.manganese_feed</x:v>
      </x:c>
      <x:c r="E172" s="4" t="str">
        <x:f>IFERROR(INDEX('Items'!$B$6:$B$1005,MATCH(D172,'Items'!$A$6:$A$1005,0)),"MISSING ID")</x:f>
        <x:v>Manganese-bearing alloy feed</x:v>
      </x:c>
      <x:c r="F172" s="4" t="str">
        <x:f>IFERROR(INDEX('Items'!$C$6:$C$1005,MATCH(D172,'Items'!$A$6:$A$1005,0)),"MISSING ID")</x:f>
        <x:v>T1</x:v>
      </x:c>
      <x:c r="G172" s="4" t="str">
        <x:f>IFERROR(INDEX('Items'!$D$6:$D$1005,MATCH(D172,'Items'!$A$6:$A$1005,0)),"MISSING ID")</x:f>
        <x:v>Manufactured stock</x:v>
      </x:c>
      <x:c r="H172" s="4" t="str">
        <x:f>IFERROR(INDEX('Items'!$X$6:$X$1005,MATCH(D172,'Items'!$A$6:$A$1005,0)),"MISSING ID")</x:f>
        <x:v>Processed material</x:v>
      </x:c>
      <x:c r="I172" s="4"/>
      <x:c r="J172" s="4" t="str">
        <x:v>Unspecified</x:v>
      </x:c>
      <x:c r="K172" s="4" t="str">
        <x:f>IFERROR(INDEX('Crafting recipes'!$D$6:$D$1005,MATCH(B172,'Crafting recipes'!$A$6:$A$1005,0)),"MISSING ID")</x:f>
        <x:v>Proposal</x:v>
      </x:c>
      <x:c r="L172" s="4" t="str">
        <x:f>IFERROR(INDEX('Items'!$AD$6:$AD$1005,MATCH(D172,'Items'!$A$6:$A$1005,0)),"MISSING ID")</x:f>
        <x:v>Proposal</x:v>
      </x:c>
      <x:c r="M172" s="4" t="str">
        <x:f>IFERROR(INDEX('Crafting recipes'!$E$6:$E$1005,MATCH(B172,'Crafting recipes'!$A$6:$A$1005,0)),"MISSING ID")</x:f>
        <x:v>Partial proposal</x:v>
      </x:c>
      <x:c r="N172" s="4" t="str">
        <x:v>Candidate consumed material contribution; incomplete recipe. Not every manganese mineral can be directly added to steel. Actual form, purity and furnace route remain research questions.</x:v>
      </x:c>
      <x:c r="O172" s="4" t="str">
        <x:v>New game brainstorming, October 15, 2026.</x:v>
      </x:c>
      <x:c r="P172" s="4" t="n">
        <x:f>IF(OR(C172="Ingredient candidate",C172="Consumed input",C172="Contained input",C172="Transform input"),IF(F172="T0",0,IF(F172="T1",1,IF(F172="T2",2,IF(F172="T3",3,IF(F172="T4",4,-1))))),-1)</x:f>
        <x:v>1</x:v>
      </x:c>
      <x:c r="Q172" s="4" t="n">
        <x:f>IF(AND(OR(C172="Ingredient candidate",C172="Consumed input",C172="Contained input",C172="Transform input"),P172=-1),1,0)</x:f>
        <x:v>0</x:v>
      </x:c>
    </x:row>
    <x:row r="173" ht="105" customHeight="1">
      <x:c r="A173" s="4" t="str">
        <x:v>design.branch.branch.alloy_addition.in.2</x:v>
      </x:c>
      <x:c r="B173" s="4" t="str">
        <x:v>design.branch.branch.alloy_addition</x:v>
      </x:c>
      <x:c r="C173" s="4" t="str">
        <x:v>Ingredient candidate</x:v>
      </x:c>
      <x:c r="D173" s="4" t="str">
        <x:v>proposal.natural.carbon</x:v>
      </x:c>
      <x:c r="E173" s="4" t="str">
        <x:f>IFERROR(INDEX('Items'!$B$6:$B$1005,MATCH(D173,'Items'!$A$6:$A$1005,0)),"MISSING ID")</x:f>
        <x:v>Graded graphite flakes</x:v>
      </x:c>
      <x:c r="F173" s="4" t="str">
        <x:f>IFERROR(INDEX('Items'!$C$6:$C$1005,MATCH(D173,'Items'!$A$6:$A$1005,0)),"MISSING ID")</x:f>
        <x:v>T1</x:v>
      </x:c>
      <x:c r="G173" s="4" t="str">
        <x:f>IFERROR(INDEX('Items'!$D$6:$D$1005,MATCH(D173,'Items'!$A$6:$A$1005,0)),"MISSING ID")</x:f>
        <x:v>Manufactured stock</x:v>
      </x:c>
      <x:c r="H173" s="4" t="str">
        <x:f>IFERROR(INDEX('Items'!$X$6:$X$1005,MATCH(D173,'Items'!$A$6:$A$1005,0)),"MISSING ID")</x:f>
        <x:v>Processed material</x:v>
      </x:c>
      <x:c r="I173" s="4"/>
      <x:c r="J173" s="4" t="str">
        <x:v>Unspecified</x:v>
      </x:c>
      <x:c r="K173" s="4" t="str">
        <x:f>IFERROR(INDEX('Crafting recipes'!$D$6:$D$1005,MATCH(B173,'Crafting recipes'!$A$6:$A$1005,0)),"MISSING ID")</x:f>
        <x:v>Proposal</x:v>
      </x:c>
      <x:c r="L173" s="4" t="str">
        <x:f>IFERROR(INDEX('Items'!$AD$6:$AD$1005,MATCH(D173,'Items'!$A$6:$A$1005,0)),"MISSING ID")</x:f>
        <x:v>Proposal</x:v>
      </x:c>
      <x:c r="M173" s="4" t="str">
        <x:f>IFERROR(INDEX('Crafting recipes'!$E$6:$E$1005,MATCH(B173,'Crafting recipes'!$A$6:$A$1005,0)),"MISSING ID")</x:f>
        <x:v>Partial proposal</x:v>
      </x:c>
      <x:c r="N173" s="4" t="str">
        <x:v>Candidate consumed material contribution; incomplete recipe. Not every manganese mineral can be directly added to steel. Actual form, purity and furnace route remain research questions.</x:v>
      </x:c>
      <x:c r="O173" s="4" t="str">
        <x:v>New game brainstorming, October 15, 2026.</x:v>
      </x:c>
      <x:c r="P173" s="4" t="n">
        <x:f>IF(OR(C173="Ingredient candidate",C173="Consumed input",C173="Contained input",C173="Transform input"),IF(F173="T0",0,IF(F173="T1",1,IF(F173="T2",2,IF(F173="T3",3,IF(F173="T4",4,-1))))),-1)</x:f>
        <x:v>1</x:v>
      </x:c>
      <x:c r="Q173" s="4" t="n">
        <x:f>IF(AND(OR(C173="Ingredient candidate",C173="Consumed input",C173="Contained input",C173="Transform input"),P173=-1),1,0)</x:f>
        <x:v>0</x:v>
      </x:c>
    </x:row>
    <x:row r="174" ht="105" customHeight="1">
      <x:c r="A174" s="4" t="str">
        <x:v>design.branch.branch.alloy_addition.in.3</x:v>
      </x:c>
      <x:c r="B174" s="4" t="str">
        <x:v>design.branch.branch.alloy_addition</x:v>
      </x:c>
      <x:c r="C174" s="4" t="str">
        <x:v>Ingredient candidate</x:v>
      </x:c>
      <x:c r="D174" s="4" t="str">
        <x:v>proposal.branch.flux</x:v>
      </x:c>
      <x:c r="E174" s="4" t="str">
        <x:f>IFERROR(INDEX('Items'!$B$6:$B$1005,MATCH(D174,'Items'!$A$6:$A$1005,0)),"MISSING ID")</x:f>
        <x:v>Prepared metallurgical flux</x:v>
      </x:c>
      <x:c r="F174" s="4" t="str">
        <x:f>IFERROR(INDEX('Items'!$C$6:$C$1005,MATCH(D174,'Items'!$A$6:$A$1005,0)),"MISSING ID")</x:f>
        <x:v>T1</x:v>
      </x:c>
      <x:c r="G174" s="4" t="str">
        <x:f>IFERROR(INDEX('Items'!$D$6:$D$1005,MATCH(D174,'Items'!$A$6:$A$1005,0)),"MISSING ID")</x:f>
        <x:v>Crafting components</x:v>
      </x:c>
      <x:c r="H174" s="4" t="str">
        <x:f>IFERROR(INDEX('Items'!$X$6:$X$1005,MATCH(D174,'Items'!$A$6:$A$1005,0)),"MISSING ID")</x:f>
        <x:v>Processed material</x:v>
      </x:c>
      <x:c r="I174" s="4"/>
      <x:c r="J174" s="4" t="str">
        <x:v>Unspecified</x:v>
      </x:c>
      <x:c r="K174" s="4" t="str">
        <x:f>IFERROR(INDEX('Crafting recipes'!$D$6:$D$1005,MATCH(B174,'Crafting recipes'!$A$6:$A$1005,0)),"MISSING ID")</x:f>
        <x:v>Proposal</x:v>
      </x:c>
      <x:c r="L174" s="4" t="str">
        <x:f>IFERROR(INDEX('Items'!$AD$6:$AD$1005,MATCH(D174,'Items'!$A$6:$A$1005,0)),"MISSING ID")</x:f>
        <x:v>Proposal</x:v>
      </x:c>
      <x:c r="M174" s="4" t="str">
        <x:f>IFERROR(INDEX('Crafting recipes'!$E$6:$E$1005,MATCH(B174,'Crafting recipes'!$A$6:$A$1005,0)),"MISSING ID")</x:f>
        <x:v>Partial proposal</x:v>
      </x:c>
      <x:c r="N174" s="4" t="str">
        <x:v>Candidate consumed material contribution; incomplete recipe. Not every manganese mineral can be directly added to steel. Actual form, purity and furnace route remain research questions.</x:v>
      </x:c>
      <x:c r="O174" s="4" t="str">
        <x:v>New game brainstorming, October 15, 2026.</x:v>
      </x:c>
      <x:c r="P174" s="4" t="n">
        <x:f>IF(OR(C174="Ingredient candidate",C174="Consumed input",C174="Contained input",C174="Transform input"),IF(F174="T0",0,IF(F174="T1",1,IF(F174="T2",2,IF(F174="T3",3,IF(F174="T4",4,-1))))),-1)</x:f>
        <x:v>1</x:v>
      </x:c>
      <x:c r="Q174" s="4" t="n">
        <x:f>IF(AND(OR(C174="Ingredient candidate",C174="Consumed input",C174="Contained input",C174="Transform input"),P174=-1),1,0)</x:f>
        <x:v>0</x:v>
      </x:c>
    </x:row>
    <x:row r="175" ht="105" customHeight="1">
      <x:c r="A175" s="4" t="str">
        <x:v>design.branch.branch.alloy_addition.out</x:v>
      </x:c>
      <x:c r="B175" s="4" t="str">
        <x:v>design.branch.branch.alloy_addition</x:v>
      </x:c>
      <x:c r="C175" s="4" t="str">
        <x:v>Output</x:v>
      </x:c>
      <x:c r="D175" s="4" t="str">
        <x:v>proposal.branch.alloy_addition</x:v>
      </x:c>
      <x:c r="E175" s="4" t="str">
        <x:f>IFERROR(INDEX('Items'!$B$6:$B$1005,MATCH(D175,'Items'!$A$6:$A$1005,0)),"MISSING ID")</x:f>
        <x:v>Prepared manganese alloying stock</x:v>
      </x:c>
      <x:c r="F175" s="4" t="str">
        <x:f>IFERROR(INDEX('Items'!$C$6:$C$1005,MATCH(D175,'Items'!$A$6:$A$1005,0)),"MISSING ID")</x:f>
        <x:v>T2</x:v>
      </x:c>
      <x:c r="G175" s="4" t="str">
        <x:f>IFERROR(INDEX('Items'!$D$6:$D$1005,MATCH(D175,'Items'!$A$6:$A$1005,0)),"MISSING ID")</x:f>
        <x:v>Manufactured stock</x:v>
      </x:c>
      <x:c r="H175" s="4" t="str">
        <x:f>IFERROR(INDEX('Items'!$X$6:$X$1005,MATCH(D175,'Items'!$A$6:$A$1005,0)),"MISSING ID")</x:f>
        <x:v>Processed material</x:v>
      </x:c>
      <x:c r="I175" s="4"/>
      <x:c r="J175" s="4" t="str">
        <x:v>Unspecified</x:v>
      </x:c>
      <x:c r="K175" s="4" t="str">
        <x:f>IFERROR(INDEX('Crafting recipes'!$D$6:$D$1005,MATCH(B175,'Crafting recipes'!$A$6:$A$1005,0)),"MISSING ID")</x:f>
        <x:v>Proposal</x:v>
      </x:c>
      <x:c r="L175" s="4" t="str">
        <x:f>IFERROR(INDEX('Items'!$AD$6:$AD$1005,MATCH(D175,'Items'!$A$6:$A$1005,0)),"MISSING ID")</x:f>
        <x:v>Proposal</x:v>
      </x:c>
      <x:c r="M175" s="4" t="str">
        <x:f>IFERROR(INDEX('Crafting recipes'!$E$6:$E$1005,MATCH(B175,'Crafting recipes'!$A$6:$A$1005,0)),"MISSING ID")</x:f>
        <x:v>Partial proposal</x:v>
      </x:c>
      <x:c r="N175" s="4" t="str">
        <x:v>Proposed output; quantity/yield and qualification remain undefined. Not every manganese mineral can be directly added to steel. Actual form, purity and furnace route remain research questions.</x:v>
      </x:c>
      <x:c r="O175" s="4" t="str">
        <x:v>New game brainstorming, October 15, 2026.</x:v>
      </x:c>
      <x:c r="P175" s="4" t="n">
        <x:f>IF(OR(C175="Ingredient candidate",C175="Consumed input",C175="Contained input",C175="Transform input"),IF(F175="T0",0,IF(F175="T1",1,IF(F175="T2",2,IF(F175="T3",3,IF(F175="T4",4,-1))))),-1)</x:f>
        <x:v>-1</x:v>
      </x:c>
      <x:c r="Q175" s="4" t="n">
        <x:f>IF(AND(OR(C175="Ingredient candidate",C175="Consumed input",C175="Contained input",C175="Transform input"),P175=-1),1,0)</x:f>
        <x:v>0</x:v>
      </x:c>
    </x:row>
    <x:row r="176" ht="105" customHeight="1">
      <x:c r="A176" s="4" t="str">
        <x:v>design.branch.branch.drawn_copper.in.1</x:v>
      </x:c>
      <x:c r="B176" s="4" t="str">
        <x:v>design.branch.branch.drawn_copper</x:v>
      </x:c>
      <x:c r="C176" s="4" t="str">
        <x:v>Ingredient candidate</x:v>
      </x:c>
      <x:c r="D176" s="4" t="str">
        <x:v>proposal.t1.copper_cake</x:v>
      </x:c>
      <x:c r="E176" s="4" t="str">
        <x:f>IFERROR(INDEX('Items'!$B$6:$B$1005,MATCH(D176,'Items'!$A$6:$A$1005,0)),"MISSING ID")</x:f>
        <x:v>Refined copper cake</x:v>
      </x:c>
      <x:c r="F176" s="4" t="str">
        <x:f>IFERROR(INDEX('Items'!$C$6:$C$1005,MATCH(D176,'Items'!$A$6:$A$1005,0)),"MISSING ID")</x:f>
        <x:v>T1</x:v>
      </x:c>
      <x:c r="G176" s="4" t="str">
        <x:f>IFERROR(INDEX('Items'!$D$6:$D$1005,MATCH(D176,'Items'!$A$6:$A$1005,0)),"MISSING ID")</x:f>
        <x:v>Manufactured stock</x:v>
      </x:c>
      <x:c r="H176" s="4" t="str">
        <x:f>IFERROR(INDEX('Items'!$X$6:$X$1005,MATCH(D176,'Items'!$A$6:$A$1005,0)),"MISSING ID")</x:f>
        <x:v>Processed material</x:v>
      </x:c>
      <x:c r="I176" s="4"/>
      <x:c r="J176" s="4" t="str">
        <x:v>Unspecified</x:v>
      </x:c>
      <x:c r="K176" s="4" t="str">
        <x:f>IFERROR(INDEX('Crafting recipes'!$D$6:$D$1005,MATCH(B176,'Crafting recipes'!$A$6:$A$1005,0)),"MISSING ID")</x:f>
        <x:v>Proposal</x:v>
      </x:c>
      <x:c r="L176" s="4" t="str">
        <x:f>IFERROR(INDEX('Items'!$AD$6:$AD$1005,MATCH(D176,'Items'!$A$6:$A$1005,0)),"MISSING ID")</x:f>
        <x:v>Proposal</x:v>
      </x:c>
      <x:c r="M176" s="4" t="str">
        <x:f>IFERROR(INDEX('Crafting recipes'!$E$6:$E$1005,MATCH(B176,'Crafting recipes'!$A$6:$A$1005,0)),"MISSING ID")</x:f>
        <x:v>Partial proposal</x:v>
      </x:c>
      <x:c r="N176" s="4" t="str">
        <x:v>Candidate consumed material contribution; incomplete recipe. Geometry, purity, current capacity and service grade remain undefined.</x:v>
      </x:c>
      <x:c r="O176" s="4" t="str">
        <x:v>New game brainstorming, October 15, 2026.</x:v>
      </x:c>
      <x:c r="P176" s="4" t="n">
        <x:f>IF(OR(C176="Ingredient candidate",C176="Consumed input",C176="Contained input",C176="Transform input"),IF(F176="T0",0,IF(F176="T1",1,IF(F176="T2",2,IF(F176="T3",3,IF(F176="T4",4,-1))))),-1)</x:f>
        <x:v>1</x:v>
      </x:c>
      <x:c r="Q176" s="4" t="n">
        <x:f>IF(AND(OR(C176="Ingredient candidate",C176="Consumed input",C176="Contained input",C176="Transform input"),P176=-1),1,0)</x:f>
        <x:v>0</x:v>
      </x:c>
    </x:row>
    <x:row r="177" ht="105" customHeight="1">
      <x:c r="A177" s="4" t="str">
        <x:v>design.branch.branch.drawn_copper.out</x:v>
      </x:c>
      <x:c r="B177" s="4" t="str">
        <x:v>design.branch.branch.drawn_copper</x:v>
      </x:c>
      <x:c r="C177" s="4" t="str">
        <x:v>Output</x:v>
      </x:c>
      <x:c r="D177" s="4" t="str">
        <x:v>proposal.branch.drawn_copper</x:v>
      </x:c>
      <x:c r="E177" s="4" t="str">
        <x:f>IFERROR(INDEX('Items'!$B$6:$B$1005,MATCH(D177,'Items'!$A$6:$A$1005,0)),"MISSING ID")</x:f>
        <x:v>Drawn copper stock</x:v>
      </x:c>
      <x:c r="F177" s="4" t="str">
        <x:f>IFERROR(INDEX('Items'!$C$6:$C$1005,MATCH(D177,'Items'!$A$6:$A$1005,0)),"MISSING ID")</x:f>
        <x:v>T2</x:v>
      </x:c>
      <x:c r="G177" s="4" t="str">
        <x:f>IFERROR(INDEX('Items'!$D$6:$D$1005,MATCH(D177,'Items'!$A$6:$A$1005,0)),"MISSING ID")</x:f>
        <x:v>Manufactured stock</x:v>
      </x:c>
      <x:c r="H177" s="4" t="str">
        <x:f>IFERROR(INDEX('Items'!$X$6:$X$1005,MATCH(D177,'Items'!$A$6:$A$1005,0)),"MISSING ID")</x:f>
        <x:v>Processed material</x:v>
      </x:c>
      <x:c r="I177" s="4"/>
      <x:c r="J177" s="4" t="str">
        <x:v>Unspecified</x:v>
      </x:c>
      <x:c r="K177" s="4" t="str">
        <x:f>IFERROR(INDEX('Crafting recipes'!$D$6:$D$1005,MATCH(B177,'Crafting recipes'!$A$6:$A$1005,0)),"MISSING ID")</x:f>
        <x:v>Proposal</x:v>
      </x:c>
      <x:c r="L177" s="4" t="str">
        <x:f>IFERROR(INDEX('Items'!$AD$6:$AD$1005,MATCH(D177,'Items'!$A$6:$A$1005,0)),"MISSING ID")</x:f>
        <x:v>Proposal</x:v>
      </x:c>
      <x:c r="M177" s="4" t="str">
        <x:f>IFERROR(INDEX('Crafting recipes'!$E$6:$E$1005,MATCH(B177,'Crafting recipes'!$A$6:$A$1005,0)),"MISSING ID")</x:f>
        <x:v>Partial proposal</x:v>
      </x:c>
      <x:c r="N177" s="4" t="str">
        <x:v>Proposed output; quantity/yield and qualification remain undefined. Geometry, purity, current capacity and service grade remain undefined.</x:v>
      </x:c>
      <x:c r="O177" s="4" t="str">
        <x:v>New game brainstorming, October 15, 2026.</x:v>
      </x:c>
      <x:c r="P177" s="4" t="n">
        <x:f>IF(OR(C177="Ingredient candidate",C177="Consumed input",C177="Contained input",C177="Transform input"),IF(F177="T0",0,IF(F177="T1",1,IF(F177="T2",2,IF(F177="T3",3,IF(F177="T4",4,-1))))),-1)</x:f>
        <x:v>-1</x:v>
      </x:c>
      <x:c r="Q177" s="4" t="n">
        <x:f>IF(AND(OR(C177="Ingredient candidate",C177="Consumed input",C177="Contained input",C177="Transform input"),P177=-1),1,0)</x:f>
        <x:v>0</x:v>
      </x:c>
    </x:row>
    <x:row r="178" ht="105" customHeight="1">
      <x:c r="A178" s="4" t="str">
        <x:v>design.branch.branch.bearing_bronze.in.1</x:v>
      </x:c>
      <x:c r="B178" s="4" t="str">
        <x:v>design.branch.branch.bearing_bronze</x:v>
      </x:c>
      <x:c r="C178" s="4" t="str">
        <x:v>Ingredient candidate</x:v>
      </x:c>
      <x:c r="D178" s="4" t="str">
        <x:v>proposal.t1.bronze_billet</x:v>
      </x:c>
      <x:c r="E178" s="4" t="str">
        <x:f>IFERROR(INDEX('Items'!$B$6:$B$1005,MATCH(D178,'Items'!$A$6:$A$1005,0)),"MISSING ID")</x:f>
        <x:v>Reclaimed bronze billet</x:v>
      </x:c>
      <x:c r="F178" s="4" t="str">
        <x:f>IFERROR(INDEX('Items'!$C$6:$C$1005,MATCH(D178,'Items'!$A$6:$A$1005,0)),"MISSING ID")</x:f>
        <x:v>T1</x:v>
      </x:c>
      <x:c r="G178" s="4" t="str">
        <x:f>IFERROR(INDEX('Items'!$D$6:$D$1005,MATCH(D178,'Items'!$A$6:$A$1005,0)),"MISSING ID")</x:f>
        <x:v>Manufactured stock</x:v>
      </x:c>
      <x:c r="H178" s="4" t="str">
        <x:f>IFERROR(INDEX('Items'!$X$6:$X$1005,MATCH(D178,'Items'!$A$6:$A$1005,0)),"MISSING ID")</x:f>
        <x:v>Processed material</x:v>
      </x:c>
      <x:c r="I178" s="4"/>
      <x:c r="J178" s="4" t="str">
        <x:v>Unspecified</x:v>
      </x:c>
      <x:c r="K178" s="4" t="str">
        <x:f>IFERROR(INDEX('Crafting recipes'!$D$6:$D$1005,MATCH(B178,'Crafting recipes'!$A$6:$A$1005,0)),"MISSING ID")</x:f>
        <x:v>Proposal</x:v>
      </x:c>
      <x:c r="L178" s="4" t="str">
        <x:f>IFERROR(INDEX('Items'!$AD$6:$AD$1005,MATCH(D178,'Items'!$A$6:$A$1005,0)),"MISSING ID")</x:f>
        <x:v>Proposal</x:v>
      </x:c>
      <x:c r="M178" s="4" t="str">
        <x:f>IFERROR(INDEX('Crafting recipes'!$E$6:$E$1005,MATCH(B178,'Crafting recipes'!$A$6:$A$1005,0)),"MISSING ID")</x:f>
        <x:v>Partial proposal</x:v>
      </x:c>
      <x:c r="N178" s="4" t="str">
        <x:v>Candidate consumed material contribution; incomplete recipe. Composition, machining, fit and bearing performance unresolved; not a finished universal bushing.</x:v>
      </x:c>
      <x:c r="O178" s="4" t="str">
        <x:v>New game brainstorming, October 15, 2026.</x:v>
      </x:c>
      <x:c r="P178" s="4" t="n">
        <x:f>IF(OR(C178="Ingredient candidate",C178="Consumed input",C178="Contained input",C178="Transform input"),IF(F178="T0",0,IF(F178="T1",1,IF(F178="T2",2,IF(F178="T3",3,IF(F178="T4",4,-1))))),-1)</x:f>
        <x:v>1</x:v>
      </x:c>
      <x:c r="Q178" s="4" t="n">
        <x:f>IF(AND(OR(C178="Ingredient candidate",C178="Consumed input",C178="Contained input",C178="Transform input"),P178=-1),1,0)</x:f>
        <x:v>0</x:v>
      </x:c>
    </x:row>
    <x:row r="179" ht="105" customHeight="1">
      <x:c r="A179" s="4" t="str">
        <x:v>design.branch.branch.bearing_bronze.out</x:v>
      </x:c>
      <x:c r="B179" s="4" t="str">
        <x:v>design.branch.branch.bearing_bronze</x:v>
      </x:c>
      <x:c r="C179" s="4" t="str">
        <x:v>Output</x:v>
      </x:c>
      <x:c r="D179" s="4" t="str">
        <x:v>proposal.branch.bearing_bronze</x:v>
      </x:c>
      <x:c r="E179" s="4" t="str">
        <x:f>IFERROR(INDEX('Items'!$B$6:$B$1005,MATCH(D179,'Items'!$A$6:$A$1005,0)),"MISSING ID")</x:f>
        <x:v>Prepared bronze bearing stock</x:v>
      </x:c>
      <x:c r="F179" s="4" t="str">
        <x:f>IFERROR(INDEX('Items'!$C$6:$C$1005,MATCH(D179,'Items'!$A$6:$A$1005,0)),"MISSING ID")</x:f>
        <x:v>T2</x:v>
      </x:c>
      <x:c r="G179" s="4" t="str">
        <x:f>IFERROR(INDEX('Items'!$D$6:$D$1005,MATCH(D179,'Items'!$A$6:$A$1005,0)),"MISSING ID")</x:f>
        <x:v>Manufactured stock</x:v>
      </x:c>
      <x:c r="H179" s="4" t="str">
        <x:f>IFERROR(INDEX('Items'!$X$6:$X$1005,MATCH(D179,'Items'!$A$6:$A$1005,0)),"MISSING ID")</x:f>
        <x:v>Processed material</x:v>
      </x:c>
      <x:c r="I179" s="4"/>
      <x:c r="J179" s="4" t="str">
        <x:v>Unspecified</x:v>
      </x:c>
      <x:c r="K179" s="4" t="str">
        <x:f>IFERROR(INDEX('Crafting recipes'!$D$6:$D$1005,MATCH(B179,'Crafting recipes'!$A$6:$A$1005,0)),"MISSING ID")</x:f>
        <x:v>Proposal</x:v>
      </x:c>
      <x:c r="L179" s="4" t="str">
        <x:f>IFERROR(INDEX('Items'!$AD$6:$AD$1005,MATCH(D179,'Items'!$A$6:$A$1005,0)),"MISSING ID")</x:f>
        <x:v>Proposal</x:v>
      </x:c>
      <x:c r="M179" s="4" t="str">
        <x:f>IFERROR(INDEX('Crafting recipes'!$E$6:$E$1005,MATCH(B179,'Crafting recipes'!$A$6:$A$1005,0)),"MISSING ID")</x:f>
        <x:v>Partial proposal</x:v>
      </x:c>
      <x:c r="N179" s="4" t="str">
        <x:v>Proposed output; quantity/yield and qualification remain undefined. Composition, machining, fit and bearing performance unresolved; not a finished universal bushing.</x:v>
      </x:c>
      <x:c r="O179" s="4" t="str">
        <x:v>New game brainstorming, October 15, 2026.</x:v>
      </x:c>
      <x:c r="P179" s="4" t="n">
        <x:f>IF(OR(C179="Ingredient candidate",C179="Consumed input",C179="Contained input",C179="Transform input"),IF(F179="T0",0,IF(F179="T1",1,IF(F179="T2",2,IF(F179="T3",3,IF(F179="T4",4,-1))))),-1)</x:f>
        <x:v>-1</x:v>
      </x:c>
      <x:c r="Q179" s="4" t="n">
        <x:f>IF(AND(OR(C179="Ingredient candidate",C179="Consumed input",C179="Contained input",C179="Transform input"),P179=-1),1,0)</x:f>
        <x:v>0</x:v>
      </x:c>
    </x:row>
    <x:row r="180" ht="105" customHeight="1">
      <x:c r="A180" s="4" t="str">
        <x:v>design.branch.natural.ceramic.in.1</x:v>
      </x:c>
      <x:c r="B180" s="4" t="str">
        <x:v>design.branch.natural.ceramic</x:v>
      </x:c>
      <x:c r="C180" s="4" t="str">
        <x:v>Ingredient candidate</x:v>
      </x:c>
      <x:c r="D180" s="4" t="str">
        <x:v>proposal.ceramic.body_feed</x:v>
      </x:c>
      <x:c r="E180" s="4" t="str">
        <x:f>IFERROR(INDEX('Items'!$B$6:$B$1005,MATCH(D180,'Items'!$A$6:$A$1005,0)),"MISSING ID")</x:f>
        <x:v>Prepared ceramic body feed</x:v>
      </x:c>
      <x:c r="F180" s="4" t="str">
        <x:f>IFERROR(INDEX('Items'!$C$6:$C$1005,MATCH(D180,'Items'!$A$6:$A$1005,0)),"MISSING ID")</x:f>
        <x:v>T1</x:v>
      </x:c>
      <x:c r="G180" s="4" t="str">
        <x:f>IFERROR(INDEX('Items'!$D$6:$D$1005,MATCH(D180,'Items'!$A$6:$A$1005,0)),"MISSING ID")</x:f>
        <x:v>Manufactured stock</x:v>
      </x:c>
      <x:c r="H180" s="4" t="str">
        <x:f>IFERROR(INDEX('Items'!$X$6:$X$1005,MATCH(D180,'Items'!$A$6:$A$1005,0)),"MISSING ID")</x:f>
        <x:v>Processed material</x:v>
      </x:c>
      <x:c r="I180" s="4"/>
      <x:c r="J180" s="4" t="str">
        <x:v>Unspecified</x:v>
      </x:c>
      <x:c r="K180" s="4" t="str">
        <x:f>IFERROR(INDEX('Crafting recipes'!$D$6:$D$1005,MATCH(B180,'Crafting recipes'!$A$6:$A$1005,0)),"MISSING ID")</x:f>
        <x:v>Proposal</x:v>
      </x:c>
      <x:c r="L180" s="4" t="str">
        <x:f>IFERROR(INDEX('Items'!$AD$6:$AD$1005,MATCH(D180,'Items'!$A$6:$A$1005,0)),"MISSING ID")</x:f>
        <x:v>Proposal</x:v>
      </x:c>
      <x:c r="M180" s="4" t="str">
        <x:f>IFERROR(INDEX('Crafting recipes'!$E$6:$E$1005,MATCH(B180,'Crafting recipes'!$A$6:$A$1005,0)),"MISSING ID")</x:f>
        <x:v>Partial proposal</x:v>
      </x:c>
      <x:c r="N180" s="4" t="str">
        <x:v>Candidate consumed material contribution; incomplete recipe. Existing proposal reused. No ordinary water process, voltage rating or guarantee that every glaze insulates.</x:v>
      </x:c>
      <x:c r="O180" s="4" t="str">
        <x:v>New game brainstorming, October 15, 2026.</x:v>
      </x:c>
      <x:c r="P180" s="4" t="n">
        <x:f>IF(OR(C180="Ingredient candidate",C180="Consumed input",C180="Contained input",C180="Transform input"),IF(F180="T0",0,IF(F180="T1",1,IF(F180="T2",2,IF(F180="T3",3,IF(F180="T4",4,-1))))),-1)</x:f>
        <x:v>1</x:v>
      </x:c>
      <x:c r="Q180" s="4" t="n">
        <x:f>IF(AND(OR(C180="Ingredient candidate",C180="Consumed input",C180="Contained input",C180="Transform input"),P180=-1),1,0)</x:f>
        <x:v>0</x:v>
      </x:c>
    </x:row>
    <x:row r="181" ht="105" customHeight="1">
      <x:c r="A181" s="4" t="str">
        <x:v>design.branch.natural.ceramic.in.2</x:v>
      </x:c>
      <x:c r="B181" s="4" t="str">
        <x:v>design.branch.natural.ceramic</x:v>
      </x:c>
      <x:c r="C181" s="4" t="str">
        <x:v>Ingredient candidate</x:v>
      </x:c>
      <x:c r="D181" s="4" t="str">
        <x:v>proposal.ceramic.glaze_feed</x:v>
      </x:c>
      <x:c r="E181" s="4" t="str">
        <x:f>IFERROR(INDEX('Items'!$B$6:$B$1005,MATCH(D181,'Items'!$A$6:$A$1005,0)),"MISSING ID")</x:f>
        <x:v>Prepared glaze feed</x:v>
      </x:c>
      <x:c r="F181" s="4" t="str">
        <x:f>IFERROR(INDEX('Items'!$C$6:$C$1005,MATCH(D181,'Items'!$A$6:$A$1005,0)),"MISSING ID")</x:f>
        <x:v>T1</x:v>
      </x:c>
      <x:c r="G181" s="4" t="str">
        <x:f>IFERROR(INDEX('Items'!$D$6:$D$1005,MATCH(D181,'Items'!$A$6:$A$1005,0)),"MISSING ID")</x:f>
        <x:v>Manufactured stock</x:v>
      </x:c>
      <x:c r="H181" s="4" t="str">
        <x:f>IFERROR(INDEX('Items'!$X$6:$X$1005,MATCH(D181,'Items'!$A$6:$A$1005,0)),"MISSING ID")</x:f>
        <x:v>Processed material</x:v>
      </x:c>
      <x:c r="I181" s="4"/>
      <x:c r="J181" s="4" t="str">
        <x:v>Unspecified</x:v>
      </x:c>
      <x:c r="K181" s="4" t="str">
        <x:f>IFERROR(INDEX('Crafting recipes'!$D$6:$D$1005,MATCH(B181,'Crafting recipes'!$A$6:$A$1005,0)),"MISSING ID")</x:f>
        <x:v>Proposal</x:v>
      </x:c>
      <x:c r="L181" s="4" t="str">
        <x:f>IFERROR(INDEX('Items'!$AD$6:$AD$1005,MATCH(D181,'Items'!$A$6:$A$1005,0)),"MISSING ID")</x:f>
        <x:v>Proposal</x:v>
      </x:c>
      <x:c r="M181" s="4" t="str">
        <x:f>IFERROR(INDEX('Crafting recipes'!$E$6:$E$1005,MATCH(B181,'Crafting recipes'!$A$6:$A$1005,0)),"MISSING ID")</x:f>
        <x:v>Partial proposal</x:v>
      </x:c>
      <x:c r="N181" s="4" t="str">
        <x:v>Candidate consumed material contribution; incomplete recipe. Existing proposal reused. No ordinary water process, voltage rating or guarantee that every glaze insulates.</x:v>
      </x:c>
      <x:c r="O181" s="4" t="str">
        <x:v>New game brainstorming, October 15, 2026.</x:v>
      </x:c>
      <x:c r="P181" s="4" t="n">
        <x:f>IF(OR(C181="Ingredient candidate",C181="Consumed input",C181="Contained input",C181="Transform input"),IF(F181="T0",0,IF(F181="T1",1,IF(F181="T2",2,IF(F181="T3",3,IF(F181="T4",4,-1))))),-1)</x:f>
        <x:v>1</x:v>
      </x:c>
      <x:c r="Q181" s="4" t="n">
        <x:f>IF(AND(OR(C181="Ingredient candidate",C181="Consumed input",C181="Contained input",C181="Transform input"),P181=-1),1,0)</x:f>
        <x:v>0</x:v>
      </x:c>
    </x:row>
    <x:row r="182" ht="105" customHeight="1">
      <x:c r="A182" s="4" t="str">
        <x:v>design.branch.natural.ceramic.out</x:v>
      </x:c>
      <x:c r="B182" s="4" t="str">
        <x:v>design.branch.natural.ceramic</x:v>
      </x:c>
      <x:c r="C182" s="4" t="str">
        <x:v>Output</x:v>
      </x:c>
      <x:c r="D182" s="4" t="str">
        <x:v>proposal.natural.ceramic</x:v>
      </x:c>
      <x:c r="E182" s="4" t="str">
        <x:f>IFERROR(INDEX('Items'!$B$6:$B$1005,MATCH(D182,'Items'!$A$6:$A$1005,0)),"MISSING ID")</x:f>
        <x:v>Insulating ceramic blanks</x:v>
      </x:c>
      <x:c r="F182" s="4" t="str">
        <x:f>IFERROR(INDEX('Items'!$C$6:$C$1005,MATCH(D182,'Items'!$A$6:$A$1005,0)),"MISSING ID")</x:f>
        <x:v>T2</x:v>
      </x:c>
      <x:c r="G182" s="4" t="str">
        <x:f>IFERROR(INDEX('Items'!$D$6:$D$1005,MATCH(D182,'Items'!$A$6:$A$1005,0)),"MISSING ID")</x:f>
        <x:v>Manufactured stock</x:v>
      </x:c>
      <x:c r="H182" s="4" t="str">
        <x:f>IFERROR(INDEX('Items'!$X$6:$X$1005,MATCH(D182,'Items'!$A$6:$A$1005,0)),"MISSING ID")</x:f>
        <x:v>Processed material</x:v>
      </x:c>
      <x:c r="I182" s="4"/>
      <x:c r="J182" s="4" t="str">
        <x:v>Unspecified</x:v>
      </x:c>
      <x:c r="K182" s="4" t="str">
        <x:f>IFERROR(INDEX('Crafting recipes'!$D$6:$D$1005,MATCH(B182,'Crafting recipes'!$A$6:$A$1005,0)),"MISSING ID")</x:f>
        <x:v>Proposal</x:v>
      </x:c>
      <x:c r="L182" s="4" t="str">
        <x:f>IFERROR(INDEX('Items'!$AD$6:$AD$1005,MATCH(D182,'Items'!$A$6:$A$1005,0)),"MISSING ID")</x:f>
        <x:v>Proposal</x:v>
      </x:c>
      <x:c r="M182" s="4" t="str">
        <x:f>IFERROR(INDEX('Crafting recipes'!$E$6:$E$1005,MATCH(B182,'Crafting recipes'!$A$6:$A$1005,0)),"MISSING ID")</x:f>
        <x:v>Partial proposal</x:v>
      </x:c>
      <x:c r="N182" s="4" t="str">
        <x:v>Proposed output; quantity/yield and qualification remain undefined. Existing proposal reused. No ordinary water process, voltage rating or guarantee that every glaze insulates.</x:v>
      </x:c>
      <x:c r="O182" s="4" t="str">
        <x:v>New game brainstorming, October 15, 2026.</x:v>
      </x:c>
      <x:c r="P182" s="4" t="n">
        <x:f>IF(OR(C182="Ingredient candidate",C182="Consumed input",C182="Contained input",C182="Transform input"),IF(F182="T0",0,IF(F182="T1",1,IF(F182="T2",2,IF(F182="T3",3,IF(F182="T4",4,-1))))),-1)</x:f>
        <x:v>-1</x:v>
      </x:c>
      <x:c r="Q182" s="4" t="n">
        <x:f>IF(AND(OR(C182="Ingredient candidate",C182="Consumed input",C182="Contained input",C182="Transform input"),P182=-1),1,0)</x:f>
        <x:v>0</x:v>
      </x:c>
    </x:row>
    <x:row r="183" ht="105" customHeight="1">
      <x:c r="A183" s="4" t="str">
        <x:v>design.branch.branch.refractory_ceramic.in.1</x:v>
      </x:c>
      <x:c r="B183" s="4" t="str">
        <x:v>design.branch.branch.refractory_ceramic</x:v>
      </x:c>
      <x:c r="C183" s="4" t="str">
        <x:v>Ingredient candidate</x:v>
      </x:c>
      <x:c r="D183" s="4" t="str">
        <x:v>proposal.branch.refractory_feed</x:v>
      </x:c>
      <x:c r="E183" s="4" t="str">
        <x:f>IFERROR(INDEX('Items'!$B$6:$B$1005,MATCH(D183,'Items'!$A$6:$A$1005,0)),"MISSING ID")</x:f>
        <x:v>Graded refractory mineral feed</x:v>
      </x:c>
      <x:c r="F183" s="4" t="str">
        <x:f>IFERROR(INDEX('Items'!$C$6:$C$1005,MATCH(D183,'Items'!$A$6:$A$1005,0)),"MISSING ID")</x:f>
        <x:v>T1</x:v>
      </x:c>
      <x:c r="G183" s="4" t="str">
        <x:f>IFERROR(INDEX('Items'!$D$6:$D$1005,MATCH(D183,'Items'!$A$6:$A$1005,0)),"MISSING ID")</x:f>
        <x:v>Manufactured stock</x:v>
      </x:c>
      <x:c r="H183" s="4" t="str">
        <x:f>IFERROR(INDEX('Items'!$X$6:$X$1005,MATCH(D183,'Items'!$A$6:$A$1005,0)),"MISSING ID")</x:f>
        <x:v>Processed material</x:v>
      </x:c>
      <x:c r="I183" s="4"/>
      <x:c r="J183" s="4" t="str">
        <x:v>Unspecified</x:v>
      </x:c>
      <x:c r="K183" s="4" t="str">
        <x:f>IFERROR(INDEX('Crafting recipes'!$D$6:$D$1005,MATCH(B183,'Crafting recipes'!$A$6:$A$1005,0)),"MISSING ID")</x:f>
        <x:v>Proposal</x:v>
      </x:c>
      <x:c r="L183" s="4" t="str">
        <x:f>IFERROR(INDEX('Items'!$AD$6:$AD$1005,MATCH(D183,'Items'!$A$6:$A$1005,0)),"MISSING ID")</x:f>
        <x:v>Proposal</x:v>
      </x:c>
      <x:c r="M183" s="4" t="str">
        <x:f>IFERROR(INDEX('Crafting recipes'!$E$6:$E$1005,MATCH(B183,'Crafting recipes'!$A$6:$A$1005,0)),"MISSING ID")</x:f>
        <x:v>Partial proposal</x:v>
      </x:c>
      <x:c r="N183" s="4" t="str">
        <x:v>Candidate consumed material contribution; incomplete recipe. Binder compatibility, firing atmosphere, thermal shock and temperature limits require design; no free-water mix assumed.</x:v>
      </x:c>
      <x:c r="O183" s="4" t="str">
        <x:v>New game brainstorming, October 15, 2026.</x:v>
      </x:c>
      <x:c r="P183" s="4" t="n">
        <x:f>IF(OR(C183="Ingredient candidate",C183="Consumed input",C183="Contained input",C183="Transform input"),IF(F183="T0",0,IF(F183="T1",1,IF(F183="T2",2,IF(F183="T3",3,IF(F183="T4",4,-1))))),-1)</x:f>
        <x:v>1</x:v>
      </x:c>
      <x:c r="Q183" s="4" t="n">
        <x:f>IF(AND(OR(C183="Ingredient candidate",C183="Consumed input",C183="Contained input",C183="Transform input"),P183=-1),1,0)</x:f>
        <x:v>0</x:v>
      </x:c>
    </x:row>
    <x:row r="184" ht="105" customHeight="1">
      <x:c r="A184" s="4" t="str">
        <x:v>design.branch.branch.refractory_ceramic.in.2</x:v>
      </x:c>
      <x:c r="B184" s="4" t="str">
        <x:v>design.branch.branch.refractory_ceramic</x:v>
      </x:c>
      <x:c r="C184" s="4" t="str">
        <x:v>Ingredient candidate</x:v>
      </x:c>
      <x:c r="D184" s="4" t="str">
        <x:v>proposal.ceramic.grog</x:v>
      </x:c>
      <x:c r="E184" s="4" t="str">
        <x:f>IFERROR(INDEX('Items'!$B$6:$B$1005,MATCH(D184,'Items'!$A$6:$A$1005,0)),"MISSING ID")</x:f>
        <x:v>Crushed fired ceramic grit</x:v>
      </x:c>
      <x:c r="F184" s="4" t="str">
        <x:f>IFERROR(INDEX('Items'!$C$6:$C$1005,MATCH(D184,'Items'!$A$6:$A$1005,0)),"MISSING ID")</x:f>
        <x:v>T1</x:v>
      </x:c>
      <x:c r="G184" s="4" t="str">
        <x:f>IFERROR(INDEX('Items'!$D$6:$D$1005,MATCH(D184,'Items'!$A$6:$A$1005,0)),"MISSING ID")</x:f>
        <x:v>Manufactured stock</x:v>
      </x:c>
      <x:c r="H184" s="4" t="str">
        <x:f>IFERROR(INDEX('Items'!$X$6:$X$1005,MATCH(D184,'Items'!$A$6:$A$1005,0)),"MISSING ID")</x:f>
        <x:v>Processed material</x:v>
      </x:c>
      <x:c r="I184" s="4"/>
      <x:c r="J184" s="4" t="str">
        <x:v>Unspecified</x:v>
      </x:c>
      <x:c r="K184" s="4" t="str">
        <x:f>IFERROR(INDEX('Crafting recipes'!$D$6:$D$1005,MATCH(B184,'Crafting recipes'!$A$6:$A$1005,0)),"MISSING ID")</x:f>
        <x:v>Proposal</x:v>
      </x:c>
      <x:c r="L184" s="4" t="str">
        <x:f>IFERROR(INDEX('Items'!$AD$6:$AD$1005,MATCH(D184,'Items'!$A$6:$A$1005,0)),"MISSING ID")</x:f>
        <x:v>Proposal</x:v>
      </x:c>
      <x:c r="M184" s="4" t="str">
        <x:f>IFERROR(INDEX('Crafting recipes'!$E$6:$E$1005,MATCH(B184,'Crafting recipes'!$A$6:$A$1005,0)),"MISSING ID")</x:f>
        <x:v>Partial proposal</x:v>
      </x:c>
      <x:c r="N184" s="4" t="str">
        <x:v>Candidate consumed material contribution; incomplete recipe. Binder compatibility, firing atmosphere, thermal shock and temperature limits require design; no free-water mix assumed.</x:v>
      </x:c>
      <x:c r="O184" s="4" t="str">
        <x:v>New game brainstorming, October 15, 2026.</x:v>
      </x:c>
      <x:c r="P184" s="4" t="n">
        <x:f>IF(OR(C184="Ingredient candidate",C184="Consumed input",C184="Contained input",C184="Transform input"),IF(F184="T0",0,IF(F184="T1",1,IF(F184="T2",2,IF(F184="T3",3,IF(F184="T4",4,-1))))),-1)</x:f>
        <x:v>1</x:v>
      </x:c>
      <x:c r="Q184" s="4" t="n">
        <x:f>IF(AND(OR(C184="Ingredient candidate",C184="Consumed input",C184="Contained input",C184="Transform input"),P184=-1),1,0)</x:f>
        <x:v>0</x:v>
      </x:c>
    </x:row>
    <x:row r="185" ht="105" customHeight="1">
      <x:c r="A185" s="4" t="str">
        <x:v>design.branch.branch.refractory_ceramic.in.3</x:v>
      </x:c>
      <x:c r="B185" s="4" t="str">
        <x:v>design.branch.branch.refractory_ceramic</x:v>
      </x:c>
      <x:c r="C185" s="4" t="str">
        <x:v>Ingredient candidate</x:v>
      </x:c>
      <x:c r="D185" s="4" t="str">
        <x:v>proposal.natural.lime</x:v>
      </x:c>
      <x:c r="E185" s="4" t="str">
        <x:f>IFERROR(INDEX('Items'!$B$6:$B$1005,MATCH(D185,'Items'!$A$6:$A$1005,0)),"MISSING ID")</x:f>
        <x:v>Calcined mineral binder</x:v>
      </x:c>
      <x:c r="F185" s="4" t="str">
        <x:f>IFERROR(INDEX('Items'!$C$6:$C$1005,MATCH(D185,'Items'!$A$6:$A$1005,0)),"MISSING ID")</x:f>
        <x:v>T1</x:v>
      </x:c>
      <x:c r="G185" s="4" t="str">
        <x:f>IFERROR(INDEX('Items'!$D$6:$D$1005,MATCH(D185,'Items'!$A$6:$A$1005,0)),"MISSING ID")</x:f>
        <x:v>Manufactured stock</x:v>
      </x:c>
      <x:c r="H185" s="4" t="str">
        <x:f>IFERROR(INDEX('Items'!$X$6:$X$1005,MATCH(D185,'Items'!$A$6:$A$1005,0)),"MISSING ID")</x:f>
        <x:v>Processed material</x:v>
      </x:c>
      <x:c r="I185" s="4"/>
      <x:c r="J185" s="4" t="str">
        <x:v>Unspecified</x:v>
      </x:c>
      <x:c r="K185" s="4" t="str">
        <x:f>IFERROR(INDEX('Crafting recipes'!$D$6:$D$1005,MATCH(B185,'Crafting recipes'!$A$6:$A$1005,0)),"MISSING ID")</x:f>
        <x:v>Proposal</x:v>
      </x:c>
      <x:c r="L185" s="4" t="str">
        <x:f>IFERROR(INDEX('Items'!$AD$6:$AD$1005,MATCH(D185,'Items'!$A$6:$A$1005,0)),"MISSING ID")</x:f>
        <x:v>Proposal</x:v>
      </x:c>
      <x:c r="M185" s="4" t="str">
        <x:f>IFERROR(INDEX('Crafting recipes'!$E$6:$E$1005,MATCH(B185,'Crafting recipes'!$A$6:$A$1005,0)),"MISSING ID")</x:f>
        <x:v>Partial proposal</x:v>
      </x:c>
      <x:c r="N185" s="4" t="str">
        <x:v>Candidate consumed material contribution; incomplete recipe. Binder compatibility, firing atmosphere, thermal shock and temperature limits require design; no free-water mix assumed.</x:v>
      </x:c>
      <x:c r="O185" s="4" t="str">
        <x:v>New game brainstorming, October 15, 2026.</x:v>
      </x:c>
      <x:c r="P185" s="4" t="n">
        <x:f>IF(OR(C185="Ingredient candidate",C185="Consumed input",C185="Contained input",C185="Transform input"),IF(F185="T0",0,IF(F185="T1",1,IF(F185="T2",2,IF(F185="T3",3,IF(F185="T4",4,-1))))),-1)</x:f>
        <x:v>1</x:v>
      </x:c>
      <x:c r="Q185" s="4" t="n">
        <x:f>IF(AND(OR(C185="Ingredient candidate",C185="Consumed input",C185="Contained input",C185="Transform input"),P185=-1),1,0)</x:f>
        <x:v>0</x:v>
      </x:c>
    </x:row>
    <x:row r="186" ht="105" customHeight="1">
      <x:c r="A186" s="4" t="str">
        <x:v>design.branch.branch.refractory_ceramic.out</x:v>
      </x:c>
      <x:c r="B186" s="4" t="str">
        <x:v>design.branch.branch.refractory_ceramic</x:v>
      </x:c>
      <x:c r="C186" s="4" t="str">
        <x:v>Output</x:v>
      </x:c>
      <x:c r="D186" s="4" t="str">
        <x:v>proposal.branch.refractory_ceramic</x:v>
      </x:c>
      <x:c r="E186" s="4" t="str">
        <x:f>IFERROR(INDEX('Items'!$B$6:$B$1005,MATCH(D186,'Items'!$A$6:$A$1005,0)),"MISSING ID")</x:f>
        <x:v>Refractory ceramic stock</x:v>
      </x:c>
      <x:c r="F186" s="4" t="str">
        <x:f>IFERROR(INDEX('Items'!$C$6:$C$1005,MATCH(D186,'Items'!$A$6:$A$1005,0)),"MISSING ID")</x:f>
        <x:v>T2</x:v>
      </x:c>
      <x:c r="G186" s="4" t="str">
        <x:f>IFERROR(INDEX('Items'!$D$6:$D$1005,MATCH(D186,'Items'!$A$6:$A$1005,0)),"MISSING ID")</x:f>
        <x:v>Manufactured stock</x:v>
      </x:c>
      <x:c r="H186" s="4" t="str">
        <x:f>IFERROR(INDEX('Items'!$X$6:$X$1005,MATCH(D186,'Items'!$A$6:$A$1005,0)),"MISSING ID")</x:f>
        <x:v>Processed material</x:v>
      </x:c>
      <x:c r="I186" s="4"/>
      <x:c r="J186" s="4" t="str">
        <x:v>Unspecified</x:v>
      </x:c>
      <x:c r="K186" s="4" t="str">
        <x:f>IFERROR(INDEX('Crafting recipes'!$D$6:$D$1005,MATCH(B186,'Crafting recipes'!$A$6:$A$1005,0)),"MISSING ID")</x:f>
        <x:v>Proposal</x:v>
      </x:c>
      <x:c r="L186" s="4" t="str">
        <x:f>IFERROR(INDEX('Items'!$AD$6:$AD$1005,MATCH(D186,'Items'!$A$6:$A$1005,0)),"MISSING ID")</x:f>
        <x:v>Proposal</x:v>
      </x:c>
      <x:c r="M186" s="4" t="str">
        <x:f>IFERROR(INDEX('Crafting recipes'!$E$6:$E$1005,MATCH(B186,'Crafting recipes'!$A$6:$A$1005,0)),"MISSING ID")</x:f>
        <x:v>Partial proposal</x:v>
      </x:c>
      <x:c r="N186" s="4" t="str">
        <x:v>Proposed output; quantity/yield and qualification remain undefined. Binder compatibility, firing atmosphere, thermal shock and temperature limits require design; no free-water mix assumed.</x:v>
      </x:c>
      <x:c r="O186" s="4" t="str">
        <x:v>New game brainstorming, October 15, 2026.</x:v>
      </x:c>
      <x:c r="P186" s="4" t="n">
        <x:f>IF(OR(C186="Ingredient candidate",C186="Consumed input",C186="Contained input",C186="Transform input"),IF(F186="T0",0,IF(F186="T1",1,IF(F186="T2",2,IF(F186="T3",3,IF(F186="T4",4,-1))))),-1)</x:f>
        <x:v>-1</x:v>
      </x:c>
      <x:c r="Q186" s="4" t="n">
        <x:f>IF(AND(OR(C186="Ingredient candidate",C186="Consumed input",C186="Contained input",C186="Transform input"),P186=-1),1,0)</x:f>
        <x:v>0</x:v>
      </x:c>
    </x:row>
    <x:row r="187" ht="105" customHeight="1">
      <x:c r="A187" s="4" t="str">
        <x:v>design.branch.branch.opaque_sheet.in.1</x:v>
      </x:c>
      <x:c r="B187" s="4" t="str">
        <x:v>design.branch.branch.opaque_sheet</x:v>
      </x:c>
      <x:c r="C187" s="4" t="str">
        <x:v>Ingredient candidate</x:v>
      </x:c>
      <x:c r="D187" s="4" t="str">
        <x:v>proposal.t1.opaque_glass</x:v>
      </x:c>
      <x:c r="E187" s="4" t="str">
        <x:f>IFERROR(INDEX('Items'!$B$6:$B$1005,MATCH(D187,'Items'!$A$6:$A$1005,0)),"MISSING ID")</x:f>
        <x:v>Opaque mineral-glass stock</x:v>
      </x:c>
      <x:c r="F187" s="4" t="str">
        <x:f>IFERROR(INDEX('Items'!$C$6:$C$1005,MATCH(D187,'Items'!$A$6:$A$1005,0)),"MISSING ID")</x:f>
        <x:v>T1</x:v>
      </x:c>
      <x:c r="G187" s="4" t="str">
        <x:f>IFERROR(INDEX('Items'!$D$6:$D$1005,MATCH(D187,'Items'!$A$6:$A$1005,0)),"MISSING ID")</x:f>
        <x:v>Manufactured stock</x:v>
      </x:c>
      <x:c r="H187" s="4" t="str">
        <x:f>IFERROR(INDEX('Items'!$X$6:$X$1005,MATCH(D187,'Items'!$A$6:$A$1005,0)),"MISSING ID")</x:f>
        <x:v>Processed material</x:v>
      </x:c>
      <x:c r="I187" s="4"/>
      <x:c r="J187" s="4" t="str">
        <x:v>Unspecified</x:v>
      </x:c>
      <x:c r="K187" s="4" t="str">
        <x:f>IFERROR(INDEX('Crafting recipes'!$D$6:$D$1005,MATCH(B187,'Crafting recipes'!$A$6:$A$1005,0)),"MISSING ID")</x:f>
        <x:v>Proposal</x:v>
      </x:c>
      <x:c r="L187" s="4" t="str">
        <x:f>IFERROR(INDEX('Items'!$AD$6:$AD$1005,MATCH(D187,'Items'!$A$6:$A$1005,0)),"MISSING ID")</x:f>
        <x:v>Proposal</x:v>
      </x:c>
      <x:c r="M187" s="4" t="str">
        <x:f>IFERROR(INDEX('Crafting recipes'!$E$6:$E$1005,MATCH(B187,'Crafting recipes'!$A$6:$A$1005,0)),"MISSING ID")</x:f>
        <x:v>Partial proposal</x:v>
      </x:c>
      <x:c r="N187" s="4" t="str">
        <x:v>Candidate consumed material contribution; incomplete recipe. Dimensions, impact behavior, forming equipment and annealing process remain open.</x:v>
      </x:c>
      <x:c r="O187" s="4" t="str">
        <x:v>New game brainstorming, October 15, 2026.</x:v>
      </x:c>
      <x:c r="P187" s="4" t="n">
        <x:f>IF(OR(C187="Ingredient candidate",C187="Consumed input",C187="Contained input",C187="Transform input"),IF(F187="T0",0,IF(F187="T1",1,IF(F187="T2",2,IF(F187="T3",3,IF(F187="T4",4,-1))))),-1)</x:f>
        <x:v>1</x:v>
      </x:c>
      <x:c r="Q187" s="4" t="n">
        <x:f>IF(AND(OR(C187="Ingredient candidate",C187="Consumed input",C187="Contained input",C187="Transform input"),P187=-1),1,0)</x:f>
        <x:v>0</x:v>
      </x:c>
    </x:row>
    <x:row r="188" ht="105" customHeight="1">
      <x:c r="A188" s="4" t="str">
        <x:v>design.branch.branch.opaque_sheet.out</x:v>
      </x:c>
      <x:c r="B188" s="4" t="str">
        <x:v>design.branch.branch.opaque_sheet</x:v>
      </x:c>
      <x:c r="C188" s="4" t="str">
        <x:v>Output</x:v>
      </x:c>
      <x:c r="D188" s="4" t="str">
        <x:v>proposal.branch.opaque_sheet</x:v>
      </x:c>
      <x:c r="E188" s="4" t="str">
        <x:f>IFERROR(INDEX('Items'!$B$6:$B$1005,MATCH(D188,'Items'!$A$6:$A$1005,0)),"MISSING ID")</x:f>
        <x:v>Formed opaque glass sheet</x:v>
      </x:c>
      <x:c r="F188" s="4" t="str">
        <x:f>IFERROR(INDEX('Items'!$C$6:$C$1005,MATCH(D188,'Items'!$A$6:$A$1005,0)),"MISSING ID")</x:f>
        <x:v>T2</x:v>
      </x:c>
      <x:c r="G188" s="4" t="str">
        <x:f>IFERROR(INDEX('Items'!$D$6:$D$1005,MATCH(D188,'Items'!$A$6:$A$1005,0)),"MISSING ID")</x:f>
        <x:v>Manufactured stock</x:v>
      </x:c>
      <x:c r="H188" s="4" t="str">
        <x:f>IFERROR(INDEX('Items'!$X$6:$X$1005,MATCH(D188,'Items'!$A$6:$A$1005,0)),"MISSING ID")</x:f>
        <x:v>Processed material</x:v>
      </x:c>
      <x:c r="I188" s="4"/>
      <x:c r="J188" s="4" t="str">
        <x:v>Unspecified</x:v>
      </x:c>
      <x:c r="K188" s="4" t="str">
        <x:f>IFERROR(INDEX('Crafting recipes'!$D$6:$D$1005,MATCH(B188,'Crafting recipes'!$A$6:$A$1005,0)),"MISSING ID")</x:f>
        <x:v>Proposal</x:v>
      </x:c>
      <x:c r="L188" s="4" t="str">
        <x:f>IFERROR(INDEX('Items'!$AD$6:$AD$1005,MATCH(D188,'Items'!$A$6:$A$1005,0)),"MISSING ID")</x:f>
        <x:v>Proposal</x:v>
      </x:c>
      <x:c r="M188" s="4" t="str">
        <x:f>IFERROR(INDEX('Crafting recipes'!$E$6:$E$1005,MATCH(B188,'Crafting recipes'!$A$6:$A$1005,0)),"MISSING ID")</x:f>
        <x:v>Partial proposal</x:v>
      </x:c>
      <x:c r="N188" s="4" t="str">
        <x:v>Proposed output; quantity/yield and qualification remain undefined. Dimensions, impact behavior, forming equipment and annealing process remain open.</x:v>
      </x:c>
      <x:c r="O188" s="4" t="str">
        <x:v>New game brainstorming, October 15, 2026.</x:v>
      </x:c>
      <x:c r="P188" s="4" t="n">
        <x:f>IF(OR(C188="Ingredient candidate",C188="Consumed input",C188="Contained input",C188="Transform input"),IF(F188="T0",0,IF(F188="T1",1,IF(F188="T2",2,IF(F188="T3",3,IF(F188="T4",4,-1))))),-1)</x:f>
        <x:v>-1</x:v>
      </x:c>
      <x:c r="Q188" s="4" t="n">
        <x:f>IF(AND(OR(C188="Ingredient candidate",C188="Consumed input",C188="Contained input",C188="Transform input"),P188=-1),1,0)</x:f>
        <x:v>0</x:v>
      </x:c>
    </x:row>
    <x:row r="189" ht="105" customHeight="1">
      <x:c r="A189" s="4" t="str">
        <x:v>design.branch.branch.viewing_glass.in.1</x:v>
      </x:c>
      <x:c r="B189" s="4" t="str">
        <x:v>design.branch.branch.viewing_glass</x:v>
      </x:c>
      <x:c r="C189" s="4" t="str">
        <x:v>Ingredient candidate</x:v>
      </x:c>
      <x:c r="D189" s="4" t="str">
        <x:v>proposal.t1.clear_glass_blank</x:v>
      </x:c>
      <x:c r="E189" s="4" t="str">
        <x:f>IFERROR(INDEX('Items'!$B$6:$B$1005,MATCH(D189,'Items'!$A$6:$A$1005,0)),"MISSING ID")</x:f>
        <x:v>Rough clear-glass blank</x:v>
      </x:c>
      <x:c r="F189" s="4" t="str">
        <x:f>IFERROR(INDEX('Items'!$C$6:$C$1005,MATCH(D189,'Items'!$A$6:$A$1005,0)),"MISSING ID")</x:f>
        <x:v>T1</x:v>
      </x:c>
      <x:c r="G189" s="4" t="str">
        <x:f>IFERROR(INDEX('Items'!$D$6:$D$1005,MATCH(D189,'Items'!$A$6:$A$1005,0)),"MISSING ID")</x:f>
        <x:v>Manufactured stock</x:v>
      </x:c>
      <x:c r="H189" s="4" t="str">
        <x:f>IFERROR(INDEX('Items'!$X$6:$X$1005,MATCH(D189,'Items'!$A$6:$A$1005,0)),"MISSING ID")</x:f>
        <x:v>Processed material</x:v>
      </x:c>
      <x:c r="I189" s="4"/>
      <x:c r="J189" s="4" t="str">
        <x:v>Unspecified</x:v>
      </x:c>
      <x:c r="K189" s="4" t="str">
        <x:f>IFERROR(INDEX('Crafting recipes'!$D$6:$D$1005,MATCH(B189,'Crafting recipes'!$A$6:$A$1005,0)),"MISSING ID")</x:f>
        <x:v>Proposal</x:v>
      </x:c>
      <x:c r="L189" s="4" t="str">
        <x:f>IFERROR(INDEX('Items'!$AD$6:$AD$1005,MATCH(D189,'Items'!$A$6:$A$1005,0)),"MISSING ID")</x:f>
        <x:v>Proposal</x:v>
      </x:c>
      <x:c r="M189" s="4" t="str">
        <x:f>IFERROR(INDEX('Crafting recipes'!$E$6:$E$1005,MATCH(B189,'Crafting recipes'!$A$6:$A$1005,0)),"MISSING ID")</x:f>
        <x:v>Partial proposal</x:v>
      </x:c>
      <x:c r="N189" s="4" t="str">
        <x:v>Candidate consumed material contribution; incomplete recipe. A specialist candidate stock, not finished spectacles or proof of optical-grade purity.</x:v>
      </x:c>
      <x:c r="O189" s="4" t="str">
        <x:v>New game brainstorming, October 15, 2026.</x:v>
      </x:c>
      <x:c r="P189" s="4" t="n">
        <x:f>IF(OR(C189="Ingredient candidate",C189="Consumed input",C189="Contained input",C189="Transform input"),IF(F189="T0",0,IF(F189="T1",1,IF(F189="T2",2,IF(F189="T3",3,IF(F189="T4",4,-1))))),-1)</x:f>
        <x:v>1</x:v>
      </x:c>
      <x:c r="Q189" s="4" t="n">
        <x:f>IF(AND(OR(C189="Ingredient candidate",C189="Consumed input",C189="Contained input",C189="Transform input"),P189=-1),1,0)</x:f>
        <x:v>0</x:v>
      </x:c>
    </x:row>
    <x:row r="190" ht="105" customHeight="1">
      <x:c r="A190" s="4" t="str">
        <x:v>design.branch.branch.viewing_glass.out</x:v>
      </x:c>
      <x:c r="B190" s="4" t="str">
        <x:v>design.branch.branch.viewing_glass</x:v>
      </x:c>
      <x:c r="C190" s="4" t="str">
        <x:v>Output</x:v>
      </x:c>
      <x:c r="D190" s="4" t="str">
        <x:v>proposal.branch.viewing_glass</x:v>
      </x:c>
      <x:c r="E190" s="4" t="str">
        <x:f>IFERROR(INDEX('Items'!$B$6:$B$1005,MATCH(D190,'Items'!$A$6:$A$1005,0)),"MISSING ID")</x:f>
        <x:v>Selected viewing-glass stock</x:v>
      </x:c>
      <x:c r="F190" s="4" t="str">
        <x:f>IFERROR(INDEX('Items'!$C$6:$C$1005,MATCH(D190,'Items'!$A$6:$A$1005,0)),"MISSING ID")</x:f>
        <x:v>T2</x:v>
      </x:c>
      <x:c r="G190" s="4" t="str">
        <x:f>IFERROR(INDEX('Items'!$D$6:$D$1005,MATCH(D190,'Items'!$A$6:$A$1005,0)),"MISSING ID")</x:f>
        <x:v>Manufactured stock</x:v>
      </x:c>
      <x:c r="H190" s="4" t="str">
        <x:f>IFERROR(INDEX('Items'!$X$6:$X$1005,MATCH(D190,'Items'!$A$6:$A$1005,0)),"MISSING ID")</x:f>
        <x:v>Processed material</x:v>
      </x:c>
      <x:c r="I190" s="4"/>
      <x:c r="J190" s="4" t="str">
        <x:v>Unspecified</x:v>
      </x:c>
      <x:c r="K190" s="4" t="str">
        <x:f>IFERROR(INDEX('Crafting recipes'!$D$6:$D$1005,MATCH(B190,'Crafting recipes'!$A$6:$A$1005,0)),"MISSING ID")</x:f>
        <x:v>Proposal</x:v>
      </x:c>
      <x:c r="L190" s="4" t="str">
        <x:f>IFERROR(INDEX('Items'!$AD$6:$AD$1005,MATCH(D190,'Items'!$A$6:$A$1005,0)),"MISSING ID")</x:f>
        <x:v>Proposal</x:v>
      </x:c>
      <x:c r="M190" s="4" t="str">
        <x:f>IFERROR(INDEX('Crafting recipes'!$E$6:$E$1005,MATCH(B190,'Crafting recipes'!$A$6:$A$1005,0)),"MISSING ID")</x:f>
        <x:v>Partial proposal</x:v>
      </x:c>
      <x:c r="N190" s="4" t="str">
        <x:v>Proposed output; quantity/yield and qualification remain undefined. A specialist candidate stock, not finished spectacles or proof of optical-grade purity.</x:v>
      </x:c>
      <x:c r="O190" s="4" t="str">
        <x:v>New game brainstorming, October 15, 2026.</x:v>
      </x:c>
      <x:c r="P190" s="4" t="n">
        <x:f>IF(OR(C190="Ingredient candidate",C190="Consumed input",C190="Contained input",C190="Transform input"),IF(F190="T0",0,IF(F190="T1",1,IF(F190="T2",2,IF(F190="T3",3,IF(F190="T4",4,-1))))),-1)</x:f>
        <x:v>-1</x:v>
      </x:c>
      <x:c r="Q190" s="4" t="n">
        <x:f>IF(AND(OR(C190="Ingredient candidate",C190="Consumed input",C190="Contained input",C190="Transform input"),P190=-1),1,0)</x:f>
        <x:v>0</x:v>
      </x:c>
    </x:row>
    <x:row r="191" ht="105" customHeight="1">
      <x:c r="A191" s="4" t="str">
        <x:v>design.branch.branch.husk_sheet.in.1</x:v>
      </x:c>
      <x:c r="B191" s="4" t="str">
        <x:v>design.branch.branch.husk_sheet</x:v>
      </x:c>
      <x:c r="C191" s="4" t="str">
        <x:v>Ingredient candidate</x:v>
      </x:c>
      <x:c r="D191" s="4" t="str">
        <x:v>proposal.bio.pressed_husk</x:v>
      </x:c>
      <x:c r="E191" s="4" t="str">
        <x:f>IFERROR(INDEX('Items'!$B$6:$B$1005,MATCH(D191,'Items'!$A$6:$A$1005,0)),"MISSING ID")</x:f>
        <x:v>Pressed husk-fiber textile material</x:v>
      </x:c>
      <x:c r="F191" s="4" t="str">
        <x:f>IFERROR(INDEX('Items'!$C$6:$C$1005,MATCH(D191,'Items'!$A$6:$A$1005,0)),"MISSING ID")</x:f>
        <x:v>T1</x:v>
      </x:c>
      <x:c r="G191" s="4" t="str">
        <x:f>IFERROR(INDEX('Items'!$D$6:$D$1005,MATCH(D191,'Items'!$A$6:$A$1005,0)),"MISSING ID")</x:f>
        <x:v>Crafting components</x:v>
      </x:c>
      <x:c r="H191" s="4" t="str">
        <x:f>IFERROR(INDEX('Items'!$X$6:$X$1005,MATCH(D191,'Items'!$A$6:$A$1005,0)),"MISSING ID")</x:f>
        <x:v>Processed material</x:v>
      </x:c>
      <x:c r="I191" s="4"/>
      <x:c r="J191" s="4" t="str">
        <x:v>Unspecified</x:v>
      </x:c>
      <x:c r="K191" s="4" t="str">
        <x:f>IFERROR(INDEX('Crafting recipes'!$D$6:$D$1005,MATCH(B191,'Crafting recipes'!$A$6:$A$1005,0)),"MISSING ID")</x:f>
        <x:v>Proposal</x:v>
      </x:c>
      <x:c r="L191" s="4" t="str">
        <x:f>IFERROR(INDEX('Items'!$AD$6:$AD$1005,MATCH(D191,'Items'!$A$6:$A$1005,0)),"MISSING ID")</x:f>
        <x:v>Author direction</x:v>
      </x:c>
      <x:c r="M191" s="4" t="str">
        <x:f>IFERROR(INDEX('Crafting recipes'!$E$6:$E$1005,MATCH(B191,'Crafting recipes'!$A$6:$A$1005,0)),"MISSING ID")</x:f>
        <x:v>Partial proposal</x:v>
      </x:c>
      <x:c r="N191" s="4" t="str">
        <x:v>Candidate consumed material contribution; incomplete recipe. Not ordinary cloth. Flexibility, adhesive compatibility, very high labor and large feed requirements remain open.</x:v>
      </x:c>
      <x:c r="O191" s="4" t="str">
        <x:v>New game brainstorming, October 15, 2026.</x:v>
      </x:c>
      <x:c r="P191" s="4" t="n">
        <x:f>IF(OR(C191="Ingredient candidate",C191="Consumed input",C191="Contained input",C191="Transform input"),IF(F191="T0",0,IF(F191="T1",1,IF(F191="T2",2,IF(F191="T3",3,IF(F191="T4",4,-1))))),-1)</x:f>
        <x:v>1</x:v>
      </x:c>
      <x:c r="Q191" s="4" t="n">
        <x:f>IF(AND(OR(C191="Ingredient candidate",C191="Consumed input",C191="Contained input",C191="Transform input"),P191=-1),1,0)</x:f>
        <x:v>0</x:v>
      </x:c>
    </x:row>
    <x:row r="192" ht="105" customHeight="1">
      <x:c r="A192" s="4" t="str">
        <x:v>design.branch.branch.husk_sheet.in.2</x:v>
      </x:c>
      <x:c r="B192" s="4" t="str">
        <x:v>design.branch.branch.husk_sheet</x:v>
      </x:c>
      <x:c r="C192" s="4" t="str">
        <x:v>Ingredient candidate</x:v>
      </x:c>
      <x:c r="D192" s="4" t="str">
        <x:v>proposal.t1.shell_adhesive</x:v>
      </x:c>
      <x:c r="E192" s="4" t="str">
        <x:f>IFERROR(INDEX('Items'!$B$6:$B$1005,MATCH(D192,'Items'!$A$6:$A$1005,0)),"MISSING ID")</x:f>
        <x:v>Prepared shell-binding adhesive</x:v>
      </x:c>
      <x:c r="F192" s="4" t="str">
        <x:f>IFERROR(INDEX('Items'!$C$6:$C$1005,MATCH(D192,'Items'!$A$6:$A$1005,0)),"MISSING ID")</x:f>
        <x:v>T1</x:v>
      </x:c>
      <x:c r="G192" s="4" t="str">
        <x:f>IFERROR(INDEX('Items'!$D$6:$D$1005,MATCH(D192,'Items'!$A$6:$A$1005,0)),"MISSING ID")</x:f>
        <x:v>Crafting components</x:v>
      </x:c>
      <x:c r="H192" s="4" t="str">
        <x:f>IFERROR(INDEX('Items'!$X$6:$X$1005,MATCH(D192,'Items'!$A$6:$A$1005,0)),"MISSING ID")</x:f>
        <x:v>Chemical material</x:v>
      </x:c>
      <x:c r="I192" s="4"/>
      <x:c r="J192" s="4" t="str">
        <x:v>Unspecified</x:v>
      </x:c>
      <x:c r="K192" s="4" t="str">
        <x:f>IFERROR(INDEX('Crafting recipes'!$D$6:$D$1005,MATCH(B192,'Crafting recipes'!$A$6:$A$1005,0)),"MISSING ID")</x:f>
        <x:v>Proposal</x:v>
      </x:c>
      <x:c r="L192" s="4" t="str">
        <x:f>IFERROR(INDEX('Items'!$AD$6:$AD$1005,MATCH(D192,'Items'!$A$6:$A$1005,0)),"MISSING ID")</x:f>
        <x:v>Proposal</x:v>
      </x:c>
      <x:c r="M192" s="4" t="str">
        <x:f>IFERROR(INDEX('Crafting recipes'!$E$6:$E$1005,MATCH(B192,'Crafting recipes'!$A$6:$A$1005,0)),"MISSING ID")</x:f>
        <x:v>Partial proposal</x:v>
      </x:c>
      <x:c r="N192" s="4" t="str">
        <x:v>Candidate consumed material contribution; incomplete recipe. Not ordinary cloth. Flexibility, adhesive compatibility, very high labor and large feed requirements remain open.</x:v>
      </x:c>
      <x:c r="O192" s="4" t="str">
        <x:v>New game brainstorming, October 15, 2026.</x:v>
      </x:c>
      <x:c r="P192" s="4" t="n">
        <x:f>IF(OR(C192="Ingredient candidate",C192="Consumed input",C192="Contained input",C192="Transform input"),IF(F192="T0",0,IF(F192="T1",1,IF(F192="T2",2,IF(F192="T3",3,IF(F192="T4",4,-1))))),-1)</x:f>
        <x:v>1</x:v>
      </x:c>
      <x:c r="Q192" s="4" t="n">
        <x:f>IF(AND(OR(C192="Ingredient candidate",C192="Consumed input",C192="Contained input",C192="Transform input"),P192=-1),1,0)</x:f>
        <x:v>0</x:v>
      </x:c>
    </x:row>
    <x:row r="193" ht="105" customHeight="1">
      <x:c r="A193" s="4" t="str">
        <x:v>design.branch.branch.husk_sheet.out</x:v>
      </x:c>
      <x:c r="B193" s="4" t="str">
        <x:v>design.branch.branch.husk_sheet</x:v>
      </x:c>
      <x:c r="C193" s="4" t="str">
        <x:v>Output</x:v>
      </x:c>
      <x:c r="D193" s="4" t="str">
        <x:v>proposal.branch.husk_sheet</x:v>
      </x:c>
      <x:c r="E193" s="4" t="str">
        <x:f>IFERROR(INDEX('Items'!$B$6:$B$1005,MATCH(D193,'Items'!$A$6:$A$1005,0)),"MISSING ID")</x:f>
        <x:v>Bonded husk sheet</x:v>
      </x:c>
      <x:c r="F193" s="4" t="str">
        <x:f>IFERROR(INDEX('Items'!$C$6:$C$1005,MATCH(D193,'Items'!$A$6:$A$1005,0)),"MISSING ID")</x:f>
        <x:v>T2</x:v>
      </x:c>
      <x:c r="G193" s="4" t="str">
        <x:f>IFERROR(INDEX('Items'!$D$6:$D$1005,MATCH(D193,'Items'!$A$6:$A$1005,0)),"MISSING ID")</x:f>
        <x:v>Manufactured stock</x:v>
      </x:c>
      <x:c r="H193" s="4" t="str">
        <x:f>IFERROR(INDEX('Items'!$X$6:$X$1005,MATCH(D193,'Items'!$A$6:$A$1005,0)),"MISSING ID")</x:f>
        <x:v>Processed material</x:v>
      </x:c>
      <x:c r="I193" s="4"/>
      <x:c r="J193" s="4" t="str">
        <x:v>Unspecified</x:v>
      </x:c>
      <x:c r="K193" s="4" t="str">
        <x:f>IFERROR(INDEX('Crafting recipes'!$D$6:$D$1005,MATCH(B193,'Crafting recipes'!$A$6:$A$1005,0)),"MISSING ID")</x:f>
        <x:v>Proposal</x:v>
      </x:c>
      <x:c r="L193" s="4" t="str">
        <x:f>IFERROR(INDEX('Items'!$AD$6:$AD$1005,MATCH(D193,'Items'!$A$6:$A$1005,0)),"MISSING ID")</x:f>
        <x:v>Proposal</x:v>
      </x:c>
      <x:c r="M193" s="4" t="str">
        <x:f>IFERROR(INDEX('Crafting recipes'!$E$6:$E$1005,MATCH(B193,'Crafting recipes'!$A$6:$A$1005,0)),"MISSING ID")</x:f>
        <x:v>Partial proposal</x:v>
      </x:c>
      <x:c r="N193" s="4" t="str">
        <x:v>Proposed output; quantity/yield and qualification remain undefined. Not ordinary cloth. Flexibility, adhesive compatibility, very high labor and large feed requirements remain open.</x:v>
      </x:c>
      <x:c r="O193" s="4" t="str">
        <x:v>New game brainstorming, October 15, 2026.</x:v>
      </x:c>
      <x:c r="P193" s="4" t="n">
        <x:f>IF(OR(C193="Ingredient candidate",C193="Consumed input",C193="Contained input",C193="Transform input"),IF(F193="T0",0,IF(F193="T1",1,IF(F193="T2",2,IF(F193="T3",3,IF(F193="T4",4,-1))))),-1)</x:f>
        <x:v>-1</x:v>
      </x:c>
      <x:c r="Q193" s="4" t="n">
        <x:f>IF(AND(OR(C193="Ingredient candidate",C193="Consumed input",C193="Contained input",C193="Transform input"),P193=-1),1,0)</x:f>
        <x:v>0</x:v>
      </x:c>
    </x:row>
    <x:row r="194" ht="105" customHeight="1">
      <x:c r="A194" s="4" t="str">
        <x:v>design.branch.branch.wing_membrane.in.1</x:v>
      </x:c>
      <x:c r="B194" s="4" t="str">
        <x:v>design.branch.branch.wing_membrane</x:v>
      </x:c>
      <x:c r="C194" s="4" t="str">
        <x:v>Ingredient candidate</x:v>
      </x:c>
      <x:c r="D194" s="4" t="str">
        <x:v>proposal.wind.sail_panel</x:v>
      </x:c>
      <x:c r="E194" s="4" t="str">
        <x:f>IFERROR(INDEX('Items'!$B$6:$B$1005,MATCH(D194,'Items'!$A$6:$A$1005,0)),"MISSING ID")</x:f>
        <x:v>Prepared insect-wing sail panel</x:v>
      </x:c>
      <x:c r="F194" s="4" t="str">
        <x:f>IFERROR(INDEX('Items'!$C$6:$C$1005,MATCH(D194,'Items'!$A$6:$A$1005,0)),"MISSING ID")</x:f>
        <x:v>T1</x:v>
      </x:c>
      <x:c r="G194" s="4" t="str">
        <x:f>IFERROR(INDEX('Items'!$D$6:$D$1005,MATCH(D194,'Items'!$A$6:$A$1005,0)),"MISSING ID")</x:f>
        <x:v>Salvage</x:v>
      </x:c>
      <x:c r="H194" s="4" t="str">
        <x:f>IFERROR(INDEX('Items'!$X$6:$X$1005,MATCH(D194,'Items'!$A$6:$A$1005,0)),"MISSING ID")</x:f>
        <x:v>Crafting component</x:v>
      </x:c>
      <x:c r="I194" s="4"/>
      <x:c r="J194" s="4" t="str">
        <x:v>Unspecified</x:v>
      </x:c>
      <x:c r="K194" s="4" t="str">
        <x:f>IFERROR(INDEX('Crafting recipes'!$D$6:$D$1005,MATCH(B194,'Crafting recipes'!$A$6:$A$1005,0)),"MISSING ID")</x:f>
        <x:v>Proposal</x:v>
      </x:c>
      <x:c r="L194" s="4" t="str">
        <x:f>IFERROR(INDEX('Items'!$AD$6:$AD$1005,MATCH(D194,'Items'!$A$6:$A$1005,0)),"MISSING ID")</x:f>
        <x:v>Author direction</x:v>
      </x:c>
      <x:c r="M194" s="4" t="str">
        <x:f>IFERROR(INDEX('Crafting recipes'!$E$6:$E$1005,MATCH(B194,'Crafting recipes'!$A$6:$A$1005,0)),"MISSING ID")</x:f>
        <x:v>Partial proposal</x:v>
      </x:c>
      <x:c r="N194" s="4" t="str">
        <x:v>Candidate consumed material contribution; incomplete recipe. Delicate species-specific material; no universal sail strength, flexibility or weather resistance established.</x:v>
      </x:c>
      <x:c r="O194" s="4" t="str">
        <x:v>New game brainstorming, October 15, 2026.</x:v>
      </x:c>
      <x:c r="P194" s="4" t="n">
        <x:f>IF(OR(C194="Ingredient candidate",C194="Consumed input",C194="Contained input",C194="Transform input"),IF(F194="T0",0,IF(F194="T1",1,IF(F194="T2",2,IF(F194="T3",3,IF(F194="T4",4,-1))))),-1)</x:f>
        <x:v>1</x:v>
      </x:c>
      <x:c r="Q194" s="4" t="n">
        <x:f>IF(AND(OR(C194="Ingredient candidate",C194="Consumed input",C194="Contained input",C194="Transform input"),P194=-1),1,0)</x:f>
        <x:v>0</x:v>
      </x:c>
    </x:row>
    <x:row r="195" ht="105" customHeight="1">
      <x:c r="A195" s="4" t="str">
        <x:v>design.branch.branch.wing_membrane.in.2</x:v>
      </x:c>
      <x:c r="B195" s="4" t="str">
        <x:v>design.branch.branch.wing_membrane</x:v>
      </x:c>
      <x:c r="C195" s="4" t="str">
        <x:v>Ingredient candidate</x:v>
      </x:c>
      <x:c r="D195" s="4" t="str">
        <x:v>proposal.bio.cord</x:v>
      </x:c>
      <x:c r="E195" s="4" t="str">
        <x:f>IFERROR(INDEX('Items'!$B$6:$B$1005,MATCH(D195,'Items'!$A$6:$A$1005,0)),"MISSING ID")</x:f>
        <x:v>Tendon cord</x:v>
      </x:c>
      <x:c r="F195" s="4" t="str">
        <x:f>IFERROR(INDEX('Items'!$C$6:$C$1005,MATCH(D195,'Items'!$A$6:$A$1005,0)),"MISSING ID")</x:f>
        <x:v>T1</x:v>
      </x:c>
      <x:c r="G195" s="4" t="str">
        <x:f>IFERROR(INDEX('Items'!$D$6:$D$1005,MATCH(D195,'Items'!$A$6:$A$1005,0)),"MISSING ID")</x:f>
        <x:v>Crafting components</x:v>
      </x:c>
      <x:c r="H195" s="4" t="str">
        <x:f>IFERROR(INDEX('Items'!$X$6:$X$1005,MATCH(D195,'Items'!$A$6:$A$1005,0)),"MISSING ID")</x:f>
        <x:v>Crafting component</x:v>
      </x:c>
      <x:c r="I195" s="4"/>
      <x:c r="J195" s="4" t="str">
        <x:v>Unspecified</x:v>
      </x:c>
      <x:c r="K195" s="4" t="str">
        <x:f>IFERROR(INDEX('Crafting recipes'!$D$6:$D$1005,MATCH(B195,'Crafting recipes'!$A$6:$A$1005,0)),"MISSING ID")</x:f>
        <x:v>Proposal</x:v>
      </x:c>
      <x:c r="L195" s="4" t="str">
        <x:f>IFERROR(INDEX('Items'!$AD$6:$AD$1005,MATCH(D195,'Items'!$A$6:$A$1005,0)),"MISSING ID")</x:f>
        <x:v>Proposal</x:v>
      </x:c>
      <x:c r="M195" s="4" t="str">
        <x:f>IFERROR(INDEX('Crafting recipes'!$E$6:$E$1005,MATCH(B195,'Crafting recipes'!$A$6:$A$1005,0)),"MISSING ID")</x:f>
        <x:v>Partial proposal</x:v>
      </x:c>
      <x:c r="N195" s="4" t="str">
        <x:v>Candidate consumed material contribution; incomplete recipe. Delicate species-specific material; no universal sail strength, flexibility or weather resistance established.</x:v>
      </x:c>
      <x:c r="O195" s="4" t="str">
        <x:v>New game brainstorming, October 15, 2026.</x:v>
      </x:c>
      <x:c r="P195" s="4" t="n">
        <x:f>IF(OR(C195="Ingredient candidate",C195="Consumed input",C195="Contained input",C195="Transform input"),IF(F195="T0",0,IF(F195="T1",1,IF(F195="T2",2,IF(F195="T3",3,IF(F195="T4",4,-1))))),-1)</x:f>
        <x:v>1</x:v>
      </x:c>
      <x:c r="Q195" s="4" t="n">
        <x:f>IF(AND(OR(C195="Ingredient candidate",C195="Consumed input",C195="Contained input",C195="Transform input"),P195=-1),1,0)</x:f>
        <x:v>0</x:v>
      </x:c>
    </x:row>
    <x:row r="196" ht="105" customHeight="1">
      <x:c r="A196" s="4" t="str">
        <x:v>design.branch.branch.wing_membrane.in.3</x:v>
      </x:c>
      <x:c r="B196" s="4" t="str">
        <x:v>design.branch.branch.wing_membrane</x:v>
      </x:c>
      <x:c r="C196" s="4" t="str">
        <x:v>Ingredient candidate</x:v>
      </x:c>
      <x:c r="D196" s="4" t="str">
        <x:v>proposal.branch.flex_binder</x:v>
      </x:c>
      <x:c r="E196" s="4" t="str">
        <x:f>IFERROR(INDEX('Items'!$B$6:$B$1005,MATCH(D196,'Items'!$A$6:$A$1005,0)),"MISSING ID")</x:f>
        <x:v>Prepared flexible faunal binder</x:v>
      </x:c>
      <x:c r="F196" s="4" t="str">
        <x:f>IFERROR(INDEX('Items'!$C$6:$C$1005,MATCH(D196,'Items'!$A$6:$A$1005,0)),"MISSING ID")</x:f>
        <x:v>T1</x:v>
      </x:c>
      <x:c r="G196" s="4" t="str">
        <x:f>IFERROR(INDEX('Items'!$D$6:$D$1005,MATCH(D196,'Items'!$A$6:$A$1005,0)),"MISSING ID")</x:f>
        <x:v>Crafting components</x:v>
      </x:c>
      <x:c r="H196" s="4" t="str">
        <x:f>IFERROR(INDEX('Items'!$X$6:$X$1005,MATCH(D196,'Items'!$A$6:$A$1005,0)),"MISSING ID")</x:f>
        <x:v>Chemical material</x:v>
      </x:c>
      <x:c r="I196" s="4"/>
      <x:c r="J196" s="4" t="str">
        <x:v>Unspecified</x:v>
      </x:c>
      <x:c r="K196" s="4" t="str">
        <x:f>IFERROR(INDEX('Crafting recipes'!$D$6:$D$1005,MATCH(B196,'Crafting recipes'!$A$6:$A$1005,0)),"MISSING ID")</x:f>
        <x:v>Proposal</x:v>
      </x:c>
      <x:c r="L196" s="4" t="str">
        <x:f>IFERROR(INDEX('Items'!$AD$6:$AD$1005,MATCH(D196,'Items'!$A$6:$A$1005,0)),"MISSING ID")</x:f>
        <x:v>Proposal</x:v>
      </x:c>
      <x:c r="M196" s="4" t="str">
        <x:f>IFERROR(INDEX('Crafting recipes'!$E$6:$E$1005,MATCH(B196,'Crafting recipes'!$A$6:$A$1005,0)),"MISSING ID")</x:f>
        <x:v>Partial proposal</x:v>
      </x:c>
      <x:c r="N196" s="4" t="str">
        <x:v>Candidate consumed material contribution; incomplete recipe. Delicate species-specific material; no universal sail strength, flexibility or weather resistance established.</x:v>
      </x:c>
      <x:c r="O196" s="4" t="str">
        <x:v>New game brainstorming, October 15, 2026.</x:v>
      </x:c>
      <x:c r="P196" s="4" t="n">
        <x:f>IF(OR(C196="Ingredient candidate",C196="Consumed input",C196="Contained input",C196="Transform input"),IF(F196="T0",0,IF(F196="T1",1,IF(F196="T2",2,IF(F196="T3",3,IF(F196="T4",4,-1))))),-1)</x:f>
        <x:v>1</x:v>
      </x:c>
      <x:c r="Q196" s="4" t="n">
        <x:f>IF(AND(OR(C196="Ingredient candidate",C196="Consumed input",C196="Contained input",C196="Transform input"),P196=-1),1,0)</x:f>
        <x:v>0</x:v>
      </x:c>
    </x:row>
    <x:row r="197" ht="105" customHeight="1">
      <x:c r="A197" s="4" t="str">
        <x:v>design.branch.branch.wing_membrane.out</x:v>
      </x:c>
      <x:c r="B197" s="4" t="str">
        <x:v>design.branch.branch.wing_membrane</x:v>
      </x:c>
      <x:c r="C197" s="4" t="str">
        <x:v>Output</x:v>
      </x:c>
      <x:c r="D197" s="4" t="str">
        <x:v>proposal.branch.wing_membrane</x:v>
      </x:c>
      <x:c r="E197" s="4" t="str">
        <x:f>IFERROR(INDEX('Items'!$B$6:$B$1005,MATCH(D197,'Items'!$A$6:$A$1005,0)),"MISSING ID")</x:f>
        <x:v>Reinforced wing membrane</x:v>
      </x:c>
      <x:c r="F197" s="4" t="str">
        <x:f>IFERROR(INDEX('Items'!$C$6:$C$1005,MATCH(D197,'Items'!$A$6:$A$1005,0)),"MISSING ID")</x:f>
        <x:v>T2</x:v>
      </x:c>
      <x:c r="G197" s="4" t="str">
        <x:f>IFERROR(INDEX('Items'!$D$6:$D$1005,MATCH(D197,'Items'!$A$6:$A$1005,0)),"MISSING ID")</x:f>
        <x:v>Manufactured stock</x:v>
      </x:c>
      <x:c r="H197" s="4" t="str">
        <x:f>IFERROR(INDEX('Items'!$X$6:$X$1005,MATCH(D197,'Items'!$A$6:$A$1005,0)),"MISSING ID")</x:f>
        <x:v>Processed material</x:v>
      </x:c>
      <x:c r="I197" s="4"/>
      <x:c r="J197" s="4" t="str">
        <x:v>Unspecified</x:v>
      </x:c>
      <x:c r="K197" s="4" t="str">
        <x:f>IFERROR(INDEX('Crafting recipes'!$D$6:$D$1005,MATCH(B197,'Crafting recipes'!$A$6:$A$1005,0)),"MISSING ID")</x:f>
        <x:v>Proposal</x:v>
      </x:c>
      <x:c r="L197" s="4" t="str">
        <x:f>IFERROR(INDEX('Items'!$AD$6:$AD$1005,MATCH(D197,'Items'!$A$6:$A$1005,0)),"MISSING ID")</x:f>
        <x:v>Proposal</x:v>
      </x:c>
      <x:c r="M197" s="4" t="str">
        <x:f>IFERROR(INDEX('Crafting recipes'!$E$6:$E$1005,MATCH(B197,'Crafting recipes'!$A$6:$A$1005,0)),"MISSING ID")</x:f>
        <x:v>Partial proposal</x:v>
      </x:c>
      <x:c r="N197" s="4" t="str">
        <x:v>Proposed output; quantity/yield and qualification remain undefined. Delicate species-specific material; no universal sail strength, flexibility or weather resistance established.</x:v>
      </x:c>
      <x:c r="O197" s="4" t="str">
        <x:v>New game brainstorming, October 15, 2026.</x:v>
      </x:c>
      <x:c r="P197" s="4" t="n">
        <x:f>IF(OR(C197="Ingredient candidate",C197="Consumed input",C197="Contained input",C197="Transform input"),IF(F197="T0",0,IF(F197="T1",1,IF(F197="T2",2,IF(F197="T3",3,IF(F197="T4",4,-1))))),-1)</x:f>
        <x:v>-1</x:v>
      </x:c>
      <x:c r="Q197" s="4" t="n">
        <x:f>IF(AND(OR(C197="Ingredient candidate",C197="Consumed input",C197="Contained input",C197="Transform input"),P197=-1),1,0)</x:f>
        <x:v>0</x:v>
      </x:c>
    </x:row>
    <x:row r="198" ht="105" customHeight="1">
      <x:c r="A198" s="4" t="str">
        <x:v>design.branch.branch.filled_seal.in.1</x:v>
      </x:c>
      <x:c r="B198" s="4" t="str">
        <x:v>design.branch.branch.filled_seal</x:v>
      </x:c>
      <x:c r="C198" s="4" t="str">
        <x:v>Ingredient candidate</x:v>
      </x:c>
      <x:c r="D198" s="4" t="str">
        <x:v>proposal.t1.clot_seal</x:v>
      </x:c>
      <x:c r="E198" s="4" t="str">
        <x:f>IFERROR(INDEX('Items'!$B$6:$B$1005,MATCH(D198,'Items'!$A$6:$A$1005,0)),"MISSING ID")</x:f>
        <x:v>Prepared clot-seal compound</x:v>
      </x:c>
      <x:c r="F198" s="4" t="str">
        <x:f>IFERROR(INDEX('Items'!$C$6:$C$1005,MATCH(D198,'Items'!$A$6:$A$1005,0)),"MISSING ID")</x:f>
        <x:v>T1</x:v>
      </x:c>
      <x:c r="G198" s="4" t="str">
        <x:f>IFERROR(INDEX('Items'!$D$6:$D$1005,MATCH(D198,'Items'!$A$6:$A$1005,0)),"MISSING ID")</x:f>
        <x:v>Crafting components</x:v>
      </x:c>
      <x:c r="H198" s="4" t="str">
        <x:f>IFERROR(INDEX('Items'!$X$6:$X$1005,MATCH(D198,'Items'!$A$6:$A$1005,0)),"MISSING ID")</x:f>
        <x:v>Chemical material</x:v>
      </x:c>
      <x:c r="I198" s="4"/>
      <x:c r="J198" s="4" t="str">
        <x:v>Unspecified</x:v>
      </x:c>
      <x:c r="K198" s="4" t="str">
        <x:f>IFERROR(INDEX('Crafting recipes'!$D$6:$D$1005,MATCH(B198,'Crafting recipes'!$A$6:$A$1005,0)),"MISSING ID")</x:f>
        <x:v>Proposal</x:v>
      </x:c>
      <x:c r="L198" s="4" t="str">
        <x:f>IFERROR(INDEX('Items'!$AD$6:$AD$1005,MATCH(D198,'Items'!$A$6:$A$1005,0)),"MISSING ID")</x:f>
        <x:v>Proposal</x:v>
      </x:c>
      <x:c r="M198" s="4" t="str">
        <x:f>IFERROR(INDEX('Crafting recipes'!$E$6:$E$1005,MATCH(B198,'Crafting recipes'!$A$6:$A$1005,0)),"MISSING ID")</x:f>
        <x:v>Partial proposal</x:v>
      </x:c>
      <x:c r="N198" s="4" t="str">
        <x:v>Candidate consumed material contribution; incomplete recipe. Not pressure-qualified canister sealant; cure, adhesion, cracking and compatibility remain open.</x:v>
      </x:c>
      <x:c r="O198" s="4" t="str">
        <x:v>New game brainstorming, October 15, 2026.</x:v>
      </x:c>
      <x:c r="P198" s="4" t="n">
        <x:f>IF(OR(C198="Ingredient candidate",C198="Consumed input",C198="Contained input",C198="Transform input"),IF(F198="T0",0,IF(F198="T1",1,IF(F198="T2",2,IF(F198="T3",3,IF(F198="T4",4,-1))))),-1)</x:f>
        <x:v>1</x:v>
      </x:c>
      <x:c r="Q198" s="4" t="n">
        <x:f>IF(AND(OR(C198="Ingredient candidate",C198="Consumed input",C198="Contained input",C198="Transform input"),P198=-1),1,0)</x:f>
        <x:v>0</x:v>
      </x:c>
    </x:row>
    <x:row r="199" ht="105" customHeight="1">
      <x:c r="A199" s="4" t="str">
        <x:v>design.branch.branch.filled_seal.in.2</x:v>
      </x:c>
      <x:c r="B199" s="4" t="str">
        <x:v>design.branch.branch.filled_seal</x:v>
      </x:c>
      <x:c r="C199" s="4" t="str">
        <x:v>Ingredient candidate</x:v>
      </x:c>
      <x:c r="D199" s="4" t="str">
        <x:v>proposal.t1.mineral_filler</x:v>
      </x:c>
      <x:c r="E199" s="4" t="str">
        <x:f>IFERROR(INDEX('Items'!$B$6:$B$1005,MATCH(D199,'Items'!$A$6:$A$1005,0)),"MISSING ID")</x:f>
        <x:v>Graded mineral filler</x:v>
      </x:c>
      <x:c r="F199" s="4" t="str">
        <x:f>IFERROR(INDEX('Items'!$C$6:$C$1005,MATCH(D199,'Items'!$A$6:$A$1005,0)),"MISSING ID")</x:f>
        <x:v>T1</x:v>
      </x:c>
      <x:c r="G199" s="4" t="str">
        <x:f>IFERROR(INDEX('Items'!$D$6:$D$1005,MATCH(D199,'Items'!$A$6:$A$1005,0)),"MISSING ID")</x:f>
        <x:v>Manufactured stock</x:v>
      </x:c>
      <x:c r="H199" s="4" t="str">
        <x:f>IFERROR(INDEX('Items'!$X$6:$X$1005,MATCH(D199,'Items'!$A$6:$A$1005,0)),"MISSING ID")</x:f>
        <x:v>Processed material</x:v>
      </x:c>
      <x:c r="I199" s="4"/>
      <x:c r="J199" s="4" t="str">
        <x:v>Unspecified</x:v>
      </x:c>
      <x:c r="K199" s="4" t="str">
        <x:f>IFERROR(INDEX('Crafting recipes'!$D$6:$D$1005,MATCH(B199,'Crafting recipes'!$A$6:$A$1005,0)),"MISSING ID")</x:f>
        <x:v>Proposal</x:v>
      </x:c>
      <x:c r="L199" s="4" t="str">
        <x:f>IFERROR(INDEX('Items'!$AD$6:$AD$1005,MATCH(D199,'Items'!$A$6:$A$1005,0)),"MISSING ID")</x:f>
        <x:v>Proposal</x:v>
      </x:c>
      <x:c r="M199" s="4" t="str">
        <x:f>IFERROR(INDEX('Crafting recipes'!$E$6:$E$1005,MATCH(B199,'Crafting recipes'!$A$6:$A$1005,0)),"MISSING ID")</x:f>
        <x:v>Partial proposal</x:v>
      </x:c>
      <x:c r="N199" s="4" t="str">
        <x:v>Candidate consumed material contribution; incomplete recipe. Not pressure-qualified canister sealant; cure, adhesion, cracking and compatibility remain open.</x:v>
      </x:c>
      <x:c r="O199" s="4" t="str">
        <x:v>New game brainstorming, October 15, 2026.</x:v>
      </x:c>
      <x:c r="P199" s="4" t="n">
        <x:f>IF(OR(C199="Ingredient candidate",C199="Consumed input",C199="Contained input",C199="Transform input"),IF(F199="T0",0,IF(F199="T1",1,IF(F199="T2",2,IF(F199="T3",3,IF(F199="T4",4,-1))))),-1)</x:f>
        <x:v>1</x:v>
      </x:c>
      <x:c r="Q199" s="4" t="n">
        <x:f>IF(AND(OR(C199="Ingredient candidate",C199="Consumed input",C199="Contained input",C199="Transform input"),P199=-1),1,0)</x:f>
        <x:v>0</x:v>
      </x:c>
    </x:row>
    <x:row r="200" ht="105" customHeight="1">
      <x:c r="A200" s="4" t="str">
        <x:v>design.branch.branch.filled_seal.out</x:v>
      </x:c>
      <x:c r="B200" s="4" t="str">
        <x:v>design.branch.branch.filled_seal</x:v>
      </x:c>
      <x:c r="C200" s="4" t="str">
        <x:v>Output</x:v>
      </x:c>
      <x:c r="D200" s="4" t="str">
        <x:v>proposal.branch.filled_seal</x:v>
      </x:c>
      <x:c r="E200" s="4" t="str">
        <x:f>IFERROR(INDEX('Items'!$B$6:$B$1005,MATCH(D200,'Items'!$A$6:$A$1005,0)),"MISSING ID")</x:f>
        <x:v>Filled faunal seal compound</x:v>
      </x:c>
      <x:c r="F200" s="4" t="str">
        <x:f>IFERROR(INDEX('Items'!$C$6:$C$1005,MATCH(D200,'Items'!$A$6:$A$1005,0)),"MISSING ID")</x:f>
        <x:v>T2</x:v>
      </x:c>
      <x:c r="G200" s="4" t="str">
        <x:f>IFERROR(INDEX('Items'!$D$6:$D$1005,MATCH(D200,'Items'!$A$6:$A$1005,0)),"MISSING ID")</x:f>
        <x:v>Crafting components</x:v>
      </x:c>
      <x:c r="H200" s="4" t="str">
        <x:f>IFERROR(INDEX('Items'!$X$6:$X$1005,MATCH(D200,'Items'!$A$6:$A$1005,0)),"MISSING ID")</x:f>
        <x:v>Chemical material</x:v>
      </x:c>
      <x:c r="I200" s="4"/>
      <x:c r="J200" s="4" t="str">
        <x:v>Unspecified</x:v>
      </x:c>
      <x:c r="K200" s="4" t="str">
        <x:f>IFERROR(INDEX('Crafting recipes'!$D$6:$D$1005,MATCH(B200,'Crafting recipes'!$A$6:$A$1005,0)),"MISSING ID")</x:f>
        <x:v>Proposal</x:v>
      </x:c>
      <x:c r="L200" s="4" t="str">
        <x:f>IFERROR(INDEX('Items'!$AD$6:$AD$1005,MATCH(D200,'Items'!$A$6:$A$1005,0)),"MISSING ID")</x:f>
        <x:v>Proposal</x:v>
      </x:c>
      <x:c r="M200" s="4" t="str">
        <x:f>IFERROR(INDEX('Crafting recipes'!$E$6:$E$1005,MATCH(B200,'Crafting recipes'!$A$6:$A$1005,0)),"MISSING ID")</x:f>
        <x:v>Partial proposal</x:v>
      </x:c>
      <x:c r="N200" s="4" t="str">
        <x:v>Proposed output; quantity/yield and qualification remain undefined. Not pressure-qualified canister sealant; cure, adhesion, cracking and compatibility remain open.</x:v>
      </x:c>
      <x:c r="O200" s="4" t="str">
        <x:v>New game brainstorming, October 15, 2026.</x:v>
      </x:c>
      <x:c r="P200" s="4" t="n">
        <x:f>IF(OR(C200="Ingredient candidate",C200="Consumed input",C200="Contained input",C200="Transform input"),IF(F200="T0",0,IF(F200="T1",1,IF(F200="T2",2,IF(F200="T3",3,IF(F200="T4",4,-1))))),-1)</x:f>
        <x:v>-1</x:v>
      </x:c>
      <x:c r="Q200" s="4" t="n">
        <x:f>IF(AND(OR(C200="Ingredient candidate",C200="Consumed input",C200="Contained input",C200="Transform input"),P200=-1),1,0)</x:f>
        <x:v>0</x:v>
      </x:c>
    </x:row>
    <x:row r="201" ht="105" customHeight="1">
      <x:c r="A201" s="4" t="str">
        <x:v>design.branch.branch.flex_bond.in.1</x:v>
      </x:c>
      <x:c r="B201" s="4" t="str">
        <x:v>design.branch.branch.flex_bond</x:v>
      </x:c>
      <x:c r="C201" s="4" t="str">
        <x:v>Ingredient candidate</x:v>
      </x:c>
      <x:c r="D201" s="4" t="str">
        <x:v>proposal.branch.flex_binder</x:v>
      </x:c>
      <x:c r="E201" s="4" t="str">
        <x:f>IFERROR(INDEX('Items'!$B$6:$B$1005,MATCH(D201,'Items'!$A$6:$A$1005,0)),"MISSING ID")</x:f>
        <x:v>Prepared flexible faunal binder</x:v>
      </x:c>
      <x:c r="F201" s="4" t="str">
        <x:f>IFERROR(INDEX('Items'!$C$6:$C$1005,MATCH(D201,'Items'!$A$6:$A$1005,0)),"MISSING ID")</x:f>
        <x:v>T1</x:v>
      </x:c>
      <x:c r="G201" s="4" t="str">
        <x:f>IFERROR(INDEX('Items'!$D$6:$D$1005,MATCH(D201,'Items'!$A$6:$A$1005,0)),"MISSING ID")</x:f>
        <x:v>Crafting components</x:v>
      </x:c>
      <x:c r="H201" s="4" t="str">
        <x:f>IFERROR(INDEX('Items'!$X$6:$X$1005,MATCH(D201,'Items'!$A$6:$A$1005,0)),"MISSING ID")</x:f>
        <x:v>Chemical material</x:v>
      </x:c>
      <x:c r="I201" s="4"/>
      <x:c r="J201" s="4" t="str">
        <x:v>Unspecified</x:v>
      </x:c>
      <x:c r="K201" s="4" t="str">
        <x:f>IFERROR(INDEX('Crafting recipes'!$D$6:$D$1005,MATCH(B201,'Crafting recipes'!$A$6:$A$1005,0)),"MISSING ID")</x:f>
        <x:v>Proposal</x:v>
      </x:c>
      <x:c r="L201" s="4" t="str">
        <x:f>IFERROR(INDEX('Items'!$AD$6:$AD$1005,MATCH(D201,'Items'!$A$6:$A$1005,0)),"MISSING ID")</x:f>
        <x:v>Proposal</x:v>
      </x:c>
      <x:c r="M201" s="4" t="str">
        <x:f>IFERROR(INDEX('Crafting recipes'!$E$6:$E$1005,MATCH(B201,'Crafting recipes'!$A$6:$A$1005,0)),"MISSING ID")</x:f>
        <x:v>Partial proposal</x:v>
      </x:c>
      <x:c r="N201" s="4" t="str">
        <x:v>Candidate consumed material contribution; incomplete recipe. Carrier interaction, flexibility, toxicity and aging unresolved; not guaranteed rubber or synthetic polymer.</x:v>
      </x:c>
      <x:c r="O201" s="4" t="str">
        <x:v>New game brainstorming, October 15, 2026.</x:v>
      </x:c>
      <x:c r="P201" s="4" t="n">
        <x:f>IF(OR(C201="Ingredient candidate",C201="Consumed input",C201="Contained input",C201="Transform input"),IF(F201="T0",0,IF(F201="T1",1,IF(F201="T2",2,IF(F201="T3",3,IF(F201="T4",4,-1))))),-1)</x:f>
        <x:v>1</x:v>
      </x:c>
      <x:c r="Q201" s="4" t="n">
        <x:f>IF(AND(OR(C201="Ingredient candidate",C201="Consumed input",C201="Contained input",C201="Transform input"),P201=-1),1,0)</x:f>
        <x:v>0</x:v>
      </x:c>
    </x:row>
    <x:row r="202" ht="105" customHeight="1">
      <x:c r="A202" s="4" t="str">
        <x:v>design.branch.branch.flex_bond.in.2</x:v>
      </x:c>
      <x:c r="B202" s="4" t="str">
        <x:v>design.branch.branch.flex_bond</x:v>
      </x:c>
      <x:c r="C202" s="4" t="str">
        <x:v>Ingredient candidate</x:v>
      </x:c>
      <x:c r="D202" s="4" t="str">
        <x:v>proposal.t1.faunal_carrier</x:v>
      </x:c>
      <x:c r="E202" s="4" t="str">
        <x:f>IFERROR(INDEX('Items'!$B$6:$B$1005,MATCH(D202,'Items'!$A$6:$A$1005,0)),"MISSING ID")</x:f>
        <x:v>Selected faunal carrier fraction</x:v>
      </x:c>
      <x:c r="F202" s="4" t="str">
        <x:f>IFERROR(INDEX('Items'!$C$6:$C$1005,MATCH(D202,'Items'!$A$6:$A$1005,0)),"MISSING ID")</x:f>
        <x:v>T1</x:v>
      </x:c>
      <x:c r="G202" s="4" t="str">
        <x:f>IFERROR(INDEX('Items'!$D$6:$D$1005,MATCH(D202,'Items'!$A$6:$A$1005,0)),"MISSING ID")</x:f>
        <x:v>Crafting components</x:v>
      </x:c>
      <x:c r="H202" s="4" t="str">
        <x:f>IFERROR(INDEX('Items'!$X$6:$X$1005,MATCH(D202,'Items'!$A$6:$A$1005,0)),"MISSING ID")</x:f>
        <x:v>Chemical material</x:v>
      </x:c>
      <x:c r="I202" s="4"/>
      <x:c r="J202" s="4" t="str">
        <x:v>Unspecified</x:v>
      </x:c>
      <x:c r="K202" s="4" t="str">
        <x:f>IFERROR(INDEX('Crafting recipes'!$D$6:$D$1005,MATCH(B202,'Crafting recipes'!$A$6:$A$1005,0)),"MISSING ID")</x:f>
        <x:v>Proposal</x:v>
      </x:c>
      <x:c r="L202" s="4" t="str">
        <x:f>IFERROR(INDEX('Items'!$AD$6:$AD$1005,MATCH(D202,'Items'!$A$6:$A$1005,0)),"MISSING ID")</x:f>
        <x:v>Proposal</x:v>
      </x:c>
      <x:c r="M202" s="4" t="str">
        <x:f>IFERROR(INDEX('Crafting recipes'!$E$6:$E$1005,MATCH(B202,'Crafting recipes'!$A$6:$A$1005,0)),"MISSING ID")</x:f>
        <x:v>Partial proposal</x:v>
      </x:c>
      <x:c r="N202" s="4" t="str">
        <x:v>Candidate consumed material contribution; incomplete recipe. Carrier interaction, flexibility, toxicity and aging unresolved; not guaranteed rubber or synthetic polymer.</x:v>
      </x:c>
      <x:c r="O202" s="4" t="str">
        <x:v>New game brainstorming, October 15, 2026.</x:v>
      </x:c>
      <x:c r="P202" s="4" t="n">
        <x:f>IF(OR(C202="Ingredient candidate",C202="Consumed input",C202="Contained input",C202="Transform input"),IF(F202="T0",0,IF(F202="T1",1,IF(F202="T2",2,IF(F202="T3",3,IF(F202="T4",4,-1))))),-1)</x:f>
        <x:v>1</x:v>
      </x:c>
      <x:c r="Q202" s="4" t="n">
        <x:f>IF(AND(OR(C202="Ingredient candidate",C202="Consumed input",C202="Contained input",C202="Transform input"),P202=-1),1,0)</x:f>
        <x:v>0</x:v>
      </x:c>
    </x:row>
    <x:row r="203" ht="105" customHeight="1">
      <x:c r="A203" s="4" t="str">
        <x:v>design.branch.branch.flex_bond.out</x:v>
      </x:c>
      <x:c r="B203" s="4" t="str">
        <x:v>design.branch.branch.flex_bond</x:v>
      </x:c>
      <x:c r="C203" s="4" t="str">
        <x:v>Output</x:v>
      </x:c>
      <x:c r="D203" s="4" t="str">
        <x:v>proposal.branch.flex_bond</x:v>
      </x:c>
      <x:c r="E203" s="4" t="str">
        <x:f>IFERROR(INDEX('Items'!$B$6:$B$1005,MATCH(D203,'Items'!$A$6:$A$1005,0)),"MISSING ID")</x:f>
        <x:v>Flexible membrane-bonding compound</x:v>
      </x:c>
      <x:c r="F203" s="4" t="str">
        <x:f>IFERROR(INDEX('Items'!$C$6:$C$1005,MATCH(D203,'Items'!$A$6:$A$1005,0)),"MISSING ID")</x:f>
        <x:v>T2</x:v>
      </x:c>
      <x:c r="G203" s="4" t="str">
        <x:f>IFERROR(INDEX('Items'!$D$6:$D$1005,MATCH(D203,'Items'!$A$6:$A$1005,0)),"MISSING ID")</x:f>
        <x:v>Crafting components</x:v>
      </x:c>
      <x:c r="H203" s="4" t="str">
        <x:f>IFERROR(INDEX('Items'!$X$6:$X$1005,MATCH(D203,'Items'!$A$6:$A$1005,0)),"MISSING ID")</x:f>
        <x:v>Chemical material</x:v>
      </x:c>
      <x:c r="I203" s="4"/>
      <x:c r="J203" s="4" t="str">
        <x:v>Unspecified</x:v>
      </x:c>
      <x:c r="K203" s="4" t="str">
        <x:f>IFERROR(INDEX('Crafting recipes'!$D$6:$D$1005,MATCH(B203,'Crafting recipes'!$A$6:$A$1005,0)),"MISSING ID")</x:f>
        <x:v>Proposal</x:v>
      </x:c>
      <x:c r="L203" s="4" t="str">
        <x:f>IFERROR(INDEX('Items'!$AD$6:$AD$1005,MATCH(D203,'Items'!$A$6:$A$1005,0)),"MISSING ID")</x:f>
        <x:v>Proposal</x:v>
      </x:c>
      <x:c r="M203" s="4" t="str">
        <x:f>IFERROR(INDEX('Crafting recipes'!$E$6:$E$1005,MATCH(B203,'Crafting recipes'!$A$6:$A$1005,0)),"MISSING ID")</x:f>
        <x:v>Partial proposal</x:v>
      </x:c>
      <x:c r="N203" s="4" t="str">
        <x:v>Proposed output; quantity/yield and qualification remain undefined. Carrier interaction, flexibility, toxicity and aging unresolved; not guaranteed rubber or synthetic polymer.</x:v>
      </x:c>
      <x:c r="O203" s="4" t="str">
        <x:v>New game brainstorming, October 15, 2026.</x:v>
      </x:c>
      <x:c r="P203" s="4" t="n">
        <x:f>IF(OR(C203="Ingredient candidate",C203="Consumed input",C203="Contained input",C203="Transform input"),IF(F203="T0",0,IF(F203="T1",1,IF(F203="T2",2,IF(F203="T3",3,IF(F203="T4",4,-1))))),-1)</x:f>
        <x:v>-1</x:v>
      </x:c>
      <x:c r="Q203" s="4" t="n">
        <x:f>IF(AND(OR(C203="Ingredient candidate",C203="Consumed input",C203="Contained input",C203="Transform input"),P203=-1),1,0)</x:f>
        <x:v>0</x:v>
      </x:c>
    </x:row>
    <x:row r="204" ht="105" customHeight="1">
      <x:c r="A204" s="4" t="str">
        <x:v>design.branch.branch.pigment_coating.in.1</x:v>
      </x:c>
      <x:c r="B204" s="4" t="str">
        <x:v>design.branch.branch.pigment_coating</x:v>
      </x:c>
      <x:c r="C204" s="4" t="str">
        <x:v>Ingredient candidate</x:v>
      </x:c>
      <x:c r="D204" s="4" t="str">
        <x:v>proposal.t1.pigment_powder</x:v>
      </x:c>
      <x:c r="E204" s="4" t="str">
        <x:f>IFERROR(INDEX('Items'!$B$6:$B$1005,MATCH(D204,'Items'!$A$6:$A$1005,0)),"MISSING ID")</x:f>
        <x:v>Prepared mineral pigment powder</x:v>
      </x:c>
      <x:c r="F204" s="4" t="str">
        <x:f>IFERROR(INDEX('Items'!$C$6:$C$1005,MATCH(D204,'Items'!$A$6:$A$1005,0)),"MISSING ID")</x:f>
        <x:v>T1</x:v>
      </x:c>
      <x:c r="G204" s="4" t="str">
        <x:f>IFERROR(INDEX('Items'!$D$6:$D$1005,MATCH(D204,'Items'!$A$6:$A$1005,0)),"MISSING ID")</x:f>
        <x:v>Manufactured stock</x:v>
      </x:c>
      <x:c r="H204" s="4" t="str">
        <x:f>IFERROR(INDEX('Items'!$X$6:$X$1005,MATCH(D204,'Items'!$A$6:$A$1005,0)),"MISSING ID")</x:f>
        <x:v>Processed material</x:v>
      </x:c>
      <x:c r="I204" s="4"/>
      <x:c r="J204" s="4" t="str">
        <x:v>Unspecified</x:v>
      </x:c>
      <x:c r="K204" s="4" t="str">
        <x:f>IFERROR(INDEX('Crafting recipes'!$D$6:$D$1005,MATCH(B204,'Crafting recipes'!$A$6:$A$1005,0)),"MISSING ID")</x:f>
        <x:v>Proposal</x:v>
      </x:c>
      <x:c r="L204" s="4" t="str">
        <x:f>IFERROR(INDEX('Items'!$AD$6:$AD$1005,MATCH(D204,'Items'!$A$6:$A$1005,0)),"MISSING ID")</x:f>
        <x:v>Proposal</x:v>
      </x:c>
      <x:c r="M204" s="4" t="str">
        <x:f>IFERROR(INDEX('Crafting recipes'!$E$6:$E$1005,MATCH(B204,'Crafting recipes'!$A$6:$A$1005,0)),"MISSING ID")</x:f>
        <x:v>Partial proposal</x:v>
      </x:c>
      <x:c r="N204" s="4" t="str">
        <x:v>Candidate consumed material contribution; incomplete recipe. No food use, universal adhesion or conventional paint chemistry inferred.</x:v>
      </x:c>
      <x:c r="O204" s="4" t="str">
        <x:v>New game brainstorming, October 15, 2026.</x:v>
      </x:c>
      <x:c r="P204" s="4" t="n">
        <x:f>IF(OR(C204="Ingredient candidate",C204="Consumed input",C204="Contained input",C204="Transform input"),IF(F204="T0",0,IF(F204="T1",1,IF(F204="T2",2,IF(F204="T3",3,IF(F204="T4",4,-1))))),-1)</x:f>
        <x:v>1</x:v>
      </x:c>
      <x:c r="Q204" s="4" t="n">
        <x:f>IF(AND(OR(C204="Ingredient candidate",C204="Consumed input",C204="Contained input",C204="Transform input"),P204=-1),1,0)</x:f>
        <x:v>0</x:v>
      </x:c>
    </x:row>
    <x:row r="205" ht="105" customHeight="1">
      <x:c r="A205" s="4" t="str">
        <x:v>design.branch.branch.pigment_coating.in.2</x:v>
      </x:c>
      <x:c r="B205" s="4" t="str">
        <x:v>design.branch.branch.pigment_coating</x:v>
      </x:c>
      <x:c r="C205" s="4" t="str">
        <x:v>Ingredient candidate</x:v>
      </x:c>
      <x:c r="D205" s="4" t="str">
        <x:v>proposal.t1.faunal_carrier</x:v>
      </x:c>
      <x:c r="E205" s="4" t="str">
        <x:f>IFERROR(INDEX('Items'!$B$6:$B$1005,MATCH(D205,'Items'!$A$6:$A$1005,0)),"MISSING ID")</x:f>
        <x:v>Selected faunal carrier fraction</x:v>
      </x:c>
      <x:c r="F205" s="4" t="str">
        <x:f>IFERROR(INDEX('Items'!$C$6:$C$1005,MATCH(D205,'Items'!$A$6:$A$1005,0)),"MISSING ID")</x:f>
        <x:v>T1</x:v>
      </x:c>
      <x:c r="G205" s="4" t="str">
        <x:f>IFERROR(INDEX('Items'!$D$6:$D$1005,MATCH(D205,'Items'!$A$6:$A$1005,0)),"MISSING ID")</x:f>
        <x:v>Crafting components</x:v>
      </x:c>
      <x:c r="H205" s="4" t="str">
        <x:f>IFERROR(INDEX('Items'!$X$6:$X$1005,MATCH(D205,'Items'!$A$6:$A$1005,0)),"MISSING ID")</x:f>
        <x:v>Chemical material</x:v>
      </x:c>
      <x:c r="I205" s="4"/>
      <x:c r="J205" s="4" t="str">
        <x:v>Unspecified</x:v>
      </x:c>
      <x:c r="K205" s="4" t="str">
        <x:f>IFERROR(INDEX('Crafting recipes'!$D$6:$D$1005,MATCH(B205,'Crafting recipes'!$A$6:$A$1005,0)),"MISSING ID")</x:f>
        <x:v>Proposal</x:v>
      </x:c>
      <x:c r="L205" s="4" t="str">
        <x:f>IFERROR(INDEX('Items'!$AD$6:$AD$1005,MATCH(D205,'Items'!$A$6:$A$1005,0)),"MISSING ID")</x:f>
        <x:v>Proposal</x:v>
      </x:c>
      <x:c r="M205" s="4" t="str">
        <x:f>IFERROR(INDEX('Crafting recipes'!$E$6:$E$1005,MATCH(B205,'Crafting recipes'!$A$6:$A$1005,0)),"MISSING ID")</x:f>
        <x:v>Partial proposal</x:v>
      </x:c>
      <x:c r="N205" s="4" t="str">
        <x:v>Candidate consumed material contribution; incomplete recipe. No food use, universal adhesion or conventional paint chemistry inferred.</x:v>
      </x:c>
      <x:c r="O205" s="4" t="str">
        <x:v>New game brainstorming, October 15, 2026.</x:v>
      </x:c>
      <x:c r="P205" s="4" t="n">
        <x:f>IF(OR(C205="Ingredient candidate",C205="Consumed input",C205="Contained input",C205="Transform input"),IF(F205="T0",0,IF(F205="T1",1,IF(F205="T2",2,IF(F205="T3",3,IF(F205="T4",4,-1))))),-1)</x:f>
        <x:v>1</x:v>
      </x:c>
      <x:c r="Q205" s="4" t="n">
        <x:f>IF(AND(OR(C205="Ingredient candidate",C205="Consumed input",C205="Contained input",C205="Transform input"),P205=-1),1,0)</x:f>
        <x:v>0</x:v>
      </x:c>
    </x:row>
    <x:row r="206" ht="105" customHeight="1">
      <x:c r="A206" s="4" t="str">
        <x:v>design.branch.branch.pigment_coating.out</x:v>
      </x:c>
      <x:c r="B206" s="4" t="str">
        <x:v>design.branch.branch.pigment_coating</x:v>
      </x:c>
      <x:c r="C206" s="4" t="str">
        <x:v>Output</x:v>
      </x:c>
      <x:c r="D206" s="4" t="str">
        <x:v>proposal.branch.pigment_coating</x:v>
      </x:c>
      <x:c r="E206" s="4" t="str">
        <x:f>IFERROR(INDEX('Items'!$B$6:$B$1005,MATCH(D206,'Items'!$A$6:$A$1005,0)),"MISSING ID")</x:f>
        <x:v>Mineral pigment coating</x:v>
      </x:c>
      <x:c r="F206" s="4" t="str">
        <x:f>IFERROR(INDEX('Items'!$C$6:$C$1005,MATCH(D206,'Items'!$A$6:$A$1005,0)),"MISSING ID")</x:f>
        <x:v>T2</x:v>
      </x:c>
      <x:c r="G206" s="4" t="str">
        <x:f>IFERROR(INDEX('Items'!$D$6:$D$1005,MATCH(D206,'Items'!$A$6:$A$1005,0)),"MISSING ID")</x:f>
        <x:v>Manufactured stock</x:v>
      </x:c>
      <x:c r="H206" s="4" t="str">
        <x:f>IFERROR(INDEX('Items'!$X$6:$X$1005,MATCH(D206,'Items'!$A$6:$A$1005,0)),"MISSING ID")</x:f>
        <x:v>Processed material</x:v>
      </x:c>
      <x:c r="I206" s="4"/>
      <x:c r="J206" s="4" t="str">
        <x:v>Unspecified</x:v>
      </x:c>
      <x:c r="K206" s="4" t="str">
        <x:f>IFERROR(INDEX('Crafting recipes'!$D$6:$D$1005,MATCH(B206,'Crafting recipes'!$A$6:$A$1005,0)),"MISSING ID")</x:f>
        <x:v>Proposal</x:v>
      </x:c>
      <x:c r="L206" s="4" t="str">
        <x:f>IFERROR(INDEX('Items'!$AD$6:$AD$1005,MATCH(D206,'Items'!$A$6:$A$1005,0)),"MISSING ID")</x:f>
        <x:v>Proposal</x:v>
      </x:c>
      <x:c r="M206" s="4" t="str">
        <x:f>IFERROR(INDEX('Crafting recipes'!$E$6:$E$1005,MATCH(B206,'Crafting recipes'!$A$6:$A$1005,0)),"MISSING ID")</x:f>
        <x:v>Partial proposal</x:v>
      </x:c>
      <x:c r="N206" s="4" t="str">
        <x:v>Proposed output; quantity/yield and qualification remain undefined. No food use, universal adhesion or conventional paint chemistry inferred.</x:v>
      </x:c>
      <x:c r="O206" s="4" t="str">
        <x:v>New game brainstorming, October 15, 2026.</x:v>
      </x:c>
      <x:c r="P206" s="4" t="n">
        <x:f>IF(OR(C206="Ingredient candidate",C206="Consumed input",C206="Contained input",C206="Transform input"),IF(F206="T0",0,IF(F206="T1",1,IF(F206="T2",2,IF(F206="T3",3,IF(F206="T4",4,-1))))),-1)</x:f>
        <x:v>-1</x:v>
      </x:c>
      <x:c r="Q206" s="4" t="n">
        <x:f>IF(AND(OR(C206="Ingredient candidate",C206="Consumed input",C206="Contained input",C206="Transform input"),P206=-1),1,0)</x:f>
        <x:v>0</x:v>
      </x:c>
    </x:row>
    <x:row r="207" ht="105" customHeight="1">
      <x:c r="A207" s="4" t="str">
        <x:v>design.branch.branch.filled_binder.in.1</x:v>
      </x:c>
      <x:c r="B207" s="4" t="str">
        <x:v>design.branch.branch.filled_binder</x:v>
      </x:c>
      <x:c r="C207" s="4" t="str">
        <x:v>Ingredient candidate</x:v>
      </x:c>
      <x:c r="D207" s="4" t="str">
        <x:v>proposal.t1.shell_adhesive</x:v>
      </x:c>
      <x:c r="E207" s="4" t="str">
        <x:f>IFERROR(INDEX('Items'!$B$6:$B$1005,MATCH(D207,'Items'!$A$6:$A$1005,0)),"MISSING ID")</x:f>
        <x:v>Prepared shell-binding adhesive</x:v>
      </x:c>
      <x:c r="F207" s="4" t="str">
        <x:f>IFERROR(INDEX('Items'!$C$6:$C$1005,MATCH(D207,'Items'!$A$6:$A$1005,0)),"MISSING ID")</x:f>
        <x:v>T1</x:v>
      </x:c>
      <x:c r="G207" s="4" t="str">
        <x:f>IFERROR(INDEX('Items'!$D$6:$D$1005,MATCH(D207,'Items'!$A$6:$A$1005,0)),"MISSING ID")</x:f>
        <x:v>Crafting components</x:v>
      </x:c>
      <x:c r="H207" s="4" t="str">
        <x:f>IFERROR(INDEX('Items'!$X$6:$X$1005,MATCH(D207,'Items'!$A$6:$A$1005,0)),"MISSING ID")</x:f>
        <x:v>Chemical material</x:v>
      </x:c>
      <x:c r="I207" s="4"/>
      <x:c r="J207" s="4" t="str">
        <x:v>Unspecified</x:v>
      </x:c>
      <x:c r="K207" s="4" t="str">
        <x:f>IFERROR(INDEX('Crafting recipes'!$D$6:$D$1005,MATCH(B207,'Crafting recipes'!$A$6:$A$1005,0)),"MISSING ID")</x:f>
        <x:v>Proposal</x:v>
      </x:c>
      <x:c r="L207" s="4" t="str">
        <x:f>IFERROR(INDEX('Items'!$AD$6:$AD$1005,MATCH(D207,'Items'!$A$6:$A$1005,0)),"MISSING ID")</x:f>
        <x:v>Proposal</x:v>
      </x:c>
      <x:c r="M207" s="4" t="str">
        <x:f>IFERROR(INDEX('Crafting recipes'!$E$6:$E$1005,MATCH(B207,'Crafting recipes'!$A$6:$A$1005,0)),"MISSING ID")</x:f>
        <x:v>Partial proposal</x:v>
      </x:c>
      <x:c r="N207" s="4" t="str">
        <x:v>Candidate consumed material contribution; incomplete recipe. Bond strength, heat tolerance and service compatibility need qualification. Distinct from lubricant thickening and seal conditioning.</x:v>
      </x:c>
      <x:c r="O207" s="4" t="str">
        <x:v>New game brainstorming, October 15, 2026.</x:v>
      </x:c>
      <x:c r="P207" s="4" t="n">
        <x:f>IF(OR(C207="Ingredient candidate",C207="Consumed input",C207="Contained input",C207="Transform input"),IF(F207="T0",0,IF(F207="T1",1,IF(F207="T2",2,IF(F207="T3",3,IF(F207="T4",4,-1))))),-1)</x:f>
        <x:v>1</x:v>
      </x:c>
      <x:c r="Q207" s="4" t="n">
        <x:f>IF(AND(OR(C207="Ingredient candidate",C207="Consumed input",C207="Contained input",C207="Transform input"),P207=-1),1,0)</x:f>
        <x:v>0</x:v>
      </x:c>
    </x:row>
    <x:row r="208" ht="105" customHeight="1">
      <x:c r="A208" s="4" t="str">
        <x:v>design.branch.branch.filled_binder.in.2</x:v>
      </x:c>
      <x:c r="B208" s="4" t="str">
        <x:v>design.branch.branch.filled_binder</x:v>
      </x:c>
      <x:c r="C208" s="4" t="str">
        <x:v>Ingredient candidate</x:v>
      </x:c>
      <x:c r="D208" s="4" t="str">
        <x:v>proposal.t1.mineral_filler</x:v>
      </x:c>
      <x:c r="E208" s="4" t="str">
        <x:f>IFERROR(INDEX('Items'!$B$6:$B$1005,MATCH(D208,'Items'!$A$6:$A$1005,0)),"MISSING ID")</x:f>
        <x:v>Graded mineral filler</x:v>
      </x:c>
      <x:c r="F208" s="4" t="str">
        <x:f>IFERROR(INDEX('Items'!$C$6:$C$1005,MATCH(D208,'Items'!$A$6:$A$1005,0)),"MISSING ID")</x:f>
        <x:v>T1</x:v>
      </x:c>
      <x:c r="G208" s="4" t="str">
        <x:f>IFERROR(INDEX('Items'!$D$6:$D$1005,MATCH(D208,'Items'!$A$6:$A$1005,0)),"MISSING ID")</x:f>
        <x:v>Manufactured stock</x:v>
      </x:c>
      <x:c r="H208" s="4" t="str">
        <x:f>IFERROR(INDEX('Items'!$X$6:$X$1005,MATCH(D208,'Items'!$A$6:$A$1005,0)),"MISSING ID")</x:f>
        <x:v>Processed material</x:v>
      </x:c>
      <x:c r="I208" s="4"/>
      <x:c r="J208" s="4" t="str">
        <x:v>Unspecified</x:v>
      </x:c>
      <x:c r="K208" s="4" t="str">
        <x:f>IFERROR(INDEX('Crafting recipes'!$D$6:$D$1005,MATCH(B208,'Crafting recipes'!$A$6:$A$1005,0)),"MISSING ID")</x:f>
        <x:v>Proposal</x:v>
      </x:c>
      <x:c r="L208" s="4" t="str">
        <x:f>IFERROR(INDEX('Items'!$AD$6:$AD$1005,MATCH(D208,'Items'!$A$6:$A$1005,0)),"MISSING ID")</x:f>
        <x:v>Proposal</x:v>
      </x:c>
      <x:c r="M208" s="4" t="str">
        <x:f>IFERROR(INDEX('Crafting recipes'!$E$6:$E$1005,MATCH(B208,'Crafting recipes'!$A$6:$A$1005,0)),"MISSING ID")</x:f>
        <x:v>Partial proposal</x:v>
      </x:c>
      <x:c r="N208" s="4" t="str">
        <x:v>Candidate consumed material contribution; incomplete recipe. Bond strength, heat tolerance and service compatibility need qualification. Distinct from lubricant thickening and seal conditioning.</x:v>
      </x:c>
      <x:c r="O208" s="4" t="str">
        <x:v>New game brainstorming, October 15, 2026.</x:v>
      </x:c>
      <x:c r="P208" s="4" t="n">
        <x:f>IF(OR(C208="Ingredient candidate",C208="Consumed input",C208="Contained input",C208="Transform input"),IF(F208="T0",0,IF(F208="T1",1,IF(F208="T2",2,IF(F208="T3",3,IF(F208="T4",4,-1))))),-1)</x:f>
        <x:v>1</x:v>
      </x:c>
      <x:c r="Q208" s="4" t="n">
        <x:f>IF(AND(OR(C208="Ingredient candidate",C208="Consumed input",C208="Contained input",C208="Transform input"),P208=-1),1,0)</x:f>
        <x:v>0</x:v>
      </x:c>
    </x:row>
    <x:row r="209" ht="105" customHeight="1">
      <x:c r="A209" s="4" t="str">
        <x:v>design.branch.branch.filled_binder.out</x:v>
      </x:c>
      <x:c r="B209" s="4" t="str">
        <x:v>design.branch.branch.filled_binder</x:v>
      </x:c>
      <x:c r="C209" s="4" t="str">
        <x:v>Output</x:v>
      </x:c>
      <x:c r="D209" s="4" t="str">
        <x:v>proposal.branch.filled_binder</x:v>
      </x:c>
      <x:c r="E209" s="4" t="str">
        <x:f>IFERROR(INDEX('Items'!$B$6:$B$1005,MATCH(D209,'Items'!$A$6:$A$1005,0)),"MISSING ID")</x:f>
        <x:v>Filled shell-binding compound</x:v>
      </x:c>
      <x:c r="F209" s="4" t="str">
        <x:f>IFERROR(INDEX('Items'!$C$6:$C$1005,MATCH(D209,'Items'!$A$6:$A$1005,0)),"MISSING ID")</x:f>
        <x:v>T2</x:v>
      </x:c>
      <x:c r="G209" s="4" t="str">
        <x:f>IFERROR(INDEX('Items'!$D$6:$D$1005,MATCH(D209,'Items'!$A$6:$A$1005,0)),"MISSING ID")</x:f>
        <x:v>Crafting components</x:v>
      </x:c>
      <x:c r="H209" s="4" t="str">
        <x:f>IFERROR(INDEX('Items'!$X$6:$X$1005,MATCH(D209,'Items'!$A$6:$A$1005,0)),"MISSING ID")</x:f>
        <x:v>Chemical material</x:v>
      </x:c>
      <x:c r="I209" s="4"/>
      <x:c r="J209" s="4" t="str">
        <x:v>Unspecified</x:v>
      </x:c>
      <x:c r="K209" s="4" t="str">
        <x:f>IFERROR(INDEX('Crafting recipes'!$D$6:$D$1005,MATCH(B209,'Crafting recipes'!$A$6:$A$1005,0)),"MISSING ID")</x:f>
        <x:v>Proposal</x:v>
      </x:c>
      <x:c r="L209" s="4" t="str">
        <x:f>IFERROR(INDEX('Items'!$AD$6:$AD$1005,MATCH(D209,'Items'!$A$6:$A$1005,0)),"MISSING ID")</x:f>
        <x:v>Proposal</x:v>
      </x:c>
      <x:c r="M209" s="4" t="str">
        <x:f>IFERROR(INDEX('Crafting recipes'!$E$6:$E$1005,MATCH(B209,'Crafting recipes'!$A$6:$A$1005,0)),"MISSING ID")</x:f>
        <x:v>Partial proposal</x:v>
      </x:c>
      <x:c r="N209" s="4" t="str">
        <x:v>Proposed output; quantity/yield and qualification remain undefined. Bond strength, heat tolerance and service compatibility need qualification. Distinct from lubricant thickening and seal conditioning.</x:v>
      </x:c>
      <x:c r="O209" s="4" t="str">
        <x:v>New game brainstorming, October 15, 2026.</x:v>
      </x:c>
      <x:c r="P209" s="4" t="n">
        <x:f>IF(OR(C209="Ingredient candidate",C209="Consumed input",C209="Contained input",C209="Transform input"),IF(F209="T0",0,IF(F209="T1",1,IF(F209="T2",2,IF(F209="T3",3,IF(F209="T4",4,-1))))),-1)</x:f>
        <x:v>-1</x:v>
      </x:c>
      <x:c r="Q209" s="4" t="n">
        <x:f>IF(AND(OR(C209="Ingredient candidate",C209="Consumed input",C209="Contained input",C209="Transform input"),P209=-1),1,0)</x:f>
        <x:v>0</x:v>
      </x:c>
    </x:row>
    <x:row r="210" ht="105" customHeight="1">
      <x:c r="A210" s="4" t="str">
        <x:v>design.branch.branch.mica_sheet.in.1</x:v>
      </x:c>
      <x:c r="B210" s="4" t="str">
        <x:v>design.branch.branch.mica_sheet</x:v>
      </x:c>
      <x:c r="C210" s="4" t="str">
        <x:v>Ingredient candidate</x:v>
      </x:c>
      <x:c r="D210" s="4" t="str">
        <x:v>proposal.t1.mica_flakes</x:v>
      </x:c>
      <x:c r="E210" s="4" t="str">
        <x:f>IFERROR(INDEX('Items'!$B$6:$B$1005,MATCH(D210,'Items'!$A$6:$A$1005,0)),"MISSING ID")</x:f>
        <x:v>Separated mica flake grade</x:v>
      </x:c>
      <x:c r="F210" s="4" t="str">
        <x:f>IFERROR(INDEX('Items'!$C$6:$C$1005,MATCH(D210,'Items'!$A$6:$A$1005,0)),"MISSING ID")</x:f>
        <x:v>T1</x:v>
      </x:c>
      <x:c r="G210" s="4" t="str">
        <x:f>IFERROR(INDEX('Items'!$D$6:$D$1005,MATCH(D210,'Items'!$A$6:$A$1005,0)),"MISSING ID")</x:f>
        <x:v>Manufactured stock</x:v>
      </x:c>
      <x:c r="H210" s="4" t="str">
        <x:f>IFERROR(INDEX('Items'!$X$6:$X$1005,MATCH(D210,'Items'!$A$6:$A$1005,0)),"MISSING ID")</x:f>
        <x:v>Processed material</x:v>
      </x:c>
      <x:c r="I210" s="4"/>
      <x:c r="J210" s="4" t="str">
        <x:v>Unspecified</x:v>
      </x:c>
      <x:c r="K210" s="4" t="str">
        <x:f>IFERROR(INDEX('Crafting recipes'!$D$6:$D$1005,MATCH(B210,'Crafting recipes'!$A$6:$A$1005,0)),"MISSING ID")</x:f>
        <x:v>Proposal</x:v>
      </x:c>
      <x:c r="L210" s="4" t="str">
        <x:f>IFERROR(INDEX('Items'!$AD$6:$AD$1005,MATCH(D210,'Items'!$A$6:$A$1005,0)),"MISSING ID")</x:f>
        <x:v>Proposal</x:v>
      </x:c>
      <x:c r="M210" s="4" t="str">
        <x:f>IFERROR(INDEX('Crafting recipes'!$E$6:$E$1005,MATCH(B210,'Crafting recipes'!$A$6:$A$1005,0)),"MISSING ID")</x:f>
        <x:v>Partial proposal</x:v>
      </x:c>
      <x:c r="N210" s="4" t="str">
        <x:v>Candidate consumed material contribution; incomplete recipe. Insulation is an intended application, not a proven voltage/thermal rating; binder may limit service.</x:v>
      </x:c>
      <x:c r="O210" s="4" t="str">
        <x:v>New game brainstorming, October 15, 2026.</x:v>
      </x:c>
      <x:c r="P210" s="4" t="n">
        <x:f>IF(OR(C210="Ingredient candidate",C210="Consumed input",C210="Contained input",C210="Transform input"),IF(F210="T0",0,IF(F210="T1",1,IF(F210="T2",2,IF(F210="T3",3,IF(F210="T4",4,-1))))),-1)</x:f>
        <x:v>1</x:v>
      </x:c>
      <x:c r="Q210" s="4" t="n">
        <x:f>IF(AND(OR(C210="Ingredient candidate",C210="Consumed input",C210="Contained input",C210="Transform input"),P210=-1),1,0)</x:f>
        <x:v>0</x:v>
      </x:c>
    </x:row>
    <x:row r="211" ht="105" customHeight="1">
      <x:c r="A211" s="4" t="str">
        <x:v>design.branch.branch.mica_sheet.in.2</x:v>
      </x:c>
      <x:c r="B211" s="4" t="str">
        <x:v>design.branch.branch.mica_sheet</x:v>
      </x:c>
      <x:c r="C211" s="4" t="str">
        <x:v>Ingredient candidate</x:v>
      </x:c>
      <x:c r="D211" s="4" t="str">
        <x:v>proposal.t1.shell_adhesive</x:v>
      </x:c>
      <x:c r="E211" s="4" t="str">
        <x:f>IFERROR(INDEX('Items'!$B$6:$B$1005,MATCH(D211,'Items'!$A$6:$A$1005,0)),"MISSING ID")</x:f>
        <x:v>Prepared shell-binding adhesive</x:v>
      </x:c>
      <x:c r="F211" s="4" t="str">
        <x:f>IFERROR(INDEX('Items'!$C$6:$C$1005,MATCH(D211,'Items'!$A$6:$A$1005,0)),"MISSING ID")</x:f>
        <x:v>T1</x:v>
      </x:c>
      <x:c r="G211" s="4" t="str">
        <x:f>IFERROR(INDEX('Items'!$D$6:$D$1005,MATCH(D211,'Items'!$A$6:$A$1005,0)),"MISSING ID")</x:f>
        <x:v>Crafting components</x:v>
      </x:c>
      <x:c r="H211" s="4" t="str">
        <x:f>IFERROR(INDEX('Items'!$X$6:$X$1005,MATCH(D211,'Items'!$A$6:$A$1005,0)),"MISSING ID")</x:f>
        <x:v>Chemical material</x:v>
      </x:c>
      <x:c r="I211" s="4"/>
      <x:c r="J211" s="4" t="str">
        <x:v>Unspecified</x:v>
      </x:c>
      <x:c r="K211" s="4" t="str">
        <x:f>IFERROR(INDEX('Crafting recipes'!$D$6:$D$1005,MATCH(B211,'Crafting recipes'!$A$6:$A$1005,0)),"MISSING ID")</x:f>
        <x:v>Proposal</x:v>
      </x:c>
      <x:c r="L211" s="4" t="str">
        <x:f>IFERROR(INDEX('Items'!$AD$6:$AD$1005,MATCH(D211,'Items'!$A$6:$A$1005,0)),"MISSING ID")</x:f>
        <x:v>Proposal</x:v>
      </x:c>
      <x:c r="M211" s="4" t="str">
        <x:f>IFERROR(INDEX('Crafting recipes'!$E$6:$E$1005,MATCH(B211,'Crafting recipes'!$A$6:$A$1005,0)),"MISSING ID")</x:f>
        <x:v>Partial proposal</x:v>
      </x:c>
      <x:c r="N211" s="4" t="str">
        <x:v>Candidate consumed material contribution; incomplete recipe. Insulation is an intended application, not a proven voltage/thermal rating; binder may limit service.</x:v>
      </x:c>
      <x:c r="O211" s="4" t="str">
        <x:v>New game brainstorming, October 15, 2026.</x:v>
      </x:c>
      <x:c r="P211" s="4" t="n">
        <x:f>IF(OR(C211="Ingredient candidate",C211="Consumed input",C211="Contained input",C211="Transform input"),IF(F211="T0",0,IF(F211="T1",1,IF(F211="T2",2,IF(F211="T3",3,IF(F211="T4",4,-1))))),-1)</x:f>
        <x:v>1</x:v>
      </x:c>
      <x:c r="Q211" s="4" t="n">
        <x:f>IF(AND(OR(C211="Ingredient candidate",C211="Consumed input",C211="Contained input",C211="Transform input"),P211=-1),1,0)</x:f>
        <x:v>0</x:v>
      </x:c>
    </x:row>
    <x:row r="212" ht="105" customHeight="1">
      <x:c r="A212" s="4" t="str">
        <x:v>design.branch.branch.mica_sheet.out</x:v>
      </x:c>
      <x:c r="B212" s="4" t="str">
        <x:v>design.branch.branch.mica_sheet</x:v>
      </x:c>
      <x:c r="C212" s="4" t="str">
        <x:v>Output</x:v>
      </x:c>
      <x:c r="D212" s="4" t="str">
        <x:v>proposal.branch.mica_sheet</x:v>
      </x:c>
      <x:c r="E212" s="4" t="str">
        <x:f>IFERROR(INDEX('Items'!$B$6:$B$1005,MATCH(D212,'Items'!$A$6:$A$1005,0)),"MISSING ID")</x:f>
        <x:v>Mica composite sheet</x:v>
      </x:c>
      <x:c r="F212" s="4" t="str">
        <x:f>IFERROR(INDEX('Items'!$C$6:$C$1005,MATCH(D212,'Items'!$A$6:$A$1005,0)),"MISSING ID")</x:f>
        <x:v>T2</x:v>
      </x:c>
      <x:c r="G212" s="4" t="str">
        <x:f>IFERROR(INDEX('Items'!$D$6:$D$1005,MATCH(D212,'Items'!$A$6:$A$1005,0)),"MISSING ID")</x:f>
        <x:v>Manufactured stock</x:v>
      </x:c>
      <x:c r="H212" s="4" t="str">
        <x:f>IFERROR(INDEX('Items'!$X$6:$X$1005,MATCH(D212,'Items'!$A$6:$A$1005,0)),"MISSING ID")</x:f>
        <x:v>Processed material</x:v>
      </x:c>
      <x:c r="I212" s="4"/>
      <x:c r="J212" s="4" t="str">
        <x:v>Unspecified</x:v>
      </x:c>
      <x:c r="K212" s="4" t="str">
        <x:f>IFERROR(INDEX('Crafting recipes'!$D$6:$D$1005,MATCH(B212,'Crafting recipes'!$A$6:$A$1005,0)),"MISSING ID")</x:f>
        <x:v>Proposal</x:v>
      </x:c>
      <x:c r="L212" s="4" t="str">
        <x:f>IFERROR(INDEX('Items'!$AD$6:$AD$1005,MATCH(D212,'Items'!$A$6:$A$1005,0)),"MISSING ID")</x:f>
        <x:v>Proposal</x:v>
      </x:c>
      <x:c r="M212" s="4" t="str">
        <x:f>IFERROR(INDEX('Crafting recipes'!$E$6:$E$1005,MATCH(B212,'Crafting recipes'!$A$6:$A$1005,0)),"MISSING ID")</x:f>
        <x:v>Partial proposal</x:v>
      </x:c>
      <x:c r="N212" s="4" t="str">
        <x:v>Proposed output; quantity/yield and qualification remain undefined. Insulation is an intended application, not a proven voltage/thermal rating; binder may limit service.</x:v>
      </x:c>
      <x:c r="O212" s="4" t="str">
        <x:v>New game brainstorming, October 15, 2026.</x:v>
      </x:c>
      <x:c r="P212" s="4" t="n">
        <x:f>IF(OR(C212="Ingredient candidate",C212="Consumed input",C212="Contained input",C212="Transform input"),IF(F212="T0",0,IF(F212="T1",1,IF(F212="T2",2,IF(F212="T3",3,IF(F212="T4",4,-1))))),-1)</x:f>
        <x:v>-1</x:v>
      </x:c>
      <x:c r="Q212" s="4" t="n">
        <x:f>IF(AND(OR(C212="Ingredient candidate",C212="Consumed input",C212="Contained input",C212="Transform input"),P212=-1),1,0)</x:f>
        <x:v>0</x:v>
      </x:c>
    </x:row>
    <x:row r="213" ht="105" customHeight="1">
      <x:c r="A213" s="4" t="str">
        <x:v>design.branch.branch.tuned_stone.in.1</x:v>
      </x:c>
      <x:c r="B213" s="4" t="str">
        <x:v>design.branch.branch.tuned_stone</x:v>
      </x:c>
      <x:c r="C213" s="4" t="str">
        <x:v>Ingredient candidate</x:v>
      </x:c>
      <x:c r="D213" s="4" t="str">
        <x:v>proposal.t1.resonant_blank</x:v>
      </x:c>
      <x:c r="E213" s="4" t="str">
        <x:f>IFERROR(INDEX('Items'!$B$6:$B$1005,MATCH(D213,'Items'!$A$6:$A$1005,0)),"MISSING ID")</x:f>
        <x:v>Selected resonant-stone blank</x:v>
      </x:c>
      <x:c r="F213" s="4" t="str">
        <x:f>IFERROR(INDEX('Items'!$C$6:$C$1005,MATCH(D213,'Items'!$A$6:$A$1005,0)),"MISSING ID")</x:f>
        <x:v>T1</x:v>
      </x:c>
      <x:c r="G213" s="4" t="str">
        <x:f>IFERROR(INDEX('Items'!$D$6:$D$1005,MATCH(D213,'Items'!$A$6:$A$1005,0)),"MISSING ID")</x:f>
        <x:v>Manufactured stock</x:v>
      </x:c>
      <x:c r="H213" s="4" t="str">
        <x:f>IFERROR(INDEX('Items'!$X$6:$X$1005,MATCH(D213,'Items'!$A$6:$A$1005,0)),"MISSING ID")</x:f>
        <x:v>Processed material</x:v>
      </x:c>
      <x:c r="I213" s="4"/>
      <x:c r="J213" s="4" t="str">
        <x:v>Unspecified</x:v>
      </x:c>
      <x:c r="K213" s="4" t="str">
        <x:f>IFERROR(INDEX('Crafting recipes'!$D$6:$D$1005,MATCH(B213,'Crafting recipes'!$A$6:$A$1005,0)),"MISSING ID")</x:f>
        <x:v>Proposal</x:v>
      </x:c>
      <x:c r="L213" s="4" t="str">
        <x:f>IFERROR(INDEX('Items'!$AD$6:$AD$1005,MATCH(D213,'Items'!$A$6:$A$1005,0)),"MISSING ID")</x:f>
        <x:v>Proposal</x:v>
      </x:c>
      <x:c r="M213" s="4" t="str">
        <x:f>IFERROR(INDEX('Crafting recipes'!$E$6:$E$1005,MATCH(B213,'Crafting recipes'!$A$6:$A$1005,0)),"MISSING ID")</x:f>
        <x:v>Partial proposal</x:v>
      </x:c>
      <x:c r="N213" s="4" t="str">
        <x:v>Candidate consumed material contribution; incomplete recipe. No automatic Caller abilities or power amplification; mineral selection, tuning and finished instrument design remain open.</x:v>
      </x:c>
      <x:c r="O213" s="4" t="str">
        <x:v>New game brainstorming, October 15, 2026.</x:v>
      </x:c>
      <x:c r="P213" s="4" t="n">
        <x:f>IF(OR(C213="Ingredient candidate",C213="Consumed input",C213="Contained input",C213="Transform input"),IF(F213="T0",0,IF(F213="T1",1,IF(F213="T2",2,IF(F213="T3",3,IF(F213="T4",4,-1))))),-1)</x:f>
        <x:v>1</x:v>
      </x:c>
      <x:c r="Q213" s="4" t="n">
        <x:f>IF(AND(OR(C213="Ingredient candidate",C213="Consumed input",C213="Contained input",C213="Transform input"),P213=-1),1,0)</x:f>
        <x:v>0</x:v>
      </x:c>
    </x:row>
    <x:row r="214" ht="105" customHeight="1">
      <x:c r="A214" s="4" t="str">
        <x:v>design.branch.branch.tuned_stone.in.2</x:v>
      </x:c>
      <x:c r="B214" s="4" t="str">
        <x:v>design.branch.branch.tuned_stone</x:v>
      </x:c>
      <x:c r="C214" s="4" t="str">
        <x:v>Ingredient candidate</x:v>
      </x:c>
      <x:c r="D214" s="4" t="str">
        <x:v>proposal.natural.abrasive</x:v>
      </x:c>
      <x:c r="E214" s="4" t="str">
        <x:f>IFERROR(INDEX('Items'!$B$6:$B$1005,MATCH(D214,'Items'!$A$6:$A$1005,0)),"MISSING ID")</x:f>
        <x:v>Graded abrasive grit</x:v>
      </x:c>
      <x:c r="F214" s="4" t="str">
        <x:f>IFERROR(INDEX('Items'!$C$6:$C$1005,MATCH(D214,'Items'!$A$6:$A$1005,0)),"MISSING ID")</x:f>
        <x:v>T1</x:v>
      </x:c>
      <x:c r="G214" s="4" t="str">
        <x:f>IFERROR(INDEX('Items'!$D$6:$D$1005,MATCH(D214,'Items'!$A$6:$A$1005,0)),"MISSING ID")</x:f>
        <x:v>Manufactured stock</x:v>
      </x:c>
      <x:c r="H214" s="4" t="str">
        <x:f>IFERROR(INDEX('Items'!$X$6:$X$1005,MATCH(D214,'Items'!$A$6:$A$1005,0)),"MISSING ID")</x:f>
        <x:v>Processed material</x:v>
      </x:c>
      <x:c r="I214" s="4"/>
      <x:c r="J214" s="4" t="str">
        <x:v>Unspecified</x:v>
      </x:c>
      <x:c r="K214" s="4" t="str">
        <x:f>IFERROR(INDEX('Crafting recipes'!$D$6:$D$1005,MATCH(B214,'Crafting recipes'!$A$6:$A$1005,0)),"MISSING ID")</x:f>
        <x:v>Proposal</x:v>
      </x:c>
      <x:c r="L214" s="4" t="str">
        <x:f>IFERROR(INDEX('Items'!$AD$6:$AD$1005,MATCH(D214,'Items'!$A$6:$A$1005,0)),"MISSING ID")</x:f>
        <x:v>Proposal</x:v>
      </x:c>
      <x:c r="M214" s="4" t="str">
        <x:f>IFERROR(INDEX('Crafting recipes'!$E$6:$E$1005,MATCH(B214,'Crafting recipes'!$A$6:$A$1005,0)),"MISSING ID")</x:f>
        <x:v>Partial proposal</x:v>
      </x:c>
      <x:c r="N214" s="4" t="str">
        <x:v>Candidate consumed material contribution; incomplete recipe. No automatic Caller abilities or power amplification; mineral selection, tuning and finished instrument design remain open.</x:v>
      </x:c>
      <x:c r="O214" s="4" t="str">
        <x:v>New game brainstorming, October 15, 2026.</x:v>
      </x:c>
      <x:c r="P214" s="4" t="n">
        <x:f>IF(OR(C214="Ingredient candidate",C214="Consumed input",C214="Contained input",C214="Transform input"),IF(F214="T0",0,IF(F214="T1",1,IF(F214="T2",2,IF(F214="T3",3,IF(F214="T4",4,-1))))),-1)</x:f>
        <x:v>1</x:v>
      </x:c>
      <x:c r="Q214" s="4" t="n">
        <x:f>IF(AND(OR(C214="Ingredient candidate",C214="Consumed input",C214="Contained input",C214="Transform input"),P214=-1),1,0)</x:f>
        <x:v>0</x:v>
      </x:c>
    </x:row>
    <x:row r="215" ht="105" customHeight="1">
      <x:c r="A215" s="4" t="str">
        <x:v>design.branch.branch.tuned_stone.out</x:v>
      </x:c>
      <x:c r="B215" s="4" t="str">
        <x:v>design.branch.branch.tuned_stone</x:v>
      </x:c>
      <x:c r="C215" s="4" t="str">
        <x:v>Output</x:v>
      </x:c>
      <x:c r="D215" s="4" t="str">
        <x:v>proposal.branch.tuned_stone</x:v>
      </x:c>
      <x:c r="E215" s="4" t="str">
        <x:f>IFERROR(INDEX('Items'!$B$6:$B$1005,MATCH(D215,'Items'!$A$6:$A$1005,0)),"MISSING ID")</x:f>
        <x:v>Tuned stone stock</x:v>
      </x:c>
      <x:c r="F215" s="4" t="str">
        <x:f>IFERROR(INDEX('Items'!$C$6:$C$1005,MATCH(D215,'Items'!$A$6:$A$1005,0)),"MISSING ID")</x:f>
        <x:v>T2</x:v>
      </x:c>
      <x:c r="G215" s="4" t="str">
        <x:f>IFERROR(INDEX('Items'!$D$6:$D$1005,MATCH(D215,'Items'!$A$6:$A$1005,0)),"MISSING ID")</x:f>
        <x:v>Manufactured stock</x:v>
      </x:c>
      <x:c r="H215" s="4" t="str">
        <x:f>IFERROR(INDEX('Items'!$X$6:$X$1005,MATCH(D215,'Items'!$A$6:$A$1005,0)),"MISSING ID")</x:f>
        <x:v>Processed material</x:v>
      </x:c>
      <x:c r="I215" s="4"/>
      <x:c r="J215" s="4" t="str">
        <x:v>Unspecified</x:v>
      </x:c>
      <x:c r="K215" s="4" t="str">
        <x:f>IFERROR(INDEX('Crafting recipes'!$D$6:$D$1005,MATCH(B215,'Crafting recipes'!$A$6:$A$1005,0)),"MISSING ID")</x:f>
        <x:v>Proposal</x:v>
      </x:c>
      <x:c r="L215" s="4" t="str">
        <x:f>IFERROR(INDEX('Items'!$AD$6:$AD$1005,MATCH(D215,'Items'!$A$6:$A$1005,0)),"MISSING ID")</x:f>
        <x:v>Proposal</x:v>
      </x:c>
      <x:c r="M215" s="4" t="str">
        <x:f>IFERROR(INDEX('Crafting recipes'!$E$6:$E$1005,MATCH(B215,'Crafting recipes'!$A$6:$A$1005,0)),"MISSING ID")</x:f>
        <x:v>Partial proposal</x:v>
      </x:c>
      <x:c r="N215" s="4" t="str">
        <x:v>Proposed output; quantity/yield and qualification remain undefined. No automatic Caller abilities or power amplification; mineral selection, tuning and finished instrument design remain open.</x:v>
      </x:c>
      <x:c r="O215" s="4" t="str">
        <x:v>New game brainstorming, October 15, 2026.</x:v>
      </x:c>
      <x:c r="P215" s="4" t="n">
        <x:f>IF(OR(C215="Ingredient candidate",C215="Consumed input",C215="Contained input",C215="Transform input"),IF(F215="T0",0,IF(F215="T1",1,IF(F215="T2",2,IF(F215="T3",3,IF(F215="T4",4,-1))))),-1)</x:f>
        <x:v>-1</x:v>
      </x:c>
      <x:c r="Q215" s="4" t="n">
        <x:f>IF(AND(OR(C215="Ingredient candidate",C215="Consumed input",C215="Contained input",C215="Transform input"),P215=-1),1,0)</x:f>
        <x:v>0</x:v>
      </x:c>
    </x:row>
    <x:row r="216" ht="105" customHeight="1">
      <x:c r="A216" s="4" t="str">
        <x:v>design.branch.branch.polished_gem.in.1</x:v>
      </x:c>
      <x:c r="B216" s="4" t="str">
        <x:v>design.branch.branch.polished_gem</x:v>
      </x:c>
      <x:c r="C216" s="4" t="str">
        <x:v>Ingredient candidate</x:v>
      </x:c>
      <x:c r="D216" s="4" t="str">
        <x:v>proposal.t1.gem_preform</x:v>
      </x:c>
      <x:c r="E216" s="4" t="str">
        <x:f>IFERROR(INDEX('Items'!$B$6:$B$1005,MATCH(D216,'Items'!$A$6:$A$1005,0)),"MISSING ID")</x:f>
        <x:v>Cut gemstone preform</x:v>
      </x:c>
      <x:c r="F216" s="4" t="str">
        <x:f>IFERROR(INDEX('Items'!$C$6:$C$1005,MATCH(D216,'Items'!$A$6:$A$1005,0)),"MISSING ID")</x:f>
        <x:v>T1</x:v>
      </x:c>
      <x:c r="G216" s="4" t="str">
        <x:f>IFERROR(INDEX('Items'!$D$6:$D$1005,MATCH(D216,'Items'!$A$6:$A$1005,0)),"MISSING ID")</x:f>
        <x:v>Manufactured stock</x:v>
      </x:c>
      <x:c r="H216" s="4" t="str">
        <x:f>IFERROR(INDEX('Items'!$X$6:$X$1005,MATCH(D216,'Items'!$A$6:$A$1005,0)),"MISSING ID")</x:f>
        <x:v>Processed material</x:v>
      </x:c>
      <x:c r="I216" s="4"/>
      <x:c r="J216" s="4" t="str">
        <x:v>Unspecified</x:v>
      </x:c>
      <x:c r="K216" s="4" t="str">
        <x:f>IFERROR(INDEX('Crafting recipes'!$D$6:$D$1005,MATCH(B216,'Crafting recipes'!$A$6:$A$1005,0)),"MISSING ID")</x:f>
        <x:v>Proposal</x:v>
      </x:c>
      <x:c r="L216" s="4" t="str">
        <x:f>IFERROR(INDEX('Items'!$AD$6:$AD$1005,MATCH(D216,'Items'!$A$6:$A$1005,0)),"MISSING ID")</x:f>
        <x:v>Proposal</x:v>
      </x:c>
      <x:c r="M216" s="4" t="str">
        <x:f>IFERROR(INDEX('Crafting recipes'!$E$6:$E$1005,MATCH(B216,'Crafting recipes'!$A$6:$A$1005,0)),"MISSING ID")</x:f>
        <x:v>Partial proposal</x:v>
      </x:c>
      <x:c r="N216" s="4" t="str">
        <x:v>Candidate consumed material contribution; incomplete recipe. No invented national preference, gemstone power or guaranteed precision-optical use.</x:v>
      </x:c>
      <x:c r="O216" s="4" t="str">
        <x:v>New game brainstorming, October 15, 2026.</x:v>
      </x:c>
      <x:c r="P216" s="4" t="n">
        <x:f>IF(OR(C216="Ingredient candidate",C216="Consumed input",C216="Contained input",C216="Transform input"),IF(F216="T0",0,IF(F216="T1",1,IF(F216="T2",2,IF(F216="T3",3,IF(F216="T4",4,-1))))),-1)</x:f>
        <x:v>1</x:v>
      </x:c>
      <x:c r="Q216" s="4" t="n">
        <x:f>IF(AND(OR(C216="Ingredient candidate",C216="Consumed input",C216="Contained input",C216="Transform input"),P216=-1),1,0)</x:f>
        <x:v>0</x:v>
      </x:c>
    </x:row>
    <x:row r="217" ht="105" customHeight="1">
      <x:c r="A217" s="4" t="str">
        <x:v>design.branch.branch.polished_gem.in.2</x:v>
      </x:c>
      <x:c r="B217" s="4" t="str">
        <x:v>design.branch.branch.polished_gem</x:v>
      </x:c>
      <x:c r="C217" s="4" t="str">
        <x:v>Ingredient candidate</x:v>
      </x:c>
      <x:c r="D217" s="4" t="str">
        <x:v>proposal.natural.abrasive</x:v>
      </x:c>
      <x:c r="E217" s="4" t="str">
        <x:f>IFERROR(INDEX('Items'!$B$6:$B$1005,MATCH(D217,'Items'!$A$6:$A$1005,0)),"MISSING ID")</x:f>
        <x:v>Graded abrasive grit</x:v>
      </x:c>
      <x:c r="F217" s="4" t="str">
        <x:f>IFERROR(INDEX('Items'!$C$6:$C$1005,MATCH(D217,'Items'!$A$6:$A$1005,0)),"MISSING ID")</x:f>
        <x:v>T1</x:v>
      </x:c>
      <x:c r="G217" s="4" t="str">
        <x:f>IFERROR(INDEX('Items'!$D$6:$D$1005,MATCH(D217,'Items'!$A$6:$A$1005,0)),"MISSING ID")</x:f>
        <x:v>Manufactured stock</x:v>
      </x:c>
      <x:c r="H217" s="4" t="str">
        <x:f>IFERROR(INDEX('Items'!$X$6:$X$1005,MATCH(D217,'Items'!$A$6:$A$1005,0)),"MISSING ID")</x:f>
        <x:v>Processed material</x:v>
      </x:c>
      <x:c r="I217" s="4"/>
      <x:c r="J217" s="4" t="str">
        <x:v>Unspecified</x:v>
      </x:c>
      <x:c r="K217" s="4" t="str">
        <x:f>IFERROR(INDEX('Crafting recipes'!$D$6:$D$1005,MATCH(B217,'Crafting recipes'!$A$6:$A$1005,0)),"MISSING ID")</x:f>
        <x:v>Proposal</x:v>
      </x:c>
      <x:c r="L217" s="4" t="str">
        <x:f>IFERROR(INDEX('Items'!$AD$6:$AD$1005,MATCH(D217,'Items'!$A$6:$A$1005,0)),"MISSING ID")</x:f>
        <x:v>Proposal</x:v>
      </x:c>
      <x:c r="M217" s="4" t="str">
        <x:f>IFERROR(INDEX('Crafting recipes'!$E$6:$E$1005,MATCH(B217,'Crafting recipes'!$A$6:$A$1005,0)),"MISSING ID")</x:f>
        <x:v>Partial proposal</x:v>
      </x:c>
      <x:c r="N217" s="4" t="str">
        <x:v>Candidate consumed material contribution; incomplete recipe. No invented national preference, gemstone power or guaranteed precision-optical use.</x:v>
      </x:c>
      <x:c r="O217" s="4" t="str">
        <x:v>New game brainstorming, October 15, 2026.</x:v>
      </x:c>
      <x:c r="P217" s="4" t="n">
        <x:f>IF(OR(C217="Ingredient candidate",C217="Consumed input",C217="Contained input",C217="Transform input"),IF(F217="T0",0,IF(F217="T1",1,IF(F217="T2",2,IF(F217="T3",3,IF(F217="T4",4,-1))))),-1)</x:f>
        <x:v>1</x:v>
      </x:c>
      <x:c r="Q217" s="4" t="n">
        <x:f>IF(AND(OR(C217="Ingredient candidate",C217="Consumed input",C217="Contained input",C217="Transform input"),P217=-1),1,0)</x:f>
        <x:v>0</x:v>
      </x:c>
    </x:row>
    <x:row r="218" ht="105" customHeight="1">
      <x:c r="A218" s="4" t="str">
        <x:v>design.branch.branch.polished_gem.out</x:v>
      </x:c>
      <x:c r="B218" s="4" t="str">
        <x:v>design.branch.branch.polished_gem</x:v>
      </x:c>
      <x:c r="C218" s="4" t="str">
        <x:v>Output</x:v>
      </x:c>
      <x:c r="D218" s="4" t="str">
        <x:v>proposal.branch.polished_gem</x:v>
      </x:c>
      <x:c r="E218" s="4" t="str">
        <x:f>IFERROR(INDEX('Items'!$B$6:$B$1005,MATCH(D218,'Items'!$A$6:$A$1005,0)),"MISSING ID")</x:f>
        <x:v>Polished gemstone blanks</x:v>
      </x:c>
      <x:c r="F218" s="4" t="str">
        <x:f>IFERROR(INDEX('Items'!$C$6:$C$1005,MATCH(D218,'Items'!$A$6:$A$1005,0)),"MISSING ID")</x:f>
        <x:v>T2</x:v>
      </x:c>
      <x:c r="G218" s="4" t="str">
        <x:f>IFERROR(INDEX('Items'!$D$6:$D$1005,MATCH(D218,'Items'!$A$6:$A$1005,0)),"MISSING ID")</x:f>
        <x:v>Manufactured stock</x:v>
      </x:c>
      <x:c r="H218" s="4" t="str">
        <x:f>IFERROR(INDEX('Items'!$X$6:$X$1005,MATCH(D218,'Items'!$A$6:$A$1005,0)),"MISSING ID")</x:f>
        <x:v>Processed material</x:v>
      </x:c>
      <x:c r="I218" s="4"/>
      <x:c r="J218" s="4" t="str">
        <x:v>Unspecified</x:v>
      </x:c>
      <x:c r="K218" s="4" t="str">
        <x:f>IFERROR(INDEX('Crafting recipes'!$D$6:$D$1005,MATCH(B218,'Crafting recipes'!$A$6:$A$1005,0)),"MISSING ID")</x:f>
        <x:v>Proposal</x:v>
      </x:c>
      <x:c r="L218" s="4" t="str">
        <x:f>IFERROR(INDEX('Items'!$AD$6:$AD$1005,MATCH(D218,'Items'!$A$6:$A$1005,0)),"MISSING ID")</x:f>
        <x:v>Proposal</x:v>
      </x:c>
      <x:c r="M218" s="4" t="str">
        <x:f>IFERROR(INDEX('Crafting recipes'!$E$6:$E$1005,MATCH(B218,'Crafting recipes'!$A$6:$A$1005,0)),"MISSING ID")</x:f>
        <x:v>Partial proposal</x:v>
      </x:c>
      <x:c r="N218" s="4" t="str">
        <x:v>Proposed output; quantity/yield and qualification remain undefined. No invented national preference, gemstone power or guaranteed precision-optical use.</x:v>
      </x:c>
      <x:c r="O218" s="4" t="str">
        <x:v>New game brainstorming, October 15, 2026.</x:v>
      </x:c>
      <x:c r="P218" s="4" t="n">
        <x:f>IF(OR(C218="Ingredient candidate",C218="Consumed input",C218="Contained input",C218="Transform input"),IF(F218="T0",0,IF(F218="T1",1,IF(F218="T2",2,IF(F218="T3",3,IF(F218="T4",4,-1))))),-1)</x:f>
        <x:v>-1</x:v>
      </x:c>
      <x:c r="Q218" s="4" t="n">
        <x:f>IF(AND(OR(C218="Ingredient candidate",C218="Consumed input",C218="Contained input",C218="Transform input"),P218=-1),1,0)</x:f>
        <x:v>0</x:v>
      </x:c>
    </x:row>
    <x:row r="219" ht="105" customHeight="1">
      <x:c r="A219" s="4" t="str">
        <x:v>design.branch.corrosion.advanced_remover.in.1</x:v>
      </x:c>
      <x:c r="B219" s="4" t="str">
        <x:v>design.branch.corrosion.advanced_remover</x:v>
      </x:c>
      <x:c r="C219" s="4" t="str">
        <x:v>Ingredient candidate</x:v>
      </x:c>
      <x:c r="D219" s="4" t="str">
        <x:v>proposal.branch.etchant</x:v>
      </x:c>
      <x:c r="E219" s="4" t="str">
        <x:f>IFERROR(INDEX('Items'!$B$6:$B$1005,MATCH(D219,'Items'!$A$6:$A$1005,0)),"MISSING ID")</x:f>
        <x:v>Conditioned faunal etchant</x:v>
      </x:c>
      <x:c r="F219" s="4" t="str">
        <x:f>IFERROR(INDEX('Items'!$C$6:$C$1005,MATCH(D219,'Items'!$A$6:$A$1005,0)),"MISSING ID")</x:f>
        <x:v>T1</x:v>
      </x:c>
      <x:c r="G219" s="4" t="str">
        <x:f>IFERROR(INDEX('Items'!$D$6:$D$1005,MATCH(D219,'Items'!$A$6:$A$1005,0)),"MISSING ID")</x:f>
        <x:v>Crafting components</x:v>
      </x:c>
      <x:c r="H219" s="4" t="str">
        <x:f>IFERROR(INDEX('Items'!$X$6:$X$1005,MATCH(D219,'Items'!$A$6:$A$1005,0)),"MISSING ID")</x:f>
        <x:v>Chemical material</x:v>
      </x:c>
      <x:c r="I219" s="4"/>
      <x:c r="J219" s="4" t="str">
        <x:v>Unspecified</x:v>
      </x:c>
      <x:c r="K219" s="4" t="str">
        <x:f>IFERROR(INDEX('Crafting recipes'!$D$6:$D$1005,MATCH(B219,'Crafting recipes'!$A$6:$A$1005,0)),"MISSING ID")</x:f>
        <x:v>Proposal</x:v>
      </x:c>
      <x:c r="L219" s="4" t="str">
        <x:f>IFERROR(INDEX('Items'!$AD$6:$AD$1005,MATCH(D219,'Items'!$A$6:$A$1005,0)),"MISSING ID")</x:f>
        <x:v>Proposal</x:v>
      </x:c>
      <x:c r="M219" s="4" t="str">
        <x:f>IFERROR(INDEX('Crafting recipes'!$E$6:$E$1005,MATCH(B219,'Crafting recipes'!$A$6:$A$1005,0)),"MISSING ID")</x:f>
        <x:v>Partial proposal</x:v>
      </x:c>
      <x:c r="N219" s="4" t="str">
        <x:v>Candidate consumed material contribution; incomplete recipe. Existing author-directed family reused. Ingredient roles are hypotheses; no formula, universal metal selectivity or restoration of missing metal.</x:v>
      </x:c>
      <x:c r="O219" s="4" t="str">
        <x:v>New game brainstorming, October 15, 2026.</x:v>
      </x:c>
      <x:c r="P219" s="4" t="n">
        <x:f>IF(OR(C219="Ingredient candidate",C219="Consumed input",C219="Contained input",C219="Transform input"),IF(F219="T0",0,IF(F219="T1",1,IF(F219="T2",2,IF(F219="T3",3,IF(F219="T4",4,-1))))),-1)</x:f>
        <x:v>1</x:v>
      </x:c>
      <x:c r="Q219" s="4" t="n">
        <x:f>IF(AND(OR(C219="Ingredient candidate",C219="Consumed input",C219="Contained input",C219="Transform input"),P219=-1),1,0)</x:f>
        <x:v>0</x:v>
      </x:c>
    </x:row>
    <x:row r="220" ht="105" customHeight="1">
      <x:c r="A220" s="4" t="str">
        <x:v>design.branch.corrosion.advanced_remover.in.2</x:v>
      </x:c>
      <x:c r="B220" s="4" t="str">
        <x:v>design.branch.corrosion.advanced_remover</x:v>
      </x:c>
      <x:c r="C220" s="4" t="str">
        <x:v>Ingredient candidate</x:v>
      </x:c>
      <x:c r="D220" s="4" t="str">
        <x:v>proposal.t1.faunal_carrier</x:v>
      </x:c>
      <x:c r="E220" s="4" t="str">
        <x:f>IFERROR(INDEX('Items'!$B$6:$B$1005,MATCH(D220,'Items'!$A$6:$A$1005,0)),"MISSING ID")</x:f>
        <x:v>Selected faunal carrier fraction</x:v>
      </x:c>
      <x:c r="F220" s="4" t="str">
        <x:f>IFERROR(INDEX('Items'!$C$6:$C$1005,MATCH(D220,'Items'!$A$6:$A$1005,0)),"MISSING ID")</x:f>
        <x:v>T1</x:v>
      </x:c>
      <x:c r="G220" s="4" t="str">
        <x:f>IFERROR(INDEX('Items'!$D$6:$D$1005,MATCH(D220,'Items'!$A$6:$A$1005,0)),"MISSING ID")</x:f>
        <x:v>Crafting components</x:v>
      </x:c>
      <x:c r="H220" s="4" t="str">
        <x:f>IFERROR(INDEX('Items'!$X$6:$X$1005,MATCH(D220,'Items'!$A$6:$A$1005,0)),"MISSING ID")</x:f>
        <x:v>Chemical material</x:v>
      </x:c>
      <x:c r="I220" s="4"/>
      <x:c r="J220" s="4" t="str">
        <x:v>Unspecified</x:v>
      </x:c>
      <x:c r="K220" s="4" t="str">
        <x:f>IFERROR(INDEX('Crafting recipes'!$D$6:$D$1005,MATCH(B220,'Crafting recipes'!$A$6:$A$1005,0)),"MISSING ID")</x:f>
        <x:v>Proposal</x:v>
      </x:c>
      <x:c r="L220" s="4" t="str">
        <x:f>IFERROR(INDEX('Items'!$AD$6:$AD$1005,MATCH(D220,'Items'!$A$6:$A$1005,0)),"MISSING ID")</x:f>
        <x:v>Proposal</x:v>
      </x:c>
      <x:c r="M220" s="4" t="str">
        <x:f>IFERROR(INDEX('Crafting recipes'!$E$6:$E$1005,MATCH(B220,'Crafting recipes'!$A$6:$A$1005,0)),"MISSING ID")</x:f>
        <x:v>Partial proposal</x:v>
      </x:c>
      <x:c r="N220" s="4" t="str">
        <x:v>Candidate consumed material contribution; incomplete recipe. Existing author-directed family reused. Ingredient roles are hypotheses; no formula, universal metal selectivity or restoration of missing metal.</x:v>
      </x:c>
      <x:c r="O220" s="4" t="str">
        <x:v>New game brainstorming, October 15, 2026.</x:v>
      </x:c>
      <x:c r="P220" s="4" t="n">
        <x:f>IF(OR(C220="Ingredient candidate",C220="Consumed input",C220="Contained input",C220="Transform input"),IF(F220="T0",0,IF(F220="T1",1,IF(F220="T2",2,IF(F220="T3",3,IF(F220="T4",4,-1))))),-1)</x:f>
        <x:v>1</x:v>
      </x:c>
      <x:c r="Q220" s="4" t="n">
        <x:f>IF(AND(OR(C220="Ingredient candidate",C220="Consumed input",C220="Contained input",C220="Transform input"),P220=-1),1,0)</x:f>
        <x:v>0</x:v>
      </x:c>
    </x:row>
    <x:row r="221" ht="105" customHeight="1">
      <x:c r="A221" s="4" t="str">
        <x:v>design.branch.corrosion.advanced_remover.in.3</x:v>
      </x:c>
      <x:c r="B221" s="4" t="str">
        <x:v>design.branch.corrosion.advanced_remover</x:v>
      </x:c>
      <x:c r="C221" s="4" t="str">
        <x:v>Ingredient candidate</x:v>
      </x:c>
      <x:c r="D221" s="4" t="str">
        <x:v>proposal.t1.process_salts</x:v>
      </x:c>
      <x:c r="E221" s="4" t="str">
        <x:f>IFERROR(INDEX('Items'!$B$6:$B$1005,MATCH(D221,'Items'!$A$6:$A$1005,0)),"MISSING ID")</x:f>
        <x:v>Graded process salts</x:v>
      </x:c>
      <x:c r="F221" s="4" t="str">
        <x:f>IFERROR(INDEX('Items'!$C$6:$C$1005,MATCH(D221,'Items'!$A$6:$A$1005,0)),"MISSING ID")</x:f>
        <x:v>T1</x:v>
      </x:c>
      <x:c r="G221" s="4" t="str">
        <x:f>IFERROR(INDEX('Items'!$D$6:$D$1005,MATCH(D221,'Items'!$A$6:$A$1005,0)),"MISSING ID")</x:f>
        <x:v>Manufactured stock</x:v>
      </x:c>
      <x:c r="H221" s="4" t="str">
        <x:f>IFERROR(INDEX('Items'!$X$6:$X$1005,MATCH(D221,'Items'!$A$6:$A$1005,0)),"MISSING ID")</x:f>
        <x:v>Processed material</x:v>
      </x:c>
      <x:c r="I221" s="4"/>
      <x:c r="J221" s="4" t="str">
        <x:v>Unspecified</x:v>
      </x:c>
      <x:c r="K221" s="4" t="str">
        <x:f>IFERROR(INDEX('Crafting recipes'!$D$6:$D$1005,MATCH(B221,'Crafting recipes'!$A$6:$A$1005,0)),"MISSING ID")</x:f>
        <x:v>Proposal</x:v>
      </x:c>
      <x:c r="L221" s="4" t="str">
        <x:f>IFERROR(INDEX('Items'!$AD$6:$AD$1005,MATCH(D221,'Items'!$A$6:$A$1005,0)),"MISSING ID")</x:f>
        <x:v>Proposal</x:v>
      </x:c>
      <x:c r="M221" s="4" t="str">
        <x:f>IFERROR(INDEX('Crafting recipes'!$E$6:$E$1005,MATCH(B221,'Crafting recipes'!$A$6:$A$1005,0)),"MISSING ID")</x:f>
        <x:v>Partial proposal</x:v>
      </x:c>
      <x:c r="N221" s="4" t="str">
        <x:v>Candidate consumed material contribution; incomplete recipe. Existing author-directed family reused. Ingredient roles are hypotheses; no formula, universal metal selectivity or restoration of missing metal.</x:v>
      </x:c>
      <x:c r="O221" s="4" t="str">
        <x:v>New game brainstorming, October 15, 2026.</x:v>
      </x:c>
      <x:c r="P221" s="4" t="n">
        <x:f>IF(OR(C221="Ingredient candidate",C221="Consumed input",C221="Contained input",C221="Transform input"),IF(F221="T0",0,IF(F221="T1",1,IF(F221="T2",2,IF(F221="T3",3,IF(F221="T4",4,-1))))),-1)</x:f>
        <x:v>1</x:v>
      </x:c>
      <x:c r="Q221" s="4" t="n">
        <x:f>IF(AND(OR(C221="Ingredient candidate",C221="Consumed input",C221="Contained input",C221="Transform input"),P221=-1),1,0)</x:f>
        <x:v>0</x:v>
      </x:c>
    </x:row>
    <x:row r="222" ht="105" customHeight="1">
      <x:c r="A222" s="4" t="str">
        <x:v>design.branch.corrosion.advanced_remover.out</x:v>
      </x:c>
      <x:c r="B222" s="4" t="str">
        <x:v>design.branch.corrosion.advanced_remover</x:v>
      </x:c>
      <x:c r="C222" s="4" t="str">
        <x:v>Output</x:v>
      </x:c>
      <x:c r="D222" s="4" t="str">
        <x:v>author.corrosion.advanced_remover</x:v>
      </x:c>
      <x:c r="E222" s="4" t="str">
        <x:f>IFERROR(INDEX('Items'!$B$6:$B$1005,MATCH(D222,'Items'!$A$6:$A$1005,0)),"MISSING ID")</x:f>
        <x:v>Advanced rust-removal compound</x:v>
      </x:c>
      <x:c r="F222" s="4" t="str">
        <x:f>IFERROR(INDEX('Items'!$C$6:$C$1005,MATCH(D222,'Items'!$A$6:$A$1005,0)),"MISSING ID")</x:f>
        <x:v>T2</x:v>
      </x:c>
      <x:c r="G222" s="4" t="str">
        <x:f>IFERROR(INDEX('Items'!$D$6:$D$1005,MATCH(D222,'Items'!$A$6:$A$1005,0)),"MISSING ID")</x:f>
        <x:v>Crafting components</x:v>
      </x:c>
      <x:c r="H222" s="4" t="str">
        <x:f>IFERROR(INDEX('Items'!$X$6:$X$1005,MATCH(D222,'Items'!$A$6:$A$1005,0)),"MISSING ID")</x:f>
        <x:v>Chemical material</x:v>
      </x:c>
      <x:c r="I222" s="4"/>
      <x:c r="J222" s="4" t="str">
        <x:v>Unspecified</x:v>
      </x:c>
      <x:c r="K222" s="4" t="str">
        <x:f>IFERROR(INDEX('Crafting recipes'!$D$6:$D$1005,MATCH(B222,'Crafting recipes'!$A$6:$A$1005,0)),"MISSING ID")</x:f>
        <x:v>Proposal</x:v>
      </x:c>
      <x:c r="L222" s="4" t="str">
        <x:f>IFERROR(INDEX('Items'!$AD$6:$AD$1005,MATCH(D222,'Items'!$A$6:$A$1005,0)),"MISSING ID")</x:f>
        <x:v>Author direction</x:v>
      </x:c>
      <x:c r="M222" s="4" t="str">
        <x:f>IFERROR(INDEX('Crafting recipes'!$E$6:$E$1005,MATCH(B222,'Crafting recipes'!$A$6:$A$1005,0)),"MISSING ID")</x:f>
        <x:v>Partial proposal</x:v>
      </x:c>
      <x:c r="N222" s="4" t="str">
        <x:v>Proposed output; quantity/yield and qualification remain undefined. Existing author-directed family reused. Ingredient roles are hypotheses; no formula, universal metal selectivity or restoration of missing metal.</x:v>
      </x:c>
      <x:c r="O222" s="4" t="str">
        <x:v>New game brainstorming, October 15, 2026.</x:v>
      </x:c>
      <x:c r="P222" s="4" t="n">
        <x:f>IF(OR(C222="Ingredient candidate",C222="Consumed input",C222="Contained input",C222="Transform input"),IF(F222="T0",0,IF(F222="T1",1,IF(F222="T2",2,IF(F222="T3",3,IF(F222="T4",4,-1))))),-1)</x:f>
        <x:v>-1</x:v>
      </x:c>
      <x:c r="Q222" s="4" t="n">
        <x:f>IF(AND(OR(C222="Ingredient candidate",C222="Consumed input",C222="Contained input",C222="Transform input"),P222=-1),1,0)</x:f>
        <x:v>0</x:v>
      </x:c>
    </x:row>
    <x:row r="223" ht="105" customHeight="1">
      <x:c r="A223" s="4" t="str">
        <x:v>design.branch.lubricant.precision_oil.in.1</x:v>
      </x:c>
      <x:c r="B223" s="4" t="str">
        <x:v>design.branch.lubricant.precision_oil</x:v>
      </x:c>
      <x:c r="C223" s="4" t="str">
        <x:v>Ingredient candidate</x:v>
      </x:c>
      <x:c r="D223" s="4" t="str">
        <x:v>proposal.lubricant.base</x:v>
      </x:c>
      <x:c r="E223" s="4" t="str">
        <x:f>IFERROR(INDEX('Items'!$B$6:$B$1005,MATCH(D223,'Items'!$A$6:$A$1005,0)),"MISSING ID")</x:f>
        <x:v>Clarified faunal lubricant base</x:v>
      </x:c>
      <x:c r="F223" s="4" t="str">
        <x:f>IFERROR(INDEX('Items'!$C$6:$C$1005,MATCH(D223,'Items'!$A$6:$A$1005,0)),"MISSING ID")</x:f>
        <x:v>T1</x:v>
      </x:c>
      <x:c r="G223" s="4" t="str">
        <x:f>IFERROR(INDEX('Items'!$D$6:$D$1005,MATCH(D223,'Items'!$A$6:$A$1005,0)),"MISSING ID")</x:f>
        <x:v>Crafting components</x:v>
      </x:c>
      <x:c r="H223" s="4" t="str">
        <x:f>IFERROR(INDEX('Items'!$X$6:$X$1005,MATCH(D223,'Items'!$A$6:$A$1005,0)),"MISSING ID")</x:f>
        <x:v>Chemical material</x:v>
      </x:c>
      <x:c r="I223" s="4"/>
      <x:c r="J223" s="4" t="str">
        <x:v>Unspecified</x:v>
      </x:c>
      <x:c r="K223" s="4" t="str">
        <x:f>IFERROR(INDEX('Crafting recipes'!$D$6:$D$1005,MATCH(B223,'Crafting recipes'!$A$6:$A$1005,0)),"MISSING ID")</x:f>
        <x:v>Proposal</x:v>
      </x:c>
      <x:c r="L223" s="4" t="str">
        <x:f>IFERROR(INDEX('Items'!$AD$6:$AD$1005,MATCH(D223,'Items'!$A$6:$A$1005,0)),"MISSING ID")</x:f>
        <x:v>Proposal</x:v>
      </x:c>
      <x:c r="M223" s="4" t="str">
        <x:f>IFERROR(INDEX('Crafting recipes'!$E$6:$E$1005,MATCH(B223,'Crafting recipes'!$A$6:$A$1005,0)),"MISSING ID")</x:f>
        <x:v>Partial proposal</x:v>
      </x:c>
      <x:c r="N223" s="4" t="str">
        <x:v>Candidate consumed material contribution; incomplete recipe. Existing proposal reused. Carrier/base compatibility, viscosity, stability and machinery service remain unresolved; no conventional fat assumed.</x:v>
      </x:c>
      <x:c r="O223" s="4" t="str">
        <x:v>New game brainstorming, October 15, 2026.</x:v>
      </x:c>
      <x:c r="P223" s="4" t="n">
        <x:f>IF(OR(C223="Ingredient candidate",C223="Consumed input",C223="Contained input",C223="Transform input"),IF(F223="T0",0,IF(F223="T1",1,IF(F223="T2",2,IF(F223="T3",3,IF(F223="T4",4,-1))))),-1)</x:f>
        <x:v>1</x:v>
      </x:c>
      <x:c r="Q223" s="4" t="n">
        <x:f>IF(AND(OR(C223="Ingredient candidate",C223="Consumed input",C223="Contained input",C223="Transform input"),P223=-1),1,0)</x:f>
        <x:v>0</x:v>
      </x:c>
    </x:row>
    <x:row r="224" ht="105" customHeight="1">
      <x:c r="A224" s="4" t="str">
        <x:v>design.branch.lubricant.precision_oil.in.2</x:v>
      </x:c>
      <x:c r="B224" s="4" t="str">
        <x:v>design.branch.lubricant.precision_oil</x:v>
      </x:c>
      <x:c r="C224" s="4" t="str">
        <x:v>Ingredient candidate</x:v>
      </x:c>
      <x:c r="D224" s="4" t="str">
        <x:v>proposal.t1.faunal_carrier</x:v>
      </x:c>
      <x:c r="E224" s="4" t="str">
        <x:f>IFERROR(INDEX('Items'!$B$6:$B$1005,MATCH(D224,'Items'!$A$6:$A$1005,0)),"MISSING ID")</x:f>
        <x:v>Selected faunal carrier fraction</x:v>
      </x:c>
      <x:c r="F224" s="4" t="str">
        <x:f>IFERROR(INDEX('Items'!$C$6:$C$1005,MATCH(D224,'Items'!$A$6:$A$1005,0)),"MISSING ID")</x:f>
        <x:v>T1</x:v>
      </x:c>
      <x:c r="G224" s="4" t="str">
        <x:f>IFERROR(INDEX('Items'!$D$6:$D$1005,MATCH(D224,'Items'!$A$6:$A$1005,0)),"MISSING ID")</x:f>
        <x:v>Crafting components</x:v>
      </x:c>
      <x:c r="H224" s="4" t="str">
        <x:f>IFERROR(INDEX('Items'!$X$6:$X$1005,MATCH(D224,'Items'!$A$6:$A$1005,0)),"MISSING ID")</x:f>
        <x:v>Chemical material</x:v>
      </x:c>
      <x:c r="I224" s="4"/>
      <x:c r="J224" s="4" t="str">
        <x:v>Unspecified</x:v>
      </x:c>
      <x:c r="K224" s="4" t="str">
        <x:f>IFERROR(INDEX('Crafting recipes'!$D$6:$D$1005,MATCH(B224,'Crafting recipes'!$A$6:$A$1005,0)),"MISSING ID")</x:f>
        <x:v>Proposal</x:v>
      </x:c>
      <x:c r="L224" s="4" t="str">
        <x:f>IFERROR(INDEX('Items'!$AD$6:$AD$1005,MATCH(D224,'Items'!$A$6:$A$1005,0)),"MISSING ID")</x:f>
        <x:v>Proposal</x:v>
      </x:c>
      <x:c r="M224" s="4" t="str">
        <x:f>IFERROR(INDEX('Crafting recipes'!$E$6:$E$1005,MATCH(B224,'Crafting recipes'!$A$6:$A$1005,0)),"MISSING ID")</x:f>
        <x:v>Partial proposal</x:v>
      </x:c>
      <x:c r="N224" s="4" t="str">
        <x:v>Candidate consumed material contribution; incomplete recipe. Existing proposal reused. Carrier/base compatibility, viscosity, stability and machinery service remain unresolved; no conventional fat assumed.</x:v>
      </x:c>
      <x:c r="O224" s="4" t="str">
        <x:v>New game brainstorming, October 15, 2026.</x:v>
      </x:c>
      <x:c r="P224" s="4" t="n">
        <x:f>IF(OR(C224="Ingredient candidate",C224="Consumed input",C224="Contained input",C224="Transform input"),IF(F224="T0",0,IF(F224="T1",1,IF(F224="T2",2,IF(F224="T3",3,IF(F224="T4",4,-1))))),-1)</x:f>
        <x:v>1</x:v>
      </x:c>
      <x:c r="Q224" s="4" t="n">
        <x:f>IF(AND(OR(C224="Ingredient candidate",C224="Consumed input",C224="Contained input",C224="Transform input"),P224=-1),1,0)</x:f>
        <x:v>0</x:v>
      </x:c>
    </x:row>
    <x:row r="225" ht="105" customHeight="1">
      <x:c r="A225" s="4" t="str">
        <x:v>design.branch.lubricant.precision_oil.out</x:v>
      </x:c>
      <x:c r="B225" s="4" t="str">
        <x:v>design.branch.lubricant.precision_oil</x:v>
      </x:c>
      <x:c r="C225" s="4" t="str">
        <x:v>Output</x:v>
      </x:c>
      <x:c r="D225" s="4" t="str">
        <x:v>proposal.lubricant.precision_oil</x:v>
      </x:c>
      <x:c r="E225" s="4" t="str">
        <x:f>IFERROR(INDEX('Items'!$B$6:$B$1005,MATCH(D225,'Items'!$A$6:$A$1005,0)),"MISSING ID")</x:f>
        <x:v>Fine mechanism oil</x:v>
      </x:c>
      <x:c r="F225" s="4" t="str">
        <x:f>IFERROR(INDEX('Items'!$C$6:$C$1005,MATCH(D225,'Items'!$A$6:$A$1005,0)),"MISSING ID")</x:f>
        <x:v>T2</x:v>
      </x:c>
      <x:c r="G225" s="4" t="str">
        <x:f>IFERROR(INDEX('Items'!$D$6:$D$1005,MATCH(D225,'Items'!$A$6:$A$1005,0)),"MISSING ID")</x:f>
        <x:v>Crafting components</x:v>
      </x:c>
      <x:c r="H225" s="4" t="str">
        <x:f>IFERROR(INDEX('Items'!$X$6:$X$1005,MATCH(D225,'Items'!$A$6:$A$1005,0)),"MISSING ID")</x:f>
        <x:v>Chemical material</x:v>
      </x:c>
      <x:c r="I225" s="4"/>
      <x:c r="J225" s="4" t="str">
        <x:v>Unspecified</x:v>
      </x:c>
      <x:c r="K225" s="4" t="str">
        <x:f>IFERROR(INDEX('Crafting recipes'!$D$6:$D$1005,MATCH(B225,'Crafting recipes'!$A$6:$A$1005,0)),"MISSING ID")</x:f>
        <x:v>Proposal</x:v>
      </x:c>
      <x:c r="L225" s="4" t="str">
        <x:f>IFERROR(INDEX('Items'!$AD$6:$AD$1005,MATCH(D225,'Items'!$A$6:$A$1005,0)),"MISSING ID")</x:f>
        <x:v>Proposal</x:v>
      </x:c>
      <x:c r="M225" s="4" t="str">
        <x:f>IFERROR(INDEX('Crafting recipes'!$E$6:$E$1005,MATCH(B225,'Crafting recipes'!$A$6:$A$1005,0)),"MISSING ID")</x:f>
        <x:v>Partial proposal</x:v>
      </x:c>
      <x:c r="N225" s="4" t="str">
        <x:v>Proposed output; quantity/yield and qualification remain undefined. Existing proposal reused. Carrier/base compatibility, viscosity, stability and machinery service remain unresolved; no conventional fat assumed.</x:v>
      </x:c>
      <x:c r="O225" s="4" t="str">
        <x:v>New game brainstorming, October 15, 2026.</x:v>
      </x:c>
      <x:c r="P225" s="4" t="n">
        <x:f>IF(OR(C225="Ingredient candidate",C225="Consumed input",C225="Contained input",C225="Transform input"),IF(F225="T0",0,IF(F225="T1",1,IF(F225="T2",2,IF(F225="T3",3,IF(F225="T4",4,-1))))),-1)</x:f>
        <x:v>-1</x:v>
      </x:c>
      <x:c r="Q225" s="4" t="n">
        <x:f>IF(AND(OR(C225="Ingredient candidate",C225="Consumed input",C225="Contained input",C225="Transform input"),P225=-1),1,0)</x:f>
        <x:v>0</x:v>
      </x:c>
    </x:row>
    <x:row r="226" ht="105" customHeight="1">
      <x:c r="A226" s="4" t="str">
        <x:v>design.branch.lubricant.graphite_grease.in.1</x:v>
      </x:c>
      <x:c r="B226" s="4" t="str">
        <x:v>design.branch.lubricant.graphite_grease</x:v>
      </x:c>
      <x:c r="C226" s="4" t="str">
        <x:v>Ingredient candidate</x:v>
      </x:c>
      <x:c r="D226" s="4" t="str">
        <x:v>proposal.lubricant.base</x:v>
      </x:c>
      <x:c r="E226" s="4" t="str">
        <x:f>IFERROR(INDEX('Items'!$B$6:$B$1005,MATCH(D226,'Items'!$A$6:$A$1005,0)),"MISSING ID")</x:f>
        <x:v>Clarified faunal lubricant base</x:v>
      </x:c>
      <x:c r="F226" s="4" t="str">
        <x:f>IFERROR(INDEX('Items'!$C$6:$C$1005,MATCH(D226,'Items'!$A$6:$A$1005,0)),"MISSING ID")</x:f>
        <x:v>T1</x:v>
      </x:c>
      <x:c r="G226" s="4" t="str">
        <x:f>IFERROR(INDEX('Items'!$D$6:$D$1005,MATCH(D226,'Items'!$A$6:$A$1005,0)),"MISSING ID")</x:f>
        <x:v>Crafting components</x:v>
      </x:c>
      <x:c r="H226" s="4" t="str">
        <x:f>IFERROR(INDEX('Items'!$X$6:$X$1005,MATCH(D226,'Items'!$A$6:$A$1005,0)),"MISSING ID")</x:f>
        <x:v>Chemical material</x:v>
      </x:c>
      <x:c r="I226" s="4"/>
      <x:c r="J226" s="4" t="str">
        <x:v>Unspecified</x:v>
      </x:c>
      <x:c r="K226" s="4" t="str">
        <x:f>IFERROR(INDEX('Crafting recipes'!$D$6:$D$1005,MATCH(B226,'Crafting recipes'!$A$6:$A$1005,0)),"MISSING ID")</x:f>
        <x:v>Proposal</x:v>
      </x:c>
      <x:c r="L226" s="4" t="str">
        <x:f>IFERROR(INDEX('Items'!$AD$6:$AD$1005,MATCH(D226,'Items'!$A$6:$A$1005,0)),"MISSING ID")</x:f>
        <x:v>Proposal</x:v>
      </x:c>
      <x:c r="M226" s="4" t="str">
        <x:f>IFERROR(INDEX('Crafting recipes'!$E$6:$E$1005,MATCH(B226,'Crafting recipes'!$A$6:$A$1005,0)),"MISSING ID")</x:f>
        <x:v>Partial proposal</x:v>
      </x:c>
      <x:c r="N226" s="4" t="str">
        <x:v>Candidate consumed material contribution; incomplete recipe. Existing proposal reused. Grit size, compatibility, conductivity and suitability for specific mechanisms remain open.</x:v>
      </x:c>
      <x:c r="O226" s="4" t="str">
        <x:v>New game brainstorming, October 15, 2026.</x:v>
      </x:c>
      <x:c r="P226" s="4" t="n">
        <x:f>IF(OR(C226="Ingredient candidate",C226="Consumed input",C226="Contained input",C226="Transform input"),IF(F226="T0",0,IF(F226="T1",1,IF(F226="T2",2,IF(F226="T3",3,IF(F226="T4",4,-1))))),-1)</x:f>
        <x:v>1</x:v>
      </x:c>
      <x:c r="Q226" s="4" t="n">
        <x:f>IF(AND(OR(C226="Ingredient candidate",C226="Consumed input",C226="Contained input",C226="Transform input"),P226=-1),1,0)</x:f>
        <x:v>0</x:v>
      </x:c>
    </x:row>
    <x:row r="227" ht="105" customHeight="1">
      <x:c r="A227" s="4" t="str">
        <x:v>design.branch.lubricant.graphite_grease.in.2</x:v>
      </x:c>
      <x:c r="B227" s="4" t="str">
        <x:v>design.branch.lubricant.graphite_grease</x:v>
      </x:c>
      <x:c r="C227" s="4" t="str">
        <x:v>Ingredient candidate</x:v>
      </x:c>
      <x:c r="D227" s="4" t="str">
        <x:v>proposal.lubricant.thickener</x:v>
      </x:c>
      <x:c r="E227" s="4" t="str">
        <x:f>IFERROR(INDEX('Items'!$B$6:$B$1005,MATCH(D227,'Items'!$A$6:$A$1005,0)),"MISSING ID")</x:f>
        <x:v>Prepared secretion thickener</x:v>
      </x:c>
      <x:c r="F227" s="4" t="str">
        <x:f>IFERROR(INDEX('Items'!$C$6:$C$1005,MATCH(D227,'Items'!$A$6:$A$1005,0)),"MISSING ID")</x:f>
        <x:v>T1</x:v>
      </x:c>
      <x:c r="G227" s="4" t="str">
        <x:f>IFERROR(INDEX('Items'!$D$6:$D$1005,MATCH(D227,'Items'!$A$6:$A$1005,0)),"MISSING ID")</x:f>
        <x:v>Crafting components</x:v>
      </x:c>
      <x:c r="H227" s="4" t="str">
        <x:f>IFERROR(INDEX('Items'!$X$6:$X$1005,MATCH(D227,'Items'!$A$6:$A$1005,0)),"MISSING ID")</x:f>
        <x:v>Chemical material</x:v>
      </x:c>
      <x:c r="I227" s="4"/>
      <x:c r="J227" s="4" t="str">
        <x:v>Unspecified</x:v>
      </x:c>
      <x:c r="K227" s="4" t="str">
        <x:f>IFERROR(INDEX('Crafting recipes'!$D$6:$D$1005,MATCH(B227,'Crafting recipes'!$A$6:$A$1005,0)),"MISSING ID")</x:f>
        <x:v>Proposal</x:v>
      </x:c>
      <x:c r="L227" s="4" t="str">
        <x:f>IFERROR(INDEX('Items'!$AD$6:$AD$1005,MATCH(D227,'Items'!$A$6:$A$1005,0)),"MISSING ID")</x:f>
        <x:v>Proposal</x:v>
      </x:c>
      <x:c r="M227" s="4" t="str">
        <x:f>IFERROR(INDEX('Crafting recipes'!$E$6:$E$1005,MATCH(B227,'Crafting recipes'!$A$6:$A$1005,0)),"MISSING ID")</x:f>
        <x:v>Partial proposal</x:v>
      </x:c>
      <x:c r="N227" s="4" t="str">
        <x:v>Candidate consumed material contribution; incomplete recipe. Existing proposal reused. Grit size, compatibility, conductivity and suitability for specific mechanisms remain open.</x:v>
      </x:c>
      <x:c r="O227" s="4" t="str">
        <x:v>New game brainstorming, October 15, 2026.</x:v>
      </x:c>
      <x:c r="P227" s="4" t="n">
        <x:f>IF(OR(C227="Ingredient candidate",C227="Consumed input",C227="Contained input",C227="Transform input"),IF(F227="T0",0,IF(F227="T1",1,IF(F227="T2",2,IF(F227="T3",3,IF(F227="T4",4,-1))))),-1)</x:f>
        <x:v>1</x:v>
      </x:c>
      <x:c r="Q227" s="4" t="n">
        <x:f>IF(AND(OR(C227="Ingredient candidate",C227="Consumed input",C227="Contained input",C227="Transform input"),P227=-1),1,0)</x:f>
        <x:v>0</x:v>
      </x:c>
    </x:row>
    <x:row r="228" ht="105" customHeight="1">
      <x:c r="A228" s="4" t="str">
        <x:v>design.branch.lubricant.graphite_grease.in.3</x:v>
      </x:c>
      <x:c r="B228" s="4" t="str">
        <x:v>design.branch.lubricant.graphite_grease</x:v>
      </x:c>
      <x:c r="C228" s="4" t="str">
        <x:v>Ingredient candidate</x:v>
      </x:c>
      <x:c r="D228" s="4" t="str">
        <x:v>proposal.natural.carbon</x:v>
      </x:c>
      <x:c r="E228" s="4" t="str">
        <x:f>IFERROR(INDEX('Items'!$B$6:$B$1005,MATCH(D228,'Items'!$A$6:$A$1005,0)),"MISSING ID")</x:f>
        <x:v>Graded graphite flakes</x:v>
      </x:c>
      <x:c r="F228" s="4" t="str">
        <x:f>IFERROR(INDEX('Items'!$C$6:$C$1005,MATCH(D228,'Items'!$A$6:$A$1005,0)),"MISSING ID")</x:f>
        <x:v>T1</x:v>
      </x:c>
      <x:c r="G228" s="4" t="str">
        <x:f>IFERROR(INDEX('Items'!$D$6:$D$1005,MATCH(D228,'Items'!$A$6:$A$1005,0)),"MISSING ID")</x:f>
        <x:v>Manufactured stock</x:v>
      </x:c>
      <x:c r="H228" s="4" t="str">
        <x:f>IFERROR(INDEX('Items'!$X$6:$X$1005,MATCH(D228,'Items'!$A$6:$A$1005,0)),"MISSING ID")</x:f>
        <x:v>Processed material</x:v>
      </x:c>
      <x:c r="I228" s="4"/>
      <x:c r="J228" s="4" t="str">
        <x:v>Unspecified</x:v>
      </x:c>
      <x:c r="K228" s="4" t="str">
        <x:f>IFERROR(INDEX('Crafting recipes'!$D$6:$D$1005,MATCH(B228,'Crafting recipes'!$A$6:$A$1005,0)),"MISSING ID")</x:f>
        <x:v>Proposal</x:v>
      </x:c>
      <x:c r="L228" s="4" t="str">
        <x:f>IFERROR(INDEX('Items'!$AD$6:$AD$1005,MATCH(D228,'Items'!$A$6:$A$1005,0)),"MISSING ID")</x:f>
        <x:v>Proposal</x:v>
      </x:c>
      <x:c r="M228" s="4" t="str">
        <x:f>IFERROR(INDEX('Crafting recipes'!$E$6:$E$1005,MATCH(B228,'Crafting recipes'!$A$6:$A$1005,0)),"MISSING ID")</x:f>
        <x:v>Partial proposal</x:v>
      </x:c>
      <x:c r="N228" s="4" t="str">
        <x:v>Candidate consumed material contribution; incomplete recipe. Existing proposal reused. Grit size, compatibility, conductivity and suitability for specific mechanisms remain open.</x:v>
      </x:c>
      <x:c r="O228" s="4" t="str">
        <x:v>New game brainstorming, October 15, 2026.</x:v>
      </x:c>
      <x:c r="P228" s="4" t="n">
        <x:f>IF(OR(C228="Ingredient candidate",C228="Consumed input",C228="Contained input",C228="Transform input"),IF(F228="T0",0,IF(F228="T1",1,IF(F228="T2",2,IF(F228="T3",3,IF(F228="T4",4,-1))))),-1)</x:f>
        <x:v>1</x:v>
      </x:c>
      <x:c r="Q228" s="4" t="n">
        <x:f>IF(AND(OR(C228="Ingredient candidate",C228="Consumed input",C228="Contained input",C228="Transform input"),P228=-1),1,0)</x:f>
        <x:v>0</x:v>
      </x:c>
    </x:row>
    <x:row r="229" ht="105" customHeight="1">
      <x:c r="A229" s="4" t="str">
        <x:v>design.branch.lubricant.graphite_grease.out</x:v>
      </x:c>
      <x:c r="B229" s="4" t="str">
        <x:v>design.branch.lubricant.graphite_grease</x:v>
      </x:c>
      <x:c r="C229" s="4" t="str">
        <x:v>Output</x:v>
      </x:c>
      <x:c r="D229" s="4" t="str">
        <x:v>proposal.lubricant.graphite_grease</x:v>
      </x:c>
      <x:c r="E229" s="4" t="str">
        <x:f>IFERROR(INDEX('Items'!$B$6:$B$1005,MATCH(D229,'Items'!$A$6:$A$1005,0)),"MISSING ID")</x:f>
        <x:v>Graphite faunal grease</x:v>
      </x:c>
      <x:c r="F229" s="4" t="str">
        <x:f>IFERROR(INDEX('Items'!$C$6:$C$1005,MATCH(D229,'Items'!$A$6:$A$1005,0)),"MISSING ID")</x:f>
        <x:v>T2</x:v>
      </x:c>
      <x:c r="G229" s="4" t="str">
        <x:f>IFERROR(INDEX('Items'!$D$6:$D$1005,MATCH(D229,'Items'!$A$6:$A$1005,0)),"MISSING ID")</x:f>
        <x:v>Crafting components</x:v>
      </x:c>
      <x:c r="H229" s="4" t="str">
        <x:f>IFERROR(INDEX('Items'!$X$6:$X$1005,MATCH(D229,'Items'!$A$6:$A$1005,0)),"MISSING ID")</x:f>
        <x:v>Chemical material</x:v>
      </x:c>
      <x:c r="I229" s="4"/>
      <x:c r="J229" s="4" t="str">
        <x:v>Unspecified</x:v>
      </x:c>
      <x:c r="K229" s="4" t="str">
        <x:f>IFERROR(INDEX('Crafting recipes'!$D$6:$D$1005,MATCH(B229,'Crafting recipes'!$A$6:$A$1005,0)),"MISSING ID")</x:f>
        <x:v>Proposal</x:v>
      </x:c>
      <x:c r="L229" s="4" t="str">
        <x:f>IFERROR(INDEX('Items'!$AD$6:$AD$1005,MATCH(D229,'Items'!$A$6:$A$1005,0)),"MISSING ID")</x:f>
        <x:v>Proposal</x:v>
      </x:c>
      <x:c r="M229" s="4" t="str">
        <x:f>IFERROR(INDEX('Crafting recipes'!$E$6:$E$1005,MATCH(B229,'Crafting recipes'!$A$6:$A$1005,0)),"MISSING ID")</x:f>
        <x:v>Partial proposal</x:v>
      </x:c>
      <x:c r="N229" s="4" t="str">
        <x:v>Proposed output; quantity/yield and qualification remain undefined. Existing proposal reused. Grit size, compatibility, conductivity and suitability for specific mechanisms remain open.</x:v>
      </x:c>
      <x:c r="O229" s="4" t="str">
        <x:v>New game brainstorming, October 15, 2026.</x:v>
      </x:c>
      <x:c r="P229" s="4" t="n">
        <x:f>IF(OR(C229="Ingredient candidate",C229="Consumed input",C229="Contained input",C229="Transform input"),IF(F229="T0",0,IF(F229="T1",1,IF(F229="T2",2,IF(F229="T3",3,IF(F229="T4",4,-1))))),-1)</x:f>
        <x:v>-1</x:v>
      </x:c>
      <x:c r="Q229" s="4" t="n">
        <x:f>IF(AND(OR(C229="Ingredient candidate",C229="Consumed input",C229="Contained input",C229="Transform input"),P229=-1),1,0)</x:f>
        <x:v>0</x:v>
      </x:c>
    </x:row>
    <x:row r="230" ht="105" customHeight="1">
      <x:c r="A230" s="4" t="str">
        <x:v>design.branch.branch.steel_shell.in.1</x:v>
      </x:c>
      <x:c r="B230" s="4" t="str">
        <x:v>design.branch.branch.steel_shell</x:v>
      </x:c>
      <x:c r="C230" s="4" t="str">
        <x:v>Ingredient candidate</x:v>
      </x:c>
      <x:c r="D230" s="4" t="str">
        <x:v>author.metallurgy.steel_stock</x:v>
      </x:c>
      <x:c r="E230" s="4" t="str">
        <x:f>IFERROR(INDEX('Items'!$B$6:$B$1005,MATCH(D230,'Items'!$A$6:$A$1005,0)),"MISSING ID")</x:f>
        <x:v>Steel stock</x:v>
      </x:c>
      <x:c r="F230" s="4" t="str">
        <x:f>IFERROR(INDEX('Items'!$C$6:$C$1005,MATCH(D230,'Items'!$A$6:$A$1005,0)),"MISSING ID")</x:f>
        <x:v>T2</x:v>
      </x:c>
      <x:c r="G230" s="4" t="str">
        <x:f>IFERROR(INDEX('Items'!$D$6:$D$1005,MATCH(D230,'Items'!$A$6:$A$1005,0)),"MISSING ID")</x:f>
        <x:v>Manufactured stock</x:v>
      </x:c>
      <x:c r="H230" s="4" t="str">
        <x:f>IFERROR(INDEX('Items'!$X$6:$X$1005,MATCH(D230,'Items'!$A$6:$A$1005,0)),"MISSING ID")</x:f>
        <x:v>Processed material</x:v>
      </x:c>
      <x:c r="I230" s="4"/>
      <x:c r="J230" s="4" t="str">
        <x:v>Unspecified</x:v>
      </x:c>
      <x:c r="K230" s="4" t="str">
        <x:f>IFERROR(INDEX('Crafting recipes'!$D$6:$D$1005,MATCH(B230,'Crafting recipes'!$A$6:$A$1005,0)),"MISSING ID")</x:f>
        <x:v>Proposal</x:v>
      </x:c>
      <x:c r="L230" s="4" t="str">
        <x:f>IFERROR(INDEX('Items'!$AD$6:$AD$1005,MATCH(D230,'Items'!$A$6:$A$1005,0)),"MISSING ID")</x:f>
        <x:v>Author direction</x:v>
      </x:c>
      <x:c r="M230" s="4" t="str">
        <x:f>IFERROR(INDEX('Crafting recipes'!$E$6:$E$1005,MATCH(B230,'Crafting recipes'!$A$6:$A$1005,0)),"MISSING ID")</x:f>
        <x:v>Partial proposal</x:v>
      </x:c>
      <x:c r="N230" s="4" t="str">
        <x:v>Candidate consumed material contribution; incomplete recipe. Bonding, weight, flex and impact behavior unresolved; no ballistic or universal armor rating.</x:v>
      </x:c>
      <x:c r="O230" s="4" t="str">
        <x:v>New game brainstorming, October 15, 2026.</x:v>
      </x:c>
      <x:c r="P230" s="4" t="n">
        <x:f>IF(OR(C230="Ingredient candidate",C230="Consumed input",C230="Contained input",C230="Transform input"),IF(F230="T0",0,IF(F230="T1",1,IF(F230="T2",2,IF(F230="T3",3,IF(F230="T4",4,-1))))),-1)</x:f>
        <x:v>2</x:v>
      </x:c>
      <x:c r="Q230" s="4" t="n">
        <x:f>IF(AND(OR(C230="Ingredient candidate",C230="Consumed input",C230="Contained input",C230="Transform input"),P230=-1),1,0)</x:f>
        <x:v>0</x:v>
      </x:c>
    </x:row>
    <x:row r="231" ht="105" customHeight="1">
      <x:c r="A231" s="4" t="str">
        <x:v>design.branch.branch.steel_shell.in.2</x:v>
      </x:c>
      <x:c r="B231" s="4" t="str">
        <x:v>design.branch.branch.steel_shell</x:v>
      </x:c>
      <x:c r="C231" s="4" t="str">
        <x:v>Ingredient candidate</x:v>
      </x:c>
      <x:c r="D231" s="4" t="str">
        <x:v>proposal.bio.laminate</x:v>
      </x:c>
      <x:c r="E231" s="4" t="str">
        <x:f>IFERROR(INDEX('Items'!$B$6:$B$1005,MATCH(D231,'Items'!$A$6:$A$1005,0)),"MISSING ID")</x:f>
        <x:v>Shell laminate</x:v>
      </x:c>
      <x:c r="F231" s="4" t="str">
        <x:f>IFERROR(INDEX('Items'!$C$6:$C$1005,MATCH(D231,'Items'!$A$6:$A$1005,0)),"MISSING ID")</x:f>
        <x:v>T2</x:v>
      </x:c>
      <x:c r="G231" s="4" t="str">
        <x:f>IFERROR(INDEX('Items'!$D$6:$D$1005,MATCH(D231,'Items'!$A$6:$A$1005,0)),"MISSING ID")</x:f>
        <x:v>Crafting components</x:v>
      </x:c>
      <x:c r="H231" s="4" t="str">
        <x:f>IFERROR(INDEX('Items'!$X$6:$X$1005,MATCH(D231,'Items'!$A$6:$A$1005,0)),"MISSING ID")</x:f>
        <x:v>Crafting component</x:v>
      </x:c>
      <x:c r="I231" s="4"/>
      <x:c r="J231" s="4" t="str">
        <x:v>Unspecified</x:v>
      </x:c>
      <x:c r="K231" s="4" t="str">
        <x:f>IFERROR(INDEX('Crafting recipes'!$D$6:$D$1005,MATCH(B231,'Crafting recipes'!$A$6:$A$1005,0)),"MISSING ID")</x:f>
        <x:v>Proposal</x:v>
      </x:c>
      <x:c r="L231" s="4" t="str">
        <x:f>IFERROR(INDEX('Items'!$AD$6:$AD$1005,MATCH(D231,'Items'!$A$6:$A$1005,0)),"MISSING ID")</x:f>
        <x:v>Proposal</x:v>
      </x:c>
      <x:c r="M231" s="4" t="str">
        <x:f>IFERROR(INDEX('Crafting recipes'!$E$6:$E$1005,MATCH(B231,'Crafting recipes'!$A$6:$A$1005,0)),"MISSING ID")</x:f>
        <x:v>Partial proposal</x:v>
      </x:c>
      <x:c r="N231" s="4" t="str">
        <x:v>Candidate consumed material contribution; incomplete recipe. Bonding, weight, flex and impact behavior unresolved; no ballistic or universal armor rating.</x:v>
      </x:c>
      <x:c r="O231" s="4" t="str">
        <x:v>New game brainstorming, October 15, 2026.</x:v>
      </x:c>
      <x:c r="P231" s="4" t="n">
        <x:f>IF(OR(C231="Ingredient candidate",C231="Consumed input",C231="Contained input",C231="Transform input"),IF(F231="T0",0,IF(F231="T1",1,IF(F231="T2",2,IF(F231="T3",3,IF(F231="T4",4,-1))))),-1)</x:f>
        <x:v>2</x:v>
      </x:c>
      <x:c r="Q231" s="4" t="n">
        <x:f>IF(AND(OR(C231="Ingredient candidate",C231="Consumed input",C231="Contained input",C231="Transform input"),P231=-1),1,0)</x:f>
        <x:v>0</x:v>
      </x:c>
    </x:row>
    <x:row r="232" ht="105" customHeight="1">
      <x:c r="A232" s="4" t="str">
        <x:v>design.branch.branch.steel_shell.in.3</x:v>
      </x:c>
      <x:c r="B232" s="4" t="str">
        <x:v>design.branch.branch.steel_shell</x:v>
      </x:c>
      <x:c r="C232" s="4" t="str">
        <x:v>Ingredient candidate</x:v>
      </x:c>
      <x:c r="D232" s="4" t="str">
        <x:v>proposal.branch.filled_binder</x:v>
      </x:c>
      <x:c r="E232" s="4" t="str">
        <x:f>IFERROR(INDEX('Items'!$B$6:$B$1005,MATCH(D232,'Items'!$A$6:$A$1005,0)),"MISSING ID")</x:f>
        <x:v>Filled shell-binding compound</x:v>
      </x:c>
      <x:c r="F232" s="4" t="str">
        <x:f>IFERROR(INDEX('Items'!$C$6:$C$1005,MATCH(D232,'Items'!$A$6:$A$1005,0)),"MISSING ID")</x:f>
        <x:v>T2</x:v>
      </x:c>
      <x:c r="G232" s="4" t="str">
        <x:f>IFERROR(INDEX('Items'!$D$6:$D$1005,MATCH(D232,'Items'!$A$6:$A$1005,0)),"MISSING ID")</x:f>
        <x:v>Crafting components</x:v>
      </x:c>
      <x:c r="H232" s="4" t="str">
        <x:f>IFERROR(INDEX('Items'!$X$6:$X$1005,MATCH(D232,'Items'!$A$6:$A$1005,0)),"MISSING ID")</x:f>
        <x:v>Chemical material</x:v>
      </x:c>
      <x:c r="I232" s="4"/>
      <x:c r="J232" s="4" t="str">
        <x:v>Unspecified</x:v>
      </x:c>
      <x:c r="K232" s="4" t="str">
        <x:f>IFERROR(INDEX('Crafting recipes'!$D$6:$D$1005,MATCH(B232,'Crafting recipes'!$A$6:$A$1005,0)),"MISSING ID")</x:f>
        <x:v>Proposal</x:v>
      </x:c>
      <x:c r="L232" s="4" t="str">
        <x:f>IFERROR(INDEX('Items'!$AD$6:$AD$1005,MATCH(D232,'Items'!$A$6:$A$1005,0)),"MISSING ID")</x:f>
        <x:v>Proposal</x:v>
      </x:c>
      <x:c r="M232" s="4" t="str">
        <x:f>IFERROR(INDEX('Crafting recipes'!$E$6:$E$1005,MATCH(B232,'Crafting recipes'!$A$6:$A$1005,0)),"MISSING ID")</x:f>
        <x:v>Partial proposal</x:v>
      </x:c>
      <x:c r="N232" s="4" t="str">
        <x:v>Candidate consumed material contribution; incomplete recipe. Bonding, weight, flex and impact behavior unresolved; no ballistic or universal armor rating.</x:v>
      </x:c>
      <x:c r="O232" s="4" t="str">
        <x:v>New game brainstorming, October 15, 2026.</x:v>
      </x:c>
      <x:c r="P232" s="4" t="n">
        <x:f>IF(OR(C232="Ingredient candidate",C232="Consumed input",C232="Contained input",C232="Transform input"),IF(F232="T0",0,IF(F232="T1",1,IF(F232="T2",2,IF(F232="T3",3,IF(F232="T4",4,-1))))),-1)</x:f>
        <x:v>2</x:v>
      </x:c>
      <x:c r="Q232" s="4" t="n">
        <x:f>IF(AND(OR(C232="Ingredient candidate",C232="Consumed input",C232="Contained input",C232="Transform input"),P232=-1),1,0)</x:f>
        <x:v>0</x:v>
      </x:c>
    </x:row>
    <x:row r="233" ht="105" customHeight="1">
      <x:c r="A233" s="4" t="str">
        <x:v>design.branch.branch.steel_shell.out</x:v>
      </x:c>
      <x:c r="B233" s="4" t="str">
        <x:v>design.branch.branch.steel_shell</x:v>
      </x:c>
      <x:c r="C233" s="4" t="str">
        <x:v>Output</x:v>
      </x:c>
      <x:c r="D233" s="4" t="str">
        <x:v>proposal.branch.steel_shell</x:v>
      </x:c>
      <x:c r="E233" s="4" t="str">
        <x:f>IFERROR(INDEX('Items'!$B$6:$B$1005,MATCH(D233,'Items'!$A$6:$A$1005,0)),"MISSING ID")</x:f>
        <x:v>Steel-faced shell composite</x:v>
      </x:c>
      <x:c r="F233" s="4" t="str">
        <x:f>IFERROR(INDEX('Items'!$C$6:$C$1005,MATCH(D233,'Items'!$A$6:$A$1005,0)),"MISSING ID")</x:f>
        <x:v>T3</x:v>
      </x:c>
      <x:c r="G233" s="4" t="str">
        <x:f>IFERROR(INDEX('Items'!$D$6:$D$1005,MATCH(D233,'Items'!$A$6:$A$1005,0)),"MISSING ID")</x:f>
        <x:v>Manufactured stock</x:v>
      </x:c>
      <x:c r="H233" s="4" t="str">
        <x:f>IFERROR(INDEX('Items'!$X$6:$X$1005,MATCH(D233,'Items'!$A$6:$A$1005,0)),"MISSING ID")</x:f>
        <x:v>Processed material</x:v>
      </x:c>
      <x:c r="I233" s="4"/>
      <x:c r="J233" s="4" t="str">
        <x:v>Unspecified</x:v>
      </x:c>
      <x:c r="K233" s="4" t="str">
        <x:f>IFERROR(INDEX('Crafting recipes'!$D$6:$D$1005,MATCH(B233,'Crafting recipes'!$A$6:$A$1005,0)),"MISSING ID")</x:f>
        <x:v>Proposal</x:v>
      </x:c>
      <x:c r="L233" s="4" t="str">
        <x:f>IFERROR(INDEX('Items'!$AD$6:$AD$1005,MATCH(D233,'Items'!$A$6:$A$1005,0)),"MISSING ID")</x:f>
        <x:v>Proposal</x:v>
      </x:c>
      <x:c r="M233" s="4" t="str">
        <x:f>IFERROR(INDEX('Crafting recipes'!$E$6:$E$1005,MATCH(B233,'Crafting recipes'!$A$6:$A$1005,0)),"MISSING ID")</x:f>
        <x:v>Partial proposal</x:v>
      </x:c>
      <x:c r="N233" s="4" t="str">
        <x:v>Proposed output; quantity/yield and qualification remain undefined. Bonding, weight, flex and impact behavior unresolved; no ballistic or universal armor rating.</x:v>
      </x:c>
      <x:c r="O233" s="4" t="str">
        <x:v>New game brainstorming, October 15, 2026.</x:v>
      </x:c>
      <x:c r="P233" s="4" t="n">
        <x:f>IF(OR(C233="Ingredient candidate",C233="Consumed input",C233="Contained input",C233="Transform input"),IF(F233="T0",0,IF(F233="T1",1,IF(F233="T2",2,IF(F233="T3",3,IF(F233="T4",4,-1))))),-1)</x:f>
        <x:v>-1</x:v>
      </x:c>
      <x:c r="Q233" s="4" t="n">
        <x:f>IF(AND(OR(C233="Ingredient candidate",C233="Consumed input",C233="Contained input",C233="Transform input"),P233=-1),1,0)</x:f>
        <x:v>0</x:v>
      </x:c>
    </x:row>
    <x:row r="234" ht="105" customHeight="1">
      <x:c r="A234" s="4" t="str">
        <x:v>design.branch.branch.spring_steel.in.1</x:v>
      </x:c>
      <x:c r="B234" s="4" t="str">
        <x:v>design.branch.branch.spring_steel</x:v>
      </x:c>
      <x:c r="C234" s="4" t="str">
        <x:v>Ingredient candidate</x:v>
      </x:c>
      <x:c r="D234" s="4" t="str">
        <x:v>author.metallurgy.steel_stock</x:v>
      </x:c>
      <x:c r="E234" s="4" t="str">
        <x:f>IFERROR(INDEX('Items'!$B$6:$B$1005,MATCH(D234,'Items'!$A$6:$A$1005,0)),"MISSING ID")</x:f>
        <x:v>Steel stock</x:v>
      </x:c>
      <x:c r="F234" s="4" t="str">
        <x:f>IFERROR(INDEX('Items'!$C$6:$C$1005,MATCH(D234,'Items'!$A$6:$A$1005,0)),"MISSING ID")</x:f>
        <x:v>T2</x:v>
      </x:c>
      <x:c r="G234" s="4" t="str">
        <x:f>IFERROR(INDEX('Items'!$D$6:$D$1005,MATCH(D234,'Items'!$A$6:$A$1005,0)),"MISSING ID")</x:f>
        <x:v>Manufactured stock</x:v>
      </x:c>
      <x:c r="H234" s="4" t="str">
        <x:f>IFERROR(INDEX('Items'!$X$6:$X$1005,MATCH(D234,'Items'!$A$6:$A$1005,0)),"MISSING ID")</x:f>
        <x:v>Processed material</x:v>
      </x:c>
      <x:c r="I234" s="4"/>
      <x:c r="J234" s="4" t="str">
        <x:v>Unspecified</x:v>
      </x:c>
      <x:c r="K234" s="4" t="str">
        <x:f>IFERROR(INDEX('Crafting recipes'!$D$6:$D$1005,MATCH(B234,'Crafting recipes'!$A$6:$A$1005,0)),"MISSING ID")</x:f>
        <x:v>Proposal</x:v>
      </x:c>
      <x:c r="L234" s="4" t="str">
        <x:f>IFERROR(INDEX('Items'!$AD$6:$AD$1005,MATCH(D234,'Items'!$A$6:$A$1005,0)),"MISSING ID")</x:f>
        <x:v>Author direction</x:v>
      </x:c>
      <x:c r="M234" s="4" t="str">
        <x:f>IFERROR(INDEX('Crafting recipes'!$E$6:$E$1005,MATCH(B234,'Crafting recipes'!$A$6:$A$1005,0)),"MISSING ID")</x:f>
        <x:v>Partial proposal</x:v>
      </x:c>
      <x:c r="N234" s="4" t="str">
        <x:v>Candidate consumed material contribution; incomplete recipe. A candidate grade, not proof any steel springs reliably. No free-water quench; chemistry, treatment, fatigue and dimensions remain open.</x:v>
      </x:c>
      <x:c r="O234" s="4" t="str">
        <x:v>New game brainstorming, October 15, 2026.</x:v>
      </x:c>
      <x:c r="P234" s="4" t="n">
        <x:f>IF(OR(C234="Ingredient candidate",C234="Consumed input",C234="Contained input",C234="Transform input"),IF(F234="T0",0,IF(F234="T1",1,IF(F234="T2",2,IF(F234="T3",3,IF(F234="T4",4,-1))))),-1)</x:f>
        <x:v>2</x:v>
      </x:c>
      <x:c r="Q234" s="4" t="n">
        <x:f>IF(AND(OR(C234="Ingredient candidate",C234="Consumed input",C234="Contained input",C234="Transform input"),P234=-1),1,0)</x:f>
        <x:v>0</x:v>
      </x:c>
    </x:row>
    <x:row r="235" ht="105" customHeight="1">
      <x:c r="A235" s="4" t="str">
        <x:v>design.branch.branch.spring_steel.in.2</x:v>
      </x:c>
      <x:c r="B235" s="4" t="str">
        <x:v>design.branch.branch.spring_steel</x:v>
      </x:c>
      <x:c r="C235" s="4" t="str">
        <x:v>Ingredient candidate</x:v>
      </x:c>
      <x:c r="D235" s="4" t="str">
        <x:v>proposal.branch.alloy_addition</x:v>
      </x:c>
      <x:c r="E235" s="4" t="str">
        <x:f>IFERROR(INDEX('Items'!$B$6:$B$1005,MATCH(D235,'Items'!$A$6:$A$1005,0)),"MISSING ID")</x:f>
        <x:v>Prepared manganese alloying stock</x:v>
      </x:c>
      <x:c r="F235" s="4" t="str">
        <x:f>IFERROR(INDEX('Items'!$C$6:$C$1005,MATCH(D235,'Items'!$A$6:$A$1005,0)),"MISSING ID")</x:f>
        <x:v>T2</x:v>
      </x:c>
      <x:c r="G235" s="4" t="str">
        <x:f>IFERROR(INDEX('Items'!$D$6:$D$1005,MATCH(D235,'Items'!$A$6:$A$1005,0)),"MISSING ID")</x:f>
        <x:v>Manufactured stock</x:v>
      </x:c>
      <x:c r="H235" s="4" t="str">
        <x:f>IFERROR(INDEX('Items'!$X$6:$X$1005,MATCH(D235,'Items'!$A$6:$A$1005,0)),"MISSING ID")</x:f>
        <x:v>Processed material</x:v>
      </x:c>
      <x:c r="I235" s="4"/>
      <x:c r="J235" s="4" t="str">
        <x:v>Unspecified</x:v>
      </x:c>
      <x:c r="K235" s="4" t="str">
        <x:f>IFERROR(INDEX('Crafting recipes'!$D$6:$D$1005,MATCH(B235,'Crafting recipes'!$A$6:$A$1005,0)),"MISSING ID")</x:f>
        <x:v>Proposal</x:v>
      </x:c>
      <x:c r="L235" s="4" t="str">
        <x:f>IFERROR(INDEX('Items'!$AD$6:$AD$1005,MATCH(D235,'Items'!$A$6:$A$1005,0)),"MISSING ID")</x:f>
        <x:v>Proposal</x:v>
      </x:c>
      <x:c r="M235" s="4" t="str">
        <x:f>IFERROR(INDEX('Crafting recipes'!$E$6:$E$1005,MATCH(B235,'Crafting recipes'!$A$6:$A$1005,0)),"MISSING ID")</x:f>
        <x:v>Partial proposal</x:v>
      </x:c>
      <x:c r="N235" s="4" t="str">
        <x:v>Candidate consumed material contribution; incomplete recipe. A candidate grade, not proof any steel springs reliably. No free-water quench; chemistry, treatment, fatigue and dimensions remain open.</x:v>
      </x:c>
      <x:c r="O235" s="4" t="str">
        <x:v>New game brainstorming, October 15, 2026.</x:v>
      </x:c>
      <x:c r="P235" s="4" t="n">
        <x:f>IF(OR(C235="Ingredient candidate",C235="Consumed input",C235="Contained input",C235="Transform input"),IF(F235="T0",0,IF(F235="T1",1,IF(F235="T2",2,IF(F235="T3",3,IF(F235="T4",4,-1))))),-1)</x:f>
        <x:v>2</x:v>
      </x:c>
      <x:c r="Q235" s="4" t="n">
        <x:f>IF(AND(OR(C235="Ingredient candidate",C235="Consumed input",C235="Contained input",C235="Transform input"),P235=-1),1,0)</x:f>
        <x:v>0</x:v>
      </x:c>
    </x:row>
    <x:row r="236" ht="105" customHeight="1">
      <x:c r="A236" s="4" t="str">
        <x:v>design.branch.branch.spring_steel.in.3</x:v>
      </x:c>
      <x:c r="B236" s="4" t="str">
        <x:v>design.branch.branch.spring_steel</x:v>
      </x:c>
      <x:c r="C236" s="4" t="str">
        <x:v>Ingredient candidate</x:v>
      </x:c>
      <x:c r="D236" s="4" t="str">
        <x:v>proposal.branch.flux</x:v>
      </x:c>
      <x:c r="E236" s="4" t="str">
        <x:f>IFERROR(INDEX('Items'!$B$6:$B$1005,MATCH(D236,'Items'!$A$6:$A$1005,0)),"MISSING ID")</x:f>
        <x:v>Prepared metallurgical flux</x:v>
      </x:c>
      <x:c r="F236" s="4" t="str">
        <x:f>IFERROR(INDEX('Items'!$C$6:$C$1005,MATCH(D236,'Items'!$A$6:$A$1005,0)),"MISSING ID")</x:f>
        <x:v>T1</x:v>
      </x:c>
      <x:c r="G236" s="4" t="str">
        <x:f>IFERROR(INDEX('Items'!$D$6:$D$1005,MATCH(D236,'Items'!$A$6:$A$1005,0)),"MISSING ID")</x:f>
        <x:v>Crafting components</x:v>
      </x:c>
      <x:c r="H236" s="4" t="str">
        <x:f>IFERROR(INDEX('Items'!$X$6:$X$1005,MATCH(D236,'Items'!$A$6:$A$1005,0)),"MISSING ID")</x:f>
        <x:v>Processed material</x:v>
      </x:c>
      <x:c r="I236" s="4"/>
      <x:c r="J236" s="4" t="str">
        <x:v>Unspecified</x:v>
      </x:c>
      <x:c r="K236" s="4" t="str">
        <x:f>IFERROR(INDEX('Crafting recipes'!$D$6:$D$1005,MATCH(B236,'Crafting recipes'!$A$6:$A$1005,0)),"MISSING ID")</x:f>
        <x:v>Proposal</x:v>
      </x:c>
      <x:c r="L236" s="4" t="str">
        <x:f>IFERROR(INDEX('Items'!$AD$6:$AD$1005,MATCH(D236,'Items'!$A$6:$A$1005,0)),"MISSING ID")</x:f>
        <x:v>Proposal</x:v>
      </x:c>
      <x:c r="M236" s="4" t="str">
        <x:f>IFERROR(INDEX('Crafting recipes'!$E$6:$E$1005,MATCH(B236,'Crafting recipes'!$A$6:$A$1005,0)),"MISSING ID")</x:f>
        <x:v>Partial proposal</x:v>
      </x:c>
      <x:c r="N236" s="4" t="str">
        <x:v>Candidate consumed material contribution; incomplete recipe. A candidate grade, not proof any steel springs reliably. No free-water quench; chemistry, treatment, fatigue and dimensions remain open.</x:v>
      </x:c>
      <x:c r="O236" s="4" t="str">
        <x:v>New game brainstorming, October 15, 2026.</x:v>
      </x:c>
      <x:c r="P236" s="4" t="n">
        <x:f>IF(OR(C236="Ingredient candidate",C236="Consumed input",C236="Contained input",C236="Transform input"),IF(F236="T0",0,IF(F236="T1",1,IF(F236="T2",2,IF(F236="T3",3,IF(F236="T4",4,-1))))),-1)</x:f>
        <x:v>1</x:v>
      </x:c>
      <x:c r="Q236" s="4" t="n">
        <x:f>IF(AND(OR(C236="Ingredient candidate",C236="Consumed input",C236="Contained input",C236="Transform input"),P236=-1),1,0)</x:f>
        <x:v>0</x:v>
      </x:c>
    </x:row>
    <x:row r="237" ht="105" customHeight="1">
      <x:c r="A237" s="4" t="str">
        <x:v>design.branch.branch.spring_steel.out</x:v>
      </x:c>
      <x:c r="B237" s="4" t="str">
        <x:v>design.branch.branch.spring_steel</x:v>
      </x:c>
      <x:c r="C237" s="4" t="str">
        <x:v>Output</x:v>
      </x:c>
      <x:c r="D237" s="4" t="str">
        <x:v>proposal.branch.spring_steel</x:v>
      </x:c>
      <x:c r="E237" s="4" t="str">
        <x:f>IFERROR(INDEX('Items'!$B$6:$B$1005,MATCH(D237,'Items'!$A$6:$A$1005,0)),"MISSING ID")</x:f>
        <x:v>Spring-grade steel stock</x:v>
      </x:c>
      <x:c r="F237" s="4" t="str">
        <x:f>IFERROR(INDEX('Items'!$C$6:$C$1005,MATCH(D237,'Items'!$A$6:$A$1005,0)),"MISSING ID")</x:f>
        <x:v>T3</x:v>
      </x:c>
      <x:c r="G237" s="4" t="str">
        <x:f>IFERROR(INDEX('Items'!$D$6:$D$1005,MATCH(D237,'Items'!$A$6:$A$1005,0)),"MISSING ID")</x:f>
        <x:v>Manufactured stock</x:v>
      </x:c>
      <x:c r="H237" s="4" t="str">
        <x:f>IFERROR(INDEX('Items'!$X$6:$X$1005,MATCH(D237,'Items'!$A$6:$A$1005,0)),"MISSING ID")</x:f>
        <x:v>Processed material</x:v>
      </x:c>
      <x:c r="I237" s="4"/>
      <x:c r="J237" s="4" t="str">
        <x:v>Unspecified</x:v>
      </x:c>
      <x:c r="K237" s="4" t="str">
        <x:f>IFERROR(INDEX('Crafting recipes'!$D$6:$D$1005,MATCH(B237,'Crafting recipes'!$A$6:$A$1005,0)),"MISSING ID")</x:f>
        <x:v>Proposal</x:v>
      </x:c>
      <x:c r="L237" s="4" t="str">
        <x:f>IFERROR(INDEX('Items'!$AD$6:$AD$1005,MATCH(D237,'Items'!$A$6:$A$1005,0)),"MISSING ID")</x:f>
        <x:v>Proposal</x:v>
      </x:c>
      <x:c r="M237" s="4" t="str">
        <x:f>IFERROR(INDEX('Crafting recipes'!$E$6:$E$1005,MATCH(B237,'Crafting recipes'!$A$6:$A$1005,0)),"MISSING ID")</x:f>
        <x:v>Partial proposal</x:v>
      </x:c>
      <x:c r="N237" s="4" t="str">
        <x:v>Proposed output; quantity/yield and qualification remain undefined. A candidate grade, not proof any steel springs reliably. No free-water quench; chemistry, treatment, fatigue and dimensions remain open.</x:v>
      </x:c>
      <x:c r="O237" s="4" t="str">
        <x:v>New game brainstorming, October 15, 2026.</x:v>
      </x:c>
      <x:c r="P237" s="4" t="n">
        <x:f>IF(OR(C237="Ingredient candidate",C237="Consumed input",C237="Contained input",C237="Transform input"),IF(F237="T0",0,IF(F237="T1",1,IF(F237="T2",2,IF(F237="T3",3,IF(F237="T4",4,-1))))),-1)</x:f>
        <x:v>-1</x:v>
      </x:c>
      <x:c r="Q237" s="4" t="n">
        <x:f>IF(AND(OR(C237="Ingredient candidate",C237="Consumed input",C237="Contained input",C237="Transform input"),P237=-1),1,0)</x:f>
        <x:v>0</x:v>
      </x:c>
    </x:row>
    <x:row r="238" ht="105" customHeight="1">
      <x:c r="A238" s="4" t="str">
        <x:v>design.branch.branch.insulated_conductor.in.1</x:v>
      </x:c>
      <x:c r="B238" s="4" t="str">
        <x:v>design.branch.branch.insulated_conductor</x:v>
      </x:c>
      <x:c r="C238" s="4" t="str">
        <x:v>Ingredient candidate</x:v>
      </x:c>
      <x:c r="D238" s="4" t="str">
        <x:v>proposal.branch.drawn_copper</x:v>
      </x:c>
      <x:c r="E238" s="4" t="str">
        <x:f>IFERROR(INDEX('Items'!$B$6:$B$1005,MATCH(D238,'Items'!$A$6:$A$1005,0)),"MISSING ID")</x:f>
        <x:v>Drawn copper stock</x:v>
      </x:c>
      <x:c r="F238" s="4" t="str">
        <x:f>IFERROR(INDEX('Items'!$C$6:$C$1005,MATCH(D238,'Items'!$A$6:$A$1005,0)),"MISSING ID")</x:f>
        <x:v>T2</x:v>
      </x:c>
      <x:c r="G238" s="4" t="str">
        <x:f>IFERROR(INDEX('Items'!$D$6:$D$1005,MATCH(D238,'Items'!$A$6:$A$1005,0)),"MISSING ID")</x:f>
        <x:v>Manufactured stock</x:v>
      </x:c>
      <x:c r="H238" s="4" t="str">
        <x:f>IFERROR(INDEX('Items'!$X$6:$X$1005,MATCH(D238,'Items'!$A$6:$A$1005,0)),"MISSING ID")</x:f>
        <x:v>Processed material</x:v>
      </x:c>
      <x:c r="I238" s="4"/>
      <x:c r="J238" s="4" t="str">
        <x:v>Unspecified</x:v>
      </x:c>
      <x:c r="K238" s="4" t="str">
        <x:f>IFERROR(INDEX('Crafting recipes'!$D$6:$D$1005,MATCH(B238,'Crafting recipes'!$A$6:$A$1005,0)),"MISSING ID")</x:f>
        <x:v>Proposal</x:v>
      </x:c>
      <x:c r="L238" s="4" t="str">
        <x:f>IFERROR(INDEX('Items'!$AD$6:$AD$1005,MATCH(D238,'Items'!$A$6:$A$1005,0)),"MISSING ID")</x:f>
        <x:v>Proposal</x:v>
      </x:c>
      <x:c r="M238" s="4" t="str">
        <x:f>IFERROR(INDEX('Crafting recipes'!$E$6:$E$1005,MATCH(B238,'Crafting recipes'!$A$6:$A$1005,0)),"MISSING ID")</x:f>
        <x:v>Partial proposal</x:v>
      </x:c>
      <x:c r="N238" s="4" t="str">
        <x:v>Candidate consumed material contribution; incomplete recipe. Layer arrangement, joints, leakage and electrical service limits unresolved. No cloth/rubber default or high-voltage certification.</x:v>
      </x:c>
      <x:c r="O238" s="4" t="str">
        <x:v>New game brainstorming, October 15, 2026.</x:v>
      </x:c>
      <x:c r="P238" s="4" t="n">
        <x:f>IF(OR(C238="Ingredient candidate",C238="Consumed input",C238="Contained input",C238="Transform input"),IF(F238="T0",0,IF(F238="T1",1,IF(F238="T2",2,IF(F238="T3",3,IF(F238="T4",4,-1))))),-1)</x:f>
        <x:v>2</x:v>
      </x:c>
      <x:c r="Q238" s="4" t="n">
        <x:f>IF(AND(OR(C238="Ingredient candidate",C238="Consumed input",C238="Contained input",C238="Transform input"),P238=-1),1,0)</x:f>
        <x:v>0</x:v>
      </x:c>
    </x:row>
    <x:row r="239" ht="105" customHeight="1">
      <x:c r="A239" s="4" t="str">
        <x:v>design.branch.branch.insulated_conductor.in.2</x:v>
      </x:c>
      <x:c r="B239" s="4" t="str">
        <x:v>design.branch.branch.insulated_conductor</x:v>
      </x:c>
      <x:c r="C239" s="4" t="str">
        <x:v>Ingredient candidate</x:v>
      </x:c>
      <x:c r="D239" s="4" t="str">
        <x:v>proposal.branch.mica_sheet</x:v>
      </x:c>
      <x:c r="E239" s="4" t="str">
        <x:f>IFERROR(INDEX('Items'!$B$6:$B$1005,MATCH(D239,'Items'!$A$6:$A$1005,0)),"MISSING ID")</x:f>
        <x:v>Mica composite sheet</x:v>
      </x:c>
      <x:c r="F239" s="4" t="str">
        <x:f>IFERROR(INDEX('Items'!$C$6:$C$1005,MATCH(D239,'Items'!$A$6:$A$1005,0)),"MISSING ID")</x:f>
        <x:v>T2</x:v>
      </x:c>
      <x:c r="G239" s="4" t="str">
        <x:f>IFERROR(INDEX('Items'!$D$6:$D$1005,MATCH(D239,'Items'!$A$6:$A$1005,0)),"MISSING ID")</x:f>
        <x:v>Manufactured stock</x:v>
      </x:c>
      <x:c r="H239" s="4" t="str">
        <x:f>IFERROR(INDEX('Items'!$X$6:$X$1005,MATCH(D239,'Items'!$A$6:$A$1005,0)),"MISSING ID")</x:f>
        <x:v>Processed material</x:v>
      </x:c>
      <x:c r="I239" s="4"/>
      <x:c r="J239" s="4" t="str">
        <x:v>Unspecified</x:v>
      </x:c>
      <x:c r="K239" s="4" t="str">
        <x:f>IFERROR(INDEX('Crafting recipes'!$D$6:$D$1005,MATCH(B239,'Crafting recipes'!$A$6:$A$1005,0)),"MISSING ID")</x:f>
        <x:v>Proposal</x:v>
      </x:c>
      <x:c r="L239" s="4" t="str">
        <x:f>IFERROR(INDEX('Items'!$AD$6:$AD$1005,MATCH(D239,'Items'!$A$6:$A$1005,0)),"MISSING ID")</x:f>
        <x:v>Proposal</x:v>
      </x:c>
      <x:c r="M239" s="4" t="str">
        <x:f>IFERROR(INDEX('Crafting recipes'!$E$6:$E$1005,MATCH(B239,'Crafting recipes'!$A$6:$A$1005,0)),"MISSING ID")</x:f>
        <x:v>Partial proposal</x:v>
      </x:c>
      <x:c r="N239" s="4" t="str">
        <x:v>Candidate consumed material contribution; incomplete recipe. Layer arrangement, joints, leakage and electrical service limits unresolved. No cloth/rubber default or high-voltage certification.</x:v>
      </x:c>
      <x:c r="O239" s="4" t="str">
        <x:v>New game brainstorming, October 15, 2026.</x:v>
      </x:c>
      <x:c r="P239" s="4" t="n">
        <x:f>IF(OR(C239="Ingredient candidate",C239="Consumed input",C239="Contained input",C239="Transform input"),IF(F239="T0",0,IF(F239="T1",1,IF(F239="T2",2,IF(F239="T3",3,IF(F239="T4",4,-1))))),-1)</x:f>
        <x:v>2</x:v>
      </x:c>
      <x:c r="Q239" s="4" t="n">
        <x:f>IF(AND(OR(C239="Ingredient candidate",C239="Consumed input",C239="Contained input",C239="Transform input"),P239=-1),1,0)</x:f>
        <x:v>0</x:v>
      </x:c>
    </x:row>
    <x:row r="240" ht="105" customHeight="1">
      <x:c r="A240" s="4" t="str">
        <x:v>design.branch.branch.insulated_conductor.in.3</x:v>
      </x:c>
      <x:c r="B240" s="4" t="str">
        <x:v>design.branch.branch.insulated_conductor</x:v>
      </x:c>
      <x:c r="C240" s="4" t="str">
        <x:v>Ingredient candidate</x:v>
      </x:c>
      <x:c r="D240" s="4" t="str">
        <x:v>proposal.branch.flex_bond</x:v>
      </x:c>
      <x:c r="E240" s="4" t="str">
        <x:f>IFERROR(INDEX('Items'!$B$6:$B$1005,MATCH(D240,'Items'!$A$6:$A$1005,0)),"MISSING ID")</x:f>
        <x:v>Flexible membrane-bonding compound</x:v>
      </x:c>
      <x:c r="F240" s="4" t="str">
        <x:f>IFERROR(INDEX('Items'!$C$6:$C$1005,MATCH(D240,'Items'!$A$6:$A$1005,0)),"MISSING ID")</x:f>
        <x:v>T2</x:v>
      </x:c>
      <x:c r="G240" s="4" t="str">
        <x:f>IFERROR(INDEX('Items'!$D$6:$D$1005,MATCH(D240,'Items'!$A$6:$A$1005,0)),"MISSING ID")</x:f>
        <x:v>Crafting components</x:v>
      </x:c>
      <x:c r="H240" s="4" t="str">
        <x:f>IFERROR(INDEX('Items'!$X$6:$X$1005,MATCH(D240,'Items'!$A$6:$A$1005,0)),"MISSING ID")</x:f>
        <x:v>Chemical material</x:v>
      </x:c>
      <x:c r="I240" s="4"/>
      <x:c r="J240" s="4" t="str">
        <x:v>Unspecified</x:v>
      </x:c>
      <x:c r="K240" s="4" t="str">
        <x:f>IFERROR(INDEX('Crafting recipes'!$D$6:$D$1005,MATCH(B240,'Crafting recipes'!$A$6:$A$1005,0)),"MISSING ID")</x:f>
        <x:v>Proposal</x:v>
      </x:c>
      <x:c r="L240" s="4" t="str">
        <x:f>IFERROR(INDEX('Items'!$AD$6:$AD$1005,MATCH(D240,'Items'!$A$6:$A$1005,0)),"MISSING ID")</x:f>
        <x:v>Proposal</x:v>
      </x:c>
      <x:c r="M240" s="4" t="str">
        <x:f>IFERROR(INDEX('Crafting recipes'!$E$6:$E$1005,MATCH(B240,'Crafting recipes'!$A$6:$A$1005,0)),"MISSING ID")</x:f>
        <x:v>Partial proposal</x:v>
      </x:c>
      <x:c r="N240" s="4" t="str">
        <x:v>Candidate consumed material contribution; incomplete recipe. Layer arrangement, joints, leakage and electrical service limits unresolved. No cloth/rubber default or high-voltage certification.</x:v>
      </x:c>
      <x:c r="O240" s="4" t="str">
        <x:v>New game brainstorming, October 15, 2026.</x:v>
      </x:c>
      <x:c r="P240" s="4" t="n">
        <x:f>IF(OR(C240="Ingredient candidate",C240="Consumed input",C240="Contained input",C240="Transform input"),IF(F240="T0",0,IF(F240="T1",1,IF(F240="T2",2,IF(F240="T3",3,IF(F240="T4",4,-1))))),-1)</x:f>
        <x:v>2</x:v>
      </x:c>
      <x:c r="Q240" s="4" t="n">
        <x:f>IF(AND(OR(C240="Ingredient candidate",C240="Consumed input",C240="Contained input",C240="Transform input"),P240=-1),1,0)</x:f>
        <x:v>0</x:v>
      </x:c>
    </x:row>
    <x:row r="241" ht="105" customHeight="1">
      <x:c r="A241" s="4" t="str">
        <x:v>design.branch.branch.insulated_conductor.out</x:v>
      </x:c>
      <x:c r="B241" s="4" t="str">
        <x:v>design.branch.branch.insulated_conductor</x:v>
      </x:c>
      <x:c r="C241" s="4" t="str">
        <x:v>Output</x:v>
      </x:c>
      <x:c r="D241" s="4" t="str">
        <x:v>proposal.branch.insulated_conductor</x:v>
      </x:c>
      <x:c r="E241" s="4" t="str">
        <x:f>IFERROR(INDEX('Items'!$B$6:$B$1005,MATCH(D241,'Items'!$A$6:$A$1005,0)),"MISSING ID")</x:f>
        <x:v>Insulated conductor stock</x:v>
      </x:c>
      <x:c r="F241" s="4" t="str">
        <x:f>IFERROR(INDEX('Items'!$C$6:$C$1005,MATCH(D241,'Items'!$A$6:$A$1005,0)),"MISSING ID")</x:f>
        <x:v>T3</x:v>
      </x:c>
      <x:c r="G241" s="4" t="str">
        <x:f>IFERROR(INDEX('Items'!$D$6:$D$1005,MATCH(D241,'Items'!$A$6:$A$1005,0)),"MISSING ID")</x:f>
        <x:v>Manufactured stock</x:v>
      </x:c>
      <x:c r="H241" s="4" t="str">
        <x:f>IFERROR(INDEX('Items'!$X$6:$X$1005,MATCH(D241,'Items'!$A$6:$A$1005,0)),"MISSING ID")</x:f>
        <x:v>Processed material</x:v>
      </x:c>
      <x:c r="I241" s="4"/>
      <x:c r="J241" s="4" t="str">
        <x:v>Unspecified</x:v>
      </x:c>
      <x:c r="K241" s="4" t="str">
        <x:f>IFERROR(INDEX('Crafting recipes'!$D$6:$D$1005,MATCH(B241,'Crafting recipes'!$A$6:$A$1005,0)),"MISSING ID")</x:f>
        <x:v>Proposal</x:v>
      </x:c>
      <x:c r="L241" s="4" t="str">
        <x:f>IFERROR(INDEX('Items'!$AD$6:$AD$1005,MATCH(D241,'Items'!$A$6:$A$1005,0)),"MISSING ID")</x:f>
        <x:v>Proposal</x:v>
      </x:c>
      <x:c r="M241" s="4" t="str">
        <x:f>IFERROR(INDEX('Crafting recipes'!$E$6:$E$1005,MATCH(B241,'Crafting recipes'!$A$6:$A$1005,0)),"MISSING ID")</x:f>
        <x:v>Partial proposal</x:v>
      </x:c>
      <x:c r="N241" s="4" t="str">
        <x:v>Proposed output; quantity/yield and qualification remain undefined. Layer arrangement, joints, leakage and electrical service limits unresolved. No cloth/rubber default or high-voltage certification.</x:v>
      </x:c>
      <x:c r="O241" s="4" t="str">
        <x:v>New game brainstorming, October 15, 2026.</x:v>
      </x:c>
      <x:c r="P241" s="4" t="n">
        <x:f>IF(OR(C241="Ingredient candidate",C241="Consumed input",C241="Contained input",C241="Transform input"),IF(F241="T0",0,IF(F241="T1",1,IF(F241="T2",2,IF(F241="T3",3,IF(F241="T4",4,-1))))),-1)</x:f>
        <x:v>-1</x:v>
      </x:c>
      <x:c r="Q241" s="4" t="n">
        <x:f>IF(AND(OR(C241="Ingredient candidate",C241="Consumed input",C241="Contained input",C241="Transform input"),P241=-1),1,0)</x:f>
        <x:v>0</x:v>
      </x:c>
    </x:row>
    <x:row r="242" ht="105" customHeight="1">
      <x:c r="A242" s="4" t="str">
        <x:v>design.branch.branch.ceramic_shell.in.1</x:v>
      </x:c>
      <x:c r="B242" s="4" t="str">
        <x:v>design.branch.branch.ceramic_shell</x:v>
      </x:c>
      <x:c r="C242" s="4" t="str">
        <x:v>Ingredient candidate</x:v>
      </x:c>
      <x:c r="D242" s="4" t="str">
        <x:v>proposal.natural.ceramic</x:v>
      </x:c>
      <x:c r="E242" s="4" t="str">
        <x:f>IFERROR(INDEX('Items'!$B$6:$B$1005,MATCH(D242,'Items'!$A$6:$A$1005,0)),"MISSING ID")</x:f>
        <x:v>Insulating ceramic blanks</x:v>
      </x:c>
      <x:c r="F242" s="4" t="str">
        <x:f>IFERROR(INDEX('Items'!$C$6:$C$1005,MATCH(D242,'Items'!$A$6:$A$1005,0)),"MISSING ID")</x:f>
        <x:v>T2</x:v>
      </x:c>
      <x:c r="G242" s="4" t="str">
        <x:f>IFERROR(INDEX('Items'!$D$6:$D$1005,MATCH(D242,'Items'!$A$6:$A$1005,0)),"MISSING ID")</x:f>
        <x:v>Manufactured stock</x:v>
      </x:c>
      <x:c r="H242" s="4" t="str">
        <x:f>IFERROR(INDEX('Items'!$X$6:$X$1005,MATCH(D242,'Items'!$A$6:$A$1005,0)),"MISSING ID")</x:f>
        <x:v>Processed material</x:v>
      </x:c>
      <x:c r="I242" s="4"/>
      <x:c r="J242" s="4" t="str">
        <x:v>Unspecified</x:v>
      </x:c>
      <x:c r="K242" s="4" t="str">
        <x:f>IFERROR(INDEX('Crafting recipes'!$D$6:$D$1005,MATCH(B242,'Crafting recipes'!$A$6:$A$1005,0)),"MISSING ID")</x:f>
        <x:v>Proposal</x:v>
      </x:c>
      <x:c r="L242" s="4" t="str">
        <x:f>IFERROR(INDEX('Items'!$AD$6:$AD$1005,MATCH(D242,'Items'!$A$6:$A$1005,0)),"MISSING ID")</x:f>
        <x:v>Proposal</x:v>
      </x:c>
      <x:c r="M242" s="4" t="str">
        <x:f>IFERROR(INDEX('Crafting recipes'!$E$6:$E$1005,MATCH(B242,'Crafting recipes'!$A$6:$A$1005,0)),"MISSING ID")</x:f>
        <x:v>Partial proposal</x:v>
      </x:c>
      <x:c r="N242" s="4" t="str">
        <x:v>Candidate consumed material contribution; incomplete recipe. Not automatically both armor and an electrical barrier. Thermal/impact behavior and interfaces require qualification.</x:v>
      </x:c>
      <x:c r="O242" s="4" t="str">
        <x:v>New game brainstorming, October 15, 2026.</x:v>
      </x:c>
      <x:c r="P242" s="4" t="n">
        <x:f>IF(OR(C242="Ingredient candidate",C242="Consumed input",C242="Contained input",C242="Transform input"),IF(F242="T0",0,IF(F242="T1",1,IF(F242="T2",2,IF(F242="T3",3,IF(F242="T4",4,-1))))),-1)</x:f>
        <x:v>2</x:v>
      </x:c>
      <x:c r="Q242" s="4" t="n">
        <x:f>IF(AND(OR(C242="Ingredient candidate",C242="Consumed input",C242="Contained input",C242="Transform input"),P242=-1),1,0)</x:f>
        <x:v>0</x:v>
      </x:c>
    </x:row>
    <x:row r="243" ht="105" customHeight="1">
      <x:c r="A243" s="4" t="str">
        <x:v>design.branch.branch.ceramic_shell.in.2</x:v>
      </x:c>
      <x:c r="B243" s="4" t="str">
        <x:v>design.branch.branch.ceramic_shell</x:v>
      </x:c>
      <x:c r="C243" s="4" t="str">
        <x:v>Ingredient candidate</x:v>
      </x:c>
      <x:c r="D243" s="4" t="str">
        <x:v>proposal.bio.laminate</x:v>
      </x:c>
      <x:c r="E243" s="4" t="str">
        <x:f>IFERROR(INDEX('Items'!$B$6:$B$1005,MATCH(D243,'Items'!$A$6:$A$1005,0)),"MISSING ID")</x:f>
        <x:v>Shell laminate</x:v>
      </x:c>
      <x:c r="F243" s="4" t="str">
        <x:f>IFERROR(INDEX('Items'!$C$6:$C$1005,MATCH(D243,'Items'!$A$6:$A$1005,0)),"MISSING ID")</x:f>
        <x:v>T2</x:v>
      </x:c>
      <x:c r="G243" s="4" t="str">
        <x:f>IFERROR(INDEX('Items'!$D$6:$D$1005,MATCH(D243,'Items'!$A$6:$A$1005,0)),"MISSING ID")</x:f>
        <x:v>Crafting components</x:v>
      </x:c>
      <x:c r="H243" s="4" t="str">
        <x:f>IFERROR(INDEX('Items'!$X$6:$X$1005,MATCH(D243,'Items'!$A$6:$A$1005,0)),"MISSING ID")</x:f>
        <x:v>Crafting component</x:v>
      </x:c>
      <x:c r="I243" s="4"/>
      <x:c r="J243" s="4" t="str">
        <x:v>Unspecified</x:v>
      </x:c>
      <x:c r="K243" s="4" t="str">
        <x:f>IFERROR(INDEX('Crafting recipes'!$D$6:$D$1005,MATCH(B243,'Crafting recipes'!$A$6:$A$1005,0)),"MISSING ID")</x:f>
        <x:v>Proposal</x:v>
      </x:c>
      <x:c r="L243" s="4" t="str">
        <x:f>IFERROR(INDEX('Items'!$AD$6:$AD$1005,MATCH(D243,'Items'!$A$6:$A$1005,0)),"MISSING ID")</x:f>
        <x:v>Proposal</x:v>
      </x:c>
      <x:c r="M243" s="4" t="str">
        <x:f>IFERROR(INDEX('Crafting recipes'!$E$6:$E$1005,MATCH(B243,'Crafting recipes'!$A$6:$A$1005,0)),"MISSING ID")</x:f>
        <x:v>Partial proposal</x:v>
      </x:c>
      <x:c r="N243" s="4" t="str">
        <x:v>Candidate consumed material contribution; incomplete recipe. Not automatically both armor and an electrical barrier. Thermal/impact behavior and interfaces require qualification.</x:v>
      </x:c>
      <x:c r="O243" s="4" t="str">
        <x:v>New game brainstorming, October 15, 2026.</x:v>
      </x:c>
      <x:c r="P243" s="4" t="n">
        <x:f>IF(OR(C243="Ingredient candidate",C243="Consumed input",C243="Contained input",C243="Transform input"),IF(F243="T0",0,IF(F243="T1",1,IF(F243="T2",2,IF(F243="T3",3,IF(F243="T4",4,-1))))),-1)</x:f>
        <x:v>2</x:v>
      </x:c>
      <x:c r="Q243" s="4" t="n">
        <x:f>IF(AND(OR(C243="Ingredient candidate",C243="Consumed input",C243="Contained input",C243="Transform input"),P243=-1),1,0)</x:f>
        <x:v>0</x:v>
      </x:c>
    </x:row>
    <x:row r="244" ht="105" customHeight="1">
      <x:c r="A244" s="4" t="str">
        <x:v>design.branch.branch.ceramic_shell.in.3</x:v>
      </x:c>
      <x:c r="B244" s="4" t="str">
        <x:v>design.branch.branch.ceramic_shell</x:v>
      </x:c>
      <x:c r="C244" s="4" t="str">
        <x:v>Ingredient candidate</x:v>
      </x:c>
      <x:c r="D244" s="4" t="str">
        <x:v>proposal.branch.filled_binder</x:v>
      </x:c>
      <x:c r="E244" s="4" t="str">
        <x:f>IFERROR(INDEX('Items'!$B$6:$B$1005,MATCH(D244,'Items'!$A$6:$A$1005,0)),"MISSING ID")</x:f>
        <x:v>Filled shell-binding compound</x:v>
      </x:c>
      <x:c r="F244" s="4" t="str">
        <x:f>IFERROR(INDEX('Items'!$C$6:$C$1005,MATCH(D244,'Items'!$A$6:$A$1005,0)),"MISSING ID")</x:f>
        <x:v>T2</x:v>
      </x:c>
      <x:c r="G244" s="4" t="str">
        <x:f>IFERROR(INDEX('Items'!$D$6:$D$1005,MATCH(D244,'Items'!$A$6:$A$1005,0)),"MISSING ID")</x:f>
        <x:v>Crafting components</x:v>
      </x:c>
      <x:c r="H244" s="4" t="str">
        <x:f>IFERROR(INDEX('Items'!$X$6:$X$1005,MATCH(D244,'Items'!$A$6:$A$1005,0)),"MISSING ID")</x:f>
        <x:v>Chemical material</x:v>
      </x:c>
      <x:c r="I244" s="4"/>
      <x:c r="J244" s="4" t="str">
        <x:v>Unspecified</x:v>
      </x:c>
      <x:c r="K244" s="4" t="str">
        <x:f>IFERROR(INDEX('Crafting recipes'!$D$6:$D$1005,MATCH(B244,'Crafting recipes'!$A$6:$A$1005,0)),"MISSING ID")</x:f>
        <x:v>Proposal</x:v>
      </x:c>
      <x:c r="L244" s="4" t="str">
        <x:f>IFERROR(INDEX('Items'!$AD$6:$AD$1005,MATCH(D244,'Items'!$A$6:$A$1005,0)),"MISSING ID")</x:f>
        <x:v>Proposal</x:v>
      </x:c>
      <x:c r="M244" s="4" t="str">
        <x:f>IFERROR(INDEX('Crafting recipes'!$E$6:$E$1005,MATCH(B244,'Crafting recipes'!$A$6:$A$1005,0)),"MISSING ID")</x:f>
        <x:v>Partial proposal</x:v>
      </x:c>
      <x:c r="N244" s="4" t="str">
        <x:v>Candidate consumed material contribution; incomplete recipe. Not automatically both armor and an electrical barrier. Thermal/impact behavior and interfaces require qualification.</x:v>
      </x:c>
      <x:c r="O244" s="4" t="str">
        <x:v>New game brainstorming, October 15, 2026.</x:v>
      </x:c>
      <x:c r="P244" s="4" t="n">
        <x:f>IF(OR(C244="Ingredient candidate",C244="Consumed input",C244="Contained input",C244="Transform input"),IF(F244="T0",0,IF(F244="T1",1,IF(F244="T2",2,IF(F244="T3",3,IF(F244="T4",4,-1))))),-1)</x:f>
        <x:v>2</x:v>
      </x:c>
      <x:c r="Q244" s="4" t="n">
        <x:f>IF(AND(OR(C244="Ingredient candidate",C244="Consumed input",C244="Contained input",C244="Transform input"),P244=-1),1,0)</x:f>
        <x:v>0</x:v>
      </x:c>
    </x:row>
    <x:row r="245" ht="105" customHeight="1">
      <x:c r="A245" s="4" t="str">
        <x:v>design.branch.branch.ceramic_shell.out</x:v>
      </x:c>
      <x:c r="B245" s="4" t="str">
        <x:v>design.branch.branch.ceramic_shell</x:v>
      </x:c>
      <x:c r="C245" s="4" t="str">
        <x:v>Output</x:v>
      </x:c>
      <x:c r="D245" s="4" t="str">
        <x:v>proposal.branch.ceramic_shell</x:v>
      </x:c>
      <x:c r="E245" s="4" t="str">
        <x:f>IFERROR(INDEX('Items'!$B$6:$B$1005,MATCH(D245,'Items'!$A$6:$A$1005,0)),"MISSING ID")</x:f>
        <x:v>Bonded ceramic-shell composite</x:v>
      </x:c>
      <x:c r="F245" s="4" t="str">
        <x:f>IFERROR(INDEX('Items'!$C$6:$C$1005,MATCH(D245,'Items'!$A$6:$A$1005,0)),"MISSING ID")</x:f>
        <x:v>T3</x:v>
      </x:c>
      <x:c r="G245" s="4" t="str">
        <x:f>IFERROR(INDEX('Items'!$D$6:$D$1005,MATCH(D245,'Items'!$A$6:$A$1005,0)),"MISSING ID")</x:f>
        <x:v>Manufactured stock</x:v>
      </x:c>
      <x:c r="H245" s="4" t="str">
        <x:f>IFERROR(INDEX('Items'!$X$6:$X$1005,MATCH(D245,'Items'!$A$6:$A$1005,0)),"MISSING ID")</x:f>
        <x:v>Processed material</x:v>
      </x:c>
      <x:c r="I245" s="4"/>
      <x:c r="J245" s="4" t="str">
        <x:v>Unspecified</x:v>
      </x:c>
      <x:c r="K245" s="4" t="str">
        <x:f>IFERROR(INDEX('Crafting recipes'!$D$6:$D$1005,MATCH(B245,'Crafting recipes'!$A$6:$A$1005,0)),"MISSING ID")</x:f>
        <x:v>Proposal</x:v>
      </x:c>
      <x:c r="L245" s="4" t="str">
        <x:f>IFERROR(INDEX('Items'!$AD$6:$AD$1005,MATCH(D245,'Items'!$A$6:$A$1005,0)),"MISSING ID")</x:f>
        <x:v>Proposal</x:v>
      </x:c>
      <x:c r="M245" s="4" t="str">
        <x:f>IFERROR(INDEX('Crafting recipes'!$E$6:$E$1005,MATCH(B245,'Crafting recipes'!$A$6:$A$1005,0)),"MISSING ID")</x:f>
        <x:v>Partial proposal</x:v>
      </x:c>
      <x:c r="N245" s="4" t="str">
        <x:v>Proposed output; quantity/yield and qualification remain undefined. Not automatically both armor and an electrical barrier. Thermal/impact behavior and interfaces require qualification.</x:v>
      </x:c>
      <x:c r="O245" s="4" t="str">
        <x:v>New game brainstorming, October 15, 2026.</x:v>
      </x:c>
      <x:c r="P245" s="4" t="n">
        <x:f>IF(OR(C245="Ingredient candidate",C245="Consumed input",C245="Contained input",C245="Transform input"),IF(F245="T0",0,IF(F245="T1",1,IF(F245="T2",2,IF(F245="T3",3,IF(F245="T4",4,-1))))),-1)</x:f>
        <x:v>-1</x:v>
      </x:c>
      <x:c r="Q245" s="4" t="n">
        <x:f>IF(AND(OR(C245="Ingredient candidate",C245="Consumed input",C245="Contained input",C245="Transform input"),P245=-1),1,0)</x:f>
        <x:v>0</x:v>
      </x:c>
    </x:row>
    <x:row r="246" ht="105" customHeight="1">
      <x:c r="A246" s="4" t="str">
        <x:v>design.branch.branch.optical_glass.in.1</x:v>
      </x:c>
      <x:c r="B246" s="4" t="str">
        <x:v>design.branch.branch.optical_glass</x:v>
      </x:c>
      <x:c r="C246" s="4" t="str">
        <x:v>Ingredient candidate</x:v>
      </x:c>
      <x:c r="D246" s="4" t="str">
        <x:v>proposal.branch.viewing_glass</x:v>
      </x:c>
      <x:c r="E246" s="4" t="str">
        <x:f>IFERROR(INDEX('Items'!$B$6:$B$1005,MATCH(D246,'Items'!$A$6:$A$1005,0)),"MISSING ID")</x:f>
        <x:v>Selected viewing-glass stock</x:v>
      </x:c>
      <x:c r="F246" s="4" t="str">
        <x:f>IFERROR(INDEX('Items'!$C$6:$C$1005,MATCH(D246,'Items'!$A$6:$A$1005,0)),"MISSING ID")</x:f>
        <x:v>T2</x:v>
      </x:c>
      <x:c r="G246" s="4" t="str">
        <x:f>IFERROR(INDEX('Items'!$D$6:$D$1005,MATCH(D246,'Items'!$A$6:$A$1005,0)),"MISSING ID")</x:f>
        <x:v>Manufactured stock</x:v>
      </x:c>
      <x:c r="H246" s="4" t="str">
        <x:f>IFERROR(INDEX('Items'!$X$6:$X$1005,MATCH(D246,'Items'!$A$6:$A$1005,0)),"MISSING ID")</x:f>
        <x:v>Processed material</x:v>
      </x:c>
      <x:c r="I246" s="4"/>
      <x:c r="J246" s="4" t="str">
        <x:v>Unspecified</x:v>
      </x:c>
      <x:c r="K246" s="4" t="str">
        <x:f>IFERROR(INDEX('Crafting recipes'!$D$6:$D$1005,MATCH(B246,'Crafting recipes'!$A$6:$A$1005,0)),"MISSING ID")</x:f>
        <x:v>Proposal</x:v>
      </x:c>
      <x:c r="L246" s="4" t="str">
        <x:f>IFERROR(INDEX('Items'!$AD$6:$AD$1005,MATCH(D246,'Items'!$A$6:$A$1005,0)),"MISSING ID")</x:f>
        <x:v>Proposal</x:v>
      </x:c>
      <x:c r="M246" s="4" t="str">
        <x:f>IFERROR(INDEX('Crafting recipes'!$E$6:$E$1005,MATCH(B246,'Crafting recipes'!$A$6:$A$1005,0)),"MISSING ID")</x:f>
        <x:v>Partial proposal</x:v>
      </x:c>
      <x:c r="N246" s="4" t="str">
        <x:v>Candidate consumed material contribution; incomplete recipe. T1 abrasive is a lower-tier ingredient beside T2 viewing stock. Figure, defects, calibration and actual optical capability remain open.</x:v>
      </x:c>
      <x:c r="O246" s="4" t="str">
        <x:v>New game brainstorming, October 15, 2026.</x:v>
      </x:c>
      <x:c r="P246" s="4" t="n">
        <x:f>IF(OR(C246="Ingredient candidate",C246="Consumed input",C246="Contained input",C246="Transform input"),IF(F246="T0",0,IF(F246="T1",1,IF(F246="T2",2,IF(F246="T3",3,IF(F246="T4",4,-1))))),-1)</x:f>
        <x:v>2</x:v>
      </x:c>
      <x:c r="Q246" s="4" t="n">
        <x:f>IF(AND(OR(C246="Ingredient candidate",C246="Consumed input",C246="Contained input",C246="Transform input"),P246=-1),1,0)</x:f>
        <x:v>0</x:v>
      </x:c>
    </x:row>
    <x:row r="247" ht="105" customHeight="1">
      <x:c r="A247" s="4" t="str">
        <x:v>design.branch.branch.optical_glass.in.2</x:v>
      </x:c>
      <x:c r="B247" s="4" t="str">
        <x:v>design.branch.branch.optical_glass</x:v>
      </x:c>
      <x:c r="C247" s="4" t="str">
        <x:v>Ingredient candidate</x:v>
      </x:c>
      <x:c r="D247" s="4" t="str">
        <x:v>proposal.natural.abrasive</x:v>
      </x:c>
      <x:c r="E247" s="4" t="str">
        <x:f>IFERROR(INDEX('Items'!$B$6:$B$1005,MATCH(D247,'Items'!$A$6:$A$1005,0)),"MISSING ID")</x:f>
        <x:v>Graded abrasive grit</x:v>
      </x:c>
      <x:c r="F247" s="4" t="str">
        <x:f>IFERROR(INDEX('Items'!$C$6:$C$1005,MATCH(D247,'Items'!$A$6:$A$1005,0)),"MISSING ID")</x:f>
        <x:v>T1</x:v>
      </x:c>
      <x:c r="G247" s="4" t="str">
        <x:f>IFERROR(INDEX('Items'!$D$6:$D$1005,MATCH(D247,'Items'!$A$6:$A$1005,0)),"MISSING ID")</x:f>
        <x:v>Manufactured stock</x:v>
      </x:c>
      <x:c r="H247" s="4" t="str">
        <x:f>IFERROR(INDEX('Items'!$X$6:$X$1005,MATCH(D247,'Items'!$A$6:$A$1005,0)),"MISSING ID")</x:f>
        <x:v>Processed material</x:v>
      </x:c>
      <x:c r="I247" s="4"/>
      <x:c r="J247" s="4" t="str">
        <x:v>Unspecified</x:v>
      </x:c>
      <x:c r="K247" s="4" t="str">
        <x:f>IFERROR(INDEX('Crafting recipes'!$D$6:$D$1005,MATCH(B247,'Crafting recipes'!$A$6:$A$1005,0)),"MISSING ID")</x:f>
        <x:v>Proposal</x:v>
      </x:c>
      <x:c r="L247" s="4" t="str">
        <x:f>IFERROR(INDEX('Items'!$AD$6:$AD$1005,MATCH(D247,'Items'!$A$6:$A$1005,0)),"MISSING ID")</x:f>
        <x:v>Proposal</x:v>
      </x:c>
      <x:c r="M247" s="4" t="str">
        <x:f>IFERROR(INDEX('Crafting recipes'!$E$6:$E$1005,MATCH(B247,'Crafting recipes'!$A$6:$A$1005,0)),"MISSING ID")</x:f>
        <x:v>Partial proposal</x:v>
      </x:c>
      <x:c r="N247" s="4" t="str">
        <x:v>Candidate consumed material contribution; incomplete recipe. T1 abrasive is a lower-tier ingredient beside T2 viewing stock. Figure, defects, calibration and actual optical capability remain open.</x:v>
      </x:c>
      <x:c r="O247" s="4" t="str">
        <x:v>New game brainstorming, October 15, 2026.</x:v>
      </x:c>
      <x:c r="P247" s="4" t="n">
        <x:f>IF(OR(C247="Ingredient candidate",C247="Consumed input",C247="Contained input",C247="Transform input"),IF(F247="T0",0,IF(F247="T1",1,IF(F247="T2",2,IF(F247="T3",3,IF(F247="T4",4,-1))))),-1)</x:f>
        <x:v>1</x:v>
      </x:c>
      <x:c r="Q247" s="4" t="n">
        <x:f>IF(AND(OR(C247="Ingredient candidate",C247="Consumed input",C247="Contained input",C247="Transform input"),P247=-1),1,0)</x:f>
        <x:v>0</x:v>
      </x:c>
    </x:row>
    <x:row r="248" ht="105" customHeight="1">
      <x:c r="A248" s="4" t="str">
        <x:v>design.branch.branch.optical_glass.out</x:v>
      </x:c>
      <x:c r="B248" s="4" t="str">
        <x:v>design.branch.branch.optical_glass</x:v>
      </x:c>
      <x:c r="C248" s="4" t="str">
        <x:v>Output</x:v>
      </x:c>
      <x:c r="D248" s="4" t="str">
        <x:v>proposal.branch.optical_glass</x:v>
      </x:c>
      <x:c r="E248" s="4" t="str">
        <x:f>IFERROR(INDEX('Items'!$B$6:$B$1005,MATCH(D248,'Items'!$A$6:$A$1005,0)),"MISSING ID")</x:f>
        <x:v>Ground optical glass stock</x:v>
      </x:c>
      <x:c r="F248" s="4" t="str">
        <x:f>IFERROR(INDEX('Items'!$C$6:$C$1005,MATCH(D248,'Items'!$A$6:$A$1005,0)),"MISSING ID")</x:f>
        <x:v>T3</x:v>
      </x:c>
      <x:c r="G248" s="4" t="str">
        <x:f>IFERROR(INDEX('Items'!$D$6:$D$1005,MATCH(D248,'Items'!$A$6:$A$1005,0)),"MISSING ID")</x:f>
        <x:v>Manufactured stock</x:v>
      </x:c>
      <x:c r="H248" s="4" t="str">
        <x:f>IFERROR(INDEX('Items'!$X$6:$X$1005,MATCH(D248,'Items'!$A$6:$A$1005,0)),"MISSING ID")</x:f>
        <x:v>Processed material</x:v>
      </x:c>
      <x:c r="I248" s="4"/>
      <x:c r="J248" s="4" t="str">
        <x:v>Unspecified</x:v>
      </x:c>
      <x:c r="K248" s="4" t="str">
        <x:f>IFERROR(INDEX('Crafting recipes'!$D$6:$D$1005,MATCH(B248,'Crafting recipes'!$A$6:$A$1005,0)),"MISSING ID")</x:f>
        <x:v>Proposal</x:v>
      </x:c>
      <x:c r="L248" s="4" t="str">
        <x:f>IFERROR(INDEX('Items'!$AD$6:$AD$1005,MATCH(D248,'Items'!$A$6:$A$1005,0)),"MISSING ID")</x:f>
        <x:v>Proposal</x:v>
      </x:c>
      <x:c r="M248" s="4" t="str">
        <x:f>IFERROR(INDEX('Crafting recipes'!$E$6:$E$1005,MATCH(B248,'Crafting recipes'!$A$6:$A$1005,0)),"MISSING ID")</x:f>
        <x:v>Partial proposal</x:v>
      </x:c>
      <x:c r="N248" s="4" t="str">
        <x:v>Proposed output; quantity/yield and qualification remain undefined. T1 abrasive is a lower-tier ingredient beside T2 viewing stock. Figure, defects, calibration and actual optical capability remain open.</x:v>
      </x:c>
      <x:c r="O248" s="4" t="str">
        <x:v>New game brainstorming, October 15, 2026.</x:v>
      </x:c>
      <x:c r="P248" s="4" t="n">
        <x:f>IF(OR(C248="Ingredient candidate",C248="Consumed input",C248="Contained input",C248="Transform input"),IF(F248="T0",0,IF(F248="T1",1,IF(F248="T2",2,IF(F248="T3",3,IF(F248="T4",4,-1))))),-1)</x:f>
        <x:v>-1</x:v>
      </x:c>
      <x:c r="Q248" s="4" t="n">
        <x:f>IF(AND(OR(C248="Ingredient candidate",C248="Consumed input",C248="Contained input",C248="Transform input"),P248=-1),1,0)</x:f>
        <x:v>0</x:v>
      </x:c>
    </x:row>
    <x:row r="249" ht="105" customHeight="1">
      <x:c r="A249" s="4" t="str">
        <x:v>design.branch.branch.husk_composite.in.1</x:v>
      </x:c>
      <x:c r="B249" s="4" t="str">
        <x:v>design.branch.branch.husk_composite</x:v>
      </x:c>
      <x:c r="C249" s="4" t="str">
        <x:v>Ingredient candidate</x:v>
      </x:c>
      <x:c r="D249" s="4" t="str">
        <x:v>proposal.branch.husk_sheet</x:v>
      </x:c>
      <x:c r="E249" s="4" t="str">
        <x:f>IFERROR(INDEX('Items'!$B$6:$B$1005,MATCH(D249,'Items'!$A$6:$A$1005,0)),"MISSING ID")</x:f>
        <x:v>Bonded husk sheet</x:v>
      </x:c>
      <x:c r="F249" s="4" t="str">
        <x:f>IFERROR(INDEX('Items'!$C$6:$C$1005,MATCH(D249,'Items'!$A$6:$A$1005,0)),"MISSING ID")</x:f>
        <x:v>T2</x:v>
      </x:c>
      <x:c r="G249" s="4" t="str">
        <x:f>IFERROR(INDEX('Items'!$D$6:$D$1005,MATCH(D249,'Items'!$A$6:$A$1005,0)),"MISSING ID")</x:f>
        <x:v>Manufactured stock</x:v>
      </x:c>
      <x:c r="H249" s="4" t="str">
        <x:f>IFERROR(INDEX('Items'!$X$6:$X$1005,MATCH(D249,'Items'!$A$6:$A$1005,0)),"MISSING ID")</x:f>
        <x:v>Processed material</x:v>
      </x:c>
      <x:c r="I249" s="4"/>
      <x:c r="J249" s="4" t="str">
        <x:v>Unspecified</x:v>
      </x:c>
      <x:c r="K249" s="4" t="str">
        <x:f>IFERROR(INDEX('Crafting recipes'!$D$6:$D$1005,MATCH(B249,'Crafting recipes'!$A$6:$A$1005,0)),"MISSING ID")</x:f>
        <x:v>Proposal</x:v>
      </x:c>
      <x:c r="L249" s="4" t="str">
        <x:f>IFERROR(INDEX('Items'!$AD$6:$AD$1005,MATCH(D249,'Items'!$A$6:$A$1005,0)),"MISSING ID")</x:f>
        <x:v>Proposal</x:v>
      </x:c>
      <x:c r="M249" s="4" t="str">
        <x:f>IFERROR(INDEX('Crafting recipes'!$E$6:$E$1005,MATCH(B249,'Crafting recipes'!$A$6:$A$1005,0)),"MISSING ID")</x:f>
        <x:v>Partial proposal</x:v>
      </x:c>
      <x:c r="N249" s="4" t="str">
        <x:v>Candidate consumed material contribution; incomplete recipe. Scarce difficult processing, not abundant ordinary cloth. Layer quality and structural performance unresolved.</x:v>
      </x:c>
      <x:c r="O249" s="4" t="str">
        <x:v>New game brainstorming, October 15, 2026.</x:v>
      </x:c>
      <x:c r="P249" s="4" t="n">
        <x:f>IF(OR(C249="Ingredient candidate",C249="Consumed input",C249="Contained input",C249="Transform input"),IF(F249="T0",0,IF(F249="T1",1,IF(F249="T2",2,IF(F249="T3",3,IF(F249="T4",4,-1))))),-1)</x:f>
        <x:v>2</x:v>
      </x:c>
      <x:c r="Q249" s="4" t="n">
        <x:f>IF(AND(OR(C249="Ingredient candidate",C249="Consumed input",C249="Contained input",C249="Transform input"),P249=-1),1,0)</x:f>
        <x:v>0</x:v>
      </x:c>
    </x:row>
    <x:row r="250" ht="105" customHeight="1">
      <x:c r="A250" s="4" t="str">
        <x:v>design.branch.branch.husk_composite.in.2</x:v>
      </x:c>
      <x:c r="B250" s="4" t="str">
        <x:v>design.branch.branch.husk_composite</x:v>
      </x:c>
      <x:c r="C250" s="4" t="str">
        <x:v>Ingredient candidate</x:v>
      </x:c>
      <x:c r="D250" s="4" t="str">
        <x:v>proposal.branch.filled_binder</x:v>
      </x:c>
      <x:c r="E250" s="4" t="str">
        <x:f>IFERROR(INDEX('Items'!$B$6:$B$1005,MATCH(D250,'Items'!$A$6:$A$1005,0)),"MISSING ID")</x:f>
        <x:v>Filled shell-binding compound</x:v>
      </x:c>
      <x:c r="F250" s="4" t="str">
        <x:f>IFERROR(INDEX('Items'!$C$6:$C$1005,MATCH(D250,'Items'!$A$6:$A$1005,0)),"MISSING ID")</x:f>
        <x:v>T2</x:v>
      </x:c>
      <x:c r="G250" s="4" t="str">
        <x:f>IFERROR(INDEX('Items'!$D$6:$D$1005,MATCH(D250,'Items'!$A$6:$A$1005,0)),"MISSING ID")</x:f>
        <x:v>Crafting components</x:v>
      </x:c>
      <x:c r="H250" s="4" t="str">
        <x:f>IFERROR(INDEX('Items'!$X$6:$X$1005,MATCH(D250,'Items'!$A$6:$A$1005,0)),"MISSING ID")</x:f>
        <x:v>Chemical material</x:v>
      </x:c>
      <x:c r="I250" s="4"/>
      <x:c r="J250" s="4" t="str">
        <x:v>Unspecified</x:v>
      </x:c>
      <x:c r="K250" s="4" t="str">
        <x:f>IFERROR(INDEX('Crafting recipes'!$D$6:$D$1005,MATCH(B250,'Crafting recipes'!$A$6:$A$1005,0)),"MISSING ID")</x:f>
        <x:v>Proposal</x:v>
      </x:c>
      <x:c r="L250" s="4" t="str">
        <x:f>IFERROR(INDEX('Items'!$AD$6:$AD$1005,MATCH(D250,'Items'!$A$6:$A$1005,0)),"MISSING ID")</x:f>
        <x:v>Proposal</x:v>
      </x:c>
      <x:c r="M250" s="4" t="str">
        <x:f>IFERROR(INDEX('Crafting recipes'!$E$6:$E$1005,MATCH(B250,'Crafting recipes'!$A$6:$A$1005,0)),"MISSING ID")</x:f>
        <x:v>Partial proposal</x:v>
      </x:c>
      <x:c r="N250" s="4" t="str">
        <x:v>Candidate consumed material contribution; incomplete recipe. Scarce difficult processing, not abundant ordinary cloth. Layer quality and structural performance unresolved.</x:v>
      </x:c>
      <x:c r="O250" s="4" t="str">
        <x:v>New game brainstorming, October 15, 2026.</x:v>
      </x:c>
      <x:c r="P250" s="4" t="n">
        <x:f>IF(OR(C250="Ingredient candidate",C250="Consumed input",C250="Contained input",C250="Transform input"),IF(F250="T0",0,IF(F250="T1",1,IF(F250="T2",2,IF(F250="T3",3,IF(F250="T4",4,-1))))),-1)</x:f>
        <x:v>2</x:v>
      </x:c>
      <x:c r="Q250" s="4" t="n">
        <x:f>IF(AND(OR(C250="Ingredient candidate",C250="Consumed input",C250="Contained input",C250="Transform input"),P250=-1),1,0)</x:f>
        <x:v>0</x:v>
      </x:c>
    </x:row>
    <x:row r="251" ht="105" customHeight="1">
      <x:c r="A251" s="4" t="str">
        <x:v>design.branch.branch.husk_composite.out</x:v>
      </x:c>
      <x:c r="B251" s="4" t="str">
        <x:v>design.branch.branch.husk_composite</x:v>
      </x:c>
      <x:c r="C251" s="4" t="str">
        <x:v>Output</x:v>
      </x:c>
      <x:c r="D251" s="4" t="str">
        <x:v>proposal.branch.husk_composite</x:v>
      </x:c>
      <x:c r="E251" s="4" t="str">
        <x:f>IFERROR(INDEX('Items'!$B$6:$B$1005,MATCH(D251,'Items'!$A$6:$A$1005,0)),"MISSING ID")</x:f>
        <x:v>Layered husk composite stock</x:v>
      </x:c>
      <x:c r="F251" s="4" t="str">
        <x:f>IFERROR(INDEX('Items'!$C$6:$C$1005,MATCH(D251,'Items'!$A$6:$A$1005,0)),"MISSING ID")</x:f>
        <x:v>T3</x:v>
      </x:c>
      <x:c r="G251" s="4" t="str">
        <x:f>IFERROR(INDEX('Items'!$D$6:$D$1005,MATCH(D251,'Items'!$A$6:$A$1005,0)),"MISSING ID")</x:f>
        <x:v>Manufactured stock</x:v>
      </x:c>
      <x:c r="H251" s="4" t="str">
        <x:f>IFERROR(INDEX('Items'!$X$6:$X$1005,MATCH(D251,'Items'!$A$6:$A$1005,0)),"MISSING ID")</x:f>
        <x:v>Processed material</x:v>
      </x:c>
      <x:c r="I251" s="4"/>
      <x:c r="J251" s="4" t="str">
        <x:v>Unspecified</x:v>
      </x:c>
      <x:c r="K251" s="4" t="str">
        <x:f>IFERROR(INDEX('Crafting recipes'!$D$6:$D$1005,MATCH(B251,'Crafting recipes'!$A$6:$A$1005,0)),"MISSING ID")</x:f>
        <x:v>Proposal</x:v>
      </x:c>
      <x:c r="L251" s="4" t="str">
        <x:f>IFERROR(INDEX('Items'!$AD$6:$AD$1005,MATCH(D251,'Items'!$A$6:$A$1005,0)),"MISSING ID")</x:f>
        <x:v>Proposal</x:v>
      </x:c>
      <x:c r="M251" s="4" t="str">
        <x:f>IFERROR(INDEX('Crafting recipes'!$E$6:$E$1005,MATCH(B251,'Crafting recipes'!$A$6:$A$1005,0)),"MISSING ID")</x:f>
        <x:v>Partial proposal</x:v>
      </x:c>
      <x:c r="N251" s="4" t="str">
        <x:v>Proposed output; quantity/yield and qualification remain undefined. Scarce difficult processing, not abundant ordinary cloth. Layer quality and structural performance unresolved.</x:v>
      </x:c>
      <x:c r="O251" s="4" t="str">
        <x:v>New game brainstorming, October 15, 2026.</x:v>
      </x:c>
      <x:c r="P251" s="4" t="n">
        <x:f>IF(OR(C251="Ingredient candidate",C251="Consumed input",C251="Contained input",C251="Transform input"),IF(F251="T0",0,IF(F251="T1",1,IF(F251="T2",2,IF(F251="T3",3,IF(F251="T4",4,-1))))),-1)</x:f>
        <x:v>-1</x:v>
      </x:c>
      <x:c r="Q251" s="4" t="n">
        <x:f>IF(AND(OR(C251="Ingredient candidate",C251="Consumed input",C251="Contained input",C251="Transform input"),P251=-1),1,0)</x:f>
        <x:v>0</x:v>
      </x:c>
    </x:row>
    <x:row r="252" ht="105" customHeight="1">
      <x:c r="A252" s="4" t="str">
        <x:v>design.branch.branch.sealing_sheet.in.1</x:v>
      </x:c>
      <x:c r="B252" s="4" t="str">
        <x:v>design.branch.branch.sealing_sheet</x:v>
      </x:c>
      <x:c r="C252" s="4" t="str">
        <x:v>Ingredient candidate</x:v>
      </x:c>
      <x:c r="D252" s="4" t="str">
        <x:v>proposal.branch.filled_seal</x:v>
      </x:c>
      <x:c r="E252" s="4" t="str">
        <x:f>IFERROR(INDEX('Items'!$B$6:$B$1005,MATCH(D252,'Items'!$A$6:$A$1005,0)),"MISSING ID")</x:f>
        <x:v>Filled faunal seal compound</x:v>
      </x:c>
      <x:c r="F252" s="4" t="str">
        <x:f>IFERROR(INDEX('Items'!$C$6:$C$1005,MATCH(D252,'Items'!$A$6:$A$1005,0)),"MISSING ID")</x:f>
        <x:v>T2</x:v>
      </x:c>
      <x:c r="G252" s="4" t="str">
        <x:f>IFERROR(INDEX('Items'!$D$6:$D$1005,MATCH(D252,'Items'!$A$6:$A$1005,0)),"MISSING ID")</x:f>
        <x:v>Crafting components</x:v>
      </x:c>
      <x:c r="H252" s="4" t="str">
        <x:f>IFERROR(INDEX('Items'!$X$6:$X$1005,MATCH(D252,'Items'!$A$6:$A$1005,0)),"MISSING ID")</x:f>
        <x:v>Chemical material</x:v>
      </x:c>
      <x:c r="I252" s="4"/>
      <x:c r="J252" s="4" t="str">
        <x:v>Unspecified</x:v>
      </x:c>
      <x:c r="K252" s="4" t="str">
        <x:f>IFERROR(INDEX('Crafting recipes'!$D$6:$D$1005,MATCH(B252,'Crafting recipes'!$A$6:$A$1005,0)),"MISSING ID")</x:f>
        <x:v>Proposal</x:v>
      </x:c>
      <x:c r="L252" s="4" t="str">
        <x:f>IFERROR(INDEX('Items'!$AD$6:$AD$1005,MATCH(D252,'Items'!$A$6:$A$1005,0)),"MISSING ID")</x:f>
        <x:v>Proposal</x:v>
      </x:c>
      <x:c r="M252" s="4" t="str">
        <x:f>IFERROR(INDEX('Crafting recipes'!$E$6:$E$1005,MATCH(B252,'Crafting recipes'!$A$6:$A$1005,0)),"MISSING ID")</x:f>
        <x:v>Partial proposal</x:v>
      </x:c>
      <x:c r="N252" s="4" t="str">
        <x:v>Candidate consumed material contribution; incomplete recipe. Service compatibility, flexibility, leak behavior and pressure limits are not assigned.</x:v>
      </x:c>
      <x:c r="O252" s="4" t="str">
        <x:v>New game brainstorming, October 15, 2026.</x:v>
      </x:c>
      <x:c r="P252" s="4" t="n">
        <x:f>IF(OR(C252="Ingredient candidate",C252="Consumed input",C252="Contained input",C252="Transform input"),IF(F252="T0",0,IF(F252="T1",1,IF(F252="T2",2,IF(F252="T3",3,IF(F252="T4",4,-1))))),-1)</x:f>
        <x:v>2</x:v>
      </x:c>
      <x:c r="Q252" s="4" t="n">
        <x:f>IF(AND(OR(C252="Ingredient candidate",C252="Consumed input",C252="Contained input",C252="Transform input"),P252=-1),1,0)</x:f>
        <x:v>0</x:v>
      </x:c>
    </x:row>
    <x:row r="253" ht="105" customHeight="1">
      <x:c r="A253" s="4" t="str">
        <x:v>design.branch.branch.sealing_sheet.in.2</x:v>
      </x:c>
      <x:c r="B253" s="4" t="str">
        <x:v>design.branch.branch.sealing_sheet</x:v>
      </x:c>
      <x:c r="C253" s="4" t="str">
        <x:v>Ingredient candidate</x:v>
      </x:c>
      <x:c r="D253" s="4" t="str">
        <x:v>proposal.branch.mica_sheet</x:v>
      </x:c>
      <x:c r="E253" s="4" t="str">
        <x:f>IFERROR(INDEX('Items'!$B$6:$B$1005,MATCH(D253,'Items'!$A$6:$A$1005,0)),"MISSING ID")</x:f>
        <x:v>Mica composite sheet</x:v>
      </x:c>
      <x:c r="F253" s="4" t="str">
        <x:f>IFERROR(INDEX('Items'!$C$6:$C$1005,MATCH(D253,'Items'!$A$6:$A$1005,0)),"MISSING ID")</x:f>
        <x:v>T2</x:v>
      </x:c>
      <x:c r="G253" s="4" t="str">
        <x:f>IFERROR(INDEX('Items'!$D$6:$D$1005,MATCH(D253,'Items'!$A$6:$A$1005,0)),"MISSING ID")</x:f>
        <x:v>Manufactured stock</x:v>
      </x:c>
      <x:c r="H253" s="4" t="str">
        <x:f>IFERROR(INDEX('Items'!$X$6:$X$1005,MATCH(D253,'Items'!$A$6:$A$1005,0)),"MISSING ID")</x:f>
        <x:v>Processed material</x:v>
      </x:c>
      <x:c r="I253" s="4"/>
      <x:c r="J253" s="4" t="str">
        <x:v>Unspecified</x:v>
      </x:c>
      <x:c r="K253" s="4" t="str">
        <x:f>IFERROR(INDEX('Crafting recipes'!$D$6:$D$1005,MATCH(B253,'Crafting recipes'!$A$6:$A$1005,0)),"MISSING ID")</x:f>
        <x:v>Proposal</x:v>
      </x:c>
      <x:c r="L253" s="4" t="str">
        <x:f>IFERROR(INDEX('Items'!$AD$6:$AD$1005,MATCH(D253,'Items'!$A$6:$A$1005,0)),"MISSING ID")</x:f>
        <x:v>Proposal</x:v>
      </x:c>
      <x:c r="M253" s="4" t="str">
        <x:f>IFERROR(INDEX('Crafting recipes'!$E$6:$E$1005,MATCH(B253,'Crafting recipes'!$A$6:$A$1005,0)),"MISSING ID")</x:f>
        <x:v>Partial proposal</x:v>
      </x:c>
      <x:c r="N253" s="4" t="str">
        <x:v>Candidate consumed material contribution; incomplete recipe. Service compatibility, flexibility, leak behavior and pressure limits are not assigned.</x:v>
      </x:c>
      <x:c r="O253" s="4" t="str">
        <x:v>New game brainstorming, October 15, 2026.</x:v>
      </x:c>
      <x:c r="P253" s="4" t="n">
        <x:f>IF(OR(C253="Ingredient candidate",C253="Consumed input",C253="Contained input",C253="Transform input"),IF(F253="T0",0,IF(F253="T1",1,IF(F253="T2",2,IF(F253="T3",3,IF(F253="T4",4,-1))))),-1)</x:f>
        <x:v>2</x:v>
      </x:c>
      <x:c r="Q253" s="4" t="n">
        <x:f>IF(AND(OR(C253="Ingredient candidate",C253="Consumed input",C253="Contained input",C253="Transform input"),P253=-1),1,0)</x:f>
        <x:v>0</x:v>
      </x:c>
    </x:row>
    <x:row r="254" ht="105" customHeight="1">
      <x:c r="A254" s="4" t="str">
        <x:v>design.branch.branch.sealing_sheet.in.3</x:v>
      </x:c>
      <x:c r="B254" s="4" t="str">
        <x:v>design.branch.branch.sealing_sheet</x:v>
      </x:c>
      <x:c r="C254" s="4" t="str">
        <x:v>Ingredient candidate</x:v>
      </x:c>
      <x:c r="D254" s="4" t="str">
        <x:v>proposal.branch.flex_bond</x:v>
      </x:c>
      <x:c r="E254" s="4" t="str">
        <x:f>IFERROR(INDEX('Items'!$B$6:$B$1005,MATCH(D254,'Items'!$A$6:$A$1005,0)),"MISSING ID")</x:f>
        <x:v>Flexible membrane-bonding compound</x:v>
      </x:c>
      <x:c r="F254" s="4" t="str">
        <x:f>IFERROR(INDEX('Items'!$C$6:$C$1005,MATCH(D254,'Items'!$A$6:$A$1005,0)),"MISSING ID")</x:f>
        <x:v>T2</x:v>
      </x:c>
      <x:c r="G254" s="4" t="str">
        <x:f>IFERROR(INDEX('Items'!$D$6:$D$1005,MATCH(D254,'Items'!$A$6:$A$1005,0)),"MISSING ID")</x:f>
        <x:v>Crafting components</x:v>
      </x:c>
      <x:c r="H254" s="4" t="str">
        <x:f>IFERROR(INDEX('Items'!$X$6:$X$1005,MATCH(D254,'Items'!$A$6:$A$1005,0)),"MISSING ID")</x:f>
        <x:v>Chemical material</x:v>
      </x:c>
      <x:c r="I254" s="4"/>
      <x:c r="J254" s="4" t="str">
        <x:v>Unspecified</x:v>
      </x:c>
      <x:c r="K254" s="4" t="str">
        <x:f>IFERROR(INDEX('Crafting recipes'!$D$6:$D$1005,MATCH(B254,'Crafting recipes'!$A$6:$A$1005,0)),"MISSING ID")</x:f>
        <x:v>Proposal</x:v>
      </x:c>
      <x:c r="L254" s="4" t="str">
        <x:f>IFERROR(INDEX('Items'!$AD$6:$AD$1005,MATCH(D254,'Items'!$A$6:$A$1005,0)),"MISSING ID")</x:f>
        <x:v>Proposal</x:v>
      </x:c>
      <x:c r="M254" s="4" t="str">
        <x:f>IFERROR(INDEX('Crafting recipes'!$E$6:$E$1005,MATCH(B254,'Crafting recipes'!$A$6:$A$1005,0)),"MISSING ID")</x:f>
        <x:v>Partial proposal</x:v>
      </x:c>
      <x:c r="N254" s="4" t="str">
        <x:v>Candidate consumed material contribution; incomplete recipe. Service compatibility, flexibility, leak behavior and pressure limits are not assigned.</x:v>
      </x:c>
      <x:c r="O254" s="4" t="str">
        <x:v>New game brainstorming, October 15, 2026.</x:v>
      </x:c>
      <x:c r="P254" s="4" t="n">
        <x:f>IF(OR(C254="Ingredient candidate",C254="Consumed input",C254="Contained input",C254="Transform input"),IF(F254="T0",0,IF(F254="T1",1,IF(F254="T2",2,IF(F254="T3",3,IF(F254="T4",4,-1))))),-1)</x:f>
        <x:v>2</x:v>
      </x:c>
      <x:c r="Q254" s="4" t="n">
        <x:f>IF(AND(OR(C254="Ingredient candidate",C254="Consumed input",C254="Contained input",C254="Transform input"),P254=-1),1,0)</x:f>
        <x:v>0</x:v>
      </x:c>
    </x:row>
    <x:row r="255" ht="105" customHeight="1">
      <x:c r="A255" s="4" t="str">
        <x:v>design.branch.branch.sealing_sheet.out</x:v>
      </x:c>
      <x:c r="B255" s="4" t="str">
        <x:v>design.branch.branch.sealing_sheet</x:v>
      </x:c>
      <x:c r="C255" s="4" t="str">
        <x:v>Output</x:v>
      </x:c>
      <x:c r="D255" s="4" t="str">
        <x:v>proposal.branch.sealing_sheet</x:v>
      </x:c>
      <x:c r="E255" s="4" t="str">
        <x:f>IFERROR(INDEX('Items'!$B$6:$B$1005,MATCH(D255,'Items'!$A$6:$A$1005,0)),"MISSING ID")</x:f>
        <x:v>Reinforced sealing sheet</x:v>
      </x:c>
      <x:c r="F255" s="4" t="str">
        <x:f>IFERROR(INDEX('Items'!$C$6:$C$1005,MATCH(D255,'Items'!$A$6:$A$1005,0)),"MISSING ID")</x:f>
        <x:v>T3</x:v>
      </x:c>
      <x:c r="G255" s="4" t="str">
        <x:f>IFERROR(INDEX('Items'!$D$6:$D$1005,MATCH(D255,'Items'!$A$6:$A$1005,0)),"MISSING ID")</x:f>
        <x:v>Manufactured stock</x:v>
      </x:c>
      <x:c r="H255" s="4" t="str">
        <x:f>IFERROR(INDEX('Items'!$X$6:$X$1005,MATCH(D255,'Items'!$A$6:$A$1005,0)),"MISSING ID")</x:f>
        <x:v>Processed material</x:v>
      </x:c>
      <x:c r="I255" s="4"/>
      <x:c r="J255" s="4" t="str">
        <x:v>Unspecified</x:v>
      </x:c>
      <x:c r="K255" s="4" t="str">
        <x:f>IFERROR(INDEX('Crafting recipes'!$D$6:$D$1005,MATCH(B255,'Crafting recipes'!$A$6:$A$1005,0)),"MISSING ID")</x:f>
        <x:v>Proposal</x:v>
      </x:c>
      <x:c r="L255" s="4" t="str">
        <x:f>IFERROR(INDEX('Items'!$AD$6:$AD$1005,MATCH(D255,'Items'!$A$6:$A$1005,0)),"MISSING ID")</x:f>
        <x:v>Proposal</x:v>
      </x:c>
      <x:c r="M255" s="4" t="str">
        <x:f>IFERROR(INDEX('Crafting recipes'!$E$6:$E$1005,MATCH(B255,'Crafting recipes'!$A$6:$A$1005,0)),"MISSING ID")</x:f>
        <x:v>Partial proposal</x:v>
      </x:c>
      <x:c r="N255" s="4" t="str">
        <x:v>Proposed output; quantity/yield and qualification remain undefined. Service compatibility, flexibility, leak behavior and pressure limits are not assigned.</x:v>
      </x:c>
      <x:c r="O255" s="4" t="str">
        <x:v>New game brainstorming, October 15, 2026.</x:v>
      </x:c>
      <x:c r="P255" s="4" t="n">
        <x:f>IF(OR(C255="Ingredient candidate",C255="Consumed input",C255="Contained input",C255="Transform input"),IF(F255="T0",0,IF(F255="T1",1,IF(F255="T2",2,IF(F255="T3",3,IF(F255="T4",4,-1))))),-1)</x:f>
        <x:v>-1</x:v>
      </x:c>
      <x:c r="Q255" s="4" t="n">
        <x:f>IF(AND(OR(C255="Ingredient candidate",C255="Consumed input",C255="Contained input",C255="Transform input"),P255=-1),1,0)</x:f>
        <x:v>0</x:v>
      </x:c>
    </x:row>
    <x:row r="256" ht="105" customHeight="1">
      <x:c r="A256" s="4"/>
      <x:c r="B256" s="4"/>
      <x:c r="C256" s="4"/>
      <x:c r="D256" s="4"/>
      <x:c r="E256" s="4"/>
      <x:c r="F256" s="4"/>
      <x:c r="G256" s="4"/>
      <x:c r="H256" s="4"/>
      <x:c r="I256" s="4"/>
      <x:c r="J256" s="4"/>
      <x:c r="K256" s="4"/>
      <x:c r="L256" s="4"/>
      <x:c r="M256" s="4"/>
      <x:c r="N256" s="4"/>
      <x:c r="O256" s="4"/>
      <x:c r="P256" s="4"/>
      <x:c r="Q256" s="4"/>
    </x:row>
    <x:row r="257" ht="105" customHeight="1">
      <x:c r="A257" s="4"/>
      <x:c r="B257" s="4"/>
      <x:c r="C257" s="4"/>
      <x:c r="D257" s="4"/>
      <x:c r="E257" s="4"/>
      <x:c r="F257" s="4"/>
      <x:c r="G257" s="4"/>
      <x:c r="H257" s="4"/>
      <x:c r="I257" s="4"/>
      <x:c r="J257" s="4"/>
      <x:c r="K257" s="4"/>
      <x:c r="L257" s="4"/>
      <x:c r="M257" s="4"/>
      <x:c r="N257" s="4"/>
      <x:c r="O257" s="4"/>
      <x:c r="P257" s="4"/>
      <x:c r="Q257" s="4"/>
    </x:row>
    <x:row r="258" ht="105" customHeight="1">
      <x:c r="A258" s="4"/>
      <x:c r="B258" s="4"/>
      <x:c r="C258" s="4"/>
      <x:c r="D258" s="4"/>
      <x:c r="E258" s="4"/>
      <x:c r="F258" s="4"/>
      <x:c r="G258" s="4"/>
      <x:c r="H258" s="4"/>
      <x:c r="I258" s="4"/>
      <x:c r="J258" s="4"/>
      <x:c r="K258" s="4"/>
      <x:c r="L258" s="4"/>
      <x:c r="M258" s="4"/>
      <x:c r="N258" s="4"/>
      <x:c r="O258" s="4"/>
      <x:c r="P258" s="4"/>
      <x:c r="Q258" s="4"/>
    </x:row>
    <x:row r="259" ht="105" customHeight="1">
      <x:c r="A259" s="4" t="str">
        <x:v>design.branch.canister.sealant.in.1</x:v>
      </x:c>
      <x:c r="B259" s="4" t="str">
        <x:v>design.branch.canister.sealant</x:v>
      </x:c>
      <x:c r="C259" s="4" t="str">
        <x:v>Ingredient candidate</x:v>
      </x:c>
      <x:c r="D259" s="4" t="str">
        <x:v>proposal.branch.filled_seal</x:v>
      </x:c>
      <x:c r="E259" s="4" t="str">
        <x:f>IFERROR(INDEX('Items'!$B$6:$B$1005,MATCH(D259,'Items'!$A$6:$A$1005,0)),"MISSING ID")</x:f>
        <x:v>Filled faunal seal compound</x:v>
      </x:c>
      <x:c r="F259" s="4" t="str">
        <x:f>IFERROR(INDEX('Items'!$C$6:$C$1005,MATCH(D259,'Items'!$A$6:$A$1005,0)),"MISSING ID")</x:f>
        <x:v>T2</x:v>
      </x:c>
      <x:c r="G259" s="4" t="str">
        <x:f>IFERROR(INDEX('Items'!$D$6:$D$1005,MATCH(D259,'Items'!$A$6:$A$1005,0)),"MISSING ID")</x:f>
        <x:v>Crafting components</x:v>
      </x:c>
      <x:c r="H259" s="4" t="str">
        <x:f>IFERROR(INDEX('Items'!$X$6:$X$1005,MATCH(D259,'Items'!$A$6:$A$1005,0)),"MISSING ID")</x:f>
        <x:v>Chemical material</x:v>
      </x:c>
      <x:c r="I259" s="4"/>
      <x:c r="J259" s="4" t="str">
        <x:v>Unspecified</x:v>
      </x:c>
      <x:c r="K259" s="4" t="str">
        <x:f>IFERROR(INDEX('Crafting recipes'!$D$6:$D$1005,MATCH(B259,'Crafting recipes'!$A$6:$A$1005,0)),"MISSING ID")</x:f>
        <x:v>Proposal</x:v>
      </x:c>
      <x:c r="L259" s="4" t="str">
        <x:f>IFERROR(INDEX('Items'!$AD$6:$AD$1005,MATCH(D259,'Items'!$A$6:$A$1005,0)),"MISSING ID")</x:f>
        <x:v>Proposal</x:v>
      </x:c>
      <x:c r="M259" s="4" t="str">
        <x:f>IFERROR(INDEX('Crafting recipes'!$E$6:$E$1005,MATCH(B259,'Crafting recipes'!$A$6:$A$1005,0)),"MISSING ID")</x:f>
        <x:v>Partial proposal</x:v>
      </x:c>
      <x:c r="N259" s="4" t="str">
        <x:v>Candidate consumed material contribution; incomplete recipe. Existing proposal reused. Compatibility and pressure qualification remain mandatory design questions; no approved repair method or universal canister fit.</x:v>
      </x:c>
      <x:c r="O259" s="4" t="str">
        <x:v>New game brainstorming, October 15, 2026.</x:v>
      </x:c>
      <x:c r="P259" s="4" t="n">
        <x:f>IF(OR(C259="Ingredient candidate",C259="Consumed input",C259="Contained input",C259="Transform input"),IF(F259="T0",0,IF(F259="T1",1,IF(F259="T2",2,IF(F259="T3",3,IF(F259="T4",4,-1))))),-1)</x:f>
        <x:v>2</x:v>
      </x:c>
      <x:c r="Q259" s="4" t="n">
        <x:f>IF(AND(OR(C259="Ingredient candidate",C259="Consumed input",C259="Contained input",C259="Transform input"),P259=-1),1,0)</x:f>
        <x:v>0</x:v>
      </x:c>
    </x:row>
    <x:row r="260" ht="105" customHeight="1">
      <x:c r="A260" s="4" t="str">
        <x:v>design.branch.canister.sealant.in.2</x:v>
      </x:c>
      <x:c r="B260" s="4" t="str">
        <x:v>design.branch.canister.sealant</x:v>
      </x:c>
      <x:c r="C260" s="4" t="str">
        <x:v>Ingredient candidate</x:v>
      </x:c>
      <x:c r="D260" s="4" t="str">
        <x:v>proposal.branch.flex_bond</x:v>
      </x:c>
      <x:c r="E260" s="4" t="str">
        <x:f>IFERROR(INDEX('Items'!$B$6:$B$1005,MATCH(D260,'Items'!$A$6:$A$1005,0)),"MISSING ID")</x:f>
        <x:v>Flexible membrane-bonding compound</x:v>
      </x:c>
      <x:c r="F260" s="4" t="str">
        <x:f>IFERROR(INDEX('Items'!$C$6:$C$1005,MATCH(D260,'Items'!$A$6:$A$1005,0)),"MISSING ID")</x:f>
        <x:v>T2</x:v>
      </x:c>
      <x:c r="G260" s="4" t="str">
        <x:f>IFERROR(INDEX('Items'!$D$6:$D$1005,MATCH(D260,'Items'!$A$6:$A$1005,0)),"MISSING ID")</x:f>
        <x:v>Crafting components</x:v>
      </x:c>
      <x:c r="H260" s="4" t="str">
        <x:f>IFERROR(INDEX('Items'!$X$6:$X$1005,MATCH(D260,'Items'!$A$6:$A$1005,0)),"MISSING ID")</x:f>
        <x:v>Chemical material</x:v>
      </x:c>
      <x:c r="I260" s="4"/>
      <x:c r="J260" s="4" t="str">
        <x:v>Unspecified</x:v>
      </x:c>
      <x:c r="K260" s="4" t="str">
        <x:f>IFERROR(INDEX('Crafting recipes'!$D$6:$D$1005,MATCH(B260,'Crafting recipes'!$A$6:$A$1005,0)),"MISSING ID")</x:f>
        <x:v>Proposal</x:v>
      </x:c>
      <x:c r="L260" s="4" t="str">
        <x:f>IFERROR(INDEX('Items'!$AD$6:$AD$1005,MATCH(D260,'Items'!$A$6:$A$1005,0)),"MISSING ID")</x:f>
        <x:v>Proposal</x:v>
      </x:c>
      <x:c r="M260" s="4" t="str">
        <x:f>IFERROR(INDEX('Crafting recipes'!$E$6:$E$1005,MATCH(B260,'Crafting recipes'!$A$6:$A$1005,0)),"MISSING ID")</x:f>
        <x:v>Partial proposal</x:v>
      </x:c>
      <x:c r="N260" s="4" t="str">
        <x:v>Candidate consumed material contribution; incomplete recipe. Existing proposal reused. Compatibility and pressure qualification remain mandatory design questions; no approved repair method or universal canister fit.</x:v>
      </x:c>
      <x:c r="O260" s="4" t="str">
        <x:v>New game brainstorming, October 15, 2026.</x:v>
      </x:c>
      <x:c r="P260" s="4" t="n">
        <x:f>IF(OR(C260="Ingredient candidate",C260="Consumed input",C260="Contained input",C260="Transform input"),IF(F260="T0",0,IF(F260="T1",1,IF(F260="T2",2,IF(F260="T3",3,IF(F260="T4",4,-1))))),-1)</x:f>
        <x:v>2</x:v>
      </x:c>
      <x:c r="Q260" s="4" t="n">
        <x:f>IF(AND(OR(C260="Ingredient candidate",C260="Consumed input",C260="Contained input",C260="Transform input"),P260=-1),1,0)</x:f>
        <x:v>0</x:v>
      </x:c>
    </x:row>
    <x:row r="261" ht="105" customHeight="1">
      <x:c r="A261" s="4" t="str">
        <x:v>design.branch.canister.sealant.out</x:v>
      </x:c>
      <x:c r="B261" s="4" t="str">
        <x:v>design.branch.canister.sealant</x:v>
      </x:c>
      <x:c r="C261" s="4" t="str">
        <x:v>Output</x:v>
      </x:c>
      <x:c r="D261" s="4" t="str">
        <x:v>proposal.canister.sealant</x:v>
      </x:c>
      <x:c r="E261" s="4" t="str">
        <x:f>IFERROR(INDEX('Items'!$B$6:$B$1005,MATCH(D261,'Items'!$A$6:$A$1005,0)),"MISSING ID")</x:f>
        <x:v>Canister joint sealant</x:v>
      </x:c>
      <x:c r="F261" s="4" t="str">
        <x:f>IFERROR(INDEX('Items'!$C$6:$C$1005,MATCH(D261,'Items'!$A$6:$A$1005,0)),"MISSING ID")</x:f>
        <x:v>T3</x:v>
      </x:c>
      <x:c r="G261" s="4" t="str">
        <x:f>IFERROR(INDEX('Items'!$D$6:$D$1005,MATCH(D261,'Items'!$A$6:$A$1005,0)),"MISSING ID")</x:f>
        <x:v>Crafting components</x:v>
      </x:c>
      <x:c r="H261" s="4" t="str">
        <x:f>IFERROR(INDEX('Items'!$X$6:$X$1005,MATCH(D261,'Items'!$A$6:$A$1005,0)),"MISSING ID")</x:f>
        <x:v>Chemical material</x:v>
      </x:c>
      <x:c r="I261" s="4"/>
      <x:c r="J261" s="4" t="str">
        <x:v>Unspecified</x:v>
      </x:c>
      <x:c r="K261" s="4" t="str">
        <x:f>IFERROR(INDEX('Crafting recipes'!$D$6:$D$1005,MATCH(B261,'Crafting recipes'!$A$6:$A$1005,0)),"MISSING ID")</x:f>
        <x:v>Proposal</x:v>
      </x:c>
      <x:c r="L261" s="4" t="str">
        <x:f>IFERROR(INDEX('Items'!$AD$6:$AD$1005,MATCH(D261,'Items'!$A$6:$A$1005,0)),"MISSING ID")</x:f>
        <x:v>Proposal</x:v>
      </x:c>
      <x:c r="M261" s="4" t="str">
        <x:f>IFERROR(INDEX('Crafting recipes'!$E$6:$E$1005,MATCH(B261,'Crafting recipes'!$A$6:$A$1005,0)),"MISSING ID")</x:f>
        <x:v>Partial proposal</x:v>
      </x:c>
      <x:c r="N261" s="4" t="str">
        <x:v>Proposed output; quantity/yield and qualification remain undefined. Existing proposal reused. Compatibility and pressure qualification remain mandatory design questions; no approved repair method or universal canister fit.</x:v>
      </x:c>
      <x:c r="O261" s="4" t="str">
        <x:v>New game brainstorming, October 15, 2026.</x:v>
      </x:c>
      <x:c r="P261" s="4" t="n">
        <x:f>IF(OR(C261="Ingredient candidate",C261="Consumed input",C261="Contained input",C261="Transform input"),IF(F261="T0",0,IF(F261="T1",1,IF(F261="T2",2,IF(F261="T3",3,IF(F261="T4",4,-1))))),-1)</x:f>
        <x:v>-1</x:v>
      </x:c>
      <x:c r="Q261" s="4" t="n">
        <x:f>IF(AND(OR(C261="Ingredient candidate",C261="Consumed input",C261="Contained input",C261="Transform input"),P261=-1),1,0)</x:f>
        <x:v>0</x:v>
      </x:c>
    </x:row>
    <x:row r="262" ht="105" customHeight="1">
      <x:c r="A262" s="4" t="str">
        <x:v>design.branch.branch.protective_stock.in.1</x:v>
      </x:c>
      <x:c r="B262" s="4" t="str">
        <x:v>design.branch.branch.protective_stock</x:v>
      </x:c>
      <x:c r="C262" s="4" t="str">
        <x:v>Ingredient candidate</x:v>
      </x:c>
      <x:c r="D262" s="4" t="str">
        <x:v>proposal.branch.steel_shell</x:v>
      </x:c>
      <x:c r="E262" s="4" t="str">
        <x:f>IFERROR(INDEX('Items'!$B$6:$B$1005,MATCH(D262,'Items'!$A$6:$A$1005,0)),"MISSING ID")</x:f>
        <x:v>Steel-faced shell composite</x:v>
      </x:c>
      <x:c r="F262" s="4" t="str">
        <x:f>IFERROR(INDEX('Items'!$C$6:$C$1005,MATCH(D262,'Items'!$A$6:$A$1005,0)),"MISSING ID")</x:f>
        <x:v>T3</x:v>
      </x:c>
      <x:c r="G262" s="4" t="str">
        <x:f>IFERROR(INDEX('Items'!$D$6:$D$1005,MATCH(D262,'Items'!$A$6:$A$1005,0)),"MISSING ID")</x:f>
        <x:v>Manufactured stock</x:v>
      </x:c>
      <x:c r="H262" s="4" t="str">
        <x:f>IFERROR(INDEX('Items'!$X$6:$X$1005,MATCH(D262,'Items'!$A$6:$A$1005,0)),"MISSING ID")</x:f>
        <x:v>Processed material</x:v>
      </x:c>
      <x:c r="I262" s="4"/>
      <x:c r="J262" s="4" t="str">
        <x:v>Unspecified</x:v>
      </x:c>
      <x:c r="K262" s="4" t="str">
        <x:f>IFERROR(INDEX('Crafting recipes'!$D$6:$D$1005,MATCH(B262,'Crafting recipes'!$A$6:$A$1005,0)),"MISSING ID")</x:f>
        <x:v>Proposal</x:v>
      </x:c>
      <x:c r="L262" s="4" t="str">
        <x:f>IFERROR(INDEX('Items'!$AD$6:$AD$1005,MATCH(D262,'Items'!$A$6:$A$1005,0)),"MISSING ID")</x:f>
        <x:v>Proposal</x:v>
      </x:c>
      <x:c r="M262" s="4" t="str">
        <x:f>IFERROR(INDEX('Crafting recipes'!$E$6:$E$1005,MATCH(B262,'Crafting recipes'!$A$6:$A$1005,0)),"MISSING ID")</x:f>
        <x:v>Partial proposal</x:v>
      </x:c>
      <x:c r="N262" s="4" t="str">
        <x:v>Candidate consumed material contribution; incomplete recipe. A multi-material candidate, not ancient plasteel/nanocarbon or a certified ballistic material.</x:v>
      </x:c>
      <x:c r="O262" s="4" t="str">
        <x:v>New game brainstorming, October 15, 2026.</x:v>
      </x:c>
      <x:c r="P262" s="4" t="n">
        <x:f>IF(OR(C262="Ingredient candidate",C262="Consumed input",C262="Contained input",C262="Transform input"),IF(F262="T0",0,IF(F262="T1",1,IF(F262="T2",2,IF(F262="T3",3,IF(F262="T4",4,-1))))),-1)</x:f>
        <x:v>3</x:v>
      </x:c>
      <x:c r="Q262" s="4" t="n">
        <x:f>IF(AND(OR(C262="Ingredient candidate",C262="Consumed input",C262="Contained input",C262="Transform input"),P262=-1),1,0)</x:f>
        <x:v>0</x:v>
      </x:c>
    </x:row>
    <x:row r="263" ht="105" customHeight="1">
      <x:c r="A263" s="4" t="str">
        <x:v>design.branch.branch.protective_stock.in.2</x:v>
      </x:c>
      <x:c r="B263" s="4" t="str">
        <x:v>design.branch.branch.protective_stock</x:v>
      </x:c>
      <x:c r="C263" s="4" t="str">
        <x:v>Ingredient candidate</x:v>
      </x:c>
      <x:c r="D263" s="4" t="str">
        <x:v>proposal.branch.ceramic_shell</x:v>
      </x:c>
      <x:c r="E263" s="4" t="str">
        <x:f>IFERROR(INDEX('Items'!$B$6:$B$1005,MATCH(D263,'Items'!$A$6:$A$1005,0)),"MISSING ID")</x:f>
        <x:v>Bonded ceramic-shell composite</x:v>
      </x:c>
      <x:c r="F263" s="4" t="str">
        <x:f>IFERROR(INDEX('Items'!$C$6:$C$1005,MATCH(D263,'Items'!$A$6:$A$1005,0)),"MISSING ID")</x:f>
        <x:v>T3</x:v>
      </x:c>
      <x:c r="G263" s="4" t="str">
        <x:f>IFERROR(INDEX('Items'!$D$6:$D$1005,MATCH(D263,'Items'!$A$6:$A$1005,0)),"MISSING ID")</x:f>
        <x:v>Manufactured stock</x:v>
      </x:c>
      <x:c r="H263" s="4" t="str">
        <x:f>IFERROR(INDEX('Items'!$X$6:$X$1005,MATCH(D263,'Items'!$A$6:$A$1005,0)),"MISSING ID")</x:f>
        <x:v>Processed material</x:v>
      </x:c>
      <x:c r="I263" s="4"/>
      <x:c r="J263" s="4" t="str">
        <x:v>Unspecified</x:v>
      </x:c>
      <x:c r="K263" s="4" t="str">
        <x:f>IFERROR(INDEX('Crafting recipes'!$D$6:$D$1005,MATCH(B263,'Crafting recipes'!$A$6:$A$1005,0)),"MISSING ID")</x:f>
        <x:v>Proposal</x:v>
      </x:c>
      <x:c r="L263" s="4" t="str">
        <x:f>IFERROR(INDEX('Items'!$AD$6:$AD$1005,MATCH(D263,'Items'!$A$6:$A$1005,0)),"MISSING ID")</x:f>
        <x:v>Proposal</x:v>
      </x:c>
      <x:c r="M263" s="4" t="str">
        <x:f>IFERROR(INDEX('Crafting recipes'!$E$6:$E$1005,MATCH(B263,'Crafting recipes'!$A$6:$A$1005,0)),"MISSING ID")</x:f>
        <x:v>Partial proposal</x:v>
      </x:c>
      <x:c r="N263" s="4" t="str">
        <x:v>Candidate consumed material contribution; incomplete recipe. A multi-material candidate, not ancient plasteel/nanocarbon or a certified ballistic material.</x:v>
      </x:c>
      <x:c r="O263" s="4" t="str">
        <x:v>New game brainstorming, October 15, 2026.</x:v>
      </x:c>
      <x:c r="P263" s="4" t="n">
        <x:f>IF(OR(C263="Ingredient candidate",C263="Consumed input",C263="Contained input",C263="Transform input"),IF(F263="T0",0,IF(F263="T1",1,IF(F263="T2",2,IF(F263="T3",3,IF(F263="T4",4,-1))))),-1)</x:f>
        <x:v>3</x:v>
      </x:c>
      <x:c r="Q263" s="4" t="n">
        <x:f>IF(AND(OR(C263="Ingredient candidate",C263="Consumed input",C263="Contained input",C263="Transform input"),P263=-1),1,0)</x:f>
        <x:v>0</x:v>
      </x:c>
    </x:row>
    <x:row r="264" ht="105" customHeight="1">
      <x:c r="A264" s="4" t="str">
        <x:v>design.branch.branch.protective_stock.in.3</x:v>
      </x:c>
      <x:c r="B264" s="4" t="str">
        <x:v>design.branch.branch.protective_stock</x:v>
      </x:c>
      <x:c r="C264" s="4" t="str">
        <x:v>Ingredient candidate</x:v>
      </x:c>
      <x:c r="D264" s="4" t="str">
        <x:v>proposal.branch.filled_binder</x:v>
      </x:c>
      <x:c r="E264" s="4" t="str">
        <x:f>IFERROR(INDEX('Items'!$B$6:$B$1005,MATCH(D264,'Items'!$A$6:$A$1005,0)),"MISSING ID")</x:f>
        <x:v>Filled shell-binding compound</x:v>
      </x:c>
      <x:c r="F264" s="4" t="str">
        <x:f>IFERROR(INDEX('Items'!$C$6:$C$1005,MATCH(D264,'Items'!$A$6:$A$1005,0)),"MISSING ID")</x:f>
        <x:v>T2</x:v>
      </x:c>
      <x:c r="G264" s="4" t="str">
        <x:f>IFERROR(INDEX('Items'!$D$6:$D$1005,MATCH(D264,'Items'!$A$6:$A$1005,0)),"MISSING ID")</x:f>
        <x:v>Crafting components</x:v>
      </x:c>
      <x:c r="H264" s="4" t="str">
        <x:f>IFERROR(INDEX('Items'!$X$6:$X$1005,MATCH(D264,'Items'!$A$6:$A$1005,0)),"MISSING ID")</x:f>
        <x:v>Chemical material</x:v>
      </x:c>
      <x:c r="I264" s="4"/>
      <x:c r="J264" s="4" t="str">
        <x:v>Unspecified</x:v>
      </x:c>
      <x:c r="K264" s="4" t="str">
        <x:f>IFERROR(INDEX('Crafting recipes'!$D$6:$D$1005,MATCH(B264,'Crafting recipes'!$A$6:$A$1005,0)),"MISSING ID")</x:f>
        <x:v>Proposal</x:v>
      </x:c>
      <x:c r="L264" s="4" t="str">
        <x:f>IFERROR(INDEX('Items'!$AD$6:$AD$1005,MATCH(D264,'Items'!$A$6:$A$1005,0)),"MISSING ID")</x:f>
        <x:v>Proposal</x:v>
      </x:c>
      <x:c r="M264" s="4" t="str">
        <x:f>IFERROR(INDEX('Crafting recipes'!$E$6:$E$1005,MATCH(B264,'Crafting recipes'!$A$6:$A$1005,0)),"MISSING ID")</x:f>
        <x:v>Partial proposal</x:v>
      </x:c>
      <x:c r="N264" s="4" t="str">
        <x:v>Candidate consumed material contribution; incomplete recipe. A multi-material candidate, not ancient plasteel/nanocarbon or a certified ballistic material.</x:v>
      </x:c>
      <x:c r="O264" s="4" t="str">
        <x:v>New game brainstorming, October 15, 2026.</x:v>
      </x:c>
      <x:c r="P264" s="4" t="n">
        <x:f>IF(OR(C264="Ingredient candidate",C264="Consumed input",C264="Contained input",C264="Transform input"),IF(F264="T0",0,IF(F264="T1",1,IF(F264="T2",2,IF(F264="T3",3,IF(F264="T4",4,-1))))),-1)</x:f>
        <x:v>2</x:v>
      </x:c>
      <x:c r="Q264" s="4" t="n">
        <x:f>IF(AND(OR(C264="Ingredient candidate",C264="Consumed input",C264="Contained input",C264="Transform input"),P264=-1),1,0)</x:f>
        <x:v>0</x:v>
      </x:c>
    </x:row>
    <x:row r="265" ht="105" customHeight="1">
      <x:c r="A265" s="4" t="str">
        <x:v>design.branch.branch.protective_stock.out</x:v>
      </x:c>
      <x:c r="B265" s="4" t="str">
        <x:v>design.branch.branch.protective_stock</x:v>
      </x:c>
      <x:c r="C265" s="4" t="str">
        <x:v>Output</x:v>
      </x:c>
      <x:c r="D265" s="4" t="str">
        <x:v>proposal.branch.protective_stock</x:v>
      </x:c>
      <x:c r="E265" s="4" t="str">
        <x:f>IFERROR(INDEX('Items'!$B$6:$B$1005,MATCH(D265,'Items'!$A$6:$A$1005,0)),"MISSING ID")</x:f>
        <x:v>Layered protective composite stock</x:v>
      </x:c>
      <x:c r="F265" s="4" t="str">
        <x:f>IFERROR(INDEX('Items'!$C$6:$C$1005,MATCH(D265,'Items'!$A$6:$A$1005,0)),"MISSING ID")</x:f>
        <x:v>T4</x:v>
      </x:c>
      <x:c r="G265" s="4" t="str">
        <x:f>IFERROR(INDEX('Items'!$D$6:$D$1005,MATCH(D265,'Items'!$A$6:$A$1005,0)),"MISSING ID")</x:f>
        <x:v>Manufactured stock</x:v>
      </x:c>
      <x:c r="H265" s="4" t="str">
        <x:f>IFERROR(INDEX('Items'!$X$6:$X$1005,MATCH(D265,'Items'!$A$6:$A$1005,0)),"MISSING ID")</x:f>
        <x:v>Processed material</x:v>
      </x:c>
      <x:c r="I265" s="4"/>
      <x:c r="J265" s="4" t="str">
        <x:v>Unspecified</x:v>
      </x:c>
      <x:c r="K265" s="4" t="str">
        <x:f>IFERROR(INDEX('Crafting recipes'!$D$6:$D$1005,MATCH(B265,'Crafting recipes'!$A$6:$A$1005,0)),"MISSING ID")</x:f>
        <x:v>Proposal</x:v>
      </x:c>
      <x:c r="L265" s="4" t="str">
        <x:f>IFERROR(INDEX('Items'!$AD$6:$AD$1005,MATCH(D265,'Items'!$A$6:$A$1005,0)),"MISSING ID")</x:f>
        <x:v>Proposal</x:v>
      </x:c>
      <x:c r="M265" s="4" t="str">
        <x:f>IFERROR(INDEX('Crafting recipes'!$E$6:$E$1005,MATCH(B265,'Crafting recipes'!$A$6:$A$1005,0)),"MISSING ID")</x:f>
        <x:v>Partial proposal</x:v>
      </x:c>
      <x:c r="N265" s="4" t="str">
        <x:v>Proposed output; quantity/yield and qualification remain undefined. A multi-material candidate, not ancient plasteel/nanocarbon or a certified ballistic material.</x:v>
      </x:c>
      <x:c r="O265" s="4" t="str">
        <x:v>New game brainstorming, October 15, 2026.</x:v>
      </x:c>
      <x:c r="P265" s="4" t="n">
        <x:f>IF(OR(C265="Ingredient candidate",C265="Consumed input",C265="Contained input",C265="Transform input"),IF(F265="T0",0,IF(F265="T1",1,IF(F265="T2",2,IF(F265="T3",3,IF(F265="T4",4,-1))))),-1)</x:f>
        <x:v>-1</x:v>
      </x:c>
      <x:c r="Q265" s="4" t="n">
        <x:f>IF(AND(OR(C265="Ingredient candidate",C265="Consumed input",C265="Contained input",C265="Transform input"),P265=-1),1,0)</x:f>
        <x:v>0</x:v>
      </x:c>
    </x:row>
    <x:row r="266" ht="105" customHeight="1">
      <x:c r="A266" s="4" t="str">
        <x:v>design.branch.branch.encapsulated_conductor.in.1</x:v>
      </x:c>
      <x:c r="B266" s="4" t="str">
        <x:v>design.branch.branch.encapsulated_conductor</x:v>
      </x:c>
      <x:c r="C266" s="4" t="str">
        <x:v>Ingredient candidate</x:v>
      </x:c>
      <x:c r="D266" s="4" t="str">
        <x:v>proposal.branch.insulated_conductor</x:v>
      </x:c>
      <x:c r="E266" s="4" t="str">
        <x:f>IFERROR(INDEX('Items'!$B$6:$B$1005,MATCH(D266,'Items'!$A$6:$A$1005,0)),"MISSING ID")</x:f>
        <x:v>Insulated conductor stock</x:v>
      </x:c>
      <x:c r="F266" s="4" t="str">
        <x:f>IFERROR(INDEX('Items'!$C$6:$C$1005,MATCH(D266,'Items'!$A$6:$A$1005,0)),"MISSING ID")</x:f>
        <x:v>T3</x:v>
      </x:c>
      <x:c r="G266" s="4" t="str">
        <x:f>IFERROR(INDEX('Items'!$D$6:$D$1005,MATCH(D266,'Items'!$A$6:$A$1005,0)),"MISSING ID")</x:f>
        <x:v>Manufactured stock</x:v>
      </x:c>
      <x:c r="H266" s="4" t="str">
        <x:f>IFERROR(INDEX('Items'!$X$6:$X$1005,MATCH(D266,'Items'!$A$6:$A$1005,0)),"MISSING ID")</x:f>
        <x:v>Processed material</x:v>
      </x:c>
      <x:c r="I266" s="4"/>
      <x:c r="J266" s="4" t="str">
        <x:v>Unspecified</x:v>
      </x:c>
      <x:c r="K266" s="4" t="str">
        <x:f>IFERROR(INDEX('Crafting recipes'!$D$6:$D$1005,MATCH(B266,'Crafting recipes'!$A$6:$A$1005,0)),"MISSING ID")</x:f>
        <x:v>Proposal</x:v>
      </x:c>
      <x:c r="L266" s="4" t="str">
        <x:f>IFERROR(INDEX('Items'!$AD$6:$AD$1005,MATCH(D266,'Items'!$A$6:$A$1005,0)),"MISSING ID")</x:f>
        <x:v>Proposal</x:v>
      </x:c>
      <x:c r="M266" s="4" t="str">
        <x:f>IFERROR(INDEX('Crafting recipes'!$E$6:$E$1005,MATCH(B266,'Crafting recipes'!$A$6:$A$1005,0)),"MISSING ID")</x:f>
        <x:v>Partial proposal</x:v>
      </x:c>
      <x:c r="N266" s="4" t="str">
        <x:v>Candidate consumed material contribution; incomplete recipe. No voltage, arc tolerance, immunity, power generation or field-enhancement capability inferred.</x:v>
      </x:c>
      <x:c r="O266" s="4" t="str">
        <x:v>New game brainstorming, October 15, 2026.</x:v>
      </x:c>
      <x:c r="P266" s="4" t="n">
        <x:f>IF(OR(C266="Ingredient candidate",C266="Consumed input",C266="Contained input",C266="Transform input"),IF(F266="T0",0,IF(F266="T1",1,IF(F266="T2",2,IF(F266="T3",3,IF(F266="T4",4,-1))))),-1)</x:f>
        <x:v>3</x:v>
      </x:c>
      <x:c r="Q266" s="4" t="n">
        <x:f>IF(AND(OR(C266="Ingredient candidate",C266="Consumed input",C266="Contained input",C266="Transform input"),P266=-1),1,0)</x:f>
        <x:v>0</x:v>
      </x:c>
    </x:row>
    <x:row r="267" ht="105" customHeight="1">
      <x:c r="A267" s="4" t="str">
        <x:v>design.branch.branch.encapsulated_conductor.in.2</x:v>
      </x:c>
      <x:c r="B267" s="4" t="str">
        <x:v>design.branch.branch.encapsulated_conductor</x:v>
      </x:c>
      <x:c r="C267" s="4" t="str">
        <x:v>Ingredient candidate</x:v>
      </x:c>
      <x:c r="D267" s="4" t="str">
        <x:v>proposal.branch.sealing_sheet</x:v>
      </x:c>
      <x:c r="E267" s="4" t="str">
        <x:f>IFERROR(INDEX('Items'!$B$6:$B$1005,MATCH(D267,'Items'!$A$6:$A$1005,0)),"MISSING ID")</x:f>
        <x:v>Reinforced sealing sheet</x:v>
      </x:c>
      <x:c r="F267" s="4" t="str">
        <x:f>IFERROR(INDEX('Items'!$C$6:$C$1005,MATCH(D267,'Items'!$A$6:$A$1005,0)),"MISSING ID")</x:f>
        <x:v>T3</x:v>
      </x:c>
      <x:c r="G267" s="4" t="str">
        <x:f>IFERROR(INDEX('Items'!$D$6:$D$1005,MATCH(D267,'Items'!$A$6:$A$1005,0)),"MISSING ID")</x:f>
        <x:v>Manufactured stock</x:v>
      </x:c>
      <x:c r="H267" s="4" t="str">
        <x:f>IFERROR(INDEX('Items'!$X$6:$X$1005,MATCH(D267,'Items'!$A$6:$A$1005,0)),"MISSING ID")</x:f>
        <x:v>Processed material</x:v>
      </x:c>
      <x:c r="I267" s="4"/>
      <x:c r="J267" s="4" t="str">
        <x:v>Unspecified</x:v>
      </x:c>
      <x:c r="K267" s="4" t="str">
        <x:f>IFERROR(INDEX('Crafting recipes'!$D$6:$D$1005,MATCH(B267,'Crafting recipes'!$A$6:$A$1005,0)),"MISSING ID")</x:f>
        <x:v>Proposal</x:v>
      </x:c>
      <x:c r="L267" s="4" t="str">
        <x:f>IFERROR(INDEX('Items'!$AD$6:$AD$1005,MATCH(D267,'Items'!$A$6:$A$1005,0)),"MISSING ID")</x:f>
        <x:v>Proposal</x:v>
      </x:c>
      <x:c r="M267" s="4" t="str">
        <x:f>IFERROR(INDEX('Crafting recipes'!$E$6:$E$1005,MATCH(B267,'Crafting recipes'!$A$6:$A$1005,0)),"MISSING ID")</x:f>
        <x:v>Partial proposal</x:v>
      </x:c>
      <x:c r="N267" s="4" t="str">
        <x:v>Candidate consumed material contribution; incomplete recipe. No voltage, arc tolerance, immunity, power generation or field-enhancement capability inferred.</x:v>
      </x:c>
      <x:c r="O267" s="4" t="str">
        <x:v>New game brainstorming, October 15, 2026.</x:v>
      </x:c>
      <x:c r="P267" s="4" t="n">
        <x:f>IF(OR(C267="Ingredient candidate",C267="Consumed input",C267="Contained input",C267="Transform input"),IF(F267="T0",0,IF(F267="T1",1,IF(F267="T2",2,IF(F267="T3",3,IF(F267="T4",4,-1))))),-1)</x:f>
        <x:v>3</x:v>
      </x:c>
      <x:c r="Q267" s="4" t="n">
        <x:f>IF(AND(OR(C267="Ingredient candidate",C267="Consumed input",C267="Contained input",C267="Transform input"),P267=-1),1,0)</x:f>
        <x:v>0</x:v>
      </x:c>
    </x:row>
    <x:row r="268" ht="105" customHeight="1">
      <x:c r="A268" s="4" t="str">
        <x:v>design.branch.branch.encapsulated_conductor.in.3</x:v>
      </x:c>
      <x:c r="B268" s="4" t="str">
        <x:v>design.branch.branch.encapsulated_conductor</x:v>
      </x:c>
      <x:c r="C268" s="4" t="str">
        <x:v>Ingredient candidate</x:v>
      </x:c>
      <x:c r="D268" s="4" t="str">
        <x:v>proposal.natural.ceramic</x:v>
      </x:c>
      <x:c r="E268" s="4" t="str">
        <x:f>IFERROR(INDEX('Items'!$B$6:$B$1005,MATCH(D268,'Items'!$A$6:$A$1005,0)),"MISSING ID")</x:f>
        <x:v>Insulating ceramic blanks</x:v>
      </x:c>
      <x:c r="F268" s="4" t="str">
        <x:f>IFERROR(INDEX('Items'!$C$6:$C$1005,MATCH(D268,'Items'!$A$6:$A$1005,0)),"MISSING ID")</x:f>
        <x:v>T2</x:v>
      </x:c>
      <x:c r="G268" s="4" t="str">
        <x:f>IFERROR(INDEX('Items'!$D$6:$D$1005,MATCH(D268,'Items'!$A$6:$A$1005,0)),"MISSING ID")</x:f>
        <x:v>Manufactured stock</x:v>
      </x:c>
      <x:c r="H268" s="4" t="str">
        <x:f>IFERROR(INDEX('Items'!$X$6:$X$1005,MATCH(D268,'Items'!$A$6:$A$1005,0)),"MISSING ID")</x:f>
        <x:v>Processed material</x:v>
      </x:c>
      <x:c r="I268" s="4"/>
      <x:c r="J268" s="4" t="str">
        <x:v>Unspecified</x:v>
      </x:c>
      <x:c r="K268" s="4" t="str">
        <x:f>IFERROR(INDEX('Crafting recipes'!$D$6:$D$1005,MATCH(B268,'Crafting recipes'!$A$6:$A$1005,0)),"MISSING ID")</x:f>
        <x:v>Proposal</x:v>
      </x:c>
      <x:c r="L268" s="4" t="str">
        <x:f>IFERROR(INDEX('Items'!$AD$6:$AD$1005,MATCH(D268,'Items'!$A$6:$A$1005,0)),"MISSING ID")</x:f>
        <x:v>Proposal</x:v>
      </x:c>
      <x:c r="M268" s="4" t="str">
        <x:f>IFERROR(INDEX('Crafting recipes'!$E$6:$E$1005,MATCH(B268,'Crafting recipes'!$A$6:$A$1005,0)),"MISSING ID")</x:f>
        <x:v>Partial proposal</x:v>
      </x:c>
      <x:c r="N268" s="4" t="str">
        <x:v>Candidate consumed material contribution; incomplete recipe. No voltage, arc tolerance, immunity, power generation or field-enhancement capability inferred.</x:v>
      </x:c>
      <x:c r="O268" s="4" t="str">
        <x:v>New game brainstorming, October 15, 2026.</x:v>
      </x:c>
      <x:c r="P268" s="4" t="n">
        <x:f>IF(OR(C268="Ingredient candidate",C268="Consumed input",C268="Contained input",C268="Transform input"),IF(F268="T0",0,IF(F268="T1",1,IF(F268="T2",2,IF(F268="T3",3,IF(F268="T4",4,-1))))),-1)</x:f>
        <x:v>2</x:v>
      </x:c>
      <x:c r="Q268" s="4" t="n">
        <x:f>IF(AND(OR(C268="Ingredient candidate",C268="Consumed input",C268="Contained input",C268="Transform input"),P268=-1),1,0)</x:f>
        <x:v>0</x:v>
      </x:c>
    </x:row>
    <x:row r="269" ht="105" customHeight="1">
      <x:c r="A269" s="4" t="str">
        <x:v>design.branch.branch.encapsulated_conductor.out</x:v>
      </x:c>
      <x:c r="B269" s="4" t="str">
        <x:v>design.branch.branch.encapsulated_conductor</x:v>
      </x:c>
      <x:c r="C269" s="4" t="str">
        <x:v>Output</x:v>
      </x:c>
      <x:c r="D269" s="4" t="str">
        <x:v>proposal.branch.encapsulated_conductor</x:v>
      </x:c>
      <x:c r="E269" s="4" t="str">
        <x:f>IFERROR(INDEX('Items'!$B$6:$B$1005,MATCH(D269,'Items'!$A$6:$A$1005,0)),"MISSING ID")</x:f>
        <x:v>Encapsulated conductor stock</x:v>
      </x:c>
      <x:c r="F269" s="4" t="str">
        <x:f>IFERROR(INDEX('Items'!$C$6:$C$1005,MATCH(D269,'Items'!$A$6:$A$1005,0)),"MISSING ID")</x:f>
        <x:v>T4</x:v>
      </x:c>
      <x:c r="G269" s="4" t="str">
        <x:f>IFERROR(INDEX('Items'!$D$6:$D$1005,MATCH(D269,'Items'!$A$6:$A$1005,0)),"MISSING ID")</x:f>
        <x:v>Manufactured stock</x:v>
      </x:c>
      <x:c r="H269" s="4" t="str">
        <x:f>IFERROR(INDEX('Items'!$X$6:$X$1005,MATCH(D269,'Items'!$A$6:$A$1005,0)),"MISSING ID")</x:f>
        <x:v>Processed material</x:v>
      </x:c>
      <x:c r="I269" s="4"/>
      <x:c r="J269" s="4" t="str">
        <x:v>Unspecified</x:v>
      </x:c>
      <x:c r="K269" s="4" t="str">
        <x:f>IFERROR(INDEX('Crafting recipes'!$D$6:$D$1005,MATCH(B269,'Crafting recipes'!$A$6:$A$1005,0)),"MISSING ID")</x:f>
        <x:v>Proposal</x:v>
      </x:c>
      <x:c r="L269" s="4" t="str">
        <x:f>IFERROR(INDEX('Items'!$AD$6:$AD$1005,MATCH(D269,'Items'!$A$6:$A$1005,0)),"MISSING ID")</x:f>
        <x:v>Proposal</x:v>
      </x:c>
      <x:c r="M269" s="4" t="str">
        <x:f>IFERROR(INDEX('Crafting recipes'!$E$6:$E$1005,MATCH(B269,'Crafting recipes'!$A$6:$A$1005,0)),"MISSING ID")</x:f>
        <x:v>Partial proposal</x:v>
      </x:c>
      <x:c r="N269" s="4" t="str">
        <x:v>Proposed output; quantity/yield and qualification remain undefined. No voltage, arc tolerance, immunity, power generation or field-enhancement capability inferred.</x:v>
      </x:c>
      <x:c r="O269" s="4" t="str">
        <x:v>New game brainstorming, October 15, 2026.</x:v>
      </x:c>
      <x:c r="P269" s="4" t="n">
        <x:f>IF(OR(C269="Ingredient candidate",C269="Consumed input",C269="Contained input",C269="Transform input"),IF(F269="T0",0,IF(F269="T1",1,IF(F269="T2",2,IF(F269="T3",3,IF(F269="T4",4,-1))))),-1)</x:f>
        <x:v>-1</x:v>
      </x:c>
      <x:c r="Q269" s="4" t="n">
        <x:f>IF(AND(OR(C269="Ingredient candidate",C269="Consumed input",C269="Contained input",C269="Transform input"),P269=-1),1,0)</x:f>
        <x:v>0</x:v>
      </x:c>
    </x:row>
    <x:row r="270" ht="105" customHeight="1">
      <x:c r="A270" s="4" t="str">
        <x:v>design.branch.branch.optical_module.in.1</x:v>
      </x:c>
      <x:c r="B270" s="4" t="str">
        <x:v>design.branch.branch.optical_module</x:v>
      </x:c>
      <x:c r="C270" s="4" t="str">
        <x:v>Ingredient candidate</x:v>
      </x:c>
      <x:c r="D270" s="4" t="str">
        <x:v>proposal.branch.optical_glass</x:v>
      </x:c>
      <x:c r="E270" s="4" t="str">
        <x:f>IFERROR(INDEX('Items'!$B$6:$B$1005,MATCH(D270,'Items'!$A$6:$A$1005,0)),"MISSING ID")</x:f>
        <x:v>Ground optical glass stock</x:v>
      </x:c>
      <x:c r="F270" s="4" t="str">
        <x:f>IFERROR(INDEX('Items'!$C$6:$C$1005,MATCH(D270,'Items'!$A$6:$A$1005,0)),"MISSING ID")</x:f>
        <x:v>T3</x:v>
      </x:c>
      <x:c r="G270" s="4" t="str">
        <x:f>IFERROR(INDEX('Items'!$D$6:$D$1005,MATCH(D270,'Items'!$A$6:$A$1005,0)),"MISSING ID")</x:f>
        <x:v>Manufactured stock</x:v>
      </x:c>
      <x:c r="H270" s="4" t="str">
        <x:f>IFERROR(INDEX('Items'!$X$6:$X$1005,MATCH(D270,'Items'!$A$6:$A$1005,0)),"MISSING ID")</x:f>
        <x:v>Processed material</x:v>
      </x:c>
      <x:c r="I270" s="4"/>
      <x:c r="J270" s="4" t="str">
        <x:v>Unspecified</x:v>
      </x:c>
      <x:c r="K270" s="4" t="str">
        <x:f>IFERROR(INDEX('Crafting recipes'!$D$6:$D$1005,MATCH(B270,'Crafting recipes'!$A$6:$A$1005,0)),"MISSING ID")</x:f>
        <x:v>Proposal</x:v>
      </x:c>
      <x:c r="L270" s="4" t="str">
        <x:f>IFERROR(INDEX('Items'!$AD$6:$AD$1005,MATCH(D270,'Items'!$A$6:$A$1005,0)),"MISSING ID")</x:f>
        <x:v>Proposal</x:v>
      </x:c>
      <x:c r="M270" s="4" t="str">
        <x:f>IFERROR(INDEX('Crafting recipes'!$E$6:$E$1005,MATCH(B270,'Crafting recipes'!$A$6:$A$1005,0)),"MISSING ID")</x:f>
        <x:v>Partial proposal</x:v>
      </x:c>
      <x:c r="N270" s="4" t="str">
        <x:v>Candidate consumed material contribution; incomplete recipe. A crafting component, not a finished spectacle, laser weapon or reproduced ancient optical machine.</x:v>
      </x:c>
      <x:c r="O270" s="4" t="str">
        <x:v>New game brainstorming, October 15, 2026.</x:v>
      </x:c>
      <x:c r="P270" s="4" t="n">
        <x:f>IF(OR(C270="Ingredient candidate",C270="Consumed input",C270="Contained input",C270="Transform input"),IF(F270="T0",0,IF(F270="T1",1,IF(F270="T2",2,IF(F270="T3",3,IF(F270="T4",4,-1))))),-1)</x:f>
        <x:v>3</x:v>
      </x:c>
      <x:c r="Q270" s="4" t="n">
        <x:f>IF(AND(OR(C270="Ingredient candidate",C270="Consumed input",C270="Contained input",C270="Transform input"),P270=-1),1,0)</x:f>
        <x:v>0</x:v>
      </x:c>
    </x:row>
    <x:row r="271" ht="105" customHeight="1">
      <x:c r="A271" s="4" t="str">
        <x:v>design.branch.branch.optical_module.in.2</x:v>
      </x:c>
      <x:c r="B271" s="4" t="str">
        <x:v>design.branch.branch.optical_module</x:v>
      </x:c>
      <x:c r="C271" s="4" t="str">
        <x:v>Ingredient candidate</x:v>
      </x:c>
      <x:c r="D271" s="4" t="str">
        <x:v>proposal.branch.spring_steel</x:v>
      </x:c>
      <x:c r="E271" s="4" t="str">
        <x:f>IFERROR(INDEX('Items'!$B$6:$B$1005,MATCH(D271,'Items'!$A$6:$A$1005,0)),"MISSING ID")</x:f>
        <x:v>Spring-grade steel stock</x:v>
      </x:c>
      <x:c r="F271" s="4" t="str">
        <x:f>IFERROR(INDEX('Items'!$C$6:$C$1005,MATCH(D271,'Items'!$A$6:$A$1005,0)),"MISSING ID")</x:f>
        <x:v>T3</x:v>
      </x:c>
      <x:c r="G271" s="4" t="str">
        <x:f>IFERROR(INDEX('Items'!$D$6:$D$1005,MATCH(D271,'Items'!$A$6:$A$1005,0)),"MISSING ID")</x:f>
        <x:v>Manufactured stock</x:v>
      </x:c>
      <x:c r="H271" s="4" t="str">
        <x:f>IFERROR(INDEX('Items'!$X$6:$X$1005,MATCH(D271,'Items'!$A$6:$A$1005,0)),"MISSING ID")</x:f>
        <x:v>Processed material</x:v>
      </x:c>
      <x:c r="I271" s="4"/>
      <x:c r="J271" s="4" t="str">
        <x:v>Unspecified</x:v>
      </x:c>
      <x:c r="K271" s="4" t="str">
        <x:f>IFERROR(INDEX('Crafting recipes'!$D$6:$D$1005,MATCH(B271,'Crafting recipes'!$A$6:$A$1005,0)),"MISSING ID")</x:f>
        <x:v>Proposal</x:v>
      </x:c>
      <x:c r="L271" s="4" t="str">
        <x:f>IFERROR(INDEX('Items'!$AD$6:$AD$1005,MATCH(D271,'Items'!$A$6:$A$1005,0)),"MISSING ID")</x:f>
        <x:v>Proposal</x:v>
      </x:c>
      <x:c r="M271" s="4" t="str">
        <x:f>IFERROR(INDEX('Crafting recipes'!$E$6:$E$1005,MATCH(B271,'Crafting recipes'!$A$6:$A$1005,0)),"MISSING ID")</x:f>
        <x:v>Partial proposal</x:v>
      </x:c>
      <x:c r="N271" s="4" t="str">
        <x:v>Candidate consumed material contribution; incomplete recipe. A crafting component, not a finished spectacle, laser weapon or reproduced ancient optical machine.</x:v>
      </x:c>
      <x:c r="O271" s="4" t="str">
        <x:v>New game brainstorming, October 15, 2026.</x:v>
      </x:c>
      <x:c r="P271" s="4" t="n">
        <x:f>IF(OR(C271="Ingredient candidate",C271="Consumed input",C271="Contained input",C271="Transform input"),IF(F271="T0",0,IF(F271="T1",1,IF(F271="T2",2,IF(F271="T3",3,IF(F271="T4",4,-1))))),-1)</x:f>
        <x:v>3</x:v>
      </x:c>
      <x:c r="Q271" s="4" t="n">
        <x:f>IF(AND(OR(C271="Ingredient candidate",C271="Consumed input",C271="Contained input",C271="Transform input"),P271=-1),1,0)</x:f>
        <x:v>0</x:v>
      </x:c>
    </x:row>
    <x:row r="272" ht="105" customHeight="1">
      <x:c r="A272" s="4" t="str">
        <x:v>design.branch.branch.optical_module.in.3</x:v>
      </x:c>
      <x:c r="B272" s="4" t="str">
        <x:v>design.branch.branch.optical_module</x:v>
      </x:c>
      <x:c r="C272" s="4" t="str">
        <x:v>Ingredient candidate</x:v>
      </x:c>
      <x:c r="D272" s="4" t="str">
        <x:v>author.metallurgy.steel_stock</x:v>
      </x:c>
      <x:c r="E272" s="4" t="str">
        <x:f>IFERROR(INDEX('Items'!$B$6:$B$1005,MATCH(D272,'Items'!$A$6:$A$1005,0)),"MISSING ID")</x:f>
        <x:v>Steel stock</x:v>
      </x:c>
      <x:c r="F272" s="4" t="str">
        <x:f>IFERROR(INDEX('Items'!$C$6:$C$1005,MATCH(D272,'Items'!$A$6:$A$1005,0)),"MISSING ID")</x:f>
        <x:v>T2</x:v>
      </x:c>
      <x:c r="G272" s="4" t="str">
        <x:f>IFERROR(INDEX('Items'!$D$6:$D$1005,MATCH(D272,'Items'!$A$6:$A$1005,0)),"MISSING ID")</x:f>
        <x:v>Manufactured stock</x:v>
      </x:c>
      <x:c r="H272" s="4" t="str">
        <x:f>IFERROR(INDEX('Items'!$X$6:$X$1005,MATCH(D272,'Items'!$A$6:$A$1005,0)),"MISSING ID")</x:f>
        <x:v>Processed material</x:v>
      </x:c>
      <x:c r="I272" s="4"/>
      <x:c r="J272" s="4" t="str">
        <x:v>Unspecified</x:v>
      </x:c>
      <x:c r="K272" s="4" t="str">
        <x:f>IFERROR(INDEX('Crafting recipes'!$D$6:$D$1005,MATCH(B272,'Crafting recipes'!$A$6:$A$1005,0)),"MISSING ID")</x:f>
        <x:v>Proposal</x:v>
      </x:c>
      <x:c r="L272" s="4" t="str">
        <x:f>IFERROR(INDEX('Items'!$AD$6:$AD$1005,MATCH(D272,'Items'!$A$6:$A$1005,0)),"MISSING ID")</x:f>
        <x:v>Author direction</x:v>
      </x:c>
      <x:c r="M272" s="4" t="str">
        <x:f>IFERROR(INDEX('Crafting recipes'!$E$6:$E$1005,MATCH(B272,'Crafting recipes'!$A$6:$A$1005,0)),"MISSING ID")</x:f>
        <x:v>Partial proposal</x:v>
      </x:c>
      <x:c r="N272" s="4" t="str">
        <x:v>Candidate consumed material contribution; incomplete recipe. A crafting component, not a finished spectacle, laser weapon or reproduced ancient optical machine.</x:v>
      </x:c>
      <x:c r="O272" s="4" t="str">
        <x:v>New game brainstorming, October 15, 2026.</x:v>
      </x:c>
      <x:c r="P272" s="4" t="n">
        <x:f>IF(OR(C272="Ingredient candidate",C272="Consumed input",C272="Contained input",C272="Transform input"),IF(F272="T0",0,IF(F272="T1",1,IF(F272="T2",2,IF(F272="T3",3,IF(F272="T4",4,-1))))),-1)</x:f>
        <x:v>2</x:v>
      </x:c>
      <x:c r="Q272" s="4" t="n">
        <x:f>IF(AND(OR(C272="Ingredient candidate",C272="Consumed input",C272="Contained input",C272="Transform input"),P272=-1),1,0)</x:f>
        <x:v>0</x:v>
      </x:c>
    </x:row>
    <x:row r="273" ht="105" customHeight="1">
      <x:c r="A273" s="4" t="str">
        <x:v>design.branch.branch.optical_module.out</x:v>
      </x:c>
      <x:c r="B273" s="4" t="str">
        <x:v>design.branch.branch.optical_module</x:v>
      </x:c>
      <x:c r="C273" s="4" t="str">
        <x:v>Output</x:v>
      </x:c>
      <x:c r="D273" s="4" t="str">
        <x:v>proposal.branch.optical_module</x:v>
      </x:c>
      <x:c r="E273" s="4" t="str">
        <x:f>IFERROR(INDEX('Items'!$B$6:$B$1005,MATCH(D273,'Items'!$A$6:$A$1005,0)),"MISSING ID")</x:f>
        <x:v>Aligned optical subassembly</x:v>
      </x:c>
      <x:c r="F273" s="4" t="str">
        <x:f>IFERROR(INDEX('Items'!$C$6:$C$1005,MATCH(D273,'Items'!$A$6:$A$1005,0)),"MISSING ID")</x:f>
        <x:v>T4</x:v>
      </x:c>
      <x:c r="G273" s="4" t="str">
        <x:f>IFERROR(INDEX('Items'!$D$6:$D$1005,MATCH(D273,'Items'!$A$6:$A$1005,0)),"MISSING ID")</x:f>
        <x:v>Crafting components</x:v>
      </x:c>
      <x:c r="H273" s="4" t="str">
        <x:f>IFERROR(INDEX('Items'!$X$6:$X$1005,MATCH(D273,'Items'!$A$6:$A$1005,0)),"MISSING ID")</x:f>
        <x:v>Crafting component</x:v>
      </x:c>
      <x:c r="I273" s="4"/>
      <x:c r="J273" s="4" t="str">
        <x:v>Unspecified</x:v>
      </x:c>
      <x:c r="K273" s="4" t="str">
        <x:f>IFERROR(INDEX('Crafting recipes'!$D$6:$D$1005,MATCH(B273,'Crafting recipes'!$A$6:$A$1005,0)),"MISSING ID")</x:f>
        <x:v>Proposal</x:v>
      </x:c>
      <x:c r="L273" s="4" t="str">
        <x:f>IFERROR(INDEX('Items'!$AD$6:$AD$1005,MATCH(D273,'Items'!$A$6:$A$1005,0)),"MISSING ID")</x:f>
        <x:v>Proposal</x:v>
      </x:c>
      <x:c r="M273" s="4" t="str">
        <x:f>IFERROR(INDEX('Crafting recipes'!$E$6:$E$1005,MATCH(B273,'Crafting recipes'!$A$6:$A$1005,0)),"MISSING ID")</x:f>
        <x:v>Partial proposal</x:v>
      </x:c>
      <x:c r="N273" s="4" t="str">
        <x:v>Proposed output; quantity/yield and qualification remain undefined. A crafting component, not a finished spectacle, laser weapon or reproduced ancient optical machine.</x:v>
      </x:c>
      <x:c r="O273" s="4" t="str">
        <x:v>New game brainstorming, October 15, 2026.</x:v>
      </x:c>
      <x:c r="P273" s="4" t="n">
        <x:f>IF(OR(C273="Ingredient candidate",C273="Consumed input",C273="Contained input",C273="Transform input"),IF(F273="T0",0,IF(F273="T1",1,IF(F273="T2",2,IF(F273="T3",3,IF(F273="T4",4,-1))))),-1)</x:f>
        <x:v>-1</x:v>
      </x:c>
      <x:c r="Q273" s="4" t="n">
        <x:f>IF(AND(OR(C273="Ingredient candidate",C273="Consumed input",C273="Contained input",C273="Transform input"),P273=-1),1,0)</x:f>
        <x:v>0</x:v>
      </x:c>
    </x:row>
    <x:row r="274" ht="105" customHeight="1">
      <x:c r="A274" s="4" t="str">
        <x:v>design.branch.branch.sealed_casing.in.1</x:v>
      </x:c>
      <x:c r="B274" s="4" t="str">
        <x:v>design.branch.branch.sealed_casing</x:v>
      </x:c>
      <x:c r="C274" s="4" t="str">
        <x:v>Ingredient candidate</x:v>
      </x:c>
      <x:c r="D274" s="4" t="str">
        <x:v>proposal.branch.husk_composite</x:v>
      </x:c>
      <x:c r="E274" s="4" t="str">
        <x:f>IFERROR(INDEX('Items'!$B$6:$B$1005,MATCH(D274,'Items'!$A$6:$A$1005,0)),"MISSING ID")</x:f>
        <x:v>Layered husk composite stock</x:v>
      </x:c>
      <x:c r="F274" s="4" t="str">
        <x:f>IFERROR(INDEX('Items'!$C$6:$C$1005,MATCH(D274,'Items'!$A$6:$A$1005,0)),"MISSING ID")</x:f>
        <x:v>T3</x:v>
      </x:c>
      <x:c r="G274" s="4" t="str">
        <x:f>IFERROR(INDEX('Items'!$D$6:$D$1005,MATCH(D274,'Items'!$A$6:$A$1005,0)),"MISSING ID")</x:f>
        <x:v>Manufactured stock</x:v>
      </x:c>
      <x:c r="H274" s="4" t="str">
        <x:f>IFERROR(INDEX('Items'!$X$6:$X$1005,MATCH(D274,'Items'!$A$6:$A$1005,0)),"MISSING ID")</x:f>
        <x:v>Processed material</x:v>
      </x:c>
      <x:c r="I274" s="4"/>
      <x:c r="J274" s="4" t="str">
        <x:v>Unspecified</x:v>
      </x:c>
      <x:c r="K274" s="4" t="str">
        <x:f>IFERROR(INDEX('Crafting recipes'!$D$6:$D$1005,MATCH(B274,'Crafting recipes'!$A$6:$A$1005,0)),"MISSING ID")</x:f>
        <x:v>Proposal</x:v>
      </x:c>
      <x:c r="L274" s="4" t="str">
        <x:f>IFERROR(INDEX('Items'!$AD$6:$AD$1005,MATCH(D274,'Items'!$A$6:$A$1005,0)),"MISSING ID")</x:f>
        <x:v>Proposal</x:v>
      </x:c>
      <x:c r="M274" s="4" t="str">
        <x:f>IFERROR(INDEX('Crafting recipes'!$E$6:$E$1005,MATCH(B274,'Crafting recipes'!$A$6:$A$1005,0)),"MISSING ID")</x:f>
        <x:v>Partial proposal</x:v>
      </x:c>
      <x:c r="N274" s="4" t="str">
        <x:v>Candidate consumed material contribution; incomplete recipe. Seal, dust, impact and chemical compatibility remain unqualified; no finished container or pressure certification.</x:v>
      </x:c>
      <x:c r="O274" s="4" t="str">
        <x:v>New game brainstorming, October 15, 2026.</x:v>
      </x:c>
      <x:c r="P274" s="4" t="n">
        <x:f>IF(OR(C274="Ingredient candidate",C274="Consumed input",C274="Contained input",C274="Transform input"),IF(F274="T0",0,IF(F274="T1",1,IF(F274="T2",2,IF(F274="T3",3,IF(F274="T4",4,-1))))),-1)</x:f>
        <x:v>3</x:v>
      </x:c>
      <x:c r="Q274" s="4" t="n">
        <x:f>IF(AND(OR(C274="Ingredient candidate",C274="Consumed input",C274="Contained input",C274="Transform input"),P274=-1),1,0)</x:f>
        <x:v>0</x:v>
      </x:c>
    </x:row>
    <x:row r="275" ht="105" customHeight="1">
      <x:c r="A275" s="4" t="str">
        <x:v>design.branch.branch.sealed_casing.in.2</x:v>
      </x:c>
      <x:c r="B275" s="4" t="str">
        <x:v>design.branch.branch.sealed_casing</x:v>
      </x:c>
      <x:c r="C275" s="4" t="str">
        <x:v>Ingredient candidate</x:v>
      </x:c>
      <x:c r="D275" s="4" t="str">
        <x:v>proposal.branch.sealing_sheet</x:v>
      </x:c>
      <x:c r="E275" s="4" t="str">
        <x:f>IFERROR(INDEX('Items'!$B$6:$B$1005,MATCH(D275,'Items'!$A$6:$A$1005,0)),"MISSING ID")</x:f>
        <x:v>Reinforced sealing sheet</x:v>
      </x:c>
      <x:c r="F275" s="4" t="str">
        <x:f>IFERROR(INDEX('Items'!$C$6:$C$1005,MATCH(D275,'Items'!$A$6:$A$1005,0)),"MISSING ID")</x:f>
        <x:v>T3</x:v>
      </x:c>
      <x:c r="G275" s="4" t="str">
        <x:f>IFERROR(INDEX('Items'!$D$6:$D$1005,MATCH(D275,'Items'!$A$6:$A$1005,0)),"MISSING ID")</x:f>
        <x:v>Manufactured stock</x:v>
      </x:c>
      <x:c r="H275" s="4" t="str">
        <x:f>IFERROR(INDEX('Items'!$X$6:$X$1005,MATCH(D275,'Items'!$A$6:$A$1005,0)),"MISSING ID")</x:f>
        <x:v>Processed material</x:v>
      </x:c>
      <x:c r="I275" s="4"/>
      <x:c r="J275" s="4" t="str">
        <x:v>Unspecified</x:v>
      </x:c>
      <x:c r="K275" s="4" t="str">
        <x:f>IFERROR(INDEX('Crafting recipes'!$D$6:$D$1005,MATCH(B275,'Crafting recipes'!$A$6:$A$1005,0)),"MISSING ID")</x:f>
        <x:v>Proposal</x:v>
      </x:c>
      <x:c r="L275" s="4" t="str">
        <x:f>IFERROR(INDEX('Items'!$AD$6:$AD$1005,MATCH(D275,'Items'!$A$6:$A$1005,0)),"MISSING ID")</x:f>
        <x:v>Proposal</x:v>
      </x:c>
      <x:c r="M275" s="4" t="str">
        <x:f>IFERROR(INDEX('Crafting recipes'!$E$6:$E$1005,MATCH(B275,'Crafting recipes'!$A$6:$A$1005,0)),"MISSING ID")</x:f>
        <x:v>Partial proposal</x:v>
      </x:c>
      <x:c r="N275" s="4" t="str">
        <x:v>Candidate consumed material contribution; incomplete recipe. Seal, dust, impact and chemical compatibility remain unqualified; no finished container or pressure certification.</x:v>
      </x:c>
      <x:c r="O275" s="4" t="str">
        <x:v>New game brainstorming, October 15, 2026.</x:v>
      </x:c>
      <x:c r="P275" s="4" t="n">
        <x:f>IF(OR(C275="Ingredient candidate",C275="Consumed input",C275="Contained input",C275="Transform input"),IF(F275="T0",0,IF(F275="T1",1,IF(F275="T2",2,IF(F275="T3",3,IF(F275="T4",4,-1))))),-1)</x:f>
        <x:v>3</x:v>
      </x:c>
      <x:c r="Q275" s="4" t="n">
        <x:f>IF(AND(OR(C275="Ingredient candidate",C275="Consumed input",C275="Contained input",C275="Transform input"),P275=-1),1,0)</x:f>
        <x:v>0</x:v>
      </x:c>
    </x:row>
    <x:row r="276" ht="105" customHeight="1">
      <x:c r="A276" s="4" t="str">
        <x:v>design.branch.branch.sealed_casing.out</x:v>
      </x:c>
      <x:c r="B276" s="4" t="str">
        <x:v>design.branch.branch.sealed_casing</x:v>
      </x:c>
      <x:c r="C276" s="4" t="str">
        <x:v>Output</x:v>
      </x:c>
      <x:c r="D276" s="4" t="str">
        <x:v>proposal.branch.sealed_casing</x:v>
      </x:c>
      <x:c r="E276" s="4" t="str">
        <x:f>IFERROR(INDEX('Items'!$B$6:$B$1005,MATCH(D276,'Items'!$A$6:$A$1005,0)),"MISSING ID")</x:f>
        <x:v>Sealed composite casing stock</x:v>
      </x:c>
      <x:c r="F276" s="4" t="str">
        <x:f>IFERROR(INDEX('Items'!$C$6:$C$1005,MATCH(D276,'Items'!$A$6:$A$1005,0)),"MISSING ID")</x:f>
        <x:v>T4</x:v>
      </x:c>
      <x:c r="G276" s="4" t="str">
        <x:f>IFERROR(INDEX('Items'!$D$6:$D$1005,MATCH(D276,'Items'!$A$6:$A$1005,0)),"MISSING ID")</x:f>
        <x:v>Manufactured stock</x:v>
      </x:c>
      <x:c r="H276" s="4" t="str">
        <x:f>IFERROR(INDEX('Items'!$X$6:$X$1005,MATCH(D276,'Items'!$A$6:$A$1005,0)),"MISSING ID")</x:f>
        <x:v>Processed material</x:v>
      </x:c>
      <x:c r="I276" s="4"/>
      <x:c r="J276" s="4" t="str">
        <x:v>Unspecified</x:v>
      </x:c>
      <x:c r="K276" s="4" t="str">
        <x:f>IFERROR(INDEX('Crafting recipes'!$D$6:$D$1005,MATCH(B276,'Crafting recipes'!$A$6:$A$1005,0)),"MISSING ID")</x:f>
        <x:v>Proposal</x:v>
      </x:c>
      <x:c r="L276" s="4" t="str">
        <x:f>IFERROR(INDEX('Items'!$AD$6:$AD$1005,MATCH(D276,'Items'!$A$6:$A$1005,0)),"MISSING ID")</x:f>
        <x:v>Proposal</x:v>
      </x:c>
      <x:c r="M276" s="4" t="str">
        <x:f>IFERROR(INDEX('Crafting recipes'!$E$6:$E$1005,MATCH(B276,'Crafting recipes'!$A$6:$A$1005,0)),"MISSING ID")</x:f>
        <x:v>Partial proposal</x:v>
      </x:c>
      <x:c r="N276" s="4" t="str">
        <x:v>Proposed output; quantity/yield and qualification remain undefined. Seal, dust, impact and chemical compatibility remain unqualified; no finished container or pressure certification.</x:v>
      </x:c>
      <x:c r="O276" s="4" t="str">
        <x:v>New game brainstorming, October 15, 2026.</x:v>
      </x:c>
      <x:c r="P276" s="4" t="n">
        <x:f>IF(OR(C276="Ingredient candidate",C276="Consumed input",C276="Contained input",C276="Transform input"),IF(F276="T0",0,IF(F276="T1",1,IF(F276="T2",2,IF(F276="T3",3,IF(F276="T4",4,-1))))),-1)</x:f>
        <x:v>-1</x:v>
      </x:c>
      <x:c r="Q276" s="4" t="n">
        <x:f>IF(AND(OR(C276="Ingredient candidate",C276="Consumed input",C276="Contained input",C276="Transform input"),P276=-1),1,0)</x:f>
        <x:v>0</x:v>
      </x:c>
    </x:row>
    <x:row r="277" ht="105" customHeight="1">
      <x:c r="A277" s="4" t="str">
        <x:v>design.branch.branch.spring_pack.in.1</x:v>
      </x:c>
      <x:c r="B277" s="4" t="str">
        <x:v>design.branch.branch.spring_pack</x:v>
      </x:c>
      <x:c r="C277" s="4" t="str">
        <x:v>Ingredient candidate</x:v>
      </x:c>
      <x:c r="D277" s="4" t="str">
        <x:v>proposal.branch.spring_steel</x:v>
      </x:c>
      <x:c r="E277" s="4" t="str">
        <x:f>IFERROR(INDEX('Items'!$B$6:$B$1005,MATCH(D277,'Items'!$A$6:$A$1005,0)),"MISSING ID")</x:f>
        <x:v>Spring-grade steel stock</x:v>
      </x:c>
      <x:c r="F277" s="4" t="str">
        <x:f>IFERROR(INDEX('Items'!$C$6:$C$1005,MATCH(D277,'Items'!$A$6:$A$1005,0)),"MISSING ID")</x:f>
        <x:v>T3</x:v>
      </x:c>
      <x:c r="G277" s="4" t="str">
        <x:f>IFERROR(INDEX('Items'!$D$6:$D$1005,MATCH(D277,'Items'!$A$6:$A$1005,0)),"MISSING ID")</x:f>
        <x:v>Manufactured stock</x:v>
      </x:c>
      <x:c r="H277" s="4" t="str">
        <x:f>IFERROR(INDEX('Items'!$X$6:$X$1005,MATCH(D277,'Items'!$A$6:$A$1005,0)),"MISSING ID")</x:f>
        <x:v>Processed material</x:v>
      </x:c>
      <x:c r="I277" s="4"/>
      <x:c r="J277" s="4" t="str">
        <x:v>Unspecified</x:v>
      </x:c>
      <x:c r="K277" s="4" t="str">
        <x:f>IFERROR(INDEX('Crafting recipes'!$D$6:$D$1005,MATCH(B277,'Crafting recipes'!$A$6:$A$1005,0)),"MISSING ID")</x:f>
        <x:v>Proposal</x:v>
      </x:c>
      <x:c r="L277" s="4" t="str">
        <x:f>IFERROR(INDEX('Items'!$AD$6:$AD$1005,MATCH(D277,'Items'!$A$6:$A$1005,0)),"MISSING ID")</x:f>
        <x:v>Proposal</x:v>
      </x:c>
      <x:c r="M277" s="4" t="str">
        <x:f>IFERROR(INDEX('Crafting recipes'!$E$6:$E$1005,MATCH(B277,'Crafting recipes'!$A$6:$A$1005,0)),"MISSING ID")</x:f>
        <x:v>Partial proposal</x:v>
      </x:c>
      <x:c r="N277" s="4" t="str">
        <x:v>Candidate consumed material contribution; incomplete recipe. Preload, fatigue, lubrication, geometry and actual Legger/vehicle compatibility remain undefined.</x:v>
      </x:c>
      <x:c r="O277" s="4" t="str">
        <x:v>New game brainstorming, October 15, 2026.</x:v>
      </x:c>
      <x:c r="P277" s="4" t="n">
        <x:f>IF(OR(C277="Ingredient candidate",C277="Consumed input",C277="Contained input",C277="Transform input"),IF(F277="T0",0,IF(F277="T1",1,IF(F277="T2",2,IF(F277="T3",3,IF(F277="T4",4,-1))))),-1)</x:f>
        <x:v>3</x:v>
      </x:c>
      <x:c r="Q277" s="4" t="n">
        <x:f>IF(AND(OR(C277="Ingredient candidate",C277="Consumed input",C277="Contained input",C277="Transform input"),P277=-1),1,0)</x:f>
        <x:v>0</x:v>
      </x:c>
    </x:row>
    <x:row r="278" ht="105" customHeight="1">
      <x:c r="A278" s="4" t="str">
        <x:v>design.branch.branch.spring_pack.in.2</x:v>
      </x:c>
      <x:c r="B278" s="4" t="str">
        <x:v>design.branch.branch.spring_pack</x:v>
      </x:c>
      <x:c r="C278" s="4" t="str">
        <x:v>Ingredient candidate</x:v>
      </x:c>
      <x:c r="D278" s="4" t="str">
        <x:v>author.metallurgy.steel_stock</x:v>
      </x:c>
      <x:c r="E278" s="4" t="str">
        <x:f>IFERROR(INDEX('Items'!$B$6:$B$1005,MATCH(D278,'Items'!$A$6:$A$1005,0)),"MISSING ID")</x:f>
        <x:v>Steel stock</x:v>
      </x:c>
      <x:c r="F278" s="4" t="str">
        <x:f>IFERROR(INDEX('Items'!$C$6:$C$1005,MATCH(D278,'Items'!$A$6:$A$1005,0)),"MISSING ID")</x:f>
        <x:v>T2</x:v>
      </x:c>
      <x:c r="G278" s="4" t="str">
        <x:f>IFERROR(INDEX('Items'!$D$6:$D$1005,MATCH(D278,'Items'!$A$6:$A$1005,0)),"MISSING ID")</x:f>
        <x:v>Manufactured stock</x:v>
      </x:c>
      <x:c r="H278" s="4" t="str">
        <x:f>IFERROR(INDEX('Items'!$X$6:$X$1005,MATCH(D278,'Items'!$A$6:$A$1005,0)),"MISSING ID")</x:f>
        <x:v>Processed material</x:v>
      </x:c>
      <x:c r="I278" s="4"/>
      <x:c r="J278" s="4" t="str">
        <x:v>Unspecified</x:v>
      </x:c>
      <x:c r="K278" s="4" t="str">
        <x:f>IFERROR(INDEX('Crafting recipes'!$D$6:$D$1005,MATCH(B278,'Crafting recipes'!$A$6:$A$1005,0)),"MISSING ID")</x:f>
        <x:v>Proposal</x:v>
      </x:c>
      <x:c r="L278" s="4" t="str">
        <x:f>IFERROR(INDEX('Items'!$AD$6:$AD$1005,MATCH(D278,'Items'!$A$6:$A$1005,0)),"MISSING ID")</x:f>
        <x:v>Author direction</x:v>
      </x:c>
      <x:c r="M278" s="4" t="str">
        <x:f>IFERROR(INDEX('Crafting recipes'!$E$6:$E$1005,MATCH(B278,'Crafting recipes'!$A$6:$A$1005,0)),"MISSING ID")</x:f>
        <x:v>Partial proposal</x:v>
      </x:c>
      <x:c r="N278" s="4" t="str">
        <x:v>Candidate consumed material contribution; incomplete recipe. Preload, fatigue, lubrication, geometry and actual Legger/vehicle compatibility remain undefined.</x:v>
      </x:c>
      <x:c r="O278" s="4" t="str">
        <x:v>New game brainstorming, October 15, 2026.</x:v>
      </x:c>
      <x:c r="P278" s="4" t="n">
        <x:f>IF(OR(C278="Ingredient candidate",C278="Consumed input",C278="Contained input",C278="Transform input"),IF(F278="T0",0,IF(F278="T1",1,IF(F278="T2",2,IF(F278="T3",3,IF(F278="T4",4,-1))))),-1)</x:f>
        <x:v>2</x:v>
      </x:c>
      <x:c r="Q278" s="4" t="n">
        <x:f>IF(AND(OR(C278="Ingredient candidate",C278="Consumed input",C278="Contained input",C278="Transform input"),P278=-1),1,0)</x:f>
        <x:v>0</x:v>
      </x:c>
    </x:row>
    <x:row r="279" ht="105" customHeight="1">
      <x:c r="A279" s="4" t="str">
        <x:v>design.branch.branch.spring_pack.in.3</x:v>
      </x:c>
      <x:c r="B279" s="4" t="str">
        <x:v>design.branch.branch.spring_pack</x:v>
      </x:c>
      <x:c r="C279" s="4" t="str">
        <x:v>Ingredient candidate</x:v>
      </x:c>
      <x:c r="D279" s="4" t="str">
        <x:v>proposal.lubricant.precision_oil</x:v>
      </x:c>
      <x:c r="E279" s="4" t="str">
        <x:f>IFERROR(INDEX('Items'!$B$6:$B$1005,MATCH(D279,'Items'!$A$6:$A$1005,0)),"MISSING ID")</x:f>
        <x:v>Fine mechanism oil</x:v>
      </x:c>
      <x:c r="F279" s="4" t="str">
        <x:f>IFERROR(INDEX('Items'!$C$6:$C$1005,MATCH(D279,'Items'!$A$6:$A$1005,0)),"MISSING ID")</x:f>
        <x:v>T2</x:v>
      </x:c>
      <x:c r="G279" s="4" t="str">
        <x:f>IFERROR(INDEX('Items'!$D$6:$D$1005,MATCH(D279,'Items'!$A$6:$A$1005,0)),"MISSING ID")</x:f>
        <x:v>Crafting components</x:v>
      </x:c>
      <x:c r="H279" s="4" t="str">
        <x:f>IFERROR(INDEX('Items'!$X$6:$X$1005,MATCH(D279,'Items'!$A$6:$A$1005,0)),"MISSING ID")</x:f>
        <x:v>Chemical material</x:v>
      </x:c>
      <x:c r="I279" s="4"/>
      <x:c r="J279" s="4" t="str">
        <x:v>Unspecified</x:v>
      </x:c>
      <x:c r="K279" s="4" t="str">
        <x:f>IFERROR(INDEX('Crafting recipes'!$D$6:$D$1005,MATCH(B279,'Crafting recipes'!$A$6:$A$1005,0)),"MISSING ID")</x:f>
        <x:v>Proposal</x:v>
      </x:c>
      <x:c r="L279" s="4" t="str">
        <x:f>IFERROR(INDEX('Items'!$AD$6:$AD$1005,MATCH(D279,'Items'!$A$6:$A$1005,0)),"MISSING ID")</x:f>
        <x:v>Proposal</x:v>
      </x:c>
      <x:c r="M279" s="4" t="str">
        <x:f>IFERROR(INDEX('Crafting recipes'!$E$6:$E$1005,MATCH(B279,'Crafting recipes'!$A$6:$A$1005,0)),"MISSING ID")</x:f>
        <x:v>Partial proposal</x:v>
      </x:c>
      <x:c r="N279" s="4" t="str">
        <x:v>Candidate consumed material contribution; incomplete recipe. Preload, fatigue, lubrication, geometry and actual Legger/vehicle compatibility remain undefined.</x:v>
      </x:c>
      <x:c r="O279" s="4" t="str">
        <x:v>New game brainstorming, October 15, 2026.</x:v>
      </x:c>
      <x:c r="P279" s="4" t="n">
        <x:f>IF(OR(C279="Ingredient candidate",C279="Consumed input",C279="Contained input",C279="Transform input"),IF(F279="T0",0,IF(F279="T1",1,IF(F279="T2",2,IF(F279="T3",3,IF(F279="T4",4,-1))))),-1)</x:f>
        <x:v>2</x:v>
      </x:c>
      <x:c r="Q279" s="4" t="n">
        <x:f>IF(AND(OR(C279="Ingredient candidate",C279="Consumed input",C279="Contained input",C279="Transform input"),P279=-1),1,0)</x:f>
        <x:v>0</x:v>
      </x:c>
    </x:row>
    <x:row r="280" ht="105" customHeight="1">
      <x:c r="A280" s="4" t="str">
        <x:v>design.branch.branch.spring_pack.out</x:v>
      </x:c>
      <x:c r="B280" s="4" t="str">
        <x:v>design.branch.branch.spring_pack</x:v>
      </x:c>
      <x:c r="C280" s="4" t="str">
        <x:v>Output</x:v>
      </x:c>
      <x:c r="D280" s="4" t="str">
        <x:v>proposal.branch.spring_pack</x:v>
      </x:c>
      <x:c r="E280" s="4" t="str">
        <x:f>IFERROR(INDEX('Items'!$B$6:$B$1005,MATCH(D280,'Items'!$A$6:$A$1005,0)),"MISSING ID")</x:f>
        <x:v>Preloaded spring subassembly</x:v>
      </x:c>
      <x:c r="F280" s="4" t="str">
        <x:f>IFERROR(INDEX('Items'!$C$6:$C$1005,MATCH(D280,'Items'!$A$6:$A$1005,0)),"MISSING ID")</x:f>
        <x:v>T4</x:v>
      </x:c>
      <x:c r="G280" s="4" t="str">
        <x:f>IFERROR(INDEX('Items'!$D$6:$D$1005,MATCH(D280,'Items'!$A$6:$A$1005,0)),"MISSING ID")</x:f>
        <x:v>Crafting components</x:v>
      </x:c>
      <x:c r="H280" s="4" t="str">
        <x:f>IFERROR(INDEX('Items'!$X$6:$X$1005,MATCH(D280,'Items'!$A$6:$A$1005,0)),"MISSING ID")</x:f>
        <x:v>Crafting component</x:v>
      </x:c>
      <x:c r="I280" s="4"/>
      <x:c r="J280" s="4" t="str">
        <x:v>Unspecified</x:v>
      </x:c>
      <x:c r="K280" s="4" t="str">
        <x:f>IFERROR(INDEX('Crafting recipes'!$D$6:$D$1005,MATCH(B280,'Crafting recipes'!$A$6:$A$1005,0)),"MISSING ID")</x:f>
        <x:v>Proposal</x:v>
      </x:c>
      <x:c r="L280" s="4" t="str">
        <x:f>IFERROR(INDEX('Items'!$AD$6:$AD$1005,MATCH(D280,'Items'!$A$6:$A$1005,0)),"MISSING ID")</x:f>
        <x:v>Proposal</x:v>
      </x:c>
      <x:c r="M280" s="4" t="str">
        <x:f>IFERROR(INDEX('Crafting recipes'!$E$6:$E$1005,MATCH(B280,'Crafting recipes'!$A$6:$A$1005,0)),"MISSING ID")</x:f>
        <x:v>Partial proposal</x:v>
      </x:c>
      <x:c r="N280" s="4" t="str">
        <x:v>Proposed output; quantity/yield and qualification remain undefined. Preload, fatigue, lubrication, geometry and actual Legger/vehicle compatibility remain undefined.</x:v>
      </x:c>
      <x:c r="O280" s="4" t="str">
        <x:v>New game brainstorming, October 15, 2026.</x:v>
      </x:c>
      <x:c r="P280" s="4" t="n">
        <x:f>IF(OR(C280="Ingredient candidate",C280="Consumed input",C280="Contained input",C280="Transform input"),IF(F280="T0",0,IF(F280="T1",1,IF(F280="T2",2,IF(F280="T3",3,IF(F280="T4",4,-1))))),-1)</x:f>
        <x:v>-1</x:v>
      </x:c>
      <x:c r="Q280" s="4" t="n">
        <x:f>IF(AND(OR(C280="Ingredient candidate",C280="Consumed input",C280="Contained input",C280="Transform input"),P280=-1),1,0)</x:f>
        <x:v>0</x:v>
      </x:c>
    </x:row>
    <x:row r="281" ht="105" customHeight="1">
      <x:c r="A281" s="4" t="str">
        <x:v>design.finished.refractory_crucible.in.1</x:v>
      </x:c>
      <x:c r="B281" s="4" t="str">
        <x:v>design.finished.refractory_crucible</x:v>
      </x:c>
      <x:c r="C281" s="4" t="str">
        <x:v>Ingredient candidate</x:v>
      </x:c>
      <x:c r="D281" s="4" t="str">
        <x:v>proposal.branch.refractory_ceramic</x:v>
      </x:c>
      <x:c r="E281" s="4" t="str">
        <x:f>IFERROR(INDEX('Items'!$B$6:$B$1005,MATCH(D281,'Items'!$A$6:$A$1005,0)),"MISSING ID")</x:f>
        <x:v>Refractory ceramic stock</x:v>
      </x:c>
      <x:c r="F281" s="4" t="str">
        <x:f>IFERROR(INDEX('Items'!$C$6:$C$1005,MATCH(D281,'Items'!$A$6:$A$1005,0)),"MISSING ID")</x:f>
        <x:v>T2</x:v>
      </x:c>
      <x:c r="G281" s="4" t="str">
        <x:f>IFERROR(INDEX('Items'!$D$6:$D$1005,MATCH(D281,'Items'!$A$6:$A$1005,0)),"MISSING ID")</x:f>
        <x:v>Manufactured stock</x:v>
      </x:c>
      <x:c r="H281" s="4" t="str">
        <x:f>IFERROR(INDEX('Items'!$X$6:$X$1005,MATCH(D281,'Items'!$A$6:$A$1005,0)),"MISSING ID")</x:f>
        <x:v>Processed material</x:v>
      </x:c>
      <x:c r="I281" s="4"/>
      <x:c r="J281" s="4" t="str">
        <x:v>Unspecified</x:v>
      </x:c>
      <x:c r="K281" s="4" t="str">
        <x:f>IFERROR(INDEX('Crafting recipes'!$D$6:$D$1005,MATCH(B281,'Crafting recipes'!$A$6:$A$1005,0)),"MISSING ID")</x:f>
        <x:v>Proposal</x:v>
      </x:c>
      <x:c r="L281" s="4" t="str">
        <x:f>IFERROR(INDEX('Items'!$AD$6:$AD$1005,MATCH(D281,'Items'!$A$6:$A$1005,0)),"MISSING ID")</x:f>
        <x:v>Proposal</x:v>
      </x:c>
      <x:c r="M281" s="4" t="str">
        <x:f>IFERROR(INDEX('Crafting recipes'!$E$6:$E$1005,MATCH(B281,'Crafting recipes'!$A$6:$A$1005,0)),"MISSING ID")</x:f>
        <x:v>Partial proposal</x:v>
      </x:c>
      <x:c r="N281" s="4" t="str">
        <x:v>Candidate consumed material contribution; incomplete recipe. Partial candidate only. Geometry, firing, defects, heat service and compatibility remain unresolved.</x:v>
      </x:c>
      <x:c r="O281" s="4" t="str">
        <x:v>New game brainstorming, October 15, 2026.</x:v>
      </x:c>
      <x:c r="P281" s="4" t="n">
        <x:f>IF(OR(C281="Ingredient candidate",C281="Consumed input",C281="Contained input",C281="Transform input"),IF(F281="T0",0,IF(F281="T1",1,IF(F281="T2",2,IF(F281="T3",3,IF(F281="T4",4,-1))))),-1)</x:f>
        <x:v>2</x:v>
      </x:c>
      <x:c r="Q281" s="4" t="n">
        <x:f>IF(AND(OR(C281="Ingredient candidate",C281="Consumed input",C281="Contained input",C281="Transform input"),P281=-1),1,0)</x:f>
        <x:v>0</x:v>
      </x:c>
    </x:row>
    <x:row r="282" ht="105" customHeight="1">
      <x:c r="A282" s="4" t="str">
        <x:v>design.finished.refractory_crucible.out</x:v>
      </x:c>
      <x:c r="B282" s="4" t="str">
        <x:v>design.finished.refractory_crucible</x:v>
      </x:c>
      <x:c r="C282" s="4" t="str">
        <x:v>Output</x:v>
      </x:c>
      <x:c r="D282" s="4" t="str">
        <x:v>proposal.ceramic.crucible</x:v>
      </x:c>
      <x:c r="E282" s="4" t="str">
        <x:f>IFERROR(INDEX('Items'!$B$6:$B$1005,MATCH(D282,'Items'!$A$6:$A$1005,0)),"MISSING ID")</x:f>
        <x:v>Ceramic crucible</x:v>
      </x:c>
      <x:c r="F282" s="4" t="str">
        <x:f>IFERROR(INDEX('Items'!$C$6:$C$1005,MATCH(D282,'Items'!$A$6:$A$1005,0)),"MISSING ID")</x:f>
        <x:v>Not applicable</x:v>
      </x:c>
      <x:c r="G282" s="4" t="str">
        <x:f>IFERROR(INDEX('Items'!$D$6:$D$1005,MATCH(D282,'Items'!$A$6:$A$1005,0)),"MISSING ID")</x:f>
        <x:v>Salvage</x:v>
      </x:c>
      <x:c r="H282" s="4" t="str">
        <x:f>IFERROR(INDEX('Items'!$X$6:$X$1005,MATCH(D282,'Items'!$A$6:$A$1005,0)),"MISSING ID")</x:f>
        <x:v>Tool</x:v>
      </x:c>
      <x:c r="I282" s="4"/>
      <x:c r="J282" s="4" t="str">
        <x:v>Unspecified</x:v>
      </x:c>
      <x:c r="K282" s="4" t="str">
        <x:f>IFERROR(INDEX('Crafting recipes'!$D$6:$D$1005,MATCH(B282,'Crafting recipes'!$A$6:$A$1005,0)),"MISSING ID")</x:f>
        <x:v>Proposal</x:v>
      </x:c>
      <x:c r="L282" s="4" t="str">
        <x:f>IFERROR(INDEX('Items'!$AD$6:$AD$1005,MATCH(D282,'Items'!$A$6:$A$1005,0)),"MISSING ID")</x:f>
        <x:v>Proposal</x:v>
      </x:c>
      <x:c r="M282" s="4" t="str">
        <x:f>IFERROR(INDEX('Crafting recipes'!$E$6:$E$1005,MATCH(B282,'Crafting recipes'!$A$6:$A$1005,0)),"MISSING ID")</x:f>
        <x:v>Partial proposal</x:v>
      </x:c>
      <x:c r="N282" s="4" t="str">
        <x:v>Proposed output; quantity/yield and qualification remain undefined. Partial candidate only. Geometry, firing, defects, heat service and compatibility remain unresolved.</x:v>
      </x:c>
      <x:c r="O282" s="4" t="str">
        <x:v>New game brainstorming, October 15, 2026.</x:v>
      </x:c>
      <x:c r="P282" s="4" t="n">
        <x:f>IF(OR(C282="Ingredient candidate",C282="Consumed input",C282="Contained input",C282="Transform input"),IF(F282="T0",0,IF(F282="T1",1,IF(F282="T2",2,IF(F282="T3",3,IF(F282="T4",4,-1))))),-1)</x:f>
        <x:v>-1</x:v>
      </x:c>
      <x:c r="Q282" s="4" t="n">
        <x:f>IF(AND(OR(C282="Ingredient candidate",C282="Consumed input",C282="Contained input",C282="Transform input"),P282=-1),1,0)</x:f>
        <x:v>0</x:v>
      </x:c>
    </x:row>
    <x:row r="283" ht="105" customHeight="1">
      <x:c r="A283" s="4" t="str">
        <x:v>design.finished.electrical_gloves.in.1</x:v>
      </x:c>
      <x:c r="B283" s="4" t="str">
        <x:v>design.finished.electrical_gloves</x:v>
      </x:c>
      <x:c r="C283" s="4" t="str">
        <x:v>Ingredient candidate</x:v>
      </x:c>
      <x:c r="D283" s="4" t="str">
        <x:v>proposal.branch.mica_sheet</x:v>
      </x:c>
      <x:c r="E283" s="4" t="str">
        <x:f>IFERROR(INDEX('Items'!$B$6:$B$1005,MATCH(D283,'Items'!$A$6:$A$1005,0)),"MISSING ID")</x:f>
        <x:v>Mica composite sheet</x:v>
      </x:c>
      <x:c r="F283" s="4" t="str">
        <x:f>IFERROR(INDEX('Items'!$C$6:$C$1005,MATCH(D283,'Items'!$A$6:$A$1005,0)),"MISSING ID")</x:f>
        <x:v>T2</x:v>
      </x:c>
      <x:c r="G283" s="4" t="str">
        <x:f>IFERROR(INDEX('Items'!$D$6:$D$1005,MATCH(D283,'Items'!$A$6:$A$1005,0)),"MISSING ID")</x:f>
        <x:v>Manufactured stock</x:v>
      </x:c>
      <x:c r="H283" s="4" t="str">
        <x:f>IFERROR(INDEX('Items'!$X$6:$X$1005,MATCH(D283,'Items'!$A$6:$A$1005,0)),"MISSING ID")</x:f>
        <x:v>Processed material</x:v>
      </x:c>
      <x:c r="I283" s="4"/>
      <x:c r="J283" s="4" t="str">
        <x:v>Unspecified</x:v>
      </x:c>
      <x:c r="K283" s="4" t="str">
        <x:f>IFERROR(INDEX('Crafting recipes'!$D$6:$D$1005,MATCH(B283,'Crafting recipes'!$A$6:$A$1005,0)),"MISSING ID")</x:f>
        <x:v>Proposal</x:v>
      </x:c>
      <x:c r="L283" s="4" t="str">
        <x:f>IFERROR(INDEX('Items'!$AD$6:$AD$1005,MATCH(D283,'Items'!$A$6:$A$1005,0)),"MISSING ID")</x:f>
        <x:v>Proposal</x:v>
      </x:c>
      <x:c r="M283" s="4" t="str">
        <x:f>IFERROR(INDEX('Crafting recipes'!$E$6:$E$1005,MATCH(B283,'Crafting recipes'!$A$6:$A$1005,0)),"MISSING ID")</x:f>
        <x:v>Partial proposal</x:v>
      </x:c>
      <x:c r="N283" s="4" t="str">
        <x:v>Candidate consumed material contribution; incomplete recipe. Not electrical certification. Flexibility, seams, leakage, material compatibility and actual service limits remain unresolved; no ordinary cloth.</x:v>
      </x:c>
      <x:c r="O283" s="4" t="str">
        <x:v>New game brainstorming, October 15, 2026.</x:v>
      </x:c>
      <x:c r="P283" s="4" t="n">
        <x:f>IF(OR(C283="Ingredient candidate",C283="Consumed input",C283="Contained input",C283="Transform input"),IF(F283="T0",0,IF(F283="T1",1,IF(F283="T2",2,IF(F283="T3",3,IF(F283="T4",4,-1))))),-1)</x:f>
        <x:v>2</x:v>
      </x:c>
      <x:c r="Q283" s="4" t="n">
        <x:f>IF(AND(OR(C283="Ingredient candidate",C283="Consumed input",C283="Contained input",C283="Transform input"),P283=-1),1,0)</x:f>
        <x:v>0</x:v>
      </x:c>
    </x:row>
    <x:row r="284" ht="105" customHeight="1">
      <x:c r="A284" s="4" t="str">
        <x:v>design.finished.electrical_gloves.in.2</x:v>
      </x:c>
      <x:c r="B284" s="4" t="str">
        <x:v>design.finished.electrical_gloves</x:v>
      </x:c>
      <x:c r="C284" s="4" t="str">
        <x:v>Ingredient candidate</x:v>
      </x:c>
      <x:c r="D284" s="4" t="str">
        <x:v>proposal.branch.flex_bond</x:v>
      </x:c>
      <x:c r="E284" s="4" t="str">
        <x:f>IFERROR(INDEX('Items'!$B$6:$B$1005,MATCH(D284,'Items'!$A$6:$A$1005,0)),"MISSING ID")</x:f>
        <x:v>Flexible membrane-bonding compound</x:v>
      </x:c>
      <x:c r="F284" s="4" t="str">
        <x:f>IFERROR(INDEX('Items'!$C$6:$C$1005,MATCH(D284,'Items'!$A$6:$A$1005,0)),"MISSING ID")</x:f>
        <x:v>T2</x:v>
      </x:c>
      <x:c r="G284" s="4" t="str">
        <x:f>IFERROR(INDEX('Items'!$D$6:$D$1005,MATCH(D284,'Items'!$A$6:$A$1005,0)),"MISSING ID")</x:f>
        <x:v>Crafting components</x:v>
      </x:c>
      <x:c r="H284" s="4" t="str">
        <x:f>IFERROR(INDEX('Items'!$X$6:$X$1005,MATCH(D284,'Items'!$A$6:$A$1005,0)),"MISSING ID")</x:f>
        <x:v>Chemical material</x:v>
      </x:c>
      <x:c r="I284" s="4"/>
      <x:c r="J284" s="4" t="str">
        <x:v>Unspecified</x:v>
      </x:c>
      <x:c r="K284" s="4" t="str">
        <x:f>IFERROR(INDEX('Crafting recipes'!$D$6:$D$1005,MATCH(B284,'Crafting recipes'!$A$6:$A$1005,0)),"MISSING ID")</x:f>
        <x:v>Proposal</x:v>
      </x:c>
      <x:c r="L284" s="4" t="str">
        <x:f>IFERROR(INDEX('Items'!$AD$6:$AD$1005,MATCH(D284,'Items'!$A$6:$A$1005,0)),"MISSING ID")</x:f>
        <x:v>Proposal</x:v>
      </x:c>
      <x:c r="M284" s="4" t="str">
        <x:f>IFERROR(INDEX('Crafting recipes'!$E$6:$E$1005,MATCH(B284,'Crafting recipes'!$A$6:$A$1005,0)),"MISSING ID")</x:f>
        <x:v>Partial proposal</x:v>
      </x:c>
      <x:c r="N284" s="4" t="str">
        <x:v>Candidate consumed material contribution; incomplete recipe. Not electrical certification. Flexibility, seams, leakage, material compatibility and actual service limits remain unresolved; no ordinary cloth.</x:v>
      </x:c>
      <x:c r="O284" s="4" t="str">
        <x:v>New game brainstorming, October 15, 2026.</x:v>
      </x:c>
      <x:c r="P284" s="4" t="n">
        <x:f>IF(OR(C284="Ingredient candidate",C284="Consumed input",C284="Contained input",C284="Transform input"),IF(F284="T0",0,IF(F284="T1",1,IF(F284="T2",2,IF(F284="T3",3,IF(F284="T4",4,-1))))),-1)</x:f>
        <x:v>2</x:v>
      </x:c>
      <x:c r="Q284" s="4" t="n">
        <x:f>IF(AND(OR(C284="Ingredient candidate",C284="Consumed input",C284="Contained input",C284="Transform input"),P284=-1),1,0)</x:f>
        <x:v>0</x:v>
      </x:c>
    </x:row>
    <x:row r="285" ht="105" customHeight="1">
      <x:c r="A285" s="4" t="str">
        <x:v>design.finished.electrical_gloves.in.3</x:v>
      </x:c>
      <x:c r="B285" s="4" t="str">
        <x:v>design.finished.electrical_gloves</x:v>
      </x:c>
      <x:c r="C285" s="4" t="str">
        <x:v>Ingredient candidate</x:v>
      </x:c>
      <x:c r="D285" s="4" t="str">
        <x:v>proposal.branch.husk_sheet</x:v>
      </x:c>
      <x:c r="E285" s="4" t="str">
        <x:f>IFERROR(INDEX('Items'!$B$6:$B$1005,MATCH(D285,'Items'!$A$6:$A$1005,0)),"MISSING ID")</x:f>
        <x:v>Bonded husk sheet</x:v>
      </x:c>
      <x:c r="F285" s="4" t="str">
        <x:f>IFERROR(INDEX('Items'!$C$6:$C$1005,MATCH(D285,'Items'!$A$6:$A$1005,0)),"MISSING ID")</x:f>
        <x:v>T2</x:v>
      </x:c>
      <x:c r="G285" s="4" t="str">
        <x:f>IFERROR(INDEX('Items'!$D$6:$D$1005,MATCH(D285,'Items'!$A$6:$A$1005,0)),"MISSING ID")</x:f>
        <x:v>Manufactured stock</x:v>
      </x:c>
      <x:c r="H285" s="4" t="str">
        <x:f>IFERROR(INDEX('Items'!$X$6:$X$1005,MATCH(D285,'Items'!$A$6:$A$1005,0)),"MISSING ID")</x:f>
        <x:v>Processed material</x:v>
      </x:c>
      <x:c r="I285" s="4"/>
      <x:c r="J285" s="4" t="str">
        <x:v>Unspecified</x:v>
      </x:c>
      <x:c r="K285" s="4" t="str">
        <x:f>IFERROR(INDEX('Crafting recipes'!$D$6:$D$1005,MATCH(B285,'Crafting recipes'!$A$6:$A$1005,0)),"MISSING ID")</x:f>
        <x:v>Proposal</x:v>
      </x:c>
      <x:c r="L285" s="4" t="str">
        <x:f>IFERROR(INDEX('Items'!$AD$6:$AD$1005,MATCH(D285,'Items'!$A$6:$A$1005,0)),"MISSING ID")</x:f>
        <x:v>Proposal</x:v>
      </x:c>
      <x:c r="M285" s="4" t="str">
        <x:f>IFERROR(INDEX('Crafting recipes'!$E$6:$E$1005,MATCH(B285,'Crafting recipes'!$A$6:$A$1005,0)),"MISSING ID")</x:f>
        <x:v>Partial proposal</x:v>
      </x:c>
      <x:c r="N285" s="4" t="str">
        <x:v>Candidate consumed material contribution; incomplete recipe. Not electrical certification. Flexibility, seams, leakage, material compatibility and actual service limits remain unresolved; no ordinary cloth.</x:v>
      </x:c>
      <x:c r="O285" s="4" t="str">
        <x:v>New game brainstorming, October 15, 2026.</x:v>
      </x:c>
      <x:c r="P285" s="4" t="n">
        <x:f>IF(OR(C285="Ingredient candidate",C285="Consumed input",C285="Contained input",C285="Transform input"),IF(F285="T0",0,IF(F285="T1",1,IF(F285="T2",2,IF(F285="T3",3,IF(F285="T4",4,-1))))),-1)</x:f>
        <x:v>2</x:v>
      </x:c>
      <x:c r="Q285" s="4" t="n">
        <x:f>IF(AND(OR(C285="Ingredient candidate",C285="Consumed input",C285="Contained input",C285="Transform input"),P285=-1),1,0)</x:f>
        <x:v>0</x:v>
      </x:c>
    </x:row>
    <x:row r="286" ht="105" customHeight="1">
      <x:c r="A286" s="4" t="str">
        <x:v>design.finished.electrical_gloves.out</x:v>
      </x:c>
      <x:c r="B286" s="4" t="str">
        <x:v>design.finished.electrical_gloves</x:v>
      </x:c>
      <x:c r="C286" s="4" t="str">
        <x:v>Output</x:v>
      </x:c>
      <x:c r="D286" s="4" t="str">
        <x:v>author.electrical.insulated_gloves</x:v>
      </x:c>
      <x:c r="E286" s="4" t="str">
        <x:f>IFERROR(INDEX('Items'!$B$6:$B$1005,MATCH(D286,'Items'!$A$6:$A$1005,0)),"MISSING ID")</x:f>
        <x:v>Electrical insulating gloves</x:v>
      </x:c>
      <x:c r="F286" s="4" t="str">
        <x:f>IFERROR(INDEX('Items'!$C$6:$C$1005,MATCH(D286,'Items'!$A$6:$A$1005,0)),"MISSING ID")</x:f>
        <x:v>Not applicable</x:v>
      </x:c>
      <x:c r="G286" s="4" t="str">
        <x:f>IFERROR(INDEX('Items'!$D$6:$D$1005,MATCH(D286,'Items'!$A$6:$A$1005,0)),"MISSING ID")</x:f>
        <x:v>Clothing</x:v>
      </x:c>
      <x:c r="H286" s="4" t="str">
        <x:f>IFERROR(INDEX('Items'!$X$6:$X$1005,MATCH(D286,'Items'!$A$6:$A$1005,0)),"MISSING ID")</x:f>
        <x:v>Wearable</x:v>
      </x:c>
      <x:c r="I286" s="4"/>
      <x:c r="J286" s="4" t="str">
        <x:v>Unspecified</x:v>
      </x:c>
      <x:c r="K286" s="4" t="str">
        <x:f>IFERROR(INDEX('Crafting recipes'!$D$6:$D$1005,MATCH(B286,'Crafting recipes'!$A$6:$A$1005,0)),"MISSING ID")</x:f>
        <x:v>Proposal</x:v>
      </x:c>
      <x:c r="L286" s="4" t="str">
        <x:f>IFERROR(INDEX('Items'!$AD$6:$AD$1005,MATCH(D286,'Items'!$A$6:$A$1005,0)),"MISSING ID")</x:f>
        <x:v>Author direction</x:v>
      </x:c>
      <x:c r="M286" s="4" t="str">
        <x:f>IFERROR(INDEX('Crafting recipes'!$E$6:$E$1005,MATCH(B286,'Crafting recipes'!$A$6:$A$1005,0)),"MISSING ID")</x:f>
        <x:v>Partial proposal</x:v>
      </x:c>
      <x:c r="N286" s="4" t="str">
        <x:v>Proposed output; quantity/yield and qualification remain undefined. Not electrical certification. Flexibility, seams, leakage, material compatibility and actual service limits remain unresolved; no ordinary cloth.</x:v>
      </x:c>
      <x:c r="O286" s="4" t="str">
        <x:v>New game brainstorming, October 15, 2026.</x:v>
      </x:c>
      <x:c r="P286" s="4" t="n">
        <x:f>IF(OR(C286="Ingredient candidate",C286="Consumed input",C286="Contained input",C286="Transform input"),IF(F286="T0",0,IF(F286="T1",1,IF(F286="T2",2,IF(F286="T3",3,IF(F286="T4",4,-1))))),-1)</x:f>
        <x:v>-1</x:v>
      </x:c>
      <x:c r="Q286" s="4" t="n">
        <x:f>IF(AND(OR(C286="Ingredient candidate",C286="Consumed input",C286="Contained input",C286="Transform input"),P286=-1),1,0)</x:f>
        <x:v>0</x:v>
      </x:c>
    </x:row>
    <x:row r="287" ht="115" customHeight="1">
      <x:c r="A287" s="4" t="str">
        <x:v>design.t3.gear_blank.in.1</x:v>
      </x:c>
      <x:c r="B287" s="4" t="str">
        <x:v>design.t3.gear_blank</x:v>
      </x:c>
      <x:c r="C287" s="4" t="str">
        <x:v>Ingredient candidate</x:v>
      </x:c>
      <x:c r="D287" s="4" t="str">
        <x:v>author.metallurgy.steel_stock</x:v>
      </x:c>
      <x:c r="E287" s="4" t="str">
        <x:f>IFERROR(INDEX('Items'!$B$6:$B$1005,MATCH(D287,'Items'!$A$6:$A$1005,0)),"MISSING ID")</x:f>
        <x:v>Steel stock</x:v>
      </x:c>
      <x:c r="F287" s="4" t="str">
        <x:f>IFERROR(INDEX('Items'!$C$6:$C$1005,MATCH(D287,'Items'!$A$6:$A$1005,0)),"MISSING ID")</x:f>
        <x:v>T2</x:v>
      </x:c>
      <x:c r="G287" s="4" t="str">
        <x:f>IFERROR(INDEX('Items'!$D$6:$D$1005,MATCH(D287,'Items'!$A$6:$A$1005,0)),"MISSING ID")</x:f>
        <x:v>Manufactured stock</x:v>
      </x:c>
      <x:c r="H287" s="4" t="str">
        <x:f>IFERROR(INDEX('Items'!$X$6:$X$1005,MATCH(D287,'Items'!$A$6:$A$1005,0)),"MISSING ID")</x:f>
        <x:v>Processed material</x:v>
      </x:c>
      <x:c r="I287" s="4"/>
      <x:c r="J287" s="4" t="str">
        <x:v>Unspecified</x:v>
      </x:c>
      <x:c r="K287" s="4" t="str">
        <x:f>IFERROR(INDEX('Crafting recipes'!$D$6:$D$1005,MATCH(B287,'Crafting recipes'!$A$6:$A$1005,0)),"MISSING ID")</x:f>
        <x:v>Proposal</x:v>
      </x:c>
      <x:c r="L287" s="4" t="str">
        <x:f>IFERROR(INDEX('Items'!$AD$6:$AD$1005,MATCH(D287,'Items'!$A$6:$A$1005,0)),"MISSING ID")</x:f>
        <x:v>Author direction</x:v>
      </x:c>
      <x:c r="M287" s="4" t="str">
        <x:f>IFERROR(INDEX('Crafting recipes'!$E$6:$E$1005,MATCH(B287,'Crafting recipes'!$A$6:$A$1005,0)),"MISSING ID")</x:f>
        <x:v>Partial proposal</x:v>
      </x:c>
      <x:c r="N287" s="4" t="str">
        <x:v>Partial material route; no quantities, guarantees or accepted game recipe.</x:v>
      </x:c>
      <x:c r="O287" s="4" t="str">
        <x:v>New October 15 game brainstorming; current author request and Docs/WORLD_BASIS.md. Not retrieved source canon.</x:v>
      </x:c>
      <x:c r="P287" s="4" t="n">
        <x:f>IF(OR(C287="Ingredient candidate",C287="Consumed input",C287="Contained input",C287="Transform input"),IF(F287="T0",0,IF(F287="T1",1,IF(F287="T2",2,IF(F287="T3",3,IF(F287="T4",4,-1))))),-1)</x:f>
        <x:v>2</x:v>
      </x:c>
      <x:c r="Q287" s="4" t="n">
        <x:f>IF(AND(OR(C287="Ingredient candidate",C287="Consumed input",C287="Contained input",C287="Transform input"),P287=-1),1,0)</x:f>
        <x:v>0</x:v>
      </x:c>
    </x:row>
    <x:row r="288" ht="115" customHeight="1">
      <x:c r="A288" s="4" t="str">
        <x:v>design.t3.gear_blank.in.2</x:v>
      </x:c>
      <x:c r="B288" s="4" t="str">
        <x:v>design.t3.gear_blank</x:v>
      </x:c>
      <x:c r="C288" s="4" t="str">
        <x:v>Ingredient candidate</x:v>
      </x:c>
      <x:c r="D288" s="4" t="str">
        <x:v>proposal.branch.alloy_addition</x:v>
      </x:c>
      <x:c r="E288" s="4" t="str">
        <x:f>IFERROR(INDEX('Items'!$B$6:$B$1005,MATCH(D288,'Items'!$A$6:$A$1005,0)),"MISSING ID")</x:f>
        <x:v>Prepared manganese alloying stock</x:v>
      </x:c>
      <x:c r="F288" s="4" t="str">
        <x:f>IFERROR(INDEX('Items'!$C$6:$C$1005,MATCH(D288,'Items'!$A$6:$A$1005,0)),"MISSING ID")</x:f>
        <x:v>T2</x:v>
      </x:c>
      <x:c r="G288" s="4" t="str">
        <x:f>IFERROR(INDEX('Items'!$D$6:$D$1005,MATCH(D288,'Items'!$A$6:$A$1005,0)),"MISSING ID")</x:f>
        <x:v>Manufactured stock</x:v>
      </x:c>
      <x:c r="H288" s="4" t="str">
        <x:f>IFERROR(INDEX('Items'!$X$6:$X$1005,MATCH(D288,'Items'!$A$6:$A$1005,0)),"MISSING ID")</x:f>
        <x:v>Processed material</x:v>
      </x:c>
      <x:c r="I288" s="4"/>
      <x:c r="J288" s="4" t="str">
        <x:v>Unspecified</x:v>
      </x:c>
      <x:c r="K288" s="4" t="str">
        <x:f>IFERROR(INDEX('Crafting recipes'!$D$6:$D$1005,MATCH(B288,'Crafting recipes'!$A$6:$A$1005,0)),"MISSING ID")</x:f>
        <x:v>Proposal</x:v>
      </x:c>
      <x:c r="L288" s="4" t="str">
        <x:f>IFERROR(INDEX('Items'!$AD$6:$AD$1005,MATCH(D288,'Items'!$A$6:$A$1005,0)),"MISSING ID")</x:f>
        <x:v>Proposal</x:v>
      </x:c>
      <x:c r="M288" s="4" t="str">
        <x:f>IFERROR(INDEX('Crafting recipes'!$E$6:$E$1005,MATCH(B288,'Crafting recipes'!$A$6:$A$1005,0)),"MISSING ID")</x:f>
        <x:v>Partial proposal</x:v>
      </x:c>
      <x:c r="N288" s="4" t="str">
        <x:v>Partial material route; no quantities, guarantees or accepted game recipe.</x:v>
      </x:c>
      <x:c r="O288" s="4" t="str">
        <x:v>New October 15 game brainstorming; current author request and Docs/WORLD_BASIS.md. Not retrieved source canon.</x:v>
      </x:c>
      <x:c r="P288" s="4" t="n">
        <x:f>IF(OR(C288="Ingredient candidate",C288="Consumed input",C288="Contained input",C288="Transform input"),IF(F288="T0",0,IF(F288="T1",1,IF(F288="T2",2,IF(F288="T3",3,IF(F288="T4",4,-1))))),-1)</x:f>
        <x:v>2</x:v>
      </x:c>
      <x:c r="Q288" s="4" t="n">
        <x:f>IF(AND(OR(C288="Ingredient candidate",C288="Consumed input",C288="Contained input",C288="Transform input"),P288=-1),1,0)</x:f>
        <x:v>0</x:v>
      </x:c>
    </x:row>
    <x:row r="289" ht="115" customHeight="1">
      <x:c r="A289" s="4" t="str">
        <x:v>design.t3.gear_blank.out</x:v>
      </x:c>
      <x:c r="B289" s="4" t="str">
        <x:v>design.t3.gear_blank</x:v>
      </x:c>
      <x:c r="C289" s="4" t="str">
        <x:v>Output</x:v>
      </x:c>
      <x:c r="D289" s="4" t="str">
        <x:v>proposal.t3.gear_blank</x:v>
      </x:c>
      <x:c r="E289" s="4" t="str">
        <x:f>IFERROR(INDEX('Items'!$B$6:$B$1005,MATCH(D289,'Items'!$A$6:$A$1005,0)),"MISSING ID")</x:f>
        <x:v>Heat-treated steel gear blanks</x:v>
      </x:c>
      <x:c r="F289" s="4" t="str">
        <x:f>IFERROR(INDEX('Items'!$C$6:$C$1005,MATCH(D289,'Items'!$A$6:$A$1005,0)),"MISSING ID")</x:f>
        <x:v>T3</x:v>
      </x:c>
      <x:c r="G289" s="4" t="str">
        <x:f>IFERROR(INDEX('Items'!$D$6:$D$1005,MATCH(D289,'Items'!$A$6:$A$1005,0)),"MISSING ID")</x:f>
        <x:v>Crafting components</x:v>
      </x:c>
      <x:c r="H289" s="4" t="str">
        <x:f>IFERROR(INDEX('Items'!$X$6:$X$1005,MATCH(D289,'Items'!$A$6:$A$1005,0)),"MISSING ID")</x:f>
        <x:v>Crafting component</x:v>
      </x:c>
      <x:c r="I289" s="4"/>
      <x:c r="J289" s="4" t="str">
        <x:v>Unspecified</x:v>
      </x:c>
      <x:c r="K289" s="4" t="str">
        <x:f>IFERROR(INDEX('Crafting recipes'!$D$6:$D$1005,MATCH(B289,'Crafting recipes'!$A$6:$A$1005,0)),"MISSING ID")</x:f>
        <x:v>Proposal</x:v>
      </x:c>
      <x:c r="L289" s="4" t="str">
        <x:f>IFERROR(INDEX('Items'!$AD$6:$AD$1005,MATCH(D289,'Items'!$A$6:$A$1005,0)),"MISSING ID")</x:f>
        <x:v>Proposal</x:v>
      </x:c>
      <x:c r="M289" s="4" t="str">
        <x:f>IFERROR(INDEX('Crafting recipes'!$E$6:$E$1005,MATCH(B289,'Crafting recipes'!$A$6:$A$1005,0)),"MISSING ID")</x:f>
        <x:v>Partial proposal</x:v>
      </x:c>
      <x:c r="N289" s="4" t="str">
        <x:v>Partial material route; no quantities, guarantees or accepted game recipe.</x:v>
      </x:c>
      <x:c r="O289" s="4" t="str">
        <x:v>New October 15 game brainstorming; current author request and Docs/WORLD_BASIS.md. Not retrieved source canon.</x:v>
      </x:c>
      <x:c r="P289" s="4" t="n">
        <x:f>IF(OR(C289="Ingredient candidate",C289="Consumed input",C289="Contained input",C289="Transform input"),IF(F289="T0",0,IF(F289="T1",1,IF(F289="T2",2,IF(F289="T3",3,IF(F289="T4",4,-1))))),-1)</x:f>
        <x:v>-1</x:v>
      </x:c>
      <x:c r="Q289" s="4" t="n">
        <x:f>IF(AND(OR(C289="Ingredient candidate",C289="Consumed input",C289="Contained input",C289="Transform input"),P289=-1),1,0)</x:f>
        <x:v>0</x:v>
      </x:c>
    </x:row>
    <x:row r="290" ht="115" customHeight="1">
      <x:c r="A290" s="4" t="str">
        <x:v>design.t3.bearing_blank.in.1</x:v>
      </x:c>
      <x:c r="B290" s="4" t="str">
        <x:v>design.t3.bearing_blank</x:v>
      </x:c>
      <x:c r="C290" s="4" t="str">
        <x:v>Ingredient candidate</x:v>
      </x:c>
      <x:c r="D290" s="4" t="str">
        <x:v>proposal.branch.bearing_bronze</x:v>
      </x:c>
      <x:c r="E290" s="4" t="str">
        <x:f>IFERROR(INDEX('Items'!$B$6:$B$1005,MATCH(D290,'Items'!$A$6:$A$1005,0)),"MISSING ID")</x:f>
        <x:v>Prepared bronze bearing stock</x:v>
      </x:c>
      <x:c r="F290" s="4" t="str">
        <x:f>IFERROR(INDEX('Items'!$C$6:$C$1005,MATCH(D290,'Items'!$A$6:$A$1005,0)),"MISSING ID")</x:f>
        <x:v>T2</x:v>
      </x:c>
      <x:c r="G290" s="4" t="str">
        <x:f>IFERROR(INDEX('Items'!$D$6:$D$1005,MATCH(D290,'Items'!$A$6:$A$1005,0)),"MISSING ID")</x:f>
        <x:v>Manufactured stock</x:v>
      </x:c>
      <x:c r="H290" s="4" t="str">
        <x:f>IFERROR(INDEX('Items'!$X$6:$X$1005,MATCH(D290,'Items'!$A$6:$A$1005,0)),"MISSING ID")</x:f>
        <x:v>Processed material</x:v>
      </x:c>
      <x:c r="I290" s="4"/>
      <x:c r="J290" s="4" t="str">
        <x:v>Unspecified</x:v>
      </x:c>
      <x:c r="K290" s="4" t="str">
        <x:f>IFERROR(INDEX('Crafting recipes'!$D$6:$D$1005,MATCH(B290,'Crafting recipes'!$A$6:$A$1005,0)),"MISSING ID")</x:f>
        <x:v>Proposal</x:v>
      </x:c>
      <x:c r="L290" s="4" t="str">
        <x:f>IFERROR(INDEX('Items'!$AD$6:$AD$1005,MATCH(D290,'Items'!$A$6:$A$1005,0)),"MISSING ID")</x:f>
        <x:v>Proposal</x:v>
      </x:c>
      <x:c r="M290" s="4" t="str">
        <x:f>IFERROR(INDEX('Crafting recipes'!$E$6:$E$1005,MATCH(B290,'Crafting recipes'!$A$6:$A$1005,0)),"MISSING ID")</x:f>
        <x:v>Partial proposal</x:v>
      </x:c>
      <x:c r="N290" s="4" t="str">
        <x:v>Partial material route; no quantities, guarantees or accepted game recipe.</x:v>
      </x:c>
      <x:c r="O290" s="4" t="str">
        <x:v>New October 15 game brainstorming; current author request and Docs/WORLD_BASIS.md. Not retrieved source canon.</x:v>
      </x:c>
      <x:c r="P290" s="4" t="n">
        <x:f>IF(OR(C290="Ingredient candidate",C290="Consumed input",C290="Contained input",C290="Transform input"),IF(F290="T0",0,IF(F290="T1",1,IF(F290="T2",2,IF(F290="T3",3,IF(F290="T4",4,-1))))),-1)</x:f>
        <x:v>2</x:v>
      </x:c>
      <x:c r="Q290" s="4" t="n">
        <x:f>IF(AND(OR(C290="Ingredient candidate",C290="Consumed input",C290="Contained input",C290="Transform input"),P290=-1),1,0)</x:f>
        <x:v>0</x:v>
      </x:c>
    </x:row>
    <x:row r="291" ht="115" customHeight="1">
      <x:c r="A291" s="4" t="str">
        <x:v>design.t3.bearing_blank.in.2</x:v>
      </x:c>
      <x:c r="B291" s="4" t="str">
        <x:v>design.t3.bearing_blank</x:v>
      </x:c>
      <x:c r="C291" s="4" t="str">
        <x:v>Ingredient candidate</x:v>
      </x:c>
      <x:c r="D291" s="4" t="str">
        <x:v>proposal.natural.abrasive</x:v>
      </x:c>
      <x:c r="E291" s="4" t="str">
        <x:f>IFERROR(INDEX('Items'!$B$6:$B$1005,MATCH(D291,'Items'!$A$6:$A$1005,0)),"MISSING ID")</x:f>
        <x:v>Graded abrasive grit</x:v>
      </x:c>
      <x:c r="F291" s="4" t="str">
        <x:f>IFERROR(INDEX('Items'!$C$6:$C$1005,MATCH(D291,'Items'!$A$6:$A$1005,0)),"MISSING ID")</x:f>
        <x:v>T1</x:v>
      </x:c>
      <x:c r="G291" s="4" t="str">
        <x:f>IFERROR(INDEX('Items'!$D$6:$D$1005,MATCH(D291,'Items'!$A$6:$A$1005,0)),"MISSING ID")</x:f>
        <x:v>Manufactured stock</x:v>
      </x:c>
      <x:c r="H291" s="4" t="str">
        <x:f>IFERROR(INDEX('Items'!$X$6:$X$1005,MATCH(D291,'Items'!$A$6:$A$1005,0)),"MISSING ID")</x:f>
        <x:v>Processed material</x:v>
      </x:c>
      <x:c r="I291" s="4"/>
      <x:c r="J291" s="4" t="str">
        <x:v>Unspecified</x:v>
      </x:c>
      <x:c r="K291" s="4" t="str">
        <x:f>IFERROR(INDEX('Crafting recipes'!$D$6:$D$1005,MATCH(B291,'Crafting recipes'!$A$6:$A$1005,0)),"MISSING ID")</x:f>
        <x:v>Proposal</x:v>
      </x:c>
      <x:c r="L291" s="4" t="str">
        <x:f>IFERROR(INDEX('Items'!$AD$6:$AD$1005,MATCH(D291,'Items'!$A$6:$A$1005,0)),"MISSING ID")</x:f>
        <x:v>Proposal</x:v>
      </x:c>
      <x:c r="M291" s="4" t="str">
        <x:f>IFERROR(INDEX('Crafting recipes'!$E$6:$E$1005,MATCH(B291,'Crafting recipes'!$A$6:$A$1005,0)),"MISSING ID")</x:f>
        <x:v>Partial proposal</x:v>
      </x:c>
      <x:c r="N291" s="4" t="str">
        <x:v>Partial material route; no quantities, guarantees or accepted game recipe.</x:v>
      </x:c>
      <x:c r="O291" s="4" t="str">
        <x:v>New October 15 game brainstorming; current author request and Docs/WORLD_BASIS.md. Not retrieved source canon.</x:v>
      </x:c>
      <x:c r="P291" s="4" t="n">
        <x:f>IF(OR(C291="Ingredient candidate",C291="Consumed input",C291="Contained input",C291="Transform input"),IF(F291="T0",0,IF(F291="T1",1,IF(F291="T2",2,IF(F291="T3",3,IF(F291="T4",4,-1))))),-1)</x:f>
        <x:v>1</x:v>
      </x:c>
      <x:c r="Q291" s="4" t="n">
        <x:f>IF(AND(OR(C291="Ingredient candidate",C291="Consumed input",C291="Contained input",C291="Transform input"),P291=-1),1,0)</x:f>
        <x:v>0</x:v>
      </x:c>
    </x:row>
    <x:row r="292" ht="115" customHeight="1">
      <x:c r="A292" s="4" t="str">
        <x:v>design.t3.bearing_blank.out</x:v>
      </x:c>
      <x:c r="B292" s="4" t="str">
        <x:v>design.t3.bearing_blank</x:v>
      </x:c>
      <x:c r="C292" s="4" t="str">
        <x:v>Output</x:v>
      </x:c>
      <x:c r="D292" s="4" t="str">
        <x:v>proposal.t3.bearing_blank</x:v>
      </x:c>
      <x:c r="E292" s="4" t="str">
        <x:f>IFERROR(INDEX('Items'!$B$6:$B$1005,MATCH(D292,'Items'!$A$6:$A$1005,0)),"MISSING ID")</x:f>
        <x:v>Lapped bronze bearing blanks</x:v>
      </x:c>
      <x:c r="F292" s="4" t="str">
        <x:f>IFERROR(INDEX('Items'!$C$6:$C$1005,MATCH(D292,'Items'!$A$6:$A$1005,0)),"MISSING ID")</x:f>
        <x:v>T3</x:v>
      </x:c>
      <x:c r="G292" s="4" t="str">
        <x:f>IFERROR(INDEX('Items'!$D$6:$D$1005,MATCH(D292,'Items'!$A$6:$A$1005,0)),"MISSING ID")</x:f>
        <x:v>Crafting components</x:v>
      </x:c>
      <x:c r="H292" s="4" t="str">
        <x:f>IFERROR(INDEX('Items'!$X$6:$X$1005,MATCH(D292,'Items'!$A$6:$A$1005,0)),"MISSING ID")</x:f>
        <x:v>Crafting component</x:v>
      </x:c>
      <x:c r="I292" s="4"/>
      <x:c r="J292" s="4" t="str">
        <x:v>Unspecified</x:v>
      </x:c>
      <x:c r="K292" s="4" t="str">
        <x:f>IFERROR(INDEX('Crafting recipes'!$D$6:$D$1005,MATCH(B292,'Crafting recipes'!$A$6:$A$1005,0)),"MISSING ID")</x:f>
        <x:v>Proposal</x:v>
      </x:c>
      <x:c r="L292" s="4" t="str">
        <x:f>IFERROR(INDEX('Items'!$AD$6:$AD$1005,MATCH(D292,'Items'!$A$6:$A$1005,0)),"MISSING ID")</x:f>
        <x:v>Proposal</x:v>
      </x:c>
      <x:c r="M292" s="4" t="str">
        <x:f>IFERROR(INDEX('Crafting recipes'!$E$6:$E$1005,MATCH(B292,'Crafting recipes'!$A$6:$A$1005,0)),"MISSING ID")</x:f>
        <x:v>Partial proposal</x:v>
      </x:c>
      <x:c r="N292" s="4" t="str">
        <x:v>Partial material route; no quantities, guarantees or accepted game recipe.</x:v>
      </x:c>
      <x:c r="O292" s="4" t="str">
        <x:v>New October 15 game brainstorming; current author request and Docs/WORLD_BASIS.md. Not retrieved source canon.</x:v>
      </x:c>
      <x:c r="P292" s="4" t="n">
        <x:f>IF(OR(C292="Ingredient candidate",C292="Consumed input",C292="Contained input",C292="Transform input"),IF(F292="T0",0,IF(F292="T1",1,IF(F292="T2",2,IF(F292="T3",3,IF(F292="T4",4,-1))))),-1)</x:f>
        <x:v>-1</x:v>
      </x:c>
      <x:c r="Q292" s="4" t="n">
        <x:f>IF(AND(OR(C292="Ingredient candidate",C292="Consumed input",C292="Contained input",C292="Transform input"),P292=-1),1,0)</x:f>
        <x:v>0</x:v>
      </x:c>
    </x:row>
    <x:row r="293" ht="115" customHeight="1">
      <x:c r="A293" s="4" t="str">
        <x:v>design.t3.precision_tube.in.1</x:v>
      </x:c>
      <x:c r="B293" s="4" t="str">
        <x:v>design.t3.precision_tube</x:v>
      </x:c>
      <x:c r="C293" s="4" t="str">
        <x:v>Ingredient candidate</x:v>
      </x:c>
      <x:c r="D293" s="4" t="str">
        <x:v>author.metallurgy.steel_stock</x:v>
      </x:c>
      <x:c r="E293" s="4" t="str">
        <x:f>IFERROR(INDEX('Items'!$B$6:$B$1005,MATCH(D293,'Items'!$A$6:$A$1005,0)),"MISSING ID")</x:f>
        <x:v>Steel stock</x:v>
      </x:c>
      <x:c r="F293" s="4" t="str">
        <x:f>IFERROR(INDEX('Items'!$C$6:$C$1005,MATCH(D293,'Items'!$A$6:$A$1005,0)),"MISSING ID")</x:f>
        <x:v>T2</x:v>
      </x:c>
      <x:c r="G293" s="4" t="str">
        <x:f>IFERROR(INDEX('Items'!$D$6:$D$1005,MATCH(D293,'Items'!$A$6:$A$1005,0)),"MISSING ID")</x:f>
        <x:v>Manufactured stock</x:v>
      </x:c>
      <x:c r="H293" s="4" t="str">
        <x:f>IFERROR(INDEX('Items'!$X$6:$X$1005,MATCH(D293,'Items'!$A$6:$A$1005,0)),"MISSING ID")</x:f>
        <x:v>Processed material</x:v>
      </x:c>
      <x:c r="I293" s="4"/>
      <x:c r="J293" s="4" t="str">
        <x:v>Unspecified</x:v>
      </x:c>
      <x:c r="K293" s="4" t="str">
        <x:f>IFERROR(INDEX('Crafting recipes'!$D$6:$D$1005,MATCH(B293,'Crafting recipes'!$A$6:$A$1005,0)),"MISSING ID")</x:f>
        <x:v>Proposal</x:v>
      </x:c>
      <x:c r="L293" s="4" t="str">
        <x:f>IFERROR(INDEX('Items'!$AD$6:$AD$1005,MATCH(D293,'Items'!$A$6:$A$1005,0)),"MISSING ID")</x:f>
        <x:v>Author direction</x:v>
      </x:c>
      <x:c r="M293" s="4" t="str">
        <x:f>IFERROR(INDEX('Crafting recipes'!$E$6:$E$1005,MATCH(B293,'Crafting recipes'!$A$6:$A$1005,0)),"MISSING ID")</x:f>
        <x:v>Partial proposal</x:v>
      </x:c>
      <x:c r="N293" s="4" t="str">
        <x:v>Partial material route; no quantities, guarantees or accepted game recipe.</x:v>
      </x:c>
      <x:c r="O293" s="4" t="str">
        <x:v>New October 15 game brainstorming; current author request and Docs/WORLD_BASIS.md. Not retrieved source canon.</x:v>
      </x:c>
      <x:c r="P293" s="4" t="n">
        <x:f>IF(OR(C293="Ingredient candidate",C293="Consumed input",C293="Contained input",C293="Transform input"),IF(F293="T0",0,IF(F293="T1",1,IF(F293="T2",2,IF(F293="T3",3,IF(F293="T4",4,-1))))),-1)</x:f>
        <x:v>2</x:v>
      </x:c>
      <x:c r="Q293" s="4" t="n">
        <x:f>IF(AND(OR(C293="Ingredient candidate",C293="Consumed input",C293="Contained input",C293="Transform input"),P293=-1),1,0)</x:f>
        <x:v>0</x:v>
      </x:c>
    </x:row>
    <x:row r="294" ht="115" customHeight="1">
      <x:c r="A294" s="4" t="str">
        <x:v>design.t3.precision_tube.in.2</x:v>
      </x:c>
      <x:c r="B294" s="4" t="str">
        <x:v>design.t3.precision_tube</x:v>
      </x:c>
      <x:c r="C294" s="4" t="str">
        <x:v>Ingredient candidate</x:v>
      </x:c>
      <x:c r="D294" s="4" t="str">
        <x:v>proposal.lubricant.precision_oil</x:v>
      </x:c>
      <x:c r="E294" s="4" t="str">
        <x:f>IFERROR(INDEX('Items'!$B$6:$B$1005,MATCH(D294,'Items'!$A$6:$A$1005,0)),"MISSING ID")</x:f>
        <x:v>Fine mechanism oil</x:v>
      </x:c>
      <x:c r="F294" s="4" t="str">
        <x:f>IFERROR(INDEX('Items'!$C$6:$C$1005,MATCH(D294,'Items'!$A$6:$A$1005,0)),"MISSING ID")</x:f>
        <x:v>T2</x:v>
      </x:c>
      <x:c r="G294" s="4" t="str">
        <x:f>IFERROR(INDEX('Items'!$D$6:$D$1005,MATCH(D294,'Items'!$A$6:$A$1005,0)),"MISSING ID")</x:f>
        <x:v>Crafting components</x:v>
      </x:c>
      <x:c r="H294" s="4" t="str">
        <x:f>IFERROR(INDEX('Items'!$X$6:$X$1005,MATCH(D294,'Items'!$A$6:$A$1005,0)),"MISSING ID")</x:f>
        <x:v>Chemical material</x:v>
      </x:c>
      <x:c r="I294" s="4"/>
      <x:c r="J294" s="4" t="str">
        <x:v>Unspecified</x:v>
      </x:c>
      <x:c r="K294" s="4" t="str">
        <x:f>IFERROR(INDEX('Crafting recipes'!$D$6:$D$1005,MATCH(B294,'Crafting recipes'!$A$6:$A$1005,0)),"MISSING ID")</x:f>
        <x:v>Proposal</x:v>
      </x:c>
      <x:c r="L294" s="4" t="str">
        <x:f>IFERROR(INDEX('Items'!$AD$6:$AD$1005,MATCH(D294,'Items'!$A$6:$A$1005,0)),"MISSING ID")</x:f>
        <x:v>Proposal</x:v>
      </x:c>
      <x:c r="M294" s="4" t="str">
        <x:f>IFERROR(INDEX('Crafting recipes'!$E$6:$E$1005,MATCH(B294,'Crafting recipes'!$A$6:$A$1005,0)),"MISSING ID")</x:f>
        <x:v>Partial proposal</x:v>
      </x:c>
      <x:c r="N294" s="4" t="str">
        <x:v>Partial material route; no quantities, guarantees or accepted game recipe.</x:v>
      </x:c>
      <x:c r="O294" s="4" t="str">
        <x:v>New October 15 game brainstorming; current author request and Docs/WORLD_BASIS.md. Not retrieved source canon.</x:v>
      </x:c>
      <x:c r="P294" s="4" t="n">
        <x:f>IF(OR(C294="Ingredient candidate",C294="Consumed input",C294="Contained input",C294="Transform input"),IF(F294="T0",0,IF(F294="T1",1,IF(F294="T2",2,IF(F294="T3",3,IF(F294="T4",4,-1))))),-1)</x:f>
        <x:v>2</x:v>
      </x:c>
      <x:c r="Q294" s="4" t="n">
        <x:f>IF(AND(OR(C294="Ingredient candidate",C294="Consumed input",C294="Contained input",C294="Transform input"),P294=-1),1,0)</x:f>
        <x:v>0</x:v>
      </x:c>
    </x:row>
    <x:row r="295" ht="115" customHeight="1">
      <x:c r="A295" s="4" t="str">
        <x:v>design.t3.precision_tube.out</x:v>
      </x:c>
      <x:c r="B295" s="4" t="str">
        <x:v>design.t3.precision_tube</x:v>
      </x:c>
      <x:c r="C295" s="4" t="str">
        <x:v>Output</x:v>
      </x:c>
      <x:c r="D295" s="4" t="str">
        <x:v>proposal.t3.precision_tube</x:v>
      </x:c>
      <x:c r="E295" s="4" t="str">
        <x:f>IFERROR(INDEX('Items'!$B$6:$B$1005,MATCH(D295,'Items'!$A$6:$A$1005,0)),"MISSING ID")</x:f>
        <x:v>Drawn steel tube stock</x:v>
      </x:c>
      <x:c r="F295" s="4" t="str">
        <x:f>IFERROR(INDEX('Items'!$C$6:$C$1005,MATCH(D295,'Items'!$A$6:$A$1005,0)),"MISSING ID")</x:f>
        <x:v>T3</x:v>
      </x:c>
      <x:c r="G295" s="4" t="str">
        <x:f>IFERROR(INDEX('Items'!$D$6:$D$1005,MATCH(D295,'Items'!$A$6:$A$1005,0)),"MISSING ID")</x:f>
        <x:v>Manufactured stock</x:v>
      </x:c>
      <x:c r="H295" s="4" t="str">
        <x:f>IFERROR(INDEX('Items'!$X$6:$X$1005,MATCH(D295,'Items'!$A$6:$A$1005,0)),"MISSING ID")</x:f>
        <x:v>Processed material</x:v>
      </x:c>
      <x:c r="I295" s="4"/>
      <x:c r="J295" s="4" t="str">
        <x:v>Unspecified</x:v>
      </x:c>
      <x:c r="K295" s="4" t="str">
        <x:f>IFERROR(INDEX('Crafting recipes'!$D$6:$D$1005,MATCH(B295,'Crafting recipes'!$A$6:$A$1005,0)),"MISSING ID")</x:f>
        <x:v>Proposal</x:v>
      </x:c>
      <x:c r="L295" s="4" t="str">
        <x:f>IFERROR(INDEX('Items'!$AD$6:$AD$1005,MATCH(D295,'Items'!$A$6:$A$1005,0)),"MISSING ID")</x:f>
        <x:v>Proposal</x:v>
      </x:c>
      <x:c r="M295" s="4" t="str">
        <x:f>IFERROR(INDEX('Crafting recipes'!$E$6:$E$1005,MATCH(B295,'Crafting recipes'!$A$6:$A$1005,0)),"MISSING ID")</x:f>
        <x:v>Partial proposal</x:v>
      </x:c>
      <x:c r="N295" s="4" t="str">
        <x:v>Partial material route; no quantities, guarantees or accepted game recipe.</x:v>
      </x:c>
      <x:c r="O295" s="4" t="str">
        <x:v>New October 15 game brainstorming; current author request and Docs/WORLD_BASIS.md. Not retrieved source canon.</x:v>
      </x:c>
      <x:c r="P295" s="4" t="n">
        <x:f>IF(OR(C295="Ingredient candidate",C295="Consumed input",C295="Contained input",C295="Transform input"),IF(F295="T0",0,IF(F295="T1",1,IF(F295="T2",2,IF(F295="T3",3,IF(F295="T4",4,-1))))),-1)</x:f>
        <x:v>-1</x:v>
      </x:c>
      <x:c r="Q295" s="4" t="n">
        <x:f>IF(AND(OR(C295="Ingredient candidate",C295="Consumed input",C295="Contained input",C295="Transform input"),P295=-1),1,0)</x:f>
        <x:v>0</x:v>
      </x:c>
    </x:row>
    <x:row r="296" ht="115" customHeight="1">
      <x:c r="A296" s="4" t="str">
        <x:v>design.t3.grounding_braid.in.1</x:v>
      </x:c>
      <x:c r="B296" s="4" t="str">
        <x:v>design.t3.grounding_braid</x:v>
      </x:c>
      <x:c r="C296" s="4" t="str">
        <x:v>Ingredient candidate</x:v>
      </x:c>
      <x:c r="D296" s="4" t="str">
        <x:v>proposal.branch.drawn_copper</x:v>
      </x:c>
      <x:c r="E296" s="4" t="str">
        <x:f>IFERROR(INDEX('Items'!$B$6:$B$1005,MATCH(D296,'Items'!$A$6:$A$1005,0)),"MISSING ID")</x:f>
        <x:v>Drawn copper stock</x:v>
      </x:c>
      <x:c r="F296" s="4" t="str">
        <x:f>IFERROR(INDEX('Items'!$C$6:$C$1005,MATCH(D296,'Items'!$A$6:$A$1005,0)),"MISSING ID")</x:f>
        <x:v>T2</x:v>
      </x:c>
      <x:c r="G296" s="4" t="str">
        <x:f>IFERROR(INDEX('Items'!$D$6:$D$1005,MATCH(D296,'Items'!$A$6:$A$1005,0)),"MISSING ID")</x:f>
        <x:v>Manufactured stock</x:v>
      </x:c>
      <x:c r="H296" s="4" t="str">
        <x:f>IFERROR(INDEX('Items'!$X$6:$X$1005,MATCH(D296,'Items'!$A$6:$A$1005,0)),"MISSING ID")</x:f>
        <x:v>Processed material</x:v>
      </x:c>
      <x:c r="I296" s="4"/>
      <x:c r="J296" s="4" t="str">
        <x:v>Unspecified</x:v>
      </x:c>
      <x:c r="K296" s="4" t="str">
        <x:f>IFERROR(INDEX('Crafting recipes'!$D$6:$D$1005,MATCH(B296,'Crafting recipes'!$A$6:$A$1005,0)),"MISSING ID")</x:f>
        <x:v>Proposal</x:v>
      </x:c>
      <x:c r="L296" s="4" t="str">
        <x:f>IFERROR(INDEX('Items'!$AD$6:$AD$1005,MATCH(D296,'Items'!$A$6:$A$1005,0)),"MISSING ID")</x:f>
        <x:v>Proposal</x:v>
      </x:c>
      <x:c r="M296" s="4" t="str">
        <x:f>IFERROR(INDEX('Crafting recipes'!$E$6:$E$1005,MATCH(B296,'Crafting recipes'!$A$6:$A$1005,0)),"MISSING ID")</x:f>
        <x:v>Partial proposal</x:v>
      </x:c>
      <x:c r="N296" s="4" t="str">
        <x:v>Partial material route; no quantities, guarantees or accepted game recipe.</x:v>
      </x:c>
      <x:c r="O296" s="4" t="str">
        <x:v>New October 15 game brainstorming; current author request and Docs/WORLD_BASIS.md. Not retrieved source canon.</x:v>
      </x:c>
      <x:c r="P296" s="4" t="n">
        <x:f>IF(OR(C296="Ingredient candidate",C296="Consumed input",C296="Contained input",C296="Transform input"),IF(F296="T0",0,IF(F296="T1",1,IF(F296="T2",2,IF(F296="T3",3,IF(F296="T4",4,-1))))),-1)</x:f>
        <x:v>2</x:v>
      </x:c>
      <x:c r="Q296" s="4" t="n">
        <x:f>IF(AND(OR(C296="Ingredient candidate",C296="Consumed input",C296="Contained input",C296="Transform input"),P296=-1),1,0)</x:f>
        <x:v>0</x:v>
      </x:c>
    </x:row>
    <x:row r="297" ht="115" customHeight="1">
      <x:c r="A297" s="4" t="str">
        <x:v>design.t3.grounding_braid.out</x:v>
      </x:c>
      <x:c r="B297" s="4" t="str">
        <x:v>design.t3.grounding_braid</x:v>
      </x:c>
      <x:c r="C297" s="4" t="str">
        <x:v>Output</x:v>
      </x:c>
      <x:c r="D297" s="4" t="str">
        <x:v>proposal.t3.grounding_braid</x:v>
      </x:c>
      <x:c r="E297" s="4" t="str">
        <x:f>IFERROR(INDEX('Items'!$B$6:$B$1005,MATCH(D297,'Items'!$A$6:$A$1005,0)),"MISSING ID")</x:f>
        <x:v>Braided copper grounding stock</x:v>
      </x:c>
      <x:c r="F297" s="4" t="str">
        <x:f>IFERROR(INDEX('Items'!$C$6:$C$1005,MATCH(D297,'Items'!$A$6:$A$1005,0)),"MISSING ID")</x:f>
        <x:v>T3</x:v>
      </x:c>
      <x:c r="G297" s="4" t="str">
        <x:f>IFERROR(INDEX('Items'!$D$6:$D$1005,MATCH(D297,'Items'!$A$6:$A$1005,0)),"MISSING ID")</x:f>
        <x:v>Manufactured stock</x:v>
      </x:c>
      <x:c r="H297" s="4" t="str">
        <x:f>IFERROR(INDEX('Items'!$X$6:$X$1005,MATCH(D297,'Items'!$A$6:$A$1005,0)),"MISSING ID")</x:f>
        <x:v>Processed material</x:v>
      </x:c>
      <x:c r="I297" s="4"/>
      <x:c r="J297" s="4" t="str">
        <x:v>Unspecified</x:v>
      </x:c>
      <x:c r="K297" s="4" t="str">
        <x:f>IFERROR(INDEX('Crafting recipes'!$D$6:$D$1005,MATCH(B297,'Crafting recipes'!$A$6:$A$1005,0)),"MISSING ID")</x:f>
        <x:v>Proposal</x:v>
      </x:c>
      <x:c r="L297" s="4" t="str">
        <x:f>IFERROR(INDEX('Items'!$AD$6:$AD$1005,MATCH(D297,'Items'!$A$6:$A$1005,0)),"MISSING ID")</x:f>
        <x:v>Proposal</x:v>
      </x:c>
      <x:c r="M297" s="4" t="str">
        <x:f>IFERROR(INDEX('Crafting recipes'!$E$6:$E$1005,MATCH(B297,'Crafting recipes'!$A$6:$A$1005,0)),"MISSING ID")</x:f>
        <x:v>Partial proposal</x:v>
      </x:c>
      <x:c r="N297" s="4" t="str">
        <x:v>Partial material route; no quantities, guarantees or accepted game recipe.</x:v>
      </x:c>
      <x:c r="O297" s="4" t="str">
        <x:v>New October 15 game brainstorming; current author request and Docs/WORLD_BASIS.md. Not retrieved source canon.</x:v>
      </x:c>
      <x:c r="P297" s="4" t="n">
        <x:f>IF(OR(C297="Ingredient candidate",C297="Consumed input",C297="Contained input",C297="Transform input"),IF(F297="T0",0,IF(F297="T1",1,IF(F297="T2",2,IF(F297="T3",3,IF(F297="T4",4,-1))))),-1)</x:f>
        <x:v>-1</x:v>
      </x:c>
      <x:c r="Q297" s="4" t="n">
        <x:f>IF(AND(OR(C297="Ingredient candidate",C297="Consumed input",C297="Contained input",C297="Transform input"),P297=-1),1,0)</x:f>
        <x:v>0</x:v>
      </x:c>
    </x:row>
    <x:row r="298" ht="115" customHeight="1">
      <x:c r="A298" s="4" t="str">
        <x:v>design.t3.wound_coil.in.1</x:v>
      </x:c>
      <x:c r="B298" s="4" t="str">
        <x:v>design.t3.wound_coil</x:v>
      </x:c>
      <x:c r="C298" s="4" t="str">
        <x:v>Ingredient candidate</x:v>
      </x:c>
      <x:c r="D298" s="4" t="str">
        <x:v>proposal.branch.drawn_copper</x:v>
      </x:c>
      <x:c r="E298" s="4" t="str">
        <x:f>IFERROR(INDEX('Items'!$B$6:$B$1005,MATCH(D298,'Items'!$A$6:$A$1005,0)),"MISSING ID")</x:f>
        <x:v>Drawn copper stock</x:v>
      </x:c>
      <x:c r="F298" s="4" t="str">
        <x:f>IFERROR(INDEX('Items'!$C$6:$C$1005,MATCH(D298,'Items'!$A$6:$A$1005,0)),"MISSING ID")</x:f>
        <x:v>T2</x:v>
      </x:c>
      <x:c r="G298" s="4" t="str">
        <x:f>IFERROR(INDEX('Items'!$D$6:$D$1005,MATCH(D298,'Items'!$A$6:$A$1005,0)),"MISSING ID")</x:f>
        <x:v>Manufactured stock</x:v>
      </x:c>
      <x:c r="H298" s="4" t="str">
        <x:f>IFERROR(INDEX('Items'!$X$6:$X$1005,MATCH(D298,'Items'!$A$6:$A$1005,0)),"MISSING ID")</x:f>
        <x:v>Processed material</x:v>
      </x:c>
      <x:c r="I298" s="4"/>
      <x:c r="J298" s="4" t="str">
        <x:v>Unspecified</x:v>
      </x:c>
      <x:c r="K298" s="4" t="str">
        <x:f>IFERROR(INDEX('Crafting recipes'!$D$6:$D$1005,MATCH(B298,'Crafting recipes'!$A$6:$A$1005,0)),"MISSING ID")</x:f>
        <x:v>Proposal</x:v>
      </x:c>
      <x:c r="L298" s="4" t="str">
        <x:f>IFERROR(INDEX('Items'!$AD$6:$AD$1005,MATCH(D298,'Items'!$A$6:$A$1005,0)),"MISSING ID")</x:f>
        <x:v>Proposal</x:v>
      </x:c>
      <x:c r="M298" s="4" t="str">
        <x:f>IFERROR(INDEX('Crafting recipes'!$E$6:$E$1005,MATCH(B298,'Crafting recipes'!$A$6:$A$1005,0)),"MISSING ID")</x:f>
        <x:v>Partial proposal</x:v>
      </x:c>
      <x:c r="N298" s="4" t="str">
        <x:v>Partial material route; no quantities, guarantees or accepted game recipe.</x:v>
      </x:c>
      <x:c r="O298" s="4" t="str">
        <x:v>New October 15 game brainstorming; current author request and Docs/WORLD_BASIS.md. Not retrieved source canon.</x:v>
      </x:c>
      <x:c r="P298" s="4" t="n">
        <x:f>IF(OR(C298="Ingredient candidate",C298="Consumed input",C298="Contained input",C298="Transform input"),IF(F298="T0",0,IF(F298="T1",1,IF(F298="T2",2,IF(F298="T3",3,IF(F298="T4",4,-1))))),-1)</x:f>
        <x:v>2</x:v>
      </x:c>
      <x:c r="Q298" s="4" t="n">
        <x:f>IF(AND(OR(C298="Ingredient candidate",C298="Consumed input",C298="Contained input",C298="Transform input"),P298=-1),1,0)</x:f>
        <x:v>0</x:v>
      </x:c>
    </x:row>
    <x:row r="299" ht="115" customHeight="1">
      <x:c r="A299" s="4" t="str">
        <x:v>design.t3.wound_coil.in.2</x:v>
      </x:c>
      <x:c r="B299" s="4" t="str">
        <x:v>design.t3.wound_coil</x:v>
      </x:c>
      <x:c r="C299" s="4" t="str">
        <x:v>Ingredient candidate</x:v>
      </x:c>
      <x:c r="D299" s="4" t="str">
        <x:v>proposal.natural.ceramic</x:v>
      </x:c>
      <x:c r="E299" s="4" t="str">
        <x:f>IFERROR(INDEX('Items'!$B$6:$B$1005,MATCH(D299,'Items'!$A$6:$A$1005,0)),"MISSING ID")</x:f>
        <x:v>Insulating ceramic blanks</x:v>
      </x:c>
      <x:c r="F299" s="4" t="str">
        <x:f>IFERROR(INDEX('Items'!$C$6:$C$1005,MATCH(D299,'Items'!$A$6:$A$1005,0)),"MISSING ID")</x:f>
        <x:v>T2</x:v>
      </x:c>
      <x:c r="G299" s="4" t="str">
        <x:f>IFERROR(INDEX('Items'!$D$6:$D$1005,MATCH(D299,'Items'!$A$6:$A$1005,0)),"MISSING ID")</x:f>
        <x:v>Manufactured stock</x:v>
      </x:c>
      <x:c r="H299" s="4" t="str">
        <x:f>IFERROR(INDEX('Items'!$X$6:$X$1005,MATCH(D299,'Items'!$A$6:$A$1005,0)),"MISSING ID")</x:f>
        <x:v>Processed material</x:v>
      </x:c>
      <x:c r="I299" s="4"/>
      <x:c r="J299" s="4" t="str">
        <x:v>Unspecified</x:v>
      </x:c>
      <x:c r="K299" s="4" t="str">
        <x:f>IFERROR(INDEX('Crafting recipes'!$D$6:$D$1005,MATCH(B299,'Crafting recipes'!$A$6:$A$1005,0)),"MISSING ID")</x:f>
        <x:v>Proposal</x:v>
      </x:c>
      <x:c r="L299" s="4" t="str">
        <x:f>IFERROR(INDEX('Items'!$AD$6:$AD$1005,MATCH(D299,'Items'!$A$6:$A$1005,0)),"MISSING ID")</x:f>
        <x:v>Proposal</x:v>
      </x:c>
      <x:c r="M299" s="4" t="str">
        <x:f>IFERROR(INDEX('Crafting recipes'!$E$6:$E$1005,MATCH(B299,'Crafting recipes'!$A$6:$A$1005,0)),"MISSING ID")</x:f>
        <x:v>Partial proposal</x:v>
      </x:c>
      <x:c r="N299" s="4" t="str">
        <x:v>Partial material route; no quantities, guarantees or accepted game recipe.</x:v>
      </x:c>
      <x:c r="O299" s="4" t="str">
        <x:v>New October 15 game brainstorming; current author request and Docs/WORLD_BASIS.md. Not retrieved source canon.</x:v>
      </x:c>
      <x:c r="P299" s="4" t="n">
        <x:f>IF(OR(C299="Ingredient candidate",C299="Consumed input",C299="Contained input",C299="Transform input"),IF(F299="T0",0,IF(F299="T1",1,IF(F299="T2",2,IF(F299="T3",3,IF(F299="T4",4,-1))))),-1)</x:f>
        <x:v>2</x:v>
      </x:c>
      <x:c r="Q299" s="4" t="n">
        <x:f>IF(AND(OR(C299="Ingredient candidate",C299="Consumed input",C299="Contained input",C299="Transform input"),P299=-1),1,0)</x:f>
        <x:v>0</x:v>
      </x:c>
    </x:row>
    <x:row r="300" ht="115" customHeight="1">
      <x:c r="A300" s="4" t="str">
        <x:v>design.t3.wound_coil.out</x:v>
      </x:c>
      <x:c r="B300" s="4" t="str">
        <x:v>design.t3.wound_coil</x:v>
      </x:c>
      <x:c r="C300" s="4" t="str">
        <x:v>Output</x:v>
      </x:c>
      <x:c r="D300" s="4" t="str">
        <x:v>proposal.t3.wound_coil</x:v>
      </x:c>
      <x:c r="E300" s="4" t="str">
        <x:f>IFERROR(INDEX('Items'!$B$6:$B$1005,MATCH(D300,'Items'!$A$6:$A$1005,0)),"MISSING ID")</x:f>
        <x:v>Wound copper coil blanks</x:v>
      </x:c>
      <x:c r="F300" s="4" t="str">
        <x:f>IFERROR(INDEX('Items'!$C$6:$C$1005,MATCH(D300,'Items'!$A$6:$A$1005,0)),"MISSING ID")</x:f>
        <x:v>T3</x:v>
      </x:c>
      <x:c r="G300" s="4" t="str">
        <x:f>IFERROR(INDEX('Items'!$D$6:$D$1005,MATCH(D300,'Items'!$A$6:$A$1005,0)),"MISSING ID")</x:f>
        <x:v>Crafting components</x:v>
      </x:c>
      <x:c r="H300" s="4" t="str">
        <x:f>IFERROR(INDEX('Items'!$X$6:$X$1005,MATCH(D300,'Items'!$A$6:$A$1005,0)),"MISSING ID")</x:f>
        <x:v>Crafting component</x:v>
      </x:c>
      <x:c r="I300" s="4"/>
      <x:c r="J300" s="4" t="str">
        <x:v>Unspecified</x:v>
      </x:c>
      <x:c r="K300" s="4" t="str">
        <x:f>IFERROR(INDEX('Crafting recipes'!$D$6:$D$1005,MATCH(B300,'Crafting recipes'!$A$6:$A$1005,0)),"MISSING ID")</x:f>
        <x:v>Proposal</x:v>
      </x:c>
      <x:c r="L300" s="4" t="str">
        <x:f>IFERROR(INDEX('Items'!$AD$6:$AD$1005,MATCH(D300,'Items'!$A$6:$A$1005,0)),"MISSING ID")</x:f>
        <x:v>Proposal</x:v>
      </x:c>
      <x:c r="M300" s="4" t="str">
        <x:f>IFERROR(INDEX('Crafting recipes'!$E$6:$E$1005,MATCH(B300,'Crafting recipes'!$A$6:$A$1005,0)),"MISSING ID")</x:f>
        <x:v>Partial proposal</x:v>
      </x:c>
      <x:c r="N300" s="4" t="str">
        <x:v>Partial material route; no quantities, guarantees or accepted game recipe.</x:v>
      </x:c>
      <x:c r="O300" s="4" t="str">
        <x:v>New October 15 game brainstorming; current author request and Docs/WORLD_BASIS.md. Not retrieved source canon.</x:v>
      </x:c>
      <x:c r="P300" s="4" t="n">
        <x:f>IF(OR(C300="Ingredient candidate",C300="Consumed input",C300="Contained input",C300="Transform input"),IF(F300="T0",0,IF(F300="T1",1,IF(F300="T2",2,IF(F300="T3",3,IF(F300="T4",4,-1))))),-1)</x:f>
        <x:v>-1</x:v>
      </x:c>
      <x:c r="Q300" s="4" t="n">
        <x:f>IF(AND(OR(C300="Ingredient candidate",C300="Consumed input",C300="Contained input",C300="Transform input"),P300=-1),1,0)</x:f>
        <x:v>0</x:v>
      </x:c>
    </x:row>
    <x:row r="301" ht="115" customHeight="1">
      <x:c r="A301" s="4" t="str">
        <x:v>design.t3.copper_mesh.in.1</x:v>
      </x:c>
      <x:c r="B301" s="4" t="str">
        <x:v>design.t3.copper_mesh</x:v>
      </x:c>
      <x:c r="C301" s="4" t="str">
        <x:v>Ingredient candidate</x:v>
      </x:c>
      <x:c r="D301" s="4" t="str">
        <x:v>proposal.branch.drawn_copper</x:v>
      </x:c>
      <x:c r="E301" s="4" t="str">
        <x:f>IFERROR(INDEX('Items'!$B$6:$B$1005,MATCH(D301,'Items'!$A$6:$A$1005,0)),"MISSING ID")</x:f>
        <x:v>Drawn copper stock</x:v>
      </x:c>
      <x:c r="F301" s="4" t="str">
        <x:f>IFERROR(INDEX('Items'!$C$6:$C$1005,MATCH(D301,'Items'!$A$6:$A$1005,0)),"MISSING ID")</x:f>
        <x:v>T2</x:v>
      </x:c>
      <x:c r="G301" s="4" t="str">
        <x:f>IFERROR(INDEX('Items'!$D$6:$D$1005,MATCH(D301,'Items'!$A$6:$A$1005,0)),"MISSING ID")</x:f>
        <x:v>Manufactured stock</x:v>
      </x:c>
      <x:c r="H301" s="4" t="str">
        <x:f>IFERROR(INDEX('Items'!$X$6:$X$1005,MATCH(D301,'Items'!$A$6:$A$1005,0)),"MISSING ID")</x:f>
        <x:v>Processed material</x:v>
      </x:c>
      <x:c r="I301" s="4"/>
      <x:c r="J301" s="4" t="str">
        <x:v>Unspecified</x:v>
      </x:c>
      <x:c r="K301" s="4" t="str">
        <x:f>IFERROR(INDEX('Crafting recipes'!$D$6:$D$1005,MATCH(B301,'Crafting recipes'!$A$6:$A$1005,0)),"MISSING ID")</x:f>
        <x:v>Proposal</x:v>
      </x:c>
      <x:c r="L301" s="4" t="str">
        <x:f>IFERROR(INDEX('Items'!$AD$6:$AD$1005,MATCH(D301,'Items'!$A$6:$A$1005,0)),"MISSING ID")</x:f>
        <x:v>Proposal</x:v>
      </x:c>
      <x:c r="M301" s="4" t="str">
        <x:f>IFERROR(INDEX('Crafting recipes'!$E$6:$E$1005,MATCH(B301,'Crafting recipes'!$A$6:$A$1005,0)),"MISSING ID")</x:f>
        <x:v>Partial proposal</x:v>
      </x:c>
      <x:c r="N301" s="4" t="str">
        <x:v>Partial material route; no quantities, guarantees or accepted game recipe.</x:v>
      </x:c>
      <x:c r="O301" s="4" t="str">
        <x:v>New October 15 game brainstorming; current author request and Docs/WORLD_BASIS.md. Not retrieved source canon.</x:v>
      </x:c>
      <x:c r="P301" s="4" t="n">
        <x:f>IF(OR(C301="Ingredient candidate",C301="Consumed input",C301="Contained input",C301="Transform input"),IF(F301="T0",0,IF(F301="T1",1,IF(F301="T2",2,IF(F301="T3",3,IF(F301="T4",4,-1))))),-1)</x:f>
        <x:v>2</x:v>
      </x:c>
      <x:c r="Q301" s="4" t="n">
        <x:f>IF(AND(OR(C301="Ingredient candidate",C301="Consumed input",C301="Contained input",C301="Transform input"),P301=-1),1,0)</x:f>
        <x:v>0</x:v>
      </x:c>
    </x:row>
    <x:row r="302" ht="115" customHeight="1">
      <x:c r="A302" s="4" t="str">
        <x:v>design.t3.copper_mesh.out</x:v>
      </x:c>
      <x:c r="B302" s="4" t="str">
        <x:v>design.t3.copper_mesh</x:v>
      </x:c>
      <x:c r="C302" s="4" t="str">
        <x:v>Output</x:v>
      </x:c>
      <x:c r="D302" s="4" t="str">
        <x:v>proposal.t3.copper_mesh</x:v>
      </x:c>
      <x:c r="E302" s="4" t="str">
        <x:f>IFERROR(INDEX('Items'!$B$6:$B$1005,MATCH(D302,'Items'!$A$6:$A$1005,0)),"MISSING ID")</x:f>
        <x:v>Woven copper mesh stock</x:v>
      </x:c>
      <x:c r="F302" s="4" t="str">
        <x:f>IFERROR(INDEX('Items'!$C$6:$C$1005,MATCH(D302,'Items'!$A$6:$A$1005,0)),"MISSING ID")</x:f>
        <x:v>T3</x:v>
      </x:c>
      <x:c r="G302" s="4" t="str">
        <x:f>IFERROR(INDEX('Items'!$D$6:$D$1005,MATCH(D302,'Items'!$A$6:$A$1005,0)),"MISSING ID")</x:f>
        <x:v>Manufactured stock</x:v>
      </x:c>
      <x:c r="H302" s="4" t="str">
        <x:f>IFERROR(INDEX('Items'!$X$6:$X$1005,MATCH(D302,'Items'!$A$6:$A$1005,0)),"MISSING ID")</x:f>
        <x:v>Processed material</x:v>
      </x:c>
      <x:c r="I302" s="4"/>
      <x:c r="J302" s="4" t="str">
        <x:v>Unspecified</x:v>
      </x:c>
      <x:c r="K302" s="4" t="str">
        <x:f>IFERROR(INDEX('Crafting recipes'!$D$6:$D$1005,MATCH(B302,'Crafting recipes'!$A$6:$A$1005,0)),"MISSING ID")</x:f>
        <x:v>Proposal</x:v>
      </x:c>
      <x:c r="L302" s="4" t="str">
        <x:f>IFERROR(INDEX('Items'!$AD$6:$AD$1005,MATCH(D302,'Items'!$A$6:$A$1005,0)),"MISSING ID")</x:f>
        <x:v>Proposal</x:v>
      </x:c>
      <x:c r="M302" s="4" t="str">
        <x:f>IFERROR(INDEX('Crafting recipes'!$E$6:$E$1005,MATCH(B302,'Crafting recipes'!$A$6:$A$1005,0)),"MISSING ID")</x:f>
        <x:v>Partial proposal</x:v>
      </x:c>
      <x:c r="N302" s="4" t="str">
        <x:v>Partial material route; no quantities, guarantees or accepted game recipe.</x:v>
      </x:c>
      <x:c r="O302" s="4" t="str">
        <x:v>New October 15 game brainstorming; current author request and Docs/WORLD_BASIS.md. Not retrieved source canon.</x:v>
      </x:c>
      <x:c r="P302" s="4" t="n">
        <x:f>IF(OR(C302="Ingredient candidate",C302="Consumed input",C302="Contained input",C302="Transform input"),IF(F302="T0",0,IF(F302="T1",1,IF(F302="T2",2,IF(F302="T3",3,IF(F302="T4",4,-1))))),-1)</x:f>
        <x:v>-1</x:v>
      </x:c>
      <x:c r="Q302" s="4" t="n">
        <x:f>IF(AND(OR(C302="Ingredient candidate",C302="Consumed input",C302="Contained input",C302="Transform input"),P302=-1),1,0)</x:f>
        <x:v>0</x:v>
      </x:c>
    </x:row>
    <x:row r="303" ht="115" customHeight="1">
      <x:c r="A303" s="4" t="str">
        <x:v>design.t3.contact_mount.in.1</x:v>
      </x:c>
      <x:c r="B303" s="4" t="str">
        <x:v>design.t3.contact_mount</x:v>
      </x:c>
      <x:c r="C303" s="4" t="str">
        <x:v>Ingredient candidate</x:v>
      </x:c>
      <x:c r="D303" s="4" t="str">
        <x:v>proposal.natural.ceramic</x:v>
      </x:c>
      <x:c r="E303" s="4" t="str">
        <x:f>IFERROR(INDEX('Items'!$B$6:$B$1005,MATCH(D303,'Items'!$A$6:$A$1005,0)),"MISSING ID")</x:f>
        <x:v>Insulating ceramic blanks</x:v>
      </x:c>
      <x:c r="F303" s="4" t="str">
        <x:f>IFERROR(INDEX('Items'!$C$6:$C$1005,MATCH(D303,'Items'!$A$6:$A$1005,0)),"MISSING ID")</x:f>
        <x:v>T2</x:v>
      </x:c>
      <x:c r="G303" s="4" t="str">
        <x:f>IFERROR(INDEX('Items'!$D$6:$D$1005,MATCH(D303,'Items'!$A$6:$A$1005,0)),"MISSING ID")</x:f>
        <x:v>Manufactured stock</x:v>
      </x:c>
      <x:c r="H303" s="4" t="str">
        <x:f>IFERROR(INDEX('Items'!$X$6:$X$1005,MATCH(D303,'Items'!$A$6:$A$1005,0)),"MISSING ID")</x:f>
        <x:v>Processed material</x:v>
      </x:c>
      <x:c r="I303" s="4"/>
      <x:c r="J303" s="4" t="str">
        <x:v>Unspecified</x:v>
      </x:c>
      <x:c r="K303" s="4" t="str">
        <x:f>IFERROR(INDEX('Crafting recipes'!$D$6:$D$1005,MATCH(B303,'Crafting recipes'!$A$6:$A$1005,0)),"MISSING ID")</x:f>
        <x:v>Proposal</x:v>
      </x:c>
      <x:c r="L303" s="4" t="str">
        <x:f>IFERROR(INDEX('Items'!$AD$6:$AD$1005,MATCH(D303,'Items'!$A$6:$A$1005,0)),"MISSING ID")</x:f>
        <x:v>Proposal</x:v>
      </x:c>
      <x:c r="M303" s="4" t="str">
        <x:f>IFERROR(INDEX('Crafting recipes'!$E$6:$E$1005,MATCH(B303,'Crafting recipes'!$A$6:$A$1005,0)),"MISSING ID")</x:f>
        <x:v>Partial proposal</x:v>
      </x:c>
      <x:c r="N303" s="4" t="str">
        <x:v>Partial material route; no quantities, guarantees or accepted game recipe.</x:v>
      </x:c>
      <x:c r="O303" s="4" t="str">
        <x:v>New October 15 game brainstorming; current author request and Docs/WORLD_BASIS.md. Not retrieved source canon.</x:v>
      </x:c>
      <x:c r="P303" s="4" t="n">
        <x:f>IF(OR(C303="Ingredient candidate",C303="Consumed input",C303="Contained input",C303="Transform input"),IF(F303="T0",0,IF(F303="T1",1,IF(F303="T2",2,IF(F303="T3",3,IF(F303="T4",4,-1))))),-1)</x:f>
        <x:v>2</x:v>
      </x:c>
      <x:c r="Q303" s="4" t="n">
        <x:f>IF(AND(OR(C303="Ingredient candidate",C303="Consumed input",C303="Contained input",C303="Transform input"),P303=-1),1,0)</x:f>
        <x:v>0</x:v>
      </x:c>
    </x:row>
    <x:row r="304" ht="115" customHeight="1">
      <x:c r="A304" s="4" t="str">
        <x:v>design.t3.contact_mount.in.2</x:v>
      </x:c>
      <x:c r="B304" s="4" t="str">
        <x:v>design.t3.contact_mount</x:v>
      </x:c>
      <x:c r="C304" s="4" t="str">
        <x:v>Ingredient candidate</x:v>
      </x:c>
      <x:c r="D304" s="4" t="str">
        <x:v>proposal.branch.drawn_copper</x:v>
      </x:c>
      <x:c r="E304" s="4" t="str">
        <x:f>IFERROR(INDEX('Items'!$B$6:$B$1005,MATCH(D304,'Items'!$A$6:$A$1005,0)),"MISSING ID")</x:f>
        <x:v>Drawn copper stock</x:v>
      </x:c>
      <x:c r="F304" s="4" t="str">
        <x:f>IFERROR(INDEX('Items'!$C$6:$C$1005,MATCH(D304,'Items'!$A$6:$A$1005,0)),"MISSING ID")</x:f>
        <x:v>T2</x:v>
      </x:c>
      <x:c r="G304" s="4" t="str">
        <x:f>IFERROR(INDEX('Items'!$D$6:$D$1005,MATCH(D304,'Items'!$A$6:$A$1005,0)),"MISSING ID")</x:f>
        <x:v>Manufactured stock</x:v>
      </x:c>
      <x:c r="H304" s="4" t="str">
        <x:f>IFERROR(INDEX('Items'!$X$6:$X$1005,MATCH(D304,'Items'!$A$6:$A$1005,0)),"MISSING ID")</x:f>
        <x:v>Processed material</x:v>
      </x:c>
      <x:c r="I304" s="4"/>
      <x:c r="J304" s="4" t="str">
        <x:v>Unspecified</x:v>
      </x:c>
      <x:c r="K304" s="4" t="str">
        <x:f>IFERROR(INDEX('Crafting recipes'!$D$6:$D$1005,MATCH(B304,'Crafting recipes'!$A$6:$A$1005,0)),"MISSING ID")</x:f>
        <x:v>Proposal</x:v>
      </x:c>
      <x:c r="L304" s="4" t="str">
        <x:f>IFERROR(INDEX('Items'!$AD$6:$AD$1005,MATCH(D304,'Items'!$A$6:$A$1005,0)),"MISSING ID")</x:f>
        <x:v>Proposal</x:v>
      </x:c>
      <x:c r="M304" s="4" t="str">
        <x:f>IFERROR(INDEX('Crafting recipes'!$E$6:$E$1005,MATCH(B304,'Crafting recipes'!$A$6:$A$1005,0)),"MISSING ID")</x:f>
        <x:v>Partial proposal</x:v>
      </x:c>
      <x:c r="N304" s="4" t="str">
        <x:v>Partial material route; no quantities, guarantees or accepted game recipe.</x:v>
      </x:c>
      <x:c r="O304" s="4" t="str">
        <x:v>New October 15 game brainstorming; current author request and Docs/WORLD_BASIS.md. Not retrieved source canon.</x:v>
      </x:c>
      <x:c r="P304" s="4" t="n">
        <x:f>IF(OR(C304="Ingredient candidate",C304="Consumed input",C304="Contained input",C304="Transform input"),IF(F304="T0",0,IF(F304="T1",1,IF(F304="T2",2,IF(F304="T3",3,IF(F304="T4",4,-1))))),-1)</x:f>
        <x:v>2</x:v>
      </x:c>
      <x:c r="Q304" s="4" t="n">
        <x:f>IF(AND(OR(C304="Ingredient candidate",C304="Consumed input",C304="Contained input",C304="Transform input"),P304=-1),1,0)</x:f>
        <x:v>0</x:v>
      </x:c>
    </x:row>
    <x:row r="305" ht="115" customHeight="1">
      <x:c r="A305" s="4" t="str">
        <x:v>design.t3.contact_mount.out</x:v>
      </x:c>
      <x:c r="B305" s="4" t="str">
        <x:v>design.t3.contact_mount</x:v>
      </x:c>
      <x:c r="C305" s="4" t="str">
        <x:v>Output</x:v>
      </x:c>
      <x:c r="D305" s="4" t="str">
        <x:v>proposal.t3.contact_mount</x:v>
      </x:c>
      <x:c r="E305" s="4" t="str">
        <x:f>IFERROR(INDEX('Items'!$B$6:$B$1005,MATCH(D305,'Items'!$A$6:$A$1005,0)),"MISSING ID")</x:f>
        <x:v>Fitted ceramic contact mounts</x:v>
      </x:c>
      <x:c r="F305" s="4" t="str">
        <x:f>IFERROR(INDEX('Items'!$C$6:$C$1005,MATCH(D305,'Items'!$A$6:$A$1005,0)),"MISSING ID")</x:f>
        <x:v>T3</x:v>
      </x:c>
      <x:c r="G305" s="4" t="str">
        <x:f>IFERROR(INDEX('Items'!$D$6:$D$1005,MATCH(D305,'Items'!$A$6:$A$1005,0)),"MISSING ID")</x:f>
        <x:v>Crafting components</x:v>
      </x:c>
      <x:c r="H305" s="4" t="str">
        <x:f>IFERROR(INDEX('Items'!$X$6:$X$1005,MATCH(D305,'Items'!$A$6:$A$1005,0)),"MISSING ID")</x:f>
        <x:v>Crafting component</x:v>
      </x:c>
      <x:c r="I305" s="4"/>
      <x:c r="J305" s="4" t="str">
        <x:v>Unspecified</x:v>
      </x:c>
      <x:c r="K305" s="4" t="str">
        <x:f>IFERROR(INDEX('Crafting recipes'!$D$6:$D$1005,MATCH(B305,'Crafting recipes'!$A$6:$A$1005,0)),"MISSING ID")</x:f>
        <x:v>Proposal</x:v>
      </x:c>
      <x:c r="L305" s="4" t="str">
        <x:f>IFERROR(INDEX('Items'!$AD$6:$AD$1005,MATCH(D305,'Items'!$A$6:$A$1005,0)),"MISSING ID")</x:f>
        <x:v>Proposal</x:v>
      </x:c>
      <x:c r="M305" s="4" t="str">
        <x:f>IFERROR(INDEX('Crafting recipes'!$E$6:$E$1005,MATCH(B305,'Crafting recipes'!$A$6:$A$1005,0)),"MISSING ID")</x:f>
        <x:v>Partial proposal</x:v>
      </x:c>
      <x:c r="N305" s="4" t="str">
        <x:v>Partial material route; no quantities, guarantees or accepted game recipe.</x:v>
      </x:c>
      <x:c r="O305" s="4" t="str">
        <x:v>New October 15 game brainstorming; current author request and Docs/WORLD_BASIS.md. Not retrieved source canon.</x:v>
      </x:c>
      <x:c r="P305" s="4" t="n">
        <x:f>IF(OR(C305="Ingredient candidate",C305="Consumed input",C305="Contained input",C305="Transform input"),IF(F305="T0",0,IF(F305="T1",1,IF(F305="T2",2,IF(F305="T3",3,IF(F305="T4",4,-1))))),-1)</x:f>
        <x:v>-1</x:v>
      </x:c>
      <x:c r="Q305" s="4" t="n">
        <x:f>IF(AND(OR(C305="Ingredient candidate",C305="Consumed input",C305="Contained input",C305="Transform input"),P305=-1),1,0)</x:f>
        <x:v>0</x:v>
      </x:c>
    </x:row>
    <x:row r="306" ht="115" customHeight="1">
      <x:c r="A306" s="4" t="str">
        <x:v>design.t3.feedthrough_blank.in.1</x:v>
      </x:c>
      <x:c r="B306" s="4" t="str">
        <x:v>design.t3.feedthrough_blank</x:v>
      </x:c>
      <x:c r="C306" s="4" t="str">
        <x:v>Ingredient candidate</x:v>
      </x:c>
      <x:c r="D306" s="4" t="str">
        <x:v>proposal.natural.ceramic</x:v>
      </x:c>
      <x:c r="E306" s="4" t="str">
        <x:f>IFERROR(INDEX('Items'!$B$6:$B$1005,MATCH(D306,'Items'!$A$6:$A$1005,0)),"MISSING ID")</x:f>
        <x:v>Insulating ceramic blanks</x:v>
      </x:c>
      <x:c r="F306" s="4" t="str">
        <x:f>IFERROR(INDEX('Items'!$C$6:$C$1005,MATCH(D306,'Items'!$A$6:$A$1005,0)),"MISSING ID")</x:f>
        <x:v>T2</x:v>
      </x:c>
      <x:c r="G306" s="4" t="str">
        <x:f>IFERROR(INDEX('Items'!$D$6:$D$1005,MATCH(D306,'Items'!$A$6:$A$1005,0)),"MISSING ID")</x:f>
        <x:v>Manufactured stock</x:v>
      </x:c>
      <x:c r="H306" s="4" t="str">
        <x:f>IFERROR(INDEX('Items'!$X$6:$X$1005,MATCH(D306,'Items'!$A$6:$A$1005,0)),"MISSING ID")</x:f>
        <x:v>Processed material</x:v>
      </x:c>
      <x:c r="I306" s="4"/>
      <x:c r="J306" s="4" t="str">
        <x:v>Unspecified</x:v>
      </x:c>
      <x:c r="K306" s="4" t="str">
        <x:f>IFERROR(INDEX('Crafting recipes'!$D$6:$D$1005,MATCH(B306,'Crafting recipes'!$A$6:$A$1005,0)),"MISSING ID")</x:f>
        <x:v>Proposal</x:v>
      </x:c>
      <x:c r="L306" s="4" t="str">
        <x:f>IFERROR(INDEX('Items'!$AD$6:$AD$1005,MATCH(D306,'Items'!$A$6:$A$1005,0)),"MISSING ID")</x:f>
        <x:v>Proposal</x:v>
      </x:c>
      <x:c r="M306" s="4" t="str">
        <x:f>IFERROR(INDEX('Crafting recipes'!$E$6:$E$1005,MATCH(B306,'Crafting recipes'!$A$6:$A$1005,0)),"MISSING ID")</x:f>
        <x:v>Partial proposal</x:v>
      </x:c>
      <x:c r="N306" s="4" t="str">
        <x:v>Partial material route; no quantities, guarantees or accepted game recipe.</x:v>
      </x:c>
      <x:c r="O306" s="4" t="str">
        <x:v>New October 15 game brainstorming; current author request and Docs/WORLD_BASIS.md. Not retrieved source canon.</x:v>
      </x:c>
      <x:c r="P306" s="4" t="n">
        <x:f>IF(OR(C306="Ingredient candidate",C306="Consumed input",C306="Contained input",C306="Transform input"),IF(F306="T0",0,IF(F306="T1",1,IF(F306="T2",2,IF(F306="T3",3,IF(F306="T4",4,-1))))),-1)</x:f>
        <x:v>2</x:v>
      </x:c>
      <x:c r="Q306" s="4" t="n">
        <x:f>IF(AND(OR(C306="Ingredient candidate",C306="Consumed input",C306="Contained input",C306="Transform input"),P306=-1),1,0)</x:f>
        <x:v>0</x:v>
      </x:c>
    </x:row>
    <x:row r="307" ht="115" customHeight="1">
      <x:c r="A307" s="4" t="str">
        <x:v>design.t3.feedthrough_blank.in.2</x:v>
      </x:c>
      <x:c r="B307" s="4" t="str">
        <x:v>design.t3.feedthrough_blank</x:v>
      </x:c>
      <x:c r="C307" s="4" t="str">
        <x:v>Ingredient candidate</x:v>
      </x:c>
      <x:c r="D307" s="4" t="str">
        <x:v>proposal.branch.drawn_copper</x:v>
      </x:c>
      <x:c r="E307" s="4" t="str">
        <x:f>IFERROR(INDEX('Items'!$B$6:$B$1005,MATCH(D307,'Items'!$A$6:$A$1005,0)),"MISSING ID")</x:f>
        <x:v>Drawn copper stock</x:v>
      </x:c>
      <x:c r="F307" s="4" t="str">
        <x:f>IFERROR(INDEX('Items'!$C$6:$C$1005,MATCH(D307,'Items'!$A$6:$A$1005,0)),"MISSING ID")</x:f>
        <x:v>T2</x:v>
      </x:c>
      <x:c r="G307" s="4" t="str">
        <x:f>IFERROR(INDEX('Items'!$D$6:$D$1005,MATCH(D307,'Items'!$A$6:$A$1005,0)),"MISSING ID")</x:f>
        <x:v>Manufactured stock</x:v>
      </x:c>
      <x:c r="H307" s="4" t="str">
        <x:f>IFERROR(INDEX('Items'!$X$6:$X$1005,MATCH(D307,'Items'!$A$6:$A$1005,0)),"MISSING ID")</x:f>
        <x:v>Processed material</x:v>
      </x:c>
      <x:c r="I307" s="4"/>
      <x:c r="J307" s="4" t="str">
        <x:v>Unspecified</x:v>
      </x:c>
      <x:c r="K307" s="4" t="str">
        <x:f>IFERROR(INDEX('Crafting recipes'!$D$6:$D$1005,MATCH(B307,'Crafting recipes'!$A$6:$A$1005,0)),"MISSING ID")</x:f>
        <x:v>Proposal</x:v>
      </x:c>
      <x:c r="L307" s="4" t="str">
        <x:f>IFERROR(INDEX('Items'!$AD$6:$AD$1005,MATCH(D307,'Items'!$A$6:$A$1005,0)),"MISSING ID")</x:f>
        <x:v>Proposal</x:v>
      </x:c>
      <x:c r="M307" s="4" t="str">
        <x:f>IFERROR(INDEX('Crafting recipes'!$E$6:$E$1005,MATCH(B307,'Crafting recipes'!$A$6:$A$1005,0)),"MISSING ID")</x:f>
        <x:v>Partial proposal</x:v>
      </x:c>
      <x:c r="N307" s="4" t="str">
        <x:v>Partial material route; no quantities, guarantees or accepted game recipe.</x:v>
      </x:c>
      <x:c r="O307" s="4" t="str">
        <x:v>New October 15 game brainstorming; current author request and Docs/WORLD_BASIS.md. Not retrieved source canon.</x:v>
      </x:c>
      <x:c r="P307" s="4" t="n">
        <x:f>IF(OR(C307="Ingredient candidate",C307="Consumed input",C307="Contained input",C307="Transform input"),IF(F307="T0",0,IF(F307="T1",1,IF(F307="T2",2,IF(F307="T3",3,IF(F307="T4",4,-1))))),-1)</x:f>
        <x:v>2</x:v>
      </x:c>
      <x:c r="Q307" s="4" t="n">
        <x:f>IF(AND(OR(C307="Ingredient candidate",C307="Consumed input",C307="Contained input",C307="Transform input"),P307=-1),1,0)</x:f>
        <x:v>0</x:v>
      </x:c>
    </x:row>
    <x:row r="308" ht="115" customHeight="1">
      <x:c r="A308" s="4" t="str">
        <x:v>design.t3.feedthrough_blank.in.3</x:v>
      </x:c>
      <x:c r="B308" s="4" t="str">
        <x:v>design.t3.feedthrough_blank</x:v>
      </x:c>
      <x:c r="C308" s="4" t="str">
        <x:v>Ingredient candidate</x:v>
      </x:c>
      <x:c r="D308" s="4" t="str">
        <x:v>proposal.branch.filled_seal</x:v>
      </x:c>
      <x:c r="E308" s="4" t="str">
        <x:f>IFERROR(INDEX('Items'!$B$6:$B$1005,MATCH(D308,'Items'!$A$6:$A$1005,0)),"MISSING ID")</x:f>
        <x:v>Filled faunal seal compound</x:v>
      </x:c>
      <x:c r="F308" s="4" t="str">
        <x:f>IFERROR(INDEX('Items'!$C$6:$C$1005,MATCH(D308,'Items'!$A$6:$A$1005,0)),"MISSING ID")</x:f>
        <x:v>T2</x:v>
      </x:c>
      <x:c r="G308" s="4" t="str">
        <x:f>IFERROR(INDEX('Items'!$D$6:$D$1005,MATCH(D308,'Items'!$A$6:$A$1005,0)),"MISSING ID")</x:f>
        <x:v>Crafting components</x:v>
      </x:c>
      <x:c r="H308" s="4" t="str">
        <x:f>IFERROR(INDEX('Items'!$X$6:$X$1005,MATCH(D308,'Items'!$A$6:$A$1005,0)),"MISSING ID")</x:f>
        <x:v>Chemical material</x:v>
      </x:c>
      <x:c r="I308" s="4"/>
      <x:c r="J308" s="4" t="str">
        <x:v>Unspecified</x:v>
      </x:c>
      <x:c r="K308" s="4" t="str">
        <x:f>IFERROR(INDEX('Crafting recipes'!$D$6:$D$1005,MATCH(B308,'Crafting recipes'!$A$6:$A$1005,0)),"MISSING ID")</x:f>
        <x:v>Proposal</x:v>
      </x:c>
      <x:c r="L308" s="4" t="str">
        <x:f>IFERROR(INDEX('Items'!$AD$6:$AD$1005,MATCH(D308,'Items'!$A$6:$A$1005,0)),"MISSING ID")</x:f>
        <x:v>Proposal</x:v>
      </x:c>
      <x:c r="M308" s="4" t="str">
        <x:f>IFERROR(INDEX('Crafting recipes'!$E$6:$E$1005,MATCH(B308,'Crafting recipes'!$A$6:$A$1005,0)),"MISSING ID")</x:f>
        <x:v>Partial proposal</x:v>
      </x:c>
      <x:c r="N308" s="4" t="str">
        <x:v>Partial material route; no quantities, guarantees or accepted game recipe.</x:v>
      </x:c>
      <x:c r="O308" s="4" t="str">
        <x:v>New October 15 game brainstorming; current author request and Docs/WORLD_BASIS.md. Not retrieved source canon.</x:v>
      </x:c>
      <x:c r="P308" s="4" t="n">
        <x:f>IF(OR(C308="Ingredient candidate",C308="Consumed input",C308="Contained input",C308="Transform input"),IF(F308="T0",0,IF(F308="T1",1,IF(F308="T2",2,IF(F308="T3",3,IF(F308="T4",4,-1))))),-1)</x:f>
        <x:v>2</x:v>
      </x:c>
      <x:c r="Q308" s="4" t="n">
        <x:f>IF(AND(OR(C308="Ingredient candidate",C308="Consumed input",C308="Contained input",C308="Transform input"),P308=-1),1,0)</x:f>
        <x:v>0</x:v>
      </x:c>
    </x:row>
    <x:row r="309" ht="115" customHeight="1">
      <x:c r="A309" s="4" t="str">
        <x:v>design.t3.feedthrough_blank.out</x:v>
      </x:c>
      <x:c r="B309" s="4" t="str">
        <x:v>design.t3.feedthrough_blank</x:v>
      </x:c>
      <x:c r="C309" s="4" t="str">
        <x:v>Output</x:v>
      </x:c>
      <x:c r="D309" s="4" t="str">
        <x:v>proposal.t3.feedthrough_blank</x:v>
      </x:c>
      <x:c r="E309" s="4" t="str">
        <x:f>IFERROR(INDEX('Items'!$B$6:$B$1005,MATCH(D309,'Items'!$A$6:$A$1005,0)),"MISSING ID")</x:f>
        <x:v>Ceramic-metal feedthrough blanks</x:v>
      </x:c>
      <x:c r="F309" s="4" t="str">
        <x:f>IFERROR(INDEX('Items'!$C$6:$C$1005,MATCH(D309,'Items'!$A$6:$A$1005,0)),"MISSING ID")</x:f>
        <x:v>T3</x:v>
      </x:c>
      <x:c r="G309" s="4" t="str">
        <x:f>IFERROR(INDEX('Items'!$D$6:$D$1005,MATCH(D309,'Items'!$A$6:$A$1005,0)),"MISSING ID")</x:f>
        <x:v>Crafting components</x:v>
      </x:c>
      <x:c r="H309" s="4" t="str">
        <x:f>IFERROR(INDEX('Items'!$X$6:$X$1005,MATCH(D309,'Items'!$A$6:$A$1005,0)),"MISSING ID")</x:f>
        <x:v>Crafting component</x:v>
      </x:c>
      <x:c r="I309" s="4"/>
      <x:c r="J309" s="4" t="str">
        <x:v>Unspecified</x:v>
      </x:c>
      <x:c r="K309" s="4" t="str">
        <x:f>IFERROR(INDEX('Crafting recipes'!$D$6:$D$1005,MATCH(B309,'Crafting recipes'!$A$6:$A$1005,0)),"MISSING ID")</x:f>
        <x:v>Proposal</x:v>
      </x:c>
      <x:c r="L309" s="4" t="str">
        <x:f>IFERROR(INDEX('Items'!$AD$6:$AD$1005,MATCH(D309,'Items'!$A$6:$A$1005,0)),"MISSING ID")</x:f>
        <x:v>Proposal</x:v>
      </x:c>
      <x:c r="M309" s="4" t="str">
        <x:f>IFERROR(INDEX('Crafting recipes'!$E$6:$E$1005,MATCH(B309,'Crafting recipes'!$A$6:$A$1005,0)),"MISSING ID")</x:f>
        <x:v>Partial proposal</x:v>
      </x:c>
      <x:c r="N309" s="4" t="str">
        <x:v>Partial material route; no quantities, guarantees or accepted game recipe.</x:v>
      </x:c>
      <x:c r="O309" s="4" t="str">
        <x:v>New October 15 game brainstorming; current author request and Docs/WORLD_BASIS.md. Not retrieved source canon.</x:v>
      </x:c>
      <x:c r="P309" s="4" t="n">
        <x:f>IF(OR(C309="Ingredient candidate",C309="Consumed input",C309="Contained input",C309="Transform input"),IF(F309="T0",0,IF(F309="T1",1,IF(F309="T2",2,IF(F309="T3",3,IF(F309="T4",4,-1))))),-1)</x:f>
        <x:v>-1</x:v>
      </x:c>
      <x:c r="Q309" s="4" t="n">
        <x:f>IF(AND(OR(C309="Ingredient candidate",C309="Consumed input",C309="Contained input",C309="Transform input"),P309=-1),1,0)</x:f>
        <x:v>0</x:v>
      </x:c>
    </x:row>
    <x:row r="310" ht="115" customHeight="1">
      <x:c r="A310" s="4" t="str">
        <x:v>design.t3.spacer_set.in.1</x:v>
      </x:c>
      <x:c r="B310" s="4" t="str">
        <x:v>design.t3.spacer_set</x:v>
      </x:c>
      <x:c r="C310" s="4" t="str">
        <x:v>Ingredient candidate</x:v>
      </x:c>
      <x:c r="D310" s="4" t="str">
        <x:v>proposal.natural.ceramic</x:v>
      </x:c>
      <x:c r="E310" s="4" t="str">
        <x:f>IFERROR(INDEX('Items'!$B$6:$B$1005,MATCH(D310,'Items'!$A$6:$A$1005,0)),"MISSING ID")</x:f>
        <x:v>Insulating ceramic blanks</x:v>
      </x:c>
      <x:c r="F310" s="4" t="str">
        <x:f>IFERROR(INDEX('Items'!$C$6:$C$1005,MATCH(D310,'Items'!$A$6:$A$1005,0)),"MISSING ID")</x:f>
        <x:v>T2</x:v>
      </x:c>
      <x:c r="G310" s="4" t="str">
        <x:f>IFERROR(INDEX('Items'!$D$6:$D$1005,MATCH(D310,'Items'!$A$6:$A$1005,0)),"MISSING ID")</x:f>
        <x:v>Manufactured stock</x:v>
      </x:c>
      <x:c r="H310" s="4" t="str">
        <x:f>IFERROR(INDEX('Items'!$X$6:$X$1005,MATCH(D310,'Items'!$A$6:$A$1005,0)),"MISSING ID")</x:f>
        <x:v>Processed material</x:v>
      </x:c>
      <x:c r="I310" s="4"/>
      <x:c r="J310" s="4" t="str">
        <x:v>Unspecified</x:v>
      </x:c>
      <x:c r="K310" s="4" t="str">
        <x:f>IFERROR(INDEX('Crafting recipes'!$D$6:$D$1005,MATCH(B310,'Crafting recipes'!$A$6:$A$1005,0)),"MISSING ID")</x:f>
        <x:v>Proposal</x:v>
      </x:c>
      <x:c r="L310" s="4" t="str">
        <x:f>IFERROR(INDEX('Items'!$AD$6:$AD$1005,MATCH(D310,'Items'!$A$6:$A$1005,0)),"MISSING ID")</x:f>
        <x:v>Proposal</x:v>
      </x:c>
      <x:c r="M310" s="4" t="str">
        <x:f>IFERROR(INDEX('Crafting recipes'!$E$6:$E$1005,MATCH(B310,'Crafting recipes'!$A$6:$A$1005,0)),"MISSING ID")</x:f>
        <x:v>Partial proposal</x:v>
      </x:c>
      <x:c r="N310" s="4" t="str">
        <x:v>Partial material route; no quantities, guarantees or accepted game recipe.</x:v>
      </x:c>
      <x:c r="O310" s="4" t="str">
        <x:v>New October 15 game brainstorming; current author request and Docs/WORLD_BASIS.md. Not retrieved source canon.</x:v>
      </x:c>
      <x:c r="P310" s="4" t="n">
        <x:f>IF(OR(C310="Ingredient candidate",C310="Consumed input",C310="Contained input",C310="Transform input"),IF(F310="T0",0,IF(F310="T1",1,IF(F310="T2",2,IF(F310="T3",3,IF(F310="T4",4,-1))))),-1)</x:f>
        <x:v>2</x:v>
      </x:c>
      <x:c r="Q310" s="4" t="n">
        <x:f>IF(AND(OR(C310="Ingredient candidate",C310="Consumed input",C310="Contained input",C310="Transform input"),P310=-1),1,0)</x:f>
        <x:v>0</x:v>
      </x:c>
    </x:row>
    <x:row r="311" ht="115" customHeight="1">
      <x:c r="A311" s="4" t="str">
        <x:v>design.t3.spacer_set.in.2</x:v>
      </x:c>
      <x:c r="B311" s="4" t="str">
        <x:v>design.t3.spacer_set</x:v>
      </x:c>
      <x:c r="C311" s="4" t="str">
        <x:v>Ingredient candidate</x:v>
      </x:c>
      <x:c r="D311" s="4" t="str">
        <x:v>proposal.natural.abrasive</x:v>
      </x:c>
      <x:c r="E311" s="4" t="str">
        <x:f>IFERROR(INDEX('Items'!$B$6:$B$1005,MATCH(D311,'Items'!$A$6:$A$1005,0)),"MISSING ID")</x:f>
        <x:v>Graded abrasive grit</x:v>
      </x:c>
      <x:c r="F311" s="4" t="str">
        <x:f>IFERROR(INDEX('Items'!$C$6:$C$1005,MATCH(D311,'Items'!$A$6:$A$1005,0)),"MISSING ID")</x:f>
        <x:v>T1</x:v>
      </x:c>
      <x:c r="G311" s="4" t="str">
        <x:f>IFERROR(INDEX('Items'!$D$6:$D$1005,MATCH(D311,'Items'!$A$6:$A$1005,0)),"MISSING ID")</x:f>
        <x:v>Manufactured stock</x:v>
      </x:c>
      <x:c r="H311" s="4" t="str">
        <x:f>IFERROR(INDEX('Items'!$X$6:$X$1005,MATCH(D311,'Items'!$A$6:$A$1005,0)),"MISSING ID")</x:f>
        <x:v>Processed material</x:v>
      </x:c>
      <x:c r="I311" s="4"/>
      <x:c r="J311" s="4" t="str">
        <x:v>Unspecified</x:v>
      </x:c>
      <x:c r="K311" s="4" t="str">
        <x:f>IFERROR(INDEX('Crafting recipes'!$D$6:$D$1005,MATCH(B311,'Crafting recipes'!$A$6:$A$1005,0)),"MISSING ID")</x:f>
        <x:v>Proposal</x:v>
      </x:c>
      <x:c r="L311" s="4" t="str">
        <x:f>IFERROR(INDEX('Items'!$AD$6:$AD$1005,MATCH(D311,'Items'!$A$6:$A$1005,0)),"MISSING ID")</x:f>
        <x:v>Proposal</x:v>
      </x:c>
      <x:c r="M311" s="4" t="str">
        <x:f>IFERROR(INDEX('Crafting recipes'!$E$6:$E$1005,MATCH(B311,'Crafting recipes'!$A$6:$A$1005,0)),"MISSING ID")</x:f>
        <x:v>Partial proposal</x:v>
      </x:c>
      <x:c r="N311" s="4" t="str">
        <x:v>Partial material route; no quantities, guarantees or accepted game recipe.</x:v>
      </x:c>
      <x:c r="O311" s="4" t="str">
        <x:v>New October 15 game brainstorming; current author request and Docs/WORLD_BASIS.md. Not retrieved source canon.</x:v>
      </x:c>
      <x:c r="P311" s="4" t="n">
        <x:f>IF(OR(C311="Ingredient candidate",C311="Consumed input",C311="Contained input",C311="Transform input"),IF(F311="T0",0,IF(F311="T1",1,IF(F311="T2",2,IF(F311="T3",3,IF(F311="T4",4,-1))))),-1)</x:f>
        <x:v>1</x:v>
      </x:c>
      <x:c r="Q311" s="4" t="n">
        <x:f>IF(AND(OR(C311="Ingredient candidate",C311="Consumed input",C311="Contained input",C311="Transform input"),P311=-1),1,0)</x:f>
        <x:v>0</x:v>
      </x:c>
    </x:row>
    <x:row r="312" ht="115" customHeight="1">
      <x:c r="A312" s="4" t="str">
        <x:v>design.t3.spacer_set.out</x:v>
      </x:c>
      <x:c r="B312" s="4" t="str">
        <x:v>design.t3.spacer_set</x:v>
      </x:c>
      <x:c r="C312" s="4" t="str">
        <x:v>Output</x:v>
      </x:c>
      <x:c r="D312" s="4" t="str">
        <x:v>proposal.t3.spacer_set</x:v>
      </x:c>
      <x:c r="E312" s="4" t="str">
        <x:f>IFERROR(INDEX('Items'!$B$6:$B$1005,MATCH(D312,'Items'!$A$6:$A$1005,0)),"MISSING ID")</x:f>
        <x:v>Matched ceramic spacer sets</x:v>
      </x:c>
      <x:c r="F312" s="4" t="str">
        <x:f>IFERROR(INDEX('Items'!$C$6:$C$1005,MATCH(D312,'Items'!$A$6:$A$1005,0)),"MISSING ID")</x:f>
        <x:v>T3</x:v>
      </x:c>
      <x:c r="G312" s="4" t="str">
        <x:f>IFERROR(INDEX('Items'!$D$6:$D$1005,MATCH(D312,'Items'!$A$6:$A$1005,0)),"MISSING ID")</x:f>
        <x:v>Crafting components</x:v>
      </x:c>
      <x:c r="H312" s="4" t="str">
        <x:f>IFERROR(INDEX('Items'!$X$6:$X$1005,MATCH(D312,'Items'!$A$6:$A$1005,0)),"MISSING ID")</x:f>
        <x:v>Crafting component</x:v>
      </x:c>
      <x:c r="I312" s="4"/>
      <x:c r="J312" s="4" t="str">
        <x:v>Unspecified</x:v>
      </x:c>
      <x:c r="K312" s="4" t="str">
        <x:f>IFERROR(INDEX('Crafting recipes'!$D$6:$D$1005,MATCH(B312,'Crafting recipes'!$A$6:$A$1005,0)),"MISSING ID")</x:f>
        <x:v>Proposal</x:v>
      </x:c>
      <x:c r="L312" s="4" t="str">
        <x:f>IFERROR(INDEX('Items'!$AD$6:$AD$1005,MATCH(D312,'Items'!$A$6:$A$1005,0)),"MISSING ID")</x:f>
        <x:v>Proposal</x:v>
      </x:c>
      <x:c r="M312" s="4" t="str">
        <x:f>IFERROR(INDEX('Crafting recipes'!$E$6:$E$1005,MATCH(B312,'Crafting recipes'!$A$6:$A$1005,0)),"MISSING ID")</x:f>
        <x:v>Partial proposal</x:v>
      </x:c>
      <x:c r="N312" s="4" t="str">
        <x:v>Partial material route; no quantities, guarantees or accepted game recipe.</x:v>
      </x:c>
      <x:c r="O312" s="4" t="str">
        <x:v>New October 15 game brainstorming; current author request and Docs/WORLD_BASIS.md. Not retrieved source canon.</x:v>
      </x:c>
      <x:c r="P312" s="4" t="n">
        <x:f>IF(OR(C312="Ingredient candidate",C312="Consumed input",C312="Contained input",C312="Transform input"),IF(F312="T0",0,IF(F312="T1",1,IF(F312="T2",2,IF(F312="T3",3,IF(F312="T4",4,-1))))),-1)</x:f>
        <x:v>-1</x:v>
      </x:c>
      <x:c r="Q312" s="4" t="n">
        <x:f>IF(AND(OR(C312="Ingredient candidate",C312="Consumed input",C312="Contained input",C312="Transform input"),P312=-1),1,0)</x:f>
        <x:v>0</x:v>
      </x:c>
    </x:row>
    <x:row r="313" ht="115" customHeight="1">
      <x:c r="A313" s="4" t="str">
        <x:v>design.t3.reflector_stock.in.1</x:v>
      </x:c>
      <x:c r="B313" s="4" t="str">
        <x:v>design.t3.reflector_stock</x:v>
      </x:c>
      <x:c r="C313" s="4" t="str">
        <x:v>Ingredient candidate</x:v>
      </x:c>
      <x:c r="D313" s="4" t="str">
        <x:v>proposal.branch.drawn_copper</x:v>
      </x:c>
      <x:c r="E313" s="4" t="str">
        <x:f>IFERROR(INDEX('Items'!$B$6:$B$1005,MATCH(D313,'Items'!$A$6:$A$1005,0)),"MISSING ID")</x:f>
        <x:v>Drawn copper stock</x:v>
      </x:c>
      <x:c r="F313" s="4" t="str">
        <x:f>IFERROR(INDEX('Items'!$C$6:$C$1005,MATCH(D313,'Items'!$A$6:$A$1005,0)),"MISSING ID")</x:f>
        <x:v>T2</x:v>
      </x:c>
      <x:c r="G313" s="4" t="str">
        <x:f>IFERROR(INDEX('Items'!$D$6:$D$1005,MATCH(D313,'Items'!$A$6:$A$1005,0)),"MISSING ID")</x:f>
        <x:v>Manufactured stock</x:v>
      </x:c>
      <x:c r="H313" s="4" t="str">
        <x:f>IFERROR(INDEX('Items'!$X$6:$X$1005,MATCH(D313,'Items'!$A$6:$A$1005,0)),"MISSING ID")</x:f>
        <x:v>Processed material</x:v>
      </x:c>
      <x:c r="I313" s="4"/>
      <x:c r="J313" s="4" t="str">
        <x:v>Unspecified</x:v>
      </x:c>
      <x:c r="K313" s="4" t="str">
        <x:f>IFERROR(INDEX('Crafting recipes'!$D$6:$D$1005,MATCH(B313,'Crafting recipes'!$A$6:$A$1005,0)),"MISSING ID")</x:f>
        <x:v>Proposal</x:v>
      </x:c>
      <x:c r="L313" s="4" t="str">
        <x:f>IFERROR(INDEX('Items'!$AD$6:$AD$1005,MATCH(D313,'Items'!$A$6:$A$1005,0)),"MISSING ID")</x:f>
        <x:v>Proposal</x:v>
      </x:c>
      <x:c r="M313" s="4" t="str">
        <x:f>IFERROR(INDEX('Crafting recipes'!$E$6:$E$1005,MATCH(B313,'Crafting recipes'!$A$6:$A$1005,0)),"MISSING ID")</x:f>
        <x:v>Partial proposal</x:v>
      </x:c>
      <x:c r="N313" s="4" t="str">
        <x:v>Partial material route; no quantities, guarantees or accepted game recipe.</x:v>
      </x:c>
      <x:c r="O313" s="4" t="str">
        <x:v>New October 15 game brainstorming; current author request and Docs/WORLD_BASIS.md. Not retrieved source canon.</x:v>
      </x:c>
      <x:c r="P313" s="4" t="n">
        <x:f>IF(OR(C313="Ingredient candidate",C313="Consumed input",C313="Contained input",C313="Transform input"),IF(F313="T0",0,IF(F313="T1",1,IF(F313="T2",2,IF(F313="T3",3,IF(F313="T4",4,-1))))),-1)</x:f>
        <x:v>2</x:v>
      </x:c>
      <x:c r="Q313" s="4" t="n">
        <x:f>IF(AND(OR(C313="Ingredient candidate",C313="Consumed input",C313="Contained input",C313="Transform input"),P313=-1),1,0)</x:f>
        <x:v>0</x:v>
      </x:c>
    </x:row>
    <x:row r="314" ht="115" customHeight="1">
      <x:c r="A314" s="4" t="str">
        <x:v>design.t3.reflector_stock.in.2</x:v>
      </x:c>
      <x:c r="B314" s="4" t="str">
        <x:v>design.t3.reflector_stock</x:v>
      </x:c>
      <x:c r="C314" s="4" t="str">
        <x:v>Ingredient candidate</x:v>
      </x:c>
      <x:c r="D314" s="4" t="str">
        <x:v>proposal.natural.abrasive</x:v>
      </x:c>
      <x:c r="E314" s="4" t="str">
        <x:f>IFERROR(INDEX('Items'!$B$6:$B$1005,MATCH(D314,'Items'!$A$6:$A$1005,0)),"MISSING ID")</x:f>
        <x:v>Graded abrasive grit</x:v>
      </x:c>
      <x:c r="F314" s="4" t="str">
        <x:f>IFERROR(INDEX('Items'!$C$6:$C$1005,MATCH(D314,'Items'!$A$6:$A$1005,0)),"MISSING ID")</x:f>
        <x:v>T1</x:v>
      </x:c>
      <x:c r="G314" s="4" t="str">
        <x:f>IFERROR(INDEX('Items'!$D$6:$D$1005,MATCH(D314,'Items'!$A$6:$A$1005,0)),"MISSING ID")</x:f>
        <x:v>Manufactured stock</x:v>
      </x:c>
      <x:c r="H314" s="4" t="str">
        <x:f>IFERROR(INDEX('Items'!$X$6:$X$1005,MATCH(D314,'Items'!$A$6:$A$1005,0)),"MISSING ID")</x:f>
        <x:v>Processed material</x:v>
      </x:c>
      <x:c r="I314" s="4"/>
      <x:c r="J314" s="4" t="str">
        <x:v>Unspecified</x:v>
      </x:c>
      <x:c r="K314" s="4" t="str">
        <x:f>IFERROR(INDEX('Crafting recipes'!$D$6:$D$1005,MATCH(B314,'Crafting recipes'!$A$6:$A$1005,0)),"MISSING ID")</x:f>
        <x:v>Proposal</x:v>
      </x:c>
      <x:c r="L314" s="4" t="str">
        <x:f>IFERROR(INDEX('Items'!$AD$6:$AD$1005,MATCH(D314,'Items'!$A$6:$A$1005,0)),"MISSING ID")</x:f>
        <x:v>Proposal</x:v>
      </x:c>
      <x:c r="M314" s="4" t="str">
        <x:f>IFERROR(INDEX('Crafting recipes'!$E$6:$E$1005,MATCH(B314,'Crafting recipes'!$A$6:$A$1005,0)),"MISSING ID")</x:f>
        <x:v>Partial proposal</x:v>
      </x:c>
      <x:c r="N314" s="4" t="str">
        <x:v>Partial material route; no quantities, guarantees or accepted game recipe.</x:v>
      </x:c>
      <x:c r="O314" s="4" t="str">
        <x:v>New October 15 game brainstorming; current author request and Docs/WORLD_BASIS.md. Not retrieved source canon.</x:v>
      </x:c>
      <x:c r="P314" s="4" t="n">
        <x:f>IF(OR(C314="Ingredient candidate",C314="Consumed input",C314="Contained input",C314="Transform input"),IF(F314="T0",0,IF(F314="T1",1,IF(F314="T2",2,IF(F314="T3",3,IF(F314="T4",4,-1))))),-1)</x:f>
        <x:v>1</x:v>
      </x:c>
      <x:c r="Q314" s="4" t="n">
        <x:f>IF(AND(OR(C314="Ingredient candidate",C314="Consumed input",C314="Contained input",C314="Transform input"),P314=-1),1,0)</x:f>
        <x:v>0</x:v>
      </x:c>
    </x:row>
    <x:row r="315" ht="115" customHeight="1">
      <x:c r="A315" s="4" t="str">
        <x:v>design.t3.reflector_stock.out</x:v>
      </x:c>
      <x:c r="B315" s="4" t="str">
        <x:v>design.t3.reflector_stock</x:v>
      </x:c>
      <x:c r="C315" s="4" t="str">
        <x:v>Output</x:v>
      </x:c>
      <x:c r="D315" s="4" t="str">
        <x:v>proposal.t3.reflector_stock</x:v>
      </x:c>
      <x:c r="E315" s="4" t="str">
        <x:f>IFERROR(INDEX('Items'!$B$6:$B$1005,MATCH(D315,'Items'!$A$6:$A$1005,0)),"MISSING ID")</x:f>
        <x:v>Polished copper reflector blanks</x:v>
      </x:c>
      <x:c r="F315" s="4" t="str">
        <x:f>IFERROR(INDEX('Items'!$C$6:$C$1005,MATCH(D315,'Items'!$A$6:$A$1005,0)),"MISSING ID")</x:f>
        <x:v>T3</x:v>
      </x:c>
      <x:c r="G315" s="4" t="str">
        <x:f>IFERROR(INDEX('Items'!$D$6:$D$1005,MATCH(D315,'Items'!$A$6:$A$1005,0)),"MISSING ID")</x:f>
        <x:v>Manufactured stock</x:v>
      </x:c>
      <x:c r="H315" s="4" t="str">
        <x:f>IFERROR(INDEX('Items'!$X$6:$X$1005,MATCH(D315,'Items'!$A$6:$A$1005,0)),"MISSING ID")</x:f>
        <x:v>Processed material</x:v>
      </x:c>
      <x:c r="I315" s="4"/>
      <x:c r="J315" s="4" t="str">
        <x:v>Unspecified</x:v>
      </x:c>
      <x:c r="K315" s="4" t="str">
        <x:f>IFERROR(INDEX('Crafting recipes'!$D$6:$D$1005,MATCH(B315,'Crafting recipes'!$A$6:$A$1005,0)),"MISSING ID")</x:f>
        <x:v>Proposal</x:v>
      </x:c>
      <x:c r="L315" s="4" t="str">
        <x:f>IFERROR(INDEX('Items'!$AD$6:$AD$1005,MATCH(D315,'Items'!$A$6:$A$1005,0)),"MISSING ID")</x:f>
        <x:v>Proposal</x:v>
      </x:c>
      <x:c r="M315" s="4" t="str">
        <x:f>IFERROR(INDEX('Crafting recipes'!$E$6:$E$1005,MATCH(B315,'Crafting recipes'!$A$6:$A$1005,0)),"MISSING ID")</x:f>
        <x:v>Partial proposal</x:v>
      </x:c>
      <x:c r="N315" s="4" t="str">
        <x:v>Partial material route; no quantities, guarantees or accepted game recipe.</x:v>
      </x:c>
      <x:c r="O315" s="4" t="str">
        <x:v>New October 15 game brainstorming; current author request and Docs/WORLD_BASIS.md. Not retrieved source canon.</x:v>
      </x:c>
      <x:c r="P315" s="4" t="n">
        <x:f>IF(OR(C315="Ingredient candidate",C315="Consumed input",C315="Contained input",C315="Transform input"),IF(F315="T0",0,IF(F315="T1",1,IF(F315="T2",2,IF(F315="T3",3,IF(F315="T4",4,-1))))),-1)</x:f>
        <x:v>-1</x:v>
      </x:c>
      <x:c r="Q315" s="4" t="n">
        <x:f>IF(AND(OR(C315="Ingredient candidate",C315="Consumed input",C315="Contained input",C315="Transform input"),P315=-1),1,0)</x:f>
        <x:v>0</x:v>
      </x:c>
    </x:row>
    <x:row r="316" ht="115" customHeight="1">
      <x:c r="A316" s="4" t="str">
        <x:v>design.t3.packing_stock.in.1</x:v>
      </x:c>
      <x:c r="B316" s="4" t="str">
        <x:v>design.t3.packing_stock</x:v>
      </x:c>
      <x:c r="C316" s="4" t="str">
        <x:v>Ingredient candidate</x:v>
      </x:c>
      <x:c r="D316" s="4" t="str">
        <x:v>proposal.branch.husk_sheet</x:v>
      </x:c>
      <x:c r="E316" s="4" t="str">
        <x:f>IFERROR(INDEX('Items'!$B$6:$B$1005,MATCH(D316,'Items'!$A$6:$A$1005,0)),"MISSING ID")</x:f>
        <x:v>Bonded husk sheet</x:v>
      </x:c>
      <x:c r="F316" s="4" t="str">
        <x:f>IFERROR(INDEX('Items'!$C$6:$C$1005,MATCH(D316,'Items'!$A$6:$A$1005,0)),"MISSING ID")</x:f>
        <x:v>T2</x:v>
      </x:c>
      <x:c r="G316" s="4" t="str">
        <x:f>IFERROR(INDEX('Items'!$D$6:$D$1005,MATCH(D316,'Items'!$A$6:$A$1005,0)),"MISSING ID")</x:f>
        <x:v>Manufactured stock</x:v>
      </x:c>
      <x:c r="H316" s="4" t="str">
        <x:f>IFERROR(INDEX('Items'!$X$6:$X$1005,MATCH(D316,'Items'!$A$6:$A$1005,0)),"MISSING ID")</x:f>
        <x:v>Processed material</x:v>
      </x:c>
      <x:c r="I316" s="4"/>
      <x:c r="J316" s="4" t="str">
        <x:v>Unspecified</x:v>
      </x:c>
      <x:c r="K316" s="4" t="str">
        <x:f>IFERROR(INDEX('Crafting recipes'!$D$6:$D$1005,MATCH(B316,'Crafting recipes'!$A$6:$A$1005,0)),"MISSING ID")</x:f>
        <x:v>Proposal</x:v>
      </x:c>
      <x:c r="L316" s="4" t="str">
        <x:f>IFERROR(INDEX('Items'!$AD$6:$AD$1005,MATCH(D316,'Items'!$A$6:$A$1005,0)),"MISSING ID")</x:f>
        <x:v>Proposal</x:v>
      </x:c>
      <x:c r="M316" s="4" t="str">
        <x:f>IFERROR(INDEX('Crafting recipes'!$E$6:$E$1005,MATCH(B316,'Crafting recipes'!$A$6:$A$1005,0)),"MISSING ID")</x:f>
        <x:v>Partial proposal</x:v>
      </x:c>
      <x:c r="N316" s="4" t="str">
        <x:v>Partial material route; no quantities, guarantees or accepted game recipe.</x:v>
      </x:c>
      <x:c r="O316" s="4" t="str">
        <x:v>New October 15 game brainstorming; current author request and Docs/WORLD_BASIS.md. Not retrieved source canon.</x:v>
      </x:c>
      <x:c r="P316" s="4" t="n">
        <x:f>IF(OR(C316="Ingredient candidate",C316="Consumed input",C316="Contained input",C316="Transform input"),IF(F316="T0",0,IF(F316="T1",1,IF(F316="T2",2,IF(F316="T3",3,IF(F316="T4",4,-1))))),-1)</x:f>
        <x:v>2</x:v>
      </x:c>
      <x:c r="Q316" s="4" t="n">
        <x:f>IF(AND(OR(C316="Ingredient candidate",C316="Consumed input",C316="Contained input",C316="Transform input"),P316=-1),1,0)</x:f>
        <x:v>0</x:v>
      </x:c>
    </x:row>
    <x:row r="317" ht="115" customHeight="1">
      <x:c r="A317" s="4" t="str">
        <x:v>design.t3.packing_stock.in.2</x:v>
      </x:c>
      <x:c r="B317" s="4" t="str">
        <x:v>design.t3.packing_stock</x:v>
      </x:c>
      <x:c r="C317" s="4" t="str">
        <x:v>Ingredient candidate</x:v>
      </x:c>
      <x:c r="D317" s="4" t="str">
        <x:v>proposal.branch.filled_seal</x:v>
      </x:c>
      <x:c r="E317" s="4" t="str">
        <x:f>IFERROR(INDEX('Items'!$B$6:$B$1005,MATCH(D317,'Items'!$A$6:$A$1005,0)),"MISSING ID")</x:f>
        <x:v>Filled faunal seal compound</x:v>
      </x:c>
      <x:c r="F317" s="4" t="str">
        <x:f>IFERROR(INDEX('Items'!$C$6:$C$1005,MATCH(D317,'Items'!$A$6:$A$1005,0)),"MISSING ID")</x:f>
        <x:v>T2</x:v>
      </x:c>
      <x:c r="G317" s="4" t="str">
        <x:f>IFERROR(INDEX('Items'!$D$6:$D$1005,MATCH(D317,'Items'!$A$6:$A$1005,0)),"MISSING ID")</x:f>
        <x:v>Crafting components</x:v>
      </x:c>
      <x:c r="H317" s="4" t="str">
        <x:f>IFERROR(INDEX('Items'!$X$6:$X$1005,MATCH(D317,'Items'!$A$6:$A$1005,0)),"MISSING ID")</x:f>
        <x:v>Chemical material</x:v>
      </x:c>
      <x:c r="I317" s="4"/>
      <x:c r="J317" s="4" t="str">
        <x:v>Unspecified</x:v>
      </x:c>
      <x:c r="K317" s="4" t="str">
        <x:f>IFERROR(INDEX('Crafting recipes'!$D$6:$D$1005,MATCH(B317,'Crafting recipes'!$A$6:$A$1005,0)),"MISSING ID")</x:f>
        <x:v>Proposal</x:v>
      </x:c>
      <x:c r="L317" s="4" t="str">
        <x:f>IFERROR(INDEX('Items'!$AD$6:$AD$1005,MATCH(D317,'Items'!$A$6:$A$1005,0)),"MISSING ID")</x:f>
        <x:v>Proposal</x:v>
      </x:c>
      <x:c r="M317" s="4" t="str">
        <x:f>IFERROR(INDEX('Crafting recipes'!$E$6:$E$1005,MATCH(B317,'Crafting recipes'!$A$6:$A$1005,0)),"MISSING ID")</x:f>
        <x:v>Partial proposal</x:v>
      </x:c>
      <x:c r="N317" s="4" t="str">
        <x:v>Partial material route; no quantities, guarantees or accepted game recipe.</x:v>
      </x:c>
      <x:c r="O317" s="4" t="str">
        <x:v>New October 15 game brainstorming; current author request and Docs/WORLD_BASIS.md. Not retrieved source canon.</x:v>
      </x:c>
      <x:c r="P317" s="4" t="n">
        <x:f>IF(OR(C317="Ingredient candidate",C317="Consumed input",C317="Contained input",C317="Transform input"),IF(F317="T0",0,IF(F317="T1",1,IF(F317="T2",2,IF(F317="T3",3,IF(F317="T4",4,-1))))),-1)</x:f>
        <x:v>2</x:v>
      </x:c>
      <x:c r="Q317" s="4" t="n">
        <x:f>IF(AND(OR(C317="Ingredient candidate",C317="Consumed input",C317="Contained input",C317="Transform input"),P317=-1),1,0)</x:f>
        <x:v>0</x:v>
      </x:c>
    </x:row>
    <x:row r="318" ht="115" customHeight="1">
      <x:c r="A318" s="4" t="str">
        <x:v>design.t3.packing_stock.in.3</x:v>
      </x:c>
      <x:c r="B318" s="4" t="str">
        <x:v>design.t3.packing_stock</x:v>
      </x:c>
      <x:c r="C318" s="4" t="str">
        <x:v>Ingredient candidate</x:v>
      </x:c>
      <x:c r="D318" s="4" t="str">
        <x:v>proposal.branch.flex_bond</x:v>
      </x:c>
      <x:c r="E318" s="4" t="str">
        <x:f>IFERROR(INDEX('Items'!$B$6:$B$1005,MATCH(D318,'Items'!$A$6:$A$1005,0)),"MISSING ID")</x:f>
        <x:v>Flexible membrane-bonding compound</x:v>
      </x:c>
      <x:c r="F318" s="4" t="str">
        <x:f>IFERROR(INDEX('Items'!$C$6:$C$1005,MATCH(D318,'Items'!$A$6:$A$1005,0)),"MISSING ID")</x:f>
        <x:v>T2</x:v>
      </x:c>
      <x:c r="G318" s="4" t="str">
        <x:f>IFERROR(INDEX('Items'!$D$6:$D$1005,MATCH(D318,'Items'!$A$6:$A$1005,0)),"MISSING ID")</x:f>
        <x:v>Crafting components</x:v>
      </x:c>
      <x:c r="H318" s="4" t="str">
        <x:f>IFERROR(INDEX('Items'!$X$6:$X$1005,MATCH(D318,'Items'!$A$6:$A$1005,0)),"MISSING ID")</x:f>
        <x:v>Chemical material</x:v>
      </x:c>
      <x:c r="I318" s="4"/>
      <x:c r="J318" s="4" t="str">
        <x:v>Unspecified</x:v>
      </x:c>
      <x:c r="K318" s="4" t="str">
        <x:f>IFERROR(INDEX('Crafting recipes'!$D$6:$D$1005,MATCH(B318,'Crafting recipes'!$A$6:$A$1005,0)),"MISSING ID")</x:f>
        <x:v>Proposal</x:v>
      </x:c>
      <x:c r="L318" s="4" t="str">
        <x:f>IFERROR(INDEX('Items'!$AD$6:$AD$1005,MATCH(D318,'Items'!$A$6:$A$1005,0)),"MISSING ID")</x:f>
        <x:v>Proposal</x:v>
      </x:c>
      <x:c r="M318" s="4" t="str">
        <x:f>IFERROR(INDEX('Crafting recipes'!$E$6:$E$1005,MATCH(B318,'Crafting recipes'!$A$6:$A$1005,0)),"MISSING ID")</x:f>
        <x:v>Partial proposal</x:v>
      </x:c>
      <x:c r="N318" s="4" t="str">
        <x:v>Partial material route; no quantities, guarantees or accepted game recipe.</x:v>
      </x:c>
      <x:c r="O318" s="4" t="str">
        <x:v>New October 15 game brainstorming; current author request and Docs/WORLD_BASIS.md. Not retrieved source canon.</x:v>
      </x:c>
      <x:c r="P318" s="4" t="n">
        <x:f>IF(OR(C318="Ingredient candidate",C318="Consumed input",C318="Contained input",C318="Transform input"),IF(F318="T0",0,IF(F318="T1",1,IF(F318="T2",2,IF(F318="T3",3,IF(F318="T4",4,-1))))),-1)</x:f>
        <x:v>2</x:v>
      </x:c>
      <x:c r="Q318" s="4" t="n">
        <x:f>IF(AND(OR(C318="Ingredient candidate",C318="Consumed input",C318="Contained input",C318="Transform input"),P318=-1),1,0)</x:f>
        <x:v>0</x:v>
      </x:c>
    </x:row>
    <x:row r="319" ht="115" customHeight="1">
      <x:c r="A319" s="4" t="str">
        <x:v>design.t3.packing_stock.out</x:v>
      </x:c>
      <x:c r="B319" s="4" t="str">
        <x:v>design.t3.packing_stock</x:v>
      </x:c>
      <x:c r="C319" s="4" t="str">
        <x:v>Output</x:v>
      </x:c>
      <x:c r="D319" s="4" t="str">
        <x:v>proposal.t3.packing_stock</x:v>
      </x:c>
      <x:c r="E319" s="4" t="str">
        <x:f>IFERROR(INDEX('Items'!$B$6:$B$1005,MATCH(D319,'Items'!$A$6:$A$1005,0)),"MISSING ID")</x:f>
        <x:v>Husk-reinforced packing stock</x:v>
      </x:c>
      <x:c r="F319" s="4" t="str">
        <x:f>IFERROR(INDEX('Items'!$C$6:$C$1005,MATCH(D319,'Items'!$A$6:$A$1005,0)),"MISSING ID")</x:f>
        <x:v>T3</x:v>
      </x:c>
      <x:c r="G319" s="4" t="str">
        <x:f>IFERROR(INDEX('Items'!$D$6:$D$1005,MATCH(D319,'Items'!$A$6:$A$1005,0)),"MISSING ID")</x:f>
        <x:v>Manufactured stock</x:v>
      </x:c>
      <x:c r="H319" s="4" t="str">
        <x:f>IFERROR(INDEX('Items'!$X$6:$X$1005,MATCH(D319,'Items'!$A$6:$A$1005,0)),"MISSING ID")</x:f>
        <x:v>Processed material</x:v>
      </x:c>
      <x:c r="I319" s="4"/>
      <x:c r="J319" s="4" t="str">
        <x:v>Unspecified</x:v>
      </x:c>
      <x:c r="K319" s="4" t="str">
        <x:f>IFERROR(INDEX('Crafting recipes'!$D$6:$D$1005,MATCH(B319,'Crafting recipes'!$A$6:$A$1005,0)),"MISSING ID")</x:f>
        <x:v>Proposal</x:v>
      </x:c>
      <x:c r="L319" s="4" t="str">
        <x:f>IFERROR(INDEX('Items'!$AD$6:$AD$1005,MATCH(D319,'Items'!$A$6:$A$1005,0)),"MISSING ID")</x:f>
        <x:v>Proposal</x:v>
      </x:c>
      <x:c r="M319" s="4" t="str">
        <x:f>IFERROR(INDEX('Crafting recipes'!$E$6:$E$1005,MATCH(B319,'Crafting recipes'!$A$6:$A$1005,0)),"MISSING ID")</x:f>
        <x:v>Partial proposal</x:v>
      </x:c>
      <x:c r="N319" s="4" t="str">
        <x:v>Partial material route; no quantities, guarantees or accepted game recipe.</x:v>
      </x:c>
      <x:c r="O319" s="4" t="str">
        <x:v>New October 15 game brainstorming; current author request and Docs/WORLD_BASIS.md. Not retrieved source canon.</x:v>
      </x:c>
      <x:c r="P319" s="4" t="n">
        <x:f>IF(OR(C319="Ingredient candidate",C319="Consumed input",C319="Contained input",C319="Transform input"),IF(F319="T0",0,IF(F319="T1",1,IF(F319="T2",2,IF(F319="T3",3,IF(F319="T4",4,-1))))),-1)</x:f>
        <x:v>-1</x:v>
      </x:c>
      <x:c r="Q319" s="4" t="n">
        <x:f>IF(AND(OR(C319="Ingredient candidate",C319="Consumed input",C319="Contained input",C319="Transform input"),P319=-1),1,0)</x:f>
        <x:v>0</x:v>
      </x:c>
    </x:row>
    <x:row r="320" ht="115" customHeight="1">
      <x:c r="A320" s="4" t="str">
        <x:v>design.t3.service_grease.in.1</x:v>
      </x:c>
      <x:c r="B320" s="4" t="str">
        <x:v>design.t3.service_grease</x:v>
      </x:c>
      <x:c r="C320" s="4" t="str">
        <x:v>Ingredient candidate</x:v>
      </x:c>
      <x:c r="D320" s="4" t="str">
        <x:v>proposal.lubricant.joint_grease</x:v>
      </x:c>
      <x:c r="E320" s="4" t="str">
        <x:f>IFERROR(INDEX('Items'!$B$6:$B$1005,MATCH(D320,'Items'!$A$6:$A$1005,0)),"MISSING ID")</x:f>
        <x:v>Faunal joint grease</x:v>
      </x:c>
      <x:c r="F320" s="4" t="str">
        <x:f>IFERROR(INDEX('Items'!$C$6:$C$1005,MATCH(D320,'Items'!$A$6:$A$1005,0)),"MISSING ID")</x:f>
        <x:v>T2</x:v>
      </x:c>
      <x:c r="G320" s="4" t="str">
        <x:f>IFERROR(INDEX('Items'!$D$6:$D$1005,MATCH(D320,'Items'!$A$6:$A$1005,0)),"MISSING ID")</x:f>
        <x:v>Crafting components</x:v>
      </x:c>
      <x:c r="H320" s="4" t="str">
        <x:f>IFERROR(INDEX('Items'!$X$6:$X$1005,MATCH(D320,'Items'!$A$6:$A$1005,0)),"MISSING ID")</x:f>
        <x:v>Chemical material</x:v>
      </x:c>
      <x:c r="I320" s="4"/>
      <x:c r="J320" s="4" t="str">
        <x:v>Unspecified</x:v>
      </x:c>
      <x:c r="K320" s="4" t="str">
        <x:f>IFERROR(INDEX('Crafting recipes'!$D$6:$D$1005,MATCH(B320,'Crafting recipes'!$A$6:$A$1005,0)),"MISSING ID")</x:f>
        <x:v>Proposal</x:v>
      </x:c>
      <x:c r="L320" s="4" t="str">
        <x:f>IFERROR(INDEX('Items'!$AD$6:$AD$1005,MATCH(D320,'Items'!$A$6:$A$1005,0)),"MISSING ID")</x:f>
        <x:v>Proposal</x:v>
      </x:c>
      <x:c r="M320" s="4" t="str">
        <x:f>IFERROR(INDEX('Crafting recipes'!$E$6:$E$1005,MATCH(B320,'Crafting recipes'!$A$6:$A$1005,0)),"MISSING ID")</x:f>
        <x:v>Partial proposal</x:v>
      </x:c>
      <x:c r="N320" s="4" t="str">
        <x:v>Partial material route; no quantities, guarantees or accepted game recipe.</x:v>
      </x:c>
      <x:c r="O320" s="4" t="str">
        <x:v>New October 15 game brainstorming; current author request and Docs/WORLD_BASIS.md. Not retrieved source canon.</x:v>
      </x:c>
      <x:c r="P320" s="4" t="n">
        <x:f>IF(OR(C320="Ingredient candidate",C320="Consumed input",C320="Contained input",C320="Transform input"),IF(F320="T0",0,IF(F320="T1",1,IF(F320="T2",2,IF(F320="T3",3,IF(F320="T4",4,-1))))),-1)</x:f>
        <x:v>2</x:v>
      </x:c>
      <x:c r="Q320" s="4" t="n">
        <x:f>IF(AND(OR(C320="Ingredient candidate",C320="Consumed input",C320="Contained input",C320="Transform input"),P320=-1),1,0)</x:f>
        <x:v>0</x:v>
      </x:c>
    </x:row>
    <x:row r="321" ht="115" customHeight="1">
      <x:c r="A321" s="4" t="str">
        <x:v>design.t3.service_grease.in.2</x:v>
      </x:c>
      <x:c r="B321" s="4" t="str">
        <x:v>design.t3.service_grease</x:v>
      </x:c>
      <x:c r="C321" s="4" t="str">
        <x:v>Ingredient candidate</x:v>
      </x:c>
      <x:c r="D321" s="4" t="str">
        <x:v>proposal.lubricant.precision_oil</x:v>
      </x:c>
      <x:c r="E321" s="4" t="str">
        <x:f>IFERROR(INDEX('Items'!$B$6:$B$1005,MATCH(D321,'Items'!$A$6:$A$1005,0)),"MISSING ID")</x:f>
        <x:v>Fine mechanism oil</x:v>
      </x:c>
      <x:c r="F321" s="4" t="str">
        <x:f>IFERROR(INDEX('Items'!$C$6:$C$1005,MATCH(D321,'Items'!$A$6:$A$1005,0)),"MISSING ID")</x:f>
        <x:v>T2</x:v>
      </x:c>
      <x:c r="G321" s="4" t="str">
        <x:f>IFERROR(INDEX('Items'!$D$6:$D$1005,MATCH(D321,'Items'!$A$6:$A$1005,0)),"MISSING ID")</x:f>
        <x:v>Crafting components</x:v>
      </x:c>
      <x:c r="H321" s="4" t="str">
        <x:f>IFERROR(INDEX('Items'!$X$6:$X$1005,MATCH(D321,'Items'!$A$6:$A$1005,0)),"MISSING ID")</x:f>
        <x:v>Chemical material</x:v>
      </x:c>
      <x:c r="I321" s="4"/>
      <x:c r="J321" s="4" t="str">
        <x:v>Unspecified</x:v>
      </x:c>
      <x:c r="K321" s="4" t="str">
        <x:f>IFERROR(INDEX('Crafting recipes'!$D$6:$D$1005,MATCH(B321,'Crafting recipes'!$A$6:$A$1005,0)),"MISSING ID")</x:f>
        <x:v>Proposal</x:v>
      </x:c>
      <x:c r="L321" s="4" t="str">
        <x:f>IFERROR(INDEX('Items'!$AD$6:$AD$1005,MATCH(D321,'Items'!$A$6:$A$1005,0)),"MISSING ID")</x:f>
        <x:v>Proposal</x:v>
      </x:c>
      <x:c r="M321" s="4" t="str">
        <x:f>IFERROR(INDEX('Crafting recipes'!$E$6:$E$1005,MATCH(B321,'Crafting recipes'!$A$6:$A$1005,0)),"MISSING ID")</x:f>
        <x:v>Partial proposal</x:v>
      </x:c>
      <x:c r="N321" s="4" t="str">
        <x:v>Partial material route; no quantities, guarantees or accepted game recipe.</x:v>
      </x:c>
      <x:c r="O321" s="4" t="str">
        <x:v>New October 15 game brainstorming; current author request and Docs/WORLD_BASIS.md. Not retrieved source canon.</x:v>
      </x:c>
      <x:c r="P321" s="4" t="n">
        <x:f>IF(OR(C321="Ingredient candidate",C321="Consumed input",C321="Contained input",C321="Transform input"),IF(F321="T0",0,IF(F321="T1",1,IF(F321="T2",2,IF(F321="T3",3,IF(F321="T4",4,-1))))),-1)</x:f>
        <x:v>2</x:v>
      </x:c>
      <x:c r="Q321" s="4" t="n">
        <x:f>IF(AND(OR(C321="Ingredient candidate",C321="Consumed input",C321="Contained input",C321="Transform input"),P321=-1),1,0)</x:f>
        <x:v>0</x:v>
      </x:c>
    </x:row>
    <x:row r="322" ht="115" customHeight="1">
      <x:c r="A322" s="4" t="str">
        <x:v>design.t3.service_grease.out</x:v>
      </x:c>
      <x:c r="B322" s="4" t="str">
        <x:v>design.t3.service_grease</x:v>
      </x:c>
      <x:c r="C322" s="4" t="str">
        <x:v>Output</x:v>
      </x:c>
      <x:c r="D322" s="4" t="str">
        <x:v>proposal.t3.service_grease</x:v>
      </x:c>
      <x:c r="E322" s="4" t="str">
        <x:f>IFERROR(INDEX('Items'!$B$6:$B$1005,MATCH(D322,'Items'!$A$6:$A$1005,0)),"MISSING ID")</x:f>
        <x:v>Conditioned mechanism-service grease</x:v>
      </x:c>
      <x:c r="F322" s="4" t="str">
        <x:f>IFERROR(INDEX('Items'!$C$6:$C$1005,MATCH(D322,'Items'!$A$6:$A$1005,0)),"MISSING ID")</x:f>
        <x:v>T3</x:v>
      </x:c>
      <x:c r="G322" s="4" t="str">
        <x:f>IFERROR(INDEX('Items'!$D$6:$D$1005,MATCH(D322,'Items'!$A$6:$A$1005,0)),"MISSING ID")</x:f>
        <x:v>Crafting components</x:v>
      </x:c>
      <x:c r="H322" s="4" t="str">
        <x:f>IFERROR(INDEX('Items'!$X$6:$X$1005,MATCH(D322,'Items'!$A$6:$A$1005,0)),"MISSING ID")</x:f>
        <x:v>Chemical material</x:v>
      </x:c>
      <x:c r="I322" s="4"/>
      <x:c r="J322" s="4" t="str">
        <x:v>Unspecified</x:v>
      </x:c>
      <x:c r="K322" s="4" t="str">
        <x:f>IFERROR(INDEX('Crafting recipes'!$D$6:$D$1005,MATCH(B322,'Crafting recipes'!$A$6:$A$1005,0)),"MISSING ID")</x:f>
        <x:v>Proposal</x:v>
      </x:c>
      <x:c r="L322" s="4" t="str">
        <x:f>IFERROR(INDEX('Items'!$AD$6:$AD$1005,MATCH(D322,'Items'!$A$6:$A$1005,0)),"MISSING ID")</x:f>
        <x:v>Proposal</x:v>
      </x:c>
      <x:c r="M322" s="4" t="str">
        <x:f>IFERROR(INDEX('Crafting recipes'!$E$6:$E$1005,MATCH(B322,'Crafting recipes'!$A$6:$A$1005,0)),"MISSING ID")</x:f>
        <x:v>Partial proposal</x:v>
      </x:c>
      <x:c r="N322" s="4" t="str">
        <x:v>Partial material route; no quantities, guarantees or accepted game recipe.</x:v>
      </x:c>
      <x:c r="O322" s="4" t="str">
        <x:v>New October 15 game brainstorming; current author request and Docs/WORLD_BASIS.md. Not retrieved source canon.</x:v>
      </x:c>
      <x:c r="P322" s="4" t="n">
        <x:f>IF(OR(C322="Ingredient candidate",C322="Consumed input",C322="Contained input",C322="Transform input"),IF(F322="T0",0,IF(F322="T1",1,IF(F322="T2",2,IF(F322="T3",3,IF(F322="T4",4,-1))))),-1)</x:f>
        <x:v>-1</x:v>
      </x:c>
      <x:c r="Q322" s="4" t="n">
        <x:f>IF(AND(OR(C322="Ingredient candidate",C322="Consumed input",C322="Contained input",C322="Transform input"),P322=-1),1,0)</x:f>
        <x:v>0</x:v>
      </x:c>
    </x:row>
    <x:row r="323" ht="115" customHeight="1">
      <x:c r="A323" s="4" t="str">
        <x:v>design.t3.wing_seam.in.1</x:v>
      </x:c>
      <x:c r="B323" s="4" t="str">
        <x:v>design.t3.wing_seam</x:v>
      </x:c>
      <x:c r="C323" s="4" t="str">
        <x:v>Ingredient candidate</x:v>
      </x:c>
      <x:c r="D323" s="4" t="str">
        <x:v>proposal.branch.wing_membrane</x:v>
      </x:c>
      <x:c r="E323" s="4" t="str">
        <x:f>IFERROR(INDEX('Items'!$B$6:$B$1005,MATCH(D323,'Items'!$A$6:$A$1005,0)),"MISSING ID")</x:f>
        <x:v>Reinforced wing membrane</x:v>
      </x:c>
      <x:c r="F323" s="4" t="str">
        <x:f>IFERROR(INDEX('Items'!$C$6:$C$1005,MATCH(D323,'Items'!$A$6:$A$1005,0)),"MISSING ID")</x:f>
        <x:v>T2</x:v>
      </x:c>
      <x:c r="G323" s="4" t="str">
        <x:f>IFERROR(INDEX('Items'!$D$6:$D$1005,MATCH(D323,'Items'!$A$6:$A$1005,0)),"MISSING ID")</x:f>
        <x:v>Manufactured stock</x:v>
      </x:c>
      <x:c r="H323" s="4" t="str">
        <x:f>IFERROR(INDEX('Items'!$X$6:$X$1005,MATCH(D323,'Items'!$A$6:$A$1005,0)),"MISSING ID")</x:f>
        <x:v>Processed material</x:v>
      </x:c>
      <x:c r="I323" s="4"/>
      <x:c r="J323" s="4" t="str">
        <x:v>Unspecified</x:v>
      </x:c>
      <x:c r="K323" s="4" t="str">
        <x:f>IFERROR(INDEX('Crafting recipes'!$D$6:$D$1005,MATCH(B323,'Crafting recipes'!$A$6:$A$1005,0)),"MISSING ID")</x:f>
        <x:v>Proposal</x:v>
      </x:c>
      <x:c r="L323" s="4" t="str">
        <x:f>IFERROR(INDEX('Items'!$AD$6:$AD$1005,MATCH(D323,'Items'!$A$6:$A$1005,0)),"MISSING ID")</x:f>
        <x:v>Proposal</x:v>
      </x:c>
      <x:c r="M323" s="4" t="str">
        <x:f>IFERROR(INDEX('Crafting recipes'!$E$6:$E$1005,MATCH(B323,'Crafting recipes'!$A$6:$A$1005,0)),"MISSING ID")</x:f>
        <x:v>Partial proposal</x:v>
      </x:c>
      <x:c r="N323" s="4" t="str">
        <x:v>Partial material route; no quantities, guarantees or accepted game recipe.</x:v>
      </x:c>
      <x:c r="O323" s="4" t="str">
        <x:v>New October 15 game brainstorming; current author request and Docs/WORLD_BASIS.md. Not retrieved source canon.</x:v>
      </x:c>
      <x:c r="P323" s="4" t="n">
        <x:f>IF(OR(C323="Ingredient candidate",C323="Consumed input",C323="Contained input",C323="Transform input"),IF(F323="T0",0,IF(F323="T1",1,IF(F323="T2",2,IF(F323="T3",3,IF(F323="T4",4,-1))))),-1)</x:f>
        <x:v>2</x:v>
      </x:c>
      <x:c r="Q323" s="4" t="n">
        <x:f>IF(AND(OR(C323="Ingredient candidate",C323="Consumed input",C323="Contained input",C323="Transform input"),P323=-1),1,0)</x:f>
        <x:v>0</x:v>
      </x:c>
    </x:row>
    <x:row r="324" ht="115" customHeight="1">
      <x:c r="A324" s="4" t="str">
        <x:v>design.t3.wing_seam.in.2</x:v>
      </x:c>
      <x:c r="B324" s="4" t="str">
        <x:v>design.t3.wing_seam</x:v>
      </x:c>
      <x:c r="C324" s="4" t="str">
        <x:v>Ingredient candidate</x:v>
      </x:c>
      <x:c r="D324" s="4" t="str">
        <x:v>proposal.branch.flex_bond</x:v>
      </x:c>
      <x:c r="E324" s="4" t="str">
        <x:f>IFERROR(INDEX('Items'!$B$6:$B$1005,MATCH(D324,'Items'!$A$6:$A$1005,0)),"MISSING ID")</x:f>
        <x:v>Flexible membrane-bonding compound</x:v>
      </x:c>
      <x:c r="F324" s="4" t="str">
        <x:f>IFERROR(INDEX('Items'!$C$6:$C$1005,MATCH(D324,'Items'!$A$6:$A$1005,0)),"MISSING ID")</x:f>
        <x:v>T2</x:v>
      </x:c>
      <x:c r="G324" s="4" t="str">
        <x:f>IFERROR(INDEX('Items'!$D$6:$D$1005,MATCH(D324,'Items'!$A$6:$A$1005,0)),"MISSING ID")</x:f>
        <x:v>Crafting components</x:v>
      </x:c>
      <x:c r="H324" s="4" t="str">
        <x:f>IFERROR(INDEX('Items'!$X$6:$X$1005,MATCH(D324,'Items'!$A$6:$A$1005,0)),"MISSING ID")</x:f>
        <x:v>Chemical material</x:v>
      </x:c>
      <x:c r="I324" s="4"/>
      <x:c r="J324" s="4" t="str">
        <x:v>Unspecified</x:v>
      </x:c>
      <x:c r="K324" s="4" t="str">
        <x:f>IFERROR(INDEX('Crafting recipes'!$D$6:$D$1005,MATCH(B324,'Crafting recipes'!$A$6:$A$1005,0)),"MISSING ID")</x:f>
        <x:v>Proposal</x:v>
      </x:c>
      <x:c r="L324" s="4" t="str">
        <x:f>IFERROR(INDEX('Items'!$AD$6:$AD$1005,MATCH(D324,'Items'!$A$6:$A$1005,0)),"MISSING ID")</x:f>
        <x:v>Proposal</x:v>
      </x:c>
      <x:c r="M324" s="4" t="str">
        <x:f>IFERROR(INDEX('Crafting recipes'!$E$6:$E$1005,MATCH(B324,'Crafting recipes'!$A$6:$A$1005,0)),"MISSING ID")</x:f>
        <x:v>Partial proposal</x:v>
      </x:c>
      <x:c r="N324" s="4" t="str">
        <x:v>Partial material route; no quantities, guarantees or accepted game recipe.</x:v>
      </x:c>
      <x:c r="O324" s="4" t="str">
        <x:v>New October 15 game brainstorming; current author request and Docs/WORLD_BASIS.md. Not retrieved source canon.</x:v>
      </x:c>
      <x:c r="P324" s="4" t="n">
        <x:f>IF(OR(C324="Ingredient candidate",C324="Consumed input",C324="Contained input",C324="Transform input"),IF(F324="T0",0,IF(F324="T1",1,IF(F324="T2",2,IF(F324="T3",3,IF(F324="T4",4,-1))))),-1)</x:f>
        <x:v>2</x:v>
      </x:c>
      <x:c r="Q324" s="4" t="n">
        <x:f>IF(AND(OR(C324="Ingredient candidate",C324="Consumed input",C324="Contained input",C324="Transform input"),P324=-1),1,0)</x:f>
        <x:v>0</x:v>
      </x:c>
    </x:row>
    <x:row r="325" ht="115" customHeight="1">
      <x:c r="A325" s="4" t="str">
        <x:v>design.t3.wing_seam.out</x:v>
      </x:c>
      <x:c r="B325" s="4" t="str">
        <x:v>design.t3.wing_seam</x:v>
      </x:c>
      <x:c r="C325" s="4" t="str">
        <x:v>Output</x:v>
      </x:c>
      <x:c r="D325" s="4" t="str">
        <x:v>proposal.t3.wing_seam</x:v>
      </x:c>
      <x:c r="E325" s="4" t="str">
        <x:f>IFERROR(INDEX('Items'!$B$6:$B$1005,MATCH(D325,'Items'!$A$6:$A$1005,0)),"MISSING ID")</x:f>
        <x:v>Bonded wing-seam reinforcement strips</x:v>
      </x:c>
      <x:c r="F325" s="4" t="str">
        <x:f>IFERROR(INDEX('Items'!$C$6:$C$1005,MATCH(D325,'Items'!$A$6:$A$1005,0)),"MISSING ID")</x:f>
        <x:v>T3</x:v>
      </x:c>
      <x:c r="G325" s="4" t="str">
        <x:f>IFERROR(INDEX('Items'!$D$6:$D$1005,MATCH(D325,'Items'!$A$6:$A$1005,0)),"MISSING ID")</x:f>
        <x:v>Manufactured stock</x:v>
      </x:c>
      <x:c r="H325" s="4" t="str">
        <x:f>IFERROR(INDEX('Items'!$X$6:$X$1005,MATCH(D325,'Items'!$A$6:$A$1005,0)),"MISSING ID")</x:f>
        <x:v>Processed material</x:v>
      </x:c>
      <x:c r="I325" s="4"/>
      <x:c r="J325" s="4" t="str">
        <x:v>Unspecified</x:v>
      </x:c>
      <x:c r="K325" s="4" t="str">
        <x:f>IFERROR(INDEX('Crafting recipes'!$D$6:$D$1005,MATCH(B325,'Crafting recipes'!$A$6:$A$1005,0)),"MISSING ID")</x:f>
        <x:v>Proposal</x:v>
      </x:c>
      <x:c r="L325" s="4" t="str">
        <x:f>IFERROR(INDEX('Items'!$AD$6:$AD$1005,MATCH(D325,'Items'!$A$6:$A$1005,0)),"MISSING ID")</x:f>
        <x:v>Proposal</x:v>
      </x:c>
      <x:c r="M325" s="4" t="str">
        <x:f>IFERROR(INDEX('Crafting recipes'!$E$6:$E$1005,MATCH(B325,'Crafting recipes'!$A$6:$A$1005,0)),"MISSING ID")</x:f>
        <x:v>Partial proposal</x:v>
      </x:c>
      <x:c r="N325" s="4" t="str">
        <x:v>Partial material route; no quantities, guarantees or accepted game recipe.</x:v>
      </x:c>
      <x:c r="O325" s="4" t="str">
        <x:v>New October 15 game brainstorming; current author request and Docs/WORLD_BASIS.md. Not retrieved source canon.</x:v>
      </x:c>
      <x:c r="P325" s="4" t="n">
        <x:f>IF(OR(C325="Ingredient candidate",C325="Consumed input",C325="Contained input",C325="Transform input"),IF(F325="T0",0,IF(F325="T1",1,IF(F325="T2",2,IF(F325="T3",3,IF(F325="T4",4,-1))))),-1)</x:f>
        <x:v>-1</x:v>
      </x:c>
      <x:c r="Q325" s="4" t="n">
        <x:f>IF(AND(OR(C325="Ingredient candidate",C325="Consumed input",C325="Contained input",C325="Transform input"),P325=-1),1,0)</x:f>
        <x:v>0</x:v>
      </x:c>
    </x:row>
    <x:row r="326" ht="115" customHeight="1">
      <x:c r="A326" s="4" t="str">
        <x:v>design.t3.sail_panel_set.in.1</x:v>
      </x:c>
      <x:c r="B326" s="4" t="str">
        <x:v>design.t3.sail_panel_set</x:v>
      </x:c>
      <x:c r="C326" s="4" t="str">
        <x:v>Ingredient candidate</x:v>
      </x:c>
      <x:c r="D326" s="4" t="str">
        <x:v>proposal.branch.wing_membrane</x:v>
      </x:c>
      <x:c r="E326" s="4" t="str">
        <x:f>IFERROR(INDEX('Items'!$B$6:$B$1005,MATCH(D326,'Items'!$A$6:$A$1005,0)),"MISSING ID")</x:f>
        <x:v>Reinforced wing membrane</x:v>
      </x:c>
      <x:c r="F326" s="4" t="str">
        <x:f>IFERROR(INDEX('Items'!$C$6:$C$1005,MATCH(D326,'Items'!$A$6:$A$1005,0)),"MISSING ID")</x:f>
        <x:v>T2</x:v>
      </x:c>
      <x:c r="G326" s="4" t="str">
        <x:f>IFERROR(INDEX('Items'!$D$6:$D$1005,MATCH(D326,'Items'!$A$6:$A$1005,0)),"MISSING ID")</x:f>
        <x:v>Manufactured stock</x:v>
      </x:c>
      <x:c r="H326" s="4" t="str">
        <x:f>IFERROR(INDEX('Items'!$X$6:$X$1005,MATCH(D326,'Items'!$A$6:$A$1005,0)),"MISSING ID")</x:f>
        <x:v>Processed material</x:v>
      </x:c>
      <x:c r="I326" s="4"/>
      <x:c r="J326" s="4" t="str">
        <x:v>Unspecified</x:v>
      </x:c>
      <x:c r="K326" s="4" t="str">
        <x:f>IFERROR(INDEX('Crafting recipes'!$D$6:$D$1005,MATCH(B326,'Crafting recipes'!$A$6:$A$1005,0)),"MISSING ID")</x:f>
        <x:v>Proposal</x:v>
      </x:c>
      <x:c r="L326" s="4" t="str">
        <x:f>IFERROR(INDEX('Items'!$AD$6:$AD$1005,MATCH(D326,'Items'!$A$6:$A$1005,0)),"MISSING ID")</x:f>
        <x:v>Proposal</x:v>
      </x:c>
      <x:c r="M326" s="4" t="str">
        <x:f>IFERROR(INDEX('Crafting recipes'!$E$6:$E$1005,MATCH(B326,'Crafting recipes'!$A$6:$A$1005,0)),"MISSING ID")</x:f>
        <x:v>Partial proposal</x:v>
      </x:c>
      <x:c r="N326" s="4" t="str">
        <x:v>Partial material route; no quantities, guarantees or accepted game recipe.</x:v>
      </x:c>
      <x:c r="O326" s="4" t="str">
        <x:v>New October 15 game brainstorming; current author request and Docs/WORLD_BASIS.md. Not retrieved source canon.</x:v>
      </x:c>
      <x:c r="P326" s="4" t="n">
        <x:f>IF(OR(C326="Ingredient candidate",C326="Consumed input",C326="Contained input",C326="Transform input"),IF(F326="T0",0,IF(F326="T1",1,IF(F326="T2",2,IF(F326="T3",3,IF(F326="T4",4,-1))))),-1)</x:f>
        <x:v>2</x:v>
      </x:c>
      <x:c r="Q326" s="4" t="n">
        <x:f>IF(AND(OR(C326="Ingredient candidate",C326="Consumed input",C326="Contained input",C326="Transform input"),P326=-1),1,0)</x:f>
        <x:v>0</x:v>
      </x:c>
    </x:row>
    <x:row r="327" ht="115" customHeight="1">
      <x:c r="A327" s="4" t="str">
        <x:v>design.t3.sail_panel_set.in.2</x:v>
      </x:c>
      <x:c r="B327" s="4" t="str">
        <x:v>design.t3.sail_panel_set</x:v>
      </x:c>
      <x:c r="C327" s="4" t="str">
        <x:v>Ingredient candidate</x:v>
      </x:c>
      <x:c r="D327" s="4" t="str">
        <x:v>proposal.branch.flex_bond</x:v>
      </x:c>
      <x:c r="E327" s="4" t="str">
        <x:f>IFERROR(INDEX('Items'!$B$6:$B$1005,MATCH(D327,'Items'!$A$6:$A$1005,0)),"MISSING ID")</x:f>
        <x:v>Flexible membrane-bonding compound</x:v>
      </x:c>
      <x:c r="F327" s="4" t="str">
        <x:f>IFERROR(INDEX('Items'!$C$6:$C$1005,MATCH(D327,'Items'!$A$6:$A$1005,0)),"MISSING ID")</x:f>
        <x:v>T2</x:v>
      </x:c>
      <x:c r="G327" s="4" t="str">
        <x:f>IFERROR(INDEX('Items'!$D$6:$D$1005,MATCH(D327,'Items'!$A$6:$A$1005,0)),"MISSING ID")</x:f>
        <x:v>Crafting components</x:v>
      </x:c>
      <x:c r="H327" s="4" t="str">
        <x:f>IFERROR(INDEX('Items'!$X$6:$X$1005,MATCH(D327,'Items'!$A$6:$A$1005,0)),"MISSING ID")</x:f>
        <x:v>Chemical material</x:v>
      </x:c>
      <x:c r="I327" s="4"/>
      <x:c r="J327" s="4" t="str">
        <x:v>Unspecified</x:v>
      </x:c>
      <x:c r="K327" s="4" t="str">
        <x:f>IFERROR(INDEX('Crafting recipes'!$D$6:$D$1005,MATCH(B327,'Crafting recipes'!$A$6:$A$1005,0)),"MISSING ID")</x:f>
        <x:v>Proposal</x:v>
      </x:c>
      <x:c r="L327" s="4" t="str">
        <x:f>IFERROR(INDEX('Items'!$AD$6:$AD$1005,MATCH(D327,'Items'!$A$6:$A$1005,0)),"MISSING ID")</x:f>
        <x:v>Proposal</x:v>
      </x:c>
      <x:c r="M327" s="4" t="str">
        <x:f>IFERROR(INDEX('Crafting recipes'!$E$6:$E$1005,MATCH(B327,'Crafting recipes'!$A$6:$A$1005,0)),"MISSING ID")</x:f>
        <x:v>Partial proposal</x:v>
      </x:c>
      <x:c r="N327" s="4" t="str">
        <x:v>Partial material route; no quantities, guarantees or accepted game recipe.</x:v>
      </x:c>
      <x:c r="O327" s="4" t="str">
        <x:v>New October 15 game brainstorming; current author request and Docs/WORLD_BASIS.md. Not retrieved source canon.</x:v>
      </x:c>
      <x:c r="P327" s="4" t="n">
        <x:f>IF(OR(C327="Ingredient candidate",C327="Consumed input",C327="Contained input",C327="Transform input"),IF(F327="T0",0,IF(F327="T1",1,IF(F327="T2",2,IF(F327="T3",3,IF(F327="T4",4,-1))))),-1)</x:f>
        <x:v>2</x:v>
      </x:c>
      <x:c r="Q327" s="4" t="n">
        <x:f>IF(AND(OR(C327="Ingredient candidate",C327="Consumed input",C327="Contained input",C327="Transform input"),P327=-1),1,0)</x:f>
        <x:v>0</x:v>
      </x:c>
    </x:row>
    <x:row r="328" ht="115" customHeight="1">
      <x:c r="A328" s="4" t="str">
        <x:v>design.t3.sail_panel_set.in.3</x:v>
      </x:c>
      <x:c r="B328" s="4" t="str">
        <x:v>design.t3.sail_panel_set</x:v>
      </x:c>
      <x:c r="C328" s="4" t="str">
        <x:v>Ingredient candidate</x:v>
      </x:c>
      <x:c r="D328" s="4" t="str">
        <x:v>proposal.branch.bearing_bronze</x:v>
      </x:c>
      <x:c r="E328" s="4" t="str">
        <x:f>IFERROR(INDEX('Items'!$B$6:$B$1005,MATCH(D328,'Items'!$A$6:$A$1005,0)),"MISSING ID")</x:f>
        <x:v>Prepared bronze bearing stock</x:v>
      </x:c>
      <x:c r="F328" s="4" t="str">
        <x:f>IFERROR(INDEX('Items'!$C$6:$C$1005,MATCH(D328,'Items'!$A$6:$A$1005,0)),"MISSING ID")</x:f>
        <x:v>T2</x:v>
      </x:c>
      <x:c r="G328" s="4" t="str">
        <x:f>IFERROR(INDEX('Items'!$D$6:$D$1005,MATCH(D328,'Items'!$A$6:$A$1005,0)),"MISSING ID")</x:f>
        <x:v>Manufactured stock</x:v>
      </x:c>
      <x:c r="H328" s="4" t="str">
        <x:f>IFERROR(INDEX('Items'!$X$6:$X$1005,MATCH(D328,'Items'!$A$6:$A$1005,0)),"MISSING ID")</x:f>
        <x:v>Processed material</x:v>
      </x:c>
      <x:c r="I328" s="4"/>
      <x:c r="J328" s="4" t="str">
        <x:v>Unspecified</x:v>
      </x:c>
      <x:c r="K328" s="4" t="str">
        <x:f>IFERROR(INDEX('Crafting recipes'!$D$6:$D$1005,MATCH(B328,'Crafting recipes'!$A$6:$A$1005,0)),"MISSING ID")</x:f>
        <x:v>Proposal</x:v>
      </x:c>
      <x:c r="L328" s="4" t="str">
        <x:f>IFERROR(INDEX('Items'!$AD$6:$AD$1005,MATCH(D328,'Items'!$A$6:$A$1005,0)),"MISSING ID")</x:f>
        <x:v>Proposal</x:v>
      </x:c>
      <x:c r="M328" s="4" t="str">
        <x:f>IFERROR(INDEX('Crafting recipes'!$E$6:$E$1005,MATCH(B328,'Crafting recipes'!$A$6:$A$1005,0)),"MISSING ID")</x:f>
        <x:v>Partial proposal</x:v>
      </x:c>
      <x:c r="N328" s="4" t="str">
        <x:v>Partial material route; no quantities, guarantees or accepted game recipe.</x:v>
      </x:c>
      <x:c r="O328" s="4" t="str">
        <x:v>New October 15 game brainstorming; current author request and Docs/WORLD_BASIS.md. Not retrieved source canon.</x:v>
      </x:c>
      <x:c r="P328" s="4" t="n">
        <x:f>IF(OR(C328="Ingredient candidate",C328="Consumed input",C328="Contained input",C328="Transform input"),IF(F328="T0",0,IF(F328="T1",1,IF(F328="T2",2,IF(F328="T3",3,IF(F328="T4",4,-1))))),-1)</x:f>
        <x:v>2</x:v>
      </x:c>
      <x:c r="Q328" s="4" t="n">
        <x:f>IF(AND(OR(C328="Ingredient candidate",C328="Consumed input",C328="Contained input",C328="Transform input"),P328=-1),1,0)</x:f>
        <x:v>0</x:v>
      </x:c>
    </x:row>
    <x:row r="329" ht="115" customHeight="1">
      <x:c r="A329" s="4" t="str">
        <x:v>design.t3.sail_panel_set.out</x:v>
      </x:c>
      <x:c r="B329" s="4" t="str">
        <x:v>design.t3.sail_panel_set</x:v>
      </x:c>
      <x:c r="C329" s="4" t="str">
        <x:v>Output</x:v>
      </x:c>
      <x:c r="D329" s="4" t="str">
        <x:v>proposal.t3.sail_panel_set</x:v>
      </x:c>
      <x:c r="E329" s="4" t="str">
        <x:f>IFERROR(INDEX('Items'!$B$6:$B$1005,MATCH(D329,'Items'!$A$6:$A$1005,0)),"MISSING ID")</x:f>
        <x:v>Matched folding wing-panel sets</x:v>
      </x:c>
      <x:c r="F329" s="4" t="str">
        <x:f>IFERROR(INDEX('Items'!$C$6:$C$1005,MATCH(D329,'Items'!$A$6:$A$1005,0)),"MISSING ID")</x:f>
        <x:v>T3</x:v>
      </x:c>
      <x:c r="G329" s="4" t="str">
        <x:f>IFERROR(INDEX('Items'!$D$6:$D$1005,MATCH(D329,'Items'!$A$6:$A$1005,0)),"MISSING ID")</x:f>
        <x:v>Crafting components</x:v>
      </x:c>
      <x:c r="H329" s="4" t="str">
        <x:f>IFERROR(INDEX('Items'!$X$6:$X$1005,MATCH(D329,'Items'!$A$6:$A$1005,0)),"MISSING ID")</x:f>
        <x:v>Crafting component</x:v>
      </x:c>
      <x:c r="I329" s="4"/>
      <x:c r="J329" s="4" t="str">
        <x:v>Unspecified</x:v>
      </x:c>
      <x:c r="K329" s="4" t="str">
        <x:f>IFERROR(INDEX('Crafting recipes'!$D$6:$D$1005,MATCH(B329,'Crafting recipes'!$A$6:$A$1005,0)),"MISSING ID")</x:f>
        <x:v>Proposal</x:v>
      </x:c>
      <x:c r="L329" s="4" t="str">
        <x:f>IFERROR(INDEX('Items'!$AD$6:$AD$1005,MATCH(D329,'Items'!$A$6:$A$1005,0)),"MISSING ID")</x:f>
        <x:v>Proposal</x:v>
      </x:c>
      <x:c r="M329" s="4" t="str">
        <x:f>IFERROR(INDEX('Crafting recipes'!$E$6:$E$1005,MATCH(B329,'Crafting recipes'!$A$6:$A$1005,0)),"MISSING ID")</x:f>
        <x:v>Partial proposal</x:v>
      </x:c>
      <x:c r="N329" s="4" t="str">
        <x:v>Partial material route; no quantities, guarantees or accepted game recipe.</x:v>
      </x:c>
      <x:c r="O329" s="4" t="str">
        <x:v>New October 15 game brainstorming; current author request and Docs/WORLD_BASIS.md. Not retrieved source canon.</x:v>
      </x:c>
      <x:c r="P329" s="4" t="n">
        <x:f>IF(OR(C329="Ingredient candidate",C329="Consumed input",C329="Contained input",C329="Transform input"),IF(F329="T0",0,IF(F329="T1",1,IF(F329="T2",2,IF(F329="T3",3,IF(F329="T4",4,-1))))),-1)</x:f>
        <x:v>-1</x:v>
      </x:c>
      <x:c r="Q329" s="4" t="n">
        <x:f>IF(AND(OR(C329="Ingredient candidate",C329="Consumed input",C329="Contained input",C329="Transform input"),P329=-1),1,0)</x:f>
        <x:v>0</x:v>
      </x:c>
    </x:row>
    <x:row r="330" ht="115" customHeight="1">
      <x:c r="A330" s="4" t="str">
        <x:v>design.t3.husk_joint.in.1</x:v>
      </x:c>
      <x:c r="B330" s="4" t="str">
        <x:v>design.t3.husk_joint</x:v>
      </x:c>
      <x:c r="C330" s="4" t="str">
        <x:v>Ingredient candidate</x:v>
      </x:c>
      <x:c r="D330" s="4" t="str">
        <x:v>proposal.branch.husk_sheet</x:v>
      </x:c>
      <x:c r="E330" s="4" t="str">
        <x:f>IFERROR(INDEX('Items'!$B$6:$B$1005,MATCH(D330,'Items'!$A$6:$A$1005,0)),"MISSING ID")</x:f>
        <x:v>Bonded husk sheet</x:v>
      </x:c>
      <x:c r="F330" s="4" t="str">
        <x:f>IFERROR(INDEX('Items'!$C$6:$C$1005,MATCH(D330,'Items'!$A$6:$A$1005,0)),"MISSING ID")</x:f>
        <x:v>T2</x:v>
      </x:c>
      <x:c r="G330" s="4" t="str">
        <x:f>IFERROR(INDEX('Items'!$D$6:$D$1005,MATCH(D330,'Items'!$A$6:$A$1005,0)),"MISSING ID")</x:f>
        <x:v>Manufactured stock</x:v>
      </x:c>
      <x:c r="H330" s="4" t="str">
        <x:f>IFERROR(INDEX('Items'!$X$6:$X$1005,MATCH(D330,'Items'!$A$6:$A$1005,0)),"MISSING ID")</x:f>
        <x:v>Processed material</x:v>
      </x:c>
      <x:c r="I330" s="4"/>
      <x:c r="J330" s="4" t="str">
        <x:v>Unspecified</x:v>
      </x:c>
      <x:c r="K330" s="4" t="str">
        <x:f>IFERROR(INDEX('Crafting recipes'!$D$6:$D$1005,MATCH(B330,'Crafting recipes'!$A$6:$A$1005,0)),"MISSING ID")</x:f>
        <x:v>Proposal</x:v>
      </x:c>
      <x:c r="L330" s="4" t="str">
        <x:f>IFERROR(INDEX('Items'!$AD$6:$AD$1005,MATCH(D330,'Items'!$A$6:$A$1005,0)),"MISSING ID")</x:f>
        <x:v>Proposal</x:v>
      </x:c>
      <x:c r="M330" s="4" t="str">
        <x:f>IFERROR(INDEX('Crafting recipes'!$E$6:$E$1005,MATCH(B330,'Crafting recipes'!$A$6:$A$1005,0)),"MISSING ID")</x:f>
        <x:v>Partial proposal</x:v>
      </x:c>
      <x:c r="N330" s="4" t="str">
        <x:v>Partial material route; no quantities, guarantees or accepted game recipe.</x:v>
      </x:c>
      <x:c r="O330" s="4" t="str">
        <x:v>New October 15 game brainstorming; current author request and Docs/WORLD_BASIS.md. Not retrieved source canon.</x:v>
      </x:c>
      <x:c r="P330" s="4" t="n">
        <x:f>IF(OR(C330="Ingredient candidate",C330="Consumed input",C330="Contained input",C330="Transform input"),IF(F330="T0",0,IF(F330="T1",1,IF(F330="T2",2,IF(F330="T3",3,IF(F330="T4",4,-1))))),-1)</x:f>
        <x:v>2</x:v>
      </x:c>
      <x:c r="Q330" s="4" t="n">
        <x:f>IF(AND(OR(C330="Ingredient candidate",C330="Consumed input",C330="Contained input",C330="Transform input"),P330=-1),1,0)</x:f>
        <x:v>0</x:v>
      </x:c>
    </x:row>
    <x:row r="331" ht="115" customHeight="1">
      <x:c r="A331" s="4" t="str">
        <x:v>design.t3.husk_joint.in.2</x:v>
      </x:c>
      <x:c r="B331" s="4" t="str">
        <x:v>design.t3.husk_joint</x:v>
      </x:c>
      <x:c r="C331" s="4" t="str">
        <x:v>Ingredient candidate</x:v>
      </x:c>
      <x:c r="D331" s="4" t="str">
        <x:v>proposal.branch.flex_bond</x:v>
      </x:c>
      <x:c r="E331" s="4" t="str">
        <x:f>IFERROR(INDEX('Items'!$B$6:$B$1005,MATCH(D331,'Items'!$A$6:$A$1005,0)),"MISSING ID")</x:f>
        <x:v>Flexible membrane-bonding compound</x:v>
      </x:c>
      <x:c r="F331" s="4" t="str">
        <x:f>IFERROR(INDEX('Items'!$C$6:$C$1005,MATCH(D331,'Items'!$A$6:$A$1005,0)),"MISSING ID")</x:f>
        <x:v>T2</x:v>
      </x:c>
      <x:c r="G331" s="4" t="str">
        <x:f>IFERROR(INDEX('Items'!$D$6:$D$1005,MATCH(D331,'Items'!$A$6:$A$1005,0)),"MISSING ID")</x:f>
        <x:v>Crafting components</x:v>
      </x:c>
      <x:c r="H331" s="4" t="str">
        <x:f>IFERROR(INDEX('Items'!$X$6:$X$1005,MATCH(D331,'Items'!$A$6:$A$1005,0)),"MISSING ID")</x:f>
        <x:v>Chemical material</x:v>
      </x:c>
      <x:c r="I331" s="4"/>
      <x:c r="J331" s="4" t="str">
        <x:v>Unspecified</x:v>
      </x:c>
      <x:c r="K331" s="4" t="str">
        <x:f>IFERROR(INDEX('Crafting recipes'!$D$6:$D$1005,MATCH(B331,'Crafting recipes'!$A$6:$A$1005,0)),"MISSING ID")</x:f>
        <x:v>Proposal</x:v>
      </x:c>
      <x:c r="L331" s="4" t="str">
        <x:f>IFERROR(INDEX('Items'!$AD$6:$AD$1005,MATCH(D331,'Items'!$A$6:$A$1005,0)),"MISSING ID")</x:f>
        <x:v>Proposal</x:v>
      </x:c>
      <x:c r="M331" s="4" t="str">
        <x:f>IFERROR(INDEX('Crafting recipes'!$E$6:$E$1005,MATCH(B331,'Crafting recipes'!$A$6:$A$1005,0)),"MISSING ID")</x:f>
        <x:v>Partial proposal</x:v>
      </x:c>
      <x:c r="N331" s="4" t="str">
        <x:v>Partial material route; no quantities, guarantees or accepted game recipe.</x:v>
      </x:c>
      <x:c r="O331" s="4" t="str">
        <x:v>New October 15 game brainstorming; current author request and Docs/WORLD_BASIS.md. Not retrieved source canon.</x:v>
      </x:c>
      <x:c r="P331" s="4" t="n">
        <x:f>IF(OR(C331="Ingredient candidate",C331="Consumed input",C331="Contained input",C331="Transform input"),IF(F331="T0",0,IF(F331="T1",1,IF(F331="T2",2,IF(F331="T3",3,IF(F331="T4",4,-1))))),-1)</x:f>
        <x:v>2</x:v>
      </x:c>
      <x:c r="Q331" s="4" t="n">
        <x:f>IF(AND(OR(C331="Ingredient candidate",C331="Consumed input",C331="Contained input",C331="Transform input"),P331=-1),1,0)</x:f>
        <x:v>0</x:v>
      </x:c>
    </x:row>
    <x:row r="332" ht="115" customHeight="1">
      <x:c r="A332" s="4" t="str">
        <x:v>design.t3.husk_joint.out</x:v>
      </x:c>
      <x:c r="B332" s="4" t="str">
        <x:v>design.t3.husk_joint</x:v>
      </x:c>
      <x:c r="C332" s="4" t="str">
        <x:v>Output</x:v>
      </x:c>
      <x:c r="D332" s="4" t="str">
        <x:v>proposal.t3.husk_joint</x:v>
      </x:c>
      <x:c r="E332" s="4" t="str">
        <x:f>IFERROR(INDEX('Items'!$B$6:$B$1005,MATCH(D332,'Items'!$A$6:$A$1005,0)),"MISSING ID")</x:f>
        <x:v>Flexible husk joint strips</x:v>
      </x:c>
      <x:c r="F332" s="4" t="str">
        <x:f>IFERROR(INDEX('Items'!$C$6:$C$1005,MATCH(D332,'Items'!$A$6:$A$1005,0)),"MISSING ID")</x:f>
        <x:v>T3</x:v>
      </x:c>
      <x:c r="G332" s="4" t="str">
        <x:f>IFERROR(INDEX('Items'!$D$6:$D$1005,MATCH(D332,'Items'!$A$6:$A$1005,0)),"MISSING ID")</x:f>
        <x:v>Manufactured stock</x:v>
      </x:c>
      <x:c r="H332" s="4" t="str">
        <x:f>IFERROR(INDEX('Items'!$X$6:$X$1005,MATCH(D332,'Items'!$A$6:$A$1005,0)),"MISSING ID")</x:f>
        <x:v>Processed material</x:v>
      </x:c>
      <x:c r="I332" s="4"/>
      <x:c r="J332" s="4" t="str">
        <x:v>Unspecified</x:v>
      </x:c>
      <x:c r="K332" s="4" t="str">
        <x:f>IFERROR(INDEX('Crafting recipes'!$D$6:$D$1005,MATCH(B332,'Crafting recipes'!$A$6:$A$1005,0)),"MISSING ID")</x:f>
        <x:v>Proposal</x:v>
      </x:c>
      <x:c r="L332" s="4" t="str">
        <x:f>IFERROR(INDEX('Items'!$AD$6:$AD$1005,MATCH(D332,'Items'!$A$6:$A$1005,0)),"MISSING ID")</x:f>
        <x:v>Proposal</x:v>
      </x:c>
      <x:c r="M332" s="4" t="str">
        <x:f>IFERROR(INDEX('Crafting recipes'!$E$6:$E$1005,MATCH(B332,'Crafting recipes'!$A$6:$A$1005,0)),"MISSING ID")</x:f>
        <x:v>Partial proposal</x:v>
      </x:c>
      <x:c r="N332" s="4" t="str">
        <x:v>Partial material route; no quantities, guarantees or accepted game recipe.</x:v>
      </x:c>
      <x:c r="O332" s="4" t="str">
        <x:v>New October 15 game brainstorming; current author request and Docs/WORLD_BASIS.md. Not retrieved source canon.</x:v>
      </x:c>
      <x:c r="P332" s="4" t="n">
        <x:f>IF(OR(C332="Ingredient candidate",C332="Consumed input",C332="Contained input",C332="Transform input"),IF(F332="T0",0,IF(F332="T1",1,IF(F332="T2",2,IF(F332="T3",3,IF(F332="T4",4,-1))))),-1)</x:f>
        <x:v>-1</x:v>
      </x:c>
      <x:c r="Q332" s="4" t="n">
        <x:f>IF(AND(OR(C332="Ingredient candidate",C332="Consumed input",C332="Contained input",C332="Transform input"),P332=-1),1,0)</x:f>
        <x:v>0</x:v>
      </x:c>
    </x:row>
    <x:row r="333" ht="115" customHeight="1">
      <x:c r="A333" s="4" t="str">
        <x:v>design.t3.abrasive_stock.in.1</x:v>
      </x:c>
      <x:c r="B333" s="4" t="str">
        <x:v>design.t3.abrasive_stock</x:v>
      </x:c>
      <x:c r="C333" s="4" t="str">
        <x:v>Ingredient candidate</x:v>
      </x:c>
      <x:c r="D333" s="4" t="str">
        <x:v>author.metallurgy.steel_stock</x:v>
      </x:c>
      <x:c r="E333" s="4" t="str">
        <x:f>IFERROR(INDEX('Items'!$B$6:$B$1005,MATCH(D333,'Items'!$A$6:$A$1005,0)),"MISSING ID")</x:f>
        <x:v>Steel stock</x:v>
      </x:c>
      <x:c r="F333" s="4" t="str">
        <x:f>IFERROR(INDEX('Items'!$C$6:$C$1005,MATCH(D333,'Items'!$A$6:$A$1005,0)),"MISSING ID")</x:f>
        <x:v>T2</x:v>
      </x:c>
      <x:c r="G333" s="4" t="str">
        <x:f>IFERROR(INDEX('Items'!$D$6:$D$1005,MATCH(D333,'Items'!$A$6:$A$1005,0)),"MISSING ID")</x:f>
        <x:v>Manufactured stock</x:v>
      </x:c>
      <x:c r="H333" s="4" t="str">
        <x:f>IFERROR(INDEX('Items'!$X$6:$X$1005,MATCH(D333,'Items'!$A$6:$A$1005,0)),"MISSING ID")</x:f>
        <x:v>Processed material</x:v>
      </x:c>
      <x:c r="I333" s="4"/>
      <x:c r="J333" s="4" t="str">
        <x:v>Unspecified</x:v>
      </x:c>
      <x:c r="K333" s="4" t="str">
        <x:f>IFERROR(INDEX('Crafting recipes'!$D$6:$D$1005,MATCH(B333,'Crafting recipes'!$A$6:$A$1005,0)),"MISSING ID")</x:f>
        <x:v>Proposal</x:v>
      </x:c>
      <x:c r="L333" s="4" t="str">
        <x:f>IFERROR(INDEX('Items'!$AD$6:$AD$1005,MATCH(D333,'Items'!$A$6:$A$1005,0)),"MISSING ID")</x:f>
        <x:v>Author direction</x:v>
      </x:c>
      <x:c r="M333" s="4" t="str">
        <x:f>IFERROR(INDEX('Crafting recipes'!$E$6:$E$1005,MATCH(B333,'Crafting recipes'!$A$6:$A$1005,0)),"MISSING ID")</x:f>
        <x:v>Partial proposal</x:v>
      </x:c>
      <x:c r="N333" s="4" t="str">
        <x:v>Partial material route; no quantities, guarantees or accepted game recipe.</x:v>
      </x:c>
      <x:c r="O333" s="4" t="str">
        <x:v>New October 15 game brainstorming; current author request and Docs/WORLD_BASIS.md. Not retrieved source canon.</x:v>
      </x:c>
      <x:c r="P333" s="4" t="n">
        <x:f>IF(OR(C333="Ingredient candidate",C333="Consumed input",C333="Contained input",C333="Transform input"),IF(F333="T0",0,IF(F333="T1",1,IF(F333="T2",2,IF(F333="T3",3,IF(F333="T4",4,-1))))),-1)</x:f>
        <x:v>2</x:v>
      </x:c>
      <x:c r="Q333" s="4" t="n">
        <x:f>IF(AND(OR(C333="Ingredient candidate",C333="Consumed input",C333="Contained input",C333="Transform input"),P333=-1),1,0)</x:f>
        <x:v>0</x:v>
      </x:c>
    </x:row>
    <x:row r="334" ht="115" customHeight="1">
      <x:c r="A334" s="4" t="str">
        <x:v>design.t3.abrasive_stock.in.2</x:v>
      </x:c>
      <x:c r="B334" s="4" t="str">
        <x:v>design.t3.abrasive_stock</x:v>
      </x:c>
      <x:c r="C334" s="4" t="str">
        <x:v>Ingredient candidate</x:v>
      </x:c>
      <x:c r="D334" s="4" t="str">
        <x:v>proposal.branch.filled_binder</x:v>
      </x:c>
      <x:c r="E334" s="4" t="str">
        <x:f>IFERROR(INDEX('Items'!$B$6:$B$1005,MATCH(D334,'Items'!$A$6:$A$1005,0)),"MISSING ID")</x:f>
        <x:v>Filled shell-binding compound</x:v>
      </x:c>
      <x:c r="F334" s="4" t="str">
        <x:f>IFERROR(INDEX('Items'!$C$6:$C$1005,MATCH(D334,'Items'!$A$6:$A$1005,0)),"MISSING ID")</x:f>
        <x:v>T2</x:v>
      </x:c>
      <x:c r="G334" s="4" t="str">
        <x:f>IFERROR(INDEX('Items'!$D$6:$D$1005,MATCH(D334,'Items'!$A$6:$A$1005,0)),"MISSING ID")</x:f>
        <x:v>Crafting components</x:v>
      </x:c>
      <x:c r="H334" s="4" t="str">
        <x:f>IFERROR(INDEX('Items'!$X$6:$X$1005,MATCH(D334,'Items'!$A$6:$A$1005,0)),"MISSING ID")</x:f>
        <x:v>Chemical material</x:v>
      </x:c>
      <x:c r="I334" s="4"/>
      <x:c r="J334" s="4" t="str">
        <x:v>Unspecified</x:v>
      </x:c>
      <x:c r="K334" s="4" t="str">
        <x:f>IFERROR(INDEX('Crafting recipes'!$D$6:$D$1005,MATCH(B334,'Crafting recipes'!$A$6:$A$1005,0)),"MISSING ID")</x:f>
        <x:v>Proposal</x:v>
      </x:c>
      <x:c r="L334" s="4" t="str">
        <x:f>IFERROR(INDEX('Items'!$AD$6:$AD$1005,MATCH(D334,'Items'!$A$6:$A$1005,0)),"MISSING ID")</x:f>
        <x:v>Proposal</x:v>
      </x:c>
      <x:c r="M334" s="4" t="str">
        <x:f>IFERROR(INDEX('Crafting recipes'!$E$6:$E$1005,MATCH(B334,'Crafting recipes'!$A$6:$A$1005,0)),"MISSING ID")</x:f>
        <x:v>Partial proposal</x:v>
      </x:c>
      <x:c r="N334" s="4" t="str">
        <x:v>Partial material route; no quantities, guarantees or accepted game recipe.</x:v>
      </x:c>
      <x:c r="O334" s="4" t="str">
        <x:v>New October 15 game brainstorming; current author request and Docs/WORLD_BASIS.md. Not retrieved source canon.</x:v>
      </x:c>
      <x:c r="P334" s="4" t="n">
        <x:f>IF(OR(C334="Ingredient candidate",C334="Consumed input",C334="Contained input",C334="Transform input"),IF(F334="T0",0,IF(F334="T1",1,IF(F334="T2",2,IF(F334="T3",3,IF(F334="T4",4,-1))))),-1)</x:f>
        <x:v>2</x:v>
      </x:c>
      <x:c r="Q334" s="4" t="n">
        <x:f>IF(AND(OR(C334="Ingredient candidate",C334="Consumed input",C334="Contained input",C334="Transform input"),P334=-1),1,0)</x:f>
        <x:v>0</x:v>
      </x:c>
    </x:row>
    <x:row r="335" ht="115" customHeight="1">
      <x:c r="A335" s="4" t="str">
        <x:v>design.t3.abrasive_stock.in.3</x:v>
      </x:c>
      <x:c r="B335" s="4" t="str">
        <x:v>design.t3.abrasive_stock</x:v>
      </x:c>
      <x:c r="C335" s="4" t="str">
        <x:v>Ingredient candidate</x:v>
      </x:c>
      <x:c r="D335" s="4" t="str">
        <x:v>proposal.natural.abrasive</x:v>
      </x:c>
      <x:c r="E335" s="4" t="str">
        <x:f>IFERROR(INDEX('Items'!$B$6:$B$1005,MATCH(D335,'Items'!$A$6:$A$1005,0)),"MISSING ID")</x:f>
        <x:v>Graded abrasive grit</x:v>
      </x:c>
      <x:c r="F335" s="4" t="str">
        <x:f>IFERROR(INDEX('Items'!$C$6:$C$1005,MATCH(D335,'Items'!$A$6:$A$1005,0)),"MISSING ID")</x:f>
        <x:v>T1</x:v>
      </x:c>
      <x:c r="G335" s="4" t="str">
        <x:f>IFERROR(INDEX('Items'!$D$6:$D$1005,MATCH(D335,'Items'!$A$6:$A$1005,0)),"MISSING ID")</x:f>
        <x:v>Manufactured stock</x:v>
      </x:c>
      <x:c r="H335" s="4" t="str">
        <x:f>IFERROR(INDEX('Items'!$X$6:$X$1005,MATCH(D335,'Items'!$A$6:$A$1005,0)),"MISSING ID")</x:f>
        <x:v>Processed material</x:v>
      </x:c>
      <x:c r="I335" s="4"/>
      <x:c r="J335" s="4" t="str">
        <x:v>Unspecified</x:v>
      </x:c>
      <x:c r="K335" s="4" t="str">
        <x:f>IFERROR(INDEX('Crafting recipes'!$D$6:$D$1005,MATCH(B335,'Crafting recipes'!$A$6:$A$1005,0)),"MISSING ID")</x:f>
        <x:v>Proposal</x:v>
      </x:c>
      <x:c r="L335" s="4" t="str">
        <x:f>IFERROR(INDEX('Items'!$AD$6:$AD$1005,MATCH(D335,'Items'!$A$6:$A$1005,0)),"MISSING ID")</x:f>
        <x:v>Proposal</x:v>
      </x:c>
      <x:c r="M335" s="4" t="str">
        <x:f>IFERROR(INDEX('Crafting recipes'!$E$6:$E$1005,MATCH(B335,'Crafting recipes'!$A$6:$A$1005,0)),"MISSING ID")</x:f>
        <x:v>Partial proposal</x:v>
      </x:c>
      <x:c r="N335" s="4" t="str">
        <x:v>Partial material route; no quantities, guarantees or accepted game recipe.</x:v>
      </x:c>
      <x:c r="O335" s="4" t="str">
        <x:v>New October 15 game brainstorming; current author request and Docs/WORLD_BASIS.md. Not retrieved source canon.</x:v>
      </x:c>
      <x:c r="P335" s="4" t="n">
        <x:f>IF(OR(C335="Ingredient candidate",C335="Consumed input",C335="Contained input",C335="Transform input"),IF(F335="T0",0,IF(F335="T1",1,IF(F335="T2",2,IF(F335="T3",3,IF(F335="T4",4,-1))))),-1)</x:f>
        <x:v>1</x:v>
      </x:c>
      <x:c r="Q335" s="4" t="n">
        <x:f>IF(AND(OR(C335="Ingredient candidate",C335="Consumed input",C335="Contained input",C335="Transform input"),P335=-1),1,0)</x:f>
        <x:v>0</x:v>
      </x:c>
    </x:row>
    <x:row r="336" ht="115" customHeight="1">
      <x:c r="A336" s="4" t="str">
        <x:v>design.t3.abrasive_stock.out</x:v>
      </x:c>
      <x:c r="B336" s="4" t="str">
        <x:v>design.t3.abrasive_stock</x:v>
      </x:c>
      <x:c r="C336" s="4" t="str">
        <x:v>Output</x:v>
      </x:c>
      <x:c r="D336" s="4" t="str">
        <x:v>proposal.t3.abrasive_stock</x:v>
      </x:c>
      <x:c r="E336" s="4" t="str">
        <x:f>IFERROR(INDEX('Items'!$B$6:$B$1005,MATCH(D336,'Items'!$A$6:$A$1005,0)),"MISSING ID")</x:f>
        <x:v>Bonded abrasive-faced stock</x:v>
      </x:c>
      <x:c r="F336" s="4" t="str">
        <x:f>IFERROR(INDEX('Items'!$C$6:$C$1005,MATCH(D336,'Items'!$A$6:$A$1005,0)),"MISSING ID")</x:f>
        <x:v>T3</x:v>
      </x:c>
      <x:c r="G336" s="4" t="str">
        <x:f>IFERROR(INDEX('Items'!$D$6:$D$1005,MATCH(D336,'Items'!$A$6:$A$1005,0)),"MISSING ID")</x:f>
        <x:v>Manufactured stock</x:v>
      </x:c>
      <x:c r="H336" s="4" t="str">
        <x:f>IFERROR(INDEX('Items'!$X$6:$X$1005,MATCH(D336,'Items'!$A$6:$A$1005,0)),"MISSING ID")</x:f>
        <x:v>Processed material</x:v>
      </x:c>
      <x:c r="I336" s="4"/>
      <x:c r="J336" s="4" t="str">
        <x:v>Unspecified</x:v>
      </x:c>
      <x:c r="K336" s="4" t="str">
        <x:f>IFERROR(INDEX('Crafting recipes'!$D$6:$D$1005,MATCH(B336,'Crafting recipes'!$A$6:$A$1005,0)),"MISSING ID")</x:f>
        <x:v>Proposal</x:v>
      </x:c>
      <x:c r="L336" s="4" t="str">
        <x:f>IFERROR(INDEX('Items'!$AD$6:$AD$1005,MATCH(D336,'Items'!$A$6:$A$1005,0)),"MISSING ID")</x:f>
        <x:v>Proposal</x:v>
      </x:c>
      <x:c r="M336" s="4" t="str">
        <x:f>IFERROR(INDEX('Crafting recipes'!$E$6:$E$1005,MATCH(B336,'Crafting recipes'!$A$6:$A$1005,0)),"MISSING ID")</x:f>
        <x:v>Partial proposal</x:v>
      </x:c>
      <x:c r="N336" s="4" t="str">
        <x:v>Partial material route; no quantities, guarantees or accepted game recipe.</x:v>
      </x:c>
      <x:c r="O336" s="4" t="str">
        <x:v>New October 15 game brainstorming; current author request and Docs/WORLD_BASIS.md. Not retrieved source canon.</x:v>
      </x:c>
      <x:c r="P336" s="4" t="n">
        <x:f>IF(OR(C336="Ingredient candidate",C336="Consumed input",C336="Contained input",C336="Transform input"),IF(F336="T0",0,IF(F336="T1",1,IF(F336="T2",2,IF(F336="T3",3,IF(F336="T4",4,-1))))),-1)</x:f>
        <x:v>-1</x:v>
      </x:c>
      <x:c r="Q336" s="4" t="n">
        <x:f>IF(AND(OR(C336="Ingredient candidate",C336="Consumed input",C336="Contained input",C336="Transform input"),P336=-1),1,0)</x:f>
        <x:v>0</x:v>
      </x:c>
    </x:row>
    <x:row r="337" ht="115" customHeight="1">
      <x:c r="A337" s="4" t="str">
        <x:v>design.t3.inlay_stock.in.1</x:v>
      </x:c>
      <x:c r="B337" s="4" t="str">
        <x:v>design.t3.inlay_stock</x:v>
      </x:c>
      <x:c r="C337" s="4" t="str">
        <x:v>Ingredient candidate</x:v>
      </x:c>
      <x:c r="D337" s="4" t="str">
        <x:v>proposal.branch.polished_gem</x:v>
      </x:c>
      <x:c r="E337" s="4" t="str">
        <x:f>IFERROR(INDEX('Items'!$B$6:$B$1005,MATCH(D337,'Items'!$A$6:$A$1005,0)),"MISSING ID")</x:f>
        <x:v>Polished gemstone blanks</x:v>
      </x:c>
      <x:c r="F337" s="4" t="str">
        <x:f>IFERROR(INDEX('Items'!$C$6:$C$1005,MATCH(D337,'Items'!$A$6:$A$1005,0)),"MISSING ID")</x:f>
        <x:v>T2</x:v>
      </x:c>
      <x:c r="G337" s="4" t="str">
        <x:f>IFERROR(INDEX('Items'!$D$6:$D$1005,MATCH(D337,'Items'!$A$6:$A$1005,0)),"MISSING ID")</x:f>
        <x:v>Manufactured stock</x:v>
      </x:c>
      <x:c r="H337" s="4" t="str">
        <x:f>IFERROR(INDEX('Items'!$X$6:$X$1005,MATCH(D337,'Items'!$A$6:$A$1005,0)),"MISSING ID")</x:f>
        <x:v>Processed material</x:v>
      </x:c>
      <x:c r="I337" s="4"/>
      <x:c r="J337" s="4" t="str">
        <x:v>Unspecified</x:v>
      </x:c>
      <x:c r="K337" s="4" t="str">
        <x:f>IFERROR(INDEX('Crafting recipes'!$D$6:$D$1005,MATCH(B337,'Crafting recipes'!$A$6:$A$1005,0)),"MISSING ID")</x:f>
        <x:v>Proposal</x:v>
      </x:c>
      <x:c r="L337" s="4" t="str">
        <x:f>IFERROR(INDEX('Items'!$AD$6:$AD$1005,MATCH(D337,'Items'!$A$6:$A$1005,0)),"MISSING ID")</x:f>
        <x:v>Proposal</x:v>
      </x:c>
      <x:c r="M337" s="4" t="str">
        <x:f>IFERROR(INDEX('Crafting recipes'!$E$6:$E$1005,MATCH(B337,'Crafting recipes'!$A$6:$A$1005,0)),"MISSING ID")</x:f>
        <x:v>Partial proposal</x:v>
      </x:c>
      <x:c r="N337" s="4" t="str">
        <x:v>Partial material route; no quantities, guarantees or accepted game recipe.</x:v>
      </x:c>
      <x:c r="O337" s="4" t="str">
        <x:v>New October 15 game brainstorming; current author request and Docs/WORLD_BASIS.md. Not retrieved source canon.</x:v>
      </x:c>
      <x:c r="P337" s="4" t="n">
        <x:f>IF(OR(C337="Ingredient candidate",C337="Consumed input",C337="Contained input",C337="Transform input"),IF(F337="T0",0,IF(F337="T1",1,IF(F337="T2",2,IF(F337="T3",3,IF(F337="T4",4,-1))))),-1)</x:f>
        <x:v>2</x:v>
      </x:c>
      <x:c r="Q337" s="4" t="n">
        <x:f>IF(AND(OR(C337="Ingredient candidate",C337="Consumed input",C337="Contained input",C337="Transform input"),P337=-1),1,0)</x:f>
        <x:v>0</x:v>
      </x:c>
    </x:row>
    <x:row r="338" ht="115" customHeight="1">
      <x:c r="A338" s="4" t="str">
        <x:v>design.t3.inlay_stock.in.2</x:v>
      </x:c>
      <x:c r="B338" s="4" t="str">
        <x:v>design.t3.inlay_stock</x:v>
      </x:c>
      <x:c r="C338" s="4" t="str">
        <x:v>Ingredient candidate</x:v>
      </x:c>
      <x:c r="D338" s="4" t="str">
        <x:v>author.metallurgy.steel_stock</x:v>
      </x:c>
      <x:c r="E338" s="4" t="str">
        <x:f>IFERROR(INDEX('Items'!$B$6:$B$1005,MATCH(D338,'Items'!$A$6:$A$1005,0)),"MISSING ID")</x:f>
        <x:v>Steel stock</x:v>
      </x:c>
      <x:c r="F338" s="4" t="str">
        <x:f>IFERROR(INDEX('Items'!$C$6:$C$1005,MATCH(D338,'Items'!$A$6:$A$1005,0)),"MISSING ID")</x:f>
        <x:v>T2</x:v>
      </x:c>
      <x:c r="G338" s="4" t="str">
        <x:f>IFERROR(INDEX('Items'!$D$6:$D$1005,MATCH(D338,'Items'!$A$6:$A$1005,0)),"MISSING ID")</x:f>
        <x:v>Manufactured stock</x:v>
      </x:c>
      <x:c r="H338" s="4" t="str">
        <x:f>IFERROR(INDEX('Items'!$X$6:$X$1005,MATCH(D338,'Items'!$A$6:$A$1005,0)),"MISSING ID")</x:f>
        <x:v>Processed material</x:v>
      </x:c>
      <x:c r="I338" s="4"/>
      <x:c r="J338" s="4" t="str">
        <x:v>Unspecified</x:v>
      </x:c>
      <x:c r="K338" s="4" t="str">
        <x:f>IFERROR(INDEX('Crafting recipes'!$D$6:$D$1005,MATCH(B338,'Crafting recipes'!$A$6:$A$1005,0)),"MISSING ID")</x:f>
        <x:v>Proposal</x:v>
      </x:c>
      <x:c r="L338" s="4" t="str">
        <x:f>IFERROR(INDEX('Items'!$AD$6:$AD$1005,MATCH(D338,'Items'!$A$6:$A$1005,0)),"MISSING ID")</x:f>
        <x:v>Author direction</x:v>
      </x:c>
      <x:c r="M338" s="4" t="str">
        <x:f>IFERROR(INDEX('Crafting recipes'!$E$6:$E$1005,MATCH(B338,'Crafting recipes'!$A$6:$A$1005,0)),"MISSING ID")</x:f>
        <x:v>Partial proposal</x:v>
      </x:c>
      <x:c r="N338" s="4" t="str">
        <x:v>Partial material route; no quantities, guarantees or accepted game recipe.</x:v>
      </x:c>
      <x:c r="O338" s="4" t="str">
        <x:v>New October 15 game brainstorming; current author request and Docs/WORLD_BASIS.md. Not retrieved source canon.</x:v>
      </x:c>
      <x:c r="P338" s="4" t="n">
        <x:f>IF(OR(C338="Ingredient candidate",C338="Consumed input",C338="Contained input",C338="Transform input"),IF(F338="T0",0,IF(F338="T1",1,IF(F338="T2",2,IF(F338="T3",3,IF(F338="T4",4,-1))))),-1)</x:f>
        <x:v>2</x:v>
      </x:c>
      <x:c r="Q338" s="4" t="n">
        <x:f>IF(AND(OR(C338="Ingredient candidate",C338="Consumed input",C338="Contained input",C338="Transform input"),P338=-1),1,0)</x:f>
        <x:v>0</x:v>
      </x:c>
    </x:row>
    <x:row r="339" ht="115" customHeight="1">
      <x:c r="A339" s="4" t="str">
        <x:v>design.t3.inlay_stock.in.3</x:v>
      </x:c>
      <x:c r="B339" s="4" t="str">
        <x:v>design.t3.inlay_stock</x:v>
      </x:c>
      <x:c r="C339" s="4" t="str">
        <x:v>Ingredient candidate</x:v>
      </x:c>
      <x:c r="D339" s="4" t="str">
        <x:v>proposal.branch.filled_binder</x:v>
      </x:c>
      <x:c r="E339" s="4" t="str">
        <x:f>IFERROR(INDEX('Items'!$B$6:$B$1005,MATCH(D339,'Items'!$A$6:$A$1005,0)),"MISSING ID")</x:f>
        <x:v>Filled shell-binding compound</x:v>
      </x:c>
      <x:c r="F339" s="4" t="str">
        <x:f>IFERROR(INDEX('Items'!$C$6:$C$1005,MATCH(D339,'Items'!$A$6:$A$1005,0)),"MISSING ID")</x:f>
        <x:v>T2</x:v>
      </x:c>
      <x:c r="G339" s="4" t="str">
        <x:f>IFERROR(INDEX('Items'!$D$6:$D$1005,MATCH(D339,'Items'!$A$6:$A$1005,0)),"MISSING ID")</x:f>
        <x:v>Crafting components</x:v>
      </x:c>
      <x:c r="H339" s="4" t="str">
        <x:f>IFERROR(INDEX('Items'!$X$6:$X$1005,MATCH(D339,'Items'!$A$6:$A$1005,0)),"MISSING ID")</x:f>
        <x:v>Chemical material</x:v>
      </x:c>
      <x:c r="I339" s="4"/>
      <x:c r="J339" s="4" t="str">
        <x:v>Unspecified</x:v>
      </x:c>
      <x:c r="K339" s="4" t="str">
        <x:f>IFERROR(INDEX('Crafting recipes'!$D$6:$D$1005,MATCH(B339,'Crafting recipes'!$A$6:$A$1005,0)),"MISSING ID")</x:f>
        <x:v>Proposal</x:v>
      </x:c>
      <x:c r="L339" s="4" t="str">
        <x:f>IFERROR(INDEX('Items'!$AD$6:$AD$1005,MATCH(D339,'Items'!$A$6:$A$1005,0)),"MISSING ID")</x:f>
        <x:v>Proposal</x:v>
      </x:c>
      <x:c r="M339" s="4" t="str">
        <x:f>IFERROR(INDEX('Crafting recipes'!$E$6:$E$1005,MATCH(B339,'Crafting recipes'!$A$6:$A$1005,0)),"MISSING ID")</x:f>
        <x:v>Partial proposal</x:v>
      </x:c>
      <x:c r="N339" s="4" t="str">
        <x:v>Partial material route; no quantities, guarantees or accepted game recipe.</x:v>
      </x:c>
      <x:c r="O339" s="4" t="str">
        <x:v>New October 15 game brainstorming; current author request and Docs/WORLD_BASIS.md. Not retrieved source canon.</x:v>
      </x:c>
      <x:c r="P339" s="4" t="n">
        <x:f>IF(OR(C339="Ingredient candidate",C339="Consumed input",C339="Contained input",C339="Transform input"),IF(F339="T0",0,IF(F339="T1",1,IF(F339="T2",2,IF(F339="T3",3,IF(F339="T4",4,-1))))),-1)</x:f>
        <x:v>2</x:v>
      </x:c>
      <x:c r="Q339" s="4" t="n">
        <x:f>IF(AND(OR(C339="Ingredient candidate",C339="Consumed input",C339="Contained input",C339="Transform input"),P339=-1),1,0)</x:f>
        <x:v>0</x:v>
      </x:c>
    </x:row>
    <x:row r="340" ht="115" customHeight="1">
      <x:c r="A340" s="4" t="str">
        <x:v>design.t3.inlay_stock.out</x:v>
      </x:c>
      <x:c r="B340" s="4" t="str">
        <x:v>design.t3.inlay_stock</x:v>
      </x:c>
      <x:c r="C340" s="4" t="str">
        <x:v>Output</x:v>
      </x:c>
      <x:c r="D340" s="4" t="str">
        <x:v>proposal.t3.inlay_stock</x:v>
      </x:c>
      <x:c r="E340" s="4" t="str">
        <x:f>IFERROR(INDEX('Items'!$B$6:$B$1005,MATCH(D340,'Items'!$A$6:$A$1005,0)),"MISSING ID")</x:f>
        <x:v>Gem-inlaid metal panel blanks</x:v>
      </x:c>
      <x:c r="F340" s="4" t="str">
        <x:f>IFERROR(INDEX('Items'!$C$6:$C$1005,MATCH(D340,'Items'!$A$6:$A$1005,0)),"MISSING ID")</x:f>
        <x:v>T3</x:v>
      </x:c>
      <x:c r="G340" s="4" t="str">
        <x:f>IFERROR(INDEX('Items'!$D$6:$D$1005,MATCH(D340,'Items'!$A$6:$A$1005,0)),"MISSING ID")</x:f>
        <x:v>Manufactured stock</x:v>
      </x:c>
      <x:c r="H340" s="4" t="str">
        <x:f>IFERROR(INDEX('Items'!$X$6:$X$1005,MATCH(D340,'Items'!$A$6:$A$1005,0)),"MISSING ID")</x:f>
        <x:v>Processed material</x:v>
      </x:c>
      <x:c r="I340" s="4"/>
      <x:c r="J340" s="4" t="str">
        <x:v>Unspecified</x:v>
      </x:c>
      <x:c r="K340" s="4" t="str">
        <x:f>IFERROR(INDEX('Crafting recipes'!$D$6:$D$1005,MATCH(B340,'Crafting recipes'!$A$6:$A$1005,0)),"MISSING ID")</x:f>
        <x:v>Proposal</x:v>
      </x:c>
      <x:c r="L340" s="4" t="str">
        <x:f>IFERROR(INDEX('Items'!$AD$6:$AD$1005,MATCH(D340,'Items'!$A$6:$A$1005,0)),"MISSING ID")</x:f>
        <x:v>Proposal</x:v>
      </x:c>
      <x:c r="M340" s="4" t="str">
        <x:f>IFERROR(INDEX('Crafting recipes'!$E$6:$E$1005,MATCH(B340,'Crafting recipes'!$A$6:$A$1005,0)),"MISSING ID")</x:f>
        <x:v>Partial proposal</x:v>
      </x:c>
      <x:c r="N340" s="4" t="str">
        <x:v>Partial material route; no quantities, guarantees or accepted game recipe.</x:v>
      </x:c>
      <x:c r="O340" s="4" t="str">
        <x:v>New October 15 game brainstorming; current author request and Docs/WORLD_BASIS.md. Not retrieved source canon.</x:v>
      </x:c>
      <x:c r="P340" s="4" t="n">
        <x:f>IF(OR(C340="Ingredient candidate",C340="Consumed input",C340="Contained input",C340="Transform input"),IF(F340="T0",0,IF(F340="T1",1,IF(F340="T2",2,IF(F340="T3",3,IF(F340="T4",4,-1))))),-1)</x:f>
        <x:v>-1</x:v>
      </x:c>
      <x:c r="Q340" s="4" t="n">
        <x:f>IF(AND(OR(C340="Ingredient candidate",C340="Consumed input",C340="Contained input",C340="Transform input"),P340=-1),1,0)</x:f>
        <x:v>0</x:v>
      </x:c>
    </x:row>
    <x:row r="341" ht="115" customHeight="1">
      <x:c r="A341" s="4" t="str">
        <x:v>design.t3.tuned_insert.in.1</x:v>
      </x:c>
      <x:c r="B341" s="4" t="str">
        <x:v>design.t3.tuned_insert</x:v>
      </x:c>
      <x:c r="C341" s="4" t="str">
        <x:v>Ingredient candidate</x:v>
      </x:c>
      <x:c r="D341" s="4" t="str">
        <x:v>proposal.branch.tuned_stone</x:v>
      </x:c>
      <x:c r="E341" s="4" t="str">
        <x:f>IFERROR(INDEX('Items'!$B$6:$B$1005,MATCH(D341,'Items'!$A$6:$A$1005,0)),"MISSING ID")</x:f>
        <x:v>Tuned stone stock</x:v>
      </x:c>
      <x:c r="F341" s="4" t="str">
        <x:f>IFERROR(INDEX('Items'!$C$6:$C$1005,MATCH(D341,'Items'!$A$6:$A$1005,0)),"MISSING ID")</x:f>
        <x:v>T2</x:v>
      </x:c>
      <x:c r="G341" s="4" t="str">
        <x:f>IFERROR(INDEX('Items'!$D$6:$D$1005,MATCH(D341,'Items'!$A$6:$A$1005,0)),"MISSING ID")</x:f>
        <x:v>Manufactured stock</x:v>
      </x:c>
      <x:c r="H341" s="4" t="str">
        <x:f>IFERROR(INDEX('Items'!$X$6:$X$1005,MATCH(D341,'Items'!$A$6:$A$1005,0)),"MISSING ID")</x:f>
        <x:v>Processed material</x:v>
      </x:c>
      <x:c r="I341" s="4"/>
      <x:c r="J341" s="4" t="str">
        <x:v>Unspecified</x:v>
      </x:c>
      <x:c r="K341" s="4" t="str">
        <x:f>IFERROR(INDEX('Crafting recipes'!$D$6:$D$1005,MATCH(B341,'Crafting recipes'!$A$6:$A$1005,0)),"MISSING ID")</x:f>
        <x:v>Proposal</x:v>
      </x:c>
      <x:c r="L341" s="4" t="str">
        <x:f>IFERROR(INDEX('Items'!$AD$6:$AD$1005,MATCH(D341,'Items'!$A$6:$A$1005,0)),"MISSING ID")</x:f>
        <x:v>Proposal</x:v>
      </x:c>
      <x:c r="M341" s="4" t="str">
        <x:f>IFERROR(INDEX('Crafting recipes'!$E$6:$E$1005,MATCH(B341,'Crafting recipes'!$A$6:$A$1005,0)),"MISSING ID")</x:f>
        <x:v>Partial proposal</x:v>
      </x:c>
      <x:c r="N341" s="4" t="str">
        <x:v>Partial material route; no quantities, guarantees or accepted game recipe.</x:v>
      </x:c>
      <x:c r="O341" s="4" t="str">
        <x:v>New October 15 game brainstorming; current author request and Docs/WORLD_BASIS.md. Not retrieved source canon.</x:v>
      </x:c>
      <x:c r="P341" s="4" t="n">
        <x:f>IF(OR(C341="Ingredient candidate",C341="Consumed input",C341="Contained input",C341="Transform input"),IF(F341="T0",0,IF(F341="T1",1,IF(F341="T2",2,IF(F341="T3",3,IF(F341="T4",4,-1))))),-1)</x:f>
        <x:v>2</x:v>
      </x:c>
      <x:c r="Q341" s="4" t="n">
        <x:f>IF(AND(OR(C341="Ingredient candidate",C341="Consumed input",C341="Contained input",C341="Transform input"),P341=-1),1,0)</x:f>
        <x:v>0</x:v>
      </x:c>
    </x:row>
    <x:row r="342" ht="115" customHeight="1">
      <x:c r="A342" s="4" t="str">
        <x:v>design.t3.tuned_insert.in.2</x:v>
      </x:c>
      <x:c r="B342" s="4" t="str">
        <x:v>design.t3.tuned_insert</x:v>
      </x:c>
      <x:c r="C342" s="4" t="str">
        <x:v>Ingredient candidate</x:v>
      </x:c>
      <x:c r="D342" s="4" t="str">
        <x:v>proposal.branch.bearing_bronze</x:v>
      </x:c>
      <x:c r="E342" s="4" t="str">
        <x:f>IFERROR(INDEX('Items'!$B$6:$B$1005,MATCH(D342,'Items'!$A$6:$A$1005,0)),"MISSING ID")</x:f>
        <x:v>Prepared bronze bearing stock</x:v>
      </x:c>
      <x:c r="F342" s="4" t="str">
        <x:f>IFERROR(INDEX('Items'!$C$6:$C$1005,MATCH(D342,'Items'!$A$6:$A$1005,0)),"MISSING ID")</x:f>
        <x:v>T2</x:v>
      </x:c>
      <x:c r="G342" s="4" t="str">
        <x:f>IFERROR(INDEX('Items'!$D$6:$D$1005,MATCH(D342,'Items'!$A$6:$A$1005,0)),"MISSING ID")</x:f>
        <x:v>Manufactured stock</x:v>
      </x:c>
      <x:c r="H342" s="4" t="str">
        <x:f>IFERROR(INDEX('Items'!$X$6:$X$1005,MATCH(D342,'Items'!$A$6:$A$1005,0)),"MISSING ID")</x:f>
        <x:v>Processed material</x:v>
      </x:c>
      <x:c r="I342" s="4"/>
      <x:c r="J342" s="4" t="str">
        <x:v>Unspecified</x:v>
      </x:c>
      <x:c r="K342" s="4" t="str">
        <x:f>IFERROR(INDEX('Crafting recipes'!$D$6:$D$1005,MATCH(B342,'Crafting recipes'!$A$6:$A$1005,0)),"MISSING ID")</x:f>
        <x:v>Proposal</x:v>
      </x:c>
      <x:c r="L342" s="4" t="str">
        <x:f>IFERROR(INDEX('Items'!$AD$6:$AD$1005,MATCH(D342,'Items'!$A$6:$A$1005,0)),"MISSING ID")</x:f>
        <x:v>Proposal</x:v>
      </x:c>
      <x:c r="M342" s="4" t="str">
        <x:f>IFERROR(INDEX('Crafting recipes'!$E$6:$E$1005,MATCH(B342,'Crafting recipes'!$A$6:$A$1005,0)),"MISSING ID")</x:f>
        <x:v>Partial proposal</x:v>
      </x:c>
      <x:c r="N342" s="4" t="str">
        <x:v>Partial material route; no quantities, guarantees or accepted game recipe.</x:v>
      </x:c>
      <x:c r="O342" s="4" t="str">
        <x:v>New October 15 game brainstorming; current author request and Docs/WORLD_BASIS.md. Not retrieved source canon.</x:v>
      </x:c>
      <x:c r="P342" s="4" t="n">
        <x:f>IF(OR(C342="Ingredient candidate",C342="Consumed input",C342="Contained input",C342="Transform input"),IF(F342="T0",0,IF(F342="T1",1,IF(F342="T2",2,IF(F342="T3",3,IF(F342="T4",4,-1))))),-1)</x:f>
        <x:v>2</x:v>
      </x:c>
      <x:c r="Q342" s="4" t="n">
        <x:f>IF(AND(OR(C342="Ingredient candidate",C342="Consumed input",C342="Contained input",C342="Transform input"),P342=-1),1,0)</x:f>
        <x:v>0</x:v>
      </x:c>
    </x:row>
    <x:row r="343" ht="115" customHeight="1">
      <x:c r="A343" s="4" t="str">
        <x:v>design.t3.tuned_insert.out</x:v>
      </x:c>
      <x:c r="B343" s="4" t="str">
        <x:v>design.t3.tuned_insert</x:v>
      </x:c>
      <x:c r="C343" s="4" t="str">
        <x:v>Output</x:v>
      </x:c>
      <x:c r="D343" s="4" t="str">
        <x:v>proposal.t3.tuned_insert</x:v>
      </x:c>
      <x:c r="E343" s="4" t="str">
        <x:f>IFERROR(INDEX('Items'!$B$6:$B$1005,MATCH(D343,'Items'!$A$6:$A$1005,0)),"MISSING ID")</x:f>
        <x:v>Mounted tuned-stone inserts</x:v>
      </x:c>
      <x:c r="F343" s="4" t="str">
        <x:f>IFERROR(INDEX('Items'!$C$6:$C$1005,MATCH(D343,'Items'!$A$6:$A$1005,0)),"MISSING ID")</x:f>
        <x:v>T3</x:v>
      </x:c>
      <x:c r="G343" s="4" t="str">
        <x:f>IFERROR(INDEX('Items'!$D$6:$D$1005,MATCH(D343,'Items'!$A$6:$A$1005,0)),"MISSING ID")</x:f>
        <x:v>Crafting components</x:v>
      </x:c>
      <x:c r="H343" s="4" t="str">
        <x:f>IFERROR(INDEX('Items'!$X$6:$X$1005,MATCH(D343,'Items'!$A$6:$A$1005,0)),"MISSING ID")</x:f>
        <x:v>Crafting component</x:v>
      </x:c>
      <x:c r="I343" s="4"/>
      <x:c r="J343" s="4" t="str">
        <x:v>Unspecified</x:v>
      </x:c>
      <x:c r="K343" s="4" t="str">
        <x:f>IFERROR(INDEX('Crafting recipes'!$D$6:$D$1005,MATCH(B343,'Crafting recipes'!$A$6:$A$1005,0)),"MISSING ID")</x:f>
        <x:v>Proposal</x:v>
      </x:c>
      <x:c r="L343" s="4" t="str">
        <x:f>IFERROR(INDEX('Items'!$AD$6:$AD$1005,MATCH(D343,'Items'!$A$6:$A$1005,0)),"MISSING ID")</x:f>
        <x:v>Proposal</x:v>
      </x:c>
      <x:c r="M343" s="4" t="str">
        <x:f>IFERROR(INDEX('Crafting recipes'!$E$6:$E$1005,MATCH(B343,'Crafting recipes'!$A$6:$A$1005,0)),"MISSING ID")</x:f>
        <x:v>Partial proposal</x:v>
      </x:c>
      <x:c r="N343" s="4" t="str">
        <x:v>Partial material route; no quantities, guarantees or accepted game recipe.</x:v>
      </x:c>
      <x:c r="O343" s="4" t="str">
        <x:v>New October 15 game brainstorming; current author request and Docs/WORLD_BASIS.md. Not retrieved source canon.</x:v>
      </x:c>
      <x:c r="P343" s="4" t="n">
        <x:f>IF(OR(C343="Ingredient candidate",C343="Consumed input",C343="Contained input",C343="Transform input"),IF(F343="T0",0,IF(F343="T1",1,IF(F343="T2",2,IF(F343="T3",3,IF(F343="T4",4,-1))))),-1)</x:f>
        <x:v>-1</x:v>
      </x:c>
      <x:c r="Q343" s="4" t="n">
        <x:f>IF(AND(OR(C343="Ingredient candidate",C343="Consumed input",C343="Contained input",C343="Transform input"),P343=-1),1,0)</x:f>
        <x:v>0</x:v>
      </x:c>
    </x:row>
    <x:row r="344" ht="115" customHeight="1">
      <x:c r="A344" s="4" t="str">
        <x:v>design.t3.hinged_shell.in.1</x:v>
      </x:c>
      <x:c r="B344" s="4" t="str">
        <x:v>design.t3.hinged_shell</x:v>
      </x:c>
      <x:c r="C344" s="4" t="str">
        <x:v>Ingredient candidate</x:v>
      </x:c>
      <x:c r="D344" s="4" t="str">
        <x:v>proposal.bio.laminate</x:v>
      </x:c>
      <x:c r="E344" s="4" t="str">
        <x:f>IFERROR(INDEX('Items'!$B$6:$B$1005,MATCH(D344,'Items'!$A$6:$A$1005,0)),"MISSING ID")</x:f>
        <x:v>Shell laminate</x:v>
      </x:c>
      <x:c r="F344" s="4" t="str">
        <x:f>IFERROR(INDEX('Items'!$C$6:$C$1005,MATCH(D344,'Items'!$A$6:$A$1005,0)),"MISSING ID")</x:f>
        <x:v>T2</x:v>
      </x:c>
      <x:c r="G344" s="4" t="str">
        <x:f>IFERROR(INDEX('Items'!$D$6:$D$1005,MATCH(D344,'Items'!$A$6:$A$1005,0)),"MISSING ID")</x:f>
        <x:v>Crafting components</x:v>
      </x:c>
      <x:c r="H344" s="4" t="str">
        <x:f>IFERROR(INDEX('Items'!$X$6:$X$1005,MATCH(D344,'Items'!$A$6:$A$1005,0)),"MISSING ID")</x:f>
        <x:v>Crafting component</x:v>
      </x:c>
      <x:c r="I344" s="4"/>
      <x:c r="J344" s="4" t="str">
        <x:v>Unspecified</x:v>
      </x:c>
      <x:c r="K344" s="4" t="str">
        <x:f>IFERROR(INDEX('Crafting recipes'!$D$6:$D$1005,MATCH(B344,'Crafting recipes'!$A$6:$A$1005,0)),"MISSING ID")</x:f>
        <x:v>Proposal</x:v>
      </x:c>
      <x:c r="L344" s="4" t="str">
        <x:f>IFERROR(INDEX('Items'!$AD$6:$AD$1005,MATCH(D344,'Items'!$A$6:$A$1005,0)),"MISSING ID")</x:f>
        <x:v>Proposal</x:v>
      </x:c>
      <x:c r="M344" s="4" t="str">
        <x:f>IFERROR(INDEX('Crafting recipes'!$E$6:$E$1005,MATCH(B344,'Crafting recipes'!$A$6:$A$1005,0)),"MISSING ID")</x:f>
        <x:v>Partial proposal</x:v>
      </x:c>
      <x:c r="N344" s="4" t="str">
        <x:v>Partial material route; no quantities, guarantees or accepted game recipe.</x:v>
      </x:c>
      <x:c r="O344" s="4" t="str">
        <x:v>New October 15 game brainstorming; current author request and Docs/WORLD_BASIS.md. Not retrieved source canon.</x:v>
      </x:c>
      <x:c r="P344" s="4" t="n">
        <x:f>IF(OR(C344="Ingredient candidate",C344="Consumed input",C344="Contained input",C344="Transform input"),IF(F344="T0",0,IF(F344="T1",1,IF(F344="T2",2,IF(F344="T3",3,IF(F344="T4",4,-1))))),-1)</x:f>
        <x:v>2</x:v>
      </x:c>
      <x:c r="Q344" s="4" t="n">
        <x:f>IF(AND(OR(C344="Ingredient candidate",C344="Consumed input",C344="Contained input",C344="Transform input"),P344=-1),1,0)</x:f>
        <x:v>0</x:v>
      </x:c>
    </x:row>
    <x:row r="345" ht="115" customHeight="1">
      <x:c r="A345" s="4" t="str">
        <x:v>design.t3.hinged_shell.in.2</x:v>
      </x:c>
      <x:c r="B345" s="4" t="str">
        <x:v>design.t3.hinged_shell</x:v>
      </x:c>
      <x:c r="C345" s="4" t="str">
        <x:v>Ingredient candidate</x:v>
      </x:c>
      <x:c r="D345" s="4" t="str">
        <x:v>proposal.branch.bearing_bronze</x:v>
      </x:c>
      <x:c r="E345" s="4" t="str">
        <x:f>IFERROR(INDEX('Items'!$B$6:$B$1005,MATCH(D345,'Items'!$A$6:$A$1005,0)),"MISSING ID")</x:f>
        <x:v>Prepared bronze bearing stock</x:v>
      </x:c>
      <x:c r="F345" s="4" t="str">
        <x:f>IFERROR(INDEX('Items'!$C$6:$C$1005,MATCH(D345,'Items'!$A$6:$A$1005,0)),"MISSING ID")</x:f>
        <x:v>T2</x:v>
      </x:c>
      <x:c r="G345" s="4" t="str">
        <x:f>IFERROR(INDEX('Items'!$D$6:$D$1005,MATCH(D345,'Items'!$A$6:$A$1005,0)),"MISSING ID")</x:f>
        <x:v>Manufactured stock</x:v>
      </x:c>
      <x:c r="H345" s="4" t="str">
        <x:f>IFERROR(INDEX('Items'!$X$6:$X$1005,MATCH(D345,'Items'!$A$6:$A$1005,0)),"MISSING ID")</x:f>
        <x:v>Processed material</x:v>
      </x:c>
      <x:c r="I345" s="4"/>
      <x:c r="J345" s="4" t="str">
        <x:v>Unspecified</x:v>
      </x:c>
      <x:c r="K345" s="4" t="str">
        <x:f>IFERROR(INDEX('Crafting recipes'!$D$6:$D$1005,MATCH(B345,'Crafting recipes'!$A$6:$A$1005,0)),"MISSING ID")</x:f>
        <x:v>Proposal</x:v>
      </x:c>
      <x:c r="L345" s="4" t="str">
        <x:f>IFERROR(INDEX('Items'!$AD$6:$AD$1005,MATCH(D345,'Items'!$A$6:$A$1005,0)),"MISSING ID")</x:f>
        <x:v>Proposal</x:v>
      </x:c>
      <x:c r="M345" s="4" t="str">
        <x:f>IFERROR(INDEX('Crafting recipes'!$E$6:$E$1005,MATCH(B345,'Crafting recipes'!$A$6:$A$1005,0)),"MISSING ID")</x:f>
        <x:v>Partial proposal</x:v>
      </x:c>
      <x:c r="N345" s="4" t="str">
        <x:v>Partial material route; no quantities, guarantees or accepted game recipe.</x:v>
      </x:c>
      <x:c r="O345" s="4" t="str">
        <x:v>New October 15 game brainstorming; current author request and Docs/WORLD_BASIS.md. Not retrieved source canon.</x:v>
      </x:c>
      <x:c r="P345" s="4" t="n">
        <x:f>IF(OR(C345="Ingredient candidate",C345="Consumed input",C345="Contained input",C345="Transform input"),IF(F345="T0",0,IF(F345="T1",1,IF(F345="T2",2,IF(F345="T3",3,IF(F345="T4",4,-1))))),-1)</x:f>
        <x:v>2</x:v>
      </x:c>
      <x:c r="Q345" s="4" t="n">
        <x:f>IF(AND(OR(C345="Ingredient candidate",C345="Consumed input",C345="Contained input",C345="Transform input"),P345=-1),1,0)</x:f>
        <x:v>0</x:v>
      </x:c>
    </x:row>
    <x:row r="346" ht="115" customHeight="1">
      <x:c r="A346" s="4" t="str">
        <x:v>design.t3.hinged_shell.in.3</x:v>
      </x:c>
      <x:c r="B346" s="4" t="str">
        <x:v>design.t3.hinged_shell</x:v>
      </x:c>
      <x:c r="C346" s="4" t="str">
        <x:v>Ingredient candidate</x:v>
      </x:c>
      <x:c r="D346" s="4" t="str">
        <x:v>proposal.branch.filled_binder</x:v>
      </x:c>
      <x:c r="E346" s="4" t="str">
        <x:f>IFERROR(INDEX('Items'!$B$6:$B$1005,MATCH(D346,'Items'!$A$6:$A$1005,0)),"MISSING ID")</x:f>
        <x:v>Filled shell-binding compound</x:v>
      </x:c>
      <x:c r="F346" s="4" t="str">
        <x:f>IFERROR(INDEX('Items'!$C$6:$C$1005,MATCH(D346,'Items'!$A$6:$A$1005,0)),"MISSING ID")</x:f>
        <x:v>T2</x:v>
      </x:c>
      <x:c r="G346" s="4" t="str">
        <x:f>IFERROR(INDEX('Items'!$D$6:$D$1005,MATCH(D346,'Items'!$A$6:$A$1005,0)),"MISSING ID")</x:f>
        <x:v>Crafting components</x:v>
      </x:c>
      <x:c r="H346" s="4" t="str">
        <x:f>IFERROR(INDEX('Items'!$X$6:$X$1005,MATCH(D346,'Items'!$A$6:$A$1005,0)),"MISSING ID")</x:f>
        <x:v>Chemical material</x:v>
      </x:c>
      <x:c r="I346" s="4"/>
      <x:c r="J346" s="4" t="str">
        <x:v>Unspecified</x:v>
      </x:c>
      <x:c r="K346" s="4" t="str">
        <x:f>IFERROR(INDEX('Crafting recipes'!$D$6:$D$1005,MATCH(B346,'Crafting recipes'!$A$6:$A$1005,0)),"MISSING ID")</x:f>
        <x:v>Proposal</x:v>
      </x:c>
      <x:c r="L346" s="4" t="str">
        <x:f>IFERROR(INDEX('Items'!$AD$6:$AD$1005,MATCH(D346,'Items'!$A$6:$A$1005,0)),"MISSING ID")</x:f>
        <x:v>Proposal</x:v>
      </x:c>
      <x:c r="M346" s="4" t="str">
        <x:f>IFERROR(INDEX('Crafting recipes'!$E$6:$E$1005,MATCH(B346,'Crafting recipes'!$A$6:$A$1005,0)),"MISSING ID")</x:f>
        <x:v>Partial proposal</x:v>
      </x:c>
      <x:c r="N346" s="4" t="str">
        <x:v>Partial material route; no quantities, guarantees or accepted game recipe.</x:v>
      </x:c>
      <x:c r="O346" s="4" t="str">
        <x:v>New October 15 game brainstorming; current author request and Docs/WORLD_BASIS.md. Not retrieved source canon.</x:v>
      </x:c>
      <x:c r="P346" s="4" t="n">
        <x:f>IF(OR(C346="Ingredient candidate",C346="Consumed input",C346="Contained input",C346="Transform input"),IF(F346="T0",0,IF(F346="T1",1,IF(F346="T2",2,IF(F346="T3",3,IF(F346="T4",4,-1))))),-1)</x:f>
        <x:v>2</x:v>
      </x:c>
      <x:c r="Q346" s="4" t="n">
        <x:f>IF(AND(OR(C346="Ingredient candidate",C346="Consumed input",C346="Contained input",C346="Transform input"),P346=-1),1,0)</x:f>
        <x:v>0</x:v>
      </x:c>
    </x:row>
    <x:row r="347" ht="115" customHeight="1">
      <x:c r="A347" s="4" t="str">
        <x:v>design.t3.hinged_shell.out</x:v>
      </x:c>
      <x:c r="B347" s="4" t="str">
        <x:v>design.t3.hinged_shell</x:v>
      </x:c>
      <x:c r="C347" s="4" t="str">
        <x:v>Output</x:v>
      </x:c>
      <x:c r="D347" s="4" t="str">
        <x:v>proposal.t3.hinged_shell</x:v>
      </x:c>
      <x:c r="E347" s="4" t="str">
        <x:f>IFERROR(INDEX('Items'!$B$6:$B$1005,MATCH(D347,'Items'!$A$6:$A$1005,0)),"MISSING ID")</x:f>
        <x:v>Hinged shell-panel sets</x:v>
      </x:c>
      <x:c r="F347" s="4" t="str">
        <x:f>IFERROR(INDEX('Items'!$C$6:$C$1005,MATCH(D347,'Items'!$A$6:$A$1005,0)),"MISSING ID")</x:f>
        <x:v>T3</x:v>
      </x:c>
      <x:c r="G347" s="4" t="str">
        <x:f>IFERROR(INDEX('Items'!$D$6:$D$1005,MATCH(D347,'Items'!$A$6:$A$1005,0)),"MISSING ID")</x:f>
        <x:v>Crafting components</x:v>
      </x:c>
      <x:c r="H347" s="4" t="str">
        <x:f>IFERROR(INDEX('Items'!$X$6:$X$1005,MATCH(D347,'Items'!$A$6:$A$1005,0)),"MISSING ID")</x:f>
        <x:v>Crafting component</x:v>
      </x:c>
      <x:c r="I347" s="4"/>
      <x:c r="J347" s="4" t="str">
        <x:v>Unspecified</x:v>
      </x:c>
      <x:c r="K347" s="4" t="str">
        <x:f>IFERROR(INDEX('Crafting recipes'!$D$6:$D$1005,MATCH(B347,'Crafting recipes'!$A$6:$A$1005,0)),"MISSING ID")</x:f>
        <x:v>Proposal</x:v>
      </x:c>
      <x:c r="L347" s="4" t="str">
        <x:f>IFERROR(INDEX('Items'!$AD$6:$AD$1005,MATCH(D347,'Items'!$A$6:$A$1005,0)),"MISSING ID")</x:f>
        <x:v>Proposal</x:v>
      </x:c>
      <x:c r="M347" s="4" t="str">
        <x:f>IFERROR(INDEX('Crafting recipes'!$E$6:$E$1005,MATCH(B347,'Crafting recipes'!$A$6:$A$1005,0)),"MISSING ID")</x:f>
        <x:v>Partial proposal</x:v>
      </x:c>
      <x:c r="N347" s="4" t="str">
        <x:v>Partial material route; no quantities, guarantees or accepted game recipe.</x:v>
      </x:c>
      <x:c r="O347" s="4" t="str">
        <x:v>New October 15 game brainstorming; current author request and Docs/WORLD_BASIS.md. Not retrieved source canon.</x:v>
      </x:c>
      <x:c r="P347" s="4" t="n">
        <x:f>IF(OR(C347="Ingredient candidate",C347="Consumed input",C347="Contained input",C347="Transform input"),IF(F347="T0",0,IF(F347="T1",1,IF(F347="T2",2,IF(F347="T3",3,IF(F347="T4",4,-1))))),-1)</x:f>
        <x:v>-1</x:v>
      </x:c>
      <x:c r="Q347" s="4" t="n">
        <x:f>IF(AND(OR(C347="Ingredient candidate",C347="Consumed input",C347="Contained input",C347="Transform input"),P347=-1),1,0)</x:f>
        <x:v>0</x:v>
      </x:c>
    </x:row>
    <x:row r="348" ht="115" customHeight="1">
      <x:c r="A348" s="4" t="str">
        <x:v>design.t3.lining_stock.in.1</x:v>
      </x:c>
      <x:c r="B348" s="4" t="str">
        <x:v>design.t3.lining_stock</x:v>
      </x:c>
      <x:c r="C348" s="4" t="str">
        <x:v>Ingredient candidate</x:v>
      </x:c>
      <x:c r="D348" s="4" t="str">
        <x:v>proposal.branch.opaque_sheet</x:v>
      </x:c>
      <x:c r="E348" s="4" t="str">
        <x:f>IFERROR(INDEX('Items'!$B$6:$B$1005,MATCH(D348,'Items'!$A$6:$A$1005,0)),"MISSING ID")</x:f>
        <x:v>Formed opaque glass sheet</x:v>
      </x:c>
      <x:c r="F348" s="4" t="str">
        <x:f>IFERROR(INDEX('Items'!$C$6:$C$1005,MATCH(D348,'Items'!$A$6:$A$1005,0)),"MISSING ID")</x:f>
        <x:v>T2</x:v>
      </x:c>
      <x:c r="G348" s="4" t="str">
        <x:f>IFERROR(INDEX('Items'!$D$6:$D$1005,MATCH(D348,'Items'!$A$6:$A$1005,0)),"MISSING ID")</x:f>
        <x:v>Manufactured stock</x:v>
      </x:c>
      <x:c r="H348" s="4" t="str">
        <x:f>IFERROR(INDEX('Items'!$X$6:$X$1005,MATCH(D348,'Items'!$A$6:$A$1005,0)),"MISSING ID")</x:f>
        <x:v>Processed material</x:v>
      </x:c>
      <x:c r="I348" s="4"/>
      <x:c r="J348" s="4" t="str">
        <x:v>Unspecified</x:v>
      </x:c>
      <x:c r="K348" s="4" t="str">
        <x:f>IFERROR(INDEX('Crafting recipes'!$D$6:$D$1005,MATCH(B348,'Crafting recipes'!$A$6:$A$1005,0)),"MISSING ID")</x:f>
        <x:v>Proposal</x:v>
      </x:c>
      <x:c r="L348" s="4" t="str">
        <x:f>IFERROR(INDEX('Items'!$AD$6:$AD$1005,MATCH(D348,'Items'!$A$6:$A$1005,0)),"MISSING ID")</x:f>
        <x:v>Proposal</x:v>
      </x:c>
      <x:c r="M348" s="4" t="str">
        <x:f>IFERROR(INDEX('Crafting recipes'!$E$6:$E$1005,MATCH(B348,'Crafting recipes'!$A$6:$A$1005,0)),"MISSING ID")</x:f>
        <x:v>Partial proposal</x:v>
      </x:c>
      <x:c r="N348" s="4" t="str">
        <x:v>Partial material route; no quantities, guarantees or accepted game recipe.</x:v>
      </x:c>
      <x:c r="O348" s="4" t="str">
        <x:v>New October 15 game brainstorming; current author request and Docs/WORLD_BASIS.md. Not retrieved source canon.</x:v>
      </x:c>
      <x:c r="P348" s="4" t="n">
        <x:f>IF(OR(C348="Ingredient candidate",C348="Consumed input",C348="Contained input",C348="Transform input"),IF(F348="T0",0,IF(F348="T1",1,IF(F348="T2",2,IF(F348="T3",3,IF(F348="T4",4,-1))))),-1)</x:f>
        <x:v>2</x:v>
      </x:c>
      <x:c r="Q348" s="4" t="n">
        <x:f>IF(AND(OR(C348="Ingredient candidate",C348="Consumed input",C348="Contained input",C348="Transform input"),P348=-1),1,0)</x:f>
        <x:v>0</x:v>
      </x:c>
    </x:row>
    <x:row r="349" ht="115" customHeight="1">
      <x:c r="A349" s="4" t="str">
        <x:v>design.t3.lining_stock.in.2</x:v>
      </x:c>
      <x:c r="B349" s="4" t="str">
        <x:v>design.t3.lining_stock</x:v>
      </x:c>
      <x:c r="C349" s="4" t="str">
        <x:v>Ingredient candidate</x:v>
      </x:c>
      <x:c r="D349" s="4" t="str">
        <x:v>proposal.natural.ceramic</x:v>
      </x:c>
      <x:c r="E349" s="4" t="str">
        <x:f>IFERROR(INDEX('Items'!$B$6:$B$1005,MATCH(D349,'Items'!$A$6:$A$1005,0)),"MISSING ID")</x:f>
        <x:v>Insulating ceramic blanks</x:v>
      </x:c>
      <x:c r="F349" s="4" t="str">
        <x:f>IFERROR(INDEX('Items'!$C$6:$C$1005,MATCH(D349,'Items'!$A$6:$A$1005,0)),"MISSING ID")</x:f>
        <x:v>T2</x:v>
      </x:c>
      <x:c r="G349" s="4" t="str">
        <x:f>IFERROR(INDEX('Items'!$D$6:$D$1005,MATCH(D349,'Items'!$A$6:$A$1005,0)),"MISSING ID")</x:f>
        <x:v>Manufactured stock</x:v>
      </x:c>
      <x:c r="H349" s="4" t="str">
        <x:f>IFERROR(INDEX('Items'!$X$6:$X$1005,MATCH(D349,'Items'!$A$6:$A$1005,0)),"MISSING ID")</x:f>
        <x:v>Processed material</x:v>
      </x:c>
      <x:c r="I349" s="4"/>
      <x:c r="J349" s="4" t="str">
        <x:v>Unspecified</x:v>
      </x:c>
      <x:c r="K349" s="4" t="str">
        <x:f>IFERROR(INDEX('Crafting recipes'!$D$6:$D$1005,MATCH(B349,'Crafting recipes'!$A$6:$A$1005,0)),"MISSING ID")</x:f>
        <x:v>Proposal</x:v>
      </x:c>
      <x:c r="L349" s="4" t="str">
        <x:f>IFERROR(INDEX('Items'!$AD$6:$AD$1005,MATCH(D349,'Items'!$A$6:$A$1005,0)),"MISSING ID")</x:f>
        <x:v>Proposal</x:v>
      </x:c>
      <x:c r="M349" s="4" t="str">
        <x:f>IFERROR(INDEX('Crafting recipes'!$E$6:$E$1005,MATCH(B349,'Crafting recipes'!$A$6:$A$1005,0)),"MISSING ID")</x:f>
        <x:v>Partial proposal</x:v>
      </x:c>
      <x:c r="N349" s="4" t="str">
        <x:v>Partial material route; no quantities, guarantees or accepted game recipe.</x:v>
      </x:c>
      <x:c r="O349" s="4" t="str">
        <x:v>New October 15 game brainstorming; current author request and Docs/WORLD_BASIS.md. Not retrieved source canon.</x:v>
      </x:c>
      <x:c r="P349" s="4" t="n">
        <x:f>IF(OR(C349="Ingredient candidate",C349="Consumed input",C349="Contained input",C349="Transform input"),IF(F349="T0",0,IF(F349="T1",1,IF(F349="T2",2,IF(F349="T3",3,IF(F349="T4",4,-1))))),-1)</x:f>
        <x:v>2</x:v>
      </x:c>
      <x:c r="Q349" s="4" t="n">
        <x:f>IF(AND(OR(C349="Ingredient candidate",C349="Consumed input",C349="Contained input",C349="Transform input"),P349=-1),1,0)</x:f>
        <x:v>0</x:v>
      </x:c>
    </x:row>
    <x:row r="350" ht="115" customHeight="1">
      <x:c r="A350" s="4" t="str">
        <x:v>design.t3.lining_stock.in.3</x:v>
      </x:c>
      <x:c r="B350" s="4" t="str">
        <x:v>design.t3.lining_stock</x:v>
      </x:c>
      <x:c r="C350" s="4" t="str">
        <x:v>Ingredient candidate</x:v>
      </x:c>
      <x:c r="D350" s="4" t="str">
        <x:v>proposal.branch.filled_binder</x:v>
      </x:c>
      <x:c r="E350" s="4" t="str">
        <x:f>IFERROR(INDEX('Items'!$B$6:$B$1005,MATCH(D350,'Items'!$A$6:$A$1005,0)),"MISSING ID")</x:f>
        <x:v>Filled shell-binding compound</x:v>
      </x:c>
      <x:c r="F350" s="4" t="str">
        <x:f>IFERROR(INDEX('Items'!$C$6:$C$1005,MATCH(D350,'Items'!$A$6:$A$1005,0)),"MISSING ID")</x:f>
        <x:v>T2</x:v>
      </x:c>
      <x:c r="G350" s="4" t="str">
        <x:f>IFERROR(INDEX('Items'!$D$6:$D$1005,MATCH(D350,'Items'!$A$6:$A$1005,0)),"MISSING ID")</x:f>
        <x:v>Crafting components</x:v>
      </x:c>
      <x:c r="H350" s="4" t="str">
        <x:f>IFERROR(INDEX('Items'!$X$6:$X$1005,MATCH(D350,'Items'!$A$6:$A$1005,0)),"MISSING ID")</x:f>
        <x:v>Chemical material</x:v>
      </x:c>
      <x:c r="I350" s="4"/>
      <x:c r="J350" s="4" t="str">
        <x:v>Unspecified</x:v>
      </x:c>
      <x:c r="K350" s="4" t="str">
        <x:f>IFERROR(INDEX('Crafting recipes'!$D$6:$D$1005,MATCH(B350,'Crafting recipes'!$A$6:$A$1005,0)),"MISSING ID")</x:f>
        <x:v>Proposal</x:v>
      </x:c>
      <x:c r="L350" s="4" t="str">
        <x:f>IFERROR(INDEX('Items'!$AD$6:$AD$1005,MATCH(D350,'Items'!$A$6:$A$1005,0)),"MISSING ID")</x:f>
        <x:v>Proposal</x:v>
      </x:c>
      <x:c r="M350" s="4" t="str">
        <x:f>IFERROR(INDEX('Crafting recipes'!$E$6:$E$1005,MATCH(B350,'Crafting recipes'!$A$6:$A$1005,0)),"MISSING ID")</x:f>
        <x:v>Partial proposal</x:v>
      </x:c>
      <x:c r="N350" s="4" t="str">
        <x:v>Partial material route; no quantities, guarantees or accepted game recipe.</x:v>
      </x:c>
      <x:c r="O350" s="4" t="str">
        <x:v>New October 15 game brainstorming; current author request and Docs/WORLD_BASIS.md. Not retrieved source canon.</x:v>
      </x:c>
      <x:c r="P350" s="4" t="n">
        <x:f>IF(OR(C350="Ingredient candidate",C350="Consumed input",C350="Contained input",C350="Transform input"),IF(F350="T0",0,IF(F350="T1",1,IF(F350="T2",2,IF(F350="T3",3,IF(F350="T4",4,-1))))),-1)</x:f>
        <x:v>2</x:v>
      </x:c>
      <x:c r="Q350" s="4" t="n">
        <x:f>IF(AND(OR(C350="Ingredient candidate",C350="Consumed input",C350="Contained input",C350="Transform input"),P350=-1),1,0)</x:f>
        <x:v>0</x:v>
      </x:c>
    </x:row>
    <x:row r="351" ht="115" customHeight="1">
      <x:c r="A351" s="4" t="str">
        <x:v>design.t3.lining_stock.out</x:v>
      </x:c>
      <x:c r="B351" s="4" t="str">
        <x:v>design.t3.lining_stock</x:v>
      </x:c>
      <x:c r="C351" s="4" t="str">
        <x:v>Output</x:v>
      </x:c>
      <x:c r="D351" s="4" t="str">
        <x:v>proposal.t3.lining_stock</x:v>
      </x:c>
      <x:c r="E351" s="4" t="str">
        <x:f>IFERROR(INDEX('Items'!$B$6:$B$1005,MATCH(D351,'Items'!$A$6:$A$1005,0)),"MISSING ID")</x:f>
        <x:v>Bonded glass-ceramic lining stock</x:v>
      </x:c>
      <x:c r="F351" s="4" t="str">
        <x:f>IFERROR(INDEX('Items'!$C$6:$C$1005,MATCH(D351,'Items'!$A$6:$A$1005,0)),"MISSING ID")</x:f>
        <x:v>T3</x:v>
      </x:c>
      <x:c r="G351" s="4" t="str">
        <x:f>IFERROR(INDEX('Items'!$D$6:$D$1005,MATCH(D351,'Items'!$A$6:$A$1005,0)),"MISSING ID")</x:f>
        <x:v>Manufactured stock</x:v>
      </x:c>
      <x:c r="H351" s="4" t="str">
        <x:f>IFERROR(INDEX('Items'!$X$6:$X$1005,MATCH(D351,'Items'!$A$6:$A$1005,0)),"MISSING ID")</x:f>
        <x:v>Processed material</x:v>
      </x:c>
      <x:c r="I351" s="4"/>
      <x:c r="J351" s="4" t="str">
        <x:v>Unspecified</x:v>
      </x:c>
      <x:c r="K351" s="4" t="str">
        <x:f>IFERROR(INDEX('Crafting recipes'!$D$6:$D$1005,MATCH(B351,'Crafting recipes'!$A$6:$A$1005,0)),"MISSING ID")</x:f>
        <x:v>Proposal</x:v>
      </x:c>
      <x:c r="L351" s="4" t="str">
        <x:f>IFERROR(INDEX('Items'!$AD$6:$AD$1005,MATCH(D351,'Items'!$A$6:$A$1005,0)),"MISSING ID")</x:f>
        <x:v>Proposal</x:v>
      </x:c>
      <x:c r="M351" s="4" t="str">
        <x:f>IFERROR(INDEX('Crafting recipes'!$E$6:$E$1005,MATCH(B351,'Crafting recipes'!$A$6:$A$1005,0)),"MISSING ID")</x:f>
        <x:v>Partial proposal</x:v>
      </x:c>
      <x:c r="N351" s="4" t="str">
        <x:v>Partial material route; no quantities, guarantees or accepted game recipe.</x:v>
      </x:c>
      <x:c r="O351" s="4" t="str">
        <x:v>New October 15 game brainstorming; current author request and Docs/WORLD_BASIS.md. Not retrieved source canon.</x:v>
      </x:c>
      <x:c r="P351" s="4" t="n">
        <x:f>IF(OR(C351="Ingredient candidate",C351="Consumed input",C351="Contained input",C351="Transform input"),IF(F351="T0",0,IF(F351="T1",1,IF(F351="T2",2,IF(F351="T3",3,IF(F351="T4",4,-1))))),-1)</x:f>
        <x:v>-1</x:v>
      </x:c>
      <x:c r="Q351" s="4" t="n">
        <x:f>IF(AND(OR(C351="Ingredient candidate",C351="Consumed input",C351="Contained input",C351="Transform input"),P351=-1),1,0)</x:f>
        <x:v>0</x:v>
      </x:c>
    </x:row>
    <x:row r="352" ht="115" customHeight="1">
      <x:c r="A352" s="4" t="str">
        <x:v>design.t4.drive_cassette.in.1</x:v>
      </x:c>
      <x:c r="B352" s="4" t="str">
        <x:v>design.t4.drive_cassette</x:v>
      </x:c>
      <x:c r="C352" s="4" t="str">
        <x:v>Ingredient candidate</x:v>
      </x:c>
      <x:c r="D352" s="4" t="str">
        <x:v>proposal.t3.gear_blank</x:v>
      </x:c>
      <x:c r="E352" s="4" t="str">
        <x:f>IFERROR(INDEX('Items'!$B$6:$B$1005,MATCH(D352,'Items'!$A$6:$A$1005,0)),"MISSING ID")</x:f>
        <x:v>Heat-treated steel gear blanks</x:v>
      </x:c>
      <x:c r="F352" s="4" t="str">
        <x:f>IFERROR(INDEX('Items'!$C$6:$C$1005,MATCH(D352,'Items'!$A$6:$A$1005,0)),"MISSING ID")</x:f>
        <x:v>T3</x:v>
      </x:c>
      <x:c r="G352" s="4" t="str">
        <x:f>IFERROR(INDEX('Items'!$D$6:$D$1005,MATCH(D352,'Items'!$A$6:$A$1005,0)),"MISSING ID")</x:f>
        <x:v>Crafting components</x:v>
      </x:c>
      <x:c r="H352" s="4" t="str">
        <x:f>IFERROR(INDEX('Items'!$X$6:$X$1005,MATCH(D352,'Items'!$A$6:$A$1005,0)),"MISSING ID")</x:f>
        <x:v>Crafting component</x:v>
      </x:c>
      <x:c r="I352" s="4"/>
      <x:c r="J352" s="4" t="str">
        <x:v>Unspecified</x:v>
      </x:c>
      <x:c r="K352" s="4" t="str">
        <x:f>IFERROR(INDEX('Crafting recipes'!$D$6:$D$1005,MATCH(B352,'Crafting recipes'!$A$6:$A$1005,0)),"MISSING ID")</x:f>
        <x:v>Proposal</x:v>
      </x:c>
      <x:c r="L352" s="4" t="str">
        <x:f>IFERROR(INDEX('Items'!$AD$6:$AD$1005,MATCH(D352,'Items'!$A$6:$A$1005,0)),"MISSING ID")</x:f>
        <x:v>Proposal</x:v>
      </x:c>
      <x:c r="M352" s="4" t="str">
        <x:f>IFERROR(INDEX('Crafting recipes'!$E$6:$E$1005,MATCH(B352,'Crafting recipes'!$A$6:$A$1005,0)),"MISSING ID")</x:f>
        <x:v>Partial proposal</x:v>
      </x:c>
      <x:c r="N352" s="4" t="str">
        <x:v>Partial material route; no quantities, guarantees or accepted game recipe.</x:v>
      </x:c>
      <x:c r="O352" s="4" t="str">
        <x:v>New October 15 game brainstorming; current author request and Docs/WORLD_BASIS.md. Not retrieved source canon.</x:v>
      </x:c>
      <x:c r="P352" s="4" t="n">
        <x:f>IF(OR(C352="Ingredient candidate",C352="Consumed input",C352="Contained input",C352="Transform input"),IF(F352="T0",0,IF(F352="T1",1,IF(F352="T2",2,IF(F352="T3",3,IF(F352="T4",4,-1))))),-1)</x:f>
        <x:v>3</x:v>
      </x:c>
      <x:c r="Q352" s="4" t="n">
        <x:f>IF(AND(OR(C352="Ingredient candidate",C352="Consumed input",C352="Contained input",C352="Transform input"),P352=-1),1,0)</x:f>
        <x:v>0</x:v>
      </x:c>
    </x:row>
    <x:row r="353" ht="115" customHeight="1">
      <x:c r="A353" s="4" t="str">
        <x:v>design.t4.drive_cassette.in.2</x:v>
      </x:c>
      <x:c r="B353" s="4" t="str">
        <x:v>design.t4.drive_cassette</x:v>
      </x:c>
      <x:c r="C353" s="4" t="str">
        <x:v>Ingredient candidate</x:v>
      </x:c>
      <x:c r="D353" s="4" t="str">
        <x:v>proposal.t3.bearing_blank</x:v>
      </x:c>
      <x:c r="E353" s="4" t="str">
        <x:f>IFERROR(INDEX('Items'!$B$6:$B$1005,MATCH(D353,'Items'!$A$6:$A$1005,0)),"MISSING ID")</x:f>
        <x:v>Lapped bronze bearing blanks</x:v>
      </x:c>
      <x:c r="F353" s="4" t="str">
        <x:f>IFERROR(INDEX('Items'!$C$6:$C$1005,MATCH(D353,'Items'!$A$6:$A$1005,0)),"MISSING ID")</x:f>
        <x:v>T3</x:v>
      </x:c>
      <x:c r="G353" s="4" t="str">
        <x:f>IFERROR(INDEX('Items'!$D$6:$D$1005,MATCH(D353,'Items'!$A$6:$A$1005,0)),"MISSING ID")</x:f>
        <x:v>Crafting components</x:v>
      </x:c>
      <x:c r="H353" s="4" t="str">
        <x:f>IFERROR(INDEX('Items'!$X$6:$X$1005,MATCH(D353,'Items'!$A$6:$A$1005,0)),"MISSING ID")</x:f>
        <x:v>Crafting component</x:v>
      </x:c>
      <x:c r="I353" s="4"/>
      <x:c r="J353" s="4" t="str">
        <x:v>Unspecified</x:v>
      </x:c>
      <x:c r="K353" s="4" t="str">
        <x:f>IFERROR(INDEX('Crafting recipes'!$D$6:$D$1005,MATCH(B353,'Crafting recipes'!$A$6:$A$1005,0)),"MISSING ID")</x:f>
        <x:v>Proposal</x:v>
      </x:c>
      <x:c r="L353" s="4" t="str">
        <x:f>IFERROR(INDEX('Items'!$AD$6:$AD$1005,MATCH(D353,'Items'!$A$6:$A$1005,0)),"MISSING ID")</x:f>
        <x:v>Proposal</x:v>
      </x:c>
      <x:c r="M353" s="4" t="str">
        <x:f>IFERROR(INDEX('Crafting recipes'!$E$6:$E$1005,MATCH(B353,'Crafting recipes'!$A$6:$A$1005,0)),"MISSING ID")</x:f>
        <x:v>Partial proposal</x:v>
      </x:c>
      <x:c r="N353" s="4" t="str">
        <x:v>Partial material route; no quantities, guarantees or accepted game recipe.</x:v>
      </x:c>
      <x:c r="O353" s="4" t="str">
        <x:v>New October 15 game brainstorming; current author request and Docs/WORLD_BASIS.md. Not retrieved source canon.</x:v>
      </x:c>
      <x:c r="P353" s="4" t="n">
        <x:f>IF(OR(C353="Ingredient candidate",C353="Consumed input",C353="Contained input",C353="Transform input"),IF(F353="T0",0,IF(F353="T1",1,IF(F353="T2",2,IF(F353="T3",3,IF(F353="T4",4,-1))))),-1)</x:f>
        <x:v>3</x:v>
      </x:c>
      <x:c r="Q353" s="4" t="n">
        <x:f>IF(AND(OR(C353="Ingredient candidate",C353="Consumed input",C353="Contained input",C353="Transform input"),P353=-1),1,0)</x:f>
        <x:v>0</x:v>
      </x:c>
    </x:row>
    <x:row r="354" ht="115" customHeight="1">
      <x:c r="A354" s="4" t="str">
        <x:v>design.t4.drive_cassette.in.3</x:v>
      </x:c>
      <x:c r="B354" s="4" t="str">
        <x:v>design.t4.drive_cassette</x:v>
      </x:c>
      <x:c r="C354" s="4" t="str">
        <x:v>Ingredient candidate</x:v>
      </x:c>
      <x:c r="D354" s="4" t="str">
        <x:v>proposal.t3.precision_tube</x:v>
      </x:c>
      <x:c r="E354" s="4" t="str">
        <x:f>IFERROR(INDEX('Items'!$B$6:$B$1005,MATCH(D354,'Items'!$A$6:$A$1005,0)),"MISSING ID")</x:f>
        <x:v>Drawn steel tube stock</x:v>
      </x:c>
      <x:c r="F354" s="4" t="str">
        <x:f>IFERROR(INDEX('Items'!$C$6:$C$1005,MATCH(D354,'Items'!$A$6:$A$1005,0)),"MISSING ID")</x:f>
        <x:v>T3</x:v>
      </x:c>
      <x:c r="G354" s="4" t="str">
        <x:f>IFERROR(INDEX('Items'!$D$6:$D$1005,MATCH(D354,'Items'!$A$6:$A$1005,0)),"MISSING ID")</x:f>
        <x:v>Manufactured stock</x:v>
      </x:c>
      <x:c r="H354" s="4" t="str">
        <x:f>IFERROR(INDEX('Items'!$X$6:$X$1005,MATCH(D354,'Items'!$A$6:$A$1005,0)),"MISSING ID")</x:f>
        <x:v>Processed material</x:v>
      </x:c>
      <x:c r="I354" s="4"/>
      <x:c r="J354" s="4" t="str">
        <x:v>Unspecified</x:v>
      </x:c>
      <x:c r="K354" s="4" t="str">
        <x:f>IFERROR(INDEX('Crafting recipes'!$D$6:$D$1005,MATCH(B354,'Crafting recipes'!$A$6:$A$1005,0)),"MISSING ID")</x:f>
        <x:v>Proposal</x:v>
      </x:c>
      <x:c r="L354" s="4" t="str">
        <x:f>IFERROR(INDEX('Items'!$AD$6:$AD$1005,MATCH(D354,'Items'!$A$6:$A$1005,0)),"MISSING ID")</x:f>
        <x:v>Proposal</x:v>
      </x:c>
      <x:c r="M354" s="4" t="str">
        <x:f>IFERROR(INDEX('Crafting recipes'!$E$6:$E$1005,MATCH(B354,'Crafting recipes'!$A$6:$A$1005,0)),"MISSING ID")</x:f>
        <x:v>Partial proposal</x:v>
      </x:c>
      <x:c r="N354" s="4" t="str">
        <x:v>Partial material route; no quantities, guarantees or accepted game recipe.</x:v>
      </x:c>
      <x:c r="O354" s="4" t="str">
        <x:v>New October 15 game brainstorming; current author request and Docs/WORLD_BASIS.md. Not retrieved source canon.</x:v>
      </x:c>
      <x:c r="P354" s="4" t="n">
        <x:f>IF(OR(C354="Ingredient candidate",C354="Consumed input",C354="Contained input",C354="Transform input"),IF(F354="T0",0,IF(F354="T1",1,IF(F354="T2",2,IF(F354="T3",3,IF(F354="T4",4,-1))))),-1)</x:f>
        <x:v>3</x:v>
      </x:c>
      <x:c r="Q354" s="4" t="n">
        <x:f>IF(AND(OR(C354="Ingredient candidate",C354="Consumed input",C354="Contained input",C354="Transform input"),P354=-1),1,0)</x:f>
        <x:v>0</x:v>
      </x:c>
    </x:row>
    <x:row r="355" ht="115" customHeight="1">
      <x:c r="A355" s="4" t="str">
        <x:v>design.t4.drive_cassette.in.4</x:v>
      </x:c>
      <x:c r="B355" s="4" t="str">
        <x:v>design.t4.drive_cassette</x:v>
      </x:c>
      <x:c r="C355" s="4" t="str">
        <x:v>Ingredient candidate</x:v>
      </x:c>
      <x:c r="D355" s="4" t="str">
        <x:v>proposal.t3.service_grease</x:v>
      </x:c>
      <x:c r="E355" s="4" t="str">
        <x:f>IFERROR(INDEX('Items'!$B$6:$B$1005,MATCH(D355,'Items'!$A$6:$A$1005,0)),"MISSING ID")</x:f>
        <x:v>Conditioned mechanism-service grease</x:v>
      </x:c>
      <x:c r="F355" s="4" t="str">
        <x:f>IFERROR(INDEX('Items'!$C$6:$C$1005,MATCH(D355,'Items'!$A$6:$A$1005,0)),"MISSING ID")</x:f>
        <x:v>T3</x:v>
      </x:c>
      <x:c r="G355" s="4" t="str">
        <x:f>IFERROR(INDEX('Items'!$D$6:$D$1005,MATCH(D355,'Items'!$A$6:$A$1005,0)),"MISSING ID")</x:f>
        <x:v>Crafting components</x:v>
      </x:c>
      <x:c r="H355" s="4" t="str">
        <x:f>IFERROR(INDEX('Items'!$X$6:$X$1005,MATCH(D355,'Items'!$A$6:$A$1005,0)),"MISSING ID")</x:f>
        <x:v>Chemical material</x:v>
      </x:c>
      <x:c r="I355" s="4"/>
      <x:c r="J355" s="4" t="str">
        <x:v>Unspecified</x:v>
      </x:c>
      <x:c r="K355" s="4" t="str">
        <x:f>IFERROR(INDEX('Crafting recipes'!$D$6:$D$1005,MATCH(B355,'Crafting recipes'!$A$6:$A$1005,0)),"MISSING ID")</x:f>
        <x:v>Proposal</x:v>
      </x:c>
      <x:c r="L355" s="4" t="str">
        <x:f>IFERROR(INDEX('Items'!$AD$6:$AD$1005,MATCH(D355,'Items'!$A$6:$A$1005,0)),"MISSING ID")</x:f>
        <x:v>Proposal</x:v>
      </x:c>
      <x:c r="M355" s="4" t="str">
        <x:f>IFERROR(INDEX('Crafting recipes'!$E$6:$E$1005,MATCH(B355,'Crafting recipes'!$A$6:$A$1005,0)),"MISSING ID")</x:f>
        <x:v>Partial proposal</x:v>
      </x:c>
      <x:c r="N355" s="4" t="str">
        <x:v>Partial material route; no quantities, guarantees or accepted game recipe.</x:v>
      </x:c>
      <x:c r="O355" s="4" t="str">
        <x:v>New October 15 game brainstorming; current author request and Docs/WORLD_BASIS.md. Not retrieved source canon.</x:v>
      </x:c>
      <x:c r="P355" s="4" t="n">
        <x:f>IF(OR(C355="Ingredient candidate",C355="Consumed input",C355="Contained input",C355="Transform input"),IF(F355="T0",0,IF(F355="T1",1,IF(F355="T2",2,IF(F355="T3",3,IF(F355="T4",4,-1))))),-1)</x:f>
        <x:v>3</x:v>
      </x:c>
      <x:c r="Q355" s="4" t="n">
        <x:f>IF(AND(OR(C355="Ingredient candidate",C355="Consumed input",C355="Contained input",C355="Transform input"),P355=-1),1,0)</x:f>
        <x:v>0</x:v>
      </x:c>
    </x:row>
    <x:row r="356" ht="115" customHeight="1">
      <x:c r="A356" s="4" t="str">
        <x:v>design.t4.drive_cassette.in.5</x:v>
      </x:c>
      <x:c r="B356" s="4" t="str">
        <x:v>design.t4.drive_cassette</x:v>
      </x:c>
      <x:c r="C356" s="4" t="str">
        <x:v>Ingredient candidate</x:v>
      </x:c>
      <x:c r="D356" s="4" t="str">
        <x:v>author.metallurgy.steel_stock</x:v>
      </x:c>
      <x:c r="E356" s="4" t="str">
        <x:f>IFERROR(INDEX('Items'!$B$6:$B$1005,MATCH(D356,'Items'!$A$6:$A$1005,0)),"MISSING ID")</x:f>
        <x:v>Steel stock</x:v>
      </x:c>
      <x:c r="F356" s="4" t="str">
        <x:f>IFERROR(INDEX('Items'!$C$6:$C$1005,MATCH(D356,'Items'!$A$6:$A$1005,0)),"MISSING ID")</x:f>
        <x:v>T2</x:v>
      </x:c>
      <x:c r="G356" s="4" t="str">
        <x:f>IFERROR(INDEX('Items'!$D$6:$D$1005,MATCH(D356,'Items'!$A$6:$A$1005,0)),"MISSING ID")</x:f>
        <x:v>Manufactured stock</x:v>
      </x:c>
      <x:c r="H356" s="4" t="str">
        <x:f>IFERROR(INDEX('Items'!$X$6:$X$1005,MATCH(D356,'Items'!$A$6:$A$1005,0)),"MISSING ID")</x:f>
        <x:v>Processed material</x:v>
      </x:c>
      <x:c r="I356" s="4"/>
      <x:c r="J356" s="4" t="str">
        <x:v>Unspecified</x:v>
      </x:c>
      <x:c r="K356" s="4" t="str">
        <x:f>IFERROR(INDEX('Crafting recipes'!$D$6:$D$1005,MATCH(B356,'Crafting recipes'!$A$6:$A$1005,0)),"MISSING ID")</x:f>
        <x:v>Proposal</x:v>
      </x:c>
      <x:c r="L356" s="4" t="str">
        <x:f>IFERROR(INDEX('Items'!$AD$6:$AD$1005,MATCH(D356,'Items'!$A$6:$A$1005,0)),"MISSING ID")</x:f>
        <x:v>Author direction</x:v>
      </x:c>
      <x:c r="M356" s="4" t="str">
        <x:f>IFERROR(INDEX('Crafting recipes'!$E$6:$E$1005,MATCH(B356,'Crafting recipes'!$A$6:$A$1005,0)),"MISSING ID")</x:f>
        <x:v>Partial proposal</x:v>
      </x:c>
      <x:c r="N356" s="4" t="str">
        <x:v>Partial material route; no quantities, guarantees or accepted game recipe.</x:v>
      </x:c>
      <x:c r="O356" s="4" t="str">
        <x:v>New October 15 game brainstorming; current author request and Docs/WORLD_BASIS.md. Not retrieved source canon.</x:v>
      </x:c>
      <x:c r="P356" s="4" t="n">
        <x:f>IF(OR(C356="Ingredient candidate",C356="Consumed input",C356="Contained input",C356="Transform input"),IF(F356="T0",0,IF(F356="T1",1,IF(F356="T2",2,IF(F356="T3",3,IF(F356="T4",4,-1))))),-1)</x:f>
        <x:v>2</x:v>
      </x:c>
      <x:c r="Q356" s="4" t="n">
        <x:f>IF(AND(OR(C356="Ingredient candidate",C356="Consumed input",C356="Contained input",C356="Transform input"),P356=-1),1,0)</x:f>
        <x:v>0</x:v>
      </x:c>
    </x:row>
    <x:row r="357" ht="115" customHeight="1">
      <x:c r="A357" s="4" t="str">
        <x:v>design.t4.drive_cassette.out</x:v>
      </x:c>
      <x:c r="B357" s="4" t="str">
        <x:v>design.t4.drive_cassette</x:v>
      </x:c>
      <x:c r="C357" s="4" t="str">
        <x:v>Output</x:v>
      </x:c>
      <x:c r="D357" s="4" t="str">
        <x:v>proposal.t4.drive_cassette</x:v>
      </x:c>
      <x:c r="E357" s="4" t="str">
        <x:f>IFERROR(INDEX('Items'!$B$6:$B$1005,MATCH(D357,'Items'!$A$6:$A$1005,0)),"MISSING ID")</x:f>
        <x:v>Matched mechanical drive cassette</x:v>
      </x:c>
      <x:c r="F357" s="4" t="str">
        <x:f>IFERROR(INDEX('Items'!$C$6:$C$1005,MATCH(D357,'Items'!$A$6:$A$1005,0)),"MISSING ID")</x:f>
        <x:v>T4</x:v>
      </x:c>
      <x:c r="G357" s="4" t="str">
        <x:f>IFERROR(INDEX('Items'!$D$6:$D$1005,MATCH(D357,'Items'!$A$6:$A$1005,0)),"MISSING ID")</x:f>
        <x:v>Crafting components</x:v>
      </x:c>
      <x:c r="H357" s="4" t="str">
        <x:f>IFERROR(INDEX('Items'!$X$6:$X$1005,MATCH(D357,'Items'!$A$6:$A$1005,0)),"MISSING ID")</x:f>
        <x:v>Crafting component</x:v>
      </x:c>
      <x:c r="I357" s="4"/>
      <x:c r="J357" s="4" t="str">
        <x:v>Unspecified</x:v>
      </x:c>
      <x:c r="K357" s="4" t="str">
        <x:f>IFERROR(INDEX('Crafting recipes'!$D$6:$D$1005,MATCH(B357,'Crafting recipes'!$A$6:$A$1005,0)),"MISSING ID")</x:f>
        <x:v>Proposal</x:v>
      </x:c>
      <x:c r="L357" s="4" t="str">
        <x:f>IFERROR(INDEX('Items'!$AD$6:$AD$1005,MATCH(D357,'Items'!$A$6:$A$1005,0)),"MISSING ID")</x:f>
        <x:v>Proposal</x:v>
      </x:c>
      <x:c r="M357" s="4" t="str">
        <x:f>IFERROR(INDEX('Crafting recipes'!$E$6:$E$1005,MATCH(B357,'Crafting recipes'!$A$6:$A$1005,0)),"MISSING ID")</x:f>
        <x:v>Partial proposal</x:v>
      </x:c>
      <x:c r="N357" s="4" t="str">
        <x:v>Partial material route; no quantities, guarantees or accepted game recipe.</x:v>
      </x:c>
      <x:c r="O357" s="4" t="str">
        <x:v>New October 15 game brainstorming; current author request and Docs/WORLD_BASIS.md. Not retrieved source canon.</x:v>
      </x:c>
      <x:c r="P357" s="4" t="n">
        <x:f>IF(OR(C357="Ingredient candidate",C357="Consumed input",C357="Contained input",C357="Transform input"),IF(F357="T0",0,IF(F357="T1",1,IF(F357="T2",2,IF(F357="T3",3,IF(F357="T4",4,-1))))),-1)</x:f>
        <x:v>-1</x:v>
      </x:c>
      <x:c r="Q357" s="4" t="n">
        <x:f>IF(AND(OR(C357="Ingredient candidate",C357="Consumed input",C357="Contained input",C357="Transform input"),P357=-1),1,0)</x:f>
        <x:v>0</x:v>
      </x:c>
    </x:row>
    <x:row r="358" ht="115" customHeight="1">
      <x:c r="A358" s="4" t="str">
        <x:v>design.t4.bearing_cartridge.in.1</x:v>
      </x:c>
      <x:c r="B358" s="4" t="str">
        <x:v>design.t4.bearing_cartridge</x:v>
      </x:c>
      <x:c r="C358" s="4" t="str">
        <x:v>Ingredient candidate</x:v>
      </x:c>
      <x:c r="D358" s="4" t="str">
        <x:v>proposal.t3.bearing_blank</x:v>
      </x:c>
      <x:c r="E358" s="4" t="str">
        <x:f>IFERROR(INDEX('Items'!$B$6:$B$1005,MATCH(D358,'Items'!$A$6:$A$1005,0)),"MISSING ID")</x:f>
        <x:v>Lapped bronze bearing blanks</x:v>
      </x:c>
      <x:c r="F358" s="4" t="str">
        <x:f>IFERROR(INDEX('Items'!$C$6:$C$1005,MATCH(D358,'Items'!$A$6:$A$1005,0)),"MISSING ID")</x:f>
        <x:v>T3</x:v>
      </x:c>
      <x:c r="G358" s="4" t="str">
        <x:f>IFERROR(INDEX('Items'!$D$6:$D$1005,MATCH(D358,'Items'!$A$6:$A$1005,0)),"MISSING ID")</x:f>
        <x:v>Crafting components</x:v>
      </x:c>
      <x:c r="H358" s="4" t="str">
        <x:f>IFERROR(INDEX('Items'!$X$6:$X$1005,MATCH(D358,'Items'!$A$6:$A$1005,0)),"MISSING ID")</x:f>
        <x:v>Crafting component</x:v>
      </x:c>
      <x:c r="I358" s="4"/>
      <x:c r="J358" s="4" t="str">
        <x:v>Unspecified</x:v>
      </x:c>
      <x:c r="K358" s="4" t="str">
        <x:f>IFERROR(INDEX('Crafting recipes'!$D$6:$D$1005,MATCH(B358,'Crafting recipes'!$A$6:$A$1005,0)),"MISSING ID")</x:f>
        <x:v>Proposal</x:v>
      </x:c>
      <x:c r="L358" s="4" t="str">
        <x:f>IFERROR(INDEX('Items'!$AD$6:$AD$1005,MATCH(D358,'Items'!$A$6:$A$1005,0)),"MISSING ID")</x:f>
        <x:v>Proposal</x:v>
      </x:c>
      <x:c r="M358" s="4" t="str">
        <x:f>IFERROR(INDEX('Crafting recipes'!$E$6:$E$1005,MATCH(B358,'Crafting recipes'!$A$6:$A$1005,0)),"MISSING ID")</x:f>
        <x:v>Partial proposal</x:v>
      </x:c>
      <x:c r="N358" s="4" t="str">
        <x:v>Partial material route; no quantities, guarantees or accepted game recipe.</x:v>
      </x:c>
      <x:c r="O358" s="4" t="str">
        <x:v>New October 15 game brainstorming; current author request and Docs/WORLD_BASIS.md. Not retrieved source canon.</x:v>
      </x:c>
      <x:c r="P358" s="4" t="n">
        <x:f>IF(OR(C358="Ingredient candidate",C358="Consumed input",C358="Contained input",C358="Transform input"),IF(F358="T0",0,IF(F358="T1",1,IF(F358="T2",2,IF(F358="T3",3,IF(F358="T4",4,-1))))),-1)</x:f>
        <x:v>3</x:v>
      </x:c>
      <x:c r="Q358" s="4" t="n">
        <x:f>IF(AND(OR(C358="Ingredient candidate",C358="Consumed input",C358="Contained input",C358="Transform input"),P358=-1),1,0)</x:f>
        <x:v>0</x:v>
      </x:c>
    </x:row>
    <x:row r="359" ht="115" customHeight="1">
      <x:c r="A359" s="4" t="str">
        <x:v>design.t4.bearing_cartridge.in.2</x:v>
      </x:c>
      <x:c r="B359" s="4" t="str">
        <x:v>design.t4.bearing_cartridge</x:v>
      </x:c>
      <x:c r="C359" s="4" t="str">
        <x:v>Ingredient candidate</x:v>
      </x:c>
      <x:c r="D359" s="4" t="str">
        <x:v>proposal.t3.packing_stock</x:v>
      </x:c>
      <x:c r="E359" s="4" t="str">
        <x:f>IFERROR(INDEX('Items'!$B$6:$B$1005,MATCH(D359,'Items'!$A$6:$A$1005,0)),"MISSING ID")</x:f>
        <x:v>Husk-reinforced packing stock</x:v>
      </x:c>
      <x:c r="F359" s="4" t="str">
        <x:f>IFERROR(INDEX('Items'!$C$6:$C$1005,MATCH(D359,'Items'!$A$6:$A$1005,0)),"MISSING ID")</x:f>
        <x:v>T3</x:v>
      </x:c>
      <x:c r="G359" s="4" t="str">
        <x:f>IFERROR(INDEX('Items'!$D$6:$D$1005,MATCH(D359,'Items'!$A$6:$A$1005,0)),"MISSING ID")</x:f>
        <x:v>Manufactured stock</x:v>
      </x:c>
      <x:c r="H359" s="4" t="str">
        <x:f>IFERROR(INDEX('Items'!$X$6:$X$1005,MATCH(D359,'Items'!$A$6:$A$1005,0)),"MISSING ID")</x:f>
        <x:v>Processed material</x:v>
      </x:c>
      <x:c r="I359" s="4"/>
      <x:c r="J359" s="4" t="str">
        <x:v>Unspecified</x:v>
      </x:c>
      <x:c r="K359" s="4" t="str">
        <x:f>IFERROR(INDEX('Crafting recipes'!$D$6:$D$1005,MATCH(B359,'Crafting recipes'!$A$6:$A$1005,0)),"MISSING ID")</x:f>
        <x:v>Proposal</x:v>
      </x:c>
      <x:c r="L359" s="4" t="str">
        <x:f>IFERROR(INDEX('Items'!$AD$6:$AD$1005,MATCH(D359,'Items'!$A$6:$A$1005,0)),"MISSING ID")</x:f>
        <x:v>Proposal</x:v>
      </x:c>
      <x:c r="M359" s="4" t="str">
        <x:f>IFERROR(INDEX('Crafting recipes'!$E$6:$E$1005,MATCH(B359,'Crafting recipes'!$A$6:$A$1005,0)),"MISSING ID")</x:f>
        <x:v>Partial proposal</x:v>
      </x:c>
      <x:c r="N359" s="4" t="str">
        <x:v>Partial material route; no quantities, guarantees or accepted game recipe.</x:v>
      </x:c>
      <x:c r="O359" s="4" t="str">
        <x:v>New October 15 game brainstorming; current author request and Docs/WORLD_BASIS.md. Not retrieved source canon.</x:v>
      </x:c>
      <x:c r="P359" s="4" t="n">
        <x:f>IF(OR(C359="Ingredient candidate",C359="Consumed input",C359="Contained input",C359="Transform input"),IF(F359="T0",0,IF(F359="T1",1,IF(F359="T2",2,IF(F359="T3",3,IF(F359="T4",4,-1))))),-1)</x:f>
        <x:v>3</x:v>
      </x:c>
      <x:c r="Q359" s="4" t="n">
        <x:f>IF(AND(OR(C359="Ingredient candidate",C359="Consumed input",C359="Contained input",C359="Transform input"),P359=-1),1,0)</x:f>
        <x:v>0</x:v>
      </x:c>
    </x:row>
    <x:row r="360" ht="115" customHeight="1">
      <x:c r="A360" s="4" t="str">
        <x:v>design.t4.bearing_cartridge.in.3</x:v>
      </x:c>
      <x:c r="B360" s="4" t="str">
        <x:v>design.t4.bearing_cartridge</x:v>
      </x:c>
      <x:c r="C360" s="4" t="str">
        <x:v>Ingredient candidate</x:v>
      </x:c>
      <x:c r="D360" s="4" t="str">
        <x:v>proposal.t3.precision_tube</x:v>
      </x:c>
      <x:c r="E360" s="4" t="str">
        <x:f>IFERROR(INDEX('Items'!$B$6:$B$1005,MATCH(D360,'Items'!$A$6:$A$1005,0)),"MISSING ID")</x:f>
        <x:v>Drawn steel tube stock</x:v>
      </x:c>
      <x:c r="F360" s="4" t="str">
        <x:f>IFERROR(INDEX('Items'!$C$6:$C$1005,MATCH(D360,'Items'!$A$6:$A$1005,0)),"MISSING ID")</x:f>
        <x:v>T3</x:v>
      </x:c>
      <x:c r="G360" s="4" t="str">
        <x:f>IFERROR(INDEX('Items'!$D$6:$D$1005,MATCH(D360,'Items'!$A$6:$A$1005,0)),"MISSING ID")</x:f>
        <x:v>Manufactured stock</x:v>
      </x:c>
      <x:c r="H360" s="4" t="str">
        <x:f>IFERROR(INDEX('Items'!$X$6:$X$1005,MATCH(D360,'Items'!$A$6:$A$1005,0)),"MISSING ID")</x:f>
        <x:v>Processed material</x:v>
      </x:c>
      <x:c r="I360" s="4"/>
      <x:c r="J360" s="4" t="str">
        <x:v>Unspecified</x:v>
      </x:c>
      <x:c r="K360" s="4" t="str">
        <x:f>IFERROR(INDEX('Crafting recipes'!$D$6:$D$1005,MATCH(B360,'Crafting recipes'!$A$6:$A$1005,0)),"MISSING ID")</x:f>
        <x:v>Proposal</x:v>
      </x:c>
      <x:c r="L360" s="4" t="str">
        <x:f>IFERROR(INDEX('Items'!$AD$6:$AD$1005,MATCH(D360,'Items'!$A$6:$A$1005,0)),"MISSING ID")</x:f>
        <x:v>Proposal</x:v>
      </x:c>
      <x:c r="M360" s="4" t="str">
        <x:f>IFERROR(INDEX('Crafting recipes'!$E$6:$E$1005,MATCH(B360,'Crafting recipes'!$A$6:$A$1005,0)),"MISSING ID")</x:f>
        <x:v>Partial proposal</x:v>
      </x:c>
      <x:c r="N360" s="4" t="str">
        <x:v>Partial material route; no quantities, guarantees or accepted game recipe.</x:v>
      </x:c>
      <x:c r="O360" s="4" t="str">
        <x:v>New October 15 game brainstorming; current author request and Docs/WORLD_BASIS.md. Not retrieved source canon.</x:v>
      </x:c>
      <x:c r="P360" s="4" t="n">
        <x:f>IF(OR(C360="Ingredient candidate",C360="Consumed input",C360="Contained input",C360="Transform input"),IF(F360="T0",0,IF(F360="T1",1,IF(F360="T2",2,IF(F360="T3",3,IF(F360="T4",4,-1))))),-1)</x:f>
        <x:v>3</x:v>
      </x:c>
      <x:c r="Q360" s="4" t="n">
        <x:f>IF(AND(OR(C360="Ingredient candidate",C360="Consumed input",C360="Contained input",C360="Transform input"),P360=-1),1,0)</x:f>
        <x:v>0</x:v>
      </x:c>
    </x:row>
    <x:row r="361" ht="115" customHeight="1">
      <x:c r="A361" s="4" t="str">
        <x:v>design.t4.bearing_cartridge.in.4</x:v>
      </x:c>
      <x:c r="B361" s="4" t="str">
        <x:v>design.t4.bearing_cartridge</x:v>
      </x:c>
      <x:c r="C361" s="4" t="str">
        <x:v>Ingredient candidate</x:v>
      </x:c>
      <x:c r="D361" s="4" t="str">
        <x:v>proposal.t3.service_grease</x:v>
      </x:c>
      <x:c r="E361" s="4" t="str">
        <x:f>IFERROR(INDEX('Items'!$B$6:$B$1005,MATCH(D361,'Items'!$A$6:$A$1005,0)),"MISSING ID")</x:f>
        <x:v>Conditioned mechanism-service grease</x:v>
      </x:c>
      <x:c r="F361" s="4" t="str">
        <x:f>IFERROR(INDEX('Items'!$C$6:$C$1005,MATCH(D361,'Items'!$A$6:$A$1005,0)),"MISSING ID")</x:f>
        <x:v>T3</x:v>
      </x:c>
      <x:c r="G361" s="4" t="str">
        <x:f>IFERROR(INDEX('Items'!$D$6:$D$1005,MATCH(D361,'Items'!$A$6:$A$1005,0)),"MISSING ID")</x:f>
        <x:v>Crafting components</x:v>
      </x:c>
      <x:c r="H361" s="4" t="str">
        <x:f>IFERROR(INDEX('Items'!$X$6:$X$1005,MATCH(D361,'Items'!$A$6:$A$1005,0)),"MISSING ID")</x:f>
        <x:v>Chemical material</x:v>
      </x:c>
      <x:c r="I361" s="4"/>
      <x:c r="J361" s="4" t="str">
        <x:v>Unspecified</x:v>
      </x:c>
      <x:c r="K361" s="4" t="str">
        <x:f>IFERROR(INDEX('Crafting recipes'!$D$6:$D$1005,MATCH(B361,'Crafting recipes'!$A$6:$A$1005,0)),"MISSING ID")</x:f>
        <x:v>Proposal</x:v>
      </x:c>
      <x:c r="L361" s="4" t="str">
        <x:f>IFERROR(INDEX('Items'!$AD$6:$AD$1005,MATCH(D361,'Items'!$A$6:$A$1005,0)),"MISSING ID")</x:f>
        <x:v>Proposal</x:v>
      </x:c>
      <x:c r="M361" s="4" t="str">
        <x:f>IFERROR(INDEX('Crafting recipes'!$E$6:$E$1005,MATCH(B361,'Crafting recipes'!$A$6:$A$1005,0)),"MISSING ID")</x:f>
        <x:v>Partial proposal</x:v>
      </x:c>
      <x:c r="N361" s="4" t="str">
        <x:v>Partial material route; no quantities, guarantees or accepted game recipe.</x:v>
      </x:c>
      <x:c r="O361" s="4" t="str">
        <x:v>New October 15 game brainstorming; current author request and Docs/WORLD_BASIS.md. Not retrieved source canon.</x:v>
      </x:c>
      <x:c r="P361" s="4" t="n">
        <x:f>IF(OR(C361="Ingredient candidate",C361="Consumed input",C361="Contained input",C361="Transform input"),IF(F361="T0",0,IF(F361="T1",1,IF(F361="T2",2,IF(F361="T3",3,IF(F361="T4",4,-1))))),-1)</x:f>
        <x:v>3</x:v>
      </x:c>
      <x:c r="Q361" s="4" t="n">
        <x:f>IF(AND(OR(C361="Ingredient candidate",C361="Consumed input",C361="Contained input",C361="Transform input"),P361=-1),1,0)</x:f>
        <x:v>0</x:v>
      </x:c>
    </x:row>
    <x:row r="362" ht="115" customHeight="1">
      <x:c r="A362" s="4" t="str">
        <x:v>design.t4.bearing_cartridge.out</x:v>
      </x:c>
      <x:c r="B362" s="4" t="str">
        <x:v>design.t4.bearing_cartridge</x:v>
      </x:c>
      <x:c r="C362" s="4" t="str">
        <x:v>Output</x:v>
      </x:c>
      <x:c r="D362" s="4" t="str">
        <x:v>proposal.t4.bearing_cartridge</x:v>
      </x:c>
      <x:c r="E362" s="4" t="str">
        <x:f>IFERROR(INDEX('Items'!$B$6:$B$1005,MATCH(D362,'Items'!$A$6:$A$1005,0)),"MISSING ID")</x:f>
        <x:v>Dust-excluding bearing cartridge</x:v>
      </x:c>
      <x:c r="F362" s="4" t="str">
        <x:f>IFERROR(INDEX('Items'!$C$6:$C$1005,MATCH(D362,'Items'!$A$6:$A$1005,0)),"MISSING ID")</x:f>
        <x:v>T4</x:v>
      </x:c>
      <x:c r="G362" s="4" t="str">
        <x:f>IFERROR(INDEX('Items'!$D$6:$D$1005,MATCH(D362,'Items'!$A$6:$A$1005,0)),"MISSING ID")</x:f>
        <x:v>Crafting components</x:v>
      </x:c>
      <x:c r="H362" s="4" t="str">
        <x:f>IFERROR(INDEX('Items'!$X$6:$X$1005,MATCH(D362,'Items'!$A$6:$A$1005,0)),"MISSING ID")</x:f>
        <x:v>Crafting component</x:v>
      </x:c>
      <x:c r="I362" s="4"/>
      <x:c r="J362" s="4" t="str">
        <x:v>Unspecified</x:v>
      </x:c>
      <x:c r="K362" s="4" t="str">
        <x:f>IFERROR(INDEX('Crafting recipes'!$D$6:$D$1005,MATCH(B362,'Crafting recipes'!$A$6:$A$1005,0)),"MISSING ID")</x:f>
        <x:v>Proposal</x:v>
      </x:c>
      <x:c r="L362" s="4" t="str">
        <x:f>IFERROR(INDEX('Items'!$AD$6:$AD$1005,MATCH(D362,'Items'!$A$6:$A$1005,0)),"MISSING ID")</x:f>
        <x:v>Proposal</x:v>
      </x:c>
      <x:c r="M362" s="4" t="str">
        <x:f>IFERROR(INDEX('Crafting recipes'!$E$6:$E$1005,MATCH(B362,'Crafting recipes'!$A$6:$A$1005,0)),"MISSING ID")</x:f>
        <x:v>Partial proposal</x:v>
      </x:c>
      <x:c r="N362" s="4" t="str">
        <x:v>Partial material route; no quantities, guarantees or accepted game recipe.</x:v>
      </x:c>
      <x:c r="O362" s="4" t="str">
        <x:v>New October 15 game brainstorming; current author request and Docs/WORLD_BASIS.md. Not retrieved source canon.</x:v>
      </x:c>
      <x:c r="P362" s="4" t="n">
        <x:f>IF(OR(C362="Ingredient candidate",C362="Consumed input",C362="Contained input",C362="Transform input"),IF(F362="T0",0,IF(F362="T1",1,IF(F362="T2",2,IF(F362="T3",3,IF(F362="T4",4,-1))))),-1)</x:f>
        <x:v>-1</x:v>
      </x:c>
      <x:c r="Q362" s="4" t="n">
        <x:f>IF(AND(OR(C362="Ingredient candidate",C362="Consumed input",C362="Contained input",C362="Transform input"),P362=-1),1,0)</x:f>
        <x:v>0</x:v>
      </x:c>
    </x:row>
    <x:row r="363" ht="115" customHeight="1">
      <x:c r="A363" s="4" t="str">
        <x:v>design.t4.grounding_harness.in.1</x:v>
      </x:c>
      <x:c r="B363" s="4" t="str">
        <x:v>design.t4.grounding_harness</x:v>
      </x:c>
      <x:c r="C363" s="4" t="str">
        <x:v>Ingredient candidate</x:v>
      </x:c>
      <x:c r="D363" s="4" t="str">
        <x:v>proposal.t3.grounding_braid</x:v>
      </x:c>
      <x:c r="E363" s="4" t="str">
        <x:f>IFERROR(INDEX('Items'!$B$6:$B$1005,MATCH(D363,'Items'!$A$6:$A$1005,0)),"MISSING ID")</x:f>
        <x:v>Braided copper grounding stock</x:v>
      </x:c>
      <x:c r="F363" s="4" t="str">
        <x:f>IFERROR(INDEX('Items'!$C$6:$C$1005,MATCH(D363,'Items'!$A$6:$A$1005,0)),"MISSING ID")</x:f>
        <x:v>T3</x:v>
      </x:c>
      <x:c r="G363" s="4" t="str">
        <x:f>IFERROR(INDEX('Items'!$D$6:$D$1005,MATCH(D363,'Items'!$A$6:$A$1005,0)),"MISSING ID")</x:f>
        <x:v>Manufactured stock</x:v>
      </x:c>
      <x:c r="H363" s="4" t="str">
        <x:f>IFERROR(INDEX('Items'!$X$6:$X$1005,MATCH(D363,'Items'!$A$6:$A$1005,0)),"MISSING ID")</x:f>
        <x:v>Processed material</x:v>
      </x:c>
      <x:c r="I363" s="4"/>
      <x:c r="J363" s="4" t="str">
        <x:v>Unspecified</x:v>
      </x:c>
      <x:c r="K363" s="4" t="str">
        <x:f>IFERROR(INDEX('Crafting recipes'!$D$6:$D$1005,MATCH(B363,'Crafting recipes'!$A$6:$A$1005,0)),"MISSING ID")</x:f>
        <x:v>Proposal</x:v>
      </x:c>
      <x:c r="L363" s="4" t="str">
        <x:f>IFERROR(INDEX('Items'!$AD$6:$AD$1005,MATCH(D363,'Items'!$A$6:$A$1005,0)),"MISSING ID")</x:f>
        <x:v>Proposal</x:v>
      </x:c>
      <x:c r="M363" s="4" t="str">
        <x:f>IFERROR(INDEX('Crafting recipes'!$E$6:$E$1005,MATCH(B363,'Crafting recipes'!$A$6:$A$1005,0)),"MISSING ID")</x:f>
        <x:v>Partial proposal</x:v>
      </x:c>
      <x:c r="N363" s="4" t="str">
        <x:v>Partial material route; no quantities, guarantees or accepted game recipe.</x:v>
      </x:c>
      <x:c r="O363" s="4" t="str">
        <x:v>New October 15 game brainstorming; current author request and Docs/WORLD_BASIS.md. Not retrieved source canon.</x:v>
      </x:c>
      <x:c r="P363" s="4" t="n">
        <x:f>IF(OR(C363="Ingredient candidate",C363="Consumed input",C363="Contained input",C363="Transform input"),IF(F363="T0",0,IF(F363="T1",1,IF(F363="T2",2,IF(F363="T3",3,IF(F363="T4",4,-1))))),-1)</x:f>
        <x:v>3</x:v>
      </x:c>
      <x:c r="Q363" s="4" t="n">
        <x:f>IF(AND(OR(C363="Ingredient candidate",C363="Consumed input",C363="Contained input",C363="Transform input"),P363=-1),1,0)</x:f>
        <x:v>0</x:v>
      </x:c>
    </x:row>
    <x:row r="364" ht="115" customHeight="1">
      <x:c r="A364" s="4" t="str">
        <x:v>design.t4.grounding_harness.in.2</x:v>
      </x:c>
      <x:c r="B364" s="4" t="str">
        <x:v>design.t4.grounding_harness</x:v>
      </x:c>
      <x:c r="C364" s="4" t="str">
        <x:v>Ingredient candidate</x:v>
      </x:c>
      <x:c r="D364" s="4" t="str">
        <x:v>proposal.t3.contact_mount</x:v>
      </x:c>
      <x:c r="E364" s="4" t="str">
        <x:f>IFERROR(INDEX('Items'!$B$6:$B$1005,MATCH(D364,'Items'!$A$6:$A$1005,0)),"MISSING ID")</x:f>
        <x:v>Fitted ceramic contact mounts</x:v>
      </x:c>
      <x:c r="F364" s="4" t="str">
        <x:f>IFERROR(INDEX('Items'!$C$6:$C$1005,MATCH(D364,'Items'!$A$6:$A$1005,0)),"MISSING ID")</x:f>
        <x:v>T3</x:v>
      </x:c>
      <x:c r="G364" s="4" t="str">
        <x:f>IFERROR(INDEX('Items'!$D$6:$D$1005,MATCH(D364,'Items'!$A$6:$A$1005,0)),"MISSING ID")</x:f>
        <x:v>Crafting components</x:v>
      </x:c>
      <x:c r="H364" s="4" t="str">
        <x:f>IFERROR(INDEX('Items'!$X$6:$X$1005,MATCH(D364,'Items'!$A$6:$A$1005,0)),"MISSING ID")</x:f>
        <x:v>Crafting component</x:v>
      </x:c>
      <x:c r="I364" s="4"/>
      <x:c r="J364" s="4" t="str">
        <x:v>Unspecified</x:v>
      </x:c>
      <x:c r="K364" s="4" t="str">
        <x:f>IFERROR(INDEX('Crafting recipes'!$D$6:$D$1005,MATCH(B364,'Crafting recipes'!$A$6:$A$1005,0)),"MISSING ID")</x:f>
        <x:v>Proposal</x:v>
      </x:c>
      <x:c r="L364" s="4" t="str">
        <x:f>IFERROR(INDEX('Items'!$AD$6:$AD$1005,MATCH(D364,'Items'!$A$6:$A$1005,0)),"MISSING ID")</x:f>
        <x:v>Proposal</x:v>
      </x:c>
      <x:c r="M364" s="4" t="str">
        <x:f>IFERROR(INDEX('Crafting recipes'!$E$6:$E$1005,MATCH(B364,'Crafting recipes'!$A$6:$A$1005,0)),"MISSING ID")</x:f>
        <x:v>Partial proposal</x:v>
      </x:c>
      <x:c r="N364" s="4" t="str">
        <x:v>Partial material route; no quantities, guarantees or accepted game recipe.</x:v>
      </x:c>
      <x:c r="O364" s="4" t="str">
        <x:v>New October 15 game brainstorming; current author request and Docs/WORLD_BASIS.md. Not retrieved source canon.</x:v>
      </x:c>
      <x:c r="P364" s="4" t="n">
        <x:f>IF(OR(C364="Ingredient candidate",C364="Consumed input",C364="Contained input",C364="Transform input"),IF(F364="T0",0,IF(F364="T1",1,IF(F364="T2",2,IF(F364="T3",3,IF(F364="T4",4,-1))))),-1)</x:f>
        <x:v>3</x:v>
      </x:c>
      <x:c r="Q364" s="4" t="n">
        <x:f>IF(AND(OR(C364="Ingredient candidate",C364="Consumed input",C364="Contained input",C364="Transform input"),P364=-1),1,0)</x:f>
        <x:v>0</x:v>
      </x:c>
    </x:row>
    <x:row r="365" ht="115" customHeight="1">
      <x:c r="A365" s="4" t="str">
        <x:v>design.t4.grounding_harness.in.3</x:v>
      </x:c>
      <x:c r="B365" s="4" t="str">
        <x:v>design.t4.grounding_harness</x:v>
      </x:c>
      <x:c r="C365" s="4" t="str">
        <x:v>Ingredient candidate</x:v>
      </x:c>
      <x:c r="D365" s="4" t="str">
        <x:v>author.metallurgy.steel_stock</x:v>
      </x:c>
      <x:c r="E365" s="4" t="str">
        <x:f>IFERROR(INDEX('Items'!$B$6:$B$1005,MATCH(D365,'Items'!$A$6:$A$1005,0)),"MISSING ID")</x:f>
        <x:v>Steel stock</x:v>
      </x:c>
      <x:c r="F365" s="4" t="str">
        <x:f>IFERROR(INDEX('Items'!$C$6:$C$1005,MATCH(D365,'Items'!$A$6:$A$1005,0)),"MISSING ID")</x:f>
        <x:v>T2</x:v>
      </x:c>
      <x:c r="G365" s="4" t="str">
        <x:f>IFERROR(INDEX('Items'!$D$6:$D$1005,MATCH(D365,'Items'!$A$6:$A$1005,0)),"MISSING ID")</x:f>
        <x:v>Manufactured stock</x:v>
      </x:c>
      <x:c r="H365" s="4" t="str">
        <x:f>IFERROR(INDEX('Items'!$X$6:$X$1005,MATCH(D365,'Items'!$A$6:$A$1005,0)),"MISSING ID")</x:f>
        <x:v>Processed material</x:v>
      </x:c>
      <x:c r="I365" s="4"/>
      <x:c r="J365" s="4" t="str">
        <x:v>Unspecified</x:v>
      </x:c>
      <x:c r="K365" s="4" t="str">
        <x:f>IFERROR(INDEX('Crafting recipes'!$D$6:$D$1005,MATCH(B365,'Crafting recipes'!$A$6:$A$1005,0)),"MISSING ID")</x:f>
        <x:v>Proposal</x:v>
      </x:c>
      <x:c r="L365" s="4" t="str">
        <x:f>IFERROR(INDEX('Items'!$AD$6:$AD$1005,MATCH(D365,'Items'!$A$6:$A$1005,0)),"MISSING ID")</x:f>
        <x:v>Author direction</x:v>
      </x:c>
      <x:c r="M365" s="4" t="str">
        <x:f>IFERROR(INDEX('Crafting recipes'!$E$6:$E$1005,MATCH(B365,'Crafting recipes'!$A$6:$A$1005,0)),"MISSING ID")</x:f>
        <x:v>Partial proposal</x:v>
      </x:c>
      <x:c r="N365" s="4" t="str">
        <x:v>Partial material route; no quantities, guarantees or accepted game recipe.</x:v>
      </x:c>
      <x:c r="O365" s="4" t="str">
        <x:v>New October 15 game brainstorming; current author request and Docs/WORLD_BASIS.md. Not retrieved source canon.</x:v>
      </x:c>
      <x:c r="P365" s="4" t="n">
        <x:f>IF(OR(C365="Ingredient candidate",C365="Consumed input",C365="Contained input",C365="Transform input"),IF(F365="T0",0,IF(F365="T1",1,IF(F365="T2",2,IF(F365="T3",3,IF(F365="T4",4,-1))))),-1)</x:f>
        <x:v>2</x:v>
      </x:c>
      <x:c r="Q365" s="4" t="n">
        <x:f>IF(AND(OR(C365="Ingredient candidate",C365="Consumed input",C365="Contained input",C365="Transform input"),P365=-1),1,0)</x:f>
        <x:v>0</x:v>
      </x:c>
    </x:row>
    <x:row r="366" ht="115" customHeight="1">
      <x:c r="A366" s="4" t="str">
        <x:v>design.t4.grounding_harness.out</x:v>
      </x:c>
      <x:c r="B366" s="4" t="str">
        <x:v>design.t4.grounding_harness</x:v>
      </x:c>
      <x:c r="C366" s="4" t="str">
        <x:v>Output</x:v>
      </x:c>
      <x:c r="D366" s="4" t="str">
        <x:v>proposal.t4.grounding_harness</x:v>
      </x:c>
      <x:c r="E366" s="4" t="str">
        <x:f>IFERROR(INDEX('Items'!$B$6:$B$1005,MATCH(D366,'Items'!$A$6:$A$1005,0)),"MISSING ID")</x:f>
        <x:v>Terminated grounding harness</x:v>
      </x:c>
      <x:c r="F366" s="4" t="str">
        <x:f>IFERROR(INDEX('Items'!$C$6:$C$1005,MATCH(D366,'Items'!$A$6:$A$1005,0)),"MISSING ID")</x:f>
        <x:v>T4</x:v>
      </x:c>
      <x:c r="G366" s="4" t="str">
        <x:f>IFERROR(INDEX('Items'!$D$6:$D$1005,MATCH(D366,'Items'!$A$6:$A$1005,0)),"MISSING ID")</x:f>
        <x:v>Crafting components</x:v>
      </x:c>
      <x:c r="H366" s="4" t="str">
        <x:f>IFERROR(INDEX('Items'!$X$6:$X$1005,MATCH(D366,'Items'!$A$6:$A$1005,0)),"MISSING ID")</x:f>
        <x:v>Crafting component</x:v>
      </x:c>
      <x:c r="I366" s="4"/>
      <x:c r="J366" s="4" t="str">
        <x:v>Unspecified</x:v>
      </x:c>
      <x:c r="K366" s="4" t="str">
        <x:f>IFERROR(INDEX('Crafting recipes'!$D$6:$D$1005,MATCH(B366,'Crafting recipes'!$A$6:$A$1005,0)),"MISSING ID")</x:f>
        <x:v>Proposal</x:v>
      </x:c>
      <x:c r="L366" s="4" t="str">
        <x:f>IFERROR(INDEX('Items'!$AD$6:$AD$1005,MATCH(D366,'Items'!$A$6:$A$1005,0)),"MISSING ID")</x:f>
        <x:v>Proposal</x:v>
      </x:c>
      <x:c r="M366" s="4" t="str">
        <x:f>IFERROR(INDEX('Crafting recipes'!$E$6:$E$1005,MATCH(B366,'Crafting recipes'!$A$6:$A$1005,0)),"MISSING ID")</x:f>
        <x:v>Partial proposal</x:v>
      </x:c>
      <x:c r="N366" s="4" t="str">
        <x:v>Partial material route; no quantities, guarantees or accepted game recipe.</x:v>
      </x:c>
      <x:c r="O366" s="4" t="str">
        <x:v>New October 15 game brainstorming; current author request and Docs/WORLD_BASIS.md. Not retrieved source canon.</x:v>
      </x:c>
      <x:c r="P366" s="4" t="n">
        <x:f>IF(OR(C366="Ingredient candidate",C366="Consumed input",C366="Contained input",C366="Transform input"),IF(F366="T0",0,IF(F366="T1",1,IF(F366="T2",2,IF(F366="T3",3,IF(F366="T4",4,-1))))),-1)</x:f>
        <x:v>-1</x:v>
      </x:c>
      <x:c r="Q366" s="4" t="n">
        <x:f>IF(AND(OR(C366="Ingredient candidate",C366="Consumed input",C366="Contained input",C366="Transform input"),P366=-1),1,0)</x:f>
        <x:v>0</x:v>
      </x:c>
    </x:row>
    <x:row r="367" ht="115" customHeight="1">
      <x:c r="A367" s="4" t="str">
        <x:v>design.t4.insulated_winding.in.1</x:v>
      </x:c>
      <x:c r="B367" s="4" t="str">
        <x:v>design.t4.insulated_winding</x:v>
      </x:c>
      <x:c r="C367" s="4" t="str">
        <x:v>Ingredient candidate</x:v>
      </x:c>
      <x:c r="D367" s="4" t="str">
        <x:v>proposal.t3.wound_coil</x:v>
      </x:c>
      <x:c r="E367" s="4" t="str">
        <x:f>IFERROR(INDEX('Items'!$B$6:$B$1005,MATCH(D367,'Items'!$A$6:$A$1005,0)),"MISSING ID")</x:f>
        <x:v>Wound copper coil blanks</x:v>
      </x:c>
      <x:c r="F367" s="4" t="str">
        <x:f>IFERROR(INDEX('Items'!$C$6:$C$1005,MATCH(D367,'Items'!$A$6:$A$1005,0)),"MISSING ID")</x:f>
        <x:v>T3</x:v>
      </x:c>
      <x:c r="G367" s="4" t="str">
        <x:f>IFERROR(INDEX('Items'!$D$6:$D$1005,MATCH(D367,'Items'!$A$6:$A$1005,0)),"MISSING ID")</x:f>
        <x:v>Crafting components</x:v>
      </x:c>
      <x:c r="H367" s="4" t="str">
        <x:f>IFERROR(INDEX('Items'!$X$6:$X$1005,MATCH(D367,'Items'!$A$6:$A$1005,0)),"MISSING ID")</x:f>
        <x:v>Crafting component</x:v>
      </x:c>
      <x:c r="I367" s="4"/>
      <x:c r="J367" s="4" t="str">
        <x:v>Unspecified</x:v>
      </x:c>
      <x:c r="K367" s="4" t="str">
        <x:f>IFERROR(INDEX('Crafting recipes'!$D$6:$D$1005,MATCH(B367,'Crafting recipes'!$A$6:$A$1005,0)),"MISSING ID")</x:f>
        <x:v>Proposal</x:v>
      </x:c>
      <x:c r="L367" s="4" t="str">
        <x:f>IFERROR(INDEX('Items'!$AD$6:$AD$1005,MATCH(D367,'Items'!$A$6:$A$1005,0)),"MISSING ID")</x:f>
        <x:v>Proposal</x:v>
      </x:c>
      <x:c r="M367" s="4" t="str">
        <x:f>IFERROR(INDEX('Crafting recipes'!$E$6:$E$1005,MATCH(B367,'Crafting recipes'!$A$6:$A$1005,0)),"MISSING ID")</x:f>
        <x:v>Partial proposal</x:v>
      </x:c>
      <x:c r="N367" s="4" t="str">
        <x:v>Partial material route; no quantities, guarantees or accepted game recipe.</x:v>
      </x:c>
      <x:c r="O367" s="4" t="str">
        <x:v>New October 15 game brainstorming; current author request and Docs/WORLD_BASIS.md. Not retrieved source canon.</x:v>
      </x:c>
      <x:c r="P367" s="4" t="n">
        <x:f>IF(OR(C367="Ingredient candidate",C367="Consumed input",C367="Contained input",C367="Transform input"),IF(F367="T0",0,IF(F367="T1",1,IF(F367="T2",2,IF(F367="T3",3,IF(F367="T4",4,-1))))),-1)</x:f>
        <x:v>3</x:v>
      </x:c>
      <x:c r="Q367" s="4" t="n">
        <x:f>IF(AND(OR(C367="Ingredient candidate",C367="Consumed input",C367="Contained input",C367="Transform input"),P367=-1),1,0)</x:f>
        <x:v>0</x:v>
      </x:c>
    </x:row>
    <x:row r="368" ht="115" customHeight="1">
      <x:c r="A368" s="4" t="str">
        <x:v>design.t4.insulated_winding.in.2</x:v>
      </x:c>
      <x:c r="B368" s="4" t="str">
        <x:v>design.t4.insulated_winding</x:v>
      </x:c>
      <x:c r="C368" s="4" t="str">
        <x:v>Ingredient candidate</x:v>
      </x:c>
      <x:c r="D368" s="4" t="str">
        <x:v>proposal.t3.spacer_set</x:v>
      </x:c>
      <x:c r="E368" s="4" t="str">
        <x:f>IFERROR(INDEX('Items'!$B$6:$B$1005,MATCH(D368,'Items'!$A$6:$A$1005,0)),"MISSING ID")</x:f>
        <x:v>Matched ceramic spacer sets</x:v>
      </x:c>
      <x:c r="F368" s="4" t="str">
        <x:f>IFERROR(INDEX('Items'!$C$6:$C$1005,MATCH(D368,'Items'!$A$6:$A$1005,0)),"MISSING ID")</x:f>
        <x:v>T3</x:v>
      </x:c>
      <x:c r="G368" s="4" t="str">
        <x:f>IFERROR(INDEX('Items'!$D$6:$D$1005,MATCH(D368,'Items'!$A$6:$A$1005,0)),"MISSING ID")</x:f>
        <x:v>Crafting components</x:v>
      </x:c>
      <x:c r="H368" s="4" t="str">
        <x:f>IFERROR(INDEX('Items'!$X$6:$X$1005,MATCH(D368,'Items'!$A$6:$A$1005,0)),"MISSING ID")</x:f>
        <x:v>Crafting component</x:v>
      </x:c>
      <x:c r="I368" s="4"/>
      <x:c r="J368" s="4" t="str">
        <x:v>Unspecified</x:v>
      </x:c>
      <x:c r="K368" s="4" t="str">
        <x:f>IFERROR(INDEX('Crafting recipes'!$D$6:$D$1005,MATCH(B368,'Crafting recipes'!$A$6:$A$1005,0)),"MISSING ID")</x:f>
        <x:v>Proposal</x:v>
      </x:c>
      <x:c r="L368" s="4" t="str">
        <x:f>IFERROR(INDEX('Items'!$AD$6:$AD$1005,MATCH(D368,'Items'!$A$6:$A$1005,0)),"MISSING ID")</x:f>
        <x:v>Proposal</x:v>
      </x:c>
      <x:c r="M368" s="4" t="str">
        <x:f>IFERROR(INDEX('Crafting recipes'!$E$6:$E$1005,MATCH(B368,'Crafting recipes'!$A$6:$A$1005,0)),"MISSING ID")</x:f>
        <x:v>Partial proposal</x:v>
      </x:c>
      <x:c r="N368" s="4" t="str">
        <x:v>Partial material route; no quantities, guarantees or accepted game recipe.</x:v>
      </x:c>
      <x:c r="O368" s="4" t="str">
        <x:v>New October 15 game brainstorming; current author request and Docs/WORLD_BASIS.md. Not retrieved source canon.</x:v>
      </x:c>
      <x:c r="P368" s="4" t="n">
        <x:f>IF(OR(C368="Ingredient candidate",C368="Consumed input",C368="Contained input",C368="Transform input"),IF(F368="T0",0,IF(F368="T1",1,IF(F368="T2",2,IF(F368="T3",3,IF(F368="T4",4,-1))))),-1)</x:f>
        <x:v>3</x:v>
      </x:c>
      <x:c r="Q368" s="4" t="n">
        <x:f>IF(AND(OR(C368="Ingredient candidate",C368="Consumed input",C368="Contained input",C368="Transform input"),P368=-1),1,0)</x:f>
        <x:v>0</x:v>
      </x:c>
    </x:row>
    <x:row r="369" ht="115" customHeight="1">
      <x:c r="A369" s="4" t="str">
        <x:v>design.t4.insulated_winding.in.3</x:v>
      </x:c>
      <x:c r="B369" s="4" t="str">
        <x:v>design.t4.insulated_winding</x:v>
      </x:c>
      <x:c r="C369" s="4" t="str">
        <x:v>Ingredient candidate</x:v>
      </x:c>
      <x:c r="D369" s="4" t="str">
        <x:v>proposal.branch.insulated_conductor</x:v>
      </x:c>
      <x:c r="E369" s="4" t="str">
        <x:f>IFERROR(INDEX('Items'!$B$6:$B$1005,MATCH(D369,'Items'!$A$6:$A$1005,0)),"MISSING ID")</x:f>
        <x:v>Insulated conductor stock</x:v>
      </x:c>
      <x:c r="F369" s="4" t="str">
        <x:f>IFERROR(INDEX('Items'!$C$6:$C$1005,MATCH(D369,'Items'!$A$6:$A$1005,0)),"MISSING ID")</x:f>
        <x:v>T3</x:v>
      </x:c>
      <x:c r="G369" s="4" t="str">
        <x:f>IFERROR(INDEX('Items'!$D$6:$D$1005,MATCH(D369,'Items'!$A$6:$A$1005,0)),"MISSING ID")</x:f>
        <x:v>Manufactured stock</x:v>
      </x:c>
      <x:c r="H369" s="4" t="str">
        <x:f>IFERROR(INDEX('Items'!$X$6:$X$1005,MATCH(D369,'Items'!$A$6:$A$1005,0)),"MISSING ID")</x:f>
        <x:v>Processed material</x:v>
      </x:c>
      <x:c r="I369" s="4"/>
      <x:c r="J369" s="4" t="str">
        <x:v>Unspecified</x:v>
      </x:c>
      <x:c r="K369" s="4" t="str">
        <x:f>IFERROR(INDEX('Crafting recipes'!$D$6:$D$1005,MATCH(B369,'Crafting recipes'!$A$6:$A$1005,0)),"MISSING ID")</x:f>
        <x:v>Proposal</x:v>
      </x:c>
      <x:c r="L369" s="4" t="str">
        <x:f>IFERROR(INDEX('Items'!$AD$6:$AD$1005,MATCH(D369,'Items'!$A$6:$A$1005,0)),"MISSING ID")</x:f>
        <x:v>Proposal</x:v>
      </x:c>
      <x:c r="M369" s="4" t="str">
        <x:f>IFERROR(INDEX('Crafting recipes'!$E$6:$E$1005,MATCH(B369,'Crafting recipes'!$A$6:$A$1005,0)),"MISSING ID")</x:f>
        <x:v>Partial proposal</x:v>
      </x:c>
      <x:c r="N369" s="4" t="str">
        <x:v>Partial material route; no quantities, guarantees or accepted game recipe.</x:v>
      </x:c>
      <x:c r="O369" s="4" t="str">
        <x:v>New October 15 game brainstorming; current author request and Docs/WORLD_BASIS.md. Not retrieved source canon.</x:v>
      </x:c>
      <x:c r="P369" s="4" t="n">
        <x:f>IF(OR(C369="Ingredient candidate",C369="Consumed input",C369="Contained input",C369="Transform input"),IF(F369="T0",0,IF(F369="T1",1,IF(F369="T2",2,IF(F369="T3",3,IF(F369="T4",4,-1))))),-1)</x:f>
        <x:v>3</x:v>
      </x:c>
      <x:c r="Q369" s="4" t="n">
        <x:f>IF(AND(OR(C369="Ingredient candidate",C369="Consumed input",C369="Contained input",C369="Transform input"),P369=-1),1,0)</x:f>
        <x:v>0</x:v>
      </x:c>
    </x:row>
    <x:row r="370" ht="115" customHeight="1">
      <x:c r="A370" s="4" t="str">
        <x:v>design.t4.insulated_winding.out</x:v>
      </x:c>
      <x:c r="B370" s="4" t="str">
        <x:v>design.t4.insulated_winding</x:v>
      </x:c>
      <x:c r="C370" s="4" t="str">
        <x:v>Output</x:v>
      </x:c>
      <x:c r="D370" s="4" t="str">
        <x:v>proposal.t4.insulated_winding</x:v>
      </x:c>
      <x:c r="E370" s="4" t="str">
        <x:f>IFERROR(INDEX('Items'!$B$6:$B$1005,MATCH(D370,'Items'!$A$6:$A$1005,0)),"MISSING ID")</x:f>
        <x:v>Insulated winding subassembly</x:v>
      </x:c>
      <x:c r="F370" s="4" t="str">
        <x:f>IFERROR(INDEX('Items'!$C$6:$C$1005,MATCH(D370,'Items'!$A$6:$A$1005,0)),"MISSING ID")</x:f>
        <x:v>T4</x:v>
      </x:c>
      <x:c r="G370" s="4" t="str">
        <x:f>IFERROR(INDEX('Items'!$D$6:$D$1005,MATCH(D370,'Items'!$A$6:$A$1005,0)),"MISSING ID")</x:f>
        <x:v>Crafting components</x:v>
      </x:c>
      <x:c r="H370" s="4" t="str">
        <x:f>IFERROR(INDEX('Items'!$X$6:$X$1005,MATCH(D370,'Items'!$A$6:$A$1005,0)),"MISSING ID")</x:f>
        <x:v>Crafting component</x:v>
      </x:c>
      <x:c r="I370" s="4"/>
      <x:c r="J370" s="4" t="str">
        <x:v>Unspecified</x:v>
      </x:c>
      <x:c r="K370" s="4" t="str">
        <x:f>IFERROR(INDEX('Crafting recipes'!$D$6:$D$1005,MATCH(B370,'Crafting recipes'!$A$6:$A$1005,0)),"MISSING ID")</x:f>
        <x:v>Proposal</x:v>
      </x:c>
      <x:c r="L370" s="4" t="str">
        <x:f>IFERROR(INDEX('Items'!$AD$6:$AD$1005,MATCH(D370,'Items'!$A$6:$A$1005,0)),"MISSING ID")</x:f>
        <x:v>Proposal</x:v>
      </x:c>
      <x:c r="M370" s="4" t="str">
        <x:f>IFERROR(INDEX('Crafting recipes'!$E$6:$E$1005,MATCH(B370,'Crafting recipes'!$A$6:$A$1005,0)),"MISSING ID")</x:f>
        <x:v>Partial proposal</x:v>
      </x:c>
      <x:c r="N370" s="4" t="str">
        <x:v>Partial material route; no quantities, guarantees or accepted game recipe.</x:v>
      </x:c>
      <x:c r="O370" s="4" t="str">
        <x:v>New October 15 game brainstorming; current author request and Docs/WORLD_BASIS.md. Not retrieved source canon.</x:v>
      </x:c>
      <x:c r="P370" s="4" t="n">
        <x:f>IF(OR(C370="Ingredient candidate",C370="Consumed input",C370="Contained input",C370="Transform input"),IF(F370="T0",0,IF(F370="T1",1,IF(F370="T2",2,IF(F370="T3",3,IF(F370="T4",4,-1))))),-1)</x:f>
        <x:v>-1</x:v>
      </x:c>
      <x:c r="Q370" s="4" t="n">
        <x:f>IF(AND(OR(C370="Ingredient candidate",C370="Consumed input",C370="Contained input",C370="Transform input"),P370=-1),1,0)</x:f>
        <x:v>0</x:v>
      </x:c>
    </x:row>
    <x:row r="371" ht="115" customHeight="1">
      <x:c r="A371" s="4" t="str">
        <x:v>design.t4.radio_tuning.in.1</x:v>
      </x:c>
      <x:c r="B371" s="4" t="str">
        <x:v>design.t4.radio_tuning</x:v>
      </x:c>
      <x:c r="C371" s="4" t="str">
        <x:v>Ingredient candidate</x:v>
      </x:c>
      <x:c r="D371" s="4" t="str">
        <x:v>proposal.t3.wound_coil</x:v>
      </x:c>
      <x:c r="E371" s="4" t="str">
        <x:f>IFERROR(INDEX('Items'!$B$6:$B$1005,MATCH(D371,'Items'!$A$6:$A$1005,0)),"MISSING ID")</x:f>
        <x:v>Wound copper coil blanks</x:v>
      </x:c>
      <x:c r="F371" s="4" t="str">
        <x:f>IFERROR(INDEX('Items'!$C$6:$C$1005,MATCH(D371,'Items'!$A$6:$A$1005,0)),"MISSING ID")</x:f>
        <x:v>T3</x:v>
      </x:c>
      <x:c r="G371" s="4" t="str">
        <x:f>IFERROR(INDEX('Items'!$D$6:$D$1005,MATCH(D371,'Items'!$A$6:$A$1005,0)),"MISSING ID")</x:f>
        <x:v>Crafting components</x:v>
      </x:c>
      <x:c r="H371" s="4" t="str">
        <x:f>IFERROR(INDEX('Items'!$X$6:$X$1005,MATCH(D371,'Items'!$A$6:$A$1005,0)),"MISSING ID")</x:f>
        <x:v>Crafting component</x:v>
      </x:c>
      <x:c r="I371" s="4"/>
      <x:c r="J371" s="4" t="str">
        <x:v>Unspecified</x:v>
      </x:c>
      <x:c r="K371" s="4" t="str">
        <x:f>IFERROR(INDEX('Crafting recipes'!$D$6:$D$1005,MATCH(B371,'Crafting recipes'!$A$6:$A$1005,0)),"MISSING ID")</x:f>
        <x:v>Proposal</x:v>
      </x:c>
      <x:c r="L371" s="4" t="str">
        <x:f>IFERROR(INDEX('Items'!$AD$6:$AD$1005,MATCH(D371,'Items'!$A$6:$A$1005,0)),"MISSING ID")</x:f>
        <x:v>Proposal</x:v>
      </x:c>
      <x:c r="M371" s="4" t="str">
        <x:f>IFERROR(INDEX('Crafting recipes'!$E$6:$E$1005,MATCH(B371,'Crafting recipes'!$A$6:$A$1005,0)),"MISSING ID")</x:f>
        <x:v>Partial proposal</x:v>
      </x:c>
      <x:c r="N371" s="4" t="str">
        <x:v>Partial material route; no quantities, guarantees or accepted game recipe.</x:v>
      </x:c>
      <x:c r="O371" s="4" t="str">
        <x:v>New October 15 game brainstorming; current author request and Docs/WORLD_BASIS.md. Not retrieved source canon.</x:v>
      </x:c>
      <x:c r="P371" s="4" t="n">
        <x:f>IF(OR(C371="Ingredient candidate",C371="Consumed input",C371="Contained input",C371="Transform input"),IF(F371="T0",0,IF(F371="T1",1,IF(F371="T2",2,IF(F371="T3",3,IF(F371="T4",4,-1))))),-1)</x:f>
        <x:v>3</x:v>
      </x:c>
      <x:c r="Q371" s="4" t="n">
        <x:f>IF(AND(OR(C371="Ingredient candidate",C371="Consumed input",C371="Contained input",C371="Transform input"),P371=-1),1,0)</x:f>
        <x:v>0</x:v>
      </x:c>
    </x:row>
    <x:row r="372" ht="115" customHeight="1">
      <x:c r="A372" s="4" t="str">
        <x:v>design.t4.radio_tuning.in.2</x:v>
      </x:c>
      <x:c r="B372" s="4" t="str">
        <x:v>design.t4.radio_tuning</x:v>
      </x:c>
      <x:c r="C372" s="4" t="str">
        <x:v>Ingredient candidate</x:v>
      </x:c>
      <x:c r="D372" s="4" t="str">
        <x:v>proposal.t3.contact_mount</x:v>
      </x:c>
      <x:c r="E372" s="4" t="str">
        <x:f>IFERROR(INDEX('Items'!$B$6:$B$1005,MATCH(D372,'Items'!$A$6:$A$1005,0)),"MISSING ID")</x:f>
        <x:v>Fitted ceramic contact mounts</x:v>
      </x:c>
      <x:c r="F372" s="4" t="str">
        <x:f>IFERROR(INDEX('Items'!$C$6:$C$1005,MATCH(D372,'Items'!$A$6:$A$1005,0)),"MISSING ID")</x:f>
        <x:v>T3</x:v>
      </x:c>
      <x:c r="G372" s="4" t="str">
        <x:f>IFERROR(INDEX('Items'!$D$6:$D$1005,MATCH(D372,'Items'!$A$6:$A$1005,0)),"MISSING ID")</x:f>
        <x:v>Crafting components</x:v>
      </x:c>
      <x:c r="H372" s="4" t="str">
        <x:f>IFERROR(INDEX('Items'!$X$6:$X$1005,MATCH(D372,'Items'!$A$6:$A$1005,0)),"MISSING ID")</x:f>
        <x:v>Crafting component</x:v>
      </x:c>
      <x:c r="I372" s="4"/>
      <x:c r="J372" s="4" t="str">
        <x:v>Unspecified</x:v>
      </x:c>
      <x:c r="K372" s="4" t="str">
        <x:f>IFERROR(INDEX('Crafting recipes'!$D$6:$D$1005,MATCH(B372,'Crafting recipes'!$A$6:$A$1005,0)),"MISSING ID")</x:f>
        <x:v>Proposal</x:v>
      </x:c>
      <x:c r="L372" s="4" t="str">
        <x:f>IFERROR(INDEX('Items'!$AD$6:$AD$1005,MATCH(D372,'Items'!$A$6:$A$1005,0)),"MISSING ID")</x:f>
        <x:v>Proposal</x:v>
      </x:c>
      <x:c r="M372" s="4" t="str">
        <x:f>IFERROR(INDEX('Crafting recipes'!$E$6:$E$1005,MATCH(B372,'Crafting recipes'!$A$6:$A$1005,0)),"MISSING ID")</x:f>
        <x:v>Partial proposal</x:v>
      </x:c>
      <x:c r="N372" s="4" t="str">
        <x:v>Partial material route; no quantities, guarantees or accepted game recipe.</x:v>
      </x:c>
      <x:c r="O372" s="4" t="str">
        <x:v>New October 15 game brainstorming; current author request and Docs/WORLD_BASIS.md. Not retrieved source canon.</x:v>
      </x:c>
      <x:c r="P372" s="4" t="n">
        <x:f>IF(OR(C372="Ingredient candidate",C372="Consumed input",C372="Contained input",C372="Transform input"),IF(F372="T0",0,IF(F372="T1",1,IF(F372="T2",2,IF(F372="T3",3,IF(F372="T4",4,-1))))),-1)</x:f>
        <x:v>3</x:v>
      </x:c>
      <x:c r="Q372" s="4" t="n">
        <x:f>IF(AND(OR(C372="Ingredient candidate",C372="Consumed input",C372="Contained input",C372="Transform input"),P372=-1),1,0)</x:f>
        <x:v>0</x:v>
      </x:c>
    </x:row>
    <x:row r="373" ht="115" customHeight="1">
      <x:c r="A373" s="4" t="str">
        <x:v>design.t4.radio_tuning.in.3</x:v>
      </x:c>
      <x:c r="B373" s="4" t="str">
        <x:v>design.t4.radio_tuning</x:v>
      </x:c>
      <x:c r="C373" s="4" t="str">
        <x:v>Ingredient candidate</x:v>
      </x:c>
      <x:c r="D373" s="4" t="str">
        <x:v>proposal.t3.spacer_set</x:v>
      </x:c>
      <x:c r="E373" s="4" t="str">
        <x:f>IFERROR(INDEX('Items'!$B$6:$B$1005,MATCH(D373,'Items'!$A$6:$A$1005,0)),"MISSING ID")</x:f>
        <x:v>Matched ceramic spacer sets</x:v>
      </x:c>
      <x:c r="F373" s="4" t="str">
        <x:f>IFERROR(INDEX('Items'!$C$6:$C$1005,MATCH(D373,'Items'!$A$6:$A$1005,0)),"MISSING ID")</x:f>
        <x:v>T3</x:v>
      </x:c>
      <x:c r="G373" s="4" t="str">
        <x:f>IFERROR(INDEX('Items'!$D$6:$D$1005,MATCH(D373,'Items'!$A$6:$A$1005,0)),"MISSING ID")</x:f>
        <x:v>Crafting components</x:v>
      </x:c>
      <x:c r="H373" s="4" t="str">
        <x:f>IFERROR(INDEX('Items'!$X$6:$X$1005,MATCH(D373,'Items'!$A$6:$A$1005,0)),"MISSING ID")</x:f>
        <x:v>Crafting component</x:v>
      </x:c>
      <x:c r="I373" s="4"/>
      <x:c r="J373" s="4" t="str">
        <x:v>Unspecified</x:v>
      </x:c>
      <x:c r="K373" s="4" t="str">
        <x:f>IFERROR(INDEX('Crafting recipes'!$D$6:$D$1005,MATCH(B373,'Crafting recipes'!$A$6:$A$1005,0)),"MISSING ID")</x:f>
        <x:v>Proposal</x:v>
      </x:c>
      <x:c r="L373" s="4" t="str">
        <x:f>IFERROR(INDEX('Items'!$AD$6:$AD$1005,MATCH(D373,'Items'!$A$6:$A$1005,0)),"MISSING ID")</x:f>
        <x:v>Proposal</x:v>
      </x:c>
      <x:c r="M373" s="4" t="str">
        <x:f>IFERROR(INDEX('Crafting recipes'!$E$6:$E$1005,MATCH(B373,'Crafting recipes'!$A$6:$A$1005,0)),"MISSING ID")</x:f>
        <x:v>Partial proposal</x:v>
      </x:c>
      <x:c r="N373" s="4" t="str">
        <x:v>Partial material route; no quantities, guarantees or accepted game recipe.</x:v>
      </x:c>
      <x:c r="O373" s="4" t="str">
        <x:v>New October 15 game brainstorming; current author request and Docs/WORLD_BASIS.md. Not retrieved source canon.</x:v>
      </x:c>
      <x:c r="P373" s="4" t="n">
        <x:f>IF(OR(C373="Ingredient candidate",C373="Consumed input",C373="Contained input",C373="Transform input"),IF(F373="T0",0,IF(F373="T1",1,IF(F373="T2",2,IF(F373="T3",3,IF(F373="T4",4,-1))))),-1)</x:f>
        <x:v>3</x:v>
      </x:c>
      <x:c r="Q373" s="4" t="n">
        <x:f>IF(AND(OR(C373="Ingredient candidate",C373="Consumed input",C373="Contained input",C373="Transform input"),P373=-1),1,0)</x:f>
        <x:v>0</x:v>
      </x:c>
    </x:row>
    <x:row r="374" ht="115" customHeight="1">
      <x:c r="A374" s="4" t="str">
        <x:v>design.t4.radio_tuning.in.4</x:v>
      </x:c>
      <x:c r="B374" s="4" t="str">
        <x:v>design.t4.radio_tuning</x:v>
      </x:c>
      <x:c r="C374" s="4" t="str">
        <x:v>Ingredient candidate</x:v>
      </x:c>
      <x:c r="D374" s="4" t="str">
        <x:v>proposal.branch.drawn_copper</x:v>
      </x:c>
      <x:c r="E374" s="4" t="str">
        <x:f>IFERROR(INDEX('Items'!$B$6:$B$1005,MATCH(D374,'Items'!$A$6:$A$1005,0)),"MISSING ID")</x:f>
        <x:v>Drawn copper stock</x:v>
      </x:c>
      <x:c r="F374" s="4" t="str">
        <x:f>IFERROR(INDEX('Items'!$C$6:$C$1005,MATCH(D374,'Items'!$A$6:$A$1005,0)),"MISSING ID")</x:f>
        <x:v>T2</x:v>
      </x:c>
      <x:c r="G374" s="4" t="str">
        <x:f>IFERROR(INDEX('Items'!$D$6:$D$1005,MATCH(D374,'Items'!$A$6:$A$1005,0)),"MISSING ID")</x:f>
        <x:v>Manufactured stock</x:v>
      </x:c>
      <x:c r="H374" s="4" t="str">
        <x:f>IFERROR(INDEX('Items'!$X$6:$X$1005,MATCH(D374,'Items'!$A$6:$A$1005,0)),"MISSING ID")</x:f>
        <x:v>Processed material</x:v>
      </x:c>
      <x:c r="I374" s="4"/>
      <x:c r="J374" s="4" t="str">
        <x:v>Unspecified</x:v>
      </x:c>
      <x:c r="K374" s="4" t="str">
        <x:f>IFERROR(INDEX('Crafting recipes'!$D$6:$D$1005,MATCH(B374,'Crafting recipes'!$A$6:$A$1005,0)),"MISSING ID")</x:f>
        <x:v>Proposal</x:v>
      </x:c>
      <x:c r="L374" s="4" t="str">
        <x:f>IFERROR(INDEX('Items'!$AD$6:$AD$1005,MATCH(D374,'Items'!$A$6:$A$1005,0)),"MISSING ID")</x:f>
        <x:v>Proposal</x:v>
      </x:c>
      <x:c r="M374" s="4" t="str">
        <x:f>IFERROR(INDEX('Crafting recipes'!$E$6:$E$1005,MATCH(B374,'Crafting recipes'!$A$6:$A$1005,0)),"MISSING ID")</x:f>
        <x:v>Partial proposal</x:v>
      </x:c>
      <x:c r="N374" s="4" t="str">
        <x:v>Partial material route; no quantities, guarantees or accepted game recipe.</x:v>
      </x:c>
      <x:c r="O374" s="4" t="str">
        <x:v>New October 15 game brainstorming; current author request and Docs/WORLD_BASIS.md. Not retrieved source canon.</x:v>
      </x:c>
      <x:c r="P374" s="4" t="n">
        <x:f>IF(OR(C374="Ingredient candidate",C374="Consumed input",C374="Contained input",C374="Transform input"),IF(F374="T0",0,IF(F374="T1",1,IF(F374="T2",2,IF(F374="T3",3,IF(F374="T4",4,-1))))),-1)</x:f>
        <x:v>2</x:v>
      </x:c>
      <x:c r="Q374" s="4" t="n">
        <x:f>IF(AND(OR(C374="Ingredient candidate",C374="Consumed input",C374="Contained input",C374="Transform input"),P374=-1),1,0)</x:f>
        <x:v>0</x:v>
      </x:c>
    </x:row>
    <x:row r="375" ht="115" customHeight="1">
      <x:c r="A375" s="4" t="str">
        <x:v>design.t4.radio_tuning.out</x:v>
      </x:c>
      <x:c r="B375" s="4" t="str">
        <x:v>design.t4.radio_tuning</x:v>
      </x:c>
      <x:c r="C375" s="4" t="str">
        <x:v>Output</x:v>
      </x:c>
      <x:c r="D375" s="4" t="str">
        <x:v>proposal.t4.radio_tuning</x:v>
      </x:c>
      <x:c r="E375" s="4" t="str">
        <x:f>IFERROR(INDEX('Items'!$B$6:$B$1005,MATCH(D375,'Items'!$A$6:$A$1005,0)),"MISSING ID")</x:f>
        <x:v>Radio tuning support block</x:v>
      </x:c>
      <x:c r="F375" s="4" t="str">
        <x:f>IFERROR(INDEX('Items'!$C$6:$C$1005,MATCH(D375,'Items'!$A$6:$A$1005,0)),"MISSING ID")</x:f>
        <x:v>T4</x:v>
      </x:c>
      <x:c r="G375" s="4" t="str">
        <x:f>IFERROR(INDEX('Items'!$D$6:$D$1005,MATCH(D375,'Items'!$A$6:$A$1005,0)),"MISSING ID")</x:f>
        <x:v>Crafting components</x:v>
      </x:c>
      <x:c r="H375" s="4" t="str">
        <x:f>IFERROR(INDEX('Items'!$X$6:$X$1005,MATCH(D375,'Items'!$A$6:$A$1005,0)),"MISSING ID")</x:f>
        <x:v>Crafting component</x:v>
      </x:c>
      <x:c r="I375" s="4"/>
      <x:c r="J375" s="4" t="str">
        <x:v>Unspecified</x:v>
      </x:c>
      <x:c r="K375" s="4" t="str">
        <x:f>IFERROR(INDEX('Crafting recipes'!$D$6:$D$1005,MATCH(B375,'Crafting recipes'!$A$6:$A$1005,0)),"MISSING ID")</x:f>
        <x:v>Proposal</x:v>
      </x:c>
      <x:c r="L375" s="4" t="str">
        <x:f>IFERROR(INDEX('Items'!$AD$6:$AD$1005,MATCH(D375,'Items'!$A$6:$A$1005,0)),"MISSING ID")</x:f>
        <x:v>Proposal</x:v>
      </x:c>
      <x:c r="M375" s="4" t="str">
        <x:f>IFERROR(INDEX('Crafting recipes'!$E$6:$E$1005,MATCH(B375,'Crafting recipes'!$A$6:$A$1005,0)),"MISSING ID")</x:f>
        <x:v>Partial proposal</x:v>
      </x:c>
      <x:c r="N375" s="4" t="str">
        <x:v>Partial material route; no quantities, guarantees or accepted game recipe.</x:v>
      </x:c>
      <x:c r="O375" s="4" t="str">
        <x:v>New October 15 game brainstorming; current author request and Docs/WORLD_BASIS.md. Not retrieved source canon.</x:v>
      </x:c>
      <x:c r="P375" s="4" t="n">
        <x:f>IF(OR(C375="Ingredient candidate",C375="Consumed input",C375="Contained input",C375="Transform input"),IF(F375="T0",0,IF(F375="T1",1,IF(F375="T2",2,IF(F375="T3",3,IF(F375="T4",4,-1))))),-1)</x:f>
        <x:v>-1</x:v>
      </x:c>
      <x:c r="Q375" s="4" t="n">
        <x:f>IF(AND(OR(C375="Ingredient candidate",C375="Consumed input",C375="Contained input",C375="Transform input"),P375=-1),1,0)</x:f>
        <x:v>0</x:v>
      </x:c>
    </x:row>
    <x:row r="376" ht="115" customHeight="1">
      <x:c r="A376" s="4" t="str">
        <x:v>design.t4.screened_chassis.in.1</x:v>
      </x:c>
      <x:c r="B376" s="4" t="str">
        <x:v>design.t4.screened_chassis</x:v>
      </x:c>
      <x:c r="C376" s="4" t="str">
        <x:v>Ingredient candidate</x:v>
      </x:c>
      <x:c r="D376" s="4" t="str">
        <x:v>proposal.t3.copper_mesh</x:v>
      </x:c>
      <x:c r="E376" s="4" t="str">
        <x:f>IFERROR(INDEX('Items'!$B$6:$B$1005,MATCH(D376,'Items'!$A$6:$A$1005,0)),"MISSING ID")</x:f>
        <x:v>Woven copper mesh stock</x:v>
      </x:c>
      <x:c r="F376" s="4" t="str">
        <x:f>IFERROR(INDEX('Items'!$C$6:$C$1005,MATCH(D376,'Items'!$A$6:$A$1005,0)),"MISSING ID")</x:f>
        <x:v>T3</x:v>
      </x:c>
      <x:c r="G376" s="4" t="str">
        <x:f>IFERROR(INDEX('Items'!$D$6:$D$1005,MATCH(D376,'Items'!$A$6:$A$1005,0)),"MISSING ID")</x:f>
        <x:v>Manufactured stock</x:v>
      </x:c>
      <x:c r="H376" s="4" t="str">
        <x:f>IFERROR(INDEX('Items'!$X$6:$X$1005,MATCH(D376,'Items'!$A$6:$A$1005,0)),"MISSING ID")</x:f>
        <x:v>Processed material</x:v>
      </x:c>
      <x:c r="I376" s="4"/>
      <x:c r="J376" s="4" t="str">
        <x:v>Unspecified</x:v>
      </x:c>
      <x:c r="K376" s="4" t="str">
        <x:f>IFERROR(INDEX('Crafting recipes'!$D$6:$D$1005,MATCH(B376,'Crafting recipes'!$A$6:$A$1005,0)),"MISSING ID")</x:f>
        <x:v>Proposal</x:v>
      </x:c>
      <x:c r="L376" s="4" t="str">
        <x:f>IFERROR(INDEX('Items'!$AD$6:$AD$1005,MATCH(D376,'Items'!$A$6:$A$1005,0)),"MISSING ID")</x:f>
        <x:v>Proposal</x:v>
      </x:c>
      <x:c r="M376" s="4" t="str">
        <x:f>IFERROR(INDEX('Crafting recipes'!$E$6:$E$1005,MATCH(B376,'Crafting recipes'!$A$6:$A$1005,0)),"MISSING ID")</x:f>
        <x:v>Partial proposal</x:v>
      </x:c>
      <x:c r="N376" s="4" t="str">
        <x:v>Partial material route; no quantities, guarantees or accepted game recipe.</x:v>
      </x:c>
      <x:c r="O376" s="4" t="str">
        <x:v>New October 15 game brainstorming; current author request and Docs/WORLD_BASIS.md. Not retrieved source canon.</x:v>
      </x:c>
      <x:c r="P376" s="4" t="n">
        <x:f>IF(OR(C376="Ingredient candidate",C376="Consumed input",C376="Contained input",C376="Transform input"),IF(F376="T0",0,IF(F376="T1",1,IF(F376="T2",2,IF(F376="T3",3,IF(F376="T4",4,-1))))),-1)</x:f>
        <x:v>3</x:v>
      </x:c>
      <x:c r="Q376" s="4" t="n">
        <x:f>IF(AND(OR(C376="Ingredient candidate",C376="Consumed input",C376="Contained input",C376="Transform input"),P376=-1),1,0)</x:f>
        <x:v>0</x:v>
      </x:c>
    </x:row>
    <x:row r="377" ht="115" customHeight="1">
      <x:c r="A377" s="4" t="str">
        <x:v>design.t4.screened_chassis.in.2</x:v>
      </x:c>
      <x:c r="B377" s="4" t="str">
        <x:v>design.t4.screened_chassis</x:v>
      </x:c>
      <x:c r="C377" s="4" t="str">
        <x:v>Ingredient candidate</x:v>
      </x:c>
      <x:c r="D377" s="4" t="str">
        <x:v>proposal.t3.contact_mount</x:v>
      </x:c>
      <x:c r="E377" s="4" t="str">
        <x:f>IFERROR(INDEX('Items'!$B$6:$B$1005,MATCH(D377,'Items'!$A$6:$A$1005,0)),"MISSING ID")</x:f>
        <x:v>Fitted ceramic contact mounts</x:v>
      </x:c>
      <x:c r="F377" s="4" t="str">
        <x:f>IFERROR(INDEX('Items'!$C$6:$C$1005,MATCH(D377,'Items'!$A$6:$A$1005,0)),"MISSING ID")</x:f>
        <x:v>T3</x:v>
      </x:c>
      <x:c r="G377" s="4" t="str">
        <x:f>IFERROR(INDEX('Items'!$D$6:$D$1005,MATCH(D377,'Items'!$A$6:$A$1005,0)),"MISSING ID")</x:f>
        <x:v>Crafting components</x:v>
      </x:c>
      <x:c r="H377" s="4" t="str">
        <x:f>IFERROR(INDEX('Items'!$X$6:$X$1005,MATCH(D377,'Items'!$A$6:$A$1005,0)),"MISSING ID")</x:f>
        <x:v>Crafting component</x:v>
      </x:c>
      <x:c r="I377" s="4"/>
      <x:c r="J377" s="4" t="str">
        <x:v>Unspecified</x:v>
      </x:c>
      <x:c r="K377" s="4" t="str">
        <x:f>IFERROR(INDEX('Crafting recipes'!$D$6:$D$1005,MATCH(B377,'Crafting recipes'!$A$6:$A$1005,0)),"MISSING ID")</x:f>
        <x:v>Proposal</x:v>
      </x:c>
      <x:c r="L377" s="4" t="str">
        <x:f>IFERROR(INDEX('Items'!$AD$6:$AD$1005,MATCH(D377,'Items'!$A$6:$A$1005,0)),"MISSING ID")</x:f>
        <x:v>Proposal</x:v>
      </x:c>
      <x:c r="M377" s="4" t="str">
        <x:f>IFERROR(INDEX('Crafting recipes'!$E$6:$E$1005,MATCH(B377,'Crafting recipes'!$A$6:$A$1005,0)),"MISSING ID")</x:f>
        <x:v>Partial proposal</x:v>
      </x:c>
      <x:c r="N377" s="4" t="str">
        <x:v>Partial material route; no quantities, guarantees or accepted game recipe.</x:v>
      </x:c>
      <x:c r="O377" s="4" t="str">
        <x:v>New October 15 game brainstorming; current author request and Docs/WORLD_BASIS.md. Not retrieved source canon.</x:v>
      </x:c>
      <x:c r="P377" s="4" t="n">
        <x:f>IF(OR(C377="Ingredient candidate",C377="Consumed input",C377="Contained input",C377="Transform input"),IF(F377="T0",0,IF(F377="T1",1,IF(F377="T2",2,IF(F377="T3",3,IF(F377="T4",4,-1))))),-1)</x:f>
        <x:v>3</x:v>
      </x:c>
      <x:c r="Q377" s="4" t="n">
        <x:f>IF(AND(OR(C377="Ingredient candidate",C377="Consumed input",C377="Contained input",C377="Transform input"),P377=-1),1,0)</x:f>
        <x:v>0</x:v>
      </x:c>
    </x:row>
    <x:row r="378" ht="115" customHeight="1">
      <x:c r="A378" s="4" t="str">
        <x:v>design.t4.screened_chassis.in.3</x:v>
      </x:c>
      <x:c r="B378" s="4" t="str">
        <x:v>design.t4.screened_chassis</x:v>
      </x:c>
      <x:c r="C378" s="4" t="str">
        <x:v>Ingredient candidate</x:v>
      </x:c>
      <x:c r="D378" s="4" t="str">
        <x:v>proposal.branch.husk_composite</x:v>
      </x:c>
      <x:c r="E378" s="4" t="str">
        <x:f>IFERROR(INDEX('Items'!$B$6:$B$1005,MATCH(D378,'Items'!$A$6:$A$1005,0)),"MISSING ID")</x:f>
        <x:v>Layered husk composite stock</x:v>
      </x:c>
      <x:c r="F378" s="4" t="str">
        <x:f>IFERROR(INDEX('Items'!$C$6:$C$1005,MATCH(D378,'Items'!$A$6:$A$1005,0)),"MISSING ID")</x:f>
        <x:v>T3</x:v>
      </x:c>
      <x:c r="G378" s="4" t="str">
        <x:f>IFERROR(INDEX('Items'!$D$6:$D$1005,MATCH(D378,'Items'!$A$6:$A$1005,0)),"MISSING ID")</x:f>
        <x:v>Manufactured stock</x:v>
      </x:c>
      <x:c r="H378" s="4" t="str">
        <x:f>IFERROR(INDEX('Items'!$X$6:$X$1005,MATCH(D378,'Items'!$A$6:$A$1005,0)),"MISSING ID")</x:f>
        <x:v>Processed material</x:v>
      </x:c>
      <x:c r="I378" s="4"/>
      <x:c r="J378" s="4" t="str">
        <x:v>Unspecified</x:v>
      </x:c>
      <x:c r="K378" s="4" t="str">
        <x:f>IFERROR(INDEX('Crafting recipes'!$D$6:$D$1005,MATCH(B378,'Crafting recipes'!$A$6:$A$1005,0)),"MISSING ID")</x:f>
        <x:v>Proposal</x:v>
      </x:c>
      <x:c r="L378" s="4" t="str">
        <x:f>IFERROR(INDEX('Items'!$AD$6:$AD$1005,MATCH(D378,'Items'!$A$6:$A$1005,0)),"MISSING ID")</x:f>
        <x:v>Proposal</x:v>
      </x:c>
      <x:c r="M378" s="4" t="str">
        <x:f>IFERROR(INDEX('Crafting recipes'!$E$6:$E$1005,MATCH(B378,'Crafting recipes'!$A$6:$A$1005,0)),"MISSING ID")</x:f>
        <x:v>Partial proposal</x:v>
      </x:c>
      <x:c r="N378" s="4" t="str">
        <x:v>Partial material route; no quantities, guarantees or accepted game recipe.</x:v>
      </x:c>
      <x:c r="O378" s="4" t="str">
        <x:v>New October 15 game brainstorming; current author request and Docs/WORLD_BASIS.md. Not retrieved source canon.</x:v>
      </x:c>
      <x:c r="P378" s="4" t="n">
        <x:f>IF(OR(C378="Ingredient candidate",C378="Consumed input",C378="Contained input",C378="Transform input"),IF(F378="T0",0,IF(F378="T1",1,IF(F378="T2",2,IF(F378="T3",3,IF(F378="T4",4,-1))))),-1)</x:f>
        <x:v>3</x:v>
      </x:c>
      <x:c r="Q378" s="4" t="n">
        <x:f>IF(AND(OR(C378="Ingredient candidate",C378="Consumed input",C378="Contained input",C378="Transform input"),P378=-1),1,0)</x:f>
        <x:v>0</x:v>
      </x:c>
    </x:row>
    <x:row r="379" ht="115" customHeight="1">
      <x:c r="A379" s="4" t="str">
        <x:v>design.t4.screened_chassis.out</x:v>
      </x:c>
      <x:c r="B379" s="4" t="str">
        <x:v>design.t4.screened_chassis</x:v>
      </x:c>
      <x:c r="C379" s="4" t="str">
        <x:v>Output</x:v>
      </x:c>
      <x:c r="D379" s="4" t="str">
        <x:v>proposal.t4.screened_chassis</x:v>
      </x:c>
      <x:c r="E379" s="4" t="str">
        <x:f>IFERROR(INDEX('Items'!$B$6:$B$1005,MATCH(D379,'Items'!$A$6:$A$1005,0)),"MISSING ID")</x:f>
        <x:v>Screened radio chassis insert</x:v>
      </x:c>
      <x:c r="F379" s="4" t="str">
        <x:f>IFERROR(INDEX('Items'!$C$6:$C$1005,MATCH(D379,'Items'!$A$6:$A$1005,0)),"MISSING ID")</x:f>
        <x:v>T4</x:v>
      </x:c>
      <x:c r="G379" s="4" t="str">
        <x:f>IFERROR(INDEX('Items'!$D$6:$D$1005,MATCH(D379,'Items'!$A$6:$A$1005,0)),"MISSING ID")</x:f>
        <x:v>Crafting components</x:v>
      </x:c>
      <x:c r="H379" s="4" t="str">
        <x:f>IFERROR(INDEX('Items'!$X$6:$X$1005,MATCH(D379,'Items'!$A$6:$A$1005,0)),"MISSING ID")</x:f>
        <x:v>Crafting component</x:v>
      </x:c>
      <x:c r="I379" s="4"/>
      <x:c r="J379" s="4" t="str">
        <x:v>Unspecified</x:v>
      </x:c>
      <x:c r="K379" s="4" t="str">
        <x:f>IFERROR(INDEX('Crafting recipes'!$D$6:$D$1005,MATCH(B379,'Crafting recipes'!$A$6:$A$1005,0)),"MISSING ID")</x:f>
        <x:v>Proposal</x:v>
      </x:c>
      <x:c r="L379" s="4" t="str">
        <x:f>IFERROR(INDEX('Items'!$AD$6:$AD$1005,MATCH(D379,'Items'!$A$6:$A$1005,0)),"MISSING ID")</x:f>
        <x:v>Proposal</x:v>
      </x:c>
      <x:c r="M379" s="4" t="str">
        <x:f>IFERROR(INDEX('Crafting recipes'!$E$6:$E$1005,MATCH(B379,'Crafting recipes'!$A$6:$A$1005,0)),"MISSING ID")</x:f>
        <x:v>Partial proposal</x:v>
      </x:c>
      <x:c r="N379" s="4" t="str">
        <x:v>Partial material route; no quantities, guarantees or accepted game recipe.</x:v>
      </x:c>
      <x:c r="O379" s="4" t="str">
        <x:v>New October 15 game brainstorming; current author request and Docs/WORLD_BASIS.md. Not retrieved source canon.</x:v>
      </x:c>
      <x:c r="P379" s="4" t="n">
        <x:f>IF(OR(C379="Ingredient candidate",C379="Consumed input",C379="Contained input",C379="Transform input"),IF(F379="T0",0,IF(F379="T1",1,IF(F379="T2",2,IF(F379="T3",3,IF(F379="T4",4,-1))))),-1)</x:f>
        <x:v>-1</x:v>
      </x:c>
      <x:c r="Q379" s="4" t="n">
        <x:f>IF(AND(OR(C379="Ingredient candidate",C379="Consumed input",C379="Contained input",C379="Transform input"),P379=-1),1,0)</x:f>
        <x:v>0</x:v>
      </x:c>
    </x:row>
    <x:row r="380" ht="115" customHeight="1">
      <x:c r="A380" s="4" t="str">
        <x:v>design.t4.electrical_bulkhead.in.1</x:v>
      </x:c>
      <x:c r="B380" s="4" t="str">
        <x:v>design.t4.electrical_bulkhead</x:v>
      </x:c>
      <x:c r="C380" s="4" t="str">
        <x:v>Ingredient candidate</x:v>
      </x:c>
      <x:c r="D380" s="4" t="str">
        <x:v>proposal.t3.feedthrough_blank</x:v>
      </x:c>
      <x:c r="E380" s="4" t="str">
        <x:f>IFERROR(INDEX('Items'!$B$6:$B$1005,MATCH(D380,'Items'!$A$6:$A$1005,0)),"MISSING ID")</x:f>
        <x:v>Ceramic-metal feedthrough blanks</x:v>
      </x:c>
      <x:c r="F380" s="4" t="str">
        <x:f>IFERROR(INDEX('Items'!$C$6:$C$1005,MATCH(D380,'Items'!$A$6:$A$1005,0)),"MISSING ID")</x:f>
        <x:v>T3</x:v>
      </x:c>
      <x:c r="G380" s="4" t="str">
        <x:f>IFERROR(INDEX('Items'!$D$6:$D$1005,MATCH(D380,'Items'!$A$6:$A$1005,0)),"MISSING ID")</x:f>
        <x:v>Crafting components</x:v>
      </x:c>
      <x:c r="H380" s="4" t="str">
        <x:f>IFERROR(INDEX('Items'!$X$6:$X$1005,MATCH(D380,'Items'!$A$6:$A$1005,0)),"MISSING ID")</x:f>
        <x:v>Crafting component</x:v>
      </x:c>
      <x:c r="I380" s="4"/>
      <x:c r="J380" s="4" t="str">
        <x:v>Unspecified</x:v>
      </x:c>
      <x:c r="K380" s="4" t="str">
        <x:f>IFERROR(INDEX('Crafting recipes'!$D$6:$D$1005,MATCH(B380,'Crafting recipes'!$A$6:$A$1005,0)),"MISSING ID")</x:f>
        <x:v>Proposal</x:v>
      </x:c>
      <x:c r="L380" s="4" t="str">
        <x:f>IFERROR(INDEX('Items'!$AD$6:$AD$1005,MATCH(D380,'Items'!$A$6:$A$1005,0)),"MISSING ID")</x:f>
        <x:v>Proposal</x:v>
      </x:c>
      <x:c r="M380" s="4" t="str">
        <x:f>IFERROR(INDEX('Crafting recipes'!$E$6:$E$1005,MATCH(B380,'Crafting recipes'!$A$6:$A$1005,0)),"MISSING ID")</x:f>
        <x:v>Partial proposal</x:v>
      </x:c>
      <x:c r="N380" s="4" t="str">
        <x:v>Partial material route; no quantities, guarantees or accepted game recipe.</x:v>
      </x:c>
      <x:c r="O380" s="4" t="str">
        <x:v>New October 15 game brainstorming; current author request and Docs/WORLD_BASIS.md. Not retrieved source canon.</x:v>
      </x:c>
      <x:c r="P380" s="4" t="n">
        <x:f>IF(OR(C380="Ingredient candidate",C380="Consumed input",C380="Contained input",C380="Transform input"),IF(F380="T0",0,IF(F380="T1",1,IF(F380="T2",2,IF(F380="T3",3,IF(F380="T4",4,-1))))),-1)</x:f>
        <x:v>3</x:v>
      </x:c>
      <x:c r="Q380" s="4" t="n">
        <x:f>IF(AND(OR(C380="Ingredient candidate",C380="Consumed input",C380="Contained input",C380="Transform input"),P380=-1),1,0)</x:f>
        <x:v>0</x:v>
      </x:c>
    </x:row>
    <x:row r="381" ht="115" customHeight="1">
      <x:c r="A381" s="4" t="str">
        <x:v>design.t4.electrical_bulkhead.in.2</x:v>
      </x:c>
      <x:c r="B381" s="4" t="str">
        <x:v>design.t4.electrical_bulkhead</x:v>
      </x:c>
      <x:c r="C381" s="4" t="str">
        <x:v>Ingredient candidate</x:v>
      </x:c>
      <x:c r="D381" s="4" t="str">
        <x:v>proposal.t3.contact_mount</x:v>
      </x:c>
      <x:c r="E381" s="4" t="str">
        <x:f>IFERROR(INDEX('Items'!$B$6:$B$1005,MATCH(D381,'Items'!$A$6:$A$1005,0)),"MISSING ID")</x:f>
        <x:v>Fitted ceramic contact mounts</x:v>
      </x:c>
      <x:c r="F381" s="4" t="str">
        <x:f>IFERROR(INDEX('Items'!$C$6:$C$1005,MATCH(D381,'Items'!$A$6:$A$1005,0)),"MISSING ID")</x:f>
        <x:v>T3</x:v>
      </x:c>
      <x:c r="G381" s="4" t="str">
        <x:f>IFERROR(INDEX('Items'!$D$6:$D$1005,MATCH(D381,'Items'!$A$6:$A$1005,0)),"MISSING ID")</x:f>
        <x:v>Crafting components</x:v>
      </x:c>
      <x:c r="H381" s="4" t="str">
        <x:f>IFERROR(INDEX('Items'!$X$6:$X$1005,MATCH(D381,'Items'!$A$6:$A$1005,0)),"MISSING ID")</x:f>
        <x:v>Crafting component</x:v>
      </x:c>
      <x:c r="I381" s="4"/>
      <x:c r="J381" s="4" t="str">
        <x:v>Unspecified</x:v>
      </x:c>
      <x:c r="K381" s="4" t="str">
        <x:f>IFERROR(INDEX('Crafting recipes'!$D$6:$D$1005,MATCH(B381,'Crafting recipes'!$A$6:$A$1005,0)),"MISSING ID")</x:f>
        <x:v>Proposal</x:v>
      </x:c>
      <x:c r="L381" s="4" t="str">
        <x:f>IFERROR(INDEX('Items'!$AD$6:$AD$1005,MATCH(D381,'Items'!$A$6:$A$1005,0)),"MISSING ID")</x:f>
        <x:v>Proposal</x:v>
      </x:c>
      <x:c r="M381" s="4" t="str">
        <x:f>IFERROR(INDEX('Crafting recipes'!$E$6:$E$1005,MATCH(B381,'Crafting recipes'!$A$6:$A$1005,0)),"MISSING ID")</x:f>
        <x:v>Partial proposal</x:v>
      </x:c>
      <x:c r="N381" s="4" t="str">
        <x:v>Partial material route; no quantities, guarantees or accepted game recipe.</x:v>
      </x:c>
      <x:c r="O381" s="4" t="str">
        <x:v>New October 15 game brainstorming; current author request and Docs/WORLD_BASIS.md. Not retrieved source canon.</x:v>
      </x:c>
      <x:c r="P381" s="4" t="n">
        <x:f>IF(OR(C381="Ingredient candidate",C381="Consumed input",C381="Contained input",C381="Transform input"),IF(F381="T0",0,IF(F381="T1",1,IF(F381="T2",2,IF(F381="T3",3,IF(F381="T4",4,-1))))),-1)</x:f>
        <x:v>3</x:v>
      </x:c>
      <x:c r="Q381" s="4" t="n">
        <x:f>IF(AND(OR(C381="Ingredient candidate",C381="Consumed input",C381="Contained input",C381="Transform input"),P381=-1),1,0)</x:f>
        <x:v>0</x:v>
      </x:c>
    </x:row>
    <x:row r="382" ht="115" customHeight="1">
      <x:c r="A382" s="4" t="str">
        <x:v>design.t4.electrical_bulkhead.in.3</x:v>
      </x:c>
      <x:c r="B382" s="4" t="str">
        <x:v>design.t4.electrical_bulkhead</x:v>
      </x:c>
      <x:c r="C382" s="4" t="str">
        <x:v>Ingredient candidate</x:v>
      </x:c>
      <x:c r="D382" s="4" t="str">
        <x:v>proposal.branch.sealing_sheet</x:v>
      </x:c>
      <x:c r="E382" s="4" t="str">
        <x:f>IFERROR(INDEX('Items'!$B$6:$B$1005,MATCH(D382,'Items'!$A$6:$A$1005,0)),"MISSING ID")</x:f>
        <x:v>Reinforced sealing sheet</x:v>
      </x:c>
      <x:c r="F382" s="4" t="str">
        <x:f>IFERROR(INDEX('Items'!$C$6:$C$1005,MATCH(D382,'Items'!$A$6:$A$1005,0)),"MISSING ID")</x:f>
        <x:v>T3</x:v>
      </x:c>
      <x:c r="G382" s="4" t="str">
        <x:f>IFERROR(INDEX('Items'!$D$6:$D$1005,MATCH(D382,'Items'!$A$6:$A$1005,0)),"MISSING ID")</x:f>
        <x:v>Manufactured stock</x:v>
      </x:c>
      <x:c r="H382" s="4" t="str">
        <x:f>IFERROR(INDEX('Items'!$X$6:$X$1005,MATCH(D382,'Items'!$A$6:$A$1005,0)),"MISSING ID")</x:f>
        <x:v>Processed material</x:v>
      </x:c>
      <x:c r="I382" s="4"/>
      <x:c r="J382" s="4" t="str">
        <x:v>Unspecified</x:v>
      </x:c>
      <x:c r="K382" s="4" t="str">
        <x:f>IFERROR(INDEX('Crafting recipes'!$D$6:$D$1005,MATCH(B382,'Crafting recipes'!$A$6:$A$1005,0)),"MISSING ID")</x:f>
        <x:v>Proposal</x:v>
      </x:c>
      <x:c r="L382" s="4" t="str">
        <x:f>IFERROR(INDEX('Items'!$AD$6:$AD$1005,MATCH(D382,'Items'!$A$6:$A$1005,0)),"MISSING ID")</x:f>
        <x:v>Proposal</x:v>
      </x:c>
      <x:c r="M382" s="4" t="str">
        <x:f>IFERROR(INDEX('Crafting recipes'!$E$6:$E$1005,MATCH(B382,'Crafting recipes'!$A$6:$A$1005,0)),"MISSING ID")</x:f>
        <x:v>Partial proposal</x:v>
      </x:c>
      <x:c r="N382" s="4" t="str">
        <x:v>Partial material route; no quantities, guarantees or accepted game recipe.</x:v>
      </x:c>
      <x:c r="O382" s="4" t="str">
        <x:v>New October 15 game brainstorming; current author request and Docs/WORLD_BASIS.md. Not retrieved source canon.</x:v>
      </x:c>
      <x:c r="P382" s="4" t="n">
        <x:f>IF(OR(C382="Ingredient candidate",C382="Consumed input",C382="Contained input",C382="Transform input"),IF(F382="T0",0,IF(F382="T1",1,IF(F382="T2",2,IF(F382="T3",3,IF(F382="T4",4,-1))))),-1)</x:f>
        <x:v>3</x:v>
      </x:c>
      <x:c r="Q382" s="4" t="n">
        <x:f>IF(AND(OR(C382="Ingredient candidate",C382="Consumed input",C382="Contained input",C382="Transform input"),P382=-1),1,0)</x:f>
        <x:v>0</x:v>
      </x:c>
    </x:row>
    <x:row r="383" ht="115" customHeight="1">
      <x:c r="A383" s="4" t="str">
        <x:v>design.t4.electrical_bulkhead.out</x:v>
      </x:c>
      <x:c r="B383" s="4" t="str">
        <x:v>design.t4.electrical_bulkhead</x:v>
      </x:c>
      <x:c r="C383" s="4" t="str">
        <x:v>Output</x:v>
      </x:c>
      <x:c r="D383" s="4" t="str">
        <x:v>proposal.t4.electrical_bulkhead</x:v>
      </x:c>
      <x:c r="E383" s="4" t="str">
        <x:f>IFERROR(INDEX('Items'!$B$6:$B$1005,MATCH(D383,'Items'!$A$6:$A$1005,0)),"MISSING ID")</x:f>
        <x:v>Sealed electrical bulkhead insert</x:v>
      </x:c>
      <x:c r="F383" s="4" t="str">
        <x:f>IFERROR(INDEX('Items'!$C$6:$C$1005,MATCH(D383,'Items'!$A$6:$A$1005,0)),"MISSING ID")</x:f>
        <x:v>T4</x:v>
      </x:c>
      <x:c r="G383" s="4" t="str">
        <x:f>IFERROR(INDEX('Items'!$D$6:$D$1005,MATCH(D383,'Items'!$A$6:$A$1005,0)),"MISSING ID")</x:f>
        <x:v>Crafting components</x:v>
      </x:c>
      <x:c r="H383" s="4" t="str">
        <x:f>IFERROR(INDEX('Items'!$X$6:$X$1005,MATCH(D383,'Items'!$A$6:$A$1005,0)),"MISSING ID")</x:f>
        <x:v>Crafting component</x:v>
      </x:c>
      <x:c r="I383" s="4"/>
      <x:c r="J383" s="4" t="str">
        <x:v>Unspecified</x:v>
      </x:c>
      <x:c r="K383" s="4" t="str">
        <x:f>IFERROR(INDEX('Crafting recipes'!$D$6:$D$1005,MATCH(B383,'Crafting recipes'!$A$6:$A$1005,0)),"MISSING ID")</x:f>
        <x:v>Proposal</x:v>
      </x:c>
      <x:c r="L383" s="4" t="str">
        <x:f>IFERROR(INDEX('Items'!$AD$6:$AD$1005,MATCH(D383,'Items'!$A$6:$A$1005,0)),"MISSING ID")</x:f>
        <x:v>Proposal</x:v>
      </x:c>
      <x:c r="M383" s="4" t="str">
        <x:f>IFERROR(INDEX('Crafting recipes'!$E$6:$E$1005,MATCH(B383,'Crafting recipes'!$A$6:$A$1005,0)),"MISSING ID")</x:f>
        <x:v>Partial proposal</x:v>
      </x:c>
      <x:c r="N383" s="4" t="str">
        <x:v>Partial material route; no quantities, guarantees or accepted game recipe.</x:v>
      </x:c>
      <x:c r="O383" s="4" t="str">
        <x:v>New October 15 game brainstorming; current author request and Docs/WORLD_BASIS.md. Not retrieved source canon.</x:v>
      </x:c>
      <x:c r="P383" s="4" t="n">
        <x:f>IF(OR(C383="Ingredient candidate",C383="Consumed input",C383="Contained input",C383="Transform input"),IF(F383="T0",0,IF(F383="T1",1,IF(F383="T2",2,IF(F383="T3",3,IF(F383="T4",4,-1))))),-1)</x:f>
        <x:v>-1</x:v>
      </x:c>
      <x:c r="Q383" s="4" t="n">
        <x:f>IF(AND(OR(C383="Ingredient candidate",C383="Consumed input",C383="Contained input",C383="Transform input"),P383=-1),1,0)</x:f>
        <x:v>0</x:v>
      </x:c>
    </x:row>
    <x:row r="384" ht="115" customHeight="1">
      <x:c r="A384" s="4" t="str">
        <x:v>design.t4.contact_block.in.1</x:v>
      </x:c>
      <x:c r="B384" s="4" t="str">
        <x:v>design.t4.contact_block</x:v>
      </x:c>
      <x:c r="C384" s="4" t="str">
        <x:v>Ingredient candidate</x:v>
      </x:c>
      <x:c r="D384" s="4" t="str">
        <x:v>proposal.t3.contact_mount</x:v>
      </x:c>
      <x:c r="E384" s="4" t="str">
        <x:f>IFERROR(INDEX('Items'!$B$6:$B$1005,MATCH(D384,'Items'!$A$6:$A$1005,0)),"MISSING ID")</x:f>
        <x:v>Fitted ceramic contact mounts</x:v>
      </x:c>
      <x:c r="F384" s="4" t="str">
        <x:f>IFERROR(INDEX('Items'!$C$6:$C$1005,MATCH(D384,'Items'!$A$6:$A$1005,0)),"MISSING ID")</x:f>
        <x:v>T3</x:v>
      </x:c>
      <x:c r="G384" s="4" t="str">
        <x:f>IFERROR(INDEX('Items'!$D$6:$D$1005,MATCH(D384,'Items'!$A$6:$A$1005,0)),"MISSING ID")</x:f>
        <x:v>Crafting components</x:v>
      </x:c>
      <x:c r="H384" s="4" t="str">
        <x:f>IFERROR(INDEX('Items'!$X$6:$X$1005,MATCH(D384,'Items'!$A$6:$A$1005,0)),"MISSING ID")</x:f>
        <x:v>Crafting component</x:v>
      </x:c>
      <x:c r="I384" s="4"/>
      <x:c r="J384" s="4" t="str">
        <x:v>Unspecified</x:v>
      </x:c>
      <x:c r="K384" s="4" t="str">
        <x:f>IFERROR(INDEX('Crafting recipes'!$D$6:$D$1005,MATCH(B384,'Crafting recipes'!$A$6:$A$1005,0)),"MISSING ID")</x:f>
        <x:v>Proposal</x:v>
      </x:c>
      <x:c r="L384" s="4" t="str">
        <x:f>IFERROR(INDEX('Items'!$AD$6:$AD$1005,MATCH(D384,'Items'!$A$6:$A$1005,0)),"MISSING ID")</x:f>
        <x:v>Proposal</x:v>
      </x:c>
      <x:c r="M384" s="4" t="str">
        <x:f>IFERROR(INDEX('Crafting recipes'!$E$6:$E$1005,MATCH(B384,'Crafting recipes'!$A$6:$A$1005,0)),"MISSING ID")</x:f>
        <x:v>Partial proposal</x:v>
      </x:c>
      <x:c r="N384" s="4" t="str">
        <x:v>Partial material route; no quantities, guarantees or accepted game recipe.</x:v>
      </x:c>
      <x:c r="O384" s="4" t="str">
        <x:v>New October 15 game brainstorming; current author request and Docs/WORLD_BASIS.md. Not retrieved source canon.</x:v>
      </x:c>
      <x:c r="P384" s="4" t="n">
        <x:f>IF(OR(C384="Ingredient candidate",C384="Consumed input",C384="Contained input",C384="Transform input"),IF(F384="T0",0,IF(F384="T1",1,IF(F384="T2",2,IF(F384="T3",3,IF(F384="T4",4,-1))))),-1)</x:f>
        <x:v>3</x:v>
      </x:c>
      <x:c r="Q384" s="4" t="n">
        <x:f>IF(AND(OR(C384="Ingredient candidate",C384="Consumed input",C384="Contained input",C384="Transform input"),P384=-1),1,0)</x:f>
        <x:v>0</x:v>
      </x:c>
    </x:row>
    <x:row r="385" ht="115" customHeight="1">
      <x:c r="A385" s="4" t="str">
        <x:v>design.t4.contact_block.in.2</x:v>
      </x:c>
      <x:c r="B385" s="4" t="str">
        <x:v>design.t4.contact_block</x:v>
      </x:c>
      <x:c r="C385" s="4" t="str">
        <x:v>Ingredient candidate</x:v>
      </x:c>
      <x:c r="D385" s="4" t="str">
        <x:v>proposal.t3.spacer_set</x:v>
      </x:c>
      <x:c r="E385" s="4" t="str">
        <x:f>IFERROR(INDEX('Items'!$B$6:$B$1005,MATCH(D385,'Items'!$A$6:$A$1005,0)),"MISSING ID")</x:f>
        <x:v>Matched ceramic spacer sets</x:v>
      </x:c>
      <x:c r="F385" s="4" t="str">
        <x:f>IFERROR(INDEX('Items'!$C$6:$C$1005,MATCH(D385,'Items'!$A$6:$A$1005,0)),"MISSING ID")</x:f>
        <x:v>T3</x:v>
      </x:c>
      <x:c r="G385" s="4" t="str">
        <x:f>IFERROR(INDEX('Items'!$D$6:$D$1005,MATCH(D385,'Items'!$A$6:$A$1005,0)),"MISSING ID")</x:f>
        <x:v>Crafting components</x:v>
      </x:c>
      <x:c r="H385" s="4" t="str">
        <x:f>IFERROR(INDEX('Items'!$X$6:$X$1005,MATCH(D385,'Items'!$A$6:$A$1005,0)),"MISSING ID")</x:f>
        <x:v>Crafting component</x:v>
      </x:c>
      <x:c r="I385" s="4"/>
      <x:c r="J385" s="4" t="str">
        <x:v>Unspecified</x:v>
      </x:c>
      <x:c r="K385" s="4" t="str">
        <x:f>IFERROR(INDEX('Crafting recipes'!$D$6:$D$1005,MATCH(B385,'Crafting recipes'!$A$6:$A$1005,0)),"MISSING ID")</x:f>
        <x:v>Proposal</x:v>
      </x:c>
      <x:c r="L385" s="4" t="str">
        <x:f>IFERROR(INDEX('Items'!$AD$6:$AD$1005,MATCH(D385,'Items'!$A$6:$A$1005,0)),"MISSING ID")</x:f>
        <x:v>Proposal</x:v>
      </x:c>
      <x:c r="M385" s="4" t="str">
        <x:f>IFERROR(INDEX('Crafting recipes'!$E$6:$E$1005,MATCH(B385,'Crafting recipes'!$A$6:$A$1005,0)),"MISSING ID")</x:f>
        <x:v>Partial proposal</x:v>
      </x:c>
      <x:c r="N385" s="4" t="str">
        <x:v>Partial material route; no quantities, guarantees or accepted game recipe.</x:v>
      </x:c>
      <x:c r="O385" s="4" t="str">
        <x:v>New October 15 game brainstorming; current author request and Docs/WORLD_BASIS.md. Not retrieved source canon.</x:v>
      </x:c>
      <x:c r="P385" s="4" t="n">
        <x:f>IF(OR(C385="Ingredient candidate",C385="Consumed input",C385="Contained input",C385="Transform input"),IF(F385="T0",0,IF(F385="T1",1,IF(F385="T2",2,IF(F385="T3",3,IF(F385="T4",4,-1))))),-1)</x:f>
        <x:v>3</x:v>
      </x:c>
      <x:c r="Q385" s="4" t="n">
        <x:f>IF(AND(OR(C385="Ingredient candidate",C385="Consumed input",C385="Contained input",C385="Transform input"),P385=-1),1,0)</x:f>
        <x:v>0</x:v>
      </x:c>
    </x:row>
    <x:row r="386" ht="115" customHeight="1">
      <x:c r="A386" s="4" t="str">
        <x:v>design.t4.contact_block.in.3</x:v>
      </x:c>
      <x:c r="B386" s="4" t="str">
        <x:v>design.t4.contact_block</x:v>
      </x:c>
      <x:c r="C386" s="4" t="str">
        <x:v>Ingredient candidate</x:v>
      </x:c>
      <x:c r="D386" s="4" t="str">
        <x:v>proposal.branch.insulated_conductor</x:v>
      </x:c>
      <x:c r="E386" s="4" t="str">
        <x:f>IFERROR(INDEX('Items'!$B$6:$B$1005,MATCH(D386,'Items'!$A$6:$A$1005,0)),"MISSING ID")</x:f>
        <x:v>Insulated conductor stock</x:v>
      </x:c>
      <x:c r="F386" s="4" t="str">
        <x:f>IFERROR(INDEX('Items'!$C$6:$C$1005,MATCH(D386,'Items'!$A$6:$A$1005,0)),"MISSING ID")</x:f>
        <x:v>T3</x:v>
      </x:c>
      <x:c r="G386" s="4" t="str">
        <x:f>IFERROR(INDEX('Items'!$D$6:$D$1005,MATCH(D386,'Items'!$A$6:$A$1005,0)),"MISSING ID")</x:f>
        <x:v>Manufactured stock</x:v>
      </x:c>
      <x:c r="H386" s="4" t="str">
        <x:f>IFERROR(INDEX('Items'!$X$6:$X$1005,MATCH(D386,'Items'!$A$6:$A$1005,0)),"MISSING ID")</x:f>
        <x:v>Processed material</x:v>
      </x:c>
      <x:c r="I386" s="4"/>
      <x:c r="J386" s="4" t="str">
        <x:v>Unspecified</x:v>
      </x:c>
      <x:c r="K386" s="4" t="str">
        <x:f>IFERROR(INDEX('Crafting recipes'!$D$6:$D$1005,MATCH(B386,'Crafting recipes'!$A$6:$A$1005,0)),"MISSING ID")</x:f>
        <x:v>Proposal</x:v>
      </x:c>
      <x:c r="L386" s="4" t="str">
        <x:f>IFERROR(INDEX('Items'!$AD$6:$AD$1005,MATCH(D386,'Items'!$A$6:$A$1005,0)),"MISSING ID")</x:f>
        <x:v>Proposal</x:v>
      </x:c>
      <x:c r="M386" s="4" t="str">
        <x:f>IFERROR(INDEX('Crafting recipes'!$E$6:$E$1005,MATCH(B386,'Crafting recipes'!$A$6:$A$1005,0)),"MISSING ID")</x:f>
        <x:v>Partial proposal</x:v>
      </x:c>
      <x:c r="N386" s="4" t="str">
        <x:v>Partial material route; no quantities, guarantees or accepted game recipe.</x:v>
      </x:c>
      <x:c r="O386" s="4" t="str">
        <x:v>New October 15 game brainstorming; current author request and Docs/WORLD_BASIS.md. Not retrieved source canon.</x:v>
      </x:c>
      <x:c r="P386" s="4" t="n">
        <x:f>IF(OR(C386="Ingredient candidate",C386="Consumed input",C386="Contained input",C386="Transform input"),IF(F386="T0",0,IF(F386="T1",1,IF(F386="T2",2,IF(F386="T3",3,IF(F386="T4",4,-1))))),-1)</x:f>
        <x:v>3</x:v>
      </x:c>
      <x:c r="Q386" s="4" t="n">
        <x:f>IF(AND(OR(C386="Ingredient candidate",C386="Consumed input",C386="Contained input",C386="Transform input"),P386=-1),1,0)</x:f>
        <x:v>0</x:v>
      </x:c>
    </x:row>
    <x:row r="387" ht="115" customHeight="1">
      <x:c r="A387" s="4" t="str">
        <x:v>design.t4.contact_block.out</x:v>
      </x:c>
      <x:c r="B387" s="4" t="str">
        <x:v>design.t4.contact_block</x:v>
      </x:c>
      <x:c r="C387" s="4" t="str">
        <x:v>Output</x:v>
      </x:c>
      <x:c r="D387" s="4" t="str">
        <x:v>proposal.t4.contact_block</x:v>
      </x:c>
      <x:c r="E387" s="4" t="str">
        <x:f>IFERROR(INDEX('Items'!$B$6:$B$1005,MATCH(D387,'Items'!$A$6:$A$1005,0)),"MISSING ID")</x:f>
        <x:v>Serviceable insulated contact block</x:v>
      </x:c>
      <x:c r="F387" s="4" t="str">
        <x:f>IFERROR(INDEX('Items'!$C$6:$C$1005,MATCH(D387,'Items'!$A$6:$A$1005,0)),"MISSING ID")</x:f>
        <x:v>T4</x:v>
      </x:c>
      <x:c r="G387" s="4" t="str">
        <x:f>IFERROR(INDEX('Items'!$D$6:$D$1005,MATCH(D387,'Items'!$A$6:$A$1005,0)),"MISSING ID")</x:f>
        <x:v>Crafting components</x:v>
      </x:c>
      <x:c r="H387" s="4" t="str">
        <x:f>IFERROR(INDEX('Items'!$X$6:$X$1005,MATCH(D387,'Items'!$A$6:$A$1005,0)),"MISSING ID")</x:f>
        <x:v>Crafting component</x:v>
      </x:c>
      <x:c r="I387" s="4"/>
      <x:c r="J387" s="4" t="str">
        <x:v>Unspecified</x:v>
      </x:c>
      <x:c r="K387" s="4" t="str">
        <x:f>IFERROR(INDEX('Crafting recipes'!$D$6:$D$1005,MATCH(B387,'Crafting recipes'!$A$6:$A$1005,0)),"MISSING ID")</x:f>
        <x:v>Proposal</x:v>
      </x:c>
      <x:c r="L387" s="4" t="str">
        <x:f>IFERROR(INDEX('Items'!$AD$6:$AD$1005,MATCH(D387,'Items'!$A$6:$A$1005,0)),"MISSING ID")</x:f>
        <x:v>Proposal</x:v>
      </x:c>
      <x:c r="M387" s="4" t="str">
        <x:f>IFERROR(INDEX('Crafting recipes'!$E$6:$E$1005,MATCH(B387,'Crafting recipes'!$A$6:$A$1005,0)),"MISSING ID")</x:f>
        <x:v>Partial proposal</x:v>
      </x:c>
      <x:c r="N387" s="4" t="str">
        <x:v>Partial material route; no quantities, guarantees or accepted game recipe.</x:v>
      </x:c>
      <x:c r="O387" s="4" t="str">
        <x:v>New October 15 game brainstorming; current author request and Docs/WORLD_BASIS.md. Not retrieved source canon.</x:v>
      </x:c>
      <x:c r="P387" s="4" t="n">
        <x:f>IF(OR(C387="Ingredient candidate",C387="Consumed input",C387="Contained input",C387="Transform input"),IF(F387="T0",0,IF(F387="T1",1,IF(F387="T2",2,IF(F387="T3",3,IF(F387="T4",4,-1))))),-1)</x:f>
        <x:v>-1</x:v>
      </x:c>
      <x:c r="Q387" s="4" t="n">
        <x:f>IF(AND(OR(C387="Ingredient candidate",C387="Consumed input",C387="Contained input",C387="Transform input"),P387=-1),1,0)</x:f>
        <x:v>0</x:v>
      </x:c>
    </x:row>
    <x:row r="388" ht="115" customHeight="1">
      <x:c r="A388" s="4" t="str">
        <x:v>design.t4.articulated_guard.in.1</x:v>
      </x:c>
      <x:c r="B388" s="4" t="str">
        <x:v>design.t4.articulated_guard</x:v>
      </x:c>
      <x:c r="C388" s="4" t="str">
        <x:v>Ingredient candidate</x:v>
      </x:c>
      <x:c r="D388" s="4" t="str">
        <x:v>proposal.t3.hinged_shell</x:v>
      </x:c>
      <x:c r="E388" s="4" t="str">
        <x:f>IFERROR(INDEX('Items'!$B$6:$B$1005,MATCH(D388,'Items'!$A$6:$A$1005,0)),"MISSING ID")</x:f>
        <x:v>Hinged shell-panel sets</x:v>
      </x:c>
      <x:c r="F388" s="4" t="str">
        <x:f>IFERROR(INDEX('Items'!$C$6:$C$1005,MATCH(D388,'Items'!$A$6:$A$1005,0)),"MISSING ID")</x:f>
        <x:v>T3</x:v>
      </x:c>
      <x:c r="G388" s="4" t="str">
        <x:f>IFERROR(INDEX('Items'!$D$6:$D$1005,MATCH(D388,'Items'!$A$6:$A$1005,0)),"MISSING ID")</x:f>
        <x:v>Crafting components</x:v>
      </x:c>
      <x:c r="H388" s="4" t="str">
        <x:f>IFERROR(INDEX('Items'!$X$6:$X$1005,MATCH(D388,'Items'!$A$6:$A$1005,0)),"MISSING ID")</x:f>
        <x:v>Crafting component</x:v>
      </x:c>
      <x:c r="I388" s="4"/>
      <x:c r="J388" s="4" t="str">
        <x:v>Unspecified</x:v>
      </x:c>
      <x:c r="K388" s="4" t="str">
        <x:f>IFERROR(INDEX('Crafting recipes'!$D$6:$D$1005,MATCH(B388,'Crafting recipes'!$A$6:$A$1005,0)),"MISSING ID")</x:f>
        <x:v>Proposal</x:v>
      </x:c>
      <x:c r="L388" s="4" t="str">
        <x:f>IFERROR(INDEX('Items'!$AD$6:$AD$1005,MATCH(D388,'Items'!$A$6:$A$1005,0)),"MISSING ID")</x:f>
        <x:v>Proposal</x:v>
      </x:c>
      <x:c r="M388" s="4" t="str">
        <x:f>IFERROR(INDEX('Crafting recipes'!$E$6:$E$1005,MATCH(B388,'Crafting recipes'!$A$6:$A$1005,0)),"MISSING ID")</x:f>
        <x:v>Partial proposal</x:v>
      </x:c>
      <x:c r="N388" s="4" t="str">
        <x:v>Partial material route; no quantities, guarantees or accepted game recipe.</x:v>
      </x:c>
      <x:c r="O388" s="4" t="str">
        <x:v>New October 15 game brainstorming; current author request and Docs/WORLD_BASIS.md. Not retrieved source canon.</x:v>
      </x:c>
      <x:c r="P388" s="4" t="n">
        <x:f>IF(OR(C388="Ingredient candidate",C388="Consumed input",C388="Contained input",C388="Transform input"),IF(F388="T0",0,IF(F388="T1",1,IF(F388="T2",2,IF(F388="T3",3,IF(F388="T4",4,-1))))),-1)</x:f>
        <x:v>3</x:v>
      </x:c>
      <x:c r="Q388" s="4" t="n">
        <x:f>IF(AND(OR(C388="Ingredient candidate",C388="Consumed input",C388="Contained input",C388="Transform input"),P388=-1),1,0)</x:f>
        <x:v>0</x:v>
      </x:c>
    </x:row>
    <x:row r="389" ht="115" customHeight="1">
      <x:c r="A389" s="4" t="str">
        <x:v>design.t4.articulated_guard.in.2</x:v>
      </x:c>
      <x:c r="B389" s="4" t="str">
        <x:v>design.t4.articulated_guard</x:v>
      </x:c>
      <x:c r="C389" s="4" t="str">
        <x:v>Ingredient candidate</x:v>
      </x:c>
      <x:c r="D389" s="4" t="str">
        <x:v>proposal.branch.steel_shell</x:v>
      </x:c>
      <x:c r="E389" s="4" t="str">
        <x:f>IFERROR(INDEX('Items'!$B$6:$B$1005,MATCH(D389,'Items'!$A$6:$A$1005,0)),"MISSING ID")</x:f>
        <x:v>Steel-faced shell composite</x:v>
      </x:c>
      <x:c r="F389" s="4" t="str">
        <x:f>IFERROR(INDEX('Items'!$C$6:$C$1005,MATCH(D389,'Items'!$A$6:$A$1005,0)),"MISSING ID")</x:f>
        <x:v>T3</x:v>
      </x:c>
      <x:c r="G389" s="4" t="str">
        <x:f>IFERROR(INDEX('Items'!$D$6:$D$1005,MATCH(D389,'Items'!$A$6:$A$1005,0)),"MISSING ID")</x:f>
        <x:v>Manufactured stock</x:v>
      </x:c>
      <x:c r="H389" s="4" t="str">
        <x:f>IFERROR(INDEX('Items'!$X$6:$X$1005,MATCH(D389,'Items'!$A$6:$A$1005,0)),"MISSING ID")</x:f>
        <x:v>Processed material</x:v>
      </x:c>
      <x:c r="I389" s="4"/>
      <x:c r="J389" s="4" t="str">
        <x:v>Unspecified</x:v>
      </x:c>
      <x:c r="K389" s="4" t="str">
        <x:f>IFERROR(INDEX('Crafting recipes'!$D$6:$D$1005,MATCH(B389,'Crafting recipes'!$A$6:$A$1005,0)),"MISSING ID")</x:f>
        <x:v>Proposal</x:v>
      </x:c>
      <x:c r="L389" s="4" t="str">
        <x:f>IFERROR(INDEX('Items'!$AD$6:$AD$1005,MATCH(D389,'Items'!$A$6:$A$1005,0)),"MISSING ID")</x:f>
        <x:v>Proposal</x:v>
      </x:c>
      <x:c r="M389" s="4" t="str">
        <x:f>IFERROR(INDEX('Crafting recipes'!$E$6:$E$1005,MATCH(B389,'Crafting recipes'!$A$6:$A$1005,0)),"MISSING ID")</x:f>
        <x:v>Partial proposal</x:v>
      </x:c>
      <x:c r="N389" s="4" t="str">
        <x:v>Partial material route; no quantities, guarantees or accepted game recipe.</x:v>
      </x:c>
      <x:c r="O389" s="4" t="str">
        <x:v>New October 15 game brainstorming; current author request and Docs/WORLD_BASIS.md. Not retrieved source canon.</x:v>
      </x:c>
      <x:c r="P389" s="4" t="n">
        <x:f>IF(OR(C389="Ingredient candidate",C389="Consumed input",C389="Contained input",C389="Transform input"),IF(F389="T0",0,IF(F389="T1",1,IF(F389="T2",2,IF(F389="T3",3,IF(F389="T4",4,-1))))),-1)</x:f>
        <x:v>3</x:v>
      </x:c>
      <x:c r="Q389" s="4" t="n">
        <x:f>IF(AND(OR(C389="Ingredient candidate",C389="Consumed input",C389="Contained input",C389="Transform input"),P389=-1),1,0)</x:f>
        <x:v>0</x:v>
      </x:c>
    </x:row>
    <x:row r="390" ht="115" customHeight="1">
      <x:c r="A390" s="4" t="str">
        <x:v>design.t4.articulated_guard.in.3</x:v>
      </x:c>
      <x:c r="B390" s="4" t="str">
        <x:v>design.t4.articulated_guard</x:v>
      </x:c>
      <x:c r="C390" s="4" t="str">
        <x:v>Ingredient candidate</x:v>
      </x:c>
      <x:c r="D390" s="4" t="str">
        <x:v>proposal.branch.spring_steel</x:v>
      </x:c>
      <x:c r="E390" s="4" t="str">
        <x:f>IFERROR(INDEX('Items'!$B$6:$B$1005,MATCH(D390,'Items'!$A$6:$A$1005,0)),"MISSING ID")</x:f>
        <x:v>Spring-grade steel stock</x:v>
      </x:c>
      <x:c r="F390" s="4" t="str">
        <x:f>IFERROR(INDEX('Items'!$C$6:$C$1005,MATCH(D390,'Items'!$A$6:$A$1005,0)),"MISSING ID")</x:f>
        <x:v>T3</x:v>
      </x:c>
      <x:c r="G390" s="4" t="str">
        <x:f>IFERROR(INDEX('Items'!$D$6:$D$1005,MATCH(D390,'Items'!$A$6:$A$1005,0)),"MISSING ID")</x:f>
        <x:v>Manufactured stock</x:v>
      </x:c>
      <x:c r="H390" s="4" t="str">
        <x:f>IFERROR(INDEX('Items'!$X$6:$X$1005,MATCH(D390,'Items'!$A$6:$A$1005,0)),"MISSING ID")</x:f>
        <x:v>Processed material</x:v>
      </x:c>
      <x:c r="I390" s="4"/>
      <x:c r="J390" s="4" t="str">
        <x:v>Unspecified</x:v>
      </x:c>
      <x:c r="K390" s="4" t="str">
        <x:f>IFERROR(INDEX('Crafting recipes'!$D$6:$D$1005,MATCH(B390,'Crafting recipes'!$A$6:$A$1005,0)),"MISSING ID")</x:f>
        <x:v>Proposal</x:v>
      </x:c>
      <x:c r="L390" s="4" t="str">
        <x:f>IFERROR(INDEX('Items'!$AD$6:$AD$1005,MATCH(D390,'Items'!$A$6:$A$1005,0)),"MISSING ID")</x:f>
        <x:v>Proposal</x:v>
      </x:c>
      <x:c r="M390" s="4" t="str">
        <x:f>IFERROR(INDEX('Crafting recipes'!$E$6:$E$1005,MATCH(B390,'Crafting recipes'!$A$6:$A$1005,0)),"MISSING ID")</x:f>
        <x:v>Partial proposal</x:v>
      </x:c>
      <x:c r="N390" s="4" t="str">
        <x:v>Partial material route; no quantities, guarantees or accepted game recipe.</x:v>
      </x:c>
      <x:c r="O390" s="4" t="str">
        <x:v>New October 15 game brainstorming; current author request and Docs/WORLD_BASIS.md. Not retrieved source canon.</x:v>
      </x:c>
      <x:c r="P390" s="4" t="n">
        <x:f>IF(OR(C390="Ingredient candidate",C390="Consumed input",C390="Contained input",C390="Transform input"),IF(F390="T0",0,IF(F390="T1",1,IF(F390="T2",2,IF(F390="T3",3,IF(F390="T4",4,-1))))),-1)</x:f>
        <x:v>3</x:v>
      </x:c>
      <x:c r="Q390" s="4" t="n">
        <x:f>IF(AND(OR(C390="Ingredient candidate",C390="Consumed input",C390="Contained input",C390="Transform input"),P390=-1),1,0)</x:f>
        <x:v>0</x:v>
      </x:c>
    </x:row>
    <x:row r="391" ht="115" customHeight="1">
      <x:c r="A391" s="4" t="str">
        <x:v>design.t4.articulated_guard.in.4</x:v>
      </x:c>
      <x:c r="B391" s="4" t="str">
        <x:v>design.t4.articulated_guard</x:v>
      </x:c>
      <x:c r="C391" s="4" t="str">
        <x:v>Ingredient candidate</x:v>
      </x:c>
      <x:c r="D391" s="4" t="str">
        <x:v>proposal.lubricant.joint_grease</x:v>
      </x:c>
      <x:c r="E391" s="4" t="str">
        <x:f>IFERROR(INDEX('Items'!$B$6:$B$1005,MATCH(D391,'Items'!$A$6:$A$1005,0)),"MISSING ID")</x:f>
        <x:v>Faunal joint grease</x:v>
      </x:c>
      <x:c r="F391" s="4" t="str">
        <x:f>IFERROR(INDEX('Items'!$C$6:$C$1005,MATCH(D391,'Items'!$A$6:$A$1005,0)),"MISSING ID")</x:f>
        <x:v>T2</x:v>
      </x:c>
      <x:c r="G391" s="4" t="str">
        <x:f>IFERROR(INDEX('Items'!$D$6:$D$1005,MATCH(D391,'Items'!$A$6:$A$1005,0)),"MISSING ID")</x:f>
        <x:v>Crafting components</x:v>
      </x:c>
      <x:c r="H391" s="4" t="str">
        <x:f>IFERROR(INDEX('Items'!$X$6:$X$1005,MATCH(D391,'Items'!$A$6:$A$1005,0)),"MISSING ID")</x:f>
        <x:v>Chemical material</x:v>
      </x:c>
      <x:c r="I391" s="4"/>
      <x:c r="J391" s="4" t="str">
        <x:v>Unspecified</x:v>
      </x:c>
      <x:c r="K391" s="4" t="str">
        <x:f>IFERROR(INDEX('Crafting recipes'!$D$6:$D$1005,MATCH(B391,'Crafting recipes'!$A$6:$A$1005,0)),"MISSING ID")</x:f>
        <x:v>Proposal</x:v>
      </x:c>
      <x:c r="L391" s="4" t="str">
        <x:f>IFERROR(INDEX('Items'!$AD$6:$AD$1005,MATCH(D391,'Items'!$A$6:$A$1005,0)),"MISSING ID")</x:f>
        <x:v>Proposal</x:v>
      </x:c>
      <x:c r="M391" s="4" t="str">
        <x:f>IFERROR(INDEX('Crafting recipes'!$E$6:$E$1005,MATCH(B391,'Crafting recipes'!$A$6:$A$1005,0)),"MISSING ID")</x:f>
        <x:v>Partial proposal</x:v>
      </x:c>
      <x:c r="N391" s="4" t="str">
        <x:v>Partial material route; no quantities, guarantees or accepted game recipe.</x:v>
      </x:c>
      <x:c r="O391" s="4" t="str">
        <x:v>New October 15 game brainstorming; current author request and Docs/WORLD_BASIS.md. Not retrieved source canon.</x:v>
      </x:c>
      <x:c r="P391" s="4" t="n">
        <x:f>IF(OR(C391="Ingredient candidate",C391="Consumed input",C391="Contained input",C391="Transform input"),IF(F391="T0",0,IF(F391="T1",1,IF(F391="T2",2,IF(F391="T3",3,IF(F391="T4",4,-1))))),-1)</x:f>
        <x:v>2</x:v>
      </x:c>
      <x:c r="Q391" s="4" t="n">
        <x:f>IF(AND(OR(C391="Ingredient candidate",C391="Consumed input",C391="Contained input",C391="Transform input"),P391=-1),1,0)</x:f>
        <x:v>0</x:v>
      </x:c>
    </x:row>
    <x:row r="392" ht="115" customHeight="1">
      <x:c r="A392" s="4" t="str">
        <x:v>design.t4.articulated_guard.out</x:v>
      </x:c>
      <x:c r="B392" s="4" t="str">
        <x:v>design.t4.articulated_guard</x:v>
      </x:c>
      <x:c r="C392" s="4" t="str">
        <x:v>Output</x:v>
      </x:c>
      <x:c r="D392" s="4" t="str">
        <x:v>proposal.t4.articulated_guard</x:v>
      </x:c>
      <x:c r="E392" s="4" t="str">
        <x:f>IFERROR(INDEX('Items'!$B$6:$B$1005,MATCH(D392,'Items'!$A$6:$A$1005,0)),"MISSING ID")</x:f>
        <x:v>Articulated guard-panel subassembly</x:v>
      </x:c>
      <x:c r="F392" s="4" t="str">
        <x:f>IFERROR(INDEX('Items'!$C$6:$C$1005,MATCH(D392,'Items'!$A$6:$A$1005,0)),"MISSING ID")</x:f>
        <x:v>T4</x:v>
      </x:c>
      <x:c r="G392" s="4" t="str">
        <x:f>IFERROR(INDEX('Items'!$D$6:$D$1005,MATCH(D392,'Items'!$A$6:$A$1005,0)),"MISSING ID")</x:f>
        <x:v>Crafting components</x:v>
      </x:c>
      <x:c r="H392" s="4" t="str">
        <x:f>IFERROR(INDEX('Items'!$X$6:$X$1005,MATCH(D392,'Items'!$A$6:$A$1005,0)),"MISSING ID")</x:f>
        <x:v>Crafting component</x:v>
      </x:c>
      <x:c r="I392" s="4"/>
      <x:c r="J392" s="4" t="str">
        <x:v>Unspecified</x:v>
      </x:c>
      <x:c r="K392" s="4" t="str">
        <x:f>IFERROR(INDEX('Crafting recipes'!$D$6:$D$1005,MATCH(B392,'Crafting recipes'!$A$6:$A$1005,0)),"MISSING ID")</x:f>
        <x:v>Proposal</x:v>
      </x:c>
      <x:c r="L392" s="4" t="str">
        <x:f>IFERROR(INDEX('Items'!$AD$6:$AD$1005,MATCH(D392,'Items'!$A$6:$A$1005,0)),"MISSING ID")</x:f>
        <x:v>Proposal</x:v>
      </x:c>
      <x:c r="M392" s="4" t="str">
        <x:f>IFERROR(INDEX('Crafting recipes'!$E$6:$E$1005,MATCH(B392,'Crafting recipes'!$A$6:$A$1005,0)),"MISSING ID")</x:f>
        <x:v>Partial proposal</x:v>
      </x:c>
      <x:c r="N392" s="4" t="str">
        <x:v>Partial material route; no quantities, guarantees or accepted game recipe.</x:v>
      </x:c>
      <x:c r="O392" s="4" t="str">
        <x:v>New October 15 game brainstorming; current author request and Docs/WORLD_BASIS.md. Not retrieved source canon.</x:v>
      </x:c>
      <x:c r="P392" s="4" t="n">
        <x:f>IF(OR(C392="Ingredient candidate",C392="Consumed input",C392="Contained input",C392="Transform input"),IF(F392="T0",0,IF(F392="T1",1,IF(F392="T2",2,IF(F392="T3",3,IF(F392="T4",4,-1))))),-1)</x:f>
        <x:v>-1</x:v>
      </x:c>
      <x:c r="Q392" s="4" t="n">
        <x:f>IF(AND(OR(C392="Ingredient candidate",C392="Consumed input",C392="Contained input",C392="Transform input"),P392=-1),1,0)</x:f>
        <x:v>0</x:v>
      </x:c>
    </x:row>
    <x:row r="393" ht="115" customHeight="1">
      <x:c r="A393" s="4" t="str">
        <x:v>design.t4.valve_core.in.1</x:v>
      </x:c>
      <x:c r="B393" s="4" t="str">
        <x:v>design.t4.valve_core</x:v>
      </x:c>
      <x:c r="C393" s="4" t="str">
        <x:v>Ingredient candidate</x:v>
      </x:c>
      <x:c r="D393" s="4" t="str">
        <x:v>proposal.t3.precision_tube</x:v>
      </x:c>
      <x:c r="E393" s="4" t="str">
        <x:f>IFERROR(INDEX('Items'!$B$6:$B$1005,MATCH(D393,'Items'!$A$6:$A$1005,0)),"MISSING ID")</x:f>
        <x:v>Drawn steel tube stock</x:v>
      </x:c>
      <x:c r="F393" s="4" t="str">
        <x:f>IFERROR(INDEX('Items'!$C$6:$C$1005,MATCH(D393,'Items'!$A$6:$A$1005,0)),"MISSING ID")</x:f>
        <x:v>T3</x:v>
      </x:c>
      <x:c r="G393" s="4" t="str">
        <x:f>IFERROR(INDEX('Items'!$D$6:$D$1005,MATCH(D393,'Items'!$A$6:$A$1005,0)),"MISSING ID")</x:f>
        <x:v>Manufactured stock</x:v>
      </x:c>
      <x:c r="H393" s="4" t="str">
        <x:f>IFERROR(INDEX('Items'!$X$6:$X$1005,MATCH(D393,'Items'!$A$6:$A$1005,0)),"MISSING ID")</x:f>
        <x:v>Processed material</x:v>
      </x:c>
      <x:c r="I393" s="4"/>
      <x:c r="J393" s="4" t="str">
        <x:v>Unspecified</x:v>
      </x:c>
      <x:c r="K393" s="4" t="str">
        <x:f>IFERROR(INDEX('Crafting recipes'!$D$6:$D$1005,MATCH(B393,'Crafting recipes'!$A$6:$A$1005,0)),"MISSING ID")</x:f>
        <x:v>Proposal</x:v>
      </x:c>
      <x:c r="L393" s="4" t="str">
        <x:f>IFERROR(INDEX('Items'!$AD$6:$AD$1005,MATCH(D393,'Items'!$A$6:$A$1005,0)),"MISSING ID")</x:f>
        <x:v>Proposal</x:v>
      </x:c>
      <x:c r="M393" s="4" t="str">
        <x:f>IFERROR(INDEX('Crafting recipes'!$E$6:$E$1005,MATCH(B393,'Crafting recipes'!$A$6:$A$1005,0)),"MISSING ID")</x:f>
        <x:v>Partial proposal</x:v>
      </x:c>
      <x:c r="N393" s="4" t="str">
        <x:v>Partial material route; no quantities, guarantees or accepted game recipe.</x:v>
      </x:c>
      <x:c r="O393" s="4" t="str">
        <x:v>New October 15 game brainstorming; current author request and Docs/WORLD_BASIS.md. Not retrieved source canon.</x:v>
      </x:c>
      <x:c r="P393" s="4" t="n">
        <x:f>IF(OR(C393="Ingredient candidate",C393="Consumed input",C393="Contained input",C393="Transform input"),IF(F393="T0",0,IF(F393="T1",1,IF(F393="T2",2,IF(F393="T3",3,IF(F393="T4",4,-1))))),-1)</x:f>
        <x:v>3</x:v>
      </x:c>
      <x:c r="Q393" s="4" t="n">
        <x:f>IF(AND(OR(C393="Ingredient candidate",C393="Consumed input",C393="Contained input",C393="Transform input"),P393=-1),1,0)</x:f>
        <x:v>0</x:v>
      </x:c>
    </x:row>
    <x:row r="394" ht="115" customHeight="1">
      <x:c r="A394" s="4" t="str">
        <x:v>design.t4.valve_core.in.2</x:v>
      </x:c>
      <x:c r="B394" s="4" t="str">
        <x:v>design.t4.valve_core</x:v>
      </x:c>
      <x:c r="C394" s="4" t="str">
        <x:v>Ingredient candidate</x:v>
      </x:c>
      <x:c r="D394" s="4" t="str">
        <x:v>proposal.t3.packing_stock</x:v>
      </x:c>
      <x:c r="E394" s="4" t="str">
        <x:f>IFERROR(INDEX('Items'!$B$6:$B$1005,MATCH(D394,'Items'!$A$6:$A$1005,0)),"MISSING ID")</x:f>
        <x:v>Husk-reinforced packing stock</x:v>
      </x:c>
      <x:c r="F394" s="4" t="str">
        <x:f>IFERROR(INDEX('Items'!$C$6:$C$1005,MATCH(D394,'Items'!$A$6:$A$1005,0)),"MISSING ID")</x:f>
        <x:v>T3</x:v>
      </x:c>
      <x:c r="G394" s="4" t="str">
        <x:f>IFERROR(INDEX('Items'!$D$6:$D$1005,MATCH(D394,'Items'!$A$6:$A$1005,0)),"MISSING ID")</x:f>
        <x:v>Manufactured stock</x:v>
      </x:c>
      <x:c r="H394" s="4" t="str">
        <x:f>IFERROR(INDEX('Items'!$X$6:$X$1005,MATCH(D394,'Items'!$A$6:$A$1005,0)),"MISSING ID")</x:f>
        <x:v>Processed material</x:v>
      </x:c>
      <x:c r="I394" s="4"/>
      <x:c r="J394" s="4" t="str">
        <x:v>Unspecified</x:v>
      </x:c>
      <x:c r="K394" s="4" t="str">
        <x:f>IFERROR(INDEX('Crafting recipes'!$D$6:$D$1005,MATCH(B394,'Crafting recipes'!$A$6:$A$1005,0)),"MISSING ID")</x:f>
        <x:v>Proposal</x:v>
      </x:c>
      <x:c r="L394" s="4" t="str">
        <x:f>IFERROR(INDEX('Items'!$AD$6:$AD$1005,MATCH(D394,'Items'!$A$6:$A$1005,0)),"MISSING ID")</x:f>
        <x:v>Proposal</x:v>
      </x:c>
      <x:c r="M394" s="4" t="str">
        <x:f>IFERROR(INDEX('Crafting recipes'!$E$6:$E$1005,MATCH(B394,'Crafting recipes'!$A$6:$A$1005,0)),"MISSING ID")</x:f>
        <x:v>Partial proposal</x:v>
      </x:c>
      <x:c r="N394" s="4" t="str">
        <x:v>Partial material route; no quantities, guarantees or accepted game recipe.</x:v>
      </x:c>
      <x:c r="O394" s="4" t="str">
        <x:v>New October 15 game brainstorming; current author request and Docs/WORLD_BASIS.md. Not retrieved source canon.</x:v>
      </x:c>
      <x:c r="P394" s="4" t="n">
        <x:f>IF(OR(C394="Ingredient candidate",C394="Consumed input",C394="Contained input",C394="Transform input"),IF(F394="T0",0,IF(F394="T1",1,IF(F394="T2",2,IF(F394="T3",3,IF(F394="T4",4,-1))))),-1)</x:f>
        <x:v>3</x:v>
      </x:c>
      <x:c r="Q394" s="4" t="n">
        <x:f>IF(AND(OR(C394="Ingredient candidate",C394="Consumed input",C394="Contained input",C394="Transform input"),P394=-1),1,0)</x:f>
        <x:v>0</x:v>
      </x:c>
    </x:row>
    <x:row r="395" ht="115" customHeight="1">
      <x:c r="A395" s="4" t="str">
        <x:v>design.t4.valve_core.in.3</x:v>
      </x:c>
      <x:c r="B395" s="4" t="str">
        <x:v>design.t4.valve_core</x:v>
      </x:c>
      <x:c r="C395" s="4" t="str">
        <x:v>Ingredient candidate</x:v>
      </x:c>
      <x:c r="D395" s="4" t="str">
        <x:v>proposal.t3.service_grease</x:v>
      </x:c>
      <x:c r="E395" s="4" t="str">
        <x:f>IFERROR(INDEX('Items'!$B$6:$B$1005,MATCH(D395,'Items'!$A$6:$A$1005,0)),"MISSING ID")</x:f>
        <x:v>Conditioned mechanism-service grease</x:v>
      </x:c>
      <x:c r="F395" s="4" t="str">
        <x:f>IFERROR(INDEX('Items'!$C$6:$C$1005,MATCH(D395,'Items'!$A$6:$A$1005,0)),"MISSING ID")</x:f>
        <x:v>T3</x:v>
      </x:c>
      <x:c r="G395" s="4" t="str">
        <x:f>IFERROR(INDEX('Items'!$D$6:$D$1005,MATCH(D395,'Items'!$A$6:$A$1005,0)),"MISSING ID")</x:f>
        <x:v>Crafting components</x:v>
      </x:c>
      <x:c r="H395" s="4" t="str">
        <x:f>IFERROR(INDEX('Items'!$X$6:$X$1005,MATCH(D395,'Items'!$A$6:$A$1005,0)),"MISSING ID")</x:f>
        <x:v>Chemical material</x:v>
      </x:c>
      <x:c r="I395" s="4"/>
      <x:c r="J395" s="4" t="str">
        <x:v>Unspecified</x:v>
      </x:c>
      <x:c r="K395" s="4" t="str">
        <x:f>IFERROR(INDEX('Crafting recipes'!$D$6:$D$1005,MATCH(B395,'Crafting recipes'!$A$6:$A$1005,0)),"MISSING ID")</x:f>
        <x:v>Proposal</x:v>
      </x:c>
      <x:c r="L395" s="4" t="str">
        <x:f>IFERROR(INDEX('Items'!$AD$6:$AD$1005,MATCH(D395,'Items'!$A$6:$A$1005,0)),"MISSING ID")</x:f>
        <x:v>Proposal</x:v>
      </x:c>
      <x:c r="M395" s="4" t="str">
        <x:f>IFERROR(INDEX('Crafting recipes'!$E$6:$E$1005,MATCH(B395,'Crafting recipes'!$A$6:$A$1005,0)),"MISSING ID")</x:f>
        <x:v>Partial proposal</x:v>
      </x:c>
      <x:c r="N395" s="4" t="str">
        <x:v>Partial material route; no quantities, guarantees or accepted game recipe.</x:v>
      </x:c>
      <x:c r="O395" s="4" t="str">
        <x:v>New October 15 game brainstorming; current author request and Docs/WORLD_BASIS.md. Not retrieved source canon.</x:v>
      </x:c>
      <x:c r="P395" s="4" t="n">
        <x:f>IF(OR(C395="Ingredient candidate",C395="Consumed input",C395="Contained input",C395="Transform input"),IF(F395="T0",0,IF(F395="T1",1,IF(F395="T2",2,IF(F395="T3",3,IF(F395="T4",4,-1))))),-1)</x:f>
        <x:v>3</x:v>
      </x:c>
      <x:c r="Q395" s="4" t="n">
        <x:f>IF(AND(OR(C395="Ingredient candidate",C395="Consumed input",C395="Contained input",C395="Transform input"),P395=-1),1,0)</x:f>
        <x:v>0</x:v>
      </x:c>
    </x:row>
    <x:row r="396" ht="115" customHeight="1">
      <x:c r="A396" s="4" t="str">
        <x:v>design.t4.valve_core.in.4</x:v>
      </x:c>
      <x:c r="B396" s="4" t="str">
        <x:v>design.t4.valve_core</x:v>
      </x:c>
      <x:c r="C396" s="4" t="str">
        <x:v>Ingredient candidate</x:v>
      </x:c>
      <x:c r="D396" s="4" t="str">
        <x:v>proposal.branch.bearing_bronze</x:v>
      </x:c>
      <x:c r="E396" s="4" t="str">
        <x:f>IFERROR(INDEX('Items'!$B$6:$B$1005,MATCH(D396,'Items'!$A$6:$A$1005,0)),"MISSING ID")</x:f>
        <x:v>Prepared bronze bearing stock</x:v>
      </x:c>
      <x:c r="F396" s="4" t="str">
        <x:f>IFERROR(INDEX('Items'!$C$6:$C$1005,MATCH(D396,'Items'!$A$6:$A$1005,0)),"MISSING ID")</x:f>
        <x:v>T2</x:v>
      </x:c>
      <x:c r="G396" s="4" t="str">
        <x:f>IFERROR(INDEX('Items'!$D$6:$D$1005,MATCH(D396,'Items'!$A$6:$A$1005,0)),"MISSING ID")</x:f>
        <x:v>Manufactured stock</x:v>
      </x:c>
      <x:c r="H396" s="4" t="str">
        <x:f>IFERROR(INDEX('Items'!$X$6:$X$1005,MATCH(D396,'Items'!$A$6:$A$1005,0)),"MISSING ID")</x:f>
        <x:v>Processed material</x:v>
      </x:c>
      <x:c r="I396" s="4"/>
      <x:c r="J396" s="4" t="str">
        <x:v>Unspecified</x:v>
      </x:c>
      <x:c r="K396" s="4" t="str">
        <x:f>IFERROR(INDEX('Crafting recipes'!$D$6:$D$1005,MATCH(B396,'Crafting recipes'!$A$6:$A$1005,0)),"MISSING ID")</x:f>
        <x:v>Proposal</x:v>
      </x:c>
      <x:c r="L396" s="4" t="str">
        <x:f>IFERROR(INDEX('Items'!$AD$6:$AD$1005,MATCH(D396,'Items'!$A$6:$A$1005,0)),"MISSING ID")</x:f>
        <x:v>Proposal</x:v>
      </x:c>
      <x:c r="M396" s="4" t="str">
        <x:f>IFERROR(INDEX('Crafting recipes'!$E$6:$E$1005,MATCH(B396,'Crafting recipes'!$A$6:$A$1005,0)),"MISSING ID")</x:f>
        <x:v>Partial proposal</x:v>
      </x:c>
      <x:c r="N396" s="4" t="str">
        <x:v>Partial material route; no quantities, guarantees or accepted game recipe.</x:v>
      </x:c>
      <x:c r="O396" s="4" t="str">
        <x:v>New October 15 game brainstorming; current author request and Docs/WORLD_BASIS.md. Not retrieved source canon.</x:v>
      </x:c>
      <x:c r="P396" s="4" t="n">
        <x:f>IF(OR(C396="Ingredient candidate",C396="Consumed input",C396="Contained input",C396="Transform input"),IF(F396="T0",0,IF(F396="T1",1,IF(F396="T2",2,IF(F396="T3",3,IF(F396="T4",4,-1))))),-1)</x:f>
        <x:v>2</x:v>
      </x:c>
      <x:c r="Q396" s="4" t="n">
        <x:f>IF(AND(OR(C396="Ingredient candidate",C396="Consumed input",C396="Contained input",C396="Transform input"),P396=-1),1,0)</x:f>
        <x:v>0</x:v>
      </x:c>
    </x:row>
    <x:row r="397" ht="115" customHeight="1">
      <x:c r="A397" s="4" t="str">
        <x:v>design.t4.valve_core.out</x:v>
      </x:c>
      <x:c r="B397" s="4" t="str">
        <x:v>design.t4.valve_core</x:v>
      </x:c>
      <x:c r="C397" s="4" t="str">
        <x:v>Output</x:v>
      </x:c>
      <x:c r="D397" s="4" t="str">
        <x:v>proposal.t4.valve_core</x:v>
      </x:c>
      <x:c r="E397" s="4" t="str">
        <x:f>IFERROR(INDEX('Items'!$B$6:$B$1005,MATCH(D397,'Items'!$A$6:$A$1005,0)),"MISSING ID")</x:f>
        <x:v>Fitted canister valve-core assembly</x:v>
      </x:c>
      <x:c r="F397" s="4" t="str">
        <x:f>IFERROR(INDEX('Items'!$C$6:$C$1005,MATCH(D397,'Items'!$A$6:$A$1005,0)),"MISSING ID")</x:f>
        <x:v>T4</x:v>
      </x:c>
      <x:c r="G397" s="4" t="str">
        <x:f>IFERROR(INDEX('Items'!$D$6:$D$1005,MATCH(D397,'Items'!$A$6:$A$1005,0)),"MISSING ID")</x:f>
        <x:v>Crafting components</x:v>
      </x:c>
      <x:c r="H397" s="4" t="str">
        <x:f>IFERROR(INDEX('Items'!$X$6:$X$1005,MATCH(D397,'Items'!$A$6:$A$1005,0)),"MISSING ID")</x:f>
        <x:v>Crafting component</x:v>
      </x:c>
      <x:c r="I397" s="4"/>
      <x:c r="J397" s="4" t="str">
        <x:v>Unspecified</x:v>
      </x:c>
      <x:c r="K397" s="4" t="str">
        <x:f>IFERROR(INDEX('Crafting recipes'!$D$6:$D$1005,MATCH(B397,'Crafting recipes'!$A$6:$A$1005,0)),"MISSING ID")</x:f>
        <x:v>Proposal</x:v>
      </x:c>
      <x:c r="L397" s="4" t="str">
        <x:f>IFERROR(INDEX('Items'!$AD$6:$AD$1005,MATCH(D397,'Items'!$A$6:$A$1005,0)),"MISSING ID")</x:f>
        <x:v>Proposal</x:v>
      </x:c>
      <x:c r="M397" s="4" t="str">
        <x:f>IFERROR(INDEX('Crafting recipes'!$E$6:$E$1005,MATCH(B397,'Crafting recipes'!$A$6:$A$1005,0)),"MISSING ID")</x:f>
        <x:v>Partial proposal</x:v>
      </x:c>
      <x:c r="N397" s="4" t="str">
        <x:v>Partial material route; no quantities, guarantees or accepted game recipe.</x:v>
      </x:c>
      <x:c r="O397" s="4" t="str">
        <x:v>New October 15 game brainstorming; current author request and Docs/WORLD_BASIS.md. Not retrieved source canon.</x:v>
      </x:c>
      <x:c r="P397" s="4" t="n">
        <x:f>IF(OR(C397="Ingredient candidate",C397="Consumed input",C397="Contained input",C397="Transform input"),IF(F397="T0",0,IF(F397="T1",1,IF(F397="T2",2,IF(F397="T3",3,IF(F397="T4",4,-1))))),-1)</x:f>
        <x:v>-1</x:v>
      </x:c>
      <x:c r="Q397" s="4" t="n">
        <x:f>IF(AND(OR(C397="Ingredient candidate",C397="Consumed input",C397="Contained input",C397="Transform input"),P397=-1),1,0)</x:f>
        <x:v>0</x:v>
      </x:c>
    </x:row>
    <x:row r="398" ht="115" customHeight="1">
      <x:c r="A398" s="4" t="str">
        <x:v>design.t4.seal_carrier.in.1</x:v>
      </x:c>
      <x:c r="B398" s="4" t="str">
        <x:v>design.t4.seal_carrier</x:v>
      </x:c>
      <x:c r="C398" s="4" t="str">
        <x:v>Ingredient candidate</x:v>
      </x:c>
      <x:c r="D398" s="4" t="str">
        <x:v>proposal.branch.sealing_sheet</x:v>
      </x:c>
      <x:c r="E398" s="4" t="str">
        <x:f>IFERROR(INDEX('Items'!$B$6:$B$1005,MATCH(D398,'Items'!$A$6:$A$1005,0)),"MISSING ID")</x:f>
        <x:v>Reinforced sealing sheet</x:v>
      </x:c>
      <x:c r="F398" s="4" t="str">
        <x:f>IFERROR(INDEX('Items'!$C$6:$C$1005,MATCH(D398,'Items'!$A$6:$A$1005,0)),"MISSING ID")</x:f>
        <x:v>T3</x:v>
      </x:c>
      <x:c r="G398" s="4" t="str">
        <x:f>IFERROR(INDEX('Items'!$D$6:$D$1005,MATCH(D398,'Items'!$A$6:$A$1005,0)),"MISSING ID")</x:f>
        <x:v>Manufactured stock</x:v>
      </x:c>
      <x:c r="H398" s="4" t="str">
        <x:f>IFERROR(INDEX('Items'!$X$6:$X$1005,MATCH(D398,'Items'!$A$6:$A$1005,0)),"MISSING ID")</x:f>
        <x:v>Processed material</x:v>
      </x:c>
      <x:c r="I398" s="4"/>
      <x:c r="J398" s="4" t="str">
        <x:v>Unspecified</x:v>
      </x:c>
      <x:c r="K398" s="4" t="str">
        <x:f>IFERROR(INDEX('Crafting recipes'!$D$6:$D$1005,MATCH(B398,'Crafting recipes'!$A$6:$A$1005,0)),"MISSING ID")</x:f>
        <x:v>Proposal</x:v>
      </x:c>
      <x:c r="L398" s="4" t="str">
        <x:f>IFERROR(INDEX('Items'!$AD$6:$AD$1005,MATCH(D398,'Items'!$A$6:$A$1005,0)),"MISSING ID")</x:f>
        <x:v>Proposal</x:v>
      </x:c>
      <x:c r="M398" s="4" t="str">
        <x:f>IFERROR(INDEX('Crafting recipes'!$E$6:$E$1005,MATCH(B398,'Crafting recipes'!$A$6:$A$1005,0)),"MISSING ID")</x:f>
        <x:v>Partial proposal</x:v>
      </x:c>
      <x:c r="N398" s="4" t="str">
        <x:v>Partial material route; no quantities, guarantees or accepted game recipe.</x:v>
      </x:c>
      <x:c r="O398" s="4" t="str">
        <x:v>New October 15 game brainstorming; current author request and Docs/WORLD_BASIS.md. Not retrieved source canon.</x:v>
      </x:c>
      <x:c r="P398" s="4" t="n">
        <x:f>IF(OR(C398="Ingredient candidate",C398="Consumed input",C398="Contained input",C398="Transform input"),IF(F398="T0",0,IF(F398="T1",1,IF(F398="T2",2,IF(F398="T3",3,IF(F398="T4",4,-1))))),-1)</x:f>
        <x:v>3</x:v>
      </x:c>
      <x:c r="Q398" s="4" t="n">
        <x:f>IF(AND(OR(C398="Ingredient candidate",C398="Consumed input",C398="Contained input",C398="Transform input"),P398=-1),1,0)</x:f>
        <x:v>0</x:v>
      </x:c>
    </x:row>
    <x:row r="399" ht="115" customHeight="1">
      <x:c r="A399" s="4" t="str">
        <x:v>design.t4.seal_carrier.in.2</x:v>
      </x:c>
      <x:c r="B399" s="4" t="str">
        <x:v>design.t4.seal_carrier</x:v>
      </x:c>
      <x:c r="C399" s="4" t="str">
        <x:v>Ingredient candidate</x:v>
      </x:c>
      <x:c r="D399" s="4" t="str">
        <x:v>proposal.t3.packing_stock</x:v>
      </x:c>
      <x:c r="E399" s="4" t="str">
        <x:f>IFERROR(INDEX('Items'!$B$6:$B$1005,MATCH(D399,'Items'!$A$6:$A$1005,0)),"MISSING ID")</x:f>
        <x:v>Husk-reinforced packing stock</x:v>
      </x:c>
      <x:c r="F399" s="4" t="str">
        <x:f>IFERROR(INDEX('Items'!$C$6:$C$1005,MATCH(D399,'Items'!$A$6:$A$1005,0)),"MISSING ID")</x:f>
        <x:v>T3</x:v>
      </x:c>
      <x:c r="G399" s="4" t="str">
        <x:f>IFERROR(INDEX('Items'!$D$6:$D$1005,MATCH(D399,'Items'!$A$6:$A$1005,0)),"MISSING ID")</x:f>
        <x:v>Manufactured stock</x:v>
      </x:c>
      <x:c r="H399" s="4" t="str">
        <x:f>IFERROR(INDEX('Items'!$X$6:$X$1005,MATCH(D399,'Items'!$A$6:$A$1005,0)),"MISSING ID")</x:f>
        <x:v>Processed material</x:v>
      </x:c>
      <x:c r="I399" s="4"/>
      <x:c r="J399" s="4" t="str">
        <x:v>Unspecified</x:v>
      </x:c>
      <x:c r="K399" s="4" t="str">
        <x:f>IFERROR(INDEX('Crafting recipes'!$D$6:$D$1005,MATCH(B399,'Crafting recipes'!$A$6:$A$1005,0)),"MISSING ID")</x:f>
        <x:v>Proposal</x:v>
      </x:c>
      <x:c r="L399" s="4" t="str">
        <x:f>IFERROR(INDEX('Items'!$AD$6:$AD$1005,MATCH(D399,'Items'!$A$6:$A$1005,0)),"MISSING ID")</x:f>
        <x:v>Proposal</x:v>
      </x:c>
      <x:c r="M399" s="4" t="str">
        <x:f>IFERROR(INDEX('Crafting recipes'!$E$6:$E$1005,MATCH(B399,'Crafting recipes'!$A$6:$A$1005,0)),"MISSING ID")</x:f>
        <x:v>Partial proposal</x:v>
      </x:c>
      <x:c r="N399" s="4" t="str">
        <x:v>Partial material route; no quantities, guarantees or accepted game recipe.</x:v>
      </x:c>
      <x:c r="O399" s="4" t="str">
        <x:v>New October 15 game brainstorming; current author request and Docs/WORLD_BASIS.md. Not retrieved source canon.</x:v>
      </x:c>
      <x:c r="P399" s="4" t="n">
        <x:f>IF(OR(C399="Ingredient candidate",C399="Consumed input",C399="Contained input",C399="Transform input"),IF(F399="T0",0,IF(F399="T1",1,IF(F399="T2",2,IF(F399="T3",3,IF(F399="T4",4,-1))))),-1)</x:f>
        <x:v>3</x:v>
      </x:c>
      <x:c r="Q399" s="4" t="n">
        <x:f>IF(AND(OR(C399="Ingredient candidate",C399="Consumed input",C399="Contained input",C399="Transform input"),P399=-1),1,0)</x:f>
        <x:v>0</x:v>
      </x:c>
    </x:row>
    <x:row r="400" ht="115" customHeight="1">
      <x:c r="A400" s="4" t="str">
        <x:v>design.t4.seal_carrier.in.3</x:v>
      </x:c>
      <x:c r="B400" s="4" t="str">
        <x:v>design.t4.seal_carrier</x:v>
      </x:c>
      <x:c r="C400" s="4" t="str">
        <x:v>Ingredient candidate</x:v>
      </x:c>
      <x:c r="D400" s="4" t="str">
        <x:v>proposal.branch.spring_steel</x:v>
      </x:c>
      <x:c r="E400" s="4" t="str">
        <x:f>IFERROR(INDEX('Items'!$B$6:$B$1005,MATCH(D400,'Items'!$A$6:$A$1005,0)),"MISSING ID")</x:f>
        <x:v>Spring-grade steel stock</x:v>
      </x:c>
      <x:c r="F400" s="4" t="str">
        <x:f>IFERROR(INDEX('Items'!$C$6:$C$1005,MATCH(D400,'Items'!$A$6:$A$1005,0)),"MISSING ID")</x:f>
        <x:v>T3</x:v>
      </x:c>
      <x:c r="G400" s="4" t="str">
        <x:f>IFERROR(INDEX('Items'!$D$6:$D$1005,MATCH(D400,'Items'!$A$6:$A$1005,0)),"MISSING ID")</x:f>
        <x:v>Manufactured stock</x:v>
      </x:c>
      <x:c r="H400" s="4" t="str">
        <x:f>IFERROR(INDEX('Items'!$X$6:$X$1005,MATCH(D400,'Items'!$A$6:$A$1005,0)),"MISSING ID")</x:f>
        <x:v>Processed material</x:v>
      </x:c>
      <x:c r="I400" s="4"/>
      <x:c r="J400" s="4" t="str">
        <x:v>Unspecified</x:v>
      </x:c>
      <x:c r="K400" s="4" t="str">
        <x:f>IFERROR(INDEX('Crafting recipes'!$D$6:$D$1005,MATCH(B400,'Crafting recipes'!$A$6:$A$1005,0)),"MISSING ID")</x:f>
        <x:v>Proposal</x:v>
      </x:c>
      <x:c r="L400" s="4" t="str">
        <x:f>IFERROR(INDEX('Items'!$AD$6:$AD$1005,MATCH(D400,'Items'!$A$6:$A$1005,0)),"MISSING ID")</x:f>
        <x:v>Proposal</x:v>
      </x:c>
      <x:c r="M400" s="4" t="str">
        <x:f>IFERROR(INDEX('Crafting recipes'!$E$6:$E$1005,MATCH(B400,'Crafting recipes'!$A$6:$A$1005,0)),"MISSING ID")</x:f>
        <x:v>Partial proposal</x:v>
      </x:c>
      <x:c r="N400" s="4" t="str">
        <x:v>Partial material route; no quantities, guarantees or accepted game recipe.</x:v>
      </x:c>
      <x:c r="O400" s="4" t="str">
        <x:v>New October 15 game brainstorming; current author request and Docs/WORLD_BASIS.md. Not retrieved source canon.</x:v>
      </x:c>
      <x:c r="P400" s="4" t="n">
        <x:f>IF(OR(C400="Ingredient candidate",C400="Consumed input",C400="Contained input",C400="Transform input"),IF(F400="T0",0,IF(F400="T1",1,IF(F400="T2",2,IF(F400="T3",3,IF(F400="T4",4,-1))))),-1)</x:f>
        <x:v>3</x:v>
      </x:c>
      <x:c r="Q400" s="4" t="n">
        <x:f>IF(AND(OR(C400="Ingredient candidate",C400="Consumed input",C400="Contained input",C400="Transform input"),P400=-1),1,0)</x:f>
        <x:v>0</x:v>
      </x:c>
    </x:row>
    <x:row r="401" ht="115" customHeight="1">
      <x:c r="A401" s="4" t="str">
        <x:v>design.t4.seal_carrier.out</x:v>
      </x:c>
      <x:c r="B401" s="4" t="str">
        <x:v>design.t4.seal_carrier</x:v>
      </x:c>
      <x:c r="C401" s="4" t="str">
        <x:v>Output</x:v>
      </x:c>
      <x:c r="D401" s="4" t="str">
        <x:v>proposal.t4.seal_carrier</x:v>
      </x:c>
      <x:c r="E401" s="4" t="str">
        <x:f>IFERROR(INDEX('Items'!$B$6:$B$1005,MATCH(D401,'Items'!$A$6:$A$1005,0)),"MISSING ID")</x:f>
        <x:v>Replaceable seal-carrier assembly</x:v>
      </x:c>
      <x:c r="F401" s="4" t="str">
        <x:f>IFERROR(INDEX('Items'!$C$6:$C$1005,MATCH(D401,'Items'!$A$6:$A$1005,0)),"MISSING ID")</x:f>
        <x:v>T4</x:v>
      </x:c>
      <x:c r="G401" s="4" t="str">
        <x:f>IFERROR(INDEX('Items'!$D$6:$D$1005,MATCH(D401,'Items'!$A$6:$A$1005,0)),"MISSING ID")</x:f>
        <x:v>Crafting components</x:v>
      </x:c>
      <x:c r="H401" s="4" t="str">
        <x:f>IFERROR(INDEX('Items'!$X$6:$X$1005,MATCH(D401,'Items'!$A$6:$A$1005,0)),"MISSING ID")</x:f>
        <x:v>Crafting component</x:v>
      </x:c>
      <x:c r="I401" s="4"/>
      <x:c r="J401" s="4" t="str">
        <x:v>Unspecified</x:v>
      </x:c>
      <x:c r="K401" s="4" t="str">
        <x:f>IFERROR(INDEX('Crafting recipes'!$D$6:$D$1005,MATCH(B401,'Crafting recipes'!$A$6:$A$1005,0)),"MISSING ID")</x:f>
        <x:v>Proposal</x:v>
      </x:c>
      <x:c r="L401" s="4" t="str">
        <x:f>IFERROR(INDEX('Items'!$AD$6:$AD$1005,MATCH(D401,'Items'!$A$6:$A$1005,0)),"MISSING ID")</x:f>
        <x:v>Proposal</x:v>
      </x:c>
      <x:c r="M401" s="4" t="str">
        <x:f>IFERROR(INDEX('Crafting recipes'!$E$6:$E$1005,MATCH(B401,'Crafting recipes'!$A$6:$A$1005,0)),"MISSING ID")</x:f>
        <x:v>Partial proposal</x:v>
      </x:c>
      <x:c r="N401" s="4" t="str">
        <x:v>Partial material route; no quantities, guarantees or accepted game recipe.</x:v>
      </x:c>
      <x:c r="O401" s="4" t="str">
        <x:v>New October 15 game brainstorming; current author request and Docs/WORLD_BASIS.md. Not retrieved source canon.</x:v>
      </x:c>
      <x:c r="P401" s="4" t="n">
        <x:f>IF(OR(C401="Ingredient candidate",C401="Consumed input",C401="Contained input",C401="Transform input"),IF(F401="T0",0,IF(F401="T1",1,IF(F401="T2",2,IF(F401="T3",3,IF(F401="T4",4,-1))))),-1)</x:f>
        <x:v>-1</x:v>
      </x:c>
      <x:c r="Q401" s="4" t="n">
        <x:f>IF(AND(OR(C401="Ingredient candidate",C401="Consumed input",C401="Contained input",C401="Transform input"),P401=-1),1,0)</x:f>
        <x:v>0</x:v>
      </x:c>
    </x:row>
    <x:row r="402" ht="115" customHeight="1">
      <x:c r="A402" s="4" t="str">
        <x:v>design.t4.spar_joint.in.1</x:v>
      </x:c>
      <x:c r="B402" s="4" t="str">
        <x:v>design.t4.spar_joint</x:v>
      </x:c>
      <x:c r="C402" s="4" t="str">
        <x:v>Ingredient candidate</x:v>
      </x:c>
      <x:c r="D402" s="4" t="str">
        <x:v>proposal.t3.precision_tube</x:v>
      </x:c>
      <x:c r="E402" s="4" t="str">
        <x:f>IFERROR(INDEX('Items'!$B$6:$B$1005,MATCH(D402,'Items'!$A$6:$A$1005,0)),"MISSING ID")</x:f>
        <x:v>Drawn steel tube stock</x:v>
      </x:c>
      <x:c r="F402" s="4" t="str">
        <x:f>IFERROR(INDEX('Items'!$C$6:$C$1005,MATCH(D402,'Items'!$A$6:$A$1005,0)),"MISSING ID")</x:f>
        <x:v>T3</x:v>
      </x:c>
      <x:c r="G402" s="4" t="str">
        <x:f>IFERROR(INDEX('Items'!$D$6:$D$1005,MATCH(D402,'Items'!$A$6:$A$1005,0)),"MISSING ID")</x:f>
        <x:v>Manufactured stock</x:v>
      </x:c>
      <x:c r="H402" s="4" t="str">
        <x:f>IFERROR(INDEX('Items'!$X$6:$X$1005,MATCH(D402,'Items'!$A$6:$A$1005,0)),"MISSING ID")</x:f>
        <x:v>Processed material</x:v>
      </x:c>
      <x:c r="I402" s="4"/>
      <x:c r="J402" s="4" t="str">
        <x:v>Unspecified</x:v>
      </x:c>
      <x:c r="K402" s="4" t="str">
        <x:f>IFERROR(INDEX('Crafting recipes'!$D$6:$D$1005,MATCH(B402,'Crafting recipes'!$A$6:$A$1005,0)),"MISSING ID")</x:f>
        <x:v>Proposal</x:v>
      </x:c>
      <x:c r="L402" s="4" t="str">
        <x:f>IFERROR(INDEX('Items'!$AD$6:$AD$1005,MATCH(D402,'Items'!$A$6:$A$1005,0)),"MISSING ID")</x:f>
        <x:v>Proposal</x:v>
      </x:c>
      <x:c r="M402" s="4" t="str">
        <x:f>IFERROR(INDEX('Crafting recipes'!$E$6:$E$1005,MATCH(B402,'Crafting recipes'!$A$6:$A$1005,0)),"MISSING ID")</x:f>
        <x:v>Partial proposal</x:v>
      </x:c>
      <x:c r="N402" s="4" t="str">
        <x:v>Partial material route; no quantities, guarantees or accepted game recipe.</x:v>
      </x:c>
      <x:c r="O402" s="4" t="str">
        <x:v>New October 15 game brainstorming; current author request and Docs/WORLD_BASIS.md. Not retrieved source canon.</x:v>
      </x:c>
      <x:c r="P402" s="4" t="n">
        <x:f>IF(OR(C402="Ingredient candidate",C402="Consumed input",C402="Contained input",C402="Transform input"),IF(F402="T0",0,IF(F402="T1",1,IF(F402="T2",2,IF(F402="T3",3,IF(F402="T4",4,-1))))),-1)</x:f>
        <x:v>3</x:v>
      </x:c>
      <x:c r="Q402" s="4" t="n">
        <x:f>IF(AND(OR(C402="Ingredient candidate",C402="Consumed input",C402="Contained input",C402="Transform input"),P402=-1),1,0)</x:f>
        <x:v>0</x:v>
      </x:c>
    </x:row>
    <x:row r="403" ht="115" customHeight="1">
      <x:c r="A403" s="4" t="str">
        <x:v>design.t4.spar_joint.in.2</x:v>
      </x:c>
      <x:c r="B403" s="4" t="str">
        <x:v>design.t4.spar_joint</x:v>
      </x:c>
      <x:c r="C403" s="4" t="str">
        <x:v>Ingredient candidate</x:v>
      </x:c>
      <x:c r="D403" s="4" t="str">
        <x:v>proposal.branch.spring_steel</x:v>
      </x:c>
      <x:c r="E403" s="4" t="str">
        <x:f>IFERROR(INDEX('Items'!$B$6:$B$1005,MATCH(D403,'Items'!$A$6:$A$1005,0)),"MISSING ID")</x:f>
        <x:v>Spring-grade steel stock</x:v>
      </x:c>
      <x:c r="F403" s="4" t="str">
        <x:f>IFERROR(INDEX('Items'!$C$6:$C$1005,MATCH(D403,'Items'!$A$6:$A$1005,0)),"MISSING ID")</x:f>
        <x:v>T3</x:v>
      </x:c>
      <x:c r="G403" s="4" t="str">
        <x:f>IFERROR(INDEX('Items'!$D$6:$D$1005,MATCH(D403,'Items'!$A$6:$A$1005,0)),"MISSING ID")</x:f>
        <x:v>Manufactured stock</x:v>
      </x:c>
      <x:c r="H403" s="4" t="str">
        <x:f>IFERROR(INDEX('Items'!$X$6:$X$1005,MATCH(D403,'Items'!$A$6:$A$1005,0)),"MISSING ID")</x:f>
        <x:v>Processed material</x:v>
      </x:c>
      <x:c r="I403" s="4"/>
      <x:c r="J403" s="4" t="str">
        <x:v>Unspecified</x:v>
      </x:c>
      <x:c r="K403" s="4" t="str">
        <x:f>IFERROR(INDEX('Crafting recipes'!$D$6:$D$1005,MATCH(B403,'Crafting recipes'!$A$6:$A$1005,0)),"MISSING ID")</x:f>
        <x:v>Proposal</x:v>
      </x:c>
      <x:c r="L403" s="4" t="str">
        <x:f>IFERROR(INDEX('Items'!$AD$6:$AD$1005,MATCH(D403,'Items'!$A$6:$A$1005,0)),"MISSING ID")</x:f>
        <x:v>Proposal</x:v>
      </x:c>
      <x:c r="M403" s="4" t="str">
        <x:f>IFERROR(INDEX('Crafting recipes'!$E$6:$E$1005,MATCH(B403,'Crafting recipes'!$A$6:$A$1005,0)),"MISSING ID")</x:f>
        <x:v>Partial proposal</x:v>
      </x:c>
      <x:c r="N403" s="4" t="str">
        <x:v>Partial material route; no quantities, guarantees or accepted game recipe.</x:v>
      </x:c>
      <x:c r="O403" s="4" t="str">
        <x:v>New October 15 game brainstorming; current author request and Docs/WORLD_BASIS.md. Not retrieved source canon.</x:v>
      </x:c>
      <x:c r="P403" s="4" t="n">
        <x:f>IF(OR(C403="Ingredient candidate",C403="Consumed input",C403="Contained input",C403="Transform input"),IF(F403="T0",0,IF(F403="T1",1,IF(F403="T2",2,IF(F403="T3",3,IF(F403="T4",4,-1))))),-1)</x:f>
        <x:v>3</x:v>
      </x:c>
      <x:c r="Q403" s="4" t="n">
        <x:f>IF(AND(OR(C403="Ingredient candidate",C403="Consumed input",C403="Contained input",C403="Transform input"),P403=-1),1,0)</x:f>
        <x:v>0</x:v>
      </x:c>
    </x:row>
    <x:row r="404" ht="115" customHeight="1">
      <x:c r="A404" s="4" t="str">
        <x:v>design.t4.spar_joint.in.3</x:v>
      </x:c>
      <x:c r="B404" s="4" t="str">
        <x:v>design.t4.spar_joint</x:v>
      </x:c>
      <x:c r="C404" s="4" t="str">
        <x:v>Ingredient candidate</x:v>
      </x:c>
      <x:c r="D404" s="4" t="str">
        <x:v>proposal.branch.bearing_bronze</x:v>
      </x:c>
      <x:c r="E404" s="4" t="str">
        <x:f>IFERROR(INDEX('Items'!$B$6:$B$1005,MATCH(D404,'Items'!$A$6:$A$1005,0)),"MISSING ID")</x:f>
        <x:v>Prepared bronze bearing stock</x:v>
      </x:c>
      <x:c r="F404" s="4" t="str">
        <x:f>IFERROR(INDEX('Items'!$C$6:$C$1005,MATCH(D404,'Items'!$A$6:$A$1005,0)),"MISSING ID")</x:f>
        <x:v>T2</x:v>
      </x:c>
      <x:c r="G404" s="4" t="str">
        <x:f>IFERROR(INDEX('Items'!$D$6:$D$1005,MATCH(D404,'Items'!$A$6:$A$1005,0)),"MISSING ID")</x:f>
        <x:v>Manufactured stock</x:v>
      </x:c>
      <x:c r="H404" s="4" t="str">
        <x:f>IFERROR(INDEX('Items'!$X$6:$X$1005,MATCH(D404,'Items'!$A$6:$A$1005,0)),"MISSING ID")</x:f>
        <x:v>Processed material</x:v>
      </x:c>
      <x:c r="I404" s="4"/>
      <x:c r="J404" s="4" t="str">
        <x:v>Unspecified</x:v>
      </x:c>
      <x:c r="K404" s="4" t="str">
        <x:f>IFERROR(INDEX('Crafting recipes'!$D$6:$D$1005,MATCH(B404,'Crafting recipes'!$A$6:$A$1005,0)),"MISSING ID")</x:f>
        <x:v>Proposal</x:v>
      </x:c>
      <x:c r="L404" s="4" t="str">
        <x:f>IFERROR(INDEX('Items'!$AD$6:$AD$1005,MATCH(D404,'Items'!$A$6:$A$1005,0)),"MISSING ID")</x:f>
        <x:v>Proposal</x:v>
      </x:c>
      <x:c r="M404" s="4" t="str">
        <x:f>IFERROR(INDEX('Crafting recipes'!$E$6:$E$1005,MATCH(B404,'Crafting recipes'!$A$6:$A$1005,0)),"MISSING ID")</x:f>
        <x:v>Partial proposal</x:v>
      </x:c>
      <x:c r="N404" s="4" t="str">
        <x:v>Partial material route; no quantities, guarantees or accepted game recipe.</x:v>
      </x:c>
      <x:c r="O404" s="4" t="str">
        <x:v>New October 15 game brainstorming; current author request and Docs/WORLD_BASIS.md. Not retrieved source canon.</x:v>
      </x:c>
      <x:c r="P404" s="4" t="n">
        <x:f>IF(OR(C404="Ingredient candidate",C404="Consumed input",C404="Contained input",C404="Transform input"),IF(F404="T0",0,IF(F404="T1",1,IF(F404="T2",2,IF(F404="T3",3,IF(F404="T4",4,-1))))),-1)</x:f>
        <x:v>2</x:v>
      </x:c>
      <x:c r="Q404" s="4" t="n">
        <x:f>IF(AND(OR(C404="Ingredient candidate",C404="Consumed input",C404="Contained input",C404="Transform input"),P404=-1),1,0)</x:f>
        <x:v>0</x:v>
      </x:c>
    </x:row>
    <x:row r="405" ht="115" customHeight="1">
      <x:c r="A405" s="4" t="str">
        <x:v>design.t4.spar_joint.out</x:v>
      </x:c>
      <x:c r="B405" s="4" t="str">
        <x:v>design.t4.spar_joint</x:v>
      </x:c>
      <x:c r="C405" s="4" t="str">
        <x:v>Output</x:v>
      </x:c>
      <x:c r="D405" s="4" t="str">
        <x:v>proposal.t4.spar_joint</x:v>
      </x:c>
      <x:c r="E405" s="4" t="str">
        <x:f>IFERROR(INDEX('Items'!$B$6:$B$1005,MATCH(D405,'Items'!$A$6:$A$1005,0)),"MISSING ID")</x:f>
        <x:v>Collapsible sail-spar joint kit</x:v>
      </x:c>
      <x:c r="F405" s="4" t="str">
        <x:f>IFERROR(INDEX('Items'!$C$6:$C$1005,MATCH(D405,'Items'!$A$6:$A$1005,0)),"MISSING ID")</x:f>
        <x:v>T4</x:v>
      </x:c>
      <x:c r="G405" s="4" t="str">
        <x:f>IFERROR(INDEX('Items'!$D$6:$D$1005,MATCH(D405,'Items'!$A$6:$A$1005,0)),"MISSING ID")</x:f>
        <x:v>Salvage</x:v>
      </x:c>
      <x:c r="H405" s="4" t="str">
        <x:f>IFERROR(INDEX('Items'!$X$6:$X$1005,MATCH(D405,'Items'!$A$6:$A$1005,0)),"MISSING ID")</x:f>
        <x:v>Crafting component</x:v>
      </x:c>
      <x:c r="I405" s="4"/>
      <x:c r="J405" s="4" t="str">
        <x:v>Unspecified</x:v>
      </x:c>
      <x:c r="K405" s="4" t="str">
        <x:f>IFERROR(INDEX('Crafting recipes'!$D$6:$D$1005,MATCH(B405,'Crafting recipes'!$A$6:$A$1005,0)),"MISSING ID")</x:f>
        <x:v>Proposal</x:v>
      </x:c>
      <x:c r="L405" s="4" t="str">
        <x:f>IFERROR(INDEX('Items'!$AD$6:$AD$1005,MATCH(D405,'Items'!$A$6:$A$1005,0)),"MISSING ID")</x:f>
        <x:v>Proposal</x:v>
      </x:c>
      <x:c r="M405" s="4" t="str">
        <x:f>IFERROR(INDEX('Crafting recipes'!$E$6:$E$1005,MATCH(B405,'Crafting recipes'!$A$6:$A$1005,0)),"MISSING ID")</x:f>
        <x:v>Partial proposal</x:v>
      </x:c>
      <x:c r="N405" s="4" t="str">
        <x:v>Partial material route; no quantities, guarantees or accepted game recipe.</x:v>
      </x:c>
      <x:c r="O405" s="4" t="str">
        <x:v>New October 15 game brainstorming; current author request and Docs/WORLD_BASIS.md. Not retrieved source canon.</x:v>
      </x:c>
      <x:c r="P405" s="4" t="n">
        <x:f>IF(OR(C405="Ingredient candidate",C405="Consumed input",C405="Contained input",C405="Transform input"),IF(F405="T0",0,IF(F405="T1",1,IF(F405="T2",2,IF(F405="T3",3,IF(F405="T4",4,-1))))),-1)</x:f>
        <x:v>-1</x:v>
      </x:c>
      <x:c r="Q405" s="4" t="n">
        <x:f>IF(AND(OR(C405="Ingredient candidate",C405="Consumed input",C405="Contained input",C405="Transform input"),P405=-1),1,0)</x:f>
        <x:v>0</x:v>
      </x:c>
    </x:row>
    <x:row r="406" ht="115" customHeight="1">
      <x:c r="A406" s="4" t="str">
        <x:v>design.t4.joined_wing_panels.in.1</x:v>
      </x:c>
      <x:c r="B406" s="4" t="str">
        <x:v>design.t4.joined_wing_panels</x:v>
      </x:c>
      <x:c r="C406" s="4" t="str">
        <x:v>Ingredient candidate</x:v>
      </x:c>
      <x:c r="D406" s="4" t="str">
        <x:v>proposal.t3.sail_panel_set</x:v>
      </x:c>
      <x:c r="E406" s="4" t="str">
        <x:f>IFERROR(INDEX('Items'!$B$6:$B$1005,MATCH(D406,'Items'!$A$6:$A$1005,0)),"MISSING ID")</x:f>
        <x:v>Matched folding wing-panel sets</x:v>
      </x:c>
      <x:c r="F406" s="4" t="str">
        <x:f>IFERROR(INDEX('Items'!$C$6:$C$1005,MATCH(D406,'Items'!$A$6:$A$1005,0)),"MISSING ID")</x:f>
        <x:v>T3</x:v>
      </x:c>
      <x:c r="G406" s="4" t="str">
        <x:f>IFERROR(INDEX('Items'!$D$6:$D$1005,MATCH(D406,'Items'!$A$6:$A$1005,0)),"MISSING ID")</x:f>
        <x:v>Crafting components</x:v>
      </x:c>
      <x:c r="H406" s="4" t="str">
        <x:f>IFERROR(INDEX('Items'!$X$6:$X$1005,MATCH(D406,'Items'!$A$6:$A$1005,0)),"MISSING ID")</x:f>
        <x:v>Crafting component</x:v>
      </x:c>
      <x:c r="I406" s="4"/>
      <x:c r="J406" s="4" t="str">
        <x:v>Unspecified</x:v>
      </x:c>
      <x:c r="K406" s="4" t="str">
        <x:f>IFERROR(INDEX('Crafting recipes'!$D$6:$D$1005,MATCH(B406,'Crafting recipes'!$A$6:$A$1005,0)),"MISSING ID")</x:f>
        <x:v>Proposal</x:v>
      </x:c>
      <x:c r="L406" s="4" t="str">
        <x:f>IFERROR(INDEX('Items'!$AD$6:$AD$1005,MATCH(D406,'Items'!$A$6:$A$1005,0)),"MISSING ID")</x:f>
        <x:v>Proposal</x:v>
      </x:c>
      <x:c r="M406" s="4" t="str">
        <x:f>IFERROR(INDEX('Crafting recipes'!$E$6:$E$1005,MATCH(B406,'Crafting recipes'!$A$6:$A$1005,0)),"MISSING ID")</x:f>
        <x:v>Partial proposal</x:v>
      </x:c>
      <x:c r="N406" s="4" t="str">
        <x:v>Partial material route; no quantities, guarantees or accepted game recipe.</x:v>
      </x:c>
      <x:c r="O406" s="4" t="str">
        <x:v>New October 15 game brainstorming; current author request and Docs/WORLD_BASIS.md. Not retrieved source canon.</x:v>
      </x:c>
      <x:c r="P406" s="4" t="n">
        <x:f>IF(OR(C406="Ingredient candidate",C406="Consumed input",C406="Contained input",C406="Transform input"),IF(F406="T0",0,IF(F406="T1",1,IF(F406="T2",2,IF(F406="T3",3,IF(F406="T4",4,-1))))),-1)</x:f>
        <x:v>3</x:v>
      </x:c>
      <x:c r="Q406" s="4" t="n">
        <x:f>IF(AND(OR(C406="Ingredient candidate",C406="Consumed input",C406="Contained input",C406="Transform input"),P406=-1),1,0)</x:f>
        <x:v>0</x:v>
      </x:c>
    </x:row>
    <x:row r="407" ht="115" customHeight="1">
      <x:c r="A407" s="4" t="str">
        <x:v>design.t4.joined_wing_panels.in.2</x:v>
      </x:c>
      <x:c r="B407" s="4" t="str">
        <x:v>design.t4.joined_wing_panels</x:v>
      </x:c>
      <x:c r="C407" s="4" t="str">
        <x:v>Ingredient candidate</x:v>
      </x:c>
      <x:c r="D407" s="4" t="str">
        <x:v>proposal.t3.wing_seam</x:v>
      </x:c>
      <x:c r="E407" s="4" t="str">
        <x:f>IFERROR(INDEX('Items'!$B$6:$B$1005,MATCH(D407,'Items'!$A$6:$A$1005,0)),"MISSING ID")</x:f>
        <x:v>Bonded wing-seam reinforcement strips</x:v>
      </x:c>
      <x:c r="F407" s="4" t="str">
        <x:f>IFERROR(INDEX('Items'!$C$6:$C$1005,MATCH(D407,'Items'!$A$6:$A$1005,0)),"MISSING ID")</x:f>
        <x:v>T3</x:v>
      </x:c>
      <x:c r="G407" s="4" t="str">
        <x:f>IFERROR(INDEX('Items'!$D$6:$D$1005,MATCH(D407,'Items'!$A$6:$A$1005,0)),"MISSING ID")</x:f>
        <x:v>Manufactured stock</x:v>
      </x:c>
      <x:c r="H407" s="4" t="str">
        <x:f>IFERROR(INDEX('Items'!$X$6:$X$1005,MATCH(D407,'Items'!$A$6:$A$1005,0)),"MISSING ID")</x:f>
        <x:v>Processed material</x:v>
      </x:c>
      <x:c r="I407" s="4"/>
      <x:c r="J407" s="4" t="str">
        <x:v>Unspecified</x:v>
      </x:c>
      <x:c r="K407" s="4" t="str">
        <x:f>IFERROR(INDEX('Crafting recipes'!$D$6:$D$1005,MATCH(B407,'Crafting recipes'!$A$6:$A$1005,0)),"MISSING ID")</x:f>
        <x:v>Proposal</x:v>
      </x:c>
      <x:c r="L407" s="4" t="str">
        <x:f>IFERROR(INDEX('Items'!$AD$6:$AD$1005,MATCH(D407,'Items'!$A$6:$A$1005,0)),"MISSING ID")</x:f>
        <x:v>Proposal</x:v>
      </x:c>
      <x:c r="M407" s="4" t="str">
        <x:f>IFERROR(INDEX('Crafting recipes'!$E$6:$E$1005,MATCH(B407,'Crafting recipes'!$A$6:$A$1005,0)),"MISSING ID")</x:f>
        <x:v>Partial proposal</x:v>
      </x:c>
      <x:c r="N407" s="4" t="str">
        <x:v>Partial material route; no quantities, guarantees or accepted game recipe.</x:v>
      </x:c>
      <x:c r="O407" s="4" t="str">
        <x:v>New October 15 game brainstorming; current author request and Docs/WORLD_BASIS.md. Not retrieved source canon.</x:v>
      </x:c>
      <x:c r="P407" s="4" t="n">
        <x:f>IF(OR(C407="Ingredient candidate",C407="Consumed input",C407="Contained input",C407="Transform input"),IF(F407="T0",0,IF(F407="T1",1,IF(F407="T2",2,IF(F407="T3",3,IF(F407="T4",4,-1))))),-1)</x:f>
        <x:v>3</x:v>
      </x:c>
      <x:c r="Q407" s="4" t="n">
        <x:f>IF(AND(OR(C407="Ingredient candidate",C407="Consumed input",C407="Contained input",C407="Transform input"),P407=-1),1,0)</x:f>
        <x:v>0</x:v>
      </x:c>
    </x:row>
    <x:row r="408" ht="115" customHeight="1">
      <x:c r="A408" s="4" t="str">
        <x:v>design.t4.joined_wing_panels.in.3</x:v>
      </x:c>
      <x:c r="B408" s="4" t="str">
        <x:v>design.t4.joined_wing_panels</x:v>
      </x:c>
      <x:c r="C408" s="4" t="str">
        <x:v>Ingredient candidate</x:v>
      </x:c>
      <x:c r="D408" s="4" t="str">
        <x:v>proposal.t3.husk_joint</x:v>
      </x:c>
      <x:c r="E408" s="4" t="str">
        <x:f>IFERROR(INDEX('Items'!$B$6:$B$1005,MATCH(D408,'Items'!$A$6:$A$1005,0)),"MISSING ID")</x:f>
        <x:v>Flexible husk joint strips</x:v>
      </x:c>
      <x:c r="F408" s="4" t="str">
        <x:f>IFERROR(INDEX('Items'!$C$6:$C$1005,MATCH(D408,'Items'!$A$6:$A$1005,0)),"MISSING ID")</x:f>
        <x:v>T3</x:v>
      </x:c>
      <x:c r="G408" s="4" t="str">
        <x:f>IFERROR(INDEX('Items'!$D$6:$D$1005,MATCH(D408,'Items'!$A$6:$A$1005,0)),"MISSING ID")</x:f>
        <x:v>Manufactured stock</x:v>
      </x:c>
      <x:c r="H408" s="4" t="str">
        <x:f>IFERROR(INDEX('Items'!$X$6:$X$1005,MATCH(D408,'Items'!$A$6:$A$1005,0)),"MISSING ID")</x:f>
        <x:v>Processed material</x:v>
      </x:c>
      <x:c r="I408" s="4"/>
      <x:c r="J408" s="4" t="str">
        <x:v>Unspecified</x:v>
      </x:c>
      <x:c r="K408" s="4" t="str">
        <x:f>IFERROR(INDEX('Crafting recipes'!$D$6:$D$1005,MATCH(B408,'Crafting recipes'!$A$6:$A$1005,0)),"MISSING ID")</x:f>
        <x:v>Proposal</x:v>
      </x:c>
      <x:c r="L408" s="4" t="str">
        <x:f>IFERROR(INDEX('Items'!$AD$6:$AD$1005,MATCH(D408,'Items'!$A$6:$A$1005,0)),"MISSING ID")</x:f>
        <x:v>Proposal</x:v>
      </x:c>
      <x:c r="M408" s="4" t="str">
        <x:f>IFERROR(INDEX('Crafting recipes'!$E$6:$E$1005,MATCH(B408,'Crafting recipes'!$A$6:$A$1005,0)),"MISSING ID")</x:f>
        <x:v>Partial proposal</x:v>
      </x:c>
      <x:c r="N408" s="4" t="str">
        <x:v>Partial material route; no quantities, guarantees or accepted game recipe.</x:v>
      </x:c>
      <x:c r="O408" s="4" t="str">
        <x:v>New October 15 game brainstorming; current author request and Docs/WORLD_BASIS.md. Not retrieved source canon.</x:v>
      </x:c>
      <x:c r="P408" s="4" t="n">
        <x:f>IF(OR(C408="Ingredient candidate",C408="Consumed input",C408="Contained input",C408="Transform input"),IF(F408="T0",0,IF(F408="T1",1,IF(F408="T2",2,IF(F408="T3",3,IF(F408="T4",4,-1))))),-1)</x:f>
        <x:v>3</x:v>
      </x:c>
      <x:c r="Q408" s="4" t="n">
        <x:f>IF(AND(OR(C408="Ingredient candidate",C408="Consumed input",C408="Contained input",C408="Transform input"),P408=-1),1,0)</x:f>
        <x:v>0</x:v>
      </x:c>
    </x:row>
    <x:row r="409" ht="115" customHeight="1">
      <x:c r="A409" s="4" t="str">
        <x:v>design.t4.joined_wing_panels.out</x:v>
      </x:c>
      <x:c r="B409" s="4" t="str">
        <x:v>design.t4.joined_wing_panels</x:v>
      </x:c>
      <x:c r="C409" s="4" t="str">
        <x:v>Output</x:v>
      </x:c>
      <x:c r="D409" s="4" t="str">
        <x:v>proposal.t4.joined_wing_panels</x:v>
      </x:c>
      <x:c r="E409" s="4" t="str">
        <x:f>IFERROR(INDEX('Items'!$B$6:$B$1005,MATCH(D409,'Items'!$A$6:$A$1005,0)),"MISSING ID")</x:f>
        <x:v>Joined folding wing-panel assembly</x:v>
      </x:c>
      <x:c r="F409" s="4" t="str">
        <x:f>IFERROR(INDEX('Items'!$C$6:$C$1005,MATCH(D409,'Items'!$A$6:$A$1005,0)),"MISSING ID")</x:f>
        <x:v>T4</x:v>
      </x:c>
      <x:c r="G409" s="4" t="str">
        <x:f>IFERROR(INDEX('Items'!$D$6:$D$1005,MATCH(D409,'Items'!$A$6:$A$1005,0)),"MISSING ID")</x:f>
        <x:v>Crafting components</x:v>
      </x:c>
      <x:c r="H409" s="4" t="str">
        <x:f>IFERROR(INDEX('Items'!$X$6:$X$1005,MATCH(D409,'Items'!$A$6:$A$1005,0)),"MISSING ID")</x:f>
        <x:v>Crafting component</x:v>
      </x:c>
      <x:c r="I409" s="4"/>
      <x:c r="J409" s="4" t="str">
        <x:v>Unspecified</x:v>
      </x:c>
      <x:c r="K409" s="4" t="str">
        <x:f>IFERROR(INDEX('Crafting recipes'!$D$6:$D$1005,MATCH(B409,'Crafting recipes'!$A$6:$A$1005,0)),"MISSING ID")</x:f>
        <x:v>Proposal</x:v>
      </x:c>
      <x:c r="L409" s="4" t="str">
        <x:f>IFERROR(INDEX('Items'!$AD$6:$AD$1005,MATCH(D409,'Items'!$A$6:$A$1005,0)),"MISSING ID")</x:f>
        <x:v>Proposal</x:v>
      </x:c>
      <x:c r="M409" s="4" t="str">
        <x:f>IFERROR(INDEX('Crafting recipes'!$E$6:$E$1005,MATCH(B409,'Crafting recipes'!$A$6:$A$1005,0)),"MISSING ID")</x:f>
        <x:v>Partial proposal</x:v>
      </x:c>
      <x:c r="N409" s="4" t="str">
        <x:v>Partial material route; no quantities, guarantees or accepted game recipe.</x:v>
      </x:c>
      <x:c r="O409" s="4" t="str">
        <x:v>New October 15 game brainstorming; current author request and Docs/WORLD_BASIS.md. Not retrieved source canon.</x:v>
      </x:c>
      <x:c r="P409" s="4" t="n">
        <x:f>IF(OR(C409="Ingredient candidate",C409="Consumed input",C409="Contained input",C409="Transform input"),IF(F409="T0",0,IF(F409="T1",1,IF(F409="T2",2,IF(F409="T3",3,IF(F409="T4",4,-1))))),-1)</x:f>
        <x:v>-1</x:v>
      </x:c>
      <x:c r="Q409" s="4" t="n">
        <x:f>IF(AND(OR(C409="Ingredient candidate",C409="Consumed input",C409="Contained input",C409="Transform input"),P409=-1),1,0)</x:f>
        <x:v>0</x:v>
      </x:c>
    </x:row>
    <x:row r="410" ht="115" customHeight="1">
      <x:c r="A410" s="4" t="str">
        <x:v>design.t4.turbine_hub.in.1</x:v>
      </x:c>
      <x:c r="B410" s="4" t="str">
        <x:v>design.t4.turbine_hub</x:v>
      </x:c>
      <x:c r="C410" s="4" t="str">
        <x:v>Ingredient candidate</x:v>
      </x:c>
      <x:c r="D410" s="4" t="str">
        <x:v>proposal.t3.gear_blank</x:v>
      </x:c>
      <x:c r="E410" s="4" t="str">
        <x:f>IFERROR(INDEX('Items'!$B$6:$B$1005,MATCH(D410,'Items'!$A$6:$A$1005,0)),"MISSING ID")</x:f>
        <x:v>Heat-treated steel gear blanks</x:v>
      </x:c>
      <x:c r="F410" s="4" t="str">
        <x:f>IFERROR(INDEX('Items'!$C$6:$C$1005,MATCH(D410,'Items'!$A$6:$A$1005,0)),"MISSING ID")</x:f>
        <x:v>T3</x:v>
      </x:c>
      <x:c r="G410" s="4" t="str">
        <x:f>IFERROR(INDEX('Items'!$D$6:$D$1005,MATCH(D410,'Items'!$A$6:$A$1005,0)),"MISSING ID")</x:f>
        <x:v>Crafting components</x:v>
      </x:c>
      <x:c r="H410" s="4" t="str">
        <x:f>IFERROR(INDEX('Items'!$X$6:$X$1005,MATCH(D410,'Items'!$A$6:$A$1005,0)),"MISSING ID")</x:f>
        <x:v>Crafting component</x:v>
      </x:c>
      <x:c r="I410" s="4"/>
      <x:c r="J410" s="4" t="str">
        <x:v>Unspecified</x:v>
      </x:c>
      <x:c r="K410" s="4" t="str">
        <x:f>IFERROR(INDEX('Crafting recipes'!$D$6:$D$1005,MATCH(B410,'Crafting recipes'!$A$6:$A$1005,0)),"MISSING ID")</x:f>
        <x:v>Proposal</x:v>
      </x:c>
      <x:c r="L410" s="4" t="str">
        <x:f>IFERROR(INDEX('Items'!$AD$6:$AD$1005,MATCH(D410,'Items'!$A$6:$A$1005,0)),"MISSING ID")</x:f>
        <x:v>Proposal</x:v>
      </x:c>
      <x:c r="M410" s="4" t="str">
        <x:f>IFERROR(INDEX('Crafting recipes'!$E$6:$E$1005,MATCH(B410,'Crafting recipes'!$A$6:$A$1005,0)),"MISSING ID")</x:f>
        <x:v>Partial proposal</x:v>
      </x:c>
      <x:c r="N410" s="4" t="str">
        <x:v>Partial material route; no quantities, guarantees or accepted game recipe.</x:v>
      </x:c>
      <x:c r="O410" s="4" t="str">
        <x:v>New October 15 game brainstorming; current author request and Docs/WORLD_BASIS.md. Not retrieved source canon.</x:v>
      </x:c>
      <x:c r="P410" s="4" t="n">
        <x:f>IF(OR(C410="Ingredient candidate",C410="Consumed input",C410="Contained input",C410="Transform input"),IF(F410="T0",0,IF(F410="T1",1,IF(F410="T2",2,IF(F410="T3",3,IF(F410="T4",4,-1))))),-1)</x:f>
        <x:v>3</x:v>
      </x:c>
      <x:c r="Q410" s="4" t="n">
        <x:f>IF(AND(OR(C410="Ingredient candidate",C410="Consumed input",C410="Contained input",C410="Transform input"),P410=-1),1,0)</x:f>
        <x:v>0</x:v>
      </x:c>
    </x:row>
    <x:row r="411" ht="115" customHeight="1">
      <x:c r="A411" s="4" t="str">
        <x:v>design.t4.turbine_hub.in.2</x:v>
      </x:c>
      <x:c r="B411" s="4" t="str">
        <x:v>design.t4.turbine_hub</x:v>
      </x:c>
      <x:c r="C411" s="4" t="str">
        <x:v>Ingredient candidate</x:v>
      </x:c>
      <x:c r="D411" s="4" t="str">
        <x:v>proposal.t3.bearing_blank</x:v>
      </x:c>
      <x:c r="E411" s="4" t="str">
        <x:f>IFERROR(INDEX('Items'!$B$6:$B$1005,MATCH(D411,'Items'!$A$6:$A$1005,0)),"MISSING ID")</x:f>
        <x:v>Lapped bronze bearing blanks</x:v>
      </x:c>
      <x:c r="F411" s="4" t="str">
        <x:f>IFERROR(INDEX('Items'!$C$6:$C$1005,MATCH(D411,'Items'!$A$6:$A$1005,0)),"MISSING ID")</x:f>
        <x:v>T3</x:v>
      </x:c>
      <x:c r="G411" s="4" t="str">
        <x:f>IFERROR(INDEX('Items'!$D$6:$D$1005,MATCH(D411,'Items'!$A$6:$A$1005,0)),"MISSING ID")</x:f>
        <x:v>Crafting components</x:v>
      </x:c>
      <x:c r="H411" s="4" t="str">
        <x:f>IFERROR(INDEX('Items'!$X$6:$X$1005,MATCH(D411,'Items'!$A$6:$A$1005,0)),"MISSING ID")</x:f>
        <x:v>Crafting component</x:v>
      </x:c>
      <x:c r="I411" s="4"/>
      <x:c r="J411" s="4" t="str">
        <x:v>Unspecified</x:v>
      </x:c>
      <x:c r="K411" s="4" t="str">
        <x:f>IFERROR(INDEX('Crafting recipes'!$D$6:$D$1005,MATCH(B411,'Crafting recipes'!$A$6:$A$1005,0)),"MISSING ID")</x:f>
        <x:v>Proposal</x:v>
      </x:c>
      <x:c r="L411" s="4" t="str">
        <x:f>IFERROR(INDEX('Items'!$AD$6:$AD$1005,MATCH(D411,'Items'!$A$6:$A$1005,0)),"MISSING ID")</x:f>
        <x:v>Proposal</x:v>
      </x:c>
      <x:c r="M411" s="4" t="str">
        <x:f>IFERROR(INDEX('Crafting recipes'!$E$6:$E$1005,MATCH(B411,'Crafting recipes'!$A$6:$A$1005,0)),"MISSING ID")</x:f>
        <x:v>Partial proposal</x:v>
      </x:c>
      <x:c r="N411" s="4" t="str">
        <x:v>Partial material route; no quantities, guarantees or accepted game recipe.</x:v>
      </x:c>
      <x:c r="O411" s="4" t="str">
        <x:v>New October 15 game brainstorming; current author request and Docs/WORLD_BASIS.md. Not retrieved source canon.</x:v>
      </x:c>
      <x:c r="P411" s="4" t="n">
        <x:f>IF(OR(C411="Ingredient candidate",C411="Consumed input",C411="Contained input",C411="Transform input"),IF(F411="T0",0,IF(F411="T1",1,IF(F411="T2",2,IF(F411="T3",3,IF(F411="T4",4,-1))))),-1)</x:f>
        <x:v>3</x:v>
      </x:c>
      <x:c r="Q411" s="4" t="n">
        <x:f>IF(AND(OR(C411="Ingredient candidate",C411="Consumed input",C411="Contained input",C411="Transform input"),P411=-1),1,0)</x:f>
        <x:v>0</x:v>
      </x:c>
    </x:row>
    <x:row r="412" ht="115" customHeight="1">
      <x:c r="A412" s="4" t="str">
        <x:v>design.t4.turbine_hub.in.3</x:v>
      </x:c>
      <x:c r="B412" s="4" t="str">
        <x:v>design.t4.turbine_hub</x:v>
      </x:c>
      <x:c r="C412" s="4" t="str">
        <x:v>Ingredient candidate</x:v>
      </x:c>
      <x:c r="D412" s="4" t="str">
        <x:v>proposal.t3.precision_tube</x:v>
      </x:c>
      <x:c r="E412" s="4" t="str">
        <x:f>IFERROR(INDEX('Items'!$B$6:$B$1005,MATCH(D412,'Items'!$A$6:$A$1005,0)),"MISSING ID")</x:f>
        <x:v>Drawn steel tube stock</x:v>
      </x:c>
      <x:c r="F412" s="4" t="str">
        <x:f>IFERROR(INDEX('Items'!$C$6:$C$1005,MATCH(D412,'Items'!$A$6:$A$1005,0)),"MISSING ID")</x:f>
        <x:v>T3</x:v>
      </x:c>
      <x:c r="G412" s="4" t="str">
        <x:f>IFERROR(INDEX('Items'!$D$6:$D$1005,MATCH(D412,'Items'!$A$6:$A$1005,0)),"MISSING ID")</x:f>
        <x:v>Manufactured stock</x:v>
      </x:c>
      <x:c r="H412" s="4" t="str">
        <x:f>IFERROR(INDEX('Items'!$X$6:$X$1005,MATCH(D412,'Items'!$A$6:$A$1005,0)),"MISSING ID")</x:f>
        <x:v>Processed material</x:v>
      </x:c>
      <x:c r="I412" s="4"/>
      <x:c r="J412" s="4" t="str">
        <x:v>Unspecified</x:v>
      </x:c>
      <x:c r="K412" s="4" t="str">
        <x:f>IFERROR(INDEX('Crafting recipes'!$D$6:$D$1005,MATCH(B412,'Crafting recipes'!$A$6:$A$1005,0)),"MISSING ID")</x:f>
        <x:v>Proposal</x:v>
      </x:c>
      <x:c r="L412" s="4" t="str">
        <x:f>IFERROR(INDEX('Items'!$AD$6:$AD$1005,MATCH(D412,'Items'!$A$6:$A$1005,0)),"MISSING ID")</x:f>
        <x:v>Proposal</x:v>
      </x:c>
      <x:c r="M412" s="4" t="str">
        <x:f>IFERROR(INDEX('Crafting recipes'!$E$6:$E$1005,MATCH(B412,'Crafting recipes'!$A$6:$A$1005,0)),"MISSING ID")</x:f>
        <x:v>Partial proposal</x:v>
      </x:c>
      <x:c r="N412" s="4" t="str">
        <x:v>Partial material route; no quantities, guarantees or accepted game recipe.</x:v>
      </x:c>
      <x:c r="O412" s="4" t="str">
        <x:v>New October 15 game brainstorming; current author request and Docs/WORLD_BASIS.md. Not retrieved source canon.</x:v>
      </x:c>
      <x:c r="P412" s="4" t="n">
        <x:f>IF(OR(C412="Ingredient candidate",C412="Consumed input",C412="Contained input",C412="Transform input"),IF(F412="T0",0,IF(F412="T1",1,IF(F412="T2",2,IF(F412="T3",3,IF(F412="T4",4,-1))))),-1)</x:f>
        <x:v>3</x:v>
      </x:c>
      <x:c r="Q412" s="4" t="n">
        <x:f>IF(AND(OR(C412="Ingredient candidate",C412="Consumed input",C412="Contained input",C412="Transform input"),P412=-1),1,0)</x:f>
        <x:v>0</x:v>
      </x:c>
    </x:row>
    <x:row r="413" ht="115" customHeight="1">
      <x:c r="A413" s="4" t="str">
        <x:v>design.t4.turbine_hub.in.4</x:v>
      </x:c>
      <x:c r="B413" s="4" t="str">
        <x:v>design.t4.turbine_hub</x:v>
      </x:c>
      <x:c r="C413" s="4" t="str">
        <x:v>Ingredient candidate</x:v>
      </x:c>
      <x:c r="D413" s="4" t="str">
        <x:v>proposal.t3.service_grease</x:v>
      </x:c>
      <x:c r="E413" s="4" t="str">
        <x:f>IFERROR(INDEX('Items'!$B$6:$B$1005,MATCH(D413,'Items'!$A$6:$A$1005,0)),"MISSING ID")</x:f>
        <x:v>Conditioned mechanism-service grease</x:v>
      </x:c>
      <x:c r="F413" s="4" t="str">
        <x:f>IFERROR(INDEX('Items'!$C$6:$C$1005,MATCH(D413,'Items'!$A$6:$A$1005,0)),"MISSING ID")</x:f>
        <x:v>T3</x:v>
      </x:c>
      <x:c r="G413" s="4" t="str">
        <x:f>IFERROR(INDEX('Items'!$D$6:$D$1005,MATCH(D413,'Items'!$A$6:$A$1005,0)),"MISSING ID")</x:f>
        <x:v>Crafting components</x:v>
      </x:c>
      <x:c r="H413" s="4" t="str">
        <x:f>IFERROR(INDEX('Items'!$X$6:$X$1005,MATCH(D413,'Items'!$A$6:$A$1005,0)),"MISSING ID")</x:f>
        <x:v>Chemical material</x:v>
      </x:c>
      <x:c r="I413" s="4"/>
      <x:c r="J413" s="4" t="str">
        <x:v>Unspecified</x:v>
      </x:c>
      <x:c r="K413" s="4" t="str">
        <x:f>IFERROR(INDEX('Crafting recipes'!$D$6:$D$1005,MATCH(B413,'Crafting recipes'!$A$6:$A$1005,0)),"MISSING ID")</x:f>
        <x:v>Proposal</x:v>
      </x:c>
      <x:c r="L413" s="4" t="str">
        <x:f>IFERROR(INDEX('Items'!$AD$6:$AD$1005,MATCH(D413,'Items'!$A$6:$A$1005,0)),"MISSING ID")</x:f>
        <x:v>Proposal</x:v>
      </x:c>
      <x:c r="M413" s="4" t="str">
        <x:f>IFERROR(INDEX('Crafting recipes'!$E$6:$E$1005,MATCH(B413,'Crafting recipes'!$A$6:$A$1005,0)),"MISSING ID")</x:f>
        <x:v>Partial proposal</x:v>
      </x:c>
      <x:c r="N413" s="4" t="str">
        <x:v>Partial material route; no quantities, guarantees or accepted game recipe.</x:v>
      </x:c>
      <x:c r="O413" s="4" t="str">
        <x:v>New October 15 game brainstorming; current author request and Docs/WORLD_BASIS.md. Not retrieved source canon.</x:v>
      </x:c>
      <x:c r="P413" s="4" t="n">
        <x:f>IF(OR(C413="Ingredient candidate",C413="Consumed input",C413="Contained input",C413="Transform input"),IF(F413="T0",0,IF(F413="T1",1,IF(F413="T2",2,IF(F413="T3",3,IF(F413="T4",4,-1))))),-1)</x:f>
        <x:v>3</x:v>
      </x:c>
      <x:c r="Q413" s="4" t="n">
        <x:f>IF(AND(OR(C413="Ingredient candidate",C413="Consumed input",C413="Contained input",C413="Transform input"),P413=-1),1,0)</x:f>
        <x:v>0</x:v>
      </x:c>
    </x:row>
    <x:row r="414" ht="115" customHeight="1">
      <x:c r="A414" s="4" t="str">
        <x:v>design.t4.turbine_hub.out</x:v>
      </x:c>
      <x:c r="B414" s="4" t="str">
        <x:v>design.t4.turbine_hub</x:v>
      </x:c>
      <x:c r="C414" s="4" t="str">
        <x:v>Output</x:v>
      </x:c>
      <x:c r="D414" s="4" t="str">
        <x:v>proposal.t4.turbine_hub</x:v>
      </x:c>
      <x:c r="E414" s="4" t="str">
        <x:f>IFERROR(INDEX('Items'!$B$6:$B$1005,MATCH(D414,'Items'!$A$6:$A$1005,0)),"MISSING ID")</x:f>
        <x:v>Matched wind-turbine hub core</x:v>
      </x:c>
      <x:c r="F414" s="4" t="str">
        <x:f>IFERROR(INDEX('Items'!$C$6:$C$1005,MATCH(D414,'Items'!$A$6:$A$1005,0)),"MISSING ID")</x:f>
        <x:v>T4</x:v>
      </x:c>
      <x:c r="G414" s="4" t="str">
        <x:f>IFERROR(INDEX('Items'!$D$6:$D$1005,MATCH(D414,'Items'!$A$6:$A$1005,0)),"MISSING ID")</x:f>
        <x:v>Crafting components</x:v>
      </x:c>
      <x:c r="H414" s="4" t="str">
        <x:f>IFERROR(INDEX('Items'!$X$6:$X$1005,MATCH(D414,'Items'!$A$6:$A$1005,0)),"MISSING ID")</x:f>
        <x:v>Crafting component</x:v>
      </x:c>
      <x:c r="I414" s="4"/>
      <x:c r="J414" s="4" t="str">
        <x:v>Unspecified</x:v>
      </x:c>
      <x:c r="K414" s="4" t="str">
        <x:f>IFERROR(INDEX('Crafting recipes'!$D$6:$D$1005,MATCH(B414,'Crafting recipes'!$A$6:$A$1005,0)),"MISSING ID")</x:f>
        <x:v>Proposal</x:v>
      </x:c>
      <x:c r="L414" s="4" t="str">
        <x:f>IFERROR(INDEX('Items'!$AD$6:$AD$1005,MATCH(D414,'Items'!$A$6:$A$1005,0)),"MISSING ID")</x:f>
        <x:v>Proposal</x:v>
      </x:c>
      <x:c r="M414" s="4" t="str">
        <x:f>IFERROR(INDEX('Crafting recipes'!$E$6:$E$1005,MATCH(B414,'Crafting recipes'!$A$6:$A$1005,0)),"MISSING ID")</x:f>
        <x:v>Partial proposal</x:v>
      </x:c>
      <x:c r="N414" s="4" t="str">
        <x:v>Partial material route; no quantities, guarantees or accepted game recipe.</x:v>
      </x:c>
      <x:c r="O414" s="4" t="str">
        <x:v>New October 15 game brainstorming; current author request and Docs/WORLD_BASIS.md. Not retrieved source canon.</x:v>
      </x:c>
      <x:c r="P414" s="4" t="n">
        <x:f>IF(OR(C414="Ingredient candidate",C414="Consumed input",C414="Contained input",C414="Transform input"),IF(F414="T0",0,IF(F414="T1",1,IF(F414="T2",2,IF(F414="T3",3,IF(F414="T4",4,-1))))),-1)</x:f>
        <x:v>-1</x:v>
      </x:c>
      <x:c r="Q414" s="4" t="n">
        <x:f>IF(AND(OR(C414="Ingredient candidate",C414="Consumed input",C414="Contained input",C414="Transform input"),P414=-1),1,0)</x:f>
        <x:v>0</x:v>
      </x:c>
    </x:row>
    <x:row r="415" ht="115" customHeight="1">
      <x:c r="A415" s="4" t="str">
        <x:v>design.t4.wheel_hub.in.1</x:v>
      </x:c>
      <x:c r="B415" s="4" t="str">
        <x:v>design.t4.wheel_hub</x:v>
      </x:c>
      <x:c r="C415" s="4" t="str">
        <x:v>Ingredient candidate</x:v>
      </x:c>
      <x:c r="D415" s="4" t="str">
        <x:v>proposal.t3.bearing_blank</x:v>
      </x:c>
      <x:c r="E415" s="4" t="str">
        <x:f>IFERROR(INDEX('Items'!$B$6:$B$1005,MATCH(D415,'Items'!$A$6:$A$1005,0)),"MISSING ID")</x:f>
        <x:v>Lapped bronze bearing blanks</x:v>
      </x:c>
      <x:c r="F415" s="4" t="str">
        <x:f>IFERROR(INDEX('Items'!$C$6:$C$1005,MATCH(D415,'Items'!$A$6:$A$1005,0)),"MISSING ID")</x:f>
        <x:v>T3</x:v>
      </x:c>
      <x:c r="G415" s="4" t="str">
        <x:f>IFERROR(INDEX('Items'!$D$6:$D$1005,MATCH(D415,'Items'!$A$6:$A$1005,0)),"MISSING ID")</x:f>
        <x:v>Crafting components</x:v>
      </x:c>
      <x:c r="H415" s="4" t="str">
        <x:f>IFERROR(INDEX('Items'!$X$6:$X$1005,MATCH(D415,'Items'!$A$6:$A$1005,0)),"MISSING ID")</x:f>
        <x:v>Crafting component</x:v>
      </x:c>
      <x:c r="I415" s="4"/>
      <x:c r="J415" s="4" t="str">
        <x:v>Unspecified</x:v>
      </x:c>
      <x:c r="K415" s="4" t="str">
        <x:f>IFERROR(INDEX('Crafting recipes'!$D$6:$D$1005,MATCH(B415,'Crafting recipes'!$A$6:$A$1005,0)),"MISSING ID")</x:f>
        <x:v>Proposal</x:v>
      </x:c>
      <x:c r="L415" s="4" t="str">
        <x:f>IFERROR(INDEX('Items'!$AD$6:$AD$1005,MATCH(D415,'Items'!$A$6:$A$1005,0)),"MISSING ID")</x:f>
        <x:v>Proposal</x:v>
      </x:c>
      <x:c r="M415" s="4" t="str">
        <x:f>IFERROR(INDEX('Crafting recipes'!$E$6:$E$1005,MATCH(B415,'Crafting recipes'!$A$6:$A$1005,0)),"MISSING ID")</x:f>
        <x:v>Partial proposal</x:v>
      </x:c>
      <x:c r="N415" s="4" t="str">
        <x:v>Partial material route; no quantities, guarantees or accepted game recipe.</x:v>
      </x:c>
      <x:c r="O415" s="4" t="str">
        <x:v>New October 15 game brainstorming; current author request and Docs/WORLD_BASIS.md. Not retrieved source canon.</x:v>
      </x:c>
      <x:c r="P415" s="4" t="n">
        <x:f>IF(OR(C415="Ingredient candidate",C415="Consumed input",C415="Contained input",C415="Transform input"),IF(F415="T0",0,IF(F415="T1",1,IF(F415="T2",2,IF(F415="T3",3,IF(F415="T4",4,-1))))),-1)</x:f>
        <x:v>3</x:v>
      </x:c>
      <x:c r="Q415" s="4" t="n">
        <x:f>IF(AND(OR(C415="Ingredient candidate",C415="Consumed input",C415="Contained input",C415="Transform input"),P415=-1),1,0)</x:f>
        <x:v>0</x:v>
      </x:c>
    </x:row>
    <x:row r="416" ht="115" customHeight="1">
      <x:c r="A416" s="4" t="str">
        <x:v>design.t4.wheel_hub.in.2</x:v>
      </x:c>
      <x:c r="B416" s="4" t="str">
        <x:v>design.t4.wheel_hub</x:v>
      </x:c>
      <x:c r="C416" s="4" t="str">
        <x:v>Ingredient candidate</x:v>
      </x:c>
      <x:c r="D416" s="4" t="str">
        <x:v>proposal.t3.precision_tube</x:v>
      </x:c>
      <x:c r="E416" s="4" t="str">
        <x:f>IFERROR(INDEX('Items'!$B$6:$B$1005,MATCH(D416,'Items'!$A$6:$A$1005,0)),"MISSING ID")</x:f>
        <x:v>Drawn steel tube stock</x:v>
      </x:c>
      <x:c r="F416" s="4" t="str">
        <x:f>IFERROR(INDEX('Items'!$C$6:$C$1005,MATCH(D416,'Items'!$A$6:$A$1005,0)),"MISSING ID")</x:f>
        <x:v>T3</x:v>
      </x:c>
      <x:c r="G416" s="4" t="str">
        <x:f>IFERROR(INDEX('Items'!$D$6:$D$1005,MATCH(D416,'Items'!$A$6:$A$1005,0)),"MISSING ID")</x:f>
        <x:v>Manufactured stock</x:v>
      </x:c>
      <x:c r="H416" s="4" t="str">
        <x:f>IFERROR(INDEX('Items'!$X$6:$X$1005,MATCH(D416,'Items'!$A$6:$A$1005,0)),"MISSING ID")</x:f>
        <x:v>Processed material</x:v>
      </x:c>
      <x:c r="I416" s="4"/>
      <x:c r="J416" s="4" t="str">
        <x:v>Unspecified</x:v>
      </x:c>
      <x:c r="K416" s="4" t="str">
        <x:f>IFERROR(INDEX('Crafting recipes'!$D$6:$D$1005,MATCH(B416,'Crafting recipes'!$A$6:$A$1005,0)),"MISSING ID")</x:f>
        <x:v>Proposal</x:v>
      </x:c>
      <x:c r="L416" s="4" t="str">
        <x:f>IFERROR(INDEX('Items'!$AD$6:$AD$1005,MATCH(D416,'Items'!$A$6:$A$1005,0)),"MISSING ID")</x:f>
        <x:v>Proposal</x:v>
      </x:c>
      <x:c r="M416" s="4" t="str">
        <x:f>IFERROR(INDEX('Crafting recipes'!$E$6:$E$1005,MATCH(B416,'Crafting recipes'!$A$6:$A$1005,0)),"MISSING ID")</x:f>
        <x:v>Partial proposal</x:v>
      </x:c>
      <x:c r="N416" s="4" t="str">
        <x:v>Partial material route; no quantities, guarantees or accepted game recipe.</x:v>
      </x:c>
      <x:c r="O416" s="4" t="str">
        <x:v>New October 15 game brainstorming; current author request and Docs/WORLD_BASIS.md. Not retrieved source canon.</x:v>
      </x:c>
      <x:c r="P416" s="4" t="n">
        <x:f>IF(OR(C416="Ingredient candidate",C416="Consumed input",C416="Contained input",C416="Transform input"),IF(F416="T0",0,IF(F416="T1",1,IF(F416="T2",2,IF(F416="T3",3,IF(F416="T4",4,-1))))),-1)</x:f>
        <x:v>3</x:v>
      </x:c>
      <x:c r="Q416" s="4" t="n">
        <x:f>IF(AND(OR(C416="Ingredient candidate",C416="Consumed input",C416="Contained input",C416="Transform input"),P416=-1),1,0)</x:f>
        <x:v>0</x:v>
      </x:c>
    </x:row>
    <x:row r="417" ht="115" customHeight="1">
      <x:c r="A417" s="4" t="str">
        <x:v>design.t4.wheel_hub.in.3</x:v>
      </x:c>
      <x:c r="B417" s="4" t="str">
        <x:v>design.t4.wheel_hub</x:v>
      </x:c>
      <x:c r="C417" s="4" t="str">
        <x:v>Ingredient candidate</x:v>
      </x:c>
      <x:c r="D417" s="4" t="str">
        <x:v>proposal.branch.spring_steel</x:v>
      </x:c>
      <x:c r="E417" s="4" t="str">
        <x:f>IFERROR(INDEX('Items'!$B$6:$B$1005,MATCH(D417,'Items'!$A$6:$A$1005,0)),"MISSING ID")</x:f>
        <x:v>Spring-grade steel stock</x:v>
      </x:c>
      <x:c r="F417" s="4" t="str">
        <x:f>IFERROR(INDEX('Items'!$C$6:$C$1005,MATCH(D417,'Items'!$A$6:$A$1005,0)),"MISSING ID")</x:f>
        <x:v>T3</x:v>
      </x:c>
      <x:c r="G417" s="4" t="str">
        <x:f>IFERROR(INDEX('Items'!$D$6:$D$1005,MATCH(D417,'Items'!$A$6:$A$1005,0)),"MISSING ID")</x:f>
        <x:v>Manufactured stock</x:v>
      </x:c>
      <x:c r="H417" s="4" t="str">
        <x:f>IFERROR(INDEX('Items'!$X$6:$X$1005,MATCH(D417,'Items'!$A$6:$A$1005,0)),"MISSING ID")</x:f>
        <x:v>Processed material</x:v>
      </x:c>
      <x:c r="I417" s="4"/>
      <x:c r="J417" s="4" t="str">
        <x:v>Unspecified</x:v>
      </x:c>
      <x:c r="K417" s="4" t="str">
        <x:f>IFERROR(INDEX('Crafting recipes'!$D$6:$D$1005,MATCH(B417,'Crafting recipes'!$A$6:$A$1005,0)),"MISSING ID")</x:f>
        <x:v>Proposal</x:v>
      </x:c>
      <x:c r="L417" s="4" t="str">
        <x:f>IFERROR(INDEX('Items'!$AD$6:$AD$1005,MATCH(D417,'Items'!$A$6:$A$1005,0)),"MISSING ID")</x:f>
        <x:v>Proposal</x:v>
      </x:c>
      <x:c r="M417" s="4" t="str">
        <x:f>IFERROR(INDEX('Crafting recipes'!$E$6:$E$1005,MATCH(B417,'Crafting recipes'!$A$6:$A$1005,0)),"MISSING ID")</x:f>
        <x:v>Partial proposal</x:v>
      </x:c>
      <x:c r="N417" s="4" t="str">
        <x:v>Partial material route; no quantities, guarantees or accepted game recipe.</x:v>
      </x:c>
      <x:c r="O417" s="4" t="str">
        <x:v>New October 15 game brainstorming; current author request and Docs/WORLD_BASIS.md. Not retrieved source canon.</x:v>
      </x:c>
      <x:c r="P417" s="4" t="n">
        <x:f>IF(OR(C417="Ingredient candidate",C417="Consumed input",C417="Contained input",C417="Transform input"),IF(F417="T0",0,IF(F417="T1",1,IF(F417="T2",2,IF(F417="T3",3,IF(F417="T4",4,-1))))),-1)</x:f>
        <x:v>3</x:v>
      </x:c>
      <x:c r="Q417" s="4" t="n">
        <x:f>IF(AND(OR(C417="Ingredient candidate",C417="Consumed input",C417="Contained input",C417="Transform input"),P417=-1),1,0)</x:f>
        <x:v>0</x:v>
      </x:c>
    </x:row>
    <x:row r="418" ht="115" customHeight="1">
      <x:c r="A418" s="4" t="str">
        <x:v>design.t4.wheel_hub.in.4</x:v>
      </x:c>
      <x:c r="B418" s="4" t="str">
        <x:v>design.t4.wheel_hub</x:v>
      </x:c>
      <x:c r="C418" s="4" t="str">
        <x:v>Ingredient candidate</x:v>
      </x:c>
      <x:c r="D418" s="4" t="str">
        <x:v>proposal.lubricant.precision_oil</x:v>
      </x:c>
      <x:c r="E418" s="4" t="str">
        <x:f>IFERROR(INDEX('Items'!$B$6:$B$1005,MATCH(D418,'Items'!$A$6:$A$1005,0)),"MISSING ID")</x:f>
        <x:v>Fine mechanism oil</x:v>
      </x:c>
      <x:c r="F418" s="4" t="str">
        <x:f>IFERROR(INDEX('Items'!$C$6:$C$1005,MATCH(D418,'Items'!$A$6:$A$1005,0)),"MISSING ID")</x:f>
        <x:v>T2</x:v>
      </x:c>
      <x:c r="G418" s="4" t="str">
        <x:f>IFERROR(INDEX('Items'!$D$6:$D$1005,MATCH(D418,'Items'!$A$6:$A$1005,0)),"MISSING ID")</x:f>
        <x:v>Crafting components</x:v>
      </x:c>
      <x:c r="H418" s="4" t="str">
        <x:f>IFERROR(INDEX('Items'!$X$6:$X$1005,MATCH(D418,'Items'!$A$6:$A$1005,0)),"MISSING ID")</x:f>
        <x:v>Chemical material</x:v>
      </x:c>
      <x:c r="I418" s="4"/>
      <x:c r="J418" s="4" t="str">
        <x:v>Unspecified</x:v>
      </x:c>
      <x:c r="K418" s="4" t="str">
        <x:f>IFERROR(INDEX('Crafting recipes'!$D$6:$D$1005,MATCH(B418,'Crafting recipes'!$A$6:$A$1005,0)),"MISSING ID")</x:f>
        <x:v>Proposal</x:v>
      </x:c>
      <x:c r="L418" s="4" t="str">
        <x:f>IFERROR(INDEX('Items'!$AD$6:$AD$1005,MATCH(D418,'Items'!$A$6:$A$1005,0)),"MISSING ID")</x:f>
        <x:v>Proposal</x:v>
      </x:c>
      <x:c r="M418" s="4" t="str">
        <x:f>IFERROR(INDEX('Crafting recipes'!$E$6:$E$1005,MATCH(B418,'Crafting recipes'!$A$6:$A$1005,0)),"MISSING ID")</x:f>
        <x:v>Partial proposal</x:v>
      </x:c>
      <x:c r="N418" s="4" t="str">
        <x:v>Partial material route; no quantities, guarantees or accepted game recipe.</x:v>
      </x:c>
      <x:c r="O418" s="4" t="str">
        <x:v>New October 15 game brainstorming; current author request and Docs/WORLD_BASIS.md. Not retrieved source canon.</x:v>
      </x:c>
      <x:c r="P418" s="4" t="n">
        <x:f>IF(OR(C418="Ingredient candidate",C418="Consumed input",C418="Contained input",C418="Transform input"),IF(F418="T0",0,IF(F418="T1",1,IF(F418="T2",2,IF(F418="T3",3,IF(F418="T4",4,-1))))),-1)</x:f>
        <x:v>2</x:v>
      </x:c>
      <x:c r="Q418" s="4" t="n">
        <x:f>IF(AND(OR(C418="Ingredient candidate",C418="Consumed input",C418="Contained input",C418="Transform input"),P418=-1),1,0)</x:f>
        <x:v>0</x:v>
      </x:c>
    </x:row>
    <x:row r="419" ht="115" customHeight="1">
      <x:c r="A419" s="4" t="str">
        <x:v>design.t4.wheel_hub.out</x:v>
      </x:c>
      <x:c r="B419" s="4" t="str">
        <x:v>design.t4.wheel_hub</x:v>
      </x:c>
      <x:c r="C419" s="4" t="str">
        <x:v>Output</x:v>
      </x:c>
      <x:c r="D419" s="4" t="str">
        <x:v>proposal.t4.wheel_hub</x:v>
      </x:c>
      <x:c r="E419" s="4" t="str">
        <x:f>IFERROR(INDEX('Items'!$B$6:$B$1005,MATCH(D419,'Items'!$A$6:$A$1005,0)),"MISSING ID")</x:f>
        <x:v>Dirtboard wheel-hub core</x:v>
      </x:c>
      <x:c r="F419" s="4" t="str">
        <x:f>IFERROR(INDEX('Items'!$C$6:$C$1005,MATCH(D419,'Items'!$A$6:$A$1005,0)),"MISSING ID")</x:f>
        <x:v>T4</x:v>
      </x:c>
      <x:c r="G419" s="4" t="str">
        <x:f>IFERROR(INDEX('Items'!$D$6:$D$1005,MATCH(D419,'Items'!$A$6:$A$1005,0)),"MISSING ID")</x:f>
        <x:v>Salvage</x:v>
      </x:c>
      <x:c r="H419" s="4" t="str">
        <x:f>IFERROR(INDEX('Items'!$X$6:$X$1005,MATCH(D419,'Items'!$A$6:$A$1005,0)),"MISSING ID")</x:f>
        <x:v>Crafting component</x:v>
      </x:c>
      <x:c r="I419" s="4"/>
      <x:c r="J419" s="4" t="str">
        <x:v>Unspecified</x:v>
      </x:c>
      <x:c r="K419" s="4" t="str">
        <x:f>IFERROR(INDEX('Crafting recipes'!$D$6:$D$1005,MATCH(B419,'Crafting recipes'!$A$6:$A$1005,0)),"MISSING ID")</x:f>
        <x:v>Proposal</x:v>
      </x:c>
      <x:c r="L419" s="4" t="str">
        <x:f>IFERROR(INDEX('Items'!$AD$6:$AD$1005,MATCH(D419,'Items'!$A$6:$A$1005,0)),"MISSING ID")</x:f>
        <x:v>Proposal</x:v>
      </x:c>
      <x:c r="M419" s="4" t="str">
        <x:f>IFERROR(INDEX('Crafting recipes'!$E$6:$E$1005,MATCH(B419,'Crafting recipes'!$A$6:$A$1005,0)),"MISSING ID")</x:f>
        <x:v>Partial proposal</x:v>
      </x:c>
      <x:c r="N419" s="4" t="str">
        <x:v>Partial material route; no quantities, guarantees or accepted game recipe.</x:v>
      </x:c>
      <x:c r="O419" s="4" t="str">
        <x:v>New October 15 game brainstorming; current author request and Docs/WORLD_BASIS.md. Not retrieved source canon.</x:v>
      </x:c>
      <x:c r="P419" s="4" t="n">
        <x:f>IF(OR(C419="Ingredient candidate",C419="Consumed input",C419="Contained input",C419="Transform input"),IF(F419="T0",0,IF(F419="T1",1,IF(F419="T2",2,IF(F419="T3",3,IF(F419="T4",4,-1))))),-1)</x:f>
        <x:v>-1</x:v>
      </x:c>
      <x:c r="Q419" s="4" t="n">
        <x:f>IF(AND(OR(C419="Ingredient candidate",C419="Consumed input",C419="Contained input",C419="Transform input"),P419=-1),1,0)</x:f>
        <x:v>0</x:v>
      </x:c>
    </x:row>
    <x:row r="420" ht="115" customHeight="1">
      <x:c r="A420" s="4" t="str">
        <x:v>design.t4.vessel_liner.in.1</x:v>
      </x:c>
      <x:c r="B420" s="4" t="str">
        <x:v>design.t4.vessel_liner</x:v>
      </x:c>
      <x:c r="C420" s="4" t="str">
        <x:v>Ingredient candidate</x:v>
      </x:c>
      <x:c r="D420" s="4" t="str">
        <x:v>proposal.t3.lining_stock</x:v>
      </x:c>
      <x:c r="E420" s="4" t="str">
        <x:f>IFERROR(INDEX('Items'!$B$6:$B$1005,MATCH(D420,'Items'!$A$6:$A$1005,0)),"MISSING ID")</x:f>
        <x:v>Bonded glass-ceramic lining stock</x:v>
      </x:c>
      <x:c r="F420" s="4" t="str">
        <x:f>IFERROR(INDEX('Items'!$C$6:$C$1005,MATCH(D420,'Items'!$A$6:$A$1005,0)),"MISSING ID")</x:f>
        <x:v>T3</x:v>
      </x:c>
      <x:c r="G420" s="4" t="str">
        <x:f>IFERROR(INDEX('Items'!$D$6:$D$1005,MATCH(D420,'Items'!$A$6:$A$1005,0)),"MISSING ID")</x:f>
        <x:v>Manufactured stock</x:v>
      </x:c>
      <x:c r="H420" s="4" t="str">
        <x:f>IFERROR(INDEX('Items'!$X$6:$X$1005,MATCH(D420,'Items'!$A$6:$A$1005,0)),"MISSING ID")</x:f>
        <x:v>Processed material</x:v>
      </x:c>
      <x:c r="I420" s="4"/>
      <x:c r="J420" s="4" t="str">
        <x:v>Unspecified</x:v>
      </x:c>
      <x:c r="K420" s="4" t="str">
        <x:f>IFERROR(INDEX('Crafting recipes'!$D$6:$D$1005,MATCH(B420,'Crafting recipes'!$A$6:$A$1005,0)),"MISSING ID")</x:f>
        <x:v>Proposal</x:v>
      </x:c>
      <x:c r="L420" s="4" t="str">
        <x:f>IFERROR(INDEX('Items'!$AD$6:$AD$1005,MATCH(D420,'Items'!$A$6:$A$1005,0)),"MISSING ID")</x:f>
        <x:v>Proposal</x:v>
      </x:c>
      <x:c r="M420" s="4" t="str">
        <x:f>IFERROR(INDEX('Crafting recipes'!$E$6:$E$1005,MATCH(B420,'Crafting recipes'!$A$6:$A$1005,0)),"MISSING ID")</x:f>
        <x:v>Partial proposal</x:v>
      </x:c>
      <x:c r="N420" s="4" t="str">
        <x:v>Partial material route; no quantities, guarantees or accepted game recipe.</x:v>
      </x:c>
      <x:c r="O420" s="4" t="str">
        <x:v>New October 15 game brainstorming; current author request and Docs/WORLD_BASIS.md. Not retrieved source canon.</x:v>
      </x:c>
      <x:c r="P420" s="4" t="n">
        <x:f>IF(OR(C420="Ingredient candidate",C420="Consumed input",C420="Contained input",C420="Transform input"),IF(F420="T0",0,IF(F420="T1",1,IF(F420="T2",2,IF(F420="T3",3,IF(F420="T4",4,-1))))),-1)</x:f>
        <x:v>3</x:v>
      </x:c>
      <x:c r="Q420" s="4" t="n">
        <x:f>IF(AND(OR(C420="Ingredient candidate",C420="Consumed input",C420="Contained input",C420="Transform input"),P420=-1),1,0)</x:f>
        <x:v>0</x:v>
      </x:c>
    </x:row>
    <x:row r="421" ht="115" customHeight="1">
      <x:c r="A421" s="4" t="str">
        <x:v>design.t4.vessel_liner.in.2</x:v>
      </x:c>
      <x:c r="B421" s="4" t="str">
        <x:v>design.t4.vessel_liner</x:v>
      </x:c>
      <x:c r="C421" s="4" t="str">
        <x:v>Ingredient candidate</x:v>
      </x:c>
      <x:c r="D421" s="4" t="str">
        <x:v>proposal.t3.packing_stock</x:v>
      </x:c>
      <x:c r="E421" s="4" t="str">
        <x:f>IFERROR(INDEX('Items'!$B$6:$B$1005,MATCH(D421,'Items'!$A$6:$A$1005,0)),"MISSING ID")</x:f>
        <x:v>Husk-reinforced packing stock</x:v>
      </x:c>
      <x:c r="F421" s="4" t="str">
        <x:f>IFERROR(INDEX('Items'!$C$6:$C$1005,MATCH(D421,'Items'!$A$6:$A$1005,0)),"MISSING ID")</x:f>
        <x:v>T3</x:v>
      </x:c>
      <x:c r="G421" s="4" t="str">
        <x:f>IFERROR(INDEX('Items'!$D$6:$D$1005,MATCH(D421,'Items'!$A$6:$A$1005,0)),"MISSING ID")</x:f>
        <x:v>Manufactured stock</x:v>
      </x:c>
      <x:c r="H421" s="4" t="str">
        <x:f>IFERROR(INDEX('Items'!$X$6:$X$1005,MATCH(D421,'Items'!$A$6:$A$1005,0)),"MISSING ID")</x:f>
        <x:v>Processed material</x:v>
      </x:c>
      <x:c r="I421" s="4"/>
      <x:c r="J421" s="4" t="str">
        <x:v>Unspecified</x:v>
      </x:c>
      <x:c r="K421" s="4" t="str">
        <x:f>IFERROR(INDEX('Crafting recipes'!$D$6:$D$1005,MATCH(B421,'Crafting recipes'!$A$6:$A$1005,0)),"MISSING ID")</x:f>
        <x:v>Proposal</x:v>
      </x:c>
      <x:c r="L421" s="4" t="str">
        <x:f>IFERROR(INDEX('Items'!$AD$6:$AD$1005,MATCH(D421,'Items'!$A$6:$A$1005,0)),"MISSING ID")</x:f>
        <x:v>Proposal</x:v>
      </x:c>
      <x:c r="M421" s="4" t="str">
        <x:f>IFERROR(INDEX('Crafting recipes'!$E$6:$E$1005,MATCH(B421,'Crafting recipes'!$A$6:$A$1005,0)),"MISSING ID")</x:f>
        <x:v>Partial proposal</x:v>
      </x:c>
      <x:c r="N421" s="4" t="str">
        <x:v>Partial material route; no quantities, guarantees or accepted game recipe.</x:v>
      </x:c>
      <x:c r="O421" s="4" t="str">
        <x:v>New October 15 game brainstorming; current author request and Docs/WORLD_BASIS.md. Not retrieved source canon.</x:v>
      </x:c>
      <x:c r="P421" s="4" t="n">
        <x:f>IF(OR(C421="Ingredient candidate",C421="Consumed input",C421="Contained input",C421="Transform input"),IF(F421="T0",0,IF(F421="T1",1,IF(F421="T2",2,IF(F421="T3",3,IF(F421="T4",4,-1))))),-1)</x:f>
        <x:v>3</x:v>
      </x:c>
      <x:c r="Q421" s="4" t="n">
        <x:f>IF(AND(OR(C421="Ingredient candidate",C421="Consumed input",C421="Contained input",C421="Transform input"),P421=-1),1,0)</x:f>
        <x:v>0</x:v>
      </x:c>
    </x:row>
    <x:row r="422" ht="115" customHeight="1">
      <x:c r="A422" s="4" t="str">
        <x:v>design.t4.vessel_liner.in.3</x:v>
      </x:c>
      <x:c r="B422" s="4" t="str">
        <x:v>design.t4.vessel_liner</x:v>
      </x:c>
      <x:c r="C422" s="4" t="str">
        <x:v>Ingredient candidate</x:v>
      </x:c>
      <x:c r="D422" s="4" t="str">
        <x:v>proposal.branch.sealing_sheet</x:v>
      </x:c>
      <x:c r="E422" s="4" t="str">
        <x:f>IFERROR(INDEX('Items'!$B$6:$B$1005,MATCH(D422,'Items'!$A$6:$A$1005,0)),"MISSING ID")</x:f>
        <x:v>Reinforced sealing sheet</x:v>
      </x:c>
      <x:c r="F422" s="4" t="str">
        <x:f>IFERROR(INDEX('Items'!$C$6:$C$1005,MATCH(D422,'Items'!$A$6:$A$1005,0)),"MISSING ID")</x:f>
        <x:v>T3</x:v>
      </x:c>
      <x:c r="G422" s="4" t="str">
        <x:f>IFERROR(INDEX('Items'!$D$6:$D$1005,MATCH(D422,'Items'!$A$6:$A$1005,0)),"MISSING ID")</x:f>
        <x:v>Manufactured stock</x:v>
      </x:c>
      <x:c r="H422" s="4" t="str">
        <x:f>IFERROR(INDEX('Items'!$X$6:$X$1005,MATCH(D422,'Items'!$A$6:$A$1005,0)),"MISSING ID")</x:f>
        <x:v>Processed material</x:v>
      </x:c>
      <x:c r="I422" s="4"/>
      <x:c r="J422" s="4" t="str">
        <x:v>Unspecified</x:v>
      </x:c>
      <x:c r="K422" s="4" t="str">
        <x:f>IFERROR(INDEX('Crafting recipes'!$D$6:$D$1005,MATCH(B422,'Crafting recipes'!$A$6:$A$1005,0)),"MISSING ID")</x:f>
        <x:v>Proposal</x:v>
      </x:c>
      <x:c r="L422" s="4" t="str">
        <x:f>IFERROR(INDEX('Items'!$AD$6:$AD$1005,MATCH(D422,'Items'!$A$6:$A$1005,0)),"MISSING ID")</x:f>
        <x:v>Proposal</x:v>
      </x:c>
      <x:c r="M422" s="4" t="str">
        <x:f>IFERROR(INDEX('Crafting recipes'!$E$6:$E$1005,MATCH(B422,'Crafting recipes'!$A$6:$A$1005,0)),"MISSING ID")</x:f>
        <x:v>Partial proposal</x:v>
      </x:c>
      <x:c r="N422" s="4" t="str">
        <x:v>Partial material route; no quantities, guarantees or accepted game recipe.</x:v>
      </x:c>
      <x:c r="O422" s="4" t="str">
        <x:v>New October 15 game brainstorming; current author request and Docs/WORLD_BASIS.md. Not retrieved source canon.</x:v>
      </x:c>
      <x:c r="P422" s="4" t="n">
        <x:f>IF(OR(C422="Ingredient candidate",C422="Consumed input",C422="Contained input",C422="Transform input"),IF(F422="T0",0,IF(F422="T1",1,IF(F422="T2",2,IF(F422="T3",3,IF(F422="T4",4,-1))))),-1)</x:f>
        <x:v>3</x:v>
      </x:c>
      <x:c r="Q422" s="4" t="n">
        <x:f>IF(AND(OR(C422="Ingredient candidate",C422="Consumed input",C422="Contained input",C422="Transform input"),P422=-1),1,0)</x:f>
        <x:v>0</x:v>
      </x:c>
    </x:row>
    <x:row r="423" ht="115" customHeight="1">
      <x:c r="A423" s="4" t="str">
        <x:v>design.t4.vessel_liner.out</x:v>
      </x:c>
      <x:c r="B423" s="4" t="str">
        <x:v>design.t4.vessel_liner</x:v>
      </x:c>
      <x:c r="C423" s="4" t="str">
        <x:v>Output</x:v>
      </x:c>
      <x:c r="D423" s="4" t="str">
        <x:v>proposal.t4.vessel_liner</x:v>
      </x:c>
      <x:c r="E423" s="4" t="str">
        <x:f>IFERROR(INDEX('Items'!$B$6:$B$1005,MATCH(D423,'Items'!$A$6:$A$1005,0)),"MISSING ID")</x:f>
        <x:v>Fitted chemical-vessel liner insert</x:v>
      </x:c>
      <x:c r="F423" s="4" t="str">
        <x:f>IFERROR(INDEX('Items'!$C$6:$C$1005,MATCH(D423,'Items'!$A$6:$A$1005,0)),"MISSING ID")</x:f>
        <x:v>T4</x:v>
      </x:c>
      <x:c r="G423" s="4" t="str">
        <x:f>IFERROR(INDEX('Items'!$D$6:$D$1005,MATCH(D423,'Items'!$A$6:$A$1005,0)),"MISSING ID")</x:f>
        <x:v>Crafting components</x:v>
      </x:c>
      <x:c r="H423" s="4" t="str">
        <x:f>IFERROR(INDEX('Items'!$X$6:$X$1005,MATCH(D423,'Items'!$A$6:$A$1005,0)),"MISSING ID")</x:f>
        <x:v>Crafting component</x:v>
      </x:c>
      <x:c r="I423" s="4"/>
      <x:c r="J423" s="4" t="str">
        <x:v>Unspecified</x:v>
      </x:c>
      <x:c r="K423" s="4" t="str">
        <x:f>IFERROR(INDEX('Crafting recipes'!$D$6:$D$1005,MATCH(B423,'Crafting recipes'!$A$6:$A$1005,0)),"MISSING ID")</x:f>
        <x:v>Proposal</x:v>
      </x:c>
      <x:c r="L423" s="4" t="str">
        <x:f>IFERROR(INDEX('Items'!$AD$6:$AD$1005,MATCH(D423,'Items'!$A$6:$A$1005,0)),"MISSING ID")</x:f>
        <x:v>Proposal</x:v>
      </x:c>
      <x:c r="M423" s="4" t="str">
        <x:f>IFERROR(INDEX('Crafting recipes'!$E$6:$E$1005,MATCH(B423,'Crafting recipes'!$A$6:$A$1005,0)),"MISSING ID")</x:f>
        <x:v>Partial proposal</x:v>
      </x:c>
      <x:c r="N423" s="4" t="str">
        <x:v>Partial material route; no quantities, guarantees or accepted game recipe.</x:v>
      </x:c>
      <x:c r="O423" s="4" t="str">
        <x:v>New October 15 game brainstorming; current author request and Docs/WORLD_BASIS.md. Not retrieved source canon.</x:v>
      </x:c>
      <x:c r="P423" s="4" t="n">
        <x:f>IF(OR(C423="Ingredient candidate",C423="Consumed input",C423="Contained input",C423="Transform input"),IF(F423="T0",0,IF(F423="T1",1,IF(F423="T2",2,IF(F423="T3",3,IF(F423="T4",4,-1))))),-1)</x:f>
        <x:v>-1</x:v>
      </x:c>
      <x:c r="Q423" s="4" t="n">
        <x:f>IF(AND(OR(C423="Ingredient candidate",C423="Consumed input",C423="Contained input",C423="Transform input"),P423=-1),1,0)</x:f>
        <x:v>0</x:v>
      </x:c>
    </x:row>
    <x:row r="424" ht="115" customHeight="1">
      <x:c r="A424" s="4" t="str">
        <x:v>design.t4.grinding_head.in.1</x:v>
      </x:c>
      <x:c r="B424" s="4" t="str">
        <x:v>design.t4.grinding_head</x:v>
      </x:c>
      <x:c r="C424" s="4" t="str">
        <x:v>Ingredient candidate</x:v>
      </x:c>
      <x:c r="D424" s="4" t="str">
        <x:v>proposal.t3.abrasive_stock</x:v>
      </x:c>
      <x:c r="E424" s="4" t="str">
        <x:f>IFERROR(INDEX('Items'!$B$6:$B$1005,MATCH(D424,'Items'!$A$6:$A$1005,0)),"MISSING ID")</x:f>
        <x:v>Bonded abrasive-faced stock</x:v>
      </x:c>
      <x:c r="F424" s="4" t="str">
        <x:f>IFERROR(INDEX('Items'!$C$6:$C$1005,MATCH(D424,'Items'!$A$6:$A$1005,0)),"MISSING ID")</x:f>
        <x:v>T3</x:v>
      </x:c>
      <x:c r="G424" s="4" t="str">
        <x:f>IFERROR(INDEX('Items'!$D$6:$D$1005,MATCH(D424,'Items'!$A$6:$A$1005,0)),"MISSING ID")</x:f>
        <x:v>Manufactured stock</x:v>
      </x:c>
      <x:c r="H424" s="4" t="str">
        <x:f>IFERROR(INDEX('Items'!$X$6:$X$1005,MATCH(D424,'Items'!$A$6:$A$1005,0)),"MISSING ID")</x:f>
        <x:v>Processed material</x:v>
      </x:c>
      <x:c r="I424" s="4"/>
      <x:c r="J424" s="4" t="str">
        <x:v>Unspecified</x:v>
      </x:c>
      <x:c r="K424" s="4" t="str">
        <x:f>IFERROR(INDEX('Crafting recipes'!$D$6:$D$1005,MATCH(B424,'Crafting recipes'!$A$6:$A$1005,0)),"MISSING ID")</x:f>
        <x:v>Proposal</x:v>
      </x:c>
      <x:c r="L424" s="4" t="str">
        <x:f>IFERROR(INDEX('Items'!$AD$6:$AD$1005,MATCH(D424,'Items'!$A$6:$A$1005,0)),"MISSING ID")</x:f>
        <x:v>Proposal</x:v>
      </x:c>
      <x:c r="M424" s="4" t="str">
        <x:f>IFERROR(INDEX('Crafting recipes'!$E$6:$E$1005,MATCH(B424,'Crafting recipes'!$A$6:$A$1005,0)),"MISSING ID")</x:f>
        <x:v>Partial proposal</x:v>
      </x:c>
      <x:c r="N424" s="4" t="str">
        <x:v>Partial material route; no quantities, guarantees or accepted game recipe.</x:v>
      </x:c>
      <x:c r="O424" s="4" t="str">
        <x:v>New October 15 game brainstorming; current author request and Docs/WORLD_BASIS.md. Not retrieved source canon.</x:v>
      </x:c>
      <x:c r="P424" s="4" t="n">
        <x:f>IF(OR(C424="Ingredient candidate",C424="Consumed input",C424="Contained input",C424="Transform input"),IF(F424="T0",0,IF(F424="T1",1,IF(F424="T2",2,IF(F424="T3",3,IF(F424="T4",4,-1))))),-1)</x:f>
        <x:v>3</x:v>
      </x:c>
      <x:c r="Q424" s="4" t="n">
        <x:f>IF(AND(OR(C424="Ingredient candidate",C424="Consumed input",C424="Contained input",C424="Transform input"),P424=-1),1,0)</x:f>
        <x:v>0</x:v>
      </x:c>
    </x:row>
    <x:row r="425" ht="115" customHeight="1">
      <x:c r="A425" s="4" t="str">
        <x:v>design.t4.grinding_head.in.2</x:v>
      </x:c>
      <x:c r="B425" s="4" t="str">
        <x:v>design.t4.grinding_head</x:v>
      </x:c>
      <x:c r="C425" s="4" t="str">
        <x:v>Ingredient candidate</x:v>
      </x:c>
      <x:c r="D425" s="4" t="str">
        <x:v>proposal.t3.gear_blank</x:v>
      </x:c>
      <x:c r="E425" s="4" t="str">
        <x:f>IFERROR(INDEX('Items'!$B$6:$B$1005,MATCH(D425,'Items'!$A$6:$A$1005,0)),"MISSING ID")</x:f>
        <x:v>Heat-treated steel gear blanks</x:v>
      </x:c>
      <x:c r="F425" s="4" t="str">
        <x:f>IFERROR(INDEX('Items'!$C$6:$C$1005,MATCH(D425,'Items'!$A$6:$A$1005,0)),"MISSING ID")</x:f>
        <x:v>T3</x:v>
      </x:c>
      <x:c r="G425" s="4" t="str">
        <x:f>IFERROR(INDEX('Items'!$D$6:$D$1005,MATCH(D425,'Items'!$A$6:$A$1005,0)),"MISSING ID")</x:f>
        <x:v>Crafting components</x:v>
      </x:c>
      <x:c r="H425" s="4" t="str">
        <x:f>IFERROR(INDEX('Items'!$X$6:$X$1005,MATCH(D425,'Items'!$A$6:$A$1005,0)),"MISSING ID")</x:f>
        <x:v>Crafting component</x:v>
      </x:c>
      <x:c r="I425" s="4"/>
      <x:c r="J425" s="4" t="str">
        <x:v>Unspecified</x:v>
      </x:c>
      <x:c r="K425" s="4" t="str">
        <x:f>IFERROR(INDEX('Crafting recipes'!$D$6:$D$1005,MATCH(B425,'Crafting recipes'!$A$6:$A$1005,0)),"MISSING ID")</x:f>
        <x:v>Proposal</x:v>
      </x:c>
      <x:c r="L425" s="4" t="str">
        <x:f>IFERROR(INDEX('Items'!$AD$6:$AD$1005,MATCH(D425,'Items'!$A$6:$A$1005,0)),"MISSING ID")</x:f>
        <x:v>Proposal</x:v>
      </x:c>
      <x:c r="M425" s="4" t="str">
        <x:f>IFERROR(INDEX('Crafting recipes'!$E$6:$E$1005,MATCH(B425,'Crafting recipes'!$A$6:$A$1005,0)),"MISSING ID")</x:f>
        <x:v>Partial proposal</x:v>
      </x:c>
      <x:c r="N425" s="4" t="str">
        <x:v>Partial material route; no quantities, guarantees or accepted game recipe.</x:v>
      </x:c>
      <x:c r="O425" s="4" t="str">
        <x:v>New October 15 game brainstorming; current author request and Docs/WORLD_BASIS.md. Not retrieved source canon.</x:v>
      </x:c>
      <x:c r="P425" s="4" t="n">
        <x:f>IF(OR(C425="Ingredient candidate",C425="Consumed input",C425="Contained input",C425="Transform input"),IF(F425="T0",0,IF(F425="T1",1,IF(F425="T2",2,IF(F425="T3",3,IF(F425="T4",4,-1))))),-1)</x:f>
        <x:v>3</x:v>
      </x:c>
      <x:c r="Q425" s="4" t="n">
        <x:f>IF(AND(OR(C425="Ingredient candidate",C425="Consumed input",C425="Contained input",C425="Transform input"),P425=-1),1,0)</x:f>
        <x:v>0</x:v>
      </x:c>
    </x:row>
    <x:row r="426" ht="115" customHeight="1">
      <x:c r="A426" s="4" t="str">
        <x:v>design.t4.grinding_head.in.3</x:v>
      </x:c>
      <x:c r="B426" s="4" t="str">
        <x:v>design.t4.grinding_head</x:v>
      </x:c>
      <x:c r="C426" s="4" t="str">
        <x:v>Ingredient candidate</x:v>
      </x:c>
      <x:c r="D426" s="4" t="str">
        <x:v>proposal.branch.bearing_bronze</x:v>
      </x:c>
      <x:c r="E426" s="4" t="str">
        <x:f>IFERROR(INDEX('Items'!$B$6:$B$1005,MATCH(D426,'Items'!$A$6:$A$1005,0)),"MISSING ID")</x:f>
        <x:v>Prepared bronze bearing stock</x:v>
      </x:c>
      <x:c r="F426" s="4" t="str">
        <x:f>IFERROR(INDEX('Items'!$C$6:$C$1005,MATCH(D426,'Items'!$A$6:$A$1005,0)),"MISSING ID")</x:f>
        <x:v>T2</x:v>
      </x:c>
      <x:c r="G426" s="4" t="str">
        <x:f>IFERROR(INDEX('Items'!$D$6:$D$1005,MATCH(D426,'Items'!$A$6:$A$1005,0)),"MISSING ID")</x:f>
        <x:v>Manufactured stock</x:v>
      </x:c>
      <x:c r="H426" s="4" t="str">
        <x:f>IFERROR(INDEX('Items'!$X$6:$X$1005,MATCH(D426,'Items'!$A$6:$A$1005,0)),"MISSING ID")</x:f>
        <x:v>Processed material</x:v>
      </x:c>
      <x:c r="I426" s="4"/>
      <x:c r="J426" s="4" t="str">
        <x:v>Unspecified</x:v>
      </x:c>
      <x:c r="K426" s="4" t="str">
        <x:f>IFERROR(INDEX('Crafting recipes'!$D$6:$D$1005,MATCH(B426,'Crafting recipes'!$A$6:$A$1005,0)),"MISSING ID")</x:f>
        <x:v>Proposal</x:v>
      </x:c>
      <x:c r="L426" s="4" t="str">
        <x:f>IFERROR(INDEX('Items'!$AD$6:$AD$1005,MATCH(D426,'Items'!$A$6:$A$1005,0)),"MISSING ID")</x:f>
        <x:v>Proposal</x:v>
      </x:c>
      <x:c r="M426" s="4" t="str">
        <x:f>IFERROR(INDEX('Crafting recipes'!$E$6:$E$1005,MATCH(B426,'Crafting recipes'!$A$6:$A$1005,0)),"MISSING ID")</x:f>
        <x:v>Partial proposal</x:v>
      </x:c>
      <x:c r="N426" s="4" t="str">
        <x:v>Partial material route; no quantities, guarantees or accepted game recipe.</x:v>
      </x:c>
      <x:c r="O426" s="4" t="str">
        <x:v>New October 15 game brainstorming; current author request and Docs/WORLD_BASIS.md. Not retrieved source canon.</x:v>
      </x:c>
      <x:c r="P426" s="4" t="n">
        <x:f>IF(OR(C426="Ingredient candidate",C426="Consumed input",C426="Contained input",C426="Transform input"),IF(F426="T0",0,IF(F426="T1",1,IF(F426="T2",2,IF(F426="T3",3,IF(F426="T4",4,-1))))),-1)</x:f>
        <x:v>2</x:v>
      </x:c>
      <x:c r="Q426" s="4" t="n">
        <x:f>IF(AND(OR(C426="Ingredient candidate",C426="Consumed input",C426="Contained input",C426="Transform input"),P426=-1),1,0)</x:f>
        <x:v>0</x:v>
      </x:c>
    </x:row>
    <x:row r="427" ht="115" customHeight="1">
      <x:c r="A427" s="4" t="str">
        <x:v>design.t4.grinding_head.out</x:v>
      </x:c>
      <x:c r="B427" s="4" t="str">
        <x:v>design.t4.grinding_head</x:v>
      </x:c>
      <x:c r="C427" s="4" t="str">
        <x:v>Output</x:v>
      </x:c>
      <x:c r="D427" s="4" t="str">
        <x:v>proposal.t4.grinding_head</x:v>
      </x:c>
      <x:c r="E427" s="4" t="str">
        <x:f>IFERROR(INDEX('Items'!$B$6:$B$1005,MATCH(D427,'Items'!$A$6:$A$1005,0)),"MISSING ID")</x:f>
        <x:v>Replaceable abrasive-head assembly</x:v>
      </x:c>
      <x:c r="F427" s="4" t="str">
        <x:f>IFERROR(INDEX('Items'!$C$6:$C$1005,MATCH(D427,'Items'!$A$6:$A$1005,0)),"MISSING ID")</x:f>
        <x:v>T4</x:v>
      </x:c>
      <x:c r="G427" s="4" t="str">
        <x:f>IFERROR(INDEX('Items'!$D$6:$D$1005,MATCH(D427,'Items'!$A$6:$A$1005,0)),"MISSING ID")</x:f>
        <x:v>Crafting components</x:v>
      </x:c>
      <x:c r="H427" s="4" t="str">
        <x:f>IFERROR(INDEX('Items'!$X$6:$X$1005,MATCH(D427,'Items'!$A$6:$A$1005,0)),"MISSING ID")</x:f>
        <x:v>Crafting component</x:v>
      </x:c>
      <x:c r="I427" s="4"/>
      <x:c r="J427" s="4" t="str">
        <x:v>Unspecified</x:v>
      </x:c>
      <x:c r="K427" s="4" t="str">
        <x:f>IFERROR(INDEX('Crafting recipes'!$D$6:$D$1005,MATCH(B427,'Crafting recipes'!$A$6:$A$1005,0)),"MISSING ID")</x:f>
        <x:v>Proposal</x:v>
      </x:c>
      <x:c r="L427" s="4" t="str">
        <x:f>IFERROR(INDEX('Items'!$AD$6:$AD$1005,MATCH(D427,'Items'!$A$6:$A$1005,0)),"MISSING ID")</x:f>
        <x:v>Proposal</x:v>
      </x:c>
      <x:c r="M427" s="4" t="str">
        <x:f>IFERROR(INDEX('Crafting recipes'!$E$6:$E$1005,MATCH(B427,'Crafting recipes'!$A$6:$A$1005,0)),"MISSING ID")</x:f>
        <x:v>Partial proposal</x:v>
      </x:c>
      <x:c r="N427" s="4" t="str">
        <x:v>Partial material route; no quantities, guarantees or accepted game recipe.</x:v>
      </x:c>
      <x:c r="O427" s="4" t="str">
        <x:v>New October 15 game brainstorming; current author request and Docs/WORLD_BASIS.md. Not retrieved source canon.</x:v>
      </x:c>
      <x:c r="P427" s="4" t="n">
        <x:f>IF(OR(C427="Ingredient candidate",C427="Consumed input",C427="Contained input",C427="Transform input"),IF(F427="T0",0,IF(F427="T1",1,IF(F427="T2",2,IF(F427="T3",3,IF(F427="T4",4,-1))))),-1)</x:f>
        <x:v>-1</x:v>
      </x:c>
      <x:c r="Q427" s="4" t="n">
        <x:f>IF(AND(OR(C427="Ingredient candidate",C427="Consumed input",C427="Contained input",C427="Transform input"),P427=-1),1,0)</x:f>
        <x:v>0</x:v>
      </x:c>
    </x:row>
    <x:row r="428" ht="115" customHeight="1">
      <x:c r="A428" s="4" t="str">
        <x:v>design.t4.insulating_board.in.1</x:v>
      </x:c>
      <x:c r="B428" s="4" t="str">
        <x:v>design.t4.insulating_board</x:v>
      </x:c>
      <x:c r="C428" s="4" t="str">
        <x:v>Ingredient candidate</x:v>
      </x:c>
      <x:c r="D428" s="4" t="str">
        <x:v>proposal.branch.husk_composite</x:v>
      </x:c>
      <x:c r="E428" s="4" t="str">
        <x:f>IFERROR(INDEX('Items'!$B$6:$B$1005,MATCH(D428,'Items'!$A$6:$A$1005,0)),"MISSING ID")</x:f>
        <x:v>Layered husk composite stock</x:v>
      </x:c>
      <x:c r="F428" s="4" t="str">
        <x:f>IFERROR(INDEX('Items'!$C$6:$C$1005,MATCH(D428,'Items'!$A$6:$A$1005,0)),"MISSING ID")</x:f>
        <x:v>T3</x:v>
      </x:c>
      <x:c r="G428" s="4" t="str">
        <x:f>IFERROR(INDEX('Items'!$D$6:$D$1005,MATCH(D428,'Items'!$A$6:$A$1005,0)),"MISSING ID")</x:f>
        <x:v>Manufactured stock</x:v>
      </x:c>
      <x:c r="H428" s="4" t="str">
        <x:f>IFERROR(INDEX('Items'!$X$6:$X$1005,MATCH(D428,'Items'!$A$6:$A$1005,0)),"MISSING ID")</x:f>
        <x:v>Processed material</x:v>
      </x:c>
      <x:c r="I428" s="4"/>
      <x:c r="J428" s="4" t="str">
        <x:v>Unspecified</x:v>
      </x:c>
      <x:c r="K428" s="4" t="str">
        <x:f>IFERROR(INDEX('Crafting recipes'!$D$6:$D$1005,MATCH(B428,'Crafting recipes'!$A$6:$A$1005,0)),"MISSING ID")</x:f>
        <x:v>Proposal</x:v>
      </x:c>
      <x:c r="L428" s="4" t="str">
        <x:f>IFERROR(INDEX('Items'!$AD$6:$AD$1005,MATCH(D428,'Items'!$A$6:$A$1005,0)),"MISSING ID")</x:f>
        <x:v>Proposal</x:v>
      </x:c>
      <x:c r="M428" s="4" t="str">
        <x:f>IFERROR(INDEX('Crafting recipes'!$E$6:$E$1005,MATCH(B428,'Crafting recipes'!$A$6:$A$1005,0)),"MISSING ID")</x:f>
        <x:v>Partial proposal</x:v>
      </x:c>
      <x:c r="N428" s="4" t="str">
        <x:v>Partial material route; no quantities, guarantees or accepted game recipe.</x:v>
      </x:c>
      <x:c r="O428" s="4" t="str">
        <x:v>New October 15 game brainstorming; current author request and Docs/WORLD_BASIS.md. Not retrieved source canon.</x:v>
      </x:c>
      <x:c r="P428" s="4" t="n">
        <x:f>IF(OR(C428="Ingredient candidate",C428="Consumed input",C428="Contained input",C428="Transform input"),IF(F428="T0",0,IF(F428="T1",1,IF(F428="T2",2,IF(F428="T3",3,IF(F428="T4",4,-1))))),-1)</x:f>
        <x:v>3</x:v>
      </x:c>
      <x:c r="Q428" s="4" t="n">
        <x:f>IF(AND(OR(C428="Ingredient candidate",C428="Consumed input",C428="Contained input",C428="Transform input"),P428=-1),1,0)</x:f>
        <x:v>0</x:v>
      </x:c>
    </x:row>
    <x:row r="429" ht="115" customHeight="1">
      <x:c r="A429" s="4" t="str">
        <x:v>design.t4.insulating_board.in.2</x:v>
      </x:c>
      <x:c r="B429" s="4" t="str">
        <x:v>design.t4.insulating_board</x:v>
      </x:c>
      <x:c r="C429" s="4" t="str">
        <x:v>Ingredient candidate</x:v>
      </x:c>
      <x:c r="D429" s="4" t="str">
        <x:v>proposal.branch.sealing_sheet</x:v>
      </x:c>
      <x:c r="E429" s="4" t="str">
        <x:f>IFERROR(INDEX('Items'!$B$6:$B$1005,MATCH(D429,'Items'!$A$6:$A$1005,0)),"MISSING ID")</x:f>
        <x:v>Reinforced sealing sheet</x:v>
      </x:c>
      <x:c r="F429" s="4" t="str">
        <x:f>IFERROR(INDEX('Items'!$C$6:$C$1005,MATCH(D429,'Items'!$A$6:$A$1005,0)),"MISSING ID")</x:f>
        <x:v>T3</x:v>
      </x:c>
      <x:c r="G429" s="4" t="str">
        <x:f>IFERROR(INDEX('Items'!$D$6:$D$1005,MATCH(D429,'Items'!$A$6:$A$1005,0)),"MISSING ID")</x:f>
        <x:v>Manufactured stock</x:v>
      </x:c>
      <x:c r="H429" s="4" t="str">
        <x:f>IFERROR(INDEX('Items'!$X$6:$X$1005,MATCH(D429,'Items'!$A$6:$A$1005,0)),"MISSING ID")</x:f>
        <x:v>Processed material</x:v>
      </x:c>
      <x:c r="I429" s="4"/>
      <x:c r="J429" s="4" t="str">
        <x:v>Unspecified</x:v>
      </x:c>
      <x:c r="K429" s="4" t="str">
        <x:f>IFERROR(INDEX('Crafting recipes'!$D$6:$D$1005,MATCH(B429,'Crafting recipes'!$A$6:$A$1005,0)),"MISSING ID")</x:f>
        <x:v>Proposal</x:v>
      </x:c>
      <x:c r="L429" s="4" t="str">
        <x:f>IFERROR(INDEX('Items'!$AD$6:$AD$1005,MATCH(D429,'Items'!$A$6:$A$1005,0)),"MISSING ID")</x:f>
        <x:v>Proposal</x:v>
      </x:c>
      <x:c r="M429" s="4" t="str">
        <x:f>IFERROR(INDEX('Crafting recipes'!$E$6:$E$1005,MATCH(B429,'Crafting recipes'!$A$6:$A$1005,0)),"MISSING ID")</x:f>
        <x:v>Partial proposal</x:v>
      </x:c>
      <x:c r="N429" s="4" t="str">
        <x:v>Partial material route; no quantities, guarantees or accepted game recipe.</x:v>
      </x:c>
      <x:c r="O429" s="4" t="str">
        <x:v>New October 15 game brainstorming; current author request and Docs/WORLD_BASIS.md. Not retrieved source canon.</x:v>
      </x:c>
      <x:c r="P429" s="4" t="n">
        <x:f>IF(OR(C429="Ingredient candidate",C429="Consumed input",C429="Contained input",C429="Transform input"),IF(F429="T0",0,IF(F429="T1",1,IF(F429="T2",2,IF(F429="T3",3,IF(F429="T4",4,-1))))),-1)</x:f>
        <x:v>3</x:v>
      </x:c>
      <x:c r="Q429" s="4" t="n">
        <x:f>IF(AND(OR(C429="Ingredient candidate",C429="Consumed input",C429="Contained input",C429="Transform input"),P429=-1),1,0)</x:f>
        <x:v>0</x:v>
      </x:c>
    </x:row>
    <x:row r="430" ht="115" customHeight="1">
      <x:c r="A430" s="4" t="str">
        <x:v>design.t4.insulating_board.in.3</x:v>
      </x:c>
      <x:c r="B430" s="4" t="str">
        <x:v>design.t4.insulating_board</x:v>
      </x:c>
      <x:c r="C430" s="4" t="str">
        <x:v>Ingredient candidate</x:v>
      </x:c>
      <x:c r="D430" s="4" t="str">
        <x:v>proposal.branch.mica_sheet</x:v>
      </x:c>
      <x:c r="E430" s="4" t="str">
        <x:f>IFERROR(INDEX('Items'!$B$6:$B$1005,MATCH(D430,'Items'!$A$6:$A$1005,0)),"MISSING ID")</x:f>
        <x:v>Mica composite sheet</x:v>
      </x:c>
      <x:c r="F430" s="4" t="str">
        <x:f>IFERROR(INDEX('Items'!$C$6:$C$1005,MATCH(D430,'Items'!$A$6:$A$1005,0)),"MISSING ID")</x:f>
        <x:v>T2</x:v>
      </x:c>
      <x:c r="G430" s="4" t="str">
        <x:f>IFERROR(INDEX('Items'!$D$6:$D$1005,MATCH(D430,'Items'!$A$6:$A$1005,0)),"MISSING ID")</x:f>
        <x:v>Manufactured stock</x:v>
      </x:c>
      <x:c r="H430" s="4" t="str">
        <x:f>IFERROR(INDEX('Items'!$X$6:$X$1005,MATCH(D430,'Items'!$A$6:$A$1005,0)),"MISSING ID")</x:f>
        <x:v>Processed material</x:v>
      </x:c>
      <x:c r="I430" s="4"/>
      <x:c r="J430" s="4" t="str">
        <x:v>Unspecified</x:v>
      </x:c>
      <x:c r="K430" s="4" t="str">
        <x:f>IFERROR(INDEX('Crafting recipes'!$D$6:$D$1005,MATCH(B430,'Crafting recipes'!$A$6:$A$1005,0)),"MISSING ID")</x:f>
        <x:v>Proposal</x:v>
      </x:c>
      <x:c r="L430" s="4" t="str">
        <x:f>IFERROR(INDEX('Items'!$AD$6:$AD$1005,MATCH(D430,'Items'!$A$6:$A$1005,0)),"MISSING ID")</x:f>
        <x:v>Proposal</x:v>
      </x:c>
      <x:c r="M430" s="4" t="str">
        <x:f>IFERROR(INDEX('Crafting recipes'!$E$6:$E$1005,MATCH(B430,'Crafting recipes'!$A$6:$A$1005,0)),"MISSING ID")</x:f>
        <x:v>Partial proposal</x:v>
      </x:c>
      <x:c r="N430" s="4" t="str">
        <x:v>Partial material route; no quantities, guarantees or accepted game recipe.</x:v>
      </x:c>
      <x:c r="O430" s="4" t="str">
        <x:v>New October 15 game brainstorming; current author request and Docs/WORLD_BASIS.md. Not retrieved source canon.</x:v>
      </x:c>
      <x:c r="P430" s="4" t="n">
        <x:f>IF(OR(C430="Ingredient candidate",C430="Consumed input",C430="Contained input",C430="Transform input"),IF(F430="T0",0,IF(F430="T1",1,IF(F430="T2",2,IF(F430="T3",3,IF(F430="T4",4,-1))))),-1)</x:f>
        <x:v>2</x:v>
      </x:c>
      <x:c r="Q430" s="4" t="n">
        <x:f>IF(AND(OR(C430="Ingredient candidate",C430="Consumed input",C430="Contained input",C430="Transform input"),P430=-1),1,0)</x:f>
        <x:v>0</x:v>
      </x:c>
    </x:row>
    <x:row r="431" ht="115" customHeight="1">
      <x:c r="A431" s="4" t="str">
        <x:v>design.t4.insulating_board.out</x:v>
      </x:c>
      <x:c r="B431" s="4" t="str">
        <x:v>design.t4.insulating_board</x:v>
      </x:c>
      <x:c r="C431" s="4" t="str">
        <x:v>Output</x:v>
      </x:c>
      <x:c r="D431" s="4" t="str">
        <x:v>proposal.t4.insulating_board</x:v>
      </x:c>
      <x:c r="E431" s="4" t="str">
        <x:f>IFERROR(INDEX('Items'!$B$6:$B$1005,MATCH(D431,'Items'!$A$6:$A$1005,0)),"MISSING ID")</x:f>
        <x:v>Pressed mineral-husk insulating board</x:v>
      </x:c>
      <x:c r="F431" s="4" t="str">
        <x:f>IFERROR(INDEX('Items'!$C$6:$C$1005,MATCH(D431,'Items'!$A$6:$A$1005,0)),"MISSING ID")</x:f>
        <x:v>T4</x:v>
      </x:c>
      <x:c r="G431" s="4" t="str">
        <x:f>IFERROR(INDEX('Items'!$D$6:$D$1005,MATCH(D431,'Items'!$A$6:$A$1005,0)),"MISSING ID")</x:f>
        <x:v>Manufactured stock</x:v>
      </x:c>
      <x:c r="H431" s="4" t="str">
        <x:f>IFERROR(INDEX('Items'!$X$6:$X$1005,MATCH(D431,'Items'!$A$6:$A$1005,0)),"MISSING ID")</x:f>
        <x:v>Processed material</x:v>
      </x:c>
      <x:c r="I431" s="4"/>
      <x:c r="J431" s="4" t="str">
        <x:v>Unspecified</x:v>
      </x:c>
      <x:c r="K431" s="4" t="str">
        <x:f>IFERROR(INDEX('Crafting recipes'!$D$6:$D$1005,MATCH(B431,'Crafting recipes'!$A$6:$A$1005,0)),"MISSING ID")</x:f>
        <x:v>Proposal</x:v>
      </x:c>
      <x:c r="L431" s="4" t="str">
        <x:f>IFERROR(INDEX('Items'!$AD$6:$AD$1005,MATCH(D431,'Items'!$A$6:$A$1005,0)),"MISSING ID")</x:f>
        <x:v>Proposal</x:v>
      </x:c>
      <x:c r="M431" s="4" t="str">
        <x:f>IFERROR(INDEX('Crafting recipes'!$E$6:$E$1005,MATCH(B431,'Crafting recipes'!$A$6:$A$1005,0)),"MISSING ID")</x:f>
        <x:v>Partial proposal</x:v>
      </x:c>
      <x:c r="N431" s="4" t="str">
        <x:v>Partial material route; no quantities, guarantees or accepted game recipe.</x:v>
      </x:c>
      <x:c r="O431" s="4" t="str">
        <x:v>New October 15 game brainstorming; current author request and Docs/WORLD_BASIS.md. Not retrieved source canon.</x:v>
      </x:c>
      <x:c r="P431" s="4" t="n">
        <x:f>IF(OR(C431="Ingredient candidate",C431="Consumed input",C431="Contained input",C431="Transform input"),IF(F431="T0",0,IF(F431="T1",1,IF(F431="T2",2,IF(F431="T3",3,IF(F431="T4",4,-1))))),-1)</x:f>
        <x:v>-1</x:v>
      </x:c>
      <x:c r="Q431" s="4" t="n">
        <x:f>IF(AND(OR(C431="Ingredient candidate",C431="Consumed input",C431="Contained input",C431="Transform input"),P431=-1),1,0)</x:f>
        <x:v>0</x:v>
      </x:c>
    </x:row>
    <x:row r="432" ht="115" customHeight="1">
      <x:c r="A432" s="4" t="str">
        <x:v>design.t4.decorative_veneer.in.1</x:v>
      </x:c>
      <x:c r="B432" s="4" t="str">
        <x:v>design.t4.decorative_veneer</x:v>
      </x:c>
      <x:c r="C432" s="4" t="str">
        <x:v>Ingredient candidate</x:v>
      </x:c>
      <x:c r="D432" s="4" t="str">
        <x:v>proposal.t3.inlay_stock</x:v>
      </x:c>
      <x:c r="E432" s="4" t="str">
        <x:f>IFERROR(INDEX('Items'!$B$6:$B$1005,MATCH(D432,'Items'!$A$6:$A$1005,0)),"MISSING ID")</x:f>
        <x:v>Gem-inlaid metal panel blanks</x:v>
      </x:c>
      <x:c r="F432" s="4" t="str">
        <x:f>IFERROR(INDEX('Items'!$C$6:$C$1005,MATCH(D432,'Items'!$A$6:$A$1005,0)),"MISSING ID")</x:f>
        <x:v>T3</x:v>
      </x:c>
      <x:c r="G432" s="4" t="str">
        <x:f>IFERROR(INDEX('Items'!$D$6:$D$1005,MATCH(D432,'Items'!$A$6:$A$1005,0)),"MISSING ID")</x:f>
        <x:v>Manufactured stock</x:v>
      </x:c>
      <x:c r="H432" s="4" t="str">
        <x:f>IFERROR(INDEX('Items'!$X$6:$X$1005,MATCH(D432,'Items'!$A$6:$A$1005,0)),"MISSING ID")</x:f>
        <x:v>Processed material</x:v>
      </x:c>
      <x:c r="I432" s="4"/>
      <x:c r="J432" s="4" t="str">
        <x:v>Unspecified</x:v>
      </x:c>
      <x:c r="K432" s="4" t="str">
        <x:f>IFERROR(INDEX('Crafting recipes'!$D$6:$D$1005,MATCH(B432,'Crafting recipes'!$A$6:$A$1005,0)),"MISSING ID")</x:f>
        <x:v>Proposal</x:v>
      </x:c>
      <x:c r="L432" s="4" t="str">
        <x:f>IFERROR(INDEX('Items'!$AD$6:$AD$1005,MATCH(D432,'Items'!$A$6:$A$1005,0)),"MISSING ID")</x:f>
        <x:v>Proposal</x:v>
      </x:c>
      <x:c r="M432" s="4" t="str">
        <x:f>IFERROR(INDEX('Crafting recipes'!$E$6:$E$1005,MATCH(B432,'Crafting recipes'!$A$6:$A$1005,0)),"MISSING ID")</x:f>
        <x:v>Partial proposal</x:v>
      </x:c>
      <x:c r="N432" s="4" t="str">
        <x:v>Partial material route; no quantities, guarantees or accepted game recipe.</x:v>
      </x:c>
      <x:c r="O432" s="4" t="str">
        <x:v>New October 15 game brainstorming; current author request and Docs/WORLD_BASIS.md. Not retrieved source canon.</x:v>
      </x:c>
      <x:c r="P432" s="4" t="n">
        <x:f>IF(OR(C432="Ingredient candidate",C432="Consumed input",C432="Contained input",C432="Transform input"),IF(F432="T0",0,IF(F432="T1",1,IF(F432="T2",2,IF(F432="T3",3,IF(F432="T4",4,-1))))),-1)</x:f>
        <x:v>3</x:v>
      </x:c>
      <x:c r="Q432" s="4" t="n">
        <x:f>IF(AND(OR(C432="Ingredient candidate",C432="Consumed input",C432="Contained input",C432="Transform input"),P432=-1),1,0)</x:f>
        <x:v>0</x:v>
      </x:c>
    </x:row>
    <x:row r="433" ht="115" customHeight="1">
      <x:c r="A433" s="4" t="str">
        <x:v>design.t4.decorative_veneer.in.2</x:v>
      </x:c>
      <x:c r="B433" s="4" t="str">
        <x:v>design.t4.decorative_veneer</x:v>
      </x:c>
      <x:c r="C433" s="4" t="str">
        <x:v>Ingredient candidate</x:v>
      </x:c>
      <x:c r="D433" s="4" t="str">
        <x:v>proposal.branch.decorative_husk</x:v>
      </x:c>
      <x:c r="E433" s="4" t="str">
        <x:f>IFERROR(INDEX('Items'!$B$6:$B$1005,MATCH(D433,'Items'!$A$6:$A$1005,0)),"MISSING ID")</x:f>
        <x:v>Finished decorative husk stock</x:v>
      </x:c>
      <x:c r="F433" s="4" t="str">
        <x:f>IFERROR(INDEX('Items'!$C$6:$C$1005,MATCH(D433,'Items'!$A$6:$A$1005,0)),"MISSING ID")</x:f>
        <x:v>T3</x:v>
      </x:c>
      <x:c r="G433" s="4" t="str">
        <x:f>IFERROR(INDEX('Items'!$D$6:$D$1005,MATCH(D433,'Items'!$A$6:$A$1005,0)),"MISSING ID")</x:f>
        <x:v>Manufactured stock</x:v>
      </x:c>
      <x:c r="H433" s="4" t="str">
        <x:f>IFERROR(INDEX('Items'!$X$6:$X$1005,MATCH(D433,'Items'!$A$6:$A$1005,0)),"MISSING ID")</x:f>
        <x:v>Processed material</x:v>
      </x:c>
      <x:c r="I433" s="4"/>
      <x:c r="J433" s="4" t="str">
        <x:v>Unspecified</x:v>
      </x:c>
      <x:c r="K433" s="4" t="str">
        <x:f>IFERROR(INDEX('Crafting recipes'!$D$6:$D$1005,MATCH(B433,'Crafting recipes'!$A$6:$A$1005,0)),"MISSING ID")</x:f>
        <x:v>Proposal</x:v>
      </x:c>
      <x:c r="L433" s="4" t="str">
        <x:f>IFERROR(INDEX('Items'!$AD$6:$AD$1005,MATCH(D433,'Items'!$A$6:$A$1005,0)),"MISSING ID")</x:f>
        <x:v>Proposal</x:v>
      </x:c>
      <x:c r="M433" s="4" t="str">
        <x:f>IFERROR(INDEX('Crafting recipes'!$E$6:$E$1005,MATCH(B433,'Crafting recipes'!$A$6:$A$1005,0)),"MISSING ID")</x:f>
        <x:v>Partial proposal</x:v>
      </x:c>
      <x:c r="N433" s="4" t="str">
        <x:v>Partial material route; no quantities, guarantees or accepted game recipe.</x:v>
      </x:c>
      <x:c r="O433" s="4" t="str">
        <x:v>New October 15 game brainstorming; current author request and Docs/WORLD_BASIS.md. Not retrieved source canon.</x:v>
      </x:c>
      <x:c r="P433" s="4" t="n">
        <x:f>IF(OR(C433="Ingredient candidate",C433="Consumed input",C433="Contained input",C433="Transform input"),IF(F433="T0",0,IF(F433="T1",1,IF(F433="T2",2,IF(F433="T3",3,IF(F433="T4",4,-1))))),-1)</x:f>
        <x:v>3</x:v>
      </x:c>
      <x:c r="Q433" s="4" t="n">
        <x:f>IF(AND(OR(C433="Ingredient candidate",C433="Consumed input",C433="Contained input",C433="Transform input"),P433=-1),1,0)</x:f>
        <x:v>0</x:v>
      </x:c>
    </x:row>
    <x:row r="434" ht="115" customHeight="1">
      <x:c r="A434" s="4" t="str">
        <x:v>design.t4.decorative_veneer.in.3</x:v>
      </x:c>
      <x:c r="B434" s="4" t="str">
        <x:v>design.t4.decorative_veneer</x:v>
      </x:c>
      <x:c r="C434" s="4" t="str">
        <x:v>Ingredient candidate</x:v>
      </x:c>
      <x:c r="D434" s="4" t="str">
        <x:v>proposal.branch.flex_bond</x:v>
      </x:c>
      <x:c r="E434" s="4" t="str">
        <x:f>IFERROR(INDEX('Items'!$B$6:$B$1005,MATCH(D434,'Items'!$A$6:$A$1005,0)),"MISSING ID")</x:f>
        <x:v>Flexible membrane-bonding compound</x:v>
      </x:c>
      <x:c r="F434" s="4" t="str">
        <x:f>IFERROR(INDEX('Items'!$C$6:$C$1005,MATCH(D434,'Items'!$A$6:$A$1005,0)),"MISSING ID")</x:f>
        <x:v>T2</x:v>
      </x:c>
      <x:c r="G434" s="4" t="str">
        <x:f>IFERROR(INDEX('Items'!$D$6:$D$1005,MATCH(D434,'Items'!$A$6:$A$1005,0)),"MISSING ID")</x:f>
        <x:v>Crafting components</x:v>
      </x:c>
      <x:c r="H434" s="4" t="str">
        <x:f>IFERROR(INDEX('Items'!$X$6:$X$1005,MATCH(D434,'Items'!$A$6:$A$1005,0)),"MISSING ID")</x:f>
        <x:v>Chemical material</x:v>
      </x:c>
      <x:c r="I434" s="4"/>
      <x:c r="J434" s="4" t="str">
        <x:v>Unspecified</x:v>
      </x:c>
      <x:c r="K434" s="4" t="str">
        <x:f>IFERROR(INDEX('Crafting recipes'!$D$6:$D$1005,MATCH(B434,'Crafting recipes'!$A$6:$A$1005,0)),"MISSING ID")</x:f>
        <x:v>Proposal</x:v>
      </x:c>
      <x:c r="L434" s="4" t="str">
        <x:f>IFERROR(INDEX('Items'!$AD$6:$AD$1005,MATCH(D434,'Items'!$A$6:$A$1005,0)),"MISSING ID")</x:f>
        <x:v>Proposal</x:v>
      </x:c>
      <x:c r="M434" s="4" t="str">
        <x:f>IFERROR(INDEX('Crafting recipes'!$E$6:$E$1005,MATCH(B434,'Crafting recipes'!$A$6:$A$1005,0)),"MISSING ID")</x:f>
        <x:v>Partial proposal</x:v>
      </x:c>
      <x:c r="N434" s="4" t="str">
        <x:v>Partial material route; no quantities, guarantees or accepted game recipe.</x:v>
      </x:c>
      <x:c r="O434" s="4" t="str">
        <x:v>New October 15 game brainstorming; current author request and Docs/WORLD_BASIS.md. Not retrieved source canon.</x:v>
      </x:c>
      <x:c r="P434" s="4" t="n">
        <x:f>IF(OR(C434="Ingredient candidate",C434="Consumed input",C434="Contained input",C434="Transform input"),IF(F434="T0",0,IF(F434="T1",1,IF(F434="T2",2,IF(F434="T3",3,IF(F434="T4",4,-1))))),-1)</x:f>
        <x:v>2</x:v>
      </x:c>
      <x:c r="Q434" s="4" t="n">
        <x:f>IF(AND(OR(C434="Ingredient candidate",C434="Consumed input",C434="Contained input",C434="Transform input"),P434=-1),1,0)</x:f>
        <x:v>0</x:v>
      </x:c>
    </x:row>
    <x:row r="435" ht="115" customHeight="1">
      <x:c r="A435" s="4" t="str">
        <x:v>design.t4.decorative_veneer.out</x:v>
      </x:c>
      <x:c r="B435" s="4" t="str">
        <x:v>design.t4.decorative_veneer</x:v>
      </x:c>
      <x:c r="C435" s="4" t="str">
        <x:v>Output</x:v>
      </x:c>
      <x:c r="D435" s="4" t="str">
        <x:v>proposal.t4.decorative_veneer</x:v>
      </x:c>
      <x:c r="E435" s="4" t="str">
        <x:f>IFERROR(INDEX('Items'!$B$6:$B$1005,MATCH(D435,'Items'!$A$6:$A$1005,0)),"MISSING ID")</x:f>
        <x:v>Layered ceremonial inlay stock</x:v>
      </x:c>
      <x:c r="F435" s="4" t="str">
        <x:f>IFERROR(INDEX('Items'!$C$6:$C$1005,MATCH(D435,'Items'!$A$6:$A$1005,0)),"MISSING ID")</x:f>
        <x:v>T4</x:v>
      </x:c>
      <x:c r="G435" s="4" t="str">
        <x:f>IFERROR(INDEX('Items'!$D$6:$D$1005,MATCH(D435,'Items'!$A$6:$A$1005,0)),"MISSING ID")</x:f>
        <x:v>Manufactured stock</x:v>
      </x:c>
      <x:c r="H435" s="4" t="str">
        <x:f>IFERROR(INDEX('Items'!$X$6:$X$1005,MATCH(D435,'Items'!$A$6:$A$1005,0)),"MISSING ID")</x:f>
        <x:v>Processed material</x:v>
      </x:c>
      <x:c r="I435" s="4"/>
      <x:c r="J435" s="4" t="str">
        <x:v>Unspecified</x:v>
      </x:c>
      <x:c r="K435" s="4" t="str">
        <x:f>IFERROR(INDEX('Crafting recipes'!$D$6:$D$1005,MATCH(B435,'Crafting recipes'!$A$6:$A$1005,0)),"MISSING ID")</x:f>
        <x:v>Proposal</x:v>
      </x:c>
      <x:c r="L435" s="4" t="str">
        <x:f>IFERROR(INDEX('Items'!$AD$6:$AD$1005,MATCH(D435,'Items'!$A$6:$A$1005,0)),"MISSING ID")</x:f>
        <x:v>Proposal</x:v>
      </x:c>
      <x:c r="M435" s="4" t="str">
        <x:f>IFERROR(INDEX('Crafting recipes'!$E$6:$E$1005,MATCH(B435,'Crafting recipes'!$A$6:$A$1005,0)),"MISSING ID")</x:f>
        <x:v>Partial proposal</x:v>
      </x:c>
      <x:c r="N435" s="4" t="str">
        <x:v>Partial material route; no quantities, guarantees or accepted game recipe.</x:v>
      </x:c>
      <x:c r="O435" s="4" t="str">
        <x:v>New October 15 game brainstorming; current author request and Docs/WORLD_BASIS.md. Not retrieved source canon.</x:v>
      </x:c>
      <x:c r="P435" s="4" t="n">
        <x:f>IF(OR(C435="Ingredient candidate",C435="Consumed input",C435="Contained input",C435="Transform input"),IF(F435="T0",0,IF(F435="T1",1,IF(F435="T2",2,IF(F435="T3",3,IF(F435="T4",4,-1))))),-1)</x:f>
        <x:v>-1</x:v>
      </x:c>
      <x:c r="Q435" s="4" t="n">
        <x:f>IF(AND(OR(C435="Ingredient candidate",C435="Consumed input",C435="Contained input",C435="Transform input"),P435=-1),1,0)</x:f>
        <x:v>0</x:v>
      </x:c>
    </x:row>
    <x:row r="436" ht="115" customHeight="1">
      <x:c r="A436" s="4" t="str">
        <x:v>design.t4.acoustic_cassette.in.1</x:v>
      </x:c>
      <x:c r="B436" s="4" t="str">
        <x:v>design.t4.acoustic_cassette</x:v>
      </x:c>
      <x:c r="C436" s="4" t="str">
        <x:v>Ingredient candidate</x:v>
      </x:c>
      <x:c r="D436" s="4" t="str">
        <x:v>proposal.t3.tuned_insert</x:v>
      </x:c>
      <x:c r="E436" s="4" t="str">
        <x:f>IFERROR(INDEX('Items'!$B$6:$B$1005,MATCH(D436,'Items'!$A$6:$A$1005,0)),"MISSING ID")</x:f>
        <x:v>Mounted tuned-stone inserts</x:v>
      </x:c>
      <x:c r="F436" s="4" t="str">
        <x:f>IFERROR(INDEX('Items'!$C$6:$C$1005,MATCH(D436,'Items'!$A$6:$A$1005,0)),"MISSING ID")</x:f>
        <x:v>T3</x:v>
      </x:c>
      <x:c r="G436" s="4" t="str">
        <x:f>IFERROR(INDEX('Items'!$D$6:$D$1005,MATCH(D436,'Items'!$A$6:$A$1005,0)),"MISSING ID")</x:f>
        <x:v>Crafting components</x:v>
      </x:c>
      <x:c r="H436" s="4" t="str">
        <x:f>IFERROR(INDEX('Items'!$X$6:$X$1005,MATCH(D436,'Items'!$A$6:$A$1005,0)),"MISSING ID")</x:f>
        <x:v>Crafting component</x:v>
      </x:c>
      <x:c r="I436" s="4"/>
      <x:c r="J436" s="4" t="str">
        <x:v>Unspecified</x:v>
      </x:c>
      <x:c r="K436" s="4" t="str">
        <x:f>IFERROR(INDEX('Crafting recipes'!$D$6:$D$1005,MATCH(B436,'Crafting recipes'!$A$6:$A$1005,0)),"MISSING ID")</x:f>
        <x:v>Proposal</x:v>
      </x:c>
      <x:c r="L436" s="4" t="str">
        <x:f>IFERROR(INDEX('Items'!$AD$6:$AD$1005,MATCH(D436,'Items'!$A$6:$A$1005,0)),"MISSING ID")</x:f>
        <x:v>Proposal</x:v>
      </x:c>
      <x:c r="M436" s="4" t="str">
        <x:f>IFERROR(INDEX('Crafting recipes'!$E$6:$E$1005,MATCH(B436,'Crafting recipes'!$A$6:$A$1005,0)),"MISSING ID")</x:f>
        <x:v>Partial proposal</x:v>
      </x:c>
      <x:c r="N436" s="4" t="str">
        <x:v>Partial material route; no quantities, guarantees or accepted game recipe.</x:v>
      </x:c>
      <x:c r="O436" s="4" t="str">
        <x:v>New October 15 game brainstorming; current author request and Docs/WORLD_BASIS.md. Not retrieved source canon.</x:v>
      </x:c>
      <x:c r="P436" s="4" t="n">
        <x:f>IF(OR(C436="Ingredient candidate",C436="Consumed input",C436="Contained input",C436="Transform input"),IF(F436="T0",0,IF(F436="T1",1,IF(F436="T2",2,IF(F436="T3",3,IF(F436="T4",4,-1))))),-1)</x:f>
        <x:v>3</x:v>
      </x:c>
      <x:c r="Q436" s="4" t="n">
        <x:f>IF(AND(OR(C436="Ingredient candidate",C436="Consumed input",C436="Contained input",C436="Transform input"),P436=-1),1,0)</x:f>
        <x:v>0</x:v>
      </x:c>
    </x:row>
    <x:row r="437" ht="115" customHeight="1">
      <x:c r="A437" s="4" t="str">
        <x:v>design.t4.acoustic_cassette.in.2</x:v>
      </x:c>
      <x:c r="B437" s="4" t="str">
        <x:v>design.t4.acoustic_cassette</x:v>
      </x:c>
      <x:c r="C437" s="4" t="str">
        <x:v>Ingredient candidate</x:v>
      </x:c>
      <x:c r="D437" s="4" t="str">
        <x:v>proposal.branch.spring_steel</x:v>
      </x:c>
      <x:c r="E437" s="4" t="str">
        <x:f>IFERROR(INDEX('Items'!$B$6:$B$1005,MATCH(D437,'Items'!$A$6:$A$1005,0)),"MISSING ID")</x:f>
        <x:v>Spring-grade steel stock</x:v>
      </x:c>
      <x:c r="F437" s="4" t="str">
        <x:f>IFERROR(INDEX('Items'!$C$6:$C$1005,MATCH(D437,'Items'!$A$6:$A$1005,0)),"MISSING ID")</x:f>
        <x:v>T3</x:v>
      </x:c>
      <x:c r="G437" s="4" t="str">
        <x:f>IFERROR(INDEX('Items'!$D$6:$D$1005,MATCH(D437,'Items'!$A$6:$A$1005,0)),"MISSING ID")</x:f>
        <x:v>Manufactured stock</x:v>
      </x:c>
      <x:c r="H437" s="4" t="str">
        <x:f>IFERROR(INDEX('Items'!$X$6:$X$1005,MATCH(D437,'Items'!$A$6:$A$1005,0)),"MISSING ID")</x:f>
        <x:v>Processed material</x:v>
      </x:c>
      <x:c r="I437" s="4"/>
      <x:c r="J437" s="4" t="str">
        <x:v>Unspecified</x:v>
      </x:c>
      <x:c r="K437" s="4" t="str">
        <x:f>IFERROR(INDEX('Crafting recipes'!$D$6:$D$1005,MATCH(B437,'Crafting recipes'!$A$6:$A$1005,0)),"MISSING ID")</x:f>
        <x:v>Proposal</x:v>
      </x:c>
      <x:c r="L437" s="4" t="str">
        <x:f>IFERROR(INDEX('Items'!$AD$6:$AD$1005,MATCH(D437,'Items'!$A$6:$A$1005,0)),"MISSING ID")</x:f>
        <x:v>Proposal</x:v>
      </x:c>
      <x:c r="M437" s="4" t="str">
        <x:f>IFERROR(INDEX('Crafting recipes'!$E$6:$E$1005,MATCH(B437,'Crafting recipes'!$A$6:$A$1005,0)),"MISSING ID")</x:f>
        <x:v>Partial proposal</x:v>
      </x:c>
      <x:c r="N437" s="4" t="str">
        <x:v>Partial material route; no quantities, guarantees or accepted game recipe.</x:v>
      </x:c>
      <x:c r="O437" s="4" t="str">
        <x:v>New October 15 game brainstorming; current author request and Docs/WORLD_BASIS.md. Not retrieved source canon.</x:v>
      </x:c>
      <x:c r="P437" s="4" t="n">
        <x:f>IF(OR(C437="Ingredient candidate",C437="Consumed input",C437="Contained input",C437="Transform input"),IF(F437="T0",0,IF(F437="T1",1,IF(F437="T2",2,IF(F437="T3",3,IF(F437="T4",4,-1))))),-1)</x:f>
        <x:v>3</x:v>
      </x:c>
      <x:c r="Q437" s="4" t="n">
        <x:f>IF(AND(OR(C437="Ingredient candidate",C437="Consumed input",C437="Contained input",C437="Transform input"),P437=-1),1,0)</x:f>
        <x:v>0</x:v>
      </x:c>
    </x:row>
    <x:row r="438" ht="115" customHeight="1">
      <x:c r="A438" s="4" t="str">
        <x:v>design.t4.acoustic_cassette.in.3</x:v>
      </x:c>
      <x:c r="B438" s="4" t="str">
        <x:v>design.t4.acoustic_cassette</x:v>
      </x:c>
      <x:c r="C438" s="4" t="str">
        <x:v>Ingredient candidate</x:v>
      </x:c>
      <x:c r="D438" s="4" t="str">
        <x:v>proposal.branch.bearing_bronze</x:v>
      </x:c>
      <x:c r="E438" s="4" t="str">
        <x:f>IFERROR(INDEX('Items'!$B$6:$B$1005,MATCH(D438,'Items'!$A$6:$A$1005,0)),"MISSING ID")</x:f>
        <x:v>Prepared bronze bearing stock</x:v>
      </x:c>
      <x:c r="F438" s="4" t="str">
        <x:f>IFERROR(INDEX('Items'!$C$6:$C$1005,MATCH(D438,'Items'!$A$6:$A$1005,0)),"MISSING ID")</x:f>
        <x:v>T2</x:v>
      </x:c>
      <x:c r="G438" s="4" t="str">
        <x:f>IFERROR(INDEX('Items'!$D$6:$D$1005,MATCH(D438,'Items'!$A$6:$A$1005,0)),"MISSING ID")</x:f>
        <x:v>Manufactured stock</x:v>
      </x:c>
      <x:c r="H438" s="4" t="str">
        <x:f>IFERROR(INDEX('Items'!$X$6:$X$1005,MATCH(D438,'Items'!$A$6:$A$1005,0)),"MISSING ID")</x:f>
        <x:v>Processed material</x:v>
      </x:c>
      <x:c r="I438" s="4"/>
      <x:c r="J438" s="4" t="str">
        <x:v>Unspecified</x:v>
      </x:c>
      <x:c r="K438" s="4" t="str">
        <x:f>IFERROR(INDEX('Crafting recipes'!$D$6:$D$1005,MATCH(B438,'Crafting recipes'!$A$6:$A$1005,0)),"MISSING ID")</x:f>
        <x:v>Proposal</x:v>
      </x:c>
      <x:c r="L438" s="4" t="str">
        <x:f>IFERROR(INDEX('Items'!$AD$6:$AD$1005,MATCH(D438,'Items'!$A$6:$A$1005,0)),"MISSING ID")</x:f>
        <x:v>Proposal</x:v>
      </x:c>
      <x:c r="M438" s="4" t="str">
        <x:f>IFERROR(INDEX('Crafting recipes'!$E$6:$E$1005,MATCH(B438,'Crafting recipes'!$A$6:$A$1005,0)),"MISSING ID")</x:f>
        <x:v>Partial proposal</x:v>
      </x:c>
      <x:c r="N438" s="4" t="str">
        <x:v>Partial material route; no quantities, guarantees or accepted game recipe.</x:v>
      </x:c>
      <x:c r="O438" s="4" t="str">
        <x:v>New October 15 game brainstorming; current author request and Docs/WORLD_BASIS.md. Not retrieved source canon.</x:v>
      </x:c>
      <x:c r="P438" s="4" t="n">
        <x:f>IF(OR(C438="Ingredient candidate",C438="Consumed input",C438="Contained input",C438="Transform input"),IF(F438="T0",0,IF(F438="T1",1,IF(F438="T2",2,IF(F438="T3",3,IF(F438="T4",4,-1))))),-1)</x:f>
        <x:v>2</x:v>
      </x:c>
      <x:c r="Q438" s="4" t="n">
        <x:f>IF(AND(OR(C438="Ingredient candidate",C438="Consumed input",C438="Contained input",C438="Transform input"),P438=-1),1,0)</x:f>
        <x:v>0</x:v>
      </x:c>
    </x:row>
    <x:row r="439" ht="115" customHeight="1">
      <x:c r="A439" s="4" t="str">
        <x:v>design.t4.acoustic_cassette.out</x:v>
      </x:c>
      <x:c r="B439" s="4" t="str">
        <x:v>design.t4.acoustic_cassette</x:v>
      </x:c>
      <x:c r="C439" s="4" t="str">
        <x:v>Output</x:v>
      </x:c>
      <x:c r="D439" s="4" t="str">
        <x:v>proposal.t4.acoustic_cassette</x:v>
      </x:c>
      <x:c r="E439" s="4" t="str">
        <x:f>IFERROR(INDEX('Items'!$B$6:$B$1005,MATCH(D439,'Items'!$A$6:$A$1005,0)),"MISSING ID")</x:f>
        <x:v>Matched stone-resonator cassette</x:v>
      </x:c>
      <x:c r="F439" s="4" t="str">
        <x:f>IFERROR(INDEX('Items'!$C$6:$C$1005,MATCH(D439,'Items'!$A$6:$A$1005,0)),"MISSING ID")</x:f>
        <x:v>T4</x:v>
      </x:c>
      <x:c r="G439" s="4" t="str">
        <x:f>IFERROR(INDEX('Items'!$D$6:$D$1005,MATCH(D439,'Items'!$A$6:$A$1005,0)),"MISSING ID")</x:f>
        <x:v>Crafting components</x:v>
      </x:c>
      <x:c r="H439" s="4" t="str">
        <x:f>IFERROR(INDEX('Items'!$X$6:$X$1005,MATCH(D439,'Items'!$A$6:$A$1005,0)),"MISSING ID")</x:f>
        <x:v>Crafting component</x:v>
      </x:c>
      <x:c r="I439" s="4"/>
      <x:c r="J439" s="4" t="str">
        <x:v>Unspecified</x:v>
      </x:c>
      <x:c r="K439" s="4" t="str">
        <x:f>IFERROR(INDEX('Crafting recipes'!$D$6:$D$1005,MATCH(B439,'Crafting recipes'!$A$6:$A$1005,0)),"MISSING ID")</x:f>
        <x:v>Proposal</x:v>
      </x:c>
      <x:c r="L439" s="4" t="str">
        <x:f>IFERROR(INDEX('Items'!$AD$6:$AD$1005,MATCH(D439,'Items'!$A$6:$A$1005,0)),"MISSING ID")</x:f>
        <x:v>Proposal</x:v>
      </x:c>
      <x:c r="M439" s="4" t="str">
        <x:f>IFERROR(INDEX('Crafting recipes'!$E$6:$E$1005,MATCH(B439,'Crafting recipes'!$A$6:$A$1005,0)),"MISSING ID")</x:f>
        <x:v>Partial proposal</x:v>
      </x:c>
      <x:c r="N439" s="4" t="str">
        <x:v>Partial material route; no quantities, guarantees or accepted game recipe.</x:v>
      </x:c>
      <x:c r="O439" s="4" t="str">
        <x:v>New October 15 game brainstorming; current author request and Docs/WORLD_BASIS.md. Not retrieved source canon.</x:v>
      </x:c>
      <x:c r="P439" s="4" t="n">
        <x:f>IF(OR(C439="Ingredient candidate",C439="Consumed input",C439="Contained input",C439="Transform input"),IF(F439="T0",0,IF(F439="T1",1,IF(F439="T2",2,IF(F439="T3",3,IF(F439="T4",4,-1))))),-1)</x:f>
        <x:v>-1</x:v>
      </x:c>
      <x:c r="Q439" s="4" t="n">
        <x:f>IF(AND(OR(C439="Ingredient candidate",C439="Consumed input",C439="Contained input",C439="Transform input"),P439=-1),1,0)</x:f>
        <x:v>0</x:v>
      </x:c>
    </x:row>
    <x:row r="440" ht="115" customHeight="1">
      <x:c r="A440" s="4" t="str">
        <x:v>design.review.proposal_natural_copper_ore.in.1</x:v>
      </x:c>
      <x:c r="B440" s="4" t="str">
        <x:v>design.review.proposal_natural_copper_ore</x:v>
      </x:c>
      <x:c r="C440" s="4" t="str">
        <x:v>Ingredient candidate</x:v>
      </x:c>
      <x:c r="D440" s="4" t="str">
        <x:v>proposal.natural.copper_stone</x:v>
      </x:c>
      <x:c r="E440" s="4" t="str">
        <x:f>IFERROR(INDEX('Items'!$B$6:$B$1005,MATCH(D440,'Items'!$A$6:$A$1005,0)),"MISSING ID")</x:f>
        <x:v>Unprocessed copper-rich stone</x:v>
      </x:c>
      <x:c r="F440" s="4" t="str">
        <x:f>IFERROR(INDEX('Items'!$C$6:$C$1005,MATCH(D440,'Items'!$A$6:$A$1005,0)),"MISSING ID")</x:f>
        <x:v>T0</x:v>
      </x:c>
      <x:c r="G440" s="4" t="str">
        <x:f>IFERROR(INDEX('Items'!$D$6:$D$1005,MATCH(D440,'Items'!$A$6:$A$1005,0)),"MISSING ID")</x:f>
        <x:v>Mineral resources</x:v>
      </x:c>
      <x:c r="H440" s="4" t="str">
        <x:f>IFERROR(INDEX('Items'!$X$6:$X$1005,MATCH(D440,'Items'!$A$6:$A$1005,0)),"MISSING ID")</x:f>
        <x:v>Raw material</x:v>
      </x:c>
      <x:c r="I440" s="4"/>
      <x:c r="J440" s="4" t="str">
        <x:v>Unspecified</x:v>
      </x:c>
      <x:c r="K440" s="4" t="str">
        <x:f>IFERROR(INDEX('Crafting recipes'!$D$6:$D$1005,MATCH(B440,'Crafting recipes'!$A$6:$A$1005,0)),"MISSING ID")</x:f>
        <x:v>Proposal</x:v>
      </x:c>
      <x:c r="L440" s="4" t="str">
        <x:f>IFERROR(INDEX('Items'!$AD$6:$AD$1005,MATCH(D440,'Items'!$A$6:$A$1005,0)),"MISSING ID")</x:f>
        <x:v>Author direction</x:v>
      </x:c>
      <x:c r="M440" s="4" t="str">
        <x:f>IFERROR(INDEX('Crafting recipes'!$E$6:$E$1005,MATCH(B440,'Crafting recipes'!$A$6:$A$1005,0)),"MISSING ID")</x:f>
        <x:v>Partial proposal</x:v>
      </x:c>
      <x:c r="N440" s="4" t="str">
        <x:v>Candidate relationship only; quantity, yield and full recipe remain undefined.</x:v>
      </x:c>
      <x:c r="O440" s="4" t="str">
        <x:v>New October 15 tier-review proposal; user-authorized item audit and Docs/WORLD_BASIS.md. No source-canon or implemented-recipe claim.</x:v>
      </x:c>
      <x:c r="P440" s="4" t="n">
        <x:f>IF(OR(C440="Ingredient candidate",C440="Consumed input",C440="Contained input",C440="Transform input"),IF(F440="T0",0,IF(F440="T1",1,IF(F440="T2",2,IF(F440="T3",3,IF(F440="T4",4,-1))))),-1)</x:f>
        <x:v>0</x:v>
      </x:c>
      <x:c r="Q440" s="4" t="n">
        <x:f>IF(AND(OR(C440="Ingredient candidate",C440="Consumed input",C440="Contained input",C440="Transform input"),P440=-1),1,0)</x:f>
        <x:v>0</x:v>
      </x:c>
    </x:row>
    <x:row r="441" ht="115" customHeight="1">
      <x:c r="A441" s="4" t="str">
        <x:v>design.review.proposal_natural_copper_ore.out</x:v>
      </x:c>
      <x:c r="B441" s="4" t="str">
        <x:v>design.review.proposal_natural_copper_ore</x:v>
      </x:c>
      <x:c r="C441" s="4" t="str">
        <x:v>Output</x:v>
      </x:c>
      <x:c r="D441" s="4" t="str">
        <x:v>proposal.natural.copper_ore</x:v>
      </x:c>
      <x:c r="E441" s="4" t="str">
        <x:f>IFERROR(INDEX('Items'!$B$6:$B$1005,MATCH(D441,'Items'!$A$6:$A$1005,0)),"MISSING ID")</x:f>
        <x:v>Copper ore</x:v>
      </x:c>
      <x:c r="F441" s="4" t="str">
        <x:f>IFERROR(INDEX('Items'!$C$6:$C$1005,MATCH(D441,'Items'!$A$6:$A$1005,0)),"MISSING ID")</x:f>
        <x:v>T1</x:v>
      </x:c>
      <x:c r="G441" s="4" t="str">
        <x:f>IFERROR(INDEX('Items'!$D$6:$D$1005,MATCH(D441,'Items'!$A$6:$A$1005,0)),"MISSING ID")</x:f>
        <x:v>Mineral resources</x:v>
      </x:c>
      <x:c r="H441" s="4" t="str">
        <x:f>IFERROR(INDEX('Items'!$X$6:$X$1005,MATCH(D441,'Items'!$A$6:$A$1005,0)),"MISSING ID")</x:f>
        <x:v>Raw material</x:v>
      </x:c>
      <x:c r="I441" s="4"/>
      <x:c r="J441" s="4" t="str">
        <x:v>Unspecified</x:v>
      </x:c>
      <x:c r="K441" s="4" t="str">
        <x:f>IFERROR(INDEX('Crafting recipes'!$D$6:$D$1005,MATCH(B441,'Crafting recipes'!$A$6:$A$1005,0)),"MISSING ID")</x:f>
        <x:v>Proposal</x:v>
      </x:c>
      <x:c r="L441" s="4" t="str">
        <x:f>IFERROR(INDEX('Items'!$AD$6:$AD$1005,MATCH(D441,'Items'!$A$6:$A$1005,0)),"MISSING ID")</x:f>
        <x:v>Author direction</x:v>
      </x:c>
      <x:c r="M441" s="4" t="str">
        <x:f>IFERROR(INDEX('Crafting recipes'!$E$6:$E$1005,MATCH(B441,'Crafting recipes'!$A$6:$A$1005,0)),"MISSING ID")</x:f>
        <x:v>Partial proposal</x:v>
      </x:c>
      <x:c r="N441" s="4" t="str">
        <x:v>Candidate relationship only; quantity, yield and full recipe remain undefined.</x:v>
      </x:c>
      <x:c r="O441" s="4" t="str">
        <x:v>New October 15 tier-review proposal; user-authorized item audit and Docs/WORLD_BASIS.md. No source-canon or implemented-recipe claim.</x:v>
      </x:c>
      <x:c r="P441" s="4" t="n">
        <x:f>IF(OR(C441="Ingredient candidate",C441="Consumed input",C441="Contained input",C441="Transform input"),IF(F441="T0",0,IF(F441="T1",1,IF(F441="T2",2,IF(F441="T3",3,IF(F441="T4",4,-1))))),-1)</x:f>
        <x:v>-1</x:v>
      </x:c>
      <x:c r="Q441" s="4" t="n">
        <x:f>IF(AND(OR(C441="Ingredient candidate",C441="Consumed input",C441="Contained input",C441="Transform input"),P441=-1),1,0)</x:f>
        <x:v>0</x:v>
      </x:c>
    </x:row>
    <x:row r="442" ht="115" customHeight="1">
      <x:c r="A442" s="4" t="str">
        <x:v>design.review.proposal_bio_brush.in.1</x:v>
      </x:c>
      <x:c r="B442" s="4" t="str">
        <x:v>design.review.proposal_bio_brush</x:v>
      </x:c>
      <x:c r="C442" s="4" t="str">
        <x:v>Ingredient candidate</x:v>
      </x:c>
      <x:c r="D442" s="4" t="str">
        <x:v>proposal.t1.bristle_bundle</x:v>
      </x:c>
      <x:c r="E442" s="4" t="str">
        <x:f>IFERROR(INDEX('Items'!$B$6:$B$1005,MATCH(D442,'Items'!$A$6:$A$1005,0)),"MISSING ID")</x:f>
        <x:v>Clean graded bristle bundles</x:v>
      </x:c>
      <x:c r="F442" s="4" t="str">
        <x:f>IFERROR(INDEX('Items'!$C$6:$C$1005,MATCH(D442,'Items'!$A$6:$A$1005,0)),"MISSING ID")</x:f>
        <x:v>T1</x:v>
      </x:c>
      <x:c r="G442" s="4" t="str">
        <x:f>IFERROR(INDEX('Items'!$D$6:$D$1005,MATCH(D442,'Items'!$A$6:$A$1005,0)),"MISSING ID")</x:f>
        <x:v>Manufactured stock</x:v>
      </x:c>
      <x:c r="H442" s="4" t="str">
        <x:f>IFERROR(INDEX('Items'!$X$6:$X$1005,MATCH(D442,'Items'!$A$6:$A$1005,0)),"MISSING ID")</x:f>
        <x:v>Processed material</x:v>
      </x:c>
      <x:c r="I442" s="4"/>
      <x:c r="J442" s="4" t="str">
        <x:v>Unspecified</x:v>
      </x:c>
      <x:c r="K442" s="4" t="str">
        <x:f>IFERROR(INDEX('Crafting recipes'!$D$6:$D$1005,MATCH(B442,'Crafting recipes'!$A$6:$A$1005,0)),"MISSING ID")</x:f>
        <x:v>Proposal</x:v>
      </x:c>
      <x:c r="L442" s="4" t="str">
        <x:f>IFERROR(INDEX('Items'!$AD$6:$AD$1005,MATCH(D442,'Items'!$A$6:$A$1005,0)),"MISSING ID")</x:f>
        <x:v>Proposal</x:v>
      </x:c>
      <x:c r="M442" s="4" t="str">
        <x:f>IFERROR(INDEX('Crafting recipes'!$E$6:$E$1005,MATCH(B442,'Crafting recipes'!$A$6:$A$1005,0)),"MISSING ID")</x:f>
        <x:v>Partial proposal</x:v>
      </x:c>
      <x:c r="N442" s="4" t="str">
        <x:v>Candidate relationship only; quantity, yield and full recipe remain undefined.</x:v>
      </x:c>
      <x:c r="O442" s="4" t="str">
        <x:v>New October 15 tier-review proposal; user-authorized item audit and Docs/WORLD_BASIS.md. No source-canon or implemented-recipe claim.</x:v>
      </x:c>
      <x:c r="P442" s="4" t="n">
        <x:f>IF(OR(C442="Ingredient candidate",C442="Consumed input",C442="Contained input",C442="Transform input"),IF(F442="T0",0,IF(F442="T1",1,IF(F442="T2",2,IF(F442="T3",3,IF(F442="T4",4,-1))))),-1)</x:f>
        <x:v>1</x:v>
      </x:c>
      <x:c r="Q442" s="4" t="n">
        <x:f>IF(AND(OR(C442="Ingredient candidate",C442="Consumed input",C442="Contained input",C442="Transform input"),P442=-1),1,0)</x:f>
        <x:v>0</x:v>
      </x:c>
    </x:row>
    <x:row r="443" ht="115" customHeight="1">
      <x:c r="A443" s="4" t="str">
        <x:v>design.review.proposal_bio_brush.in.2</x:v>
      </x:c>
      <x:c r="B443" s="4" t="str">
        <x:v>design.review.proposal_bio_brush</x:v>
      </x:c>
      <x:c r="C443" s="4" t="str">
        <x:v>Ingredient candidate</x:v>
      </x:c>
      <x:c r="D443" s="4" t="str">
        <x:v>proposal.t1.shell_adhesive</x:v>
      </x:c>
      <x:c r="E443" s="4" t="str">
        <x:f>IFERROR(INDEX('Items'!$B$6:$B$1005,MATCH(D443,'Items'!$A$6:$A$1005,0)),"MISSING ID")</x:f>
        <x:v>Prepared shell-binding adhesive</x:v>
      </x:c>
      <x:c r="F443" s="4" t="str">
        <x:f>IFERROR(INDEX('Items'!$C$6:$C$1005,MATCH(D443,'Items'!$A$6:$A$1005,0)),"MISSING ID")</x:f>
        <x:v>T1</x:v>
      </x:c>
      <x:c r="G443" s="4" t="str">
        <x:f>IFERROR(INDEX('Items'!$D$6:$D$1005,MATCH(D443,'Items'!$A$6:$A$1005,0)),"MISSING ID")</x:f>
        <x:v>Crafting components</x:v>
      </x:c>
      <x:c r="H443" s="4" t="str">
        <x:f>IFERROR(INDEX('Items'!$X$6:$X$1005,MATCH(D443,'Items'!$A$6:$A$1005,0)),"MISSING ID")</x:f>
        <x:v>Chemical material</x:v>
      </x:c>
      <x:c r="I443" s="4"/>
      <x:c r="J443" s="4" t="str">
        <x:v>Unspecified</x:v>
      </x:c>
      <x:c r="K443" s="4" t="str">
        <x:f>IFERROR(INDEX('Crafting recipes'!$D$6:$D$1005,MATCH(B443,'Crafting recipes'!$A$6:$A$1005,0)),"MISSING ID")</x:f>
        <x:v>Proposal</x:v>
      </x:c>
      <x:c r="L443" s="4" t="str">
        <x:f>IFERROR(INDEX('Items'!$AD$6:$AD$1005,MATCH(D443,'Items'!$A$6:$A$1005,0)),"MISSING ID")</x:f>
        <x:v>Proposal</x:v>
      </x:c>
      <x:c r="M443" s="4" t="str">
        <x:f>IFERROR(INDEX('Crafting recipes'!$E$6:$E$1005,MATCH(B443,'Crafting recipes'!$A$6:$A$1005,0)),"MISSING ID")</x:f>
        <x:v>Partial proposal</x:v>
      </x:c>
      <x:c r="N443" s="4" t="str">
        <x:v>Candidate relationship only; quantity, yield and full recipe remain undefined.</x:v>
      </x:c>
      <x:c r="O443" s="4" t="str">
        <x:v>New October 15 tier-review proposal; user-authorized item audit and Docs/WORLD_BASIS.md. No source-canon or implemented-recipe claim.</x:v>
      </x:c>
      <x:c r="P443" s="4" t="n">
        <x:f>IF(OR(C443="Ingredient candidate",C443="Consumed input",C443="Contained input",C443="Transform input"),IF(F443="T0",0,IF(F443="T1",1,IF(F443="T2",2,IF(F443="T3",3,IF(F443="T4",4,-1))))),-1)</x:f>
        <x:v>1</x:v>
      </x:c>
      <x:c r="Q443" s="4" t="n">
        <x:f>IF(AND(OR(C443="Ingredient candidate",C443="Consumed input",C443="Contained input",C443="Transform input"),P443=-1),1,0)</x:f>
        <x:v>0</x:v>
      </x:c>
    </x:row>
    <x:row r="444" ht="115" customHeight="1">
      <x:c r="A444" s="4" t="str">
        <x:v>design.review.proposal_bio_brush.out</x:v>
      </x:c>
      <x:c r="B444" s="4" t="str">
        <x:v>design.review.proposal_bio_brush</x:v>
      </x:c>
      <x:c r="C444" s="4" t="str">
        <x:v>Output</x:v>
      </x:c>
      <x:c r="D444" s="4" t="str">
        <x:v>proposal.bio.brush</x:v>
      </x:c>
      <x:c r="E444" s="4" t="str">
        <x:f>IFERROR(INDEX('Items'!$B$6:$B$1005,MATCH(D444,'Items'!$A$6:$A$1005,0)),"MISSING ID")</x:f>
        <x:v>Bristle brush strips</x:v>
      </x:c>
      <x:c r="F444" s="4" t="str">
        <x:f>IFERROR(INDEX('Items'!$C$6:$C$1005,MATCH(D444,'Items'!$A$6:$A$1005,0)),"MISSING ID")</x:f>
        <x:v>T2</x:v>
      </x:c>
      <x:c r="G444" s="4" t="str">
        <x:f>IFERROR(INDEX('Items'!$D$6:$D$1005,MATCH(D444,'Items'!$A$6:$A$1005,0)),"MISSING ID")</x:f>
        <x:v>Crafting components</x:v>
      </x:c>
      <x:c r="H444" s="4" t="str">
        <x:f>IFERROR(INDEX('Items'!$X$6:$X$1005,MATCH(D444,'Items'!$A$6:$A$1005,0)),"MISSING ID")</x:f>
        <x:v>Crafting component</x:v>
      </x:c>
      <x:c r="I444" s="4"/>
      <x:c r="J444" s="4" t="str">
        <x:v>Unspecified</x:v>
      </x:c>
      <x:c r="K444" s="4" t="str">
        <x:f>IFERROR(INDEX('Crafting recipes'!$D$6:$D$1005,MATCH(B444,'Crafting recipes'!$A$6:$A$1005,0)),"MISSING ID")</x:f>
        <x:v>Proposal</x:v>
      </x:c>
      <x:c r="L444" s="4" t="str">
        <x:f>IFERROR(INDEX('Items'!$AD$6:$AD$1005,MATCH(D444,'Items'!$A$6:$A$1005,0)),"MISSING ID")</x:f>
        <x:v>Proposal</x:v>
      </x:c>
      <x:c r="M444" s="4" t="str">
        <x:f>IFERROR(INDEX('Crafting recipes'!$E$6:$E$1005,MATCH(B444,'Crafting recipes'!$A$6:$A$1005,0)),"MISSING ID")</x:f>
        <x:v>Partial proposal</x:v>
      </x:c>
      <x:c r="N444" s="4" t="str">
        <x:v>Candidate relationship only; quantity, yield and full recipe remain undefined.</x:v>
      </x:c>
      <x:c r="O444" s="4" t="str">
        <x:v>New October 15 tier-review proposal; user-authorized item audit and Docs/WORLD_BASIS.md. No source-canon or implemented-recipe claim.</x:v>
      </x:c>
      <x:c r="P444" s="4" t="n">
        <x:f>IF(OR(C444="Ingredient candidate",C444="Consumed input",C444="Contained input",C444="Transform input"),IF(F444="T0",0,IF(F444="T1",1,IF(F444="T2",2,IF(F444="T3",3,IF(F444="T4",4,-1))))),-1)</x:f>
        <x:v>-1</x:v>
      </x:c>
      <x:c r="Q444" s="4" t="n">
        <x:f>IF(AND(OR(C444="Ingredient candidate",C444="Consumed input",C444="Contained input",C444="Transform input"),P444=-1),1,0)</x:f>
        <x:v>0</x:v>
      </x:c>
    </x:row>
    <x:row r="445" ht="115" customHeight="1">
      <x:c r="A445" s="4" t="str">
        <x:v>design.review.proposal_bio_insert.in.1</x:v>
      </x:c>
      <x:c r="B445" s="4" t="str">
        <x:v>design.review.proposal_bio_insert</x:v>
      </x:c>
      <x:c r="C445" s="4" t="str">
        <x:v>Ingredient candidate</x:v>
      </x:c>
      <x:c r="D445" s="4" t="str">
        <x:v>proposal.t1.hardpart_blank</x:v>
      </x:c>
      <x:c r="E445" s="4" t="str">
        <x:f>IFERROR(INDEX('Items'!$B$6:$B$1005,MATCH(D445,'Items'!$A$6:$A$1005,0)),"MISSING ID")</x:f>
        <x:v>Shaped fauna hard-part blanks</x:v>
      </x:c>
      <x:c r="F445" s="4" t="str">
        <x:f>IFERROR(INDEX('Items'!$C$6:$C$1005,MATCH(D445,'Items'!$A$6:$A$1005,0)),"MISSING ID")</x:f>
        <x:v>T1</x:v>
      </x:c>
      <x:c r="G445" s="4" t="str">
        <x:f>IFERROR(INDEX('Items'!$D$6:$D$1005,MATCH(D445,'Items'!$A$6:$A$1005,0)),"MISSING ID")</x:f>
        <x:v>Manufactured stock</x:v>
      </x:c>
      <x:c r="H445" s="4" t="str">
        <x:f>IFERROR(INDEX('Items'!$X$6:$X$1005,MATCH(D445,'Items'!$A$6:$A$1005,0)),"MISSING ID")</x:f>
        <x:v>Processed material</x:v>
      </x:c>
      <x:c r="I445" s="4"/>
      <x:c r="J445" s="4" t="str">
        <x:v>Unspecified</x:v>
      </x:c>
      <x:c r="K445" s="4" t="str">
        <x:f>IFERROR(INDEX('Crafting recipes'!$D$6:$D$1005,MATCH(B445,'Crafting recipes'!$A$6:$A$1005,0)),"MISSING ID")</x:f>
        <x:v>Proposal</x:v>
      </x:c>
      <x:c r="L445" s="4" t="str">
        <x:f>IFERROR(INDEX('Items'!$AD$6:$AD$1005,MATCH(D445,'Items'!$A$6:$A$1005,0)),"MISSING ID")</x:f>
        <x:v>Proposal</x:v>
      </x:c>
      <x:c r="M445" s="4" t="str">
        <x:f>IFERROR(INDEX('Crafting recipes'!$E$6:$E$1005,MATCH(B445,'Crafting recipes'!$A$6:$A$1005,0)),"MISSING ID")</x:f>
        <x:v>Partial proposal</x:v>
      </x:c>
      <x:c r="N445" s="4" t="str">
        <x:v>Candidate relationship only; quantity, yield and full recipe remain undefined.</x:v>
      </x:c>
      <x:c r="O445" s="4" t="str">
        <x:v>New October 15 tier-review proposal; user-authorized item audit and Docs/WORLD_BASIS.md. No source-canon or implemented-recipe claim.</x:v>
      </x:c>
      <x:c r="P445" s="4" t="n">
        <x:f>IF(OR(C445="Ingredient candidate",C445="Consumed input",C445="Contained input",C445="Transform input"),IF(F445="T0",0,IF(F445="T1",1,IF(F445="T2",2,IF(F445="T3",3,IF(F445="T4",4,-1))))),-1)</x:f>
        <x:v>1</x:v>
      </x:c>
      <x:c r="Q445" s="4" t="n">
        <x:f>IF(AND(OR(C445="Ingredient candidate",C445="Consumed input",C445="Contained input",C445="Transform input"),P445=-1),1,0)</x:f>
        <x:v>0</x:v>
      </x:c>
    </x:row>
    <x:row r="446" ht="115" customHeight="1">
      <x:c r="A446" s="4" t="str">
        <x:v>design.review.proposal_bio_insert.in.2</x:v>
      </x:c>
      <x:c r="B446" s="4" t="str">
        <x:v>design.review.proposal_bio_insert</x:v>
      </x:c>
      <x:c r="C446" s="4" t="str">
        <x:v>Ingredient candidate</x:v>
      </x:c>
      <x:c r="D446" s="4" t="str">
        <x:v>proposal.t1.shell_adhesive</x:v>
      </x:c>
      <x:c r="E446" s="4" t="str">
        <x:f>IFERROR(INDEX('Items'!$B$6:$B$1005,MATCH(D446,'Items'!$A$6:$A$1005,0)),"MISSING ID")</x:f>
        <x:v>Prepared shell-binding adhesive</x:v>
      </x:c>
      <x:c r="F446" s="4" t="str">
        <x:f>IFERROR(INDEX('Items'!$C$6:$C$1005,MATCH(D446,'Items'!$A$6:$A$1005,0)),"MISSING ID")</x:f>
        <x:v>T1</x:v>
      </x:c>
      <x:c r="G446" s="4" t="str">
        <x:f>IFERROR(INDEX('Items'!$D$6:$D$1005,MATCH(D446,'Items'!$A$6:$A$1005,0)),"MISSING ID")</x:f>
        <x:v>Crafting components</x:v>
      </x:c>
      <x:c r="H446" s="4" t="str">
        <x:f>IFERROR(INDEX('Items'!$X$6:$X$1005,MATCH(D446,'Items'!$A$6:$A$1005,0)),"MISSING ID")</x:f>
        <x:v>Chemical material</x:v>
      </x:c>
      <x:c r="I446" s="4"/>
      <x:c r="J446" s="4" t="str">
        <x:v>Unspecified</x:v>
      </x:c>
      <x:c r="K446" s="4" t="str">
        <x:f>IFERROR(INDEX('Crafting recipes'!$D$6:$D$1005,MATCH(B446,'Crafting recipes'!$A$6:$A$1005,0)),"MISSING ID")</x:f>
        <x:v>Proposal</x:v>
      </x:c>
      <x:c r="L446" s="4" t="str">
        <x:f>IFERROR(INDEX('Items'!$AD$6:$AD$1005,MATCH(D446,'Items'!$A$6:$A$1005,0)),"MISSING ID")</x:f>
        <x:v>Proposal</x:v>
      </x:c>
      <x:c r="M446" s="4" t="str">
        <x:f>IFERROR(INDEX('Crafting recipes'!$E$6:$E$1005,MATCH(B446,'Crafting recipes'!$A$6:$A$1005,0)),"MISSING ID")</x:f>
        <x:v>Partial proposal</x:v>
      </x:c>
      <x:c r="N446" s="4" t="str">
        <x:v>Candidate relationship only; quantity, yield and full recipe remain undefined.</x:v>
      </x:c>
      <x:c r="O446" s="4" t="str">
        <x:v>New October 15 tier-review proposal; user-authorized item audit and Docs/WORLD_BASIS.md. No source-canon or implemented-recipe claim.</x:v>
      </x:c>
      <x:c r="P446" s="4" t="n">
        <x:f>IF(OR(C446="Ingredient candidate",C446="Consumed input",C446="Contained input",C446="Transform input"),IF(F446="T0",0,IF(F446="T1",1,IF(F446="T2",2,IF(F446="T3",3,IF(F446="T4",4,-1))))),-1)</x:f>
        <x:v>1</x:v>
      </x:c>
      <x:c r="Q446" s="4" t="n">
        <x:f>IF(AND(OR(C446="Ingredient candidate",C446="Consumed input",C446="Contained input",C446="Transform input"),P446=-1),1,0)</x:f>
        <x:v>0</x:v>
      </x:c>
    </x:row>
    <x:row r="447" ht="115" customHeight="1">
      <x:c r="A447" s="4" t="str">
        <x:v>design.review.proposal_bio_insert.out</x:v>
      </x:c>
      <x:c r="B447" s="4" t="str">
        <x:v>design.review.proposal_bio_insert</x:v>
      </x:c>
      <x:c r="C447" s="4" t="str">
        <x:v>Output</x:v>
      </x:c>
      <x:c r="D447" s="4" t="str">
        <x:v>proposal.bio.insert</x:v>
      </x:c>
      <x:c r="E447" s="4" t="str">
        <x:f>IFERROR(INDEX('Items'!$B$6:$B$1005,MATCH(D447,'Items'!$A$6:$A$1005,0)),"MISSING ID")</x:f>
        <x:v>Jaw cutting insert</x:v>
      </x:c>
      <x:c r="F447" s="4" t="str">
        <x:f>IFERROR(INDEX('Items'!$C$6:$C$1005,MATCH(D447,'Items'!$A$6:$A$1005,0)),"MISSING ID")</x:f>
        <x:v>T2</x:v>
      </x:c>
      <x:c r="G447" s="4" t="str">
        <x:f>IFERROR(INDEX('Items'!$D$6:$D$1005,MATCH(D447,'Items'!$A$6:$A$1005,0)),"MISSING ID")</x:f>
        <x:v>Crafting components</x:v>
      </x:c>
      <x:c r="H447" s="4" t="str">
        <x:f>IFERROR(INDEX('Items'!$X$6:$X$1005,MATCH(D447,'Items'!$A$6:$A$1005,0)),"MISSING ID")</x:f>
        <x:v>Crafting component</x:v>
      </x:c>
      <x:c r="I447" s="4"/>
      <x:c r="J447" s="4" t="str">
        <x:v>Unspecified</x:v>
      </x:c>
      <x:c r="K447" s="4" t="str">
        <x:f>IFERROR(INDEX('Crafting recipes'!$D$6:$D$1005,MATCH(B447,'Crafting recipes'!$A$6:$A$1005,0)),"MISSING ID")</x:f>
        <x:v>Proposal</x:v>
      </x:c>
      <x:c r="L447" s="4" t="str">
        <x:f>IFERROR(INDEX('Items'!$AD$6:$AD$1005,MATCH(D447,'Items'!$A$6:$A$1005,0)),"MISSING ID")</x:f>
        <x:v>Proposal</x:v>
      </x:c>
      <x:c r="M447" s="4" t="str">
        <x:f>IFERROR(INDEX('Crafting recipes'!$E$6:$E$1005,MATCH(B447,'Crafting recipes'!$A$6:$A$1005,0)),"MISSING ID")</x:f>
        <x:v>Partial proposal</x:v>
      </x:c>
      <x:c r="N447" s="4" t="str">
        <x:v>Candidate relationship only; quantity, yield and full recipe remain undefined.</x:v>
      </x:c>
      <x:c r="O447" s="4" t="str">
        <x:v>New October 15 tier-review proposal; user-authorized item audit and Docs/WORLD_BASIS.md. No source-canon or implemented-recipe claim.</x:v>
      </x:c>
      <x:c r="P447" s="4" t="n">
        <x:f>IF(OR(C447="Ingredient candidate",C447="Consumed input",C447="Contained input",C447="Transform input"),IF(F447="T0",0,IF(F447="T1",1,IF(F447="T2",2,IF(F447="T3",3,IF(F447="T4",4,-1))))),-1)</x:f>
        <x:v>-1</x:v>
      </x:c>
      <x:c r="Q447" s="4" t="n">
        <x:f>IF(AND(OR(C447="Ingredient candidate",C447="Consumed input",C447="Contained input",C447="Transform input"),P447=-1),1,0)</x:f>
        <x:v>0</x:v>
      </x:c>
    </x:row>
    <x:row r="448" ht="115" customHeight="1">
      <x:c r="A448" s="4" t="str">
        <x:v>design.review.proposal_bio_electrode.in.1</x:v>
      </x:c>
      <x:c r="B448" s="4" t="str">
        <x:v>design.review.proposal_bio_electrode</x:v>
      </x:c>
      <x:c r="C448" s="4" t="str">
        <x:v>Ingredient candidate</x:v>
      </x:c>
      <x:c r="D448" s="4" t="str">
        <x:v>proposal.bio.organ</x:v>
      </x:c>
      <x:c r="E448" s="4" t="str">
        <x:f>IFERROR(INDEX('Items'!$B$6:$B$1005,MATCH(D448,'Items'!$A$6:$A$1005,0)),"MISSING ID")</x:f>
        <x:v>Charge-organ tissue</x:v>
      </x:c>
      <x:c r="F448" s="4" t="str">
        <x:f>IFERROR(INDEX('Items'!$C$6:$C$1005,MATCH(D448,'Items'!$A$6:$A$1005,0)),"MISSING ID")</x:f>
        <x:v>T0</x:v>
      </x:c>
      <x:c r="G448" s="4" t="str">
        <x:f>IFERROR(INDEX('Items'!$D$6:$D$1005,MATCH(D448,'Items'!$A$6:$A$1005,0)),"MISSING ID")</x:f>
        <x:v>Biological resources</x:v>
      </x:c>
      <x:c r="H448" s="4" t="str">
        <x:f>IFERROR(INDEX('Items'!$X$6:$X$1005,MATCH(D448,'Items'!$A$6:$A$1005,0)),"MISSING ID")</x:f>
        <x:v>Raw material</x:v>
      </x:c>
      <x:c r="I448" s="4"/>
      <x:c r="J448" s="4" t="str">
        <x:v>Unspecified</x:v>
      </x:c>
      <x:c r="K448" s="4" t="str">
        <x:f>IFERROR(INDEX('Crafting recipes'!$D$6:$D$1005,MATCH(B448,'Crafting recipes'!$A$6:$A$1005,0)),"MISSING ID")</x:f>
        <x:v>Proposal</x:v>
      </x:c>
      <x:c r="L448" s="4" t="str">
        <x:f>IFERROR(INDEX('Items'!$AD$6:$AD$1005,MATCH(D448,'Items'!$A$6:$A$1005,0)),"MISSING ID")</x:f>
        <x:v>Proposal</x:v>
      </x:c>
      <x:c r="M448" s="4" t="str">
        <x:f>IFERROR(INDEX('Crafting recipes'!$E$6:$E$1005,MATCH(B448,'Crafting recipes'!$A$6:$A$1005,0)),"MISSING ID")</x:f>
        <x:v>Partial proposal</x:v>
      </x:c>
      <x:c r="N448" s="4" t="str">
        <x:v>Candidate relationship only; quantity, yield and full recipe remain undefined.</x:v>
      </x:c>
      <x:c r="O448" s="4" t="str">
        <x:v>New October 15 tier-review proposal; user-authorized item audit and Docs/WORLD_BASIS.md. No source-canon or implemented-recipe claim.</x:v>
      </x:c>
      <x:c r="P448" s="4" t="n">
        <x:f>IF(OR(C448="Ingredient candidate",C448="Consumed input",C448="Contained input",C448="Transform input"),IF(F448="T0",0,IF(F448="T1",1,IF(F448="T2",2,IF(F448="T3",3,IF(F448="T4",4,-1))))),-1)</x:f>
        <x:v>0</x:v>
      </x:c>
      <x:c r="Q448" s="4" t="n">
        <x:f>IF(AND(OR(C448="Ingredient candidate",C448="Consumed input",C448="Contained input",C448="Transform input"),P448=-1),1,0)</x:f>
        <x:v>0</x:v>
      </x:c>
    </x:row>
    <x:row r="449" ht="115" customHeight="1">
      <x:c r="A449" s="4" t="str">
        <x:v>design.review.proposal_bio_electrode.out</x:v>
      </x:c>
      <x:c r="B449" s="4" t="str">
        <x:v>design.review.proposal_bio_electrode</x:v>
      </x:c>
      <x:c r="C449" s="4" t="str">
        <x:v>Output</x:v>
      </x:c>
      <x:c r="D449" s="4" t="str">
        <x:v>proposal.bio.electrode</x:v>
      </x:c>
      <x:c r="E449" s="4" t="str">
        <x:f>IFERROR(INDEX('Items'!$B$6:$B$1005,MATCH(D449,'Items'!$A$6:$A$1005,0)),"MISSING ID")</x:f>
        <x:v>Dry organ electrode scaffold</x:v>
      </x:c>
      <x:c r="F449" s="4" t="str">
        <x:f>IFERROR(INDEX('Items'!$C$6:$C$1005,MATCH(D449,'Items'!$A$6:$A$1005,0)),"MISSING ID")</x:f>
        <x:v>T1</x:v>
      </x:c>
      <x:c r="G449" s="4" t="str">
        <x:f>IFERROR(INDEX('Items'!$D$6:$D$1005,MATCH(D449,'Items'!$A$6:$A$1005,0)),"MISSING ID")</x:f>
        <x:v>Crafting components</x:v>
      </x:c>
      <x:c r="H449" s="4" t="str">
        <x:f>IFERROR(INDEX('Items'!$X$6:$X$1005,MATCH(D449,'Items'!$A$6:$A$1005,0)),"MISSING ID")</x:f>
        <x:v>Crafting component</x:v>
      </x:c>
      <x:c r="I449" s="4"/>
      <x:c r="J449" s="4" t="str">
        <x:v>Unspecified</x:v>
      </x:c>
      <x:c r="K449" s="4" t="str">
        <x:f>IFERROR(INDEX('Crafting recipes'!$D$6:$D$1005,MATCH(B449,'Crafting recipes'!$A$6:$A$1005,0)),"MISSING ID")</x:f>
        <x:v>Proposal</x:v>
      </x:c>
      <x:c r="L449" s="4" t="str">
        <x:f>IFERROR(INDEX('Items'!$AD$6:$AD$1005,MATCH(D449,'Items'!$A$6:$A$1005,0)),"MISSING ID")</x:f>
        <x:v>Proposal</x:v>
      </x:c>
      <x:c r="M449" s="4" t="str">
        <x:f>IFERROR(INDEX('Crafting recipes'!$E$6:$E$1005,MATCH(B449,'Crafting recipes'!$A$6:$A$1005,0)),"MISSING ID")</x:f>
        <x:v>Partial proposal</x:v>
      </x:c>
      <x:c r="N449" s="4" t="str">
        <x:v>Candidate relationship only; quantity, yield and full recipe remain undefined.</x:v>
      </x:c>
      <x:c r="O449" s="4" t="str">
        <x:v>New October 15 tier-review proposal; user-authorized item audit and Docs/WORLD_BASIS.md. No source-canon or implemented-recipe claim.</x:v>
      </x:c>
      <x:c r="P449" s="4" t="n">
        <x:f>IF(OR(C449="Ingredient candidate",C449="Consumed input",C449="Contained input",C449="Transform input"),IF(F449="T0",0,IF(F449="T1",1,IF(F449="T2",2,IF(F449="T3",3,IF(F449="T4",4,-1))))),-1)</x:f>
        <x:v>-1</x:v>
      </x:c>
      <x:c r="Q449" s="4" t="n">
        <x:f>IF(AND(OR(C449="Ingredient candidate",C449="Consumed input",C449="Contained input",C449="Transform input"),P449=-1),1,0)</x:f>
        <x:v>0</x:v>
      </x:c>
    </x:row>
    <x:row r="450" ht="115" customHeight="1">
      <x:c r="A450" s="4" t="str">
        <x:v>design.review.proposal_natural_charcoal.in.1</x:v>
      </x:c>
      <x:c r="B450" s="4" t="str">
        <x:v>design.review.proposal_natural_charcoal</x:v>
      </x:c>
      <x:c r="C450" s="4" t="str">
        <x:v>Ingredient candidate</x:v>
      </x:c>
      <x:c r="D450" s="4" t="str">
        <x:v>proposal.bio.shell</x:v>
      </x:c>
      <x:c r="E450" s="4" t="str">
        <x:f>IFERROR(INDEX('Items'!$B$6:$B$1005,MATCH(D450,'Items'!$A$6:$A$1005,0)),"MISSING ID")</x:f>
        <x:v>Shell husks / shed plates</x:v>
      </x:c>
      <x:c r="F450" s="4" t="str">
        <x:f>IFERROR(INDEX('Items'!$C$6:$C$1005,MATCH(D450,'Items'!$A$6:$A$1005,0)),"MISSING ID")</x:f>
        <x:v>T0</x:v>
      </x:c>
      <x:c r="G450" s="4" t="str">
        <x:f>IFERROR(INDEX('Items'!$D$6:$D$1005,MATCH(D450,'Items'!$A$6:$A$1005,0)),"MISSING ID")</x:f>
        <x:v>Biological resources</x:v>
      </x:c>
      <x:c r="H450" s="4" t="str">
        <x:f>IFERROR(INDEX('Items'!$X$6:$X$1005,MATCH(D450,'Items'!$A$6:$A$1005,0)),"MISSING ID")</x:f>
        <x:v>Raw material</x:v>
      </x:c>
      <x:c r="I450" s="4"/>
      <x:c r="J450" s="4" t="str">
        <x:v>Unspecified</x:v>
      </x:c>
      <x:c r="K450" s="4" t="str">
        <x:f>IFERROR(INDEX('Crafting recipes'!$D$6:$D$1005,MATCH(B450,'Crafting recipes'!$A$6:$A$1005,0)),"MISSING ID")</x:f>
        <x:v>Proposal</x:v>
      </x:c>
      <x:c r="L450" s="4" t="str">
        <x:f>IFERROR(INDEX('Items'!$AD$6:$AD$1005,MATCH(D450,'Items'!$A$6:$A$1005,0)),"MISSING ID")</x:f>
        <x:v>Author direction</x:v>
      </x:c>
      <x:c r="M450" s="4" t="str">
        <x:f>IFERROR(INDEX('Crafting recipes'!$E$6:$E$1005,MATCH(B450,'Crafting recipes'!$A$6:$A$1005,0)),"MISSING ID")</x:f>
        <x:v>Partial proposal</x:v>
      </x:c>
      <x:c r="N450" s="4" t="str">
        <x:v>Candidate relationship only; quantity, yield and full recipe remain undefined.</x:v>
      </x:c>
      <x:c r="O450" s="4" t="str">
        <x:v>New October 15 tier-review proposal; user-authorized item audit and Docs/WORLD_BASIS.md. No source-canon or implemented-recipe claim.</x:v>
      </x:c>
      <x:c r="P450" s="4" t="n">
        <x:f>IF(OR(C450="Ingredient candidate",C450="Consumed input",C450="Contained input",C450="Transform input"),IF(F450="T0",0,IF(F450="T1",1,IF(F450="T2",2,IF(F450="T3",3,IF(F450="T4",4,-1))))),-1)</x:f>
        <x:v>0</x:v>
      </x:c>
      <x:c r="Q450" s="4" t="n">
        <x:f>IF(AND(OR(C450="Ingredient candidate",C450="Consumed input",C450="Contained input",C450="Transform input"),P450=-1),1,0)</x:f>
        <x:v>0</x:v>
      </x:c>
    </x:row>
    <x:row r="451" ht="115" customHeight="1">
      <x:c r="A451" s="4" t="str">
        <x:v>design.review.proposal_natural_charcoal.out</x:v>
      </x:c>
      <x:c r="B451" s="4" t="str">
        <x:v>design.review.proposal_natural_charcoal</x:v>
      </x:c>
      <x:c r="C451" s="4" t="str">
        <x:v>Output</x:v>
      </x:c>
      <x:c r="D451" s="4" t="str">
        <x:v>proposal.natural.charcoal</x:v>
      </x:c>
      <x:c r="E451" s="4" t="str">
        <x:f>IFERROR(INDEX('Items'!$B$6:$B$1005,MATCH(D451,'Items'!$A$6:$A$1005,0)),"MISSING ID")</x:f>
        <x:v>Charcoal</x:v>
      </x:c>
      <x:c r="F451" s="4" t="str">
        <x:f>IFERROR(INDEX('Items'!$C$6:$C$1005,MATCH(D451,'Items'!$A$6:$A$1005,0)),"MISSING ID")</x:f>
        <x:v>T1</x:v>
      </x:c>
      <x:c r="G451" s="4" t="str">
        <x:f>IFERROR(INDEX('Items'!$D$6:$D$1005,MATCH(D451,'Items'!$A$6:$A$1005,0)),"MISSING ID")</x:f>
        <x:v>Manufactured stock</x:v>
      </x:c>
      <x:c r="H451" s="4" t="str">
        <x:f>IFERROR(INDEX('Items'!$X$6:$X$1005,MATCH(D451,'Items'!$A$6:$A$1005,0)),"MISSING ID")</x:f>
        <x:v>Processed material</x:v>
      </x:c>
      <x:c r="I451" s="4"/>
      <x:c r="J451" s="4" t="str">
        <x:v>Unspecified</x:v>
      </x:c>
      <x:c r="K451" s="4" t="str">
        <x:f>IFERROR(INDEX('Crafting recipes'!$D$6:$D$1005,MATCH(B451,'Crafting recipes'!$A$6:$A$1005,0)),"MISSING ID")</x:f>
        <x:v>Proposal</x:v>
      </x:c>
      <x:c r="L451" s="4" t="str">
        <x:f>IFERROR(INDEX('Items'!$AD$6:$AD$1005,MATCH(D451,'Items'!$A$6:$A$1005,0)),"MISSING ID")</x:f>
        <x:v>Author direction</x:v>
      </x:c>
      <x:c r="M451" s="4" t="str">
        <x:f>IFERROR(INDEX('Crafting recipes'!$E$6:$E$1005,MATCH(B451,'Crafting recipes'!$A$6:$A$1005,0)),"MISSING ID")</x:f>
        <x:v>Partial proposal</x:v>
      </x:c>
      <x:c r="N451" s="4" t="str">
        <x:v>Candidate relationship only; quantity, yield and full recipe remain undefined.</x:v>
      </x:c>
      <x:c r="O451" s="4" t="str">
        <x:v>New October 15 tier-review proposal; user-authorized item audit and Docs/WORLD_BASIS.md. No source-canon or implemented-recipe claim.</x:v>
      </x:c>
      <x:c r="P451" s="4" t="n">
        <x:f>IF(OR(C451="Ingredient candidate",C451="Consumed input",C451="Contained input",C451="Transform input"),IF(F451="T0",0,IF(F451="T1",1,IF(F451="T2",2,IF(F451="T3",3,IF(F451="T4",4,-1))))),-1)</x:f>
        <x:v>-1</x:v>
      </x:c>
      <x:c r="Q451" s="4" t="n">
        <x:f>IF(AND(OR(C451="Ingredient candidate",C451="Consumed input",C451="Contained input",C451="Transform input"),P451=-1),1,0)</x:f>
        <x:v>0</x:v>
      </x:c>
    </x:row>
    <x:row r="452" ht="115" customHeight="1">
      <x:c r="A452" s="4" t="str">
        <x:v>design.review.proposal_fire_chitin_char.in.1</x:v>
      </x:c>
      <x:c r="B452" s="4" t="str">
        <x:v>design.review.proposal_fire_chitin_char</x:v>
      </x:c>
      <x:c r="C452" s="4" t="str">
        <x:v>Ingredient candidate</x:v>
      </x:c>
      <x:c r="D452" s="4" t="str">
        <x:v>proposal.bio.shell</x:v>
      </x:c>
      <x:c r="E452" s="4" t="str">
        <x:f>IFERROR(INDEX('Items'!$B$6:$B$1005,MATCH(D452,'Items'!$A$6:$A$1005,0)),"MISSING ID")</x:f>
        <x:v>Shell husks / shed plates</x:v>
      </x:c>
      <x:c r="F452" s="4" t="str">
        <x:f>IFERROR(INDEX('Items'!$C$6:$C$1005,MATCH(D452,'Items'!$A$6:$A$1005,0)),"MISSING ID")</x:f>
        <x:v>T0</x:v>
      </x:c>
      <x:c r="G452" s="4" t="str">
        <x:f>IFERROR(INDEX('Items'!$D$6:$D$1005,MATCH(D452,'Items'!$A$6:$A$1005,0)),"MISSING ID")</x:f>
        <x:v>Biological resources</x:v>
      </x:c>
      <x:c r="H452" s="4" t="str">
        <x:f>IFERROR(INDEX('Items'!$X$6:$X$1005,MATCH(D452,'Items'!$A$6:$A$1005,0)),"MISSING ID")</x:f>
        <x:v>Raw material</x:v>
      </x:c>
      <x:c r="I452" s="4"/>
      <x:c r="J452" s="4" t="str">
        <x:v>Unspecified</x:v>
      </x:c>
      <x:c r="K452" s="4" t="str">
        <x:f>IFERROR(INDEX('Crafting recipes'!$D$6:$D$1005,MATCH(B452,'Crafting recipes'!$A$6:$A$1005,0)),"MISSING ID")</x:f>
        <x:v>Proposal</x:v>
      </x:c>
      <x:c r="L452" s="4" t="str">
        <x:f>IFERROR(INDEX('Items'!$AD$6:$AD$1005,MATCH(D452,'Items'!$A$6:$A$1005,0)),"MISSING ID")</x:f>
        <x:v>Author direction</x:v>
      </x:c>
      <x:c r="M452" s="4" t="str">
        <x:f>IFERROR(INDEX('Crafting recipes'!$E$6:$E$1005,MATCH(B452,'Crafting recipes'!$A$6:$A$1005,0)),"MISSING ID")</x:f>
        <x:v>Partial proposal</x:v>
      </x:c>
      <x:c r="N452" s="4" t="str">
        <x:v>Candidate relationship only; quantity, yield and full recipe remain undefined.</x:v>
      </x:c>
      <x:c r="O452" s="4" t="str">
        <x:v>New October 15 tier-review proposal; user-authorized item audit and Docs/WORLD_BASIS.md. No source-canon or implemented-recipe claim.</x:v>
      </x:c>
      <x:c r="P452" s="4" t="n">
        <x:f>IF(OR(C452="Ingredient candidate",C452="Consumed input",C452="Contained input",C452="Transform input"),IF(F452="T0",0,IF(F452="T1",1,IF(F452="T2",2,IF(F452="T3",3,IF(F452="T4",4,-1))))),-1)</x:f>
        <x:v>0</x:v>
      </x:c>
      <x:c r="Q452" s="4" t="n">
        <x:f>IF(AND(OR(C452="Ingredient candidate",C452="Consumed input",C452="Contained input",C452="Transform input"),P452=-1),1,0)</x:f>
        <x:v>0</x:v>
      </x:c>
    </x:row>
    <x:row r="453" ht="115" customHeight="1">
      <x:c r="A453" s="4" t="str">
        <x:v>design.review.proposal_fire_chitin_char.out</x:v>
      </x:c>
      <x:c r="B453" s="4" t="str">
        <x:v>design.review.proposal_fire_chitin_char</x:v>
      </x:c>
      <x:c r="C453" s="4" t="str">
        <x:v>Output</x:v>
      </x:c>
      <x:c r="D453" s="4" t="str">
        <x:v>proposal.fire.chitin_char</x:v>
      </x:c>
      <x:c r="E453" s="4" t="str">
        <x:f>IFERROR(INDEX('Items'!$B$6:$B$1005,MATCH(D453,'Items'!$A$6:$A$1005,0)),"MISSING ID")</x:f>
        <x:v>Chitin-char</x:v>
      </x:c>
      <x:c r="F453" s="4" t="str">
        <x:f>IFERROR(INDEX('Items'!$C$6:$C$1005,MATCH(D453,'Items'!$A$6:$A$1005,0)),"MISSING ID")</x:f>
        <x:v>T1</x:v>
      </x:c>
      <x:c r="G453" s="4" t="str">
        <x:f>IFERROR(INDEX('Items'!$D$6:$D$1005,MATCH(D453,'Items'!$A$6:$A$1005,0)),"MISSING ID")</x:f>
        <x:v>Manufactured stock</x:v>
      </x:c>
      <x:c r="H453" s="4" t="str">
        <x:f>IFERROR(INDEX('Items'!$X$6:$X$1005,MATCH(D453,'Items'!$A$6:$A$1005,0)),"MISSING ID")</x:f>
        <x:v>Processed material</x:v>
      </x:c>
      <x:c r="I453" s="4"/>
      <x:c r="J453" s="4" t="str">
        <x:v>Unspecified</x:v>
      </x:c>
      <x:c r="K453" s="4" t="str">
        <x:f>IFERROR(INDEX('Crafting recipes'!$D$6:$D$1005,MATCH(B453,'Crafting recipes'!$A$6:$A$1005,0)),"MISSING ID")</x:f>
        <x:v>Proposal</x:v>
      </x:c>
      <x:c r="L453" s="4" t="str">
        <x:f>IFERROR(INDEX('Items'!$AD$6:$AD$1005,MATCH(D453,'Items'!$A$6:$A$1005,0)),"MISSING ID")</x:f>
        <x:v>Source proposal</x:v>
      </x:c>
      <x:c r="M453" s="4" t="str">
        <x:f>IFERROR(INDEX('Crafting recipes'!$E$6:$E$1005,MATCH(B453,'Crafting recipes'!$A$6:$A$1005,0)),"MISSING ID")</x:f>
        <x:v>Partial proposal</x:v>
      </x:c>
      <x:c r="N453" s="4" t="str">
        <x:v>Candidate relationship only; quantity, yield and full recipe remain undefined.</x:v>
      </x:c>
      <x:c r="O453" s="4" t="str">
        <x:v>New October 15 tier-review proposal; user-authorized item audit and Docs/WORLD_BASIS.md. No source-canon or implemented-recipe claim.</x:v>
      </x:c>
      <x:c r="P453" s="4" t="n">
        <x:f>IF(OR(C453="Ingredient candidate",C453="Consumed input",C453="Contained input",C453="Transform input"),IF(F453="T0",0,IF(F453="T1",1,IF(F453="T2",2,IF(F453="T3",3,IF(F453="T4",4,-1))))),-1)</x:f>
        <x:v>-1</x:v>
      </x:c>
      <x:c r="Q453" s="4" t="n">
        <x:f>IF(AND(OR(C453="Ingredient candidate",C453="Consumed input",C453="Contained input",C453="Transform input"),P453=-1),1,0)</x:f>
        <x:v>0</x:v>
      </x:c>
    </x:row>
    <x:row r="454" ht="115" customHeight="1">
      <x:c r="A454" s="4" t="str">
        <x:v>design.review.proposal_container_glass_stopper.in.1</x:v>
      </x:c>
      <x:c r="B454" s="4" t="str">
        <x:v>design.review.proposal_container_glass_stopper</x:v>
      </x:c>
      <x:c r="C454" s="4" t="str">
        <x:v>Ingredient candidate</x:v>
      </x:c>
      <x:c r="D454" s="4" t="str">
        <x:v>proposal.t1.clear_glass_blank</x:v>
      </x:c>
      <x:c r="E454" s="4" t="str">
        <x:f>IFERROR(INDEX('Items'!$B$6:$B$1005,MATCH(D454,'Items'!$A$6:$A$1005,0)),"MISSING ID")</x:f>
        <x:v>Rough clear-glass blank</x:v>
      </x:c>
      <x:c r="F454" s="4" t="str">
        <x:f>IFERROR(INDEX('Items'!$C$6:$C$1005,MATCH(D454,'Items'!$A$6:$A$1005,0)),"MISSING ID")</x:f>
        <x:v>T1</x:v>
      </x:c>
      <x:c r="G454" s="4" t="str">
        <x:f>IFERROR(INDEX('Items'!$D$6:$D$1005,MATCH(D454,'Items'!$A$6:$A$1005,0)),"MISSING ID")</x:f>
        <x:v>Manufactured stock</x:v>
      </x:c>
      <x:c r="H454" s="4" t="str">
        <x:f>IFERROR(INDEX('Items'!$X$6:$X$1005,MATCH(D454,'Items'!$A$6:$A$1005,0)),"MISSING ID")</x:f>
        <x:v>Processed material</x:v>
      </x:c>
      <x:c r="I454" s="4"/>
      <x:c r="J454" s="4" t="str">
        <x:v>Unspecified</x:v>
      </x:c>
      <x:c r="K454" s="4" t="inlineStr">
        <x:is>
          <x:t xml:space="preserve">Retired</x:t>
        </x:is>
      </x:c>
      <x:c r="L454" s="4" t="str">
        <x:f>IFERROR(INDEX('Items'!$AD$6:$AD$1005,MATCH(D454,'Items'!$A$6:$A$1005,0)),"MISSING ID")</x:f>
        <x:v>Proposal</x:v>
      </x:c>
      <x:c r="M454" s="4" t="inlineStr">
        <x:is>
          <x:t xml:space="preserve">Withdrawn container proposal</x:t>
        </x:is>
      </x:c>
      <x:c r="N45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4" s="4" t="str">
        <x:v>New October 15 tier-review proposal; user-authorized item audit and Docs/WORLD_BASIS.md. No source-canon or implemented-recipe claim.</x:v>
      </x:c>
      <x:c r="P454" s="4" t="n">
        <x:f>IF(OR(C454="Ingredient candidate",C454="Consumed input",C454="Contained input",C454="Transform input"),IF(F454="T0",0,IF(F454="T1",1,IF(F454="T2",2,IF(F454="T3",3,IF(F454="T4",4,-1))))),-1)</x:f>
        <x:v>1</x:v>
      </x:c>
      <x:c r="Q454" s="4" t="n">
        <x:f>IF(AND(OR(C454="Ingredient candidate",C454="Consumed input",C454="Contained input",C454="Transform input"),P454=-1),1,0)</x:f>
        <x:v>0</x:v>
      </x:c>
    </x:row>
    <x:row r="455" ht="115" customHeight="1">
      <x:c r="A455" s="4" t="str">
        <x:v>design.review.proposal_container_glass_stopper.in.2</x:v>
      </x:c>
      <x:c r="B455" s="4" t="str">
        <x:v>design.review.proposal_container_glass_stopper</x:v>
      </x:c>
      <x:c r="C455" s="4" t="str">
        <x:v>Ingredient candidate</x:v>
      </x:c>
      <x:c r="D455" s="4" t="str">
        <x:v>proposal.natural.abrasive</x:v>
      </x:c>
      <x:c r="E455" s="4" t="str">
        <x:f>IFERROR(INDEX('Items'!$B$6:$B$1005,MATCH(D455,'Items'!$A$6:$A$1005,0)),"MISSING ID")</x:f>
        <x:v>Graded abrasive grit</x:v>
      </x:c>
      <x:c r="F455" s="4" t="str">
        <x:f>IFERROR(INDEX('Items'!$C$6:$C$1005,MATCH(D455,'Items'!$A$6:$A$1005,0)),"MISSING ID")</x:f>
        <x:v>T1</x:v>
      </x:c>
      <x:c r="G455" s="4" t="str">
        <x:f>IFERROR(INDEX('Items'!$D$6:$D$1005,MATCH(D455,'Items'!$A$6:$A$1005,0)),"MISSING ID")</x:f>
        <x:v>Manufactured stock</x:v>
      </x:c>
      <x:c r="H455" s="4" t="str">
        <x:f>IFERROR(INDEX('Items'!$X$6:$X$1005,MATCH(D455,'Items'!$A$6:$A$1005,0)),"MISSING ID")</x:f>
        <x:v>Processed material</x:v>
      </x:c>
      <x:c r="I455" s="4"/>
      <x:c r="J455" s="4" t="str">
        <x:v>Unspecified</x:v>
      </x:c>
      <x:c r="K455" s="4" t="inlineStr">
        <x:is>
          <x:t xml:space="preserve">Retired</x:t>
        </x:is>
      </x:c>
      <x:c r="L455" s="4" t="str">
        <x:f>IFERROR(INDEX('Items'!$AD$6:$AD$1005,MATCH(D455,'Items'!$A$6:$A$1005,0)),"MISSING ID")</x:f>
        <x:v>Proposal</x:v>
      </x:c>
      <x:c r="M455" s="4" t="inlineStr">
        <x:is>
          <x:t xml:space="preserve">Withdrawn container proposal</x:t>
        </x:is>
      </x:c>
      <x:c r="N45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5" s="4" t="str">
        <x:v>New October 15 tier-review proposal; user-authorized item audit and Docs/WORLD_BASIS.md. No source-canon or implemented-recipe claim.</x:v>
      </x:c>
      <x:c r="P455" s="4" t="n">
        <x:f>IF(OR(C455="Ingredient candidate",C455="Consumed input",C455="Contained input",C455="Transform input"),IF(F455="T0",0,IF(F455="T1",1,IF(F455="T2",2,IF(F455="T3",3,IF(F455="T4",4,-1))))),-1)</x:f>
        <x:v>1</x:v>
      </x:c>
      <x:c r="Q455" s="4" t="n">
        <x:f>IF(AND(OR(C455="Ingredient candidate",C455="Consumed input",C455="Contained input",C455="Transform input"),P455=-1),1,0)</x:f>
        <x:v>0</x:v>
      </x:c>
    </x:row>
    <x:row r="456" ht="115" customHeight="1">
      <x:c r="A456" s="4" t="str">
        <x:v>design.review.proposal_container_glass_stopper.out</x:v>
      </x:c>
      <x:c r="B456" s="4" t="str">
        <x:v>design.review.proposal_container_glass_stopper</x:v>
      </x:c>
      <x:c r="C456" s="4" t="str">
        <x:v>Output</x:v>
      </x:c>
      <x:c r="D456" s="4" t="str">
        <x:v>proposal.container.glass_stopper</x:v>
      </x:c>
      <x:c r="E456" s="4" t="str">
        <x:f>IFERROR(INDEX('Items'!$B$6:$B$1005,MATCH(D456,'Items'!$A$6:$A$1005,0)),"MISSING ID")</x:f>
        <x:v>Matched glass stopper</x:v>
      </x:c>
      <x:c r="F456" s="4" t="str">
        <x:f>IFERROR(INDEX('Items'!$C$6:$C$1005,MATCH(D456,'Items'!$A$6:$A$1005,0)),"MISSING ID")</x:f>
        <x:v>T2</x:v>
      </x:c>
      <x:c r="G456" s="4" t="str">
        <x:f>IFERROR(INDEX('Items'!$D$6:$D$1005,MATCH(D456,'Items'!$A$6:$A$1005,0)),"MISSING ID")</x:f>
        <x:v>Salvage</x:v>
      </x:c>
      <x:c r="H456" s="4" t="inlineStr">
        <x:is>
          <x:t xml:space="preserve">Salvage</x:t>
        </x:is>
      </x:c>
      <x:c r="I456" s="4"/>
      <x:c r="J456" s="4" t="str">
        <x:v>Unspecified</x:v>
      </x:c>
      <x:c r="K456" s="4" t="inlineStr">
        <x:is>
          <x:t xml:space="preserve">Retired</x:t>
        </x:is>
      </x:c>
      <x:c r="L456" s="4" t="str">
        <x:f>IFERROR(INDEX('Items'!$AD$6:$AD$1005,MATCH(D456,'Items'!$A$6:$A$1005,0)),"MISSING ID")</x:f>
        <x:v>Proposal</x:v>
      </x:c>
      <x:c r="M456" s="4" t="inlineStr">
        <x:is>
          <x:t xml:space="preserve">Withdrawn container proposal</x:t>
        </x:is>
      </x:c>
      <x:c r="N45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6" s="4" t="str">
        <x:v>New October 15 tier-review proposal; user-authorized item audit and Docs/WORLD_BASIS.md. No source-canon or implemented-recipe claim.</x:v>
      </x:c>
      <x:c r="P456" s="4" t="n">
        <x:f>IF(OR(C456="Ingredient candidate",C456="Consumed input",C456="Contained input",C456="Transform input"),IF(F456="T0",0,IF(F456="T1",1,IF(F456="T2",2,IF(F456="T3",3,IF(F456="T4",4,-1))))),-1)</x:f>
        <x:v>-1</x:v>
      </x:c>
      <x:c r="Q456" s="4" t="n">
        <x:f>IF(AND(OR(C456="Ingredient candidate",C456="Consumed input",C456="Contained input",C456="Transform input"),P456=-1),1,0)</x:f>
        <x:v>0</x:v>
      </x:c>
    </x:row>
    <x:row r="457" ht="115" customHeight="1">
      <x:c r="A457" s="4"/>
      <x:c r="B457" s="4"/>
      <x:c r="C457" s="4"/>
      <x:c r="D457" s="4"/>
      <x:c r="E457" s="4"/>
      <x:c r="F457" s="4"/>
      <x:c r="G457" s="4"/>
      <x:c r="H457" s="4"/>
      <x:c r="I457" s="4"/>
      <x:c r="K457" s="4"/>
      <x:c r="L457" s="4"/>
      <x:c r="M457" s="4"/>
      <x:c r="N457" s="4"/>
      <x:c r="O457" s="4"/>
      <x:c r="P457" s="4"/>
      <x:c r="Q457" s="4"/>
    </x:row>
    <x:row r="458" ht="115" customHeight="1">
      <x:c r="A458" s="4"/>
      <x:c r="B458" s="4"/>
      <x:c r="C458" s="4"/>
      <x:c r="D458" s="4"/>
      <x:c r="E458" s="4"/>
      <x:c r="F458" s="4"/>
      <x:c r="G458" s="4"/>
      <x:c r="H458" s="4"/>
      <x:c r="I458" s="4"/>
      <x:c r="K458" s="4"/>
      <x:c r="L458" s="4"/>
      <x:c r="M458" s="4"/>
      <x:c r="N458" s="4"/>
      <x:c r="O458" s="4"/>
      <x:c r="P458" s="4"/>
      <x:c r="Q458" s="4"/>
    </x:row>
    <x:row r="459" ht="115" customHeight="1">
      <x:c r="A459" s="4"/>
      <x:c r="B459" s="4"/>
      <x:c r="C459" s="4"/>
      <x:c r="D459" s="4"/>
      <x:c r="E459" s="4"/>
      <x:c r="F459" s="4"/>
      <x:c r="G459" s="4"/>
      <x:c r="H459" s="4"/>
      <x:c r="I459" s="4"/>
      <x:c r="K459" s="4"/>
      <x:c r="L459" s="4"/>
      <x:c r="M459" s="4"/>
      <x:c r="N459" s="4"/>
      <x:c r="O459" s="4"/>
      <x:c r="P459" s="4"/>
      <x:c r="Q459" s="4"/>
    </x:row>
    <x:row r="460" ht="115" customHeight="1">
      <x:c r="A460" s="4" t="str">
        <x:v>design.review.proposal_canister_body_blank.in.1</x:v>
      </x:c>
      <x:c r="B460" s="4" t="str">
        <x:v>design.review.proposal_canister_body_blank</x:v>
      </x:c>
      <x:c r="C460" s="4" t="str">
        <x:v>Ingredient candidate</x:v>
      </x:c>
      <x:c r="D460" s="4" t="str">
        <x:v>author.metallurgy.steel_stock</x:v>
      </x:c>
      <x:c r="E460" s="4" t="str">
        <x:f>IFERROR(INDEX('Items'!$B$6:$B$1005,MATCH(D460,'Items'!$A$6:$A$1005,0)),"MISSING ID")</x:f>
        <x:v>Steel stock</x:v>
      </x:c>
      <x:c r="F460" s="4" t="str">
        <x:f>IFERROR(INDEX('Items'!$C$6:$C$1005,MATCH(D460,'Items'!$A$6:$A$1005,0)),"MISSING ID")</x:f>
        <x:v>T2</x:v>
      </x:c>
      <x:c r="G460" s="4" t="str">
        <x:f>IFERROR(INDEX('Items'!$D$6:$D$1005,MATCH(D460,'Items'!$A$6:$A$1005,0)),"MISSING ID")</x:f>
        <x:v>Manufactured stock</x:v>
      </x:c>
      <x:c r="H460" s="4" t="str">
        <x:f>IFERROR(INDEX('Items'!$X$6:$X$1005,MATCH(D460,'Items'!$A$6:$A$1005,0)),"MISSING ID")</x:f>
        <x:v>Processed material</x:v>
      </x:c>
      <x:c r="I460" s="4"/>
      <x:c r="J460" s="4" t="str">
        <x:v>Unspecified</x:v>
      </x:c>
      <x:c r="K460" s="4" t="str">
        <x:f>IFERROR(INDEX('Crafting recipes'!$D$6:$D$1005,MATCH(B460,'Crafting recipes'!$A$6:$A$1005,0)),"MISSING ID")</x:f>
        <x:v>Proposal</x:v>
      </x:c>
      <x:c r="L460" s="4" t="str">
        <x:f>IFERROR(INDEX('Items'!$AD$6:$AD$1005,MATCH(D460,'Items'!$A$6:$A$1005,0)),"MISSING ID")</x:f>
        <x:v>Author direction</x:v>
      </x:c>
      <x:c r="M460" s="4" t="str">
        <x:f>IFERROR(INDEX('Crafting recipes'!$E$6:$E$1005,MATCH(B460,'Crafting recipes'!$A$6:$A$1005,0)),"MISSING ID")</x:f>
        <x:v>Partial proposal</x:v>
      </x:c>
      <x:c r="N460" s="4" t="str">
        <x:v>Candidate relationship only; quantity, yield and full recipe remain undefined.</x:v>
      </x:c>
      <x:c r="O460" s="4" t="str">
        <x:v>New October 15 tier-review proposal; user-authorized item audit and Docs/WORLD_BASIS.md. No source-canon or implemented-recipe claim.</x:v>
      </x:c>
      <x:c r="P460" s="4" t="n">
        <x:f>IF(OR(C460="Ingredient candidate",C460="Consumed input",C460="Contained input",C460="Transform input"),IF(F460="T0",0,IF(F460="T1",1,IF(F460="T2",2,IF(F460="T3",3,IF(F460="T4",4,-1))))),-1)</x:f>
        <x:v>2</x:v>
      </x:c>
      <x:c r="Q460" s="4" t="n">
        <x:f>IF(AND(OR(C460="Ingredient candidate",C460="Consumed input",C460="Contained input",C460="Transform input"),P460=-1),1,0)</x:f>
        <x:v>0</x:v>
      </x:c>
    </x:row>
    <x:row r="461" ht="115" customHeight="1">
      <x:c r="A461" s="4" t="str">
        <x:v>design.review.proposal_canister_body_blank.out</x:v>
      </x:c>
      <x:c r="B461" s="4" t="str">
        <x:v>design.review.proposal_canister_body_blank</x:v>
      </x:c>
      <x:c r="C461" s="4" t="str">
        <x:v>Output</x:v>
      </x:c>
      <x:c r="D461" s="4" t="str">
        <x:v>proposal.canister.body_blank</x:v>
      </x:c>
      <x:c r="E461" s="4" t="str">
        <x:f>IFERROR(INDEX('Items'!$B$6:$B$1005,MATCH(D461,'Items'!$A$6:$A$1005,0)),"MISSING ID")</x:f>
        <x:v>Canister body blank</x:v>
      </x:c>
      <x:c r="F461" s="4" t="str">
        <x:f>IFERROR(INDEX('Items'!$C$6:$C$1005,MATCH(D461,'Items'!$A$6:$A$1005,0)),"MISSING ID")</x:f>
        <x:v>T3</x:v>
      </x:c>
      <x:c r="G461" s="4" t="str">
        <x:f>IFERROR(INDEX('Items'!$D$6:$D$1005,MATCH(D461,'Items'!$A$6:$A$1005,0)),"MISSING ID")</x:f>
        <x:v>Crafting components</x:v>
      </x:c>
      <x:c r="H461" s="4" t="str">
        <x:f>IFERROR(INDEX('Items'!$X$6:$X$1005,MATCH(D461,'Items'!$A$6:$A$1005,0)),"MISSING ID")</x:f>
        <x:v>Container part</x:v>
      </x:c>
      <x:c r="I461" s="4"/>
      <x:c r="J461" s="4" t="str">
        <x:v>Unspecified</x:v>
      </x:c>
      <x:c r="K461" s="4" t="str">
        <x:f>IFERROR(INDEX('Crafting recipes'!$D$6:$D$1005,MATCH(B461,'Crafting recipes'!$A$6:$A$1005,0)),"MISSING ID")</x:f>
        <x:v>Proposal</x:v>
      </x:c>
      <x:c r="L461" s="4" t="str">
        <x:f>IFERROR(INDEX('Items'!$AD$6:$AD$1005,MATCH(D461,'Items'!$A$6:$A$1005,0)),"MISSING ID")</x:f>
        <x:v>Proposal</x:v>
      </x:c>
      <x:c r="M461" s="4" t="str">
        <x:f>IFERROR(INDEX('Crafting recipes'!$E$6:$E$1005,MATCH(B461,'Crafting recipes'!$A$6:$A$1005,0)),"MISSING ID")</x:f>
        <x:v>Partial proposal</x:v>
      </x:c>
      <x:c r="N461" s="4" t="str">
        <x:v>Candidate relationship only; quantity, yield and full recipe remain undefined.</x:v>
      </x:c>
      <x:c r="O461" s="4" t="str">
        <x:v>New October 15 tier-review proposal; user-authorized item audit and Docs/WORLD_BASIS.md. No source-canon or implemented-recipe claim.</x:v>
      </x:c>
      <x:c r="P461" s="4" t="n">
        <x:f>IF(OR(C461="Ingredient candidate",C461="Consumed input",C461="Contained input",C461="Transform input"),IF(F461="T0",0,IF(F461="T1",1,IF(F461="T2",2,IF(F461="T3",3,IF(F461="T4",4,-1))))),-1)</x:f>
        <x:v>-1</x:v>
      </x:c>
      <x:c r="Q461" s="4" t="n">
        <x:f>IF(AND(OR(C461="Ingredient candidate",C461="Consumed input",C461="Contained input",C461="Transform input"),P461=-1),1,0)</x:f>
        <x:v>0</x:v>
      </x:c>
    </x:row>
    <x:row r="462" ht="115" customHeight="1">
      <x:c r="A462" s="4" t="str">
        <x:v>design.review.proposal_canister_seal_ring.in.1</x:v>
      </x:c>
      <x:c r="B462" s="4" t="str">
        <x:v>design.review.proposal_canister_seal_ring</x:v>
      </x:c>
      <x:c r="C462" s="4" t="str">
        <x:v>Ingredient candidate</x:v>
      </x:c>
      <x:c r="D462" s="4" t="str">
        <x:v>proposal.branch.filled_seal</x:v>
      </x:c>
      <x:c r="E462" s="4" t="str">
        <x:f>IFERROR(INDEX('Items'!$B$6:$B$1005,MATCH(D462,'Items'!$A$6:$A$1005,0)),"MISSING ID")</x:f>
        <x:v>Filled faunal seal compound</x:v>
      </x:c>
      <x:c r="F462" s="4" t="str">
        <x:f>IFERROR(INDEX('Items'!$C$6:$C$1005,MATCH(D462,'Items'!$A$6:$A$1005,0)),"MISSING ID")</x:f>
        <x:v>T2</x:v>
      </x:c>
      <x:c r="G462" s="4" t="str">
        <x:f>IFERROR(INDEX('Items'!$D$6:$D$1005,MATCH(D462,'Items'!$A$6:$A$1005,0)),"MISSING ID")</x:f>
        <x:v>Crafting components</x:v>
      </x:c>
      <x:c r="H462" s="4" t="str">
        <x:f>IFERROR(INDEX('Items'!$X$6:$X$1005,MATCH(D462,'Items'!$A$6:$A$1005,0)),"MISSING ID")</x:f>
        <x:v>Chemical material</x:v>
      </x:c>
      <x:c r="I462" s="4"/>
      <x:c r="J462" s="4" t="str">
        <x:v>Unspecified</x:v>
      </x:c>
      <x:c r="K462" s="4" t="str">
        <x:f>IFERROR(INDEX('Crafting recipes'!$D$6:$D$1005,MATCH(B462,'Crafting recipes'!$A$6:$A$1005,0)),"MISSING ID")</x:f>
        <x:v>Proposal</x:v>
      </x:c>
      <x:c r="L462" s="4" t="str">
        <x:f>IFERROR(INDEX('Items'!$AD$6:$AD$1005,MATCH(D462,'Items'!$A$6:$A$1005,0)),"MISSING ID")</x:f>
        <x:v>Proposal</x:v>
      </x:c>
      <x:c r="M462" s="4" t="str">
        <x:f>IFERROR(INDEX('Crafting recipes'!$E$6:$E$1005,MATCH(B462,'Crafting recipes'!$A$6:$A$1005,0)),"MISSING ID")</x:f>
        <x:v>Partial proposal</x:v>
      </x:c>
      <x:c r="N462" s="4" t="str">
        <x:v>Candidate relationship only; quantity, yield and full recipe remain undefined.</x:v>
      </x:c>
      <x:c r="O462" s="4" t="str">
        <x:v>New October 15 tier-review proposal; user-authorized item audit and Docs/WORLD_BASIS.md. No source-canon or implemented-recipe claim.</x:v>
      </x:c>
      <x:c r="P462" s="4" t="n">
        <x:f>IF(OR(C462="Ingredient candidate",C462="Consumed input",C462="Contained input",C462="Transform input"),IF(F462="T0",0,IF(F462="T1",1,IF(F462="T2",2,IF(F462="T3",3,IF(F462="T4",4,-1))))),-1)</x:f>
        <x:v>2</x:v>
      </x:c>
      <x:c r="Q462" s="4" t="n">
        <x:f>IF(AND(OR(C462="Ingredient candidate",C462="Consumed input",C462="Contained input",C462="Transform input"),P462=-1),1,0)</x:f>
        <x:v>0</x:v>
      </x:c>
    </x:row>
    <x:row r="463" ht="115" customHeight="1">
      <x:c r="A463" s="4" t="str">
        <x:v>design.review.proposal_canister_seal_ring.in.2</x:v>
      </x:c>
      <x:c r="B463" s="4" t="str">
        <x:v>design.review.proposal_canister_seal_ring</x:v>
      </x:c>
      <x:c r="C463" s="4" t="str">
        <x:v>Ingredient candidate</x:v>
      </x:c>
      <x:c r="D463" s="4" t="str">
        <x:v>proposal.branch.flex_bond</x:v>
      </x:c>
      <x:c r="E463" s="4" t="str">
        <x:f>IFERROR(INDEX('Items'!$B$6:$B$1005,MATCH(D463,'Items'!$A$6:$A$1005,0)),"MISSING ID")</x:f>
        <x:v>Flexible membrane-bonding compound</x:v>
      </x:c>
      <x:c r="F463" s="4" t="str">
        <x:f>IFERROR(INDEX('Items'!$C$6:$C$1005,MATCH(D463,'Items'!$A$6:$A$1005,0)),"MISSING ID")</x:f>
        <x:v>T2</x:v>
      </x:c>
      <x:c r="G463" s="4" t="str">
        <x:f>IFERROR(INDEX('Items'!$D$6:$D$1005,MATCH(D463,'Items'!$A$6:$A$1005,0)),"MISSING ID")</x:f>
        <x:v>Crafting components</x:v>
      </x:c>
      <x:c r="H463" s="4" t="str">
        <x:f>IFERROR(INDEX('Items'!$X$6:$X$1005,MATCH(D463,'Items'!$A$6:$A$1005,0)),"MISSING ID")</x:f>
        <x:v>Chemical material</x:v>
      </x:c>
      <x:c r="I463" s="4"/>
      <x:c r="J463" s="4" t="str">
        <x:v>Unspecified</x:v>
      </x:c>
      <x:c r="K463" s="4" t="str">
        <x:f>IFERROR(INDEX('Crafting recipes'!$D$6:$D$1005,MATCH(B463,'Crafting recipes'!$A$6:$A$1005,0)),"MISSING ID")</x:f>
        <x:v>Proposal</x:v>
      </x:c>
      <x:c r="L463" s="4" t="str">
        <x:f>IFERROR(INDEX('Items'!$AD$6:$AD$1005,MATCH(D463,'Items'!$A$6:$A$1005,0)),"MISSING ID")</x:f>
        <x:v>Proposal</x:v>
      </x:c>
      <x:c r="M463" s="4" t="str">
        <x:f>IFERROR(INDEX('Crafting recipes'!$E$6:$E$1005,MATCH(B463,'Crafting recipes'!$A$6:$A$1005,0)),"MISSING ID")</x:f>
        <x:v>Partial proposal</x:v>
      </x:c>
      <x:c r="N463" s="4" t="str">
        <x:v>Candidate relationship only; quantity, yield and full recipe remain undefined.</x:v>
      </x:c>
      <x:c r="O463" s="4" t="str">
        <x:v>New October 15 tier-review proposal; user-authorized item audit and Docs/WORLD_BASIS.md. No source-canon or implemented-recipe claim.</x:v>
      </x:c>
      <x:c r="P463" s="4" t="n">
        <x:f>IF(OR(C463="Ingredient candidate",C463="Consumed input",C463="Contained input",C463="Transform input"),IF(F463="T0",0,IF(F463="T1",1,IF(F463="T2",2,IF(F463="T3",3,IF(F463="T4",4,-1))))),-1)</x:f>
        <x:v>2</x:v>
      </x:c>
      <x:c r="Q463" s="4" t="n">
        <x:f>IF(AND(OR(C463="Ingredient candidate",C463="Consumed input",C463="Contained input",C463="Transform input"),P463=-1),1,0)</x:f>
        <x:v>0</x:v>
      </x:c>
    </x:row>
    <x:row r="464" ht="115" customHeight="1">
      <x:c r="A464" s="4" t="str">
        <x:v>design.review.proposal_canister_seal_ring.out</x:v>
      </x:c>
      <x:c r="B464" s="4" t="str">
        <x:v>design.review.proposal_canister_seal_ring</x:v>
      </x:c>
      <x:c r="C464" s="4" t="str">
        <x:v>Output</x:v>
      </x:c>
      <x:c r="D464" s="4" t="str">
        <x:v>proposal.canister.seal_ring</x:v>
      </x:c>
      <x:c r="E464" s="4" t="str">
        <x:f>IFERROR(INDEX('Items'!$B$6:$B$1005,MATCH(D464,'Items'!$A$6:$A$1005,0)),"MISSING ID")</x:f>
        <x:v>Replacement seal ring</x:v>
      </x:c>
      <x:c r="F464" s="4" t="str">
        <x:f>IFERROR(INDEX('Items'!$C$6:$C$1005,MATCH(D464,'Items'!$A$6:$A$1005,0)),"MISSING ID")</x:f>
        <x:v>T3</x:v>
      </x:c>
      <x:c r="G464" s="4" t="str">
        <x:f>IFERROR(INDEX('Items'!$D$6:$D$1005,MATCH(D464,'Items'!$A$6:$A$1005,0)),"MISSING ID")</x:f>
        <x:v>Crafting components</x:v>
      </x:c>
      <x:c r="H464" s="4" t="str">
        <x:f>IFERROR(INDEX('Items'!$X$6:$X$1005,MATCH(D464,'Items'!$A$6:$A$1005,0)),"MISSING ID")</x:f>
        <x:v>Container part</x:v>
      </x:c>
      <x:c r="I464" s="4"/>
      <x:c r="J464" s="4" t="str">
        <x:v>Unspecified</x:v>
      </x:c>
      <x:c r="K464" s="4" t="str">
        <x:f>IFERROR(INDEX('Crafting recipes'!$D$6:$D$1005,MATCH(B464,'Crafting recipes'!$A$6:$A$1005,0)),"MISSING ID")</x:f>
        <x:v>Proposal</x:v>
      </x:c>
      <x:c r="L464" s="4" t="str">
        <x:f>IFERROR(INDEX('Items'!$AD$6:$AD$1005,MATCH(D464,'Items'!$A$6:$A$1005,0)),"MISSING ID")</x:f>
        <x:v>Proposal</x:v>
      </x:c>
      <x:c r="M464" s="4" t="str">
        <x:f>IFERROR(INDEX('Crafting recipes'!$E$6:$E$1005,MATCH(B464,'Crafting recipes'!$A$6:$A$1005,0)),"MISSING ID")</x:f>
        <x:v>Partial proposal</x:v>
      </x:c>
      <x:c r="N464" s="4" t="str">
        <x:v>Candidate relationship only; quantity, yield and full recipe remain undefined.</x:v>
      </x:c>
      <x:c r="O464" s="4" t="str">
        <x:v>New October 15 tier-review proposal; user-authorized item audit and Docs/WORLD_BASIS.md. No source-canon or implemented-recipe claim.</x:v>
      </x:c>
      <x:c r="P464" s="4" t="n">
        <x:f>IF(OR(C464="Ingredient candidate",C464="Consumed input",C464="Contained input",C464="Transform input"),IF(F464="T0",0,IF(F464="T1",1,IF(F464="T2",2,IF(F464="T3",3,IF(F464="T4",4,-1))))),-1)</x:f>
        <x:v>-1</x:v>
      </x:c>
      <x:c r="Q464" s="4" t="n">
        <x:f>IF(AND(OR(C464="Ingredient candidate",C464="Consumed input",C464="Contained input",C464="Transform input"),P464=-1),1,0)</x:f>
        <x:v>0</x:v>
      </x:c>
    </x:row>
    <x:row r="465" ht="115" customHeight="1">
      <x:c r="A465" s="4" t="str">
        <x:v>design.review.proposal_canister_seal_seat.in.1</x:v>
      </x:c>
      <x:c r="B465" s="4" t="str">
        <x:v>design.review.proposal_canister_seal_seat</x:v>
      </x:c>
      <x:c r="C465" s="4" t="str">
        <x:v>Ingredient candidate</x:v>
      </x:c>
      <x:c r="D465" s="4" t="str">
        <x:v>author.metallurgy.steel_stock</x:v>
      </x:c>
      <x:c r="E465" s="4" t="str">
        <x:f>IFERROR(INDEX('Items'!$B$6:$B$1005,MATCH(D465,'Items'!$A$6:$A$1005,0)),"MISSING ID")</x:f>
        <x:v>Steel stock</x:v>
      </x:c>
      <x:c r="F465" s="4" t="str">
        <x:f>IFERROR(INDEX('Items'!$C$6:$C$1005,MATCH(D465,'Items'!$A$6:$A$1005,0)),"MISSING ID")</x:f>
        <x:v>T2</x:v>
      </x:c>
      <x:c r="G465" s="4" t="str">
        <x:f>IFERROR(INDEX('Items'!$D$6:$D$1005,MATCH(D465,'Items'!$A$6:$A$1005,0)),"MISSING ID")</x:f>
        <x:v>Manufactured stock</x:v>
      </x:c>
      <x:c r="H465" s="4" t="str">
        <x:f>IFERROR(INDEX('Items'!$X$6:$X$1005,MATCH(D465,'Items'!$A$6:$A$1005,0)),"MISSING ID")</x:f>
        <x:v>Processed material</x:v>
      </x:c>
      <x:c r="I465" s="4"/>
      <x:c r="J465" s="4" t="str">
        <x:v>Unspecified</x:v>
      </x:c>
      <x:c r="K465" s="4" t="str">
        <x:f>IFERROR(INDEX('Crafting recipes'!$D$6:$D$1005,MATCH(B465,'Crafting recipes'!$A$6:$A$1005,0)),"MISSING ID")</x:f>
        <x:v>Proposal</x:v>
      </x:c>
      <x:c r="L465" s="4" t="str">
        <x:f>IFERROR(INDEX('Items'!$AD$6:$AD$1005,MATCH(D465,'Items'!$A$6:$A$1005,0)),"MISSING ID")</x:f>
        <x:v>Author direction</x:v>
      </x:c>
      <x:c r="M465" s="4" t="str">
        <x:f>IFERROR(INDEX('Crafting recipes'!$E$6:$E$1005,MATCH(B465,'Crafting recipes'!$A$6:$A$1005,0)),"MISSING ID")</x:f>
        <x:v>Partial proposal</x:v>
      </x:c>
      <x:c r="N465" s="4" t="str">
        <x:v>Candidate relationship only; quantity, yield and full recipe remain undefined.</x:v>
      </x:c>
      <x:c r="O465" s="4" t="str">
        <x:v>New October 15 tier-review proposal; user-authorized item audit and Docs/WORLD_BASIS.md. No source-canon or implemented-recipe claim.</x:v>
      </x:c>
      <x:c r="P465" s="4" t="n">
        <x:f>IF(OR(C465="Ingredient candidate",C465="Consumed input",C465="Contained input",C465="Transform input"),IF(F465="T0",0,IF(F465="T1",1,IF(F465="T2",2,IF(F465="T3",3,IF(F465="T4",4,-1))))),-1)</x:f>
        <x:v>2</x:v>
      </x:c>
      <x:c r="Q465" s="4" t="n">
        <x:f>IF(AND(OR(C465="Ingredient candidate",C465="Consumed input",C465="Contained input",C465="Transform input"),P465=-1),1,0)</x:f>
        <x:v>0</x:v>
      </x:c>
    </x:row>
    <x:row r="466" ht="115" customHeight="1">
      <x:c r="A466" s="4" t="str">
        <x:v>design.review.proposal_canister_seal_seat.in.2</x:v>
      </x:c>
      <x:c r="B466" s="4" t="str">
        <x:v>design.review.proposal_canister_seal_seat</x:v>
      </x:c>
      <x:c r="C466" s="4" t="str">
        <x:v>Ingredient candidate</x:v>
      </x:c>
      <x:c r="D466" s="4" t="str">
        <x:v>proposal.branch.bearing_bronze</x:v>
      </x:c>
      <x:c r="E466" s="4" t="str">
        <x:f>IFERROR(INDEX('Items'!$B$6:$B$1005,MATCH(D466,'Items'!$A$6:$A$1005,0)),"MISSING ID")</x:f>
        <x:v>Prepared bronze bearing stock</x:v>
      </x:c>
      <x:c r="F466" s="4" t="str">
        <x:f>IFERROR(INDEX('Items'!$C$6:$C$1005,MATCH(D466,'Items'!$A$6:$A$1005,0)),"MISSING ID")</x:f>
        <x:v>T2</x:v>
      </x:c>
      <x:c r="G466" s="4" t="str">
        <x:f>IFERROR(INDEX('Items'!$D$6:$D$1005,MATCH(D466,'Items'!$A$6:$A$1005,0)),"MISSING ID")</x:f>
        <x:v>Manufactured stock</x:v>
      </x:c>
      <x:c r="H466" s="4" t="str">
        <x:f>IFERROR(INDEX('Items'!$X$6:$X$1005,MATCH(D466,'Items'!$A$6:$A$1005,0)),"MISSING ID")</x:f>
        <x:v>Processed material</x:v>
      </x:c>
      <x:c r="I466" s="4"/>
      <x:c r="J466" s="4" t="str">
        <x:v>Unspecified</x:v>
      </x:c>
      <x:c r="K466" s="4" t="str">
        <x:f>IFERROR(INDEX('Crafting recipes'!$D$6:$D$1005,MATCH(B466,'Crafting recipes'!$A$6:$A$1005,0)),"MISSING ID")</x:f>
        <x:v>Proposal</x:v>
      </x:c>
      <x:c r="L466" s="4" t="str">
        <x:f>IFERROR(INDEX('Items'!$AD$6:$AD$1005,MATCH(D466,'Items'!$A$6:$A$1005,0)),"MISSING ID")</x:f>
        <x:v>Proposal</x:v>
      </x:c>
      <x:c r="M466" s="4" t="str">
        <x:f>IFERROR(INDEX('Crafting recipes'!$E$6:$E$1005,MATCH(B466,'Crafting recipes'!$A$6:$A$1005,0)),"MISSING ID")</x:f>
        <x:v>Partial proposal</x:v>
      </x:c>
      <x:c r="N466" s="4" t="str">
        <x:v>Candidate relationship only; quantity, yield and full recipe remain undefined.</x:v>
      </x:c>
      <x:c r="O466" s="4" t="str">
        <x:v>New October 15 tier-review proposal; user-authorized item audit and Docs/WORLD_BASIS.md. No source-canon or implemented-recipe claim.</x:v>
      </x:c>
      <x:c r="P466" s="4" t="n">
        <x:f>IF(OR(C466="Ingredient candidate",C466="Consumed input",C466="Contained input",C466="Transform input"),IF(F466="T0",0,IF(F466="T1",1,IF(F466="T2",2,IF(F466="T3",3,IF(F466="T4",4,-1))))),-1)</x:f>
        <x:v>2</x:v>
      </x:c>
      <x:c r="Q466" s="4" t="n">
        <x:f>IF(AND(OR(C466="Ingredient candidate",C466="Consumed input",C466="Contained input",C466="Transform input"),P466=-1),1,0)</x:f>
        <x:v>0</x:v>
      </x:c>
    </x:row>
    <x:row r="467" ht="115" customHeight="1">
      <x:c r="A467" s="4" t="str">
        <x:v>design.review.proposal_canister_seal_seat.out</x:v>
      </x:c>
      <x:c r="B467" s="4" t="str">
        <x:v>design.review.proposal_canister_seal_seat</x:v>
      </x:c>
      <x:c r="C467" s="4" t="str">
        <x:v>Output</x:v>
      </x:c>
      <x:c r="D467" s="4" t="str">
        <x:v>proposal.canister.seal_seat</x:v>
      </x:c>
      <x:c r="E467" s="4" t="str">
        <x:f>IFERROR(INDEX('Items'!$B$6:$B$1005,MATCH(D467,'Items'!$A$6:$A$1005,0)),"MISSING ID")</x:f>
        <x:v>Fitted seal seat</x:v>
      </x:c>
      <x:c r="F467" s="4" t="str">
        <x:f>IFERROR(INDEX('Items'!$C$6:$C$1005,MATCH(D467,'Items'!$A$6:$A$1005,0)),"MISSING ID")</x:f>
        <x:v>T3</x:v>
      </x:c>
      <x:c r="G467" s="4" t="str">
        <x:f>IFERROR(INDEX('Items'!$D$6:$D$1005,MATCH(D467,'Items'!$A$6:$A$1005,0)),"MISSING ID")</x:f>
        <x:v>Crafting components</x:v>
      </x:c>
      <x:c r="H467" s="4" t="str">
        <x:f>IFERROR(INDEX('Items'!$X$6:$X$1005,MATCH(D467,'Items'!$A$6:$A$1005,0)),"MISSING ID")</x:f>
        <x:v>Container part</x:v>
      </x:c>
      <x:c r="I467" s="4"/>
      <x:c r="J467" s="4" t="str">
        <x:v>Unspecified</x:v>
      </x:c>
      <x:c r="K467" s="4" t="str">
        <x:f>IFERROR(INDEX('Crafting recipes'!$D$6:$D$1005,MATCH(B467,'Crafting recipes'!$A$6:$A$1005,0)),"MISSING ID")</x:f>
        <x:v>Proposal</x:v>
      </x:c>
      <x:c r="L467" s="4" t="str">
        <x:f>IFERROR(INDEX('Items'!$AD$6:$AD$1005,MATCH(D467,'Items'!$A$6:$A$1005,0)),"MISSING ID")</x:f>
        <x:v>Proposal</x:v>
      </x:c>
      <x:c r="M467" s="4" t="str">
        <x:f>IFERROR(INDEX('Crafting recipes'!$E$6:$E$1005,MATCH(B467,'Crafting recipes'!$A$6:$A$1005,0)),"MISSING ID")</x:f>
        <x:v>Partial proposal</x:v>
      </x:c>
      <x:c r="N467" s="4" t="str">
        <x:v>Candidate relationship only; quantity, yield and full recipe remain undefined.</x:v>
      </x:c>
      <x:c r="O467" s="4" t="str">
        <x:v>New October 15 tier-review proposal; user-authorized item audit and Docs/WORLD_BASIS.md. No source-canon or implemented-recipe claim.</x:v>
      </x:c>
      <x:c r="P467" s="4" t="n">
        <x:f>IF(OR(C467="Ingredient candidate",C467="Consumed input",C467="Contained input",C467="Transform input"),IF(F467="T0",0,IF(F467="T1",1,IF(F467="T2",2,IF(F467="T3",3,IF(F467="T4",4,-1))))),-1)</x:f>
        <x:v>-1</x:v>
      </x:c>
      <x:c r="Q467" s="4" t="n">
        <x:f>IF(AND(OR(C467="Ingredient candidate",C467="Consumed input",C467="Contained input",C467="Transform input"),P467=-1),1,0)</x:f>
        <x:v>0</x:v>
      </x:c>
    </x:row>
    <x:row r="468" ht="115" customHeight="1">
      <x:c r="A468" s="4" t="str">
        <x:v>design.review.proposal_canister_feed_line.in.1</x:v>
      </x:c>
      <x:c r="B468" s="4" t="str">
        <x:v>design.review.proposal_canister_feed_line</x:v>
      </x:c>
      <x:c r="C468" s="4" t="str">
        <x:v>Ingredient candidate</x:v>
      </x:c>
      <x:c r="D468" s="4" t="str">
        <x:v>proposal.t3.precision_tube</x:v>
      </x:c>
      <x:c r="E468" s="4" t="str">
        <x:f>IFERROR(INDEX('Items'!$B$6:$B$1005,MATCH(D468,'Items'!$A$6:$A$1005,0)),"MISSING ID")</x:f>
        <x:v>Drawn steel tube stock</x:v>
      </x:c>
      <x:c r="F468" s="4" t="str">
        <x:f>IFERROR(INDEX('Items'!$C$6:$C$1005,MATCH(D468,'Items'!$A$6:$A$1005,0)),"MISSING ID")</x:f>
        <x:v>T3</x:v>
      </x:c>
      <x:c r="G468" s="4" t="str">
        <x:f>IFERROR(INDEX('Items'!$D$6:$D$1005,MATCH(D468,'Items'!$A$6:$A$1005,0)),"MISSING ID")</x:f>
        <x:v>Manufactured stock</x:v>
      </x:c>
      <x:c r="H468" s="4" t="str">
        <x:f>IFERROR(INDEX('Items'!$X$6:$X$1005,MATCH(D468,'Items'!$A$6:$A$1005,0)),"MISSING ID")</x:f>
        <x:v>Processed material</x:v>
      </x:c>
      <x:c r="I468" s="4"/>
      <x:c r="J468" s="4" t="str">
        <x:v>Unspecified</x:v>
      </x:c>
      <x:c r="K468" s="4" t="str">
        <x:f>IFERROR(INDEX('Crafting recipes'!$D$6:$D$1005,MATCH(B468,'Crafting recipes'!$A$6:$A$1005,0)),"MISSING ID")</x:f>
        <x:v>Proposal</x:v>
      </x:c>
      <x:c r="L468" s="4" t="str">
        <x:f>IFERROR(INDEX('Items'!$AD$6:$AD$1005,MATCH(D468,'Items'!$A$6:$A$1005,0)),"MISSING ID")</x:f>
        <x:v>Proposal</x:v>
      </x:c>
      <x:c r="M468" s="4" t="str">
        <x:f>IFERROR(INDEX('Crafting recipes'!$E$6:$E$1005,MATCH(B468,'Crafting recipes'!$A$6:$A$1005,0)),"MISSING ID")</x:f>
        <x:v>Partial proposal</x:v>
      </x:c>
      <x:c r="N468" s="4" t="str">
        <x:v>Candidate relationship only; quantity, yield and full recipe remain undefined.</x:v>
      </x:c>
      <x:c r="O468" s="4" t="str">
        <x:v>New October 15 tier-review proposal; user-authorized item audit and Docs/WORLD_BASIS.md. No source-canon or implemented-recipe claim.</x:v>
      </x:c>
      <x:c r="P468" s="4" t="n">
        <x:f>IF(OR(C468="Ingredient candidate",C468="Consumed input",C468="Contained input",C468="Transform input"),IF(F468="T0",0,IF(F468="T1",1,IF(F468="T2",2,IF(F468="T3",3,IF(F468="T4",4,-1))))),-1)</x:f>
        <x:v>3</x:v>
      </x:c>
      <x:c r="Q468" s="4" t="n">
        <x:f>IF(AND(OR(C468="Ingredient candidate",C468="Consumed input",C468="Contained input",C468="Transform input"),P468=-1),1,0)</x:f>
        <x:v>0</x:v>
      </x:c>
    </x:row>
    <x:row r="469" ht="115" customHeight="1">
      <x:c r="A469" s="4" t="str">
        <x:v>design.review.proposal_canister_feed_line.in.2</x:v>
      </x:c>
      <x:c r="B469" s="4" t="str">
        <x:v>design.review.proposal_canister_feed_line</x:v>
      </x:c>
      <x:c r="C469" s="4" t="str">
        <x:v>Ingredient candidate</x:v>
      </x:c>
      <x:c r="D469" s="4" t="str">
        <x:v>proposal.t3.packing_stock</x:v>
      </x:c>
      <x:c r="E469" s="4" t="str">
        <x:f>IFERROR(INDEX('Items'!$B$6:$B$1005,MATCH(D469,'Items'!$A$6:$A$1005,0)),"MISSING ID")</x:f>
        <x:v>Husk-reinforced packing stock</x:v>
      </x:c>
      <x:c r="F469" s="4" t="str">
        <x:f>IFERROR(INDEX('Items'!$C$6:$C$1005,MATCH(D469,'Items'!$A$6:$A$1005,0)),"MISSING ID")</x:f>
        <x:v>T3</x:v>
      </x:c>
      <x:c r="G469" s="4" t="str">
        <x:f>IFERROR(INDEX('Items'!$D$6:$D$1005,MATCH(D469,'Items'!$A$6:$A$1005,0)),"MISSING ID")</x:f>
        <x:v>Manufactured stock</x:v>
      </x:c>
      <x:c r="H469" s="4" t="str">
        <x:f>IFERROR(INDEX('Items'!$X$6:$X$1005,MATCH(D469,'Items'!$A$6:$A$1005,0)),"MISSING ID")</x:f>
        <x:v>Processed material</x:v>
      </x:c>
      <x:c r="I469" s="4"/>
      <x:c r="J469" s="4" t="str">
        <x:v>Unspecified</x:v>
      </x:c>
      <x:c r="K469" s="4" t="str">
        <x:f>IFERROR(INDEX('Crafting recipes'!$D$6:$D$1005,MATCH(B469,'Crafting recipes'!$A$6:$A$1005,0)),"MISSING ID")</x:f>
        <x:v>Proposal</x:v>
      </x:c>
      <x:c r="L469" s="4" t="str">
        <x:f>IFERROR(INDEX('Items'!$AD$6:$AD$1005,MATCH(D469,'Items'!$A$6:$A$1005,0)),"MISSING ID")</x:f>
        <x:v>Proposal</x:v>
      </x:c>
      <x:c r="M469" s="4" t="str">
        <x:f>IFERROR(INDEX('Crafting recipes'!$E$6:$E$1005,MATCH(B469,'Crafting recipes'!$A$6:$A$1005,0)),"MISSING ID")</x:f>
        <x:v>Partial proposal</x:v>
      </x:c>
      <x:c r="N469" s="4" t="str">
        <x:v>Candidate relationship only; quantity, yield and full recipe remain undefined.</x:v>
      </x:c>
      <x:c r="O469" s="4" t="str">
        <x:v>New October 15 tier-review proposal; user-authorized item audit and Docs/WORLD_BASIS.md. No source-canon or implemented-recipe claim.</x:v>
      </x:c>
      <x:c r="P469" s="4" t="n">
        <x:f>IF(OR(C469="Ingredient candidate",C469="Consumed input",C469="Contained input",C469="Transform input"),IF(F469="T0",0,IF(F469="T1",1,IF(F469="T2",2,IF(F469="T3",3,IF(F469="T4",4,-1))))),-1)</x:f>
        <x:v>3</x:v>
      </x:c>
      <x:c r="Q469" s="4" t="n">
        <x:f>IF(AND(OR(C469="Ingredient candidate",C469="Consumed input",C469="Contained input",C469="Transform input"),P469=-1),1,0)</x:f>
        <x:v>0</x:v>
      </x:c>
    </x:row>
    <x:row r="470" ht="115" customHeight="1">
      <x:c r="A470" s="4" t="str">
        <x:v>design.review.proposal_canister_feed_line.out</x:v>
      </x:c>
      <x:c r="B470" s="4" t="str">
        <x:v>design.review.proposal_canister_feed_line</x:v>
      </x:c>
      <x:c r="C470" s="4" t="str">
        <x:v>Output</x:v>
      </x:c>
      <x:c r="D470" s="4" t="str">
        <x:v>proposal.canister.feed_line</x:v>
      </x:c>
      <x:c r="E470" s="4" t="str">
        <x:f>IFERROR(INDEX('Items'!$B$6:$B$1005,MATCH(D470,'Items'!$A$6:$A$1005,0)),"MISSING ID")</x:f>
        <x:v>Feed-line section</x:v>
      </x:c>
      <x:c r="F470" s="4" t="str">
        <x:f>IFERROR(INDEX('Items'!$C$6:$C$1005,MATCH(D470,'Items'!$A$6:$A$1005,0)),"MISSING ID")</x:f>
        <x:v>T4</x:v>
      </x:c>
      <x:c r="G470" s="4" t="str">
        <x:f>IFERROR(INDEX('Items'!$D$6:$D$1005,MATCH(D470,'Items'!$A$6:$A$1005,0)),"MISSING ID")</x:f>
        <x:v>Crafting components</x:v>
      </x:c>
      <x:c r="H470" s="4" t="str">
        <x:f>IFERROR(INDEX('Items'!$X$6:$X$1005,MATCH(D470,'Items'!$A$6:$A$1005,0)),"MISSING ID")</x:f>
        <x:v>Container part</x:v>
      </x:c>
      <x:c r="I470" s="4"/>
      <x:c r="J470" s="4" t="str">
        <x:v>Unspecified</x:v>
      </x:c>
      <x:c r="K470" s="4" t="str">
        <x:f>IFERROR(INDEX('Crafting recipes'!$D$6:$D$1005,MATCH(B470,'Crafting recipes'!$A$6:$A$1005,0)),"MISSING ID")</x:f>
        <x:v>Proposal</x:v>
      </x:c>
      <x:c r="L470" s="4" t="str">
        <x:f>IFERROR(INDEX('Items'!$AD$6:$AD$1005,MATCH(D470,'Items'!$A$6:$A$1005,0)),"MISSING ID")</x:f>
        <x:v>Proposal</x:v>
      </x:c>
      <x:c r="M470" s="4" t="str">
        <x:f>IFERROR(INDEX('Crafting recipes'!$E$6:$E$1005,MATCH(B470,'Crafting recipes'!$A$6:$A$1005,0)),"MISSING ID")</x:f>
        <x:v>Partial proposal</x:v>
      </x:c>
      <x:c r="N470" s="4" t="str">
        <x:v>Candidate relationship only; quantity, yield and full recipe remain undefined.</x:v>
      </x:c>
      <x:c r="O470" s="4" t="str">
        <x:v>New October 15 tier-review proposal; user-authorized item audit and Docs/WORLD_BASIS.md. No source-canon or implemented-recipe claim.</x:v>
      </x:c>
      <x:c r="P470" s="4" t="n">
        <x:f>IF(OR(C470="Ingredient candidate",C470="Consumed input",C470="Contained input",C470="Transform input"),IF(F470="T0",0,IF(F470="T1",1,IF(F470="T2",2,IF(F470="T3",3,IF(F470="T4",4,-1))))),-1)</x:f>
        <x:v>-1</x:v>
      </x:c>
      <x:c r="Q470" s="4" t="n">
        <x:f>IF(AND(OR(C470="Ingredient candidate",C470="Consumed input",C470="Contained input",C470="Transform input"),P470=-1),1,0)</x:f>
        <x:v>0</x:v>
      </x:c>
    </x:row>
    <x:row r="471" ht="115" customHeight="1">
      <x:c r="A471" s="4" t="str">
        <x:v>design.review.proposal_canister_coupling.in.1</x:v>
      </x:c>
      <x:c r="B471" s="4" t="str">
        <x:v>design.review.proposal_canister_coupling</x:v>
      </x:c>
      <x:c r="C471" s="4" t="str">
        <x:v>Ingredient candidate</x:v>
      </x:c>
      <x:c r="D471" s="4" t="str">
        <x:v>proposal.t3.precision_tube</x:v>
      </x:c>
      <x:c r="E471" s="4" t="str">
        <x:f>IFERROR(INDEX('Items'!$B$6:$B$1005,MATCH(D471,'Items'!$A$6:$A$1005,0)),"MISSING ID")</x:f>
        <x:v>Drawn steel tube stock</x:v>
      </x:c>
      <x:c r="F471" s="4" t="str">
        <x:f>IFERROR(INDEX('Items'!$C$6:$C$1005,MATCH(D471,'Items'!$A$6:$A$1005,0)),"MISSING ID")</x:f>
        <x:v>T3</x:v>
      </x:c>
      <x:c r="G471" s="4" t="str">
        <x:f>IFERROR(INDEX('Items'!$D$6:$D$1005,MATCH(D471,'Items'!$A$6:$A$1005,0)),"MISSING ID")</x:f>
        <x:v>Manufactured stock</x:v>
      </x:c>
      <x:c r="H471" s="4" t="str">
        <x:f>IFERROR(INDEX('Items'!$X$6:$X$1005,MATCH(D471,'Items'!$A$6:$A$1005,0)),"MISSING ID")</x:f>
        <x:v>Processed material</x:v>
      </x:c>
      <x:c r="I471" s="4"/>
      <x:c r="J471" s="4" t="str">
        <x:v>Unspecified</x:v>
      </x:c>
      <x:c r="K471" s="4" t="str">
        <x:f>IFERROR(INDEX('Crafting recipes'!$D$6:$D$1005,MATCH(B471,'Crafting recipes'!$A$6:$A$1005,0)),"MISSING ID")</x:f>
        <x:v>Proposal</x:v>
      </x:c>
      <x:c r="L471" s="4" t="str">
        <x:f>IFERROR(INDEX('Items'!$AD$6:$AD$1005,MATCH(D471,'Items'!$A$6:$A$1005,0)),"MISSING ID")</x:f>
        <x:v>Proposal</x:v>
      </x:c>
      <x:c r="M471" s="4" t="str">
        <x:f>IFERROR(INDEX('Crafting recipes'!$E$6:$E$1005,MATCH(B471,'Crafting recipes'!$A$6:$A$1005,0)),"MISSING ID")</x:f>
        <x:v>Partial proposal</x:v>
      </x:c>
      <x:c r="N471" s="4" t="str">
        <x:v>Candidate relationship only; quantity, yield and full recipe remain undefined.</x:v>
      </x:c>
      <x:c r="O471" s="4" t="str">
        <x:v>New October 15 tier-review proposal; user-authorized item audit and Docs/WORLD_BASIS.md. No source-canon or implemented-recipe claim.</x:v>
      </x:c>
      <x:c r="P471" s="4" t="n">
        <x:f>IF(OR(C471="Ingredient candidate",C471="Consumed input",C471="Contained input",C471="Transform input"),IF(F471="T0",0,IF(F471="T1",1,IF(F471="T2",2,IF(F471="T3",3,IF(F471="T4",4,-1))))),-1)</x:f>
        <x:v>3</x:v>
      </x:c>
      <x:c r="Q471" s="4" t="n">
        <x:f>IF(AND(OR(C471="Ingredient candidate",C471="Consumed input",C471="Contained input",C471="Transform input"),P471=-1),1,0)</x:f>
        <x:v>0</x:v>
      </x:c>
    </x:row>
    <x:row r="472" ht="115" customHeight="1">
      <x:c r="A472" s="4" t="str">
        <x:v>design.review.proposal_canister_coupling.in.2</x:v>
      </x:c>
      <x:c r="B472" s="4" t="str">
        <x:v>design.review.proposal_canister_coupling</x:v>
      </x:c>
      <x:c r="C472" s="4" t="str">
        <x:v>Ingredient candidate</x:v>
      </x:c>
      <x:c r="D472" s="4" t="str">
        <x:v>proposal.t3.packing_stock</x:v>
      </x:c>
      <x:c r="E472" s="4" t="str">
        <x:f>IFERROR(INDEX('Items'!$B$6:$B$1005,MATCH(D472,'Items'!$A$6:$A$1005,0)),"MISSING ID")</x:f>
        <x:v>Husk-reinforced packing stock</x:v>
      </x:c>
      <x:c r="F472" s="4" t="str">
        <x:f>IFERROR(INDEX('Items'!$C$6:$C$1005,MATCH(D472,'Items'!$A$6:$A$1005,0)),"MISSING ID")</x:f>
        <x:v>T3</x:v>
      </x:c>
      <x:c r="G472" s="4" t="str">
        <x:f>IFERROR(INDEX('Items'!$D$6:$D$1005,MATCH(D472,'Items'!$A$6:$A$1005,0)),"MISSING ID")</x:f>
        <x:v>Manufactured stock</x:v>
      </x:c>
      <x:c r="H472" s="4" t="str">
        <x:f>IFERROR(INDEX('Items'!$X$6:$X$1005,MATCH(D472,'Items'!$A$6:$A$1005,0)),"MISSING ID")</x:f>
        <x:v>Processed material</x:v>
      </x:c>
      <x:c r="I472" s="4"/>
      <x:c r="J472" s="4" t="str">
        <x:v>Unspecified</x:v>
      </x:c>
      <x:c r="K472" s="4" t="str">
        <x:f>IFERROR(INDEX('Crafting recipes'!$D$6:$D$1005,MATCH(B472,'Crafting recipes'!$A$6:$A$1005,0)),"MISSING ID")</x:f>
        <x:v>Proposal</x:v>
      </x:c>
      <x:c r="L472" s="4" t="str">
        <x:f>IFERROR(INDEX('Items'!$AD$6:$AD$1005,MATCH(D472,'Items'!$A$6:$A$1005,0)),"MISSING ID")</x:f>
        <x:v>Proposal</x:v>
      </x:c>
      <x:c r="M472" s="4" t="str">
        <x:f>IFERROR(INDEX('Crafting recipes'!$E$6:$E$1005,MATCH(B472,'Crafting recipes'!$A$6:$A$1005,0)),"MISSING ID")</x:f>
        <x:v>Partial proposal</x:v>
      </x:c>
      <x:c r="N472" s="4" t="str">
        <x:v>Candidate relationship only; quantity, yield and full recipe remain undefined.</x:v>
      </x:c>
      <x:c r="O472" s="4" t="str">
        <x:v>New October 15 tier-review proposal; user-authorized item audit and Docs/WORLD_BASIS.md. No source-canon or implemented-recipe claim.</x:v>
      </x:c>
      <x:c r="P472" s="4" t="n">
        <x:f>IF(OR(C472="Ingredient candidate",C472="Consumed input",C472="Contained input",C472="Transform input"),IF(F472="T0",0,IF(F472="T1",1,IF(F472="T2",2,IF(F472="T3",3,IF(F472="T4",4,-1))))),-1)</x:f>
        <x:v>3</x:v>
      </x:c>
      <x:c r="Q472" s="4" t="n">
        <x:f>IF(AND(OR(C472="Ingredient candidate",C472="Consumed input",C472="Contained input",C472="Transform input"),P472=-1),1,0)</x:f>
        <x:v>0</x:v>
      </x:c>
    </x:row>
    <x:row r="473" ht="115" customHeight="1">
      <x:c r="A473" s="4" t="str">
        <x:v>design.review.proposal_canister_coupling.in.3</x:v>
      </x:c>
      <x:c r="B473" s="4" t="str">
        <x:v>design.review.proposal_canister_coupling</x:v>
      </x:c>
      <x:c r="C473" s="4" t="str">
        <x:v>Ingredient candidate</x:v>
      </x:c>
      <x:c r="D473" s="4" t="str">
        <x:v>proposal.branch.bearing_bronze</x:v>
      </x:c>
      <x:c r="E473" s="4" t="str">
        <x:f>IFERROR(INDEX('Items'!$B$6:$B$1005,MATCH(D473,'Items'!$A$6:$A$1005,0)),"MISSING ID")</x:f>
        <x:v>Prepared bronze bearing stock</x:v>
      </x:c>
      <x:c r="F473" s="4" t="str">
        <x:f>IFERROR(INDEX('Items'!$C$6:$C$1005,MATCH(D473,'Items'!$A$6:$A$1005,0)),"MISSING ID")</x:f>
        <x:v>T2</x:v>
      </x:c>
      <x:c r="G473" s="4" t="str">
        <x:f>IFERROR(INDEX('Items'!$D$6:$D$1005,MATCH(D473,'Items'!$A$6:$A$1005,0)),"MISSING ID")</x:f>
        <x:v>Manufactured stock</x:v>
      </x:c>
      <x:c r="H473" s="4" t="str">
        <x:f>IFERROR(INDEX('Items'!$X$6:$X$1005,MATCH(D473,'Items'!$A$6:$A$1005,0)),"MISSING ID")</x:f>
        <x:v>Processed material</x:v>
      </x:c>
      <x:c r="I473" s="4"/>
      <x:c r="J473" s="4" t="str">
        <x:v>Unspecified</x:v>
      </x:c>
      <x:c r="K473" s="4" t="str">
        <x:f>IFERROR(INDEX('Crafting recipes'!$D$6:$D$1005,MATCH(B473,'Crafting recipes'!$A$6:$A$1005,0)),"MISSING ID")</x:f>
        <x:v>Proposal</x:v>
      </x:c>
      <x:c r="L473" s="4" t="str">
        <x:f>IFERROR(INDEX('Items'!$AD$6:$AD$1005,MATCH(D473,'Items'!$A$6:$A$1005,0)),"MISSING ID")</x:f>
        <x:v>Proposal</x:v>
      </x:c>
      <x:c r="M473" s="4" t="str">
        <x:f>IFERROR(INDEX('Crafting recipes'!$E$6:$E$1005,MATCH(B473,'Crafting recipes'!$A$6:$A$1005,0)),"MISSING ID")</x:f>
        <x:v>Partial proposal</x:v>
      </x:c>
      <x:c r="N473" s="4" t="str">
        <x:v>Candidate relationship only; quantity, yield and full recipe remain undefined.</x:v>
      </x:c>
      <x:c r="O473" s="4" t="str">
        <x:v>New October 15 tier-review proposal; user-authorized item audit and Docs/WORLD_BASIS.md. No source-canon or implemented-recipe claim.</x:v>
      </x:c>
      <x:c r="P473" s="4" t="n">
        <x:f>IF(OR(C473="Ingredient candidate",C473="Consumed input",C473="Contained input",C473="Transform input"),IF(F473="T0",0,IF(F473="T1",1,IF(F473="T2",2,IF(F473="T3",3,IF(F473="T4",4,-1))))),-1)</x:f>
        <x:v>2</x:v>
      </x:c>
      <x:c r="Q473" s="4" t="n">
        <x:f>IF(AND(OR(C473="Ingredient candidate",C473="Consumed input",C473="Contained input",C473="Transform input"),P473=-1),1,0)</x:f>
        <x:v>0</x:v>
      </x:c>
    </x:row>
    <x:row r="474" ht="115" customHeight="1">
      <x:c r="A474" s="4" t="str">
        <x:v>design.review.proposal_canister_coupling.out</x:v>
      </x:c>
      <x:c r="B474" s="4" t="str">
        <x:v>design.review.proposal_canister_coupling</x:v>
      </x:c>
      <x:c r="C474" s="4" t="str">
        <x:v>Output</x:v>
      </x:c>
      <x:c r="D474" s="4" t="str">
        <x:v>proposal.canister.coupling</x:v>
      </x:c>
      <x:c r="E474" s="4" t="str">
        <x:f>IFERROR(INDEX('Items'!$B$6:$B$1005,MATCH(D474,'Items'!$A$6:$A$1005,0)),"MISSING ID")</x:f>
        <x:v>Feed-line coupling</x:v>
      </x:c>
      <x:c r="F474" s="4" t="str">
        <x:f>IFERROR(INDEX('Items'!$C$6:$C$1005,MATCH(D474,'Items'!$A$6:$A$1005,0)),"MISSING ID")</x:f>
        <x:v>T4</x:v>
      </x:c>
      <x:c r="G474" s="4" t="str">
        <x:f>IFERROR(INDEX('Items'!$D$6:$D$1005,MATCH(D474,'Items'!$A$6:$A$1005,0)),"MISSING ID")</x:f>
        <x:v>Crafting components</x:v>
      </x:c>
      <x:c r="H474" s="4" t="str">
        <x:f>IFERROR(INDEX('Items'!$X$6:$X$1005,MATCH(D474,'Items'!$A$6:$A$1005,0)),"MISSING ID")</x:f>
        <x:v>Container part</x:v>
      </x:c>
      <x:c r="I474" s="4"/>
      <x:c r="J474" s="4" t="str">
        <x:v>Unspecified</x:v>
      </x:c>
      <x:c r="K474" s="4" t="str">
        <x:f>IFERROR(INDEX('Crafting recipes'!$D$6:$D$1005,MATCH(B474,'Crafting recipes'!$A$6:$A$1005,0)),"MISSING ID")</x:f>
        <x:v>Proposal</x:v>
      </x:c>
      <x:c r="L474" s="4" t="str">
        <x:f>IFERROR(INDEX('Items'!$AD$6:$AD$1005,MATCH(D474,'Items'!$A$6:$A$1005,0)),"MISSING ID")</x:f>
        <x:v>Proposal</x:v>
      </x:c>
      <x:c r="M474" s="4" t="str">
        <x:f>IFERROR(INDEX('Crafting recipes'!$E$6:$E$1005,MATCH(B474,'Crafting recipes'!$A$6:$A$1005,0)),"MISSING ID")</x:f>
        <x:v>Partial proposal</x:v>
      </x:c>
      <x:c r="N474" s="4" t="str">
        <x:v>Candidate relationship only; quantity, yield and full recipe remain undefined.</x:v>
      </x:c>
      <x:c r="O474" s="4" t="str">
        <x:v>New October 15 tier-review proposal; user-authorized item audit and Docs/WORLD_BASIS.md. No source-canon or implemented-recipe claim.</x:v>
      </x:c>
      <x:c r="P474" s="4" t="n">
        <x:f>IF(OR(C474="Ingredient candidate",C474="Consumed input",C474="Contained input",C474="Transform input"),IF(F474="T0",0,IF(F474="T1",1,IF(F474="T2",2,IF(F474="T3",3,IF(F474="T4",4,-1))))),-1)</x:f>
        <x:v>-1</x:v>
      </x:c>
      <x:c r="Q474" s="4" t="n">
        <x:f>IF(AND(OR(C474="Ingredient candidate",C474="Consumed input",C474="Contained input",C474="Transform input"),P474=-1),1,0)</x:f>
        <x:v>0</x:v>
      </x:c>
    </x:row>
    <x:row r="475" ht="115" customHeight="1">
      <x:c r="A475" s="4" t="str">
        <x:v>design.review.proposal_canister_mouthpiece.in.1</x:v>
      </x:c>
      <x:c r="B475" s="4" t="str">
        <x:v>design.review.proposal_canister_mouthpiece</x:v>
      </x:c>
      <x:c r="C475" s="4" t="str">
        <x:v>Ingredient candidate</x:v>
      </x:c>
      <x:c r="D475" s="4" t="str">
        <x:v>proposal.natural.ceramic</x:v>
      </x:c>
      <x:c r="E475" s="4" t="str">
        <x:f>IFERROR(INDEX('Items'!$B$6:$B$1005,MATCH(D475,'Items'!$A$6:$A$1005,0)),"MISSING ID")</x:f>
        <x:v>Insulating ceramic blanks</x:v>
      </x:c>
      <x:c r="F475" s="4" t="str">
        <x:f>IFERROR(INDEX('Items'!$C$6:$C$1005,MATCH(D475,'Items'!$A$6:$A$1005,0)),"MISSING ID")</x:f>
        <x:v>T2</x:v>
      </x:c>
      <x:c r="G475" s="4" t="str">
        <x:f>IFERROR(INDEX('Items'!$D$6:$D$1005,MATCH(D475,'Items'!$A$6:$A$1005,0)),"MISSING ID")</x:f>
        <x:v>Manufactured stock</x:v>
      </x:c>
      <x:c r="H475" s="4" t="str">
        <x:f>IFERROR(INDEX('Items'!$X$6:$X$1005,MATCH(D475,'Items'!$A$6:$A$1005,0)),"MISSING ID")</x:f>
        <x:v>Processed material</x:v>
      </x:c>
      <x:c r="I475" s="4"/>
      <x:c r="J475" s="4" t="str">
        <x:v>Unspecified</x:v>
      </x:c>
      <x:c r="K475" s="4" t="str">
        <x:f>IFERROR(INDEX('Crafting recipes'!$D$6:$D$1005,MATCH(B475,'Crafting recipes'!$A$6:$A$1005,0)),"MISSING ID")</x:f>
        <x:v>Proposal</x:v>
      </x:c>
      <x:c r="L475" s="4" t="str">
        <x:f>IFERROR(INDEX('Items'!$AD$6:$AD$1005,MATCH(D475,'Items'!$A$6:$A$1005,0)),"MISSING ID")</x:f>
        <x:v>Proposal</x:v>
      </x:c>
      <x:c r="M475" s="4" t="str">
        <x:f>IFERROR(INDEX('Crafting recipes'!$E$6:$E$1005,MATCH(B475,'Crafting recipes'!$A$6:$A$1005,0)),"MISSING ID")</x:f>
        <x:v>Partial proposal</x:v>
      </x:c>
      <x:c r="N475" s="4" t="str">
        <x:v>Candidate relationship only; quantity, yield and full recipe remain undefined.</x:v>
      </x:c>
      <x:c r="O475" s="4" t="str">
        <x:v>New October 15 tier-review proposal; user-authorized item audit and Docs/WORLD_BASIS.md. No source-canon or implemented-recipe claim.</x:v>
      </x:c>
      <x:c r="P475" s="4" t="n">
        <x:f>IF(OR(C475="Ingredient candidate",C475="Consumed input",C475="Contained input",C475="Transform input"),IF(F475="T0",0,IF(F475="T1",1,IF(F475="T2",2,IF(F475="T3",3,IF(F475="T4",4,-1))))),-1)</x:f>
        <x:v>2</x:v>
      </x:c>
      <x:c r="Q475" s="4" t="n">
        <x:f>IF(AND(OR(C475="Ingredient candidate",C475="Consumed input",C475="Contained input",C475="Transform input"),P475=-1),1,0)</x:f>
        <x:v>0</x:v>
      </x:c>
    </x:row>
    <x:row r="476" ht="115" customHeight="1">
      <x:c r="A476" s="4" t="str">
        <x:v>design.review.proposal_canister_mouthpiece.in.2</x:v>
      </x:c>
      <x:c r="B476" s="4" t="str">
        <x:v>design.review.proposal_canister_mouthpiece</x:v>
      </x:c>
      <x:c r="C476" s="4" t="str">
        <x:v>Ingredient candidate</x:v>
      </x:c>
      <x:c r="D476" s="4" t="str">
        <x:v>proposal.branch.filled_seal</x:v>
      </x:c>
      <x:c r="E476" s="4" t="str">
        <x:f>IFERROR(INDEX('Items'!$B$6:$B$1005,MATCH(D476,'Items'!$A$6:$A$1005,0)),"MISSING ID")</x:f>
        <x:v>Filled faunal seal compound</x:v>
      </x:c>
      <x:c r="F476" s="4" t="str">
        <x:f>IFERROR(INDEX('Items'!$C$6:$C$1005,MATCH(D476,'Items'!$A$6:$A$1005,0)),"MISSING ID")</x:f>
        <x:v>T2</x:v>
      </x:c>
      <x:c r="G476" s="4" t="str">
        <x:f>IFERROR(INDEX('Items'!$D$6:$D$1005,MATCH(D476,'Items'!$A$6:$A$1005,0)),"MISSING ID")</x:f>
        <x:v>Crafting components</x:v>
      </x:c>
      <x:c r="H476" s="4" t="str">
        <x:f>IFERROR(INDEX('Items'!$X$6:$X$1005,MATCH(D476,'Items'!$A$6:$A$1005,0)),"MISSING ID")</x:f>
        <x:v>Chemical material</x:v>
      </x:c>
      <x:c r="I476" s="4"/>
      <x:c r="J476" s="4" t="str">
        <x:v>Unspecified</x:v>
      </x:c>
      <x:c r="K476" s="4" t="str">
        <x:f>IFERROR(INDEX('Crafting recipes'!$D$6:$D$1005,MATCH(B476,'Crafting recipes'!$A$6:$A$1005,0)),"MISSING ID")</x:f>
        <x:v>Proposal</x:v>
      </x:c>
      <x:c r="L476" s="4" t="str">
        <x:f>IFERROR(INDEX('Items'!$AD$6:$AD$1005,MATCH(D476,'Items'!$A$6:$A$1005,0)),"MISSING ID")</x:f>
        <x:v>Proposal</x:v>
      </x:c>
      <x:c r="M476" s="4" t="str">
        <x:f>IFERROR(INDEX('Crafting recipes'!$E$6:$E$1005,MATCH(B476,'Crafting recipes'!$A$6:$A$1005,0)),"MISSING ID")</x:f>
        <x:v>Partial proposal</x:v>
      </x:c>
      <x:c r="N476" s="4" t="str">
        <x:v>Candidate relationship only; quantity, yield and full recipe remain undefined.</x:v>
      </x:c>
      <x:c r="O476" s="4" t="str">
        <x:v>New October 15 tier-review proposal; user-authorized item audit and Docs/WORLD_BASIS.md. No source-canon or implemented-recipe claim.</x:v>
      </x:c>
      <x:c r="P476" s="4" t="n">
        <x:f>IF(OR(C476="Ingredient candidate",C476="Consumed input",C476="Contained input",C476="Transform input"),IF(F476="T0",0,IF(F476="T1",1,IF(F476="T2",2,IF(F476="T3",3,IF(F476="T4",4,-1))))),-1)</x:f>
        <x:v>2</x:v>
      </x:c>
      <x:c r="Q476" s="4" t="n">
        <x:f>IF(AND(OR(C476="Ingredient candidate",C476="Consumed input",C476="Contained input",C476="Transform input"),P476=-1),1,0)</x:f>
        <x:v>0</x:v>
      </x:c>
    </x:row>
    <x:row r="477" ht="115" customHeight="1">
      <x:c r="A477" s="4" t="str">
        <x:v>design.review.proposal_canister_mouthpiece.out</x:v>
      </x:c>
      <x:c r="B477" s="4" t="str">
        <x:v>design.review.proposal_canister_mouthpiece</x:v>
      </x:c>
      <x:c r="C477" s="4" t="str">
        <x:v>Output</x:v>
      </x:c>
      <x:c r="D477" s="4" t="str">
        <x:v>proposal.canister.mouthpiece</x:v>
      </x:c>
      <x:c r="E477" s="4" t="str">
        <x:f>IFERROR(INDEX('Items'!$B$6:$B$1005,MATCH(D477,'Items'!$A$6:$A$1005,0)),"MISSING ID")</x:f>
        <x:v>Canister mouthpiece interface</x:v>
      </x:c>
      <x:c r="F477" s="4" t="str">
        <x:f>IFERROR(INDEX('Items'!$C$6:$C$1005,MATCH(D477,'Items'!$A$6:$A$1005,0)),"MISSING ID")</x:f>
        <x:v>T3</x:v>
      </x:c>
      <x:c r="G477" s="4" t="str">
        <x:f>IFERROR(INDEX('Items'!$D$6:$D$1005,MATCH(D477,'Items'!$A$6:$A$1005,0)),"MISSING ID")</x:f>
        <x:v>Crafting components</x:v>
      </x:c>
      <x:c r="H477" s="4" t="str">
        <x:f>IFERROR(INDEX('Items'!$X$6:$X$1005,MATCH(D477,'Items'!$A$6:$A$1005,0)),"MISSING ID")</x:f>
        <x:v>Container part</x:v>
      </x:c>
      <x:c r="I477" s="4"/>
      <x:c r="J477" s="4" t="str">
        <x:v>Unspecified</x:v>
      </x:c>
      <x:c r="K477" s="4" t="str">
        <x:f>IFERROR(INDEX('Crafting recipes'!$D$6:$D$1005,MATCH(B477,'Crafting recipes'!$A$6:$A$1005,0)),"MISSING ID")</x:f>
        <x:v>Proposal</x:v>
      </x:c>
      <x:c r="L477" s="4" t="str">
        <x:f>IFERROR(INDEX('Items'!$AD$6:$AD$1005,MATCH(D477,'Items'!$A$6:$A$1005,0)),"MISSING ID")</x:f>
        <x:v>Proposal</x:v>
      </x:c>
      <x:c r="M477" s="4" t="str">
        <x:f>IFERROR(INDEX('Crafting recipes'!$E$6:$E$1005,MATCH(B477,'Crafting recipes'!$A$6:$A$1005,0)),"MISSING ID")</x:f>
        <x:v>Partial proposal</x:v>
      </x:c>
      <x:c r="N477" s="4" t="str">
        <x:v>Candidate relationship only; quantity, yield and full recipe remain undefined.</x:v>
      </x:c>
      <x:c r="O477" s="4" t="str">
        <x:v>New October 15 tier-review proposal; user-authorized item audit and Docs/WORLD_BASIS.md. No source-canon or implemented-recipe claim.</x:v>
      </x:c>
      <x:c r="P477" s="4" t="n">
        <x:f>IF(OR(C477="Ingredient candidate",C477="Consumed input",C477="Contained input",C477="Transform input"),IF(F477="T0",0,IF(F477="T1",1,IF(F477="T2",2,IF(F477="T3",3,IF(F477="T4",4,-1))))),-1)</x:f>
        <x:v>-1</x:v>
      </x:c>
      <x:c r="Q477" s="4" t="n">
        <x:f>IF(AND(OR(C477="Ingredient candidate",C477="Consumed input",C477="Contained input",C477="Transform input"),P477=-1),1,0)</x:f>
        <x:v>0</x:v>
      </x:c>
    </x:row>
    <x:row r="478" ht="115" customHeight="1">
      <x:c r="A478" s="4" t="str">
        <x:v>design.review.proposal_canister_window.in.1</x:v>
      </x:c>
      <x:c r="B478" s="4" t="str">
        <x:v>design.review.proposal_canister_window</x:v>
      </x:c>
      <x:c r="C478" s="4" t="str">
        <x:v>Ingredient candidate</x:v>
      </x:c>
      <x:c r="D478" s="4" t="str">
        <x:v>proposal.branch.viewing_glass</x:v>
      </x:c>
      <x:c r="E478" s="4" t="str">
        <x:f>IFERROR(INDEX('Items'!$B$6:$B$1005,MATCH(D478,'Items'!$A$6:$A$1005,0)),"MISSING ID")</x:f>
        <x:v>Selected viewing-glass stock</x:v>
      </x:c>
      <x:c r="F478" s="4" t="str">
        <x:f>IFERROR(INDEX('Items'!$C$6:$C$1005,MATCH(D478,'Items'!$A$6:$A$1005,0)),"MISSING ID")</x:f>
        <x:v>T2</x:v>
      </x:c>
      <x:c r="G478" s="4" t="str">
        <x:f>IFERROR(INDEX('Items'!$D$6:$D$1005,MATCH(D478,'Items'!$A$6:$A$1005,0)),"MISSING ID")</x:f>
        <x:v>Manufactured stock</x:v>
      </x:c>
      <x:c r="H478" s="4" t="str">
        <x:f>IFERROR(INDEX('Items'!$X$6:$X$1005,MATCH(D478,'Items'!$A$6:$A$1005,0)),"MISSING ID")</x:f>
        <x:v>Processed material</x:v>
      </x:c>
      <x:c r="I478" s="4"/>
      <x:c r="J478" s="4" t="str">
        <x:v>Unspecified</x:v>
      </x:c>
      <x:c r="K478" s="4" t="str">
        <x:f>IFERROR(INDEX('Crafting recipes'!$D$6:$D$1005,MATCH(B478,'Crafting recipes'!$A$6:$A$1005,0)),"MISSING ID")</x:f>
        <x:v>Proposal</x:v>
      </x:c>
      <x:c r="L478" s="4" t="str">
        <x:f>IFERROR(INDEX('Items'!$AD$6:$AD$1005,MATCH(D478,'Items'!$A$6:$A$1005,0)),"MISSING ID")</x:f>
        <x:v>Proposal</x:v>
      </x:c>
      <x:c r="M478" s="4" t="str">
        <x:f>IFERROR(INDEX('Crafting recipes'!$E$6:$E$1005,MATCH(B478,'Crafting recipes'!$A$6:$A$1005,0)),"MISSING ID")</x:f>
        <x:v>Partial proposal</x:v>
      </x:c>
      <x:c r="N478" s="4" t="str">
        <x:v>Candidate relationship only; quantity, yield and full recipe remain undefined.</x:v>
      </x:c>
      <x:c r="O478" s="4" t="str">
        <x:v>New October 15 tier-review proposal; user-authorized item audit and Docs/WORLD_BASIS.md. No source-canon or implemented-recipe claim.</x:v>
      </x:c>
      <x:c r="P478" s="4" t="n">
        <x:f>IF(OR(C478="Ingredient candidate",C478="Consumed input",C478="Contained input",C478="Transform input"),IF(F478="T0",0,IF(F478="T1",1,IF(F478="T2",2,IF(F478="T3",3,IF(F478="T4",4,-1))))),-1)</x:f>
        <x:v>2</x:v>
      </x:c>
      <x:c r="Q478" s="4" t="n">
        <x:f>IF(AND(OR(C478="Ingredient candidate",C478="Consumed input",C478="Contained input",C478="Transform input"),P478=-1),1,0)</x:f>
        <x:v>0</x:v>
      </x:c>
    </x:row>
    <x:row r="479" ht="115" customHeight="1">
      <x:c r="A479" s="4" t="str">
        <x:v>design.review.proposal_canister_window.in.2</x:v>
      </x:c>
      <x:c r="B479" s="4" t="str">
        <x:v>design.review.proposal_canister_window</x:v>
      </x:c>
      <x:c r="C479" s="4" t="str">
        <x:v>Ingredient candidate</x:v>
      </x:c>
      <x:c r="D479" s="4" t="str">
        <x:v>proposal.natural.abrasive</x:v>
      </x:c>
      <x:c r="E479" s="4" t="str">
        <x:f>IFERROR(INDEX('Items'!$B$6:$B$1005,MATCH(D479,'Items'!$A$6:$A$1005,0)),"MISSING ID")</x:f>
        <x:v>Graded abrasive grit</x:v>
      </x:c>
      <x:c r="F479" s="4" t="str">
        <x:f>IFERROR(INDEX('Items'!$C$6:$C$1005,MATCH(D479,'Items'!$A$6:$A$1005,0)),"MISSING ID")</x:f>
        <x:v>T1</x:v>
      </x:c>
      <x:c r="G479" s="4" t="str">
        <x:f>IFERROR(INDEX('Items'!$D$6:$D$1005,MATCH(D479,'Items'!$A$6:$A$1005,0)),"MISSING ID")</x:f>
        <x:v>Manufactured stock</x:v>
      </x:c>
      <x:c r="H479" s="4" t="str">
        <x:f>IFERROR(INDEX('Items'!$X$6:$X$1005,MATCH(D479,'Items'!$A$6:$A$1005,0)),"MISSING ID")</x:f>
        <x:v>Processed material</x:v>
      </x:c>
      <x:c r="I479" s="4"/>
      <x:c r="J479" s="4" t="str">
        <x:v>Unspecified</x:v>
      </x:c>
      <x:c r="K479" s="4" t="str">
        <x:f>IFERROR(INDEX('Crafting recipes'!$D$6:$D$1005,MATCH(B479,'Crafting recipes'!$A$6:$A$1005,0)),"MISSING ID")</x:f>
        <x:v>Proposal</x:v>
      </x:c>
      <x:c r="L479" s="4" t="str">
        <x:f>IFERROR(INDEX('Items'!$AD$6:$AD$1005,MATCH(D479,'Items'!$A$6:$A$1005,0)),"MISSING ID")</x:f>
        <x:v>Proposal</x:v>
      </x:c>
      <x:c r="M479" s="4" t="str">
        <x:f>IFERROR(INDEX('Crafting recipes'!$E$6:$E$1005,MATCH(B479,'Crafting recipes'!$A$6:$A$1005,0)),"MISSING ID")</x:f>
        <x:v>Partial proposal</x:v>
      </x:c>
      <x:c r="N479" s="4" t="str">
        <x:v>Candidate relationship only; quantity, yield and full recipe remain undefined.</x:v>
      </x:c>
      <x:c r="O479" s="4" t="str">
        <x:v>New October 15 tier-review proposal; user-authorized item audit and Docs/WORLD_BASIS.md. No source-canon or implemented-recipe claim.</x:v>
      </x:c>
      <x:c r="P479" s="4" t="n">
        <x:f>IF(OR(C479="Ingredient candidate",C479="Consumed input",C479="Contained input",C479="Transform input"),IF(F479="T0",0,IF(F479="T1",1,IF(F479="T2",2,IF(F479="T3",3,IF(F479="T4",4,-1))))),-1)</x:f>
        <x:v>1</x:v>
      </x:c>
      <x:c r="Q479" s="4" t="n">
        <x:f>IF(AND(OR(C479="Ingredient candidate",C479="Consumed input",C479="Contained input",C479="Transform input"),P479=-1),1,0)</x:f>
        <x:v>0</x:v>
      </x:c>
    </x:row>
    <x:row r="480" ht="115" customHeight="1">
      <x:c r="A480" s="4" t="str">
        <x:v>design.review.proposal_canister_window.out</x:v>
      </x:c>
      <x:c r="B480" s="4" t="str">
        <x:v>design.review.proposal_canister_window</x:v>
      </x:c>
      <x:c r="C480" s="4" t="str">
        <x:v>Output</x:v>
      </x:c>
      <x:c r="D480" s="4" t="str">
        <x:v>proposal.canister.window</x:v>
      </x:c>
      <x:c r="E480" s="4" t="str">
        <x:f>IFERROR(INDEX('Items'!$B$6:$B$1005,MATCH(D480,'Items'!$A$6:$A$1005,0)),"MISSING ID")</x:f>
        <x:v>Canister viewing-port insert</x:v>
      </x:c>
      <x:c r="F480" s="4" t="str">
        <x:f>IFERROR(INDEX('Items'!$C$6:$C$1005,MATCH(D480,'Items'!$A$6:$A$1005,0)),"MISSING ID")</x:f>
        <x:v>T3</x:v>
      </x:c>
      <x:c r="G480" s="4" t="str">
        <x:f>IFERROR(INDEX('Items'!$D$6:$D$1005,MATCH(D480,'Items'!$A$6:$A$1005,0)),"MISSING ID")</x:f>
        <x:v>Crafting components</x:v>
      </x:c>
      <x:c r="H480" s="4" t="str">
        <x:f>IFERROR(INDEX('Items'!$X$6:$X$1005,MATCH(D480,'Items'!$A$6:$A$1005,0)),"MISSING ID")</x:f>
        <x:v>Container part</x:v>
      </x:c>
      <x:c r="I480" s="4"/>
      <x:c r="J480" s="4" t="str">
        <x:v>Unspecified</x:v>
      </x:c>
      <x:c r="K480" s="4" t="str">
        <x:f>IFERROR(INDEX('Crafting recipes'!$D$6:$D$1005,MATCH(B480,'Crafting recipes'!$A$6:$A$1005,0)),"MISSING ID")</x:f>
        <x:v>Proposal</x:v>
      </x:c>
      <x:c r="L480" s="4" t="str">
        <x:f>IFERROR(INDEX('Items'!$AD$6:$AD$1005,MATCH(D480,'Items'!$A$6:$A$1005,0)),"MISSING ID")</x:f>
        <x:v>Proposal</x:v>
      </x:c>
      <x:c r="M480" s="4" t="str">
        <x:f>IFERROR(INDEX('Crafting recipes'!$E$6:$E$1005,MATCH(B480,'Crafting recipes'!$A$6:$A$1005,0)),"MISSING ID")</x:f>
        <x:v>Partial proposal</x:v>
      </x:c>
      <x:c r="N480" s="4" t="str">
        <x:v>Candidate relationship only; quantity, yield and full recipe remain undefined.</x:v>
      </x:c>
      <x:c r="O480" s="4" t="str">
        <x:v>New October 15 tier-review proposal; user-authorized item audit and Docs/WORLD_BASIS.md. No source-canon or implemented-recipe claim.</x:v>
      </x:c>
      <x:c r="P480" s="4" t="n">
        <x:f>IF(OR(C480="Ingredient candidate",C480="Consumed input",C480="Contained input",C480="Transform input"),IF(F480="T0",0,IF(F480="T1",1,IF(F480="T2",2,IF(F480="T3",3,IF(F480="T4",4,-1))))),-1)</x:f>
        <x:v>-1</x:v>
      </x:c>
      <x:c r="Q480" s="4" t="n">
        <x:f>IF(AND(OR(C480="Ingredient candidate",C480="Consumed input",C480="Contained input",C480="Transform input"),P480=-1),1,0)</x:f>
        <x:v>0</x:v>
      </x:c>
    </x:row>
    <x:row r="481" ht="115" customHeight="1">
      <x:c r="A481" s="4" t="str">
        <x:v>design.review.proposal_canister_mount.in.1</x:v>
      </x:c>
      <x:c r="B481" s="4" t="str">
        <x:v>design.review.proposal_canister_mount</x:v>
      </x:c>
      <x:c r="C481" s="4" t="str">
        <x:v>Ingredient candidate</x:v>
      </x:c>
      <x:c r="D481" s="4" t="str">
        <x:v>author.metallurgy.steel_stock</x:v>
      </x:c>
      <x:c r="E481" s="4" t="str">
        <x:f>IFERROR(INDEX('Items'!$B$6:$B$1005,MATCH(D481,'Items'!$A$6:$A$1005,0)),"MISSING ID")</x:f>
        <x:v>Steel stock</x:v>
      </x:c>
      <x:c r="F481" s="4" t="str">
        <x:f>IFERROR(INDEX('Items'!$C$6:$C$1005,MATCH(D481,'Items'!$A$6:$A$1005,0)),"MISSING ID")</x:f>
        <x:v>T2</x:v>
      </x:c>
      <x:c r="G481" s="4" t="str">
        <x:f>IFERROR(INDEX('Items'!$D$6:$D$1005,MATCH(D481,'Items'!$A$6:$A$1005,0)),"MISSING ID")</x:f>
        <x:v>Manufactured stock</x:v>
      </x:c>
      <x:c r="H481" s="4" t="str">
        <x:f>IFERROR(INDEX('Items'!$X$6:$X$1005,MATCH(D481,'Items'!$A$6:$A$1005,0)),"MISSING ID")</x:f>
        <x:v>Processed material</x:v>
      </x:c>
      <x:c r="I481" s="4"/>
      <x:c r="J481" s="4" t="str">
        <x:v>Unspecified</x:v>
      </x:c>
      <x:c r="K481" s="4" t="str">
        <x:f>IFERROR(INDEX('Crafting recipes'!$D$6:$D$1005,MATCH(B481,'Crafting recipes'!$A$6:$A$1005,0)),"MISSING ID")</x:f>
        <x:v>Proposal</x:v>
      </x:c>
      <x:c r="L481" s="4" t="str">
        <x:f>IFERROR(INDEX('Items'!$AD$6:$AD$1005,MATCH(D481,'Items'!$A$6:$A$1005,0)),"MISSING ID")</x:f>
        <x:v>Author direction</x:v>
      </x:c>
      <x:c r="M481" s="4" t="str">
        <x:f>IFERROR(INDEX('Crafting recipes'!$E$6:$E$1005,MATCH(B481,'Crafting recipes'!$A$6:$A$1005,0)),"MISSING ID")</x:f>
        <x:v>Partial proposal</x:v>
      </x:c>
      <x:c r="N481" s="4" t="str">
        <x:v>Candidate relationship only; quantity, yield and full recipe remain undefined.</x:v>
      </x:c>
      <x:c r="O481" s="4" t="str">
        <x:v>New October 15 tier-review proposal; user-authorized item audit and Docs/WORLD_BASIS.md. No source-canon or implemented-recipe claim.</x:v>
      </x:c>
      <x:c r="P481" s="4" t="n">
        <x:f>IF(OR(C481="Ingredient candidate",C481="Consumed input",C481="Contained input",C481="Transform input"),IF(F481="T0",0,IF(F481="T1",1,IF(F481="T2",2,IF(F481="T3",3,IF(F481="T4",4,-1))))),-1)</x:f>
        <x:v>2</x:v>
      </x:c>
      <x:c r="Q481" s="4" t="n">
        <x:f>IF(AND(OR(C481="Ingredient candidate",C481="Consumed input",C481="Contained input",C481="Transform input"),P481=-1),1,0)</x:f>
        <x:v>0</x:v>
      </x:c>
    </x:row>
    <x:row r="482" ht="115" customHeight="1">
      <x:c r="A482" s="4" t="str">
        <x:v>design.review.proposal_canister_mount.out</x:v>
      </x:c>
      <x:c r="B482" s="4" t="str">
        <x:v>design.review.proposal_canister_mount</x:v>
      </x:c>
      <x:c r="C482" s="4" t="str">
        <x:v>Output</x:v>
      </x:c>
      <x:c r="D482" s="4" t="str">
        <x:v>proposal.canister.mount</x:v>
      </x:c>
      <x:c r="E482" s="4" t="str">
        <x:f>IFERROR(INDEX('Items'!$B$6:$B$1005,MATCH(D482,'Items'!$A$6:$A$1005,0)),"MISSING ID")</x:f>
        <x:v>Canister mounting bracket</x:v>
      </x:c>
      <x:c r="F482" s="4" t="str">
        <x:f>IFERROR(INDEX('Items'!$C$6:$C$1005,MATCH(D482,'Items'!$A$6:$A$1005,0)),"MISSING ID")</x:f>
        <x:v>T3</x:v>
      </x:c>
      <x:c r="G482" s="4" t="str">
        <x:f>IFERROR(INDEX('Items'!$D$6:$D$1005,MATCH(D482,'Items'!$A$6:$A$1005,0)),"MISSING ID")</x:f>
        <x:v>Crafting components</x:v>
      </x:c>
      <x:c r="H482" s="4" t="str">
        <x:f>IFERROR(INDEX('Items'!$X$6:$X$1005,MATCH(D482,'Items'!$A$6:$A$1005,0)),"MISSING ID")</x:f>
        <x:v>Container part</x:v>
      </x:c>
      <x:c r="I482" s="4"/>
      <x:c r="J482" s="4" t="str">
        <x:v>Unspecified</x:v>
      </x:c>
      <x:c r="K482" s="4" t="str">
        <x:f>IFERROR(INDEX('Crafting recipes'!$D$6:$D$1005,MATCH(B482,'Crafting recipes'!$A$6:$A$1005,0)),"MISSING ID")</x:f>
        <x:v>Proposal</x:v>
      </x:c>
      <x:c r="L482" s="4" t="str">
        <x:f>IFERROR(INDEX('Items'!$AD$6:$AD$1005,MATCH(D482,'Items'!$A$6:$A$1005,0)),"MISSING ID")</x:f>
        <x:v>Proposal</x:v>
      </x:c>
      <x:c r="M482" s="4" t="str">
        <x:f>IFERROR(INDEX('Crafting recipes'!$E$6:$E$1005,MATCH(B482,'Crafting recipes'!$A$6:$A$1005,0)),"MISSING ID")</x:f>
        <x:v>Partial proposal</x:v>
      </x:c>
      <x:c r="N482" s="4" t="str">
        <x:v>Candidate relationship only; quantity, yield and full recipe remain undefined.</x:v>
      </x:c>
      <x:c r="O482" s="4" t="str">
        <x:v>New October 15 tier-review proposal; user-authorized item audit and Docs/WORLD_BASIS.md. No source-canon or implemented-recipe claim.</x:v>
      </x:c>
      <x:c r="P482" s="4" t="n">
        <x:f>IF(OR(C482="Ingredient candidate",C482="Consumed input",C482="Contained input",C482="Transform input"),IF(F482="T0",0,IF(F482="T1",1,IF(F482="T2",2,IF(F482="T3",3,IF(F482="T4",4,-1))))),-1)</x:f>
        <x:v>-1</x:v>
      </x:c>
      <x:c r="Q482" s="4" t="n">
        <x:f>IF(AND(OR(C482="Ingredient candidate",C482="Consumed input",C482="Contained input",C482="Transform input"),P482=-1),1,0)</x:f>
        <x:v>0</x:v>
      </x:c>
    </x:row>
    <x:row r="483" ht="115" customHeight="1">
      <x:c r="A483" s="4" t="str">
        <x:v>design.review.proposal_canister_maker_plate.in.1</x:v>
      </x:c>
      <x:c r="B483" s="4" t="str">
        <x:v>design.review.proposal_canister_maker_plate</x:v>
      </x:c>
      <x:c r="C483" s="4" t="str">
        <x:v>Ingredient candidate</x:v>
      </x:c>
      <x:c r="D483" s="4" t="str">
        <x:v>proposal.t1.bronze_billet</x:v>
      </x:c>
      <x:c r="E483" s="4" t="str">
        <x:f>IFERROR(INDEX('Items'!$B$6:$B$1005,MATCH(D483,'Items'!$A$6:$A$1005,0)),"MISSING ID")</x:f>
        <x:v>Reclaimed bronze billet</x:v>
      </x:c>
      <x:c r="F483" s="4" t="str">
        <x:f>IFERROR(INDEX('Items'!$C$6:$C$1005,MATCH(D483,'Items'!$A$6:$A$1005,0)),"MISSING ID")</x:f>
        <x:v>T1</x:v>
      </x:c>
      <x:c r="G483" s="4" t="str">
        <x:f>IFERROR(INDEX('Items'!$D$6:$D$1005,MATCH(D483,'Items'!$A$6:$A$1005,0)),"MISSING ID")</x:f>
        <x:v>Manufactured stock</x:v>
      </x:c>
      <x:c r="H483" s="4" t="str">
        <x:f>IFERROR(INDEX('Items'!$X$6:$X$1005,MATCH(D483,'Items'!$A$6:$A$1005,0)),"MISSING ID")</x:f>
        <x:v>Processed material</x:v>
      </x:c>
      <x:c r="I483" s="4"/>
      <x:c r="J483" s="4" t="str">
        <x:v>Unspecified</x:v>
      </x:c>
      <x:c r="K483" s="4" t="str">
        <x:f>IFERROR(INDEX('Crafting recipes'!$D$6:$D$1005,MATCH(B483,'Crafting recipes'!$A$6:$A$1005,0)),"MISSING ID")</x:f>
        <x:v>Proposal</x:v>
      </x:c>
      <x:c r="L483" s="4" t="str">
        <x:f>IFERROR(INDEX('Items'!$AD$6:$AD$1005,MATCH(D483,'Items'!$A$6:$A$1005,0)),"MISSING ID")</x:f>
        <x:v>Proposal</x:v>
      </x:c>
      <x:c r="M483" s="4" t="str">
        <x:f>IFERROR(INDEX('Crafting recipes'!$E$6:$E$1005,MATCH(B483,'Crafting recipes'!$A$6:$A$1005,0)),"MISSING ID")</x:f>
        <x:v>Partial proposal</x:v>
      </x:c>
      <x:c r="N483" s="4" t="str">
        <x:v>Candidate relationship only; quantity, yield and full recipe remain undefined.</x:v>
      </x:c>
      <x:c r="O483" s="4" t="str">
        <x:v>New October 15 tier-review proposal; user-authorized item audit and Docs/WORLD_BASIS.md. No source-canon or implemented-recipe claim.</x:v>
      </x:c>
      <x:c r="P483" s="4" t="n">
        <x:f>IF(OR(C483="Ingredient candidate",C483="Consumed input",C483="Contained input",C483="Transform input"),IF(F483="T0",0,IF(F483="T1",1,IF(F483="T2",2,IF(F483="T3",3,IF(F483="T4",4,-1))))),-1)</x:f>
        <x:v>1</x:v>
      </x:c>
      <x:c r="Q483" s="4" t="n">
        <x:f>IF(AND(OR(C483="Ingredient candidate",C483="Consumed input",C483="Contained input",C483="Transform input"),P483=-1),1,0)</x:f>
        <x:v>0</x:v>
      </x:c>
    </x:row>
    <x:row r="484" ht="115" customHeight="1">
      <x:c r="A484" s="4" t="str">
        <x:v>design.review.proposal_canister_maker_plate.in.2</x:v>
      </x:c>
      <x:c r="B484" s="4" t="str">
        <x:v>design.review.proposal_canister_maker_plate</x:v>
      </x:c>
      <x:c r="C484" s="4" t="str">
        <x:v>Ingredient candidate</x:v>
      </x:c>
      <x:c r="D484" s="4" t="str">
        <x:v>proposal.t1.pigment_powder</x:v>
      </x:c>
      <x:c r="E484" s="4" t="str">
        <x:f>IFERROR(INDEX('Items'!$B$6:$B$1005,MATCH(D484,'Items'!$A$6:$A$1005,0)),"MISSING ID")</x:f>
        <x:v>Prepared mineral pigment powder</x:v>
      </x:c>
      <x:c r="F484" s="4" t="str">
        <x:f>IFERROR(INDEX('Items'!$C$6:$C$1005,MATCH(D484,'Items'!$A$6:$A$1005,0)),"MISSING ID")</x:f>
        <x:v>T1</x:v>
      </x:c>
      <x:c r="G484" s="4" t="str">
        <x:f>IFERROR(INDEX('Items'!$D$6:$D$1005,MATCH(D484,'Items'!$A$6:$A$1005,0)),"MISSING ID")</x:f>
        <x:v>Manufactured stock</x:v>
      </x:c>
      <x:c r="H484" s="4" t="str">
        <x:f>IFERROR(INDEX('Items'!$X$6:$X$1005,MATCH(D484,'Items'!$A$6:$A$1005,0)),"MISSING ID")</x:f>
        <x:v>Processed material</x:v>
      </x:c>
      <x:c r="I484" s="4"/>
      <x:c r="J484" s="4" t="str">
        <x:v>Unspecified</x:v>
      </x:c>
      <x:c r="K484" s="4" t="str">
        <x:f>IFERROR(INDEX('Crafting recipes'!$D$6:$D$1005,MATCH(B484,'Crafting recipes'!$A$6:$A$1005,0)),"MISSING ID")</x:f>
        <x:v>Proposal</x:v>
      </x:c>
      <x:c r="L484" s="4" t="str">
        <x:f>IFERROR(INDEX('Items'!$AD$6:$AD$1005,MATCH(D484,'Items'!$A$6:$A$1005,0)),"MISSING ID")</x:f>
        <x:v>Proposal</x:v>
      </x:c>
      <x:c r="M484" s="4" t="str">
        <x:f>IFERROR(INDEX('Crafting recipes'!$E$6:$E$1005,MATCH(B484,'Crafting recipes'!$A$6:$A$1005,0)),"MISSING ID")</x:f>
        <x:v>Partial proposal</x:v>
      </x:c>
      <x:c r="N484" s="4" t="str">
        <x:v>Candidate relationship only; quantity, yield and full recipe remain undefined.</x:v>
      </x:c>
      <x:c r="O484" s="4" t="str">
        <x:v>New October 15 tier-review proposal; user-authorized item audit and Docs/WORLD_BASIS.md. No source-canon or implemented-recipe claim.</x:v>
      </x:c>
      <x:c r="P484" s="4" t="n">
        <x:f>IF(OR(C484="Ingredient candidate",C484="Consumed input",C484="Contained input",C484="Transform input"),IF(F484="T0",0,IF(F484="T1",1,IF(F484="T2",2,IF(F484="T3",3,IF(F484="T4",4,-1))))),-1)</x:f>
        <x:v>1</x:v>
      </x:c>
      <x:c r="Q484" s="4" t="n">
        <x:f>IF(AND(OR(C484="Ingredient candidate",C484="Consumed input",C484="Contained input",C484="Transform input"),P484=-1),1,0)</x:f>
        <x:v>0</x:v>
      </x:c>
    </x:row>
    <x:row r="485" ht="115" customHeight="1">
      <x:c r="A485" s="4" t="str">
        <x:v>design.review.proposal_canister_maker_plate.out</x:v>
      </x:c>
      <x:c r="B485" s="4" t="str">
        <x:v>design.review.proposal_canister_maker_plate</x:v>
      </x:c>
      <x:c r="C485" s="4" t="str">
        <x:v>Output</x:v>
      </x:c>
      <x:c r="D485" s="4" t="str">
        <x:v>proposal.canister.maker_plate</x:v>
      </x:c>
      <x:c r="E485" s="4" t="str">
        <x:f>IFERROR(INDEX('Items'!$B$6:$B$1005,MATCH(D485,'Items'!$A$6:$A$1005,0)),"MISSING ID")</x:f>
        <x:v>Canister maker plate</x:v>
      </x:c>
      <x:c r="F485" s="4" t="str">
        <x:f>IFERROR(INDEX('Items'!$C$6:$C$1005,MATCH(D485,'Items'!$A$6:$A$1005,0)),"MISSING ID")</x:f>
        <x:v>T2</x:v>
      </x:c>
      <x:c r="G485" s="4" t="str">
        <x:f>IFERROR(INDEX('Items'!$D$6:$D$1005,MATCH(D485,'Items'!$A$6:$A$1005,0)),"MISSING ID")</x:f>
        <x:v>Crafting components</x:v>
      </x:c>
      <x:c r="H485" s="4" t="str">
        <x:f>IFERROR(INDEX('Items'!$X$6:$X$1005,MATCH(D485,'Items'!$A$6:$A$1005,0)),"MISSING ID")</x:f>
        <x:v>Crafting component</x:v>
      </x:c>
      <x:c r="I485" s="4"/>
      <x:c r="J485" s="4" t="str">
        <x:v>Unspecified</x:v>
      </x:c>
      <x:c r="K485" s="4" t="str">
        <x:f>IFERROR(INDEX('Crafting recipes'!$D$6:$D$1005,MATCH(B485,'Crafting recipes'!$A$6:$A$1005,0)),"MISSING ID")</x:f>
        <x:v>Proposal</x:v>
      </x:c>
      <x:c r="L485" s="4" t="str">
        <x:f>IFERROR(INDEX('Items'!$AD$6:$AD$1005,MATCH(D485,'Items'!$A$6:$A$1005,0)),"MISSING ID")</x:f>
        <x:v>Proposal</x:v>
      </x:c>
      <x:c r="M485" s="4" t="str">
        <x:f>IFERROR(INDEX('Crafting recipes'!$E$6:$E$1005,MATCH(B485,'Crafting recipes'!$A$6:$A$1005,0)),"MISSING ID")</x:f>
        <x:v>Partial proposal</x:v>
      </x:c>
      <x:c r="N485" s="4" t="str">
        <x:v>Candidate relationship only; quantity, yield and full recipe remain undefined.</x:v>
      </x:c>
      <x:c r="O485" s="4" t="str">
        <x:v>New October 15 tier-review proposal; user-authorized item audit and Docs/WORLD_BASIS.md. No source-canon or implemented-recipe claim.</x:v>
      </x:c>
      <x:c r="P485" s="4" t="n">
        <x:f>IF(OR(C485="Ingredient candidate",C485="Consumed input",C485="Contained input",C485="Transform input"),IF(F485="T0",0,IF(F485="T1",1,IF(F485="T2",2,IF(F485="T3",3,IF(F485="T4",4,-1))))),-1)</x:f>
        <x:v>-1</x:v>
      </x:c>
      <x:c r="Q485" s="4" t="n">
        <x:f>IF(AND(OR(C485="Ingredient candidate",C485="Consumed input",C485="Contained input",C485="Transform input"),P485=-1),1,0)</x:f>
        <x:v>0</x:v>
      </x:c>
    </x:row>
    <x:row r="486" ht="115" customHeight="1">
      <x:c r="A486" s="4" t="str">
        <x:v>design.review.proposal_canister_trim.in.1</x:v>
      </x:c>
      <x:c r="B486" s="4" t="str">
        <x:v>design.review.proposal_canister_trim</x:v>
      </x:c>
      <x:c r="C486" s="4" t="str">
        <x:v>Ingredient candidate</x:v>
      </x:c>
      <x:c r="D486" s="4" t="str">
        <x:v>proposal.branch.polished_gem</x:v>
      </x:c>
      <x:c r="E486" s="4" t="str">
        <x:f>IFERROR(INDEX('Items'!$B$6:$B$1005,MATCH(D486,'Items'!$A$6:$A$1005,0)),"MISSING ID")</x:f>
        <x:v>Polished gemstone blanks</x:v>
      </x:c>
      <x:c r="F486" s="4" t="str">
        <x:f>IFERROR(INDEX('Items'!$C$6:$C$1005,MATCH(D486,'Items'!$A$6:$A$1005,0)),"MISSING ID")</x:f>
        <x:v>T2</x:v>
      </x:c>
      <x:c r="G486" s="4" t="str">
        <x:f>IFERROR(INDEX('Items'!$D$6:$D$1005,MATCH(D486,'Items'!$A$6:$A$1005,0)),"MISSING ID")</x:f>
        <x:v>Manufactured stock</x:v>
      </x:c>
      <x:c r="H486" s="4" t="str">
        <x:f>IFERROR(INDEX('Items'!$X$6:$X$1005,MATCH(D486,'Items'!$A$6:$A$1005,0)),"MISSING ID")</x:f>
        <x:v>Processed material</x:v>
      </x:c>
      <x:c r="I486" s="4"/>
      <x:c r="J486" s="4" t="str">
        <x:v>Unspecified</x:v>
      </x:c>
      <x:c r="K486" s="4" t="str">
        <x:f>IFERROR(INDEX('Crafting recipes'!$D$6:$D$1005,MATCH(B486,'Crafting recipes'!$A$6:$A$1005,0)),"MISSING ID")</x:f>
        <x:v>Proposal</x:v>
      </x:c>
      <x:c r="L486" s="4" t="str">
        <x:f>IFERROR(INDEX('Items'!$AD$6:$AD$1005,MATCH(D486,'Items'!$A$6:$A$1005,0)),"MISSING ID")</x:f>
        <x:v>Proposal</x:v>
      </x:c>
      <x:c r="M486" s="4" t="str">
        <x:f>IFERROR(INDEX('Crafting recipes'!$E$6:$E$1005,MATCH(B486,'Crafting recipes'!$A$6:$A$1005,0)),"MISSING ID")</x:f>
        <x:v>Partial proposal</x:v>
      </x:c>
      <x:c r="N486" s="4" t="str">
        <x:v>Candidate relationship only; quantity, yield and full recipe remain undefined.</x:v>
      </x:c>
      <x:c r="O486" s="4" t="str">
        <x:v>New October 15 tier-review proposal; user-authorized item audit and Docs/WORLD_BASIS.md. No source-canon or implemented-recipe claim.</x:v>
      </x:c>
      <x:c r="P486" s="4" t="n">
        <x:f>IF(OR(C486="Ingredient candidate",C486="Consumed input",C486="Contained input",C486="Transform input"),IF(F486="T0",0,IF(F486="T1",1,IF(F486="T2",2,IF(F486="T3",3,IF(F486="T4",4,-1))))),-1)</x:f>
        <x:v>2</x:v>
      </x:c>
      <x:c r="Q486" s="4" t="n">
        <x:f>IF(AND(OR(C486="Ingredient candidate",C486="Consumed input",C486="Contained input",C486="Transform input"),P486=-1),1,0)</x:f>
        <x:v>0</x:v>
      </x:c>
    </x:row>
    <x:row r="487" ht="115" customHeight="1">
      <x:c r="A487" s="4" t="str">
        <x:v>design.review.proposal_canister_trim.in.2</x:v>
      </x:c>
      <x:c r="B487" s="4" t="str">
        <x:v>design.review.proposal_canister_trim</x:v>
      </x:c>
      <x:c r="C487" s="4" t="str">
        <x:v>Ingredient candidate</x:v>
      </x:c>
      <x:c r="D487" s="4" t="str">
        <x:v>author.metallurgy.steel_stock</x:v>
      </x:c>
      <x:c r="E487" s="4" t="str">
        <x:f>IFERROR(INDEX('Items'!$B$6:$B$1005,MATCH(D487,'Items'!$A$6:$A$1005,0)),"MISSING ID")</x:f>
        <x:v>Steel stock</x:v>
      </x:c>
      <x:c r="F487" s="4" t="str">
        <x:f>IFERROR(INDEX('Items'!$C$6:$C$1005,MATCH(D487,'Items'!$A$6:$A$1005,0)),"MISSING ID")</x:f>
        <x:v>T2</x:v>
      </x:c>
      <x:c r="G487" s="4" t="str">
        <x:f>IFERROR(INDEX('Items'!$D$6:$D$1005,MATCH(D487,'Items'!$A$6:$A$1005,0)),"MISSING ID")</x:f>
        <x:v>Manufactured stock</x:v>
      </x:c>
      <x:c r="H487" s="4" t="str">
        <x:f>IFERROR(INDEX('Items'!$X$6:$X$1005,MATCH(D487,'Items'!$A$6:$A$1005,0)),"MISSING ID")</x:f>
        <x:v>Processed material</x:v>
      </x:c>
      <x:c r="I487" s="4"/>
      <x:c r="J487" s="4" t="str">
        <x:v>Unspecified</x:v>
      </x:c>
      <x:c r="K487" s="4" t="str">
        <x:f>IFERROR(INDEX('Crafting recipes'!$D$6:$D$1005,MATCH(B487,'Crafting recipes'!$A$6:$A$1005,0)),"MISSING ID")</x:f>
        <x:v>Proposal</x:v>
      </x:c>
      <x:c r="L487" s="4" t="str">
        <x:f>IFERROR(INDEX('Items'!$AD$6:$AD$1005,MATCH(D487,'Items'!$A$6:$A$1005,0)),"MISSING ID")</x:f>
        <x:v>Author direction</x:v>
      </x:c>
      <x:c r="M487" s="4" t="str">
        <x:f>IFERROR(INDEX('Crafting recipes'!$E$6:$E$1005,MATCH(B487,'Crafting recipes'!$A$6:$A$1005,0)),"MISSING ID")</x:f>
        <x:v>Partial proposal</x:v>
      </x:c>
      <x:c r="N487" s="4" t="str">
        <x:v>Candidate relationship only; quantity, yield and full recipe remain undefined.</x:v>
      </x:c>
      <x:c r="O487" s="4" t="str">
        <x:v>New October 15 tier-review proposal; user-authorized item audit and Docs/WORLD_BASIS.md. No source-canon or implemented-recipe claim.</x:v>
      </x:c>
      <x:c r="P487" s="4" t="n">
        <x:f>IF(OR(C487="Ingredient candidate",C487="Consumed input",C487="Contained input",C487="Transform input"),IF(F487="T0",0,IF(F487="T1",1,IF(F487="T2",2,IF(F487="T3",3,IF(F487="T4",4,-1))))),-1)</x:f>
        <x:v>2</x:v>
      </x:c>
      <x:c r="Q487" s="4" t="n">
        <x:f>IF(AND(OR(C487="Ingredient candidate",C487="Consumed input",C487="Contained input",C487="Transform input"),P487=-1),1,0)</x:f>
        <x:v>0</x:v>
      </x:c>
    </x:row>
    <x:row r="488" ht="115" customHeight="1">
      <x:c r="A488" s="4" t="str">
        <x:v>design.review.proposal_canister_trim.in.3</x:v>
      </x:c>
      <x:c r="B488" s="4" t="str">
        <x:v>design.review.proposal_canister_trim</x:v>
      </x:c>
      <x:c r="C488" s="4" t="str">
        <x:v>Ingredient candidate</x:v>
      </x:c>
      <x:c r="D488" s="4" t="str">
        <x:v>proposal.branch.pigment_coating</x:v>
      </x:c>
      <x:c r="E488" s="4" t="str">
        <x:f>IFERROR(INDEX('Items'!$B$6:$B$1005,MATCH(D488,'Items'!$A$6:$A$1005,0)),"MISSING ID")</x:f>
        <x:v>Mineral pigment coating</x:v>
      </x:c>
      <x:c r="F488" s="4" t="str">
        <x:f>IFERROR(INDEX('Items'!$C$6:$C$1005,MATCH(D488,'Items'!$A$6:$A$1005,0)),"MISSING ID")</x:f>
        <x:v>T2</x:v>
      </x:c>
      <x:c r="G488" s="4" t="str">
        <x:f>IFERROR(INDEX('Items'!$D$6:$D$1005,MATCH(D488,'Items'!$A$6:$A$1005,0)),"MISSING ID")</x:f>
        <x:v>Manufactured stock</x:v>
      </x:c>
      <x:c r="H488" s="4" t="str">
        <x:f>IFERROR(INDEX('Items'!$X$6:$X$1005,MATCH(D488,'Items'!$A$6:$A$1005,0)),"MISSING ID")</x:f>
        <x:v>Processed material</x:v>
      </x:c>
      <x:c r="I488" s="4"/>
      <x:c r="J488" s="4" t="str">
        <x:v>Unspecified</x:v>
      </x:c>
      <x:c r="K488" s="4" t="str">
        <x:f>IFERROR(INDEX('Crafting recipes'!$D$6:$D$1005,MATCH(B488,'Crafting recipes'!$A$6:$A$1005,0)),"MISSING ID")</x:f>
        <x:v>Proposal</x:v>
      </x:c>
      <x:c r="L488" s="4" t="str">
        <x:f>IFERROR(INDEX('Items'!$AD$6:$AD$1005,MATCH(D488,'Items'!$A$6:$A$1005,0)),"MISSING ID")</x:f>
        <x:v>Proposal</x:v>
      </x:c>
      <x:c r="M488" s="4" t="str">
        <x:f>IFERROR(INDEX('Crafting recipes'!$E$6:$E$1005,MATCH(B488,'Crafting recipes'!$A$6:$A$1005,0)),"MISSING ID")</x:f>
        <x:v>Partial proposal</x:v>
      </x:c>
      <x:c r="N488" s="4" t="str">
        <x:v>Candidate relationship only; quantity, yield and full recipe remain undefined.</x:v>
      </x:c>
      <x:c r="O488" s="4" t="str">
        <x:v>New October 15 tier-review proposal; user-authorized item audit and Docs/WORLD_BASIS.md. No source-canon or implemented-recipe claim.</x:v>
      </x:c>
      <x:c r="P488" s="4" t="n">
        <x:f>IF(OR(C488="Ingredient candidate",C488="Consumed input",C488="Contained input",C488="Transform input"),IF(F488="T0",0,IF(F488="T1",1,IF(F488="T2",2,IF(F488="T3",3,IF(F488="T4",4,-1))))),-1)</x:f>
        <x:v>2</x:v>
      </x:c>
      <x:c r="Q488" s="4" t="n">
        <x:f>IF(AND(OR(C488="Ingredient candidate",C488="Consumed input",C488="Contained input",C488="Transform input"),P488=-1),1,0)</x:f>
        <x:v>0</x:v>
      </x:c>
    </x:row>
    <x:row r="489" ht="115" customHeight="1">
      <x:c r="A489" s="4" t="str">
        <x:v>design.review.proposal_canister_trim.out</x:v>
      </x:c>
      <x:c r="B489" s="4" t="str">
        <x:v>design.review.proposal_canister_trim</x:v>
      </x:c>
      <x:c r="C489" s="4" t="str">
        <x:v>Output</x:v>
      </x:c>
      <x:c r="D489" s="4" t="str">
        <x:v>proposal.canister.trim</x:v>
      </x:c>
      <x:c r="E489" s="4" t="str">
        <x:f>IFERROR(INDEX('Items'!$B$6:$B$1005,MATCH(D489,'Items'!$A$6:$A$1005,0)),"MISSING ID")</x:f>
        <x:v>Decorative canister panel</x:v>
      </x:c>
      <x:c r="F489" s="4" t="str">
        <x:f>IFERROR(INDEX('Items'!$C$6:$C$1005,MATCH(D489,'Items'!$A$6:$A$1005,0)),"MISSING ID")</x:f>
        <x:v>T3</x:v>
      </x:c>
      <x:c r="G489" s="4" t="str">
        <x:f>IFERROR(INDEX('Items'!$D$6:$D$1005,MATCH(D489,'Items'!$A$6:$A$1005,0)),"MISSING ID")</x:f>
        <x:v>Crafting components</x:v>
      </x:c>
      <x:c r="H489" s="4" t="str">
        <x:f>IFERROR(INDEX('Items'!$X$6:$X$1005,MATCH(D489,'Items'!$A$6:$A$1005,0)),"MISSING ID")</x:f>
        <x:v>Crafting component</x:v>
      </x:c>
      <x:c r="I489" s="4"/>
      <x:c r="J489" s="4" t="str">
        <x:v>Unspecified</x:v>
      </x:c>
      <x:c r="K489" s="4" t="str">
        <x:f>IFERROR(INDEX('Crafting recipes'!$D$6:$D$1005,MATCH(B489,'Crafting recipes'!$A$6:$A$1005,0)),"MISSING ID")</x:f>
        <x:v>Proposal</x:v>
      </x:c>
      <x:c r="L489" s="4" t="str">
        <x:f>IFERROR(INDEX('Items'!$AD$6:$AD$1005,MATCH(D489,'Items'!$A$6:$A$1005,0)),"MISSING ID")</x:f>
        <x:v>Proposal</x:v>
      </x:c>
      <x:c r="M489" s="4" t="str">
        <x:f>IFERROR(INDEX('Crafting recipes'!$E$6:$E$1005,MATCH(B489,'Crafting recipes'!$A$6:$A$1005,0)),"MISSING ID")</x:f>
        <x:v>Partial proposal</x:v>
      </x:c>
      <x:c r="N489" s="4" t="str">
        <x:v>Candidate relationship only; quantity, yield and full recipe remain undefined.</x:v>
      </x:c>
      <x:c r="O489" s="4" t="str">
        <x:v>New October 15 tier-review proposal; user-authorized item audit and Docs/WORLD_BASIS.md. No source-canon or implemented-recipe claim.</x:v>
      </x:c>
      <x:c r="P489" s="4" t="n">
        <x:f>IF(OR(C489="Ingredient candidate",C489="Consumed input",C489="Contained input",C489="Transform input"),IF(F489="T0",0,IF(F489="T1",1,IF(F489="T2",2,IF(F489="T3",3,IF(F489="T4",4,-1))))),-1)</x:f>
        <x:v>-1</x:v>
      </x:c>
      <x:c r="Q489" s="4" t="n">
        <x:f>IF(AND(OR(C489="Ingredient candidate",C489="Consumed input",C489="Contained input",C489="Transform input"),P489=-1),1,0)</x:f>
        <x:v>0</x:v>
      </x:c>
    </x:row>
    <x:row r="490" ht="115" customHeight="1">
      <x:c r="A490" s="4" t="str">
        <x:v>design.review.proposal_canister_endcap.in.1</x:v>
      </x:c>
      <x:c r="B490" s="4" t="str">
        <x:v>design.review.proposal_canister_endcap</x:v>
      </x:c>
      <x:c r="C490" s="4" t="str">
        <x:v>Ingredient candidate</x:v>
      </x:c>
      <x:c r="D490" s="4" t="str">
        <x:v>proposal.bio.laminate</x:v>
      </x:c>
      <x:c r="E490" s="4" t="str">
        <x:f>IFERROR(INDEX('Items'!$B$6:$B$1005,MATCH(D490,'Items'!$A$6:$A$1005,0)),"MISSING ID")</x:f>
        <x:v>Shell laminate</x:v>
      </x:c>
      <x:c r="F490" s="4" t="str">
        <x:f>IFERROR(INDEX('Items'!$C$6:$C$1005,MATCH(D490,'Items'!$A$6:$A$1005,0)),"MISSING ID")</x:f>
        <x:v>T2</x:v>
      </x:c>
      <x:c r="G490" s="4" t="str">
        <x:f>IFERROR(INDEX('Items'!$D$6:$D$1005,MATCH(D490,'Items'!$A$6:$A$1005,0)),"MISSING ID")</x:f>
        <x:v>Crafting components</x:v>
      </x:c>
      <x:c r="H490" s="4" t="str">
        <x:f>IFERROR(INDEX('Items'!$X$6:$X$1005,MATCH(D490,'Items'!$A$6:$A$1005,0)),"MISSING ID")</x:f>
        <x:v>Crafting component</x:v>
      </x:c>
      <x:c r="I490" s="4"/>
      <x:c r="J490" s="4" t="str">
        <x:v>Unspecified</x:v>
      </x:c>
      <x:c r="K490" s="4" t="str">
        <x:f>IFERROR(INDEX('Crafting recipes'!$D$6:$D$1005,MATCH(B490,'Crafting recipes'!$A$6:$A$1005,0)),"MISSING ID")</x:f>
        <x:v>Proposal</x:v>
      </x:c>
      <x:c r="L490" s="4" t="str">
        <x:f>IFERROR(INDEX('Items'!$AD$6:$AD$1005,MATCH(D490,'Items'!$A$6:$A$1005,0)),"MISSING ID")</x:f>
        <x:v>Proposal</x:v>
      </x:c>
      <x:c r="M490" s="4" t="str">
        <x:f>IFERROR(INDEX('Crafting recipes'!$E$6:$E$1005,MATCH(B490,'Crafting recipes'!$A$6:$A$1005,0)),"MISSING ID")</x:f>
        <x:v>Partial proposal</x:v>
      </x:c>
      <x:c r="N490" s="4" t="str">
        <x:v>Candidate relationship only; quantity, yield and full recipe remain undefined.</x:v>
      </x:c>
      <x:c r="O490" s="4" t="str">
        <x:v>New October 15 tier-review proposal; user-authorized item audit and Docs/WORLD_BASIS.md. No source-canon or implemented-recipe claim.</x:v>
      </x:c>
      <x:c r="P490" s="4" t="n">
        <x:f>IF(OR(C490="Ingredient candidate",C490="Consumed input",C490="Contained input",C490="Transform input"),IF(F490="T0",0,IF(F490="T1",1,IF(F490="T2",2,IF(F490="T3",3,IF(F490="T4",4,-1))))),-1)</x:f>
        <x:v>2</x:v>
      </x:c>
      <x:c r="Q490" s="4" t="n">
        <x:f>IF(AND(OR(C490="Ingredient candidate",C490="Consumed input",C490="Contained input",C490="Transform input"),P490=-1),1,0)</x:f>
        <x:v>0</x:v>
      </x:c>
    </x:row>
    <x:row r="491" ht="115" customHeight="1">
      <x:c r="A491" s="4" t="str">
        <x:v>design.review.proposal_canister_endcap.in.2</x:v>
      </x:c>
      <x:c r="B491" s="4" t="str">
        <x:v>design.review.proposal_canister_endcap</x:v>
      </x:c>
      <x:c r="C491" s="4" t="str">
        <x:v>Ingredient candidate</x:v>
      </x:c>
      <x:c r="D491" s="4" t="str">
        <x:v>proposal.branch.filled_binder</x:v>
      </x:c>
      <x:c r="E491" s="4" t="str">
        <x:f>IFERROR(INDEX('Items'!$B$6:$B$1005,MATCH(D491,'Items'!$A$6:$A$1005,0)),"MISSING ID")</x:f>
        <x:v>Filled shell-binding compound</x:v>
      </x:c>
      <x:c r="F491" s="4" t="str">
        <x:f>IFERROR(INDEX('Items'!$C$6:$C$1005,MATCH(D491,'Items'!$A$6:$A$1005,0)),"MISSING ID")</x:f>
        <x:v>T2</x:v>
      </x:c>
      <x:c r="G491" s="4" t="str">
        <x:f>IFERROR(INDEX('Items'!$D$6:$D$1005,MATCH(D491,'Items'!$A$6:$A$1005,0)),"MISSING ID")</x:f>
        <x:v>Crafting components</x:v>
      </x:c>
      <x:c r="H491" s="4" t="str">
        <x:f>IFERROR(INDEX('Items'!$X$6:$X$1005,MATCH(D491,'Items'!$A$6:$A$1005,0)),"MISSING ID")</x:f>
        <x:v>Chemical material</x:v>
      </x:c>
      <x:c r="I491" s="4"/>
      <x:c r="J491" s="4" t="str">
        <x:v>Unspecified</x:v>
      </x:c>
      <x:c r="K491" s="4" t="str">
        <x:f>IFERROR(INDEX('Crafting recipes'!$D$6:$D$1005,MATCH(B491,'Crafting recipes'!$A$6:$A$1005,0)),"MISSING ID")</x:f>
        <x:v>Proposal</x:v>
      </x:c>
      <x:c r="L491" s="4" t="str">
        <x:f>IFERROR(INDEX('Items'!$AD$6:$AD$1005,MATCH(D491,'Items'!$A$6:$A$1005,0)),"MISSING ID")</x:f>
        <x:v>Proposal</x:v>
      </x:c>
      <x:c r="M491" s="4" t="str">
        <x:f>IFERROR(INDEX('Crafting recipes'!$E$6:$E$1005,MATCH(B491,'Crafting recipes'!$A$6:$A$1005,0)),"MISSING ID")</x:f>
        <x:v>Partial proposal</x:v>
      </x:c>
      <x:c r="N491" s="4" t="str">
        <x:v>Candidate relationship only; quantity, yield and full recipe remain undefined.</x:v>
      </x:c>
      <x:c r="O491" s="4" t="str">
        <x:v>New October 15 tier-review proposal; user-authorized item audit and Docs/WORLD_BASIS.md. No source-canon or implemented-recipe claim.</x:v>
      </x:c>
      <x:c r="P491" s="4" t="n">
        <x:f>IF(OR(C491="Ingredient candidate",C491="Consumed input",C491="Contained input",C491="Transform input"),IF(F491="T0",0,IF(F491="T1",1,IF(F491="T2",2,IF(F491="T3",3,IF(F491="T4",4,-1))))),-1)</x:f>
        <x:v>2</x:v>
      </x:c>
      <x:c r="Q491" s="4" t="n">
        <x:f>IF(AND(OR(C491="Ingredient candidate",C491="Consumed input",C491="Contained input",C491="Transform input"),P491=-1),1,0)</x:f>
        <x:v>0</x:v>
      </x:c>
    </x:row>
    <x:row r="492" ht="115" customHeight="1">
      <x:c r="A492" s="4" t="str">
        <x:v>design.review.proposal_canister_endcap.in.3</x:v>
      </x:c>
      <x:c r="B492" s="4" t="str">
        <x:v>design.review.proposal_canister_endcap</x:v>
      </x:c>
      <x:c r="C492" s="4" t="str">
        <x:v>Ingredient candidate</x:v>
      </x:c>
      <x:c r="D492" s="4" t="str">
        <x:v>author.metallurgy.steel_stock</x:v>
      </x:c>
      <x:c r="E492" s="4" t="str">
        <x:f>IFERROR(INDEX('Items'!$B$6:$B$1005,MATCH(D492,'Items'!$A$6:$A$1005,0)),"MISSING ID")</x:f>
        <x:v>Steel stock</x:v>
      </x:c>
      <x:c r="F492" s="4" t="str">
        <x:f>IFERROR(INDEX('Items'!$C$6:$C$1005,MATCH(D492,'Items'!$A$6:$A$1005,0)),"MISSING ID")</x:f>
        <x:v>T2</x:v>
      </x:c>
      <x:c r="G492" s="4" t="str">
        <x:f>IFERROR(INDEX('Items'!$D$6:$D$1005,MATCH(D492,'Items'!$A$6:$A$1005,0)),"MISSING ID")</x:f>
        <x:v>Manufactured stock</x:v>
      </x:c>
      <x:c r="H492" s="4" t="str">
        <x:f>IFERROR(INDEX('Items'!$X$6:$X$1005,MATCH(D492,'Items'!$A$6:$A$1005,0)),"MISSING ID")</x:f>
        <x:v>Processed material</x:v>
      </x:c>
      <x:c r="I492" s="4"/>
      <x:c r="J492" s="4" t="str">
        <x:v>Unspecified</x:v>
      </x:c>
      <x:c r="K492" s="4" t="str">
        <x:f>IFERROR(INDEX('Crafting recipes'!$D$6:$D$1005,MATCH(B492,'Crafting recipes'!$A$6:$A$1005,0)),"MISSING ID")</x:f>
        <x:v>Proposal</x:v>
      </x:c>
      <x:c r="L492" s="4" t="str">
        <x:f>IFERROR(INDEX('Items'!$AD$6:$AD$1005,MATCH(D492,'Items'!$A$6:$A$1005,0)),"MISSING ID")</x:f>
        <x:v>Author direction</x:v>
      </x:c>
      <x:c r="M492" s="4" t="str">
        <x:f>IFERROR(INDEX('Crafting recipes'!$E$6:$E$1005,MATCH(B492,'Crafting recipes'!$A$6:$A$1005,0)),"MISSING ID")</x:f>
        <x:v>Partial proposal</x:v>
      </x:c>
      <x:c r="N492" s="4" t="str">
        <x:v>Candidate relationship only; quantity, yield and full recipe remain undefined.</x:v>
      </x:c>
      <x:c r="O492" s="4" t="str">
        <x:v>New October 15 tier-review proposal; user-authorized item audit and Docs/WORLD_BASIS.md. No source-canon or implemented-recipe claim.</x:v>
      </x:c>
      <x:c r="P492" s="4" t="n">
        <x:f>IF(OR(C492="Ingredient candidate",C492="Consumed input",C492="Contained input",C492="Transform input"),IF(F492="T0",0,IF(F492="T1",1,IF(F492="T2",2,IF(F492="T3",3,IF(F492="T4",4,-1))))),-1)</x:f>
        <x:v>2</x:v>
      </x:c>
      <x:c r="Q492" s="4" t="n">
        <x:f>IF(AND(OR(C492="Ingredient candidate",C492="Consumed input",C492="Contained input",C492="Transform input"),P492=-1),1,0)</x:f>
        <x:v>0</x:v>
      </x:c>
    </x:row>
    <x:row r="493" ht="115" customHeight="1">
      <x:c r="A493" s="4" t="str">
        <x:v>design.review.proposal_canister_endcap.out</x:v>
      </x:c>
      <x:c r="B493" s="4" t="str">
        <x:v>design.review.proposal_canister_endcap</x:v>
      </x:c>
      <x:c r="C493" s="4" t="str">
        <x:v>Output</x:v>
      </x:c>
      <x:c r="D493" s="4" t="str">
        <x:v>proposal.canister.endcap</x:v>
      </x:c>
      <x:c r="E493" s="4" t="str">
        <x:f>IFERROR(INDEX('Items'!$B$6:$B$1005,MATCH(D493,'Items'!$A$6:$A$1005,0)),"MISSING ID")</x:f>
        <x:v>Canister protective endcap</x:v>
      </x:c>
      <x:c r="F493" s="4" t="str">
        <x:f>IFERROR(INDEX('Items'!$C$6:$C$1005,MATCH(D493,'Items'!$A$6:$A$1005,0)),"MISSING ID")</x:f>
        <x:v>T3</x:v>
      </x:c>
      <x:c r="G493" s="4" t="str">
        <x:f>IFERROR(INDEX('Items'!$D$6:$D$1005,MATCH(D493,'Items'!$A$6:$A$1005,0)),"MISSING ID")</x:f>
        <x:v>Crafting components</x:v>
      </x:c>
      <x:c r="H493" s="4" t="str">
        <x:f>IFERROR(INDEX('Items'!$X$6:$X$1005,MATCH(D493,'Items'!$A$6:$A$1005,0)),"MISSING ID")</x:f>
        <x:v>Container part</x:v>
      </x:c>
      <x:c r="I493" s="4"/>
      <x:c r="J493" s="4" t="str">
        <x:v>Unspecified</x:v>
      </x:c>
      <x:c r="K493" s="4" t="str">
        <x:f>IFERROR(INDEX('Crafting recipes'!$D$6:$D$1005,MATCH(B493,'Crafting recipes'!$A$6:$A$1005,0)),"MISSING ID")</x:f>
        <x:v>Proposal</x:v>
      </x:c>
      <x:c r="L493" s="4" t="str">
        <x:f>IFERROR(INDEX('Items'!$AD$6:$AD$1005,MATCH(D493,'Items'!$A$6:$A$1005,0)),"MISSING ID")</x:f>
        <x:v>Proposal</x:v>
      </x:c>
      <x:c r="M493" s="4" t="str">
        <x:f>IFERROR(INDEX('Crafting recipes'!$E$6:$E$1005,MATCH(B493,'Crafting recipes'!$A$6:$A$1005,0)),"MISSING ID")</x:f>
        <x:v>Partial proposal</x:v>
      </x:c>
      <x:c r="N493" s="4" t="str">
        <x:v>Candidate relationship only; quantity, yield and full recipe remain undefined.</x:v>
      </x:c>
      <x:c r="O493" s="4" t="str">
        <x:v>New October 15 tier-review proposal; user-authorized item audit and Docs/WORLD_BASIS.md. No source-canon or implemented-recipe claim.</x:v>
      </x:c>
      <x:c r="P493" s="4" t="n">
        <x:f>IF(OR(C493="Ingredient candidate",C493="Consumed input",C493="Contained input",C493="Transform input"),IF(F493="T0",0,IF(F493="T1",1,IF(F493="T2",2,IF(F493="T3",3,IF(F493="T4",4,-1))))),-1)</x:f>
        <x:v>-1</x:v>
      </x:c>
      <x:c r="Q493" s="4" t="n">
        <x:f>IF(AND(OR(C493="Ingredient candidate",C493="Consumed input",C493="Contained input",C493="Transform input"),P493=-1),1,0)</x:f>
        <x:v>0</x:v>
      </x:c>
    </x:row>
    <x:row r="494" ht="115" customHeight="1">
      <x:c r="A494" s="4" t="str">
        <x:v>design.review.proposal_ceramic_unfired_blank.in.1</x:v>
      </x:c>
      <x:c r="B494" s="4" t="str">
        <x:v>design.review.proposal_ceramic_unfired_blank</x:v>
      </x:c>
      <x:c r="C494" s="4" t="str">
        <x:v>Ingredient candidate</x:v>
      </x:c>
      <x:c r="D494" s="4" t="str">
        <x:v>proposal.ceramic.body_feed</x:v>
      </x:c>
      <x:c r="E494" s="4" t="str">
        <x:f>IFERROR(INDEX('Items'!$B$6:$B$1005,MATCH(D494,'Items'!$A$6:$A$1005,0)),"MISSING ID")</x:f>
        <x:v>Prepared ceramic body feed</x:v>
      </x:c>
      <x:c r="F494" s="4" t="str">
        <x:f>IFERROR(INDEX('Items'!$C$6:$C$1005,MATCH(D494,'Items'!$A$6:$A$1005,0)),"MISSING ID")</x:f>
        <x:v>T1</x:v>
      </x:c>
      <x:c r="G494" s="4" t="str">
        <x:f>IFERROR(INDEX('Items'!$D$6:$D$1005,MATCH(D494,'Items'!$A$6:$A$1005,0)),"MISSING ID")</x:f>
        <x:v>Manufactured stock</x:v>
      </x:c>
      <x:c r="H494" s="4" t="str">
        <x:f>IFERROR(INDEX('Items'!$X$6:$X$1005,MATCH(D494,'Items'!$A$6:$A$1005,0)),"MISSING ID")</x:f>
        <x:v>Processed material</x:v>
      </x:c>
      <x:c r="I494" s="4"/>
      <x:c r="J494" s="4" t="str">
        <x:v>Unspecified</x:v>
      </x:c>
      <x:c r="K494" s="4" t="str">
        <x:f>IFERROR(INDEX('Crafting recipes'!$D$6:$D$1005,MATCH(B494,'Crafting recipes'!$A$6:$A$1005,0)),"MISSING ID")</x:f>
        <x:v>Proposal</x:v>
      </x:c>
      <x:c r="L494" s="4" t="str">
        <x:f>IFERROR(INDEX('Items'!$AD$6:$AD$1005,MATCH(D494,'Items'!$A$6:$A$1005,0)),"MISSING ID")</x:f>
        <x:v>Proposal</x:v>
      </x:c>
      <x:c r="M494" s="4" t="str">
        <x:f>IFERROR(INDEX('Crafting recipes'!$E$6:$E$1005,MATCH(B494,'Crafting recipes'!$A$6:$A$1005,0)),"MISSING ID")</x:f>
        <x:v>Partial proposal</x:v>
      </x:c>
      <x:c r="N494" s="4" t="str">
        <x:v>Candidate relationship only; quantity, yield and full recipe remain undefined.</x:v>
      </x:c>
      <x:c r="O494" s="4" t="str">
        <x:v>New October 15 tier-review proposal; user-authorized item audit and Docs/WORLD_BASIS.md. No source-canon or implemented-recipe claim.</x:v>
      </x:c>
      <x:c r="P494" s="4" t="n">
        <x:f>IF(OR(C494="Ingredient candidate",C494="Consumed input",C494="Contained input",C494="Transform input"),IF(F494="T0",0,IF(F494="T1",1,IF(F494="T2",2,IF(F494="T3",3,IF(F494="T4",4,-1))))),-1)</x:f>
        <x:v>1</x:v>
      </x:c>
      <x:c r="Q494" s="4" t="n">
        <x:f>IF(AND(OR(C494="Ingredient candidate",C494="Consumed input",C494="Contained input",C494="Transform input"),P494=-1),1,0)</x:f>
        <x:v>0</x:v>
      </x:c>
    </x:row>
    <x:row r="495" ht="115" customHeight="1">
      <x:c r="A495" s="4" t="str">
        <x:v>design.review.proposal_ceramic_unfired_blank.in.2</x:v>
      </x:c>
      <x:c r="B495" s="4" t="str">
        <x:v>design.review.proposal_ceramic_unfired_blank</x:v>
      </x:c>
      <x:c r="C495" s="4" t="str">
        <x:v>Ingredient candidate</x:v>
      </x:c>
      <x:c r="D495" s="4" t="str">
        <x:v>proposal.t1.faunal_carrier</x:v>
      </x:c>
      <x:c r="E495" s="4" t="str">
        <x:f>IFERROR(INDEX('Items'!$B$6:$B$1005,MATCH(D495,'Items'!$A$6:$A$1005,0)),"MISSING ID")</x:f>
        <x:v>Selected faunal carrier fraction</x:v>
      </x:c>
      <x:c r="F495" s="4" t="str">
        <x:f>IFERROR(INDEX('Items'!$C$6:$C$1005,MATCH(D495,'Items'!$A$6:$A$1005,0)),"MISSING ID")</x:f>
        <x:v>T1</x:v>
      </x:c>
      <x:c r="G495" s="4" t="str">
        <x:f>IFERROR(INDEX('Items'!$D$6:$D$1005,MATCH(D495,'Items'!$A$6:$A$1005,0)),"MISSING ID")</x:f>
        <x:v>Crafting components</x:v>
      </x:c>
      <x:c r="H495" s="4" t="str">
        <x:f>IFERROR(INDEX('Items'!$X$6:$X$1005,MATCH(D495,'Items'!$A$6:$A$1005,0)),"MISSING ID")</x:f>
        <x:v>Chemical material</x:v>
      </x:c>
      <x:c r="I495" s="4"/>
      <x:c r="J495" s="4" t="str">
        <x:v>Unspecified</x:v>
      </x:c>
      <x:c r="K495" s="4" t="str">
        <x:f>IFERROR(INDEX('Crafting recipes'!$D$6:$D$1005,MATCH(B495,'Crafting recipes'!$A$6:$A$1005,0)),"MISSING ID")</x:f>
        <x:v>Proposal</x:v>
      </x:c>
      <x:c r="L495" s="4" t="str">
        <x:f>IFERROR(INDEX('Items'!$AD$6:$AD$1005,MATCH(D495,'Items'!$A$6:$A$1005,0)),"MISSING ID")</x:f>
        <x:v>Proposal</x:v>
      </x:c>
      <x:c r="M495" s="4" t="str">
        <x:f>IFERROR(INDEX('Crafting recipes'!$E$6:$E$1005,MATCH(B495,'Crafting recipes'!$A$6:$A$1005,0)),"MISSING ID")</x:f>
        <x:v>Partial proposal</x:v>
      </x:c>
      <x:c r="N495" s="4" t="str">
        <x:v>Candidate relationship only; quantity, yield and full recipe remain undefined.</x:v>
      </x:c>
      <x:c r="O495" s="4" t="str">
        <x:v>New October 15 tier-review proposal; user-authorized item audit and Docs/WORLD_BASIS.md. No source-canon or implemented-recipe claim.</x:v>
      </x:c>
      <x:c r="P495" s="4" t="n">
        <x:f>IF(OR(C495="Ingredient candidate",C495="Consumed input",C495="Contained input",C495="Transform input"),IF(F495="T0",0,IF(F495="T1",1,IF(F495="T2",2,IF(F495="T3",3,IF(F495="T4",4,-1))))),-1)</x:f>
        <x:v>1</x:v>
      </x:c>
      <x:c r="Q495" s="4" t="n">
        <x:f>IF(AND(OR(C495="Ingredient candidate",C495="Consumed input",C495="Contained input",C495="Transform input"),P495=-1),1,0)</x:f>
        <x:v>0</x:v>
      </x:c>
    </x:row>
    <x:row r="496" ht="115" customHeight="1">
      <x:c r="A496" s="4" t="str">
        <x:v>design.review.proposal_ceramic_unfired_blank.out</x:v>
      </x:c>
      <x:c r="B496" s="4" t="str">
        <x:v>design.review.proposal_ceramic_unfired_blank</x:v>
      </x:c>
      <x:c r="C496" s="4" t="str">
        <x:v>Output</x:v>
      </x:c>
      <x:c r="D496" s="4" t="str">
        <x:v>proposal.ceramic.unfired_blank</x:v>
      </x:c>
      <x:c r="E496" s="4" t="str">
        <x:f>IFERROR(INDEX('Items'!$B$6:$B$1005,MATCH(D496,'Items'!$A$6:$A$1005,0)),"MISSING ID")</x:f>
        <x:v>Unfired shaped ceramic blank</x:v>
      </x:c>
      <x:c r="F496" s="4" t="str">
        <x:f>IFERROR(INDEX('Items'!$C$6:$C$1005,MATCH(D496,'Items'!$A$6:$A$1005,0)),"MISSING ID")</x:f>
        <x:v>T2</x:v>
      </x:c>
      <x:c r="G496" s="4" t="str">
        <x:f>IFERROR(INDEX('Items'!$D$6:$D$1005,MATCH(D496,'Items'!$A$6:$A$1005,0)),"MISSING ID")</x:f>
        <x:v>Crafting components</x:v>
      </x:c>
      <x:c r="H496" s="4" t="str">
        <x:f>IFERROR(INDEX('Items'!$X$6:$X$1005,MATCH(D496,'Items'!$A$6:$A$1005,0)),"MISSING ID")</x:f>
        <x:v>Crafting component</x:v>
      </x:c>
      <x:c r="I496" s="4"/>
      <x:c r="J496" s="4" t="str">
        <x:v>Unspecified</x:v>
      </x:c>
      <x:c r="K496" s="4" t="str">
        <x:f>IFERROR(INDEX('Crafting recipes'!$D$6:$D$1005,MATCH(B496,'Crafting recipes'!$A$6:$A$1005,0)),"MISSING ID")</x:f>
        <x:v>Proposal</x:v>
      </x:c>
      <x:c r="L496" s="4" t="str">
        <x:f>IFERROR(INDEX('Items'!$AD$6:$AD$1005,MATCH(D496,'Items'!$A$6:$A$1005,0)),"MISSING ID")</x:f>
        <x:v>Proposal</x:v>
      </x:c>
      <x:c r="M496" s="4" t="str">
        <x:f>IFERROR(INDEX('Crafting recipes'!$E$6:$E$1005,MATCH(B496,'Crafting recipes'!$A$6:$A$1005,0)),"MISSING ID")</x:f>
        <x:v>Partial proposal</x:v>
      </x:c>
      <x:c r="N496" s="4" t="str">
        <x:v>Candidate relationship only; quantity, yield and full recipe remain undefined.</x:v>
      </x:c>
      <x:c r="O496" s="4" t="str">
        <x:v>New October 15 tier-review proposal; user-authorized item audit and Docs/WORLD_BASIS.md. No source-canon or implemented-recipe claim.</x:v>
      </x:c>
      <x:c r="P496" s="4" t="n">
        <x:f>IF(OR(C496="Ingredient candidate",C496="Consumed input",C496="Contained input",C496="Transform input"),IF(F496="T0",0,IF(F496="T1",1,IF(F496="T2",2,IF(F496="T3",3,IF(F496="T4",4,-1))))),-1)</x:f>
        <x:v>-1</x:v>
      </x:c>
      <x:c r="Q496" s="4" t="n">
        <x:f>IF(AND(OR(C496="Ingredient candidate",C496="Consumed input",C496="Contained input",C496="Transform input"),P496=-1),1,0)</x:f>
        <x:v>0</x:v>
      </x:c>
    </x:row>
    <x:row r="497" ht="115" customHeight="1">
      <x:c r="A497" s="4" t="str">
        <x:v>design.review.proposal_ceramic_refractory_brick.in.1</x:v>
      </x:c>
      <x:c r="B497" s="4" t="str">
        <x:v>design.review.proposal_ceramic_refractory_brick</x:v>
      </x:c>
      <x:c r="C497" s="4" t="str">
        <x:v>Ingredient candidate</x:v>
      </x:c>
      <x:c r="D497" s="4" t="str">
        <x:v>proposal.branch.refractory_ceramic</x:v>
      </x:c>
      <x:c r="E497" s="4" t="str">
        <x:f>IFERROR(INDEX('Items'!$B$6:$B$1005,MATCH(D497,'Items'!$A$6:$A$1005,0)),"MISSING ID")</x:f>
        <x:v>Refractory ceramic stock</x:v>
      </x:c>
      <x:c r="F497" s="4" t="str">
        <x:f>IFERROR(INDEX('Items'!$C$6:$C$1005,MATCH(D497,'Items'!$A$6:$A$1005,0)),"MISSING ID")</x:f>
        <x:v>T2</x:v>
      </x:c>
      <x:c r="G497" s="4" t="str">
        <x:f>IFERROR(INDEX('Items'!$D$6:$D$1005,MATCH(D497,'Items'!$A$6:$A$1005,0)),"MISSING ID")</x:f>
        <x:v>Manufactured stock</x:v>
      </x:c>
      <x:c r="H497" s="4" t="str">
        <x:f>IFERROR(INDEX('Items'!$X$6:$X$1005,MATCH(D497,'Items'!$A$6:$A$1005,0)),"MISSING ID")</x:f>
        <x:v>Processed material</x:v>
      </x:c>
      <x:c r="I497" s="4"/>
      <x:c r="J497" s="4" t="str">
        <x:v>Unspecified</x:v>
      </x:c>
      <x:c r="K497" s="4" t="str">
        <x:f>IFERROR(INDEX('Crafting recipes'!$D$6:$D$1005,MATCH(B497,'Crafting recipes'!$A$6:$A$1005,0)),"MISSING ID")</x:f>
        <x:v>Proposal</x:v>
      </x:c>
      <x:c r="L497" s="4" t="str">
        <x:f>IFERROR(INDEX('Items'!$AD$6:$AD$1005,MATCH(D497,'Items'!$A$6:$A$1005,0)),"MISSING ID")</x:f>
        <x:v>Proposal</x:v>
      </x:c>
      <x:c r="M497" s="4" t="str">
        <x:f>IFERROR(INDEX('Crafting recipes'!$E$6:$E$1005,MATCH(B497,'Crafting recipes'!$A$6:$A$1005,0)),"MISSING ID")</x:f>
        <x:v>Partial proposal</x:v>
      </x:c>
      <x:c r="N497" s="4" t="str">
        <x:v>Candidate relationship only; quantity, yield and full recipe remain undefined.</x:v>
      </x:c>
      <x:c r="O497" s="4" t="str">
        <x:v>New October 15 tier-review proposal; user-authorized item audit and Docs/WORLD_BASIS.md. No source-canon or implemented-recipe claim.</x:v>
      </x:c>
      <x:c r="P497" s="4" t="n">
        <x:f>IF(OR(C497="Ingredient candidate",C497="Consumed input",C497="Contained input",C497="Transform input"),IF(F497="T0",0,IF(F497="T1",1,IF(F497="T2",2,IF(F497="T3",3,IF(F497="T4",4,-1))))),-1)</x:f>
        <x:v>2</x:v>
      </x:c>
      <x:c r="Q497" s="4" t="n">
        <x:f>IF(AND(OR(C497="Ingredient candidate",C497="Consumed input",C497="Contained input",C497="Transform input"),P497=-1),1,0)</x:f>
        <x:v>0</x:v>
      </x:c>
    </x:row>
    <x:row r="498" ht="115" customHeight="1">
      <x:c r="A498" s="4" t="str">
        <x:v>design.review.proposal_ceramic_refractory_brick.in.2</x:v>
      </x:c>
      <x:c r="B498" s="4" t="str">
        <x:v>design.review.proposal_ceramic_refractory_brick</x:v>
      </x:c>
      <x:c r="C498" s="4" t="str">
        <x:v>Ingredient candidate</x:v>
      </x:c>
      <x:c r="D498" s="4" t="str">
        <x:v>proposal.natural.abrasive</x:v>
      </x:c>
      <x:c r="E498" s="4" t="str">
        <x:f>IFERROR(INDEX('Items'!$B$6:$B$1005,MATCH(D498,'Items'!$A$6:$A$1005,0)),"MISSING ID")</x:f>
        <x:v>Graded abrasive grit</x:v>
      </x:c>
      <x:c r="F498" s="4" t="str">
        <x:f>IFERROR(INDEX('Items'!$C$6:$C$1005,MATCH(D498,'Items'!$A$6:$A$1005,0)),"MISSING ID")</x:f>
        <x:v>T1</x:v>
      </x:c>
      <x:c r="G498" s="4" t="str">
        <x:f>IFERROR(INDEX('Items'!$D$6:$D$1005,MATCH(D498,'Items'!$A$6:$A$1005,0)),"MISSING ID")</x:f>
        <x:v>Manufactured stock</x:v>
      </x:c>
      <x:c r="H498" s="4" t="str">
        <x:f>IFERROR(INDEX('Items'!$X$6:$X$1005,MATCH(D498,'Items'!$A$6:$A$1005,0)),"MISSING ID")</x:f>
        <x:v>Processed material</x:v>
      </x:c>
      <x:c r="I498" s="4"/>
      <x:c r="J498" s="4" t="str">
        <x:v>Unspecified</x:v>
      </x:c>
      <x:c r="K498" s="4" t="str">
        <x:f>IFERROR(INDEX('Crafting recipes'!$D$6:$D$1005,MATCH(B498,'Crafting recipes'!$A$6:$A$1005,0)),"MISSING ID")</x:f>
        <x:v>Proposal</x:v>
      </x:c>
      <x:c r="L498" s="4" t="str">
        <x:f>IFERROR(INDEX('Items'!$AD$6:$AD$1005,MATCH(D498,'Items'!$A$6:$A$1005,0)),"MISSING ID")</x:f>
        <x:v>Proposal</x:v>
      </x:c>
      <x:c r="M498" s="4" t="str">
        <x:f>IFERROR(INDEX('Crafting recipes'!$E$6:$E$1005,MATCH(B498,'Crafting recipes'!$A$6:$A$1005,0)),"MISSING ID")</x:f>
        <x:v>Partial proposal</x:v>
      </x:c>
      <x:c r="N498" s="4" t="str">
        <x:v>Candidate relationship only; quantity, yield and full recipe remain undefined.</x:v>
      </x:c>
      <x:c r="O498" s="4" t="str">
        <x:v>New October 15 tier-review proposal; user-authorized item audit and Docs/WORLD_BASIS.md. No source-canon or implemented-recipe claim.</x:v>
      </x:c>
      <x:c r="P498" s="4" t="n">
        <x:f>IF(OR(C498="Ingredient candidate",C498="Consumed input",C498="Contained input",C498="Transform input"),IF(F498="T0",0,IF(F498="T1",1,IF(F498="T2",2,IF(F498="T3",3,IF(F498="T4",4,-1))))),-1)</x:f>
        <x:v>1</x:v>
      </x:c>
      <x:c r="Q498" s="4" t="n">
        <x:f>IF(AND(OR(C498="Ingredient candidate",C498="Consumed input",C498="Contained input",C498="Transform input"),P498=-1),1,0)</x:f>
        <x:v>0</x:v>
      </x:c>
    </x:row>
    <x:row r="499" ht="115" customHeight="1">
      <x:c r="A499" s="4" t="str">
        <x:v>design.review.proposal_ceramic_refractory_brick.out</x:v>
      </x:c>
      <x:c r="B499" s="4" t="str">
        <x:v>design.review.proposal_ceramic_refractory_brick</x:v>
      </x:c>
      <x:c r="C499" s="4" t="str">
        <x:v>Output</x:v>
      </x:c>
      <x:c r="D499" s="4" t="str">
        <x:v>proposal.ceramic.refractory_brick</x:v>
      </x:c>
      <x:c r="E499" s="4" t="str">
        <x:f>IFERROR(INDEX('Items'!$B$6:$B$1005,MATCH(D499,'Items'!$A$6:$A$1005,0)),"MISSING ID")</x:f>
        <x:v>Refractory ceramic brick</x:v>
      </x:c>
      <x:c r="F499" s="4" t="str">
        <x:f>IFERROR(INDEX('Items'!$C$6:$C$1005,MATCH(D499,'Items'!$A$6:$A$1005,0)),"MISSING ID")</x:f>
        <x:v>T3</x:v>
      </x:c>
      <x:c r="G499" s="4" t="str">
        <x:f>IFERROR(INDEX('Items'!$D$6:$D$1005,MATCH(D499,'Items'!$A$6:$A$1005,0)),"MISSING ID")</x:f>
        <x:v>Crafting components</x:v>
      </x:c>
      <x:c r="H499" s="4" t="str">
        <x:f>IFERROR(INDEX('Items'!$X$6:$X$1005,MATCH(D499,'Items'!$A$6:$A$1005,0)),"MISSING ID")</x:f>
        <x:v>Crafting component</x:v>
      </x:c>
      <x:c r="I499" s="4"/>
      <x:c r="J499" s="4" t="str">
        <x:v>Unspecified</x:v>
      </x:c>
      <x:c r="K499" s="4" t="str">
        <x:f>IFERROR(INDEX('Crafting recipes'!$D$6:$D$1005,MATCH(B499,'Crafting recipes'!$A$6:$A$1005,0)),"MISSING ID")</x:f>
        <x:v>Proposal</x:v>
      </x:c>
      <x:c r="L499" s="4" t="str">
        <x:f>IFERROR(INDEX('Items'!$AD$6:$AD$1005,MATCH(D499,'Items'!$A$6:$A$1005,0)),"MISSING ID")</x:f>
        <x:v>Proposal</x:v>
      </x:c>
      <x:c r="M499" s="4" t="str">
        <x:f>IFERROR(INDEX('Crafting recipes'!$E$6:$E$1005,MATCH(B499,'Crafting recipes'!$A$6:$A$1005,0)),"MISSING ID")</x:f>
        <x:v>Partial proposal</x:v>
      </x:c>
      <x:c r="N499" s="4" t="str">
        <x:v>Candidate relationship only; quantity, yield and full recipe remain undefined.</x:v>
      </x:c>
      <x:c r="O499" s="4" t="str">
        <x:v>New October 15 tier-review proposal; user-authorized item audit and Docs/WORLD_BASIS.md. No source-canon or implemented-recipe claim.</x:v>
      </x:c>
      <x:c r="P499" s="4" t="n">
        <x:f>IF(OR(C499="Ingredient candidate",C499="Consumed input",C499="Contained input",C499="Transform input"),IF(F499="T0",0,IF(F499="T1",1,IF(F499="T2",2,IF(F499="T3",3,IF(F499="T4",4,-1))))),-1)</x:f>
        <x:v>-1</x:v>
      </x:c>
      <x:c r="Q499" s="4" t="n">
        <x:f>IF(AND(OR(C499="Ingredient candidate",C499="Consumed input",C499="Contained input",C499="Transform input"),P499=-1),1,0)</x:f>
        <x:v>0</x:v>
      </x:c>
    </x:row>
    <x:row r="500" ht="115" customHeight="1">
      <x:c r="A500" s="4" t="str">
        <x:v>design.review.proposal_ceramic_kiln_liner.in.1</x:v>
      </x:c>
      <x:c r="B500" s="4" t="str">
        <x:v>design.review.proposal_ceramic_kiln_liner</x:v>
      </x:c>
      <x:c r="C500" s="4" t="str">
        <x:v>Ingredient candidate</x:v>
      </x:c>
      <x:c r="D500" s="4" t="str">
        <x:v>proposal.branch.refractory_ceramic</x:v>
      </x:c>
      <x:c r="E500" s="4" t="str">
        <x:f>IFERROR(INDEX('Items'!$B$6:$B$1005,MATCH(D500,'Items'!$A$6:$A$1005,0)),"MISSING ID")</x:f>
        <x:v>Refractory ceramic stock</x:v>
      </x:c>
      <x:c r="F500" s="4" t="str">
        <x:f>IFERROR(INDEX('Items'!$C$6:$C$1005,MATCH(D500,'Items'!$A$6:$A$1005,0)),"MISSING ID")</x:f>
        <x:v>T2</x:v>
      </x:c>
      <x:c r="G500" s="4" t="str">
        <x:f>IFERROR(INDEX('Items'!$D$6:$D$1005,MATCH(D500,'Items'!$A$6:$A$1005,0)),"MISSING ID")</x:f>
        <x:v>Manufactured stock</x:v>
      </x:c>
      <x:c r="H500" s="4" t="str">
        <x:f>IFERROR(INDEX('Items'!$X$6:$X$1005,MATCH(D500,'Items'!$A$6:$A$1005,0)),"MISSING ID")</x:f>
        <x:v>Processed material</x:v>
      </x:c>
      <x:c r="I500" s="4"/>
      <x:c r="J500" s="4" t="str">
        <x:v>Unspecified</x:v>
      </x:c>
      <x:c r="K500" s="4" t="str">
        <x:f>IFERROR(INDEX('Crafting recipes'!$D$6:$D$1005,MATCH(B500,'Crafting recipes'!$A$6:$A$1005,0)),"MISSING ID")</x:f>
        <x:v>Proposal</x:v>
      </x:c>
      <x:c r="L500" s="4" t="str">
        <x:f>IFERROR(INDEX('Items'!$AD$6:$AD$1005,MATCH(D500,'Items'!$A$6:$A$1005,0)),"MISSING ID")</x:f>
        <x:v>Proposal</x:v>
      </x:c>
      <x:c r="M500" s="4" t="str">
        <x:f>IFERROR(INDEX('Crafting recipes'!$E$6:$E$1005,MATCH(B500,'Crafting recipes'!$A$6:$A$1005,0)),"MISSING ID")</x:f>
        <x:v>Partial proposal</x:v>
      </x:c>
      <x:c r="N500" s="4" t="str">
        <x:v>Candidate relationship only; quantity, yield and full recipe remain undefined.</x:v>
      </x:c>
      <x:c r="O500" s="4" t="str">
        <x:v>New October 15 tier-review proposal; user-authorized item audit and Docs/WORLD_BASIS.md. No source-canon or implemented-recipe claim.</x:v>
      </x:c>
      <x:c r="P500" s="4" t="n">
        <x:f>IF(OR(C500="Ingredient candidate",C500="Consumed input",C500="Contained input",C500="Transform input"),IF(F500="T0",0,IF(F500="T1",1,IF(F500="T2",2,IF(F500="T3",3,IF(F500="T4",4,-1))))),-1)</x:f>
        <x:v>2</x:v>
      </x:c>
      <x:c r="Q500" s="4" t="n">
        <x:f>IF(AND(OR(C500="Ingredient candidate",C500="Consumed input",C500="Contained input",C500="Transform input"),P500=-1),1,0)</x:f>
        <x:v>0</x:v>
      </x:c>
    </x:row>
    <x:row r="501" ht="115" customHeight="1">
      <x:c r="A501" s="4" t="str">
        <x:v>design.review.proposal_ceramic_kiln_liner.in.2</x:v>
      </x:c>
      <x:c r="B501" s="4" t="str">
        <x:v>design.review.proposal_ceramic_kiln_liner</x:v>
      </x:c>
      <x:c r="C501" s="4" t="str">
        <x:v>Ingredient candidate</x:v>
      </x:c>
      <x:c r="D501" s="4" t="str">
        <x:v>proposal.natural.abrasive</x:v>
      </x:c>
      <x:c r="E501" s="4" t="str">
        <x:f>IFERROR(INDEX('Items'!$B$6:$B$1005,MATCH(D501,'Items'!$A$6:$A$1005,0)),"MISSING ID")</x:f>
        <x:v>Graded abrasive grit</x:v>
      </x:c>
      <x:c r="F501" s="4" t="str">
        <x:f>IFERROR(INDEX('Items'!$C$6:$C$1005,MATCH(D501,'Items'!$A$6:$A$1005,0)),"MISSING ID")</x:f>
        <x:v>T1</x:v>
      </x:c>
      <x:c r="G501" s="4" t="str">
        <x:f>IFERROR(INDEX('Items'!$D$6:$D$1005,MATCH(D501,'Items'!$A$6:$A$1005,0)),"MISSING ID")</x:f>
        <x:v>Manufactured stock</x:v>
      </x:c>
      <x:c r="H501" s="4" t="str">
        <x:f>IFERROR(INDEX('Items'!$X$6:$X$1005,MATCH(D501,'Items'!$A$6:$A$1005,0)),"MISSING ID")</x:f>
        <x:v>Processed material</x:v>
      </x:c>
      <x:c r="I501" s="4"/>
      <x:c r="J501" s="4" t="str">
        <x:v>Unspecified</x:v>
      </x:c>
      <x:c r="K501" s="4" t="str">
        <x:f>IFERROR(INDEX('Crafting recipes'!$D$6:$D$1005,MATCH(B501,'Crafting recipes'!$A$6:$A$1005,0)),"MISSING ID")</x:f>
        <x:v>Proposal</x:v>
      </x:c>
      <x:c r="L501" s="4" t="str">
        <x:f>IFERROR(INDEX('Items'!$AD$6:$AD$1005,MATCH(D501,'Items'!$A$6:$A$1005,0)),"MISSING ID")</x:f>
        <x:v>Proposal</x:v>
      </x:c>
      <x:c r="M501" s="4" t="str">
        <x:f>IFERROR(INDEX('Crafting recipes'!$E$6:$E$1005,MATCH(B501,'Crafting recipes'!$A$6:$A$1005,0)),"MISSING ID")</x:f>
        <x:v>Partial proposal</x:v>
      </x:c>
      <x:c r="N501" s="4" t="str">
        <x:v>Candidate relationship only; quantity, yield and full recipe remain undefined.</x:v>
      </x:c>
      <x:c r="O501" s="4" t="str">
        <x:v>New October 15 tier-review proposal; user-authorized item audit and Docs/WORLD_BASIS.md. No source-canon or implemented-recipe claim.</x:v>
      </x:c>
      <x:c r="P501" s="4" t="n">
        <x:f>IF(OR(C501="Ingredient candidate",C501="Consumed input",C501="Contained input",C501="Transform input"),IF(F501="T0",0,IF(F501="T1",1,IF(F501="T2",2,IF(F501="T3",3,IF(F501="T4",4,-1))))),-1)</x:f>
        <x:v>1</x:v>
      </x:c>
      <x:c r="Q501" s="4" t="n">
        <x:f>IF(AND(OR(C501="Ingredient candidate",C501="Consumed input",C501="Contained input",C501="Transform input"),P501=-1),1,0)</x:f>
        <x:v>0</x:v>
      </x:c>
    </x:row>
    <x:row r="502" ht="115" customHeight="1">
      <x:c r="A502" s="4" t="str">
        <x:v>design.review.proposal_ceramic_kiln_liner.out</x:v>
      </x:c>
      <x:c r="B502" s="4" t="str">
        <x:v>design.review.proposal_ceramic_kiln_liner</x:v>
      </x:c>
      <x:c r="C502" s="4" t="str">
        <x:v>Output</x:v>
      </x:c>
      <x:c r="D502" s="4" t="str">
        <x:v>proposal.ceramic.kiln_liner</x:v>
      </x:c>
      <x:c r="E502" s="4" t="str">
        <x:f>IFERROR(INDEX('Items'!$B$6:$B$1005,MATCH(D502,'Items'!$A$6:$A$1005,0)),"MISSING ID")</x:f>
        <x:v>Ceramic kiln lining panel</x:v>
      </x:c>
      <x:c r="F502" s="4" t="str">
        <x:f>IFERROR(INDEX('Items'!$C$6:$C$1005,MATCH(D502,'Items'!$A$6:$A$1005,0)),"MISSING ID")</x:f>
        <x:v>T3</x:v>
      </x:c>
      <x:c r="G502" s="4" t="str">
        <x:f>IFERROR(INDEX('Items'!$D$6:$D$1005,MATCH(D502,'Items'!$A$6:$A$1005,0)),"MISSING ID")</x:f>
        <x:v>Crafting components</x:v>
      </x:c>
      <x:c r="H502" s="4" t="str">
        <x:f>IFERROR(INDEX('Items'!$X$6:$X$1005,MATCH(D502,'Items'!$A$6:$A$1005,0)),"MISSING ID")</x:f>
        <x:v>Crafting component</x:v>
      </x:c>
      <x:c r="I502" s="4"/>
      <x:c r="J502" s="4" t="str">
        <x:v>Unspecified</x:v>
      </x:c>
      <x:c r="K502" s="4" t="str">
        <x:f>IFERROR(INDEX('Crafting recipes'!$D$6:$D$1005,MATCH(B502,'Crafting recipes'!$A$6:$A$1005,0)),"MISSING ID")</x:f>
        <x:v>Proposal</x:v>
      </x:c>
      <x:c r="L502" s="4" t="str">
        <x:f>IFERROR(INDEX('Items'!$AD$6:$AD$1005,MATCH(D502,'Items'!$A$6:$A$1005,0)),"MISSING ID")</x:f>
        <x:v>Proposal</x:v>
      </x:c>
      <x:c r="M502" s="4" t="str">
        <x:f>IFERROR(INDEX('Crafting recipes'!$E$6:$E$1005,MATCH(B502,'Crafting recipes'!$A$6:$A$1005,0)),"MISSING ID")</x:f>
        <x:v>Partial proposal</x:v>
      </x:c>
      <x:c r="N502" s="4" t="str">
        <x:v>Candidate relationship only; quantity, yield and full recipe remain undefined.</x:v>
      </x:c>
      <x:c r="O502" s="4" t="str">
        <x:v>New October 15 tier-review proposal; user-authorized item audit and Docs/WORLD_BASIS.md. No source-canon or implemented-recipe claim.</x:v>
      </x:c>
      <x:c r="P502" s="4" t="n">
        <x:f>IF(OR(C502="Ingredient candidate",C502="Consumed input",C502="Contained input",C502="Transform input"),IF(F502="T0",0,IF(F502="T1",1,IF(F502="T2",2,IF(F502="T3",3,IF(F502="T4",4,-1))))),-1)</x:f>
        <x:v>-1</x:v>
      </x:c>
      <x:c r="Q502" s="4" t="n">
        <x:f>IF(AND(OR(C502="Ingredient candidate",C502="Consumed input",C502="Contained input",C502="Transform input"),P502=-1),1,0)</x:f>
        <x:v>0</x:v>
      </x:c>
    </x:row>
    <x:row r="503" ht="115" customHeight="1">
      <x:c r="A503" s="4" t="str">
        <x:v>design.review.proposal_ceramic_bead.in.1</x:v>
      </x:c>
      <x:c r="B503" s="4" t="str">
        <x:v>design.review.proposal_ceramic_bead</x:v>
      </x:c>
      <x:c r="C503" s="4" t="str">
        <x:v>Ingredient candidate</x:v>
      </x:c>
      <x:c r="D503" s="4" t="str">
        <x:v>proposal.natural.ceramic</x:v>
      </x:c>
      <x:c r="E503" s="4" t="str">
        <x:f>IFERROR(INDEX('Items'!$B$6:$B$1005,MATCH(D503,'Items'!$A$6:$A$1005,0)),"MISSING ID")</x:f>
        <x:v>Insulating ceramic blanks</x:v>
      </x:c>
      <x:c r="F503" s="4" t="str">
        <x:f>IFERROR(INDEX('Items'!$C$6:$C$1005,MATCH(D503,'Items'!$A$6:$A$1005,0)),"MISSING ID")</x:f>
        <x:v>T2</x:v>
      </x:c>
      <x:c r="G503" s="4" t="str">
        <x:f>IFERROR(INDEX('Items'!$D$6:$D$1005,MATCH(D503,'Items'!$A$6:$A$1005,0)),"MISSING ID")</x:f>
        <x:v>Manufactured stock</x:v>
      </x:c>
      <x:c r="H503" s="4" t="str">
        <x:f>IFERROR(INDEX('Items'!$X$6:$X$1005,MATCH(D503,'Items'!$A$6:$A$1005,0)),"MISSING ID")</x:f>
        <x:v>Processed material</x:v>
      </x:c>
      <x:c r="I503" s="4"/>
      <x:c r="J503" s="4" t="str">
        <x:v>Unspecified</x:v>
      </x:c>
      <x:c r="K503" s="4" t="str">
        <x:f>IFERROR(INDEX('Crafting recipes'!$D$6:$D$1005,MATCH(B503,'Crafting recipes'!$A$6:$A$1005,0)),"MISSING ID")</x:f>
        <x:v>Proposal</x:v>
      </x:c>
      <x:c r="L503" s="4" t="str">
        <x:f>IFERROR(INDEX('Items'!$AD$6:$AD$1005,MATCH(D503,'Items'!$A$6:$A$1005,0)),"MISSING ID")</x:f>
        <x:v>Proposal</x:v>
      </x:c>
      <x:c r="M503" s="4" t="str">
        <x:f>IFERROR(INDEX('Crafting recipes'!$E$6:$E$1005,MATCH(B503,'Crafting recipes'!$A$6:$A$1005,0)),"MISSING ID")</x:f>
        <x:v>Partial proposal</x:v>
      </x:c>
      <x:c r="N503" s="4" t="str">
        <x:v>Candidate relationship only; quantity, yield and full recipe remain undefined.</x:v>
      </x:c>
      <x:c r="O503" s="4" t="str">
        <x:v>New October 15 tier-review proposal; user-authorized item audit and Docs/WORLD_BASIS.md. No source-canon or implemented-recipe claim.</x:v>
      </x:c>
      <x:c r="P503" s="4" t="n">
        <x:f>IF(OR(C503="Ingredient candidate",C503="Consumed input",C503="Contained input",C503="Transform input"),IF(F503="T0",0,IF(F503="T1",1,IF(F503="T2",2,IF(F503="T3",3,IF(F503="T4",4,-1))))),-1)</x:f>
        <x:v>2</x:v>
      </x:c>
      <x:c r="Q503" s="4" t="n">
        <x:f>IF(AND(OR(C503="Ingredient candidate",C503="Consumed input",C503="Contained input",C503="Transform input"),P503=-1),1,0)</x:f>
        <x:v>0</x:v>
      </x:c>
    </x:row>
    <x:row r="504" ht="115" customHeight="1">
      <x:c r="A504" s="4" t="str">
        <x:v>design.review.proposal_ceramic_bead.in.2</x:v>
      </x:c>
      <x:c r="B504" s="4" t="str">
        <x:v>design.review.proposal_ceramic_bead</x:v>
      </x:c>
      <x:c r="C504" s="4" t="str">
        <x:v>Ingredient candidate</x:v>
      </x:c>
      <x:c r="D504" s="4" t="str">
        <x:v>proposal.natural.abrasive</x:v>
      </x:c>
      <x:c r="E504" s="4" t="str">
        <x:f>IFERROR(INDEX('Items'!$B$6:$B$1005,MATCH(D504,'Items'!$A$6:$A$1005,0)),"MISSING ID")</x:f>
        <x:v>Graded abrasive grit</x:v>
      </x:c>
      <x:c r="F504" s="4" t="str">
        <x:f>IFERROR(INDEX('Items'!$C$6:$C$1005,MATCH(D504,'Items'!$A$6:$A$1005,0)),"MISSING ID")</x:f>
        <x:v>T1</x:v>
      </x:c>
      <x:c r="G504" s="4" t="str">
        <x:f>IFERROR(INDEX('Items'!$D$6:$D$1005,MATCH(D504,'Items'!$A$6:$A$1005,0)),"MISSING ID")</x:f>
        <x:v>Manufactured stock</x:v>
      </x:c>
      <x:c r="H504" s="4" t="str">
        <x:f>IFERROR(INDEX('Items'!$X$6:$X$1005,MATCH(D504,'Items'!$A$6:$A$1005,0)),"MISSING ID")</x:f>
        <x:v>Processed material</x:v>
      </x:c>
      <x:c r="I504" s="4"/>
      <x:c r="J504" s="4" t="str">
        <x:v>Unspecified</x:v>
      </x:c>
      <x:c r="K504" s="4" t="str">
        <x:f>IFERROR(INDEX('Crafting recipes'!$D$6:$D$1005,MATCH(B504,'Crafting recipes'!$A$6:$A$1005,0)),"MISSING ID")</x:f>
        <x:v>Proposal</x:v>
      </x:c>
      <x:c r="L504" s="4" t="str">
        <x:f>IFERROR(INDEX('Items'!$AD$6:$AD$1005,MATCH(D504,'Items'!$A$6:$A$1005,0)),"MISSING ID")</x:f>
        <x:v>Proposal</x:v>
      </x:c>
      <x:c r="M504" s="4" t="str">
        <x:f>IFERROR(INDEX('Crafting recipes'!$E$6:$E$1005,MATCH(B504,'Crafting recipes'!$A$6:$A$1005,0)),"MISSING ID")</x:f>
        <x:v>Partial proposal</x:v>
      </x:c>
      <x:c r="N504" s="4" t="str">
        <x:v>Candidate relationship only; quantity, yield and full recipe remain undefined.</x:v>
      </x:c>
      <x:c r="O504" s="4" t="str">
        <x:v>New October 15 tier-review proposal; user-authorized item audit and Docs/WORLD_BASIS.md. No source-canon or implemented-recipe claim.</x:v>
      </x:c>
      <x:c r="P504" s="4" t="n">
        <x:f>IF(OR(C504="Ingredient candidate",C504="Consumed input",C504="Contained input",C504="Transform input"),IF(F504="T0",0,IF(F504="T1",1,IF(F504="T2",2,IF(F504="T3",3,IF(F504="T4",4,-1))))),-1)</x:f>
        <x:v>1</x:v>
      </x:c>
      <x:c r="Q504" s="4" t="n">
        <x:f>IF(AND(OR(C504="Ingredient candidate",C504="Consumed input",C504="Contained input",C504="Transform input"),P504=-1),1,0)</x:f>
        <x:v>0</x:v>
      </x:c>
    </x:row>
    <x:row r="505" ht="115" customHeight="1">
      <x:c r="A505" s="4" t="str">
        <x:v>design.review.proposal_ceramic_bead.out</x:v>
      </x:c>
      <x:c r="B505" s="4" t="str">
        <x:v>design.review.proposal_ceramic_bead</x:v>
      </x:c>
      <x:c r="C505" s="4" t="str">
        <x:v>Output</x:v>
      </x:c>
      <x:c r="D505" s="4" t="str">
        <x:v>proposal.ceramic.bead</x:v>
      </x:c>
      <x:c r="E505" s="4" t="str">
        <x:f>IFERROR(INDEX('Items'!$B$6:$B$1005,MATCH(D505,'Items'!$A$6:$A$1005,0)),"MISSING ID")</x:f>
        <x:v>Ceramic insulating bead</x:v>
      </x:c>
      <x:c r="F505" s="4" t="str">
        <x:f>IFERROR(INDEX('Items'!$C$6:$C$1005,MATCH(D505,'Items'!$A$6:$A$1005,0)),"MISSING ID")</x:f>
        <x:v>T3</x:v>
      </x:c>
      <x:c r="G505" s="4" t="str">
        <x:f>IFERROR(INDEX('Items'!$D$6:$D$1005,MATCH(D505,'Items'!$A$6:$A$1005,0)),"MISSING ID")</x:f>
        <x:v>Crafting components</x:v>
      </x:c>
      <x:c r="H505" s="4" t="str">
        <x:f>IFERROR(INDEX('Items'!$X$6:$X$1005,MATCH(D505,'Items'!$A$6:$A$1005,0)),"MISSING ID")</x:f>
        <x:v>Crafting component</x:v>
      </x:c>
      <x:c r="I505" s="4"/>
      <x:c r="J505" s="4" t="str">
        <x:v>Unspecified</x:v>
      </x:c>
      <x:c r="K505" s="4" t="str">
        <x:f>IFERROR(INDEX('Crafting recipes'!$D$6:$D$1005,MATCH(B505,'Crafting recipes'!$A$6:$A$1005,0)),"MISSING ID")</x:f>
        <x:v>Proposal</x:v>
      </x:c>
      <x:c r="L505" s="4" t="str">
        <x:f>IFERROR(INDEX('Items'!$AD$6:$AD$1005,MATCH(D505,'Items'!$A$6:$A$1005,0)),"MISSING ID")</x:f>
        <x:v>Proposal</x:v>
      </x:c>
      <x:c r="M505" s="4" t="str">
        <x:f>IFERROR(INDEX('Crafting recipes'!$E$6:$E$1005,MATCH(B505,'Crafting recipes'!$A$6:$A$1005,0)),"MISSING ID")</x:f>
        <x:v>Partial proposal</x:v>
      </x:c>
      <x:c r="N505" s="4" t="str">
        <x:v>Candidate relationship only; quantity, yield and full recipe remain undefined.</x:v>
      </x:c>
      <x:c r="O505" s="4" t="str">
        <x:v>New October 15 tier-review proposal; user-authorized item audit and Docs/WORLD_BASIS.md. No source-canon or implemented-recipe claim.</x:v>
      </x:c>
      <x:c r="P505" s="4" t="n">
        <x:f>IF(OR(C505="Ingredient candidate",C505="Consumed input",C505="Contained input",C505="Transform input"),IF(F505="T0",0,IF(F505="T1",1,IF(F505="T2",2,IF(F505="T3",3,IF(F505="T4",4,-1))))),-1)</x:f>
        <x:v>-1</x:v>
      </x:c>
      <x:c r="Q505" s="4" t="n">
        <x:f>IF(AND(OR(C505="Ingredient candidate",C505="Consumed input",C505="Contained input",C505="Transform input"),P505=-1),1,0)</x:f>
        <x:v>0</x:v>
      </x:c>
    </x:row>
    <x:row r="506" ht="115" customHeight="1">
      <x:c r="A506" s="4" t="str">
        <x:v>design.review.proposal_ceramic_spacer.in.1</x:v>
      </x:c>
      <x:c r="B506" s="4" t="str">
        <x:v>design.review.proposal_ceramic_spacer</x:v>
      </x:c>
      <x:c r="C506" s="4" t="str">
        <x:v>Ingredient candidate</x:v>
      </x:c>
      <x:c r="D506" s="4" t="str">
        <x:v>proposal.natural.ceramic</x:v>
      </x:c>
      <x:c r="E506" s="4" t="str">
        <x:f>IFERROR(INDEX('Items'!$B$6:$B$1005,MATCH(D506,'Items'!$A$6:$A$1005,0)),"MISSING ID")</x:f>
        <x:v>Insulating ceramic blanks</x:v>
      </x:c>
      <x:c r="F506" s="4" t="str">
        <x:f>IFERROR(INDEX('Items'!$C$6:$C$1005,MATCH(D506,'Items'!$A$6:$A$1005,0)),"MISSING ID")</x:f>
        <x:v>T2</x:v>
      </x:c>
      <x:c r="G506" s="4" t="str">
        <x:f>IFERROR(INDEX('Items'!$D$6:$D$1005,MATCH(D506,'Items'!$A$6:$A$1005,0)),"MISSING ID")</x:f>
        <x:v>Manufactured stock</x:v>
      </x:c>
      <x:c r="H506" s="4" t="str">
        <x:f>IFERROR(INDEX('Items'!$X$6:$X$1005,MATCH(D506,'Items'!$A$6:$A$1005,0)),"MISSING ID")</x:f>
        <x:v>Processed material</x:v>
      </x:c>
      <x:c r="I506" s="4"/>
      <x:c r="J506" s="4" t="str">
        <x:v>Unspecified</x:v>
      </x:c>
      <x:c r="K506" s="4" t="str">
        <x:f>IFERROR(INDEX('Crafting recipes'!$D$6:$D$1005,MATCH(B506,'Crafting recipes'!$A$6:$A$1005,0)),"MISSING ID")</x:f>
        <x:v>Proposal</x:v>
      </x:c>
      <x:c r="L506" s="4" t="str">
        <x:f>IFERROR(INDEX('Items'!$AD$6:$AD$1005,MATCH(D506,'Items'!$A$6:$A$1005,0)),"MISSING ID")</x:f>
        <x:v>Proposal</x:v>
      </x:c>
      <x:c r="M506" s="4" t="str">
        <x:f>IFERROR(INDEX('Crafting recipes'!$E$6:$E$1005,MATCH(B506,'Crafting recipes'!$A$6:$A$1005,0)),"MISSING ID")</x:f>
        <x:v>Partial proposal</x:v>
      </x:c>
      <x:c r="N506" s="4" t="str">
        <x:v>Candidate relationship only; quantity, yield and full recipe remain undefined.</x:v>
      </x:c>
      <x:c r="O506" s="4" t="str">
        <x:v>New October 15 tier-review proposal; user-authorized item audit and Docs/WORLD_BASIS.md. No source-canon or implemented-recipe claim.</x:v>
      </x:c>
      <x:c r="P506" s="4" t="n">
        <x:f>IF(OR(C506="Ingredient candidate",C506="Consumed input",C506="Contained input",C506="Transform input"),IF(F506="T0",0,IF(F506="T1",1,IF(F506="T2",2,IF(F506="T3",3,IF(F506="T4",4,-1))))),-1)</x:f>
        <x:v>2</x:v>
      </x:c>
      <x:c r="Q506" s="4" t="n">
        <x:f>IF(AND(OR(C506="Ingredient candidate",C506="Consumed input",C506="Contained input",C506="Transform input"),P506=-1),1,0)</x:f>
        <x:v>0</x:v>
      </x:c>
    </x:row>
    <x:row r="507" ht="115" customHeight="1">
      <x:c r="A507" s="4" t="str">
        <x:v>design.review.proposal_ceramic_spacer.in.2</x:v>
      </x:c>
      <x:c r="B507" s="4" t="str">
        <x:v>design.review.proposal_ceramic_spacer</x:v>
      </x:c>
      <x:c r="C507" s="4" t="str">
        <x:v>Ingredient candidate</x:v>
      </x:c>
      <x:c r="D507" s="4" t="str">
        <x:v>proposal.natural.abrasive</x:v>
      </x:c>
      <x:c r="E507" s="4" t="str">
        <x:f>IFERROR(INDEX('Items'!$B$6:$B$1005,MATCH(D507,'Items'!$A$6:$A$1005,0)),"MISSING ID")</x:f>
        <x:v>Graded abrasive grit</x:v>
      </x:c>
      <x:c r="F507" s="4" t="str">
        <x:f>IFERROR(INDEX('Items'!$C$6:$C$1005,MATCH(D507,'Items'!$A$6:$A$1005,0)),"MISSING ID")</x:f>
        <x:v>T1</x:v>
      </x:c>
      <x:c r="G507" s="4" t="str">
        <x:f>IFERROR(INDEX('Items'!$D$6:$D$1005,MATCH(D507,'Items'!$A$6:$A$1005,0)),"MISSING ID")</x:f>
        <x:v>Manufactured stock</x:v>
      </x:c>
      <x:c r="H507" s="4" t="str">
        <x:f>IFERROR(INDEX('Items'!$X$6:$X$1005,MATCH(D507,'Items'!$A$6:$A$1005,0)),"MISSING ID")</x:f>
        <x:v>Processed material</x:v>
      </x:c>
      <x:c r="I507" s="4"/>
      <x:c r="J507" s="4" t="str">
        <x:v>Unspecified</x:v>
      </x:c>
      <x:c r="K507" s="4" t="str">
        <x:f>IFERROR(INDEX('Crafting recipes'!$D$6:$D$1005,MATCH(B507,'Crafting recipes'!$A$6:$A$1005,0)),"MISSING ID")</x:f>
        <x:v>Proposal</x:v>
      </x:c>
      <x:c r="L507" s="4" t="str">
        <x:f>IFERROR(INDEX('Items'!$AD$6:$AD$1005,MATCH(D507,'Items'!$A$6:$A$1005,0)),"MISSING ID")</x:f>
        <x:v>Proposal</x:v>
      </x:c>
      <x:c r="M507" s="4" t="str">
        <x:f>IFERROR(INDEX('Crafting recipes'!$E$6:$E$1005,MATCH(B507,'Crafting recipes'!$A$6:$A$1005,0)),"MISSING ID")</x:f>
        <x:v>Partial proposal</x:v>
      </x:c>
      <x:c r="N507" s="4" t="str">
        <x:v>Candidate relationship only; quantity, yield and full recipe remain undefined.</x:v>
      </x:c>
      <x:c r="O507" s="4" t="str">
        <x:v>New October 15 tier-review proposal; user-authorized item audit and Docs/WORLD_BASIS.md. No source-canon or implemented-recipe claim.</x:v>
      </x:c>
      <x:c r="P507" s="4" t="n">
        <x:f>IF(OR(C507="Ingredient candidate",C507="Consumed input",C507="Contained input",C507="Transform input"),IF(F507="T0",0,IF(F507="T1",1,IF(F507="T2",2,IF(F507="T3",3,IF(F507="T4",4,-1))))),-1)</x:f>
        <x:v>1</x:v>
      </x:c>
      <x:c r="Q507" s="4" t="n">
        <x:f>IF(AND(OR(C507="Ingredient candidate",C507="Consumed input",C507="Contained input",C507="Transform input"),P507=-1),1,0)</x:f>
        <x:v>0</x:v>
      </x:c>
    </x:row>
    <x:row r="508" ht="115" customHeight="1">
      <x:c r="A508" s="4" t="str">
        <x:v>design.review.proposal_ceramic_spacer.out</x:v>
      </x:c>
      <x:c r="B508" s="4" t="str">
        <x:v>design.review.proposal_ceramic_spacer</x:v>
      </x:c>
      <x:c r="C508" s="4" t="str">
        <x:v>Output</x:v>
      </x:c>
      <x:c r="D508" s="4" t="str">
        <x:v>proposal.ceramic.spacer</x:v>
      </x:c>
      <x:c r="E508" s="4" t="str">
        <x:f>IFERROR(INDEX('Items'!$B$6:$B$1005,MATCH(D508,'Items'!$A$6:$A$1005,0)),"MISSING ID")</x:f>
        <x:v>Ceramic insulating spacer</x:v>
      </x:c>
      <x:c r="F508" s="4" t="str">
        <x:f>IFERROR(INDEX('Items'!$C$6:$C$1005,MATCH(D508,'Items'!$A$6:$A$1005,0)),"MISSING ID")</x:f>
        <x:v>T3</x:v>
      </x:c>
      <x:c r="G508" s="4" t="str">
        <x:f>IFERROR(INDEX('Items'!$D$6:$D$1005,MATCH(D508,'Items'!$A$6:$A$1005,0)),"MISSING ID")</x:f>
        <x:v>Crafting components</x:v>
      </x:c>
      <x:c r="H508" s="4" t="str">
        <x:f>IFERROR(INDEX('Items'!$X$6:$X$1005,MATCH(D508,'Items'!$A$6:$A$1005,0)),"MISSING ID")</x:f>
        <x:v>Crafting component</x:v>
      </x:c>
      <x:c r="I508" s="4"/>
      <x:c r="J508" s="4" t="str">
        <x:v>Unspecified</x:v>
      </x:c>
      <x:c r="K508" s="4" t="str">
        <x:f>IFERROR(INDEX('Crafting recipes'!$D$6:$D$1005,MATCH(B508,'Crafting recipes'!$A$6:$A$1005,0)),"MISSING ID")</x:f>
        <x:v>Proposal</x:v>
      </x:c>
      <x:c r="L508" s="4" t="str">
        <x:f>IFERROR(INDEX('Items'!$AD$6:$AD$1005,MATCH(D508,'Items'!$A$6:$A$1005,0)),"MISSING ID")</x:f>
        <x:v>Proposal</x:v>
      </x:c>
      <x:c r="M508" s="4" t="str">
        <x:f>IFERROR(INDEX('Crafting recipes'!$E$6:$E$1005,MATCH(B508,'Crafting recipes'!$A$6:$A$1005,0)),"MISSING ID")</x:f>
        <x:v>Partial proposal</x:v>
      </x:c>
      <x:c r="N508" s="4" t="str">
        <x:v>Candidate relationship only; quantity, yield and full recipe remain undefined.</x:v>
      </x:c>
      <x:c r="O508" s="4" t="str">
        <x:v>New October 15 tier-review proposal; user-authorized item audit and Docs/WORLD_BASIS.md. No source-canon or implemented-recipe claim.</x:v>
      </x:c>
      <x:c r="P508" s="4" t="n">
        <x:f>IF(OR(C508="Ingredient candidate",C508="Consumed input",C508="Contained input",C508="Transform input"),IF(F508="T0",0,IF(F508="T1",1,IF(F508="T2",2,IF(F508="T3",3,IF(F508="T4",4,-1))))),-1)</x:f>
        <x:v>-1</x:v>
      </x:c>
      <x:c r="Q508" s="4" t="n">
        <x:f>IF(AND(OR(C508="Ingredient candidate",C508="Consumed input",C508="Contained input",C508="Transform input"),P508=-1),1,0)</x:f>
        <x:v>0</x:v>
      </x:c>
    </x:row>
    <x:row r="509" ht="115" customHeight="1">
      <x:c r="A509" s="4" t="str">
        <x:v>design.review.proposal_ceramic_stopper.in.1</x:v>
      </x:c>
      <x:c r="B509" s="4" t="str">
        <x:v>design.review.proposal_ceramic_stopper</x:v>
      </x:c>
      <x:c r="C509" s="4" t="str">
        <x:v>Ingredient candidate</x:v>
      </x:c>
      <x:c r="D509" s="4" t="str">
        <x:v>proposal.natural.ceramic</x:v>
      </x:c>
      <x:c r="E509" s="4" t="str">
        <x:f>IFERROR(INDEX('Items'!$B$6:$B$1005,MATCH(D509,'Items'!$A$6:$A$1005,0)),"MISSING ID")</x:f>
        <x:v>Insulating ceramic blanks</x:v>
      </x:c>
      <x:c r="F509" s="4" t="str">
        <x:f>IFERROR(INDEX('Items'!$C$6:$C$1005,MATCH(D509,'Items'!$A$6:$A$1005,0)),"MISSING ID")</x:f>
        <x:v>T2</x:v>
      </x:c>
      <x:c r="G509" s="4" t="str">
        <x:f>IFERROR(INDEX('Items'!$D$6:$D$1005,MATCH(D509,'Items'!$A$6:$A$1005,0)),"MISSING ID")</x:f>
        <x:v>Manufactured stock</x:v>
      </x:c>
      <x:c r="H509" s="4" t="str">
        <x:f>IFERROR(INDEX('Items'!$X$6:$X$1005,MATCH(D509,'Items'!$A$6:$A$1005,0)),"MISSING ID")</x:f>
        <x:v>Processed material</x:v>
      </x:c>
      <x:c r="I509" s="4"/>
      <x:c r="J509" s="4" t="str">
        <x:v>Unspecified</x:v>
      </x:c>
      <x:c r="K509" s="4" t="str">
        <x:f>IFERROR(INDEX('Crafting recipes'!$D$6:$D$1005,MATCH(B509,'Crafting recipes'!$A$6:$A$1005,0)),"MISSING ID")</x:f>
        <x:v>Proposal</x:v>
      </x:c>
      <x:c r="L509" s="4" t="str">
        <x:f>IFERROR(INDEX('Items'!$AD$6:$AD$1005,MATCH(D509,'Items'!$A$6:$A$1005,0)),"MISSING ID")</x:f>
        <x:v>Proposal</x:v>
      </x:c>
      <x:c r="M509" s="4" t="str">
        <x:f>IFERROR(INDEX('Crafting recipes'!$E$6:$E$1005,MATCH(B509,'Crafting recipes'!$A$6:$A$1005,0)),"MISSING ID")</x:f>
        <x:v>Partial proposal</x:v>
      </x:c>
      <x:c r="N509" s="4" t="str">
        <x:v>Candidate relationship only; quantity, yield and full recipe remain undefined.</x:v>
      </x:c>
      <x:c r="O509" s="4" t="str">
        <x:v>New October 15 tier-review proposal; user-authorized item audit and Docs/WORLD_BASIS.md. No source-canon or implemented-recipe claim.</x:v>
      </x:c>
      <x:c r="P509" s="4" t="n">
        <x:f>IF(OR(C509="Ingredient candidate",C509="Consumed input",C509="Contained input",C509="Transform input"),IF(F509="T0",0,IF(F509="T1",1,IF(F509="T2",2,IF(F509="T3",3,IF(F509="T4",4,-1))))),-1)</x:f>
        <x:v>2</x:v>
      </x:c>
      <x:c r="Q509" s="4" t="n">
        <x:f>IF(AND(OR(C509="Ingredient candidate",C509="Consumed input",C509="Contained input",C509="Transform input"),P509=-1),1,0)</x:f>
        <x:v>0</x:v>
      </x:c>
    </x:row>
    <x:row r="510" ht="115" customHeight="1">
      <x:c r="A510" s="4" t="str">
        <x:v>design.review.proposal_ceramic_stopper.in.2</x:v>
      </x:c>
      <x:c r="B510" s="4" t="str">
        <x:v>design.review.proposal_ceramic_stopper</x:v>
      </x:c>
      <x:c r="C510" s="4" t="str">
        <x:v>Ingredient candidate</x:v>
      </x:c>
      <x:c r="D510" s="4" t="str">
        <x:v>proposal.natural.abrasive</x:v>
      </x:c>
      <x:c r="E510" s="4" t="str">
        <x:f>IFERROR(INDEX('Items'!$B$6:$B$1005,MATCH(D510,'Items'!$A$6:$A$1005,0)),"MISSING ID")</x:f>
        <x:v>Graded abrasive grit</x:v>
      </x:c>
      <x:c r="F510" s="4" t="str">
        <x:f>IFERROR(INDEX('Items'!$C$6:$C$1005,MATCH(D510,'Items'!$A$6:$A$1005,0)),"MISSING ID")</x:f>
        <x:v>T1</x:v>
      </x:c>
      <x:c r="G510" s="4" t="str">
        <x:f>IFERROR(INDEX('Items'!$D$6:$D$1005,MATCH(D510,'Items'!$A$6:$A$1005,0)),"MISSING ID")</x:f>
        <x:v>Manufactured stock</x:v>
      </x:c>
      <x:c r="H510" s="4" t="str">
        <x:f>IFERROR(INDEX('Items'!$X$6:$X$1005,MATCH(D510,'Items'!$A$6:$A$1005,0)),"MISSING ID")</x:f>
        <x:v>Processed material</x:v>
      </x:c>
      <x:c r="I510" s="4"/>
      <x:c r="J510" s="4" t="str">
        <x:v>Unspecified</x:v>
      </x:c>
      <x:c r="K510" s="4" t="str">
        <x:f>IFERROR(INDEX('Crafting recipes'!$D$6:$D$1005,MATCH(B510,'Crafting recipes'!$A$6:$A$1005,0)),"MISSING ID")</x:f>
        <x:v>Proposal</x:v>
      </x:c>
      <x:c r="L510" s="4" t="str">
        <x:f>IFERROR(INDEX('Items'!$AD$6:$AD$1005,MATCH(D510,'Items'!$A$6:$A$1005,0)),"MISSING ID")</x:f>
        <x:v>Proposal</x:v>
      </x:c>
      <x:c r="M510" s="4" t="str">
        <x:f>IFERROR(INDEX('Crafting recipes'!$E$6:$E$1005,MATCH(B510,'Crafting recipes'!$A$6:$A$1005,0)),"MISSING ID")</x:f>
        <x:v>Partial proposal</x:v>
      </x:c>
      <x:c r="N510" s="4" t="str">
        <x:v>Candidate relationship only; quantity, yield and full recipe remain undefined.</x:v>
      </x:c>
      <x:c r="O510" s="4" t="str">
        <x:v>New October 15 tier-review proposal; user-authorized item audit and Docs/WORLD_BASIS.md. No source-canon or implemented-recipe claim.</x:v>
      </x:c>
      <x:c r="P510" s="4" t="n">
        <x:f>IF(OR(C510="Ingredient candidate",C510="Consumed input",C510="Contained input",C510="Transform input"),IF(F510="T0",0,IF(F510="T1",1,IF(F510="T2",2,IF(F510="T3",3,IF(F510="T4",4,-1))))),-1)</x:f>
        <x:v>1</x:v>
      </x:c>
      <x:c r="Q510" s="4" t="n">
        <x:f>IF(AND(OR(C510="Ingredient candidate",C510="Consumed input",C510="Contained input",C510="Transform input"),P510=-1),1,0)</x:f>
        <x:v>0</x:v>
      </x:c>
    </x:row>
    <x:row r="511" ht="115" customHeight="1">
      <x:c r="A511" s="4" t="str">
        <x:v>design.review.proposal_ceramic_stopper.out</x:v>
      </x:c>
      <x:c r="B511" s="4" t="str">
        <x:v>design.review.proposal_ceramic_stopper</x:v>
      </x:c>
      <x:c r="C511" s="4" t="str">
        <x:v>Output</x:v>
      </x:c>
      <x:c r="D511" s="4" t="str">
        <x:v>proposal.ceramic.stopper</x:v>
      </x:c>
      <x:c r="E511" s="4" t="str">
        <x:f>IFERROR(INDEX('Items'!$B$6:$B$1005,MATCH(D511,'Items'!$A$6:$A$1005,0)),"MISSING ID")</x:f>
        <x:v>Fitted ceramic stopper</x:v>
      </x:c>
      <x:c r="F511" s="4" t="str">
        <x:f>IFERROR(INDEX('Items'!$C$6:$C$1005,MATCH(D511,'Items'!$A$6:$A$1005,0)),"MISSING ID")</x:f>
        <x:v>T3</x:v>
      </x:c>
      <x:c r="G511" s="4" t="str">
        <x:f>IFERROR(INDEX('Items'!$D$6:$D$1005,MATCH(D511,'Items'!$A$6:$A$1005,0)),"MISSING ID")</x:f>
        <x:v>Crafting components</x:v>
      </x:c>
      <x:c r="H511" s="4" t="str">
        <x:f>IFERROR(INDEX('Items'!$X$6:$X$1005,MATCH(D511,'Items'!$A$6:$A$1005,0)),"MISSING ID")</x:f>
        <x:v>Container part</x:v>
      </x:c>
      <x:c r="I511" s="4"/>
      <x:c r="J511" s="4" t="str">
        <x:v>Unspecified</x:v>
      </x:c>
      <x:c r="K511" s="4" t="str">
        <x:f>IFERROR(INDEX('Crafting recipes'!$D$6:$D$1005,MATCH(B511,'Crafting recipes'!$A$6:$A$1005,0)),"MISSING ID")</x:f>
        <x:v>Proposal</x:v>
      </x:c>
      <x:c r="L511" s="4" t="str">
        <x:f>IFERROR(INDEX('Items'!$AD$6:$AD$1005,MATCH(D511,'Items'!$A$6:$A$1005,0)),"MISSING ID")</x:f>
        <x:v>Proposal</x:v>
      </x:c>
      <x:c r="M511" s="4" t="str">
        <x:f>IFERROR(INDEX('Crafting recipes'!$E$6:$E$1005,MATCH(B511,'Crafting recipes'!$A$6:$A$1005,0)),"MISSING ID")</x:f>
        <x:v>Partial proposal</x:v>
      </x:c>
      <x:c r="N511" s="4" t="str">
        <x:v>Candidate relationship only; quantity, yield and full recipe remain undefined.</x:v>
      </x:c>
      <x:c r="O511" s="4" t="str">
        <x:v>New October 15 tier-review proposal; user-authorized item audit and Docs/WORLD_BASIS.md. No source-canon or implemented-recipe claim.</x:v>
      </x:c>
      <x:c r="P511" s="4" t="n">
        <x:f>IF(OR(C511="Ingredient candidate",C511="Consumed input",C511="Contained input",C511="Transform input"),IF(F511="T0",0,IF(F511="T1",1,IF(F511="T2",2,IF(F511="T3",3,IF(F511="T4",4,-1))))),-1)</x:f>
        <x:v>-1</x:v>
      </x:c>
      <x:c r="Q511" s="4" t="n">
        <x:f>IF(AND(OR(C511="Ingredient candidate",C511="Consumed input",C511="Contained input",C511="Transform input"),P511=-1),1,0)</x:f>
        <x:v>0</x:v>
      </x:c>
    </x:row>
    <x:row r="512" ht="115" customHeight="1">
      <x:c r="A512" s="4" t="str">
        <x:v>design.review.proposal_ceramic_lid.in.1</x:v>
      </x:c>
      <x:c r="B512" s="4" t="str">
        <x:v>design.review.proposal_ceramic_lid</x:v>
      </x:c>
      <x:c r="C512" s="4" t="str">
        <x:v>Ingredient candidate</x:v>
      </x:c>
      <x:c r="D512" s="4" t="str">
        <x:v>proposal.natural.ceramic</x:v>
      </x:c>
      <x:c r="E512" s="4" t="str">
        <x:f>IFERROR(INDEX('Items'!$B$6:$B$1005,MATCH(D512,'Items'!$A$6:$A$1005,0)),"MISSING ID")</x:f>
        <x:v>Insulating ceramic blanks</x:v>
      </x:c>
      <x:c r="F512" s="4" t="str">
        <x:f>IFERROR(INDEX('Items'!$C$6:$C$1005,MATCH(D512,'Items'!$A$6:$A$1005,0)),"MISSING ID")</x:f>
        <x:v>T2</x:v>
      </x:c>
      <x:c r="G512" s="4" t="str">
        <x:f>IFERROR(INDEX('Items'!$D$6:$D$1005,MATCH(D512,'Items'!$A$6:$A$1005,0)),"MISSING ID")</x:f>
        <x:v>Manufactured stock</x:v>
      </x:c>
      <x:c r="H512" s="4" t="str">
        <x:f>IFERROR(INDEX('Items'!$X$6:$X$1005,MATCH(D512,'Items'!$A$6:$A$1005,0)),"MISSING ID")</x:f>
        <x:v>Processed material</x:v>
      </x:c>
      <x:c r="I512" s="4"/>
      <x:c r="J512" s="4" t="str">
        <x:v>Unspecified</x:v>
      </x:c>
      <x:c r="K512" s="4" t="str">
        <x:f>IFERROR(INDEX('Crafting recipes'!$D$6:$D$1005,MATCH(B512,'Crafting recipes'!$A$6:$A$1005,0)),"MISSING ID")</x:f>
        <x:v>Proposal</x:v>
      </x:c>
      <x:c r="L512" s="4" t="str">
        <x:f>IFERROR(INDEX('Items'!$AD$6:$AD$1005,MATCH(D512,'Items'!$A$6:$A$1005,0)),"MISSING ID")</x:f>
        <x:v>Proposal</x:v>
      </x:c>
      <x:c r="M512" s="4" t="str">
        <x:f>IFERROR(INDEX('Crafting recipes'!$E$6:$E$1005,MATCH(B512,'Crafting recipes'!$A$6:$A$1005,0)),"MISSING ID")</x:f>
        <x:v>Partial proposal</x:v>
      </x:c>
      <x:c r="N512" s="4" t="str">
        <x:v>Candidate relationship only; quantity, yield and full recipe remain undefined.</x:v>
      </x:c>
      <x:c r="O512" s="4" t="str">
        <x:v>New October 15 tier-review proposal; user-authorized item audit and Docs/WORLD_BASIS.md. No source-canon or implemented-recipe claim.</x:v>
      </x:c>
      <x:c r="P512" s="4" t="n">
        <x:f>IF(OR(C512="Ingredient candidate",C512="Consumed input",C512="Contained input",C512="Transform input"),IF(F512="T0",0,IF(F512="T1",1,IF(F512="T2",2,IF(F512="T3",3,IF(F512="T4",4,-1))))),-1)</x:f>
        <x:v>2</x:v>
      </x:c>
      <x:c r="Q512" s="4" t="n">
        <x:f>IF(AND(OR(C512="Ingredient candidate",C512="Consumed input",C512="Contained input",C512="Transform input"),P512=-1),1,0)</x:f>
        <x:v>0</x:v>
      </x:c>
    </x:row>
    <x:row r="513" ht="115" customHeight="1">
      <x:c r="A513" s="4" t="str">
        <x:v>design.review.proposal_ceramic_lid.in.2</x:v>
      </x:c>
      <x:c r="B513" s="4" t="str">
        <x:v>design.review.proposal_ceramic_lid</x:v>
      </x:c>
      <x:c r="C513" s="4" t="str">
        <x:v>Ingredient candidate</x:v>
      </x:c>
      <x:c r="D513" s="4" t="str">
        <x:v>proposal.natural.abrasive</x:v>
      </x:c>
      <x:c r="E513" s="4" t="str">
        <x:f>IFERROR(INDEX('Items'!$B$6:$B$1005,MATCH(D513,'Items'!$A$6:$A$1005,0)),"MISSING ID")</x:f>
        <x:v>Graded abrasive grit</x:v>
      </x:c>
      <x:c r="F513" s="4" t="str">
        <x:f>IFERROR(INDEX('Items'!$C$6:$C$1005,MATCH(D513,'Items'!$A$6:$A$1005,0)),"MISSING ID")</x:f>
        <x:v>T1</x:v>
      </x:c>
      <x:c r="G513" s="4" t="str">
        <x:f>IFERROR(INDEX('Items'!$D$6:$D$1005,MATCH(D513,'Items'!$A$6:$A$1005,0)),"MISSING ID")</x:f>
        <x:v>Manufactured stock</x:v>
      </x:c>
      <x:c r="H513" s="4" t="str">
        <x:f>IFERROR(INDEX('Items'!$X$6:$X$1005,MATCH(D513,'Items'!$A$6:$A$1005,0)),"MISSING ID")</x:f>
        <x:v>Processed material</x:v>
      </x:c>
      <x:c r="I513" s="4"/>
      <x:c r="J513" s="4" t="str">
        <x:v>Unspecified</x:v>
      </x:c>
      <x:c r="K513" s="4" t="str">
        <x:f>IFERROR(INDEX('Crafting recipes'!$D$6:$D$1005,MATCH(B513,'Crafting recipes'!$A$6:$A$1005,0)),"MISSING ID")</x:f>
        <x:v>Proposal</x:v>
      </x:c>
      <x:c r="L513" s="4" t="str">
        <x:f>IFERROR(INDEX('Items'!$AD$6:$AD$1005,MATCH(D513,'Items'!$A$6:$A$1005,0)),"MISSING ID")</x:f>
        <x:v>Proposal</x:v>
      </x:c>
      <x:c r="M513" s="4" t="str">
        <x:f>IFERROR(INDEX('Crafting recipes'!$E$6:$E$1005,MATCH(B513,'Crafting recipes'!$A$6:$A$1005,0)),"MISSING ID")</x:f>
        <x:v>Partial proposal</x:v>
      </x:c>
      <x:c r="N513" s="4" t="str">
        <x:v>Candidate relationship only; quantity, yield and full recipe remain undefined.</x:v>
      </x:c>
      <x:c r="O513" s="4" t="str">
        <x:v>New October 15 tier-review proposal; user-authorized item audit and Docs/WORLD_BASIS.md. No source-canon or implemented-recipe claim.</x:v>
      </x:c>
      <x:c r="P513" s="4" t="n">
        <x:f>IF(OR(C513="Ingredient candidate",C513="Consumed input",C513="Contained input",C513="Transform input"),IF(F513="T0",0,IF(F513="T1",1,IF(F513="T2",2,IF(F513="T3",3,IF(F513="T4",4,-1))))),-1)</x:f>
        <x:v>1</x:v>
      </x:c>
      <x:c r="Q513" s="4" t="n">
        <x:f>IF(AND(OR(C513="Ingredient candidate",C513="Consumed input",C513="Contained input",C513="Transform input"),P513=-1),1,0)</x:f>
        <x:v>0</x:v>
      </x:c>
    </x:row>
    <x:row r="514" ht="115" customHeight="1">
      <x:c r="A514" s="4" t="str">
        <x:v>design.review.proposal_ceramic_lid.out</x:v>
      </x:c>
      <x:c r="B514" s="4" t="str">
        <x:v>design.review.proposal_ceramic_lid</x:v>
      </x:c>
      <x:c r="C514" s="4" t="str">
        <x:v>Output</x:v>
      </x:c>
      <x:c r="D514" s="4" t="str">
        <x:v>proposal.ceramic.lid</x:v>
      </x:c>
      <x:c r="E514" s="4" t="str">
        <x:f>IFERROR(INDEX('Items'!$B$6:$B$1005,MATCH(D514,'Items'!$A$6:$A$1005,0)),"MISSING ID")</x:f>
        <x:v>Ceramic vessel lid</x:v>
      </x:c>
      <x:c r="F514" s="4" t="str">
        <x:f>IFERROR(INDEX('Items'!$C$6:$C$1005,MATCH(D514,'Items'!$A$6:$A$1005,0)),"MISSING ID")</x:f>
        <x:v>T3</x:v>
      </x:c>
      <x:c r="G514" s="4" t="str">
        <x:f>IFERROR(INDEX('Items'!$D$6:$D$1005,MATCH(D514,'Items'!$A$6:$A$1005,0)),"MISSING ID")</x:f>
        <x:v>Crafting components</x:v>
      </x:c>
      <x:c r="H514" s="4" t="str">
        <x:f>IFERROR(INDEX('Items'!$X$6:$X$1005,MATCH(D514,'Items'!$A$6:$A$1005,0)),"MISSING ID")</x:f>
        <x:v>Container part</x:v>
      </x:c>
      <x:c r="I514" s="4"/>
      <x:c r="J514" s="4" t="str">
        <x:v>Unspecified</x:v>
      </x:c>
      <x:c r="K514" s="4" t="str">
        <x:f>IFERROR(INDEX('Crafting recipes'!$D$6:$D$1005,MATCH(B514,'Crafting recipes'!$A$6:$A$1005,0)),"MISSING ID")</x:f>
        <x:v>Proposal</x:v>
      </x:c>
      <x:c r="L514" s="4" t="str">
        <x:f>IFERROR(INDEX('Items'!$AD$6:$AD$1005,MATCH(D514,'Items'!$A$6:$A$1005,0)),"MISSING ID")</x:f>
        <x:v>Proposal</x:v>
      </x:c>
      <x:c r="M514" s="4" t="str">
        <x:f>IFERROR(INDEX('Crafting recipes'!$E$6:$E$1005,MATCH(B514,'Crafting recipes'!$A$6:$A$1005,0)),"MISSING ID")</x:f>
        <x:v>Partial proposal</x:v>
      </x:c>
      <x:c r="N514" s="4" t="str">
        <x:v>Candidate relationship only; quantity, yield and full recipe remain undefined.</x:v>
      </x:c>
      <x:c r="O514" s="4" t="str">
        <x:v>New October 15 tier-review proposal; user-authorized item audit and Docs/WORLD_BASIS.md. No source-canon or implemented-recipe claim.</x:v>
      </x:c>
      <x:c r="P514" s="4" t="n">
        <x:f>IF(OR(C514="Ingredient candidate",C514="Consumed input",C514="Contained input",C514="Transform input"),IF(F514="T0",0,IF(F514="T1",1,IF(F514="T2",2,IF(F514="T3",3,IF(F514="T4",4,-1))))),-1)</x:f>
        <x:v>-1</x:v>
      </x:c>
      <x:c r="Q514" s="4" t="n">
        <x:f>IF(AND(OR(C514="Ingredient candidate",C514="Consumed input",C514="Contained input",C514="Transform input"),P514=-1),1,0)</x:f>
        <x:v>0</x:v>
      </x:c>
    </x:row>
    <x:row r="515" ht="115" customHeight="1">
      <x:c r="A515" s="4" t="str">
        <x:v>design.review.proposal_ceramic_pour_spout.in.1</x:v>
      </x:c>
      <x:c r="B515" s="4" t="str">
        <x:v>design.review.proposal_ceramic_pour_spout</x:v>
      </x:c>
      <x:c r="C515" s="4" t="str">
        <x:v>Ingredient candidate</x:v>
      </x:c>
      <x:c r="D515" s="4" t="str">
        <x:v>proposal.natural.ceramic</x:v>
      </x:c>
      <x:c r="E515" s="4" t="str">
        <x:f>IFERROR(INDEX('Items'!$B$6:$B$1005,MATCH(D515,'Items'!$A$6:$A$1005,0)),"MISSING ID")</x:f>
        <x:v>Insulating ceramic blanks</x:v>
      </x:c>
      <x:c r="F515" s="4" t="str">
        <x:f>IFERROR(INDEX('Items'!$C$6:$C$1005,MATCH(D515,'Items'!$A$6:$A$1005,0)),"MISSING ID")</x:f>
        <x:v>T2</x:v>
      </x:c>
      <x:c r="G515" s="4" t="str">
        <x:f>IFERROR(INDEX('Items'!$D$6:$D$1005,MATCH(D515,'Items'!$A$6:$A$1005,0)),"MISSING ID")</x:f>
        <x:v>Manufactured stock</x:v>
      </x:c>
      <x:c r="H515" s="4" t="str">
        <x:f>IFERROR(INDEX('Items'!$X$6:$X$1005,MATCH(D515,'Items'!$A$6:$A$1005,0)),"MISSING ID")</x:f>
        <x:v>Processed material</x:v>
      </x:c>
      <x:c r="I515" s="4"/>
      <x:c r="J515" s="4" t="str">
        <x:v>Unspecified</x:v>
      </x:c>
      <x:c r="K515" s="4" t="str">
        <x:f>IFERROR(INDEX('Crafting recipes'!$D$6:$D$1005,MATCH(B515,'Crafting recipes'!$A$6:$A$1005,0)),"MISSING ID")</x:f>
        <x:v>Proposal</x:v>
      </x:c>
      <x:c r="L515" s="4" t="str">
        <x:f>IFERROR(INDEX('Items'!$AD$6:$AD$1005,MATCH(D515,'Items'!$A$6:$A$1005,0)),"MISSING ID")</x:f>
        <x:v>Proposal</x:v>
      </x:c>
      <x:c r="M515" s="4" t="str">
        <x:f>IFERROR(INDEX('Crafting recipes'!$E$6:$E$1005,MATCH(B515,'Crafting recipes'!$A$6:$A$1005,0)),"MISSING ID")</x:f>
        <x:v>Partial proposal</x:v>
      </x:c>
      <x:c r="N515" s="4" t="str">
        <x:v>Candidate relationship only; quantity, yield and full recipe remain undefined.</x:v>
      </x:c>
      <x:c r="O515" s="4" t="str">
        <x:v>New October 15 tier-review proposal; user-authorized item audit and Docs/WORLD_BASIS.md. No source-canon or implemented-recipe claim.</x:v>
      </x:c>
      <x:c r="P515" s="4" t="n">
        <x:f>IF(OR(C515="Ingredient candidate",C515="Consumed input",C515="Contained input",C515="Transform input"),IF(F515="T0",0,IF(F515="T1",1,IF(F515="T2",2,IF(F515="T3",3,IF(F515="T4",4,-1))))),-1)</x:f>
        <x:v>2</x:v>
      </x:c>
      <x:c r="Q515" s="4" t="n">
        <x:f>IF(AND(OR(C515="Ingredient candidate",C515="Consumed input",C515="Contained input",C515="Transform input"),P515=-1),1,0)</x:f>
        <x:v>0</x:v>
      </x:c>
    </x:row>
    <x:row r="516" ht="115" customHeight="1">
      <x:c r="A516" s="4" t="str">
        <x:v>design.review.proposal_ceramic_pour_spout.in.2</x:v>
      </x:c>
      <x:c r="B516" s="4" t="str">
        <x:v>design.review.proposal_ceramic_pour_spout</x:v>
      </x:c>
      <x:c r="C516" s="4" t="str">
        <x:v>Ingredient candidate</x:v>
      </x:c>
      <x:c r="D516" s="4" t="str">
        <x:v>proposal.natural.abrasive</x:v>
      </x:c>
      <x:c r="E516" s="4" t="str">
        <x:f>IFERROR(INDEX('Items'!$B$6:$B$1005,MATCH(D516,'Items'!$A$6:$A$1005,0)),"MISSING ID")</x:f>
        <x:v>Graded abrasive grit</x:v>
      </x:c>
      <x:c r="F516" s="4" t="str">
        <x:f>IFERROR(INDEX('Items'!$C$6:$C$1005,MATCH(D516,'Items'!$A$6:$A$1005,0)),"MISSING ID")</x:f>
        <x:v>T1</x:v>
      </x:c>
      <x:c r="G516" s="4" t="str">
        <x:f>IFERROR(INDEX('Items'!$D$6:$D$1005,MATCH(D516,'Items'!$A$6:$A$1005,0)),"MISSING ID")</x:f>
        <x:v>Manufactured stock</x:v>
      </x:c>
      <x:c r="H516" s="4" t="str">
        <x:f>IFERROR(INDEX('Items'!$X$6:$X$1005,MATCH(D516,'Items'!$A$6:$A$1005,0)),"MISSING ID")</x:f>
        <x:v>Processed material</x:v>
      </x:c>
      <x:c r="I516" s="4"/>
      <x:c r="J516" s="4" t="str">
        <x:v>Unspecified</x:v>
      </x:c>
      <x:c r="K516" s="4" t="str">
        <x:f>IFERROR(INDEX('Crafting recipes'!$D$6:$D$1005,MATCH(B516,'Crafting recipes'!$A$6:$A$1005,0)),"MISSING ID")</x:f>
        <x:v>Proposal</x:v>
      </x:c>
      <x:c r="L516" s="4" t="str">
        <x:f>IFERROR(INDEX('Items'!$AD$6:$AD$1005,MATCH(D516,'Items'!$A$6:$A$1005,0)),"MISSING ID")</x:f>
        <x:v>Proposal</x:v>
      </x:c>
      <x:c r="M516" s="4" t="str">
        <x:f>IFERROR(INDEX('Crafting recipes'!$E$6:$E$1005,MATCH(B516,'Crafting recipes'!$A$6:$A$1005,0)),"MISSING ID")</x:f>
        <x:v>Partial proposal</x:v>
      </x:c>
      <x:c r="N516" s="4" t="str">
        <x:v>Candidate relationship only; quantity, yield and full recipe remain undefined.</x:v>
      </x:c>
      <x:c r="O516" s="4" t="str">
        <x:v>New October 15 tier-review proposal; user-authorized item audit and Docs/WORLD_BASIS.md. No source-canon or implemented-recipe claim.</x:v>
      </x:c>
      <x:c r="P516" s="4" t="n">
        <x:f>IF(OR(C516="Ingredient candidate",C516="Consumed input",C516="Contained input",C516="Transform input"),IF(F516="T0",0,IF(F516="T1",1,IF(F516="T2",2,IF(F516="T3",3,IF(F516="T4",4,-1))))),-1)</x:f>
        <x:v>1</x:v>
      </x:c>
      <x:c r="Q516" s="4" t="n">
        <x:f>IF(AND(OR(C516="Ingredient candidate",C516="Consumed input",C516="Contained input",C516="Transform input"),P516=-1),1,0)</x:f>
        <x:v>0</x:v>
      </x:c>
    </x:row>
    <x:row r="517" ht="115" customHeight="1">
      <x:c r="A517" s="4" t="str">
        <x:v>design.review.proposal_ceramic_pour_spout.out</x:v>
      </x:c>
      <x:c r="B517" s="4" t="str">
        <x:v>design.review.proposal_ceramic_pour_spout</x:v>
      </x:c>
      <x:c r="C517" s="4" t="str">
        <x:v>Output</x:v>
      </x:c>
      <x:c r="D517" s="4" t="str">
        <x:v>proposal.ceramic.pour_spout</x:v>
      </x:c>
      <x:c r="E517" s="4" t="str">
        <x:f>IFERROR(INDEX('Items'!$B$6:$B$1005,MATCH(D517,'Items'!$A$6:$A$1005,0)),"MISSING ID")</x:f>
        <x:v>Ceramic pouring spout</x:v>
      </x:c>
      <x:c r="F517" s="4" t="str">
        <x:f>IFERROR(INDEX('Items'!$C$6:$C$1005,MATCH(D517,'Items'!$A$6:$A$1005,0)),"MISSING ID")</x:f>
        <x:v>T3</x:v>
      </x:c>
      <x:c r="G517" s="4" t="str">
        <x:f>IFERROR(INDEX('Items'!$D$6:$D$1005,MATCH(D517,'Items'!$A$6:$A$1005,0)),"MISSING ID")</x:f>
        <x:v>Crafting components</x:v>
      </x:c>
      <x:c r="H517" s="4" t="str">
        <x:f>IFERROR(INDEX('Items'!$X$6:$X$1005,MATCH(D517,'Items'!$A$6:$A$1005,0)),"MISSING ID")</x:f>
        <x:v>Container part</x:v>
      </x:c>
      <x:c r="I517" s="4"/>
      <x:c r="J517" s="4" t="str">
        <x:v>Unspecified</x:v>
      </x:c>
      <x:c r="K517" s="4" t="str">
        <x:f>IFERROR(INDEX('Crafting recipes'!$D$6:$D$1005,MATCH(B517,'Crafting recipes'!$A$6:$A$1005,0)),"MISSING ID")</x:f>
        <x:v>Proposal</x:v>
      </x:c>
      <x:c r="L517" s="4" t="str">
        <x:f>IFERROR(INDEX('Items'!$AD$6:$AD$1005,MATCH(D517,'Items'!$A$6:$A$1005,0)),"MISSING ID")</x:f>
        <x:v>Proposal</x:v>
      </x:c>
      <x:c r="M517" s="4" t="str">
        <x:f>IFERROR(INDEX('Crafting recipes'!$E$6:$E$1005,MATCH(B517,'Crafting recipes'!$A$6:$A$1005,0)),"MISSING ID")</x:f>
        <x:v>Partial proposal</x:v>
      </x:c>
      <x:c r="N517" s="4" t="str">
        <x:v>Candidate relationship only; quantity, yield and full recipe remain undefined.</x:v>
      </x:c>
      <x:c r="O517" s="4" t="str">
        <x:v>New October 15 tier-review proposal; user-authorized item audit and Docs/WORLD_BASIS.md. No source-canon or implemented-recipe claim.</x:v>
      </x:c>
      <x:c r="P517" s="4" t="n">
        <x:f>IF(OR(C517="Ingredient candidate",C517="Consumed input",C517="Contained input",C517="Transform input"),IF(F517="T0",0,IF(F517="T1",1,IF(F517="T2",2,IF(F517="T3",3,IF(F517="T4",4,-1))))),-1)</x:f>
        <x:v>-1</x:v>
      </x:c>
      <x:c r="Q517" s="4" t="n">
        <x:f>IF(AND(OR(C517="Ingredient candidate",C517="Consumed input",C517="Contained input",C517="Transform input"),P517=-1),1,0)</x:f>
        <x:v>0</x:v>
      </x:c>
    </x:row>
    <x:row r="518" ht="115" customHeight="1">
      <x:c r="A518" s="4" t="str">
        <x:v>design.review.proposal_ceramic_conduit.in.1</x:v>
      </x:c>
      <x:c r="B518" s="4" t="str">
        <x:v>design.review.proposal_ceramic_conduit</x:v>
      </x:c>
      <x:c r="C518" s="4" t="str">
        <x:v>Ingredient candidate</x:v>
      </x:c>
      <x:c r="D518" s="4" t="str">
        <x:v>proposal.natural.ceramic</x:v>
      </x:c>
      <x:c r="E518" s="4" t="str">
        <x:f>IFERROR(INDEX('Items'!$B$6:$B$1005,MATCH(D518,'Items'!$A$6:$A$1005,0)),"MISSING ID")</x:f>
        <x:v>Insulating ceramic blanks</x:v>
      </x:c>
      <x:c r="F518" s="4" t="str">
        <x:f>IFERROR(INDEX('Items'!$C$6:$C$1005,MATCH(D518,'Items'!$A$6:$A$1005,0)),"MISSING ID")</x:f>
        <x:v>T2</x:v>
      </x:c>
      <x:c r="G518" s="4" t="str">
        <x:f>IFERROR(INDEX('Items'!$D$6:$D$1005,MATCH(D518,'Items'!$A$6:$A$1005,0)),"MISSING ID")</x:f>
        <x:v>Manufactured stock</x:v>
      </x:c>
      <x:c r="H518" s="4" t="str">
        <x:f>IFERROR(INDEX('Items'!$X$6:$X$1005,MATCH(D518,'Items'!$A$6:$A$1005,0)),"MISSING ID")</x:f>
        <x:v>Processed material</x:v>
      </x:c>
      <x:c r="I518" s="4"/>
      <x:c r="J518" s="4" t="str">
        <x:v>Unspecified</x:v>
      </x:c>
      <x:c r="K518" s="4" t="str">
        <x:f>IFERROR(INDEX('Crafting recipes'!$D$6:$D$1005,MATCH(B518,'Crafting recipes'!$A$6:$A$1005,0)),"MISSING ID")</x:f>
        <x:v>Proposal</x:v>
      </x:c>
      <x:c r="L518" s="4" t="str">
        <x:f>IFERROR(INDEX('Items'!$AD$6:$AD$1005,MATCH(D518,'Items'!$A$6:$A$1005,0)),"MISSING ID")</x:f>
        <x:v>Proposal</x:v>
      </x:c>
      <x:c r="M518" s="4" t="str">
        <x:f>IFERROR(INDEX('Crafting recipes'!$E$6:$E$1005,MATCH(B518,'Crafting recipes'!$A$6:$A$1005,0)),"MISSING ID")</x:f>
        <x:v>Partial proposal</x:v>
      </x:c>
      <x:c r="N518" s="4" t="str">
        <x:v>Candidate relationship only; quantity, yield and full recipe remain undefined.</x:v>
      </x:c>
      <x:c r="O518" s="4" t="str">
        <x:v>New October 15 tier-review proposal; user-authorized item audit and Docs/WORLD_BASIS.md. No source-canon or implemented-recipe claim.</x:v>
      </x:c>
      <x:c r="P518" s="4" t="n">
        <x:f>IF(OR(C518="Ingredient candidate",C518="Consumed input",C518="Contained input",C518="Transform input"),IF(F518="T0",0,IF(F518="T1",1,IF(F518="T2",2,IF(F518="T3",3,IF(F518="T4",4,-1))))),-1)</x:f>
        <x:v>2</x:v>
      </x:c>
      <x:c r="Q518" s="4" t="n">
        <x:f>IF(AND(OR(C518="Ingredient candidate",C518="Consumed input",C518="Contained input",C518="Transform input"),P518=-1),1,0)</x:f>
        <x:v>0</x:v>
      </x:c>
    </x:row>
    <x:row r="519" ht="115" customHeight="1">
      <x:c r="A519" s="4" t="str">
        <x:v>design.review.proposal_ceramic_conduit.in.2</x:v>
      </x:c>
      <x:c r="B519" s="4" t="str">
        <x:v>design.review.proposal_ceramic_conduit</x:v>
      </x:c>
      <x:c r="C519" s="4" t="str">
        <x:v>Ingredient candidate</x:v>
      </x:c>
      <x:c r="D519" s="4" t="str">
        <x:v>proposal.natural.abrasive</x:v>
      </x:c>
      <x:c r="E519" s="4" t="str">
        <x:f>IFERROR(INDEX('Items'!$B$6:$B$1005,MATCH(D519,'Items'!$A$6:$A$1005,0)),"MISSING ID")</x:f>
        <x:v>Graded abrasive grit</x:v>
      </x:c>
      <x:c r="F519" s="4" t="str">
        <x:f>IFERROR(INDEX('Items'!$C$6:$C$1005,MATCH(D519,'Items'!$A$6:$A$1005,0)),"MISSING ID")</x:f>
        <x:v>T1</x:v>
      </x:c>
      <x:c r="G519" s="4" t="str">
        <x:f>IFERROR(INDEX('Items'!$D$6:$D$1005,MATCH(D519,'Items'!$A$6:$A$1005,0)),"MISSING ID")</x:f>
        <x:v>Manufactured stock</x:v>
      </x:c>
      <x:c r="H519" s="4" t="str">
        <x:f>IFERROR(INDEX('Items'!$X$6:$X$1005,MATCH(D519,'Items'!$A$6:$A$1005,0)),"MISSING ID")</x:f>
        <x:v>Processed material</x:v>
      </x:c>
      <x:c r="I519" s="4"/>
      <x:c r="J519" s="4" t="str">
        <x:v>Unspecified</x:v>
      </x:c>
      <x:c r="K519" s="4" t="str">
        <x:f>IFERROR(INDEX('Crafting recipes'!$D$6:$D$1005,MATCH(B519,'Crafting recipes'!$A$6:$A$1005,0)),"MISSING ID")</x:f>
        <x:v>Proposal</x:v>
      </x:c>
      <x:c r="L519" s="4" t="str">
        <x:f>IFERROR(INDEX('Items'!$AD$6:$AD$1005,MATCH(D519,'Items'!$A$6:$A$1005,0)),"MISSING ID")</x:f>
        <x:v>Proposal</x:v>
      </x:c>
      <x:c r="M519" s="4" t="str">
        <x:f>IFERROR(INDEX('Crafting recipes'!$E$6:$E$1005,MATCH(B519,'Crafting recipes'!$A$6:$A$1005,0)),"MISSING ID")</x:f>
        <x:v>Partial proposal</x:v>
      </x:c>
      <x:c r="N519" s="4" t="str">
        <x:v>Candidate relationship only; quantity, yield and full recipe remain undefined.</x:v>
      </x:c>
      <x:c r="O519" s="4" t="str">
        <x:v>New October 15 tier-review proposal; user-authorized item audit and Docs/WORLD_BASIS.md. No source-canon or implemented-recipe claim.</x:v>
      </x:c>
      <x:c r="P519" s="4" t="n">
        <x:f>IF(OR(C519="Ingredient candidate",C519="Consumed input",C519="Contained input",C519="Transform input"),IF(F519="T0",0,IF(F519="T1",1,IF(F519="T2",2,IF(F519="T3",3,IF(F519="T4",4,-1))))),-1)</x:f>
        <x:v>1</x:v>
      </x:c>
      <x:c r="Q519" s="4" t="n">
        <x:f>IF(AND(OR(C519="Ingredient candidate",C519="Consumed input",C519="Contained input",C519="Transform input"),P519=-1),1,0)</x:f>
        <x:v>0</x:v>
      </x:c>
    </x:row>
    <x:row r="520" ht="115" customHeight="1">
      <x:c r="A520" s="4" t="str">
        <x:v>design.review.proposal_ceramic_conduit.out</x:v>
      </x:c>
      <x:c r="B520" s="4" t="str">
        <x:v>design.review.proposal_ceramic_conduit</x:v>
      </x:c>
      <x:c r="C520" s="4" t="str">
        <x:v>Output</x:v>
      </x:c>
      <x:c r="D520" s="4" t="str">
        <x:v>proposal.ceramic.conduit</x:v>
      </x:c>
      <x:c r="E520" s="4" t="str">
        <x:f>IFERROR(INDEX('Items'!$B$6:$B$1005,MATCH(D520,'Items'!$A$6:$A$1005,0)),"MISSING ID")</x:f>
        <x:v>Ceramic conduit section</x:v>
      </x:c>
      <x:c r="F520" s="4" t="str">
        <x:f>IFERROR(INDEX('Items'!$C$6:$C$1005,MATCH(D520,'Items'!$A$6:$A$1005,0)),"MISSING ID")</x:f>
        <x:v>T3</x:v>
      </x:c>
      <x:c r="G520" s="4" t="str">
        <x:f>IFERROR(INDEX('Items'!$D$6:$D$1005,MATCH(D520,'Items'!$A$6:$A$1005,0)),"MISSING ID")</x:f>
        <x:v>Crafting components</x:v>
      </x:c>
      <x:c r="H520" s="4" t="str">
        <x:f>IFERROR(INDEX('Items'!$X$6:$X$1005,MATCH(D520,'Items'!$A$6:$A$1005,0)),"MISSING ID")</x:f>
        <x:v>Crafting component</x:v>
      </x:c>
      <x:c r="I520" s="4"/>
      <x:c r="J520" s="4" t="str">
        <x:v>Unspecified</x:v>
      </x:c>
      <x:c r="K520" s="4" t="str">
        <x:f>IFERROR(INDEX('Crafting recipes'!$D$6:$D$1005,MATCH(B520,'Crafting recipes'!$A$6:$A$1005,0)),"MISSING ID")</x:f>
        <x:v>Proposal</x:v>
      </x:c>
      <x:c r="L520" s="4" t="str">
        <x:f>IFERROR(INDEX('Items'!$AD$6:$AD$1005,MATCH(D520,'Items'!$A$6:$A$1005,0)),"MISSING ID")</x:f>
        <x:v>Proposal</x:v>
      </x:c>
      <x:c r="M520" s="4" t="str">
        <x:f>IFERROR(INDEX('Crafting recipes'!$E$6:$E$1005,MATCH(B520,'Crafting recipes'!$A$6:$A$1005,0)),"MISSING ID")</x:f>
        <x:v>Partial proposal</x:v>
      </x:c>
      <x:c r="N520" s="4" t="str">
        <x:v>Candidate relationship only; quantity, yield and full recipe remain undefined.</x:v>
      </x:c>
      <x:c r="O520" s="4" t="str">
        <x:v>New October 15 tier-review proposal; user-authorized item audit and Docs/WORLD_BASIS.md. No source-canon or implemented-recipe claim.</x:v>
      </x:c>
      <x:c r="P520" s="4" t="n">
        <x:f>IF(OR(C520="Ingredient candidate",C520="Consumed input",C520="Contained input",C520="Transform input"),IF(F520="T0",0,IF(F520="T1",1,IF(F520="T2",2,IF(F520="T3",3,IF(F520="T4",4,-1))))),-1)</x:f>
        <x:v>-1</x:v>
      </x:c>
      <x:c r="Q520" s="4" t="n">
        <x:f>IF(AND(OR(C520="Ingredient candidate",C520="Consumed input",C520="Contained input",C520="Transform input"),P520=-1),1,0)</x:f>
        <x:v>0</x:v>
      </x:c>
    </x:row>
    <x:row r="521" ht="115" customHeight="1">
      <x:c r="A521" s="4" t="str">
        <x:v>design.review.proposal_ceramic_fastener.in.1</x:v>
      </x:c>
      <x:c r="B521" s="4" t="str">
        <x:v>design.review.proposal_ceramic_fastener</x:v>
      </x:c>
      <x:c r="C521" s="4" t="str">
        <x:v>Ingredient candidate</x:v>
      </x:c>
      <x:c r="D521" s="4" t="str">
        <x:v>proposal.natural.ceramic</x:v>
      </x:c>
      <x:c r="E521" s="4" t="str">
        <x:f>IFERROR(INDEX('Items'!$B$6:$B$1005,MATCH(D521,'Items'!$A$6:$A$1005,0)),"MISSING ID")</x:f>
        <x:v>Insulating ceramic blanks</x:v>
      </x:c>
      <x:c r="F521" s="4" t="str">
        <x:f>IFERROR(INDEX('Items'!$C$6:$C$1005,MATCH(D521,'Items'!$A$6:$A$1005,0)),"MISSING ID")</x:f>
        <x:v>T2</x:v>
      </x:c>
      <x:c r="G521" s="4" t="str">
        <x:f>IFERROR(INDEX('Items'!$D$6:$D$1005,MATCH(D521,'Items'!$A$6:$A$1005,0)),"MISSING ID")</x:f>
        <x:v>Manufactured stock</x:v>
      </x:c>
      <x:c r="H521" s="4" t="str">
        <x:f>IFERROR(INDEX('Items'!$X$6:$X$1005,MATCH(D521,'Items'!$A$6:$A$1005,0)),"MISSING ID")</x:f>
        <x:v>Processed material</x:v>
      </x:c>
      <x:c r="I521" s="4"/>
      <x:c r="J521" s="4" t="str">
        <x:v>Unspecified</x:v>
      </x:c>
      <x:c r="K521" s="4" t="str">
        <x:f>IFERROR(INDEX('Crafting recipes'!$D$6:$D$1005,MATCH(B521,'Crafting recipes'!$A$6:$A$1005,0)),"MISSING ID")</x:f>
        <x:v>Proposal</x:v>
      </x:c>
      <x:c r="L521" s="4" t="str">
        <x:f>IFERROR(INDEX('Items'!$AD$6:$AD$1005,MATCH(D521,'Items'!$A$6:$A$1005,0)),"MISSING ID")</x:f>
        <x:v>Proposal</x:v>
      </x:c>
      <x:c r="M521" s="4" t="str">
        <x:f>IFERROR(INDEX('Crafting recipes'!$E$6:$E$1005,MATCH(B521,'Crafting recipes'!$A$6:$A$1005,0)),"MISSING ID")</x:f>
        <x:v>Partial proposal</x:v>
      </x:c>
      <x:c r="N521" s="4" t="str">
        <x:v>Candidate relationship only; quantity, yield and full recipe remain undefined.</x:v>
      </x:c>
      <x:c r="O521" s="4" t="str">
        <x:v>New October 15 tier-review proposal; user-authorized item audit and Docs/WORLD_BASIS.md. No source-canon or implemented-recipe claim.</x:v>
      </x:c>
      <x:c r="P521" s="4" t="n">
        <x:f>IF(OR(C521="Ingredient candidate",C521="Consumed input",C521="Contained input",C521="Transform input"),IF(F521="T0",0,IF(F521="T1",1,IF(F521="T2",2,IF(F521="T3",3,IF(F521="T4",4,-1))))),-1)</x:f>
        <x:v>2</x:v>
      </x:c>
      <x:c r="Q521" s="4" t="n">
        <x:f>IF(AND(OR(C521="Ingredient candidate",C521="Consumed input",C521="Contained input",C521="Transform input"),P521=-1),1,0)</x:f>
        <x:v>0</x:v>
      </x:c>
    </x:row>
    <x:row r="522" ht="115" customHeight="1">
      <x:c r="A522" s="4" t="str">
        <x:v>design.review.proposal_ceramic_fastener.in.2</x:v>
      </x:c>
      <x:c r="B522" s="4" t="str">
        <x:v>design.review.proposal_ceramic_fastener</x:v>
      </x:c>
      <x:c r="C522" s="4" t="str">
        <x:v>Ingredient candidate</x:v>
      </x:c>
      <x:c r="D522" s="4" t="str">
        <x:v>proposal.natural.abrasive</x:v>
      </x:c>
      <x:c r="E522" s="4" t="str">
        <x:f>IFERROR(INDEX('Items'!$B$6:$B$1005,MATCH(D522,'Items'!$A$6:$A$1005,0)),"MISSING ID")</x:f>
        <x:v>Graded abrasive grit</x:v>
      </x:c>
      <x:c r="F522" s="4" t="str">
        <x:f>IFERROR(INDEX('Items'!$C$6:$C$1005,MATCH(D522,'Items'!$A$6:$A$1005,0)),"MISSING ID")</x:f>
        <x:v>T1</x:v>
      </x:c>
      <x:c r="G522" s="4" t="str">
        <x:f>IFERROR(INDEX('Items'!$D$6:$D$1005,MATCH(D522,'Items'!$A$6:$A$1005,0)),"MISSING ID")</x:f>
        <x:v>Manufactured stock</x:v>
      </x:c>
      <x:c r="H522" s="4" t="str">
        <x:f>IFERROR(INDEX('Items'!$X$6:$X$1005,MATCH(D522,'Items'!$A$6:$A$1005,0)),"MISSING ID")</x:f>
        <x:v>Processed material</x:v>
      </x:c>
      <x:c r="I522" s="4"/>
      <x:c r="J522" s="4" t="str">
        <x:v>Unspecified</x:v>
      </x:c>
      <x:c r="K522" s="4" t="str">
        <x:f>IFERROR(INDEX('Crafting recipes'!$D$6:$D$1005,MATCH(B522,'Crafting recipes'!$A$6:$A$1005,0)),"MISSING ID")</x:f>
        <x:v>Proposal</x:v>
      </x:c>
      <x:c r="L522" s="4" t="str">
        <x:f>IFERROR(INDEX('Items'!$AD$6:$AD$1005,MATCH(D522,'Items'!$A$6:$A$1005,0)),"MISSING ID")</x:f>
        <x:v>Proposal</x:v>
      </x:c>
      <x:c r="M522" s="4" t="str">
        <x:f>IFERROR(INDEX('Crafting recipes'!$E$6:$E$1005,MATCH(B522,'Crafting recipes'!$A$6:$A$1005,0)),"MISSING ID")</x:f>
        <x:v>Partial proposal</x:v>
      </x:c>
      <x:c r="N522" s="4" t="str">
        <x:v>Candidate relationship only; quantity, yield and full recipe remain undefined.</x:v>
      </x:c>
      <x:c r="O522" s="4" t="str">
        <x:v>New October 15 tier-review proposal; user-authorized item audit and Docs/WORLD_BASIS.md. No source-canon or implemented-recipe claim.</x:v>
      </x:c>
      <x:c r="P522" s="4" t="n">
        <x:f>IF(OR(C522="Ingredient candidate",C522="Consumed input",C522="Contained input",C522="Transform input"),IF(F522="T0",0,IF(F522="T1",1,IF(F522="T2",2,IF(F522="T3",3,IF(F522="T4",4,-1))))),-1)</x:f>
        <x:v>1</x:v>
      </x:c>
      <x:c r="Q522" s="4" t="n">
        <x:f>IF(AND(OR(C522="Ingredient candidate",C522="Consumed input",C522="Contained input",C522="Transform input"),P522=-1),1,0)</x:f>
        <x:v>0</x:v>
      </x:c>
    </x:row>
    <x:row r="523" ht="115" customHeight="1">
      <x:c r="A523" s="4" t="str">
        <x:v>design.review.proposal_ceramic_fastener.out</x:v>
      </x:c>
      <x:c r="B523" s="4" t="str">
        <x:v>design.review.proposal_ceramic_fastener</x:v>
      </x:c>
      <x:c r="C523" s="4" t="str">
        <x:v>Output</x:v>
      </x:c>
      <x:c r="D523" s="4" t="str">
        <x:v>proposal.ceramic.fastener</x:v>
      </x:c>
      <x:c r="E523" s="4" t="str">
        <x:f>IFERROR(INDEX('Items'!$B$6:$B$1005,MATCH(D523,'Items'!$A$6:$A$1005,0)),"MISSING ID")</x:f>
        <x:v>Ceramic toggle fastener</x:v>
      </x:c>
      <x:c r="F523" s="4" t="str">
        <x:f>IFERROR(INDEX('Items'!$C$6:$C$1005,MATCH(D523,'Items'!$A$6:$A$1005,0)),"MISSING ID")</x:f>
        <x:v>T3</x:v>
      </x:c>
      <x:c r="G523" s="4" t="str">
        <x:f>IFERROR(INDEX('Items'!$D$6:$D$1005,MATCH(D523,'Items'!$A$6:$A$1005,0)),"MISSING ID")</x:f>
        <x:v>Crafting components</x:v>
      </x:c>
      <x:c r="H523" s="4" t="str">
        <x:f>IFERROR(INDEX('Items'!$X$6:$X$1005,MATCH(D523,'Items'!$A$6:$A$1005,0)),"MISSING ID")</x:f>
        <x:v>Crafting component</x:v>
      </x:c>
      <x:c r="I523" s="4"/>
      <x:c r="J523" s="4" t="str">
        <x:v>Unspecified</x:v>
      </x:c>
      <x:c r="K523" s="4" t="str">
        <x:f>IFERROR(INDEX('Crafting recipes'!$D$6:$D$1005,MATCH(B523,'Crafting recipes'!$A$6:$A$1005,0)),"MISSING ID")</x:f>
        <x:v>Proposal</x:v>
      </x:c>
      <x:c r="L523" s="4" t="str">
        <x:f>IFERROR(INDEX('Items'!$AD$6:$AD$1005,MATCH(D523,'Items'!$A$6:$A$1005,0)),"MISSING ID")</x:f>
        <x:v>Proposal</x:v>
      </x:c>
      <x:c r="M523" s="4" t="str">
        <x:f>IFERROR(INDEX('Crafting recipes'!$E$6:$E$1005,MATCH(B523,'Crafting recipes'!$A$6:$A$1005,0)),"MISSING ID")</x:f>
        <x:v>Partial proposal</x:v>
      </x:c>
      <x:c r="N523" s="4" t="str">
        <x:v>Candidate relationship only; quantity, yield and full recipe remain undefined.</x:v>
      </x:c>
      <x:c r="O523" s="4" t="str">
        <x:v>New October 15 tier-review proposal; user-authorized item audit and Docs/WORLD_BASIS.md. No source-canon or implemented-recipe claim.</x:v>
      </x:c>
      <x:c r="P523" s="4" t="n">
        <x:f>IF(OR(C523="Ingredient candidate",C523="Consumed input",C523="Contained input",C523="Transform input"),IF(F523="T0",0,IF(F523="T1",1,IF(F523="T2",2,IF(F523="T3",3,IF(F523="T4",4,-1))))),-1)</x:f>
        <x:v>-1</x:v>
      </x:c>
      <x:c r="Q523" s="4" t="n">
        <x:f>IF(AND(OR(C523="Ingredient candidate",C523="Consumed input",C523="Contained input",C523="Transform input"),P523=-1),1,0)</x:f>
        <x:v>0</x:v>
      </x:c>
    </x:row>
    <x:row r="524" ht="115" customHeight="1">
      <x:c r="A524" s="4" t="str">
        <x:v>design.review.proposal_ceramic_feedthrough.in.1</x:v>
      </x:c>
      <x:c r="B524" s="4" t="str">
        <x:v>design.review.proposal_ceramic_feedthrough</x:v>
      </x:c>
      <x:c r="C524" s="4" t="str">
        <x:v>Ingredient candidate</x:v>
      </x:c>
      <x:c r="D524" s="4" t="str">
        <x:v>proposal.t3.feedthrough_blank</x:v>
      </x:c>
      <x:c r="E524" s="4" t="str">
        <x:f>IFERROR(INDEX('Items'!$B$6:$B$1005,MATCH(D524,'Items'!$A$6:$A$1005,0)),"MISSING ID")</x:f>
        <x:v>Ceramic-metal feedthrough blanks</x:v>
      </x:c>
      <x:c r="F524" s="4" t="str">
        <x:f>IFERROR(INDEX('Items'!$C$6:$C$1005,MATCH(D524,'Items'!$A$6:$A$1005,0)),"MISSING ID")</x:f>
        <x:v>T3</x:v>
      </x:c>
      <x:c r="G524" s="4" t="str">
        <x:f>IFERROR(INDEX('Items'!$D$6:$D$1005,MATCH(D524,'Items'!$A$6:$A$1005,0)),"MISSING ID")</x:f>
        <x:v>Crafting components</x:v>
      </x:c>
      <x:c r="H524" s="4" t="str">
        <x:f>IFERROR(INDEX('Items'!$X$6:$X$1005,MATCH(D524,'Items'!$A$6:$A$1005,0)),"MISSING ID")</x:f>
        <x:v>Crafting component</x:v>
      </x:c>
      <x:c r="I524" s="4"/>
      <x:c r="J524" s="4" t="str">
        <x:v>Unspecified</x:v>
      </x:c>
      <x:c r="K524" s="4" t="str">
        <x:f>IFERROR(INDEX('Crafting recipes'!$D$6:$D$1005,MATCH(B524,'Crafting recipes'!$A$6:$A$1005,0)),"MISSING ID")</x:f>
        <x:v>Proposal</x:v>
      </x:c>
      <x:c r="L524" s="4" t="str">
        <x:f>IFERROR(INDEX('Items'!$AD$6:$AD$1005,MATCH(D524,'Items'!$A$6:$A$1005,0)),"MISSING ID")</x:f>
        <x:v>Proposal</x:v>
      </x:c>
      <x:c r="M524" s="4" t="str">
        <x:f>IFERROR(INDEX('Crafting recipes'!$E$6:$E$1005,MATCH(B524,'Crafting recipes'!$A$6:$A$1005,0)),"MISSING ID")</x:f>
        <x:v>Partial proposal</x:v>
      </x:c>
      <x:c r="N524" s="4" t="str">
        <x:v>Candidate relationship only; quantity, yield and full recipe remain undefined.</x:v>
      </x:c>
      <x:c r="O524" s="4" t="str">
        <x:v>New October 15 tier-review proposal; user-authorized item audit and Docs/WORLD_BASIS.md. No source-canon or implemented-recipe claim.</x:v>
      </x:c>
      <x:c r="P524" s="4" t="n">
        <x:f>IF(OR(C524="Ingredient candidate",C524="Consumed input",C524="Contained input",C524="Transform input"),IF(F524="T0",0,IF(F524="T1",1,IF(F524="T2",2,IF(F524="T3",3,IF(F524="T4",4,-1))))),-1)</x:f>
        <x:v>3</x:v>
      </x:c>
      <x:c r="Q524" s="4" t="n">
        <x:f>IF(AND(OR(C524="Ingredient candidate",C524="Consumed input",C524="Contained input",C524="Transform input"),P524=-1),1,0)</x:f>
        <x:v>0</x:v>
      </x:c>
    </x:row>
    <x:row r="525" ht="115" customHeight="1">
      <x:c r="A525" s="4" t="str">
        <x:v>design.review.proposal_ceramic_feedthrough.in.2</x:v>
      </x:c>
      <x:c r="B525" s="4" t="str">
        <x:v>design.review.proposal_ceramic_feedthrough</x:v>
      </x:c>
      <x:c r="C525" s="4" t="str">
        <x:v>Ingredient candidate</x:v>
      </x:c>
      <x:c r="D525" s="4" t="str">
        <x:v>proposal.branch.insulated_conductor</x:v>
      </x:c>
      <x:c r="E525" s="4" t="str">
        <x:f>IFERROR(INDEX('Items'!$B$6:$B$1005,MATCH(D525,'Items'!$A$6:$A$1005,0)),"MISSING ID")</x:f>
        <x:v>Insulated conductor stock</x:v>
      </x:c>
      <x:c r="F525" s="4" t="str">
        <x:f>IFERROR(INDEX('Items'!$C$6:$C$1005,MATCH(D525,'Items'!$A$6:$A$1005,0)),"MISSING ID")</x:f>
        <x:v>T3</x:v>
      </x:c>
      <x:c r="G525" s="4" t="str">
        <x:f>IFERROR(INDEX('Items'!$D$6:$D$1005,MATCH(D525,'Items'!$A$6:$A$1005,0)),"MISSING ID")</x:f>
        <x:v>Manufactured stock</x:v>
      </x:c>
      <x:c r="H525" s="4" t="str">
        <x:f>IFERROR(INDEX('Items'!$X$6:$X$1005,MATCH(D525,'Items'!$A$6:$A$1005,0)),"MISSING ID")</x:f>
        <x:v>Processed material</x:v>
      </x:c>
      <x:c r="I525" s="4"/>
      <x:c r="J525" s="4" t="str">
        <x:v>Unspecified</x:v>
      </x:c>
      <x:c r="K525" s="4" t="str">
        <x:f>IFERROR(INDEX('Crafting recipes'!$D$6:$D$1005,MATCH(B525,'Crafting recipes'!$A$6:$A$1005,0)),"MISSING ID")</x:f>
        <x:v>Proposal</x:v>
      </x:c>
      <x:c r="L525" s="4" t="str">
        <x:f>IFERROR(INDEX('Items'!$AD$6:$AD$1005,MATCH(D525,'Items'!$A$6:$A$1005,0)),"MISSING ID")</x:f>
        <x:v>Proposal</x:v>
      </x:c>
      <x:c r="M525" s="4" t="str">
        <x:f>IFERROR(INDEX('Crafting recipes'!$E$6:$E$1005,MATCH(B525,'Crafting recipes'!$A$6:$A$1005,0)),"MISSING ID")</x:f>
        <x:v>Partial proposal</x:v>
      </x:c>
      <x:c r="N525" s="4" t="str">
        <x:v>Candidate relationship only; quantity, yield and full recipe remain undefined.</x:v>
      </x:c>
      <x:c r="O525" s="4" t="str">
        <x:v>New October 15 tier-review proposal; user-authorized item audit and Docs/WORLD_BASIS.md. No source-canon or implemented-recipe claim.</x:v>
      </x:c>
      <x:c r="P525" s="4" t="n">
        <x:f>IF(OR(C525="Ingredient candidate",C525="Consumed input",C525="Contained input",C525="Transform input"),IF(F525="T0",0,IF(F525="T1",1,IF(F525="T2",2,IF(F525="T3",3,IF(F525="T4",4,-1))))),-1)</x:f>
        <x:v>3</x:v>
      </x:c>
      <x:c r="Q525" s="4" t="n">
        <x:f>IF(AND(OR(C525="Ingredient candidate",C525="Consumed input",C525="Contained input",C525="Transform input"),P525=-1),1,0)</x:f>
        <x:v>0</x:v>
      </x:c>
    </x:row>
    <x:row r="526" ht="115" customHeight="1">
      <x:c r="A526" s="4" t="str">
        <x:v>design.review.proposal_ceramic_feedthrough.in.3</x:v>
      </x:c>
      <x:c r="B526" s="4" t="str">
        <x:v>design.review.proposal_ceramic_feedthrough</x:v>
      </x:c>
      <x:c r="C526" s="4" t="str">
        <x:v>Ingredient candidate</x:v>
      </x:c>
      <x:c r="D526" s="4" t="str">
        <x:v>proposal.branch.sealing_sheet</x:v>
      </x:c>
      <x:c r="E526" s="4" t="str">
        <x:f>IFERROR(INDEX('Items'!$B$6:$B$1005,MATCH(D526,'Items'!$A$6:$A$1005,0)),"MISSING ID")</x:f>
        <x:v>Reinforced sealing sheet</x:v>
      </x:c>
      <x:c r="F526" s="4" t="str">
        <x:f>IFERROR(INDEX('Items'!$C$6:$C$1005,MATCH(D526,'Items'!$A$6:$A$1005,0)),"MISSING ID")</x:f>
        <x:v>T3</x:v>
      </x:c>
      <x:c r="G526" s="4" t="str">
        <x:f>IFERROR(INDEX('Items'!$D$6:$D$1005,MATCH(D526,'Items'!$A$6:$A$1005,0)),"MISSING ID")</x:f>
        <x:v>Manufactured stock</x:v>
      </x:c>
      <x:c r="H526" s="4" t="str">
        <x:f>IFERROR(INDEX('Items'!$X$6:$X$1005,MATCH(D526,'Items'!$A$6:$A$1005,0)),"MISSING ID")</x:f>
        <x:v>Processed material</x:v>
      </x:c>
      <x:c r="I526" s="4"/>
      <x:c r="J526" s="4" t="str">
        <x:v>Unspecified</x:v>
      </x:c>
      <x:c r="K526" s="4" t="str">
        <x:f>IFERROR(INDEX('Crafting recipes'!$D$6:$D$1005,MATCH(B526,'Crafting recipes'!$A$6:$A$1005,0)),"MISSING ID")</x:f>
        <x:v>Proposal</x:v>
      </x:c>
      <x:c r="L526" s="4" t="str">
        <x:f>IFERROR(INDEX('Items'!$AD$6:$AD$1005,MATCH(D526,'Items'!$A$6:$A$1005,0)),"MISSING ID")</x:f>
        <x:v>Proposal</x:v>
      </x:c>
      <x:c r="M526" s="4" t="str">
        <x:f>IFERROR(INDEX('Crafting recipes'!$E$6:$E$1005,MATCH(B526,'Crafting recipes'!$A$6:$A$1005,0)),"MISSING ID")</x:f>
        <x:v>Partial proposal</x:v>
      </x:c>
      <x:c r="N526" s="4" t="str">
        <x:v>Candidate relationship only; quantity, yield and full recipe remain undefined.</x:v>
      </x:c>
      <x:c r="O526" s="4" t="str">
        <x:v>New October 15 tier-review proposal; user-authorized item audit and Docs/WORLD_BASIS.md. No source-canon or implemented-recipe claim.</x:v>
      </x:c>
      <x:c r="P526" s="4" t="n">
        <x:f>IF(OR(C526="Ingredient candidate",C526="Consumed input",C526="Contained input",C526="Transform input"),IF(F526="T0",0,IF(F526="T1",1,IF(F526="T2",2,IF(F526="T3",3,IF(F526="T4",4,-1))))),-1)</x:f>
        <x:v>3</x:v>
      </x:c>
      <x:c r="Q526" s="4" t="n">
        <x:f>IF(AND(OR(C526="Ingredient candidate",C526="Consumed input",C526="Contained input",C526="Transform input"),P526=-1),1,0)</x:f>
        <x:v>0</x:v>
      </x:c>
    </x:row>
    <x:row r="527" ht="115" customHeight="1">
      <x:c r="A527" s="4" t="str">
        <x:v>design.review.proposal_ceramic_feedthrough.out</x:v>
      </x:c>
      <x:c r="B527" s="4" t="str">
        <x:v>design.review.proposal_ceramic_feedthrough</x:v>
      </x:c>
      <x:c r="C527" s="4" t="str">
        <x:v>Output</x:v>
      </x:c>
      <x:c r="D527" s="4" t="str">
        <x:v>proposal.ceramic.feedthrough</x:v>
      </x:c>
      <x:c r="E527" s="4" t="str">
        <x:f>IFERROR(INDEX('Items'!$B$6:$B$1005,MATCH(D527,'Items'!$A$6:$A$1005,0)),"MISSING ID")</x:f>
        <x:v>Ceramic electrical feedthrough</x:v>
      </x:c>
      <x:c r="F527" s="4" t="str">
        <x:f>IFERROR(INDEX('Items'!$C$6:$C$1005,MATCH(D527,'Items'!$A$6:$A$1005,0)),"MISSING ID")</x:f>
        <x:v>T4</x:v>
      </x:c>
      <x:c r="G527" s="4" t="str">
        <x:f>IFERROR(INDEX('Items'!$D$6:$D$1005,MATCH(D527,'Items'!$A$6:$A$1005,0)),"MISSING ID")</x:f>
        <x:v>Crafting components</x:v>
      </x:c>
      <x:c r="H527" s="4" t="str">
        <x:f>IFERROR(INDEX('Items'!$X$6:$X$1005,MATCH(D527,'Items'!$A$6:$A$1005,0)),"MISSING ID")</x:f>
        <x:v>Crafting component</x:v>
      </x:c>
      <x:c r="I527" s="4"/>
      <x:c r="J527" s="4" t="str">
        <x:v>Unspecified</x:v>
      </x:c>
      <x:c r="K527" s="4" t="str">
        <x:f>IFERROR(INDEX('Crafting recipes'!$D$6:$D$1005,MATCH(B527,'Crafting recipes'!$A$6:$A$1005,0)),"MISSING ID")</x:f>
        <x:v>Proposal</x:v>
      </x:c>
      <x:c r="L527" s="4" t="str">
        <x:f>IFERROR(INDEX('Items'!$AD$6:$AD$1005,MATCH(D527,'Items'!$A$6:$A$1005,0)),"MISSING ID")</x:f>
        <x:v>Proposal</x:v>
      </x:c>
      <x:c r="M527" s="4" t="str">
        <x:f>IFERROR(INDEX('Crafting recipes'!$E$6:$E$1005,MATCH(B527,'Crafting recipes'!$A$6:$A$1005,0)),"MISSING ID")</x:f>
        <x:v>Partial proposal</x:v>
      </x:c>
      <x:c r="N527" s="4" t="str">
        <x:v>Candidate relationship only; quantity, yield and full recipe remain undefined.</x:v>
      </x:c>
      <x:c r="O527" s="4" t="str">
        <x:v>New October 15 tier-review proposal; user-authorized item audit and Docs/WORLD_BASIS.md. No source-canon or implemented-recipe claim.</x:v>
      </x:c>
      <x:c r="P527" s="4" t="n">
        <x:f>IF(OR(C527="Ingredient candidate",C527="Consumed input",C527="Contained input",C527="Transform input"),IF(F527="T0",0,IF(F527="T1",1,IF(F527="T2",2,IF(F527="T3",3,IF(F527="T4",4,-1))))),-1)</x:f>
        <x:v>-1</x:v>
      </x:c>
      <x:c r="Q527" s="4" t="n">
        <x:f>IF(AND(OR(C527="Ingredient candidate",C527="Consumed input",C527="Contained input",C527="Transform input"),P527=-1),1,0)</x:f>
        <x:v>0</x:v>
      </x:c>
    </x:row>
    <x:row r="528" ht="115" customHeight="1">
      <x:c r="A528" s="4"/>
      <x:c r="B528" s="4"/>
      <x:c r="C528" s="4"/>
      <x:c r="D528" s="4"/>
      <x:c r="E528" s="4"/>
      <x:c r="F528" s="4"/>
      <x:c r="G528" s="4"/>
      <x:c r="H528" s="4"/>
      <x:c r="I528" s="4"/>
      <x:c r="K528" s="4"/>
      <x:c r="L528" s="4"/>
      <x:c r="M528" s="4"/>
      <x:c r="N528" s="4"/>
      <x:c r="O528" s="4"/>
      <x:c r="P528" s="4"/>
      <x:c r="Q528" s="4"/>
    </x:row>
    <x:row r="529" ht="115" customHeight="1">
      <x:c r="A529" s="4"/>
      <x:c r="B529" s="4"/>
      <x:c r="C529" s="4"/>
      <x:c r="D529" s="4"/>
      <x:c r="E529" s="4"/>
      <x:c r="F529" s="4"/>
      <x:c r="G529" s="4"/>
      <x:c r="H529" s="4"/>
      <x:c r="I529" s="4"/>
      <x:c r="K529" s="4"/>
      <x:c r="L529" s="4"/>
      <x:c r="M529" s="4"/>
      <x:c r="N529" s="4"/>
      <x:c r="O529" s="4"/>
      <x:c r="P529" s="4"/>
      <x:c r="Q529" s="4"/>
    </x:row>
    <x:row r="530" ht="115" customHeight="1">
      <x:c r="A530" s="4"/>
      <x:c r="B530" s="4"/>
      <x:c r="C530" s="4"/>
      <x:c r="D530" s="4"/>
      <x:c r="E530" s="4"/>
      <x:c r="F530" s="4"/>
      <x:c r="G530" s="4"/>
      <x:c r="H530" s="4"/>
      <x:c r="I530" s="4"/>
      <x:c r="K530" s="4"/>
      <x:c r="L530" s="4"/>
      <x:c r="M530" s="4"/>
      <x:c r="N530" s="4"/>
      <x:c r="O530" s="4"/>
      <x:c r="P530" s="4"/>
      <x:c r="Q530" s="4"/>
    </x:row>
    <x:row r="531" ht="115" customHeight="1">
      <x:c r="A531" s="4"/>
      <x:c r="B531" s="4"/>
      <x:c r="C531" s="4"/>
      <x:c r="D531" s="4"/>
      <x:c r="E531" s="4"/>
      <x:c r="F531" s="4"/>
      <x:c r="G531" s="4"/>
      <x:c r="H531" s="4"/>
      <x:c r="I531" s="4"/>
      <x:c r="K531" s="4"/>
      <x:c r="L531" s="4"/>
      <x:c r="M531" s="4"/>
      <x:c r="N531" s="4"/>
      <x:c r="O531" s="4"/>
      <x:c r="P531" s="4"/>
      <x:c r="Q531" s="4"/>
    </x:row>
    <x:row r="532" ht="115" customHeight="1">
      <x:c r="A532" s="4"/>
      <x:c r="B532" s="4"/>
      <x:c r="C532" s="4"/>
      <x:c r="D532" s="4"/>
      <x:c r="E532" s="4"/>
      <x:c r="F532" s="4"/>
      <x:c r="G532" s="4"/>
      <x:c r="H532" s="4"/>
      <x:c r="I532" s="4"/>
      <x:c r="K532" s="4"/>
      <x:c r="L532" s="4"/>
      <x:c r="M532" s="4"/>
      <x:c r="N532" s="4"/>
      <x:c r="O532" s="4"/>
      <x:c r="P532" s="4"/>
      <x:c r="Q532" s="4"/>
    </x:row>
    <x:row r="533" ht="115" customHeight="1">
      <x:c r="A533" s="4"/>
      <x:c r="B533" s="4"/>
      <x:c r="C533" s="4"/>
      <x:c r="D533" s="4"/>
      <x:c r="E533" s="4"/>
      <x:c r="F533" s="4"/>
      <x:c r="G533" s="4"/>
      <x:c r="H533" s="4"/>
      <x:c r="I533" s="4"/>
      <x:c r="K533" s="4"/>
      <x:c r="L533" s="4"/>
      <x:c r="M533" s="4"/>
      <x:c r="N533" s="4"/>
      <x:c r="O533" s="4"/>
      <x:c r="P533" s="4"/>
      <x:c r="Q533" s="4"/>
    </x:row>
    <x:row r="534" ht="115" customHeight="1">
      <x:c r="A534" s="4"/>
      <x:c r="B534" s="4"/>
      <x:c r="C534" s="4"/>
      <x:c r="D534" s="4"/>
      <x:c r="E534" s="4"/>
      <x:c r="F534" s="4"/>
      <x:c r="G534" s="4"/>
      <x:c r="H534" s="4"/>
      <x:c r="I534" s="4"/>
      <x:c r="K534" s="4"/>
      <x:c r="L534" s="4"/>
      <x:c r="M534" s="4"/>
      <x:c r="N534" s="4"/>
      <x:c r="O534" s="4"/>
      <x:c r="P534" s="4"/>
      <x:c r="Q534" s="4"/>
    </x:row>
    <x:row r="535" ht="115" customHeight="1">
      <x:c r="A535" s="4"/>
      <x:c r="B535" s="4"/>
      <x:c r="C535" s="4"/>
      <x:c r="D535" s="4"/>
      <x:c r="E535" s="4"/>
      <x:c r="F535" s="4"/>
      <x:c r="G535" s="4"/>
      <x:c r="H535" s="4"/>
      <x:c r="I535" s="4"/>
      <x:c r="K535" s="4"/>
      <x:c r="L535" s="4"/>
      <x:c r="M535" s="4"/>
      <x:c r="N535" s="4"/>
      <x:c r="O535" s="4"/>
      <x:c r="P535" s="4"/>
      <x:c r="Q535" s="4"/>
    </x:row>
    <x:row r="536" ht="115" customHeight="1">
      <x:c r="A536" s="4" t="str">
        <x:v>design.review.proposal_lubricant_dust_film.in.1</x:v>
      </x:c>
      <x:c r="B536" s="4" t="str">
        <x:v>design.review.proposal_lubricant_dust_film</x:v>
      </x:c>
      <x:c r="C536" s="4" t="str">
        <x:v>Ingredient candidate</x:v>
      </x:c>
      <x:c r="D536" s="4" t="str">
        <x:v>proposal.lubricant.base</x:v>
      </x:c>
      <x:c r="E536" s="4" t="str">
        <x:f>IFERROR(INDEX('Items'!$B$6:$B$1005,MATCH(D536,'Items'!$A$6:$A$1005,0)),"MISSING ID")</x:f>
        <x:v>Clarified faunal lubricant base</x:v>
      </x:c>
      <x:c r="F536" s="4" t="str">
        <x:f>IFERROR(INDEX('Items'!$C$6:$C$1005,MATCH(D536,'Items'!$A$6:$A$1005,0)),"MISSING ID")</x:f>
        <x:v>T1</x:v>
      </x:c>
      <x:c r="G536" s="4" t="str">
        <x:f>IFERROR(INDEX('Items'!$D$6:$D$1005,MATCH(D536,'Items'!$A$6:$A$1005,0)),"MISSING ID")</x:f>
        <x:v>Crafting components</x:v>
      </x:c>
      <x:c r="H536" s="4" t="str">
        <x:f>IFERROR(INDEX('Items'!$X$6:$X$1005,MATCH(D536,'Items'!$A$6:$A$1005,0)),"MISSING ID")</x:f>
        <x:v>Chemical material</x:v>
      </x:c>
      <x:c r="I536" s="4"/>
      <x:c r="J536" s="4" t="str">
        <x:v>Unspecified</x:v>
      </x:c>
      <x:c r="K536" s="4" t="str">
        <x:f>IFERROR(INDEX('Crafting recipes'!$D$6:$D$1005,MATCH(B536,'Crafting recipes'!$A$6:$A$1005,0)),"MISSING ID")</x:f>
        <x:v>Proposal</x:v>
      </x:c>
      <x:c r="L536" s="4" t="str">
        <x:f>IFERROR(INDEX('Items'!$AD$6:$AD$1005,MATCH(D536,'Items'!$A$6:$A$1005,0)),"MISSING ID")</x:f>
        <x:v>Proposal</x:v>
      </x:c>
      <x:c r="M536" s="4" t="str">
        <x:f>IFERROR(INDEX('Crafting recipes'!$E$6:$E$1005,MATCH(B536,'Crafting recipes'!$A$6:$A$1005,0)),"MISSING ID")</x:f>
        <x:v>Partial proposal</x:v>
      </x:c>
      <x:c r="N536" s="4" t="str">
        <x:v>Candidate relationship only; quantity, yield and full recipe remain undefined.</x:v>
      </x:c>
      <x:c r="O536" s="4" t="str">
        <x:v>New October 15 tier-review proposal; user-authorized item audit and Docs/WORLD_BASIS.md. No source-canon or implemented-recipe claim.</x:v>
      </x:c>
      <x:c r="P536" s="4" t="n">
        <x:f>IF(OR(C536="Ingredient candidate",C536="Consumed input",C536="Contained input",C536="Transform input"),IF(F536="T0",0,IF(F536="T1",1,IF(F536="T2",2,IF(F536="T3",3,IF(F536="T4",4,-1))))),-1)</x:f>
        <x:v>1</x:v>
      </x:c>
      <x:c r="Q536" s="4" t="n">
        <x:f>IF(AND(OR(C536="Ingredient candidate",C536="Consumed input",C536="Contained input",C536="Transform input"),P536=-1),1,0)</x:f>
        <x:v>0</x:v>
      </x:c>
    </x:row>
    <x:row r="537" ht="115" customHeight="1">
      <x:c r="A537" s="4" t="str">
        <x:v>design.review.proposal_lubricant_dust_film.in.2</x:v>
      </x:c>
      <x:c r="B537" s="4" t="str">
        <x:v>design.review.proposal_lubricant_dust_film</x:v>
      </x:c>
      <x:c r="C537" s="4" t="str">
        <x:v>Ingredient candidate</x:v>
      </x:c>
      <x:c r="D537" s="4" t="str">
        <x:v>proposal.t1.faunal_carrier</x:v>
      </x:c>
      <x:c r="E537" s="4" t="str">
        <x:f>IFERROR(INDEX('Items'!$B$6:$B$1005,MATCH(D537,'Items'!$A$6:$A$1005,0)),"MISSING ID")</x:f>
        <x:v>Selected faunal carrier fraction</x:v>
      </x:c>
      <x:c r="F537" s="4" t="str">
        <x:f>IFERROR(INDEX('Items'!$C$6:$C$1005,MATCH(D537,'Items'!$A$6:$A$1005,0)),"MISSING ID")</x:f>
        <x:v>T1</x:v>
      </x:c>
      <x:c r="G537" s="4" t="str">
        <x:f>IFERROR(INDEX('Items'!$D$6:$D$1005,MATCH(D537,'Items'!$A$6:$A$1005,0)),"MISSING ID")</x:f>
        <x:v>Crafting components</x:v>
      </x:c>
      <x:c r="H537" s="4" t="str">
        <x:f>IFERROR(INDEX('Items'!$X$6:$X$1005,MATCH(D537,'Items'!$A$6:$A$1005,0)),"MISSING ID")</x:f>
        <x:v>Chemical material</x:v>
      </x:c>
      <x:c r="I537" s="4"/>
      <x:c r="J537" s="4" t="str">
        <x:v>Unspecified</x:v>
      </x:c>
      <x:c r="K537" s="4" t="str">
        <x:f>IFERROR(INDEX('Crafting recipes'!$D$6:$D$1005,MATCH(B537,'Crafting recipes'!$A$6:$A$1005,0)),"MISSING ID")</x:f>
        <x:v>Proposal</x:v>
      </x:c>
      <x:c r="L537" s="4" t="str">
        <x:f>IFERROR(INDEX('Items'!$AD$6:$AD$1005,MATCH(D537,'Items'!$A$6:$A$1005,0)),"MISSING ID")</x:f>
        <x:v>Proposal</x:v>
      </x:c>
      <x:c r="M537" s="4" t="str">
        <x:f>IFERROR(INDEX('Crafting recipes'!$E$6:$E$1005,MATCH(B537,'Crafting recipes'!$A$6:$A$1005,0)),"MISSING ID")</x:f>
        <x:v>Partial proposal</x:v>
      </x:c>
      <x:c r="N537" s="4" t="str">
        <x:v>Candidate relationship only; quantity, yield and full recipe remain undefined.</x:v>
      </x:c>
      <x:c r="O537" s="4" t="str">
        <x:v>New October 15 tier-review proposal; user-authorized item audit and Docs/WORLD_BASIS.md. No source-canon or implemented-recipe claim.</x:v>
      </x:c>
      <x:c r="P537" s="4" t="n">
        <x:f>IF(OR(C537="Ingredient candidate",C537="Consumed input",C537="Contained input",C537="Transform input"),IF(F537="T0",0,IF(F537="T1",1,IF(F537="T2",2,IF(F537="T3",3,IF(F537="T4",4,-1))))),-1)</x:f>
        <x:v>1</x:v>
      </x:c>
      <x:c r="Q537" s="4" t="n">
        <x:f>IF(AND(OR(C537="Ingredient candidate",C537="Consumed input",C537="Contained input",C537="Transform input"),P537=-1),1,0)</x:f>
        <x:v>0</x:v>
      </x:c>
    </x:row>
    <x:row r="538" ht="115" customHeight="1">
      <x:c r="A538" s="4" t="str">
        <x:v>design.review.proposal_lubricant_dust_film.out</x:v>
      </x:c>
      <x:c r="B538" s="4" t="str">
        <x:v>design.review.proposal_lubricant_dust_film</x:v>
      </x:c>
      <x:c r="C538" s="4" t="str">
        <x:v>Output</x:v>
      </x:c>
      <x:c r="D538" s="4" t="str">
        <x:v>proposal.lubricant.dust_film</x:v>
      </x:c>
      <x:c r="E538" s="4" t="str">
        <x:f>IFERROR(INDEX('Items'!$B$6:$B$1005,MATCH(D538,'Items'!$A$6:$A$1005,0)),"MISSING ID")</x:f>
        <x:v>Dust-shedding lubricant film</x:v>
      </x:c>
      <x:c r="F538" s="4" t="str">
        <x:f>IFERROR(INDEX('Items'!$C$6:$C$1005,MATCH(D538,'Items'!$A$6:$A$1005,0)),"MISSING ID")</x:f>
        <x:v>T2</x:v>
      </x:c>
      <x:c r="G538" s="4" t="str">
        <x:f>IFERROR(INDEX('Items'!$D$6:$D$1005,MATCH(D538,'Items'!$A$6:$A$1005,0)),"MISSING ID")</x:f>
        <x:v>Crafting components</x:v>
      </x:c>
      <x:c r="H538" s="4" t="str">
        <x:f>IFERROR(INDEX('Items'!$X$6:$X$1005,MATCH(D538,'Items'!$A$6:$A$1005,0)),"MISSING ID")</x:f>
        <x:v>Chemical material</x:v>
      </x:c>
      <x:c r="I538" s="4"/>
      <x:c r="J538" s="4" t="str">
        <x:v>Unspecified</x:v>
      </x:c>
      <x:c r="K538" s="4" t="str">
        <x:f>IFERROR(INDEX('Crafting recipes'!$D$6:$D$1005,MATCH(B538,'Crafting recipes'!$A$6:$A$1005,0)),"MISSING ID")</x:f>
        <x:v>Proposal</x:v>
      </x:c>
      <x:c r="L538" s="4" t="str">
        <x:f>IFERROR(INDEX('Items'!$AD$6:$AD$1005,MATCH(D538,'Items'!$A$6:$A$1005,0)),"MISSING ID")</x:f>
        <x:v>Proposal</x:v>
      </x:c>
      <x:c r="M538" s="4" t="str">
        <x:f>IFERROR(INDEX('Crafting recipes'!$E$6:$E$1005,MATCH(B538,'Crafting recipes'!$A$6:$A$1005,0)),"MISSING ID")</x:f>
        <x:v>Partial proposal</x:v>
      </x:c>
      <x:c r="N538" s="4" t="str">
        <x:v>Candidate relationship only; quantity, yield and full recipe remain undefined.</x:v>
      </x:c>
      <x:c r="O538" s="4" t="str">
        <x:v>New October 15 tier-review proposal; user-authorized item audit and Docs/WORLD_BASIS.md. No source-canon or implemented-recipe claim.</x:v>
      </x:c>
      <x:c r="P538" s="4" t="n">
        <x:f>IF(OR(C538="Ingredient candidate",C538="Consumed input",C538="Contained input",C538="Transform input"),IF(F538="T0",0,IF(F538="T1",1,IF(F538="T2",2,IF(F538="T3",3,IF(F538="T4",4,-1))))),-1)</x:f>
        <x:v>-1</x:v>
      </x:c>
      <x:c r="Q538" s="4" t="n">
        <x:f>IF(AND(OR(C538="Ingredient candidate",C538="Consumed input",C538="Contained input",C538="Transform input"),P538=-1),1,0)</x:f>
        <x:v>0</x:v>
      </x:c>
    </x:row>
    <x:row r="539" ht="115" customHeight="1">
      <x:c r="A539" s="4" t="str">
        <x:v>design.review.proposal_lubricant_seal_paste.in.1</x:v>
      </x:c>
      <x:c r="B539" s="4" t="str">
        <x:v>design.review.proposal_lubricant_seal_paste</x:v>
      </x:c>
      <x:c r="C539" s="4" t="str">
        <x:v>Ingredient candidate</x:v>
      </x:c>
      <x:c r="D539" s="4" t="str">
        <x:v>proposal.lubricant.base</x:v>
      </x:c>
      <x:c r="E539" s="4" t="str">
        <x:f>IFERROR(INDEX('Items'!$B$6:$B$1005,MATCH(D539,'Items'!$A$6:$A$1005,0)),"MISSING ID")</x:f>
        <x:v>Clarified faunal lubricant base</x:v>
      </x:c>
      <x:c r="F539" s="4" t="str">
        <x:f>IFERROR(INDEX('Items'!$C$6:$C$1005,MATCH(D539,'Items'!$A$6:$A$1005,0)),"MISSING ID")</x:f>
        <x:v>T1</x:v>
      </x:c>
      <x:c r="G539" s="4" t="str">
        <x:f>IFERROR(INDEX('Items'!$D$6:$D$1005,MATCH(D539,'Items'!$A$6:$A$1005,0)),"MISSING ID")</x:f>
        <x:v>Crafting components</x:v>
      </x:c>
      <x:c r="H539" s="4" t="str">
        <x:f>IFERROR(INDEX('Items'!$X$6:$X$1005,MATCH(D539,'Items'!$A$6:$A$1005,0)),"MISSING ID")</x:f>
        <x:v>Chemical material</x:v>
      </x:c>
      <x:c r="I539" s="4"/>
      <x:c r="J539" s="4" t="str">
        <x:v>Unspecified</x:v>
      </x:c>
      <x:c r="K539" s="4" t="str">
        <x:f>IFERROR(INDEX('Crafting recipes'!$D$6:$D$1005,MATCH(B539,'Crafting recipes'!$A$6:$A$1005,0)),"MISSING ID")</x:f>
        <x:v>Proposal</x:v>
      </x:c>
      <x:c r="L539" s="4" t="str">
        <x:f>IFERROR(INDEX('Items'!$AD$6:$AD$1005,MATCH(D539,'Items'!$A$6:$A$1005,0)),"MISSING ID")</x:f>
        <x:v>Proposal</x:v>
      </x:c>
      <x:c r="M539" s="4" t="str">
        <x:f>IFERROR(INDEX('Crafting recipes'!$E$6:$E$1005,MATCH(B539,'Crafting recipes'!$A$6:$A$1005,0)),"MISSING ID")</x:f>
        <x:v>Partial proposal</x:v>
      </x:c>
      <x:c r="N539" s="4" t="str">
        <x:v>Candidate relationship only; quantity, yield and full recipe remain undefined.</x:v>
      </x:c>
      <x:c r="O539" s="4" t="str">
        <x:v>New October 15 tier-review proposal; user-authorized item audit and Docs/WORLD_BASIS.md. No source-canon or implemented-recipe claim.</x:v>
      </x:c>
      <x:c r="P539" s="4" t="n">
        <x:f>IF(OR(C539="Ingredient candidate",C539="Consumed input",C539="Contained input",C539="Transform input"),IF(F539="T0",0,IF(F539="T1",1,IF(F539="T2",2,IF(F539="T3",3,IF(F539="T4",4,-1))))),-1)</x:f>
        <x:v>1</x:v>
      </x:c>
      <x:c r="Q539" s="4" t="n">
        <x:f>IF(AND(OR(C539="Ingredient candidate",C539="Consumed input",C539="Contained input",C539="Transform input"),P539=-1),1,0)</x:f>
        <x:v>0</x:v>
      </x:c>
    </x:row>
    <x:row r="540" ht="115" customHeight="1">
      <x:c r="A540" s="4" t="str">
        <x:v>design.review.proposal_lubricant_seal_paste.in.2</x:v>
      </x:c>
      <x:c r="B540" s="4" t="str">
        <x:v>design.review.proposal_lubricant_seal_paste</x:v>
      </x:c>
      <x:c r="C540" s="4" t="str">
        <x:v>Ingredient candidate</x:v>
      </x:c>
      <x:c r="D540" s="4" t="str">
        <x:v>proposal.t1.clot_seal</x:v>
      </x:c>
      <x:c r="E540" s="4" t="str">
        <x:f>IFERROR(INDEX('Items'!$B$6:$B$1005,MATCH(D540,'Items'!$A$6:$A$1005,0)),"MISSING ID")</x:f>
        <x:v>Prepared clot-seal compound</x:v>
      </x:c>
      <x:c r="F540" s="4" t="str">
        <x:f>IFERROR(INDEX('Items'!$C$6:$C$1005,MATCH(D540,'Items'!$A$6:$A$1005,0)),"MISSING ID")</x:f>
        <x:v>T1</x:v>
      </x:c>
      <x:c r="G540" s="4" t="str">
        <x:f>IFERROR(INDEX('Items'!$D$6:$D$1005,MATCH(D540,'Items'!$A$6:$A$1005,0)),"MISSING ID")</x:f>
        <x:v>Crafting components</x:v>
      </x:c>
      <x:c r="H540" s="4" t="str">
        <x:f>IFERROR(INDEX('Items'!$X$6:$X$1005,MATCH(D540,'Items'!$A$6:$A$1005,0)),"MISSING ID")</x:f>
        <x:v>Chemical material</x:v>
      </x:c>
      <x:c r="I540" s="4"/>
      <x:c r="J540" s="4" t="str">
        <x:v>Unspecified</x:v>
      </x:c>
      <x:c r="K540" s="4" t="str">
        <x:f>IFERROR(INDEX('Crafting recipes'!$D$6:$D$1005,MATCH(B540,'Crafting recipes'!$A$6:$A$1005,0)),"MISSING ID")</x:f>
        <x:v>Proposal</x:v>
      </x:c>
      <x:c r="L540" s="4" t="str">
        <x:f>IFERROR(INDEX('Items'!$AD$6:$AD$1005,MATCH(D540,'Items'!$A$6:$A$1005,0)),"MISSING ID")</x:f>
        <x:v>Proposal</x:v>
      </x:c>
      <x:c r="M540" s="4" t="str">
        <x:f>IFERROR(INDEX('Crafting recipes'!$E$6:$E$1005,MATCH(B540,'Crafting recipes'!$A$6:$A$1005,0)),"MISSING ID")</x:f>
        <x:v>Partial proposal</x:v>
      </x:c>
      <x:c r="N540" s="4" t="str">
        <x:v>Candidate relationship only; quantity, yield and full recipe remain undefined.</x:v>
      </x:c>
      <x:c r="O540" s="4" t="str">
        <x:v>New October 15 tier-review proposal; user-authorized item audit and Docs/WORLD_BASIS.md. No source-canon or implemented-recipe claim.</x:v>
      </x:c>
      <x:c r="P540" s="4" t="n">
        <x:f>IF(OR(C540="Ingredient candidate",C540="Consumed input",C540="Contained input",C540="Transform input"),IF(F540="T0",0,IF(F540="T1",1,IF(F540="T2",2,IF(F540="T3",3,IF(F540="T4",4,-1))))),-1)</x:f>
        <x:v>1</x:v>
      </x:c>
      <x:c r="Q540" s="4" t="n">
        <x:f>IF(AND(OR(C540="Ingredient candidate",C540="Consumed input",C540="Contained input",C540="Transform input"),P540=-1),1,0)</x:f>
        <x:v>0</x:v>
      </x:c>
    </x:row>
    <x:row r="541" ht="115" customHeight="1">
      <x:c r="A541" s="4" t="str">
        <x:v>design.review.proposal_lubricant_seal_paste.out</x:v>
      </x:c>
      <x:c r="B541" s="4" t="str">
        <x:v>design.review.proposal_lubricant_seal_paste</x:v>
      </x:c>
      <x:c r="C541" s="4" t="str">
        <x:v>Output</x:v>
      </x:c>
      <x:c r="D541" s="4" t="str">
        <x:v>proposal.lubricant.seal_paste</x:v>
      </x:c>
      <x:c r="E541" s="4" t="str">
        <x:f>IFERROR(INDEX('Items'!$B$6:$B$1005,MATCH(D541,'Items'!$A$6:$A$1005,0)),"MISSING ID")</x:f>
        <x:v>Seal-conditioning paste</x:v>
      </x:c>
      <x:c r="F541" s="4" t="str">
        <x:f>IFERROR(INDEX('Items'!$C$6:$C$1005,MATCH(D541,'Items'!$A$6:$A$1005,0)),"MISSING ID")</x:f>
        <x:v>T2</x:v>
      </x:c>
      <x:c r="G541" s="4" t="str">
        <x:f>IFERROR(INDEX('Items'!$D$6:$D$1005,MATCH(D541,'Items'!$A$6:$A$1005,0)),"MISSING ID")</x:f>
        <x:v>Crafting components</x:v>
      </x:c>
      <x:c r="H541" s="4" t="str">
        <x:f>IFERROR(INDEX('Items'!$X$6:$X$1005,MATCH(D541,'Items'!$A$6:$A$1005,0)),"MISSING ID")</x:f>
        <x:v>Chemical material</x:v>
      </x:c>
      <x:c r="I541" s="4"/>
      <x:c r="J541" s="4" t="str">
        <x:v>Unspecified</x:v>
      </x:c>
      <x:c r="K541" s="4" t="str">
        <x:f>IFERROR(INDEX('Crafting recipes'!$D$6:$D$1005,MATCH(B541,'Crafting recipes'!$A$6:$A$1005,0)),"MISSING ID")</x:f>
        <x:v>Proposal</x:v>
      </x:c>
      <x:c r="L541" s="4" t="str">
        <x:f>IFERROR(INDEX('Items'!$AD$6:$AD$1005,MATCH(D541,'Items'!$A$6:$A$1005,0)),"MISSING ID")</x:f>
        <x:v>Proposal</x:v>
      </x:c>
      <x:c r="M541" s="4" t="str">
        <x:f>IFERROR(INDEX('Crafting recipes'!$E$6:$E$1005,MATCH(B541,'Crafting recipes'!$A$6:$A$1005,0)),"MISSING ID")</x:f>
        <x:v>Partial proposal</x:v>
      </x:c>
      <x:c r="N541" s="4" t="str">
        <x:v>Candidate relationship only; quantity, yield and full recipe remain undefined.</x:v>
      </x:c>
      <x:c r="O541" s="4" t="str">
        <x:v>New October 15 tier-review proposal; user-authorized item audit and Docs/WORLD_BASIS.md. No source-canon or implemented-recipe claim.</x:v>
      </x:c>
      <x:c r="P541" s="4" t="n">
        <x:f>IF(OR(C541="Ingredient candidate",C541="Consumed input",C541="Contained input",C541="Transform input"),IF(F541="T0",0,IF(F541="T1",1,IF(F541="T2",2,IF(F541="T3",3,IF(F541="T4",4,-1))))),-1)</x:f>
        <x:v>-1</x:v>
      </x:c>
      <x:c r="Q541" s="4" t="n">
        <x:f>IF(AND(OR(C541="Ingredient candidate",C541="Consumed input",C541="Contained input",C541="Transform input"),P541=-1),1,0)</x:f>
        <x:v>0</x:v>
      </x:c>
    </x:row>
    <x:row r="542" ht="115" customHeight="1">
      <x:c r="A542" s="4" t="str">
        <x:v>design.review.proposal_lubricant_insulating_grease.in.1</x:v>
      </x:c>
      <x:c r="B542" s="4" t="str">
        <x:v>design.review.proposal_lubricant_insulating_grease</x:v>
      </x:c>
      <x:c r="C542" s="4" t="str">
        <x:v>Ingredient candidate</x:v>
      </x:c>
      <x:c r="D542" s="4" t="str">
        <x:v>proposal.lubricant.base</x:v>
      </x:c>
      <x:c r="E542" s="4" t="str">
        <x:f>IFERROR(INDEX('Items'!$B$6:$B$1005,MATCH(D542,'Items'!$A$6:$A$1005,0)),"MISSING ID")</x:f>
        <x:v>Clarified faunal lubricant base</x:v>
      </x:c>
      <x:c r="F542" s="4" t="str">
        <x:f>IFERROR(INDEX('Items'!$C$6:$C$1005,MATCH(D542,'Items'!$A$6:$A$1005,0)),"MISSING ID")</x:f>
        <x:v>T1</x:v>
      </x:c>
      <x:c r="G542" s="4" t="str">
        <x:f>IFERROR(INDEX('Items'!$D$6:$D$1005,MATCH(D542,'Items'!$A$6:$A$1005,0)),"MISSING ID")</x:f>
        <x:v>Crafting components</x:v>
      </x:c>
      <x:c r="H542" s="4" t="str">
        <x:f>IFERROR(INDEX('Items'!$X$6:$X$1005,MATCH(D542,'Items'!$A$6:$A$1005,0)),"MISSING ID")</x:f>
        <x:v>Chemical material</x:v>
      </x:c>
      <x:c r="I542" s="4"/>
      <x:c r="J542" s="4" t="str">
        <x:v>Unspecified</x:v>
      </x:c>
      <x:c r="K542" s="4" t="str">
        <x:f>IFERROR(INDEX('Crafting recipes'!$D$6:$D$1005,MATCH(B542,'Crafting recipes'!$A$6:$A$1005,0)),"MISSING ID")</x:f>
        <x:v>Proposal</x:v>
      </x:c>
      <x:c r="L542" s="4" t="str">
        <x:f>IFERROR(INDEX('Items'!$AD$6:$AD$1005,MATCH(D542,'Items'!$A$6:$A$1005,0)),"MISSING ID")</x:f>
        <x:v>Proposal</x:v>
      </x:c>
      <x:c r="M542" s="4" t="str">
        <x:f>IFERROR(INDEX('Crafting recipes'!$E$6:$E$1005,MATCH(B542,'Crafting recipes'!$A$6:$A$1005,0)),"MISSING ID")</x:f>
        <x:v>Partial proposal</x:v>
      </x:c>
      <x:c r="N542" s="4" t="str">
        <x:v>Candidate relationship only; quantity, yield and full recipe remain undefined.</x:v>
      </x:c>
      <x:c r="O542" s="4" t="str">
        <x:v>New October 15 tier-review proposal; user-authorized item audit and Docs/WORLD_BASIS.md. No source-canon or implemented-recipe claim.</x:v>
      </x:c>
      <x:c r="P542" s="4" t="n">
        <x:f>IF(OR(C542="Ingredient candidate",C542="Consumed input",C542="Contained input",C542="Transform input"),IF(F542="T0",0,IF(F542="T1",1,IF(F542="T2",2,IF(F542="T3",3,IF(F542="T4",4,-1))))),-1)</x:f>
        <x:v>1</x:v>
      </x:c>
      <x:c r="Q542" s="4" t="n">
        <x:f>IF(AND(OR(C542="Ingredient candidate",C542="Consumed input",C542="Contained input",C542="Transform input"),P542=-1),1,0)</x:f>
        <x:v>0</x:v>
      </x:c>
    </x:row>
    <x:row r="543" ht="115" customHeight="1">
      <x:c r="A543" s="4" t="str">
        <x:v>design.review.proposal_lubricant_insulating_grease.in.2</x:v>
      </x:c>
      <x:c r="B543" s="4" t="str">
        <x:v>design.review.proposal_lubricant_insulating_grease</x:v>
      </x:c>
      <x:c r="C543" s="4" t="str">
        <x:v>Ingredient candidate</x:v>
      </x:c>
      <x:c r="D543" s="4" t="str">
        <x:v>proposal.lubricant.thickener</x:v>
      </x:c>
      <x:c r="E543" s="4" t="str">
        <x:f>IFERROR(INDEX('Items'!$B$6:$B$1005,MATCH(D543,'Items'!$A$6:$A$1005,0)),"MISSING ID")</x:f>
        <x:v>Prepared secretion thickener</x:v>
      </x:c>
      <x:c r="F543" s="4" t="str">
        <x:f>IFERROR(INDEX('Items'!$C$6:$C$1005,MATCH(D543,'Items'!$A$6:$A$1005,0)),"MISSING ID")</x:f>
        <x:v>T1</x:v>
      </x:c>
      <x:c r="G543" s="4" t="str">
        <x:f>IFERROR(INDEX('Items'!$D$6:$D$1005,MATCH(D543,'Items'!$A$6:$A$1005,0)),"MISSING ID")</x:f>
        <x:v>Crafting components</x:v>
      </x:c>
      <x:c r="H543" s="4" t="str">
        <x:f>IFERROR(INDEX('Items'!$X$6:$X$1005,MATCH(D543,'Items'!$A$6:$A$1005,0)),"MISSING ID")</x:f>
        <x:v>Chemical material</x:v>
      </x:c>
      <x:c r="I543" s="4"/>
      <x:c r="J543" s="4" t="str">
        <x:v>Unspecified</x:v>
      </x:c>
      <x:c r="K543" s="4" t="str">
        <x:f>IFERROR(INDEX('Crafting recipes'!$D$6:$D$1005,MATCH(B543,'Crafting recipes'!$A$6:$A$1005,0)),"MISSING ID")</x:f>
        <x:v>Proposal</x:v>
      </x:c>
      <x:c r="L543" s="4" t="str">
        <x:f>IFERROR(INDEX('Items'!$AD$6:$AD$1005,MATCH(D543,'Items'!$A$6:$A$1005,0)),"MISSING ID")</x:f>
        <x:v>Proposal</x:v>
      </x:c>
      <x:c r="M543" s="4" t="str">
        <x:f>IFERROR(INDEX('Crafting recipes'!$E$6:$E$1005,MATCH(B543,'Crafting recipes'!$A$6:$A$1005,0)),"MISSING ID")</x:f>
        <x:v>Partial proposal</x:v>
      </x:c>
      <x:c r="N543" s="4" t="str">
        <x:v>Candidate relationship only; quantity, yield and full recipe remain undefined.</x:v>
      </x:c>
      <x:c r="O543" s="4" t="str">
        <x:v>New October 15 tier-review proposal; user-authorized item audit and Docs/WORLD_BASIS.md. No source-canon or implemented-recipe claim.</x:v>
      </x:c>
      <x:c r="P543" s="4" t="n">
        <x:f>IF(OR(C543="Ingredient candidate",C543="Consumed input",C543="Contained input",C543="Transform input"),IF(F543="T0",0,IF(F543="T1",1,IF(F543="T2",2,IF(F543="T3",3,IF(F543="T4",4,-1))))),-1)</x:f>
        <x:v>1</x:v>
      </x:c>
      <x:c r="Q543" s="4" t="n">
        <x:f>IF(AND(OR(C543="Ingredient candidate",C543="Consumed input",C543="Contained input",C543="Transform input"),P543=-1),1,0)</x:f>
        <x:v>0</x:v>
      </x:c>
    </x:row>
    <x:row r="544" ht="115" customHeight="1">
      <x:c r="A544" s="4" t="str">
        <x:v>design.review.proposal_lubricant_insulating_grease.in.3</x:v>
      </x:c>
      <x:c r="B544" s="4" t="str">
        <x:v>design.review.proposal_lubricant_insulating_grease</x:v>
      </x:c>
      <x:c r="C544" s="4" t="str">
        <x:v>Ingredient candidate</x:v>
      </x:c>
      <x:c r="D544" s="4" t="str">
        <x:v>proposal.t1.mica_flakes</x:v>
      </x:c>
      <x:c r="E544" s="4" t="str">
        <x:f>IFERROR(INDEX('Items'!$B$6:$B$1005,MATCH(D544,'Items'!$A$6:$A$1005,0)),"MISSING ID")</x:f>
        <x:v>Separated mica flake grade</x:v>
      </x:c>
      <x:c r="F544" s="4" t="str">
        <x:f>IFERROR(INDEX('Items'!$C$6:$C$1005,MATCH(D544,'Items'!$A$6:$A$1005,0)),"MISSING ID")</x:f>
        <x:v>T1</x:v>
      </x:c>
      <x:c r="G544" s="4" t="str">
        <x:f>IFERROR(INDEX('Items'!$D$6:$D$1005,MATCH(D544,'Items'!$A$6:$A$1005,0)),"MISSING ID")</x:f>
        <x:v>Manufactured stock</x:v>
      </x:c>
      <x:c r="H544" s="4" t="str">
        <x:f>IFERROR(INDEX('Items'!$X$6:$X$1005,MATCH(D544,'Items'!$A$6:$A$1005,0)),"MISSING ID")</x:f>
        <x:v>Processed material</x:v>
      </x:c>
      <x:c r="I544" s="4"/>
      <x:c r="J544" s="4" t="str">
        <x:v>Unspecified</x:v>
      </x:c>
      <x:c r="K544" s="4" t="str">
        <x:f>IFERROR(INDEX('Crafting recipes'!$D$6:$D$1005,MATCH(B544,'Crafting recipes'!$A$6:$A$1005,0)),"MISSING ID")</x:f>
        <x:v>Proposal</x:v>
      </x:c>
      <x:c r="L544" s="4" t="str">
        <x:f>IFERROR(INDEX('Items'!$AD$6:$AD$1005,MATCH(D544,'Items'!$A$6:$A$1005,0)),"MISSING ID")</x:f>
        <x:v>Proposal</x:v>
      </x:c>
      <x:c r="M544" s="4" t="str">
        <x:f>IFERROR(INDEX('Crafting recipes'!$E$6:$E$1005,MATCH(B544,'Crafting recipes'!$A$6:$A$1005,0)),"MISSING ID")</x:f>
        <x:v>Partial proposal</x:v>
      </x:c>
      <x:c r="N544" s="4" t="str">
        <x:v>Candidate relationship only; quantity, yield and full recipe remain undefined.</x:v>
      </x:c>
      <x:c r="O544" s="4" t="str">
        <x:v>New October 15 tier-review proposal; user-authorized item audit and Docs/WORLD_BASIS.md. No source-canon or implemented-recipe claim.</x:v>
      </x:c>
      <x:c r="P544" s="4" t="n">
        <x:f>IF(OR(C544="Ingredient candidate",C544="Consumed input",C544="Contained input",C544="Transform input"),IF(F544="T0",0,IF(F544="T1",1,IF(F544="T2",2,IF(F544="T3",3,IF(F544="T4",4,-1))))),-1)</x:f>
        <x:v>1</x:v>
      </x:c>
      <x:c r="Q544" s="4" t="n">
        <x:f>IF(AND(OR(C544="Ingredient candidate",C544="Consumed input",C544="Contained input",C544="Transform input"),P544=-1),1,0)</x:f>
        <x:v>0</x:v>
      </x:c>
    </x:row>
    <x:row r="545" ht="115" customHeight="1">
      <x:c r="A545" s="4" t="str">
        <x:v>design.review.proposal_lubricant_insulating_grease.out</x:v>
      </x:c>
      <x:c r="B545" s="4" t="str">
        <x:v>design.review.proposal_lubricant_insulating_grease</x:v>
      </x:c>
      <x:c r="C545" s="4" t="str">
        <x:v>Output</x:v>
      </x:c>
      <x:c r="D545" s="4" t="str">
        <x:v>proposal.lubricant.insulating_grease</x:v>
      </x:c>
      <x:c r="E545" s="4" t="str">
        <x:f>IFERROR(INDEX('Items'!$B$6:$B$1005,MATCH(D545,'Items'!$A$6:$A$1005,0)),"MISSING ID")</x:f>
        <x:v>Electrically insulating grease</x:v>
      </x:c>
      <x:c r="F545" s="4" t="str">
        <x:f>IFERROR(INDEX('Items'!$C$6:$C$1005,MATCH(D545,'Items'!$A$6:$A$1005,0)),"MISSING ID")</x:f>
        <x:v>T2</x:v>
      </x:c>
      <x:c r="G545" s="4" t="str">
        <x:f>IFERROR(INDEX('Items'!$D$6:$D$1005,MATCH(D545,'Items'!$A$6:$A$1005,0)),"MISSING ID")</x:f>
        <x:v>Crafting components</x:v>
      </x:c>
      <x:c r="H545" s="4" t="str">
        <x:f>IFERROR(INDEX('Items'!$X$6:$X$1005,MATCH(D545,'Items'!$A$6:$A$1005,0)),"MISSING ID")</x:f>
        <x:v>Chemical material</x:v>
      </x:c>
      <x:c r="I545" s="4"/>
      <x:c r="J545" s="4" t="str">
        <x:v>Unspecified</x:v>
      </x:c>
      <x:c r="K545" s="4" t="str">
        <x:f>IFERROR(INDEX('Crafting recipes'!$D$6:$D$1005,MATCH(B545,'Crafting recipes'!$A$6:$A$1005,0)),"MISSING ID")</x:f>
        <x:v>Proposal</x:v>
      </x:c>
      <x:c r="L545" s="4" t="str">
        <x:f>IFERROR(INDEX('Items'!$AD$6:$AD$1005,MATCH(D545,'Items'!$A$6:$A$1005,0)),"MISSING ID")</x:f>
        <x:v>Proposal</x:v>
      </x:c>
      <x:c r="M545" s="4" t="str">
        <x:f>IFERROR(INDEX('Crafting recipes'!$E$6:$E$1005,MATCH(B545,'Crafting recipes'!$A$6:$A$1005,0)),"MISSING ID")</x:f>
        <x:v>Partial proposal</x:v>
      </x:c>
      <x:c r="N545" s="4" t="str">
        <x:v>Candidate relationship only; quantity, yield and full recipe remain undefined.</x:v>
      </x:c>
      <x:c r="O545" s="4" t="str">
        <x:v>New October 15 tier-review proposal; user-authorized item audit and Docs/WORLD_BASIS.md. No source-canon or implemented-recipe claim.</x:v>
      </x:c>
      <x:c r="P545" s="4" t="n">
        <x:f>IF(OR(C545="Ingredient candidate",C545="Consumed input",C545="Contained input",C545="Transform input"),IF(F545="T0",0,IF(F545="T1",1,IF(F545="T2",2,IF(F545="T3",3,IF(F545="T4",4,-1))))),-1)</x:f>
        <x:v>-1</x:v>
      </x:c>
      <x:c r="Q545" s="4" t="n">
        <x:f>IF(AND(OR(C545="Ingredient candidate",C545="Consumed input",C545="Contained input",C545="Transform input"),P545=-1),1,0)</x:f>
        <x:v>0</x:v>
      </x:c>
    </x:row>
    <x:row r="546" ht="115" customHeight="1">
      <x:c r="A546" s="4" t="str">
        <x:v>design.review.proposal_wind_folding_frame.in.1</x:v>
      </x:c>
      <x:c r="B546" s="4" t="str">
        <x:v>design.review.proposal_wind_folding_frame</x:v>
      </x:c>
      <x:c r="C546" s="4" t="str">
        <x:v>Ingredient candidate</x:v>
      </x:c>
      <x:c r="D546" s="4" t="str">
        <x:v>proposal.t3.precision_tube</x:v>
      </x:c>
      <x:c r="E546" s="4" t="str">
        <x:f>IFERROR(INDEX('Items'!$B$6:$B$1005,MATCH(D546,'Items'!$A$6:$A$1005,0)),"MISSING ID")</x:f>
        <x:v>Drawn steel tube stock</x:v>
      </x:c>
      <x:c r="F546" s="4" t="str">
        <x:f>IFERROR(INDEX('Items'!$C$6:$C$1005,MATCH(D546,'Items'!$A$6:$A$1005,0)),"MISSING ID")</x:f>
        <x:v>T3</x:v>
      </x:c>
      <x:c r="G546" s="4" t="str">
        <x:f>IFERROR(INDEX('Items'!$D$6:$D$1005,MATCH(D546,'Items'!$A$6:$A$1005,0)),"MISSING ID")</x:f>
        <x:v>Manufactured stock</x:v>
      </x:c>
      <x:c r="H546" s="4" t="str">
        <x:f>IFERROR(INDEX('Items'!$X$6:$X$1005,MATCH(D546,'Items'!$A$6:$A$1005,0)),"MISSING ID")</x:f>
        <x:v>Processed material</x:v>
      </x:c>
      <x:c r="I546" s="4"/>
      <x:c r="J546" s="4" t="str">
        <x:v>Unspecified</x:v>
      </x:c>
      <x:c r="K546" s="4" t="str">
        <x:f>IFERROR(INDEX('Crafting recipes'!$D$6:$D$1005,MATCH(B546,'Crafting recipes'!$A$6:$A$1005,0)),"MISSING ID")</x:f>
        <x:v>Proposal</x:v>
      </x:c>
      <x:c r="L546" s="4" t="str">
        <x:f>IFERROR(INDEX('Items'!$AD$6:$AD$1005,MATCH(D546,'Items'!$A$6:$A$1005,0)),"MISSING ID")</x:f>
        <x:v>Proposal</x:v>
      </x:c>
      <x:c r="M546" s="4" t="str">
        <x:f>IFERROR(INDEX('Crafting recipes'!$E$6:$E$1005,MATCH(B546,'Crafting recipes'!$A$6:$A$1005,0)),"MISSING ID")</x:f>
        <x:v>Partial proposal</x:v>
      </x:c>
      <x:c r="N546" s="4" t="str">
        <x:v>Candidate relationship only; quantity, yield and full recipe remain undefined.</x:v>
      </x:c>
      <x:c r="O546" s="4" t="str">
        <x:v>New October 15 tier-review proposal; user-authorized item audit and Docs/WORLD_BASIS.md. No source-canon or implemented-recipe claim.</x:v>
      </x:c>
      <x:c r="P546" s="4" t="n">
        <x:f>IF(OR(C546="Ingredient candidate",C546="Consumed input",C546="Contained input",C546="Transform input"),IF(F546="T0",0,IF(F546="T1",1,IF(F546="T2",2,IF(F546="T3",3,IF(F546="T4",4,-1))))),-1)</x:f>
        <x:v>3</x:v>
      </x:c>
      <x:c r="Q546" s="4" t="n">
        <x:f>IF(AND(OR(C546="Ingredient candidate",C546="Consumed input",C546="Contained input",C546="Transform input"),P546=-1),1,0)</x:f>
        <x:v>0</x:v>
      </x:c>
    </x:row>
    <x:row r="547" ht="115" customHeight="1">
      <x:c r="A547" s="4" t="str">
        <x:v>design.review.proposal_wind_folding_frame.in.2</x:v>
      </x:c>
      <x:c r="B547" s="4" t="str">
        <x:v>design.review.proposal_wind_folding_frame</x:v>
      </x:c>
      <x:c r="C547" s="4" t="str">
        <x:v>Ingredient candidate</x:v>
      </x:c>
      <x:c r="D547" s="4" t="str">
        <x:v>proposal.branch.spring_steel</x:v>
      </x:c>
      <x:c r="E547" s="4" t="str">
        <x:f>IFERROR(INDEX('Items'!$B$6:$B$1005,MATCH(D547,'Items'!$A$6:$A$1005,0)),"MISSING ID")</x:f>
        <x:v>Spring-grade steel stock</x:v>
      </x:c>
      <x:c r="F547" s="4" t="str">
        <x:f>IFERROR(INDEX('Items'!$C$6:$C$1005,MATCH(D547,'Items'!$A$6:$A$1005,0)),"MISSING ID")</x:f>
        <x:v>T3</x:v>
      </x:c>
      <x:c r="G547" s="4" t="str">
        <x:f>IFERROR(INDEX('Items'!$D$6:$D$1005,MATCH(D547,'Items'!$A$6:$A$1005,0)),"MISSING ID")</x:f>
        <x:v>Manufactured stock</x:v>
      </x:c>
      <x:c r="H547" s="4" t="str">
        <x:f>IFERROR(INDEX('Items'!$X$6:$X$1005,MATCH(D547,'Items'!$A$6:$A$1005,0)),"MISSING ID")</x:f>
        <x:v>Processed material</x:v>
      </x:c>
      <x:c r="I547" s="4"/>
      <x:c r="J547" s="4" t="str">
        <x:v>Unspecified</x:v>
      </x:c>
      <x:c r="K547" s="4" t="str">
        <x:f>IFERROR(INDEX('Crafting recipes'!$D$6:$D$1005,MATCH(B547,'Crafting recipes'!$A$6:$A$1005,0)),"MISSING ID")</x:f>
        <x:v>Proposal</x:v>
      </x:c>
      <x:c r="L547" s="4" t="str">
        <x:f>IFERROR(INDEX('Items'!$AD$6:$AD$1005,MATCH(D547,'Items'!$A$6:$A$1005,0)),"MISSING ID")</x:f>
        <x:v>Proposal</x:v>
      </x:c>
      <x:c r="M547" s="4" t="str">
        <x:f>IFERROR(INDEX('Crafting recipes'!$E$6:$E$1005,MATCH(B547,'Crafting recipes'!$A$6:$A$1005,0)),"MISSING ID")</x:f>
        <x:v>Partial proposal</x:v>
      </x:c>
      <x:c r="N547" s="4" t="str">
        <x:v>Candidate relationship only; quantity, yield and full recipe remain undefined.</x:v>
      </x:c>
      <x:c r="O547" s="4" t="str">
        <x:v>New October 15 tier-review proposal; user-authorized item audit and Docs/WORLD_BASIS.md. No source-canon or implemented-recipe claim.</x:v>
      </x:c>
      <x:c r="P547" s="4" t="n">
        <x:f>IF(OR(C547="Ingredient candidate",C547="Consumed input",C547="Contained input",C547="Transform input"),IF(F547="T0",0,IF(F547="T1",1,IF(F547="T2",2,IF(F547="T3",3,IF(F547="T4",4,-1))))),-1)</x:f>
        <x:v>3</x:v>
      </x:c>
      <x:c r="Q547" s="4" t="n">
        <x:f>IF(AND(OR(C547="Ingredient candidate",C547="Consumed input",C547="Contained input",C547="Transform input"),P547=-1),1,0)</x:f>
        <x:v>0</x:v>
      </x:c>
    </x:row>
    <x:row r="548" ht="115" customHeight="1">
      <x:c r="A548" s="4" t="str">
        <x:v>design.review.proposal_wind_folding_frame.in.3</x:v>
      </x:c>
      <x:c r="B548" s="4" t="str">
        <x:v>design.review.proposal_wind_folding_frame</x:v>
      </x:c>
      <x:c r="C548" s="4" t="str">
        <x:v>Ingredient candidate</x:v>
      </x:c>
      <x:c r="D548" s="4" t="str">
        <x:v>proposal.branch.bearing_bronze</x:v>
      </x:c>
      <x:c r="E548" s="4" t="str">
        <x:f>IFERROR(INDEX('Items'!$B$6:$B$1005,MATCH(D548,'Items'!$A$6:$A$1005,0)),"MISSING ID")</x:f>
        <x:v>Prepared bronze bearing stock</x:v>
      </x:c>
      <x:c r="F548" s="4" t="str">
        <x:f>IFERROR(INDEX('Items'!$C$6:$C$1005,MATCH(D548,'Items'!$A$6:$A$1005,0)),"MISSING ID")</x:f>
        <x:v>T2</x:v>
      </x:c>
      <x:c r="G548" s="4" t="str">
        <x:f>IFERROR(INDEX('Items'!$D$6:$D$1005,MATCH(D548,'Items'!$A$6:$A$1005,0)),"MISSING ID")</x:f>
        <x:v>Manufactured stock</x:v>
      </x:c>
      <x:c r="H548" s="4" t="str">
        <x:f>IFERROR(INDEX('Items'!$X$6:$X$1005,MATCH(D548,'Items'!$A$6:$A$1005,0)),"MISSING ID")</x:f>
        <x:v>Processed material</x:v>
      </x:c>
      <x:c r="I548" s="4"/>
      <x:c r="J548" s="4" t="str">
        <x:v>Unspecified</x:v>
      </x:c>
      <x:c r="K548" s="4" t="str">
        <x:f>IFERROR(INDEX('Crafting recipes'!$D$6:$D$1005,MATCH(B548,'Crafting recipes'!$A$6:$A$1005,0)),"MISSING ID")</x:f>
        <x:v>Proposal</x:v>
      </x:c>
      <x:c r="L548" s="4" t="str">
        <x:f>IFERROR(INDEX('Items'!$AD$6:$AD$1005,MATCH(D548,'Items'!$A$6:$A$1005,0)),"MISSING ID")</x:f>
        <x:v>Proposal</x:v>
      </x:c>
      <x:c r="M548" s="4" t="str">
        <x:f>IFERROR(INDEX('Crafting recipes'!$E$6:$E$1005,MATCH(B548,'Crafting recipes'!$A$6:$A$1005,0)),"MISSING ID")</x:f>
        <x:v>Partial proposal</x:v>
      </x:c>
      <x:c r="N548" s="4" t="str">
        <x:v>Candidate relationship only; quantity, yield and full recipe remain undefined.</x:v>
      </x:c>
      <x:c r="O548" s="4" t="str">
        <x:v>New October 15 tier-review proposal; user-authorized item audit and Docs/WORLD_BASIS.md. No source-canon or implemented-recipe claim.</x:v>
      </x:c>
      <x:c r="P548" s="4" t="n">
        <x:f>IF(OR(C548="Ingredient candidate",C548="Consumed input",C548="Contained input",C548="Transform input"),IF(F548="T0",0,IF(F548="T1",1,IF(F548="T2",2,IF(F548="T3",3,IF(F548="T4",4,-1))))),-1)</x:f>
        <x:v>2</x:v>
      </x:c>
      <x:c r="Q548" s="4" t="n">
        <x:f>IF(AND(OR(C548="Ingredient candidate",C548="Consumed input",C548="Contained input",C548="Transform input"),P548=-1),1,0)</x:f>
        <x:v>0</x:v>
      </x:c>
    </x:row>
    <x:row r="549" ht="115" customHeight="1">
      <x:c r="A549" s="4" t="str">
        <x:v>design.review.proposal_wind_folding_frame.out</x:v>
      </x:c>
      <x:c r="B549" s="4" t="str">
        <x:v>design.review.proposal_wind_folding_frame</x:v>
      </x:c>
      <x:c r="C549" s="4" t="str">
        <x:v>Output</x:v>
      </x:c>
      <x:c r="D549" s="4" t="str">
        <x:v>proposal.wind.folding_frame</x:v>
      </x:c>
      <x:c r="E549" s="4" t="str">
        <x:f>IFERROR(INDEX('Items'!$B$6:$B$1005,MATCH(D549,'Items'!$A$6:$A$1005,0)),"MISSING ID")</x:f>
        <x:v>Collapsible sail frame</x:v>
      </x:c>
      <x:c r="F549" s="4" t="str">
        <x:f>IFERROR(INDEX('Items'!$C$6:$C$1005,MATCH(D549,'Items'!$A$6:$A$1005,0)),"MISSING ID")</x:f>
        <x:v>T4</x:v>
      </x:c>
      <x:c r="G549" s="4" t="str">
        <x:f>IFERROR(INDEX('Items'!$D$6:$D$1005,MATCH(D549,'Items'!$A$6:$A$1005,0)),"MISSING ID")</x:f>
        <x:v>Salvage</x:v>
      </x:c>
      <x:c r="H549" s="4" t="str">
        <x:f>IFERROR(INDEX('Items'!$X$6:$X$1005,MATCH(D549,'Items'!$A$6:$A$1005,0)),"MISSING ID")</x:f>
        <x:v>Crafting component</x:v>
      </x:c>
      <x:c r="I549" s="4"/>
      <x:c r="J549" s="4" t="str">
        <x:v>Unspecified</x:v>
      </x:c>
      <x:c r="K549" s="4" t="str">
        <x:f>IFERROR(INDEX('Crafting recipes'!$D$6:$D$1005,MATCH(B549,'Crafting recipes'!$A$6:$A$1005,0)),"MISSING ID")</x:f>
        <x:v>Proposal</x:v>
      </x:c>
      <x:c r="L549" s="4" t="str">
        <x:f>IFERROR(INDEX('Items'!$AD$6:$AD$1005,MATCH(D549,'Items'!$A$6:$A$1005,0)),"MISSING ID")</x:f>
        <x:v>Proposal</x:v>
      </x:c>
      <x:c r="M549" s="4" t="str">
        <x:f>IFERROR(INDEX('Crafting recipes'!$E$6:$E$1005,MATCH(B549,'Crafting recipes'!$A$6:$A$1005,0)),"MISSING ID")</x:f>
        <x:v>Partial proposal</x:v>
      </x:c>
      <x:c r="N549" s="4" t="str">
        <x:v>Candidate relationship only; quantity, yield and full recipe remain undefined.</x:v>
      </x:c>
      <x:c r="O549" s="4" t="str">
        <x:v>New October 15 tier-review proposal; user-authorized item audit and Docs/WORLD_BASIS.md. No source-canon or implemented-recipe claim.</x:v>
      </x:c>
      <x:c r="P549" s="4" t="n">
        <x:f>IF(OR(C549="Ingredient candidate",C549="Consumed input",C549="Contained input",C549="Transform input"),IF(F549="T0",0,IF(F549="T1",1,IF(F549="T2",2,IF(F549="T3",3,IF(F549="T4",4,-1))))),-1)</x:f>
        <x:v>-1</x:v>
      </x:c>
      <x:c r="Q549" s="4" t="n">
        <x:f>IF(AND(OR(C549="Ingredient candidate",C549="Consumed input",C549="Contained input",C549="Transform input"),P549=-1),1,0)</x:f>
        <x:v>0</x:v>
      </x:c>
    </x:row>
    <x:row r="550" ht="115" customHeight="1">
      <x:c r="A550" s="4" t="str">
        <x:v>design.review.proposal_wind_sail_grip.in.1</x:v>
      </x:c>
      <x:c r="B550" s="4" t="str">
        <x:v>design.review.proposal_wind_sail_grip</x:v>
      </x:c>
      <x:c r="C550" s="4" t="str">
        <x:v>Ingredient candidate</x:v>
      </x:c>
      <x:c r="D550" s="4" t="str">
        <x:v>author.metallurgy.steel_stock</x:v>
      </x:c>
      <x:c r="E550" s="4" t="str">
        <x:f>IFERROR(INDEX('Items'!$B$6:$B$1005,MATCH(D550,'Items'!$A$6:$A$1005,0)),"MISSING ID")</x:f>
        <x:v>Steel stock</x:v>
      </x:c>
      <x:c r="F550" s="4" t="str">
        <x:f>IFERROR(INDEX('Items'!$C$6:$C$1005,MATCH(D550,'Items'!$A$6:$A$1005,0)),"MISSING ID")</x:f>
        <x:v>T2</x:v>
      </x:c>
      <x:c r="G550" s="4" t="str">
        <x:f>IFERROR(INDEX('Items'!$D$6:$D$1005,MATCH(D550,'Items'!$A$6:$A$1005,0)),"MISSING ID")</x:f>
        <x:v>Manufactured stock</x:v>
      </x:c>
      <x:c r="H550" s="4" t="str">
        <x:f>IFERROR(INDEX('Items'!$X$6:$X$1005,MATCH(D550,'Items'!$A$6:$A$1005,0)),"MISSING ID")</x:f>
        <x:v>Processed material</x:v>
      </x:c>
      <x:c r="I550" s="4"/>
      <x:c r="J550" s="4" t="str">
        <x:v>Unspecified</x:v>
      </x:c>
      <x:c r="K550" s="4" t="str">
        <x:f>IFERROR(INDEX('Crafting recipes'!$D$6:$D$1005,MATCH(B550,'Crafting recipes'!$A$6:$A$1005,0)),"MISSING ID")</x:f>
        <x:v>Proposal</x:v>
      </x:c>
      <x:c r="L550" s="4" t="str">
        <x:f>IFERROR(INDEX('Items'!$AD$6:$AD$1005,MATCH(D550,'Items'!$A$6:$A$1005,0)),"MISSING ID")</x:f>
        <x:v>Author direction</x:v>
      </x:c>
      <x:c r="M550" s="4" t="str">
        <x:f>IFERROR(INDEX('Crafting recipes'!$E$6:$E$1005,MATCH(B550,'Crafting recipes'!$A$6:$A$1005,0)),"MISSING ID")</x:f>
        <x:v>Partial proposal</x:v>
      </x:c>
      <x:c r="N550" s="4" t="str">
        <x:v>Candidate relationship only; quantity, yield and full recipe remain undefined.</x:v>
      </x:c>
      <x:c r="O550" s="4" t="str">
        <x:v>New October 15 tier-review proposal; user-authorized item audit and Docs/WORLD_BASIS.md. No source-canon or implemented-recipe claim.</x:v>
      </x:c>
      <x:c r="P550" s="4" t="n">
        <x:f>IF(OR(C550="Ingredient candidate",C550="Consumed input",C550="Contained input",C550="Transform input"),IF(F550="T0",0,IF(F550="T1",1,IF(F550="T2",2,IF(F550="T3",3,IF(F550="T4",4,-1))))),-1)</x:f>
        <x:v>2</x:v>
      </x:c>
      <x:c r="Q550" s="4" t="n">
        <x:f>IF(AND(OR(C550="Ingredient candidate",C550="Consumed input",C550="Contained input",C550="Transform input"),P550=-1),1,0)</x:f>
        <x:v>0</x:v>
      </x:c>
    </x:row>
    <x:row r="551" ht="115" customHeight="1">
      <x:c r="A551" s="4" t="str">
        <x:v>design.review.proposal_wind_sail_grip.in.2</x:v>
      </x:c>
      <x:c r="B551" s="4" t="str">
        <x:v>design.review.proposal_wind_sail_grip</x:v>
      </x:c>
      <x:c r="C551" s="4" t="str">
        <x:v>Ingredient candidate</x:v>
      </x:c>
      <x:c r="D551" s="4" t="str">
        <x:v>proposal.bio.hide_material</x:v>
      </x:c>
      <x:c r="E551" s="4" t="str">
        <x:f>IFERROR(INDEX('Items'!$B$6:$B$1005,MATCH(D551,'Items'!$A$6:$A$1005,0)),"MISSING ID")</x:f>
        <x:v>Processed hide material</x:v>
      </x:c>
      <x:c r="F551" s="4" t="str">
        <x:f>IFERROR(INDEX('Items'!$C$6:$C$1005,MATCH(D551,'Items'!$A$6:$A$1005,0)),"MISSING ID")</x:f>
        <x:v>T1</x:v>
      </x:c>
      <x:c r="G551" s="4" t="str">
        <x:f>IFERROR(INDEX('Items'!$D$6:$D$1005,MATCH(D551,'Items'!$A$6:$A$1005,0)),"MISSING ID")</x:f>
        <x:v>Crafting components</x:v>
      </x:c>
      <x:c r="H551" s="4" t="str">
        <x:f>IFERROR(INDEX('Items'!$X$6:$X$1005,MATCH(D551,'Items'!$A$6:$A$1005,0)),"MISSING ID")</x:f>
        <x:v>Processed material</x:v>
      </x:c>
      <x:c r="I551" s="4"/>
      <x:c r="J551" s="4" t="str">
        <x:v>Unspecified</x:v>
      </x:c>
      <x:c r="K551" s="4" t="str">
        <x:f>IFERROR(INDEX('Crafting recipes'!$D$6:$D$1005,MATCH(B551,'Crafting recipes'!$A$6:$A$1005,0)),"MISSING ID")</x:f>
        <x:v>Proposal</x:v>
      </x:c>
      <x:c r="L551" s="4" t="str">
        <x:f>IFERROR(INDEX('Items'!$AD$6:$AD$1005,MATCH(D551,'Items'!$A$6:$A$1005,0)),"MISSING ID")</x:f>
        <x:v>Author direction</x:v>
      </x:c>
      <x:c r="M551" s="4" t="str">
        <x:f>IFERROR(INDEX('Crafting recipes'!$E$6:$E$1005,MATCH(B551,'Crafting recipes'!$A$6:$A$1005,0)),"MISSING ID")</x:f>
        <x:v>Partial proposal</x:v>
      </x:c>
      <x:c r="N551" s="4" t="str">
        <x:v>Candidate relationship only; quantity, yield and full recipe remain undefined.</x:v>
      </x:c>
      <x:c r="O551" s="4" t="str">
        <x:v>New October 15 tier-review proposal; user-authorized item audit and Docs/WORLD_BASIS.md. No source-canon or implemented-recipe claim.</x:v>
      </x:c>
      <x:c r="P551" s="4" t="n">
        <x:f>IF(OR(C551="Ingredient candidate",C551="Consumed input",C551="Contained input",C551="Transform input"),IF(F551="T0",0,IF(F551="T1",1,IF(F551="T2",2,IF(F551="T3",3,IF(F551="T4",4,-1))))),-1)</x:f>
        <x:v>1</x:v>
      </x:c>
      <x:c r="Q551" s="4" t="n">
        <x:f>IF(AND(OR(C551="Ingredient candidate",C551="Consumed input",C551="Contained input",C551="Transform input"),P551=-1),1,0)</x:f>
        <x:v>0</x:v>
      </x:c>
    </x:row>
    <x:row r="552" ht="115" customHeight="1">
      <x:c r="A552" s="4" t="str">
        <x:v>design.review.proposal_wind_sail_grip.out</x:v>
      </x:c>
      <x:c r="B552" s="4" t="str">
        <x:v>design.review.proposal_wind_sail_grip</x:v>
      </x:c>
      <x:c r="C552" s="4" t="str">
        <x:v>Output</x:v>
      </x:c>
      <x:c r="D552" s="4" t="str">
        <x:v>proposal.wind.sail_grip</x:v>
      </x:c>
      <x:c r="E552" s="4" t="str">
        <x:f>IFERROR(INDEX('Items'!$B$6:$B$1005,MATCH(D552,'Items'!$A$6:$A$1005,0)),"MISSING ID")</x:f>
        <x:v>Hand-sail grip assembly</x:v>
      </x:c>
      <x:c r="F552" s="4" t="str">
        <x:f>IFERROR(INDEX('Items'!$C$6:$C$1005,MATCH(D552,'Items'!$A$6:$A$1005,0)),"MISSING ID")</x:f>
        <x:v>T3</x:v>
      </x:c>
      <x:c r="G552" s="4" t="str">
        <x:f>IFERROR(INDEX('Items'!$D$6:$D$1005,MATCH(D552,'Items'!$A$6:$A$1005,0)),"MISSING ID")</x:f>
        <x:v>Salvage</x:v>
      </x:c>
      <x:c r="H552" s="4" t="str">
        <x:f>IFERROR(INDEX('Items'!$X$6:$X$1005,MATCH(D552,'Items'!$A$6:$A$1005,0)),"MISSING ID")</x:f>
        <x:v>Crafting component</x:v>
      </x:c>
      <x:c r="I552" s="4"/>
      <x:c r="J552" s="4" t="str">
        <x:v>Unspecified</x:v>
      </x:c>
      <x:c r="K552" s="4" t="str">
        <x:f>IFERROR(INDEX('Crafting recipes'!$D$6:$D$1005,MATCH(B552,'Crafting recipes'!$A$6:$A$1005,0)),"MISSING ID")</x:f>
        <x:v>Proposal</x:v>
      </x:c>
      <x:c r="L552" s="4" t="str">
        <x:f>IFERROR(INDEX('Items'!$AD$6:$AD$1005,MATCH(D552,'Items'!$A$6:$A$1005,0)),"MISSING ID")</x:f>
        <x:v>Proposal</x:v>
      </x:c>
      <x:c r="M552" s="4" t="str">
        <x:f>IFERROR(INDEX('Crafting recipes'!$E$6:$E$1005,MATCH(B552,'Crafting recipes'!$A$6:$A$1005,0)),"MISSING ID")</x:f>
        <x:v>Partial proposal</x:v>
      </x:c>
      <x:c r="N552" s="4" t="str">
        <x:v>Candidate relationship only; quantity, yield and full recipe remain undefined.</x:v>
      </x:c>
      <x:c r="O552" s="4" t="str">
        <x:v>New October 15 tier-review proposal; user-authorized item audit and Docs/WORLD_BASIS.md. No source-canon or implemented-recipe claim.</x:v>
      </x:c>
      <x:c r="P552" s="4" t="n">
        <x:f>IF(OR(C552="Ingredient candidate",C552="Consumed input",C552="Contained input",C552="Transform input"),IF(F552="T0",0,IF(F552="T1",1,IF(F552="T2",2,IF(F552="T3",3,IF(F552="T4",4,-1))))),-1)</x:f>
        <x:v>-1</x:v>
      </x:c>
      <x:c r="Q552" s="4" t="n">
        <x:f>IF(AND(OR(C552="Ingredient candidate",C552="Consumed input",C552="Contained input",C552="Transform input"),P552=-1),1,0)</x:f>
        <x:v>0</x:v>
      </x:c>
    </x:row>
    <x:row r="553" ht="115" customHeight="1">
      <x:c r="A553" s="4" t="str">
        <x:v>design.review.proposal_wind_wheel.in.1</x:v>
      </x:c>
      <x:c r="B553" s="4" t="str">
        <x:v>design.review.proposal_wind_wheel</x:v>
      </x:c>
      <x:c r="C553" s="4" t="str">
        <x:v>Ingredient candidate</x:v>
      </x:c>
      <x:c r="D553" s="4" t="str">
        <x:v>proposal.t3.bearing_blank</x:v>
      </x:c>
      <x:c r="E553" s="4" t="str">
        <x:f>IFERROR(INDEX('Items'!$B$6:$B$1005,MATCH(D553,'Items'!$A$6:$A$1005,0)),"MISSING ID")</x:f>
        <x:v>Lapped bronze bearing blanks</x:v>
      </x:c>
      <x:c r="F553" s="4" t="str">
        <x:f>IFERROR(INDEX('Items'!$C$6:$C$1005,MATCH(D553,'Items'!$A$6:$A$1005,0)),"MISSING ID")</x:f>
        <x:v>T3</x:v>
      </x:c>
      <x:c r="G553" s="4" t="str">
        <x:f>IFERROR(INDEX('Items'!$D$6:$D$1005,MATCH(D553,'Items'!$A$6:$A$1005,0)),"MISSING ID")</x:f>
        <x:v>Crafting components</x:v>
      </x:c>
      <x:c r="H553" s="4" t="str">
        <x:f>IFERROR(INDEX('Items'!$X$6:$X$1005,MATCH(D553,'Items'!$A$6:$A$1005,0)),"MISSING ID")</x:f>
        <x:v>Crafting component</x:v>
      </x:c>
      <x:c r="I553" s="4"/>
      <x:c r="J553" s="4" t="str">
        <x:v>Unspecified</x:v>
      </x:c>
      <x:c r="K553" s="4" t="str">
        <x:f>IFERROR(INDEX('Crafting recipes'!$D$6:$D$1005,MATCH(B553,'Crafting recipes'!$A$6:$A$1005,0)),"MISSING ID")</x:f>
        <x:v>Proposal</x:v>
      </x:c>
      <x:c r="L553" s="4" t="str">
        <x:f>IFERROR(INDEX('Items'!$AD$6:$AD$1005,MATCH(D553,'Items'!$A$6:$A$1005,0)),"MISSING ID")</x:f>
        <x:v>Proposal</x:v>
      </x:c>
      <x:c r="M553" s="4" t="str">
        <x:f>IFERROR(INDEX('Crafting recipes'!$E$6:$E$1005,MATCH(B553,'Crafting recipes'!$A$6:$A$1005,0)),"MISSING ID")</x:f>
        <x:v>Partial proposal</x:v>
      </x:c>
      <x:c r="N553" s="4" t="str">
        <x:v>Candidate relationship only; quantity, yield and full recipe remain undefined.</x:v>
      </x:c>
      <x:c r="O553" s="4" t="str">
        <x:v>New October 15 tier-review proposal; user-authorized item audit and Docs/WORLD_BASIS.md. No source-canon or implemented-recipe claim.</x:v>
      </x:c>
      <x:c r="P553" s="4" t="n">
        <x:f>IF(OR(C553="Ingredient candidate",C553="Consumed input",C553="Contained input",C553="Transform input"),IF(F553="T0",0,IF(F553="T1",1,IF(F553="T2",2,IF(F553="T3",3,IF(F553="T4",4,-1))))),-1)</x:f>
        <x:v>3</x:v>
      </x:c>
      <x:c r="Q553" s="4" t="n">
        <x:f>IF(AND(OR(C553="Ingredient candidate",C553="Consumed input",C553="Contained input",C553="Transform input"),P553=-1),1,0)</x:f>
        <x:v>0</x:v>
      </x:c>
    </x:row>
    <x:row r="554" ht="115" customHeight="1">
      <x:c r="A554" s="4" t="str">
        <x:v>design.review.proposal_wind_wheel.in.2</x:v>
      </x:c>
      <x:c r="B554" s="4" t="str">
        <x:v>design.review.proposal_wind_wheel</x:v>
      </x:c>
      <x:c r="C554" s="4" t="str">
        <x:v>Ingredient candidate</x:v>
      </x:c>
      <x:c r="D554" s="4" t="str">
        <x:v>proposal.t3.precision_tube</x:v>
      </x:c>
      <x:c r="E554" s="4" t="str">
        <x:f>IFERROR(INDEX('Items'!$B$6:$B$1005,MATCH(D554,'Items'!$A$6:$A$1005,0)),"MISSING ID")</x:f>
        <x:v>Drawn steel tube stock</x:v>
      </x:c>
      <x:c r="F554" s="4" t="str">
        <x:f>IFERROR(INDEX('Items'!$C$6:$C$1005,MATCH(D554,'Items'!$A$6:$A$1005,0)),"MISSING ID")</x:f>
        <x:v>T3</x:v>
      </x:c>
      <x:c r="G554" s="4" t="str">
        <x:f>IFERROR(INDEX('Items'!$D$6:$D$1005,MATCH(D554,'Items'!$A$6:$A$1005,0)),"MISSING ID")</x:f>
        <x:v>Manufactured stock</x:v>
      </x:c>
      <x:c r="H554" s="4" t="str">
        <x:f>IFERROR(INDEX('Items'!$X$6:$X$1005,MATCH(D554,'Items'!$A$6:$A$1005,0)),"MISSING ID")</x:f>
        <x:v>Processed material</x:v>
      </x:c>
      <x:c r="I554" s="4"/>
      <x:c r="J554" s="4" t="str">
        <x:v>Unspecified</x:v>
      </x:c>
      <x:c r="K554" s="4" t="str">
        <x:f>IFERROR(INDEX('Crafting recipes'!$D$6:$D$1005,MATCH(B554,'Crafting recipes'!$A$6:$A$1005,0)),"MISSING ID")</x:f>
        <x:v>Proposal</x:v>
      </x:c>
      <x:c r="L554" s="4" t="str">
        <x:f>IFERROR(INDEX('Items'!$AD$6:$AD$1005,MATCH(D554,'Items'!$A$6:$A$1005,0)),"MISSING ID")</x:f>
        <x:v>Proposal</x:v>
      </x:c>
      <x:c r="M554" s="4" t="str">
        <x:f>IFERROR(INDEX('Crafting recipes'!$E$6:$E$1005,MATCH(B554,'Crafting recipes'!$A$6:$A$1005,0)),"MISSING ID")</x:f>
        <x:v>Partial proposal</x:v>
      </x:c>
      <x:c r="N554" s="4" t="str">
        <x:v>Candidate relationship only; quantity, yield and full recipe remain undefined.</x:v>
      </x:c>
      <x:c r="O554" s="4" t="str">
        <x:v>New October 15 tier-review proposal; user-authorized item audit and Docs/WORLD_BASIS.md. No source-canon or implemented-recipe claim.</x:v>
      </x:c>
      <x:c r="P554" s="4" t="n">
        <x:f>IF(OR(C554="Ingredient candidate",C554="Consumed input",C554="Contained input",C554="Transform input"),IF(F554="T0",0,IF(F554="T1",1,IF(F554="T2",2,IF(F554="T3",3,IF(F554="T4",4,-1))))),-1)</x:f>
        <x:v>3</x:v>
      </x:c>
      <x:c r="Q554" s="4" t="n">
        <x:f>IF(AND(OR(C554="Ingredient candidate",C554="Consumed input",C554="Contained input",C554="Transform input"),P554=-1),1,0)</x:f>
        <x:v>0</x:v>
      </x:c>
    </x:row>
    <x:row r="555" ht="115" customHeight="1">
      <x:c r="A555" s="4" t="str">
        <x:v>design.review.proposal_wind_wheel.in.3</x:v>
      </x:c>
      <x:c r="B555" s="4" t="str">
        <x:v>design.review.proposal_wind_wheel</x:v>
      </x:c>
      <x:c r="C555" s="4" t="str">
        <x:v>Ingredient candidate</x:v>
      </x:c>
      <x:c r="D555" s="4" t="str">
        <x:v>author.metallurgy.steel_stock</x:v>
      </x:c>
      <x:c r="E555" s="4" t="str">
        <x:f>IFERROR(INDEX('Items'!$B$6:$B$1005,MATCH(D555,'Items'!$A$6:$A$1005,0)),"MISSING ID")</x:f>
        <x:v>Steel stock</x:v>
      </x:c>
      <x:c r="F555" s="4" t="str">
        <x:f>IFERROR(INDEX('Items'!$C$6:$C$1005,MATCH(D555,'Items'!$A$6:$A$1005,0)),"MISSING ID")</x:f>
        <x:v>T2</x:v>
      </x:c>
      <x:c r="G555" s="4" t="str">
        <x:f>IFERROR(INDEX('Items'!$D$6:$D$1005,MATCH(D555,'Items'!$A$6:$A$1005,0)),"MISSING ID")</x:f>
        <x:v>Manufactured stock</x:v>
      </x:c>
      <x:c r="H555" s="4" t="str">
        <x:f>IFERROR(INDEX('Items'!$X$6:$X$1005,MATCH(D555,'Items'!$A$6:$A$1005,0)),"MISSING ID")</x:f>
        <x:v>Processed material</x:v>
      </x:c>
      <x:c r="I555" s="4"/>
      <x:c r="J555" s="4" t="str">
        <x:v>Unspecified</x:v>
      </x:c>
      <x:c r="K555" s="4" t="str">
        <x:f>IFERROR(INDEX('Crafting recipes'!$D$6:$D$1005,MATCH(B555,'Crafting recipes'!$A$6:$A$1005,0)),"MISSING ID")</x:f>
        <x:v>Proposal</x:v>
      </x:c>
      <x:c r="L555" s="4" t="str">
        <x:f>IFERROR(INDEX('Items'!$AD$6:$AD$1005,MATCH(D555,'Items'!$A$6:$A$1005,0)),"MISSING ID")</x:f>
        <x:v>Author direction</x:v>
      </x:c>
      <x:c r="M555" s="4" t="str">
        <x:f>IFERROR(INDEX('Crafting recipes'!$E$6:$E$1005,MATCH(B555,'Crafting recipes'!$A$6:$A$1005,0)),"MISSING ID")</x:f>
        <x:v>Partial proposal</x:v>
      </x:c>
      <x:c r="N555" s="4" t="str">
        <x:v>Candidate relationship only; quantity, yield and full recipe remain undefined.</x:v>
      </x:c>
      <x:c r="O555" s="4" t="str">
        <x:v>New October 15 tier-review proposal; user-authorized item audit and Docs/WORLD_BASIS.md. No source-canon or implemented-recipe claim.</x:v>
      </x:c>
      <x:c r="P555" s="4" t="n">
        <x:f>IF(OR(C555="Ingredient candidate",C555="Consumed input",C555="Contained input",C555="Transform input"),IF(F555="T0",0,IF(F555="T1",1,IF(F555="T2",2,IF(F555="T3",3,IF(F555="T4",4,-1))))),-1)</x:f>
        <x:v>2</x:v>
      </x:c>
      <x:c r="Q555" s="4" t="n">
        <x:f>IF(AND(OR(C555="Ingredient candidate",C555="Consumed input",C555="Contained input",C555="Transform input"),P555=-1),1,0)</x:f>
        <x:v>0</x:v>
      </x:c>
    </x:row>
    <x:row r="556" ht="115" customHeight="1">
      <x:c r="A556" s="4" t="str">
        <x:v>design.review.proposal_wind_wheel.in.4</x:v>
      </x:c>
      <x:c r="B556" s="4" t="str">
        <x:v>design.review.proposal_wind_wheel</x:v>
      </x:c>
      <x:c r="C556" s="4" t="str">
        <x:v>Ingredient candidate</x:v>
      </x:c>
      <x:c r="D556" s="4" t="str">
        <x:v>proposal.bio.laminate</x:v>
      </x:c>
      <x:c r="E556" s="4" t="str">
        <x:f>IFERROR(INDEX('Items'!$B$6:$B$1005,MATCH(D556,'Items'!$A$6:$A$1005,0)),"MISSING ID")</x:f>
        <x:v>Shell laminate</x:v>
      </x:c>
      <x:c r="F556" s="4" t="str">
        <x:f>IFERROR(INDEX('Items'!$C$6:$C$1005,MATCH(D556,'Items'!$A$6:$A$1005,0)),"MISSING ID")</x:f>
        <x:v>T2</x:v>
      </x:c>
      <x:c r="G556" s="4" t="str">
        <x:f>IFERROR(INDEX('Items'!$D$6:$D$1005,MATCH(D556,'Items'!$A$6:$A$1005,0)),"MISSING ID")</x:f>
        <x:v>Crafting components</x:v>
      </x:c>
      <x:c r="H556" s="4" t="str">
        <x:f>IFERROR(INDEX('Items'!$X$6:$X$1005,MATCH(D556,'Items'!$A$6:$A$1005,0)),"MISSING ID")</x:f>
        <x:v>Crafting component</x:v>
      </x:c>
      <x:c r="I556" s="4"/>
      <x:c r="J556" s="4" t="str">
        <x:v>Unspecified</x:v>
      </x:c>
      <x:c r="K556" s="4" t="str">
        <x:f>IFERROR(INDEX('Crafting recipes'!$D$6:$D$1005,MATCH(B556,'Crafting recipes'!$A$6:$A$1005,0)),"MISSING ID")</x:f>
        <x:v>Proposal</x:v>
      </x:c>
      <x:c r="L556" s="4" t="str">
        <x:f>IFERROR(INDEX('Items'!$AD$6:$AD$1005,MATCH(D556,'Items'!$A$6:$A$1005,0)),"MISSING ID")</x:f>
        <x:v>Proposal</x:v>
      </x:c>
      <x:c r="M556" s="4" t="str">
        <x:f>IFERROR(INDEX('Crafting recipes'!$E$6:$E$1005,MATCH(B556,'Crafting recipes'!$A$6:$A$1005,0)),"MISSING ID")</x:f>
        <x:v>Partial proposal</x:v>
      </x:c>
      <x:c r="N556" s="4" t="str">
        <x:v>Candidate relationship only; quantity, yield and full recipe remain undefined.</x:v>
      </x:c>
      <x:c r="O556" s="4" t="str">
        <x:v>New October 15 tier-review proposal; user-authorized item audit and Docs/WORLD_BASIS.md. No source-canon or implemented-recipe claim.</x:v>
      </x:c>
      <x:c r="P556" s="4" t="n">
        <x:f>IF(OR(C556="Ingredient candidate",C556="Consumed input",C556="Contained input",C556="Transform input"),IF(F556="T0",0,IF(F556="T1",1,IF(F556="T2",2,IF(F556="T3",3,IF(F556="T4",4,-1))))),-1)</x:f>
        <x:v>2</x:v>
      </x:c>
      <x:c r="Q556" s="4" t="n">
        <x:f>IF(AND(OR(C556="Ingredient candidate",C556="Consumed input",C556="Contained input",C556="Transform input"),P556=-1),1,0)</x:f>
        <x:v>0</x:v>
      </x:c>
    </x:row>
    <x:row r="557" ht="115" customHeight="1">
      <x:c r="A557" s="4" t="str">
        <x:v>design.review.proposal_wind_wheel.out</x:v>
      </x:c>
      <x:c r="B557" s="4" t="str">
        <x:v>design.review.proposal_wind_wheel</x:v>
      </x:c>
      <x:c r="C557" s="4" t="str">
        <x:v>Output</x:v>
      </x:c>
      <x:c r="D557" s="4" t="str">
        <x:v>proposal.wind.wheel</x:v>
      </x:c>
      <x:c r="E557" s="4" t="str">
        <x:f>IFERROR(INDEX('Items'!$B$6:$B$1005,MATCH(D557,'Items'!$A$6:$A$1005,0)),"MISSING ID")</x:f>
        <x:v>Dirtboard wheel assembly</x:v>
      </x:c>
      <x:c r="F557" s="4" t="str">
        <x:f>IFERROR(INDEX('Items'!$C$6:$C$1005,MATCH(D557,'Items'!$A$6:$A$1005,0)),"MISSING ID")</x:f>
        <x:v>T4</x:v>
      </x:c>
      <x:c r="G557" s="4" t="str">
        <x:f>IFERROR(INDEX('Items'!$D$6:$D$1005,MATCH(D557,'Items'!$A$6:$A$1005,0)),"MISSING ID")</x:f>
        <x:v>Salvage</x:v>
      </x:c>
      <x:c r="H557" s="4" t="str">
        <x:f>IFERROR(INDEX('Items'!$X$6:$X$1005,MATCH(D557,'Items'!$A$6:$A$1005,0)),"MISSING ID")</x:f>
        <x:v>Crafting component</x:v>
      </x:c>
      <x:c r="I557" s="4"/>
      <x:c r="J557" s="4" t="str">
        <x:v>Unspecified</x:v>
      </x:c>
      <x:c r="K557" s="4" t="str">
        <x:f>IFERROR(INDEX('Crafting recipes'!$D$6:$D$1005,MATCH(B557,'Crafting recipes'!$A$6:$A$1005,0)),"MISSING ID")</x:f>
        <x:v>Proposal</x:v>
      </x:c>
      <x:c r="L557" s="4" t="str">
        <x:f>IFERROR(INDEX('Items'!$AD$6:$AD$1005,MATCH(D557,'Items'!$A$6:$A$1005,0)),"MISSING ID")</x:f>
        <x:v>Proposal</x:v>
      </x:c>
      <x:c r="M557" s="4" t="str">
        <x:f>IFERROR(INDEX('Crafting recipes'!$E$6:$E$1005,MATCH(B557,'Crafting recipes'!$A$6:$A$1005,0)),"MISSING ID")</x:f>
        <x:v>Partial proposal</x:v>
      </x:c>
      <x:c r="N557" s="4" t="str">
        <x:v>Candidate relationship only; quantity, yield and full recipe remain undefined.</x:v>
      </x:c>
      <x:c r="O557" s="4" t="str">
        <x:v>New October 15 tier-review proposal; user-authorized item audit and Docs/WORLD_BASIS.md. No source-canon or implemented-recipe claim.</x:v>
      </x:c>
      <x:c r="P557" s="4" t="n">
        <x:f>IF(OR(C557="Ingredient candidate",C557="Consumed input",C557="Contained input",C557="Transform input"),IF(F557="T0",0,IF(F557="T1",1,IF(F557="T2",2,IF(F557="T3",3,IF(F557="T4",4,-1))))),-1)</x:f>
        <x:v>-1</x:v>
      </x:c>
      <x:c r="Q557" s="4" t="n">
        <x:f>IF(AND(OR(C557="Ingredient candidate",C557="Consumed input",C557="Contained input",C557="Transform input"),P557=-1),1,0)</x:f>
        <x:v>0</x:v>
      </x:c>
    </x:row>
    <x:row r="558" ht="115" customHeight="1">
      <x:c r="A558" s="4" t="str">
        <x:v>design.review.proposal_wind_truck.in.1</x:v>
      </x:c>
      <x:c r="B558" s="4" t="str">
        <x:v>design.review.proposal_wind_truck</x:v>
      </x:c>
      <x:c r="C558" s="4" t="str">
        <x:v>Ingredient candidate</x:v>
      </x:c>
      <x:c r="D558" s="4" t="str">
        <x:v>proposal.t3.precision_tube</x:v>
      </x:c>
      <x:c r="E558" s="4" t="str">
        <x:f>IFERROR(INDEX('Items'!$B$6:$B$1005,MATCH(D558,'Items'!$A$6:$A$1005,0)),"MISSING ID")</x:f>
        <x:v>Drawn steel tube stock</x:v>
      </x:c>
      <x:c r="F558" s="4" t="str">
        <x:f>IFERROR(INDEX('Items'!$C$6:$C$1005,MATCH(D558,'Items'!$A$6:$A$1005,0)),"MISSING ID")</x:f>
        <x:v>T3</x:v>
      </x:c>
      <x:c r="G558" s="4" t="str">
        <x:f>IFERROR(INDEX('Items'!$D$6:$D$1005,MATCH(D558,'Items'!$A$6:$A$1005,0)),"MISSING ID")</x:f>
        <x:v>Manufactured stock</x:v>
      </x:c>
      <x:c r="H558" s="4" t="str">
        <x:f>IFERROR(INDEX('Items'!$X$6:$X$1005,MATCH(D558,'Items'!$A$6:$A$1005,0)),"MISSING ID")</x:f>
        <x:v>Processed material</x:v>
      </x:c>
      <x:c r="I558" s="4"/>
      <x:c r="J558" s="4" t="str">
        <x:v>Unspecified</x:v>
      </x:c>
      <x:c r="K558" s="4" t="str">
        <x:f>IFERROR(INDEX('Crafting recipes'!$D$6:$D$1005,MATCH(B558,'Crafting recipes'!$A$6:$A$1005,0)),"MISSING ID")</x:f>
        <x:v>Proposal</x:v>
      </x:c>
      <x:c r="L558" s="4" t="str">
        <x:f>IFERROR(INDEX('Items'!$AD$6:$AD$1005,MATCH(D558,'Items'!$A$6:$A$1005,0)),"MISSING ID")</x:f>
        <x:v>Proposal</x:v>
      </x:c>
      <x:c r="M558" s="4" t="str">
        <x:f>IFERROR(INDEX('Crafting recipes'!$E$6:$E$1005,MATCH(B558,'Crafting recipes'!$A$6:$A$1005,0)),"MISSING ID")</x:f>
        <x:v>Partial proposal</x:v>
      </x:c>
      <x:c r="N558" s="4" t="str">
        <x:v>Candidate relationship only; quantity, yield and full recipe remain undefined.</x:v>
      </x:c>
      <x:c r="O558" s="4" t="str">
        <x:v>New October 15 tier-review proposal; user-authorized item audit and Docs/WORLD_BASIS.md. No source-canon or implemented-recipe claim.</x:v>
      </x:c>
      <x:c r="P558" s="4" t="n">
        <x:f>IF(OR(C558="Ingredient candidate",C558="Consumed input",C558="Contained input",C558="Transform input"),IF(F558="T0",0,IF(F558="T1",1,IF(F558="T2",2,IF(F558="T3",3,IF(F558="T4",4,-1))))),-1)</x:f>
        <x:v>3</x:v>
      </x:c>
      <x:c r="Q558" s="4" t="n">
        <x:f>IF(AND(OR(C558="Ingredient candidate",C558="Consumed input",C558="Contained input",C558="Transform input"),P558=-1),1,0)</x:f>
        <x:v>0</x:v>
      </x:c>
    </x:row>
    <x:row r="559" ht="115" customHeight="1">
      <x:c r="A559" s="4" t="str">
        <x:v>design.review.proposal_wind_truck.in.2</x:v>
      </x:c>
      <x:c r="B559" s="4" t="str">
        <x:v>design.review.proposal_wind_truck</x:v>
      </x:c>
      <x:c r="C559" s="4" t="str">
        <x:v>Ingredient candidate</x:v>
      </x:c>
      <x:c r="D559" s="4" t="str">
        <x:v>proposal.branch.spring_steel</x:v>
      </x:c>
      <x:c r="E559" s="4" t="str">
        <x:f>IFERROR(INDEX('Items'!$B$6:$B$1005,MATCH(D559,'Items'!$A$6:$A$1005,0)),"MISSING ID")</x:f>
        <x:v>Spring-grade steel stock</x:v>
      </x:c>
      <x:c r="F559" s="4" t="str">
        <x:f>IFERROR(INDEX('Items'!$C$6:$C$1005,MATCH(D559,'Items'!$A$6:$A$1005,0)),"MISSING ID")</x:f>
        <x:v>T3</x:v>
      </x:c>
      <x:c r="G559" s="4" t="str">
        <x:f>IFERROR(INDEX('Items'!$D$6:$D$1005,MATCH(D559,'Items'!$A$6:$A$1005,0)),"MISSING ID")</x:f>
        <x:v>Manufactured stock</x:v>
      </x:c>
      <x:c r="H559" s="4" t="str">
        <x:f>IFERROR(INDEX('Items'!$X$6:$X$1005,MATCH(D559,'Items'!$A$6:$A$1005,0)),"MISSING ID")</x:f>
        <x:v>Processed material</x:v>
      </x:c>
      <x:c r="I559" s="4"/>
      <x:c r="J559" s="4" t="str">
        <x:v>Unspecified</x:v>
      </x:c>
      <x:c r="K559" s="4" t="str">
        <x:f>IFERROR(INDEX('Crafting recipes'!$D$6:$D$1005,MATCH(B559,'Crafting recipes'!$A$6:$A$1005,0)),"MISSING ID")</x:f>
        <x:v>Proposal</x:v>
      </x:c>
      <x:c r="L559" s="4" t="str">
        <x:f>IFERROR(INDEX('Items'!$AD$6:$AD$1005,MATCH(D559,'Items'!$A$6:$A$1005,0)),"MISSING ID")</x:f>
        <x:v>Proposal</x:v>
      </x:c>
      <x:c r="M559" s="4" t="str">
        <x:f>IFERROR(INDEX('Crafting recipes'!$E$6:$E$1005,MATCH(B559,'Crafting recipes'!$A$6:$A$1005,0)),"MISSING ID")</x:f>
        <x:v>Partial proposal</x:v>
      </x:c>
      <x:c r="N559" s="4" t="str">
        <x:v>Candidate relationship only; quantity, yield and full recipe remain undefined.</x:v>
      </x:c>
      <x:c r="O559" s="4" t="str">
        <x:v>New October 15 tier-review proposal; user-authorized item audit and Docs/WORLD_BASIS.md. No source-canon or implemented-recipe claim.</x:v>
      </x:c>
      <x:c r="P559" s="4" t="n">
        <x:f>IF(OR(C559="Ingredient candidate",C559="Consumed input",C559="Contained input",C559="Transform input"),IF(F559="T0",0,IF(F559="T1",1,IF(F559="T2",2,IF(F559="T3",3,IF(F559="T4",4,-1))))),-1)</x:f>
        <x:v>3</x:v>
      </x:c>
      <x:c r="Q559" s="4" t="n">
        <x:f>IF(AND(OR(C559="Ingredient candidate",C559="Consumed input",C559="Contained input",C559="Transform input"),P559=-1),1,0)</x:f>
        <x:v>0</x:v>
      </x:c>
    </x:row>
    <x:row r="560" ht="115" customHeight="1">
      <x:c r="A560" s="4" t="str">
        <x:v>design.review.proposal_wind_truck.in.3</x:v>
      </x:c>
      <x:c r="B560" s="4" t="str">
        <x:v>design.review.proposal_wind_truck</x:v>
      </x:c>
      <x:c r="C560" s="4" t="str">
        <x:v>Ingredient candidate</x:v>
      </x:c>
      <x:c r="D560" s="4" t="str">
        <x:v>proposal.t3.bearing_blank</x:v>
      </x:c>
      <x:c r="E560" s="4" t="str">
        <x:f>IFERROR(INDEX('Items'!$B$6:$B$1005,MATCH(D560,'Items'!$A$6:$A$1005,0)),"MISSING ID")</x:f>
        <x:v>Lapped bronze bearing blanks</x:v>
      </x:c>
      <x:c r="F560" s="4" t="str">
        <x:f>IFERROR(INDEX('Items'!$C$6:$C$1005,MATCH(D560,'Items'!$A$6:$A$1005,0)),"MISSING ID")</x:f>
        <x:v>T3</x:v>
      </x:c>
      <x:c r="G560" s="4" t="str">
        <x:f>IFERROR(INDEX('Items'!$D$6:$D$1005,MATCH(D560,'Items'!$A$6:$A$1005,0)),"MISSING ID")</x:f>
        <x:v>Crafting components</x:v>
      </x:c>
      <x:c r="H560" s="4" t="str">
        <x:f>IFERROR(INDEX('Items'!$X$6:$X$1005,MATCH(D560,'Items'!$A$6:$A$1005,0)),"MISSING ID")</x:f>
        <x:v>Crafting component</x:v>
      </x:c>
      <x:c r="I560" s="4"/>
      <x:c r="J560" s="4" t="str">
        <x:v>Unspecified</x:v>
      </x:c>
      <x:c r="K560" s="4" t="str">
        <x:f>IFERROR(INDEX('Crafting recipes'!$D$6:$D$1005,MATCH(B560,'Crafting recipes'!$A$6:$A$1005,0)),"MISSING ID")</x:f>
        <x:v>Proposal</x:v>
      </x:c>
      <x:c r="L560" s="4" t="str">
        <x:f>IFERROR(INDEX('Items'!$AD$6:$AD$1005,MATCH(D560,'Items'!$A$6:$A$1005,0)),"MISSING ID")</x:f>
        <x:v>Proposal</x:v>
      </x:c>
      <x:c r="M560" s="4" t="str">
        <x:f>IFERROR(INDEX('Crafting recipes'!$E$6:$E$1005,MATCH(B560,'Crafting recipes'!$A$6:$A$1005,0)),"MISSING ID")</x:f>
        <x:v>Partial proposal</x:v>
      </x:c>
      <x:c r="N560" s="4" t="str">
        <x:v>Candidate relationship only; quantity, yield and full recipe remain undefined.</x:v>
      </x:c>
      <x:c r="O560" s="4" t="str">
        <x:v>New October 15 tier-review proposal; user-authorized item audit and Docs/WORLD_BASIS.md. No source-canon or implemented-recipe claim.</x:v>
      </x:c>
      <x:c r="P560" s="4" t="n">
        <x:f>IF(OR(C560="Ingredient candidate",C560="Consumed input",C560="Contained input",C560="Transform input"),IF(F560="T0",0,IF(F560="T1",1,IF(F560="T2",2,IF(F560="T3",3,IF(F560="T4",4,-1))))),-1)</x:f>
        <x:v>3</x:v>
      </x:c>
      <x:c r="Q560" s="4" t="n">
        <x:f>IF(AND(OR(C560="Ingredient candidate",C560="Consumed input",C560="Contained input",C560="Transform input"),P560=-1),1,0)</x:f>
        <x:v>0</x:v>
      </x:c>
    </x:row>
    <x:row r="561" ht="115" customHeight="1">
      <x:c r="A561" s="4" t="str">
        <x:v>design.review.proposal_wind_truck.in.4</x:v>
      </x:c>
      <x:c r="B561" s="4" t="str">
        <x:v>design.review.proposal_wind_truck</x:v>
      </x:c>
      <x:c r="C561" s="4" t="str">
        <x:v>Ingredient candidate</x:v>
      </x:c>
      <x:c r="D561" s="4" t="str">
        <x:v>author.metallurgy.steel_stock</x:v>
      </x:c>
      <x:c r="E561" s="4" t="str">
        <x:f>IFERROR(INDEX('Items'!$B$6:$B$1005,MATCH(D561,'Items'!$A$6:$A$1005,0)),"MISSING ID")</x:f>
        <x:v>Steel stock</x:v>
      </x:c>
      <x:c r="F561" s="4" t="str">
        <x:f>IFERROR(INDEX('Items'!$C$6:$C$1005,MATCH(D561,'Items'!$A$6:$A$1005,0)),"MISSING ID")</x:f>
        <x:v>T2</x:v>
      </x:c>
      <x:c r="G561" s="4" t="str">
        <x:f>IFERROR(INDEX('Items'!$D$6:$D$1005,MATCH(D561,'Items'!$A$6:$A$1005,0)),"MISSING ID")</x:f>
        <x:v>Manufactured stock</x:v>
      </x:c>
      <x:c r="H561" s="4" t="str">
        <x:f>IFERROR(INDEX('Items'!$X$6:$X$1005,MATCH(D561,'Items'!$A$6:$A$1005,0)),"MISSING ID")</x:f>
        <x:v>Processed material</x:v>
      </x:c>
      <x:c r="I561" s="4"/>
      <x:c r="J561" s="4" t="str">
        <x:v>Unspecified</x:v>
      </x:c>
      <x:c r="K561" s="4" t="str">
        <x:f>IFERROR(INDEX('Crafting recipes'!$D$6:$D$1005,MATCH(B561,'Crafting recipes'!$A$6:$A$1005,0)),"MISSING ID")</x:f>
        <x:v>Proposal</x:v>
      </x:c>
      <x:c r="L561" s="4" t="str">
        <x:f>IFERROR(INDEX('Items'!$AD$6:$AD$1005,MATCH(D561,'Items'!$A$6:$A$1005,0)),"MISSING ID")</x:f>
        <x:v>Author direction</x:v>
      </x:c>
      <x:c r="M561" s="4" t="str">
        <x:f>IFERROR(INDEX('Crafting recipes'!$E$6:$E$1005,MATCH(B561,'Crafting recipes'!$A$6:$A$1005,0)),"MISSING ID")</x:f>
        <x:v>Partial proposal</x:v>
      </x:c>
      <x:c r="N561" s="4" t="str">
        <x:v>Candidate relationship only; quantity, yield and full recipe remain undefined.</x:v>
      </x:c>
      <x:c r="O561" s="4" t="str">
        <x:v>New October 15 tier-review proposal; user-authorized item audit and Docs/WORLD_BASIS.md. No source-canon or implemented-recipe claim.</x:v>
      </x:c>
      <x:c r="P561" s="4" t="n">
        <x:f>IF(OR(C561="Ingredient candidate",C561="Consumed input",C561="Contained input",C561="Transform input"),IF(F561="T0",0,IF(F561="T1",1,IF(F561="T2",2,IF(F561="T3",3,IF(F561="T4",4,-1))))),-1)</x:f>
        <x:v>2</x:v>
      </x:c>
      <x:c r="Q561" s="4" t="n">
        <x:f>IF(AND(OR(C561="Ingredient candidate",C561="Consumed input",C561="Contained input",C561="Transform input"),P561=-1),1,0)</x:f>
        <x:v>0</x:v>
      </x:c>
    </x:row>
    <x:row r="562" ht="115" customHeight="1">
      <x:c r="A562" s="4" t="str">
        <x:v>design.review.proposal_wind_truck.out</x:v>
      </x:c>
      <x:c r="B562" s="4" t="str">
        <x:v>design.review.proposal_wind_truck</x:v>
      </x:c>
      <x:c r="C562" s="4" t="str">
        <x:v>Output</x:v>
      </x:c>
      <x:c r="D562" s="4" t="str">
        <x:v>proposal.wind.truck</x:v>
      </x:c>
      <x:c r="E562" s="4" t="str">
        <x:f>IFERROR(INDEX('Items'!$B$6:$B$1005,MATCH(D562,'Items'!$A$6:$A$1005,0)),"MISSING ID")</x:f>
        <x:v>Dirtboard axle / steering assembly</x:v>
      </x:c>
      <x:c r="F562" s="4" t="str">
        <x:f>IFERROR(INDEX('Items'!$C$6:$C$1005,MATCH(D562,'Items'!$A$6:$A$1005,0)),"MISSING ID")</x:f>
        <x:v>T4</x:v>
      </x:c>
      <x:c r="G562" s="4" t="str">
        <x:f>IFERROR(INDEX('Items'!$D$6:$D$1005,MATCH(D562,'Items'!$A$6:$A$1005,0)),"MISSING ID")</x:f>
        <x:v>Salvage</x:v>
      </x:c>
      <x:c r="H562" s="4" t="str">
        <x:f>IFERROR(INDEX('Items'!$X$6:$X$1005,MATCH(D562,'Items'!$A$6:$A$1005,0)),"MISSING ID")</x:f>
        <x:v>Crafting component</x:v>
      </x:c>
      <x:c r="I562" s="4"/>
      <x:c r="J562" s="4" t="str">
        <x:v>Unspecified</x:v>
      </x:c>
      <x:c r="K562" s="4" t="str">
        <x:f>IFERROR(INDEX('Crafting recipes'!$D$6:$D$1005,MATCH(B562,'Crafting recipes'!$A$6:$A$1005,0)),"MISSING ID")</x:f>
        <x:v>Proposal</x:v>
      </x:c>
      <x:c r="L562" s="4" t="str">
        <x:f>IFERROR(INDEX('Items'!$AD$6:$AD$1005,MATCH(D562,'Items'!$A$6:$A$1005,0)),"MISSING ID")</x:f>
        <x:v>Proposal</x:v>
      </x:c>
      <x:c r="M562" s="4" t="str">
        <x:f>IFERROR(INDEX('Crafting recipes'!$E$6:$E$1005,MATCH(B562,'Crafting recipes'!$A$6:$A$1005,0)),"MISSING ID")</x:f>
        <x:v>Partial proposal</x:v>
      </x:c>
      <x:c r="N562" s="4" t="str">
        <x:v>Candidate relationship only; quantity, yield and full recipe remain undefined.</x:v>
      </x:c>
      <x:c r="O562" s="4" t="str">
        <x:v>New October 15 tier-review proposal; user-authorized item audit and Docs/WORLD_BASIS.md. No source-canon or implemented-recipe claim.</x:v>
      </x:c>
      <x:c r="P562" s="4" t="n">
        <x:f>IF(OR(C562="Ingredient candidate",C562="Consumed input",C562="Contained input",C562="Transform input"),IF(F562="T0",0,IF(F562="T1",1,IF(F562="T2",2,IF(F562="T3",3,IF(F562="T4",4,-1))))),-1)</x:f>
        <x:v>-1</x:v>
      </x:c>
      <x:c r="Q562" s="4" t="n">
        <x:f>IF(AND(OR(C562="Ingredient candidate",C562="Consumed input",C562="Contained input",C562="Transform input"),P562=-1),1,0)</x:f>
        <x:v>0</x:v>
      </x:c>
    </x:row>
    <x:row r="563" ht="115" customHeight="1">
      <x:c r="A563" s="4" t="str">
        <x:v>design.review.proposal_legger_anchors.in.1</x:v>
      </x:c>
      <x:c r="B563" s="4" t="str">
        <x:v>design.review.proposal_legger_anchors</x:v>
      </x:c>
      <x:c r="C563" s="4" t="str">
        <x:v>Ingredient candidate</x:v>
      </x:c>
      <x:c r="D563" s="4" t="str">
        <x:v>author.metallurgy.steel_stock</x:v>
      </x:c>
      <x:c r="E563" s="4" t="str">
        <x:f>IFERROR(INDEX('Items'!$B$6:$B$1005,MATCH(D563,'Items'!$A$6:$A$1005,0)),"MISSING ID")</x:f>
        <x:v>Steel stock</x:v>
      </x:c>
      <x:c r="F563" s="4" t="str">
        <x:f>IFERROR(INDEX('Items'!$C$6:$C$1005,MATCH(D563,'Items'!$A$6:$A$1005,0)),"MISSING ID")</x:f>
        <x:v>T2</x:v>
      </x:c>
      <x:c r="G563" s="4" t="str">
        <x:f>IFERROR(INDEX('Items'!$D$6:$D$1005,MATCH(D563,'Items'!$A$6:$A$1005,0)),"MISSING ID")</x:f>
        <x:v>Manufactured stock</x:v>
      </x:c>
      <x:c r="H563" s="4" t="str">
        <x:f>IFERROR(INDEX('Items'!$X$6:$X$1005,MATCH(D563,'Items'!$A$6:$A$1005,0)),"MISSING ID")</x:f>
        <x:v>Processed material</x:v>
      </x:c>
      <x:c r="I563" s="4"/>
      <x:c r="J563" s="4" t="str">
        <x:v>Unspecified</x:v>
      </x:c>
      <x:c r="K563" s="4" t="str">
        <x:f>IFERROR(INDEX('Crafting recipes'!$D$6:$D$1005,MATCH(B563,'Crafting recipes'!$A$6:$A$1005,0)),"MISSING ID")</x:f>
        <x:v>Proposal</x:v>
      </x:c>
      <x:c r="L563" s="4" t="str">
        <x:f>IFERROR(INDEX('Items'!$AD$6:$AD$1005,MATCH(D563,'Items'!$A$6:$A$1005,0)),"MISSING ID")</x:f>
        <x:v>Author direction</x:v>
      </x:c>
      <x:c r="M563" s="4" t="str">
        <x:f>IFERROR(INDEX('Crafting recipes'!$E$6:$E$1005,MATCH(B563,'Crafting recipes'!$A$6:$A$1005,0)),"MISSING ID")</x:f>
        <x:v>Partial proposal</x:v>
      </x:c>
      <x:c r="N563" s="4" t="str">
        <x:v>Candidate relationship only; quantity, yield and full recipe remain undefined.</x:v>
      </x:c>
      <x:c r="O563" s="4" t="str">
        <x:v>New October 15 tier-review proposal; user-authorized item audit and Docs/WORLD_BASIS.md. No source-canon or implemented-recipe claim.</x:v>
      </x:c>
      <x:c r="P563" s="4" t="n">
        <x:f>IF(OR(C563="Ingredient candidate",C563="Consumed input",C563="Contained input",C563="Transform input"),IF(F563="T0",0,IF(F563="T1",1,IF(F563="T2",2,IF(F563="T3",3,IF(F563="T4",4,-1))))),-1)</x:f>
        <x:v>2</x:v>
      </x:c>
      <x:c r="Q563" s="4" t="n">
        <x:f>IF(AND(OR(C563="Ingredient candidate",C563="Consumed input",C563="Contained input",C563="Transform input"),P563=-1),1,0)</x:f>
        <x:v>0</x:v>
      </x:c>
    </x:row>
    <x:row r="564" ht="115" customHeight="1">
      <x:c r="A564" s="4" t="str">
        <x:v>design.review.proposal_legger_anchors.out</x:v>
      </x:c>
      <x:c r="B564" s="4" t="str">
        <x:v>design.review.proposal_legger_anchors</x:v>
      </x:c>
      <x:c r="C564" s="4" t="str">
        <x:v>Output</x:v>
      </x:c>
      <x:c r="D564" s="4" t="str">
        <x:v>proposal.legger.anchors</x:v>
      </x:c>
      <x:c r="E564" s="4" t="str">
        <x:f>IFERROR(INDEX('Items'!$B$6:$B$1005,MATCH(D564,'Items'!$A$6:$A$1005,0)),"MISSING ID")</x:f>
        <x:v>Legger lashing-anchor set</x:v>
      </x:c>
      <x:c r="F564" s="4" t="str">
        <x:f>IFERROR(INDEX('Items'!$C$6:$C$1005,MATCH(D564,'Items'!$A$6:$A$1005,0)),"MISSING ID")</x:f>
        <x:v>T3</x:v>
      </x:c>
      <x:c r="G564" s="4" t="str">
        <x:f>IFERROR(INDEX('Items'!$D$6:$D$1005,MATCH(D564,'Items'!$A$6:$A$1005,0)),"MISSING ID")</x:f>
        <x:v>Crafting components</x:v>
      </x:c>
      <x:c r="H564" s="4" t="str">
        <x:f>IFERROR(INDEX('Items'!$X$6:$X$1005,MATCH(D564,'Items'!$A$6:$A$1005,0)),"MISSING ID")</x:f>
        <x:v>Crafting component</x:v>
      </x:c>
      <x:c r="I564" s="4"/>
      <x:c r="J564" s="4" t="str">
        <x:v>Unspecified</x:v>
      </x:c>
      <x:c r="K564" s="4" t="str">
        <x:f>IFERROR(INDEX('Crafting recipes'!$D$6:$D$1005,MATCH(B564,'Crafting recipes'!$A$6:$A$1005,0)),"MISSING ID")</x:f>
        <x:v>Proposal</x:v>
      </x:c>
      <x:c r="L564" s="4" t="str">
        <x:f>IFERROR(INDEX('Items'!$AD$6:$AD$1005,MATCH(D564,'Items'!$A$6:$A$1005,0)),"MISSING ID")</x:f>
        <x:v>Proposal</x:v>
      </x:c>
      <x:c r="M564" s="4" t="str">
        <x:f>IFERROR(INDEX('Crafting recipes'!$E$6:$E$1005,MATCH(B564,'Crafting recipes'!$A$6:$A$1005,0)),"MISSING ID")</x:f>
        <x:v>Partial proposal</x:v>
      </x:c>
      <x:c r="N564" s="4" t="str">
        <x:v>Candidate relationship only; quantity, yield and full recipe remain undefined.</x:v>
      </x:c>
      <x:c r="O564" s="4" t="str">
        <x:v>New October 15 tier-review proposal; user-authorized item audit and Docs/WORLD_BASIS.md. No source-canon or implemented-recipe claim.</x:v>
      </x:c>
      <x:c r="P564" s="4" t="n">
        <x:f>IF(OR(C564="Ingredient candidate",C564="Consumed input",C564="Contained input",C564="Transform input"),IF(F564="T0",0,IF(F564="T1",1,IF(F564="T2",2,IF(F564="T3",3,IF(F564="T4",4,-1))))),-1)</x:f>
        <x:v>-1</x:v>
      </x:c>
      <x:c r="Q564" s="4" t="n">
        <x:f>IF(AND(OR(C564="Ingredient candidate",C564="Consumed input",C564="Contained input",C564="Transform input"),P564=-1),1,0)</x:f>
        <x:v>0</x:v>
      </x:c>
    </x:row>
    <x:row r="565" ht="115" customHeight="1">
      <x:c r="A565" s="4" t="str">
        <x:v>design.review.proposal_legger_mount_rail.in.1</x:v>
      </x:c>
      <x:c r="B565" s="4" t="str">
        <x:v>design.review.proposal_legger_mount_rail</x:v>
      </x:c>
      <x:c r="C565" s="4" t="str">
        <x:v>Ingredient candidate</x:v>
      </x:c>
      <x:c r="D565" s="4" t="str">
        <x:v>author.metallurgy.steel_stock</x:v>
      </x:c>
      <x:c r="E565" s="4" t="str">
        <x:f>IFERROR(INDEX('Items'!$B$6:$B$1005,MATCH(D565,'Items'!$A$6:$A$1005,0)),"MISSING ID")</x:f>
        <x:v>Steel stock</x:v>
      </x:c>
      <x:c r="F565" s="4" t="str">
        <x:f>IFERROR(INDEX('Items'!$C$6:$C$1005,MATCH(D565,'Items'!$A$6:$A$1005,0)),"MISSING ID")</x:f>
        <x:v>T2</x:v>
      </x:c>
      <x:c r="G565" s="4" t="str">
        <x:f>IFERROR(INDEX('Items'!$D$6:$D$1005,MATCH(D565,'Items'!$A$6:$A$1005,0)),"MISSING ID")</x:f>
        <x:v>Manufactured stock</x:v>
      </x:c>
      <x:c r="H565" s="4" t="str">
        <x:f>IFERROR(INDEX('Items'!$X$6:$X$1005,MATCH(D565,'Items'!$A$6:$A$1005,0)),"MISSING ID")</x:f>
        <x:v>Processed material</x:v>
      </x:c>
      <x:c r="I565" s="4"/>
      <x:c r="J565" s="4" t="str">
        <x:v>Unspecified</x:v>
      </x:c>
      <x:c r="K565" s="4" t="str">
        <x:f>IFERROR(INDEX('Crafting recipes'!$D$6:$D$1005,MATCH(B565,'Crafting recipes'!$A$6:$A$1005,0)),"MISSING ID")</x:f>
        <x:v>Proposal</x:v>
      </x:c>
      <x:c r="L565" s="4" t="str">
        <x:f>IFERROR(INDEX('Items'!$AD$6:$AD$1005,MATCH(D565,'Items'!$A$6:$A$1005,0)),"MISSING ID")</x:f>
        <x:v>Author direction</x:v>
      </x:c>
      <x:c r="M565" s="4" t="str">
        <x:f>IFERROR(INDEX('Crafting recipes'!$E$6:$E$1005,MATCH(B565,'Crafting recipes'!$A$6:$A$1005,0)),"MISSING ID")</x:f>
        <x:v>Partial proposal</x:v>
      </x:c>
      <x:c r="N565" s="4" t="str">
        <x:v>Candidate relationship only; quantity, yield and full recipe remain undefined.</x:v>
      </x:c>
      <x:c r="O565" s="4" t="str">
        <x:v>New October 15 tier-review proposal; user-authorized item audit and Docs/WORLD_BASIS.md. No source-canon or implemented-recipe claim.</x:v>
      </x:c>
      <x:c r="P565" s="4" t="n">
        <x:f>IF(OR(C565="Ingredient candidate",C565="Consumed input",C565="Contained input",C565="Transform input"),IF(F565="T0",0,IF(F565="T1",1,IF(F565="T2",2,IF(F565="T3",3,IF(F565="T4",4,-1))))),-1)</x:f>
        <x:v>2</x:v>
      </x:c>
      <x:c r="Q565" s="4" t="n">
        <x:f>IF(AND(OR(C565="Ingredient candidate",C565="Consumed input",C565="Contained input",C565="Transform input"),P565=-1),1,0)</x:f>
        <x:v>0</x:v>
      </x:c>
    </x:row>
    <x:row r="566" ht="115" customHeight="1">
      <x:c r="A566" s="4" t="str">
        <x:v>design.review.proposal_legger_mount_rail.out</x:v>
      </x:c>
      <x:c r="B566" s="4" t="str">
        <x:v>design.review.proposal_legger_mount_rail</x:v>
      </x:c>
      <x:c r="C566" s="4" t="str">
        <x:v>Output</x:v>
      </x:c>
      <x:c r="D566" s="4" t="str">
        <x:v>proposal.legger.mount_rail</x:v>
      </x:c>
      <x:c r="E566" s="4" t="str">
        <x:f>IFERROR(INDEX('Items'!$B$6:$B$1005,MATCH(D566,'Items'!$A$6:$A$1005,0)),"MISSING ID")</x:f>
        <x:v>Legger attachment rail</x:v>
      </x:c>
      <x:c r="F566" s="4" t="str">
        <x:f>IFERROR(INDEX('Items'!$C$6:$C$1005,MATCH(D566,'Items'!$A$6:$A$1005,0)),"MISSING ID")</x:f>
        <x:v>T3</x:v>
      </x:c>
      <x:c r="G566" s="4" t="str">
        <x:f>IFERROR(INDEX('Items'!$D$6:$D$1005,MATCH(D566,'Items'!$A$6:$A$1005,0)),"MISSING ID")</x:f>
        <x:v>Crafting components</x:v>
      </x:c>
      <x:c r="H566" s="4" t="str">
        <x:f>IFERROR(INDEX('Items'!$X$6:$X$1005,MATCH(D566,'Items'!$A$6:$A$1005,0)),"MISSING ID")</x:f>
        <x:v>Crafting component</x:v>
      </x:c>
      <x:c r="I566" s="4"/>
      <x:c r="J566" s="4" t="str">
        <x:v>Unspecified</x:v>
      </x:c>
      <x:c r="K566" s="4" t="str">
        <x:f>IFERROR(INDEX('Crafting recipes'!$D$6:$D$1005,MATCH(B566,'Crafting recipes'!$A$6:$A$1005,0)),"MISSING ID")</x:f>
        <x:v>Proposal</x:v>
      </x:c>
      <x:c r="L566" s="4" t="str">
        <x:f>IFERROR(INDEX('Items'!$AD$6:$AD$1005,MATCH(D566,'Items'!$A$6:$A$1005,0)),"MISSING ID")</x:f>
        <x:v>Proposal</x:v>
      </x:c>
      <x:c r="M566" s="4" t="str">
        <x:f>IFERROR(INDEX('Crafting recipes'!$E$6:$E$1005,MATCH(B566,'Crafting recipes'!$A$6:$A$1005,0)),"MISSING ID")</x:f>
        <x:v>Partial proposal</x:v>
      </x:c>
      <x:c r="N566" s="4" t="str">
        <x:v>Candidate relationship only; quantity, yield and full recipe remain undefined.</x:v>
      </x:c>
      <x:c r="O566" s="4" t="str">
        <x:v>New October 15 tier-review proposal; user-authorized item audit and Docs/WORLD_BASIS.md. No source-canon or implemented-recipe claim.</x:v>
      </x:c>
      <x:c r="P566" s="4" t="n">
        <x:f>IF(OR(C566="Ingredient candidate",C566="Consumed input",C566="Contained input",C566="Transform input"),IF(F566="T0",0,IF(F566="T1",1,IF(F566="T2",2,IF(F566="T3",3,IF(F566="T4",4,-1))))),-1)</x:f>
        <x:v>-1</x:v>
      </x:c>
      <x:c r="Q566" s="4" t="n">
        <x:f>IF(AND(OR(C566="Ingredient candidate",C566="Consumed input",C566="Contained input",C566="Transform input"),P566=-1),1,0)</x:f>
        <x:v>0</x:v>
      </x:c>
    </x:row>
    <x:row r="567" ht="115" customHeight="1">
      <x:c r="A567" s="4" t="str">
        <x:v>design.review.proposal_legger_long_load_clamp.in.1</x:v>
      </x:c>
      <x:c r="B567" s="4" t="str">
        <x:v>design.review.proposal_legger_long_load_clamp</x:v>
      </x:c>
      <x:c r="C567" s="4" t="str">
        <x:v>Ingredient candidate</x:v>
      </x:c>
      <x:c r="D567" s="4" t="str">
        <x:v>author.metallurgy.steel_stock</x:v>
      </x:c>
      <x:c r="E567" s="4" t="str">
        <x:f>IFERROR(INDEX('Items'!$B$6:$B$1005,MATCH(D567,'Items'!$A$6:$A$1005,0)),"MISSING ID")</x:f>
        <x:v>Steel stock</x:v>
      </x:c>
      <x:c r="F567" s="4" t="str">
        <x:f>IFERROR(INDEX('Items'!$C$6:$C$1005,MATCH(D567,'Items'!$A$6:$A$1005,0)),"MISSING ID")</x:f>
        <x:v>T2</x:v>
      </x:c>
      <x:c r="G567" s="4" t="str">
        <x:f>IFERROR(INDEX('Items'!$D$6:$D$1005,MATCH(D567,'Items'!$A$6:$A$1005,0)),"MISSING ID")</x:f>
        <x:v>Manufactured stock</x:v>
      </x:c>
      <x:c r="H567" s="4" t="str">
        <x:f>IFERROR(INDEX('Items'!$X$6:$X$1005,MATCH(D567,'Items'!$A$6:$A$1005,0)),"MISSING ID")</x:f>
        <x:v>Processed material</x:v>
      </x:c>
      <x:c r="I567" s="4"/>
      <x:c r="J567" s="4" t="str">
        <x:v>Unspecified</x:v>
      </x:c>
      <x:c r="K567" s="4" t="str">
        <x:f>IFERROR(INDEX('Crafting recipes'!$D$6:$D$1005,MATCH(B567,'Crafting recipes'!$A$6:$A$1005,0)),"MISSING ID")</x:f>
        <x:v>Proposal</x:v>
      </x:c>
      <x:c r="L567" s="4" t="str">
        <x:f>IFERROR(INDEX('Items'!$AD$6:$AD$1005,MATCH(D567,'Items'!$A$6:$A$1005,0)),"MISSING ID")</x:f>
        <x:v>Author direction</x:v>
      </x:c>
      <x:c r="M567" s="4" t="str">
        <x:f>IFERROR(INDEX('Crafting recipes'!$E$6:$E$1005,MATCH(B567,'Crafting recipes'!$A$6:$A$1005,0)),"MISSING ID")</x:f>
        <x:v>Partial proposal</x:v>
      </x:c>
      <x:c r="N567" s="4" t="str">
        <x:v>Candidate relationship only; quantity, yield and full recipe remain undefined.</x:v>
      </x:c>
      <x:c r="O567" s="4" t="str">
        <x:v>New October 15 tier-review proposal; user-authorized item audit and Docs/WORLD_BASIS.md. No source-canon or implemented-recipe claim.</x:v>
      </x:c>
      <x:c r="P567" s="4" t="n">
        <x:f>IF(OR(C567="Ingredient candidate",C567="Consumed input",C567="Contained input",C567="Transform input"),IF(F567="T0",0,IF(F567="T1",1,IF(F567="T2",2,IF(F567="T3",3,IF(F567="T4",4,-1))))),-1)</x:f>
        <x:v>2</x:v>
      </x:c>
      <x:c r="Q567" s="4" t="n">
        <x:f>IF(AND(OR(C567="Ingredient candidate",C567="Consumed input",C567="Contained input",C567="Transform input"),P567=-1),1,0)</x:f>
        <x:v>0</x:v>
      </x:c>
    </x:row>
    <x:row r="568" ht="115" customHeight="1">
      <x:c r="A568" s="4" t="str">
        <x:v>design.review.proposal_legger_long_load_clamp.out</x:v>
      </x:c>
      <x:c r="B568" s="4" t="str">
        <x:v>design.review.proposal_legger_long_load_clamp</x:v>
      </x:c>
      <x:c r="C568" s="4" t="str">
        <x:v>Output</x:v>
      </x:c>
      <x:c r="D568" s="4" t="str">
        <x:v>proposal.legger.long_load_clamp</x:v>
      </x:c>
      <x:c r="E568" s="4" t="str">
        <x:f>IFERROR(INDEX('Items'!$B$6:$B$1005,MATCH(D568,'Items'!$A$6:$A$1005,0)),"MISSING ID")</x:f>
        <x:v>Legger long-load clamp</x:v>
      </x:c>
      <x:c r="F568" s="4" t="str">
        <x:f>IFERROR(INDEX('Items'!$C$6:$C$1005,MATCH(D568,'Items'!$A$6:$A$1005,0)),"MISSING ID")</x:f>
        <x:v>T3</x:v>
      </x:c>
      <x:c r="G568" s="4" t="str">
        <x:f>IFERROR(INDEX('Items'!$D$6:$D$1005,MATCH(D568,'Items'!$A$6:$A$1005,0)),"MISSING ID")</x:f>
        <x:v>Crafting components</x:v>
      </x:c>
      <x:c r="H568" s="4" t="str">
        <x:f>IFERROR(INDEX('Items'!$X$6:$X$1005,MATCH(D568,'Items'!$A$6:$A$1005,0)),"MISSING ID")</x:f>
        <x:v>Crafting component</x:v>
      </x:c>
      <x:c r="I568" s="4"/>
      <x:c r="J568" s="4" t="str">
        <x:v>Unspecified</x:v>
      </x:c>
      <x:c r="K568" s="4" t="str">
        <x:f>IFERROR(INDEX('Crafting recipes'!$D$6:$D$1005,MATCH(B568,'Crafting recipes'!$A$6:$A$1005,0)),"MISSING ID")</x:f>
        <x:v>Proposal</x:v>
      </x:c>
      <x:c r="L568" s="4" t="str">
        <x:f>IFERROR(INDEX('Items'!$AD$6:$AD$1005,MATCH(D568,'Items'!$A$6:$A$1005,0)),"MISSING ID")</x:f>
        <x:v>Proposal</x:v>
      </x:c>
      <x:c r="M568" s="4" t="str">
        <x:f>IFERROR(INDEX('Crafting recipes'!$E$6:$E$1005,MATCH(B568,'Crafting recipes'!$A$6:$A$1005,0)),"MISSING ID")</x:f>
        <x:v>Partial proposal</x:v>
      </x:c>
      <x:c r="N568" s="4" t="str">
        <x:v>Candidate relationship only; quantity, yield and full recipe remain undefined.</x:v>
      </x:c>
      <x:c r="O568" s="4" t="str">
        <x:v>New October 15 tier-review proposal; user-authorized item audit and Docs/WORLD_BASIS.md. No source-canon or implemented-recipe claim.</x:v>
      </x:c>
      <x:c r="P568" s="4" t="n">
        <x:f>IF(OR(C568="Ingredient candidate",C568="Consumed input",C568="Contained input",C568="Transform input"),IF(F568="T0",0,IF(F568="T1",1,IF(F568="T2",2,IF(F568="T3",3,IF(F568="T4",4,-1))))),-1)</x:f>
        <x:v>-1</x:v>
      </x:c>
      <x:c r="Q568" s="4" t="n">
        <x:f>IF(AND(OR(C568="Ingredient candidate",C568="Consumed input",C568="Contained input",C568="Transform input"),P568=-1),1,0)</x:f>
        <x:v>0</x:v>
      </x:c>
    </x:row>
    <x:row r="569" ht="115" customHeight="1">
      <x:c r="A569" s="4" t="str">
        <x:v>design.review.proposal_legger_hinge_plate.in.1</x:v>
      </x:c>
      <x:c r="B569" s="4" t="str">
        <x:v>design.review.proposal_legger_hinge_plate</x:v>
      </x:c>
      <x:c r="C569" s="4" t="str">
        <x:v>Ingredient candidate</x:v>
      </x:c>
      <x:c r="D569" s="4" t="str">
        <x:v>author.metallurgy.steel_stock</x:v>
      </x:c>
      <x:c r="E569" s="4" t="str">
        <x:f>IFERROR(INDEX('Items'!$B$6:$B$1005,MATCH(D569,'Items'!$A$6:$A$1005,0)),"MISSING ID")</x:f>
        <x:v>Steel stock</x:v>
      </x:c>
      <x:c r="F569" s="4" t="str">
        <x:f>IFERROR(INDEX('Items'!$C$6:$C$1005,MATCH(D569,'Items'!$A$6:$A$1005,0)),"MISSING ID")</x:f>
        <x:v>T2</x:v>
      </x:c>
      <x:c r="G569" s="4" t="str">
        <x:f>IFERROR(INDEX('Items'!$D$6:$D$1005,MATCH(D569,'Items'!$A$6:$A$1005,0)),"MISSING ID")</x:f>
        <x:v>Manufactured stock</x:v>
      </x:c>
      <x:c r="H569" s="4" t="str">
        <x:f>IFERROR(INDEX('Items'!$X$6:$X$1005,MATCH(D569,'Items'!$A$6:$A$1005,0)),"MISSING ID")</x:f>
        <x:v>Processed material</x:v>
      </x:c>
      <x:c r="I569" s="4"/>
      <x:c r="J569" s="4" t="str">
        <x:v>Unspecified</x:v>
      </x:c>
      <x:c r="K569" s="4" t="str">
        <x:f>IFERROR(INDEX('Crafting recipes'!$D$6:$D$1005,MATCH(B569,'Crafting recipes'!$A$6:$A$1005,0)),"MISSING ID")</x:f>
        <x:v>Proposal</x:v>
      </x:c>
      <x:c r="L569" s="4" t="str">
        <x:f>IFERROR(INDEX('Items'!$AD$6:$AD$1005,MATCH(D569,'Items'!$A$6:$A$1005,0)),"MISSING ID")</x:f>
        <x:v>Author direction</x:v>
      </x:c>
      <x:c r="M569" s="4" t="str">
        <x:f>IFERROR(INDEX('Crafting recipes'!$E$6:$E$1005,MATCH(B569,'Crafting recipes'!$A$6:$A$1005,0)),"MISSING ID")</x:f>
        <x:v>Partial proposal</x:v>
      </x:c>
      <x:c r="N569" s="4" t="str">
        <x:v>Candidate relationship only; quantity, yield and full recipe remain undefined.</x:v>
      </x:c>
      <x:c r="O569" s="4" t="str">
        <x:v>New October 15 tier-review proposal; user-authorized item audit and Docs/WORLD_BASIS.md. No source-canon or implemented-recipe claim.</x:v>
      </x:c>
      <x:c r="P569" s="4" t="n">
        <x:f>IF(OR(C569="Ingredient candidate",C569="Consumed input",C569="Contained input",C569="Transform input"),IF(F569="T0",0,IF(F569="T1",1,IF(F569="T2",2,IF(F569="T3",3,IF(F569="T4",4,-1))))),-1)</x:f>
        <x:v>2</x:v>
      </x:c>
      <x:c r="Q569" s="4" t="n">
        <x:f>IF(AND(OR(C569="Ingredient candidate",C569="Consumed input",C569="Contained input",C569="Transform input"),P569=-1),1,0)</x:f>
        <x:v>0</x:v>
      </x:c>
    </x:row>
    <x:row r="570" ht="115" customHeight="1">
      <x:c r="A570" s="4" t="str">
        <x:v>design.review.proposal_legger_hinge_plate.out</x:v>
      </x:c>
      <x:c r="B570" s="4" t="str">
        <x:v>design.review.proposal_legger_hinge_plate</x:v>
      </x:c>
      <x:c r="C570" s="4" t="str">
        <x:v>Output</x:v>
      </x:c>
      <x:c r="D570" s="4" t="str">
        <x:v>proposal.legger.hinge_plate</x:v>
      </x:c>
      <x:c r="E570" s="4" t="str">
        <x:f>IFERROR(INDEX('Items'!$B$6:$B$1005,MATCH(D570,'Items'!$A$6:$A$1005,0)),"MISSING ID")</x:f>
        <x:v>Chassis hinge-mount plate</x:v>
      </x:c>
      <x:c r="F570" s="4" t="str">
        <x:f>IFERROR(INDEX('Items'!$C$6:$C$1005,MATCH(D570,'Items'!$A$6:$A$1005,0)),"MISSING ID")</x:f>
        <x:v>T3</x:v>
      </x:c>
      <x:c r="G570" s="4" t="str">
        <x:f>IFERROR(INDEX('Items'!$D$6:$D$1005,MATCH(D570,'Items'!$A$6:$A$1005,0)),"MISSING ID")</x:f>
        <x:v>Crafting components</x:v>
      </x:c>
      <x:c r="H570" s="4" t="str">
        <x:f>IFERROR(INDEX('Items'!$X$6:$X$1005,MATCH(D570,'Items'!$A$6:$A$1005,0)),"MISSING ID")</x:f>
        <x:v>Crafting component</x:v>
      </x:c>
      <x:c r="I570" s="4"/>
      <x:c r="J570" s="4" t="str">
        <x:v>Unspecified</x:v>
      </x:c>
      <x:c r="K570" s="4" t="str">
        <x:f>IFERROR(INDEX('Crafting recipes'!$D$6:$D$1005,MATCH(B570,'Crafting recipes'!$A$6:$A$1005,0)),"MISSING ID")</x:f>
        <x:v>Proposal</x:v>
      </x:c>
      <x:c r="L570" s="4" t="str">
        <x:f>IFERROR(INDEX('Items'!$AD$6:$AD$1005,MATCH(D570,'Items'!$A$6:$A$1005,0)),"MISSING ID")</x:f>
        <x:v>Proposal</x:v>
      </x:c>
      <x:c r="M570" s="4" t="str">
        <x:f>IFERROR(INDEX('Crafting recipes'!$E$6:$E$1005,MATCH(B570,'Crafting recipes'!$A$6:$A$1005,0)),"MISSING ID")</x:f>
        <x:v>Partial proposal</x:v>
      </x:c>
      <x:c r="N570" s="4" t="str">
        <x:v>Candidate relationship only; quantity, yield and full recipe remain undefined.</x:v>
      </x:c>
      <x:c r="O570" s="4" t="str">
        <x:v>New October 15 tier-review proposal; user-authorized item audit and Docs/WORLD_BASIS.md. No source-canon or implemented-recipe claim.</x:v>
      </x:c>
      <x:c r="P570" s="4" t="n">
        <x:f>IF(OR(C570="Ingredient candidate",C570="Consumed input",C570="Contained input",C570="Transform input"),IF(F570="T0",0,IF(F570="T1",1,IF(F570="T2",2,IF(F570="T3",3,IF(F570="T4",4,-1))))),-1)</x:f>
        <x:v>-1</x:v>
      </x:c>
      <x:c r="Q570" s="4" t="n">
        <x:f>IF(AND(OR(C570="Ingredient candidate",C570="Consumed input",C570="Contained input",C570="Transform input"),P570=-1),1,0)</x:f>
        <x:v>0</x:v>
      </x:c>
    </x:row>
    <x:row r="571" ht="115" customHeight="1">
      <x:c r="A571" s="4" t="str">
        <x:v>design.review.proposal_legger_crush_mount.in.1</x:v>
      </x:c>
      <x:c r="B571" s="4" t="str">
        <x:v>design.review.proposal_legger_crush_mount</x:v>
      </x:c>
      <x:c r="C571" s="4" t="str">
        <x:v>Ingredient candidate</x:v>
      </x:c>
      <x:c r="D571" s="4" t="str">
        <x:v>author.metallurgy.steel_stock</x:v>
      </x:c>
      <x:c r="E571" s="4" t="str">
        <x:f>IFERROR(INDEX('Items'!$B$6:$B$1005,MATCH(D571,'Items'!$A$6:$A$1005,0)),"MISSING ID")</x:f>
        <x:v>Steel stock</x:v>
      </x:c>
      <x:c r="F571" s="4" t="str">
        <x:f>IFERROR(INDEX('Items'!$C$6:$C$1005,MATCH(D571,'Items'!$A$6:$A$1005,0)),"MISSING ID")</x:f>
        <x:v>T2</x:v>
      </x:c>
      <x:c r="G571" s="4" t="str">
        <x:f>IFERROR(INDEX('Items'!$D$6:$D$1005,MATCH(D571,'Items'!$A$6:$A$1005,0)),"MISSING ID")</x:f>
        <x:v>Manufactured stock</x:v>
      </x:c>
      <x:c r="H571" s="4" t="str">
        <x:f>IFERROR(INDEX('Items'!$X$6:$X$1005,MATCH(D571,'Items'!$A$6:$A$1005,0)),"MISSING ID")</x:f>
        <x:v>Processed material</x:v>
      </x:c>
      <x:c r="I571" s="4"/>
      <x:c r="J571" s="4" t="str">
        <x:v>Unspecified</x:v>
      </x:c>
      <x:c r="K571" s="4" t="str">
        <x:f>IFERROR(INDEX('Crafting recipes'!$D$6:$D$1005,MATCH(B571,'Crafting recipes'!$A$6:$A$1005,0)),"MISSING ID")</x:f>
        <x:v>Proposal</x:v>
      </x:c>
      <x:c r="L571" s="4" t="str">
        <x:f>IFERROR(INDEX('Items'!$AD$6:$AD$1005,MATCH(D571,'Items'!$A$6:$A$1005,0)),"MISSING ID")</x:f>
        <x:v>Author direction</x:v>
      </x:c>
      <x:c r="M571" s="4" t="str">
        <x:f>IFERROR(INDEX('Crafting recipes'!$E$6:$E$1005,MATCH(B571,'Crafting recipes'!$A$6:$A$1005,0)),"MISSING ID")</x:f>
        <x:v>Partial proposal</x:v>
      </x:c>
      <x:c r="N571" s="4" t="str">
        <x:v>Candidate relationship only; quantity, yield and full recipe remain undefined.</x:v>
      </x:c>
      <x:c r="O571" s="4" t="str">
        <x:v>New October 15 tier-review proposal; user-authorized item audit and Docs/WORLD_BASIS.md. No source-canon or implemented-recipe claim.</x:v>
      </x:c>
      <x:c r="P571" s="4" t="n">
        <x:f>IF(OR(C571="Ingredient candidate",C571="Consumed input",C571="Contained input",C571="Transform input"),IF(F571="T0",0,IF(F571="T1",1,IF(F571="T2",2,IF(F571="T3",3,IF(F571="T4",4,-1))))),-1)</x:f>
        <x:v>2</x:v>
      </x:c>
      <x:c r="Q571" s="4" t="n">
        <x:f>IF(AND(OR(C571="Ingredient candidate",C571="Consumed input",C571="Contained input",C571="Transform input"),P571=-1),1,0)</x:f>
        <x:v>0</x:v>
      </x:c>
    </x:row>
    <x:row r="572" ht="115" customHeight="1">
      <x:c r="A572" s="4" t="str">
        <x:v>design.review.proposal_legger_crush_mount.out</x:v>
      </x:c>
      <x:c r="B572" s="4" t="str">
        <x:v>design.review.proposal_legger_crush_mount</x:v>
      </x:c>
      <x:c r="C572" s="4" t="str">
        <x:v>Output</x:v>
      </x:c>
      <x:c r="D572" s="4" t="str">
        <x:v>proposal.legger.crush_mount</x:v>
      </x:c>
      <x:c r="E572" s="4" t="str">
        <x:f>IFERROR(INDEX('Items'!$B$6:$B$1005,MATCH(D572,'Items'!$A$6:$A$1005,0)),"MISSING ID")</x:f>
        <x:v>Sacrificial attachment mount</x:v>
      </x:c>
      <x:c r="F572" s="4" t="str">
        <x:f>IFERROR(INDEX('Items'!$C$6:$C$1005,MATCH(D572,'Items'!$A$6:$A$1005,0)),"MISSING ID")</x:f>
        <x:v>T3</x:v>
      </x:c>
      <x:c r="G572" s="4" t="str">
        <x:f>IFERROR(INDEX('Items'!$D$6:$D$1005,MATCH(D572,'Items'!$A$6:$A$1005,0)),"MISSING ID")</x:f>
        <x:v>Crafting components</x:v>
      </x:c>
      <x:c r="H572" s="4" t="str">
        <x:f>IFERROR(INDEX('Items'!$X$6:$X$1005,MATCH(D572,'Items'!$A$6:$A$1005,0)),"MISSING ID")</x:f>
        <x:v>Crafting component</x:v>
      </x:c>
      <x:c r="I572" s="4"/>
      <x:c r="J572" s="4" t="str">
        <x:v>Unspecified</x:v>
      </x:c>
      <x:c r="K572" s="4" t="str">
        <x:f>IFERROR(INDEX('Crafting recipes'!$D$6:$D$1005,MATCH(B572,'Crafting recipes'!$A$6:$A$1005,0)),"MISSING ID")</x:f>
        <x:v>Proposal</x:v>
      </x:c>
      <x:c r="L572" s="4" t="str">
        <x:f>IFERROR(INDEX('Items'!$AD$6:$AD$1005,MATCH(D572,'Items'!$A$6:$A$1005,0)),"MISSING ID")</x:f>
        <x:v>Proposal</x:v>
      </x:c>
      <x:c r="M572" s="4" t="str">
        <x:f>IFERROR(INDEX('Crafting recipes'!$E$6:$E$1005,MATCH(B572,'Crafting recipes'!$A$6:$A$1005,0)),"MISSING ID")</x:f>
        <x:v>Partial proposal</x:v>
      </x:c>
      <x:c r="N572" s="4" t="str">
        <x:v>Candidate relationship only; quantity, yield and full recipe remain undefined.</x:v>
      </x:c>
      <x:c r="O572" s="4" t="str">
        <x:v>New October 15 tier-review proposal; user-authorized item audit and Docs/WORLD_BASIS.md. No source-canon or implemented-recipe claim.</x:v>
      </x:c>
      <x:c r="P572" s="4" t="n">
        <x:f>IF(OR(C572="Ingredient candidate",C572="Consumed input",C572="Contained input",C572="Transform input"),IF(F572="T0",0,IF(F572="T1",1,IF(F572="T2",2,IF(F572="T3",3,IF(F572="T4",4,-1))))),-1)</x:f>
        <x:v>-1</x:v>
      </x:c>
      <x:c r="Q572" s="4" t="n">
        <x:f>IF(AND(OR(C572="Ingredient candidate",C572="Consumed input",C572="Contained input",C572="Transform input"),P572=-1),1,0)</x:f>
        <x:v>0</x:v>
      </x:c>
    </x:row>
    <x:row r="573" ht="115" customHeight="1">
      <x:c r="A573" s="4" t="str">
        <x:v>design.review.proposal_legger_iron_rib.in.1</x:v>
      </x:c>
      <x:c r="B573" s="4" t="str">
        <x:v>design.review.proposal_legger_iron_rib</x:v>
      </x:c>
      <x:c r="C573" s="4" t="str">
        <x:v>Ingredient candidate</x:v>
      </x:c>
      <x:c r="D573" s="4" t="str">
        <x:v>proposal.natural.iron_stock</x:v>
      </x:c>
      <x:c r="E573" s="4" t="str">
        <x:f>IFERROR(INDEX('Items'!$B$6:$B$1005,MATCH(D573,'Items'!$A$6:$A$1005,0)),"MISSING ID")</x:f>
        <x:v>Worked iron stock</x:v>
      </x:c>
      <x:c r="F573" s="4" t="str">
        <x:f>IFERROR(INDEX('Items'!$C$6:$C$1005,MATCH(D573,'Items'!$A$6:$A$1005,0)),"MISSING ID")</x:f>
        <x:v>T2</x:v>
      </x:c>
      <x:c r="G573" s="4" t="str">
        <x:f>IFERROR(INDEX('Items'!$D$6:$D$1005,MATCH(D573,'Items'!$A$6:$A$1005,0)),"MISSING ID")</x:f>
        <x:v>Manufactured stock</x:v>
      </x:c>
      <x:c r="H573" s="4" t="str">
        <x:f>IFERROR(INDEX('Items'!$X$6:$X$1005,MATCH(D573,'Items'!$A$6:$A$1005,0)),"MISSING ID")</x:f>
        <x:v>Processed material</x:v>
      </x:c>
      <x:c r="I573" s="4"/>
      <x:c r="J573" s="4" t="str">
        <x:v>Unspecified</x:v>
      </x:c>
      <x:c r="K573" s="4" t="str">
        <x:f>IFERROR(INDEX('Crafting recipes'!$D$6:$D$1005,MATCH(B573,'Crafting recipes'!$A$6:$A$1005,0)),"MISSING ID")</x:f>
        <x:v>Proposal</x:v>
      </x:c>
      <x:c r="L573" s="4" t="str">
        <x:f>IFERROR(INDEX('Items'!$AD$6:$AD$1005,MATCH(D573,'Items'!$A$6:$A$1005,0)),"MISSING ID")</x:f>
        <x:v>Proposal</x:v>
      </x:c>
      <x:c r="M573" s="4" t="str">
        <x:f>IFERROR(INDEX('Crafting recipes'!$E$6:$E$1005,MATCH(B573,'Crafting recipes'!$A$6:$A$1005,0)),"MISSING ID")</x:f>
        <x:v>Partial proposal</x:v>
      </x:c>
      <x:c r="N573" s="4" t="str">
        <x:v>Candidate relationship only; quantity, yield and full recipe remain undefined.</x:v>
      </x:c>
      <x:c r="O573" s="4" t="str">
        <x:v>New October 15 tier-review proposal; user-authorized item audit and Docs/WORLD_BASIS.md. No source-canon or implemented-recipe claim.</x:v>
      </x:c>
      <x:c r="P573" s="4" t="n">
        <x:f>IF(OR(C573="Ingredient candidate",C573="Consumed input",C573="Contained input",C573="Transform input"),IF(F573="T0",0,IF(F573="T1",1,IF(F573="T2",2,IF(F573="T3",3,IF(F573="T4",4,-1))))),-1)</x:f>
        <x:v>2</x:v>
      </x:c>
      <x:c r="Q573" s="4" t="n">
        <x:f>IF(AND(OR(C573="Ingredient candidate",C573="Consumed input",C573="Contained input",C573="Transform input"),P573=-1),1,0)</x:f>
        <x:v>0</x:v>
      </x:c>
    </x:row>
    <x:row r="574" ht="115" customHeight="1">
      <x:c r="A574" s="4" t="str">
        <x:v>design.review.proposal_legger_iron_rib.out</x:v>
      </x:c>
      <x:c r="B574" s="4" t="str">
        <x:v>design.review.proposal_legger_iron_rib</x:v>
      </x:c>
      <x:c r="C574" s="4" t="str">
        <x:v>Output</x:v>
      </x:c>
      <x:c r="D574" s="4" t="str">
        <x:v>proposal.legger.iron_rib</x:v>
      </x:c>
      <x:c r="E574" s="4" t="str">
        <x:f>IFERROR(INDEX('Items'!$B$6:$B$1005,MATCH(D574,'Items'!$A$6:$A$1005,0)),"MISSING ID")</x:f>
        <x:v>Iron chassis replacement rib</x:v>
      </x:c>
      <x:c r="F574" s="4" t="str">
        <x:f>IFERROR(INDEX('Items'!$C$6:$C$1005,MATCH(D574,'Items'!$A$6:$A$1005,0)),"MISSING ID")</x:f>
        <x:v>T3</x:v>
      </x:c>
      <x:c r="G574" s="4" t="str">
        <x:f>IFERROR(INDEX('Items'!$D$6:$D$1005,MATCH(D574,'Items'!$A$6:$A$1005,0)),"MISSING ID")</x:f>
        <x:v>Crafting components</x:v>
      </x:c>
      <x:c r="H574" s="4" t="str">
        <x:f>IFERROR(INDEX('Items'!$X$6:$X$1005,MATCH(D574,'Items'!$A$6:$A$1005,0)),"MISSING ID")</x:f>
        <x:v>Crafting component</x:v>
      </x:c>
      <x:c r="I574" s="4"/>
      <x:c r="J574" s="4" t="str">
        <x:v>Unspecified</x:v>
      </x:c>
      <x:c r="K574" s="4" t="str">
        <x:f>IFERROR(INDEX('Crafting recipes'!$D$6:$D$1005,MATCH(B574,'Crafting recipes'!$A$6:$A$1005,0)),"MISSING ID")</x:f>
        <x:v>Proposal</x:v>
      </x:c>
      <x:c r="L574" s="4" t="str">
        <x:f>IFERROR(INDEX('Items'!$AD$6:$AD$1005,MATCH(D574,'Items'!$A$6:$A$1005,0)),"MISSING ID")</x:f>
        <x:v>Proposal</x:v>
      </x:c>
      <x:c r="M574" s="4" t="str">
        <x:f>IFERROR(INDEX('Crafting recipes'!$E$6:$E$1005,MATCH(B574,'Crafting recipes'!$A$6:$A$1005,0)),"MISSING ID")</x:f>
        <x:v>Partial proposal</x:v>
      </x:c>
      <x:c r="N574" s="4" t="str">
        <x:v>Candidate relationship only; quantity, yield and full recipe remain undefined.</x:v>
      </x:c>
      <x:c r="O574" s="4" t="str">
        <x:v>New October 15 tier-review proposal; user-authorized item audit and Docs/WORLD_BASIS.md. No source-canon or implemented-recipe claim.</x:v>
      </x:c>
      <x:c r="P574" s="4" t="n">
        <x:f>IF(OR(C574="Ingredient candidate",C574="Consumed input",C574="Contained input",C574="Transform input"),IF(F574="T0",0,IF(F574="T1",1,IF(F574="T2",2,IF(F574="T3",3,IF(F574="T4",4,-1))))),-1)</x:f>
        <x:v>-1</x:v>
      </x:c>
      <x:c r="Q574" s="4" t="n">
        <x:f>IF(AND(OR(C574="Ingredient candidate",C574="Consumed input",C574="Contained input",C574="Transform input"),P574=-1),1,0)</x:f>
        <x:v>0</x:v>
      </x:c>
    </x:row>
    <x:row r="575" ht="115" customHeight="1">
      <x:c r="A575" s="4" t="str">
        <x:v>design.review.proposal_legger_crossbrace.in.1</x:v>
      </x:c>
      <x:c r="B575" s="4" t="str">
        <x:v>design.review.proposal_legger_crossbrace</x:v>
      </x:c>
      <x:c r="C575" s="4" t="str">
        <x:v>Ingredient candidate</x:v>
      </x:c>
      <x:c r="D575" s="4" t="str">
        <x:v>proposal.natural.iron_stock</x:v>
      </x:c>
      <x:c r="E575" s="4" t="str">
        <x:f>IFERROR(INDEX('Items'!$B$6:$B$1005,MATCH(D575,'Items'!$A$6:$A$1005,0)),"MISSING ID")</x:f>
        <x:v>Worked iron stock</x:v>
      </x:c>
      <x:c r="F575" s="4" t="str">
        <x:f>IFERROR(INDEX('Items'!$C$6:$C$1005,MATCH(D575,'Items'!$A$6:$A$1005,0)),"MISSING ID")</x:f>
        <x:v>T2</x:v>
      </x:c>
      <x:c r="G575" s="4" t="str">
        <x:f>IFERROR(INDEX('Items'!$D$6:$D$1005,MATCH(D575,'Items'!$A$6:$A$1005,0)),"MISSING ID")</x:f>
        <x:v>Manufactured stock</x:v>
      </x:c>
      <x:c r="H575" s="4" t="str">
        <x:f>IFERROR(INDEX('Items'!$X$6:$X$1005,MATCH(D575,'Items'!$A$6:$A$1005,0)),"MISSING ID")</x:f>
        <x:v>Processed material</x:v>
      </x:c>
      <x:c r="I575" s="4"/>
      <x:c r="J575" s="4" t="str">
        <x:v>Unspecified</x:v>
      </x:c>
      <x:c r="K575" s="4" t="str">
        <x:f>IFERROR(INDEX('Crafting recipes'!$D$6:$D$1005,MATCH(B575,'Crafting recipes'!$A$6:$A$1005,0)),"MISSING ID")</x:f>
        <x:v>Proposal</x:v>
      </x:c>
      <x:c r="L575" s="4" t="str">
        <x:f>IFERROR(INDEX('Items'!$AD$6:$AD$1005,MATCH(D575,'Items'!$A$6:$A$1005,0)),"MISSING ID")</x:f>
        <x:v>Proposal</x:v>
      </x:c>
      <x:c r="M575" s="4" t="str">
        <x:f>IFERROR(INDEX('Crafting recipes'!$E$6:$E$1005,MATCH(B575,'Crafting recipes'!$A$6:$A$1005,0)),"MISSING ID")</x:f>
        <x:v>Partial proposal</x:v>
      </x:c>
      <x:c r="N575" s="4" t="str">
        <x:v>Candidate relationship only; quantity, yield and full recipe remain undefined.</x:v>
      </x:c>
      <x:c r="O575" s="4" t="str">
        <x:v>New October 15 tier-review proposal; user-authorized item audit and Docs/WORLD_BASIS.md. No source-canon or implemented-recipe claim.</x:v>
      </x:c>
      <x:c r="P575" s="4" t="n">
        <x:f>IF(OR(C575="Ingredient candidate",C575="Consumed input",C575="Contained input",C575="Transform input"),IF(F575="T0",0,IF(F575="T1",1,IF(F575="T2",2,IF(F575="T3",3,IF(F575="T4",4,-1))))),-1)</x:f>
        <x:v>2</x:v>
      </x:c>
      <x:c r="Q575" s="4" t="n">
        <x:f>IF(AND(OR(C575="Ingredient candidate",C575="Consumed input",C575="Contained input",C575="Transform input"),P575=-1),1,0)</x:f>
        <x:v>0</x:v>
      </x:c>
    </x:row>
    <x:row r="576" ht="115" customHeight="1">
      <x:c r="A576" s="4" t="str">
        <x:v>design.review.proposal_legger_crossbrace.out</x:v>
      </x:c>
      <x:c r="B576" s="4" t="str">
        <x:v>design.review.proposal_legger_crossbrace</x:v>
      </x:c>
      <x:c r="C576" s="4" t="str">
        <x:v>Output</x:v>
      </x:c>
      <x:c r="D576" s="4" t="str">
        <x:v>proposal.legger.crossbrace</x:v>
      </x:c>
      <x:c r="E576" s="4" t="str">
        <x:f>IFERROR(INDEX('Items'!$B$6:$B$1005,MATCH(D576,'Items'!$A$6:$A$1005,0)),"MISSING ID")</x:f>
        <x:v>Chassis crossbrace</x:v>
      </x:c>
      <x:c r="F576" s="4" t="str">
        <x:f>IFERROR(INDEX('Items'!$C$6:$C$1005,MATCH(D576,'Items'!$A$6:$A$1005,0)),"MISSING ID")</x:f>
        <x:v>T3</x:v>
      </x:c>
      <x:c r="G576" s="4" t="str">
        <x:f>IFERROR(INDEX('Items'!$D$6:$D$1005,MATCH(D576,'Items'!$A$6:$A$1005,0)),"MISSING ID")</x:f>
        <x:v>Crafting components</x:v>
      </x:c>
      <x:c r="H576" s="4" t="str">
        <x:f>IFERROR(INDEX('Items'!$X$6:$X$1005,MATCH(D576,'Items'!$A$6:$A$1005,0)),"MISSING ID")</x:f>
        <x:v>Crafting component</x:v>
      </x:c>
      <x:c r="I576" s="4"/>
      <x:c r="J576" s="4" t="str">
        <x:v>Unspecified</x:v>
      </x:c>
      <x:c r="K576" s="4" t="str">
        <x:f>IFERROR(INDEX('Crafting recipes'!$D$6:$D$1005,MATCH(B576,'Crafting recipes'!$A$6:$A$1005,0)),"MISSING ID")</x:f>
        <x:v>Proposal</x:v>
      </x:c>
      <x:c r="L576" s="4" t="str">
        <x:f>IFERROR(INDEX('Items'!$AD$6:$AD$1005,MATCH(D576,'Items'!$A$6:$A$1005,0)),"MISSING ID")</x:f>
        <x:v>Proposal</x:v>
      </x:c>
      <x:c r="M576" s="4" t="str">
        <x:f>IFERROR(INDEX('Crafting recipes'!$E$6:$E$1005,MATCH(B576,'Crafting recipes'!$A$6:$A$1005,0)),"MISSING ID")</x:f>
        <x:v>Partial proposal</x:v>
      </x:c>
      <x:c r="N576" s="4" t="str">
        <x:v>Candidate relationship only; quantity, yield and full recipe remain undefined.</x:v>
      </x:c>
      <x:c r="O576" s="4" t="str">
        <x:v>New October 15 tier-review proposal; user-authorized item audit and Docs/WORLD_BASIS.md. No source-canon or implemented-recipe claim.</x:v>
      </x:c>
      <x:c r="P576" s="4" t="n">
        <x:f>IF(OR(C576="Ingredient candidate",C576="Consumed input",C576="Contained input",C576="Transform input"),IF(F576="T0",0,IF(F576="T1",1,IF(F576="T2",2,IF(F576="T3",3,IF(F576="T4",4,-1))))),-1)</x:f>
        <x:v>-1</x:v>
      </x:c>
      <x:c r="Q576" s="4" t="n">
        <x:f>IF(AND(OR(C576="Ingredient candidate",C576="Consumed input",C576="Contained input",C576="Transform input"),P576=-1),1,0)</x:f>
        <x:v>0</x:v>
      </x:c>
    </x:row>
    <x:row r="577" ht="115" customHeight="1">
      <x:c r="A577" s="4" t="str">
        <x:v>design.review.proposal_legger_foot_plate.in.1</x:v>
      </x:c>
      <x:c r="B577" s="4" t="str">
        <x:v>design.review.proposal_legger_foot_plate</x:v>
      </x:c>
      <x:c r="C577" s="4" t="str">
        <x:v>Ingredient candidate</x:v>
      </x:c>
      <x:c r="D577" s="4" t="str">
        <x:v>proposal.natural.iron_stock</x:v>
      </x:c>
      <x:c r="E577" s="4" t="str">
        <x:f>IFERROR(INDEX('Items'!$B$6:$B$1005,MATCH(D577,'Items'!$A$6:$A$1005,0)),"MISSING ID")</x:f>
        <x:v>Worked iron stock</x:v>
      </x:c>
      <x:c r="F577" s="4" t="str">
        <x:f>IFERROR(INDEX('Items'!$C$6:$C$1005,MATCH(D577,'Items'!$A$6:$A$1005,0)),"MISSING ID")</x:f>
        <x:v>T2</x:v>
      </x:c>
      <x:c r="G577" s="4" t="str">
        <x:f>IFERROR(INDEX('Items'!$D$6:$D$1005,MATCH(D577,'Items'!$A$6:$A$1005,0)),"MISSING ID")</x:f>
        <x:v>Manufactured stock</x:v>
      </x:c>
      <x:c r="H577" s="4" t="str">
        <x:f>IFERROR(INDEX('Items'!$X$6:$X$1005,MATCH(D577,'Items'!$A$6:$A$1005,0)),"MISSING ID")</x:f>
        <x:v>Processed material</x:v>
      </x:c>
      <x:c r="I577" s="4"/>
      <x:c r="J577" s="4" t="str">
        <x:v>Unspecified</x:v>
      </x:c>
      <x:c r="K577" s="4" t="str">
        <x:f>IFERROR(INDEX('Crafting recipes'!$D$6:$D$1005,MATCH(B577,'Crafting recipes'!$A$6:$A$1005,0)),"MISSING ID")</x:f>
        <x:v>Proposal</x:v>
      </x:c>
      <x:c r="L577" s="4" t="str">
        <x:f>IFERROR(INDEX('Items'!$AD$6:$AD$1005,MATCH(D577,'Items'!$A$6:$A$1005,0)),"MISSING ID")</x:f>
        <x:v>Proposal</x:v>
      </x:c>
      <x:c r="M577" s="4" t="str">
        <x:f>IFERROR(INDEX('Crafting recipes'!$E$6:$E$1005,MATCH(B577,'Crafting recipes'!$A$6:$A$1005,0)),"MISSING ID")</x:f>
        <x:v>Partial proposal</x:v>
      </x:c>
      <x:c r="N577" s="4" t="str">
        <x:v>Candidate relationship only; quantity, yield and full recipe remain undefined.</x:v>
      </x:c>
      <x:c r="O577" s="4" t="str">
        <x:v>New October 15 tier-review proposal; user-authorized item audit and Docs/WORLD_BASIS.md. No source-canon or implemented-recipe claim.</x:v>
      </x:c>
      <x:c r="P577" s="4" t="n">
        <x:f>IF(OR(C577="Ingredient candidate",C577="Consumed input",C577="Contained input",C577="Transform input"),IF(F577="T0",0,IF(F577="T1",1,IF(F577="T2",2,IF(F577="T3",3,IF(F577="T4",4,-1))))),-1)</x:f>
        <x:v>2</x:v>
      </x:c>
      <x:c r="Q577" s="4" t="n">
        <x:f>IF(AND(OR(C577="Ingredient candidate",C577="Consumed input",C577="Contained input",C577="Transform input"),P577=-1),1,0)</x:f>
        <x:v>0</x:v>
      </x:c>
    </x:row>
    <x:row r="578" ht="115" customHeight="1">
      <x:c r="A578" s="4" t="str">
        <x:v>design.review.proposal_legger_foot_plate.out</x:v>
      </x:c>
      <x:c r="B578" s="4" t="str">
        <x:v>design.review.proposal_legger_foot_plate</x:v>
      </x:c>
      <x:c r="C578" s="4" t="str">
        <x:v>Output</x:v>
      </x:c>
      <x:c r="D578" s="4" t="str">
        <x:v>proposal.legger.foot_plate</x:v>
      </x:c>
      <x:c r="E578" s="4" t="str">
        <x:f>IFERROR(INDEX('Items'!$B$6:$B$1005,MATCH(D578,'Items'!$A$6:$A$1005,0)),"MISSING ID")</x:f>
        <x:v>Replaceable foot contact plate</x:v>
      </x:c>
      <x:c r="F578" s="4" t="str">
        <x:f>IFERROR(INDEX('Items'!$C$6:$C$1005,MATCH(D578,'Items'!$A$6:$A$1005,0)),"MISSING ID")</x:f>
        <x:v>T3</x:v>
      </x:c>
      <x:c r="G578" s="4" t="str">
        <x:f>IFERROR(INDEX('Items'!$D$6:$D$1005,MATCH(D578,'Items'!$A$6:$A$1005,0)),"MISSING ID")</x:f>
        <x:v>Crafting components</x:v>
      </x:c>
      <x:c r="H578" s="4" t="str">
        <x:f>IFERROR(INDEX('Items'!$X$6:$X$1005,MATCH(D578,'Items'!$A$6:$A$1005,0)),"MISSING ID")</x:f>
        <x:v>Crafting component</x:v>
      </x:c>
      <x:c r="I578" s="4"/>
      <x:c r="J578" s="4" t="str">
        <x:v>Unspecified</x:v>
      </x:c>
      <x:c r="K578" s="4" t="str">
        <x:f>IFERROR(INDEX('Crafting recipes'!$D$6:$D$1005,MATCH(B578,'Crafting recipes'!$A$6:$A$1005,0)),"MISSING ID")</x:f>
        <x:v>Proposal</x:v>
      </x:c>
      <x:c r="L578" s="4" t="str">
        <x:f>IFERROR(INDEX('Items'!$AD$6:$AD$1005,MATCH(D578,'Items'!$A$6:$A$1005,0)),"MISSING ID")</x:f>
        <x:v>Proposal</x:v>
      </x:c>
      <x:c r="M578" s="4" t="str">
        <x:f>IFERROR(INDEX('Crafting recipes'!$E$6:$E$1005,MATCH(B578,'Crafting recipes'!$A$6:$A$1005,0)),"MISSING ID")</x:f>
        <x:v>Partial proposal</x:v>
      </x:c>
      <x:c r="N578" s="4" t="str">
        <x:v>Candidate relationship only; quantity, yield and full recipe remain undefined.</x:v>
      </x:c>
      <x:c r="O578" s="4" t="str">
        <x:v>New October 15 tier-review proposal; user-authorized item audit and Docs/WORLD_BASIS.md. No source-canon or implemented-recipe claim.</x:v>
      </x:c>
      <x:c r="P578" s="4" t="n">
        <x:f>IF(OR(C578="Ingredient candidate",C578="Consumed input",C578="Contained input",C578="Transform input"),IF(F578="T0",0,IF(F578="T1",1,IF(F578="T2",2,IF(F578="T3",3,IF(F578="T4",4,-1))))),-1)</x:f>
        <x:v>-1</x:v>
      </x:c>
      <x:c r="Q578" s="4" t="n">
        <x:f>IF(AND(OR(C578="Ingredient candidate",C578="Consumed input",C578="Contained input",C578="Transform input"),P578=-1),1,0)</x:f>
        <x:v>0</x:v>
      </x:c>
    </x:row>
    <x:row r="579" ht="115" customHeight="1">
      <x:c r="A579" s="4" t="str">
        <x:v>design.review.proposal_legger_fracture_patch.in.1</x:v>
      </x:c>
      <x:c r="B579" s="4" t="str">
        <x:v>design.review.proposal_legger_fracture_patch</x:v>
      </x:c>
      <x:c r="C579" s="4" t="str">
        <x:v>Ingredient candidate</x:v>
      </x:c>
      <x:c r="D579" s="4" t="str">
        <x:v>proposal.natural.iron_stock</x:v>
      </x:c>
      <x:c r="E579" s="4" t="str">
        <x:f>IFERROR(INDEX('Items'!$B$6:$B$1005,MATCH(D579,'Items'!$A$6:$A$1005,0)),"MISSING ID")</x:f>
        <x:v>Worked iron stock</x:v>
      </x:c>
      <x:c r="F579" s="4" t="str">
        <x:f>IFERROR(INDEX('Items'!$C$6:$C$1005,MATCH(D579,'Items'!$A$6:$A$1005,0)),"MISSING ID")</x:f>
        <x:v>T2</x:v>
      </x:c>
      <x:c r="G579" s="4" t="str">
        <x:f>IFERROR(INDEX('Items'!$D$6:$D$1005,MATCH(D579,'Items'!$A$6:$A$1005,0)),"MISSING ID")</x:f>
        <x:v>Manufactured stock</x:v>
      </x:c>
      <x:c r="H579" s="4" t="str">
        <x:f>IFERROR(INDEX('Items'!$X$6:$X$1005,MATCH(D579,'Items'!$A$6:$A$1005,0)),"MISSING ID")</x:f>
        <x:v>Processed material</x:v>
      </x:c>
      <x:c r="I579" s="4"/>
      <x:c r="J579" s="4" t="str">
        <x:v>Unspecified</x:v>
      </x:c>
      <x:c r="K579" s="4" t="str">
        <x:f>IFERROR(INDEX('Crafting recipes'!$D$6:$D$1005,MATCH(B579,'Crafting recipes'!$A$6:$A$1005,0)),"MISSING ID")</x:f>
        <x:v>Proposal</x:v>
      </x:c>
      <x:c r="L579" s="4" t="str">
        <x:f>IFERROR(INDEX('Items'!$AD$6:$AD$1005,MATCH(D579,'Items'!$A$6:$A$1005,0)),"MISSING ID")</x:f>
        <x:v>Proposal</x:v>
      </x:c>
      <x:c r="M579" s="4" t="str">
        <x:f>IFERROR(INDEX('Crafting recipes'!$E$6:$E$1005,MATCH(B579,'Crafting recipes'!$A$6:$A$1005,0)),"MISSING ID")</x:f>
        <x:v>Partial proposal</x:v>
      </x:c>
      <x:c r="N579" s="4" t="str">
        <x:v>Candidate relationship only; quantity, yield and full recipe remain undefined.</x:v>
      </x:c>
      <x:c r="O579" s="4" t="str">
        <x:v>New October 15 tier-review proposal; user-authorized item audit and Docs/WORLD_BASIS.md. No source-canon or implemented-recipe claim.</x:v>
      </x:c>
      <x:c r="P579" s="4" t="n">
        <x:f>IF(OR(C579="Ingredient candidate",C579="Consumed input",C579="Contained input",C579="Transform input"),IF(F579="T0",0,IF(F579="T1",1,IF(F579="T2",2,IF(F579="T3",3,IF(F579="T4",4,-1))))),-1)</x:f>
        <x:v>2</x:v>
      </x:c>
      <x:c r="Q579" s="4" t="n">
        <x:f>IF(AND(OR(C579="Ingredient candidate",C579="Consumed input",C579="Contained input",C579="Transform input"),P579=-1),1,0)</x:f>
        <x:v>0</x:v>
      </x:c>
    </x:row>
    <x:row r="580" ht="115" customHeight="1">
      <x:c r="A580" s="4" t="str">
        <x:v>design.review.proposal_legger_fracture_patch.out</x:v>
      </x:c>
      <x:c r="B580" s="4" t="str">
        <x:v>design.review.proposal_legger_fracture_patch</x:v>
      </x:c>
      <x:c r="C580" s="4" t="str">
        <x:v>Output</x:v>
      </x:c>
      <x:c r="D580" s="4" t="str">
        <x:v>proposal.legger.fracture_patch</x:v>
      </x:c>
      <x:c r="E580" s="4" t="str">
        <x:f>IFERROR(INDEX('Items'!$B$6:$B$1005,MATCH(D580,'Items'!$A$6:$A$1005,0)),"MISSING ID")</x:f>
        <x:v>Iron chassis fracture patch</x:v>
      </x:c>
      <x:c r="F580" s="4" t="str">
        <x:f>IFERROR(INDEX('Items'!$C$6:$C$1005,MATCH(D580,'Items'!$A$6:$A$1005,0)),"MISSING ID")</x:f>
        <x:v>T3</x:v>
      </x:c>
      <x:c r="G580" s="4" t="str">
        <x:f>IFERROR(INDEX('Items'!$D$6:$D$1005,MATCH(D580,'Items'!$A$6:$A$1005,0)),"MISSING ID")</x:f>
        <x:v>Crafting components</x:v>
      </x:c>
      <x:c r="H580" s="4" t="str">
        <x:f>IFERROR(INDEX('Items'!$X$6:$X$1005,MATCH(D580,'Items'!$A$6:$A$1005,0)),"MISSING ID")</x:f>
        <x:v>Crafting component</x:v>
      </x:c>
      <x:c r="I580" s="4"/>
      <x:c r="J580" s="4" t="str">
        <x:v>Unspecified</x:v>
      </x:c>
      <x:c r="K580" s="4" t="str">
        <x:f>IFERROR(INDEX('Crafting recipes'!$D$6:$D$1005,MATCH(B580,'Crafting recipes'!$A$6:$A$1005,0)),"MISSING ID")</x:f>
        <x:v>Proposal</x:v>
      </x:c>
      <x:c r="L580" s="4" t="str">
        <x:f>IFERROR(INDEX('Items'!$AD$6:$AD$1005,MATCH(D580,'Items'!$A$6:$A$1005,0)),"MISSING ID")</x:f>
        <x:v>Proposal</x:v>
      </x:c>
      <x:c r="M580" s="4" t="str">
        <x:f>IFERROR(INDEX('Crafting recipes'!$E$6:$E$1005,MATCH(B580,'Crafting recipes'!$A$6:$A$1005,0)),"MISSING ID")</x:f>
        <x:v>Partial proposal</x:v>
      </x:c>
      <x:c r="N580" s="4" t="str">
        <x:v>Candidate relationship only; quantity, yield and full recipe remain undefined.</x:v>
      </x:c>
      <x:c r="O580" s="4" t="str">
        <x:v>New October 15 tier-review proposal; user-authorized item audit and Docs/WORLD_BASIS.md. No source-canon or implemented-recipe claim.</x:v>
      </x:c>
      <x:c r="P580" s="4" t="n">
        <x:f>IF(OR(C580="Ingredient candidate",C580="Consumed input",C580="Contained input",C580="Transform input"),IF(F580="T0",0,IF(F580="T1",1,IF(F580="T2",2,IF(F580="T3",3,IF(F580="T4",4,-1))))),-1)</x:f>
        <x:v>-1</x:v>
      </x:c>
      <x:c r="Q580" s="4" t="n">
        <x:f>IF(AND(OR(C580="Ingredient candidate",C580="Consumed input",C580="Contained input",C580="Transform input"),P580=-1),1,0)</x:f>
        <x:v>0</x:v>
      </x:c>
    </x:row>
    <x:row r="581" ht="115" customHeight="1">
      <x:c r="A581" s="4" t="str">
        <x:v>design.review.proposal_legger_bulkhead_ring.in.1</x:v>
      </x:c>
      <x:c r="B581" s="4" t="str">
        <x:v>design.review.proposal_legger_bulkhead_ring</x:v>
      </x:c>
      <x:c r="C581" s="4" t="str">
        <x:v>Ingredient candidate</x:v>
      </x:c>
      <x:c r="D581" s="4" t="str">
        <x:v>proposal.natural.iron_stock</x:v>
      </x:c>
      <x:c r="E581" s="4" t="str">
        <x:f>IFERROR(INDEX('Items'!$B$6:$B$1005,MATCH(D581,'Items'!$A$6:$A$1005,0)),"MISSING ID")</x:f>
        <x:v>Worked iron stock</x:v>
      </x:c>
      <x:c r="F581" s="4" t="str">
        <x:f>IFERROR(INDEX('Items'!$C$6:$C$1005,MATCH(D581,'Items'!$A$6:$A$1005,0)),"MISSING ID")</x:f>
        <x:v>T2</x:v>
      </x:c>
      <x:c r="G581" s="4" t="str">
        <x:f>IFERROR(INDEX('Items'!$D$6:$D$1005,MATCH(D581,'Items'!$A$6:$A$1005,0)),"MISSING ID")</x:f>
        <x:v>Manufactured stock</x:v>
      </x:c>
      <x:c r="H581" s="4" t="str">
        <x:f>IFERROR(INDEX('Items'!$X$6:$X$1005,MATCH(D581,'Items'!$A$6:$A$1005,0)),"MISSING ID")</x:f>
        <x:v>Processed material</x:v>
      </x:c>
      <x:c r="I581" s="4"/>
      <x:c r="J581" s="4" t="str">
        <x:v>Unspecified</x:v>
      </x:c>
      <x:c r="K581" s="4" t="str">
        <x:f>IFERROR(INDEX('Crafting recipes'!$D$6:$D$1005,MATCH(B581,'Crafting recipes'!$A$6:$A$1005,0)),"MISSING ID")</x:f>
        <x:v>Proposal</x:v>
      </x:c>
      <x:c r="L581" s="4" t="str">
        <x:f>IFERROR(INDEX('Items'!$AD$6:$AD$1005,MATCH(D581,'Items'!$A$6:$A$1005,0)),"MISSING ID")</x:f>
        <x:v>Proposal</x:v>
      </x:c>
      <x:c r="M581" s="4" t="str">
        <x:f>IFERROR(INDEX('Crafting recipes'!$E$6:$E$1005,MATCH(B581,'Crafting recipes'!$A$6:$A$1005,0)),"MISSING ID")</x:f>
        <x:v>Partial proposal</x:v>
      </x:c>
      <x:c r="N581" s="4" t="str">
        <x:v>Candidate relationship only; quantity, yield and full recipe remain undefined.</x:v>
      </x:c>
      <x:c r="O581" s="4" t="str">
        <x:v>New October 15 tier-review proposal; user-authorized item audit and Docs/WORLD_BASIS.md. No source-canon or implemented-recipe claim.</x:v>
      </x:c>
      <x:c r="P581" s="4" t="n">
        <x:f>IF(OR(C581="Ingredient candidate",C581="Consumed input",C581="Contained input",C581="Transform input"),IF(F581="T0",0,IF(F581="T1",1,IF(F581="T2",2,IF(F581="T3",3,IF(F581="T4",4,-1))))),-1)</x:f>
        <x:v>2</x:v>
      </x:c>
      <x:c r="Q581" s="4" t="n">
        <x:f>IF(AND(OR(C581="Ingredient candidate",C581="Consumed input",C581="Contained input",C581="Transform input"),P581=-1),1,0)</x:f>
        <x:v>0</x:v>
      </x:c>
    </x:row>
    <x:row r="582" ht="115" customHeight="1">
      <x:c r="A582" s="4" t="str">
        <x:v>design.review.proposal_legger_bulkhead_ring.out</x:v>
      </x:c>
      <x:c r="B582" s="4" t="str">
        <x:v>design.review.proposal_legger_bulkhead_ring</x:v>
      </x:c>
      <x:c r="C582" s="4" t="str">
        <x:v>Output</x:v>
      </x:c>
      <x:c r="D582" s="4" t="str">
        <x:v>proposal.legger.bulkhead_ring</x:v>
      </x:c>
      <x:c r="E582" s="4" t="str">
        <x:f>IFERROR(INDEX('Items'!$B$6:$B$1005,MATCH(D582,'Items'!$A$6:$A$1005,0)),"MISSING ID")</x:f>
        <x:v>Chassis reinforcing ring</x:v>
      </x:c>
      <x:c r="F582" s="4" t="str">
        <x:f>IFERROR(INDEX('Items'!$C$6:$C$1005,MATCH(D582,'Items'!$A$6:$A$1005,0)),"MISSING ID")</x:f>
        <x:v>T3</x:v>
      </x:c>
      <x:c r="G582" s="4" t="str">
        <x:f>IFERROR(INDEX('Items'!$D$6:$D$1005,MATCH(D582,'Items'!$A$6:$A$1005,0)),"MISSING ID")</x:f>
        <x:v>Crafting components</x:v>
      </x:c>
      <x:c r="H582" s="4" t="str">
        <x:f>IFERROR(INDEX('Items'!$X$6:$X$1005,MATCH(D582,'Items'!$A$6:$A$1005,0)),"MISSING ID")</x:f>
        <x:v>Crafting component</x:v>
      </x:c>
      <x:c r="I582" s="4"/>
      <x:c r="J582" s="4" t="str">
        <x:v>Unspecified</x:v>
      </x:c>
      <x:c r="K582" s="4" t="str">
        <x:f>IFERROR(INDEX('Crafting recipes'!$D$6:$D$1005,MATCH(B582,'Crafting recipes'!$A$6:$A$1005,0)),"MISSING ID")</x:f>
        <x:v>Proposal</x:v>
      </x:c>
      <x:c r="L582" s="4" t="str">
        <x:f>IFERROR(INDEX('Items'!$AD$6:$AD$1005,MATCH(D582,'Items'!$A$6:$A$1005,0)),"MISSING ID")</x:f>
        <x:v>Proposal</x:v>
      </x:c>
      <x:c r="M582" s="4" t="str">
        <x:f>IFERROR(INDEX('Crafting recipes'!$E$6:$E$1005,MATCH(B582,'Crafting recipes'!$A$6:$A$1005,0)),"MISSING ID")</x:f>
        <x:v>Partial proposal</x:v>
      </x:c>
      <x:c r="N582" s="4" t="str">
        <x:v>Candidate relationship only; quantity, yield and full recipe remain undefined.</x:v>
      </x:c>
      <x:c r="O582" s="4" t="str">
        <x:v>New October 15 tier-review proposal; user-authorized item audit and Docs/WORLD_BASIS.md. No source-canon or implemented-recipe claim.</x:v>
      </x:c>
      <x:c r="P582" s="4" t="n">
        <x:f>IF(OR(C582="Ingredient candidate",C582="Consumed input",C582="Contained input",C582="Transform input"),IF(F582="T0",0,IF(F582="T1",1,IF(F582="T2",2,IF(F582="T3",3,IF(F582="T4",4,-1))))),-1)</x:f>
        <x:v>-1</x:v>
      </x:c>
      <x:c r="Q582" s="4" t="n">
        <x:f>IF(AND(OR(C582="Ingredient candidate",C582="Consumed input",C582="Contained input",C582="Transform input"),P582=-1),1,0)</x:f>
        <x:v>0</x:v>
      </x:c>
    </x:row>
    <x:row r="583" ht="115" customHeight="1">
      <x:c r="A583" s="4" t="str">
        <x:v>design.review.proposal_legger_balance_link.in.1</x:v>
      </x:c>
      <x:c r="B583" s="4" t="str">
        <x:v>design.review.proposal_legger_balance_link</x:v>
      </x:c>
      <x:c r="C583" s="4" t="str">
        <x:v>Ingredient candidate</x:v>
      </x:c>
      <x:c r="D583" s="4" t="str">
        <x:v>proposal.natural.iron_stock</x:v>
      </x:c>
      <x:c r="E583" s="4" t="str">
        <x:f>IFERROR(INDEX('Items'!$B$6:$B$1005,MATCH(D583,'Items'!$A$6:$A$1005,0)),"MISSING ID")</x:f>
        <x:v>Worked iron stock</x:v>
      </x:c>
      <x:c r="F583" s="4" t="str">
        <x:f>IFERROR(INDEX('Items'!$C$6:$C$1005,MATCH(D583,'Items'!$A$6:$A$1005,0)),"MISSING ID")</x:f>
        <x:v>T2</x:v>
      </x:c>
      <x:c r="G583" s="4" t="str">
        <x:f>IFERROR(INDEX('Items'!$D$6:$D$1005,MATCH(D583,'Items'!$A$6:$A$1005,0)),"MISSING ID")</x:f>
        <x:v>Manufactured stock</x:v>
      </x:c>
      <x:c r="H583" s="4" t="str">
        <x:f>IFERROR(INDEX('Items'!$X$6:$X$1005,MATCH(D583,'Items'!$A$6:$A$1005,0)),"MISSING ID")</x:f>
        <x:v>Processed material</x:v>
      </x:c>
      <x:c r="I583" s="4"/>
      <x:c r="J583" s="4" t="str">
        <x:v>Unspecified</x:v>
      </x:c>
      <x:c r="K583" s="4" t="str">
        <x:f>IFERROR(INDEX('Crafting recipes'!$D$6:$D$1005,MATCH(B583,'Crafting recipes'!$A$6:$A$1005,0)),"MISSING ID")</x:f>
        <x:v>Proposal</x:v>
      </x:c>
      <x:c r="L583" s="4" t="str">
        <x:f>IFERROR(INDEX('Items'!$AD$6:$AD$1005,MATCH(D583,'Items'!$A$6:$A$1005,0)),"MISSING ID")</x:f>
        <x:v>Proposal</x:v>
      </x:c>
      <x:c r="M583" s="4" t="str">
        <x:f>IFERROR(INDEX('Crafting recipes'!$E$6:$E$1005,MATCH(B583,'Crafting recipes'!$A$6:$A$1005,0)),"MISSING ID")</x:f>
        <x:v>Partial proposal</x:v>
      </x:c>
      <x:c r="N583" s="4" t="str">
        <x:v>Candidate relationship only; quantity, yield and full recipe remain undefined.</x:v>
      </x:c>
      <x:c r="O583" s="4" t="str">
        <x:v>New October 15 tier-review proposal; user-authorized item audit and Docs/WORLD_BASIS.md. No source-canon or implemented-recipe claim.</x:v>
      </x:c>
      <x:c r="P583" s="4" t="n">
        <x:f>IF(OR(C583="Ingredient candidate",C583="Consumed input",C583="Contained input",C583="Transform input"),IF(F583="T0",0,IF(F583="T1",1,IF(F583="T2",2,IF(F583="T3",3,IF(F583="T4",4,-1))))),-1)</x:f>
        <x:v>2</x:v>
      </x:c>
      <x:c r="Q583" s="4" t="n">
        <x:f>IF(AND(OR(C583="Ingredient candidate",C583="Consumed input",C583="Contained input",C583="Transform input"),P583=-1),1,0)</x:f>
        <x:v>0</x:v>
      </x:c>
    </x:row>
    <x:row r="584" ht="115" customHeight="1">
      <x:c r="A584" s="4" t="str">
        <x:v>design.review.proposal_legger_balance_link.in.2</x:v>
      </x:c>
      <x:c r="B584" s="4" t="str">
        <x:v>design.review.proposal_legger_balance_link</x:v>
      </x:c>
      <x:c r="C584" s="4" t="str">
        <x:v>Ingredient candidate</x:v>
      </x:c>
      <x:c r="D584" s="4" t="str">
        <x:v>proposal.branch.bearing_bronze</x:v>
      </x:c>
      <x:c r="E584" s="4" t="str">
        <x:f>IFERROR(INDEX('Items'!$B$6:$B$1005,MATCH(D584,'Items'!$A$6:$A$1005,0)),"MISSING ID")</x:f>
        <x:v>Prepared bronze bearing stock</x:v>
      </x:c>
      <x:c r="F584" s="4" t="str">
        <x:f>IFERROR(INDEX('Items'!$C$6:$C$1005,MATCH(D584,'Items'!$A$6:$A$1005,0)),"MISSING ID")</x:f>
        <x:v>T2</x:v>
      </x:c>
      <x:c r="G584" s="4" t="str">
        <x:f>IFERROR(INDEX('Items'!$D$6:$D$1005,MATCH(D584,'Items'!$A$6:$A$1005,0)),"MISSING ID")</x:f>
        <x:v>Manufactured stock</x:v>
      </x:c>
      <x:c r="H584" s="4" t="str">
        <x:f>IFERROR(INDEX('Items'!$X$6:$X$1005,MATCH(D584,'Items'!$A$6:$A$1005,0)),"MISSING ID")</x:f>
        <x:v>Processed material</x:v>
      </x:c>
      <x:c r="I584" s="4"/>
      <x:c r="J584" s="4" t="str">
        <x:v>Unspecified</x:v>
      </x:c>
      <x:c r="K584" s="4" t="str">
        <x:f>IFERROR(INDEX('Crafting recipes'!$D$6:$D$1005,MATCH(B584,'Crafting recipes'!$A$6:$A$1005,0)),"MISSING ID")</x:f>
        <x:v>Proposal</x:v>
      </x:c>
      <x:c r="L584" s="4" t="str">
        <x:f>IFERROR(INDEX('Items'!$AD$6:$AD$1005,MATCH(D584,'Items'!$A$6:$A$1005,0)),"MISSING ID")</x:f>
        <x:v>Proposal</x:v>
      </x:c>
      <x:c r="M584" s="4" t="str">
        <x:f>IFERROR(INDEX('Crafting recipes'!$E$6:$E$1005,MATCH(B584,'Crafting recipes'!$A$6:$A$1005,0)),"MISSING ID")</x:f>
        <x:v>Partial proposal</x:v>
      </x:c>
      <x:c r="N584" s="4" t="str">
        <x:v>Candidate relationship only; quantity, yield and full recipe remain undefined.</x:v>
      </x:c>
      <x:c r="O584" s="4" t="str">
        <x:v>New October 15 tier-review proposal; user-authorized item audit and Docs/WORLD_BASIS.md. No source-canon or implemented-recipe claim.</x:v>
      </x:c>
      <x:c r="P584" s="4" t="n">
        <x:f>IF(OR(C584="Ingredient candidate",C584="Consumed input",C584="Contained input",C584="Transform input"),IF(F584="T0",0,IF(F584="T1",1,IF(F584="T2",2,IF(F584="T3",3,IF(F584="T4",4,-1))))),-1)</x:f>
        <x:v>2</x:v>
      </x:c>
      <x:c r="Q584" s="4" t="n">
        <x:f>IF(AND(OR(C584="Ingredient candidate",C584="Consumed input",C584="Contained input",C584="Transform input"),P584=-1),1,0)</x:f>
        <x:v>0</x:v>
      </x:c>
    </x:row>
    <x:row r="585" ht="115" customHeight="1">
      <x:c r="A585" s="4" t="str">
        <x:v>design.review.proposal_legger_balance_link.out</x:v>
      </x:c>
      <x:c r="B585" s="4" t="str">
        <x:v>design.review.proposal_legger_balance_link</x:v>
      </x:c>
      <x:c r="C585" s="4" t="str">
        <x:v>Output</x:v>
      </x:c>
      <x:c r="D585" s="4" t="str">
        <x:v>proposal.legger.balance_link</x:v>
      </x:c>
      <x:c r="E585" s="4" t="str">
        <x:f>IFERROR(INDEX('Items'!$B$6:$B$1005,MATCH(D585,'Items'!$A$6:$A$1005,0)),"MISSING ID")</x:f>
        <x:v>Legger load-balance linkage</x:v>
      </x:c>
      <x:c r="F585" s="4" t="str">
        <x:f>IFERROR(INDEX('Items'!$C$6:$C$1005,MATCH(D585,'Items'!$A$6:$A$1005,0)),"MISSING ID")</x:f>
        <x:v>T3</x:v>
      </x:c>
      <x:c r="G585" s="4" t="str">
        <x:f>IFERROR(INDEX('Items'!$D$6:$D$1005,MATCH(D585,'Items'!$A$6:$A$1005,0)),"MISSING ID")</x:f>
        <x:v>Crafting components</x:v>
      </x:c>
      <x:c r="H585" s="4" t="str">
        <x:f>IFERROR(INDEX('Items'!$X$6:$X$1005,MATCH(D585,'Items'!$A$6:$A$1005,0)),"MISSING ID")</x:f>
        <x:v>Crafting component</x:v>
      </x:c>
      <x:c r="I585" s="4"/>
      <x:c r="J585" s="4" t="str">
        <x:v>Unspecified</x:v>
      </x:c>
      <x:c r="K585" s="4" t="str">
        <x:f>IFERROR(INDEX('Crafting recipes'!$D$6:$D$1005,MATCH(B585,'Crafting recipes'!$A$6:$A$1005,0)),"MISSING ID")</x:f>
        <x:v>Proposal</x:v>
      </x:c>
      <x:c r="L585" s="4" t="str">
        <x:f>IFERROR(INDEX('Items'!$AD$6:$AD$1005,MATCH(D585,'Items'!$A$6:$A$1005,0)),"MISSING ID")</x:f>
        <x:v>Proposal</x:v>
      </x:c>
      <x:c r="M585" s="4" t="str">
        <x:f>IFERROR(INDEX('Crafting recipes'!$E$6:$E$1005,MATCH(B585,'Crafting recipes'!$A$6:$A$1005,0)),"MISSING ID")</x:f>
        <x:v>Partial proposal</x:v>
      </x:c>
      <x:c r="N585" s="4" t="str">
        <x:v>Candidate relationship only; quantity, yield and full recipe remain undefined.</x:v>
      </x:c>
      <x:c r="O585" s="4" t="str">
        <x:v>New October 15 tier-review proposal; user-authorized item audit and Docs/WORLD_BASIS.md. No source-canon or implemented-recipe claim.</x:v>
      </x:c>
      <x:c r="P585" s="4" t="n">
        <x:f>IF(OR(C585="Ingredient candidate",C585="Consumed input",C585="Contained input",C585="Transform input"),IF(F585="T0",0,IF(F585="T1",1,IF(F585="T2",2,IF(F585="T3",3,IF(F585="T4",4,-1))))),-1)</x:f>
        <x:v>-1</x:v>
      </x:c>
      <x:c r="Q585" s="4" t="n">
        <x:f>IF(AND(OR(C585="Ingredient candidate",C585="Consumed input",C585="Contained input",C585="Transform input"),P585=-1),1,0)</x:f>
        <x:v>0</x:v>
      </x:c>
    </x:row>
    <x:row r="586" ht="115" customHeight="1">
      <x:c r="A586" s="4" t="str">
        <x:v>design.review.proposal_legger_joint_bush.in.1</x:v>
      </x:c>
      <x:c r="B586" s="4" t="str">
        <x:v>design.review.proposal_legger_joint_bush</x:v>
      </x:c>
      <x:c r="C586" s="4" t="str">
        <x:v>Ingredient candidate</x:v>
      </x:c>
      <x:c r="D586" s="4" t="str">
        <x:v>proposal.natural.iron_stock</x:v>
      </x:c>
      <x:c r="E586" s="4" t="str">
        <x:f>IFERROR(INDEX('Items'!$B$6:$B$1005,MATCH(D586,'Items'!$A$6:$A$1005,0)),"MISSING ID")</x:f>
        <x:v>Worked iron stock</x:v>
      </x:c>
      <x:c r="F586" s="4" t="str">
        <x:f>IFERROR(INDEX('Items'!$C$6:$C$1005,MATCH(D586,'Items'!$A$6:$A$1005,0)),"MISSING ID")</x:f>
        <x:v>T2</x:v>
      </x:c>
      <x:c r="G586" s="4" t="str">
        <x:f>IFERROR(INDEX('Items'!$D$6:$D$1005,MATCH(D586,'Items'!$A$6:$A$1005,0)),"MISSING ID")</x:f>
        <x:v>Manufactured stock</x:v>
      </x:c>
      <x:c r="H586" s="4" t="str">
        <x:f>IFERROR(INDEX('Items'!$X$6:$X$1005,MATCH(D586,'Items'!$A$6:$A$1005,0)),"MISSING ID")</x:f>
        <x:v>Processed material</x:v>
      </x:c>
      <x:c r="I586" s="4"/>
      <x:c r="J586" s="4" t="str">
        <x:v>Unspecified</x:v>
      </x:c>
      <x:c r="K586" s="4" t="str">
        <x:f>IFERROR(INDEX('Crafting recipes'!$D$6:$D$1005,MATCH(B586,'Crafting recipes'!$A$6:$A$1005,0)),"MISSING ID")</x:f>
        <x:v>Proposal</x:v>
      </x:c>
      <x:c r="L586" s="4" t="str">
        <x:f>IFERROR(INDEX('Items'!$AD$6:$AD$1005,MATCH(D586,'Items'!$A$6:$A$1005,0)),"MISSING ID")</x:f>
        <x:v>Proposal</x:v>
      </x:c>
      <x:c r="M586" s="4" t="str">
        <x:f>IFERROR(INDEX('Crafting recipes'!$E$6:$E$1005,MATCH(B586,'Crafting recipes'!$A$6:$A$1005,0)),"MISSING ID")</x:f>
        <x:v>Partial proposal</x:v>
      </x:c>
      <x:c r="N586" s="4" t="str">
        <x:v>Candidate relationship only; quantity, yield and full recipe remain undefined.</x:v>
      </x:c>
      <x:c r="O586" s="4" t="str">
        <x:v>New October 15 tier-review proposal; user-authorized item audit and Docs/WORLD_BASIS.md. No source-canon or implemented-recipe claim.</x:v>
      </x:c>
      <x:c r="P586" s="4" t="n">
        <x:f>IF(OR(C586="Ingredient candidate",C586="Consumed input",C586="Contained input",C586="Transform input"),IF(F586="T0",0,IF(F586="T1",1,IF(F586="T2",2,IF(F586="T3",3,IF(F586="T4",4,-1))))),-1)</x:f>
        <x:v>2</x:v>
      </x:c>
      <x:c r="Q586" s="4" t="n">
        <x:f>IF(AND(OR(C586="Ingredient candidate",C586="Consumed input",C586="Contained input",C586="Transform input"),P586=-1),1,0)</x:f>
        <x:v>0</x:v>
      </x:c>
    </x:row>
    <x:row r="587" ht="115" customHeight="1">
      <x:c r="A587" s="4" t="str">
        <x:v>design.review.proposal_legger_joint_bush.in.2</x:v>
      </x:c>
      <x:c r="B587" s="4" t="str">
        <x:v>design.review.proposal_legger_joint_bush</x:v>
      </x:c>
      <x:c r="C587" s="4" t="str">
        <x:v>Ingredient candidate</x:v>
      </x:c>
      <x:c r="D587" s="4" t="str">
        <x:v>proposal.natural.abrasive</x:v>
      </x:c>
      <x:c r="E587" s="4" t="str">
        <x:f>IFERROR(INDEX('Items'!$B$6:$B$1005,MATCH(D587,'Items'!$A$6:$A$1005,0)),"MISSING ID")</x:f>
        <x:v>Graded abrasive grit</x:v>
      </x:c>
      <x:c r="F587" s="4" t="str">
        <x:f>IFERROR(INDEX('Items'!$C$6:$C$1005,MATCH(D587,'Items'!$A$6:$A$1005,0)),"MISSING ID")</x:f>
        <x:v>T1</x:v>
      </x:c>
      <x:c r="G587" s="4" t="str">
        <x:f>IFERROR(INDEX('Items'!$D$6:$D$1005,MATCH(D587,'Items'!$A$6:$A$1005,0)),"MISSING ID")</x:f>
        <x:v>Manufactured stock</x:v>
      </x:c>
      <x:c r="H587" s="4" t="str">
        <x:f>IFERROR(INDEX('Items'!$X$6:$X$1005,MATCH(D587,'Items'!$A$6:$A$1005,0)),"MISSING ID")</x:f>
        <x:v>Processed material</x:v>
      </x:c>
      <x:c r="I587" s="4"/>
      <x:c r="J587" s="4" t="str">
        <x:v>Unspecified</x:v>
      </x:c>
      <x:c r="K587" s="4" t="str">
        <x:f>IFERROR(INDEX('Crafting recipes'!$D$6:$D$1005,MATCH(B587,'Crafting recipes'!$A$6:$A$1005,0)),"MISSING ID")</x:f>
        <x:v>Proposal</x:v>
      </x:c>
      <x:c r="L587" s="4" t="str">
        <x:f>IFERROR(INDEX('Items'!$AD$6:$AD$1005,MATCH(D587,'Items'!$A$6:$A$1005,0)),"MISSING ID")</x:f>
        <x:v>Proposal</x:v>
      </x:c>
      <x:c r="M587" s="4" t="str">
        <x:f>IFERROR(INDEX('Crafting recipes'!$E$6:$E$1005,MATCH(B587,'Crafting recipes'!$A$6:$A$1005,0)),"MISSING ID")</x:f>
        <x:v>Partial proposal</x:v>
      </x:c>
      <x:c r="N587" s="4" t="str">
        <x:v>Candidate relationship only; quantity, yield and full recipe remain undefined.</x:v>
      </x:c>
      <x:c r="O587" s="4" t="str">
        <x:v>New October 15 tier-review proposal; user-authorized item audit and Docs/WORLD_BASIS.md. No source-canon or implemented-recipe claim.</x:v>
      </x:c>
      <x:c r="P587" s="4" t="n">
        <x:f>IF(OR(C587="Ingredient candidate",C587="Consumed input",C587="Contained input",C587="Transform input"),IF(F587="T0",0,IF(F587="T1",1,IF(F587="T2",2,IF(F587="T3",3,IF(F587="T4",4,-1))))),-1)</x:f>
        <x:v>1</x:v>
      </x:c>
      <x:c r="Q587" s="4" t="n">
        <x:f>IF(AND(OR(C587="Ingredient candidate",C587="Consumed input",C587="Contained input",C587="Transform input"),P587=-1),1,0)</x:f>
        <x:v>0</x:v>
      </x:c>
    </x:row>
    <x:row r="588" ht="115" customHeight="1">
      <x:c r="A588" s="4" t="str">
        <x:v>design.review.proposal_legger_joint_bush.out</x:v>
      </x:c>
      <x:c r="B588" s="4" t="str">
        <x:v>design.review.proposal_legger_joint_bush</x:v>
      </x:c>
      <x:c r="C588" s="4" t="str">
        <x:v>Output</x:v>
      </x:c>
      <x:c r="D588" s="4" t="str">
        <x:v>proposal.legger.joint_bush</x:v>
      </x:c>
      <x:c r="E588" s="4" t="str">
        <x:f>IFERROR(INDEX('Items'!$B$6:$B$1005,MATCH(D588,'Items'!$A$6:$A$1005,0)),"MISSING ID")</x:f>
        <x:v>Iron joint bushing</x:v>
      </x:c>
      <x:c r="F588" s="4" t="str">
        <x:f>IFERROR(INDEX('Items'!$C$6:$C$1005,MATCH(D588,'Items'!$A$6:$A$1005,0)),"MISSING ID")</x:f>
        <x:v>T3</x:v>
      </x:c>
      <x:c r="G588" s="4" t="str">
        <x:f>IFERROR(INDEX('Items'!$D$6:$D$1005,MATCH(D588,'Items'!$A$6:$A$1005,0)),"MISSING ID")</x:f>
        <x:v>Crafting components</x:v>
      </x:c>
      <x:c r="H588" s="4" t="str">
        <x:f>IFERROR(INDEX('Items'!$X$6:$X$1005,MATCH(D588,'Items'!$A$6:$A$1005,0)),"MISSING ID")</x:f>
        <x:v>Crafting component</x:v>
      </x:c>
      <x:c r="I588" s="4"/>
      <x:c r="J588" s="4" t="str">
        <x:v>Unspecified</x:v>
      </x:c>
      <x:c r="K588" s="4" t="str">
        <x:f>IFERROR(INDEX('Crafting recipes'!$D$6:$D$1005,MATCH(B588,'Crafting recipes'!$A$6:$A$1005,0)),"MISSING ID")</x:f>
        <x:v>Proposal</x:v>
      </x:c>
      <x:c r="L588" s="4" t="str">
        <x:f>IFERROR(INDEX('Items'!$AD$6:$AD$1005,MATCH(D588,'Items'!$A$6:$A$1005,0)),"MISSING ID")</x:f>
        <x:v>Proposal</x:v>
      </x:c>
      <x:c r="M588" s="4" t="str">
        <x:f>IFERROR(INDEX('Crafting recipes'!$E$6:$E$1005,MATCH(B588,'Crafting recipes'!$A$6:$A$1005,0)),"MISSING ID")</x:f>
        <x:v>Partial proposal</x:v>
      </x:c>
      <x:c r="N588" s="4" t="str">
        <x:v>Candidate relationship only; quantity, yield and full recipe remain undefined.</x:v>
      </x:c>
      <x:c r="O588" s="4" t="str">
        <x:v>New October 15 tier-review proposal; user-authorized item audit and Docs/WORLD_BASIS.md. No source-canon or implemented-recipe claim.</x:v>
      </x:c>
      <x:c r="P588" s="4" t="n">
        <x:f>IF(OR(C588="Ingredient candidate",C588="Consumed input",C588="Contained input",C588="Transform input"),IF(F588="T0",0,IF(F588="T1",1,IF(F588="T2",2,IF(F588="T3",3,IF(F588="T4",4,-1))))),-1)</x:f>
        <x:v>-1</x:v>
      </x:c>
      <x:c r="Q588" s="4" t="n">
        <x:f>IF(AND(OR(C588="Ingredient candidate",C588="Consumed input",C588="Contained input",C588="Transform input"),P588=-1),1,0)</x:f>
        <x:v>0</x:v>
      </x:c>
    </x:row>
    <x:row r="589" ht="115" customHeight="1">
      <x:c r="A589" s="4" t="str">
        <x:v>design.review.proposal_legger_bearing.in.1</x:v>
      </x:c>
      <x:c r="B589" s="4" t="str">
        <x:v>design.review.proposal_legger_bearing</x:v>
      </x:c>
      <x:c r="C589" s="4" t="str">
        <x:v>Ingredient candidate</x:v>
      </x:c>
      <x:c r="D589" s="4" t="str">
        <x:v>proposal.t3.bearing_blank</x:v>
      </x:c>
      <x:c r="E589" s="4" t="str">
        <x:f>IFERROR(INDEX('Items'!$B$6:$B$1005,MATCH(D589,'Items'!$A$6:$A$1005,0)),"MISSING ID")</x:f>
        <x:v>Lapped bronze bearing blanks</x:v>
      </x:c>
      <x:c r="F589" s="4" t="str">
        <x:f>IFERROR(INDEX('Items'!$C$6:$C$1005,MATCH(D589,'Items'!$A$6:$A$1005,0)),"MISSING ID")</x:f>
        <x:v>T3</x:v>
      </x:c>
      <x:c r="G589" s="4" t="str">
        <x:f>IFERROR(INDEX('Items'!$D$6:$D$1005,MATCH(D589,'Items'!$A$6:$A$1005,0)),"MISSING ID")</x:f>
        <x:v>Crafting components</x:v>
      </x:c>
      <x:c r="H589" s="4" t="str">
        <x:f>IFERROR(INDEX('Items'!$X$6:$X$1005,MATCH(D589,'Items'!$A$6:$A$1005,0)),"MISSING ID")</x:f>
        <x:v>Crafting component</x:v>
      </x:c>
      <x:c r="I589" s="4"/>
      <x:c r="J589" s="4" t="str">
        <x:v>Unspecified</x:v>
      </x:c>
      <x:c r="K589" s="4" t="str">
        <x:f>IFERROR(INDEX('Crafting recipes'!$D$6:$D$1005,MATCH(B589,'Crafting recipes'!$A$6:$A$1005,0)),"MISSING ID")</x:f>
        <x:v>Proposal</x:v>
      </x:c>
      <x:c r="L589" s="4" t="str">
        <x:f>IFERROR(INDEX('Items'!$AD$6:$AD$1005,MATCH(D589,'Items'!$A$6:$A$1005,0)),"MISSING ID")</x:f>
        <x:v>Proposal</x:v>
      </x:c>
      <x:c r="M589" s="4" t="str">
        <x:f>IFERROR(INDEX('Crafting recipes'!$E$6:$E$1005,MATCH(B589,'Crafting recipes'!$A$6:$A$1005,0)),"MISSING ID")</x:f>
        <x:v>Partial proposal</x:v>
      </x:c>
      <x:c r="N589" s="4" t="str">
        <x:v>Candidate relationship only; quantity, yield and full recipe remain undefined.</x:v>
      </x:c>
      <x:c r="O589" s="4" t="str">
        <x:v>New October 15 tier-review proposal; user-authorized item audit and Docs/WORLD_BASIS.md. No source-canon or implemented-recipe claim.</x:v>
      </x:c>
      <x:c r="P589" s="4" t="n">
        <x:f>IF(OR(C589="Ingredient candidate",C589="Consumed input",C589="Contained input",C589="Transform input"),IF(F589="T0",0,IF(F589="T1",1,IF(F589="T2",2,IF(F589="T3",3,IF(F589="T4",4,-1))))),-1)</x:f>
        <x:v>3</x:v>
      </x:c>
      <x:c r="Q589" s="4" t="n">
        <x:f>IF(AND(OR(C589="Ingredient candidate",C589="Consumed input",C589="Contained input",C589="Transform input"),P589=-1),1,0)</x:f>
        <x:v>0</x:v>
      </x:c>
    </x:row>
    <x:row r="590" ht="115" customHeight="1">
      <x:c r="A590" s="4" t="str">
        <x:v>design.review.proposal_legger_bearing.in.2</x:v>
      </x:c>
      <x:c r="B590" s="4" t="str">
        <x:v>design.review.proposal_legger_bearing</x:v>
      </x:c>
      <x:c r="C590" s="4" t="str">
        <x:v>Ingredient candidate</x:v>
      </x:c>
      <x:c r="D590" s="4" t="str">
        <x:v>proposal.t3.precision_tube</x:v>
      </x:c>
      <x:c r="E590" s="4" t="str">
        <x:f>IFERROR(INDEX('Items'!$B$6:$B$1005,MATCH(D590,'Items'!$A$6:$A$1005,0)),"MISSING ID")</x:f>
        <x:v>Drawn steel tube stock</x:v>
      </x:c>
      <x:c r="F590" s="4" t="str">
        <x:f>IFERROR(INDEX('Items'!$C$6:$C$1005,MATCH(D590,'Items'!$A$6:$A$1005,0)),"MISSING ID")</x:f>
        <x:v>T3</x:v>
      </x:c>
      <x:c r="G590" s="4" t="str">
        <x:f>IFERROR(INDEX('Items'!$D$6:$D$1005,MATCH(D590,'Items'!$A$6:$A$1005,0)),"MISSING ID")</x:f>
        <x:v>Manufactured stock</x:v>
      </x:c>
      <x:c r="H590" s="4" t="str">
        <x:f>IFERROR(INDEX('Items'!$X$6:$X$1005,MATCH(D590,'Items'!$A$6:$A$1005,0)),"MISSING ID")</x:f>
        <x:v>Processed material</x:v>
      </x:c>
      <x:c r="I590" s="4"/>
      <x:c r="J590" s="4" t="str">
        <x:v>Unspecified</x:v>
      </x:c>
      <x:c r="K590" s="4" t="str">
        <x:f>IFERROR(INDEX('Crafting recipes'!$D$6:$D$1005,MATCH(B590,'Crafting recipes'!$A$6:$A$1005,0)),"MISSING ID")</x:f>
        <x:v>Proposal</x:v>
      </x:c>
      <x:c r="L590" s="4" t="str">
        <x:f>IFERROR(INDEX('Items'!$AD$6:$AD$1005,MATCH(D590,'Items'!$A$6:$A$1005,0)),"MISSING ID")</x:f>
        <x:v>Proposal</x:v>
      </x:c>
      <x:c r="M590" s="4" t="str">
        <x:f>IFERROR(INDEX('Crafting recipes'!$E$6:$E$1005,MATCH(B590,'Crafting recipes'!$A$6:$A$1005,0)),"MISSING ID")</x:f>
        <x:v>Partial proposal</x:v>
      </x:c>
      <x:c r="N590" s="4" t="str">
        <x:v>Candidate relationship only; quantity, yield and full recipe remain undefined.</x:v>
      </x:c>
      <x:c r="O590" s="4" t="str">
        <x:v>New October 15 tier-review proposal; user-authorized item audit and Docs/WORLD_BASIS.md. No source-canon or implemented-recipe claim.</x:v>
      </x:c>
      <x:c r="P590" s="4" t="n">
        <x:f>IF(OR(C590="Ingredient candidate",C590="Consumed input",C590="Contained input",C590="Transform input"),IF(F590="T0",0,IF(F590="T1",1,IF(F590="T2",2,IF(F590="T3",3,IF(F590="T4",4,-1))))),-1)</x:f>
        <x:v>3</x:v>
      </x:c>
      <x:c r="Q590" s="4" t="n">
        <x:f>IF(AND(OR(C590="Ingredient candidate",C590="Consumed input",C590="Contained input",C590="Transform input"),P590=-1),1,0)</x:f>
        <x:v>0</x:v>
      </x:c>
    </x:row>
    <x:row r="591" ht="115" customHeight="1">
      <x:c r="A591" s="4" t="str">
        <x:v>design.review.proposal_legger_bearing.in.3</x:v>
      </x:c>
      <x:c r="B591" s="4" t="str">
        <x:v>design.review.proposal_legger_bearing</x:v>
      </x:c>
      <x:c r="C591" s="4" t="str">
        <x:v>Ingredient candidate</x:v>
      </x:c>
      <x:c r="D591" s="4" t="str">
        <x:v>proposal.t3.service_grease</x:v>
      </x:c>
      <x:c r="E591" s="4" t="str">
        <x:f>IFERROR(INDEX('Items'!$B$6:$B$1005,MATCH(D591,'Items'!$A$6:$A$1005,0)),"MISSING ID")</x:f>
        <x:v>Conditioned mechanism-service grease</x:v>
      </x:c>
      <x:c r="F591" s="4" t="str">
        <x:f>IFERROR(INDEX('Items'!$C$6:$C$1005,MATCH(D591,'Items'!$A$6:$A$1005,0)),"MISSING ID")</x:f>
        <x:v>T3</x:v>
      </x:c>
      <x:c r="G591" s="4" t="str">
        <x:f>IFERROR(INDEX('Items'!$D$6:$D$1005,MATCH(D591,'Items'!$A$6:$A$1005,0)),"MISSING ID")</x:f>
        <x:v>Crafting components</x:v>
      </x:c>
      <x:c r="H591" s="4" t="str">
        <x:f>IFERROR(INDEX('Items'!$X$6:$X$1005,MATCH(D591,'Items'!$A$6:$A$1005,0)),"MISSING ID")</x:f>
        <x:v>Chemical material</x:v>
      </x:c>
      <x:c r="I591" s="4"/>
      <x:c r="J591" s="4" t="str">
        <x:v>Unspecified</x:v>
      </x:c>
      <x:c r="K591" s="4" t="str">
        <x:f>IFERROR(INDEX('Crafting recipes'!$D$6:$D$1005,MATCH(B591,'Crafting recipes'!$A$6:$A$1005,0)),"MISSING ID")</x:f>
        <x:v>Proposal</x:v>
      </x:c>
      <x:c r="L591" s="4" t="str">
        <x:f>IFERROR(INDEX('Items'!$AD$6:$AD$1005,MATCH(D591,'Items'!$A$6:$A$1005,0)),"MISSING ID")</x:f>
        <x:v>Proposal</x:v>
      </x:c>
      <x:c r="M591" s="4" t="str">
        <x:f>IFERROR(INDEX('Crafting recipes'!$E$6:$E$1005,MATCH(B591,'Crafting recipes'!$A$6:$A$1005,0)),"MISSING ID")</x:f>
        <x:v>Partial proposal</x:v>
      </x:c>
      <x:c r="N591" s="4" t="str">
        <x:v>Candidate relationship only; quantity, yield and full recipe remain undefined.</x:v>
      </x:c>
      <x:c r="O591" s="4" t="str">
        <x:v>New October 15 tier-review proposal; user-authorized item audit and Docs/WORLD_BASIS.md. No source-canon or implemented-recipe claim.</x:v>
      </x:c>
      <x:c r="P591" s="4" t="n">
        <x:f>IF(OR(C591="Ingredient candidate",C591="Consumed input",C591="Contained input",C591="Transform input"),IF(F591="T0",0,IF(F591="T1",1,IF(F591="T2",2,IF(F591="T3",3,IF(F591="T4",4,-1))))),-1)</x:f>
        <x:v>3</x:v>
      </x:c>
      <x:c r="Q591" s="4" t="n">
        <x:f>IF(AND(OR(C591="Ingredient candidate",C591="Consumed input",C591="Contained input",C591="Transform input"),P591=-1),1,0)</x:f>
        <x:v>0</x:v>
      </x:c>
    </x:row>
    <x:row r="592" ht="115" customHeight="1">
      <x:c r="A592" s="4" t="str">
        <x:v>design.review.proposal_legger_bearing.out</x:v>
      </x:c>
      <x:c r="B592" s="4" t="str">
        <x:v>design.review.proposal_legger_bearing</x:v>
      </x:c>
      <x:c r="C592" s="4" t="str">
        <x:v>Output</x:v>
      </x:c>
      <x:c r="D592" s="4" t="str">
        <x:v>proposal.legger.bearing</x:v>
      </x:c>
      <x:c r="E592" s="4" t="str">
        <x:f>IFERROR(INDEX('Items'!$B$6:$B$1005,MATCH(D592,'Items'!$A$6:$A$1005,0)),"MISSING ID")</x:f>
        <x:v>Replacement bearing assembly</x:v>
      </x:c>
      <x:c r="F592" s="4" t="str">
        <x:f>IFERROR(INDEX('Items'!$C$6:$C$1005,MATCH(D592,'Items'!$A$6:$A$1005,0)),"MISSING ID")</x:f>
        <x:v>T4</x:v>
      </x:c>
      <x:c r="G592" s="4" t="str">
        <x:f>IFERROR(INDEX('Items'!$D$6:$D$1005,MATCH(D592,'Items'!$A$6:$A$1005,0)),"MISSING ID")</x:f>
        <x:v>Crafting components</x:v>
      </x:c>
      <x:c r="H592" s="4" t="str">
        <x:f>IFERROR(INDEX('Items'!$X$6:$X$1005,MATCH(D592,'Items'!$A$6:$A$1005,0)),"MISSING ID")</x:f>
        <x:v>Crafting component</x:v>
      </x:c>
      <x:c r="I592" s="4"/>
      <x:c r="J592" s="4" t="str">
        <x:v>Unspecified</x:v>
      </x:c>
      <x:c r="K592" s="4" t="str">
        <x:f>IFERROR(INDEX('Crafting recipes'!$D$6:$D$1005,MATCH(B592,'Crafting recipes'!$A$6:$A$1005,0)),"MISSING ID")</x:f>
        <x:v>Proposal</x:v>
      </x:c>
      <x:c r="L592" s="4" t="str">
        <x:f>IFERROR(INDEX('Items'!$AD$6:$AD$1005,MATCH(D592,'Items'!$A$6:$A$1005,0)),"MISSING ID")</x:f>
        <x:v>Proposal</x:v>
      </x:c>
      <x:c r="M592" s="4" t="str">
        <x:f>IFERROR(INDEX('Crafting recipes'!$E$6:$E$1005,MATCH(B592,'Crafting recipes'!$A$6:$A$1005,0)),"MISSING ID")</x:f>
        <x:v>Partial proposal</x:v>
      </x:c>
      <x:c r="N592" s="4" t="str">
        <x:v>Candidate relationship only; quantity, yield and full recipe remain undefined.</x:v>
      </x:c>
      <x:c r="O592" s="4" t="str">
        <x:v>New October 15 tier-review proposal; user-authorized item audit and Docs/WORLD_BASIS.md. No source-canon or implemented-recipe claim.</x:v>
      </x:c>
      <x:c r="P592" s="4" t="n">
        <x:f>IF(OR(C592="Ingredient candidate",C592="Consumed input",C592="Contained input",C592="Transform input"),IF(F592="T0",0,IF(F592="T1",1,IF(F592="T2",2,IF(F592="T3",3,IF(F592="T4",4,-1))))),-1)</x:f>
        <x:v>-1</x:v>
      </x:c>
      <x:c r="Q592" s="4" t="n">
        <x:f>IF(AND(OR(C592="Ingredient candidate",C592="Consumed input",C592="Contained input",C592="Transform input"),P592=-1),1,0)</x:f>
        <x:v>0</x:v>
      </x:c>
    </x:row>
    <x:row r="593" ht="115" customHeight="1">
      <x:c r="A593" s="4" t="str">
        <x:v>design.review.proposal_legger_actuator_rod.in.1</x:v>
      </x:c>
      <x:c r="B593" s="4" t="str">
        <x:v>design.review.proposal_legger_actuator_rod</x:v>
      </x:c>
      <x:c r="C593" s="4" t="str">
        <x:v>Ingredient candidate</x:v>
      </x:c>
      <x:c r="D593" s="4" t="str">
        <x:v>author.metallurgy.steel_stock</x:v>
      </x:c>
      <x:c r="E593" s="4" t="str">
        <x:f>IFERROR(INDEX('Items'!$B$6:$B$1005,MATCH(D593,'Items'!$A$6:$A$1005,0)),"MISSING ID")</x:f>
        <x:v>Steel stock</x:v>
      </x:c>
      <x:c r="F593" s="4" t="str">
        <x:f>IFERROR(INDEX('Items'!$C$6:$C$1005,MATCH(D593,'Items'!$A$6:$A$1005,0)),"MISSING ID")</x:f>
        <x:v>T2</x:v>
      </x:c>
      <x:c r="G593" s="4" t="str">
        <x:f>IFERROR(INDEX('Items'!$D$6:$D$1005,MATCH(D593,'Items'!$A$6:$A$1005,0)),"MISSING ID")</x:f>
        <x:v>Manufactured stock</x:v>
      </x:c>
      <x:c r="H593" s="4" t="str">
        <x:f>IFERROR(INDEX('Items'!$X$6:$X$1005,MATCH(D593,'Items'!$A$6:$A$1005,0)),"MISSING ID")</x:f>
        <x:v>Processed material</x:v>
      </x:c>
      <x:c r="I593" s="4"/>
      <x:c r="J593" s="4" t="str">
        <x:v>Unspecified</x:v>
      </x:c>
      <x:c r="K593" s="4" t="str">
        <x:f>IFERROR(INDEX('Crafting recipes'!$D$6:$D$1005,MATCH(B593,'Crafting recipes'!$A$6:$A$1005,0)),"MISSING ID")</x:f>
        <x:v>Proposal</x:v>
      </x:c>
      <x:c r="L593" s="4" t="str">
        <x:f>IFERROR(INDEX('Items'!$AD$6:$AD$1005,MATCH(D593,'Items'!$A$6:$A$1005,0)),"MISSING ID")</x:f>
        <x:v>Author direction</x:v>
      </x:c>
      <x:c r="M593" s="4" t="str">
        <x:f>IFERROR(INDEX('Crafting recipes'!$E$6:$E$1005,MATCH(B593,'Crafting recipes'!$A$6:$A$1005,0)),"MISSING ID")</x:f>
        <x:v>Partial proposal</x:v>
      </x:c>
      <x:c r="N593" s="4" t="str">
        <x:v>Candidate relationship only; quantity, yield and full recipe remain undefined.</x:v>
      </x:c>
      <x:c r="O593" s="4" t="str">
        <x:v>New October 15 tier-review proposal; user-authorized item audit and Docs/WORLD_BASIS.md. No source-canon or implemented-recipe claim.</x:v>
      </x:c>
      <x:c r="P593" s="4" t="n">
        <x:f>IF(OR(C593="Ingredient candidate",C593="Consumed input",C593="Contained input",C593="Transform input"),IF(F593="T0",0,IF(F593="T1",1,IF(F593="T2",2,IF(F593="T3",3,IF(F593="T4",4,-1))))),-1)</x:f>
        <x:v>2</x:v>
      </x:c>
      <x:c r="Q593" s="4" t="n">
        <x:f>IF(AND(OR(C593="Ingredient candidate",C593="Consumed input",C593="Contained input",C593="Transform input"),P593=-1),1,0)</x:f>
        <x:v>0</x:v>
      </x:c>
    </x:row>
    <x:row r="594" ht="115" customHeight="1">
      <x:c r="A594" s="4" t="str">
        <x:v>design.review.proposal_legger_actuator_rod.in.2</x:v>
      </x:c>
      <x:c r="B594" s="4" t="str">
        <x:v>design.review.proposal_legger_actuator_rod</x:v>
      </x:c>
      <x:c r="C594" s="4" t="str">
        <x:v>Ingredient candidate</x:v>
      </x:c>
      <x:c r="D594" s="4" t="str">
        <x:v>proposal.natural.abrasive</x:v>
      </x:c>
      <x:c r="E594" s="4" t="str">
        <x:f>IFERROR(INDEX('Items'!$B$6:$B$1005,MATCH(D594,'Items'!$A$6:$A$1005,0)),"MISSING ID")</x:f>
        <x:v>Graded abrasive grit</x:v>
      </x:c>
      <x:c r="F594" s="4" t="str">
        <x:f>IFERROR(INDEX('Items'!$C$6:$C$1005,MATCH(D594,'Items'!$A$6:$A$1005,0)),"MISSING ID")</x:f>
        <x:v>T1</x:v>
      </x:c>
      <x:c r="G594" s="4" t="str">
        <x:f>IFERROR(INDEX('Items'!$D$6:$D$1005,MATCH(D594,'Items'!$A$6:$A$1005,0)),"MISSING ID")</x:f>
        <x:v>Manufactured stock</x:v>
      </x:c>
      <x:c r="H594" s="4" t="str">
        <x:f>IFERROR(INDEX('Items'!$X$6:$X$1005,MATCH(D594,'Items'!$A$6:$A$1005,0)),"MISSING ID")</x:f>
        <x:v>Processed material</x:v>
      </x:c>
      <x:c r="I594" s="4"/>
      <x:c r="J594" s="4" t="str">
        <x:v>Unspecified</x:v>
      </x:c>
      <x:c r="K594" s="4" t="str">
        <x:f>IFERROR(INDEX('Crafting recipes'!$D$6:$D$1005,MATCH(B594,'Crafting recipes'!$A$6:$A$1005,0)),"MISSING ID")</x:f>
        <x:v>Proposal</x:v>
      </x:c>
      <x:c r="L594" s="4" t="str">
        <x:f>IFERROR(INDEX('Items'!$AD$6:$AD$1005,MATCH(D594,'Items'!$A$6:$A$1005,0)),"MISSING ID")</x:f>
        <x:v>Proposal</x:v>
      </x:c>
      <x:c r="M594" s="4" t="str">
        <x:f>IFERROR(INDEX('Crafting recipes'!$E$6:$E$1005,MATCH(B594,'Crafting recipes'!$A$6:$A$1005,0)),"MISSING ID")</x:f>
        <x:v>Partial proposal</x:v>
      </x:c>
      <x:c r="N594" s="4" t="str">
        <x:v>Candidate relationship only; quantity, yield and full recipe remain undefined.</x:v>
      </x:c>
      <x:c r="O594" s="4" t="str">
        <x:v>New October 15 tier-review proposal; user-authorized item audit and Docs/WORLD_BASIS.md. No source-canon or implemented-recipe claim.</x:v>
      </x:c>
      <x:c r="P594" s="4" t="n">
        <x:f>IF(OR(C594="Ingredient candidate",C594="Consumed input",C594="Contained input",C594="Transform input"),IF(F594="T0",0,IF(F594="T1",1,IF(F594="T2",2,IF(F594="T3",3,IF(F594="T4",4,-1))))),-1)</x:f>
        <x:v>1</x:v>
      </x:c>
      <x:c r="Q594" s="4" t="n">
        <x:f>IF(AND(OR(C594="Ingredient candidate",C594="Consumed input",C594="Contained input",C594="Transform input"),P594=-1),1,0)</x:f>
        <x:v>0</x:v>
      </x:c>
    </x:row>
    <x:row r="595" ht="115" customHeight="1">
      <x:c r="A595" s="4" t="str">
        <x:v>design.review.proposal_legger_actuator_rod.out</x:v>
      </x:c>
      <x:c r="B595" s="4" t="str">
        <x:v>design.review.proposal_legger_actuator_rod</x:v>
      </x:c>
      <x:c r="C595" s="4" t="str">
        <x:v>Output</x:v>
      </x:c>
      <x:c r="D595" s="4" t="str">
        <x:v>proposal.legger.actuator_rod</x:v>
      </x:c>
      <x:c r="E595" s="4" t="str">
        <x:f>IFERROR(INDEX('Items'!$B$6:$B$1005,MATCH(D595,'Items'!$A$6:$A$1005,0)),"MISSING ID")</x:f>
        <x:v>Replacement actuator link</x:v>
      </x:c>
      <x:c r="F595" s="4" t="str">
        <x:f>IFERROR(INDEX('Items'!$C$6:$C$1005,MATCH(D595,'Items'!$A$6:$A$1005,0)),"MISSING ID")</x:f>
        <x:v>T3</x:v>
      </x:c>
      <x:c r="G595" s="4" t="str">
        <x:f>IFERROR(INDEX('Items'!$D$6:$D$1005,MATCH(D595,'Items'!$A$6:$A$1005,0)),"MISSING ID")</x:f>
        <x:v>Crafting components</x:v>
      </x:c>
      <x:c r="H595" s="4" t="str">
        <x:f>IFERROR(INDEX('Items'!$X$6:$X$1005,MATCH(D595,'Items'!$A$6:$A$1005,0)),"MISSING ID")</x:f>
        <x:v>Crafting component</x:v>
      </x:c>
      <x:c r="I595" s="4"/>
      <x:c r="J595" s="4" t="str">
        <x:v>Unspecified</x:v>
      </x:c>
      <x:c r="K595" s="4" t="str">
        <x:f>IFERROR(INDEX('Crafting recipes'!$D$6:$D$1005,MATCH(B595,'Crafting recipes'!$A$6:$A$1005,0)),"MISSING ID")</x:f>
        <x:v>Proposal</x:v>
      </x:c>
      <x:c r="L595" s="4" t="str">
        <x:f>IFERROR(INDEX('Items'!$AD$6:$AD$1005,MATCH(D595,'Items'!$A$6:$A$1005,0)),"MISSING ID")</x:f>
        <x:v>Proposal</x:v>
      </x:c>
      <x:c r="M595" s="4" t="str">
        <x:f>IFERROR(INDEX('Crafting recipes'!$E$6:$E$1005,MATCH(B595,'Crafting recipes'!$A$6:$A$1005,0)),"MISSING ID")</x:f>
        <x:v>Partial proposal</x:v>
      </x:c>
      <x:c r="N595" s="4" t="str">
        <x:v>Candidate relationship only; quantity, yield and full recipe remain undefined.</x:v>
      </x:c>
      <x:c r="O595" s="4" t="str">
        <x:v>New October 15 tier-review proposal; user-authorized item audit and Docs/WORLD_BASIS.md. No source-canon or implemented-recipe claim.</x:v>
      </x:c>
      <x:c r="P595" s="4" t="n">
        <x:f>IF(OR(C595="Ingredient candidate",C595="Consumed input",C595="Contained input",C595="Transform input"),IF(F595="T0",0,IF(F595="T1",1,IF(F595="T2",2,IF(F595="T3",3,IF(F595="T4",4,-1))))),-1)</x:f>
        <x:v>-1</x:v>
      </x:c>
      <x:c r="Q595" s="4" t="n">
        <x:f>IF(AND(OR(C595="Ingredient candidate",C595="Consumed input",C595="Contained input",C595="Transform input"),P595=-1),1,0)</x:f>
        <x:v>0</x:v>
      </x:c>
    </x:row>
    <x:row r="596" ht="115" customHeight="1">
      <x:c r="A596" s="4" t="str">
        <x:v>design.review.proposal_legger_joint_shroud.in.1</x:v>
      </x:c>
      <x:c r="B596" s="4" t="str">
        <x:v>design.review.proposal_legger_joint_shroud</x:v>
      </x:c>
      <x:c r="C596" s="4" t="str">
        <x:v>Ingredient candidate</x:v>
      </x:c>
      <x:c r="D596" s="4" t="str">
        <x:v>proposal.branch.husk_sheet</x:v>
      </x:c>
      <x:c r="E596" s="4" t="str">
        <x:f>IFERROR(INDEX('Items'!$B$6:$B$1005,MATCH(D596,'Items'!$A$6:$A$1005,0)),"MISSING ID")</x:f>
        <x:v>Bonded husk sheet</x:v>
      </x:c>
      <x:c r="F596" s="4" t="str">
        <x:f>IFERROR(INDEX('Items'!$C$6:$C$1005,MATCH(D596,'Items'!$A$6:$A$1005,0)),"MISSING ID")</x:f>
        <x:v>T2</x:v>
      </x:c>
      <x:c r="G596" s="4" t="str">
        <x:f>IFERROR(INDEX('Items'!$D$6:$D$1005,MATCH(D596,'Items'!$A$6:$A$1005,0)),"MISSING ID")</x:f>
        <x:v>Manufactured stock</x:v>
      </x:c>
      <x:c r="H596" s="4" t="str">
        <x:f>IFERROR(INDEX('Items'!$X$6:$X$1005,MATCH(D596,'Items'!$A$6:$A$1005,0)),"MISSING ID")</x:f>
        <x:v>Processed material</x:v>
      </x:c>
      <x:c r="I596" s="4"/>
      <x:c r="J596" s="4" t="str">
        <x:v>Unspecified</x:v>
      </x:c>
      <x:c r="K596" s="4" t="str">
        <x:f>IFERROR(INDEX('Crafting recipes'!$D$6:$D$1005,MATCH(B596,'Crafting recipes'!$A$6:$A$1005,0)),"MISSING ID")</x:f>
        <x:v>Proposal</x:v>
      </x:c>
      <x:c r="L596" s="4" t="str">
        <x:f>IFERROR(INDEX('Items'!$AD$6:$AD$1005,MATCH(D596,'Items'!$A$6:$A$1005,0)),"MISSING ID")</x:f>
        <x:v>Proposal</x:v>
      </x:c>
      <x:c r="M596" s="4" t="str">
        <x:f>IFERROR(INDEX('Crafting recipes'!$E$6:$E$1005,MATCH(B596,'Crafting recipes'!$A$6:$A$1005,0)),"MISSING ID")</x:f>
        <x:v>Partial proposal</x:v>
      </x:c>
      <x:c r="N596" s="4" t="str">
        <x:v>Candidate relationship only; quantity, yield and full recipe remain undefined.</x:v>
      </x:c>
      <x:c r="O596" s="4" t="str">
        <x:v>New October 15 tier-review proposal; user-authorized item audit and Docs/WORLD_BASIS.md. No source-canon or implemented-recipe claim.</x:v>
      </x:c>
      <x:c r="P596" s="4" t="n">
        <x:f>IF(OR(C596="Ingredient candidate",C596="Consumed input",C596="Contained input",C596="Transform input"),IF(F596="T0",0,IF(F596="T1",1,IF(F596="T2",2,IF(F596="T3",3,IF(F596="T4",4,-1))))),-1)</x:f>
        <x:v>2</x:v>
      </x:c>
      <x:c r="Q596" s="4" t="n">
        <x:f>IF(AND(OR(C596="Ingredient candidate",C596="Consumed input",C596="Contained input",C596="Transform input"),P596=-1),1,0)</x:f>
        <x:v>0</x:v>
      </x:c>
    </x:row>
    <x:row r="597" ht="115" customHeight="1">
      <x:c r="A597" s="4" t="str">
        <x:v>design.review.proposal_legger_joint_shroud.in.2</x:v>
      </x:c>
      <x:c r="B597" s="4" t="str">
        <x:v>design.review.proposal_legger_joint_shroud</x:v>
      </x:c>
      <x:c r="C597" s="4" t="str">
        <x:v>Ingredient candidate</x:v>
      </x:c>
      <x:c r="D597" s="4" t="str">
        <x:v>proposal.branch.flex_bond</x:v>
      </x:c>
      <x:c r="E597" s="4" t="str">
        <x:f>IFERROR(INDEX('Items'!$B$6:$B$1005,MATCH(D597,'Items'!$A$6:$A$1005,0)),"MISSING ID")</x:f>
        <x:v>Flexible membrane-bonding compound</x:v>
      </x:c>
      <x:c r="F597" s="4" t="str">
        <x:f>IFERROR(INDEX('Items'!$C$6:$C$1005,MATCH(D597,'Items'!$A$6:$A$1005,0)),"MISSING ID")</x:f>
        <x:v>T2</x:v>
      </x:c>
      <x:c r="G597" s="4" t="str">
        <x:f>IFERROR(INDEX('Items'!$D$6:$D$1005,MATCH(D597,'Items'!$A$6:$A$1005,0)),"MISSING ID")</x:f>
        <x:v>Crafting components</x:v>
      </x:c>
      <x:c r="H597" s="4" t="str">
        <x:f>IFERROR(INDEX('Items'!$X$6:$X$1005,MATCH(D597,'Items'!$A$6:$A$1005,0)),"MISSING ID")</x:f>
        <x:v>Chemical material</x:v>
      </x:c>
      <x:c r="I597" s="4"/>
      <x:c r="J597" s="4" t="str">
        <x:v>Unspecified</x:v>
      </x:c>
      <x:c r="K597" s="4" t="str">
        <x:f>IFERROR(INDEX('Crafting recipes'!$D$6:$D$1005,MATCH(B597,'Crafting recipes'!$A$6:$A$1005,0)),"MISSING ID")</x:f>
        <x:v>Proposal</x:v>
      </x:c>
      <x:c r="L597" s="4" t="str">
        <x:f>IFERROR(INDEX('Items'!$AD$6:$AD$1005,MATCH(D597,'Items'!$A$6:$A$1005,0)),"MISSING ID")</x:f>
        <x:v>Proposal</x:v>
      </x:c>
      <x:c r="M597" s="4" t="str">
        <x:f>IFERROR(INDEX('Crafting recipes'!$E$6:$E$1005,MATCH(B597,'Crafting recipes'!$A$6:$A$1005,0)),"MISSING ID")</x:f>
        <x:v>Partial proposal</x:v>
      </x:c>
      <x:c r="N597" s="4" t="str">
        <x:v>Candidate relationship only; quantity, yield and full recipe remain undefined.</x:v>
      </x:c>
      <x:c r="O597" s="4" t="str">
        <x:v>New October 15 tier-review proposal; user-authorized item audit and Docs/WORLD_BASIS.md. No source-canon or implemented-recipe claim.</x:v>
      </x:c>
      <x:c r="P597" s="4" t="n">
        <x:f>IF(OR(C597="Ingredient candidate",C597="Consumed input",C597="Contained input",C597="Transform input"),IF(F597="T0",0,IF(F597="T1",1,IF(F597="T2",2,IF(F597="T3",3,IF(F597="T4",4,-1))))),-1)</x:f>
        <x:v>2</x:v>
      </x:c>
      <x:c r="Q597" s="4" t="n">
        <x:f>IF(AND(OR(C597="Ingredient candidate",C597="Consumed input",C597="Contained input",C597="Transform input"),P597=-1),1,0)</x:f>
        <x:v>0</x:v>
      </x:c>
    </x:row>
    <x:row r="598" ht="115" customHeight="1">
      <x:c r="A598" s="4" t="str">
        <x:v>design.review.proposal_legger_joint_shroud.out</x:v>
      </x:c>
      <x:c r="B598" s="4" t="str">
        <x:v>design.review.proposal_legger_joint_shroud</x:v>
      </x:c>
      <x:c r="C598" s="4" t="str">
        <x:v>Output</x:v>
      </x:c>
      <x:c r="D598" s="4" t="str">
        <x:v>proposal.legger.joint_shroud</x:v>
      </x:c>
      <x:c r="E598" s="4" t="str">
        <x:f>IFERROR(INDEX('Items'!$B$6:$B$1005,MATCH(D598,'Items'!$A$6:$A$1005,0)),"MISSING ID")</x:f>
        <x:v>Joint dust shroud</x:v>
      </x:c>
      <x:c r="F598" s="4" t="str">
        <x:f>IFERROR(INDEX('Items'!$C$6:$C$1005,MATCH(D598,'Items'!$A$6:$A$1005,0)),"MISSING ID")</x:f>
        <x:v>T3</x:v>
      </x:c>
      <x:c r="G598" s="4" t="str">
        <x:f>IFERROR(INDEX('Items'!$D$6:$D$1005,MATCH(D598,'Items'!$A$6:$A$1005,0)),"MISSING ID")</x:f>
        <x:v>Crafting components</x:v>
      </x:c>
      <x:c r="H598" s="4" t="str">
        <x:f>IFERROR(INDEX('Items'!$X$6:$X$1005,MATCH(D598,'Items'!$A$6:$A$1005,0)),"MISSING ID")</x:f>
        <x:v>Crafting component</x:v>
      </x:c>
      <x:c r="I598" s="4"/>
      <x:c r="J598" s="4" t="str">
        <x:v>Unspecified</x:v>
      </x:c>
      <x:c r="K598" s="4" t="str">
        <x:f>IFERROR(INDEX('Crafting recipes'!$D$6:$D$1005,MATCH(B598,'Crafting recipes'!$A$6:$A$1005,0)),"MISSING ID")</x:f>
        <x:v>Proposal</x:v>
      </x:c>
      <x:c r="L598" s="4" t="str">
        <x:f>IFERROR(INDEX('Items'!$AD$6:$AD$1005,MATCH(D598,'Items'!$A$6:$A$1005,0)),"MISSING ID")</x:f>
        <x:v>Proposal</x:v>
      </x:c>
      <x:c r="M598" s="4" t="str">
        <x:f>IFERROR(INDEX('Crafting recipes'!$E$6:$E$1005,MATCH(B598,'Crafting recipes'!$A$6:$A$1005,0)),"MISSING ID")</x:f>
        <x:v>Partial proposal</x:v>
      </x:c>
      <x:c r="N598" s="4" t="str">
        <x:v>Candidate relationship only; quantity, yield and full recipe remain undefined.</x:v>
      </x:c>
      <x:c r="O598" s="4" t="str">
        <x:v>New October 15 tier-review proposal; user-authorized item audit and Docs/WORLD_BASIS.md. No source-canon or implemented-recipe claim.</x:v>
      </x:c>
      <x:c r="P598" s="4" t="n">
        <x:f>IF(OR(C598="Ingredient candidate",C598="Consumed input",C598="Contained input",C598="Transform input"),IF(F598="T0",0,IF(F598="T1",1,IF(F598="T2",2,IF(F598="T3",3,IF(F598="T4",4,-1))))),-1)</x:f>
        <x:v>-1</x:v>
      </x:c>
      <x:c r="Q598" s="4" t="n">
        <x:f>IF(AND(OR(C598="Ingredient candidate",C598="Consumed input",C598="Contained input",C598="Transform input"),P598=-1),1,0)</x:f>
        <x:v>0</x:v>
      </x:c>
    </x:row>
    <x:row r="599" ht="115" customHeight="1">
      <x:c r="A599" s="4" t="str">
        <x:v>design.review.proposal_legger_grease_cup.in.1</x:v>
      </x:c>
      <x:c r="B599" s="4" t="str">
        <x:v>design.review.proposal_legger_grease_cup</x:v>
      </x:c>
      <x:c r="C599" s="4" t="str">
        <x:v>Ingredient candidate</x:v>
      </x:c>
      <x:c r="D599" s="4" t="str">
        <x:v>author.metallurgy.steel_stock</x:v>
      </x:c>
      <x:c r="E599" s="4" t="str">
        <x:f>IFERROR(INDEX('Items'!$B$6:$B$1005,MATCH(D599,'Items'!$A$6:$A$1005,0)),"MISSING ID")</x:f>
        <x:v>Steel stock</x:v>
      </x:c>
      <x:c r="F599" s="4" t="str">
        <x:f>IFERROR(INDEX('Items'!$C$6:$C$1005,MATCH(D599,'Items'!$A$6:$A$1005,0)),"MISSING ID")</x:f>
        <x:v>T2</x:v>
      </x:c>
      <x:c r="G599" s="4" t="str">
        <x:f>IFERROR(INDEX('Items'!$D$6:$D$1005,MATCH(D599,'Items'!$A$6:$A$1005,0)),"MISSING ID")</x:f>
        <x:v>Manufactured stock</x:v>
      </x:c>
      <x:c r="H599" s="4" t="str">
        <x:f>IFERROR(INDEX('Items'!$X$6:$X$1005,MATCH(D599,'Items'!$A$6:$A$1005,0)),"MISSING ID")</x:f>
        <x:v>Processed material</x:v>
      </x:c>
      <x:c r="I599" s="4"/>
      <x:c r="J599" s="4" t="str">
        <x:v>Unspecified</x:v>
      </x:c>
      <x:c r="K599" s="4" t="str">
        <x:f>IFERROR(INDEX('Crafting recipes'!$D$6:$D$1005,MATCH(B599,'Crafting recipes'!$A$6:$A$1005,0)),"MISSING ID")</x:f>
        <x:v>Proposal</x:v>
      </x:c>
      <x:c r="L599" s="4" t="str">
        <x:f>IFERROR(INDEX('Items'!$AD$6:$AD$1005,MATCH(D599,'Items'!$A$6:$A$1005,0)),"MISSING ID")</x:f>
        <x:v>Author direction</x:v>
      </x:c>
      <x:c r="M599" s="4" t="str">
        <x:f>IFERROR(INDEX('Crafting recipes'!$E$6:$E$1005,MATCH(B599,'Crafting recipes'!$A$6:$A$1005,0)),"MISSING ID")</x:f>
        <x:v>Partial proposal</x:v>
      </x:c>
      <x:c r="N599" s="4" t="str">
        <x:v>Candidate relationship only; quantity, yield and full recipe remain undefined.</x:v>
      </x:c>
      <x:c r="O599" s="4" t="str">
        <x:v>New October 15 tier-review proposal; user-authorized item audit and Docs/WORLD_BASIS.md. No source-canon or implemented-recipe claim.</x:v>
      </x:c>
      <x:c r="P599" s="4" t="n">
        <x:f>IF(OR(C599="Ingredient candidate",C599="Consumed input",C599="Contained input",C599="Transform input"),IF(F599="T0",0,IF(F599="T1",1,IF(F599="T2",2,IF(F599="T3",3,IF(F599="T4",4,-1))))),-1)</x:f>
        <x:v>2</x:v>
      </x:c>
      <x:c r="Q599" s="4" t="n">
        <x:f>IF(AND(OR(C599="Ingredient candidate",C599="Consumed input",C599="Contained input",C599="Transform input"),P599=-1),1,0)</x:f>
        <x:v>0</x:v>
      </x:c>
    </x:row>
    <x:row r="600" ht="115" customHeight="1">
      <x:c r="A600" s="4" t="str">
        <x:v>design.review.proposal_legger_grease_cup.in.2</x:v>
      </x:c>
      <x:c r="B600" s="4" t="str">
        <x:v>design.review.proposal_legger_grease_cup</x:v>
      </x:c>
      <x:c r="C600" s="4" t="str">
        <x:v>Ingredient candidate</x:v>
      </x:c>
      <x:c r="D600" s="4" t="str">
        <x:v>proposal.branch.bearing_bronze</x:v>
      </x:c>
      <x:c r="E600" s="4" t="str">
        <x:f>IFERROR(INDEX('Items'!$B$6:$B$1005,MATCH(D600,'Items'!$A$6:$A$1005,0)),"MISSING ID")</x:f>
        <x:v>Prepared bronze bearing stock</x:v>
      </x:c>
      <x:c r="F600" s="4" t="str">
        <x:f>IFERROR(INDEX('Items'!$C$6:$C$1005,MATCH(D600,'Items'!$A$6:$A$1005,0)),"MISSING ID")</x:f>
        <x:v>T2</x:v>
      </x:c>
      <x:c r="G600" s="4" t="str">
        <x:f>IFERROR(INDEX('Items'!$D$6:$D$1005,MATCH(D600,'Items'!$A$6:$A$1005,0)),"MISSING ID")</x:f>
        <x:v>Manufactured stock</x:v>
      </x:c>
      <x:c r="H600" s="4" t="str">
        <x:f>IFERROR(INDEX('Items'!$X$6:$X$1005,MATCH(D600,'Items'!$A$6:$A$1005,0)),"MISSING ID")</x:f>
        <x:v>Processed material</x:v>
      </x:c>
      <x:c r="I600" s="4"/>
      <x:c r="J600" s="4" t="str">
        <x:v>Unspecified</x:v>
      </x:c>
      <x:c r="K600" s="4" t="str">
        <x:f>IFERROR(INDEX('Crafting recipes'!$D$6:$D$1005,MATCH(B600,'Crafting recipes'!$A$6:$A$1005,0)),"MISSING ID")</x:f>
        <x:v>Proposal</x:v>
      </x:c>
      <x:c r="L600" s="4" t="str">
        <x:f>IFERROR(INDEX('Items'!$AD$6:$AD$1005,MATCH(D600,'Items'!$A$6:$A$1005,0)),"MISSING ID")</x:f>
        <x:v>Proposal</x:v>
      </x:c>
      <x:c r="M600" s="4" t="str">
        <x:f>IFERROR(INDEX('Crafting recipes'!$E$6:$E$1005,MATCH(B600,'Crafting recipes'!$A$6:$A$1005,0)),"MISSING ID")</x:f>
        <x:v>Partial proposal</x:v>
      </x:c>
      <x:c r="N600" s="4" t="str">
        <x:v>Candidate relationship only; quantity, yield and full recipe remain undefined.</x:v>
      </x:c>
      <x:c r="O600" s="4" t="str">
        <x:v>New October 15 tier-review proposal; user-authorized item audit and Docs/WORLD_BASIS.md. No source-canon or implemented-recipe claim.</x:v>
      </x:c>
      <x:c r="P600" s="4" t="n">
        <x:f>IF(OR(C600="Ingredient candidate",C600="Consumed input",C600="Contained input",C600="Transform input"),IF(F600="T0",0,IF(F600="T1",1,IF(F600="T2",2,IF(F600="T3",3,IF(F600="T4",4,-1))))),-1)</x:f>
        <x:v>2</x:v>
      </x:c>
      <x:c r="Q600" s="4" t="n">
        <x:f>IF(AND(OR(C600="Ingredient candidate",C600="Consumed input",C600="Contained input",C600="Transform input"),P600=-1),1,0)</x:f>
        <x:v>0</x:v>
      </x:c>
    </x:row>
    <x:row r="601" ht="115" customHeight="1">
      <x:c r="A601" s="4" t="str">
        <x:v>design.review.proposal_legger_grease_cup.out</x:v>
      </x:c>
      <x:c r="B601" s="4" t="str">
        <x:v>design.review.proposal_legger_grease_cup</x:v>
      </x:c>
      <x:c r="C601" s="4" t="str">
        <x:v>Output</x:v>
      </x:c>
      <x:c r="D601" s="4" t="str">
        <x:v>proposal.legger.grease_cup</x:v>
      </x:c>
      <x:c r="E601" s="4" t="str">
        <x:f>IFERROR(INDEX('Items'!$B$6:$B$1005,MATCH(D601,'Items'!$A$6:$A$1005,0)),"MISSING ID")</x:f>
        <x:v>Fitted joint lubricant cup</x:v>
      </x:c>
      <x:c r="F601" s="4" t="str">
        <x:f>IFERROR(INDEX('Items'!$C$6:$C$1005,MATCH(D601,'Items'!$A$6:$A$1005,0)),"MISSING ID")</x:f>
        <x:v>T3</x:v>
      </x:c>
      <x:c r="G601" s="4" t="str">
        <x:f>IFERROR(INDEX('Items'!$D$6:$D$1005,MATCH(D601,'Items'!$A$6:$A$1005,0)),"MISSING ID")</x:f>
        <x:v>Crafting components</x:v>
      </x:c>
      <x:c r="H601" s="4" t="str">
        <x:f>IFERROR(INDEX('Items'!$X$6:$X$1005,MATCH(D601,'Items'!$A$6:$A$1005,0)),"MISSING ID")</x:f>
        <x:v>Container part</x:v>
      </x:c>
      <x:c r="I601" s="4"/>
      <x:c r="J601" s="4" t="str">
        <x:v>Unspecified</x:v>
      </x:c>
      <x:c r="K601" s="4" t="str">
        <x:f>IFERROR(INDEX('Crafting recipes'!$D$6:$D$1005,MATCH(B601,'Crafting recipes'!$A$6:$A$1005,0)),"MISSING ID")</x:f>
        <x:v>Proposal</x:v>
      </x:c>
      <x:c r="L601" s="4" t="str">
        <x:f>IFERROR(INDEX('Items'!$AD$6:$AD$1005,MATCH(D601,'Items'!$A$6:$A$1005,0)),"MISSING ID")</x:f>
        <x:v>Proposal</x:v>
      </x:c>
      <x:c r="M601" s="4" t="str">
        <x:f>IFERROR(INDEX('Crafting recipes'!$E$6:$E$1005,MATCH(B601,'Crafting recipes'!$A$6:$A$1005,0)),"MISSING ID")</x:f>
        <x:v>Partial proposal</x:v>
      </x:c>
      <x:c r="N601" s="4" t="str">
        <x:v>Candidate relationship only; quantity, yield and full recipe remain undefined.</x:v>
      </x:c>
      <x:c r="O601" s="4" t="str">
        <x:v>New October 15 tier-review proposal; user-authorized item audit and Docs/WORLD_BASIS.md. No source-canon or implemented-recipe claim.</x:v>
      </x:c>
      <x:c r="P601" s="4" t="n">
        <x:f>IF(OR(C601="Ingredient candidate",C601="Consumed input",C601="Contained input",C601="Transform input"),IF(F601="T0",0,IF(F601="T1",1,IF(F601="T2",2,IF(F601="T3",3,IF(F601="T4",4,-1))))),-1)</x:f>
        <x:v>-1</x:v>
      </x:c>
      <x:c r="Q601" s="4" t="n">
        <x:f>IF(AND(OR(C601="Ingredient candidate",C601="Consumed input",C601="Contained input",C601="Transform input"),P601=-1),1,0)</x:f>
        <x:v>0</x:v>
      </x:c>
    </x:row>
    <x:row r="602" ht="115" customHeight="1">
      <x:c r="A602" s="4" t="str">
        <x:v>design.review.proposal_legger_seal_cartridge.in.1</x:v>
      </x:c>
      <x:c r="B602" s="4" t="str">
        <x:v>design.review.proposal_legger_seal_cartridge</x:v>
      </x:c>
      <x:c r="C602" s="4" t="str">
        <x:v>Ingredient candidate</x:v>
      </x:c>
      <x:c r="D602" s="4" t="str">
        <x:v>proposal.t3.packing_stock</x:v>
      </x:c>
      <x:c r="E602" s="4" t="str">
        <x:f>IFERROR(INDEX('Items'!$B$6:$B$1005,MATCH(D602,'Items'!$A$6:$A$1005,0)),"MISSING ID")</x:f>
        <x:v>Husk-reinforced packing stock</x:v>
      </x:c>
      <x:c r="F602" s="4" t="str">
        <x:f>IFERROR(INDEX('Items'!$C$6:$C$1005,MATCH(D602,'Items'!$A$6:$A$1005,0)),"MISSING ID")</x:f>
        <x:v>T3</x:v>
      </x:c>
      <x:c r="G602" s="4" t="str">
        <x:f>IFERROR(INDEX('Items'!$D$6:$D$1005,MATCH(D602,'Items'!$A$6:$A$1005,0)),"MISSING ID")</x:f>
        <x:v>Manufactured stock</x:v>
      </x:c>
      <x:c r="H602" s="4" t="str">
        <x:f>IFERROR(INDEX('Items'!$X$6:$X$1005,MATCH(D602,'Items'!$A$6:$A$1005,0)),"MISSING ID")</x:f>
        <x:v>Processed material</x:v>
      </x:c>
      <x:c r="I602" s="4"/>
      <x:c r="J602" s="4" t="str">
        <x:v>Unspecified</x:v>
      </x:c>
      <x:c r="K602" s="4" t="str">
        <x:f>IFERROR(INDEX('Crafting recipes'!$D$6:$D$1005,MATCH(B602,'Crafting recipes'!$A$6:$A$1005,0)),"MISSING ID")</x:f>
        <x:v>Proposal</x:v>
      </x:c>
      <x:c r="L602" s="4" t="str">
        <x:f>IFERROR(INDEX('Items'!$AD$6:$AD$1005,MATCH(D602,'Items'!$A$6:$A$1005,0)),"MISSING ID")</x:f>
        <x:v>Proposal</x:v>
      </x:c>
      <x:c r="M602" s="4" t="str">
        <x:f>IFERROR(INDEX('Crafting recipes'!$E$6:$E$1005,MATCH(B602,'Crafting recipes'!$A$6:$A$1005,0)),"MISSING ID")</x:f>
        <x:v>Partial proposal</x:v>
      </x:c>
      <x:c r="N602" s="4" t="str">
        <x:v>Candidate relationship only; quantity, yield and full recipe remain undefined.</x:v>
      </x:c>
      <x:c r="O602" s="4" t="str">
        <x:v>New October 15 tier-review proposal; user-authorized item audit and Docs/WORLD_BASIS.md. No source-canon or implemented-recipe claim.</x:v>
      </x:c>
      <x:c r="P602" s="4" t="n">
        <x:f>IF(OR(C602="Ingredient candidate",C602="Consumed input",C602="Contained input",C602="Transform input"),IF(F602="T0",0,IF(F602="T1",1,IF(F602="T2",2,IF(F602="T3",3,IF(F602="T4",4,-1))))),-1)</x:f>
        <x:v>3</x:v>
      </x:c>
      <x:c r="Q602" s="4" t="n">
        <x:f>IF(AND(OR(C602="Ingredient candidate",C602="Consumed input",C602="Contained input",C602="Transform input"),P602=-1),1,0)</x:f>
        <x:v>0</x:v>
      </x:c>
    </x:row>
    <x:row r="603" ht="115" customHeight="1">
      <x:c r="A603" s="4" t="str">
        <x:v>design.review.proposal_legger_seal_cartridge.in.2</x:v>
      </x:c>
      <x:c r="B603" s="4" t="str">
        <x:v>design.review.proposal_legger_seal_cartridge</x:v>
      </x:c>
      <x:c r="C603" s="4" t="str">
        <x:v>Ingredient candidate</x:v>
      </x:c>
      <x:c r="D603" s="4" t="str">
        <x:v>proposal.branch.sealing_sheet</x:v>
      </x:c>
      <x:c r="E603" s="4" t="str">
        <x:f>IFERROR(INDEX('Items'!$B$6:$B$1005,MATCH(D603,'Items'!$A$6:$A$1005,0)),"MISSING ID")</x:f>
        <x:v>Reinforced sealing sheet</x:v>
      </x:c>
      <x:c r="F603" s="4" t="str">
        <x:f>IFERROR(INDEX('Items'!$C$6:$C$1005,MATCH(D603,'Items'!$A$6:$A$1005,0)),"MISSING ID")</x:f>
        <x:v>T3</x:v>
      </x:c>
      <x:c r="G603" s="4" t="str">
        <x:f>IFERROR(INDEX('Items'!$D$6:$D$1005,MATCH(D603,'Items'!$A$6:$A$1005,0)),"MISSING ID")</x:f>
        <x:v>Manufactured stock</x:v>
      </x:c>
      <x:c r="H603" s="4" t="str">
        <x:f>IFERROR(INDEX('Items'!$X$6:$X$1005,MATCH(D603,'Items'!$A$6:$A$1005,0)),"MISSING ID")</x:f>
        <x:v>Processed material</x:v>
      </x:c>
      <x:c r="I603" s="4"/>
      <x:c r="J603" s="4" t="str">
        <x:v>Unspecified</x:v>
      </x:c>
      <x:c r="K603" s="4" t="str">
        <x:f>IFERROR(INDEX('Crafting recipes'!$D$6:$D$1005,MATCH(B603,'Crafting recipes'!$A$6:$A$1005,0)),"MISSING ID")</x:f>
        <x:v>Proposal</x:v>
      </x:c>
      <x:c r="L603" s="4" t="str">
        <x:f>IFERROR(INDEX('Items'!$AD$6:$AD$1005,MATCH(D603,'Items'!$A$6:$A$1005,0)),"MISSING ID")</x:f>
        <x:v>Proposal</x:v>
      </x:c>
      <x:c r="M603" s="4" t="str">
        <x:f>IFERROR(INDEX('Crafting recipes'!$E$6:$E$1005,MATCH(B603,'Crafting recipes'!$A$6:$A$1005,0)),"MISSING ID")</x:f>
        <x:v>Partial proposal</x:v>
      </x:c>
      <x:c r="N603" s="4" t="str">
        <x:v>Candidate relationship only; quantity, yield and full recipe remain undefined.</x:v>
      </x:c>
      <x:c r="O603" s="4" t="str">
        <x:v>New October 15 tier-review proposal; user-authorized item audit and Docs/WORLD_BASIS.md. No source-canon or implemented-recipe claim.</x:v>
      </x:c>
      <x:c r="P603" s="4" t="n">
        <x:f>IF(OR(C603="Ingredient candidate",C603="Consumed input",C603="Contained input",C603="Transform input"),IF(F603="T0",0,IF(F603="T1",1,IF(F603="T2",2,IF(F603="T3",3,IF(F603="T4",4,-1))))),-1)</x:f>
        <x:v>3</x:v>
      </x:c>
      <x:c r="Q603" s="4" t="n">
        <x:f>IF(AND(OR(C603="Ingredient candidate",C603="Consumed input",C603="Contained input",C603="Transform input"),P603=-1),1,0)</x:f>
        <x:v>0</x:v>
      </x:c>
    </x:row>
    <x:row r="604" ht="115" customHeight="1">
      <x:c r="A604" s="4" t="str">
        <x:v>design.review.proposal_legger_seal_cartridge.in.3</x:v>
      </x:c>
      <x:c r="B604" s="4" t="str">
        <x:v>design.review.proposal_legger_seal_cartridge</x:v>
      </x:c>
      <x:c r="C604" s="4" t="str">
        <x:v>Ingredient candidate</x:v>
      </x:c>
      <x:c r="D604" s="4" t="str">
        <x:v>author.metallurgy.steel_stock</x:v>
      </x:c>
      <x:c r="E604" s="4" t="str">
        <x:f>IFERROR(INDEX('Items'!$B$6:$B$1005,MATCH(D604,'Items'!$A$6:$A$1005,0)),"MISSING ID")</x:f>
        <x:v>Steel stock</x:v>
      </x:c>
      <x:c r="F604" s="4" t="str">
        <x:f>IFERROR(INDEX('Items'!$C$6:$C$1005,MATCH(D604,'Items'!$A$6:$A$1005,0)),"MISSING ID")</x:f>
        <x:v>T2</x:v>
      </x:c>
      <x:c r="G604" s="4" t="str">
        <x:f>IFERROR(INDEX('Items'!$D$6:$D$1005,MATCH(D604,'Items'!$A$6:$A$1005,0)),"MISSING ID")</x:f>
        <x:v>Manufactured stock</x:v>
      </x:c>
      <x:c r="H604" s="4" t="str">
        <x:f>IFERROR(INDEX('Items'!$X$6:$X$1005,MATCH(D604,'Items'!$A$6:$A$1005,0)),"MISSING ID")</x:f>
        <x:v>Processed material</x:v>
      </x:c>
      <x:c r="I604" s="4"/>
      <x:c r="J604" s="4" t="str">
        <x:v>Unspecified</x:v>
      </x:c>
      <x:c r="K604" s="4" t="str">
        <x:f>IFERROR(INDEX('Crafting recipes'!$D$6:$D$1005,MATCH(B604,'Crafting recipes'!$A$6:$A$1005,0)),"MISSING ID")</x:f>
        <x:v>Proposal</x:v>
      </x:c>
      <x:c r="L604" s="4" t="str">
        <x:f>IFERROR(INDEX('Items'!$AD$6:$AD$1005,MATCH(D604,'Items'!$A$6:$A$1005,0)),"MISSING ID")</x:f>
        <x:v>Author direction</x:v>
      </x:c>
      <x:c r="M604" s="4" t="str">
        <x:f>IFERROR(INDEX('Crafting recipes'!$E$6:$E$1005,MATCH(B604,'Crafting recipes'!$A$6:$A$1005,0)),"MISSING ID")</x:f>
        <x:v>Partial proposal</x:v>
      </x:c>
      <x:c r="N604" s="4" t="str">
        <x:v>Candidate relationship only; quantity, yield and full recipe remain undefined.</x:v>
      </x:c>
      <x:c r="O604" s="4" t="str">
        <x:v>New October 15 tier-review proposal; user-authorized item audit and Docs/WORLD_BASIS.md. No source-canon or implemented-recipe claim.</x:v>
      </x:c>
      <x:c r="P604" s="4" t="n">
        <x:f>IF(OR(C604="Ingredient candidate",C604="Consumed input",C604="Contained input",C604="Transform input"),IF(F604="T0",0,IF(F604="T1",1,IF(F604="T2",2,IF(F604="T3",3,IF(F604="T4",4,-1))))),-1)</x:f>
        <x:v>2</x:v>
      </x:c>
      <x:c r="Q604" s="4" t="n">
        <x:f>IF(AND(OR(C604="Ingredient candidate",C604="Consumed input",C604="Contained input",C604="Transform input"),P604=-1),1,0)</x:f>
        <x:v>0</x:v>
      </x:c>
    </x:row>
    <x:row r="605" ht="115" customHeight="1">
      <x:c r="A605" s="4" t="str">
        <x:v>design.review.proposal_legger_seal_cartridge.out</x:v>
      </x:c>
      <x:c r="B605" s="4" t="str">
        <x:v>design.review.proposal_legger_seal_cartridge</x:v>
      </x:c>
      <x:c r="C605" s="4" t="str">
        <x:v>Output</x:v>
      </x:c>
      <x:c r="D605" s="4" t="str">
        <x:v>proposal.legger.seal_cartridge</x:v>
      </x:c>
      <x:c r="E605" s="4" t="str">
        <x:f>IFERROR(INDEX('Items'!$B$6:$B$1005,MATCH(D605,'Items'!$A$6:$A$1005,0)),"MISSING ID")</x:f>
        <x:v>Replaceable joint-seal cartridge</x:v>
      </x:c>
      <x:c r="F605" s="4" t="str">
        <x:f>IFERROR(INDEX('Items'!$C$6:$C$1005,MATCH(D605,'Items'!$A$6:$A$1005,0)),"MISSING ID")</x:f>
        <x:v>T4</x:v>
      </x:c>
      <x:c r="G605" s="4" t="str">
        <x:f>IFERROR(INDEX('Items'!$D$6:$D$1005,MATCH(D605,'Items'!$A$6:$A$1005,0)),"MISSING ID")</x:f>
        <x:v>Crafting components</x:v>
      </x:c>
      <x:c r="H605" s="4" t="str">
        <x:f>IFERROR(INDEX('Items'!$X$6:$X$1005,MATCH(D605,'Items'!$A$6:$A$1005,0)),"MISSING ID")</x:f>
        <x:v>Crafting component</x:v>
      </x:c>
      <x:c r="I605" s="4"/>
      <x:c r="J605" s="4" t="str">
        <x:v>Unspecified</x:v>
      </x:c>
      <x:c r="K605" s="4" t="str">
        <x:f>IFERROR(INDEX('Crafting recipes'!$D$6:$D$1005,MATCH(B605,'Crafting recipes'!$A$6:$A$1005,0)),"MISSING ID")</x:f>
        <x:v>Proposal</x:v>
      </x:c>
      <x:c r="L605" s="4" t="str">
        <x:f>IFERROR(INDEX('Items'!$AD$6:$AD$1005,MATCH(D605,'Items'!$A$6:$A$1005,0)),"MISSING ID")</x:f>
        <x:v>Proposal</x:v>
      </x:c>
      <x:c r="M605" s="4" t="str">
        <x:f>IFERROR(INDEX('Crafting recipes'!$E$6:$E$1005,MATCH(B605,'Crafting recipes'!$A$6:$A$1005,0)),"MISSING ID")</x:f>
        <x:v>Partial proposal</x:v>
      </x:c>
      <x:c r="N605" s="4" t="str">
        <x:v>Candidate relationship only; quantity, yield and full recipe remain undefined.</x:v>
      </x:c>
      <x:c r="O605" s="4" t="str">
        <x:v>New October 15 tier-review proposal; user-authorized item audit and Docs/WORLD_BASIS.md. No source-canon or implemented-recipe claim.</x:v>
      </x:c>
      <x:c r="P605" s="4" t="n">
        <x:f>IF(OR(C605="Ingredient candidate",C605="Consumed input",C605="Contained input",C605="Transform input"),IF(F605="T0",0,IF(F605="T1",1,IF(F605="T2",2,IF(F605="T3",3,IF(F605="T4",4,-1))))),-1)</x:f>
        <x:v>-1</x:v>
      </x:c>
      <x:c r="Q605" s="4" t="n">
        <x:f>IF(AND(OR(C605="Ingredient candidate",C605="Consumed input",C605="Contained input",C605="Transform input"),P605=-1),1,0)</x:f>
        <x:v>0</x:v>
      </x:c>
    </x:row>
    <x:row r="606" ht="115" customHeight="1">
      <x:c r="A606" s="4"/>
      <x:c r="B606" s="4"/>
      <x:c r="C606" s="4"/>
      <x:c r="D606" s="4"/>
      <x:c r="E606" s="4"/>
      <x:c r="F606" s="4"/>
      <x:c r="G606" s="4"/>
      <x:c r="H606" s="4"/>
      <x:c r="I606" s="4"/>
      <x:c r="K606" s="4"/>
      <x:c r="L606" s="4"/>
      <x:c r="M606" s="4"/>
      <x:c r="N606" s="4"/>
      <x:c r="O606" s="4"/>
      <x:c r="P606" s="4"/>
      <x:c r="Q606" s="4"/>
    </x:row>
    <x:row r="607" ht="115" customHeight="1">
      <x:c r="A607" s="4"/>
      <x:c r="B607" s="4"/>
      <x:c r="C607" s="4"/>
      <x:c r="D607" s="4"/>
      <x:c r="E607" s="4"/>
      <x:c r="F607" s="4"/>
      <x:c r="G607" s="4"/>
      <x:c r="H607" s="4"/>
      <x:c r="I607" s="4"/>
      <x:c r="K607" s="4"/>
      <x:c r="L607" s="4"/>
      <x:c r="M607" s="4"/>
      <x:c r="N607" s="4"/>
      <x:c r="O607" s="4"/>
      <x:c r="P607" s="4"/>
      <x:c r="Q607" s="4"/>
    </x:row>
    <x:row r="608" ht="115" customHeight="1">
      <x:c r="A608" s="4"/>
      <x:c r="B608" s="4"/>
      <x:c r="C608" s="4"/>
      <x:c r="D608" s="4"/>
      <x:c r="E608" s="4"/>
      <x:c r="F608" s="4"/>
      <x:c r="G608" s="4"/>
      <x:c r="H608" s="4"/>
      <x:c r="I608" s="4"/>
      <x:c r="K608" s="4"/>
      <x:c r="L608" s="4"/>
      <x:c r="M608" s="4"/>
      <x:c r="N608" s="4"/>
      <x:c r="O608" s="4"/>
      <x:c r="P608" s="4"/>
      <x:c r="Q608" s="4"/>
    </x:row>
    <x:row r="609" ht="115" customHeight="1">
      <x:c r="A609" s="4"/>
      <x:c r="B609" s="4"/>
      <x:c r="C609" s="4"/>
      <x:c r="D609" s="4"/>
      <x:c r="E609" s="4"/>
      <x:c r="F609" s="4"/>
      <x:c r="G609" s="4"/>
      <x:c r="H609" s="4"/>
      <x:c r="I609" s="4"/>
      <x:c r="K609" s="4"/>
      <x:c r="L609" s="4"/>
      <x:c r="M609" s="4"/>
      <x:c r="N609" s="4"/>
      <x:c r="O609" s="4"/>
      <x:c r="P609" s="4"/>
      <x:c r="Q609" s="4"/>
    </x:row>
    <x:row r="610" ht="115" customHeight="1">
      <x:c r="A610" s="4" t="str">
        <x:v>design.review.proposal_legger_inspection_hatch.in.1</x:v>
      </x:c>
      <x:c r="B610" s="4" t="str">
        <x:v>design.review.proposal_legger_inspection_hatch</x:v>
      </x:c>
      <x:c r="C610" s="4" t="str">
        <x:v>Ingredient candidate</x:v>
      </x:c>
      <x:c r="D610" s="4" t="str">
        <x:v>author.metallurgy.steel_stock</x:v>
      </x:c>
      <x:c r="E610" s="4" t="str">
        <x:f>IFERROR(INDEX('Items'!$B$6:$B$1005,MATCH(D610,'Items'!$A$6:$A$1005,0)),"MISSING ID")</x:f>
        <x:v>Steel stock</x:v>
      </x:c>
      <x:c r="F610" s="4" t="str">
        <x:f>IFERROR(INDEX('Items'!$C$6:$C$1005,MATCH(D610,'Items'!$A$6:$A$1005,0)),"MISSING ID")</x:f>
        <x:v>T2</x:v>
      </x:c>
      <x:c r="G610" s="4" t="str">
        <x:f>IFERROR(INDEX('Items'!$D$6:$D$1005,MATCH(D610,'Items'!$A$6:$A$1005,0)),"MISSING ID")</x:f>
        <x:v>Manufactured stock</x:v>
      </x:c>
      <x:c r="H610" s="4" t="str">
        <x:f>IFERROR(INDEX('Items'!$X$6:$X$1005,MATCH(D610,'Items'!$A$6:$A$1005,0)),"MISSING ID")</x:f>
        <x:v>Processed material</x:v>
      </x:c>
      <x:c r="I610" s="4"/>
      <x:c r="J610" s="4" t="str">
        <x:v>Unspecified</x:v>
      </x:c>
      <x:c r="K610" s="4" t="str">
        <x:f>IFERROR(INDEX('Crafting recipes'!$D$6:$D$1005,MATCH(B610,'Crafting recipes'!$A$6:$A$1005,0)),"MISSING ID")</x:f>
        <x:v>Proposal</x:v>
      </x:c>
      <x:c r="L610" s="4" t="str">
        <x:f>IFERROR(INDEX('Items'!$AD$6:$AD$1005,MATCH(D610,'Items'!$A$6:$A$1005,0)),"MISSING ID")</x:f>
        <x:v>Author direction</x:v>
      </x:c>
      <x:c r="M610" s="4" t="str">
        <x:f>IFERROR(INDEX('Crafting recipes'!$E$6:$E$1005,MATCH(B610,'Crafting recipes'!$A$6:$A$1005,0)),"MISSING ID")</x:f>
        <x:v>Partial proposal</x:v>
      </x:c>
      <x:c r="N610" s="4" t="str">
        <x:v>Candidate relationship only; quantity, yield and full recipe remain undefined.</x:v>
      </x:c>
      <x:c r="O610" s="4" t="str">
        <x:v>New October 15 tier-review proposal; user-authorized item audit and Docs/WORLD_BASIS.md. No source-canon or implemented-recipe claim.</x:v>
      </x:c>
      <x:c r="P610" s="4" t="n">
        <x:f>IF(OR(C610="Ingredient candidate",C610="Consumed input",C610="Contained input",C610="Transform input"),IF(F610="T0",0,IF(F610="T1",1,IF(F610="T2",2,IF(F610="T3",3,IF(F610="T4",4,-1))))),-1)</x:f>
        <x:v>2</x:v>
      </x:c>
      <x:c r="Q610" s="4" t="n">
        <x:f>IF(AND(OR(C610="Ingredient candidate",C610="Consumed input",C610="Contained input",C610="Transform input"),P610=-1),1,0)</x:f>
        <x:v>0</x:v>
      </x:c>
    </x:row>
    <x:row r="611" ht="115" customHeight="1">
      <x:c r="A611" s="4" t="str">
        <x:v>design.review.proposal_legger_inspection_hatch.in.2</x:v>
      </x:c>
      <x:c r="B611" s="4" t="str">
        <x:v>design.review.proposal_legger_inspection_hatch</x:v>
      </x:c>
      <x:c r="C611" s="4" t="str">
        <x:v>Ingredient candidate</x:v>
      </x:c>
      <x:c r="D611" s="4" t="str">
        <x:v>proposal.branch.bearing_bronze</x:v>
      </x:c>
      <x:c r="E611" s="4" t="str">
        <x:f>IFERROR(INDEX('Items'!$B$6:$B$1005,MATCH(D611,'Items'!$A$6:$A$1005,0)),"MISSING ID")</x:f>
        <x:v>Prepared bronze bearing stock</x:v>
      </x:c>
      <x:c r="F611" s="4" t="str">
        <x:f>IFERROR(INDEX('Items'!$C$6:$C$1005,MATCH(D611,'Items'!$A$6:$A$1005,0)),"MISSING ID")</x:f>
        <x:v>T2</x:v>
      </x:c>
      <x:c r="G611" s="4" t="str">
        <x:f>IFERROR(INDEX('Items'!$D$6:$D$1005,MATCH(D611,'Items'!$A$6:$A$1005,0)),"MISSING ID")</x:f>
        <x:v>Manufactured stock</x:v>
      </x:c>
      <x:c r="H611" s="4" t="str">
        <x:f>IFERROR(INDEX('Items'!$X$6:$X$1005,MATCH(D611,'Items'!$A$6:$A$1005,0)),"MISSING ID")</x:f>
        <x:v>Processed material</x:v>
      </x:c>
      <x:c r="I611" s="4"/>
      <x:c r="J611" s="4" t="str">
        <x:v>Unspecified</x:v>
      </x:c>
      <x:c r="K611" s="4" t="str">
        <x:f>IFERROR(INDEX('Crafting recipes'!$D$6:$D$1005,MATCH(B611,'Crafting recipes'!$A$6:$A$1005,0)),"MISSING ID")</x:f>
        <x:v>Proposal</x:v>
      </x:c>
      <x:c r="L611" s="4" t="str">
        <x:f>IFERROR(INDEX('Items'!$AD$6:$AD$1005,MATCH(D611,'Items'!$A$6:$A$1005,0)),"MISSING ID")</x:f>
        <x:v>Proposal</x:v>
      </x:c>
      <x:c r="M611" s="4" t="str">
        <x:f>IFERROR(INDEX('Crafting recipes'!$E$6:$E$1005,MATCH(B611,'Crafting recipes'!$A$6:$A$1005,0)),"MISSING ID")</x:f>
        <x:v>Partial proposal</x:v>
      </x:c>
      <x:c r="N611" s="4" t="str">
        <x:v>Candidate relationship only; quantity, yield and full recipe remain undefined.</x:v>
      </x:c>
      <x:c r="O611" s="4" t="str">
        <x:v>New October 15 tier-review proposal; user-authorized item audit and Docs/WORLD_BASIS.md. No source-canon or implemented-recipe claim.</x:v>
      </x:c>
      <x:c r="P611" s="4" t="n">
        <x:f>IF(OR(C611="Ingredient candidate",C611="Consumed input",C611="Contained input",C611="Transform input"),IF(F611="T0",0,IF(F611="T1",1,IF(F611="T2",2,IF(F611="T3",3,IF(F611="T4",4,-1))))),-1)</x:f>
        <x:v>2</x:v>
      </x:c>
      <x:c r="Q611" s="4" t="n">
        <x:f>IF(AND(OR(C611="Ingredient candidate",C611="Consumed input",C611="Contained input",C611="Transform input"),P611=-1),1,0)</x:f>
        <x:v>0</x:v>
      </x:c>
    </x:row>
    <x:row r="612" ht="115" customHeight="1">
      <x:c r="A612" s="4" t="str">
        <x:v>design.review.proposal_legger_inspection_hatch.in.3</x:v>
      </x:c>
      <x:c r="B612" s="4" t="str">
        <x:v>design.review.proposal_legger_inspection_hatch</x:v>
      </x:c>
      <x:c r="C612" s="4" t="str">
        <x:v>Ingredient candidate</x:v>
      </x:c>
      <x:c r="D612" s="4" t="str">
        <x:v>proposal.branch.filled_seal</x:v>
      </x:c>
      <x:c r="E612" s="4" t="str">
        <x:f>IFERROR(INDEX('Items'!$B$6:$B$1005,MATCH(D612,'Items'!$A$6:$A$1005,0)),"MISSING ID")</x:f>
        <x:v>Filled faunal seal compound</x:v>
      </x:c>
      <x:c r="F612" s="4" t="str">
        <x:f>IFERROR(INDEX('Items'!$C$6:$C$1005,MATCH(D612,'Items'!$A$6:$A$1005,0)),"MISSING ID")</x:f>
        <x:v>T2</x:v>
      </x:c>
      <x:c r="G612" s="4" t="str">
        <x:f>IFERROR(INDEX('Items'!$D$6:$D$1005,MATCH(D612,'Items'!$A$6:$A$1005,0)),"MISSING ID")</x:f>
        <x:v>Crafting components</x:v>
      </x:c>
      <x:c r="H612" s="4" t="str">
        <x:f>IFERROR(INDEX('Items'!$X$6:$X$1005,MATCH(D612,'Items'!$A$6:$A$1005,0)),"MISSING ID")</x:f>
        <x:v>Chemical material</x:v>
      </x:c>
      <x:c r="I612" s="4"/>
      <x:c r="J612" s="4" t="str">
        <x:v>Unspecified</x:v>
      </x:c>
      <x:c r="K612" s="4" t="str">
        <x:f>IFERROR(INDEX('Crafting recipes'!$D$6:$D$1005,MATCH(B612,'Crafting recipes'!$A$6:$A$1005,0)),"MISSING ID")</x:f>
        <x:v>Proposal</x:v>
      </x:c>
      <x:c r="L612" s="4" t="str">
        <x:f>IFERROR(INDEX('Items'!$AD$6:$AD$1005,MATCH(D612,'Items'!$A$6:$A$1005,0)),"MISSING ID")</x:f>
        <x:v>Proposal</x:v>
      </x:c>
      <x:c r="M612" s="4" t="str">
        <x:f>IFERROR(INDEX('Crafting recipes'!$E$6:$E$1005,MATCH(B612,'Crafting recipes'!$A$6:$A$1005,0)),"MISSING ID")</x:f>
        <x:v>Partial proposal</x:v>
      </x:c>
      <x:c r="N612" s="4" t="str">
        <x:v>Candidate relationship only; quantity, yield and full recipe remain undefined.</x:v>
      </x:c>
      <x:c r="O612" s="4" t="str">
        <x:v>New October 15 tier-review proposal; user-authorized item audit and Docs/WORLD_BASIS.md. No source-canon or implemented-recipe claim.</x:v>
      </x:c>
      <x:c r="P612" s="4" t="n">
        <x:f>IF(OR(C612="Ingredient candidate",C612="Consumed input",C612="Contained input",C612="Transform input"),IF(F612="T0",0,IF(F612="T1",1,IF(F612="T2",2,IF(F612="T3",3,IF(F612="T4",4,-1))))),-1)</x:f>
        <x:v>2</x:v>
      </x:c>
      <x:c r="Q612" s="4" t="n">
        <x:f>IF(AND(OR(C612="Ingredient candidate",C612="Consumed input",C612="Contained input",C612="Transform input"),P612=-1),1,0)</x:f>
        <x:v>0</x:v>
      </x:c>
    </x:row>
    <x:row r="613" ht="115" customHeight="1">
      <x:c r="A613" s="4" t="str">
        <x:v>design.review.proposal_legger_inspection_hatch.out</x:v>
      </x:c>
      <x:c r="B613" s="4" t="str">
        <x:v>design.review.proposal_legger_inspection_hatch</x:v>
      </x:c>
      <x:c r="C613" s="4" t="str">
        <x:v>Output</x:v>
      </x:c>
      <x:c r="D613" s="4" t="str">
        <x:v>proposal.legger.inspection_hatch</x:v>
      </x:c>
      <x:c r="E613" s="4" t="str">
        <x:f>IFERROR(INDEX('Items'!$B$6:$B$1005,MATCH(D613,'Items'!$A$6:$A$1005,0)),"MISSING ID")</x:f>
        <x:v>Legger inspection hatch</x:v>
      </x:c>
      <x:c r="F613" s="4" t="str">
        <x:f>IFERROR(INDEX('Items'!$C$6:$C$1005,MATCH(D613,'Items'!$A$6:$A$1005,0)),"MISSING ID")</x:f>
        <x:v>T3</x:v>
      </x:c>
      <x:c r="G613" s="4" t="str">
        <x:f>IFERROR(INDEX('Items'!$D$6:$D$1005,MATCH(D613,'Items'!$A$6:$A$1005,0)),"MISSING ID")</x:f>
        <x:v>Crafting components</x:v>
      </x:c>
      <x:c r="H613" s="4" t="str">
        <x:f>IFERROR(INDEX('Items'!$X$6:$X$1005,MATCH(D613,'Items'!$A$6:$A$1005,0)),"MISSING ID")</x:f>
        <x:v>Crafting component</x:v>
      </x:c>
      <x:c r="I613" s="4"/>
      <x:c r="J613" s="4" t="str">
        <x:v>Unspecified</x:v>
      </x:c>
      <x:c r="K613" s="4" t="str">
        <x:f>IFERROR(INDEX('Crafting recipes'!$D$6:$D$1005,MATCH(B613,'Crafting recipes'!$A$6:$A$1005,0)),"MISSING ID")</x:f>
        <x:v>Proposal</x:v>
      </x:c>
      <x:c r="L613" s="4" t="str">
        <x:f>IFERROR(INDEX('Items'!$AD$6:$AD$1005,MATCH(D613,'Items'!$A$6:$A$1005,0)),"MISSING ID")</x:f>
        <x:v>Proposal</x:v>
      </x:c>
      <x:c r="M613" s="4" t="str">
        <x:f>IFERROR(INDEX('Crafting recipes'!$E$6:$E$1005,MATCH(B613,'Crafting recipes'!$A$6:$A$1005,0)),"MISSING ID")</x:f>
        <x:v>Partial proposal</x:v>
      </x:c>
      <x:c r="N613" s="4" t="str">
        <x:v>Candidate relationship only; quantity, yield and full recipe remain undefined.</x:v>
      </x:c>
      <x:c r="O613" s="4" t="str">
        <x:v>New October 15 tier-review proposal; user-authorized item audit and Docs/WORLD_BASIS.md. No source-canon or implemented-recipe claim.</x:v>
      </x:c>
      <x:c r="P613" s="4" t="n">
        <x:f>IF(OR(C613="Ingredient candidate",C613="Consumed input",C613="Contained input",C613="Transform input"),IF(F613="T0",0,IF(F613="T1",1,IF(F613="T2",2,IF(F613="T3",3,IF(F613="T4",4,-1))))),-1)</x:f>
        <x:v>-1</x:v>
      </x:c>
      <x:c r="Q613" s="4" t="n">
        <x:f>IF(AND(OR(C613="Ingredient candidate",C613="Consumed input",C613="Contained input",C613="Transform input"),P613=-1),1,0)</x:f>
        <x:v>0</x:v>
      </x:c>
    </x:row>
    <x:row r="614" ht="115" customHeight="1">
      <x:c r="A614" s="4" t="str">
        <x:v>design.review.proposal_legger_alignment_shims.in.1</x:v>
      </x:c>
      <x:c r="B614" s="4" t="str">
        <x:v>design.review.proposal_legger_alignment_shims</x:v>
      </x:c>
      <x:c r="C614" s="4" t="str">
        <x:v>Ingredient candidate</x:v>
      </x:c>
      <x:c r="D614" s="4" t="str">
        <x:v>author.metallurgy.steel_stock</x:v>
      </x:c>
      <x:c r="E614" s="4" t="str">
        <x:f>IFERROR(INDEX('Items'!$B$6:$B$1005,MATCH(D614,'Items'!$A$6:$A$1005,0)),"MISSING ID")</x:f>
        <x:v>Steel stock</x:v>
      </x:c>
      <x:c r="F614" s="4" t="str">
        <x:f>IFERROR(INDEX('Items'!$C$6:$C$1005,MATCH(D614,'Items'!$A$6:$A$1005,0)),"MISSING ID")</x:f>
        <x:v>T2</x:v>
      </x:c>
      <x:c r="G614" s="4" t="str">
        <x:f>IFERROR(INDEX('Items'!$D$6:$D$1005,MATCH(D614,'Items'!$A$6:$A$1005,0)),"MISSING ID")</x:f>
        <x:v>Manufactured stock</x:v>
      </x:c>
      <x:c r="H614" s="4" t="str">
        <x:f>IFERROR(INDEX('Items'!$X$6:$X$1005,MATCH(D614,'Items'!$A$6:$A$1005,0)),"MISSING ID")</x:f>
        <x:v>Processed material</x:v>
      </x:c>
      <x:c r="I614" s="4"/>
      <x:c r="J614" s="4" t="str">
        <x:v>Unspecified</x:v>
      </x:c>
      <x:c r="K614" s="4" t="str">
        <x:f>IFERROR(INDEX('Crafting recipes'!$D$6:$D$1005,MATCH(B614,'Crafting recipes'!$A$6:$A$1005,0)),"MISSING ID")</x:f>
        <x:v>Proposal</x:v>
      </x:c>
      <x:c r="L614" s="4" t="str">
        <x:f>IFERROR(INDEX('Items'!$AD$6:$AD$1005,MATCH(D614,'Items'!$A$6:$A$1005,0)),"MISSING ID")</x:f>
        <x:v>Author direction</x:v>
      </x:c>
      <x:c r="M614" s="4" t="str">
        <x:f>IFERROR(INDEX('Crafting recipes'!$E$6:$E$1005,MATCH(B614,'Crafting recipes'!$A$6:$A$1005,0)),"MISSING ID")</x:f>
        <x:v>Partial proposal</x:v>
      </x:c>
      <x:c r="N614" s="4" t="str">
        <x:v>Candidate relationship only; quantity, yield and full recipe remain undefined.</x:v>
      </x:c>
      <x:c r="O614" s="4" t="str">
        <x:v>New October 15 tier-review proposal; user-authorized item audit and Docs/WORLD_BASIS.md. No source-canon or implemented-recipe claim.</x:v>
      </x:c>
      <x:c r="P614" s="4" t="n">
        <x:f>IF(OR(C614="Ingredient candidate",C614="Consumed input",C614="Contained input",C614="Transform input"),IF(F614="T0",0,IF(F614="T1",1,IF(F614="T2",2,IF(F614="T3",3,IF(F614="T4",4,-1))))),-1)</x:f>
        <x:v>2</x:v>
      </x:c>
      <x:c r="Q614" s="4" t="n">
        <x:f>IF(AND(OR(C614="Ingredient candidate",C614="Consumed input",C614="Contained input",C614="Transform input"),P614=-1),1,0)</x:f>
        <x:v>0</x:v>
      </x:c>
    </x:row>
    <x:row r="615" ht="115" customHeight="1">
      <x:c r="A615" s="4" t="str">
        <x:v>design.review.proposal_legger_alignment_shims.in.2</x:v>
      </x:c>
      <x:c r="B615" s="4" t="str">
        <x:v>design.review.proposal_legger_alignment_shims</x:v>
      </x:c>
      <x:c r="C615" s="4" t="str">
        <x:v>Ingredient candidate</x:v>
      </x:c>
      <x:c r="D615" s="4" t="str">
        <x:v>proposal.natural.abrasive</x:v>
      </x:c>
      <x:c r="E615" s="4" t="str">
        <x:f>IFERROR(INDEX('Items'!$B$6:$B$1005,MATCH(D615,'Items'!$A$6:$A$1005,0)),"MISSING ID")</x:f>
        <x:v>Graded abrasive grit</x:v>
      </x:c>
      <x:c r="F615" s="4" t="str">
        <x:f>IFERROR(INDEX('Items'!$C$6:$C$1005,MATCH(D615,'Items'!$A$6:$A$1005,0)),"MISSING ID")</x:f>
        <x:v>T1</x:v>
      </x:c>
      <x:c r="G615" s="4" t="str">
        <x:f>IFERROR(INDEX('Items'!$D$6:$D$1005,MATCH(D615,'Items'!$A$6:$A$1005,0)),"MISSING ID")</x:f>
        <x:v>Manufactured stock</x:v>
      </x:c>
      <x:c r="H615" s="4" t="str">
        <x:f>IFERROR(INDEX('Items'!$X$6:$X$1005,MATCH(D615,'Items'!$A$6:$A$1005,0)),"MISSING ID")</x:f>
        <x:v>Processed material</x:v>
      </x:c>
      <x:c r="I615" s="4"/>
      <x:c r="J615" s="4" t="str">
        <x:v>Unspecified</x:v>
      </x:c>
      <x:c r="K615" s="4" t="str">
        <x:f>IFERROR(INDEX('Crafting recipes'!$D$6:$D$1005,MATCH(B615,'Crafting recipes'!$A$6:$A$1005,0)),"MISSING ID")</x:f>
        <x:v>Proposal</x:v>
      </x:c>
      <x:c r="L615" s="4" t="str">
        <x:f>IFERROR(INDEX('Items'!$AD$6:$AD$1005,MATCH(D615,'Items'!$A$6:$A$1005,0)),"MISSING ID")</x:f>
        <x:v>Proposal</x:v>
      </x:c>
      <x:c r="M615" s="4" t="str">
        <x:f>IFERROR(INDEX('Crafting recipes'!$E$6:$E$1005,MATCH(B615,'Crafting recipes'!$A$6:$A$1005,0)),"MISSING ID")</x:f>
        <x:v>Partial proposal</x:v>
      </x:c>
      <x:c r="N615" s="4" t="str">
        <x:v>Candidate relationship only; quantity, yield and full recipe remain undefined.</x:v>
      </x:c>
      <x:c r="O615" s="4" t="str">
        <x:v>New October 15 tier-review proposal; user-authorized item audit and Docs/WORLD_BASIS.md. No source-canon or implemented-recipe claim.</x:v>
      </x:c>
      <x:c r="P615" s="4" t="n">
        <x:f>IF(OR(C615="Ingredient candidate",C615="Consumed input",C615="Contained input",C615="Transform input"),IF(F615="T0",0,IF(F615="T1",1,IF(F615="T2",2,IF(F615="T3",3,IF(F615="T4",4,-1))))),-1)</x:f>
        <x:v>1</x:v>
      </x:c>
      <x:c r="Q615" s="4" t="n">
        <x:f>IF(AND(OR(C615="Ingredient candidate",C615="Consumed input",C615="Contained input",C615="Transform input"),P615=-1),1,0)</x:f>
        <x:v>0</x:v>
      </x:c>
    </x:row>
    <x:row r="616" ht="115" customHeight="1">
      <x:c r="A616" s="4" t="str">
        <x:v>design.review.proposal_legger_alignment_shims.out</x:v>
      </x:c>
      <x:c r="B616" s="4" t="str">
        <x:v>design.review.proposal_legger_alignment_shims</x:v>
      </x:c>
      <x:c r="C616" s="4" t="str">
        <x:v>Output</x:v>
      </x:c>
      <x:c r="D616" s="4" t="str">
        <x:v>proposal.legger.alignment_shims</x:v>
      </x:c>
      <x:c r="E616" s="4" t="str">
        <x:f>IFERROR(INDEX('Items'!$B$6:$B$1005,MATCH(D616,'Items'!$A$6:$A$1005,0)),"MISSING ID")</x:f>
        <x:v>Chassis alignment-shim set</x:v>
      </x:c>
      <x:c r="F616" s="4" t="str">
        <x:f>IFERROR(INDEX('Items'!$C$6:$C$1005,MATCH(D616,'Items'!$A$6:$A$1005,0)),"MISSING ID")</x:f>
        <x:v>T3</x:v>
      </x:c>
      <x:c r="G616" s="4" t="str">
        <x:f>IFERROR(INDEX('Items'!$D$6:$D$1005,MATCH(D616,'Items'!$A$6:$A$1005,0)),"MISSING ID")</x:f>
        <x:v>Crafting components</x:v>
      </x:c>
      <x:c r="H616" s="4" t="str">
        <x:f>IFERROR(INDEX('Items'!$X$6:$X$1005,MATCH(D616,'Items'!$A$6:$A$1005,0)),"MISSING ID")</x:f>
        <x:v>Crafting component</x:v>
      </x:c>
      <x:c r="I616" s="4"/>
      <x:c r="J616" s="4" t="str">
        <x:v>Unspecified</x:v>
      </x:c>
      <x:c r="K616" s="4" t="str">
        <x:f>IFERROR(INDEX('Crafting recipes'!$D$6:$D$1005,MATCH(B616,'Crafting recipes'!$A$6:$A$1005,0)),"MISSING ID")</x:f>
        <x:v>Proposal</x:v>
      </x:c>
      <x:c r="L616" s="4" t="str">
        <x:f>IFERROR(INDEX('Items'!$AD$6:$AD$1005,MATCH(D616,'Items'!$A$6:$A$1005,0)),"MISSING ID")</x:f>
        <x:v>Proposal</x:v>
      </x:c>
      <x:c r="M616" s="4" t="str">
        <x:f>IFERROR(INDEX('Crafting recipes'!$E$6:$E$1005,MATCH(B616,'Crafting recipes'!$A$6:$A$1005,0)),"MISSING ID")</x:f>
        <x:v>Partial proposal</x:v>
      </x:c>
      <x:c r="N616" s="4" t="str">
        <x:v>Candidate relationship only; quantity, yield and full recipe remain undefined.</x:v>
      </x:c>
      <x:c r="O616" s="4" t="str">
        <x:v>New October 15 tier-review proposal; user-authorized item audit and Docs/WORLD_BASIS.md. No source-canon or implemented-recipe claim.</x:v>
      </x:c>
      <x:c r="P616" s="4" t="n">
        <x:f>IF(OR(C616="Ingredient candidate",C616="Consumed input",C616="Contained input",C616="Transform input"),IF(F616="T0",0,IF(F616="T1",1,IF(F616="T2",2,IF(F616="T3",3,IF(F616="T4",4,-1))))),-1)</x:f>
        <x:v>-1</x:v>
      </x:c>
      <x:c r="Q616" s="4" t="n">
        <x:f>IF(AND(OR(C616="Ingredient candidate",C616="Consumed input",C616="Contained input",C616="Transform input"),P616=-1),1,0)</x:f>
        <x:v>0</x:v>
      </x:c>
    </x:row>
    <x:row r="617" ht="115" customHeight="1">
      <x:c r="A617" s="4" t="str">
        <x:v>design.review.proposal_legger_joint_pin.in.1</x:v>
      </x:c>
      <x:c r="B617" s="4" t="str">
        <x:v>design.review.proposal_legger_joint_pin</x:v>
      </x:c>
      <x:c r="C617" s="4" t="str">
        <x:v>Ingredient candidate</x:v>
      </x:c>
      <x:c r="D617" s="4" t="str">
        <x:v>author.metallurgy.steel_stock</x:v>
      </x:c>
      <x:c r="E617" s="4" t="str">
        <x:f>IFERROR(INDEX('Items'!$B$6:$B$1005,MATCH(D617,'Items'!$A$6:$A$1005,0)),"MISSING ID")</x:f>
        <x:v>Steel stock</x:v>
      </x:c>
      <x:c r="F617" s="4" t="str">
        <x:f>IFERROR(INDEX('Items'!$C$6:$C$1005,MATCH(D617,'Items'!$A$6:$A$1005,0)),"MISSING ID")</x:f>
        <x:v>T2</x:v>
      </x:c>
      <x:c r="G617" s="4" t="str">
        <x:f>IFERROR(INDEX('Items'!$D$6:$D$1005,MATCH(D617,'Items'!$A$6:$A$1005,0)),"MISSING ID")</x:f>
        <x:v>Manufactured stock</x:v>
      </x:c>
      <x:c r="H617" s="4" t="str">
        <x:f>IFERROR(INDEX('Items'!$X$6:$X$1005,MATCH(D617,'Items'!$A$6:$A$1005,0)),"MISSING ID")</x:f>
        <x:v>Processed material</x:v>
      </x:c>
      <x:c r="I617" s="4"/>
      <x:c r="J617" s="4" t="str">
        <x:v>Unspecified</x:v>
      </x:c>
      <x:c r="K617" s="4" t="str">
        <x:f>IFERROR(INDEX('Crafting recipes'!$D$6:$D$1005,MATCH(B617,'Crafting recipes'!$A$6:$A$1005,0)),"MISSING ID")</x:f>
        <x:v>Proposal</x:v>
      </x:c>
      <x:c r="L617" s="4" t="str">
        <x:f>IFERROR(INDEX('Items'!$AD$6:$AD$1005,MATCH(D617,'Items'!$A$6:$A$1005,0)),"MISSING ID")</x:f>
        <x:v>Author direction</x:v>
      </x:c>
      <x:c r="M617" s="4" t="str">
        <x:f>IFERROR(INDEX('Crafting recipes'!$E$6:$E$1005,MATCH(B617,'Crafting recipes'!$A$6:$A$1005,0)),"MISSING ID")</x:f>
        <x:v>Partial proposal</x:v>
      </x:c>
      <x:c r="N617" s="4" t="str">
        <x:v>Candidate relationship only; quantity, yield and full recipe remain undefined.</x:v>
      </x:c>
      <x:c r="O617" s="4" t="str">
        <x:v>New October 15 tier-review proposal; user-authorized item audit and Docs/WORLD_BASIS.md. No source-canon or implemented-recipe claim.</x:v>
      </x:c>
      <x:c r="P617" s="4" t="n">
        <x:f>IF(OR(C617="Ingredient candidate",C617="Consumed input",C617="Contained input",C617="Transform input"),IF(F617="T0",0,IF(F617="T1",1,IF(F617="T2",2,IF(F617="T3",3,IF(F617="T4",4,-1))))),-1)</x:f>
        <x:v>2</x:v>
      </x:c>
      <x:c r="Q617" s="4" t="n">
        <x:f>IF(AND(OR(C617="Ingredient candidate",C617="Consumed input",C617="Contained input",C617="Transform input"),P617=-1),1,0)</x:f>
        <x:v>0</x:v>
      </x:c>
    </x:row>
    <x:row r="618" ht="115" customHeight="1">
      <x:c r="A618" s="4" t="str">
        <x:v>design.review.proposal_legger_joint_pin.in.2</x:v>
      </x:c>
      <x:c r="B618" s="4" t="str">
        <x:v>design.review.proposal_legger_joint_pin</x:v>
      </x:c>
      <x:c r="C618" s="4" t="str">
        <x:v>Ingredient candidate</x:v>
      </x:c>
      <x:c r="D618" s="4" t="str">
        <x:v>proposal.natural.abrasive</x:v>
      </x:c>
      <x:c r="E618" s="4" t="str">
        <x:f>IFERROR(INDEX('Items'!$B$6:$B$1005,MATCH(D618,'Items'!$A$6:$A$1005,0)),"MISSING ID")</x:f>
        <x:v>Graded abrasive grit</x:v>
      </x:c>
      <x:c r="F618" s="4" t="str">
        <x:f>IFERROR(INDEX('Items'!$C$6:$C$1005,MATCH(D618,'Items'!$A$6:$A$1005,0)),"MISSING ID")</x:f>
        <x:v>T1</x:v>
      </x:c>
      <x:c r="G618" s="4" t="str">
        <x:f>IFERROR(INDEX('Items'!$D$6:$D$1005,MATCH(D618,'Items'!$A$6:$A$1005,0)),"MISSING ID")</x:f>
        <x:v>Manufactured stock</x:v>
      </x:c>
      <x:c r="H618" s="4" t="str">
        <x:f>IFERROR(INDEX('Items'!$X$6:$X$1005,MATCH(D618,'Items'!$A$6:$A$1005,0)),"MISSING ID")</x:f>
        <x:v>Processed material</x:v>
      </x:c>
      <x:c r="I618" s="4"/>
      <x:c r="J618" s="4" t="str">
        <x:v>Unspecified</x:v>
      </x:c>
      <x:c r="K618" s="4" t="str">
        <x:f>IFERROR(INDEX('Crafting recipes'!$D$6:$D$1005,MATCH(B618,'Crafting recipes'!$A$6:$A$1005,0)),"MISSING ID")</x:f>
        <x:v>Proposal</x:v>
      </x:c>
      <x:c r="L618" s="4" t="str">
        <x:f>IFERROR(INDEX('Items'!$AD$6:$AD$1005,MATCH(D618,'Items'!$A$6:$A$1005,0)),"MISSING ID")</x:f>
        <x:v>Proposal</x:v>
      </x:c>
      <x:c r="M618" s="4" t="str">
        <x:f>IFERROR(INDEX('Crafting recipes'!$E$6:$E$1005,MATCH(B618,'Crafting recipes'!$A$6:$A$1005,0)),"MISSING ID")</x:f>
        <x:v>Partial proposal</x:v>
      </x:c>
      <x:c r="N618" s="4" t="str">
        <x:v>Candidate relationship only; quantity, yield and full recipe remain undefined.</x:v>
      </x:c>
      <x:c r="O618" s="4" t="str">
        <x:v>New October 15 tier-review proposal; user-authorized item audit and Docs/WORLD_BASIS.md. No source-canon or implemented-recipe claim.</x:v>
      </x:c>
      <x:c r="P618" s="4" t="n">
        <x:f>IF(OR(C618="Ingredient candidate",C618="Consumed input",C618="Contained input",C618="Transform input"),IF(F618="T0",0,IF(F618="T1",1,IF(F618="T2",2,IF(F618="T3",3,IF(F618="T4",4,-1))))),-1)</x:f>
        <x:v>1</x:v>
      </x:c>
      <x:c r="Q618" s="4" t="n">
        <x:f>IF(AND(OR(C618="Ingredient candidate",C618="Consumed input",C618="Contained input",C618="Transform input"),P618=-1),1,0)</x:f>
        <x:v>0</x:v>
      </x:c>
    </x:row>
    <x:row r="619" ht="115" customHeight="1">
      <x:c r="A619" s="4" t="str">
        <x:v>design.review.proposal_legger_joint_pin.out</x:v>
      </x:c>
      <x:c r="B619" s="4" t="str">
        <x:v>design.review.proposal_legger_joint_pin</x:v>
      </x:c>
      <x:c r="C619" s="4" t="str">
        <x:v>Output</x:v>
      </x:c>
      <x:c r="D619" s="4" t="str">
        <x:v>proposal.legger.joint_pin</x:v>
      </x:c>
      <x:c r="E619" s="4" t="str">
        <x:f>IFERROR(INDEX('Items'!$B$6:$B$1005,MATCH(D619,'Items'!$A$6:$A$1005,0)),"MISSING ID")</x:f>
        <x:v>Replaceable joint pin</x:v>
      </x:c>
      <x:c r="F619" s="4" t="str">
        <x:f>IFERROR(INDEX('Items'!$C$6:$C$1005,MATCH(D619,'Items'!$A$6:$A$1005,0)),"MISSING ID")</x:f>
        <x:v>T3</x:v>
      </x:c>
      <x:c r="G619" s="4" t="str">
        <x:f>IFERROR(INDEX('Items'!$D$6:$D$1005,MATCH(D619,'Items'!$A$6:$A$1005,0)),"MISSING ID")</x:f>
        <x:v>Crafting components</x:v>
      </x:c>
      <x:c r="H619" s="4" t="str">
        <x:f>IFERROR(INDEX('Items'!$X$6:$X$1005,MATCH(D619,'Items'!$A$6:$A$1005,0)),"MISSING ID")</x:f>
        <x:v>Crafting component</x:v>
      </x:c>
      <x:c r="I619" s="4"/>
      <x:c r="J619" s="4" t="str">
        <x:v>Unspecified</x:v>
      </x:c>
      <x:c r="K619" s="4" t="str">
        <x:f>IFERROR(INDEX('Crafting recipes'!$D$6:$D$1005,MATCH(B619,'Crafting recipes'!$A$6:$A$1005,0)),"MISSING ID")</x:f>
        <x:v>Proposal</x:v>
      </x:c>
      <x:c r="L619" s="4" t="str">
        <x:f>IFERROR(INDEX('Items'!$AD$6:$AD$1005,MATCH(D619,'Items'!$A$6:$A$1005,0)),"MISSING ID")</x:f>
        <x:v>Proposal</x:v>
      </x:c>
      <x:c r="M619" s="4" t="str">
        <x:f>IFERROR(INDEX('Crafting recipes'!$E$6:$E$1005,MATCH(B619,'Crafting recipes'!$A$6:$A$1005,0)),"MISSING ID")</x:f>
        <x:v>Partial proposal</x:v>
      </x:c>
      <x:c r="N619" s="4" t="str">
        <x:v>Candidate relationship only; quantity, yield and full recipe remain undefined.</x:v>
      </x:c>
      <x:c r="O619" s="4" t="str">
        <x:v>New October 15 tier-review proposal; user-authorized item audit and Docs/WORLD_BASIS.md. No source-canon or implemented-recipe claim.</x:v>
      </x:c>
      <x:c r="P619" s="4" t="n">
        <x:f>IF(OR(C619="Ingredient candidate",C619="Consumed input",C619="Contained input",C619="Transform input"),IF(F619="T0",0,IF(F619="T1",1,IF(F619="T2",2,IF(F619="T3",3,IF(F619="T4",4,-1))))),-1)</x:f>
        <x:v>-1</x:v>
      </x:c>
      <x:c r="Q619" s="4" t="n">
        <x:f>IF(AND(OR(C619="Ingredient candidate",C619="Consumed input",C619="Contained input",C619="Transform input"),P619=-1),1,0)</x:f>
        <x:v>0</x:v>
      </x:c>
    </x:row>
    <x:row r="620" ht="115" customHeight="1">
      <x:c r="A620" s="4" t="str">
        <x:v>design.review.proposal_legger_thrust_washer.in.1</x:v>
      </x:c>
      <x:c r="B620" s="4" t="str">
        <x:v>design.review.proposal_legger_thrust_washer</x:v>
      </x:c>
      <x:c r="C620" s="4" t="str">
        <x:v>Ingredient candidate</x:v>
      </x:c>
      <x:c r="D620" s="4" t="str">
        <x:v>proposal.branch.bearing_bronze</x:v>
      </x:c>
      <x:c r="E620" s="4" t="str">
        <x:f>IFERROR(INDEX('Items'!$B$6:$B$1005,MATCH(D620,'Items'!$A$6:$A$1005,0)),"MISSING ID")</x:f>
        <x:v>Prepared bronze bearing stock</x:v>
      </x:c>
      <x:c r="F620" s="4" t="str">
        <x:f>IFERROR(INDEX('Items'!$C$6:$C$1005,MATCH(D620,'Items'!$A$6:$A$1005,0)),"MISSING ID")</x:f>
        <x:v>T2</x:v>
      </x:c>
      <x:c r="G620" s="4" t="str">
        <x:f>IFERROR(INDEX('Items'!$D$6:$D$1005,MATCH(D620,'Items'!$A$6:$A$1005,0)),"MISSING ID")</x:f>
        <x:v>Manufactured stock</x:v>
      </x:c>
      <x:c r="H620" s="4" t="str">
        <x:f>IFERROR(INDEX('Items'!$X$6:$X$1005,MATCH(D620,'Items'!$A$6:$A$1005,0)),"MISSING ID")</x:f>
        <x:v>Processed material</x:v>
      </x:c>
      <x:c r="I620" s="4"/>
      <x:c r="J620" s="4" t="str">
        <x:v>Unspecified</x:v>
      </x:c>
      <x:c r="K620" s="4" t="str">
        <x:f>IFERROR(INDEX('Crafting recipes'!$D$6:$D$1005,MATCH(B620,'Crafting recipes'!$A$6:$A$1005,0)),"MISSING ID")</x:f>
        <x:v>Proposal</x:v>
      </x:c>
      <x:c r="L620" s="4" t="str">
        <x:f>IFERROR(INDEX('Items'!$AD$6:$AD$1005,MATCH(D620,'Items'!$A$6:$A$1005,0)),"MISSING ID")</x:f>
        <x:v>Proposal</x:v>
      </x:c>
      <x:c r="M620" s="4" t="str">
        <x:f>IFERROR(INDEX('Crafting recipes'!$E$6:$E$1005,MATCH(B620,'Crafting recipes'!$A$6:$A$1005,0)),"MISSING ID")</x:f>
        <x:v>Partial proposal</x:v>
      </x:c>
      <x:c r="N620" s="4" t="str">
        <x:v>Candidate relationship only; quantity, yield and full recipe remain undefined.</x:v>
      </x:c>
      <x:c r="O620" s="4" t="str">
        <x:v>New October 15 tier-review proposal; user-authorized item audit and Docs/WORLD_BASIS.md. No source-canon or implemented-recipe claim.</x:v>
      </x:c>
      <x:c r="P620" s="4" t="n">
        <x:f>IF(OR(C620="Ingredient candidate",C620="Consumed input",C620="Contained input",C620="Transform input"),IF(F620="T0",0,IF(F620="T1",1,IF(F620="T2",2,IF(F620="T3",3,IF(F620="T4",4,-1))))),-1)</x:f>
        <x:v>2</x:v>
      </x:c>
      <x:c r="Q620" s="4" t="n">
        <x:f>IF(AND(OR(C620="Ingredient candidate",C620="Consumed input",C620="Contained input",C620="Transform input"),P620=-1),1,0)</x:f>
        <x:v>0</x:v>
      </x:c>
    </x:row>
    <x:row r="621" ht="115" customHeight="1">
      <x:c r="A621" s="4" t="str">
        <x:v>design.review.proposal_legger_thrust_washer.in.2</x:v>
      </x:c>
      <x:c r="B621" s="4" t="str">
        <x:v>design.review.proposal_legger_thrust_washer</x:v>
      </x:c>
      <x:c r="C621" s="4" t="str">
        <x:v>Ingredient candidate</x:v>
      </x:c>
      <x:c r="D621" s="4" t="str">
        <x:v>proposal.natural.abrasive</x:v>
      </x:c>
      <x:c r="E621" s="4" t="str">
        <x:f>IFERROR(INDEX('Items'!$B$6:$B$1005,MATCH(D621,'Items'!$A$6:$A$1005,0)),"MISSING ID")</x:f>
        <x:v>Graded abrasive grit</x:v>
      </x:c>
      <x:c r="F621" s="4" t="str">
        <x:f>IFERROR(INDEX('Items'!$C$6:$C$1005,MATCH(D621,'Items'!$A$6:$A$1005,0)),"MISSING ID")</x:f>
        <x:v>T1</x:v>
      </x:c>
      <x:c r="G621" s="4" t="str">
        <x:f>IFERROR(INDEX('Items'!$D$6:$D$1005,MATCH(D621,'Items'!$A$6:$A$1005,0)),"MISSING ID")</x:f>
        <x:v>Manufactured stock</x:v>
      </x:c>
      <x:c r="H621" s="4" t="str">
        <x:f>IFERROR(INDEX('Items'!$X$6:$X$1005,MATCH(D621,'Items'!$A$6:$A$1005,0)),"MISSING ID")</x:f>
        <x:v>Processed material</x:v>
      </x:c>
      <x:c r="I621" s="4"/>
      <x:c r="J621" s="4" t="str">
        <x:v>Unspecified</x:v>
      </x:c>
      <x:c r="K621" s="4" t="str">
        <x:f>IFERROR(INDEX('Crafting recipes'!$D$6:$D$1005,MATCH(B621,'Crafting recipes'!$A$6:$A$1005,0)),"MISSING ID")</x:f>
        <x:v>Proposal</x:v>
      </x:c>
      <x:c r="L621" s="4" t="str">
        <x:f>IFERROR(INDEX('Items'!$AD$6:$AD$1005,MATCH(D621,'Items'!$A$6:$A$1005,0)),"MISSING ID")</x:f>
        <x:v>Proposal</x:v>
      </x:c>
      <x:c r="M621" s="4" t="str">
        <x:f>IFERROR(INDEX('Crafting recipes'!$E$6:$E$1005,MATCH(B621,'Crafting recipes'!$A$6:$A$1005,0)),"MISSING ID")</x:f>
        <x:v>Partial proposal</x:v>
      </x:c>
      <x:c r="N621" s="4" t="str">
        <x:v>Candidate relationship only; quantity, yield and full recipe remain undefined.</x:v>
      </x:c>
      <x:c r="O621" s="4" t="str">
        <x:v>New October 15 tier-review proposal; user-authorized item audit and Docs/WORLD_BASIS.md. No source-canon or implemented-recipe claim.</x:v>
      </x:c>
      <x:c r="P621" s="4" t="n">
        <x:f>IF(OR(C621="Ingredient candidate",C621="Consumed input",C621="Contained input",C621="Transform input"),IF(F621="T0",0,IF(F621="T1",1,IF(F621="T2",2,IF(F621="T3",3,IF(F621="T4",4,-1))))),-1)</x:f>
        <x:v>1</x:v>
      </x:c>
      <x:c r="Q621" s="4" t="n">
        <x:f>IF(AND(OR(C621="Ingredient candidate",C621="Consumed input",C621="Contained input",C621="Transform input"),P621=-1),1,0)</x:f>
        <x:v>0</x:v>
      </x:c>
    </x:row>
    <x:row r="622" ht="115" customHeight="1">
      <x:c r="A622" s="4" t="str">
        <x:v>design.review.proposal_legger_thrust_washer.out</x:v>
      </x:c>
      <x:c r="B622" s="4" t="str">
        <x:v>design.review.proposal_legger_thrust_washer</x:v>
      </x:c>
      <x:c r="C622" s="4" t="str">
        <x:v>Output</x:v>
      </x:c>
      <x:c r="D622" s="4" t="str">
        <x:v>proposal.legger.thrust_washer</x:v>
      </x:c>
      <x:c r="E622" s="4" t="str">
        <x:f>IFERROR(INDEX('Items'!$B$6:$B$1005,MATCH(D622,'Items'!$A$6:$A$1005,0)),"MISSING ID")</x:f>
        <x:v>Joint thrust washer</x:v>
      </x:c>
      <x:c r="F622" s="4" t="str">
        <x:f>IFERROR(INDEX('Items'!$C$6:$C$1005,MATCH(D622,'Items'!$A$6:$A$1005,0)),"MISSING ID")</x:f>
        <x:v>T3</x:v>
      </x:c>
      <x:c r="G622" s="4" t="str">
        <x:f>IFERROR(INDEX('Items'!$D$6:$D$1005,MATCH(D622,'Items'!$A$6:$A$1005,0)),"MISSING ID")</x:f>
        <x:v>Crafting components</x:v>
      </x:c>
      <x:c r="H622" s="4" t="str">
        <x:f>IFERROR(INDEX('Items'!$X$6:$X$1005,MATCH(D622,'Items'!$A$6:$A$1005,0)),"MISSING ID")</x:f>
        <x:v>Crafting component</x:v>
      </x:c>
      <x:c r="I622" s="4"/>
      <x:c r="J622" s="4" t="str">
        <x:v>Unspecified</x:v>
      </x:c>
      <x:c r="K622" s="4" t="str">
        <x:f>IFERROR(INDEX('Crafting recipes'!$D$6:$D$1005,MATCH(B622,'Crafting recipes'!$A$6:$A$1005,0)),"MISSING ID")</x:f>
        <x:v>Proposal</x:v>
      </x:c>
      <x:c r="L622" s="4" t="str">
        <x:f>IFERROR(INDEX('Items'!$AD$6:$AD$1005,MATCH(D622,'Items'!$A$6:$A$1005,0)),"MISSING ID")</x:f>
        <x:v>Proposal</x:v>
      </x:c>
      <x:c r="M622" s="4" t="str">
        <x:f>IFERROR(INDEX('Crafting recipes'!$E$6:$E$1005,MATCH(B622,'Crafting recipes'!$A$6:$A$1005,0)),"MISSING ID")</x:f>
        <x:v>Partial proposal</x:v>
      </x:c>
      <x:c r="N622" s="4" t="str">
        <x:v>Candidate relationship only; quantity, yield and full recipe remain undefined.</x:v>
      </x:c>
      <x:c r="O622" s="4" t="str">
        <x:v>New October 15 tier-review proposal; user-authorized item audit and Docs/WORLD_BASIS.md. No source-canon or implemented-recipe claim.</x:v>
      </x:c>
      <x:c r="P622" s="4" t="n">
        <x:f>IF(OR(C622="Ingredient candidate",C622="Consumed input",C622="Contained input",C622="Transform input"),IF(F622="T0",0,IF(F622="T1",1,IF(F622="T2",2,IF(F622="T3",3,IF(F622="T4",4,-1))))),-1)</x:f>
        <x:v>-1</x:v>
      </x:c>
      <x:c r="Q622" s="4" t="n">
        <x:f>IF(AND(OR(C622="Ingredient candidate",C622="Consumed input",C622="Contained input",C622="Transform input"),P622=-1),1,0)</x:f>
        <x:v>0</x:v>
      </x:c>
    </x:row>
    <x:row r="623" ht="115" customHeight="1">
      <x:c r="A623" s="4" t="str">
        <x:v>design.review.proposal_legger_gear_cluster.in.1</x:v>
      </x:c>
      <x:c r="B623" s="4" t="str">
        <x:v>design.review.proposal_legger_gear_cluster</x:v>
      </x:c>
      <x:c r="C623" s="4" t="str">
        <x:v>Ingredient candidate</x:v>
      </x:c>
      <x:c r="D623" s="4" t="str">
        <x:v>proposal.t3.gear_blank</x:v>
      </x:c>
      <x:c r="E623" s="4" t="str">
        <x:f>IFERROR(INDEX('Items'!$B$6:$B$1005,MATCH(D623,'Items'!$A$6:$A$1005,0)),"MISSING ID")</x:f>
        <x:v>Heat-treated steel gear blanks</x:v>
      </x:c>
      <x:c r="F623" s="4" t="str">
        <x:f>IFERROR(INDEX('Items'!$C$6:$C$1005,MATCH(D623,'Items'!$A$6:$A$1005,0)),"MISSING ID")</x:f>
        <x:v>T3</x:v>
      </x:c>
      <x:c r="G623" s="4" t="str">
        <x:f>IFERROR(INDEX('Items'!$D$6:$D$1005,MATCH(D623,'Items'!$A$6:$A$1005,0)),"MISSING ID")</x:f>
        <x:v>Crafting components</x:v>
      </x:c>
      <x:c r="H623" s="4" t="str">
        <x:f>IFERROR(INDEX('Items'!$X$6:$X$1005,MATCH(D623,'Items'!$A$6:$A$1005,0)),"MISSING ID")</x:f>
        <x:v>Crafting component</x:v>
      </x:c>
      <x:c r="I623" s="4"/>
      <x:c r="J623" s="4" t="str">
        <x:v>Unspecified</x:v>
      </x:c>
      <x:c r="K623" s="4" t="str">
        <x:f>IFERROR(INDEX('Crafting recipes'!$D$6:$D$1005,MATCH(B623,'Crafting recipes'!$A$6:$A$1005,0)),"MISSING ID")</x:f>
        <x:v>Proposal</x:v>
      </x:c>
      <x:c r="L623" s="4" t="str">
        <x:f>IFERROR(INDEX('Items'!$AD$6:$AD$1005,MATCH(D623,'Items'!$A$6:$A$1005,0)),"MISSING ID")</x:f>
        <x:v>Proposal</x:v>
      </x:c>
      <x:c r="M623" s="4" t="str">
        <x:f>IFERROR(INDEX('Crafting recipes'!$E$6:$E$1005,MATCH(B623,'Crafting recipes'!$A$6:$A$1005,0)),"MISSING ID")</x:f>
        <x:v>Partial proposal</x:v>
      </x:c>
      <x:c r="N623" s="4" t="str">
        <x:v>Candidate relationship only; quantity, yield and full recipe remain undefined.</x:v>
      </x:c>
      <x:c r="O623" s="4" t="str">
        <x:v>New October 15 tier-review proposal; user-authorized item audit and Docs/WORLD_BASIS.md. No source-canon or implemented-recipe claim.</x:v>
      </x:c>
      <x:c r="P623" s="4" t="n">
        <x:f>IF(OR(C623="Ingredient candidate",C623="Consumed input",C623="Contained input",C623="Transform input"),IF(F623="T0",0,IF(F623="T1",1,IF(F623="T2",2,IF(F623="T3",3,IF(F623="T4",4,-1))))),-1)</x:f>
        <x:v>3</x:v>
      </x:c>
      <x:c r="Q623" s="4" t="n">
        <x:f>IF(AND(OR(C623="Ingredient candidate",C623="Consumed input",C623="Contained input",C623="Transform input"),P623=-1),1,0)</x:f>
        <x:v>0</x:v>
      </x:c>
    </x:row>
    <x:row r="624" ht="115" customHeight="1">
      <x:c r="A624" s="4" t="str">
        <x:v>design.review.proposal_legger_gear_cluster.in.2</x:v>
      </x:c>
      <x:c r="B624" s="4" t="str">
        <x:v>design.review.proposal_legger_gear_cluster</x:v>
      </x:c>
      <x:c r="C624" s="4" t="str">
        <x:v>Ingredient candidate</x:v>
      </x:c>
      <x:c r="D624" s="4" t="str">
        <x:v>author.metallurgy.steel_stock</x:v>
      </x:c>
      <x:c r="E624" s="4" t="str">
        <x:f>IFERROR(INDEX('Items'!$B$6:$B$1005,MATCH(D624,'Items'!$A$6:$A$1005,0)),"MISSING ID")</x:f>
        <x:v>Steel stock</x:v>
      </x:c>
      <x:c r="F624" s="4" t="str">
        <x:f>IFERROR(INDEX('Items'!$C$6:$C$1005,MATCH(D624,'Items'!$A$6:$A$1005,0)),"MISSING ID")</x:f>
        <x:v>T2</x:v>
      </x:c>
      <x:c r="G624" s="4" t="str">
        <x:f>IFERROR(INDEX('Items'!$D$6:$D$1005,MATCH(D624,'Items'!$A$6:$A$1005,0)),"MISSING ID")</x:f>
        <x:v>Manufactured stock</x:v>
      </x:c>
      <x:c r="H624" s="4" t="str">
        <x:f>IFERROR(INDEX('Items'!$X$6:$X$1005,MATCH(D624,'Items'!$A$6:$A$1005,0)),"MISSING ID")</x:f>
        <x:v>Processed material</x:v>
      </x:c>
      <x:c r="I624" s="4"/>
      <x:c r="J624" s="4" t="str">
        <x:v>Unspecified</x:v>
      </x:c>
      <x:c r="K624" s="4" t="str">
        <x:f>IFERROR(INDEX('Crafting recipes'!$D$6:$D$1005,MATCH(B624,'Crafting recipes'!$A$6:$A$1005,0)),"MISSING ID")</x:f>
        <x:v>Proposal</x:v>
      </x:c>
      <x:c r="L624" s="4" t="str">
        <x:f>IFERROR(INDEX('Items'!$AD$6:$AD$1005,MATCH(D624,'Items'!$A$6:$A$1005,0)),"MISSING ID")</x:f>
        <x:v>Author direction</x:v>
      </x:c>
      <x:c r="M624" s="4" t="str">
        <x:f>IFERROR(INDEX('Crafting recipes'!$E$6:$E$1005,MATCH(B624,'Crafting recipes'!$A$6:$A$1005,0)),"MISSING ID")</x:f>
        <x:v>Partial proposal</x:v>
      </x:c>
      <x:c r="N624" s="4" t="str">
        <x:v>Candidate relationship only; quantity, yield and full recipe remain undefined.</x:v>
      </x:c>
      <x:c r="O624" s="4" t="str">
        <x:v>New October 15 tier-review proposal; user-authorized item audit and Docs/WORLD_BASIS.md. No source-canon or implemented-recipe claim.</x:v>
      </x:c>
      <x:c r="P624" s="4" t="n">
        <x:f>IF(OR(C624="Ingredient candidate",C624="Consumed input",C624="Contained input",C624="Transform input"),IF(F624="T0",0,IF(F624="T1",1,IF(F624="T2",2,IF(F624="T3",3,IF(F624="T4",4,-1))))),-1)</x:f>
        <x:v>2</x:v>
      </x:c>
      <x:c r="Q624" s="4" t="n">
        <x:f>IF(AND(OR(C624="Ingredient candidate",C624="Consumed input",C624="Contained input",C624="Transform input"),P624=-1),1,0)</x:f>
        <x:v>0</x:v>
      </x:c>
    </x:row>
    <x:row r="625" ht="115" customHeight="1">
      <x:c r="A625" s="4" t="str">
        <x:v>design.review.proposal_legger_gear_cluster.in.3</x:v>
      </x:c>
      <x:c r="B625" s="4" t="str">
        <x:v>design.review.proposal_legger_gear_cluster</x:v>
      </x:c>
      <x:c r="C625" s="4" t="str">
        <x:v>Ingredient candidate</x:v>
      </x:c>
      <x:c r="D625" s="4" t="str">
        <x:v>proposal.branch.bearing_bronze</x:v>
      </x:c>
      <x:c r="E625" s="4" t="str">
        <x:f>IFERROR(INDEX('Items'!$B$6:$B$1005,MATCH(D625,'Items'!$A$6:$A$1005,0)),"MISSING ID")</x:f>
        <x:v>Prepared bronze bearing stock</x:v>
      </x:c>
      <x:c r="F625" s="4" t="str">
        <x:f>IFERROR(INDEX('Items'!$C$6:$C$1005,MATCH(D625,'Items'!$A$6:$A$1005,0)),"MISSING ID")</x:f>
        <x:v>T2</x:v>
      </x:c>
      <x:c r="G625" s="4" t="str">
        <x:f>IFERROR(INDEX('Items'!$D$6:$D$1005,MATCH(D625,'Items'!$A$6:$A$1005,0)),"MISSING ID")</x:f>
        <x:v>Manufactured stock</x:v>
      </x:c>
      <x:c r="H625" s="4" t="str">
        <x:f>IFERROR(INDEX('Items'!$X$6:$X$1005,MATCH(D625,'Items'!$A$6:$A$1005,0)),"MISSING ID")</x:f>
        <x:v>Processed material</x:v>
      </x:c>
      <x:c r="I625" s="4"/>
      <x:c r="J625" s="4" t="str">
        <x:v>Unspecified</x:v>
      </x:c>
      <x:c r="K625" s="4" t="str">
        <x:f>IFERROR(INDEX('Crafting recipes'!$D$6:$D$1005,MATCH(B625,'Crafting recipes'!$A$6:$A$1005,0)),"MISSING ID")</x:f>
        <x:v>Proposal</x:v>
      </x:c>
      <x:c r="L625" s="4" t="str">
        <x:f>IFERROR(INDEX('Items'!$AD$6:$AD$1005,MATCH(D625,'Items'!$A$6:$A$1005,0)),"MISSING ID")</x:f>
        <x:v>Proposal</x:v>
      </x:c>
      <x:c r="M625" s="4" t="str">
        <x:f>IFERROR(INDEX('Crafting recipes'!$E$6:$E$1005,MATCH(B625,'Crafting recipes'!$A$6:$A$1005,0)),"MISSING ID")</x:f>
        <x:v>Partial proposal</x:v>
      </x:c>
      <x:c r="N625" s="4" t="str">
        <x:v>Candidate relationship only; quantity, yield and full recipe remain undefined.</x:v>
      </x:c>
      <x:c r="O625" s="4" t="str">
        <x:v>New October 15 tier-review proposal; user-authorized item audit and Docs/WORLD_BASIS.md. No source-canon or implemented-recipe claim.</x:v>
      </x:c>
      <x:c r="P625" s="4" t="n">
        <x:f>IF(OR(C625="Ingredient candidate",C625="Consumed input",C625="Contained input",C625="Transform input"),IF(F625="T0",0,IF(F625="T1",1,IF(F625="T2",2,IF(F625="T3",3,IF(F625="T4",4,-1))))),-1)</x:f>
        <x:v>2</x:v>
      </x:c>
      <x:c r="Q625" s="4" t="n">
        <x:f>IF(AND(OR(C625="Ingredient candidate",C625="Consumed input",C625="Contained input",C625="Transform input"),P625=-1),1,0)</x:f>
        <x:v>0</x:v>
      </x:c>
    </x:row>
    <x:row r="626" ht="115" customHeight="1">
      <x:c r="A626" s="4" t="str">
        <x:v>design.review.proposal_legger_gear_cluster.out</x:v>
      </x:c>
      <x:c r="B626" s="4" t="str">
        <x:v>design.review.proposal_legger_gear_cluster</x:v>
      </x:c>
      <x:c r="C626" s="4" t="str">
        <x:v>Output</x:v>
      </x:c>
      <x:c r="D626" s="4" t="str">
        <x:v>proposal.legger.gear_cluster</x:v>
      </x:c>
      <x:c r="E626" s="4" t="str">
        <x:f>IFERROR(INDEX('Items'!$B$6:$B$1005,MATCH(D626,'Items'!$A$6:$A$1005,0)),"MISSING ID")</x:f>
        <x:v>Replacement gear cluster</x:v>
      </x:c>
      <x:c r="F626" s="4" t="str">
        <x:f>IFERROR(INDEX('Items'!$C$6:$C$1005,MATCH(D626,'Items'!$A$6:$A$1005,0)),"MISSING ID")</x:f>
        <x:v>T4</x:v>
      </x:c>
      <x:c r="G626" s="4" t="str">
        <x:f>IFERROR(INDEX('Items'!$D$6:$D$1005,MATCH(D626,'Items'!$A$6:$A$1005,0)),"MISSING ID")</x:f>
        <x:v>Crafting components</x:v>
      </x:c>
      <x:c r="H626" s="4" t="str">
        <x:f>IFERROR(INDEX('Items'!$X$6:$X$1005,MATCH(D626,'Items'!$A$6:$A$1005,0)),"MISSING ID")</x:f>
        <x:v>Crafting component</x:v>
      </x:c>
      <x:c r="I626" s="4"/>
      <x:c r="J626" s="4" t="str">
        <x:v>Unspecified</x:v>
      </x:c>
      <x:c r="K626" s="4" t="str">
        <x:f>IFERROR(INDEX('Crafting recipes'!$D$6:$D$1005,MATCH(B626,'Crafting recipes'!$A$6:$A$1005,0)),"MISSING ID")</x:f>
        <x:v>Proposal</x:v>
      </x:c>
      <x:c r="L626" s="4" t="str">
        <x:f>IFERROR(INDEX('Items'!$AD$6:$AD$1005,MATCH(D626,'Items'!$A$6:$A$1005,0)),"MISSING ID")</x:f>
        <x:v>Proposal</x:v>
      </x:c>
      <x:c r="M626" s="4" t="str">
        <x:f>IFERROR(INDEX('Crafting recipes'!$E$6:$E$1005,MATCH(B626,'Crafting recipes'!$A$6:$A$1005,0)),"MISSING ID")</x:f>
        <x:v>Partial proposal</x:v>
      </x:c>
      <x:c r="N626" s="4" t="str">
        <x:v>Candidate relationship only; quantity, yield and full recipe remain undefined.</x:v>
      </x:c>
      <x:c r="O626" s="4" t="str">
        <x:v>New October 15 tier-review proposal; user-authorized item audit and Docs/WORLD_BASIS.md. No source-canon or implemented-recipe claim.</x:v>
      </x:c>
      <x:c r="P626" s="4" t="n">
        <x:f>IF(OR(C626="Ingredient candidate",C626="Consumed input",C626="Contained input",C626="Transform input"),IF(F626="T0",0,IF(F626="T1",1,IF(F626="T2",2,IF(F626="T3",3,IF(F626="T4",4,-1))))),-1)</x:f>
        <x:v>-1</x:v>
      </x:c>
      <x:c r="Q626" s="4" t="n">
        <x:f>IF(AND(OR(C626="Ingredient candidate",C626="Consumed input",C626="Contained input",C626="Transform input"),P626=-1),1,0)</x:f>
        <x:v>0</x:v>
      </x:c>
    </x:row>
    <x:row r="627" ht="115" customHeight="1">
      <x:c r="A627" s="4" t="str">
        <x:v>design.review.proposal_legger_linkage_end.in.1</x:v>
      </x:c>
      <x:c r="B627" s="4" t="str">
        <x:v>design.review.proposal_legger_linkage_end</x:v>
      </x:c>
      <x:c r="C627" s="4" t="str">
        <x:v>Ingredient candidate</x:v>
      </x:c>
      <x:c r="D627" s="4" t="str">
        <x:v>author.metallurgy.steel_stock</x:v>
      </x:c>
      <x:c r="E627" s="4" t="str">
        <x:f>IFERROR(INDEX('Items'!$B$6:$B$1005,MATCH(D627,'Items'!$A$6:$A$1005,0)),"MISSING ID")</x:f>
        <x:v>Steel stock</x:v>
      </x:c>
      <x:c r="F627" s="4" t="str">
        <x:f>IFERROR(INDEX('Items'!$C$6:$C$1005,MATCH(D627,'Items'!$A$6:$A$1005,0)),"MISSING ID")</x:f>
        <x:v>T2</x:v>
      </x:c>
      <x:c r="G627" s="4" t="str">
        <x:f>IFERROR(INDEX('Items'!$D$6:$D$1005,MATCH(D627,'Items'!$A$6:$A$1005,0)),"MISSING ID")</x:f>
        <x:v>Manufactured stock</x:v>
      </x:c>
      <x:c r="H627" s="4" t="str">
        <x:f>IFERROR(INDEX('Items'!$X$6:$X$1005,MATCH(D627,'Items'!$A$6:$A$1005,0)),"MISSING ID")</x:f>
        <x:v>Processed material</x:v>
      </x:c>
      <x:c r="I627" s="4"/>
      <x:c r="J627" s="4" t="str">
        <x:v>Unspecified</x:v>
      </x:c>
      <x:c r="K627" s="4" t="str">
        <x:f>IFERROR(INDEX('Crafting recipes'!$D$6:$D$1005,MATCH(B627,'Crafting recipes'!$A$6:$A$1005,0)),"MISSING ID")</x:f>
        <x:v>Proposal</x:v>
      </x:c>
      <x:c r="L627" s="4" t="str">
        <x:f>IFERROR(INDEX('Items'!$AD$6:$AD$1005,MATCH(D627,'Items'!$A$6:$A$1005,0)),"MISSING ID")</x:f>
        <x:v>Author direction</x:v>
      </x:c>
      <x:c r="M627" s="4" t="str">
        <x:f>IFERROR(INDEX('Crafting recipes'!$E$6:$E$1005,MATCH(B627,'Crafting recipes'!$A$6:$A$1005,0)),"MISSING ID")</x:f>
        <x:v>Partial proposal</x:v>
      </x:c>
      <x:c r="N627" s="4" t="str">
        <x:v>Candidate relationship only; quantity, yield and full recipe remain undefined.</x:v>
      </x:c>
      <x:c r="O627" s="4" t="str">
        <x:v>New October 15 tier-review proposal; user-authorized item audit and Docs/WORLD_BASIS.md. No source-canon or implemented-recipe claim.</x:v>
      </x:c>
      <x:c r="P627" s="4" t="n">
        <x:f>IF(OR(C627="Ingredient candidate",C627="Consumed input",C627="Contained input",C627="Transform input"),IF(F627="T0",0,IF(F627="T1",1,IF(F627="T2",2,IF(F627="T3",3,IF(F627="T4",4,-1))))),-1)</x:f>
        <x:v>2</x:v>
      </x:c>
      <x:c r="Q627" s="4" t="n">
        <x:f>IF(AND(OR(C627="Ingredient candidate",C627="Consumed input",C627="Contained input",C627="Transform input"),P627=-1),1,0)</x:f>
        <x:v>0</x:v>
      </x:c>
    </x:row>
    <x:row r="628" ht="115" customHeight="1">
      <x:c r="A628" s="4" t="str">
        <x:v>design.review.proposal_legger_linkage_end.in.2</x:v>
      </x:c>
      <x:c r="B628" s="4" t="str">
        <x:v>design.review.proposal_legger_linkage_end</x:v>
      </x:c>
      <x:c r="C628" s="4" t="str">
        <x:v>Ingredient candidate</x:v>
      </x:c>
      <x:c r="D628" s="4" t="str">
        <x:v>proposal.branch.bearing_bronze</x:v>
      </x:c>
      <x:c r="E628" s="4" t="str">
        <x:f>IFERROR(INDEX('Items'!$B$6:$B$1005,MATCH(D628,'Items'!$A$6:$A$1005,0)),"MISSING ID")</x:f>
        <x:v>Prepared bronze bearing stock</x:v>
      </x:c>
      <x:c r="F628" s="4" t="str">
        <x:f>IFERROR(INDEX('Items'!$C$6:$C$1005,MATCH(D628,'Items'!$A$6:$A$1005,0)),"MISSING ID")</x:f>
        <x:v>T2</x:v>
      </x:c>
      <x:c r="G628" s="4" t="str">
        <x:f>IFERROR(INDEX('Items'!$D$6:$D$1005,MATCH(D628,'Items'!$A$6:$A$1005,0)),"MISSING ID")</x:f>
        <x:v>Manufactured stock</x:v>
      </x:c>
      <x:c r="H628" s="4" t="str">
        <x:f>IFERROR(INDEX('Items'!$X$6:$X$1005,MATCH(D628,'Items'!$A$6:$A$1005,0)),"MISSING ID")</x:f>
        <x:v>Processed material</x:v>
      </x:c>
      <x:c r="I628" s="4"/>
      <x:c r="J628" s="4" t="str">
        <x:v>Unspecified</x:v>
      </x:c>
      <x:c r="K628" s="4" t="str">
        <x:f>IFERROR(INDEX('Crafting recipes'!$D$6:$D$1005,MATCH(B628,'Crafting recipes'!$A$6:$A$1005,0)),"MISSING ID")</x:f>
        <x:v>Proposal</x:v>
      </x:c>
      <x:c r="L628" s="4" t="str">
        <x:f>IFERROR(INDEX('Items'!$AD$6:$AD$1005,MATCH(D628,'Items'!$A$6:$A$1005,0)),"MISSING ID")</x:f>
        <x:v>Proposal</x:v>
      </x:c>
      <x:c r="M628" s="4" t="str">
        <x:f>IFERROR(INDEX('Crafting recipes'!$E$6:$E$1005,MATCH(B628,'Crafting recipes'!$A$6:$A$1005,0)),"MISSING ID")</x:f>
        <x:v>Partial proposal</x:v>
      </x:c>
      <x:c r="N628" s="4" t="str">
        <x:v>Candidate relationship only; quantity, yield and full recipe remain undefined.</x:v>
      </x:c>
      <x:c r="O628" s="4" t="str">
        <x:v>New October 15 tier-review proposal; user-authorized item audit and Docs/WORLD_BASIS.md. No source-canon or implemented-recipe claim.</x:v>
      </x:c>
      <x:c r="P628" s="4" t="n">
        <x:f>IF(OR(C628="Ingredient candidate",C628="Consumed input",C628="Contained input",C628="Transform input"),IF(F628="T0",0,IF(F628="T1",1,IF(F628="T2",2,IF(F628="T3",3,IF(F628="T4",4,-1))))),-1)</x:f>
        <x:v>2</x:v>
      </x:c>
      <x:c r="Q628" s="4" t="n">
        <x:f>IF(AND(OR(C628="Ingredient candidate",C628="Consumed input",C628="Contained input",C628="Transform input"),P628=-1),1,0)</x:f>
        <x:v>0</x:v>
      </x:c>
    </x:row>
    <x:row r="629" ht="115" customHeight="1">
      <x:c r="A629" s="4" t="str">
        <x:v>design.review.proposal_legger_linkage_end.out</x:v>
      </x:c>
      <x:c r="B629" s="4" t="str">
        <x:v>design.review.proposal_legger_linkage_end</x:v>
      </x:c>
      <x:c r="C629" s="4" t="str">
        <x:v>Output</x:v>
      </x:c>
      <x:c r="D629" s="4" t="str">
        <x:v>proposal.legger.linkage_end</x:v>
      </x:c>
      <x:c r="E629" s="4" t="str">
        <x:f>IFERROR(INDEX('Items'!$B$6:$B$1005,MATCH(D629,'Items'!$A$6:$A$1005,0)),"MISSING ID")</x:f>
        <x:v>Replacement linkage-end joint</x:v>
      </x:c>
      <x:c r="F629" s="4" t="str">
        <x:f>IFERROR(INDEX('Items'!$C$6:$C$1005,MATCH(D629,'Items'!$A$6:$A$1005,0)),"MISSING ID")</x:f>
        <x:v>T3</x:v>
      </x:c>
      <x:c r="G629" s="4" t="str">
        <x:f>IFERROR(INDEX('Items'!$D$6:$D$1005,MATCH(D629,'Items'!$A$6:$A$1005,0)),"MISSING ID")</x:f>
        <x:v>Crafting components</x:v>
      </x:c>
      <x:c r="H629" s="4" t="str">
        <x:f>IFERROR(INDEX('Items'!$X$6:$X$1005,MATCH(D629,'Items'!$A$6:$A$1005,0)),"MISSING ID")</x:f>
        <x:v>Crafting component</x:v>
      </x:c>
      <x:c r="I629" s="4"/>
      <x:c r="J629" s="4" t="str">
        <x:v>Unspecified</x:v>
      </x:c>
      <x:c r="K629" s="4" t="str">
        <x:f>IFERROR(INDEX('Crafting recipes'!$D$6:$D$1005,MATCH(B629,'Crafting recipes'!$A$6:$A$1005,0)),"MISSING ID")</x:f>
        <x:v>Proposal</x:v>
      </x:c>
      <x:c r="L629" s="4" t="str">
        <x:f>IFERROR(INDEX('Items'!$AD$6:$AD$1005,MATCH(D629,'Items'!$A$6:$A$1005,0)),"MISSING ID")</x:f>
        <x:v>Proposal</x:v>
      </x:c>
      <x:c r="M629" s="4" t="str">
        <x:f>IFERROR(INDEX('Crafting recipes'!$E$6:$E$1005,MATCH(B629,'Crafting recipes'!$A$6:$A$1005,0)),"MISSING ID")</x:f>
        <x:v>Partial proposal</x:v>
      </x:c>
      <x:c r="N629" s="4" t="str">
        <x:v>Candidate relationship only; quantity, yield and full recipe remain undefined.</x:v>
      </x:c>
      <x:c r="O629" s="4" t="str">
        <x:v>New October 15 tier-review proposal; user-authorized item audit and Docs/WORLD_BASIS.md. No source-canon or implemented-recipe claim.</x:v>
      </x:c>
      <x:c r="P629" s="4" t="n">
        <x:f>IF(OR(C629="Ingredient candidate",C629="Consumed input",C629="Contained input",C629="Transform input"),IF(F629="T0",0,IF(F629="T1",1,IF(F629="T2",2,IF(F629="T3",3,IF(F629="T4",4,-1))))),-1)</x:f>
        <x:v>-1</x:v>
      </x:c>
      <x:c r="Q629" s="4" t="n">
        <x:f>IF(AND(OR(C629="Ingredient candidate",C629="Consumed input",C629="Contained input",C629="Transform input"),P629=-1),1,0)</x:f>
        <x:v>0</x:v>
      </x:c>
    </x:row>
    <x:row r="630" ht="115" customHeight="1">
      <x:c r="A630" s="4" t="str">
        <x:v>design.review.proposal_legger_tensioner.in.1</x:v>
      </x:c>
      <x:c r="B630" s="4" t="str">
        <x:v>design.review.proposal_legger_tensioner</x:v>
      </x:c>
      <x:c r="C630" s="4" t="str">
        <x:v>Ingredient candidate</x:v>
      </x:c>
      <x:c r="D630" s="4" t="str">
        <x:v>proposal.branch.spring_steel</x:v>
      </x:c>
      <x:c r="E630" s="4" t="str">
        <x:f>IFERROR(INDEX('Items'!$B$6:$B$1005,MATCH(D630,'Items'!$A$6:$A$1005,0)),"MISSING ID")</x:f>
        <x:v>Spring-grade steel stock</x:v>
      </x:c>
      <x:c r="F630" s="4" t="str">
        <x:f>IFERROR(INDEX('Items'!$C$6:$C$1005,MATCH(D630,'Items'!$A$6:$A$1005,0)),"MISSING ID")</x:f>
        <x:v>T3</x:v>
      </x:c>
      <x:c r="G630" s="4" t="str">
        <x:f>IFERROR(INDEX('Items'!$D$6:$D$1005,MATCH(D630,'Items'!$A$6:$A$1005,0)),"MISSING ID")</x:f>
        <x:v>Manufactured stock</x:v>
      </x:c>
      <x:c r="H630" s="4" t="str">
        <x:f>IFERROR(INDEX('Items'!$X$6:$X$1005,MATCH(D630,'Items'!$A$6:$A$1005,0)),"MISSING ID")</x:f>
        <x:v>Processed material</x:v>
      </x:c>
      <x:c r="I630" s="4"/>
      <x:c r="J630" s="4" t="str">
        <x:v>Unspecified</x:v>
      </x:c>
      <x:c r="K630" s="4" t="str">
        <x:f>IFERROR(INDEX('Crafting recipes'!$D$6:$D$1005,MATCH(B630,'Crafting recipes'!$A$6:$A$1005,0)),"MISSING ID")</x:f>
        <x:v>Proposal</x:v>
      </x:c>
      <x:c r="L630" s="4" t="str">
        <x:f>IFERROR(INDEX('Items'!$AD$6:$AD$1005,MATCH(D630,'Items'!$A$6:$A$1005,0)),"MISSING ID")</x:f>
        <x:v>Proposal</x:v>
      </x:c>
      <x:c r="M630" s="4" t="str">
        <x:f>IFERROR(INDEX('Crafting recipes'!$E$6:$E$1005,MATCH(B630,'Crafting recipes'!$A$6:$A$1005,0)),"MISSING ID")</x:f>
        <x:v>Partial proposal</x:v>
      </x:c>
      <x:c r="N630" s="4" t="str">
        <x:v>Candidate relationship only; quantity, yield and full recipe remain undefined.</x:v>
      </x:c>
      <x:c r="O630" s="4" t="str">
        <x:v>New October 15 tier-review proposal; user-authorized item audit and Docs/WORLD_BASIS.md. No source-canon or implemented-recipe claim.</x:v>
      </x:c>
      <x:c r="P630" s="4" t="n">
        <x:f>IF(OR(C630="Ingredient candidate",C630="Consumed input",C630="Contained input",C630="Transform input"),IF(F630="T0",0,IF(F630="T1",1,IF(F630="T2",2,IF(F630="T3",3,IF(F630="T4",4,-1))))),-1)</x:f>
        <x:v>3</x:v>
      </x:c>
      <x:c r="Q630" s="4" t="n">
        <x:f>IF(AND(OR(C630="Ingredient candidate",C630="Consumed input",C630="Contained input",C630="Transform input"),P630=-1),1,0)</x:f>
        <x:v>0</x:v>
      </x:c>
    </x:row>
    <x:row r="631" ht="115" customHeight="1">
      <x:c r="A631" s="4" t="str">
        <x:v>design.review.proposal_legger_tensioner.in.2</x:v>
      </x:c>
      <x:c r="B631" s="4" t="str">
        <x:v>design.review.proposal_legger_tensioner</x:v>
      </x:c>
      <x:c r="C631" s="4" t="str">
        <x:v>Ingredient candidate</x:v>
      </x:c>
      <x:c r="D631" s="4" t="str">
        <x:v>proposal.t3.bearing_blank</x:v>
      </x:c>
      <x:c r="E631" s="4" t="str">
        <x:f>IFERROR(INDEX('Items'!$B$6:$B$1005,MATCH(D631,'Items'!$A$6:$A$1005,0)),"MISSING ID")</x:f>
        <x:v>Lapped bronze bearing blanks</x:v>
      </x:c>
      <x:c r="F631" s="4" t="str">
        <x:f>IFERROR(INDEX('Items'!$C$6:$C$1005,MATCH(D631,'Items'!$A$6:$A$1005,0)),"MISSING ID")</x:f>
        <x:v>T3</x:v>
      </x:c>
      <x:c r="G631" s="4" t="str">
        <x:f>IFERROR(INDEX('Items'!$D$6:$D$1005,MATCH(D631,'Items'!$A$6:$A$1005,0)),"MISSING ID")</x:f>
        <x:v>Crafting components</x:v>
      </x:c>
      <x:c r="H631" s="4" t="str">
        <x:f>IFERROR(INDEX('Items'!$X$6:$X$1005,MATCH(D631,'Items'!$A$6:$A$1005,0)),"MISSING ID")</x:f>
        <x:v>Crafting component</x:v>
      </x:c>
      <x:c r="I631" s="4"/>
      <x:c r="J631" s="4" t="str">
        <x:v>Unspecified</x:v>
      </x:c>
      <x:c r="K631" s="4" t="str">
        <x:f>IFERROR(INDEX('Crafting recipes'!$D$6:$D$1005,MATCH(B631,'Crafting recipes'!$A$6:$A$1005,0)),"MISSING ID")</x:f>
        <x:v>Proposal</x:v>
      </x:c>
      <x:c r="L631" s="4" t="str">
        <x:f>IFERROR(INDEX('Items'!$AD$6:$AD$1005,MATCH(D631,'Items'!$A$6:$A$1005,0)),"MISSING ID")</x:f>
        <x:v>Proposal</x:v>
      </x:c>
      <x:c r="M631" s="4" t="str">
        <x:f>IFERROR(INDEX('Crafting recipes'!$E$6:$E$1005,MATCH(B631,'Crafting recipes'!$A$6:$A$1005,0)),"MISSING ID")</x:f>
        <x:v>Partial proposal</x:v>
      </x:c>
      <x:c r="N631" s="4" t="str">
        <x:v>Candidate relationship only; quantity, yield and full recipe remain undefined.</x:v>
      </x:c>
      <x:c r="O631" s="4" t="str">
        <x:v>New October 15 tier-review proposal; user-authorized item audit and Docs/WORLD_BASIS.md. No source-canon or implemented-recipe claim.</x:v>
      </x:c>
      <x:c r="P631" s="4" t="n">
        <x:f>IF(OR(C631="Ingredient candidate",C631="Consumed input",C631="Contained input",C631="Transform input"),IF(F631="T0",0,IF(F631="T1",1,IF(F631="T2",2,IF(F631="T3",3,IF(F631="T4",4,-1))))),-1)</x:f>
        <x:v>3</x:v>
      </x:c>
      <x:c r="Q631" s="4" t="n">
        <x:f>IF(AND(OR(C631="Ingredient candidate",C631="Consumed input",C631="Contained input",C631="Transform input"),P631=-1),1,0)</x:f>
        <x:v>0</x:v>
      </x:c>
    </x:row>
    <x:row r="632" ht="115" customHeight="1">
      <x:c r="A632" s="4" t="str">
        <x:v>design.review.proposal_legger_tensioner.in.3</x:v>
      </x:c>
      <x:c r="B632" s="4" t="str">
        <x:v>design.review.proposal_legger_tensioner</x:v>
      </x:c>
      <x:c r="C632" s="4" t="str">
        <x:v>Ingredient candidate</x:v>
      </x:c>
      <x:c r="D632" s="4" t="str">
        <x:v>author.metallurgy.steel_stock</x:v>
      </x:c>
      <x:c r="E632" s="4" t="str">
        <x:f>IFERROR(INDEX('Items'!$B$6:$B$1005,MATCH(D632,'Items'!$A$6:$A$1005,0)),"MISSING ID")</x:f>
        <x:v>Steel stock</x:v>
      </x:c>
      <x:c r="F632" s="4" t="str">
        <x:f>IFERROR(INDEX('Items'!$C$6:$C$1005,MATCH(D632,'Items'!$A$6:$A$1005,0)),"MISSING ID")</x:f>
        <x:v>T2</x:v>
      </x:c>
      <x:c r="G632" s="4" t="str">
        <x:f>IFERROR(INDEX('Items'!$D$6:$D$1005,MATCH(D632,'Items'!$A$6:$A$1005,0)),"MISSING ID")</x:f>
        <x:v>Manufactured stock</x:v>
      </x:c>
      <x:c r="H632" s="4" t="str">
        <x:f>IFERROR(INDEX('Items'!$X$6:$X$1005,MATCH(D632,'Items'!$A$6:$A$1005,0)),"MISSING ID")</x:f>
        <x:v>Processed material</x:v>
      </x:c>
      <x:c r="I632" s="4"/>
      <x:c r="J632" s="4" t="str">
        <x:v>Unspecified</x:v>
      </x:c>
      <x:c r="K632" s="4" t="str">
        <x:f>IFERROR(INDEX('Crafting recipes'!$D$6:$D$1005,MATCH(B632,'Crafting recipes'!$A$6:$A$1005,0)),"MISSING ID")</x:f>
        <x:v>Proposal</x:v>
      </x:c>
      <x:c r="L632" s="4" t="str">
        <x:f>IFERROR(INDEX('Items'!$AD$6:$AD$1005,MATCH(D632,'Items'!$A$6:$A$1005,0)),"MISSING ID")</x:f>
        <x:v>Author direction</x:v>
      </x:c>
      <x:c r="M632" s="4" t="str">
        <x:f>IFERROR(INDEX('Crafting recipes'!$E$6:$E$1005,MATCH(B632,'Crafting recipes'!$A$6:$A$1005,0)),"MISSING ID")</x:f>
        <x:v>Partial proposal</x:v>
      </x:c>
      <x:c r="N632" s="4" t="str">
        <x:v>Candidate relationship only; quantity, yield and full recipe remain undefined.</x:v>
      </x:c>
      <x:c r="O632" s="4" t="str">
        <x:v>New October 15 tier-review proposal; user-authorized item audit and Docs/WORLD_BASIS.md. No source-canon or implemented-recipe claim.</x:v>
      </x:c>
      <x:c r="P632" s="4" t="n">
        <x:f>IF(OR(C632="Ingredient candidate",C632="Consumed input",C632="Contained input",C632="Transform input"),IF(F632="T0",0,IF(F632="T1",1,IF(F632="T2",2,IF(F632="T3",3,IF(F632="T4",4,-1))))),-1)</x:f>
        <x:v>2</x:v>
      </x:c>
      <x:c r="Q632" s="4" t="n">
        <x:f>IF(AND(OR(C632="Ingredient candidate",C632="Consumed input",C632="Contained input",C632="Transform input"),P632=-1),1,0)</x:f>
        <x:v>0</x:v>
      </x:c>
    </x:row>
    <x:row r="633" ht="115" customHeight="1">
      <x:c r="A633" s="4" t="str">
        <x:v>design.review.proposal_legger_tensioner.in.4</x:v>
      </x:c>
      <x:c r="B633" s="4" t="str">
        <x:v>design.review.proposal_legger_tensioner</x:v>
      </x:c>
      <x:c r="C633" s="4" t="str">
        <x:v>Ingredient candidate</x:v>
      </x:c>
      <x:c r="D633" s="4" t="str">
        <x:v>proposal.t3.service_grease</x:v>
      </x:c>
      <x:c r="E633" s="4" t="str">
        <x:f>IFERROR(INDEX('Items'!$B$6:$B$1005,MATCH(D633,'Items'!$A$6:$A$1005,0)),"MISSING ID")</x:f>
        <x:v>Conditioned mechanism-service grease</x:v>
      </x:c>
      <x:c r="F633" s="4" t="str">
        <x:f>IFERROR(INDEX('Items'!$C$6:$C$1005,MATCH(D633,'Items'!$A$6:$A$1005,0)),"MISSING ID")</x:f>
        <x:v>T3</x:v>
      </x:c>
      <x:c r="G633" s="4" t="str">
        <x:f>IFERROR(INDEX('Items'!$D$6:$D$1005,MATCH(D633,'Items'!$A$6:$A$1005,0)),"MISSING ID")</x:f>
        <x:v>Crafting components</x:v>
      </x:c>
      <x:c r="H633" s="4" t="str">
        <x:f>IFERROR(INDEX('Items'!$X$6:$X$1005,MATCH(D633,'Items'!$A$6:$A$1005,0)),"MISSING ID")</x:f>
        <x:v>Chemical material</x:v>
      </x:c>
      <x:c r="I633" s="4"/>
      <x:c r="J633" s="4" t="str">
        <x:v>Unspecified</x:v>
      </x:c>
      <x:c r="K633" s="4" t="str">
        <x:f>IFERROR(INDEX('Crafting recipes'!$D$6:$D$1005,MATCH(B633,'Crafting recipes'!$A$6:$A$1005,0)),"MISSING ID")</x:f>
        <x:v>Proposal</x:v>
      </x:c>
      <x:c r="L633" s="4" t="str">
        <x:f>IFERROR(INDEX('Items'!$AD$6:$AD$1005,MATCH(D633,'Items'!$A$6:$A$1005,0)),"MISSING ID")</x:f>
        <x:v>Proposal</x:v>
      </x:c>
      <x:c r="M633" s="4" t="str">
        <x:f>IFERROR(INDEX('Crafting recipes'!$E$6:$E$1005,MATCH(B633,'Crafting recipes'!$A$6:$A$1005,0)),"MISSING ID")</x:f>
        <x:v>Partial proposal</x:v>
      </x:c>
      <x:c r="N633" s="4" t="str">
        <x:v>Candidate relationship only; quantity, yield and full recipe remain undefined.</x:v>
      </x:c>
      <x:c r="O633" s="4" t="str">
        <x:v>New October 15 tier-review proposal; user-authorized item audit and Docs/WORLD_BASIS.md. No source-canon or implemented-recipe claim.</x:v>
      </x:c>
      <x:c r="P633" s="4" t="n">
        <x:f>IF(OR(C633="Ingredient candidate",C633="Consumed input",C633="Contained input",C633="Transform input"),IF(F633="T0",0,IF(F633="T1",1,IF(F633="T2",2,IF(F633="T3",3,IF(F633="T4",4,-1))))),-1)</x:f>
        <x:v>3</x:v>
      </x:c>
      <x:c r="Q633" s="4" t="n">
        <x:f>IF(AND(OR(C633="Ingredient candidate",C633="Consumed input",C633="Contained input",C633="Transform input"),P633=-1),1,0)</x:f>
        <x:v>0</x:v>
      </x:c>
    </x:row>
    <x:row r="634" ht="115" customHeight="1">
      <x:c r="A634" s="4" t="str">
        <x:v>design.review.proposal_legger_tensioner.out</x:v>
      </x:c>
      <x:c r="B634" s="4" t="str">
        <x:v>design.review.proposal_legger_tensioner</x:v>
      </x:c>
      <x:c r="C634" s="4" t="str">
        <x:v>Output</x:v>
      </x:c>
      <x:c r="D634" s="4" t="str">
        <x:v>proposal.legger.tensioner</x:v>
      </x:c>
      <x:c r="E634" s="4" t="str">
        <x:f>IFERROR(INDEX('Items'!$B$6:$B$1005,MATCH(D634,'Items'!$A$6:$A$1005,0)),"MISSING ID")</x:f>
        <x:v>Drive tensioner assembly</x:v>
      </x:c>
      <x:c r="F634" s="4" t="str">
        <x:f>IFERROR(INDEX('Items'!$C$6:$C$1005,MATCH(D634,'Items'!$A$6:$A$1005,0)),"MISSING ID")</x:f>
        <x:v>T4</x:v>
      </x:c>
      <x:c r="G634" s="4" t="str">
        <x:f>IFERROR(INDEX('Items'!$D$6:$D$1005,MATCH(D634,'Items'!$A$6:$A$1005,0)),"MISSING ID")</x:f>
        <x:v>Crafting components</x:v>
      </x:c>
      <x:c r="H634" s="4" t="str">
        <x:f>IFERROR(INDEX('Items'!$X$6:$X$1005,MATCH(D634,'Items'!$A$6:$A$1005,0)),"MISSING ID")</x:f>
        <x:v>Crafting component</x:v>
      </x:c>
      <x:c r="I634" s="4"/>
      <x:c r="J634" s="4" t="str">
        <x:v>Unspecified</x:v>
      </x:c>
      <x:c r="K634" s="4" t="str">
        <x:f>IFERROR(INDEX('Crafting recipes'!$D$6:$D$1005,MATCH(B634,'Crafting recipes'!$A$6:$A$1005,0)),"MISSING ID")</x:f>
        <x:v>Proposal</x:v>
      </x:c>
      <x:c r="L634" s="4" t="str">
        <x:f>IFERROR(INDEX('Items'!$AD$6:$AD$1005,MATCH(D634,'Items'!$A$6:$A$1005,0)),"MISSING ID")</x:f>
        <x:v>Proposal</x:v>
      </x:c>
      <x:c r="M634" s="4" t="str">
        <x:f>IFERROR(INDEX('Crafting recipes'!$E$6:$E$1005,MATCH(B634,'Crafting recipes'!$A$6:$A$1005,0)),"MISSING ID")</x:f>
        <x:v>Partial proposal</x:v>
      </x:c>
      <x:c r="N634" s="4" t="str">
        <x:v>Candidate relationship only; quantity, yield and full recipe remain undefined.</x:v>
      </x:c>
      <x:c r="O634" s="4" t="str">
        <x:v>New October 15 tier-review proposal; user-authorized item audit and Docs/WORLD_BASIS.md. No source-canon or implemented-recipe claim.</x:v>
      </x:c>
      <x:c r="P634" s="4" t="n">
        <x:f>IF(OR(C634="Ingredient candidate",C634="Consumed input",C634="Contained input",C634="Transform input"),IF(F634="T0",0,IF(F634="T1",1,IF(F634="T2",2,IF(F634="T3",3,IF(F634="T4",4,-1))))),-1)</x:f>
        <x:v>-1</x:v>
      </x:c>
      <x:c r="Q634" s="4" t="n">
        <x:f>IF(AND(OR(C634="Ingredient candidate",C634="Consumed input",C634="Contained input",C634="Transform input"),P634=-1),1,0)</x:f>
        <x:v>0</x:v>
      </x:c>
    </x:row>
    <x:row r="635" ht="115" customHeight="1">
      <x:c r="A635" s="4" t="str">
        <x:v>design.review.proposal_legger_scraper_ring.in.1</x:v>
      </x:c>
      <x:c r="B635" s="4" t="str">
        <x:v>design.review.proposal_legger_scraper_ring</x:v>
      </x:c>
      <x:c r="C635" s="4" t="str">
        <x:v>Ingredient candidate</x:v>
      </x:c>
      <x:c r="D635" s="4" t="str">
        <x:v>author.metallurgy.steel_stock</x:v>
      </x:c>
      <x:c r="E635" s="4" t="str">
        <x:f>IFERROR(INDEX('Items'!$B$6:$B$1005,MATCH(D635,'Items'!$A$6:$A$1005,0)),"MISSING ID")</x:f>
        <x:v>Steel stock</x:v>
      </x:c>
      <x:c r="F635" s="4" t="str">
        <x:f>IFERROR(INDEX('Items'!$C$6:$C$1005,MATCH(D635,'Items'!$A$6:$A$1005,0)),"MISSING ID")</x:f>
        <x:v>T2</x:v>
      </x:c>
      <x:c r="G635" s="4" t="str">
        <x:f>IFERROR(INDEX('Items'!$D$6:$D$1005,MATCH(D635,'Items'!$A$6:$A$1005,0)),"MISSING ID")</x:f>
        <x:v>Manufactured stock</x:v>
      </x:c>
      <x:c r="H635" s="4" t="str">
        <x:f>IFERROR(INDEX('Items'!$X$6:$X$1005,MATCH(D635,'Items'!$A$6:$A$1005,0)),"MISSING ID")</x:f>
        <x:v>Processed material</x:v>
      </x:c>
      <x:c r="I635" s="4"/>
      <x:c r="J635" s="4" t="str">
        <x:v>Unspecified</x:v>
      </x:c>
      <x:c r="K635" s="4" t="str">
        <x:f>IFERROR(INDEX('Crafting recipes'!$D$6:$D$1005,MATCH(B635,'Crafting recipes'!$A$6:$A$1005,0)),"MISSING ID")</x:f>
        <x:v>Proposal</x:v>
      </x:c>
      <x:c r="L635" s="4" t="str">
        <x:f>IFERROR(INDEX('Items'!$AD$6:$AD$1005,MATCH(D635,'Items'!$A$6:$A$1005,0)),"MISSING ID")</x:f>
        <x:v>Author direction</x:v>
      </x:c>
      <x:c r="M635" s="4" t="str">
        <x:f>IFERROR(INDEX('Crafting recipes'!$E$6:$E$1005,MATCH(B635,'Crafting recipes'!$A$6:$A$1005,0)),"MISSING ID")</x:f>
        <x:v>Partial proposal</x:v>
      </x:c>
      <x:c r="N635" s="4" t="str">
        <x:v>Candidate relationship only; quantity, yield and full recipe remain undefined.</x:v>
      </x:c>
      <x:c r="O635" s="4" t="str">
        <x:v>New October 15 tier-review proposal; user-authorized item audit and Docs/WORLD_BASIS.md. No source-canon or implemented-recipe claim.</x:v>
      </x:c>
      <x:c r="P635" s="4" t="n">
        <x:f>IF(OR(C635="Ingredient candidate",C635="Consumed input",C635="Contained input",C635="Transform input"),IF(F635="T0",0,IF(F635="T1",1,IF(F635="T2",2,IF(F635="T3",3,IF(F635="T4",4,-1))))),-1)</x:f>
        <x:v>2</x:v>
      </x:c>
      <x:c r="Q635" s="4" t="n">
        <x:f>IF(AND(OR(C635="Ingredient candidate",C635="Consumed input",C635="Contained input",C635="Transform input"),P635=-1),1,0)</x:f>
        <x:v>0</x:v>
      </x:c>
    </x:row>
    <x:row r="636" ht="115" customHeight="1">
      <x:c r="A636" s="4" t="str">
        <x:v>design.review.proposal_legger_scraper_ring.in.2</x:v>
      </x:c>
      <x:c r="B636" s="4" t="str">
        <x:v>design.review.proposal_legger_scraper_ring</x:v>
      </x:c>
      <x:c r="C636" s="4" t="str">
        <x:v>Ingredient candidate</x:v>
      </x:c>
      <x:c r="D636" s="4" t="str">
        <x:v>proposal.branch.filled_seal</x:v>
      </x:c>
      <x:c r="E636" s="4" t="str">
        <x:f>IFERROR(INDEX('Items'!$B$6:$B$1005,MATCH(D636,'Items'!$A$6:$A$1005,0)),"MISSING ID")</x:f>
        <x:v>Filled faunal seal compound</x:v>
      </x:c>
      <x:c r="F636" s="4" t="str">
        <x:f>IFERROR(INDEX('Items'!$C$6:$C$1005,MATCH(D636,'Items'!$A$6:$A$1005,0)),"MISSING ID")</x:f>
        <x:v>T2</x:v>
      </x:c>
      <x:c r="G636" s="4" t="str">
        <x:f>IFERROR(INDEX('Items'!$D$6:$D$1005,MATCH(D636,'Items'!$A$6:$A$1005,0)),"MISSING ID")</x:f>
        <x:v>Crafting components</x:v>
      </x:c>
      <x:c r="H636" s="4" t="str">
        <x:f>IFERROR(INDEX('Items'!$X$6:$X$1005,MATCH(D636,'Items'!$A$6:$A$1005,0)),"MISSING ID")</x:f>
        <x:v>Chemical material</x:v>
      </x:c>
      <x:c r="I636" s="4"/>
      <x:c r="J636" s="4" t="str">
        <x:v>Unspecified</x:v>
      </x:c>
      <x:c r="K636" s="4" t="str">
        <x:f>IFERROR(INDEX('Crafting recipes'!$D$6:$D$1005,MATCH(B636,'Crafting recipes'!$A$6:$A$1005,0)),"MISSING ID")</x:f>
        <x:v>Proposal</x:v>
      </x:c>
      <x:c r="L636" s="4" t="str">
        <x:f>IFERROR(INDEX('Items'!$AD$6:$AD$1005,MATCH(D636,'Items'!$A$6:$A$1005,0)),"MISSING ID")</x:f>
        <x:v>Proposal</x:v>
      </x:c>
      <x:c r="M636" s="4" t="str">
        <x:f>IFERROR(INDEX('Crafting recipes'!$E$6:$E$1005,MATCH(B636,'Crafting recipes'!$A$6:$A$1005,0)),"MISSING ID")</x:f>
        <x:v>Partial proposal</x:v>
      </x:c>
      <x:c r="N636" s="4" t="str">
        <x:v>Candidate relationship only; quantity, yield and full recipe remain undefined.</x:v>
      </x:c>
      <x:c r="O636" s="4" t="str">
        <x:v>New October 15 tier-review proposal; user-authorized item audit and Docs/WORLD_BASIS.md. No source-canon or implemented-recipe claim.</x:v>
      </x:c>
      <x:c r="P636" s="4" t="n">
        <x:f>IF(OR(C636="Ingredient candidate",C636="Consumed input",C636="Contained input",C636="Transform input"),IF(F636="T0",0,IF(F636="T1",1,IF(F636="T2",2,IF(F636="T3",3,IF(F636="T4",4,-1))))),-1)</x:f>
        <x:v>2</x:v>
      </x:c>
      <x:c r="Q636" s="4" t="n">
        <x:f>IF(AND(OR(C636="Ingredient candidate",C636="Consumed input",C636="Contained input",C636="Transform input"),P636=-1),1,0)</x:f>
        <x:v>0</x:v>
      </x:c>
    </x:row>
    <x:row r="637" ht="115" customHeight="1">
      <x:c r="A637" s="4" t="str">
        <x:v>design.review.proposal_legger_scraper_ring.out</x:v>
      </x:c>
      <x:c r="B637" s="4" t="str">
        <x:v>design.review.proposal_legger_scraper_ring</x:v>
      </x:c>
      <x:c r="C637" s="4" t="str">
        <x:v>Output</x:v>
      </x:c>
      <x:c r="D637" s="4" t="str">
        <x:v>proposal.legger.scraper_ring</x:v>
      </x:c>
      <x:c r="E637" s="4" t="str">
        <x:f>IFERROR(INDEX('Items'!$B$6:$B$1005,MATCH(D637,'Items'!$A$6:$A$1005,0)),"MISSING ID")</x:f>
        <x:v>Joint grit-scraper ring</x:v>
      </x:c>
      <x:c r="F637" s="4" t="str">
        <x:f>IFERROR(INDEX('Items'!$C$6:$C$1005,MATCH(D637,'Items'!$A$6:$A$1005,0)),"MISSING ID")</x:f>
        <x:v>T3</x:v>
      </x:c>
      <x:c r="G637" s="4" t="str">
        <x:f>IFERROR(INDEX('Items'!$D$6:$D$1005,MATCH(D637,'Items'!$A$6:$A$1005,0)),"MISSING ID")</x:f>
        <x:v>Crafting components</x:v>
      </x:c>
      <x:c r="H637" s="4" t="str">
        <x:f>IFERROR(INDEX('Items'!$X$6:$X$1005,MATCH(D637,'Items'!$A$6:$A$1005,0)),"MISSING ID")</x:f>
        <x:v>Crafting component</x:v>
      </x:c>
      <x:c r="I637" s="4"/>
      <x:c r="J637" s="4" t="str">
        <x:v>Unspecified</x:v>
      </x:c>
      <x:c r="K637" s="4" t="str">
        <x:f>IFERROR(INDEX('Crafting recipes'!$D$6:$D$1005,MATCH(B637,'Crafting recipes'!$A$6:$A$1005,0)),"MISSING ID")</x:f>
        <x:v>Proposal</x:v>
      </x:c>
      <x:c r="L637" s="4" t="str">
        <x:f>IFERROR(INDEX('Items'!$AD$6:$AD$1005,MATCH(D637,'Items'!$A$6:$A$1005,0)),"MISSING ID")</x:f>
        <x:v>Proposal</x:v>
      </x:c>
      <x:c r="M637" s="4" t="str">
        <x:f>IFERROR(INDEX('Crafting recipes'!$E$6:$E$1005,MATCH(B637,'Crafting recipes'!$A$6:$A$1005,0)),"MISSING ID")</x:f>
        <x:v>Partial proposal</x:v>
      </x:c>
      <x:c r="N637" s="4" t="str">
        <x:v>Candidate relationship only; quantity, yield and full recipe remain undefined.</x:v>
      </x:c>
      <x:c r="O637" s="4" t="str">
        <x:v>New October 15 tier-review proposal; user-authorized item audit and Docs/WORLD_BASIS.md. No source-canon or implemented-recipe claim.</x:v>
      </x:c>
      <x:c r="P637" s="4" t="n">
        <x:f>IF(OR(C637="Ingredient candidate",C637="Consumed input",C637="Contained input",C637="Transform input"),IF(F637="T0",0,IF(F637="T1",1,IF(F637="T2",2,IF(F637="T3",3,IF(F637="T4",4,-1))))),-1)</x:f>
        <x:v>-1</x:v>
      </x:c>
      <x:c r="Q637" s="4" t="n">
        <x:f>IF(AND(OR(C637="Ingredient candidate",C637="Consumed input",C637="Contained input",C637="Transform input"),P637=-1),1,0)</x:f>
        <x:v>0</x:v>
      </x:c>
    </x:row>
    <x:row r="638" ht="115" customHeight="1">
      <x:c r="A638" s="4" t="str">
        <x:v>design.review.proposal_legger_service_adapter.in.1</x:v>
      </x:c>
      <x:c r="B638" s="4" t="str">
        <x:v>design.review.proposal_legger_service_adapter</x:v>
      </x:c>
      <x:c r="C638" s="4" t="str">
        <x:v>Ingredient candidate</x:v>
      </x:c>
      <x:c r="D638" s="4" t="str">
        <x:v>proposal.t3.precision_tube</x:v>
      </x:c>
      <x:c r="E638" s="4" t="str">
        <x:f>IFERROR(INDEX('Items'!$B$6:$B$1005,MATCH(D638,'Items'!$A$6:$A$1005,0)),"MISSING ID")</x:f>
        <x:v>Drawn steel tube stock</x:v>
      </x:c>
      <x:c r="F638" s="4" t="str">
        <x:f>IFERROR(INDEX('Items'!$C$6:$C$1005,MATCH(D638,'Items'!$A$6:$A$1005,0)),"MISSING ID")</x:f>
        <x:v>T3</x:v>
      </x:c>
      <x:c r="G638" s="4" t="str">
        <x:f>IFERROR(INDEX('Items'!$D$6:$D$1005,MATCH(D638,'Items'!$A$6:$A$1005,0)),"MISSING ID")</x:f>
        <x:v>Manufactured stock</x:v>
      </x:c>
      <x:c r="H638" s="4" t="str">
        <x:f>IFERROR(INDEX('Items'!$X$6:$X$1005,MATCH(D638,'Items'!$A$6:$A$1005,0)),"MISSING ID")</x:f>
        <x:v>Processed material</x:v>
      </x:c>
      <x:c r="I638" s="4"/>
      <x:c r="J638" s="4" t="str">
        <x:v>Unspecified</x:v>
      </x:c>
      <x:c r="K638" s="4" t="str">
        <x:f>IFERROR(INDEX('Crafting recipes'!$D$6:$D$1005,MATCH(B638,'Crafting recipes'!$A$6:$A$1005,0)),"MISSING ID")</x:f>
        <x:v>Proposal</x:v>
      </x:c>
      <x:c r="L638" s="4" t="str">
        <x:f>IFERROR(INDEX('Items'!$AD$6:$AD$1005,MATCH(D638,'Items'!$A$6:$A$1005,0)),"MISSING ID")</x:f>
        <x:v>Proposal</x:v>
      </x:c>
      <x:c r="M638" s="4" t="str">
        <x:f>IFERROR(INDEX('Crafting recipes'!$E$6:$E$1005,MATCH(B638,'Crafting recipes'!$A$6:$A$1005,0)),"MISSING ID")</x:f>
        <x:v>Partial proposal</x:v>
      </x:c>
      <x:c r="N638" s="4" t="str">
        <x:v>Candidate relationship only; quantity, yield and full recipe remain undefined.</x:v>
      </x:c>
      <x:c r="O638" s="4" t="str">
        <x:v>New October 15 tier-review proposal; user-authorized item audit and Docs/WORLD_BASIS.md. No source-canon or implemented-recipe claim.</x:v>
      </x:c>
      <x:c r="P638" s="4" t="n">
        <x:f>IF(OR(C638="Ingredient candidate",C638="Consumed input",C638="Contained input",C638="Transform input"),IF(F638="T0",0,IF(F638="T1",1,IF(F638="T2",2,IF(F638="T3",3,IF(F638="T4",4,-1))))),-1)</x:f>
        <x:v>3</x:v>
      </x:c>
      <x:c r="Q638" s="4" t="n">
        <x:f>IF(AND(OR(C638="Ingredient candidate",C638="Consumed input",C638="Contained input",C638="Transform input"),P638=-1),1,0)</x:f>
        <x:v>0</x:v>
      </x:c>
    </x:row>
    <x:row r="639" ht="115" customHeight="1">
      <x:c r="A639" s="4" t="str">
        <x:v>design.review.proposal_legger_service_adapter.in.2</x:v>
      </x:c>
      <x:c r="B639" s="4" t="str">
        <x:v>design.review.proposal_legger_service_adapter</x:v>
      </x:c>
      <x:c r="C639" s="4" t="str">
        <x:v>Ingredient candidate</x:v>
      </x:c>
      <x:c r="D639" s="4" t="str">
        <x:v>proposal.branch.bearing_bronze</x:v>
      </x:c>
      <x:c r="E639" s="4" t="str">
        <x:f>IFERROR(INDEX('Items'!$B$6:$B$1005,MATCH(D639,'Items'!$A$6:$A$1005,0)),"MISSING ID")</x:f>
        <x:v>Prepared bronze bearing stock</x:v>
      </x:c>
      <x:c r="F639" s="4" t="str">
        <x:f>IFERROR(INDEX('Items'!$C$6:$C$1005,MATCH(D639,'Items'!$A$6:$A$1005,0)),"MISSING ID")</x:f>
        <x:v>T2</x:v>
      </x:c>
      <x:c r="G639" s="4" t="str">
        <x:f>IFERROR(INDEX('Items'!$D$6:$D$1005,MATCH(D639,'Items'!$A$6:$A$1005,0)),"MISSING ID")</x:f>
        <x:v>Manufactured stock</x:v>
      </x:c>
      <x:c r="H639" s="4" t="str">
        <x:f>IFERROR(INDEX('Items'!$X$6:$X$1005,MATCH(D639,'Items'!$A$6:$A$1005,0)),"MISSING ID")</x:f>
        <x:v>Processed material</x:v>
      </x:c>
      <x:c r="I639" s="4"/>
      <x:c r="J639" s="4" t="str">
        <x:v>Unspecified</x:v>
      </x:c>
      <x:c r="K639" s="4" t="str">
        <x:f>IFERROR(INDEX('Crafting recipes'!$D$6:$D$1005,MATCH(B639,'Crafting recipes'!$A$6:$A$1005,0)),"MISSING ID")</x:f>
        <x:v>Proposal</x:v>
      </x:c>
      <x:c r="L639" s="4" t="str">
        <x:f>IFERROR(INDEX('Items'!$AD$6:$AD$1005,MATCH(D639,'Items'!$A$6:$A$1005,0)),"MISSING ID")</x:f>
        <x:v>Proposal</x:v>
      </x:c>
      <x:c r="M639" s="4" t="str">
        <x:f>IFERROR(INDEX('Crafting recipes'!$E$6:$E$1005,MATCH(B639,'Crafting recipes'!$A$6:$A$1005,0)),"MISSING ID")</x:f>
        <x:v>Partial proposal</x:v>
      </x:c>
      <x:c r="N639" s="4" t="str">
        <x:v>Candidate relationship only; quantity, yield and full recipe remain undefined.</x:v>
      </x:c>
      <x:c r="O639" s="4" t="str">
        <x:v>New October 15 tier-review proposal; user-authorized item audit and Docs/WORLD_BASIS.md. No source-canon or implemented-recipe claim.</x:v>
      </x:c>
      <x:c r="P639" s="4" t="n">
        <x:f>IF(OR(C639="Ingredient candidate",C639="Consumed input",C639="Contained input",C639="Transform input"),IF(F639="T0",0,IF(F639="T1",1,IF(F639="T2",2,IF(F639="T3",3,IF(F639="T4",4,-1))))),-1)</x:f>
        <x:v>2</x:v>
      </x:c>
      <x:c r="Q639" s="4" t="n">
        <x:f>IF(AND(OR(C639="Ingredient candidate",C639="Consumed input",C639="Contained input",C639="Transform input"),P639=-1),1,0)</x:f>
        <x:v>0</x:v>
      </x:c>
    </x:row>
    <x:row r="640" ht="115" customHeight="1">
      <x:c r="A640" s="4" t="str">
        <x:v>design.review.proposal_legger_service_adapter.in.3</x:v>
      </x:c>
      <x:c r="B640" s="4" t="str">
        <x:v>design.review.proposal_legger_service_adapter</x:v>
      </x:c>
      <x:c r="C640" s="4" t="str">
        <x:v>Ingredient candidate</x:v>
      </x:c>
      <x:c r="D640" s="4" t="str">
        <x:v>proposal.t3.packing_stock</x:v>
      </x:c>
      <x:c r="E640" s="4" t="str">
        <x:f>IFERROR(INDEX('Items'!$B$6:$B$1005,MATCH(D640,'Items'!$A$6:$A$1005,0)),"MISSING ID")</x:f>
        <x:v>Husk-reinforced packing stock</x:v>
      </x:c>
      <x:c r="F640" s="4" t="str">
        <x:f>IFERROR(INDEX('Items'!$C$6:$C$1005,MATCH(D640,'Items'!$A$6:$A$1005,0)),"MISSING ID")</x:f>
        <x:v>T3</x:v>
      </x:c>
      <x:c r="G640" s="4" t="str">
        <x:f>IFERROR(INDEX('Items'!$D$6:$D$1005,MATCH(D640,'Items'!$A$6:$A$1005,0)),"MISSING ID")</x:f>
        <x:v>Manufactured stock</x:v>
      </x:c>
      <x:c r="H640" s="4" t="str">
        <x:f>IFERROR(INDEX('Items'!$X$6:$X$1005,MATCH(D640,'Items'!$A$6:$A$1005,0)),"MISSING ID")</x:f>
        <x:v>Processed material</x:v>
      </x:c>
      <x:c r="I640" s="4"/>
      <x:c r="J640" s="4" t="str">
        <x:v>Unspecified</x:v>
      </x:c>
      <x:c r="K640" s="4" t="str">
        <x:f>IFERROR(INDEX('Crafting recipes'!$D$6:$D$1005,MATCH(B640,'Crafting recipes'!$A$6:$A$1005,0)),"MISSING ID")</x:f>
        <x:v>Proposal</x:v>
      </x:c>
      <x:c r="L640" s="4" t="str">
        <x:f>IFERROR(INDEX('Items'!$AD$6:$AD$1005,MATCH(D640,'Items'!$A$6:$A$1005,0)),"MISSING ID")</x:f>
        <x:v>Proposal</x:v>
      </x:c>
      <x:c r="M640" s="4" t="str">
        <x:f>IFERROR(INDEX('Crafting recipes'!$E$6:$E$1005,MATCH(B640,'Crafting recipes'!$A$6:$A$1005,0)),"MISSING ID")</x:f>
        <x:v>Partial proposal</x:v>
      </x:c>
      <x:c r="N640" s="4" t="str">
        <x:v>Candidate relationship only; quantity, yield and full recipe remain undefined.</x:v>
      </x:c>
      <x:c r="O640" s="4" t="str">
        <x:v>New October 15 tier-review proposal; user-authorized item audit and Docs/WORLD_BASIS.md. No source-canon or implemented-recipe claim.</x:v>
      </x:c>
      <x:c r="P640" s="4" t="n">
        <x:f>IF(OR(C640="Ingredient candidate",C640="Consumed input",C640="Contained input",C640="Transform input"),IF(F640="T0",0,IF(F640="T1",1,IF(F640="T2",2,IF(F640="T3",3,IF(F640="T4",4,-1))))),-1)</x:f>
        <x:v>3</x:v>
      </x:c>
      <x:c r="Q640" s="4" t="n">
        <x:f>IF(AND(OR(C640="Ingredient candidate",C640="Consumed input",C640="Contained input",C640="Transform input"),P640=-1),1,0)</x:f>
        <x:v>0</x:v>
      </x:c>
    </x:row>
    <x:row r="641" ht="115" customHeight="1">
      <x:c r="A641" s="4" t="str">
        <x:v>design.review.proposal_legger_service_adapter.out</x:v>
      </x:c>
      <x:c r="B641" s="4" t="str">
        <x:v>design.review.proposal_legger_service_adapter</x:v>
      </x:c>
      <x:c r="C641" s="4" t="str">
        <x:v>Output</x:v>
      </x:c>
      <x:c r="D641" s="4" t="str">
        <x:v>proposal.legger.service_adapter</x:v>
      </x:c>
      <x:c r="E641" s="4" t="str">
        <x:f>IFERROR(INDEX('Items'!$B$6:$B$1005,MATCH(D641,'Items'!$A$6:$A$1005,0)),"MISSING ID")</x:f>
        <x:v>Lubricant service-port adapter</x:v>
      </x:c>
      <x:c r="F641" s="4" t="str">
        <x:f>IFERROR(INDEX('Items'!$C$6:$C$1005,MATCH(D641,'Items'!$A$6:$A$1005,0)),"MISSING ID")</x:f>
        <x:v>T4</x:v>
      </x:c>
      <x:c r="G641" s="4" t="str">
        <x:f>IFERROR(INDEX('Items'!$D$6:$D$1005,MATCH(D641,'Items'!$A$6:$A$1005,0)),"MISSING ID")</x:f>
        <x:v>Crafting components</x:v>
      </x:c>
      <x:c r="H641" s="4" t="str">
        <x:f>IFERROR(INDEX('Items'!$X$6:$X$1005,MATCH(D641,'Items'!$A$6:$A$1005,0)),"MISSING ID")</x:f>
        <x:v>Container part</x:v>
      </x:c>
      <x:c r="I641" s="4"/>
      <x:c r="J641" s="4" t="str">
        <x:v>Unspecified</x:v>
      </x:c>
      <x:c r="K641" s="4" t="str">
        <x:f>IFERROR(INDEX('Crafting recipes'!$D$6:$D$1005,MATCH(B641,'Crafting recipes'!$A$6:$A$1005,0)),"MISSING ID")</x:f>
        <x:v>Proposal</x:v>
      </x:c>
      <x:c r="L641" s="4" t="str">
        <x:f>IFERROR(INDEX('Items'!$AD$6:$AD$1005,MATCH(D641,'Items'!$A$6:$A$1005,0)),"MISSING ID")</x:f>
        <x:v>Proposal</x:v>
      </x:c>
      <x:c r="M641" s="4" t="str">
        <x:f>IFERROR(INDEX('Crafting recipes'!$E$6:$E$1005,MATCH(B641,'Crafting recipes'!$A$6:$A$1005,0)),"MISSING ID")</x:f>
        <x:v>Partial proposal</x:v>
      </x:c>
      <x:c r="N641" s="4" t="str">
        <x:v>Candidate relationship only; quantity, yield and full recipe remain undefined.</x:v>
      </x:c>
      <x:c r="O641" s="4" t="str">
        <x:v>New October 15 tier-review proposal; user-authorized item audit and Docs/WORLD_BASIS.md. No source-canon or implemented-recipe claim.</x:v>
      </x:c>
      <x:c r="P641" s="4" t="n">
        <x:f>IF(OR(C641="Ingredient candidate",C641="Consumed input",C641="Contained input",C641="Transform input"),IF(F641="T0",0,IF(F641="T1",1,IF(F641="T2",2,IF(F641="T3",3,IF(F641="T4",4,-1))))),-1)</x:f>
        <x:v>-1</x:v>
      </x:c>
      <x:c r="Q641" s="4" t="n">
        <x:f>IF(AND(OR(C641="Ingredient candidate",C641="Consumed input",C641="Contained input",C641="Transform input"),P641=-1),1,0)</x:f>
        <x:v>0</x:v>
      </x:c>
    </x:row>
    <x:row r="642" ht="115" customHeight="1">
      <x:c r="A642" s="4" t="str">
        <x:v>design.review.proposal_legger_guard_hinge.in.1</x:v>
      </x:c>
      <x:c r="B642" s="4" t="str">
        <x:v>design.review.proposal_legger_guard_hinge</x:v>
      </x:c>
      <x:c r="C642" s="4" t="str">
        <x:v>Ingredient candidate</x:v>
      </x:c>
      <x:c r="D642" s="4" t="str">
        <x:v>proposal.branch.spring_steel</x:v>
      </x:c>
      <x:c r="E642" s="4" t="str">
        <x:f>IFERROR(INDEX('Items'!$B$6:$B$1005,MATCH(D642,'Items'!$A$6:$A$1005,0)),"MISSING ID")</x:f>
        <x:v>Spring-grade steel stock</x:v>
      </x:c>
      <x:c r="F642" s="4" t="str">
        <x:f>IFERROR(INDEX('Items'!$C$6:$C$1005,MATCH(D642,'Items'!$A$6:$A$1005,0)),"MISSING ID")</x:f>
        <x:v>T3</x:v>
      </x:c>
      <x:c r="G642" s="4" t="str">
        <x:f>IFERROR(INDEX('Items'!$D$6:$D$1005,MATCH(D642,'Items'!$A$6:$A$1005,0)),"MISSING ID")</x:f>
        <x:v>Manufactured stock</x:v>
      </x:c>
      <x:c r="H642" s="4" t="str">
        <x:f>IFERROR(INDEX('Items'!$X$6:$X$1005,MATCH(D642,'Items'!$A$6:$A$1005,0)),"MISSING ID")</x:f>
        <x:v>Processed material</x:v>
      </x:c>
      <x:c r="I642" s="4"/>
      <x:c r="J642" s="4" t="str">
        <x:v>Unspecified</x:v>
      </x:c>
      <x:c r="K642" s="4" t="str">
        <x:f>IFERROR(INDEX('Crafting recipes'!$D$6:$D$1005,MATCH(B642,'Crafting recipes'!$A$6:$A$1005,0)),"MISSING ID")</x:f>
        <x:v>Proposal</x:v>
      </x:c>
      <x:c r="L642" s="4" t="str">
        <x:f>IFERROR(INDEX('Items'!$AD$6:$AD$1005,MATCH(D642,'Items'!$A$6:$A$1005,0)),"MISSING ID")</x:f>
        <x:v>Proposal</x:v>
      </x:c>
      <x:c r="M642" s="4" t="str">
        <x:f>IFERROR(INDEX('Crafting recipes'!$E$6:$E$1005,MATCH(B642,'Crafting recipes'!$A$6:$A$1005,0)),"MISSING ID")</x:f>
        <x:v>Partial proposal</x:v>
      </x:c>
      <x:c r="N642" s="4" t="str">
        <x:v>Candidate relationship only; quantity, yield and full recipe remain undefined.</x:v>
      </x:c>
      <x:c r="O642" s="4" t="str">
        <x:v>New October 15 tier-review proposal; user-authorized item audit and Docs/WORLD_BASIS.md. No source-canon or implemented-recipe claim.</x:v>
      </x:c>
      <x:c r="P642" s="4" t="n">
        <x:f>IF(OR(C642="Ingredient candidate",C642="Consumed input",C642="Contained input",C642="Transform input"),IF(F642="T0",0,IF(F642="T1",1,IF(F642="T2",2,IF(F642="T3",3,IF(F642="T4",4,-1))))),-1)</x:f>
        <x:v>3</x:v>
      </x:c>
      <x:c r="Q642" s="4" t="n">
        <x:f>IF(AND(OR(C642="Ingredient candidate",C642="Consumed input",C642="Contained input",C642="Transform input"),P642=-1),1,0)</x:f>
        <x:v>0</x:v>
      </x:c>
    </x:row>
    <x:row r="643" ht="115" customHeight="1">
      <x:c r="A643" s="4" t="str">
        <x:v>design.review.proposal_legger_guard_hinge.in.2</x:v>
      </x:c>
      <x:c r="B643" s="4" t="str">
        <x:v>design.review.proposal_legger_guard_hinge</x:v>
      </x:c>
      <x:c r="C643" s="4" t="str">
        <x:v>Ingredient candidate</x:v>
      </x:c>
      <x:c r="D643" s="4" t="str">
        <x:v>author.metallurgy.steel_stock</x:v>
      </x:c>
      <x:c r="E643" s="4" t="str">
        <x:f>IFERROR(INDEX('Items'!$B$6:$B$1005,MATCH(D643,'Items'!$A$6:$A$1005,0)),"MISSING ID")</x:f>
        <x:v>Steel stock</x:v>
      </x:c>
      <x:c r="F643" s="4" t="str">
        <x:f>IFERROR(INDEX('Items'!$C$6:$C$1005,MATCH(D643,'Items'!$A$6:$A$1005,0)),"MISSING ID")</x:f>
        <x:v>T2</x:v>
      </x:c>
      <x:c r="G643" s="4" t="str">
        <x:f>IFERROR(INDEX('Items'!$D$6:$D$1005,MATCH(D643,'Items'!$A$6:$A$1005,0)),"MISSING ID")</x:f>
        <x:v>Manufactured stock</x:v>
      </x:c>
      <x:c r="H643" s="4" t="str">
        <x:f>IFERROR(INDEX('Items'!$X$6:$X$1005,MATCH(D643,'Items'!$A$6:$A$1005,0)),"MISSING ID")</x:f>
        <x:v>Processed material</x:v>
      </x:c>
      <x:c r="I643" s="4"/>
      <x:c r="J643" s="4" t="str">
        <x:v>Unspecified</x:v>
      </x:c>
      <x:c r="K643" s="4" t="str">
        <x:f>IFERROR(INDEX('Crafting recipes'!$D$6:$D$1005,MATCH(B643,'Crafting recipes'!$A$6:$A$1005,0)),"MISSING ID")</x:f>
        <x:v>Proposal</x:v>
      </x:c>
      <x:c r="L643" s="4" t="str">
        <x:f>IFERROR(INDEX('Items'!$AD$6:$AD$1005,MATCH(D643,'Items'!$A$6:$A$1005,0)),"MISSING ID")</x:f>
        <x:v>Author direction</x:v>
      </x:c>
      <x:c r="M643" s="4" t="str">
        <x:f>IFERROR(INDEX('Crafting recipes'!$E$6:$E$1005,MATCH(B643,'Crafting recipes'!$A$6:$A$1005,0)),"MISSING ID")</x:f>
        <x:v>Partial proposal</x:v>
      </x:c>
      <x:c r="N643" s="4" t="str">
        <x:v>Candidate relationship only; quantity, yield and full recipe remain undefined.</x:v>
      </x:c>
      <x:c r="O643" s="4" t="str">
        <x:v>New October 15 tier-review proposal; user-authorized item audit and Docs/WORLD_BASIS.md. No source-canon or implemented-recipe claim.</x:v>
      </x:c>
      <x:c r="P643" s="4" t="n">
        <x:f>IF(OR(C643="Ingredient candidate",C643="Consumed input",C643="Contained input",C643="Transform input"),IF(F643="T0",0,IF(F643="T1",1,IF(F643="T2",2,IF(F643="T3",3,IF(F643="T4",4,-1))))),-1)</x:f>
        <x:v>2</x:v>
      </x:c>
      <x:c r="Q643" s="4" t="n">
        <x:f>IF(AND(OR(C643="Ingredient candidate",C643="Consumed input",C643="Contained input",C643="Transform input"),P643=-1),1,0)</x:f>
        <x:v>0</x:v>
      </x:c>
    </x:row>
    <x:row r="644" ht="115" customHeight="1">
      <x:c r="A644" s="4" t="str">
        <x:v>design.review.proposal_legger_guard_hinge.in.3</x:v>
      </x:c>
      <x:c r="B644" s="4" t="str">
        <x:v>design.review.proposal_legger_guard_hinge</x:v>
      </x:c>
      <x:c r="C644" s="4" t="str">
        <x:v>Ingredient candidate</x:v>
      </x:c>
      <x:c r="D644" s="4" t="str">
        <x:v>proposal.branch.bearing_bronze</x:v>
      </x:c>
      <x:c r="E644" s="4" t="str">
        <x:f>IFERROR(INDEX('Items'!$B$6:$B$1005,MATCH(D644,'Items'!$A$6:$A$1005,0)),"MISSING ID")</x:f>
        <x:v>Prepared bronze bearing stock</x:v>
      </x:c>
      <x:c r="F644" s="4" t="str">
        <x:f>IFERROR(INDEX('Items'!$C$6:$C$1005,MATCH(D644,'Items'!$A$6:$A$1005,0)),"MISSING ID")</x:f>
        <x:v>T2</x:v>
      </x:c>
      <x:c r="G644" s="4" t="str">
        <x:f>IFERROR(INDEX('Items'!$D$6:$D$1005,MATCH(D644,'Items'!$A$6:$A$1005,0)),"MISSING ID")</x:f>
        <x:v>Manufactured stock</x:v>
      </x:c>
      <x:c r="H644" s="4" t="str">
        <x:f>IFERROR(INDEX('Items'!$X$6:$X$1005,MATCH(D644,'Items'!$A$6:$A$1005,0)),"MISSING ID")</x:f>
        <x:v>Processed material</x:v>
      </x:c>
      <x:c r="I644" s="4"/>
      <x:c r="J644" s="4" t="str">
        <x:v>Unspecified</x:v>
      </x:c>
      <x:c r="K644" s="4" t="str">
        <x:f>IFERROR(INDEX('Crafting recipes'!$D$6:$D$1005,MATCH(B644,'Crafting recipes'!$A$6:$A$1005,0)),"MISSING ID")</x:f>
        <x:v>Proposal</x:v>
      </x:c>
      <x:c r="L644" s="4" t="str">
        <x:f>IFERROR(INDEX('Items'!$AD$6:$AD$1005,MATCH(D644,'Items'!$A$6:$A$1005,0)),"MISSING ID")</x:f>
        <x:v>Proposal</x:v>
      </x:c>
      <x:c r="M644" s="4" t="str">
        <x:f>IFERROR(INDEX('Crafting recipes'!$E$6:$E$1005,MATCH(B644,'Crafting recipes'!$A$6:$A$1005,0)),"MISSING ID")</x:f>
        <x:v>Partial proposal</x:v>
      </x:c>
      <x:c r="N644" s="4" t="str">
        <x:v>Candidate relationship only; quantity, yield and full recipe remain undefined.</x:v>
      </x:c>
      <x:c r="O644" s="4" t="str">
        <x:v>New October 15 tier-review proposal; user-authorized item audit and Docs/WORLD_BASIS.md. No source-canon or implemented-recipe claim.</x:v>
      </x:c>
      <x:c r="P644" s="4" t="n">
        <x:f>IF(OR(C644="Ingredient candidate",C644="Consumed input",C644="Contained input",C644="Transform input"),IF(F644="T0",0,IF(F644="T1",1,IF(F644="T2",2,IF(F644="T3",3,IF(F644="T4",4,-1))))),-1)</x:f>
        <x:v>2</x:v>
      </x:c>
      <x:c r="Q644" s="4" t="n">
        <x:f>IF(AND(OR(C644="Ingredient candidate",C644="Consumed input",C644="Contained input",C644="Transform input"),P644=-1),1,0)</x:f>
        <x:v>0</x:v>
      </x:c>
    </x:row>
    <x:row r="645" ht="115" customHeight="1">
      <x:c r="A645" s="4" t="str">
        <x:v>design.review.proposal_legger_guard_hinge.out</x:v>
      </x:c>
      <x:c r="B645" s="4" t="str">
        <x:v>design.review.proposal_legger_guard_hinge</x:v>
      </x:c>
      <x:c r="C645" s="4" t="str">
        <x:v>Output</x:v>
      </x:c>
      <x:c r="D645" s="4" t="str">
        <x:v>proposal.legger.guard_hinge</x:v>
      </x:c>
      <x:c r="E645" s="4" t="str">
        <x:f>IFERROR(INDEX('Items'!$B$6:$B$1005,MATCH(D645,'Items'!$A$6:$A$1005,0)),"MISSING ID")</x:f>
        <x:v>Armor-guard hinge assembly</x:v>
      </x:c>
      <x:c r="F645" s="4" t="str">
        <x:f>IFERROR(INDEX('Items'!$C$6:$C$1005,MATCH(D645,'Items'!$A$6:$A$1005,0)),"MISSING ID")</x:f>
        <x:v>T4</x:v>
      </x:c>
      <x:c r="G645" s="4" t="str">
        <x:f>IFERROR(INDEX('Items'!$D$6:$D$1005,MATCH(D645,'Items'!$A$6:$A$1005,0)),"MISSING ID")</x:f>
        <x:v>Crafting components</x:v>
      </x:c>
      <x:c r="H645" s="4" t="str">
        <x:f>IFERROR(INDEX('Items'!$X$6:$X$1005,MATCH(D645,'Items'!$A$6:$A$1005,0)),"MISSING ID")</x:f>
        <x:v>Crafting component</x:v>
      </x:c>
      <x:c r="I645" s="4"/>
      <x:c r="J645" s="4" t="str">
        <x:v>Unspecified</x:v>
      </x:c>
      <x:c r="K645" s="4" t="str">
        <x:f>IFERROR(INDEX('Crafting recipes'!$D$6:$D$1005,MATCH(B645,'Crafting recipes'!$A$6:$A$1005,0)),"MISSING ID")</x:f>
        <x:v>Proposal</x:v>
      </x:c>
      <x:c r="L645" s="4" t="str">
        <x:f>IFERROR(INDEX('Items'!$AD$6:$AD$1005,MATCH(D645,'Items'!$A$6:$A$1005,0)),"MISSING ID")</x:f>
        <x:v>Proposal</x:v>
      </x:c>
      <x:c r="M645" s="4" t="str">
        <x:f>IFERROR(INDEX('Crafting recipes'!$E$6:$E$1005,MATCH(B645,'Crafting recipes'!$A$6:$A$1005,0)),"MISSING ID")</x:f>
        <x:v>Partial proposal</x:v>
      </x:c>
      <x:c r="N645" s="4" t="str">
        <x:v>Candidate relationship only; quantity, yield and full recipe remain undefined.</x:v>
      </x:c>
      <x:c r="O645" s="4" t="str">
        <x:v>New October 15 tier-review proposal; user-authorized item audit and Docs/WORLD_BASIS.md. No source-canon or implemented-recipe claim.</x:v>
      </x:c>
      <x:c r="P645" s="4" t="n">
        <x:f>IF(OR(C645="Ingredient candidate",C645="Consumed input",C645="Contained input",C645="Transform input"),IF(F645="T0",0,IF(F645="T1",1,IF(F645="T2",2,IF(F645="T3",3,IF(F645="T4",4,-1))))),-1)</x:f>
        <x:v>-1</x:v>
      </x:c>
      <x:c r="Q645" s="4" t="n">
        <x:f>IF(AND(OR(C645="Ingredient candidate",C645="Consumed input",C645="Contained input",C645="Transform input"),P645=-1),1,0)</x:f>
        <x:v>0</x:v>
      </x:c>
    </x:row>
    <x:row r="646" ht="115" customHeight="1">
      <x:c r="A646" s="4" t="str">
        <x:v>design.review.proposal_food_edible_flakes.in.1</x:v>
      </x:c>
      <x:c r="B646" s="4" t="str">
        <x:v>design.review.proposal_food_edible_flakes</x:v>
      </x:c>
      <x:c r="C646" s="4" t="str">
        <x:v>Ingredient candidate</x:v>
      </x:c>
      <x:c r="D646" s="4" t="str">
        <x:v>proposal.bio.edible_fraction</x:v>
      </x:c>
      <x:c r="E646" s="4" t="str">
        <x:f>IFERROR(INDEX('Items'!$B$6:$B$1005,MATCH(D646,'Items'!$A$6:$A$1005,0)),"MISSING ID")</x:f>
        <x:v>Edible fauna fraction (species TBD)</x:v>
      </x:c>
      <x:c r="F646" s="4" t="str">
        <x:f>IFERROR(INDEX('Items'!$C$6:$C$1005,MATCH(D646,'Items'!$A$6:$A$1005,0)),"MISSING ID")</x:f>
        <x:v>T0</x:v>
      </x:c>
      <x:c r="G646" s="4" t="str">
        <x:f>IFERROR(INDEX('Items'!$D$6:$D$1005,MATCH(D646,'Items'!$A$6:$A$1005,0)),"MISSING ID")</x:f>
        <x:v>Cooking ingredients</x:v>
      </x:c>
      <x:c r="H646" s="4" t="str">
        <x:f>IFERROR(INDEX('Items'!$X$6:$X$1005,MATCH(D646,'Items'!$A$6:$A$1005,0)),"MISSING ID")</x:f>
        <x:v>Food material</x:v>
      </x:c>
      <x:c r="I646" s="4"/>
      <x:c r="J646" s="4" t="str">
        <x:v>Unspecified</x:v>
      </x:c>
      <x:c r="K646" s="4" t="str">
        <x:f>IFERROR(INDEX('Crafting recipes'!$D$6:$D$1005,MATCH(B646,'Crafting recipes'!$A$6:$A$1005,0)),"MISSING ID")</x:f>
        <x:v>Proposal</x:v>
      </x:c>
      <x:c r="L646" s="4" t="str">
        <x:f>IFERROR(INDEX('Items'!$AD$6:$AD$1005,MATCH(D646,'Items'!$A$6:$A$1005,0)),"MISSING ID")</x:f>
        <x:v>Author direction</x:v>
      </x:c>
      <x:c r="M646" s="4" t="str">
        <x:f>IFERROR(INDEX('Crafting recipes'!$E$6:$E$1005,MATCH(B646,'Crafting recipes'!$A$6:$A$1005,0)),"MISSING ID")</x:f>
        <x:v>Partial proposal</x:v>
      </x:c>
      <x:c r="N646" s="4" t="str">
        <x:v>Candidate relationship only; quantity, yield and full recipe remain undefined.</x:v>
      </x:c>
      <x:c r="O646" s="4" t="str">
        <x:v>New October 15 tier-review proposal; user-authorized item audit and Docs/WORLD_BASIS.md. No source-canon or implemented-recipe claim.</x:v>
      </x:c>
      <x:c r="P646" s="4" t="n">
        <x:f>IF(OR(C646="Ingredient candidate",C646="Consumed input",C646="Contained input",C646="Transform input"),IF(F646="T0",0,IF(F646="T1",1,IF(F646="T2",2,IF(F646="T3",3,IF(F646="T4",4,-1))))),-1)</x:f>
        <x:v>0</x:v>
      </x:c>
      <x:c r="Q646" s="4" t="n">
        <x:f>IF(AND(OR(C646="Ingredient candidate",C646="Consumed input",C646="Contained input",C646="Transform input"),P646=-1),1,0)</x:f>
        <x:v>0</x:v>
      </x:c>
    </x:row>
    <x:row r="647" ht="115" customHeight="1">
      <x:c r="A647" s="4" t="str">
        <x:v>design.review.proposal_food_edible_flakes.out</x:v>
      </x:c>
      <x:c r="B647" s="4" t="str">
        <x:v>design.review.proposal_food_edible_flakes</x:v>
      </x:c>
      <x:c r="C647" s="4" t="str">
        <x:v>Output</x:v>
      </x:c>
      <x:c r="D647" s="4" t="str">
        <x:v>proposal.food.edible_flakes</x:v>
      </x:c>
      <x:c r="E647" s="4" t="str">
        <x:f>IFERROR(INDEX('Items'!$B$6:$B$1005,MATCH(D647,'Items'!$A$6:$A$1005,0)),"MISSING ID")</x:f>
        <x:v>Prepared edible-fauna flakes</x:v>
      </x:c>
      <x:c r="F647" s="4" t="str">
        <x:f>IFERROR(INDEX('Items'!$C$6:$C$1005,MATCH(D647,'Items'!$A$6:$A$1005,0)),"MISSING ID")</x:f>
        <x:v>T1</x:v>
      </x:c>
      <x:c r="G647" s="4" t="str">
        <x:f>IFERROR(INDEX('Items'!$D$6:$D$1005,MATCH(D647,'Items'!$A$6:$A$1005,0)),"MISSING ID")</x:f>
        <x:v>Cooking ingredients</x:v>
      </x:c>
      <x:c r="H647" s="4" t="str">
        <x:f>IFERROR(INDEX('Items'!$X$6:$X$1005,MATCH(D647,'Items'!$A$6:$A$1005,0)),"MISSING ID")</x:f>
        <x:v>Food material</x:v>
      </x:c>
      <x:c r="I647" s="4"/>
      <x:c r="J647" s="4" t="str">
        <x:v>Unspecified</x:v>
      </x:c>
      <x:c r="K647" s="4" t="str">
        <x:f>IFERROR(INDEX('Crafting recipes'!$D$6:$D$1005,MATCH(B647,'Crafting recipes'!$A$6:$A$1005,0)),"MISSING ID")</x:f>
        <x:v>Proposal</x:v>
      </x:c>
      <x:c r="L647" s="4" t="str">
        <x:f>IFERROR(INDEX('Items'!$AD$6:$AD$1005,MATCH(D647,'Items'!$A$6:$A$1005,0)),"MISSING ID")</x:f>
        <x:v>Proposal</x:v>
      </x:c>
      <x:c r="M647" s="4" t="str">
        <x:f>IFERROR(INDEX('Crafting recipes'!$E$6:$E$1005,MATCH(B647,'Crafting recipes'!$A$6:$A$1005,0)),"MISSING ID")</x:f>
        <x:v>Partial proposal</x:v>
      </x:c>
      <x:c r="N647" s="4" t="str">
        <x:v>Candidate relationship only; quantity, yield and full recipe remain undefined.</x:v>
      </x:c>
      <x:c r="O647" s="4" t="str">
        <x:v>New October 15 tier-review proposal; user-authorized item audit and Docs/WORLD_BASIS.md. No source-canon or implemented-recipe claim.</x:v>
      </x:c>
      <x:c r="P647" s="4" t="n">
        <x:f>IF(OR(C647="Ingredient candidate",C647="Consumed input",C647="Contained input",C647="Transform input"),IF(F647="T0",0,IF(F647="T1",1,IF(F647="T2",2,IF(F647="T3",3,IF(F647="T4",4,-1))))),-1)</x:f>
        <x:v>-1</x:v>
      </x:c>
      <x:c r="Q647" s="4" t="n">
        <x:f>IF(AND(OR(C647="Ingredient candidate",C647="Consumed input",C647="Contained input",C647="Transform input"),P647=-1),1,0)</x:f>
        <x:v>0</x:v>
      </x:c>
    </x:row>
    <x:row r="648" ht="115" customHeight="1">
      <x:c r="A648" s="4" t="str">
        <x:v>design.review.proposal_food_edible_paste.in.1</x:v>
      </x:c>
      <x:c r="B648" s="4" t="str">
        <x:v>design.review.proposal_food_edible_paste</x:v>
      </x:c>
      <x:c r="C648" s="4" t="str">
        <x:v>Ingredient candidate</x:v>
      </x:c>
      <x:c r="D648" s="4" t="str">
        <x:v>proposal.bio.edible_fraction</x:v>
      </x:c>
      <x:c r="E648" s="4" t="str">
        <x:f>IFERROR(INDEX('Items'!$B$6:$B$1005,MATCH(D648,'Items'!$A$6:$A$1005,0)),"MISSING ID")</x:f>
        <x:v>Edible fauna fraction (species TBD)</x:v>
      </x:c>
      <x:c r="F648" s="4" t="str">
        <x:f>IFERROR(INDEX('Items'!$C$6:$C$1005,MATCH(D648,'Items'!$A$6:$A$1005,0)),"MISSING ID")</x:f>
        <x:v>T0</x:v>
      </x:c>
      <x:c r="G648" s="4" t="str">
        <x:f>IFERROR(INDEX('Items'!$D$6:$D$1005,MATCH(D648,'Items'!$A$6:$A$1005,0)),"MISSING ID")</x:f>
        <x:v>Cooking ingredients</x:v>
      </x:c>
      <x:c r="H648" s="4" t="str">
        <x:f>IFERROR(INDEX('Items'!$X$6:$X$1005,MATCH(D648,'Items'!$A$6:$A$1005,0)),"MISSING ID")</x:f>
        <x:v>Food material</x:v>
      </x:c>
      <x:c r="I648" s="4"/>
      <x:c r="J648" s="4" t="str">
        <x:v>Unspecified</x:v>
      </x:c>
      <x:c r="K648" s="4" t="str">
        <x:f>IFERROR(INDEX('Crafting recipes'!$D$6:$D$1005,MATCH(B648,'Crafting recipes'!$A$6:$A$1005,0)),"MISSING ID")</x:f>
        <x:v>Proposal</x:v>
      </x:c>
      <x:c r="L648" s="4" t="str">
        <x:f>IFERROR(INDEX('Items'!$AD$6:$AD$1005,MATCH(D648,'Items'!$A$6:$A$1005,0)),"MISSING ID")</x:f>
        <x:v>Author direction</x:v>
      </x:c>
      <x:c r="M648" s="4" t="str">
        <x:f>IFERROR(INDEX('Crafting recipes'!$E$6:$E$1005,MATCH(B648,'Crafting recipes'!$A$6:$A$1005,0)),"MISSING ID")</x:f>
        <x:v>Partial proposal</x:v>
      </x:c>
      <x:c r="N648" s="4" t="str">
        <x:v>Candidate relationship only; quantity, yield and full recipe remain undefined.</x:v>
      </x:c>
      <x:c r="O648" s="4" t="str">
        <x:v>New October 15 tier-review proposal; user-authorized item audit and Docs/WORLD_BASIS.md. No source-canon or implemented-recipe claim.</x:v>
      </x:c>
      <x:c r="P648" s="4" t="n">
        <x:f>IF(OR(C648="Ingredient candidate",C648="Consumed input",C648="Contained input",C648="Transform input"),IF(F648="T0",0,IF(F648="T1",1,IF(F648="T2",2,IF(F648="T3",3,IF(F648="T4",4,-1))))),-1)</x:f>
        <x:v>0</x:v>
      </x:c>
      <x:c r="Q648" s="4" t="n">
        <x:f>IF(AND(OR(C648="Ingredient candidate",C648="Consumed input",C648="Contained input",C648="Transform input"),P648=-1),1,0)</x:f>
        <x:v>0</x:v>
      </x:c>
    </x:row>
    <x:row r="649" ht="115" customHeight="1">
      <x:c r="A649" s="4" t="str">
        <x:v>design.review.proposal_food_edible_paste.out</x:v>
      </x:c>
      <x:c r="B649" s="4" t="str">
        <x:v>design.review.proposal_food_edible_paste</x:v>
      </x:c>
      <x:c r="C649" s="4" t="str">
        <x:v>Output</x:v>
      </x:c>
      <x:c r="D649" s="4" t="str">
        <x:v>proposal.food.edible_paste</x:v>
      </x:c>
      <x:c r="E649" s="4" t="str">
        <x:f>IFERROR(INDEX('Items'!$B$6:$B$1005,MATCH(D649,'Items'!$A$6:$A$1005,0)),"MISSING ID")</x:f>
        <x:v>Prepared edible-fauna paste</x:v>
      </x:c>
      <x:c r="F649" s="4" t="str">
        <x:f>IFERROR(INDEX('Items'!$C$6:$C$1005,MATCH(D649,'Items'!$A$6:$A$1005,0)),"MISSING ID")</x:f>
        <x:v>T1</x:v>
      </x:c>
      <x:c r="G649" s="4" t="str">
        <x:f>IFERROR(INDEX('Items'!$D$6:$D$1005,MATCH(D649,'Items'!$A$6:$A$1005,0)),"MISSING ID")</x:f>
        <x:v>Cooking ingredients</x:v>
      </x:c>
      <x:c r="H649" s="4" t="str">
        <x:f>IFERROR(INDEX('Items'!$X$6:$X$1005,MATCH(D649,'Items'!$A$6:$A$1005,0)),"MISSING ID")</x:f>
        <x:v>Food material</x:v>
      </x:c>
      <x:c r="I649" s="4"/>
      <x:c r="J649" s="4" t="str">
        <x:v>Unspecified</x:v>
      </x:c>
      <x:c r="K649" s="4" t="str">
        <x:f>IFERROR(INDEX('Crafting recipes'!$D$6:$D$1005,MATCH(B649,'Crafting recipes'!$A$6:$A$1005,0)),"MISSING ID")</x:f>
        <x:v>Proposal</x:v>
      </x:c>
      <x:c r="L649" s="4" t="str">
        <x:f>IFERROR(INDEX('Items'!$AD$6:$AD$1005,MATCH(D649,'Items'!$A$6:$A$1005,0)),"MISSING ID")</x:f>
        <x:v>Proposal</x:v>
      </x:c>
      <x:c r="M649" s="4" t="str">
        <x:f>IFERROR(INDEX('Crafting recipes'!$E$6:$E$1005,MATCH(B649,'Crafting recipes'!$A$6:$A$1005,0)),"MISSING ID")</x:f>
        <x:v>Partial proposal</x:v>
      </x:c>
      <x:c r="N649" s="4" t="str">
        <x:v>Candidate relationship only; quantity, yield and full recipe remain undefined.</x:v>
      </x:c>
      <x:c r="O649" s="4" t="str">
        <x:v>New October 15 tier-review proposal; user-authorized item audit and Docs/WORLD_BASIS.md. No source-canon or implemented-recipe claim.</x:v>
      </x:c>
      <x:c r="P649" s="4" t="n">
        <x:f>IF(OR(C649="Ingredient candidate",C649="Consumed input",C649="Contained input",C649="Transform input"),IF(F649="T0",0,IF(F649="T1",1,IF(F649="T2",2,IF(F649="T3",3,IF(F649="T4",4,-1))))),-1)</x:f>
        <x:v>-1</x:v>
      </x:c>
      <x:c r="Q649" s="4" t="n">
        <x:f>IF(AND(OR(C649="Ingredient candidate",C649="Consumed input",C649="Contained input",C649="Transform input"),P649=-1),1,0)</x:f>
        <x:v>0</x:v>
      </x:c>
    </x:row>
    <x:row r="650" ht="115" customHeight="1">
      <x:c r="A650" s="4" t="str">
        <x:v>design.review.author_electrical_insulation_stock.in.1</x:v>
      </x:c>
      <x:c r="B650" s="4" t="str">
        <x:v>design.review.author_electrical_insulation_stock</x:v>
      </x:c>
      <x:c r="C650" s="4" t="str">
        <x:v>Ingredient candidate</x:v>
      </x:c>
      <x:c r="D650" s="4" t="str">
        <x:v>proposal.branch.mica_sheet</x:v>
      </x:c>
      <x:c r="E650" s="4" t="str">
        <x:f>IFERROR(INDEX('Items'!$B$6:$B$1005,MATCH(D650,'Items'!$A$6:$A$1005,0)),"MISSING ID")</x:f>
        <x:v>Mica composite sheet</x:v>
      </x:c>
      <x:c r="F650" s="4" t="str">
        <x:f>IFERROR(INDEX('Items'!$C$6:$C$1005,MATCH(D650,'Items'!$A$6:$A$1005,0)),"MISSING ID")</x:f>
        <x:v>T2</x:v>
      </x:c>
      <x:c r="G650" s="4" t="str">
        <x:f>IFERROR(INDEX('Items'!$D$6:$D$1005,MATCH(D650,'Items'!$A$6:$A$1005,0)),"MISSING ID")</x:f>
        <x:v>Manufactured stock</x:v>
      </x:c>
      <x:c r="H650" s="4" t="str">
        <x:f>IFERROR(INDEX('Items'!$X$6:$X$1005,MATCH(D650,'Items'!$A$6:$A$1005,0)),"MISSING ID")</x:f>
        <x:v>Processed material</x:v>
      </x:c>
      <x:c r="I650" s="4"/>
      <x:c r="J650" s="4" t="str">
        <x:v>Unspecified</x:v>
      </x:c>
      <x:c r="K650" s="4" t="str">
        <x:f>IFERROR(INDEX('Crafting recipes'!$D$6:$D$1005,MATCH(B650,'Crafting recipes'!$A$6:$A$1005,0)),"MISSING ID")</x:f>
        <x:v>Proposal</x:v>
      </x:c>
      <x:c r="L650" s="4" t="str">
        <x:f>IFERROR(INDEX('Items'!$AD$6:$AD$1005,MATCH(D650,'Items'!$A$6:$A$1005,0)),"MISSING ID")</x:f>
        <x:v>Proposal</x:v>
      </x:c>
      <x:c r="M650" s="4" t="str">
        <x:f>IFERROR(INDEX('Crafting recipes'!$E$6:$E$1005,MATCH(B650,'Crafting recipes'!$A$6:$A$1005,0)),"MISSING ID")</x:f>
        <x:v>Partial proposal</x:v>
      </x:c>
      <x:c r="N650" s="4" t="str">
        <x:v>Candidate relationship only; quantity, yield and full recipe remain undefined.</x:v>
      </x:c>
      <x:c r="O650" s="4" t="str">
        <x:v>New October 15 tier-review proposal; user-authorized item audit and Docs/WORLD_BASIS.md. No source-canon or implemented-recipe claim.</x:v>
      </x:c>
      <x:c r="P650" s="4" t="n">
        <x:f>IF(OR(C650="Ingredient candidate",C650="Consumed input",C650="Contained input",C650="Transform input"),IF(F650="T0",0,IF(F650="T1",1,IF(F650="T2",2,IF(F650="T3",3,IF(F650="T4",4,-1))))),-1)</x:f>
        <x:v>2</x:v>
      </x:c>
      <x:c r="Q650" s="4" t="n">
        <x:f>IF(AND(OR(C650="Ingredient candidate",C650="Consumed input",C650="Contained input",C650="Transform input"),P650=-1),1,0)</x:f>
        <x:v>0</x:v>
      </x:c>
    </x:row>
    <x:row r="651" ht="115" customHeight="1">
      <x:c r="A651" s="4" t="str">
        <x:v>design.review.author_electrical_insulation_stock.in.2</x:v>
      </x:c>
      <x:c r="B651" s="4" t="str">
        <x:v>design.review.author_electrical_insulation_stock</x:v>
      </x:c>
      <x:c r="C651" s="4" t="str">
        <x:v>Ingredient candidate</x:v>
      </x:c>
      <x:c r="D651" s="4" t="str">
        <x:v>proposal.branch.flex_bond</x:v>
      </x:c>
      <x:c r="E651" s="4" t="str">
        <x:f>IFERROR(INDEX('Items'!$B$6:$B$1005,MATCH(D651,'Items'!$A$6:$A$1005,0)),"MISSING ID")</x:f>
        <x:v>Flexible membrane-bonding compound</x:v>
      </x:c>
      <x:c r="F651" s="4" t="str">
        <x:f>IFERROR(INDEX('Items'!$C$6:$C$1005,MATCH(D651,'Items'!$A$6:$A$1005,0)),"MISSING ID")</x:f>
        <x:v>T2</x:v>
      </x:c>
      <x:c r="G651" s="4" t="str">
        <x:f>IFERROR(INDEX('Items'!$D$6:$D$1005,MATCH(D651,'Items'!$A$6:$A$1005,0)),"MISSING ID")</x:f>
        <x:v>Crafting components</x:v>
      </x:c>
      <x:c r="H651" s="4" t="str">
        <x:f>IFERROR(INDEX('Items'!$X$6:$X$1005,MATCH(D651,'Items'!$A$6:$A$1005,0)),"MISSING ID")</x:f>
        <x:v>Chemical material</x:v>
      </x:c>
      <x:c r="I651" s="4"/>
      <x:c r="J651" s="4" t="str">
        <x:v>Unspecified</x:v>
      </x:c>
      <x:c r="K651" s="4" t="str">
        <x:f>IFERROR(INDEX('Crafting recipes'!$D$6:$D$1005,MATCH(B651,'Crafting recipes'!$A$6:$A$1005,0)),"MISSING ID")</x:f>
        <x:v>Proposal</x:v>
      </x:c>
      <x:c r="L651" s="4" t="str">
        <x:f>IFERROR(INDEX('Items'!$AD$6:$AD$1005,MATCH(D651,'Items'!$A$6:$A$1005,0)),"MISSING ID")</x:f>
        <x:v>Proposal</x:v>
      </x:c>
      <x:c r="M651" s="4" t="str">
        <x:f>IFERROR(INDEX('Crafting recipes'!$E$6:$E$1005,MATCH(B651,'Crafting recipes'!$A$6:$A$1005,0)),"MISSING ID")</x:f>
        <x:v>Partial proposal</x:v>
      </x:c>
      <x:c r="N651" s="4" t="str">
        <x:v>Candidate relationship only; quantity, yield and full recipe remain undefined.</x:v>
      </x:c>
      <x:c r="O651" s="4" t="str">
        <x:v>New October 15 tier-review proposal; user-authorized item audit and Docs/WORLD_BASIS.md. No source-canon or implemented-recipe claim.</x:v>
      </x:c>
      <x:c r="P651" s="4" t="n">
        <x:f>IF(OR(C651="Ingredient candidate",C651="Consumed input",C651="Contained input",C651="Transform input"),IF(F651="T0",0,IF(F651="T1",1,IF(F651="T2",2,IF(F651="T3",3,IF(F651="T4",4,-1))))),-1)</x:f>
        <x:v>2</x:v>
      </x:c>
      <x:c r="Q651" s="4" t="n">
        <x:f>IF(AND(OR(C651="Ingredient candidate",C651="Consumed input",C651="Contained input",C651="Transform input"),P651=-1),1,0)</x:f>
        <x:v>0</x:v>
      </x:c>
    </x:row>
    <x:row r="652" ht="115" customHeight="1">
      <x:c r="A652" s="4" t="str">
        <x:v>design.review.author_electrical_insulation_stock.in.3</x:v>
      </x:c>
      <x:c r="B652" s="4" t="str">
        <x:v>design.review.author_electrical_insulation_stock</x:v>
      </x:c>
      <x:c r="C652" s="4" t="str">
        <x:v>Ingredient candidate</x:v>
      </x:c>
      <x:c r="D652" s="4" t="str">
        <x:v>proposal.natural.ceramic</x:v>
      </x:c>
      <x:c r="E652" s="4" t="str">
        <x:f>IFERROR(INDEX('Items'!$B$6:$B$1005,MATCH(D652,'Items'!$A$6:$A$1005,0)),"MISSING ID")</x:f>
        <x:v>Insulating ceramic blanks</x:v>
      </x:c>
      <x:c r="F652" s="4" t="str">
        <x:f>IFERROR(INDEX('Items'!$C$6:$C$1005,MATCH(D652,'Items'!$A$6:$A$1005,0)),"MISSING ID")</x:f>
        <x:v>T2</x:v>
      </x:c>
      <x:c r="G652" s="4" t="str">
        <x:f>IFERROR(INDEX('Items'!$D$6:$D$1005,MATCH(D652,'Items'!$A$6:$A$1005,0)),"MISSING ID")</x:f>
        <x:v>Manufactured stock</x:v>
      </x:c>
      <x:c r="H652" s="4" t="str">
        <x:f>IFERROR(INDEX('Items'!$X$6:$X$1005,MATCH(D652,'Items'!$A$6:$A$1005,0)),"MISSING ID")</x:f>
        <x:v>Processed material</x:v>
      </x:c>
      <x:c r="I652" s="4"/>
      <x:c r="J652" s="4" t="str">
        <x:v>Unspecified</x:v>
      </x:c>
      <x:c r="K652" s="4" t="str">
        <x:f>IFERROR(INDEX('Crafting recipes'!$D$6:$D$1005,MATCH(B652,'Crafting recipes'!$A$6:$A$1005,0)),"MISSING ID")</x:f>
        <x:v>Proposal</x:v>
      </x:c>
      <x:c r="L652" s="4" t="str">
        <x:f>IFERROR(INDEX('Items'!$AD$6:$AD$1005,MATCH(D652,'Items'!$A$6:$A$1005,0)),"MISSING ID")</x:f>
        <x:v>Proposal</x:v>
      </x:c>
      <x:c r="M652" s="4" t="str">
        <x:f>IFERROR(INDEX('Crafting recipes'!$E$6:$E$1005,MATCH(B652,'Crafting recipes'!$A$6:$A$1005,0)),"MISSING ID")</x:f>
        <x:v>Partial proposal</x:v>
      </x:c>
      <x:c r="N652" s="4" t="str">
        <x:v>Candidate relationship only; quantity, yield and full recipe remain undefined.</x:v>
      </x:c>
      <x:c r="O652" s="4" t="str">
        <x:v>New October 15 tier-review proposal; user-authorized item audit and Docs/WORLD_BASIS.md. No source-canon or implemented-recipe claim.</x:v>
      </x:c>
      <x:c r="P652" s="4" t="n">
        <x:f>IF(OR(C652="Ingredient candidate",C652="Consumed input",C652="Contained input",C652="Transform input"),IF(F652="T0",0,IF(F652="T1",1,IF(F652="T2",2,IF(F652="T3",3,IF(F652="T4",4,-1))))),-1)</x:f>
        <x:v>2</x:v>
      </x:c>
      <x:c r="Q652" s="4" t="n">
        <x:f>IF(AND(OR(C652="Ingredient candidate",C652="Consumed input",C652="Contained input",C652="Transform input"),P652=-1),1,0)</x:f>
        <x:v>0</x:v>
      </x:c>
    </x:row>
    <x:row r="653" ht="115" customHeight="1">
      <x:c r="A653" s="4" t="str">
        <x:v>design.review.author_electrical_insulation_stock.out</x:v>
      </x:c>
      <x:c r="B653" s="4" t="str">
        <x:v>design.review.author_electrical_insulation_stock</x:v>
      </x:c>
      <x:c r="C653" s="4" t="str">
        <x:v>Output</x:v>
      </x:c>
      <x:c r="D653" s="4" t="str">
        <x:v>author.electrical.insulation_stock</x:v>
      </x:c>
      <x:c r="E653" s="4" t="str">
        <x:f>IFERROR(INDEX('Items'!$B$6:$B$1005,MATCH(D653,'Items'!$A$6:$A$1005,0)),"MISSING ID")</x:f>
        <x:v>Prepared electrical insulation stock</x:v>
      </x:c>
      <x:c r="F653" s="4" t="str">
        <x:f>IFERROR(INDEX('Items'!$C$6:$C$1005,MATCH(D653,'Items'!$A$6:$A$1005,0)),"MISSING ID")</x:f>
        <x:v>T3</x:v>
      </x:c>
      <x:c r="G653" s="4" t="str">
        <x:f>IFERROR(INDEX('Items'!$D$6:$D$1005,MATCH(D653,'Items'!$A$6:$A$1005,0)),"MISSING ID")</x:f>
        <x:v>Manufactured stock</x:v>
      </x:c>
      <x:c r="H653" s="4" t="str">
        <x:f>IFERROR(INDEX('Items'!$X$6:$X$1005,MATCH(D653,'Items'!$A$6:$A$1005,0)),"MISSING ID")</x:f>
        <x:v>Processed material</x:v>
      </x:c>
      <x:c r="I653" s="4"/>
      <x:c r="J653" s="4" t="str">
        <x:v>Unspecified</x:v>
      </x:c>
      <x:c r="K653" s="4" t="str">
        <x:f>IFERROR(INDEX('Crafting recipes'!$D$6:$D$1005,MATCH(B653,'Crafting recipes'!$A$6:$A$1005,0)),"MISSING ID")</x:f>
        <x:v>Proposal</x:v>
      </x:c>
      <x:c r="L653" s="4" t="str">
        <x:f>IFERROR(INDEX('Items'!$AD$6:$AD$1005,MATCH(D653,'Items'!$A$6:$A$1005,0)),"MISSING ID")</x:f>
        <x:v>Author direction</x:v>
      </x:c>
      <x:c r="M653" s="4" t="str">
        <x:f>IFERROR(INDEX('Crafting recipes'!$E$6:$E$1005,MATCH(B653,'Crafting recipes'!$A$6:$A$1005,0)),"MISSING ID")</x:f>
        <x:v>Partial proposal</x:v>
      </x:c>
      <x:c r="N653" s="4" t="str">
        <x:v>Candidate relationship only; quantity, yield and full recipe remain undefined.</x:v>
      </x:c>
      <x:c r="O653" s="4" t="str">
        <x:v>New October 15 tier-review proposal; user-authorized item audit and Docs/WORLD_BASIS.md. No source-canon or implemented-recipe claim.</x:v>
      </x:c>
      <x:c r="P653" s="4" t="n">
        <x:f>IF(OR(C653="Ingredient candidate",C653="Consumed input",C653="Contained input",C653="Transform input"),IF(F653="T0",0,IF(F653="T1",1,IF(F653="T2",2,IF(F653="T3",3,IF(F653="T4",4,-1))))),-1)</x:f>
        <x:v>-1</x:v>
      </x:c>
      <x:c r="Q653" s="4" t="n">
        <x:f>IF(AND(OR(C653="Ingredient candidate",C653="Consumed input",C653="Contained input",C653="Transform input"),P653=-1),1,0)</x:f>
        <x:v>0</x:v>
      </x:c>
    </x:row>
    <x:row r="654" ht="115" customHeight="1">
      <x:c r="A654" s="4" t="str">
        <x:v>design.review.proposal_corrosion_converter.in.1</x:v>
      </x:c>
      <x:c r="B654" s="4" t="str">
        <x:v>design.review.proposal_corrosion_converter</x:v>
      </x:c>
      <x:c r="C654" s="4" t="str">
        <x:v>Ingredient candidate</x:v>
      </x:c>
      <x:c r="D654" s="4" t="str">
        <x:v>proposal.review.oxide_reactive_fraction</x:v>
      </x:c>
      <x:c r="E654" s="4" t="str">
        <x:f>IFERROR(INDEX('Items'!$B$6:$B$1005,MATCH(D654,'Items'!$A$6:$A$1005,0)),"MISSING ID")</x:f>
        <x:v>Selected oxide-reactive faunal fraction</x:v>
      </x:c>
      <x:c r="F654" s="4" t="str">
        <x:f>IFERROR(INDEX('Items'!$C$6:$C$1005,MATCH(D654,'Items'!$A$6:$A$1005,0)),"MISSING ID")</x:f>
        <x:v>T1</x:v>
      </x:c>
      <x:c r="G654" s="4" t="str">
        <x:f>IFERROR(INDEX('Items'!$D$6:$D$1005,MATCH(D654,'Items'!$A$6:$A$1005,0)),"MISSING ID")</x:f>
        <x:v>Crafting components</x:v>
      </x:c>
      <x:c r="H654" s="4" t="str">
        <x:f>IFERROR(INDEX('Items'!$X$6:$X$1005,MATCH(D654,'Items'!$A$6:$A$1005,0)),"MISSING ID")</x:f>
        <x:v>Chemical material</x:v>
      </x:c>
      <x:c r="I654" s="4"/>
      <x:c r="J654" s="4" t="str">
        <x:v>Unspecified</x:v>
      </x:c>
      <x:c r="K654" s="4" t="str">
        <x:f>IFERROR(INDEX('Crafting recipes'!$D$6:$D$1005,MATCH(B654,'Crafting recipes'!$A$6:$A$1005,0)),"MISSING ID")</x:f>
        <x:v>Proposal</x:v>
      </x:c>
      <x:c r="L654" s="4" t="str">
        <x:f>IFERROR(INDEX('Items'!$AD$6:$AD$1005,MATCH(D654,'Items'!$A$6:$A$1005,0)),"MISSING ID")</x:f>
        <x:v>Proposal</x:v>
      </x:c>
      <x:c r="M654" s="4" t="str">
        <x:f>IFERROR(INDEX('Crafting recipes'!$E$6:$E$1005,MATCH(B654,'Crafting recipes'!$A$6:$A$1005,0)),"MISSING ID")</x:f>
        <x:v>Partial proposal</x:v>
      </x:c>
      <x:c r="N654" s="4" t="str">
        <x:v>Candidate relationship only; quantity, yield and full recipe remain undefined.</x:v>
      </x:c>
      <x:c r="O654" s="4" t="str">
        <x:v>New October 15 tier-review proposal; user-authorized item audit and Docs/WORLD_BASIS.md. No source-canon or implemented-recipe claim.</x:v>
      </x:c>
      <x:c r="P654" s="4" t="n">
        <x:f>IF(OR(C654="Ingredient candidate",C654="Consumed input",C654="Contained input",C654="Transform input"),IF(F654="T0",0,IF(F654="T1",1,IF(F654="T2",2,IF(F654="T3",3,IF(F654="T4",4,-1))))),-1)</x:f>
        <x:v>1</x:v>
      </x:c>
      <x:c r="Q654" s="4" t="n">
        <x:f>IF(AND(OR(C654="Ingredient candidate",C654="Consumed input",C654="Contained input",C654="Transform input"),P654=-1),1,0)</x:f>
        <x:v>0</x:v>
      </x:c>
    </x:row>
    <x:row r="655" ht="115" customHeight="1">
      <x:c r="A655" s="4" t="str">
        <x:v>design.review.proposal_corrosion_converter.in.2</x:v>
      </x:c>
      <x:c r="B655" s="4" t="str">
        <x:v>design.review.proposal_corrosion_converter</x:v>
      </x:c>
      <x:c r="C655" s="4" t="str">
        <x:v>Ingredient candidate</x:v>
      </x:c>
      <x:c r="D655" s="4" t="str">
        <x:v>proposal.t1.faunal_carrier</x:v>
      </x:c>
      <x:c r="E655" s="4" t="str">
        <x:f>IFERROR(INDEX('Items'!$B$6:$B$1005,MATCH(D655,'Items'!$A$6:$A$1005,0)),"MISSING ID")</x:f>
        <x:v>Selected faunal carrier fraction</x:v>
      </x:c>
      <x:c r="F655" s="4" t="str">
        <x:f>IFERROR(INDEX('Items'!$C$6:$C$1005,MATCH(D655,'Items'!$A$6:$A$1005,0)),"MISSING ID")</x:f>
        <x:v>T1</x:v>
      </x:c>
      <x:c r="G655" s="4" t="str">
        <x:f>IFERROR(INDEX('Items'!$D$6:$D$1005,MATCH(D655,'Items'!$A$6:$A$1005,0)),"MISSING ID")</x:f>
        <x:v>Crafting components</x:v>
      </x:c>
      <x:c r="H655" s="4" t="str">
        <x:f>IFERROR(INDEX('Items'!$X$6:$X$1005,MATCH(D655,'Items'!$A$6:$A$1005,0)),"MISSING ID")</x:f>
        <x:v>Chemical material</x:v>
      </x:c>
      <x:c r="I655" s="4"/>
      <x:c r="J655" s="4" t="str">
        <x:v>Unspecified</x:v>
      </x:c>
      <x:c r="K655" s="4" t="str">
        <x:f>IFERROR(INDEX('Crafting recipes'!$D$6:$D$1005,MATCH(B655,'Crafting recipes'!$A$6:$A$1005,0)),"MISSING ID")</x:f>
        <x:v>Proposal</x:v>
      </x:c>
      <x:c r="L655" s="4" t="str">
        <x:f>IFERROR(INDEX('Items'!$AD$6:$AD$1005,MATCH(D655,'Items'!$A$6:$A$1005,0)),"MISSING ID")</x:f>
        <x:v>Proposal</x:v>
      </x:c>
      <x:c r="M655" s="4" t="str">
        <x:f>IFERROR(INDEX('Crafting recipes'!$E$6:$E$1005,MATCH(B655,'Crafting recipes'!$A$6:$A$1005,0)),"MISSING ID")</x:f>
        <x:v>Partial proposal</x:v>
      </x:c>
      <x:c r="N655" s="4" t="str">
        <x:v>Candidate relationship only; quantity, yield and full recipe remain undefined.</x:v>
      </x:c>
      <x:c r="O655" s="4" t="str">
        <x:v>New October 15 tier-review proposal; user-authorized item audit and Docs/WORLD_BASIS.md. No source-canon or implemented-recipe claim.</x:v>
      </x:c>
      <x:c r="P655" s="4" t="n">
        <x:f>IF(OR(C655="Ingredient candidate",C655="Consumed input",C655="Contained input",C655="Transform input"),IF(F655="T0",0,IF(F655="T1",1,IF(F655="T2",2,IF(F655="T3",3,IF(F655="T4",4,-1))))),-1)</x:f>
        <x:v>1</x:v>
      </x:c>
      <x:c r="Q655" s="4" t="n">
        <x:f>IF(AND(OR(C655="Ingredient candidate",C655="Consumed input",C655="Contained input",C655="Transform input"),P655=-1),1,0)</x:f>
        <x:v>0</x:v>
      </x:c>
    </x:row>
    <x:row r="656" ht="115" customHeight="1">
      <x:c r="A656" s="4" t="str">
        <x:v>design.review.proposal_corrosion_converter.out</x:v>
      </x:c>
      <x:c r="B656" s="4" t="str">
        <x:v>design.review.proposal_corrosion_converter</x:v>
      </x:c>
      <x:c r="C656" s="4" t="str">
        <x:v>Output</x:v>
      </x:c>
      <x:c r="D656" s="4" t="str">
        <x:v>proposal.corrosion.converter</x:v>
      </x:c>
      <x:c r="E656" s="4" t="str">
        <x:f>IFERROR(INDEX('Items'!$B$6:$B$1005,MATCH(D656,'Items'!$A$6:$A$1005,0)),"MISSING ID")</x:f>
        <x:v>Rust-conversion treatment</x:v>
      </x:c>
      <x:c r="F656" s="4" t="str">
        <x:f>IFERROR(INDEX('Items'!$C$6:$C$1005,MATCH(D656,'Items'!$A$6:$A$1005,0)),"MISSING ID")</x:f>
        <x:v>T2</x:v>
      </x:c>
      <x:c r="G656" s="4" t="str">
        <x:f>IFERROR(INDEX('Items'!$D$6:$D$1005,MATCH(D656,'Items'!$A$6:$A$1005,0)),"MISSING ID")</x:f>
        <x:v>Crafting components</x:v>
      </x:c>
      <x:c r="H656" s="4" t="str">
        <x:f>IFERROR(INDEX('Items'!$X$6:$X$1005,MATCH(D656,'Items'!$A$6:$A$1005,0)),"MISSING ID")</x:f>
        <x:v>Chemical material</x:v>
      </x:c>
      <x:c r="I656" s="4"/>
      <x:c r="J656" s="4" t="str">
        <x:v>Unspecified</x:v>
      </x:c>
      <x:c r="K656" s="4" t="str">
        <x:f>IFERROR(INDEX('Crafting recipes'!$D$6:$D$1005,MATCH(B656,'Crafting recipes'!$A$6:$A$1005,0)),"MISSING ID")</x:f>
        <x:v>Proposal</x:v>
      </x:c>
      <x:c r="L656" s="4" t="str">
        <x:f>IFERROR(INDEX('Items'!$AD$6:$AD$1005,MATCH(D656,'Items'!$A$6:$A$1005,0)),"MISSING ID")</x:f>
        <x:v>Proposal</x:v>
      </x:c>
      <x:c r="M656" s="4" t="str">
        <x:f>IFERROR(INDEX('Crafting recipes'!$E$6:$E$1005,MATCH(B656,'Crafting recipes'!$A$6:$A$1005,0)),"MISSING ID")</x:f>
        <x:v>Partial proposal</x:v>
      </x:c>
      <x:c r="N656" s="4" t="str">
        <x:v>Candidate relationship only; quantity, yield and full recipe remain undefined.</x:v>
      </x:c>
      <x:c r="O656" s="4" t="str">
        <x:v>New October 15 tier-review proposal; user-authorized item audit and Docs/WORLD_BASIS.md. No source-canon or implemented-recipe claim.</x:v>
      </x:c>
      <x:c r="P656" s="4" t="n">
        <x:f>IF(OR(C656="Ingredient candidate",C656="Consumed input",C656="Contained input",C656="Transform input"),IF(F656="T0",0,IF(F656="T1",1,IF(F656="T2",2,IF(F656="T3",3,IF(F656="T4",4,-1))))),-1)</x:f>
        <x:v>-1</x:v>
      </x:c>
      <x:c r="Q656" s="4" t="n">
        <x:f>IF(AND(OR(C656="Ingredient candidate",C656="Consumed input",C656="Contained input",C656="Transform input"),P656=-1),1,0)</x:f>
        <x:v>0</x:v>
      </x:c>
    </x:row>
    <x:row r="657" ht="115" customHeight="1">
      <x:c r="A657" s="4" t="str">
        <x:v>design.review.proposal_corrosion_inhibitor.in.1</x:v>
      </x:c>
      <x:c r="B657" s="4" t="str">
        <x:v>design.review.proposal_corrosion_inhibitor</x:v>
      </x:c>
      <x:c r="C657" s="4" t="str">
        <x:v>Ingredient candidate</x:v>
      </x:c>
      <x:c r="D657" s="4" t="str">
        <x:v>proposal.branch.flex_binder</x:v>
      </x:c>
      <x:c r="E657" s="4" t="str">
        <x:f>IFERROR(INDEX('Items'!$B$6:$B$1005,MATCH(D657,'Items'!$A$6:$A$1005,0)),"MISSING ID")</x:f>
        <x:v>Prepared flexible faunal binder</x:v>
      </x:c>
      <x:c r="F657" s="4" t="str">
        <x:f>IFERROR(INDEX('Items'!$C$6:$C$1005,MATCH(D657,'Items'!$A$6:$A$1005,0)),"MISSING ID")</x:f>
        <x:v>T1</x:v>
      </x:c>
      <x:c r="G657" s="4" t="str">
        <x:f>IFERROR(INDEX('Items'!$D$6:$D$1005,MATCH(D657,'Items'!$A$6:$A$1005,0)),"MISSING ID")</x:f>
        <x:v>Crafting components</x:v>
      </x:c>
      <x:c r="H657" s="4" t="str">
        <x:f>IFERROR(INDEX('Items'!$X$6:$X$1005,MATCH(D657,'Items'!$A$6:$A$1005,0)),"MISSING ID")</x:f>
        <x:v>Chemical material</x:v>
      </x:c>
      <x:c r="I657" s="4"/>
      <x:c r="J657" s="4" t="str">
        <x:v>Unspecified</x:v>
      </x:c>
      <x:c r="K657" s="4" t="str">
        <x:f>IFERROR(INDEX('Crafting recipes'!$D$6:$D$1005,MATCH(B657,'Crafting recipes'!$A$6:$A$1005,0)),"MISSING ID")</x:f>
        <x:v>Proposal</x:v>
      </x:c>
      <x:c r="L657" s="4" t="str">
        <x:f>IFERROR(INDEX('Items'!$AD$6:$AD$1005,MATCH(D657,'Items'!$A$6:$A$1005,0)),"MISSING ID")</x:f>
        <x:v>Proposal</x:v>
      </x:c>
      <x:c r="M657" s="4" t="str">
        <x:f>IFERROR(INDEX('Crafting recipes'!$E$6:$E$1005,MATCH(B657,'Crafting recipes'!$A$6:$A$1005,0)),"MISSING ID")</x:f>
        <x:v>Partial proposal</x:v>
      </x:c>
      <x:c r="N657" s="4" t="str">
        <x:v>Candidate relationship only; quantity, yield and full recipe remain undefined.</x:v>
      </x:c>
      <x:c r="O657" s="4" t="str">
        <x:v>New October 15 tier-review proposal; user-authorized item audit and Docs/WORLD_BASIS.md. No source-canon or implemented-recipe claim.</x:v>
      </x:c>
      <x:c r="P657" s="4" t="n">
        <x:f>IF(OR(C657="Ingredient candidate",C657="Consumed input",C657="Contained input",C657="Transform input"),IF(F657="T0",0,IF(F657="T1",1,IF(F657="T2",2,IF(F657="T3",3,IF(F657="T4",4,-1))))),-1)</x:f>
        <x:v>1</x:v>
      </x:c>
      <x:c r="Q657" s="4" t="n">
        <x:f>IF(AND(OR(C657="Ingredient candidate",C657="Consumed input",C657="Contained input",C657="Transform input"),P657=-1),1,0)</x:f>
        <x:v>0</x:v>
      </x:c>
    </x:row>
    <x:row r="658" ht="115" customHeight="1">
      <x:c r="A658" s="4" t="str">
        <x:v>design.review.proposal_corrosion_inhibitor.in.2</x:v>
      </x:c>
      <x:c r="B658" s="4" t="str">
        <x:v>design.review.proposal_corrosion_inhibitor</x:v>
      </x:c>
      <x:c r="C658" s="4" t="str">
        <x:v>Ingredient candidate</x:v>
      </x:c>
      <x:c r="D658" s="4" t="str">
        <x:v>proposal.t1.faunal_carrier</x:v>
      </x:c>
      <x:c r="E658" s="4" t="str">
        <x:f>IFERROR(INDEX('Items'!$B$6:$B$1005,MATCH(D658,'Items'!$A$6:$A$1005,0)),"MISSING ID")</x:f>
        <x:v>Selected faunal carrier fraction</x:v>
      </x:c>
      <x:c r="F658" s="4" t="str">
        <x:f>IFERROR(INDEX('Items'!$C$6:$C$1005,MATCH(D658,'Items'!$A$6:$A$1005,0)),"MISSING ID")</x:f>
        <x:v>T1</x:v>
      </x:c>
      <x:c r="G658" s="4" t="str">
        <x:f>IFERROR(INDEX('Items'!$D$6:$D$1005,MATCH(D658,'Items'!$A$6:$A$1005,0)),"MISSING ID")</x:f>
        <x:v>Crafting components</x:v>
      </x:c>
      <x:c r="H658" s="4" t="str">
        <x:f>IFERROR(INDEX('Items'!$X$6:$X$1005,MATCH(D658,'Items'!$A$6:$A$1005,0)),"MISSING ID")</x:f>
        <x:v>Chemical material</x:v>
      </x:c>
      <x:c r="I658" s="4"/>
      <x:c r="J658" s="4" t="str">
        <x:v>Unspecified</x:v>
      </x:c>
      <x:c r="K658" s="4" t="str">
        <x:f>IFERROR(INDEX('Crafting recipes'!$D$6:$D$1005,MATCH(B658,'Crafting recipes'!$A$6:$A$1005,0)),"MISSING ID")</x:f>
        <x:v>Proposal</x:v>
      </x:c>
      <x:c r="L658" s="4" t="str">
        <x:f>IFERROR(INDEX('Items'!$AD$6:$AD$1005,MATCH(D658,'Items'!$A$6:$A$1005,0)),"MISSING ID")</x:f>
        <x:v>Proposal</x:v>
      </x:c>
      <x:c r="M658" s="4" t="str">
        <x:f>IFERROR(INDEX('Crafting recipes'!$E$6:$E$1005,MATCH(B658,'Crafting recipes'!$A$6:$A$1005,0)),"MISSING ID")</x:f>
        <x:v>Partial proposal</x:v>
      </x:c>
      <x:c r="N658" s="4" t="str">
        <x:v>Candidate relationship only; quantity, yield and full recipe remain undefined.</x:v>
      </x:c>
      <x:c r="O658" s="4" t="str">
        <x:v>New October 15 tier-review proposal; user-authorized item audit and Docs/WORLD_BASIS.md. No source-canon or implemented-recipe claim.</x:v>
      </x:c>
      <x:c r="P658" s="4" t="n">
        <x:f>IF(OR(C658="Ingredient candidate",C658="Consumed input",C658="Contained input",C658="Transform input"),IF(F658="T0",0,IF(F658="T1",1,IF(F658="T2",2,IF(F658="T3",3,IF(F658="T4",4,-1))))),-1)</x:f>
        <x:v>1</x:v>
      </x:c>
      <x:c r="Q658" s="4" t="n">
        <x:f>IF(AND(OR(C658="Ingredient candidate",C658="Consumed input",C658="Contained input",C658="Transform input"),P658=-1),1,0)</x:f>
        <x:v>0</x:v>
      </x:c>
    </x:row>
    <x:row r="659" ht="115" customHeight="1">
      <x:c r="A659" s="4" t="str">
        <x:v>design.review.proposal_corrosion_inhibitor.in.3</x:v>
      </x:c>
      <x:c r="B659" s="4" t="str">
        <x:v>design.review.proposal_corrosion_inhibitor</x:v>
      </x:c>
      <x:c r="C659" s="4" t="str">
        <x:v>Ingredient candidate</x:v>
      </x:c>
      <x:c r="D659" s="4" t="str">
        <x:v>proposal.t1.mineral_filler</x:v>
      </x:c>
      <x:c r="E659" s="4" t="str">
        <x:f>IFERROR(INDEX('Items'!$B$6:$B$1005,MATCH(D659,'Items'!$A$6:$A$1005,0)),"MISSING ID")</x:f>
        <x:v>Graded mineral filler</x:v>
      </x:c>
      <x:c r="F659" s="4" t="str">
        <x:f>IFERROR(INDEX('Items'!$C$6:$C$1005,MATCH(D659,'Items'!$A$6:$A$1005,0)),"MISSING ID")</x:f>
        <x:v>T1</x:v>
      </x:c>
      <x:c r="G659" s="4" t="str">
        <x:f>IFERROR(INDEX('Items'!$D$6:$D$1005,MATCH(D659,'Items'!$A$6:$A$1005,0)),"MISSING ID")</x:f>
        <x:v>Manufactured stock</x:v>
      </x:c>
      <x:c r="H659" s="4" t="str">
        <x:f>IFERROR(INDEX('Items'!$X$6:$X$1005,MATCH(D659,'Items'!$A$6:$A$1005,0)),"MISSING ID")</x:f>
        <x:v>Processed material</x:v>
      </x:c>
      <x:c r="I659" s="4"/>
      <x:c r="J659" s="4" t="str">
        <x:v>Unspecified</x:v>
      </x:c>
      <x:c r="K659" s="4" t="str">
        <x:f>IFERROR(INDEX('Crafting recipes'!$D$6:$D$1005,MATCH(B659,'Crafting recipes'!$A$6:$A$1005,0)),"MISSING ID")</x:f>
        <x:v>Proposal</x:v>
      </x:c>
      <x:c r="L659" s="4" t="str">
        <x:f>IFERROR(INDEX('Items'!$AD$6:$AD$1005,MATCH(D659,'Items'!$A$6:$A$1005,0)),"MISSING ID")</x:f>
        <x:v>Proposal</x:v>
      </x:c>
      <x:c r="M659" s="4" t="str">
        <x:f>IFERROR(INDEX('Crafting recipes'!$E$6:$E$1005,MATCH(B659,'Crafting recipes'!$A$6:$A$1005,0)),"MISSING ID")</x:f>
        <x:v>Partial proposal</x:v>
      </x:c>
      <x:c r="N659" s="4" t="str">
        <x:v>Candidate relationship only; quantity, yield and full recipe remain undefined.</x:v>
      </x:c>
      <x:c r="O659" s="4" t="str">
        <x:v>New October 15 tier-review proposal; user-authorized item audit and Docs/WORLD_BASIS.md. No source-canon or implemented-recipe claim.</x:v>
      </x:c>
      <x:c r="P659" s="4" t="n">
        <x:f>IF(OR(C659="Ingredient candidate",C659="Consumed input",C659="Contained input",C659="Transform input"),IF(F659="T0",0,IF(F659="T1",1,IF(F659="T2",2,IF(F659="T3",3,IF(F659="T4",4,-1))))),-1)</x:f>
        <x:v>1</x:v>
      </x:c>
      <x:c r="Q659" s="4" t="n">
        <x:f>IF(AND(OR(C659="Ingredient candidate",C659="Consumed input",C659="Contained input",C659="Transform input"),P659=-1),1,0)</x:f>
        <x:v>0</x:v>
      </x:c>
    </x:row>
    <x:row r="660" ht="115" customHeight="1">
      <x:c r="A660" s="4" t="str">
        <x:v>design.review.proposal_corrosion_inhibitor.out</x:v>
      </x:c>
      <x:c r="B660" s="4" t="str">
        <x:v>design.review.proposal_corrosion_inhibitor</x:v>
      </x:c>
      <x:c r="C660" s="4" t="str">
        <x:v>Output</x:v>
      </x:c>
      <x:c r="D660" s="4" t="str">
        <x:v>proposal.corrosion.inhibitor</x:v>
      </x:c>
      <x:c r="E660" s="4" t="str">
        <x:f>IFERROR(INDEX('Items'!$B$6:$B$1005,MATCH(D660,'Items'!$A$6:$A$1005,0)),"MISSING ID")</x:f>
        <x:v>Corrosion-inhibiting finish</x:v>
      </x:c>
      <x:c r="F660" s="4" t="str">
        <x:f>IFERROR(INDEX('Items'!$C$6:$C$1005,MATCH(D660,'Items'!$A$6:$A$1005,0)),"MISSING ID")</x:f>
        <x:v>T2</x:v>
      </x:c>
      <x:c r="G660" s="4" t="str">
        <x:f>IFERROR(INDEX('Items'!$D$6:$D$1005,MATCH(D660,'Items'!$A$6:$A$1005,0)),"MISSING ID")</x:f>
        <x:v>Crafting components</x:v>
      </x:c>
      <x:c r="H660" s="4" t="str">
        <x:f>IFERROR(INDEX('Items'!$X$6:$X$1005,MATCH(D660,'Items'!$A$6:$A$1005,0)),"MISSING ID")</x:f>
        <x:v>Chemical material</x:v>
      </x:c>
      <x:c r="I660" s="4"/>
      <x:c r="J660" s="4" t="str">
        <x:v>Unspecified</x:v>
      </x:c>
      <x:c r="K660" s="4" t="str">
        <x:f>IFERROR(INDEX('Crafting recipes'!$D$6:$D$1005,MATCH(B660,'Crafting recipes'!$A$6:$A$1005,0)),"MISSING ID")</x:f>
        <x:v>Proposal</x:v>
      </x:c>
      <x:c r="L660" s="4" t="str">
        <x:f>IFERROR(INDEX('Items'!$AD$6:$AD$1005,MATCH(D660,'Items'!$A$6:$A$1005,0)),"MISSING ID")</x:f>
        <x:v>Proposal</x:v>
      </x:c>
      <x:c r="M660" s="4" t="str">
        <x:f>IFERROR(INDEX('Crafting recipes'!$E$6:$E$1005,MATCH(B660,'Crafting recipes'!$A$6:$A$1005,0)),"MISSING ID")</x:f>
        <x:v>Partial proposal</x:v>
      </x:c>
      <x:c r="N660" s="4" t="str">
        <x:v>Candidate relationship only; quantity, yield and full recipe remain undefined.</x:v>
      </x:c>
      <x:c r="O660" s="4" t="str">
        <x:v>New October 15 tier-review proposal; user-authorized item audit and Docs/WORLD_BASIS.md. No source-canon or implemented-recipe claim.</x:v>
      </x:c>
      <x:c r="P660" s="4" t="n">
        <x:f>IF(OR(C660="Ingredient candidate",C660="Consumed input",C660="Contained input",C660="Transform input"),IF(F660="T0",0,IF(F660="T1",1,IF(F660="T2",2,IF(F660="T3",3,IF(F660="T4",4,-1))))),-1)</x:f>
        <x:v>-1</x:v>
      </x:c>
      <x:c r="Q660" s="4" t="n">
        <x:f>IF(AND(OR(C660="Ingredient candidate",C660="Consumed input",C660="Contained input",C660="Transform input"),P660=-1),1,0)</x:f>
        <x:v>0</x:v>
      </x:c>
    </x:row>
    <x:row r="661" ht="115" customHeight="1">
      <x:c r="A661" s="4" t="str">
        <x:v>design.review.proposal_review_oxide_reactive_fraction.in.1</x:v>
      </x:c>
      <x:c r="B661" s="4" t="str">
        <x:v>design.review.proposal_review_oxide_reactive_fraction</x:v>
      </x:c>
      <x:c r="C661" s="4" t="str">
        <x:v>Ingredient candidate</x:v>
      </x:c>
      <x:c r="D661" s="4" t="str">
        <x:v>proposal.bio.chemical_material</x:v>
      </x:c>
      <x:c r="E661" s="4" t="str">
        <x:f>IFERROR(INDEX('Items'!$B$6:$B$1005,MATCH(D661,'Items'!$A$6:$A$1005,0)),"MISSING ID")</x:f>
        <x:v>Faunal chemical material (unspecified)</x:v>
      </x:c>
      <x:c r="F661" s="4" t="str">
        <x:f>IFERROR(INDEX('Items'!$C$6:$C$1005,MATCH(D661,'Items'!$A$6:$A$1005,0)),"MISSING ID")</x:f>
        <x:v>T0</x:v>
      </x:c>
      <x:c r="G661" s="4" t="str">
        <x:f>IFERROR(INDEX('Items'!$D$6:$D$1005,MATCH(D661,'Items'!$A$6:$A$1005,0)),"MISSING ID")</x:f>
        <x:v>Biological resources</x:v>
      </x:c>
      <x:c r="H661" s="4" t="str">
        <x:f>IFERROR(INDEX('Items'!$X$6:$X$1005,MATCH(D661,'Items'!$A$6:$A$1005,0)),"MISSING ID")</x:f>
        <x:v>Chemical material</x:v>
      </x:c>
      <x:c r="I661" s="4"/>
      <x:c r="J661" s="4" t="str">
        <x:v>Unspecified</x:v>
      </x:c>
      <x:c r="K661" s="4" t="str">
        <x:f>IFERROR(INDEX('Crafting recipes'!$D$6:$D$1005,MATCH(B661,'Crafting recipes'!$A$6:$A$1005,0)),"MISSING ID")</x:f>
        <x:v>Proposal</x:v>
      </x:c>
      <x:c r="L661" s="4" t="str">
        <x:f>IFERROR(INDEX('Items'!$AD$6:$AD$1005,MATCH(D661,'Items'!$A$6:$A$1005,0)),"MISSING ID")</x:f>
        <x:v>Author direction</x:v>
      </x:c>
      <x:c r="M661" s="4" t="str">
        <x:f>IFERROR(INDEX('Crafting recipes'!$E$6:$E$1005,MATCH(B661,'Crafting recipes'!$A$6:$A$1005,0)),"MISSING ID")</x:f>
        <x:v>Partial proposal</x:v>
      </x:c>
      <x:c r="N661" s="4" t="str">
        <x:v>Candidate relationship only; quantity, yield and full recipe remain undefined.</x:v>
      </x:c>
      <x:c r="O661" s="4" t="str">
        <x:v>New October 15 tier-review proposal; user-authorized item audit and Docs/WORLD_BASIS.md. No source-canon or implemented-recipe claim.</x:v>
      </x:c>
      <x:c r="P661" s="4" t="n">
        <x:f>IF(OR(C661="Ingredient candidate",C661="Consumed input",C661="Contained input",C661="Transform input"),IF(F661="T0",0,IF(F661="T1",1,IF(F661="T2",2,IF(F661="T3",3,IF(F661="T4",4,-1))))),-1)</x:f>
        <x:v>0</x:v>
      </x:c>
      <x:c r="Q661" s="4" t="n">
        <x:f>IF(AND(OR(C661="Ingredient candidate",C661="Consumed input",C661="Contained input",C661="Transform input"),P661=-1),1,0)</x:f>
        <x:v>0</x:v>
      </x:c>
    </x:row>
    <x:row r="662" ht="115" customHeight="1">
      <x:c r="A662" s="4" t="str">
        <x:v>design.review.proposal_review_oxide_reactive_fraction.in.2</x:v>
      </x:c>
      <x:c r="B662" s="4" t="str">
        <x:v>design.review.proposal_review_oxide_reactive_fraction</x:v>
      </x:c>
      <x:c r="C662" s="4" t="str">
        <x:v>Ingredient candidate</x:v>
      </x:c>
      <x:c r="D662" s="4" t="str">
        <x:v>proposal.natural.salts</x:v>
      </x:c>
      <x:c r="E662" s="4" t="str">
        <x:f>IFERROR(INDEX('Items'!$B$6:$B$1005,MATCH(D662,'Items'!$A$6:$A$1005,0)),"MISSING ID")</x:f>
        <x:v>Dry mineral salts</x:v>
      </x:c>
      <x:c r="F662" s="4" t="str">
        <x:f>IFERROR(INDEX('Items'!$C$6:$C$1005,MATCH(D662,'Items'!$A$6:$A$1005,0)),"MISSING ID")</x:f>
        <x:v>T0</x:v>
      </x:c>
      <x:c r="G662" s="4" t="str">
        <x:f>IFERROR(INDEX('Items'!$D$6:$D$1005,MATCH(D662,'Items'!$A$6:$A$1005,0)),"MISSING ID")</x:f>
        <x:v>Mineral resources</x:v>
      </x:c>
      <x:c r="H662" s="4" t="str">
        <x:f>IFERROR(INDEX('Items'!$X$6:$X$1005,MATCH(D662,'Items'!$A$6:$A$1005,0)),"MISSING ID")</x:f>
        <x:v>Raw material</x:v>
      </x:c>
      <x:c r="I662" s="4"/>
      <x:c r="J662" s="4" t="str">
        <x:v>Unspecified</x:v>
      </x:c>
      <x:c r="K662" s="4" t="str">
        <x:f>IFERROR(INDEX('Crafting recipes'!$D$6:$D$1005,MATCH(B662,'Crafting recipes'!$A$6:$A$1005,0)),"MISSING ID")</x:f>
        <x:v>Proposal</x:v>
      </x:c>
      <x:c r="L662" s="4" t="str">
        <x:f>IFERROR(INDEX('Items'!$AD$6:$AD$1005,MATCH(D662,'Items'!$A$6:$A$1005,0)),"MISSING ID")</x:f>
        <x:v>Proposal</x:v>
      </x:c>
      <x:c r="M662" s="4" t="str">
        <x:f>IFERROR(INDEX('Crafting recipes'!$E$6:$E$1005,MATCH(B662,'Crafting recipes'!$A$6:$A$1005,0)),"MISSING ID")</x:f>
        <x:v>Partial proposal</x:v>
      </x:c>
      <x:c r="N662" s="4" t="str">
        <x:v>Candidate relationship only; quantity, yield and full recipe remain undefined.</x:v>
      </x:c>
      <x:c r="O662" s="4" t="str">
        <x:v>New October 15 tier-review proposal; user-authorized item audit and Docs/WORLD_BASIS.md. No source-canon or implemented-recipe claim.</x:v>
      </x:c>
      <x:c r="P662" s="4" t="n">
        <x:f>IF(OR(C662="Ingredient candidate",C662="Consumed input",C662="Contained input",C662="Transform input"),IF(F662="T0",0,IF(F662="T1",1,IF(F662="T2",2,IF(F662="T3",3,IF(F662="T4",4,-1))))),-1)</x:f>
        <x:v>0</x:v>
      </x:c>
      <x:c r="Q662" s="4" t="n">
        <x:f>IF(AND(OR(C662="Ingredient candidate",C662="Consumed input",C662="Contained input",C662="Transform input"),P662=-1),1,0)</x:f>
        <x:v>0</x:v>
      </x:c>
    </x:row>
    <x:row r="663" ht="115" customHeight="1">
      <x:c r="A663" s="4" t="str">
        <x:v>design.review.proposal_review_oxide_reactive_fraction.out</x:v>
      </x:c>
      <x:c r="B663" s="4" t="str">
        <x:v>design.review.proposal_review_oxide_reactive_fraction</x:v>
      </x:c>
      <x:c r="C663" s="4" t="str">
        <x:v>Output</x:v>
      </x:c>
      <x:c r="D663" s="4" t="str">
        <x:v>proposal.review.oxide_reactive_fraction</x:v>
      </x:c>
      <x:c r="E663" s="4" t="str">
        <x:f>IFERROR(INDEX('Items'!$B$6:$B$1005,MATCH(D663,'Items'!$A$6:$A$1005,0)),"MISSING ID")</x:f>
        <x:v>Selected oxide-reactive faunal fraction</x:v>
      </x:c>
      <x:c r="F663" s="4" t="str">
        <x:f>IFERROR(INDEX('Items'!$C$6:$C$1005,MATCH(D663,'Items'!$A$6:$A$1005,0)),"MISSING ID")</x:f>
        <x:v>T1</x:v>
      </x:c>
      <x:c r="G663" s="4" t="str">
        <x:f>IFERROR(INDEX('Items'!$D$6:$D$1005,MATCH(D663,'Items'!$A$6:$A$1005,0)),"MISSING ID")</x:f>
        <x:v>Crafting components</x:v>
      </x:c>
      <x:c r="H663" s="4" t="str">
        <x:f>IFERROR(INDEX('Items'!$X$6:$X$1005,MATCH(D663,'Items'!$A$6:$A$1005,0)),"MISSING ID")</x:f>
        <x:v>Chemical material</x:v>
      </x:c>
      <x:c r="I663" s="4"/>
      <x:c r="J663" s="4" t="str">
        <x:v>Unspecified</x:v>
      </x:c>
      <x:c r="K663" s="4" t="str">
        <x:f>IFERROR(INDEX('Crafting recipes'!$D$6:$D$1005,MATCH(B663,'Crafting recipes'!$A$6:$A$1005,0)),"MISSING ID")</x:f>
        <x:v>Proposal</x:v>
      </x:c>
      <x:c r="L663" s="4" t="str">
        <x:f>IFERROR(INDEX('Items'!$AD$6:$AD$1005,MATCH(D663,'Items'!$A$6:$A$1005,0)),"MISSING ID")</x:f>
        <x:v>Proposal</x:v>
      </x:c>
      <x:c r="M663" s="4" t="str">
        <x:f>IFERROR(INDEX('Crafting recipes'!$E$6:$E$1005,MATCH(B663,'Crafting recipes'!$A$6:$A$1005,0)),"MISSING ID")</x:f>
        <x:v>Partial proposal</x:v>
      </x:c>
      <x:c r="N663" s="4" t="str">
        <x:v>Candidate relationship only; quantity, yield and full recipe remain undefined.</x:v>
      </x:c>
      <x:c r="O663" s="4" t="str">
        <x:v>New October 15 tier-review proposal; user-authorized item audit and Docs/WORLD_BASIS.md. No source-canon or implemented-recipe claim.</x:v>
      </x:c>
      <x:c r="P663" s="4" t="n">
        <x:f>IF(OR(C663="Ingredient candidate",C663="Consumed input",C663="Contained input",C663="Transform input"),IF(F663="T0",0,IF(F663="T1",1,IF(F663="T2",2,IF(F663="T3",3,IF(F663="T4",4,-1))))),-1)</x:f>
        <x:v>-1</x:v>
      </x:c>
      <x:c r="Q663" s="4" t="n">
        <x:f>IF(AND(OR(C663="Ingredient candidate",C663="Consumed input",C663="Contained input",C663="Transform input"),P663=-1),1,0)</x:f>
        <x:v>0</x:v>
      </x:c>
    </x:row>
    <x:row r="664" ht="115" customHeight="1">
      <x:c r="A664" s="4" t="str">
        <x:v>design.lore.assayed_growth.in.1</x:v>
      </x:c>
      <x:c r="B664" s="4" t="str">
        <x:v>design.lore.assayed_growth</x:v>
      </x:c>
      <x:c r="C664" s="4" t="str">
        <x:v>Ingredient candidate</x:v>
      </x:c>
      <x:c r="D664" s="4" t="str">
        <x:v>proposal.lore.mature_growth</x:v>
      </x:c>
      <x:c r="E664" s="4" t="str">
        <x:f>IFERROR(INDEX('Items'!$B$6:$B$1005,MATCH(D664,'Items'!$A$6:$A$1005,0)),"MISSING ID")</x:f>
        <x:v>Mature formation Iron Growth pieces</x:v>
      </x:c>
      <x:c r="F664" s="4" t="str">
        <x:f>IFERROR(INDEX('Items'!$C$6:$C$1005,MATCH(D664,'Items'!$A$6:$A$1005,0)),"MISSING ID")</x:f>
        <x:v>T0</x:v>
      </x:c>
      <x:c r="G664" s="4" t="str">
        <x:f>IFERROR(INDEX('Items'!$D$6:$D$1005,MATCH(D664,'Items'!$A$6:$A$1005,0)),"MISSING ID")</x:f>
        <x:v>Mineral resources</x:v>
      </x:c>
      <x:c r="H664" s="4" t="str">
        <x:f>IFERROR(INDEX('Items'!$X$6:$X$1005,MATCH(D664,'Items'!$A$6:$A$1005,0)),"MISSING ID")</x:f>
        <x:v>Raw material</x:v>
      </x:c>
      <x:c r="I664" s="4"/>
      <x:c r="J664" s="4" t="str">
        <x:v>Unspecified</x:v>
      </x:c>
      <x:c r="K664" s="4" t="str">
        <x:f>IFERROR(INDEX('Crafting recipes'!$D$6:$D$1005,MATCH(B664,'Crafting recipes'!$A$6:$A$1005,0)),"MISSING ID")</x:f>
        <x:v>Proposal</x:v>
      </x:c>
      <x:c r="L664" s="4" t="str">
        <x:f>IFERROR(INDEX('Items'!$AD$6:$AD$1005,MATCH(D664,'Items'!$A$6:$A$1005,0)),"MISSING ID")</x:f>
        <x:v>Proposal</x:v>
      </x:c>
      <x:c r="M664" s="4" t="str">
        <x:f>IFERROR(INDEX('Crafting recipes'!$E$6:$E$1005,MATCH(B664,'Crafting recipes'!$A$6:$A$1005,0)),"MISSING ID")</x:f>
        <x:v>Partial proposal</x:v>
      </x:c>
      <x:c r="N664" s="4" t="str">
        <x:v>Candidate process/hardware relationship; quantity and service compatibility remain open.</x:v>
      </x:c>
      <x:c r="O664" s="4" t="str">
        <x:v>Lore-coherence game proposal; selected WLD source proposals at f6f98515c005dc3c73cccd9cbc031691745740c6.</x:v>
      </x:c>
      <x:c r="P664" s="4" t="n">
        <x:f>IF(OR(C664="Ingredient candidate",C664="Consumed input",C664="Contained input",C664="Transform input"),IF(F664="T0",0,IF(F664="T1",1,IF(F664="T2",2,IF(F664="T3",3,IF(F664="T4",4,-1))))),-1)</x:f>
        <x:v>0</x:v>
      </x:c>
      <x:c r="Q664" s="4" t="n">
        <x:f>IF(AND(OR(C664="Ingredient candidate",C664="Consumed input",C664="Contained input",C664="Transform input"),P664=-1),1,0)</x:f>
        <x:v>0</x:v>
      </x:c>
    </x:row>
    <x:row r="665" ht="115" customHeight="1">
      <x:c r="A665" s="4" t="str">
        <x:v>design.lore.assayed_growth.out</x:v>
      </x:c>
      <x:c r="B665" s="4" t="str">
        <x:v>design.lore.assayed_growth</x:v>
      </x:c>
      <x:c r="C665" s="4" t="str">
        <x:v>Output</x:v>
      </x:c>
      <x:c r="D665" s="4" t="str">
        <x:v>proposal.lore.assayed_growth</x:v>
      </x:c>
      <x:c r="E665" s="4" t="str">
        <x:f>IFERROR(INDEX('Items'!$B$6:$B$1005,MATCH(D665,'Items'!$A$6:$A$1005,0)),"MISSING ID")</x:f>
        <x:v>Assayed Iron Growth feedstock</x:v>
      </x:c>
      <x:c r="F665" s="4" t="str">
        <x:f>IFERROR(INDEX('Items'!$C$6:$C$1005,MATCH(D665,'Items'!$A$6:$A$1005,0)),"MISSING ID")</x:f>
        <x:v>T1</x:v>
      </x:c>
      <x:c r="G665" s="4" t="str">
        <x:f>IFERROR(INDEX('Items'!$D$6:$D$1005,MATCH(D665,'Items'!$A$6:$A$1005,0)),"MISSING ID")</x:f>
        <x:v>Manufactured stock</x:v>
      </x:c>
      <x:c r="H665" s="4" t="str">
        <x:f>IFERROR(INDEX('Items'!$X$6:$X$1005,MATCH(D665,'Items'!$A$6:$A$1005,0)),"MISSING ID")</x:f>
        <x:v>Processed material</x:v>
      </x:c>
      <x:c r="I665" s="4"/>
      <x:c r="J665" s="4" t="str">
        <x:v>Unspecified</x:v>
      </x:c>
      <x:c r="K665" s="4" t="str">
        <x:f>IFERROR(INDEX('Crafting recipes'!$D$6:$D$1005,MATCH(B665,'Crafting recipes'!$A$6:$A$1005,0)),"MISSING ID")</x:f>
        <x:v>Proposal</x:v>
      </x:c>
      <x:c r="L665" s="4" t="str">
        <x:f>IFERROR(INDEX('Items'!$AD$6:$AD$1005,MATCH(D665,'Items'!$A$6:$A$1005,0)),"MISSING ID")</x:f>
        <x:v>Proposal</x:v>
      </x:c>
      <x:c r="M665" s="4" t="str">
        <x:f>IFERROR(INDEX('Crafting recipes'!$E$6:$E$1005,MATCH(B665,'Crafting recipes'!$A$6:$A$1005,0)),"MISSING ID")</x:f>
        <x:v>Partial proposal</x:v>
      </x:c>
      <x:c r="N665" s="4" t="str">
        <x:v>Candidate process/hardware relationship; quantity and service compatibility remain open.</x:v>
      </x:c>
      <x:c r="O665" s="4" t="str">
        <x:v>Lore-coherence game proposal; selected WLD source proposals at f6f98515c005dc3c73cccd9cbc031691745740c6.</x:v>
      </x:c>
      <x:c r="P665" s="4" t="n">
        <x:f>IF(OR(C665="Ingredient candidate",C665="Consumed input",C665="Contained input",C665="Transform input"),IF(F665="T0",0,IF(F665="T1",1,IF(F665="T2",2,IF(F665="T3",3,IF(F665="T4",4,-1))))),-1)</x:f>
        <x:v>-1</x:v>
      </x:c>
      <x:c r="Q665" s="4" t="n">
        <x:f>IF(AND(OR(C665="Ingredient candidate",C665="Consumed input",C665="Contained input",C665="Transform input"),P665=-1),1,0)</x:f>
        <x:v>0</x:v>
      </x:c>
    </x:row>
    <x:row r="666" ht="115" customHeight="1">
      <x:c r="A666" s="4" t="str">
        <x:v>design.lore.growth_alloy.in.1</x:v>
      </x:c>
      <x:c r="B666" s="4" t="str">
        <x:v>design.lore.growth_alloy</x:v>
      </x:c>
      <x:c r="C666" s="4" t="str">
        <x:v>Ingredient candidate</x:v>
      </x:c>
      <x:c r="D666" s="4" t="str">
        <x:v>proposal.lore.assayed_growth</x:v>
      </x:c>
      <x:c r="E666" s="4" t="str">
        <x:f>IFERROR(INDEX('Items'!$B$6:$B$1005,MATCH(D666,'Items'!$A$6:$A$1005,0)),"MISSING ID")</x:f>
        <x:v>Assayed Iron Growth feedstock</x:v>
      </x:c>
      <x:c r="F666" s="4" t="str">
        <x:f>IFERROR(INDEX('Items'!$C$6:$C$1005,MATCH(D666,'Items'!$A$6:$A$1005,0)),"MISSING ID")</x:f>
        <x:v>T1</x:v>
      </x:c>
      <x:c r="G666" s="4" t="str">
        <x:f>IFERROR(INDEX('Items'!$D$6:$D$1005,MATCH(D666,'Items'!$A$6:$A$1005,0)),"MISSING ID")</x:f>
        <x:v>Manufactured stock</x:v>
      </x:c>
      <x:c r="H666" s="4" t="str">
        <x:f>IFERROR(INDEX('Items'!$X$6:$X$1005,MATCH(D666,'Items'!$A$6:$A$1005,0)),"MISSING ID")</x:f>
        <x:v>Processed material</x:v>
      </x:c>
      <x:c r="I666" s="4"/>
      <x:c r="J666" s="4" t="str">
        <x:v>Unspecified</x:v>
      </x:c>
      <x:c r="K666" s="4" t="str">
        <x:f>IFERROR(INDEX('Crafting recipes'!$D$6:$D$1005,MATCH(B666,'Crafting recipes'!$A$6:$A$1005,0)),"MISSING ID")</x:f>
        <x:v>Proposal</x:v>
      </x:c>
      <x:c r="L666" s="4" t="str">
        <x:f>IFERROR(INDEX('Items'!$AD$6:$AD$1005,MATCH(D666,'Items'!$A$6:$A$1005,0)),"MISSING ID")</x:f>
        <x:v>Proposal</x:v>
      </x:c>
      <x:c r="M666" s="4" t="str">
        <x:f>IFERROR(INDEX('Crafting recipes'!$E$6:$E$1005,MATCH(B666,'Crafting recipes'!$A$6:$A$1005,0)),"MISSING ID")</x:f>
        <x:v>Partial proposal</x:v>
      </x:c>
      <x:c r="N666" s="4" t="str">
        <x:v>Candidate process/hardware relationship; quantity and service compatibility remain open.</x:v>
      </x:c>
      <x:c r="O666" s="4" t="str">
        <x:v>Lore-coherence game proposal; selected WLD source proposals at f6f98515c005dc3c73cccd9cbc031691745740c6.</x:v>
      </x:c>
      <x:c r="P666" s="4" t="n">
        <x:f>IF(OR(C666="Ingredient candidate",C666="Consumed input",C666="Contained input",C666="Transform input"),IF(F666="T0",0,IF(F666="T1",1,IF(F666="T2",2,IF(F666="T3",3,IF(F666="T4",4,-1))))),-1)</x:f>
        <x:v>1</x:v>
      </x:c>
      <x:c r="Q666" s="4" t="n">
        <x:f>IF(AND(OR(C666="Ingredient candidate",C666="Consumed input",C666="Contained input",C666="Transform input"),P666=-1),1,0)</x:f>
        <x:v>0</x:v>
      </x:c>
    </x:row>
    <x:row r="667" ht="115" customHeight="1">
      <x:c r="A667" s="4" t="str">
        <x:v>design.lore.growth_alloy.in.2</x:v>
      </x:c>
      <x:c r="B667" s="4" t="str">
        <x:v>design.lore.growth_alloy</x:v>
      </x:c>
      <x:c r="C667" s="4" t="str">
        <x:v>Ingredient candidate</x:v>
      </x:c>
      <x:c r="D667" s="4" t="str">
        <x:v>proposal.branch.flux</x:v>
      </x:c>
      <x:c r="E667" s="4" t="str">
        <x:f>IFERROR(INDEX('Items'!$B$6:$B$1005,MATCH(D667,'Items'!$A$6:$A$1005,0)),"MISSING ID")</x:f>
        <x:v>Prepared metallurgical flux</x:v>
      </x:c>
      <x:c r="F667" s="4" t="str">
        <x:f>IFERROR(INDEX('Items'!$C$6:$C$1005,MATCH(D667,'Items'!$A$6:$A$1005,0)),"MISSING ID")</x:f>
        <x:v>T1</x:v>
      </x:c>
      <x:c r="G667" s="4" t="str">
        <x:f>IFERROR(INDEX('Items'!$D$6:$D$1005,MATCH(D667,'Items'!$A$6:$A$1005,0)),"MISSING ID")</x:f>
        <x:v>Crafting components</x:v>
      </x:c>
      <x:c r="H667" s="4" t="str">
        <x:f>IFERROR(INDEX('Items'!$X$6:$X$1005,MATCH(D667,'Items'!$A$6:$A$1005,0)),"MISSING ID")</x:f>
        <x:v>Processed material</x:v>
      </x:c>
      <x:c r="I667" s="4"/>
      <x:c r="J667" s="4" t="str">
        <x:v>Unspecified</x:v>
      </x:c>
      <x:c r="K667" s="4" t="str">
        <x:f>IFERROR(INDEX('Crafting recipes'!$D$6:$D$1005,MATCH(B667,'Crafting recipes'!$A$6:$A$1005,0)),"MISSING ID")</x:f>
        <x:v>Proposal</x:v>
      </x:c>
      <x:c r="L667" s="4" t="str">
        <x:f>IFERROR(INDEX('Items'!$AD$6:$AD$1005,MATCH(D667,'Items'!$A$6:$A$1005,0)),"MISSING ID")</x:f>
        <x:v>Proposal</x:v>
      </x:c>
      <x:c r="M667" s="4" t="str">
        <x:f>IFERROR(INDEX('Crafting recipes'!$E$6:$E$1005,MATCH(B667,'Crafting recipes'!$A$6:$A$1005,0)),"MISSING ID")</x:f>
        <x:v>Partial proposal</x:v>
      </x:c>
      <x:c r="N667" s="4" t="str">
        <x:v>Candidate process/hardware relationship; quantity and service compatibility remain open.</x:v>
      </x:c>
      <x:c r="O667" s="4" t="str">
        <x:v>Lore-coherence game proposal; selected WLD source proposals at f6f98515c005dc3c73cccd9cbc031691745740c6.</x:v>
      </x:c>
      <x:c r="P667" s="4" t="n">
        <x:f>IF(OR(C667="Ingredient candidate",C667="Consumed input",C667="Contained input",C667="Transform input"),IF(F667="T0",0,IF(F667="T1",1,IF(F667="T2",2,IF(F667="T3",3,IF(F667="T4",4,-1))))),-1)</x:f>
        <x:v>1</x:v>
      </x:c>
      <x:c r="Q667" s="4" t="n">
        <x:f>IF(AND(OR(C667="Ingredient candidate",C667="Consumed input",C667="Contained input",C667="Transform input"),P667=-1),1,0)</x:f>
        <x:v>0</x:v>
      </x:c>
    </x:row>
    <x:row r="668" ht="115" customHeight="1">
      <x:c r="A668" s="4" t="str">
        <x:v>design.lore.growth_alloy.in.3</x:v>
      </x:c>
      <x:c r="B668" s="4" t="str">
        <x:v>design.lore.growth_alloy</x:v>
      </x:c>
      <x:c r="C668" s="4" t="str">
        <x:v>Ingredient candidate</x:v>
      </x:c>
      <x:c r="D668" s="4" t="str">
        <x:v>proposal.branch.manganese_feed</x:v>
      </x:c>
      <x:c r="E668" s="4" t="str">
        <x:f>IFERROR(INDEX('Items'!$B$6:$B$1005,MATCH(D668,'Items'!$A$6:$A$1005,0)),"MISSING ID")</x:f>
        <x:v>Manganese-bearing alloy feed</x:v>
      </x:c>
      <x:c r="F668" s="4" t="str">
        <x:f>IFERROR(INDEX('Items'!$C$6:$C$1005,MATCH(D668,'Items'!$A$6:$A$1005,0)),"MISSING ID")</x:f>
        <x:v>T1</x:v>
      </x:c>
      <x:c r="G668" s="4" t="str">
        <x:f>IFERROR(INDEX('Items'!$D$6:$D$1005,MATCH(D668,'Items'!$A$6:$A$1005,0)),"MISSING ID")</x:f>
        <x:v>Manufactured stock</x:v>
      </x:c>
      <x:c r="H668" s="4" t="str">
        <x:f>IFERROR(INDEX('Items'!$X$6:$X$1005,MATCH(D668,'Items'!$A$6:$A$1005,0)),"MISSING ID")</x:f>
        <x:v>Processed material</x:v>
      </x:c>
      <x:c r="I668" s="4"/>
      <x:c r="J668" s="4" t="str">
        <x:v>Unspecified</x:v>
      </x:c>
      <x:c r="K668" s="4" t="str">
        <x:f>IFERROR(INDEX('Crafting recipes'!$D$6:$D$1005,MATCH(B668,'Crafting recipes'!$A$6:$A$1005,0)),"MISSING ID")</x:f>
        <x:v>Proposal</x:v>
      </x:c>
      <x:c r="L668" s="4" t="str">
        <x:f>IFERROR(INDEX('Items'!$AD$6:$AD$1005,MATCH(D668,'Items'!$A$6:$A$1005,0)),"MISSING ID")</x:f>
        <x:v>Proposal</x:v>
      </x:c>
      <x:c r="M668" s="4" t="str">
        <x:f>IFERROR(INDEX('Crafting recipes'!$E$6:$E$1005,MATCH(B668,'Crafting recipes'!$A$6:$A$1005,0)),"MISSING ID")</x:f>
        <x:v>Partial proposal</x:v>
      </x:c>
      <x:c r="N668" s="4" t="str">
        <x:v>Candidate process/hardware relationship; quantity and service compatibility remain open.</x:v>
      </x:c>
      <x:c r="O668" s="4" t="str">
        <x:v>Lore-coherence game proposal; selected WLD source proposals at f6f98515c005dc3c73cccd9cbc031691745740c6.</x:v>
      </x:c>
      <x:c r="P668" s="4" t="n">
        <x:f>IF(OR(C668="Ingredient candidate",C668="Consumed input",C668="Contained input",C668="Transform input"),IF(F668="T0",0,IF(F668="T1",1,IF(F668="T2",2,IF(F668="T3",3,IF(F668="T4",4,-1))))),-1)</x:f>
        <x:v>1</x:v>
      </x:c>
      <x:c r="Q668" s="4" t="n">
        <x:f>IF(AND(OR(C668="Ingredient candidate",C668="Consumed input",C668="Contained input",C668="Transform input"),P668=-1),1,0)</x:f>
        <x:v>0</x:v>
      </x:c>
    </x:row>
    <x:row r="669" ht="115" customHeight="1">
      <x:c r="A669" s="4" t="str">
        <x:v>design.lore.growth_alloy.out</x:v>
      </x:c>
      <x:c r="B669" s="4" t="str">
        <x:v>design.lore.growth_alloy</x:v>
      </x:c>
      <x:c r="C669" s="4" t="str">
        <x:v>Output</x:v>
      </x:c>
      <x:c r="D669" s="4" t="str">
        <x:v>proposal.lore.growth_alloy</x:v>
      </x:c>
      <x:c r="E669" s="4" t="str">
        <x:f>IFERROR(INDEX('Items'!$B$6:$B$1005,MATCH(D669,'Items'!$A$6:$A$1005,0)),"MISSING ID")</x:f>
        <x:v>Canister-grade Growth alloy stock</x:v>
      </x:c>
      <x:c r="F669" s="4" t="str">
        <x:f>IFERROR(INDEX('Items'!$C$6:$C$1005,MATCH(D669,'Items'!$A$6:$A$1005,0)),"MISSING ID")</x:f>
        <x:v>T2</x:v>
      </x:c>
      <x:c r="G669" s="4" t="str">
        <x:f>IFERROR(INDEX('Items'!$D$6:$D$1005,MATCH(D669,'Items'!$A$6:$A$1005,0)),"MISSING ID")</x:f>
        <x:v>Manufactured stock</x:v>
      </x:c>
      <x:c r="H669" s="4" t="str">
        <x:f>IFERROR(INDEX('Items'!$X$6:$X$1005,MATCH(D669,'Items'!$A$6:$A$1005,0)),"MISSING ID")</x:f>
        <x:v>Processed material</x:v>
      </x:c>
      <x:c r="I669" s="4"/>
      <x:c r="J669" s="4" t="str">
        <x:v>Unspecified</x:v>
      </x:c>
      <x:c r="K669" s="4" t="str">
        <x:f>IFERROR(INDEX('Crafting recipes'!$D$6:$D$1005,MATCH(B669,'Crafting recipes'!$A$6:$A$1005,0)),"MISSING ID")</x:f>
        <x:v>Proposal</x:v>
      </x:c>
      <x:c r="L669" s="4" t="str">
        <x:f>IFERROR(INDEX('Items'!$AD$6:$AD$1005,MATCH(D669,'Items'!$A$6:$A$1005,0)),"MISSING ID")</x:f>
        <x:v>Proposal</x:v>
      </x:c>
      <x:c r="M669" s="4" t="str">
        <x:f>IFERROR(INDEX('Crafting recipes'!$E$6:$E$1005,MATCH(B669,'Crafting recipes'!$A$6:$A$1005,0)),"MISSING ID")</x:f>
        <x:v>Partial proposal</x:v>
      </x:c>
      <x:c r="N669" s="4" t="str">
        <x:v>Candidate process/hardware relationship; quantity and service compatibility remain open.</x:v>
      </x:c>
      <x:c r="O669" s="4" t="str">
        <x:v>Lore-coherence game proposal; selected WLD source proposals at f6f98515c005dc3c73cccd9cbc031691745740c6.</x:v>
      </x:c>
      <x:c r="P669" s="4" t="n">
        <x:f>IF(OR(C669="Ingredient candidate",C669="Consumed input",C669="Contained input",C669="Transform input"),IF(F669="T0",0,IF(F669="T1",1,IF(F669="T2",2,IF(F669="T3",3,IF(F669="T4",4,-1))))),-1)</x:f>
        <x:v>-1</x:v>
      </x:c>
      <x:c r="Q669" s="4" t="n">
        <x:f>IF(AND(OR(C669="Ingredient candidate",C669="Consumed input",C669="Contained input",C669="Transform input"),P669=-1),1,0)</x:f>
        <x:v>0</x:v>
      </x:c>
    </x:row>
    <x:row r="670" ht="115" customHeight="1">
      <x:c r="A670" s="4" t="str">
        <x:v>design.lore.growth_seat_blank.in.1</x:v>
      </x:c>
      <x:c r="B670" s="4" t="str">
        <x:v>design.lore.growth_seat_blank</x:v>
      </x:c>
      <x:c r="C670" s="4" t="str">
        <x:v>Ingredient candidate</x:v>
      </x:c>
      <x:c r="D670" s="4" t="str">
        <x:v>proposal.lore.growth_alloy</x:v>
      </x:c>
      <x:c r="E670" s="4" t="str">
        <x:f>IFERROR(INDEX('Items'!$B$6:$B$1005,MATCH(D670,'Items'!$A$6:$A$1005,0)),"MISSING ID")</x:f>
        <x:v>Canister-grade Growth alloy stock</x:v>
      </x:c>
      <x:c r="F670" s="4" t="str">
        <x:f>IFERROR(INDEX('Items'!$C$6:$C$1005,MATCH(D670,'Items'!$A$6:$A$1005,0)),"MISSING ID")</x:f>
        <x:v>T2</x:v>
      </x:c>
      <x:c r="G670" s="4" t="str">
        <x:f>IFERROR(INDEX('Items'!$D$6:$D$1005,MATCH(D670,'Items'!$A$6:$A$1005,0)),"MISSING ID")</x:f>
        <x:v>Manufactured stock</x:v>
      </x:c>
      <x:c r="H670" s="4" t="str">
        <x:f>IFERROR(INDEX('Items'!$X$6:$X$1005,MATCH(D670,'Items'!$A$6:$A$1005,0)),"MISSING ID")</x:f>
        <x:v>Processed material</x:v>
      </x:c>
      <x:c r="I670" s="4"/>
      <x:c r="J670" s="4" t="str">
        <x:v>Unspecified</x:v>
      </x:c>
      <x:c r="K670" s="4" t="str">
        <x:f>IFERROR(INDEX('Crafting recipes'!$D$6:$D$1005,MATCH(B670,'Crafting recipes'!$A$6:$A$1005,0)),"MISSING ID")</x:f>
        <x:v>Proposal</x:v>
      </x:c>
      <x:c r="L670" s="4" t="str">
        <x:f>IFERROR(INDEX('Items'!$AD$6:$AD$1005,MATCH(D670,'Items'!$A$6:$A$1005,0)),"MISSING ID")</x:f>
        <x:v>Proposal</x:v>
      </x:c>
      <x:c r="M670" s="4" t="str">
        <x:f>IFERROR(INDEX('Crafting recipes'!$E$6:$E$1005,MATCH(B670,'Crafting recipes'!$A$6:$A$1005,0)),"MISSING ID")</x:f>
        <x:v>Partial proposal</x:v>
      </x:c>
      <x:c r="N670" s="4" t="str">
        <x:v>Candidate process/hardware relationship; quantity and service compatibility remain open.</x:v>
      </x:c>
      <x:c r="O670" s="4" t="str">
        <x:v>Lore-coherence game proposal; selected WLD source proposals at f6f98515c005dc3c73cccd9cbc031691745740c6.</x:v>
      </x:c>
      <x:c r="P670" s="4" t="n">
        <x:f>IF(OR(C670="Ingredient candidate",C670="Consumed input",C670="Contained input",C670="Transform input"),IF(F670="T0",0,IF(F670="T1",1,IF(F670="T2",2,IF(F670="T3",3,IF(F670="T4",4,-1))))),-1)</x:f>
        <x:v>2</x:v>
      </x:c>
      <x:c r="Q670" s="4" t="n">
        <x:f>IF(AND(OR(C670="Ingredient candidate",C670="Consumed input",C670="Contained input",C670="Transform input"),P670=-1),1,0)</x:f>
        <x:v>0</x:v>
      </x:c>
    </x:row>
    <x:row r="671" ht="115" customHeight="1">
      <x:c r="A671" s="4" t="str">
        <x:v>design.lore.growth_seat_blank.in.2</x:v>
      </x:c>
      <x:c r="B671" s="4" t="str">
        <x:v>design.lore.growth_seat_blank</x:v>
      </x:c>
      <x:c r="C671" s="4" t="str">
        <x:v>Ingredient candidate</x:v>
      </x:c>
      <x:c r="D671" s="4" t="str">
        <x:v>proposal.natural.abrasive</x:v>
      </x:c>
      <x:c r="E671" s="4" t="str">
        <x:f>IFERROR(INDEX('Items'!$B$6:$B$1005,MATCH(D671,'Items'!$A$6:$A$1005,0)),"MISSING ID")</x:f>
        <x:v>Graded abrasive grit</x:v>
      </x:c>
      <x:c r="F671" s="4" t="str">
        <x:f>IFERROR(INDEX('Items'!$C$6:$C$1005,MATCH(D671,'Items'!$A$6:$A$1005,0)),"MISSING ID")</x:f>
        <x:v>T1</x:v>
      </x:c>
      <x:c r="G671" s="4" t="str">
        <x:f>IFERROR(INDEX('Items'!$D$6:$D$1005,MATCH(D671,'Items'!$A$6:$A$1005,0)),"MISSING ID")</x:f>
        <x:v>Manufactured stock</x:v>
      </x:c>
      <x:c r="H671" s="4" t="str">
        <x:f>IFERROR(INDEX('Items'!$X$6:$X$1005,MATCH(D671,'Items'!$A$6:$A$1005,0)),"MISSING ID")</x:f>
        <x:v>Processed material</x:v>
      </x:c>
      <x:c r="I671" s="4"/>
      <x:c r="J671" s="4" t="str">
        <x:v>Unspecified</x:v>
      </x:c>
      <x:c r="K671" s="4" t="str">
        <x:f>IFERROR(INDEX('Crafting recipes'!$D$6:$D$1005,MATCH(B671,'Crafting recipes'!$A$6:$A$1005,0)),"MISSING ID")</x:f>
        <x:v>Proposal</x:v>
      </x:c>
      <x:c r="L671" s="4" t="str">
        <x:f>IFERROR(INDEX('Items'!$AD$6:$AD$1005,MATCH(D671,'Items'!$A$6:$A$1005,0)),"MISSING ID")</x:f>
        <x:v>Proposal</x:v>
      </x:c>
      <x:c r="M671" s="4" t="str">
        <x:f>IFERROR(INDEX('Crafting recipes'!$E$6:$E$1005,MATCH(B671,'Crafting recipes'!$A$6:$A$1005,0)),"MISSING ID")</x:f>
        <x:v>Partial proposal</x:v>
      </x:c>
      <x:c r="N671" s="4" t="str">
        <x:v>Candidate process/hardware relationship; quantity and service compatibility remain open.</x:v>
      </x:c>
      <x:c r="O671" s="4" t="str">
        <x:v>Lore-coherence game proposal; selected WLD source proposals at f6f98515c005dc3c73cccd9cbc031691745740c6.</x:v>
      </x:c>
      <x:c r="P671" s="4" t="n">
        <x:f>IF(OR(C671="Ingredient candidate",C671="Consumed input",C671="Contained input",C671="Transform input"),IF(F671="T0",0,IF(F671="T1",1,IF(F671="T2",2,IF(F671="T3",3,IF(F671="T4",4,-1))))),-1)</x:f>
        <x:v>1</x:v>
      </x:c>
      <x:c r="Q671" s="4" t="n">
        <x:f>IF(AND(OR(C671="Ingredient candidate",C671="Consumed input",C671="Contained input",C671="Transform input"),P671=-1),1,0)</x:f>
        <x:v>0</x:v>
      </x:c>
    </x:row>
    <x:row r="672" ht="115" customHeight="1">
      <x:c r="A672" s="4" t="str">
        <x:v>design.lore.growth_seat_blank.out</x:v>
      </x:c>
      <x:c r="B672" s="4" t="str">
        <x:v>design.lore.growth_seat_blank</x:v>
      </x:c>
      <x:c r="C672" s="4" t="str">
        <x:v>Output</x:v>
      </x:c>
      <x:c r="D672" s="4" t="str">
        <x:v>proposal.lore.growth_seat_blank</x:v>
      </x:c>
      <x:c r="E672" s="4" t="str">
        <x:f>IFERROR(INDEX('Items'!$B$6:$B$1005,MATCH(D672,'Items'!$A$6:$A$1005,0)),"MISSING ID")</x:f>
        <x:v>Growth-alloy seal-seat blanks</x:v>
      </x:c>
      <x:c r="F672" s="4" t="str">
        <x:f>IFERROR(INDEX('Items'!$C$6:$C$1005,MATCH(D672,'Items'!$A$6:$A$1005,0)),"MISSING ID")</x:f>
        <x:v>T3</x:v>
      </x:c>
      <x:c r="G672" s="4" t="str">
        <x:f>IFERROR(INDEX('Items'!$D$6:$D$1005,MATCH(D672,'Items'!$A$6:$A$1005,0)),"MISSING ID")</x:f>
        <x:v>Crafting components</x:v>
      </x:c>
      <x:c r="H672" s="4" t="str">
        <x:f>IFERROR(INDEX('Items'!$X$6:$X$1005,MATCH(D672,'Items'!$A$6:$A$1005,0)),"MISSING ID")</x:f>
        <x:v>Crafting component</x:v>
      </x:c>
      <x:c r="I672" s="4"/>
      <x:c r="J672" s="4" t="str">
        <x:v>Unspecified</x:v>
      </x:c>
      <x:c r="K672" s="4" t="str">
        <x:f>IFERROR(INDEX('Crafting recipes'!$D$6:$D$1005,MATCH(B672,'Crafting recipes'!$A$6:$A$1005,0)),"MISSING ID")</x:f>
        <x:v>Proposal</x:v>
      </x:c>
      <x:c r="L672" s="4" t="str">
        <x:f>IFERROR(INDEX('Items'!$AD$6:$AD$1005,MATCH(D672,'Items'!$A$6:$A$1005,0)),"MISSING ID")</x:f>
        <x:v>Proposal</x:v>
      </x:c>
      <x:c r="M672" s="4" t="str">
        <x:f>IFERROR(INDEX('Crafting recipes'!$E$6:$E$1005,MATCH(B672,'Crafting recipes'!$A$6:$A$1005,0)),"MISSING ID")</x:f>
        <x:v>Partial proposal</x:v>
      </x:c>
      <x:c r="N672" s="4" t="str">
        <x:v>Candidate process/hardware relationship; quantity and service compatibility remain open.</x:v>
      </x:c>
      <x:c r="O672" s="4" t="str">
        <x:v>Lore-coherence game proposal; selected WLD source proposals at f6f98515c005dc3c73cccd9cbc031691745740c6.</x:v>
      </x:c>
      <x:c r="P672" s="4" t="n">
        <x:f>IF(OR(C672="Ingredient candidate",C672="Consumed input",C672="Contained input",C672="Transform input"),IF(F672="T0",0,IF(F672="T1",1,IF(F672="T2",2,IF(F672="T3",3,IF(F672="T4",4,-1))))),-1)</x:f>
        <x:v>-1</x:v>
      </x:c>
      <x:c r="Q672" s="4" t="n">
        <x:f>IF(AND(OR(C672="Ingredient candidate",C672="Consumed input",C672="Contained input",C672="Transform input"),P672=-1),1,0)</x:f>
        <x:v>0</x:v>
      </x:c>
    </x:row>
    <x:row r="673" ht="115" customHeight="1">
      <x:c r="A673" s="4" t="str">
        <x:v>design.lore.growth_seat_assembly.in.1</x:v>
      </x:c>
      <x:c r="B673" s="4" t="str">
        <x:v>design.lore.growth_seat_assembly</x:v>
      </x:c>
      <x:c r="C673" s="4" t="str">
        <x:v>Ingredient candidate</x:v>
      </x:c>
      <x:c r="D673" s="4" t="str">
        <x:v>proposal.lore.growth_seat_blank</x:v>
      </x:c>
      <x:c r="E673" s="4" t="str">
        <x:f>IFERROR(INDEX('Items'!$B$6:$B$1005,MATCH(D673,'Items'!$A$6:$A$1005,0)),"MISSING ID")</x:f>
        <x:v>Growth-alloy seal-seat blanks</x:v>
      </x:c>
      <x:c r="F673" s="4" t="str">
        <x:f>IFERROR(INDEX('Items'!$C$6:$C$1005,MATCH(D673,'Items'!$A$6:$A$1005,0)),"MISSING ID")</x:f>
        <x:v>T3</x:v>
      </x:c>
      <x:c r="G673" s="4" t="str">
        <x:f>IFERROR(INDEX('Items'!$D$6:$D$1005,MATCH(D673,'Items'!$A$6:$A$1005,0)),"MISSING ID")</x:f>
        <x:v>Crafting components</x:v>
      </x:c>
      <x:c r="H673" s="4" t="str">
        <x:f>IFERROR(INDEX('Items'!$X$6:$X$1005,MATCH(D673,'Items'!$A$6:$A$1005,0)),"MISSING ID")</x:f>
        <x:v>Crafting component</x:v>
      </x:c>
      <x:c r="I673" s="4"/>
      <x:c r="J673" s="4" t="str">
        <x:v>Unspecified</x:v>
      </x:c>
      <x:c r="K673" s="4" t="str">
        <x:f>IFERROR(INDEX('Crafting recipes'!$D$6:$D$1005,MATCH(B673,'Crafting recipes'!$A$6:$A$1005,0)),"MISSING ID")</x:f>
        <x:v>Proposal</x:v>
      </x:c>
      <x:c r="L673" s="4" t="str">
        <x:f>IFERROR(INDEX('Items'!$AD$6:$AD$1005,MATCH(D673,'Items'!$A$6:$A$1005,0)),"MISSING ID")</x:f>
        <x:v>Proposal</x:v>
      </x:c>
      <x:c r="M673" s="4" t="str">
        <x:f>IFERROR(INDEX('Crafting recipes'!$E$6:$E$1005,MATCH(B673,'Crafting recipes'!$A$6:$A$1005,0)),"MISSING ID")</x:f>
        <x:v>Partial proposal</x:v>
      </x:c>
      <x:c r="N673" s="4" t="str">
        <x:v>Candidate process/hardware relationship; quantity and service compatibility remain open.</x:v>
      </x:c>
      <x:c r="O673" s="4" t="str">
        <x:v>Lore-coherence game proposal; selected WLD source proposals at f6f98515c005dc3c73cccd9cbc031691745740c6.</x:v>
      </x:c>
      <x:c r="P673" s="4" t="n">
        <x:f>IF(OR(C673="Ingredient candidate",C673="Consumed input",C673="Contained input",C673="Transform input"),IF(F673="T0",0,IF(F673="T1",1,IF(F673="T2",2,IF(F673="T3",3,IF(F673="T4",4,-1))))),-1)</x:f>
        <x:v>3</x:v>
      </x:c>
      <x:c r="Q673" s="4" t="n">
        <x:f>IF(AND(OR(C673="Ingredient candidate",C673="Consumed input",C673="Contained input",C673="Transform input"),P673=-1),1,0)</x:f>
        <x:v>0</x:v>
      </x:c>
    </x:row>
    <x:row r="674" ht="115" customHeight="1">
      <x:c r="A674" s="4" t="str">
        <x:v>design.lore.growth_seat_assembly.in.2</x:v>
      </x:c>
      <x:c r="B674" s="4" t="str">
        <x:v>design.lore.growth_seat_assembly</x:v>
      </x:c>
      <x:c r="C674" s="4" t="str">
        <x:v>Ingredient candidate</x:v>
      </x:c>
      <x:c r="D674" s="4" t="str">
        <x:v>proposal.canister.sealant</x:v>
      </x:c>
      <x:c r="E674" s="4" t="str">
        <x:f>IFERROR(INDEX('Items'!$B$6:$B$1005,MATCH(D674,'Items'!$A$6:$A$1005,0)),"MISSING ID")</x:f>
        <x:v>Canister joint sealant</x:v>
      </x:c>
      <x:c r="F674" s="4" t="str">
        <x:f>IFERROR(INDEX('Items'!$C$6:$C$1005,MATCH(D674,'Items'!$A$6:$A$1005,0)),"MISSING ID")</x:f>
        <x:v>T3</x:v>
      </x:c>
      <x:c r="G674" s="4" t="str">
        <x:f>IFERROR(INDEX('Items'!$D$6:$D$1005,MATCH(D674,'Items'!$A$6:$A$1005,0)),"MISSING ID")</x:f>
        <x:v>Crafting components</x:v>
      </x:c>
      <x:c r="H674" s="4" t="str">
        <x:f>IFERROR(INDEX('Items'!$X$6:$X$1005,MATCH(D674,'Items'!$A$6:$A$1005,0)),"MISSING ID")</x:f>
        <x:v>Chemical material</x:v>
      </x:c>
      <x:c r="I674" s="4"/>
      <x:c r="J674" s="4" t="str">
        <x:v>Unspecified</x:v>
      </x:c>
      <x:c r="K674" s="4" t="str">
        <x:f>IFERROR(INDEX('Crafting recipes'!$D$6:$D$1005,MATCH(B674,'Crafting recipes'!$A$6:$A$1005,0)),"MISSING ID")</x:f>
        <x:v>Proposal</x:v>
      </x:c>
      <x:c r="L674" s="4" t="str">
        <x:f>IFERROR(INDEX('Items'!$AD$6:$AD$1005,MATCH(D674,'Items'!$A$6:$A$1005,0)),"MISSING ID")</x:f>
        <x:v>Proposal</x:v>
      </x:c>
      <x:c r="M674" s="4" t="str">
        <x:f>IFERROR(INDEX('Crafting recipes'!$E$6:$E$1005,MATCH(B674,'Crafting recipes'!$A$6:$A$1005,0)),"MISSING ID")</x:f>
        <x:v>Partial proposal</x:v>
      </x:c>
      <x:c r="N674" s="4" t="str">
        <x:v>Candidate process/hardware relationship; quantity and service compatibility remain open.</x:v>
      </x:c>
      <x:c r="O674" s="4" t="str">
        <x:v>Lore-coherence game proposal; selected WLD source proposals at f6f98515c005dc3c73cccd9cbc031691745740c6.</x:v>
      </x:c>
      <x:c r="P674" s="4" t="n">
        <x:f>IF(OR(C674="Ingredient candidate",C674="Consumed input",C674="Contained input",C674="Transform input"),IF(F674="T0",0,IF(F674="T1",1,IF(F674="T2",2,IF(F674="T3",3,IF(F674="T4",4,-1))))),-1)</x:f>
        <x:v>3</x:v>
      </x:c>
      <x:c r="Q674" s="4" t="n">
        <x:f>IF(AND(OR(C674="Ingredient candidate",C674="Consumed input",C674="Contained input",C674="Transform input"),P674=-1),1,0)</x:f>
        <x:v>0</x:v>
      </x:c>
    </x:row>
    <x:row r="675" ht="115" customHeight="1">
      <x:c r="A675" s="4" t="str">
        <x:v>design.lore.growth_seat_assembly.in.3</x:v>
      </x:c>
      <x:c r="B675" s="4" t="str">
        <x:v>design.lore.growth_seat_assembly</x:v>
      </x:c>
      <x:c r="C675" s="4" t="str">
        <x:v>Ingredient candidate</x:v>
      </x:c>
      <x:c r="D675" s="4" t="str">
        <x:v>proposal.branch.bearing_bronze</x:v>
      </x:c>
      <x:c r="E675" s="4" t="str">
        <x:f>IFERROR(INDEX('Items'!$B$6:$B$1005,MATCH(D675,'Items'!$A$6:$A$1005,0)),"MISSING ID")</x:f>
        <x:v>Prepared bronze bearing stock</x:v>
      </x:c>
      <x:c r="F675" s="4" t="str">
        <x:f>IFERROR(INDEX('Items'!$C$6:$C$1005,MATCH(D675,'Items'!$A$6:$A$1005,0)),"MISSING ID")</x:f>
        <x:v>T2</x:v>
      </x:c>
      <x:c r="G675" s="4" t="str">
        <x:f>IFERROR(INDEX('Items'!$D$6:$D$1005,MATCH(D675,'Items'!$A$6:$A$1005,0)),"MISSING ID")</x:f>
        <x:v>Manufactured stock</x:v>
      </x:c>
      <x:c r="H675" s="4" t="str">
        <x:f>IFERROR(INDEX('Items'!$X$6:$X$1005,MATCH(D675,'Items'!$A$6:$A$1005,0)),"MISSING ID")</x:f>
        <x:v>Processed material</x:v>
      </x:c>
      <x:c r="I675" s="4"/>
      <x:c r="J675" s="4" t="str">
        <x:v>Unspecified</x:v>
      </x:c>
      <x:c r="K675" s="4" t="str">
        <x:f>IFERROR(INDEX('Crafting recipes'!$D$6:$D$1005,MATCH(B675,'Crafting recipes'!$A$6:$A$1005,0)),"MISSING ID")</x:f>
        <x:v>Proposal</x:v>
      </x:c>
      <x:c r="L675" s="4" t="str">
        <x:f>IFERROR(INDEX('Items'!$AD$6:$AD$1005,MATCH(D675,'Items'!$A$6:$A$1005,0)),"MISSING ID")</x:f>
        <x:v>Proposal</x:v>
      </x:c>
      <x:c r="M675" s="4" t="str">
        <x:f>IFERROR(INDEX('Crafting recipes'!$E$6:$E$1005,MATCH(B675,'Crafting recipes'!$A$6:$A$1005,0)),"MISSING ID")</x:f>
        <x:v>Partial proposal</x:v>
      </x:c>
      <x:c r="N675" s="4" t="str">
        <x:v>Candidate process/hardware relationship; quantity and service compatibility remain open.</x:v>
      </x:c>
      <x:c r="O675" s="4" t="str">
        <x:v>Lore-coherence game proposal; selected WLD source proposals at f6f98515c005dc3c73cccd9cbc031691745740c6.</x:v>
      </x:c>
      <x:c r="P675" s="4" t="n">
        <x:f>IF(OR(C675="Ingredient candidate",C675="Consumed input",C675="Contained input",C675="Transform input"),IF(F675="T0",0,IF(F675="T1",1,IF(F675="T2",2,IF(F675="T3",3,IF(F675="T4",4,-1))))),-1)</x:f>
        <x:v>2</x:v>
      </x:c>
      <x:c r="Q675" s="4" t="n">
        <x:f>IF(AND(OR(C675="Ingredient candidate",C675="Consumed input",C675="Contained input",C675="Transform input"),P675=-1),1,0)</x:f>
        <x:v>0</x:v>
      </x:c>
    </x:row>
    <x:row r="676" ht="115" customHeight="1">
      <x:c r="A676" s="4" t="str">
        <x:v>design.lore.growth_seat_assembly.out</x:v>
      </x:c>
      <x:c r="B676" s="4" t="str">
        <x:v>design.lore.growth_seat_assembly</x:v>
      </x:c>
      <x:c r="C676" s="4" t="str">
        <x:v>Output</x:v>
      </x:c>
      <x:c r="D676" s="4" t="str">
        <x:v>proposal.lore.growth_seat_assembly</x:v>
      </x:c>
      <x:c r="E676" s="4" t="str">
        <x:f>IFERROR(INDEX('Items'!$B$6:$B$1005,MATCH(D676,'Items'!$A$6:$A$1005,0)),"MISSING ID")</x:f>
        <x:v>Matched Growth seal-seat assembly</x:v>
      </x:c>
      <x:c r="F676" s="4" t="str">
        <x:f>IFERROR(INDEX('Items'!$C$6:$C$1005,MATCH(D676,'Items'!$A$6:$A$1005,0)),"MISSING ID")</x:f>
        <x:v>T4</x:v>
      </x:c>
      <x:c r="G676" s="4" t="str">
        <x:f>IFERROR(INDEX('Items'!$D$6:$D$1005,MATCH(D676,'Items'!$A$6:$A$1005,0)),"MISSING ID")</x:f>
        <x:v>Crafting components</x:v>
      </x:c>
      <x:c r="H676" s="4" t="str">
        <x:f>IFERROR(INDEX('Items'!$X$6:$X$1005,MATCH(D676,'Items'!$A$6:$A$1005,0)),"MISSING ID")</x:f>
        <x:v>Crafting component</x:v>
      </x:c>
      <x:c r="I676" s="4"/>
      <x:c r="J676" s="4" t="str">
        <x:v>Unspecified</x:v>
      </x:c>
      <x:c r="K676" s="4" t="str">
        <x:f>IFERROR(INDEX('Crafting recipes'!$D$6:$D$1005,MATCH(B676,'Crafting recipes'!$A$6:$A$1005,0)),"MISSING ID")</x:f>
        <x:v>Proposal</x:v>
      </x:c>
      <x:c r="L676" s="4" t="str">
        <x:f>IFERROR(INDEX('Items'!$AD$6:$AD$1005,MATCH(D676,'Items'!$A$6:$A$1005,0)),"MISSING ID")</x:f>
        <x:v>Proposal</x:v>
      </x:c>
      <x:c r="M676" s="4" t="str">
        <x:f>IFERROR(INDEX('Crafting recipes'!$E$6:$E$1005,MATCH(B676,'Crafting recipes'!$A$6:$A$1005,0)),"MISSING ID")</x:f>
        <x:v>Partial proposal</x:v>
      </x:c>
      <x:c r="N676" s="4" t="str">
        <x:v>Candidate process/hardware relationship; quantity and service compatibility remain open.</x:v>
      </x:c>
      <x:c r="O676" s="4" t="str">
        <x:v>Lore-coherence game proposal; selected WLD source proposals at f6f98515c005dc3c73cccd9cbc031691745740c6.</x:v>
      </x:c>
      <x:c r="P676" s="4" t="n">
        <x:f>IF(OR(C676="Ingredient candidate",C676="Consumed input",C676="Contained input",C676="Transform input"),IF(F676="T0",0,IF(F676="T1",1,IF(F676="T2",2,IF(F676="T3",3,IF(F676="T4",4,-1))))),-1)</x:f>
        <x:v>-1</x:v>
      </x:c>
      <x:c r="Q676" s="4" t="n">
        <x:f>IF(AND(OR(C676="Ingredient candidate",C676="Consumed input",C676="Contained input",C676="Transform input"),P676=-1),1,0)</x:f>
        <x:v>0</x:v>
      </x:c>
    </x:row>
    <x:row r="677" ht="115" customHeight="1">
      <x:c r="A677" s="4" t="str">
        <x:v>design.lore.alkali_concentrate.in.1</x:v>
      </x:c>
      <x:c r="B677" s="4" t="str">
        <x:v>design.lore.alkali_concentrate</x:v>
      </x:c>
      <x:c r="C677" s="4" t="str">
        <x:v>Ingredient candidate</x:v>
      </x:c>
      <x:c r="D677" s="4" t="str">
        <x:v>proposal.lore.alkaline_crust</x:v>
      </x:c>
      <x:c r="E677" s="4" t="str">
        <x:f>IFERROR(INDEX('Items'!$B$6:$B$1005,MATCH(D677,'Items'!$A$6:$A$1005,0)),"MISSING ID")</x:f>
        <x:v>Alkaline mineral crust</x:v>
      </x:c>
      <x:c r="F677" s="4" t="str">
        <x:f>IFERROR(INDEX('Items'!$C$6:$C$1005,MATCH(D677,'Items'!$A$6:$A$1005,0)),"MISSING ID")</x:f>
        <x:v>T0</x:v>
      </x:c>
      <x:c r="G677" s="4" t="str">
        <x:f>IFERROR(INDEX('Items'!$D$6:$D$1005,MATCH(D677,'Items'!$A$6:$A$1005,0)),"MISSING ID")</x:f>
        <x:v>Mineral resources</x:v>
      </x:c>
      <x:c r="H677" s="4" t="str">
        <x:f>IFERROR(INDEX('Items'!$X$6:$X$1005,MATCH(D677,'Items'!$A$6:$A$1005,0)),"MISSING ID")</x:f>
        <x:v>Raw material</x:v>
      </x:c>
      <x:c r="I677" s="4"/>
      <x:c r="J677" s="4" t="str">
        <x:v>Unspecified</x:v>
      </x:c>
      <x:c r="K677" s="4" t="str">
        <x:f>IFERROR(INDEX('Crafting recipes'!$D$6:$D$1005,MATCH(B677,'Crafting recipes'!$A$6:$A$1005,0)),"MISSING ID")</x:f>
        <x:v>Proposal</x:v>
      </x:c>
      <x:c r="L677" s="4" t="str">
        <x:f>IFERROR(INDEX('Items'!$AD$6:$AD$1005,MATCH(D677,'Items'!$A$6:$A$1005,0)),"MISSING ID")</x:f>
        <x:v>Proposal</x:v>
      </x:c>
      <x:c r="M677" s="4" t="str">
        <x:f>IFERROR(INDEX('Crafting recipes'!$E$6:$E$1005,MATCH(B677,'Crafting recipes'!$A$6:$A$1005,0)),"MISSING ID")</x:f>
        <x:v>Partial proposal</x:v>
      </x:c>
      <x:c r="N677" s="4" t="str">
        <x:v>Candidate process/hardware relationship; quantity and service compatibility remain open.</x:v>
      </x:c>
      <x:c r="O677" s="4" t="str">
        <x:v>Lore-coherence game proposal; selected WLD source proposals at f6f98515c005dc3c73cccd9cbc031691745740c6.</x:v>
      </x:c>
      <x:c r="P677" s="4" t="n">
        <x:f>IF(OR(C677="Ingredient candidate",C677="Consumed input",C677="Contained input",C677="Transform input"),IF(F677="T0",0,IF(F677="T1",1,IF(F677="T2",2,IF(F677="T3",3,IF(F677="T4",4,-1))))),-1)</x:f>
        <x:v>0</x:v>
      </x:c>
      <x:c r="Q677" s="4" t="n">
        <x:f>IF(AND(OR(C677="Ingredient candidate",C677="Consumed input",C677="Contained input",C677="Transform input"),P677=-1),1,0)</x:f>
        <x:v>0</x:v>
      </x:c>
    </x:row>
    <x:row r="678" ht="115" customHeight="1">
      <x:c r="A678" s="4" t="str">
        <x:v>design.lore.alkali_concentrate.out</x:v>
      </x:c>
      <x:c r="B678" s="4" t="str">
        <x:v>design.lore.alkali_concentrate</x:v>
      </x:c>
      <x:c r="C678" s="4" t="str">
        <x:v>Output</x:v>
      </x:c>
      <x:c r="D678" s="4" t="str">
        <x:v>proposal.lore.alkali_concentrate</x:v>
      </x:c>
      <x:c r="E678" s="4" t="str">
        <x:f>IFERROR(INDEX('Items'!$B$6:$B$1005,MATCH(D678,'Items'!$A$6:$A$1005,0)),"MISSING ID")</x:f>
        <x:v>Prepared alkaline mineral concentrate</x:v>
      </x:c>
      <x:c r="F678" s="4" t="str">
        <x:f>IFERROR(INDEX('Items'!$C$6:$C$1005,MATCH(D678,'Items'!$A$6:$A$1005,0)),"MISSING ID")</x:f>
        <x:v>T1</x:v>
      </x:c>
      <x:c r="G678" s="4" t="str">
        <x:f>IFERROR(INDEX('Items'!$D$6:$D$1005,MATCH(D678,'Items'!$A$6:$A$1005,0)),"MISSING ID")</x:f>
        <x:v>Crafting components</x:v>
      </x:c>
      <x:c r="H678" s="4" t="str">
        <x:f>IFERROR(INDEX('Items'!$X$6:$X$1005,MATCH(D678,'Items'!$A$6:$A$1005,0)),"MISSING ID")</x:f>
        <x:v>Chemical material</x:v>
      </x:c>
      <x:c r="I678" s="4"/>
      <x:c r="J678" s="4" t="str">
        <x:v>Unspecified</x:v>
      </x:c>
      <x:c r="K678" s="4" t="str">
        <x:f>IFERROR(INDEX('Crafting recipes'!$D$6:$D$1005,MATCH(B678,'Crafting recipes'!$A$6:$A$1005,0)),"MISSING ID")</x:f>
        <x:v>Proposal</x:v>
      </x:c>
      <x:c r="L678" s="4" t="str">
        <x:f>IFERROR(INDEX('Items'!$AD$6:$AD$1005,MATCH(D678,'Items'!$A$6:$A$1005,0)),"MISSING ID")</x:f>
        <x:v>Proposal</x:v>
      </x:c>
      <x:c r="M678" s="4" t="str">
        <x:f>IFERROR(INDEX('Crafting recipes'!$E$6:$E$1005,MATCH(B678,'Crafting recipes'!$A$6:$A$1005,0)),"MISSING ID")</x:f>
        <x:v>Partial proposal</x:v>
      </x:c>
      <x:c r="N678" s="4" t="str">
        <x:v>Candidate process/hardware relationship; quantity and service compatibility remain open.</x:v>
      </x:c>
      <x:c r="O678" s="4" t="str">
        <x:v>Lore-coherence game proposal; selected WLD source proposals at f6f98515c005dc3c73cccd9cbc031691745740c6.</x:v>
      </x:c>
      <x:c r="P678" s="4" t="n">
        <x:f>IF(OR(C678="Ingredient candidate",C678="Consumed input",C678="Contained input",C678="Transform input"),IF(F678="T0",0,IF(F678="T1",1,IF(F678="T2",2,IF(F678="T3",3,IF(F678="T4",4,-1))))),-1)</x:f>
        <x:v>-1</x:v>
      </x:c>
      <x:c r="Q678" s="4" t="n">
        <x:f>IF(AND(OR(C678="Ingredient candidate",C678="Consumed input",C678="Contained input",C678="Transform input"),P678=-1),1,0)</x:f>
        <x:v>0</x:v>
      </x:c>
    </x:row>
    <x:row r="679" ht="115" customHeight="1">
      <x:c r="A679" s="4" t="str">
        <x:v>design.lore.sulfur_charge.in.1</x:v>
      </x:c>
      <x:c r="B679" s="4" t="str">
        <x:v>design.lore.sulfur_charge</x:v>
      </x:c>
      <x:c r="C679" s="4" t="str">
        <x:v>Ingredient candidate</x:v>
      </x:c>
      <x:c r="D679" s="4" t="str">
        <x:v>proposal.natural.sulfur</x:v>
      </x:c>
      <x:c r="E679" s="4" t="str">
        <x:f>IFERROR(INDEX('Items'!$B$6:$B$1005,MATCH(D679,'Items'!$A$6:$A$1005,0)),"MISSING ID")</x:f>
        <x:v>Raw sulfur</x:v>
      </x:c>
      <x:c r="F679" s="4" t="str">
        <x:f>IFERROR(INDEX('Items'!$C$6:$C$1005,MATCH(D679,'Items'!$A$6:$A$1005,0)),"MISSING ID")</x:f>
        <x:v>T0</x:v>
      </x:c>
      <x:c r="G679" s="4" t="str">
        <x:f>IFERROR(INDEX('Items'!$D$6:$D$1005,MATCH(D679,'Items'!$A$6:$A$1005,0)),"MISSING ID")</x:f>
        <x:v>Mineral resources</x:v>
      </x:c>
      <x:c r="H679" s="4" t="str">
        <x:f>IFERROR(INDEX('Items'!$X$6:$X$1005,MATCH(D679,'Items'!$A$6:$A$1005,0)),"MISSING ID")</x:f>
        <x:v>Raw material</x:v>
      </x:c>
      <x:c r="I679" s="4"/>
      <x:c r="J679" s="4" t="str">
        <x:v>Unspecified</x:v>
      </x:c>
      <x:c r="K679" s="4" t="str">
        <x:f>IFERROR(INDEX('Crafting recipes'!$D$6:$D$1005,MATCH(B679,'Crafting recipes'!$A$6:$A$1005,0)),"MISSING ID")</x:f>
        <x:v>Proposal</x:v>
      </x:c>
      <x:c r="L679" s="4" t="str">
        <x:f>IFERROR(INDEX('Items'!$AD$6:$AD$1005,MATCH(D679,'Items'!$A$6:$A$1005,0)),"MISSING ID")</x:f>
        <x:v>Author direction</x:v>
      </x:c>
      <x:c r="M679" s="4" t="str">
        <x:f>IFERROR(INDEX('Crafting recipes'!$E$6:$E$1005,MATCH(B679,'Crafting recipes'!$A$6:$A$1005,0)),"MISSING ID")</x:f>
        <x:v>Partial proposal</x:v>
      </x:c>
      <x:c r="N679" s="4" t="str">
        <x:v>Candidate process/hardware relationship; quantity and service compatibility remain open.</x:v>
      </x:c>
      <x:c r="O679" s="4" t="str">
        <x:v>Lore-coherence game proposal; selected WLD source proposals at f6f98515c005dc3c73cccd9cbc031691745740c6.</x:v>
      </x:c>
      <x:c r="P679" s="4" t="n">
        <x:f>IF(OR(C679="Ingredient candidate",C679="Consumed input",C679="Contained input",C679="Transform input"),IF(F679="T0",0,IF(F679="T1",1,IF(F679="T2",2,IF(F679="T3",3,IF(F679="T4",4,-1))))),-1)</x:f>
        <x:v>0</x:v>
      </x:c>
      <x:c r="Q679" s="4" t="n">
        <x:f>IF(AND(OR(C679="Ingredient candidate",C679="Consumed input",C679="Contained input",C679="Transform input"),P679=-1),1,0)</x:f>
        <x:v>0</x:v>
      </x:c>
    </x:row>
    <x:row r="680" ht="115" customHeight="1">
      <x:c r="A680" s="4" t="str">
        <x:v>design.lore.sulfur_charge.in.2</x:v>
      </x:c>
      <x:c r="B680" s="4" t="str">
        <x:v>design.lore.sulfur_charge</x:v>
      </x:c>
      <x:c r="C680" s="4" t="str">
        <x:v>Ingredient candidate</x:v>
      </x:c>
      <x:c r="D680" s="4" t="str">
        <x:v>proposal.natural.salts</x:v>
      </x:c>
      <x:c r="E680" s="4" t="str">
        <x:f>IFERROR(INDEX('Items'!$B$6:$B$1005,MATCH(D680,'Items'!$A$6:$A$1005,0)),"MISSING ID")</x:f>
        <x:v>Dry mineral salts</x:v>
      </x:c>
      <x:c r="F680" s="4" t="str">
        <x:f>IFERROR(INDEX('Items'!$C$6:$C$1005,MATCH(D680,'Items'!$A$6:$A$1005,0)),"MISSING ID")</x:f>
        <x:v>T0</x:v>
      </x:c>
      <x:c r="G680" s="4" t="str">
        <x:f>IFERROR(INDEX('Items'!$D$6:$D$1005,MATCH(D680,'Items'!$A$6:$A$1005,0)),"MISSING ID")</x:f>
        <x:v>Mineral resources</x:v>
      </x:c>
      <x:c r="H680" s="4" t="str">
        <x:f>IFERROR(INDEX('Items'!$X$6:$X$1005,MATCH(D680,'Items'!$A$6:$A$1005,0)),"MISSING ID")</x:f>
        <x:v>Raw material</x:v>
      </x:c>
      <x:c r="I680" s="4"/>
      <x:c r="J680" s="4" t="str">
        <x:v>Unspecified</x:v>
      </x:c>
      <x:c r="K680" s="4" t="str">
        <x:f>IFERROR(INDEX('Crafting recipes'!$D$6:$D$1005,MATCH(B680,'Crafting recipes'!$A$6:$A$1005,0)),"MISSING ID")</x:f>
        <x:v>Proposal</x:v>
      </x:c>
      <x:c r="L680" s="4" t="str">
        <x:f>IFERROR(INDEX('Items'!$AD$6:$AD$1005,MATCH(D680,'Items'!$A$6:$A$1005,0)),"MISSING ID")</x:f>
        <x:v>Proposal</x:v>
      </x:c>
      <x:c r="M680" s="4" t="str">
        <x:f>IFERROR(INDEX('Crafting recipes'!$E$6:$E$1005,MATCH(B680,'Crafting recipes'!$A$6:$A$1005,0)),"MISSING ID")</x:f>
        <x:v>Partial proposal</x:v>
      </x:c>
      <x:c r="N680" s="4" t="str">
        <x:v>Candidate process/hardware relationship; quantity and service compatibility remain open.</x:v>
      </x:c>
      <x:c r="O680" s="4" t="str">
        <x:v>Lore-coherence game proposal; selected WLD source proposals at f6f98515c005dc3c73cccd9cbc031691745740c6.</x:v>
      </x:c>
      <x:c r="P680" s="4" t="n">
        <x:f>IF(OR(C680="Ingredient candidate",C680="Consumed input",C680="Contained input",C680="Transform input"),IF(F680="T0",0,IF(F680="T1",1,IF(F680="T2",2,IF(F680="T3",3,IF(F680="T4",4,-1))))),-1)</x:f>
        <x:v>0</x:v>
      </x:c>
      <x:c r="Q680" s="4" t="n">
        <x:f>IF(AND(OR(C680="Ingredient candidate",C680="Consumed input",C680="Contained input",C680="Transform input"),P680=-1),1,0)</x:f>
        <x:v>0</x:v>
      </x:c>
    </x:row>
    <x:row r="681" ht="115" customHeight="1">
      <x:c r="A681" s="4" t="str">
        <x:v>design.lore.sulfur_charge.out</x:v>
      </x:c>
      <x:c r="B681" s="4" t="str">
        <x:v>design.lore.sulfur_charge</x:v>
      </x:c>
      <x:c r="C681" s="4" t="str">
        <x:v>Output</x:v>
      </x:c>
      <x:c r="D681" s="4" t="str">
        <x:v>proposal.lore.sulfur_charge</x:v>
      </x:c>
      <x:c r="E681" s="4" t="str">
        <x:f>IFERROR(INDEX('Items'!$B$6:$B$1005,MATCH(D681,'Items'!$A$6:$A$1005,0)),"MISSING ID")</x:f>
        <x:v>Prepared sulfur process charge</x:v>
      </x:c>
      <x:c r="F681" s="4" t="str">
        <x:f>IFERROR(INDEX('Items'!$C$6:$C$1005,MATCH(D681,'Items'!$A$6:$A$1005,0)),"MISSING ID")</x:f>
        <x:v>T1</x:v>
      </x:c>
      <x:c r="G681" s="4" t="str">
        <x:f>IFERROR(INDEX('Items'!$D$6:$D$1005,MATCH(D681,'Items'!$A$6:$A$1005,0)),"MISSING ID")</x:f>
        <x:v>Crafting components</x:v>
      </x:c>
      <x:c r="H681" s="4" t="str">
        <x:f>IFERROR(INDEX('Items'!$X$6:$X$1005,MATCH(D681,'Items'!$A$6:$A$1005,0)),"MISSING ID")</x:f>
        <x:v>Chemical material</x:v>
      </x:c>
      <x:c r="I681" s="4"/>
      <x:c r="J681" s="4" t="str">
        <x:v>Unspecified</x:v>
      </x:c>
      <x:c r="K681" s="4" t="str">
        <x:f>IFERROR(INDEX('Crafting recipes'!$D$6:$D$1005,MATCH(B681,'Crafting recipes'!$A$6:$A$1005,0)),"MISSING ID")</x:f>
        <x:v>Proposal</x:v>
      </x:c>
      <x:c r="L681" s="4" t="str">
        <x:f>IFERROR(INDEX('Items'!$AD$6:$AD$1005,MATCH(D681,'Items'!$A$6:$A$1005,0)),"MISSING ID")</x:f>
        <x:v>Proposal</x:v>
      </x:c>
      <x:c r="M681" s="4" t="str">
        <x:f>IFERROR(INDEX('Crafting recipes'!$E$6:$E$1005,MATCH(B681,'Crafting recipes'!$A$6:$A$1005,0)),"MISSING ID")</x:f>
        <x:v>Partial proposal</x:v>
      </x:c>
      <x:c r="N681" s="4" t="str">
        <x:v>Candidate process/hardware relationship; quantity and service compatibility remain open.</x:v>
      </x:c>
      <x:c r="O681" s="4" t="str">
        <x:v>Lore-coherence game proposal; selected WLD source proposals at f6f98515c005dc3c73cccd9cbc031691745740c6.</x:v>
      </x:c>
      <x:c r="P681" s="4" t="n">
        <x:f>IF(OR(C681="Ingredient candidate",C681="Consumed input",C681="Contained input",C681="Transform input"),IF(F681="T0",0,IF(F681="T1",1,IF(F681="T2",2,IF(F681="T3",3,IF(F681="T4",4,-1))))),-1)</x:f>
        <x:v>-1</x:v>
      </x:c>
      <x:c r="Q681" s="4" t="n">
        <x:f>IF(AND(OR(C681="Ingredient candidate",C681="Consumed input",C681="Contained input",C681="Transform input"),P681=-1),1,0)</x:f>
        <x:v>0</x:v>
      </x:c>
    </x:row>
    <x:row r="682" ht="115" customHeight="1">
      <x:c r="A682" s="4" t="str">
        <x:v>design.lore.phagia_enzyme.in.1</x:v>
      </x:c>
      <x:c r="B682" s="4" t="str">
        <x:v>design.lore.phagia_enzyme</x:v>
      </x:c>
      <x:c r="C682" s="4" t="str">
        <x:v>Ingredient candidate</x:v>
      </x:c>
      <x:c r="D682" s="4" t="str">
        <x:v>proposal.lore.phagia_byproduct</x:v>
      </x:c>
      <x:c r="E682" s="4" t="str">
        <x:f>IFERROR(INDEX('Items'!$B$6:$B$1005,MATCH(D682,'Items'!$A$6:$A$1005,0)),"MISSING ID")</x:f>
        <x:v>Contained Phagia vat byproduct</x:v>
      </x:c>
      <x:c r="F682" s="4" t="str">
        <x:f>IFERROR(INDEX('Items'!$C$6:$C$1005,MATCH(D682,'Items'!$A$6:$A$1005,0)),"MISSING ID")</x:f>
        <x:v>T0</x:v>
      </x:c>
      <x:c r="G682" s="4" t="str">
        <x:f>IFERROR(INDEX('Items'!$D$6:$D$1005,MATCH(D682,'Items'!$A$6:$A$1005,0)),"MISSING ID")</x:f>
        <x:v>Biological resources</x:v>
      </x:c>
      <x:c r="H682" s="4" t="str">
        <x:f>IFERROR(INDEX('Items'!$X$6:$X$1005,MATCH(D682,'Items'!$A$6:$A$1005,0)),"MISSING ID")</x:f>
        <x:v>Raw material</x:v>
      </x:c>
      <x:c r="I682" s="4"/>
      <x:c r="J682" s="4" t="str">
        <x:v>Unspecified</x:v>
      </x:c>
      <x:c r="K682" s="4" t="str">
        <x:f>IFERROR(INDEX('Crafting recipes'!$D$6:$D$1005,MATCH(B682,'Crafting recipes'!$A$6:$A$1005,0)),"MISSING ID")</x:f>
        <x:v>Proposal</x:v>
      </x:c>
      <x:c r="L682" s="4" t="str">
        <x:f>IFERROR(INDEX('Items'!$AD$6:$AD$1005,MATCH(D682,'Items'!$A$6:$A$1005,0)),"MISSING ID")</x:f>
        <x:v>Proposal</x:v>
      </x:c>
      <x:c r="M682" s="4" t="str">
        <x:f>IFERROR(INDEX('Crafting recipes'!$E$6:$E$1005,MATCH(B682,'Crafting recipes'!$A$6:$A$1005,0)),"MISSING ID")</x:f>
        <x:v>Partial proposal</x:v>
      </x:c>
      <x:c r="N682" s="4" t="str">
        <x:v>Candidate process/hardware relationship; quantity and service compatibility remain open.</x:v>
      </x:c>
      <x:c r="O682" s="4" t="str">
        <x:v>Lore-coherence game proposal; selected WLD source proposals at f6f98515c005dc3c73cccd9cbc031691745740c6.</x:v>
      </x:c>
      <x:c r="P682" s="4" t="n">
        <x:f>IF(OR(C682="Ingredient candidate",C682="Consumed input",C682="Contained input",C682="Transform input"),IF(F682="T0",0,IF(F682="T1",1,IF(F682="T2",2,IF(F682="T3",3,IF(F682="T4",4,-1))))),-1)</x:f>
        <x:v>0</x:v>
      </x:c>
      <x:c r="Q682" s="4" t="n">
        <x:f>IF(AND(OR(C682="Ingredient candidate",C682="Consumed input",C682="Contained input",C682="Transform input"),P682=-1),1,0)</x:f>
        <x:v>0</x:v>
      </x:c>
    </x:row>
    <x:row r="683" ht="115" customHeight="1">
      <x:c r="A683" s="4" t="str">
        <x:v>design.lore.phagia_enzyme.out</x:v>
      </x:c>
      <x:c r="B683" s="4" t="str">
        <x:v>design.lore.phagia_enzyme</x:v>
      </x:c>
      <x:c r="C683" s="4" t="str">
        <x:v>Output</x:v>
      </x:c>
      <x:c r="D683" s="4" t="str">
        <x:v>proposal.lore.phagia_enzyme</x:v>
      </x:c>
      <x:c r="E683" s="4" t="str">
        <x:f>IFERROR(INDEX('Items'!$B$6:$B$1005,MATCH(D683,'Items'!$A$6:$A$1005,0)),"MISSING ID")</x:f>
        <x:v>Selected Phagia enzyme fraction</x:v>
      </x:c>
      <x:c r="F683" s="4" t="str">
        <x:f>IFERROR(INDEX('Items'!$C$6:$C$1005,MATCH(D683,'Items'!$A$6:$A$1005,0)),"MISSING ID")</x:f>
        <x:v>T1</x:v>
      </x:c>
      <x:c r="G683" s="4" t="str">
        <x:f>IFERROR(INDEX('Items'!$D$6:$D$1005,MATCH(D683,'Items'!$A$6:$A$1005,0)),"MISSING ID")</x:f>
        <x:v>Crafting components</x:v>
      </x:c>
      <x:c r="H683" s="4" t="str">
        <x:f>IFERROR(INDEX('Items'!$X$6:$X$1005,MATCH(D683,'Items'!$A$6:$A$1005,0)),"MISSING ID")</x:f>
        <x:v>Chemical material</x:v>
      </x:c>
      <x:c r="I683" s="4"/>
      <x:c r="J683" s="4" t="str">
        <x:v>Unspecified</x:v>
      </x:c>
      <x:c r="K683" s="4" t="str">
        <x:f>IFERROR(INDEX('Crafting recipes'!$D$6:$D$1005,MATCH(B683,'Crafting recipes'!$A$6:$A$1005,0)),"MISSING ID")</x:f>
        <x:v>Proposal</x:v>
      </x:c>
      <x:c r="L683" s="4" t="str">
        <x:f>IFERROR(INDEX('Items'!$AD$6:$AD$1005,MATCH(D683,'Items'!$A$6:$A$1005,0)),"MISSING ID")</x:f>
        <x:v>Proposal</x:v>
      </x:c>
      <x:c r="M683" s="4" t="str">
        <x:f>IFERROR(INDEX('Crafting recipes'!$E$6:$E$1005,MATCH(B683,'Crafting recipes'!$A$6:$A$1005,0)),"MISSING ID")</x:f>
        <x:v>Partial proposal</x:v>
      </x:c>
      <x:c r="N683" s="4" t="str">
        <x:v>Candidate process/hardware relationship; quantity and service compatibility remain open.</x:v>
      </x:c>
      <x:c r="O683" s="4" t="str">
        <x:v>Lore-coherence game proposal; selected WLD source proposals at f6f98515c005dc3c73cccd9cbc031691745740c6.</x:v>
      </x:c>
      <x:c r="P683" s="4" t="n">
        <x:f>IF(OR(C683="Ingredient candidate",C683="Consumed input",C683="Contained input",C683="Transform input"),IF(F683="T0",0,IF(F683="T1",1,IF(F683="T2",2,IF(F683="T3",3,IF(F683="T4",4,-1))))),-1)</x:f>
        <x:v>-1</x:v>
      </x:c>
      <x:c r="Q683" s="4" t="n">
        <x:f>IF(AND(OR(C683="Ingredient candidate",C683="Consumed input",C683="Contained input",C683="Transform input"),P683=-1),1,0)</x:f>
        <x:v>0</x:v>
      </x:c>
    </x:row>
    <x:row r="684" ht="115" customHeight="1">
      <x:c r="A684" s="4" t="str">
        <x:v>design.lore.phagia_acid.in.1</x:v>
      </x:c>
      <x:c r="B684" s="4" t="str">
        <x:v>design.lore.phagia_acid</x:v>
      </x:c>
      <x:c r="C684" s="4" t="str">
        <x:v>Ingredient candidate</x:v>
      </x:c>
      <x:c r="D684" s="4" t="str">
        <x:v>proposal.lore.phagia_byproduct</x:v>
      </x:c>
      <x:c r="E684" s="4" t="str">
        <x:f>IFERROR(INDEX('Items'!$B$6:$B$1005,MATCH(D684,'Items'!$A$6:$A$1005,0)),"MISSING ID")</x:f>
        <x:v>Contained Phagia vat byproduct</x:v>
      </x:c>
      <x:c r="F684" s="4" t="str">
        <x:f>IFERROR(INDEX('Items'!$C$6:$C$1005,MATCH(D684,'Items'!$A$6:$A$1005,0)),"MISSING ID")</x:f>
        <x:v>T0</x:v>
      </x:c>
      <x:c r="G684" s="4" t="str">
        <x:f>IFERROR(INDEX('Items'!$D$6:$D$1005,MATCH(D684,'Items'!$A$6:$A$1005,0)),"MISSING ID")</x:f>
        <x:v>Biological resources</x:v>
      </x:c>
      <x:c r="H684" s="4" t="str">
        <x:f>IFERROR(INDEX('Items'!$X$6:$X$1005,MATCH(D684,'Items'!$A$6:$A$1005,0)),"MISSING ID")</x:f>
        <x:v>Raw material</x:v>
      </x:c>
      <x:c r="I684" s="4"/>
      <x:c r="J684" s="4" t="str">
        <x:v>Unspecified</x:v>
      </x:c>
      <x:c r="K684" s="4" t="str">
        <x:f>IFERROR(INDEX('Crafting recipes'!$D$6:$D$1005,MATCH(B684,'Crafting recipes'!$A$6:$A$1005,0)),"MISSING ID")</x:f>
        <x:v>Proposal</x:v>
      </x:c>
      <x:c r="L684" s="4" t="str">
        <x:f>IFERROR(INDEX('Items'!$AD$6:$AD$1005,MATCH(D684,'Items'!$A$6:$A$1005,0)),"MISSING ID")</x:f>
        <x:v>Proposal</x:v>
      </x:c>
      <x:c r="M684" s="4" t="str">
        <x:f>IFERROR(INDEX('Crafting recipes'!$E$6:$E$1005,MATCH(B684,'Crafting recipes'!$A$6:$A$1005,0)),"MISSING ID")</x:f>
        <x:v>Partial proposal</x:v>
      </x:c>
      <x:c r="N684" s="4" t="str">
        <x:v>Candidate process/hardware relationship; quantity and service compatibility remain open.</x:v>
      </x:c>
      <x:c r="O684" s="4" t="str">
        <x:v>Lore-coherence game proposal; selected WLD source proposals at f6f98515c005dc3c73cccd9cbc031691745740c6.</x:v>
      </x:c>
      <x:c r="P684" s="4" t="n">
        <x:f>IF(OR(C684="Ingredient candidate",C684="Consumed input",C684="Contained input",C684="Transform input"),IF(F684="T0",0,IF(F684="T1",1,IF(F684="T2",2,IF(F684="T3",3,IF(F684="T4",4,-1))))),-1)</x:f>
        <x:v>0</x:v>
      </x:c>
      <x:c r="Q684" s="4" t="n">
        <x:f>IF(AND(OR(C684="Ingredient candidate",C684="Consumed input",C684="Contained input",C684="Transform input"),P684=-1),1,0)</x:f>
        <x:v>0</x:v>
      </x:c>
    </x:row>
    <x:row r="685" ht="115" customHeight="1">
      <x:c r="A685" s="4" t="str">
        <x:v>design.lore.phagia_acid.out</x:v>
      </x:c>
      <x:c r="B685" s="4" t="str">
        <x:v>design.lore.phagia_acid</x:v>
      </x:c>
      <x:c r="C685" s="4" t="str">
        <x:v>Output</x:v>
      </x:c>
      <x:c r="D685" s="4" t="str">
        <x:v>proposal.lore.phagia_acid</x:v>
      </x:c>
      <x:c r="E685" s="4" t="str">
        <x:f>IFERROR(INDEX('Items'!$B$6:$B$1005,MATCH(D685,'Items'!$A$6:$A$1005,0)),"MISSING ID")</x:f>
        <x:v>Selected Phagia mild-acid fraction</x:v>
      </x:c>
      <x:c r="F685" s="4" t="str">
        <x:f>IFERROR(INDEX('Items'!$C$6:$C$1005,MATCH(D685,'Items'!$A$6:$A$1005,0)),"MISSING ID")</x:f>
        <x:v>T1</x:v>
      </x:c>
      <x:c r="G685" s="4" t="str">
        <x:f>IFERROR(INDEX('Items'!$D$6:$D$1005,MATCH(D685,'Items'!$A$6:$A$1005,0)),"MISSING ID")</x:f>
        <x:v>Crafting components</x:v>
      </x:c>
      <x:c r="H685" s="4" t="str">
        <x:f>IFERROR(INDEX('Items'!$X$6:$X$1005,MATCH(D685,'Items'!$A$6:$A$1005,0)),"MISSING ID")</x:f>
        <x:v>Chemical material</x:v>
      </x:c>
      <x:c r="I685" s="4"/>
      <x:c r="J685" s="4" t="str">
        <x:v>Unspecified</x:v>
      </x:c>
      <x:c r="K685" s="4" t="str">
        <x:f>IFERROR(INDEX('Crafting recipes'!$D$6:$D$1005,MATCH(B685,'Crafting recipes'!$A$6:$A$1005,0)),"MISSING ID")</x:f>
        <x:v>Proposal</x:v>
      </x:c>
      <x:c r="L685" s="4" t="str">
        <x:f>IFERROR(INDEX('Items'!$AD$6:$AD$1005,MATCH(D685,'Items'!$A$6:$A$1005,0)),"MISSING ID")</x:f>
        <x:v>Proposal</x:v>
      </x:c>
      <x:c r="M685" s="4" t="str">
        <x:f>IFERROR(INDEX('Crafting recipes'!$E$6:$E$1005,MATCH(B685,'Crafting recipes'!$A$6:$A$1005,0)),"MISSING ID")</x:f>
        <x:v>Partial proposal</x:v>
      </x:c>
      <x:c r="N685" s="4" t="str">
        <x:v>Candidate process/hardware relationship; quantity and service compatibility remain open.</x:v>
      </x:c>
      <x:c r="O685" s="4" t="str">
        <x:v>Lore-coherence game proposal; selected WLD source proposals at f6f98515c005dc3c73cccd9cbc031691745740c6.</x:v>
      </x:c>
      <x:c r="P685" s="4" t="n">
        <x:f>IF(OR(C685="Ingredient candidate",C685="Consumed input",C685="Contained input",C685="Transform input"),IF(F685="T0",0,IF(F685="T1",1,IF(F685="T2",2,IF(F685="T3",3,IF(F685="T4",4,-1))))),-1)</x:f>
        <x:v>-1</x:v>
      </x:c>
      <x:c r="Q685" s="4" t="n">
        <x:f>IF(AND(OR(C685="Ingredient candidate",C685="Consumed input",C685="Contained input",C685="Transform input"),P685=-1),1,0)</x:f>
        <x:v>0</x:v>
      </x:c>
    </x:row>
    <x:row r="686" ht="115" customHeight="1">
      <x:c r="A686" s="4" t="str">
        <x:v>design.lore.phagia_adhesive.in.1</x:v>
      </x:c>
      <x:c r="B686" s="4" t="str">
        <x:v>design.lore.phagia_adhesive</x:v>
      </x:c>
      <x:c r="C686" s="4" t="str">
        <x:v>Ingredient candidate</x:v>
      </x:c>
      <x:c r="D686" s="4" t="str">
        <x:v>proposal.lore.phagia_byproduct</x:v>
      </x:c>
      <x:c r="E686" s="4" t="str">
        <x:f>IFERROR(INDEX('Items'!$B$6:$B$1005,MATCH(D686,'Items'!$A$6:$A$1005,0)),"MISSING ID")</x:f>
        <x:v>Contained Phagia vat byproduct</x:v>
      </x:c>
      <x:c r="F686" s="4" t="str">
        <x:f>IFERROR(INDEX('Items'!$C$6:$C$1005,MATCH(D686,'Items'!$A$6:$A$1005,0)),"MISSING ID")</x:f>
        <x:v>T0</x:v>
      </x:c>
      <x:c r="G686" s="4" t="str">
        <x:f>IFERROR(INDEX('Items'!$D$6:$D$1005,MATCH(D686,'Items'!$A$6:$A$1005,0)),"MISSING ID")</x:f>
        <x:v>Biological resources</x:v>
      </x:c>
      <x:c r="H686" s="4" t="str">
        <x:f>IFERROR(INDEX('Items'!$X$6:$X$1005,MATCH(D686,'Items'!$A$6:$A$1005,0)),"MISSING ID")</x:f>
        <x:v>Raw material</x:v>
      </x:c>
      <x:c r="I686" s="4"/>
      <x:c r="J686" s="4" t="str">
        <x:v>Unspecified</x:v>
      </x:c>
      <x:c r="K686" s="4" t="str">
        <x:f>IFERROR(INDEX('Crafting recipes'!$D$6:$D$1005,MATCH(B686,'Crafting recipes'!$A$6:$A$1005,0)),"MISSING ID")</x:f>
        <x:v>Proposal</x:v>
      </x:c>
      <x:c r="L686" s="4" t="str">
        <x:f>IFERROR(INDEX('Items'!$AD$6:$AD$1005,MATCH(D686,'Items'!$A$6:$A$1005,0)),"MISSING ID")</x:f>
        <x:v>Proposal</x:v>
      </x:c>
      <x:c r="M686" s="4" t="str">
        <x:f>IFERROR(INDEX('Crafting recipes'!$E$6:$E$1005,MATCH(B686,'Crafting recipes'!$A$6:$A$1005,0)),"MISSING ID")</x:f>
        <x:v>Partial proposal</x:v>
      </x:c>
      <x:c r="N686" s="4" t="str">
        <x:v>Candidate process/hardware relationship; quantity and service compatibility remain open.</x:v>
      </x:c>
      <x:c r="O686" s="4" t="str">
        <x:v>Lore-coherence game proposal; selected WLD source proposals at f6f98515c005dc3c73cccd9cbc031691745740c6.</x:v>
      </x:c>
      <x:c r="P686" s="4" t="n">
        <x:f>IF(OR(C686="Ingredient candidate",C686="Consumed input",C686="Contained input",C686="Transform input"),IF(F686="T0",0,IF(F686="T1",1,IF(F686="T2",2,IF(F686="T3",3,IF(F686="T4",4,-1))))),-1)</x:f>
        <x:v>0</x:v>
      </x:c>
      <x:c r="Q686" s="4" t="n">
        <x:f>IF(AND(OR(C686="Ingredient candidate",C686="Consumed input",C686="Contained input",C686="Transform input"),P686=-1),1,0)</x:f>
        <x:v>0</x:v>
      </x:c>
    </x:row>
    <x:row r="687" ht="115" customHeight="1">
      <x:c r="A687" s="4" t="str">
        <x:v>design.lore.phagia_adhesive.out</x:v>
      </x:c>
      <x:c r="B687" s="4" t="str">
        <x:v>design.lore.phagia_adhesive</x:v>
      </x:c>
      <x:c r="C687" s="4" t="str">
        <x:v>Output</x:v>
      </x:c>
      <x:c r="D687" s="4" t="str">
        <x:v>proposal.lore.phagia_adhesive</x:v>
      </x:c>
      <x:c r="E687" s="4" t="str">
        <x:f>IFERROR(INDEX('Items'!$B$6:$B$1005,MATCH(D687,'Items'!$A$6:$A$1005,0)),"MISSING ID")</x:f>
        <x:v>Concentrated Phagia adhesive base</x:v>
      </x:c>
      <x:c r="F687" s="4" t="str">
        <x:f>IFERROR(INDEX('Items'!$C$6:$C$1005,MATCH(D687,'Items'!$A$6:$A$1005,0)),"MISSING ID")</x:f>
        <x:v>T1</x:v>
      </x:c>
      <x:c r="G687" s="4" t="str">
        <x:f>IFERROR(INDEX('Items'!$D$6:$D$1005,MATCH(D687,'Items'!$A$6:$A$1005,0)),"MISSING ID")</x:f>
        <x:v>Crafting components</x:v>
      </x:c>
      <x:c r="H687" s="4" t="str">
        <x:f>IFERROR(INDEX('Items'!$X$6:$X$1005,MATCH(D687,'Items'!$A$6:$A$1005,0)),"MISSING ID")</x:f>
        <x:v>Chemical material</x:v>
      </x:c>
      <x:c r="I687" s="4"/>
      <x:c r="J687" s="4" t="str">
        <x:v>Unspecified</x:v>
      </x:c>
      <x:c r="K687" s="4" t="str">
        <x:f>IFERROR(INDEX('Crafting recipes'!$D$6:$D$1005,MATCH(B687,'Crafting recipes'!$A$6:$A$1005,0)),"MISSING ID")</x:f>
        <x:v>Proposal</x:v>
      </x:c>
      <x:c r="L687" s="4" t="str">
        <x:f>IFERROR(INDEX('Items'!$AD$6:$AD$1005,MATCH(D687,'Items'!$A$6:$A$1005,0)),"MISSING ID")</x:f>
        <x:v>Proposal</x:v>
      </x:c>
      <x:c r="M687" s="4" t="str">
        <x:f>IFERROR(INDEX('Crafting recipes'!$E$6:$E$1005,MATCH(B687,'Crafting recipes'!$A$6:$A$1005,0)),"MISSING ID")</x:f>
        <x:v>Partial proposal</x:v>
      </x:c>
      <x:c r="N687" s="4" t="str">
        <x:v>Candidate process/hardware relationship; quantity and service compatibility remain open.</x:v>
      </x:c>
      <x:c r="O687" s="4" t="str">
        <x:v>Lore-coherence game proposal; selected WLD source proposals at f6f98515c005dc3c73cccd9cbc031691745740c6.</x:v>
      </x:c>
      <x:c r="P687" s="4" t="n">
        <x:f>IF(OR(C687="Ingredient candidate",C687="Consumed input",C687="Contained input",C687="Transform input"),IF(F687="T0",0,IF(F687="T1",1,IF(F687="T2",2,IF(F687="T3",3,IF(F687="T4",4,-1))))),-1)</x:f>
        <x:v>-1</x:v>
      </x:c>
      <x:c r="Q687" s="4" t="n">
        <x:f>IF(AND(OR(C687="Ingredient candidate",C687="Consumed input",C687="Contained input",C687="Transform input"),P687=-1),1,0)</x:f>
        <x:v>0</x:v>
      </x:c>
    </x:row>
    <x:row r="688" ht="115" customHeight="1">
      <x:c r="A688" s="4" t="str">
        <x:v>design.lore.shell_cleaning_charge.in.1</x:v>
      </x:c>
      <x:c r="B688" s="4" t="str">
        <x:v>design.lore.shell_cleaning_charge</x:v>
      </x:c>
      <x:c r="C688" s="4" t="str">
        <x:v>Ingredient candidate</x:v>
      </x:c>
      <x:c r="D688" s="4" t="str">
        <x:v>proposal.lore.alkali_concentrate</x:v>
      </x:c>
      <x:c r="E688" s="4" t="str">
        <x:f>IFERROR(INDEX('Items'!$B$6:$B$1005,MATCH(D688,'Items'!$A$6:$A$1005,0)),"MISSING ID")</x:f>
        <x:v>Prepared alkaline mineral concentrate</x:v>
      </x:c>
      <x:c r="F688" s="4" t="str">
        <x:f>IFERROR(INDEX('Items'!$C$6:$C$1005,MATCH(D688,'Items'!$A$6:$A$1005,0)),"MISSING ID")</x:f>
        <x:v>T1</x:v>
      </x:c>
      <x:c r="G688" s="4" t="str">
        <x:f>IFERROR(INDEX('Items'!$D$6:$D$1005,MATCH(D688,'Items'!$A$6:$A$1005,0)),"MISSING ID")</x:f>
        <x:v>Crafting components</x:v>
      </x:c>
      <x:c r="H688" s="4" t="str">
        <x:f>IFERROR(INDEX('Items'!$X$6:$X$1005,MATCH(D688,'Items'!$A$6:$A$1005,0)),"MISSING ID")</x:f>
        <x:v>Chemical material</x:v>
      </x:c>
      <x:c r="I688" s="4"/>
      <x:c r="J688" s="4" t="str">
        <x:v>Unspecified</x:v>
      </x:c>
      <x:c r="K688" s="4" t="str">
        <x:f>IFERROR(INDEX('Crafting recipes'!$D$6:$D$1005,MATCH(B688,'Crafting recipes'!$A$6:$A$1005,0)),"MISSING ID")</x:f>
        <x:v>Proposal</x:v>
      </x:c>
      <x:c r="L688" s="4" t="str">
        <x:f>IFERROR(INDEX('Items'!$AD$6:$AD$1005,MATCH(D688,'Items'!$A$6:$A$1005,0)),"MISSING ID")</x:f>
        <x:v>Proposal</x:v>
      </x:c>
      <x:c r="M688" s="4" t="str">
        <x:f>IFERROR(INDEX('Crafting recipes'!$E$6:$E$1005,MATCH(B688,'Crafting recipes'!$A$6:$A$1005,0)),"MISSING ID")</x:f>
        <x:v>Partial proposal</x:v>
      </x:c>
      <x:c r="N688" s="4" t="str">
        <x:v>Candidate process/hardware relationship; quantity and service compatibility remain open.</x:v>
      </x:c>
      <x:c r="O688" s="4" t="str">
        <x:v>Lore-coherence game proposal; selected WLD source proposals at f6f98515c005dc3c73cccd9cbc031691745740c6.</x:v>
      </x:c>
      <x:c r="P688" s="4" t="n">
        <x:f>IF(OR(C688="Ingredient candidate",C688="Consumed input",C688="Contained input",C688="Transform input"),IF(F688="T0",0,IF(F688="T1",1,IF(F688="T2",2,IF(F688="T3",3,IF(F688="T4",4,-1))))),-1)</x:f>
        <x:v>1</x:v>
      </x:c>
      <x:c r="Q688" s="4" t="n">
        <x:f>IF(AND(OR(C688="Ingredient candidate",C688="Consumed input",C688="Contained input",C688="Transform input"),P688=-1),1,0)</x:f>
        <x:v>0</x:v>
      </x:c>
    </x:row>
    <x:row r="689" ht="115" customHeight="1">
      <x:c r="A689" s="4" t="str">
        <x:v>design.lore.shell_cleaning_charge.in.2</x:v>
      </x:c>
      <x:c r="B689" s="4" t="str">
        <x:v>design.lore.shell_cleaning_charge</x:v>
      </x:c>
      <x:c r="C689" s="4" t="str">
        <x:v>Ingredient candidate</x:v>
      </x:c>
      <x:c r="D689" s="4" t="str">
        <x:v>proposal.lore.phagia_enzyme</x:v>
      </x:c>
      <x:c r="E689" s="4" t="str">
        <x:f>IFERROR(INDEX('Items'!$B$6:$B$1005,MATCH(D689,'Items'!$A$6:$A$1005,0)),"MISSING ID")</x:f>
        <x:v>Selected Phagia enzyme fraction</x:v>
      </x:c>
      <x:c r="F689" s="4" t="str">
        <x:f>IFERROR(INDEX('Items'!$C$6:$C$1005,MATCH(D689,'Items'!$A$6:$A$1005,0)),"MISSING ID")</x:f>
        <x:v>T1</x:v>
      </x:c>
      <x:c r="G689" s="4" t="str">
        <x:f>IFERROR(INDEX('Items'!$D$6:$D$1005,MATCH(D689,'Items'!$A$6:$A$1005,0)),"MISSING ID")</x:f>
        <x:v>Crafting components</x:v>
      </x:c>
      <x:c r="H689" s="4" t="str">
        <x:f>IFERROR(INDEX('Items'!$X$6:$X$1005,MATCH(D689,'Items'!$A$6:$A$1005,0)),"MISSING ID")</x:f>
        <x:v>Chemical material</x:v>
      </x:c>
      <x:c r="I689" s="4"/>
      <x:c r="J689" s="4" t="str">
        <x:v>Unspecified</x:v>
      </x:c>
      <x:c r="K689" s="4" t="str">
        <x:f>IFERROR(INDEX('Crafting recipes'!$D$6:$D$1005,MATCH(B689,'Crafting recipes'!$A$6:$A$1005,0)),"MISSING ID")</x:f>
        <x:v>Proposal</x:v>
      </x:c>
      <x:c r="L689" s="4" t="str">
        <x:f>IFERROR(INDEX('Items'!$AD$6:$AD$1005,MATCH(D689,'Items'!$A$6:$A$1005,0)),"MISSING ID")</x:f>
        <x:v>Proposal</x:v>
      </x:c>
      <x:c r="M689" s="4" t="str">
        <x:f>IFERROR(INDEX('Crafting recipes'!$E$6:$E$1005,MATCH(B689,'Crafting recipes'!$A$6:$A$1005,0)),"MISSING ID")</x:f>
        <x:v>Partial proposal</x:v>
      </x:c>
      <x:c r="N689" s="4" t="str">
        <x:v>Candidate process/hardware relationship; quantity and service compatibility remain open.</x:v>
      </x:c>
      <x:c r="O689" s="4" t="str">
        <x:v>Lore-coherence game proposal; selected WLD source proposals at f6f98515c005dc3c73cccd9cbc031691745740c6.</x:v>
      </x:c>
      <x:c r="P689" s="4" t="n">
        <x:f>IF(OR(C689="Ingredient candidate",C689="Consumed input",C689="Contained input",C689="Transform input"),IF(F689="T0",0,IF(F689="T1",1,IF(F689="T2",2,IF(F689="T3",3,IF(F689="T4",4,-1))))),-1)</x:f>
        <x:v>1</x:v>
      </x:c>
      <x:c r="Q689" s="4" t="n">
        <x:f>IF(AND(OR(C689="Ingredient candidate",C689="Consumed input",C689="Contained input",C689="Transform input"),P689=-1),1,0)</x:f>
        <x:v>0</x:v>
      </x:c>
    </x:row>
    <x:row r="690" ht="115" customHeight="1">
      <x:c r="A690" s="4" t="str">
        <x:v>design.lore.shell_cleaning_charge.in.3</x:v>
      </x:c>
      <x:c r="B690" s="4" t="str">
        <x:v>design.lore.shell_cleaning_charge</x:v>
      </x:c>
      <x:c r="C690" s="4" t="str">
        <x:v>Ingredient candidate</x:v>
      </x:c>
      <x:c r="D690" s="4" t="str">
        <x:v>proposal.t1.faunal_carrier</x:v>
      </x:c>
      <x:c r="E690" s="4" t="str">
        <x:f>IFERROR(INDEX('Items'!$B$6:$B$1005,MATCH(D690,'Items'!$A$6:$A$1005,0)),"MISSING ID")</x:f>
        <x:v>Selected faunal carrier fraction</x:v>
      </x:c>
      <x:c r="F690" s="4" t="str">
        <x:f>IFERROR(INDEX('Items'!$C$6:$C$1005,MATCH(D690,'Items'!$A$6:$A$1005,0)),"MISSING ID")</x:f>
        <x:v>T1</x:v>
      </x:c>
      <x:c r="G690" s="4" t="str">
        <x:f>IFERROR(INDEX('Items'!$D$6:$D$1005,MATCH(D690,'Items'!$A$6:$A$1005,0)),"MISSING ID")</x:f>
        <x:v>Crafting components</x:v>
      </x:c>
      <x:c r="H690" s="4" t="str">
        <x:f>IFERROR(INDEX('Items'!$X$6:$X$1005,MATCH(D690,'Items'!$A$6:$A$1005,0)),"MISSING ID")</x:f>
        <x:v>Chemical material</x:v>
      </x:c>
      <x:c r="I690" s="4"/>
      <x:c r="J690" s="4" t="str">
        <x:v>Unspecified</x:v>
      </x:c>
      <x:c r="K690" s="4" t="str">
        <x:f>IFERROR(INDEX('Crafting recipes'!$D$6:$D$1005,MATCH(B690,'Crafting recipes'!$A$6:$A$1005,0)),"MISSING ID")</x:f>
        <x:v>Proposal</x:v>
      </x:c>
      <x:c r="L690" s="4" t="str">
        <x:f>IFERROR(INDEX('Items'!$AD$6:$AD$1005,MATCH(D690,'Items'!$A$6:$A$1005,0)),"MISSING ID")</x:f>
        <x:v>Proposal</x:v>
      </x:c>
      <x:c r="M690" s="4" t="str">
        <x:f>IFERROR(INDEX('Crafting recipes'!$E$6:$E$1005,MATCH(B690,'Crafting recipes'!$A$6:$A$1005,0)),"MISSING ID")</x:f>
        <x:v>Partial proposal</x:v>
      </x:c>
      <x:c r="N690" s="4" t="str">
        <x:v>Candidate process/hardware relationship; quantity and service compatibility remain open.</x:v>
      </x:c>
      <x:c r="O690" s="4" t="str">
        <x:v>Lore-coherence game proposal; selected WLD source proposals at f6f98515c005dc3c73cccd9cbc031691745740c6.</x:v>
      </x:c>
      <x:c r="P690" s="4" t="n">
        <x:f>IF(OR(C690="Ingredient candidate",C690="Consumed input",C690="Contained input",C690="Transform input"),IF(F690="T0",0,IF(F690="T1",1,IF(F690="T2",2,IF(F690="T3",3,IF(F690="T4",4,-1))))),-1)</x:f>
        <x:v>1</x:v>
      </x:c>
      <x:c r="Q690" s="4" t="n">
        <x:f>IF(AND(OR(C690="Ingredient candidate",C690="Consumed input",C690="Contained input",C690="Transform input"),P690=-1),1,0)</x:f>
        <x:v>0</x:v>
      </x:c>
    </x:row>
    <x:row r="691" ht="115" customHeight="1">
      <x:c r="A691" s="4" t="str">
        <x:v>design.lore.shell_cleaning_charge.out</x:v>
      </x:c>
      <x:c r="B691" s="4" t="str">
        <x:v>design.lore.shell_cleaning_charge</x:v>
      </x:c>
      <x:c r="C691" s="4" t="str">
        <x:v>Output</x:v>
      </x:c>
      <x:c r="D691" s="4" t="str">
        <x:v>proposal.lore.shell_cleaning_charge</x:v>
      </x:c>
      <x:c r="E691" s="4" t="str">
        <x:f>IFERROR(INDEX('Items'!$B$6:$B$1005,MATCH(D691,'Items'!$A$6:$A$1005,0)),"MISSING ID")</x:f>
        <x:v>Chitin-cleaning process charge</x:v>
      </x:c>
      <x:c r="F691" s="4" t="str">
        <x:f>IFERROR(INDEX('Items'!$C$6:$C$1005,MATCH(D691,'Items'!$A$6:$A$1005,0)),"MISSING ID")</x:f>
        <x:v>T2</x:v>
      </x:c>
      <x:c r="G691" s="4" t="str">
        <x:f>IFERROR(INDEX('Items'!$D$6:$D$1005,MATCH(D691,'Items'!$A$6:$A$1005,0)),"MISSING ID")</x:f>
        <x:v>Crafting components</x:v>
      </x:c>
      <x:c r="H691" s="4" t="str">
        <x:f>IFERROR(INDEX('Items'!$X$6:$X$1005,MATCH(D691,'Items'!$A$6:$A$1005,0)),"MISSING ID")</x:f>
        <x:v>Chemical material</x:v>
      </x:c>
      <x:c r="I691" s="4"/>
      <x:c r="J691" s="4" t="str">
        <x:v>Unspecified</x:v>
      </x:c>
      <x:c r="K691" s="4" t="str">
        <x:f>IFERROR(INDEX('Crafting recipes'!$D$6:$D$1005,MATCH(B691,'Crafting recipes'!$A$6:$A$1005,0)),"MISSING ID")</x:f>
        <x:v>Proposal</x:v>
      </x:c>
      <x:c r="L691" s="4" t="str">
        <x:f>IFERROR(INDEX('Items'!$AD$6:$AD$1005,MATCH(D691,'Items'!$A$6:$A$1005,0)),"MISSING ID")</x:f>
        <x:v>Proposal</x:v>
      </x:c>
      <x:c r="M691" s="4" t="str">
        <x:f>IFERROR(INDEX('Crafting recipes'!$E$6:$E$1005,MATCH(B691,'Crafting recipes'!$A$6:$A$1005,0)),"MISSING ID")</x:f>
        <x:v>Partial proposal</x:v>
      </x:c>
      <x:c r="N691" s="4" t="str">
        <x:v>Candidate process/hardware relationship; quantity and service compatibility remain open.</x:v>
      </x:c>
      <x:c r="O691" s="4" t="str">
        <x:v>Lore-coherence game proposal; selected WLD source proposals at f6f98515c005dc3c73cccd9cbc031691745740c6.</x:v>
      </x:c>
      <x:c r="P691" s="4" t="n">
        <x:f>IF(OR(C691="Ingredient candidate",C691="Consumed input",C691="Contained input",C691="Transform input"),IF(F691="T0",0,IF(F691="T1",1,IF(F691="T2",2,IF(F691="T3",3,IF(F691="T4",4,-1))))),-1)</x:f>
        <x:v>-1</x:v>
      </x:c>
      <x:c r="Q691" s="4" t="n">
        <x:f>IF(AND(OR(C691="Ingredient candidate",C691="Consumed input",C691="Contained input",C691="Transform input"),P691=-1),1,0)</x:f>
        <x:v>0</x:v>
      </x:c>
    </x:row>
    <x:row r="692" ht="115" customHeight="1">
      <x:c r="A692" s="4" t="str">
        <x:v>design.lore.chitin_binder_residue.in.1</x:v>
      </x:c>
      <x:c r="B692" s="4" t="str">
        <x:v>design.lore.chitin_binder_residue</x:v>
      </x:c>
      <x:c r="C692" s="4" t="str">
        <x:v>Ingredient candidate</x:v>
      </x:c>
      <x:c r="D692" s="4" t="str">
        <x:v>proposal.lore.alkali_concentrate</x:v>
      </x:c>
      <x:c r="E692" s="4" t="str">
        <x:f>IFERROR(INDEX('Items'!$B$6:$B$1005,MATCH(D692,'Items'!$A$6:$A$1005,0)),"MISSING ID")</x:f>
        <x:v>Prepared alkaline mineral concentrate</x:v>
      </x:c>
      <x:c r="F692" s="4" t="str">
        <x:f>IFERROR(INDEX('Items'!$C$6:$C$1005,MATCH(D692,'Items'!$A$6:$A$1005,0)),"MISSING ID")</x:f>
        <x:v>T1</x:v>
      </x:c>
      <x:c r="G692" s="4" t="str">
        <x:f>IFERROR(INDEX('Items'!$D$6:$D$1005,MATCH(D692,'Items'!$A$6:$A$1005,0)),"MISSING ID")</x:f>
        <x:v>Crafting components</x:v>
      </x:c>
      <x:c r="H692" s="4" t="str">
        <x:f>IFERROR(INDEX('Items'!$X$6:$X$1005,MATCH(D692,'Items'!$A$6:$A$1005,0)),"MISSING ID")</x:f>
        <x:v>Chemical material</x:v>
      </x:c>
      <x:c r="I692" s="4"/>
      <x:c r="J692" s="4" t="str">
        <x:v>Unspecified</x:v>
      </x:c>
      <x:c r="K692" s="4" t="str">
        <x:f>IFERROR(INDEX('Crafting recipes'!$D$6:$D$1005,MATCH(B692,'Crafting recipes'!$A$6:$A$1005,0)),"MISSING ID")</x:f>
        <x:v>Proposal</x:v>
      </x:c>
      <x:c r="L692" s="4" t="str">
        <x:f>IFERROR(INDEX('Items'!$AD$6:$AD$1005,MATCH(D692,'Items'!$A$6:$A$1005,0)),"MISSING ID")</x:f>
        <x:v>Proposal</x:v>
      </x:c>
      <x:c r="M692" s="4" t="str">
        <x:f>IFERROR(INDEX('Crafting recipes'!$E$6:$E$1005,MATCH(B692,'Crafting recipes'!$A$6:$A$1005,0)),"MISSING ID")</x:f>
        <x:v>Partial proposal</x:v>
      </x:c>
      <x:c r="N692" s="4" t="str">
        <x:v>Candidate process/hardware relationship; quantity and service compatibility remain open.</x:v>
      </x:c>
      <x:c r="O692" s="4" t="str">
        <x:v>Lore-coherence game proposal; selected WLD source proposals at f6f98515c005dc3c73cccd9cbc031691745740c6.</x:v>
      </x:c>
      <x:c r="P692" s="4" t="n">
        <x:f>IF(OR(C692="Ingredient candidate",C692="Consumed input",C692="Contained input",C692="Transform input"),IF(F692="T0",0,IF(F692="T1",1,IF(F692="T2",2,IF(F692="T3",3,IF(F692="T4",4,-1))))),-1)</x:f>
        <x:v>1</x:v>
      </x:c>
      <x:c r="Q692" s="4" t="n">
        <x:f>IF(AND(OR(C692="Ingredient candidate",C692="Consumed input",C692="Contained input",C692="Transform input"),P692=-1),1,0)</x:f>
        <x:v>0</x:v>
      </x:c>
    </x:row>
    <x:row r="693" ht="115" customHeight="1">
      <x:c r="A693" s="4" t="str">
        <x:v>design.lore.chitin_binder_residue.in.2</x:v>
      </x:c>
      <x:c r="B693" s="4" t="str">
        <x:v>design.lore.chitin_binder_residue</x:v>
      </x:c>
      <x:c r="C693" s="4" t="str">
        <x:v>Ingredient candidate</x:v>
      </x:c>
      <x:c r="D693" s="4" t="str">
        <x:v>proposal.bio.shell</x:v>
      </x:c>
      <x:c r="E693" s="4" t="str">
        <x:f>IFERROR(INDEX('Items'!$B$6:$B$1005,MATCH(D693,'Items'!$A$6:$A$1005,0)),"MISSING ID")</x:f>
        <x:v>Shell husks / shed plates</x:v>
      </x:c>
      <x:c r="F693" s="4" t="str">
        <x:f>IFERROR(INDEX('Items'!$C$6:$C$1005,MATCH(D693,'Items'!$A$6:$A$1005,0)),"MISSING ID")</x:f>
        <x:v>T0</x:v>
      </x:c>
      <x:c r="G693" s="4" t="str">
        <x:f>IFERROR(INDEX('Items'!$D$6:$D$1005,MATCH(D693,'Items'!$A$6:$A$1005,0)),"MISSING ID")</x:f>
        <x:v>Biological resources</x:v>
      </x:c>
      <x:c r="H693" s="4" t="str">
        <x:f>IFERROR(INDEX('Items'!$X$6:$X$1005,MATCH(D693,'Items'!$A$6:$A$1005,0)),"MISSING ID")</x:f>
        <x:v>Raw material</x:v>
      </x:c>
      <x:c r="I693" s="4"/>
      <x:c r="J693" s="4" t="str">
        <x:v>Unspecified</x:v>
      </x:c>
      <x:c r="K693" s="4" t="str">
        <x:f>IFERROR(INDEX('Crafting recipes'!$D$6:$D$1005,MATCH(B693,'Crafting recipes'!$A$6:$A$1005,0)),"MISSING ID")</x:f>
        <x:v>Proposal</x:v>
      </x:c>
      <x:c r="L693" s="4" t="str">
        <x:f>IFERROR(INDEX('Items'!$AD$6:$AD$1005,MATCH(D693,'Items'!$A$6:$A$1005,0)),"MISSING ID")</x:f>
        <x:v>Author direction</x:v>
      </x:c>
      <x:c r="M693" s="4" t="str">
        <x:f>IFERROR(INDEX('Crafting recipes'!$E$6:$E$1005,MATCH(B693,'Crafting recipes'!$A$6:$A$1005,0)),"MISSING ID")</x:f>
        <x:v>Partial proposal</x:v>
      </x:c>
      <x:c r="N693" s="4" t="str">
        <x:v>Candidate process/hardware relationship; quantity and service compatibility remain open.</x:v>
      </x:c>
      <x:c r="O693" s="4" t="str">
        <x:v>Lore-coherence game proposal; selected WLD source proposals at f6f98515c005dc3c73cccd9cbc031691745740c6.</x:v>
      </x:c>
      <x:c r="P693" s="4" t="n">
        <x:f>IF(OR(C693="Ingredient candidate",C693="Consumed input",C693="Contained input",C693="Transform input"),IF(F693="T0",0,IF(F693="T1",1,IF(F693="T2",2,IF(F693="T3",3,IF(F693="T4",4,-1))))),-1)</x:f>
        <x:v>0</x:v>
      </x:c>
      <x:c r="Q693" s="4" t="n">
        <x:f>IF(AND(OR(C693="Ingredient candidate",C693="Consumed input",C693="Contained input",C693="Transform input"),P693=-1),1,0)</x:f>
        <x:v>0</x:v>
      </x:c>
    </x:row>
    <x:row r="694" ht="115" customHeight="1">
      <x:c r="A694" s="4" t="str">
        <x:v>design.lore.chitin_binder_residue.in.3</x:v>
      </x:c>
      <x:c r="B694" s="4" t="str">
        <x:v>design.lore.chitin_binder_residue</x:v>
      </x:c>
      <x:c r="C694" s="4" t="str">
        <x:v>Ingredient candidate</x:v>
      </x:c>
      <x:c r="D694" s="4" t="str">
        <x:v>proposal.t1.faunal_carrier</x:v>
      </x:c>
      <x:c r="E694" s="4" t="str">
        <x:f>IFERROR(INDEX('Items'!$B$6:$B$1005,MATCH(D694,'Items'!$A$6:$A$1005,0)),"MISSING ID")</x:f>
        <x:v>Selected faunal carrier fraction</x:v>
      </x:c>
      <x:c r="F694" s="4" t="str">
        <x:f>IFERROR(INDEX('Items'!$C$6:$C$1005,MATCH(D694,'Items'!$A$6:$A$1005,0)),"MISSING ID")</x:f>
        <x:v>T1</x:v>
      </x:c>
      <x:c r="G694" s="4" t="str">
        <x:f>IFERROR(INDEX('Items'!$D$6:$D$1005,MATCH(D694,'Items'!$A$6:$A$1005,0)),"MISSING ID")</x:f>
        <x:v>Crafting components</x:v>
      </x:c>
      <x:c r="H694" s="4" t="str">
        <x:f>IFERROR(INDEX('Items'!$X$6:$X$1005,MATCH(D694,'Items'!$A$6:$A$1005,0)),"MISSING ID")</x:f>
        <x:v>Chemical material</x:v>
      </x:c>
      <x:c r="I694" s="4"/>
      <x:c r="J694" s="4" t="str">
        <x:v>Unspecified</x:v>
      </x:c>
      <x:c r="K694" s="4" t="str">
        <x:f>IFERROR(INDEX('Crafting recipes'!$D$6:$D$1005,MATCH(B694,'Crafting recipes'!$A$6:$A$1005,0)),"MISSING ID")</x:f>
        <x:v>Proposal</x:v>
      </x:c>
      <x:c r="L694" s="4" t="str">
        <x:f>IFERROR(INDEX('Items'!$AD$6:$AD$1005,MATCH(D694,'Items'!$A$6:$A$1005,0)),"MISSING ID")</x:f>
        <x:v>Proposal</x:v>
      </x:c>
      <x:c r="M694" s="4" t="str">
        <x:f>IFERROR(INDEX('Crafting recipes'!$E$6:$E$1005,MATCH(B694,'Crafting recipes'!$A$6:$A$1005,0)),"MISSING ID")</x:f>
        <x:v>Partial proposal</x:v>
      </x:c>
      <x:c r="N694" s="4" t="str">
        <x:v>Candidate process/hardware relationship; quantity and service compatibility remain open.</x:v>
      </x:c>
      <x:c r="O694" s="4" t="str">
        <x:v>Lore-coherence game proposal; selected WLD source proposals at f6f98515c005dc3c73cccd9cbc031691745740c6.</x:v>
      </x:c>
      <x:c r="P694" s="4" t="n">
        <x:f>IF(OR(C694="Ingredient candidate",C694="Consumed input",C694="Contained input",C694="Transform input"),IF(F694="T0",0,IF(F694="T1",1,IF(F694="T2",2,IF(F694="T3",3,IF(F694="T4",4,-1))))),-1)</x:f>
        <x:v>1</x:v>
      </x:c>
      <x:c r="Q694" s="4" t="n">
        <x:f>IF(AND(OR(C694="Ingredient candidate",C694="Consumed input",C694="Contained input",C694="Transform input"),P694=-1),1,0)</x:f>
        <x:v>0</x:v>
      </x:c>
    </x:row>
    <x:row r="695" ht="115" customHeight="1">
      <x:c r="A695" s="4" t="str">
        <x:v>design.lore.chitin_binder_residue.out</x:v>
      </x:c>
      <x:c r="B695" s="4" t="str">
        <x:v>design.lore.chitin_binder_residue</x:v>
      </x:c>
      <x:c r="C695" s="4" t="str">
        <x:v>Output</x:v>
      </x:c>
      <x:c r="D695" s="4" t="str">
        <x:v>proposal.lore.chitin_binder_residue</x:v>
      </x:c>
      <x:c r="E695" s="4" t="str">
        <x:f>IFERROR(INDEX('Items'!$B$6:$B$1005,MATCH(D695,'Items'!$A$6:$A$1005,0)),"MISSING ID")</x:f>
        <x:v>Concentrated chitin binder residue</x:v>
      </x:c>
      <x:c r="F695" s="4" t="str">
        <x:f>IFERROR(INDEX('Items'!$C$6:$C$1005,MATCH(D695,'Items'!$A$6:$A$1005,0)),"MISSING ID")</x:f>
        <x:v>T2</x:v>
      </x:c>
      <x:c r="G695" s="4" t="str">
        <x:f>IFERROR(INDEX('Items'!$D$6:$D$1005,MATCH(D695,'Items'!$A$6:$A$1005,0)),"MISSING ID")</x:f>
        <x:v>Crafting components</x:v>
      </x:c>
      <x:c r="H695" s="4" t="str">
        <x:f>IFERROR(INDEX('Items'!$X$6:$X$1005,MATCH(D695,'Items'!$A$6:$A$1005,0)),"MISSING ID")</x:f>
        <x:v>Chemical material</x:v>
      </x:c>
      <x:c r="I695" s="4"/>
      <x:c r="J695" s="4" t="str">
        <x:v>Unspecified</x:v>
      </x:c>
      <x:c r="K695" s="4" t="str">
        <x:f>IFERROR(INDEX('Crafting recipes'!$D$6:$D$1005,MATCH(B695,'Crafting recipes'!$A$6:$A$1005,0)),"MISSING ID")</x:f>
        <x:v>Proposal</x:v>
      </x:c>
      <x:c r="L695" s="4" t="str">
        <x:f>IFERROR(INDEX('Items'!$AD$6:$AD$1005,MATCH(D695,'Items'!$A$6:$A$1005,0)),"MISSING ID")</x:f>
        <x:v>Proposal</x:v>
      </x:c>
      <x:c r="M695" s="4" t="str">
        <x:f>IFERROR(INDEX('Crafting recipes'!$E$6:$E$1005,MATCH(B695,'Crafting recipes'!$A$6:$A$1005,0)),"MISSING ID")</x:f>
        <x:v>Partial proposal</x:v>
      </x:c>
      <x:c r="N695" s="4" t="str">
        <x:v>Candidate process/hardware relationship; quantity and service compatibility remain open.</x:v>
      </x:c>
      <x:c r="O695" s="4" t="str">
        <x:v>Lore-coherence game proposal; selected WLD source proposals at f6f98515c005dc3c73cccd9cbc031691745740c6.</x:v>
      </x:c>
      <x:c r="P695" s="4" t="n">
        <x:f>IF(OR(C695="Ingredient candidate",C695="Consumed input",C695="Contained input",C695="Transform input"),IF(F695="T0",0,IF(F695="T1",1,IF(F695="T2",2,IF(F695="T3",3,IF(F695="T4",4,-1))))),-1)</x:f>
        <x:v>-1</x:v>
      </x:c>
      <x:c r="Q695" s="4" t="n">
        <x:f>IF(AND(OR(C695="Ingredient candidate",C695="Consumed input",C695="Contained input",C695="Transform input"),P695=-1),1,0)</x:f>
        <x:v>0</x:v>
      </x:c>
    </x:row>
    <x:row r="696" ht="115" customHeight="1">
      <x:c r="A696" s="4" t="str">
        <x:v>design.lore.membrane_bond.in.1</x:v>
      </x:c>
      <x:c r="B696" s="4" t="str">
        <x:v>design.lore.membrane_bond</x:v>
      </x:c>
      <x:c r="C696" s="4" t="str">
        <x:v>Ingredient candidate</x:v>
      </x:c>
      <x:c r="D696" s="4" t="str">
        <x:v>proposal.bio.membrane</x:v>
      </x:c>
      <x:c r="E696" s="4" t="str">
        <x:f>IFERROR(INDEX('Items'!$B$6:$B$1005,MATCH(D696,'Items'!$A$6:$A$1005,0)),"MISSING ID")</x:f>
        <x:v>Dried joint membrane</x:v>
      </x:c>
      <x:c r="F696" s="4" t="str">
        <x:f>IFERROR(INDEX('Items'!$C$6:$C$1005,MATCH(D696,'Items'!$A$6:$A$1005,0)),"MISSING ID")</x:f>
        <x:v>T0</x:v>
      </x:c>
      <x:c r="G696" s="4" t="str">
        <x:f>IFERROR(INDEX('Items'!$D$6:$D$1005,MATCH(D696,'Items'!$A$6:$A$1005,0)),"MISSING ID")</x:f>
        <x:v>Biological resources</x:v>
      </x:c>
      <x:c r="H696" s="4" t="str">
        <x:f>IFERROR(INDEX('Items'!$X$6:$X$1005,MATCH(D696,'Items'!$A$6:$A$1005,0)),"MISSING ID")</x:f>
        <x:v>Raw material</x:v>
      </x:c>
      <x:c r="I696" s="4"/>
      <x:c r="J696" s="4" t="str">
        <x:v>Unspecified</x:v>
      </x:c>
      <x:c r="K696" s="4" t="str">
        <x:f>IFERROR(INDEX('Crafting recipes'!$D$6:$D$1005,MATCH(B696,'Crafting recipes'!$A$6:$A$1005,0)),"MISSING ID")</x:f>
        <x:v>Proposal</x:v>
      </x:c>
      <x:c r="L696" s="4" t="str">
        <x:f>IFERROR(INDEX('Items'!$AD$6:$AD$1005,MATCH(D696,'Items'!$A$6:$A$1005,0)),"MISSING ID")</x:f>
        <x:v>Proposal</x:v>
      </x:c>
      <x:c r="M696" s="4" t="str">
        <x:f>IFERROR(INDEX('Crafting recipes'!$E$6:$E$1005,MATCH(B696,'Crafting recipes'!$A$6:$A$1005,0)),"MISSING ID")</x:f>
        <x:v>Partial proposal</x:v>
      </x:c>
      <x:c r="N696" s="4" t="str">
        <x:v>Candidate process/hardware relationship; quantity and service compatibility remain open.</x:v>
      </x:c>
      <x:c r="O696" s="4" t="str">
        <x:v>Lore-coherence game proposal; selected WLD source proposals at f6f98515c005dc3c73cccd9cbc031691745740c6.</x:v>
      </x:c>
      <x:c r="P696" s="4" t="n">
        <x:f>IF(OR(C696="Ingredient candidate",C696="Consumed input",C696="Contained input",C696="Transform input"),IF(F696="T0",0,IF(F696="T1",1,IF(F696="T2",2,IF(F696="T3",3,IF(F696="T4",4,-1))))),-1)</x:f>
        <x:v>0</x:v>
      </x:c>
      <x:c r="Q696" s="4" t="n">
        <x:f>IF(AND(OR(C696="Ingredient candidate",C696="Consumed input",C696="Contained input",C696="Transform input"),P696=-1),1,0)</x:f>
        <x:v>0</x:v>
      </x:c>
    </x:row>
    <x:row r="697" ht="115" customHeight="1">
      <x:c r="A697" s="4" t="str">
        <x:v>design.lore.membrane_bond.in.2</x:v>
      </x:c>
      <x:c r="B697" s="4" t="str">
        <x:v>design.lore.membrane_bond</x:v>
      </x:c>
      <x:c r="C697" s="4" t="str">
        <x:v>Ingredient candidate</x:v>
      </x:c>
      <x:c r="D697" s="4" t="str">
        <x:v>proposal.bio.liquid_material</x:v>
      </x:c>
      <x:c r="E697" s="4" t="str">
        <x:f>IFERROR(INDEX('Items'!$B$6:$B$1005,MATCH(D697,'Items'!$A$6:$A$1005,0)),"MISSING ID")</x:f>
        <x:v>Faunal liquid material (unspecified)</x:v>
      </x:c>
      <x:c r="F697" s="4" t="str">
        <x:f>IFERROR(INDEX('Items'!$C$6:$C$1005,MATCH(D697,'Items'!$A$6:$A$1005,0)),"MISSING ID")</x:f>
        <x:v>T0</x:v>
      </x:c>
      <x:c r="G697" s="4" t="str">
        <x:f>IFERROR(INDEX('Items'!$D$6:$D$1005,MATCH(D697,'Items'!$A$6:$A$1005,0)),"MISSING ID")</x:f>
        <x:v>Biological resources</x:v>
      </x:c>
      <x:c r="H697" s="4" t="str">
        <x:f>IFERROR(INDEX('Items'!$X$6:$X$1005,MATCH(D697,'Items'!$A$6:$A$1005,0)),"MISSING ID")</x:f>
        <x:v>Chemical material</x:v>
      </x:c>
      <x:c r="I697" s="4"/>
      <x:c r="J697" s="4" t="str">
        <x:v>Unspecified</x:v>
      </x:c>
      <x:c r="K697" s="4" t="str">
        <x:f>IFERROR(INDEX('Crafting recipes'!$D$6:$D$1005,MATCH(B697,'Crafting recipes'!$A$6:$A$1005,0)),"MISSING ID")</x:f>
        <x:v>Proposal</x:v>
      </x:c>
      <x:c r="L697" s="4" t="str">
        <x:f>IFERROR(INDEX('Items'!$AD$6:$AD$1005,MATCH(D697,'Items'!$A$6:$A$1005,0)),"MISSING ID")</x:f>
        <x:v>Author direction</x:v>
      </x:c>
      <x:c r="M697" s="4" t="str">
        <x:f>IFERROR(INDEX('Crafting recipes'!$E$6:$E$1005,MATCH(B697,'Crafting recipes'!$A$6:$A$1005,0)),"MISSING ID")</x:f>
        <x:v>Partial proposal</x:v>
      </x:c>
      <x:c r="N697" s="4" t="str">
        <x:v>Candidate process/hardware relationship; quantity and service compatibility remain open.</x:v>
      </x:c>
      <x:c r="O697" s="4" t="str">
        <x:v>Lore-coherence game proposal; selected WLD source proposals at f6f98515c005dc3c73cccd9cbc031691745740c6.</x:v>
      </x:c>
      <x:c r="P697" s="4" t="n">
        <x:f>IF(OR(C697="Ingredient candidate",C697="Consumed input",C697="Contained input",C697="Transform input"),IF(F697="T0",0,IF(F697="T1",1,IF(F697="T2",2,IF(F697="T3",3,IF(F697="T4",4,-1))))),-1)</x:f>
        <x:v>0</x:v>
      </x:c>
      <x:c r="Q697" s="4" t="n">
        <x:f>IF(AND(OR(C697="Ingredient candidate",C697="Consumed input",C697="Contained input",C697="Transform input"),P697=-1),1,0)</x:f>
        <x:v>0</x:v>
      </x:c>
    </x:row>
    <x:row r="698" ht="115" customHeight="1">
      <x:c r="A698" s="4" t="str">
        <x:v>design.lore.membrane_bond.out</x:v>
      </x:c>
      <x:c r="B698" s="4" t="str">
        <x:v>design.lore.membrane_bond</x:v>
      </x:c>
      <x:c r="C698" s="4" t="str">
        <x:v>Output</x:v>
      </x:c>
      <x:c r="D698" s="4" t="str">
        <x:v>proposal.lore.membrane_bond</x:v>
      </x:c>
      <x:c r="E698" s="4" t="str">
        <x:f>IFERROR(INDEX('Items'!$B$6:$B$1005,MATCH(D698,'Items'!$A$6:$A$1005,0)),"MISSING ID")</x:f>
        <x:v>Rendered membrane bonding stock</x:v>
      </x:c>
      <x:c r="F698" s="4" t="str">
        <x:f>IFERROR(INDEX('Items'!$C$6:$C$1005,MATCH(D698,'Items'!$A$6:$A$1005,0)),"MISSING ID")</x:f>
        <x:v>T1</x:v>
      </x:c>
      <x:c r="G698" s="4" t="str">
        <x:f>IFERROR(INDEX('Items'!$D$6:$D$1005,MATCH(D698,'Items'!$A$6:$A$1005,0)),"MISSING ID")</x:f>
        <x:v>Crafting components</x:v>
      </x:c>
      <x:c r="H698" s="4" t="str">
        <x:f>IFERROR(INDEX('Items'!$X$6:$X$1005,MATCH(D698,'Items'!$A$6:$A$1005,0)),"MISSING ID")</x:f>
        <x:v>Chemical material</x:v>
      </x:c>
      <x:c r="I698" s="4"/>
      <x:c r="J698" s="4" t="str">
        <x:v>Unspecified</x:v>
      </x:c>
      <x:c r="K698" s="4" t="str">
        <x:f>IFERROR(INDEX('Crafting recipes'!$D$6:$D$1005,MATCH(B698,'Crafting recipes'!$A$6:$A$1005,0)),"MISSING ID")</x:f>
        <x:v>Proposal</x:v>
      </x:c>
      <x:c r="L698" s="4" t="str">
        <x:f>IFERROR(INDEX('Items'!$AD$6:$AD$1005,MATCH(D698,'Items'!$A$6:$A$1005,0)),"MISSING ID")</x:f>
        <x:v>Proposal</x:v>
      </x:c>
      <x:c r="M698" s="4" t="str">
        <x:f>IFERROR(INDEX('Crafting recipes'!$E$6:$E$1005,MATCH(B698,'Crafting recipes'!$A$6:$A$1005,0)),"MISSING ID")</x:f>
        <x:v>Partial proposal</x:v>
      </x:c>
      <x:c r="N698" s="4" t="str">
        <x:v>Candidate process/hardware relationship; quantity and service compatibility remain open.</x:v>
      </x:c>
      <x:c r="O698" s="4" t="str">
        <x:v>Lore-coherence game proposal; selected WLD source proposals at f6f98515c005dc3c73cccd9cbc031691745740c6.</x:v>
      </x:c>
      <x:c r="P698" s="4" t="n">
        <x:f>IF(OR(C698="Ingredient candidate",C698="Consumed input",C698="Contained input",C698="Transform input"),IF(F698="T0",0,IF(F698="T1",1,IF(F698="T2",2,IF(F698="T3",3,IF(F698="T4",4,-1))))),-1)</x:f>
        <x:v>-1</x:v>
      </x:c>
      <x:c r="Q698" s="4" t="n">
        <x:f>IF(AND(OR(C698="Ingredient candidate",C698="Consumed input",C698="Contained input",C698="Transform input"),P698=-1),1,0)</x:f>
        <x:v>0</x:v>
      </x:c>
    </x:row>
    <x:row r="699" ht="115" customHeight="1">
      <x:c r="A699" s="4" t="str">
        <x:v>design.lore.ichor_sediment.in.1</x:v>
      </x:c>
      <x:c r="B699" s="4" t="str">
        <x:v>design.lore.ichor_sediment</x:v>
      </x:c>
      <x:c r="C699" s="4" t="str">
        <x:v>Ingredient candidate</x:v>
      </x:c>
      <x:c r="D699" s="4" t="str">
        <x:v>proposal.chemical.mineral_ichor</x:v>
      </x:c>
      <x:c r="E699" s="4" t="str">
        <x:f>IFERROR(INDEX('Items'!$B$6:$B$1005,MATCH(D699,'Items'!$A$6:$A$1005,0)),"MISSING ID")</x:f>
        <x:v>Mineral-rich ichor</x:v>
      </x:c>
      <x:c r="F699" s="4" t="str">
        <x:f>IFERROR(INDEX('Items'!$C$6:$C$1005,MATCH(D699,'Items'!$A$6:$A$1005,0)),"MISSING ID")</x:f>
        <x:v>T0</x:v>
      </x:c>
      <x:c r="G699" s="4" t="str">
        <x:f>IFERROR(INDEX('Items'!$D$6:$D$1005,MATCH(D699,'Items'!$A$6:$A$1005,0)),"MISSING ID")</x:f>
        <x:v>Biological resources</x:v>
      </x:c>
      <x:c r="H699" s="4" t="str">
        <x:f>IFERROR(INDEX('Items'!$X$6:$X$1005,MATCH(D699,'Items'!$A$6:$A$1005,0)),"MISSING ID")</x:f>
        <x:v>Chemical material</x:v>
      </x:c>
      <x:c r="I699" s="4"/>
      <x:c r="J699" s="4" t="str">
        <x:v>Unspecified</x:v>
      </x:c>
      <x:c r="K699" s="4" t="str">
        <x:f>IFERROR(INDEX('Crafting recipes'!$D$6:$D$1005,MATCH(B699,'Crafting recipes'!$A$6:$A$1005,0)),"MISSING ID")</x:f>
        <x:v>Proposal</x:v>
      </x:c>
      <x:c r="L699" s="4" t="str">
        <x:f>IFERROR(INDEX('Items'!$AD$6:$AD$1005,MATCH(D699,'Items'!$A$6:$A$1005,0)),"MISSING ID")</x:f>
        <x:v>Proposal</x:v>
      </x:c>
      <x:c r="M699" s="4" t="str">
        <x:f>IFERROR(INDEX('Crafting recipes'!$E$6:$E$1005,MATCH(B699,'Crafting recipes'!$A$6:$A$1005,0)),"MISSING ID")</x:f>
        <x:v>Partial proposal</x:v>
      </x:c>
      <x:c r="N699" s="4" t="str">
        <x:v>Candidate process/hardware relationship; quantity and service compatibility remain open.</x:v>
      </x:c>
      <x:c r="O699" s="4" t="str">
        <x:v>Lore-coherence game proposal; selected WLD source proposals at f6f98515c005dc3c73cccd9cbc031691745740c6.</x:v>
      </x:c>
      <x:c r="P699" s="4" t="n">
        <x:f>IF(OR(C699="Ingredient candidate",C699="Consumed input",C699="Contained input",C699="Transform input"),IF(F699="T0",0,IF(F699="T1",1,IF(F699="T2",2,IF(F699="T3",3,IF(F699="T4",4,-1))))),-1)</x:f>
        <x:v>0</x:v>
      </x:c>
      <x:c r="Q699" s="4" t="n">
        <x:f>IF(AND(OR(C699="Ingredient candidate",C699="Consumed input",C699="Contained input",C699="Transform input"),P699=-1),1,0)</x:f>
        <x:v>0</x:v>
      </x:c>
    </x:row>
    <x:row r="700" ht="115" customHeight="1">
      <x:c r="A700" s="4" t="str">
        <x:v>design.lore.ichor_sediment.out</x:v>
      </x:c>
      <x:c r="B700" s="4" t="str">
        <x:v>design.lore.ichor_sediment</x:v>
      </x:c>
      <x:c r="C700" s="4" t="str">
        <x:v>Output</x:v>
      </x:c>
      <x:c r="D700" s="4" t="str">
        <x:v>proposal.lore.ichor_sediment</x:v>
      </x:c>
      <x:c r="E700" s="4" t="str">
        <x:f>IFERROR(INDEX('Items'!$B$6:$B$1005,MATCH(D700,'Items'!$A$6:$A$1005,0)),"MISSING ID")</x:f>
        <x:v>Separated ichor mineral sediment</x:v>
      </x:c>
      <x:c r="F700" s="4" t="str">
        <x:f>IFERROR(INDEX('Items'!$C$6:$C$1005,MATCH(D700,'Items'!$A$6:$A$1005,0)),"MISSING ID")</x:f>
        <x:v>T1</x:v>
      </x:c>
      <x:c r="G700" s="4" t="str">
        <x:f>IFERROR(INDEX('Items'!$D$6:$D$1005,MATCH(D700,'Items'!$A$6:$A$1005,0)),"MISSING ID")</x:f>
        <x:v>Crafting components</x:v>
      </x:c>
      <x:c r="H700" s="4" t="str">
        <x:f>IFERROR(INDEX('Items'!$X$6:$X$1005,MATCH(D700,'Items'!$A$6:$A$1005,0)),"MISSING ID")</x:f>
        <x:v>Chemical material</x:v>
      </x:c>
      <x:c r="I700" s="4"/>
      <x:c r="J700" s="4" t="str">
        <x:v>Unspecified</x:v>
      </x:c>
      <x:c r="K700" s="4" t="str">
        <x:f>IFERROR(INDEX('Crafting recipes'!$D$6:$D$1005,MATCH(B700,'Crafting recipes'!$A$6:$A$1005,0)),"MISSING ID")</x:f>
        <x:v>Proposal</x:v>
      </x:c>
      <x:c r="L700" s="4" t="str">
        <x:f>IFERROR(INDEX('Items'!$AD$6:$AD$1005,MATCH(D700,'Items'!$A$6:$A$1005,0)),"MISSING ID")</x:f>
        <x:v>Proposal</x:v>
      </x:c>
      <x:c r="M700" s="4" t="str">
        <x:f>IFERROR(INDEX('Crafting recipes'!$E$6:$E$1005,MATCH(B700,'Crafting recipes'!$A$6:$A$1005,0)),"MISSING ID")</x:f>
        <x:v>Partial proposal</x:v>
      </x:c>
      <x:c r="N700" s="4" t="str">
        <x:v>Candidate process/hardware relationship; quantity and service compatibility remain open.</x:v>
      </x:c>
      <x:c r="O700" s="4" t="str">
        <x:v>Lore-coherence game proposal; selected WLD source proposals at f6f98515c005dc3c73cccd9cbc031691745740c6.</x:v>
      </x:c>
      <x:c r="P700" s="4" t="n">
        <x:f>IF(OR(C700="Ingredient candidate",C700="Consumed input",C700="Contained input",C700="Transform input"),IF(F700="T0",0,IF(F700="T1",1,IF(F700="T2",2,IF(F700="T3",3,IF(F700="T4",4,-1))))),-1)</x:f>
        <x:v>-1</x:v>
      </x:c>
      <x:c r="Q700" s="4" t="n">
        <x:f>IF(AND(OR(C700="Ingredient candidate",C700="Consumed input",C700="Contained input",C700="Transform input"),P700=-1),1,0)</x:f>
        <x:v>0</x:v>
      </x:c>
    </x:row>
    <x:row r="701" ht="115" customHeight="1">
      <x:c r="A701" s="4" t="str">
        <x:v>design.lore.dried_fiber.in.1</x:v>
      </x:c>
      <x:c r="B701" s="4" t="str">
        <x:v>design.lore.dried_fiber</x:v>
      </x:c>
      <x:c r="C701" s="4" t="str">
        <x:v>Ingredient candidate</x:v>
      </x:c>
      <x:c r="D701" s="4" t="str">
        <x:v>proposal.lore.electroactive_bundle</x:v>
      </x:c>
      <x:c r="E701" s="4" t="str">
        <x:f>IFERROR(INDEX('Items'!$B$6:$B$1005,MATCH(D701,'Items'!$A$6:$A$1005,0)),"MISSING ID")</x:f>
        <x:v>Harvested electroactive fiber bundles</x:v>
      </x:c>
      <x:c r="F701" s="4" t="str">
        <x:f>IFERROR(INDEX('Items'!$C$6:$C$1005,MATCH(D701,'Items'!$A$6:$A$1005,0)),"MISSING ID")</x:f>
        <x:v>T0</x:v>
      </x:c>
      <x:c r="G701" s="4" t="str">
        <x:f>IFERROR(INDEX('Items'!$D$6:$D$1005,MATCH(D701,'Items'!$A$6:$A$1005,0)),"MISSING ID")</x:f>
        <x:v>Biological resources</x:v>
      </x:c>
      <x:c r="H701" s="4" t="str">
        <x:f>IFERROR(INDEX('Items'!$X$6:$X$1005,MATCH(D701,'Items'!$A$6:$A$1005,0)),"MISSING ID")</x:f>
        <x:v>Raw material</x:v>
      </x:c>
      <x:c r="I701" s="4"/>
      <x:c r="J701" s="4" t="str">
        <x:v>Unspecified</x:v>
      </x:c>
      <x:c r="K701" s="4" t="str">
        <x:f>IFERROR(INDEX('Crafting recipes'!$D$6:$D$1005,MATCH(B701,'Crafting recipes'!$A$6:$A$1005,0)),"MISSING ID")</x:f>
        <x:v>Proposal</x:v>
      </x:c>
      <x:c r="L701" s="4" t="str">
        <x:f>IFERROR(INDEX('Items'!$AD$6:$AD$1005,MATCH(D701,'Items'!$A$6:$A$1005,0)),"MISSING ID")</x:f>
        <x:v>Proposal</x:v>
      </x:c>
      <x:c r="M701" s="4" t="str">
        <x:f>IFERROR(INDEX('Crafting recipes'!$E$6:$E$1005,MATCH(B701,'Crafting recipes'!$A$6:$A$1005,0)),"MISSING ID")</x:f>
        <x:v>Partial proposal</x:v>
      </x:c>
      <x:c r="N701" s="4" t="str">
        <x:v>Candidate process/hardware relationship; quantity and service compatibility remain open.</x:v>
      </x:c>
      <x:c r="O701" s="4" t="str">
        <x:v>Lore-coherence game proposal; selected WLD source proposals at f6f98515c005dc3c73cccd9cbc031691745740c6.</x:v>
      </x:c>
      <x:c r="P701" s="4" t="n">
        <x:f>IF(OR(C701="Ingredient candidate",C701="Consumed input",C701="Contained input",C701="Transform input"),IF(F701="T0",0,IF(F701="T1",1,IF(F701="T2",2,IF(F701="T3",3,IF(F701="T4",4,-1))))),-1)</x:f>
        <x:v>0</x:v>
      </x:c>
      <x:c r="Q701" s="4" t="n">
        <x:f>IF(AND(OR(C701="Ingredient candidate",C701="Consumed input",C701="Contained input",C701="Transform input"),P701=-1),1,0)</x:f>
        <x:v>0</x:v>
      </x:c>
    </x:row>
    <x:row r="702" ht="115" customHeight="1">
      <x:c r="A702" s="4" t="str">
        <x:v>design.lore.dried_fiber.out</x:v>
      </x:c>
      <x:c r="B702" s="4" t="str">
        <x:v>design.lore.dried_fiber</x:v>
      </x:c>
      <x:c r="C702" s="4" t="str">
        <x:v>Output</x:v>
      </x:c>
      <x:c r="D702" s="4" t="str">
        <x:v>proposal.lore.dried_fiber</x:v>
      </x:c>
      <x:c r="E702" s="4" t="str">
        <x:f>IFERROR(INDEX('Items'!$B$6:$B$1005,MATCH(D702,'Items'!$A$6:$A$1005,0)),"MISSING ID")</x:f>
        <x:v>Dried electroactive-fiber reinforcement stock</x:v>
      </x:c>
      <x:c r="F702" s="4" t="str">
        <x:f>IFERROR(INDEX('Items'!$C$6:$C$1005,MATCH(D702,'Items'!$A$6:$A$1005,0)),"MISSING ID")</x:f>
        <x:v>T1</x:v>
      </x:c>
      <x:c r="G702" s="4" t="str">
        <x:f>IFERROR(INDEX('Items'!$D$6:$D$1005,MATCH(D702,'Items'!$A$6:$A$1005,0)),"MISSING ID")</x:f>
        <x:v>Manufactured stock</x:v>
      </x:c>
      <x:c r="H702" s="4" t="str">
        <x:f>IFERROR(INDEX('Items'!$X$6:$X$1005,MATCH(D702,'Items'!$A$6:$A$1005,0)),"MISSING ID")</x:f>
        <x:v>Processed material</x:v>
      </x:c>
      <x:c r="I702" s="4"/>
      <x:c r="J702" s="4" t="str">
        <x:v>Unspecified</x:v>
      </x:c>
      <x:c r="K702" s="4" t="str">
        <x:f>IFERROR(INDEX('Crafting recipes'!$D$6:$D$1005,MATCH(B702,'Crafting recipes'!$A$6:$A$1005,0)),"MISSING ID")</x:f>
        <x:v>Proposal</x:v>
      </x:c>
      <x:c r="L702" s="4" t="str">
        <x:f>IFERROR(INDEX('Items'!$AD$6:$AD$1005,MATCH(D702,'Items'!$A$6:$A$1005,0)),"MISSING ID")</x:f>
        <x:v>Proposal</x:v>
      </x:c>
      <x:c r="M702" s="4" t="str">
        <x:f>IFERROR(INDEX('Crafting recipes'!$E$6:$E$1005,MATCH(B702,'Crafting recipes'!$A$6:$A$1005,0)),"MISSING ID")</x:f>
        <x:v>Partial proposal</x:v>
      </x:c>
      <x:c r="N702" s="4" t="str">
        <x:v>Candidate process/hardware relationship; quantity and service compatibility remain open.</x:v>
      </x:c>
      <x:c r="O702" s="4" t="str">
        <x:v>Lore-coherence game proposal; selected WLD source proposals at f6f98515c005dc3c73cccd9cbc031691745740c6.</x:v>
      </x:c>
      <x:c r="P702" s="4" t="n">
        <x:f>IF(OR(C702="Ingredient candidate",C702="Consumed input",C702="Contained input",C702="Transform input"),IF(F702="T0",0,IF(F702="T1",1,IF(F702="T2",2,IF(F702="T3",3,IF(F702="T4",4,-1))))),-1)</x:f>
        <x:v>-1</x:v>
      </x:c>
      <x:c r="Q702" s="4" t="n">
        <x:f>IF(AND(OR(C702="Ingredient candidate",C702="Consumed input",C702="Contained input",C702="Transform input"),P702=-1),1,0)</x:f>
        <x:v>0</x:v>
      </x:c>
    </x:row>
    <x:row r="703" ht="115" customHeight="1">
      <x:c r="A703" s="4" t="str">
        <x:v>design.lore.feedstone_mix.in.1</x:v>
      </x:c>
      <x:c r="B703" s="4" t="str">
        <x:v>design.lore.feedstone_mix</x:v>
      </x:c>
      <x:c r="C703" s="4" t="str">
        <x:v>Ingredient candidate</x:v>
      </x:c>
      <x:c r="D703" s="4" t="str">
        <x:v>lab.ironstone.aggregate</x:v>
      </x:c>
      <x:c r="E703" s="4" t="str">
        <x:f>IFERROR(INDEX('Items'!$B$6:$B$1005,MATCH(D703,'Items'!$A$6:$A$1005,0)),"MISSING ID")</x:f>
        <x:v>Coarse Aggregate</x:v>
      </x:c>
      <x:c r="F703" s="4" t="str">
        <x:f>IFERROR(INDEX('Items'!$C$6:$C$1005,MATCH(D703,'Items'!$A$6:$A$1005,0)),"MISSING ID")</x:f>
        <x:v>T1</x:v>
      </x:c>
      <x:c r="G703" s="4" t="str">
        <x:f>IFERROR(INDEX('Items'!$D$6:$D$1005,MATCH(D703,'Items'!$A$6:$A$1005,0)),"MISSING ID")</x:f>
        <x:v>Manufactured stock</x:v>
      </x:c>
      <x:c r="H703" s="4" t="str">
        <x:f>IFERROR(INDEX('Items'!$X$6:$X$1005,MATCH(D703,'Items'!$A$6:$A$1005,0)),"MISSING ID")</x:f>
        <x:v>Processed material</x:v>
      </x:c>
      <x:c r="I703" s="4"/>
      <x:c r="J703" s="4" t="str">
        <x:v>Unspecified</x:v>
      </x:c>
      <x:c r="K703" s="4" t="str">
        <x:f>IFERROR(INDEX('Crafting recipes'!$D$6:$D$1005,MATCH(B703,'Crafting recipes'!$A$6:$A$1005,0)),"MISSING ID")</x:f>
        <x:v>Proposal</x:v>
      </x:c>
      <x:c r="L703" s="4" t="str">
        <x:f>IFERROR(INDEX('Items'!$AD$6:$AD$1005,MATCH(D703,'Items'!$A$6:$A$1005,0)),"MISSING ID")</x:f>
        <x:v>Existing definition</x:v>
      </x:c>
      <x:c r="M703" s="4" t="str">
        <x:f>IFERROR(INDEX('Crafting recipes'!$E$6:$E$1005,MATCH(B703,'Crafting recipes'!$A$6:$A$1005,0)),"MISSING ID")</x:f>
        <x:v>Partial proposal</x:v>
      </x:c>
      <x:c r="N703" s="4" t="str">
        <x:v>Candidate process/hardware relationship; quantity and service compatibility remain open.</x:v>
      </x:c>
      <x:c r="O703" s="4" t="str">
        <x:v>Lore-coherence game proposal; selected WLD source proposals at f6f98515c005dc3c73cccd9cbc031691745740c6.</x:v>
      </x:c>
      <x:c r="P703" s="4" t="n">
        <x:f>IF(OR(C703="Ingredient candidate",C703="Consumed input",C703="Contained input",C703="Transform input"),IF(F703="T0",0,IF(F703="T1",1,IF(F703="T2",2,IF(F703="T3",3,IF(F703="T4",4,-1))))),-1)</x:f>
        <x:v>1</x:v>
      </x:c>
      <x:c r="Q703" s="4" t="n">
        <x:f>IF(AND(OR(C703="Ingredient candidate",C703="Consumed input",C703="Contained input",C703="Transform input"),P703=-1),1,0)</x:f>
        <x:v>0</x:v>
      </x:c>
    </x:row>
    <x:row r="704" ht="115" customHeight="1">
      <x:c r="A704" s="4" t="str">
        <x:v>design.lore.feedstone_mix.in.2</x:v>
      </x:c>
      <x:c r="B704" s="4" t="str">
        <x:v>design.lore.feedstone_mix</x:v>
      </x:c>
      <x:c r="C704" s="4" t="str">
        <x:v>Ingredient candidate</x:v>
      </x:c>
      <x:c r="D704" s="4" t="str">
        <x:v>proposal.natural.iron_feed</x:v>
      </x:c>
      <x:c r="E704" s="4" t="str">
        <x:f>IFERROR(INDEX('Items'!$B$6:$B$1005,MATCH(D704,'Items'!$A$6:$A$1005,0)),"MISSING ID")</x:f>
        <x:v>Iron-rich mineral feed</x:v>
      </x:c>
      <x:c r="F704" s="4" t="str">
        <x:f>IFERROR(INDEX('Items'!$C$6:$C$1005,MATCH(D704,'Items'!$A$6:$A$1005,0)),"MISSING ID")</x:f>
        <x:v>T1</x:v>
      </x:c>
      <x:c r="G704" s="4" t="str">
        <x:f>IFERROR(INDEX('Items'!$D$6:$D$1005,MATCH(D704,'Items'!$A$6:$A$1005,0)),"MISSING ID")</x:f>
        <x:v>Manufactured stock</x:v>
      </x:c>
      <x:c r="H704" s="4" t="str">
        <x:f>IFERROR(INDEX('Items'!$X$6:$X$1005,MATCH(D704,'Items'!$A$6:$A$1005,0)),"MISSING ID")</x:f>
        <x:v>Processed material</x:v>
      </x:c>
      <x:c r="I704" s="4"/>
      <x:c r="J704" s="4" t="str">
        <x:v>Unspecified</x:v>
      </x:c>
      <x:c r="K704" s="4" t="str">
        <x:f>IFERROR(INDEX('Crafting recipes'!$D$6:$D$1005,MATCH(B704,'Crafting recipes'!$A$6:$A$1005,0)),"MISSING ID")</x:f>
        <x:v>Proposal</x:v>
      </x:c>
      <x:c r="L704" s="4" t="str">
        <x:f>IFERROR(INDEX('Items'!$AD$6:$AD$1005,MATCH(D704,'Items'!$A$6:$A$1005,0)),"MISSING ID")</x:f>
        <x:v>Proposal</x:v>
      </x:c>
      <x:c r="M704" s="4" t="str">
        <x:f>IFERROR(INDEX('Crafting recipes'!$E$6:$E$1005,MATCH(B704,'Crafting recipes'!$A$6:$A$1005,0)),"MISSING ID")</x:f>
        <x:v>Partial proposal</x:v>
      </x:c>
      <x:c r="N704" s="4" t="str">
        <x:v>Candidate process/hardware relationship; quantity and service compatibility remain open.</x:v>
      </x:c>
      <x:c r="O704" s="4" t="str">
        <x:v>Lore-coherence game proposal; selected WLD source proposals at f6f98515c005dc3c73cccd9cbc031691745740c6.</x:v>
      </x:c>
      <x:c r="P704" s="4" t="n">
        <x:f>IF(OR(C704="Ingredient candidate",C704="Consumed input",C704="Contained input",C704="Transform input"),IF(F704="T0",0,IF(F704="T1",1,IF(F704="T2",2,IF(F704="T3",3,IF(F704="T4",4,-1))))),-1)</x:f>
        <x:v>1</x:v>
      </x:c>
      <x:c r="Q704" s="4" t="n">
        <x:f>IF(AND(OR(C704="Ingredient candidate",C704="Consumed input",C704="Contained input",C704="Transform input"),P704=-1),1,0)</x:f>
        <x:v>0</x:v>
      </x:c>
    </x:row>
    <x:row r="705" ht="115" customHeight="1">
      <x:c r="A705" s="4" t="str">
        <x:v>design.lore.feedstone_mix.in.3</x:v>
      </x:c>
      <x:c r="B705" s="4" t="str">
        <x:v>design.lore.feedstone_mix</x:v>
      </x:c>
      <x:c r="C705" s="4" t="str">
        <x:v>Ingredient candidate</x:v>
      </x:c>
      <x:c r="D705" s="4" t="str">
        <x:v>proposal.t1.process_salts</x:v>
      </x:c>
      <x:c r="E705" s="4" t="str">
        <x:f>IFERROR(INDEX('Items'!$B$6:$B$1005,MATCH(D705,'Items'!$A$6:$A$1005,0)),"MISSING ID")</x:f>
        <x:v>Graded process salts</x:v>
      </x:c>
      <x:c r="F705" s="4" t="str">
        <x:f>IFERROR(INDEX('Items'!$C$6:$C$1005,MATCH(D705,'Items'!$A$6:$A$1005,0)),"MISSING ID")</x:f>
        <x:v>T1</x:v>
      </x:c>
      <x:c r="G705" s="4" t="str">
        <x:f>IFERROR(INDEX('Items'!$D$6:$D$1005,MATCH(D705,'Items'!$A$6:$A$1005,0)),"MISSING ID")</x:f>
        <x:v>Manufactured stock</x:v>
      </x:c>
      <x:c r="H705" s="4" t="str">
        <x:f>IFERROR(INDEX('Items'!$X$6:$X$1005,MATCH(D705,'Items'!$A$6:$A$1005,0)),"MISSING ID")</x:f>
        <x:v>Processed material</x:v>
      </x:c>
      <x:c r="I705" s="4"/>
      <x:c r="J705" s="4" t="str">
        <x:v>Unspecified</x:v>
      </x:c>
      <x:c r="K705" s="4" t="str">
        <x:f>IFERROR(INDEX('Crafting recipes'!$D$6:$D$1005,MATCH(B705,'Crafting recipes'!$A$6:$A$1005,0)),"MISSING ID")</x:f>
        <x:v>Proposal</x:v>
      </x:c>
      <x:c r="L705" s="4" t="str">
        <x:f>IFERROR(INDEX('Items'!$AD$6:$AD$1005,MATCH(D705,'Items'!$A$6:$A$1005,0)),"MISSING ID")</x:f>
        <x:v>Proposal</x:v>
      </x:c>
      <x:c r="M705" s="4" t="str">
        <x:f>IFERROR(INDEX('Crafting recipes'!$E$6:$E$1005,MATCH(B705,'Crafting recipes'!$A$6:$A$1005,0)),"MISSING ID")</x:f>
        <x:v>Partial proposal</x:v>
      </x:c>
      <x:c r="N705" s="4" t="str">
        <x:v>Candidate process/hardware relationship; quantity and service compatibility remain open.</x:v>
      </x:c>
      <x:c r="O705" s="4" t="str">
        <x:v>Lore-coherence game proposal; selected WLD source proposals at f6f98515c005dc3c73cccd9cbc031691745740c6.</x:v>
      </x:c>
      <x:c r="P705" s="4" t="n">
        <x:f>IF(OR(C705="Ingredient candidate",C705="Consumed input",C705="Contained input",C705="Transform input"),IF(F705="T0",0,IF(F705="T1",1,IF(F705="T2",2,IF(F705="T3",3,IF(F705="T4",4,-1))))),-1)</x:f>
        <x:v>1</x:v>
      </x:c>
      <x:c r="Q705" s="4" t="n">
        <x:f>IF(AND(OR(C705="Ingredient candidate",C705="Consumed input",C705="Contained input",C705="Transform input"),P705=-1),1,0)</x:f>
        <x:v>0</x:v>
      </x:c>
    </x:row>
    <x:row r="706" ht="115" customHeight="1">
      <x:c r="A706" s="4" t="str">
        <x:v>design.lore.feedstone_mix.in.4</x:v>
      </x:c>
      <x:c r="B706" s="4" t="str">
        <x:v>design.lore.feedstone_mix</x:v>
      </x:c>
      <x:c r="C706" s="4" t="str">
        <x:v>Ingredient candidate</x:v>
      </x:c>
      <x:c r="D706" s="4" t="str">
        <x:v>proposal.natural.silica</x:v>
      </x:c>
      <x:c r="E706" s="4" t="str">
        <x:f>IFERROR(INDEX('Items'!$B$6:$B$1005,MATCH(D706,'Items'!$A$6:$A$1005,0)),"MISSING ID")</x:f>
        <x:v>Silica-rich grit</x:v>
      </x:c>
      <x:c r="F706" s="4" t="str">
        <x:f>IFERROR(INDEX('Items'!$C$6:$C$1005,MATCH(D706,'Items'!$A$6:$A$1005,0)),"MISSING ID")</x:f>
        <x:v>T0</x:v>
      </x:c>
      <x:c r="G706" s="4" t="str">
        <x:f>IFERROR(INDEX('Items'!$D$6:$D$1005,MATCH(D706,'Items'!$A$6:$A$1005,0)),"MISSING ID")</x:f>
        <x:v>Mineral resources</x:v>
      </x:c>
      <x:c r="H706" s="4" t="str">
        <x:f>IFERROR(INDEX('Items'!$X$6:$X$1005,MATCH(D706,'Items'!$A$6:$A$1005,0)),"MISSING ID")</x:f>
        <x:v>Raw material</x:v>
      </x:c>
      <x:c r="I706" s="4"/>
      <x:c r="J706" s="4" t="str">
        <x:v>Unspecified</x:v>
      </x:c>
      <x:c r="K706" s="4" t="str">
        <x:f>IFERROR(INDEX('Crafting recipes'!$D$6:$D$1005,MATCH(B706,'Crafting recipes'!$A$6:$A$1005,0)),"MISSING ID")</x:f>
        <x:v>Proposal</x:v>
      </x:c>
      <x:c r="L706" s="4" t="str">
        <x:f>IFERROR(INDEX('Items'!$AD$6:$AD$1005,MATCH(D706,'Items'!$A$6:$A$1005,0)),"MISSING ID")</x:f>
        <x:v>Proposal</x:v>
      </x:c>
      <x:c r="M706" s="4" t="str">
        <x:f>IFERROR(INDEX('Crafting recipes'!$E$6:$E$1005,MATCH(B706,'Crafting recipes'!$A$6:$A$1005,0)),"MISSING ID")</x:f>
        <x:v>Partial proposal</x:v>
      </x:c>
      <x:c r="N706" s="4" t="str">
        <x:v>Candidate process/hardware relationship; quantity and service compatibility remain open.</x:v>
      </x:c>
      <x:c r="O706" s="4" t="str">
        <x:v>Lore-coherence game proposal; selected WLD source proposals at f6f98515c005dc3c73cccd9cbc031691745740c6.</x:v>
      </x:c>
      <x:c r="P706" s="4" t="n">
        <x:f>IF(OR(C706="Ingredient candidate",C706="Consumed input",C706="Contained input",C706="Transform input"),IF(F706="T0",0,IF(F706="T1",1,IF(F706="T2",2,IF(F706="T3",3,IF(F706="T4",4,-1))))),-1)</x:f>
        <x:v>0</x:v>
      </x:c>
      <x:c r="Q706" s="4" t="n">
        <x:f>IF(AND(OR(C706="Ingredient candidate",C706="Consumed input",C706="Contained input",C706="Transform input"),P706=-1),1,0)</x:f>
        <x:v>0</x:v>
      </x:c>
    </x:row>
    <x:row r="707" ht="115" customHeight="1">
      <x:c r="A707" s="4" t="str">
        <x:v>design.lore.feedstone_mix.out</x:v>
      </x:c>
      <x:c r="B707" s="4" t="str">
        <x:v>design.lore.feedstone_mix</x:v>
      </x:c>
      <x:c r="C707" s="4" t="str">
        <x:v>Output</x:v>
      </x:c>
      <x:c r="D707" s="4" t="str">
        <x:v>proposal.lore.feedstone_mix</x:v>
      </x:c>
      <x:c r="E707" s="4" t="str">
        <x:f>IFERROR(INDEX('Items'!$B$6:$B$1005,MATCH(D707,'Items'!$A$6:$A$1005,0)),"MISSING ID")</x:f>
        <x:v>Graded domestic-beetle feedstone mix</x:v>
      </x:c>
      <x:c r="F707" s="4" t="str">
        <x:f>IFERROR(INDEX('Items'!$C$6:$C$1005,MATCH(D707,'Items'!$A$6:$A$1005,0)),"MISSING ID")</x:f>
        <x:v>T2</x:v>
      </x:c>
      <x:c r="G707" s="4" t="str">
        <x:f>IFERROR(INDEX('Items'!$D$6:$D$1005,MATCH(D707,'Items'!$A$6:$A$1005,0)),"MISSING ID")</x:f>
        <x:v>Manufactured stock</x:v>
      </x:c>
      <x:c r="H707" s="4" t="str">
        <x:f>IFERROR(INDEX('Items'!$X$6:$X$1005,MATCH(D707,'Items'!$A$6:$A$1005,0)),"MISSING ID")</x:f>
        <x:v>Processed material</x:v>
      </x:c>
      <x:c r="I707" s="4"/>
      <x:c r="J707" s="4" t="str">
        <x:v>Unspecified</x:v>
      </x:c>
      <x:c r="K707" s="4" t="str">
        <x:f>IFERROR(INDEX('Crafting recipes'!$D$6:$D$1005,MATCH(B707,'Crafting recipes'!$A$6:$A$1005,0)),"MISSING ID")</x:f>
        <x:v>Proposal</x:v>
      </x:c>
      <x:c r="L707" s="4" t="str">
        <x:f>IFERROR(INDEX('Items'!$AD$6:$AD$1005,MATCH(D707,'Items'!$A$6:$A$1005,0)),"MISSING ID")</x:f>
        <x:v>Proposal</x:v>
      </x:c>
      <x:c r="M707" s="4" t="str">
        <x:f>IFERROR(INDEX('Crafting recipes'!$E$6:$E$1005,MATCH(B707,'Crafting recipes'!$A$6:$A$1005,0)),"MISSING ID")</x:f>
        <x:v>Partial proposal</x:v>
      </x:c>
      <x:c r="N707" s="4" t="str">
        <x:v>Candidate process/hardware relationship; quantity and service compatibility remain open.</x:v>
      </x:c>
      <x:c r="O707" s="4" t="str">
        <x:v>Lore-coherence game proposal; selected WLD source proposals at f6f98515c005dc3c73cccd9cbc031691745740c6.</x:v>
      </x:c>
      <x:c r="P707" s="4" t="n">
        <x:f>IF(OR(C707="Ingredient candidate",C707="Consumed input",C707="Contained input",C707="Transform input"),IF(F707="T0",0,IF(F707="T1",1,IF(F707="T2",2,IF(F707="T3",3,IF(F707="T4",4,-1))))),-1)</x:f>
        <x:v>-1</x:v>
      </x:c>
      <x:c r="Q707" s="4" t="n">
        <x:f>IF(AND(OR(C707="Ingredient candidate",C707="Consumed input",C707="Contained input",C707="Transform input"),P707=-1),1,0)</x:f>
        <x:v>0</x:v>
      </x:c>
    </x:row>
    <x:row r="708" ht="115" customHeight="1">
      <x:c r="A708" s="4"/>
      <x:c r="B708" s="4"/>
      <x:c r="C708" s="4"/>
      <x:c r="D708" s="4"/>
      <x:c r="E708" s="4"/>
      <x:c r="F708" s="4"/>
      <x:c r="G708" s="4"/>
      <x:c r="H708" s="4"/>
      <x:c r="I708" s="4"/>
      <x:c r="K708" s="4"/>
      <x:c r="L708" s="4"/>
      <x:c r="M708" s="4"/>
      <x:c r="N708" s="4"/>
      <x:c r="O708" s="4"/>
      <x:c r="P708" s="4"/>
      <x:c r="Q708" s="4"/>
    </x:row>
    <x:row r="709" ht="115" customHeight="1">
      <x:c r="A709" s="4"/>
      <x:c r="B709" s="4"/>
      <x:c r="C709" s="4"/>
      <x:c r="D709" s="4"/>
      <x:c r="E709" s="4"/>
      <x:c r="F709" s="4"/>
      <x:c r="G709" s="4"/>
      <x:c r="H709" s="4"/>
      <x:c r="I709" s="4"/>
      <x:c r="K709" s="4"/>
      <x:c r="L709" s="4"/>
      <x:c r="M709" s="4"/>
      <x:c r="N709" s="4"/>
      <x:c r="O709" s="4"/>
      <x:c r="P709" s="4"/>
      <x:c r="Q709" s="4"/>
    </x:row>
    <x:row r="710" ht="115" customHeight="1">
      <x:c r="A710" s="4"/>
      <x:c r="B710" s="4"/>
      <x:c r="C710" s="4"/>
      <x:c r="D710" s="4"/>
      <x:c r="E710" s="4"/>
      <x:c r="F710" s="4"/>
      <x:c r="G710" s="4"/>
      <x:c r="H710" s="4"/>
      <x:c r="I710" s="4"/>
      <x:c r="J710" s="4"/>
      <x:c r="K710" s="4"/>
      <x:c r="L710" s="4"/>
      <x:c r="M710" s="4"/>
      <x:c r="N710" s="4"/>
      <x:c r="O710" s="4"/>
      <x:c r="P710" s="4"/>
      <x:c r="Q710" s="4"/>
    </x:row>
    <x:row r="711" ht="115" customHeight="1">
      <x:c r="A711" s="4"/>
      <x:c r="B711" s="4"/>
      <x:c r="C711" s="4"/>
      <x:c r="D711" s="4"/>
      <x:c r="E711" s="4"/>
      <x:c r="F711" s="4"/>
      <x:c r="G711" s="4"/>
      <x:c r="H711" s="4"/>
      <x:c r="I711" s="4"/>
      <x:c r="J711" s="4"/>
      <x:c r="K711" s="4"/>
      <x:c r="L711" s="4"/>
      <x:c r="M711" s="4"/>
      <x:c r="N711" s="4"/>
      <x:c r="O711" s="4"/>
      <x:c r="P711" s="4"/>
      <x:c r="Q711" s="4"/>
    </x:row>
    <x:row r="712" ht="115" customHeight="1">
      <x:c r="A712" s="4"/>
      <x:c r="B712" s="4"/>
      <x:c r="C712" s="4"/>
      <x:c r="D712" s="4"/>
      <x:c r="E712" s="4"/>
      <x:c r="F712" s="4"/>
      <x:c r="G712" s="4"/>
      <x:c r="H712" s="4"/>
      <x:c r="I712" s="4"/>
      <x:c r="J712" s="4"/>
      <x:c r="K712" s="4"/>
      <x:c r="L712" s="4"/>
      <x:c r="M712" s="4"/>
      <x:c r="N712" s="4"/>
      <x:c r="O712" s="4"/>
      <x:c r="P712" s="4"/>
      <x:c r="Q712" s="4"/>
    </x:row>
    <x:row r="713" ht="115" customHeight="1">
      <x:c r="A713" s="4"/>
      <x:c r="B713" s="4"/>
      <x:c r="C713" s="4"/>
      <x:c r="D713" s="4"/>
      <x:c r="E713" s="4"/>
      <x:c r="F713" s="4"/>
      <x:c r="G713" s="4"/>
      <x:c r="H713" s="4"/>
      <x:c r="I713" s="4"/>
      <x:c r="J713" s="4"/>
      <x:c r="K713" s="4"/>
      <x:c r="L713" s="4"/>
      <x:c r="M713" s="4"/>
      <x:c r="N713" s="4"/>
      <x:c r="O713" s="4"/>
      <x:c r="P713" s="4"/>
      <x:c r="Q713" s="4"/>
    </x:row>
    <x:row r="714" ht="115" customHeight="1">
      <x:c r="A714" s="4" t="str">
        <x:v>design.lore.shell_scraper.in.1</x:v>
      </x:c>
      <x:c r="B714" s="4" t="str">
        <x:v>design.lore.shell_scraper</x:v>
      </x:c>
      <x:c r="C714" s="4" t="str">
        <x:v>Ingredient candidate</x:v>
      </x:c>
      <x:c r="D714" s="4" t="str">
        <x:v>proposal.bio.insert</x:v>
      </x:c>
      <x:c r="E714" s="4" t="str">
        <x:f>IFERROR(INDEX('Items'!$B$6:$B$1005,MATCH(D714,'Items'!$A$6:$A$1005,0)),"MISSING ID")</x:f>
        <x:v>Jaw cutting insert</x:v>
      </x:c>
      <x:c r="F714" s="4" t="str">
        <x:f>IFERROR(INDEX('Items'!$C$6:$C$1005,MATCH(D714,'Items'!$A$6:$A$1005,0)),"MISSING ID")</x:f>
        <x:v>T2</x:v>
      </x:c>
      <x:c r="G714" s="4" t="str">
        <x:f>IFERROR(INDEX('Items'!$D$6:$D$1005,MATCH(D714,'Items'!$A$6:$A$1005,0)),"MISSING ID")</x:f>
        <x:v>Crafting components</x:v>
      </x:c>
      <x:c r="H714" s="4" t="str">
        <x:f>IFERROR(INDEX('Items'!$X$6:$X$1005,MATCH(D714,'Items'!$A$6:$A$1005,0)),"MISSING ID")</x:f>
        <x:v>Crafting component</x:v>
      </x:c>
      <x:c r="I714" s="4"/>
      <x:c r="J714" s="4" t="str">
        <x:v>Unspecified</x:v>
      </x:c>
      <x:c r="K714" s="4" t="str">
        <x:f>IFERROR(INDEX('Crafting recipes'!$D$6:$D$1005,MATCH(B714,'Crafting recipes'!$A$6:$A$1005,0)),"MISSING ID")</x:f>
        <x:v>Proposal</x:v>
      </x:c>
      <x:c r="L714" s="4" t="str">
        <x:f>IFERROR(INDEX('Items'!$AD$6:$AD$1005,MATCH(D714,'Items'!$A$6:$A$1005,0)),"MISSING ID")</x:f>
        <x:v>Proposal</x:v>
      </x:c>
      <x:c r="M714" s="4" t="str">
        <x:f>IFERROR(INDEX('Crafting recipes'!$E$6:$E$1005,MATCH(B714,'Crafting recipes'!$A$6:$A$1005,0)),"MISSING ID")</x:f>
        <x:v>Partial proposal</x:v>
      </x:c>
      <x:c r="N714" s="4" t="str">
        <x:v>Candidate process/hardware relationship; quantity and service compatibility remain open.</x:v>
      </x:c>
      <x:c r="O714" s="4" t="str">
        <x:v>Lore-coherence game proposal; selected WLD source proposals at f6f98515c005dc3c73cccd9cbc031691745740c6.</x:v>
      </x:c>
      <x:c r="P714" s="4" t="n">
        <x:f>IF(OR(C714="Ingredient candidate",C714="Consumed input",C714="Contained input",C714="Transform input"),IF(F714="T0",0,IF(F714="T1",1,IF(F714="T2",2,IF(F714="T3",3,IF(F714="T4",4,-1))))),-1)</x:f>
        <x:v>2</x:v>
      </x:c>
      <x:c r="Q714" s="4" t="n">
        <x:f>IF(AND(OR(C714="Ingredient candidate",C714="Consumed input",C714="Contained input",C714="Transform input"),P714=-1),1,0)</x:f>
        <x:v>0</x:v>
      </x:c>
    </x:row>
    <x:row r="715" ht="115" customHeight="1">
      <x:c r="A715" s="4" t="str">
        <x:v>design.lore.shell_scraper.in.2</x:v>
      </x:c>
      <x:c r="B715" s="4" t="str">
        <x:v>design.lore.shell_scraper</x:v>
      </x:c>
      <x:c r="C715" s="4" t="str">
        <x:v>Ingredient candidate</x:v>
      </x:c>
      <x:c r="D715" s="4" t="str">
        <x:v>proposal.natural.iron_stock</x:v>
      </x:c>
      <x:c r="E715" s="4" t="str">
        <x:f>IFERROR(INDEX('Items'!$B$6:$B$1005,MATCH(D715,'Items'!$A$6:$A$1005,0)),"MISSING ID")</x:f>
        <x:v>Worked iron stock</x:v>
      </x:c>
      <x:c r="F715" s="4" t="str">
        <x:f>IFERROR(INDEX('Items'!$C$6:$C$1005,MATCH(D715,'Items'!$A$6:$A$1005,0)),"MISSING ID")</x:f>
        <x:v>T2</x:v>
      </x:c>
      <x:c r="G715" s="4" t="str">
        <x:f>IFERROR(INDEX('Items'!$D$6:$D$1005,MATCH(D715,'Items'!$A$6:$A$1005,0)),"MISSING ID")</x:f>
        <x:v>Manufactured stock</x:v>
      </x:c>
      <x:c r="H715" s="4" t="str">
        <x:f>IFERROR(INDEX('Items'!$X$6:$X$1005,MATCH(D715,'Items'!$A$6:$A$1005,0)),"MISSING ID")</x:f>
        <x:v>Processed material</x:v>
      </x:c>
      <x:c r="I715" s="4"/>
      <x:c r="J715" s="4" t="str">
        <x:v>Unspecified</x:v>
      </x:c>
      <x:c r="K715" s="4" t="str">
        <x:f>IFERROR(INDEX('Crafting recipes'!$D$6:$D$1005,MATCH(B715,'Crafting recipes'!$A$6:$A$1005,0)),"MISSING ID")</x:f>
        <x:v>Proposal</x:v>
      </x:c>
      <x:c r="L715" s="4" t="str">
        <x:f>IFERROR(INDEX('Items'!$AD$6:$AD$1005,MATCH(D715,'Items'!$A$6:$A$1005,0)),"MISSING ID")</x:f>
        <x:v>Proposal</x:v>
      </x:c>
      <x:c r="M715" s="4" t="str">
        <x:f>IFERROR(INDEX('Crafting recipes'!$E$6:$E$1005,MATCH(B715,'Crafting recipes'!$A$6:$A$1005,0)),"MISSING ID")</x:f>
        <x:v>Partial proposal</x:v>
      </x:c>
      <x:c r="N715" s="4" t="str">
        <x:v>Candidate process/hardware relationship; quantity and service compatibility remain open.</x:v>
      </x:c>
      <x:c r="O715" s="4" t="str">
        <x:v>Lore-coherence game proposal; selected WLD source proposals at f6f98515c005dc3c73cccd9cbc031691745740c6.</x:v>
      </x:c>
      <x:c r="P715" s="4" t="n">
        <x:f>IF(OR(C715="Ingredient candidate",C715="Consumed input",C715="Contained input",C715="Transform input"),IF(F715="T0",0,IF(F715="T1",1,IF(F715="T2",2,IF(F715="T3",3,IF(F715="T4",4,-1))))),-1)</x:f>
        <x:v>2</x:v>
      </x:c>
      <x:c r="Q715" s="4" t="n">
        <x:f>IF(AND(OR(C715="Ingredient candidate",C715="Consumed input",C715="Contained input",C715="Transform input"),P715=-1),1,0)</x:f>
        <x:v>0</x:v>
      </x:c>
    </x:row>
    <x:row r="716" ht="115" customHeight="1">
      <x:c r="A716" s="4" t="str">
        <x:v>design.lore.shell_scraper.out</x:v>
      </x:c>
      <x:c r="B716" s="4" t="str">
        <x:v>design.lore.shell_scraper</x:v>
      </x:c>
      <x:c r="C716" s="4" t="str">
        <x:v>Output</x:v>
      </x:c>
      <x:c r="D716" s="4" t="str">
        <x:v>proposal.lore.shell_scraper</x:v>
      </x:c>
      <x:c r="E716" s="4" t="str">
        <x:f>IFERROR(INDEX('Items'!$B$6:$B$1005,MATCH(D716,'Items'!$A$6:$A$1005,0)),"MISSING ID")</x:f>
        <x:v>Domestic shell-trimming scraper</x:v>
      </x:c>
      <x:c r="F716" s="4" t="str">
        <x:f>IFERROR(INDEX('Items'!$C$6:$C$1005,MATCH(D716,'Items'!$A$6:$A$1005,0)),"MISSING ID")</x:f>
        <x:v>Not applicable</x:v>
      </x:c>
      <x:c r="G716" s="4" t="str">
        <x:f>IFERROR(INDEX('Items'!$D$6:$D$1005,MATCH(D716,'Items'!$A$6:$A$1005,0)),"MISSING ID")</x:f>
        <x:v>Salvage</x:v>
      </x:c>
      <x:c r="H716" s="4" t="str">
        <x:f>IFERROR(INDEX('Items'!$X$6:$X$1005,MATCH(D716,'Items'!$A$6:$A$1005,0)),"MISSING ID")</x:f>
        <x:v>Tool</x:v>
      </x:c>
      <x:c r="I716" s="4"/>
      <x:c r="J716" s="4" t="str">
        <x:v>Unspecified</x:v>
      </x:c>
      <x:c r="K716" s="4" t="str">
        <x:f>IFERROR(INDEX('Crafting recipes'!$D$6:$D$1005,MATCH(B716,'Crafting recipes'!$A$6:$A$1005,0)),"MISSING ID")</x:f>
        <x:v>Proposal</x:v>
      </x:c>
      <x:c r="L716" s="4" t="str">
        <x:f>IFERROR(INDEX('Items'!$AD$6:$AD$1005,MATCH(D716,'Items'!$A$6:$A$1005,0)),"MISSING ID")</x:f>
        <x:v>Proposal</x:v>
      </x:c>
      <x:c r="M716" s="4" t="str">
        <x:f>IFERROR(INDEX('Crafting recipes'!$E$6:$E$1005,MATCH(B716,'Crafting recipes'!$A$6:$A$1005,0)),"MISSING ID")</x:f>
        <x:v>Partial proposal</x:v>
      </x:c>
      <x:c r="N716" s="4" t="str">
        <x:v>Candidate process/hardware relationship; quantity and service compatibility remain open.</x:v>
      </x:c>
      <x:c r="O716" s="4" t="str">
        <x:v>Lore-coherence game proposal; selected WLD source proposals at f6f98515c005dc3c73cccd9cbc031691745740c6.</x:v>
      </x:c>
      <x:c r="P716" s="4" t="n">
        <x:f>IF(OR(C716="Ingredient candidate",C716="Consumed input",C716="Contained input",C716="Transform input"),IF(F716="T0",0,IF(F716="T1",1,IF(F716="T2",2,IF(F716="T3",3,IF(F716="T4",4,-1))))),-1)</x:f>
        <x:v>-1</x:v>
      </x:c>
      <x:c r="Q716" s="4" t="n">
        <x:f>IF(AND(OR(C716="Ingredient candidate",C716="Consumed input",C716="Contained input",C716="Transform input"),P716=-1),1,0)</x:f>
        <x:v>0</x:v>
      </x:c>
    </x:row>
    <x:row r="717" ht="115" customHeight="1">
      <x:c r="A717" s="4" t="str">
        <x:v>design.lore.iron_conductor.in.1</x:v>
      </x:c>
      <x:c r="B717" s="4" t="str">
        <x:v>design.lore.iron_conductor</x:v>
      </x:c>
      <x:c r="C717" s="4" t="str">
        <x:v>Ingredient candidate</x:v>
      </x:c>
      <x:c r="D717" s="4" t="str">
        <x:v>proposal.t1.iron_bloom</x:v>
      </x:c>
      <x:c r="E717" s="4" t="str">
        <x:f>IFERROR(INDEX('Items'!$B$6:$B$1005,MATCH(D717,'Items'!$A$6:$A$1005,0)),"MISSING ID")</x:f>
        <x:v>Smelted iron bloom</x:v>
      </x:c>
      <x:c r="F717" s="4" t="str">
        <x:f>IFERROR(INDEX('Items'!$C$6:$C$1005,MATCH(D717,'Items'!$A$6:$A$1005,0)),"MISSING ID")</x:f>
        <x:v>T1</x:v>
      </x:c>
      <x:c r="G717" s="4" t="str">
        <x:f>IFERROR(INDEX('Items'!$D$6:$D$1005,MATCH(D717,'Items'!$A$6:$A$1005,0)),"MISSING ID")</x:f>
        <x:v>Manufactured stock</x:v>
      </x:c>
      <x:c r="H717" s="4" t="str">
        <x:f>IFERROR(INDEX('Items'!$X$6:$X$1005,MATCH(D717,'Items'!$A$6:$A$1005,0)),"MISSING ID")</x:f>
        <x:v>Processed material</x:v>
      </x:c>
      <x:c r="I717" s="4"/>
      <x:c r="J717" s="4" t="str">
        <x:v>Unspecified</x:v>
      </x:c>
      <x:c r="K717" s="4" t="str">
        <x:f>IFERROR(INDEX('Crafting recipes'!$D$6:$D$1005,MATCH(B717,'Crafting recipes'!$A$6:$A$1005,0)),"MISSING ID")</x:f>
        <x:v>Proposal</x:v>
      </x:c>
      <x:c r="L717" s="4" t="str">
        <x:f>IFERROR(INDEX('Items'!$AD$6:$AD$1005,MATCH(D717,'Items'!$A$6:$A$1005,0)),"MISSING ID")</x:f>
        <x:v>Proposal</x:v>
      </x:c>
      <x:c r="M717" s="4" t="str">
        <x:f>IFERROR(INDEX('Crafting recipes'!$E$6:$E$1005,MATCH(B717,'Crafting recipes'!$A$6:$A$1005,0)),"MISSING ID")</x:f>
        <x:v>Partial proposal</x:v>
      </x:c>
      <x:c r="N717" s="4" t="str">
        <x:v>Candidate process/hardware relationship; quantity and service compatibility remain open.</x:v>
      </x:c>
      <x:c r="O717" s="4" t="str">
        <x:v>Lore-coherence game proposal; selected WLD source proposals at f6f98515c005dc3c73cccd9cbc031691745740c6.</x:v>
      </x:c>
      <x:c r="P717" s="4" t="n">
        <x:f>IF(OR(C717="Ingredient candidate",C717="Consumed input",C717="Contained input",C717="Transform input"),IF(F717="T0",0,IF(F717="T1",1,IF(F717="T2",2,IF(F717="T3",3,IF(F717="T4",4,-1))))),-1)</x:f>
        <x:v>1</x:v>
      </x:c>
      <x:c r="Q717" s="4" t="n">
        <x:f>IF(AND(OR(C717="Ingredient candidate",C717="Consumed input",C717="Contained input",C717="Transform input"),P717=-1),1,0)</x:f>
        <x:v>0</x:v>
      </x:c>
    </x:row>
    <x:row r="718" ht="115" customHeight="1">
      <x:c r="A718" s="4" t="str">
        <x:v>design.lore.iron_conductor.in.2</x:v>
      </x:c>
      <x:c r="B718" s="4" t="str">
        <x:v>design.lore.iron_conductor</x:v>
      </x:c>
      <x:c r="C718" s="4" t="str">
        <x:v>Ingredient candidate</x:v>
      </x:c>
      <x:c r="D718" s="4" t="str">
        <x:v>proposal.branch.flux</x:v>
      </x:c>
      <x:c r="E718" s="4" t="str">
        <x:f>IFERROR(INDEX('Items'!$B$6:$B$1005,MATCH(D718,'Items'!$A$6:$A$1005,0)),"MISSING ID")</x:f>
        <x:v>Prepared metallurgical flux</x:v>
      </x:c>
      <x:c r="F718" s="4" t="str">
        <x:f>IFERROR(INDEX('Items'!$C$6:$C$1005,MATCH(D718,'Items'!$A$6:$A$1005,0)),"MISSING ID")</x:f>
        <x:v>T1</x:v>
      </x:c>
      <x:c r="G718" s="4" t="str">
        <x:f>IFERROR(INDEX('Items'!$D$6:$D$1005,MATCH(D718,'Items'!$A$6:$A$1005,0)),"MISSING ID")</x:f>
        <x:v>Crafting components</x:v>
      </x:c>
      <x:c r="H718" s="4" t="str">
        <x:f>IFERROR(INDEX('Items'!$X$6:$X$1005,MATCH(D718,'Items'!$A$6:$A$1005,0)),"MISSING ID")</x:f>
        <x:v>Processed material</x:v>
      </x:c>
      <x:c r="I718" s="4"/>
      <x:c r="J718" s="4" t="str">
        <x:v>Unspecified</x:v>
      </x:c>
      <x:c r="K718" s="4" t="str">
        <x:f>IFERROR(INDEX('Crafting recipes'!$D$6:$D$1005,MATCH(B718,'Crafting recipes'!$A$6:$A$1005,0)),"MISSING ID")</x:f>
        <x:v>Proposal</x:v>
      </x:c>
      <x:c r="L718" s="4" t="str">
        <x:f>IFERROR(INDEX('Items'!$AD$6:$AD$1005,MATCH(D718,'Items'!$A$6:$A$1005,0)),"MISSING ID")</x:f>
        <x:v>Proposal</x:v>
      </x:c>
      <x:c r="M718" s="4" t="str">
        <x:f>IFERROR(INDEX('Crafting recipes'!$E$6:$E$1005,MATCH(B718,'Crafting recipes'!$A$6:$A$1005,0)),"MISSING ID")</x:f>
        <x:v>Partial proposal</x:v>
      </x:c>
      <x:c r="N718" s="4" t="str">
        <x:v>Candidate process/hardware relationship; quantity and service compatibility remain open.</x:v>
      </x:c>
      <x:c r="O718" s="4" t="str">
        <x:v>Lore-coherence game proposal; selected WLD source proposals at f6f98515c005dc3c73cccd9cbc031691745740c6.</x:v>
      </x:c>
      <x:c r="P718" s="4" t="n">
        <x:f>IF(OR(C718="Ingredient candidate",C718="Consumed input",C718="Contained input",C718="Transform input"),IF(F718="T0",0,IF(F718="T1",1,IF(F718="T2",2,IF(F718="T3",3,IF(F718="T4",4,-1))))),-1)</x:f>
        <x:v>1</x:v>
      </x:c>
      <x:c r="Q718" s="4" t="n">
        <x:f>IF(AND(OR(C718="Ingredient candidate",C718="Consumed input",C718="Contained input",C718="Transform input"),P718=-1),1,0)</x:f>
        <x:v>0</x:v>
      </x:c>
    </x:row>
    <x:row r="719" ht="115" customHeight="1">
      <x:c r="A719" s="4" t="str">
        <x:v>design.lore.iron_conductor.out</x:v>
      </x:c>
      <x:c r="B719" s="4" t="str">
        <x:v>design.lore.iron_conductor</x:v>
      </x:c>
      <x:c r="C719" s="4" t="str">
        <x:v>Output</x:v>
      </x:c>
      <x:c r="D719" s="4" t="str">
        <x:v>proposal.lore.iron_conductor</x:v>
      </x:c>
      <x:c r="E719" s="4" t="str">
        <x:f>IFERROR(INDEX('Items'!$B$6:$B$1005,MATCH(D719,'Items'!$A$6:$A$1005,0)),"MISSING ID")</x:f>
        <x:v>Drawn iron conductor stock</x:v>
      </x:c>
      <x:c r="F719" s="4" t="str">
        <x:f>IFERROR(INDEX('Items'!$C$6:$C$1005,MATCH(D719,'Items'!$A$6:$A$1005,0)),"MISSING ID")</x:f>
        <x:v>T2</x:v>
      </x:c>
      <x:c r="G719" s="4" t="str">
        <x:f>IFERROR(INDEX('Items'!$D$6:$D$1005,MATCH(D719,'Items'!$A$6:$A$1005,0)),"MISSING ID")</x:f>
        <x:v>Manufactured stock</x:v>
      </x:c>
      <x:c r="H719" s="4" t="str">
        <x:f>IFERROR(INDEX('Items'!$X$6:$X$1005,MATCH(D719,'Items'!$A$6:$A$1005,0)),"MISSING ID")</x:f>
        <x:v>Processed material</x:v>
      </x:c>
      <x:c r="I719" s="4"/>
      <x:c r="J719" s="4" t="str">
        <x:v>Unspecified</x:v>
      </x:c>
      <x:c r="K719" s="4" t="str">
        <x:f>IFERROR(INDEX('Crafting recipes'!$D$6:$D$1005,MATCH(B719,'Crafting recipes'!$A$6:$A$1005,0)),"MISSING ID")</x:f>
        <x:v>Proposal</x:v>
      </x:c>
      <x:c r="L719" s="4" t="str">
        <x:f>IFERROR(INDEX('Items'!$AD$6:$AD$1005,MATCH(D719,'Items'!$A$6:$A$1005,0)),"MISSING ID")</x:f>
        <x:v>Proposal</x:v>
      </x:c>
      <x:c r="M719" s="4" t="str">
        <x:f>IFERROR(INDEX('Crafting recipes'!$E$6:$E$1005,MATCH(B719,'Crafting recipes'!$A$6:$A$1005,0)),"MISSING ID")</x:f>
        <x:v>Partial proposal</x:v>
      </x:c>
      <x:c r="N719" s="4" t="str">
        <x:v>Candidate process/hardware relationship; quantity and service compatibility remain open.</x:v>
      </x:c>
      <x:c r="O719" s="4" t="str">
        <x:v>Lore-coherence game proposal; selected WLD source proposals at f6f98515c005dc3c73cccd9cbc031691745740c6.</x:v>
      </x:c>
      <x:c r="P719" s="4" t="n">
        <x:f>IF(OR(C719="Ingredient candidate",C719="Consumed input",C719="Contained input",C719="Transform input"),IF(F719="T0",0,IF(F719="T1",1,IF(F719="T2",2,IF(F719="T3",3,IF(F719="T4",4,-1))))),-1)</x:f>
        <x:v>-1</x:v>
      </x:c>
      <x:c r="Q719" s="4" t="n">
        <x:f>IF(AND(OR(C719="Ingredient candidate",C719="Consumed input",C719="Contained input",C719="Transform input"),P719=-1),1,0)</x:f>
        <x:v>0</x:v>
      </x:c>
    </x:row>
    <x:row r="720" ht="115" customHeight="1">
      <x:c r="A720" s="4" t="str">
        <x:v>design.lore.iron_core_plates.in.1</x:v>
      </x:c>
      <x:c r="B720" s="4" t="str">
        <x:v>design.lore.iron_core_plates</x:v>
      </x:c>
      <x:c r="C720" s="4" t="str">
        <x:v>Ingredient candidate</x:v>
      </x:c>
      <x:c r="D720" s="4" t="str">
        <x:v>proposal.t1.iron_bloom</x:v>
      </x:c>
      <x:c r="E720" s="4" t="str">
        <x:f>IFERROR(INDEX('Items'!$B$6:$B$1005,MATCH(D720,'Items'!$A$6:$A$1005,0)),"MISSING ID")</x:f>
        <x:v>Smelted iron bloom</x:v>
      </x:c>
      <x:c r="F720" s="4" t="str">
        <x:f>IFERROR(INDEX('Items'!$C$6:$C$1005,MATCH(D720,'Items'!$A$6:$A$1005,0)),"MISSING ID")</x:f>
        <x:v>T1</x:v>
      </x:c>
      <x:c r="G720" s="4" t="str">
        <x:f>IFERROR(INDEX('Items'!$D$6:$D$1005,MATCH(D720,'Items'!$A$6:$A$1005,0)),"MISSING ID")</x:f>
        <x:v>Manufactured stock</x:v>
      </x:c>
      <x:c r="H720" s="4" t="str">
        <x:f>IFERROR(INDEX('Items'!$X$6:$X$1005,MATCH(D720,'Items'!$A$6:$A$1005,0)),"MISSING ID")</x:f>
        <x:v>Processed material</x:v>
      </x:c>
      <x:c r="I720" s="4"/>
      <x:c r="J720" s="4" t="str">
        <x:v>Unspecified</x:v>
      </x:c>
      <x:c r="K720" s="4" t="str">
        <x:f>IFERROR(INDEX('Crafting recipes'!$D$6:$D$1005,MATCH(B720,'Crafting recipes'!$A$6:$A$1005,0)),"MISSING ID")</x:f>
        <x:v>Proposal</x:v>
      </x:c>
      <x:c r="L720" s="4" t="str">
        <x:f>IFERROR(INDEX('Items'!$AD$6:$AD$1005,MATCH(D720,'Items'!$A$6:$A$1005,0)),"MISSING ID")</x:f>
        <x:v>Proposal</x:v>
      </x:c>
      <x:c r="M720" s="4" t="str">
        <x:f>IFERROR(INDEX('Crafting recipes'!$E$6:$E$1005,MATCH(B720,'Crafting recipes'!$A$6:$A$1005,0)),"MISSING ID")</x:f>
        <x:v>Partial proposal</x:v>
      </x:c>
      <x:c r="N720" s="4" t="str">
        <x:v>Candidate process/hardware relationship; quantity and service compatibility remain open.</x:v>
      </x:c>
      <x:c r="O720" s="4" t="str">
        <x:v>Lore-coherence game proposal; selected WLD source proposals at f6f98515c005dc3c73cccd9cbc031691745740c6.</x:v>
      </x:c>
      <x:c r="P720" s="4" t="n">
        <x:f>IF(OR(C720="Ingredient candidate",C720="Consumed input",C720="Contained input",C720="Transform input"),IF(F720="T0",0,IF(F720="T1",1,IF(F720="T2",2,IF(F720="T3",3,IF(F720="T4",4,-1))))),-1)</x:f>
        <x:v>1</x:v>
      </x:c>
      <x:c r="Q720" s="4" t="n">
        <x:f>IF(AND(OR(C720="Ingredient candidate",C720="Consumed input",C720="Contained input",C720="Transform input"),P720=-1),1,0)</x:f>
        <x:v>0</x:v>
      </x:c>
    </x:row>
    <x:row r="721" ht="115" customHeight="1">
      <x:c r="A721" s="4" t="str">
        <x:v>design.lore.iron_core_plates.out</x:v>
      </x:c>
      <x:c r="B721" s="4" t="str">
        <x:v>design.lore.iron_core_plates</x:v>
      </x:c>
      <x:c r="C721" s="4" t="str">
        <x:v>Output</x:v>
      </x:c>
      <x:c r="D721" s="4" t="str">
        <x:v>proposal.lore.iron_core_plates</x:v>
      </x:c>
      <x:c r="E721" s="4" t="str">
        <x:f>IFERROR(INDEX('Items'!$B$6:$B$1005,MATCH(D721,'Items'!$A$6:$A$1005,0)),"MISSING ID")</x:f>
        <x:v>Shaped iron core plates</x:v>
      </x:c>
      <x:c r="F721" s="4" t="str">
        <x:f>IFERROR(INDEX('Items'!$C$6:$C$1005,MATCH(D721,'Items'!$A$6:$A$1005,0)),"MISSING ID")</x:f>
        <x:v>T2</x:v>
      </x:c>
      <x:c r="G721" s="4" t="str">
        <x:f>IFERROR(INDEX('Items'!$D$6:$D$1005,MATCH(D721,'Items'!$A$6:$A$1005,0)),"MISSING ID")</x:f>
        <x:v>Crafting components</x:v>
      </x:c>
      <x:c r="H721" s="4" t="str">
        <x:f>IFERROR(INDEX('Items'!$X$6:$X$1005,MATCH(D721,'Items'!$A$6:$A$1005,0)),"MISSING ID")</x:f>
        <x:v>Crafting component</x:v>
      </x:c>
      <x:c r="I721" s="4"/>
      <x:c r="J721" s="4" t="str">
        <x:v>Unspecified</x:v>
      </x:c>
      <x:c r="K721" s="4" t="str">
        <x:f>IFERROR(INDEX('Crafting recipes'!$D$6:$D$1005,MATCH(B721,'Crafting recipes'!$A$6:$A$1005,0)),"MISSING ID")</x:f>
        <x:v>Proposal</x:v>
      </x:c>
      <x:c r="L721" s="4" t="str">
        <x:f>IFERROR(INDEX('Items'!$AD$6:$AD$1005,MATCH(D721,'Items'!$A$6:$A$1005,0)),"MISSING ID")</x:f>
        <x:v>Proposal</x:v>
      </x:c>
      <x:c r="M721" s="4" t="str">
        <x:f>IFERROR(INDEX('Crafting recipes'!$E$6:$E$1005,MATCH(B721,'Crafting recipes'!$A$6:$A$1005,0)),"MISSING ID")</x:f>
        <x:v>Partial proposal</x:v>
      </x:c>
      <x:c r="N721" s="4" t="str">
        <x:v>Candidate process/hardware relationship; quantity and service compatibility remain open.</x:v>
      </x:c>
      <x:c r="O721" s="4" t="str">
        <x:v>Lore-coherence game proposal; selected WLD source proposals at f6f98515c005dc3c73cccd9cbc031691745740c6.</x:v>
      </x:c>
      <x:c r="P721" s="4" t="n">
        <x:f>IF(OR(C721="Ingredient candidate",C721="Consumed input",C721="Contained input",C721="Transform input"),IF(F721="T0",0,IF(F721="T1",1,IF(F721="T2",2,IF(F721="T3",3,IF(F721="T4",4,-1))))),-1)</x:f>
        <x:v>-1</x:v>
      </x:c>
      <x:c r="Q721" s="4" t="n">
        <x:f>IF(AND(OR(C721="Ingredient candidate",C721="Consumed input",C721="Contained input",C721="Transform input"),P721=-1),1,0)</x:f>
        <x:v>0</x:v>
      </x:c>
    </x:row>
    <x:row r="722" ht="115" customHeight="1">
      <x:c r="A722" s="4" t="str">
        <x:v>design.lore.iron_winding.in.1</x:v>
      </x:c>
      <x:c r="B722" s="4" t="str">
        <x:v>design.lore.iron_winding</x:v>
      </x:c>
      <x:c r="C722" s="4" t="str">
        <x:v>Ingredient candidate</x:v>
      </x:c>
      <x:c r="D722" s="4" t="str">
        <x:v>proposal.lore.iron_conductor</x:v>
      </x:c>
      <x:c r="E722" s="4" t="str">
        <x:f>IFERROR(INDEX('Items'!$B$6:$B$1005,MATCH(D722,'Items'!$A$6:$A$1005,0)),"MISSING ID")</x:f>
        <x:v>Drawn iron conductor stock</x:v>
      </x:c>
      <x:c r="F722" s="4" t="str">
        <x:f>IFERROR(INDEX('Items'!$C$6:$C$1005,MATCH(D722,'Items'!$A$6:$A$1005,0)),"MISSING ID")</x:f>
        <x:v>T2</x:v>
      </x:c>
      <x:c r="G722" s="4" t="str">
        <x:f>IFERROR(INDEX('Items'!$D$6:$D$1005,MATCH(D722,'Items'!$A$6:$A$1005,0)),"MISSING ID")</x:f>
        <x:v>Manufactured stock</x:v>
      </x:c>
      <x:c r="H722" s="4" t="str">
        <x:f>IFERROR(INDEX('Items'!$X$6:$X$1005,MATCH(D722,'Items'!$A$6:$A$1005,0)),"MISSING ID")</x:f>
        <x:v>Processed material</x:v>
      </x:c>
      <x:c r="I722" s="4"/>
      <x:c r="J722" s="4" t="str">
        <x:v>Unspecified</x:v>
      </x:c>
      <x:c r="K722" s="4" t="str">
        <x:f>IFERROR(INDEX('Crafting recipes'!$D$6:$D$1005,MATCH(B722,'Crafting recipes'!$A$6:$A$1005,0)),"MISSING ID")</x:f>
        <x:v>Proposal</x:v>
      </x:c>
      <x:c r="L722" s="4" t="str">
        <x:f>IFERROR(INDEX('Items'!$AD$6:$AD$1005,MATCH(D722,'Items'!$A$6:$A$1005,0)),"MISSING ID")</x:f>
        <x:v>Proposal</x:v>
      </x:c>
      <x:c r="M722" s="4" t="str">
        <x:f>IFERROR(INDEX('Crafting recipes'!$E$6:$E$1005,MATCH(B722,'Crafting recipes'!$A$6:$A$1005,0)),"MISSING ID")</x:f>
        <x:v>Partial proposal</x:v>
      </x:c>
      <x:c r="N722" s="4" t="str">
        <x:v>Candidate process/hardware relationship; quantity and service compatibility remain open.</x:v>
      </x:c>
      <x:c r="O722" s="4" t="str">
        <x:v>Lore-coherence game proposal; selected WLD source proposals at f6f98515c005dc3c73cccd9cbc031691745740c6.</x:v>
      </x:c>
      <x:c r="P722" s="4" t="n">
        <x:f>IF(OR(C722="Ingredient candidate",C722="Consumed input",C722="Contained input",C722="Transform input"),IF(F722="T0",0,IF(F722="T1",1,IF(F722="T2",2,IF(F722="T3",3,IF(F722="T4",4,-1))))),-1)</x:f>
        <x:v>2</x:v>
      </x:c>
      <x:c r="Q722" s="4" t="n">
        <x:f>IF(AND(OR(C722="Ingredient candidate",C722="Consumed input",C722="Contained input",C722="Transform input"),P722=-1),1,0)</x:f>
        <x:v>0</x:v>
      </x:c>
    </x:row>
    <x:row r="723" ht="115" customHeight="1">
      <x:c r="A723" s="4" t="str">
        <x:v>design.lore.iron_winding.in.2</x:v>
      </x:c>
      <x:c r="B723" s="4" t="str">
        <x:v>design.lore.iron_winding</x:v>
      </x:c>
      <x:c r="C723" s="4" t="str">
        <x:v>Ingredient candidate</x:v>
      </x:c>
      <x:c r="D723" s="4" t="str">
        <x:v>proposal.lore.iron_core_plates</x:v>
      </x:c>
      <x:c r="E723" s="4" t="str">
        <x:f>IFERROR(INDEX('Items'!$B$6:$B$1005,MATCH(D723,'Items'!$A$6:$A$1005,0)),"MISSING ID")</x:f>
        <x:v>Shaped iron core plates</x:v>
      </x:c>
      <x:c r="F723" s="4" t="str">
        <x:f>IFERROR(INDEX('Items'!$C$6:$C$1005,MATCH(D723,'Items'!$A$6:$A$1005,0)),"MISSING ID")</x:f>
        <x:v>T2</x:v>
      </x:c>
      <x:c r="G723" s="4" t="str">
        <x:f>IFERROR(INDEX('Items'!$D$6:$D$1005,MATCH(D723,'Items'!$A$6:$A$1005,0)),"MISSING ID")</x:f>
        <x:v>Crafting components</x:v>
      </x:c>
      <x:c r="H723" s="4" t="str">
        <x:f>IFERROR(INDEX('Items'!$X$6:$X$1005,MATCH(D723,'Items'!$A$6:$A$1005,0)),"MISSING ID")</x:f>
        <x:v>Crafting component</x:v>
      </x:c>
      <x:c r="I723" s="4"/>
      <x:c r="J723" s="4" t="str">
        <x:v>Unspecified</x:v>
      </x:c>
      <x:c r="K723" s="4" t="str">
        <x:f>IFERROR(INDEX('Crafting recipes'!$D$6:$D$1005,MATCH(B723,'Crafting recipes'!$A$6:$A$1005,0)),"MISSING ID")</x:f>
        <x:v>Proposal</x:v>
      </x:c>
      <x:c r="L723" s="4" t="str">
        <x:f>IFERROR(INDEX('Items'!$AD$6:$AD$1005,MATCH(D723,'Items'!$A$6:$A$1005,0)),"MISSING ID")</x:f>
        <x:v>Proposal</x:v>
      </x:c>
      <x:c r="M723" s="4" t="str">
        <x:f>IFERROR(INDEX('Crafting recipes'!$E$6:$E$1005,MATCH(B723,'Crafting recipes'!$A$6:$A$1005,0)),"MISSING ID")</x:f>
        <x:v>Partial proposal</x:v>
      </x:c>
      <x:c r="N723" s="4" t="str">
        <x:v>Candidate process/hardware relationship; quantity and service compatibility remain open.</x:v>
      </x:c>
      <x:c r="O723" s="4" t="str">
        <x:v>Lore-coherence game proposal; selected WLD source proposals at f6f98515c005dc3c73cccd9cbc031691745740c6.</x:v>
      </x:c>
      <x:c r="P723" s="4" t="n">
        <x:f>IF(OR(C723="Ingredient candidate",C723="Consumed input",C723="Contained input",C723="Transform input"),IF(F723="T0",0,IF(F723="T1",1,IF(F723="T2",2,IF(F723="T3",3,IF(F723="T4",4,-1))))),-1)</x:f>
        <x:v>2</x:v>
      </x:c>
      <x:c r="Q723" s="4" t="n">
        <x:f>IF(AND(OR(C723="Ingredient candidate",C723="Consumed input",C723="Contained input",C723="Transform input"),P723=-1),1,0)</x:f>
        <x:v>0</x:v>
      </x:c>
    </x:row>
    <x:row r="724" ht="115" customHeight="1">
      <x:c r="A724" s="4" t="str">
        <x:v>design.lore.iron_winding.in.3</x:v>
      </x:c>
      <x:c r="B724" s="4" t="str">
        <x:v>design.lore.iron_winding</x:v>
      </x:c>
      <x:c r="C724" s="4" t="str">
        <x:v>Ingredient candidate</x:v>
      </x:c>
      <x:c r="D724" s="4" t="str">
        <x:v>proposal.natural.ceramic</x:v>
      </x:c>
      <x:c r="E724" s="4" t="str">
        <x:f>IFERROR(INDEX('Items'!$B$6:$B$1005,MATCH(D724,'Items'!$A$6:$A$1005,0)),"MISSING ID")</x:f>
        <x:v>Insulating ceramic blanks</x:v>
      </x:c>
      <x:c r="F724" s="4" t="str">
        <x:f>IFERROR(INDEX('Items'!$C$6:$C$1005,MATCH(D724,'Items'!$A$6:$A$1005,0)),"MISSING ID")</x:f>
        <x:v>T2</x:v>
      </x:c>
      <x:c r="G724" s="4" t="str">
        <x:f>IFERROR(INDEX('Items'!$D$6:$D$1005,MATCH(D724,'Items'!$A$6:$A$1005,0)),"MISSING ID")</x:f>
        <x:v>Manufactured stock</x:v>
      </x:c>
      <x:c r="H724" s="4" t="str">
        <x:f>IFERROR(INDEX('Items'!$X$6:$X$1005,MATCH(D724,'Items'!$A$6:$A$1005,0)),"MISSING ID")</x:f>
        <x:v>Processed material</x:v>
      </x:c>
      <x:c r="I724" s="4"/>
      <x:c r="J724" s="4" t="str">
        <x:v>Unspecified</x:v>
      </x:c>
      <x:c r="K724" s="4" t="str">
        <x:f>IFERROR(INDEX('Crafting recipes'!$D$6:$D$1005,MATCH(B724,'Crafting recipes'!$A$6:$A$1005,0)),"MISSING ID")</x:f>
        <x:v>Proposal</x:v>
      </x:c>
      <x:c r="L724" s="4" t="str">
        <x:f>IFERROR(INDEX('Items'!$AD$6:$AD$1005,MATCH(D724,'Items'!$A$6:$A$1005,0)),"MISSING ID")</x:f>
        <x:v>Proposal</x:v>
      </x:c>
      <x:c r="M724" s="4" t="str">
        <x:f>IFERROR(INDEX('Crafting recipes'!$E$6:$E$1005,MATCH(B724,'Crafting recipes'!$A$6:$A$1005,0)),"MISSING ID")</x:f>
        <x:v>Partial proposal</x:v>
      </x:c>
      <x:c r="N724" s="4" t="str">
        <x:v>Candidate process/hardware relationship; quantity and service compatibility remain open.</x:v>
      </x:c>
      <x:c r="O724" s="4" t="str">
        <x:v>Lore-coherence game proposal; selected WLD source proposals at f6f98515c005dc3c73cccd9cbc031691745740c6.</x:v>
      </x:c>
      <x:c r="P724" s="4" t="n">
        <x:f>IF(OR(C724="Ingredient candidate",C724="Consumed input",C724="Contained input",C724="Transform input"),IF(F724="T0",0,IF(F724="T1",1,IF(F724="T2",2,IF(F724="T3",3,IF(F724="T4",4,-1))))),-1)</x:f>
        <x:v>2</x:v>
      </x:c>
      <x:c r="Q724" s="4" t="n">
        <x:f>IF(AND(OR(C724="Ingredient candidate",C724="Consumed input",C724="Contained input",C724="Transform input"),P724=-1),1,0)</x:f>
        <x:v>0</x:v>
      </x:c>
    </x:row>
    <x:row r="725" ht="115" customHeight="1">
      <x:c r="A725" s="4" t="str">
        <x:v>design.lore.iron_winding.out</x:v>
      </x:c>
      <x:c r="B725" s="4" t="str">
        <x:v>design.lore.iron_winding</x:v>
      </x:c>
      <x:c r="C725" s="4" t="str">
        <x:v>Output</x:v>
      </x:c>
      <x:c r="D725" s="4" t="str">
        <x:v>proposal.lore.iron_winding</x:v>
      </x:c>
      <x:c r="E725" s="4" t="str">
        <x:f>IFERROR(INDEX('Items'!$B$6:$B$1005,MATCH(D725,'Items'!$A$6:$A$1005,0)),"MISSING ID")</x:f>
        <x:v>Iron-wound core blank</x:v>
      </x:c>
      <x:c r="F725" s="4" t="str">
        <x:f>IFERROR(INDEX('Items'!$C$6:$C$1005,MATCH(D725,'Items'!$A$6:$A$1005,0)),"MISSING ID")</x:f>
        <x:v>T3</x:v>
      </x:c>
      <x:c r="G725" s="4" t="str">
        <x:f>IFERROR(INDEX('Items'!$D$6:$D$1005,MATCH(D725,'Items'!$A$6:$A$1005,0)),"MISSING ID")</x:f>
        <x:v>Crafting components</x:v>
      </x:c>
      <x:c r="H725" s="4" t="str">
        <x:f>IFERROR(INDEX('Items'!$X$6:$X$1005,MATCH(D725,'Items'!$A$6:$A$1005,0)),"MISSING ID")</x:f>
        <x:v>Crafting component</x:v>
      </x:c>
      <x:c r="I725" s="4"/>
      <x:c r="J725" s="4" t="str">
        <x:v>Unspecified</x:v>
      </x:c>
      <x:c r="K725" s="4" t="str">
        <x:f>IFERROR(INDEX('Crafting recipes'!$D$6:$D$1005,MATCH(B725,'Crafting recipes'!$A$6:$A$1005,0)),"MISSING ID")</x:f>
        <x:v>Proposal</x:v>
      </x:c>
      <x:c r="L725" s="4" t="str">
        <x:f>IFERROR(INDEX('Items'!$AD$6:$AD$1005,MATCH(D725,'Items'!$A$6:$A$1005,0)),"MISSING ID")</x:f>
        <x:v>Proposal</x:v>
      </x:c>
      <x:c r="M725" s="4" t="str">
        <x:f>IFERROR(INDEX('Crafting recipes'!$E$6:$E$1005,MATCH(B725,'Crafting recipes'!$A$6:$A$1005,0)),"MISSING ID")</x:f>
        <x:v>Partial proposal</x:v>
      </x:c>
      <x:c r="N725" s="4" t="str">
        <x:v>Candidate process/hardware relationship; quantity and service compatibility remain open.</x:v>
      </x:c>
      <x:c r="O725" s="4" t="str">
        <x:v>Lore-coherence game proposal; selected WLD source proposals at f6f98515c005dc3c73cccd9cbc031691745740c6.</x:v>
      </x:c>
      <x:c r="P725" s="4" t="n">
        <x:f>IF(OR(C725="Ingredient candidate",C725="Consumed input",C725="Contained input",C725="Transform input"),IF(F725="T0",0,IF(F725="T1",1,IF(F725="T2",2,IF(F725="T3",3,IF(F725="T4",4,-1))))),-1)</x:f>
        <x:v>-1</x:v>
      </x:c>
      <x:c r="Q725" s="4" t="n">
        <x:f>IF(AND(OR(C725="Ingredient candidate",C725="Consumed input",C725="Contained input",C725="Transform input"),P725=-1),1,0)</x:f>
        <x:v>0</x:v>
      </x:c>
    </x:row>
    <x:row r="726" ht="115" customHeight="1">
      <x:c r="A726" s="4" t="str">
        <x:v>design.lore.rivet_stock.in.1</x:v>
      </x:c>
      <x:c r="B726" s="4" t="str">
        <x:v>design.lore.rivet_stock</x:v>
      </x:c>
      <x:c r="C726" s="4" t="str">
        <x:v>Ingredient candidate</x:v>
      </x:c>
      <x:c r="D726" s="4" t="str">
        <x:v>proposal.t1.iron_bloom</x:v>
      </x:c>
      <x:c r="E726" s="4" t="str">
        <x:f>IFERROR(INDEX('Items'!$B$6:$B$1005,MATCH(D726,'Items'!$A$6:$A$1005,0)),"MISSING ID")</x:f>
        <x:v>Smelted iron bloom</x:v>
      </x:c>
      <x:c r="F726" s="4" t="str">
        <x:f>IFERROR(INDEX('Items'!$C$6:$C$1005,MATCH(D726,'Items'!$A$6:$A$1005,0)),"MISSING ID")</x:f>
        <x:v>T1</x:v>
      </x:c>
      <x:c r="G726" s="4" t="str">
        <x:f>IFERROR(INDEX('Items'!$D$6:$D$1005,MATCH(D726,'Items'!$A$6:$A$1005,0)),"MISSING ID")</x:f>
        <x:v>Manufactured stock</x:v>
      </x:c>
      <x:c r="H726" s="4" t="str">
        <x:f>IFERROR(INDEX('Items'!$X$6:$X$1005,MATCH(D726,'Items'!$A$6:$A$1005,0)),"MISSING ID")</x:f>
        <x:v>Processed material</x:v>
      </x:c>
      <x:c r="I726" s="4"/>
      <x:c r="J726" s="4" t="str">
        <x:v>Unspecified</x:v>
      </x:c>
      <x:c r="K726" s="4" t="str">
        <x:f>IFERROR(INDEX('Crafting recipes'!$D$6:$D$1005,MATCH(B726,'Crafting recipes'!$A$6:$A$1005,0)),"MISSING ID")</x:f>
        <x:v>Proposal</x:v>
      </x:c>
      <x:c r="L726" s="4" t="str">
        <x:f>IFERROR(INDEX('Items'!$AD$6:$AD$1005,MATCH(D726,'Items'!$A$6:$A$1005,0)),"MISSING ID")</x:f>
        <x:v>Proposal</x:v>
      </x:c>
      <x:c r="M726" s="4" t="str">
        <x:f>IFERROR(INDEX('Crafting recipes'!$E$6:$E$1005,MATCH(B726,'Crafting recipes'!$A$6:$A$1005,0)),"MISSING ID")</x:f>
        <x:v>Partial proposal</x:v>
      </x:c>
      <x:c r="N726" s="4" t="str">
        <x:v>Candidate process/hardware relationship; quantity and service compatibility remain open.</x:v>
      </x:c>
      <x:c r="O726" s="4" t="str">
        <x:v>Lore-coherence game proposal; selected WLD source proposals at f6f98515c005dc3c73cccd9cbc031691745740c6.</x:v>
      </x:c>
      <x:c r="P726" s="4" t="n">
        <x:f>IF(OR(C726="Ingredient candidate",C726="Consumed input",C726="Contained input",C726="Transform input"),IF(F726="T0",0,IF(F726="T1",1,IF(F726="T2",2,IF(F726="T3",3,IF(F726="T4",4,-1))))),-1)</x:f>
        <x:v>1</x:v>
      </x:c>
      <x:c r="Q726" s="4" t="n">
        <x:f>IF(AND(OR(C726="Ingredient candidate",C726="Consumed input",C726="Contained input",C726="Transform input"),P726=-1),1,0)</x:f>
        <x:v>0</x:v>
      </x:c>
    </x:row>
    <x:row r="727" ht="115" customHeight="1">
      <x:c r="A727" s="4" t="str">
        <x:v>design.lore.rivet_stock.out</x:v>
      </x:c>
      <x:c r="B727" s="4" t="str">
        <x:v>design.lore.rivet_stock</x:v>
      </x:c>
      <x:c r="C727" s="4" t="str">
        <x:v>Output</x:v>
      </x:c>
      <x:c r="D727" s="4" t="str">
        <x:v>proposal.lore.rivet_stock</x:v>
      </x:c>
      <x:c r="E727" s="4" t="str">
        <x:f>IFERROR(INDEX('Items'!$B$6:$B$1005,MATCH(D727,'Items'!$A$6:$A$1005,0)),"MISSING ID")</x:f>
        <x:v>Rough iron rivet stock</x:v>
      </x:c>
      <x:c r="F727" s="4" t="str">
        <x:f>IFERROR(INDEX('Items'!$C$6:$C$1005,MATCH(D727,'Items'!$A$6:$A$1005,0)),"MISSING ID")</x:f>
        <x:v>T2</x:v>
      </x:c>
      <x:c r="G727" s="4" t="str">
        <x:f>IFERROR(INDEX('Items'!$D$6:$D$1005,MATCH(D727,'Items'!$A$6:$A$1005,0)),"MISSING ID")</x:f>
        <x:v>Manufactured stock</x:v>
      </x:c>
      <x:c r="H727" s="4" t="str">
        <x:f>IFERROR(INDEX('Items'!$X$6:$X$1005,MATCH(D727,'Items'!$A$6:$A$1005,0)),"MISSING ID")</x:f>
        <x:v>Processed material</x:v>
      </x:c>
      <x:c r="I727" s="4"/>
      <x:c r="J727" s="4" t="str">
        <x:v>Unspecified</x:v>
      </x:c>
      <x:c r="K727" s="4" t="str">
        <x:f>IFERROR(INDEX('Crafting recipes'!$D$6:$D$1005,MATCH(B727,'Crafting recipes'!$A$6:$A$1005,0)),"MISSING ID")</x:f>
        <x:v>Proposal</x:v>
      </x:c>
      <x:c r="L727" s="4" t="str">
        <x:f>IFERROR(INDEX('Items'!$AD$6:$AD$1005,MATCH(D727,'Items'!$A$6:$A$1005,0)),"MISSING ID")</x:f>
        <x:v>Proposal</x:v>
      </x:c>
      <x:c r="M727" s="4" t="str">
        <x:f>IFERROR(INDEX('Crafting recipes'!$E$6:$E$1005,MATCH(B727,'Crafting recipes'!$A$6:$A$1005,0)),"MISSING ID")</x:f>
        <x:v>Partial proposal</x:v>
      </x:c>
      <x:c r="N727" s="4" t="str">
        <x:v>Candidate process/hardware relationship; quantity and service compatibility remain open.</x:v>
      </x:c>
      <x:c r="O727" s="4" t="str">
        <x:v>Lore-coherence game proposal; selected WLD source proposals at f6f98515c005dc3c73cccd9cbc031691745740c6.</x:v>
      </x:c>
      <x:c r="P727" s="4" t="n">
        <x:f>IF(OR(C727="Ingredient candidate",C727="Consumed input",C727="Contained input",C727="Transform input"),IF(F727="T0",0,IF(F727="T1",1,IF(F727="T2",2,IF(F727="T3",3,IF(F727="T4",4,-1))))),-1)</x:f>
        <x:v>-1</x:v>
      </x:c>
      <x:c r="Q727" s="4" t="n">
        <x:f>IF(AND(OR(C727="Ingredient candidate",C727="Consumed input",C727="Contained input",C727="Transform input"),P727=-1),1,0)</x:f>
        <x:v>0</x:v>
      </x:c>
    </x:row>
    <x:row r="728" ht="115" customHeight="1">
      <x:c r="A728" s="4" t="str">
        <x:v>design.lore.fastener_set.in.1</x:v>
      </x:c>
      <x:c r="B728" s="4" t="str">
        <x:v>design.lore.fastener_set</x:v>
      </x:c>
      <x:c r="C728" s="4" t="str">
        <x:v>Ingredient candidate</x:v>
      </x:c>
      <x:c r="D728" s="4" t="str">
        <x:v>author.metallurgy.steel_stock</x:v>
      </x:c>
      <x:c r="E728" s="4" t="str">
        <x:f>IFERROR(INDEX('Items'!$B$6:$B$1005,MATCH(D728,'Items'!$A$6:$A$1005,0)),"MISSING ID")</x:f>
        <x:v>Steel stock</x:v>
      </x:c>
      <x:c r="F728" s="4" t="str">
        <x:f>IFERROR(INDEX('Items'!$C$6:$C$1005,MATCH(D728,'Items'!$A$6:$A$1005,0)),"MISSING ID")</x:f>
        <x:v>T2</x:v>
      </x:c>
      <x:c r="G728" s="4" t="str">
        <x:f>IFERROR(INDEX('Items'!$D$6:$D$1005,MATCH(D728,'Items'!$A$6:$A$1005,0)),"MISSING ID")</x:f>
        <x:v>Manufactured stock</x:v>
      </x:c>
      <x:c r="H728" s="4" t="str">
        <x:f>IFERROR(INDEX('Items'!$X$6:$X$1005,MATCH(D728,'Items'!$A$6:$A$1005,0)),"MISSING ID")</x:f>
        <x:v>Processed material</x:v>
      </x:c>
      <x:c r="I728" s="4"/>
      <x:c r="J728" s="4" t="str">
        <x:v>Unspecified</x:v>
      </x:c>
      <x:c r="K728" s="4" t="str">
        <x:f>IFERROR(INDEX('Crafting recipes'!$D$6:$D$1005,MATCH(B728,'Crafting recipes'!$A$6:$A$1005,0)),"MISSING ID")</x:f>
        <x:v>Proposal</x:v>
      </x:c>
      <x:c r="L728" s="4" t="str">
        <x:f>IFERROR(INDEX('Items'!$AD$6:$AD$1005,MATCH(D728,'Items'!$A$6:$A$1005,0)),"MISSING ID")</x:f>
        <x:v>Author direction</x:v>
      </x:c>
      <x:c r="M728" s="4" t="str">
        <x:f>IFERROR(INDEX('Crafting recipes'!$E$6:$E$1005,MATCH(B728,'Crafting recipes'!$A$6:$A$1005,0)),"MISSING ID")</x:f>
        <x:v>Partial proposal</x:v>
      </x:c>
      <x:c r="N728" s="4" t="str">
        <x:v>Candidate process/hardware relationship; quantity and service compatibility remain open.</x:v>
      </x:c>
      <x:c r="O728" s="4" t="str">
        <x:v>Lore-coherence game proposal; selected WLD source proposals at f6f98515c005dc3c73cccd9cbc031691745740c6.</x:v>
      </x:c>
      <x:c r="P728" s="4" t="n">
        <x:f>IF(OR(C728="Ingredient candidate",C728="Consumed input",C728="Contained input",C728="Transform input"),IF(F728="T0",0,IF(F728="T1",1,IF(F728="T2",2,IF(F728="T3",3,IF(F728="T4",4,-1))))),-1)</x:f>
        <x:v>2</x:v>
      </x:c>
      <x:c r="Q728" s="4" t="n">
        <x:f>IF(AND(OR(C728="Ingredient candidate",C728="Consumed input",C728="Contained input",C728="Transform input"),P728=-1),1,0)</x:f>
        <x:v>0</x:v>
      </x:c>
    </x:row>
    <x:row r="729" ht="115" customHeight="1">
      <x:c r="A729" s="4" t="str">
        <x:v>design.lore.fastener_set.in.2</x:v>
      </x:c>
      <x:c r="B729" s="4" t="str">
        <x:v>design.lore.fastener_set</x:v>
      </x:c>
      <x:c r="C729" s="4" t="str">
        <x:v>Ingredient candidate</x:v>
      </x:c>
      <x:c r="D729" s="4" t="str">
        <x:v>proposal.lore.rivet_stock</x:v>
      </x:c>
      <x:c r="E729" s="4" t="str">
        <x:f>IFERROR(INDEX('Items'!$B$6:$B$1005,MATCH(D729,'Items'!$A$6:$A$1005,0)),"MISSING ID")</x:f>
        <x:v>Rough iron rivet stock</x:v>
      </x:c>
      <x:c r="F729" s="4" t="str">
        <x:f>IFERROR(INDEX('Items'!$C$6:$C$1005,MATCH(D729,'Items'!$A$6:$A$1005,0)),"MISSING ID")</x:f>
        <x:v>T2</x:v>
      </x:c>
      <x:c r="G729" s="4" t="str">
        <x:f>IFERROR(INDEX('Items'!$D$6:$D$1005,MATCH(D729,'Items'!$A$6:$A$1005,0)),"MISSING ID")</x:f>
        <x:v>Manufactured stock</x:v>
      </x:c>
      <x:c r="H729" s="4" t="str">
        <x:f>IFERROR(INDEX('Items'!$X$6:$X$1005,MATCH(D729,'Items'!$A$6:$A$1005,0)),"MISSING ID")</x:f>
        <x:v>Processed material</x:v>
      </x:c>
      <x:c r="I729" s="4"/>
      <x:c r="J729" s="4" t="str">
        <x:v>Unspecified</x:v>
      </x:c>
      <x:c r="K729" s="4" t="str">
        <x:f>IFERROR(INDEX('Crafting recipes'!$D$6:$D$1005,MATCH(B729,'Crafting recipes'!$A$6:$A$1005,0)),"MISSING ID")</x:f>
        <x:v>Proposal</x:v>
      </x:c>
      <x:c r="L729" s="4" t="str">
        <x:f>IFERROR(INDEX('Items'!$AD$6:$AD$1005,MATCH(D729,'Items'!$A$6:$A$1005,0)),"MISSING ID")</x:f>
        <x:v>Proposal</x:v>
      </x:c>
      <x:c r="M729" s="4" t="str">
        <x:f>IFERROR(INDEX('Crafting recipes'!$E$6:$E$1005,MATCH(B729,'Crafting recipes'!$A$6:$A$1005,0)),"MISSING ID")</x:f>
        <x:v>Partial proposal</x:v>
      </x:c>
      <x:c r="N729" s="4" t="str">
        <x:v>Candidate process/hardware relationship; quantity and service compatibility remain open.</x:v>
      </x:c>
      <x:c r="O729" s="4" t="str">
        <x:v>Lore-coherence game proposal; selected WLD source proposals at f6f98515c005dc3c73cccd9cbc031691745740c6.</x:v>
      </x:c>
      <x:c r="P729" s="4" t="n">
        <x:f>IF(OR(C729="Ingredient candidate",C729="Consumed input",C729="Contained input",C729="Transform input"),IF(F729="T0",0,IF(F729="T1",1,IF(F729="T2",2,IF(F729="T3",3,IF(F729="T4",4,-1))))),-1)</x:f>
        <x:v>2</x:v>
      </x:c>
      <x:c r="Q729" s="4" t="n">
        <x:f>IF(AND(OR(C729="Ingredient candidate",C729="Consumed input",C729="Contained input",C729="Transform input"),P729=-1),1,0)</x:f>
        <x:v>0</x:v>
      </x:c>
    </x:row>
    <x:row r="730" ht="115" customHeight="1">
      <x:c r="A730" s="4" t="str">
        <x:v>design.lore.fastener_set.in.3</x:v>
      </x:c>
      <x:c r="B730" s="4" t="str">
        <x:v>design.lore.fastener_set</x:v>
      </x:c>
      <x:c r="C730" s="4" t="str">
        <x:v>Ingredient candidate</x:v>
      </x:c>
      <x:c r="D730" s="4" t="str">
        <x:v>proposal.natural.abrasive</x:v>
      </x:c>
      <x:c r="E730" s="4" t="str">
        <x:f>IFERROR(INDEX('Items'!$B$6:$B$1005,MATCH(D730,'Items'!$A$6:$A$1005,0)),"MISSING ID")</x:f>
        <x:v>Graded abrasive grit</x:v>
      </x:c>
      <x:c r="F730" s="4" t="str">
        <x:f>IFERROR(INDEX('Items'!$C$6:$C$1005,MATCH(D730,'Items'!$A$6:$A$1005,0)),"MISSING ID")</x:f>
        <x:v>T1</x:v>
      </x:c>
      <x:c r="G730" s="4" t="str">
        <x:f>IFERROR(INDEX('Items'!$D$6:$D$1005,MATCH(D730,'Items'!$A$6:$A$1005,0)),"MISSING ID")</x:f>
        <x:v>Manufactured stock</x:v>
      </x:c>
      <x:c r="H730" s="4" t="str">
        <x:f>IFERROR(INDEX('Items'!$X$6:$X$1005,MATCH(D730,'Items'!$A$6:$A$1005,0)),"MISSING ID")</x:f>
        <x:v>Processed material</x:v>
      </x:c>
      <x:c r="I730" s="4"/>
      <x:c r="J730" s="4" t="str">
        <x:v>Unspecified</x:v>
      </x:c>
      <x:c r="K730" s="4" t="str">
        <x:f>IFERROR(INDEX('Crafting recipes'!$D$6:$D$1005,MATCH(B730,'Crafting recipes'!$A$6:$A$1005,0)),"MISSING ID")</x:f>
        <x:v>Proposal</x:v>
      </x:c>
      <x:c r="L730" s="4" t="str">
        <x:f>IFERROR(INDEX('Items'!$AD$6:$AD$1005,MATCH(D730,'Items'!$A$6:$A$1005,0)),"MISSING ID")</x:f>
        <x:v>Proposal</x:v>
      </x:c>
      <x:c r="M730" s="4" t="str">
        <x:f>IFERROR(INDEX('Crafting recipes'!$E$6:$E$1005,MATCH(B730,'Crafting recipes'!$A$6:$A$1005,0)),"MISSING ID")</x:f>
        <x:v>Partial proposal</x:v>
      </x:c>
      <x:c r="N730" s="4" t="str">
        <x:v>Candidate process/hardware relationship; quantity and service compatibility remain open.</x:v>
      </x:c>
      <x:c r="O730" s="4" t="str">
        <x:v>Lore-coherence game proposal; selected WLD source proposals at f6f98515c005dc3c73cccd9cbc031691745740c6.</x:v>
      </x:c>
      <x:c r="P730" s="4" t="n">
        <x:f>IF(OR(C730="Ingredient candidate",C730="Consumed input",C730="Contained input",C730="Transform input"),IF(F730="T0",0,IF(F730="T1",1,IF(F730="T2",2,IF(F730="T3",3,IF(F730="T4",4,-1))))),-1)</x:f>
        <x:v>1</x:v>
      </x:c>
      <x:c r="Q730" s="4" t="n">
        <x:f>IF(AND(OR(C730="Ingredient candidate",C730="Consumed input",C730="Contained input",C730="Transform input"),P730=-1),1,0)</x:f>
        <x:v>0</x:v>
      </x:c>
    </x:row>
    <x:row r="731" ht="115" customHeight="1">
      <x:c r="A731" s="4" t="str">
        <x:v>design.lore.fastener_set.out</x:v>
      </x:c>
      <x:c r="B731" s="4" t="str">
        <x:v>design.lore.fastener_set</x:v>
      </x:c>
      <x:c r="C731" s="4" t="str">
        <x:v>Output</x:v>
      </x:c>
      <x:c r="D731" s="4" t="str">
        <x:v>proposal.lore.fastener_set</x:v>
      </x:c>
      <x:c r="E731" s="4" t="str">
        <x:f>IFERROR(INDEX('Items'!$B$6:$B$1005,MATCH(D731,'Items'!$A$6:$A$1005,0)),"MISSING ID")</x:f>
        <x:v>Matched metal fastener set</x:v>
      </x:c>
      <x:c r="F731" s="4" t="str">
        <x:f>IFERROR(INDEX('Items'!$C$6:$C$1005,MATCH(D731,'Items'!$A$6:$A$1005,0)),"MISSING ID")</x:f>
        <x:v>T3</x:v>
      </x:c>
      <x:c r="G731" s="4" t="str">
        <x:f>IFERROR(INDEX('Items'!$D$6:$D$1005,MATCH(D731,'Items'!$A$6:$A$1005,0)),"MISSING ID")</x:f>
        <x:v>Crafting components</x:v>
      </x:c>
      <x:c r="H731" s="4" t="str">
        <x:f>IFERROR(INDEX('Items'!$X$6:$X$1005,MATCH(D731,'Items'!$A$6:$A$1005,0)),"MISSING ID")</x:f>
        <x:v>Crafting component</x:v>
      </x:c>
      <x:c r="I731" s="4"/>
      <x:c r="J731" s="4" t="str">
        <x:v>Unspecified</x:v>
      </x:c>
      <x:c r="K731" s="4" t="str">
        <x:f>IFERROR(INDEX('Crafting recipes'!$D$6:$D$1005,MATCH(B731,'Crafting recipes'!$A$6:$A$1005,0)),"MISSING ID")</x:f>
        <x:v>Proposal</x:v>
      </x:c>
      <x:c r="L731" s="4" t="str">
        <x:f>IFERROR(INDEX('Items'!$AD$6:$AD$1005,MATCH(D731,'Items'!$A$6:$A$1005,0)),"MISSING ID")</x:f>
        <x:v>Proposal</x:v>
      </x:c>
      <x:c r="M731" s="4" t="str">
        <x:f>IFERROR(INDEX('Crafting recipes'!$E$6:$E$1005,MATCH(B731,'Crafting recipes'!$A$6:$A$1005,0)),"MISSING ID")</x:f>
        <x:v>Partial proposal</x:v>
      </x:c>
      <x:c r="N731" s="4" t="str">
        <x:v>Candidate process/hardware relationship; quantity and service compatibility remain open.</x:v>
      </x:c>
      <x:c r="O731" s="4" t="str">
        <x:v>Lore-coherence game proposal; selected WLD source proposals at f6f98515c005dc3c73cccd9cbc031691745740c6.</x:v>
      </x:c>
      <x:c r="P731" s="4" t="n">
        <x:f>IF(OR(C731="Ingredient candidate",C731="Consumed input",C731="Contained input",C731="Transform input"),IF(F731="T0",0,IF(F731="T1",1,IF(F731="T2",2,IF(F731="T3",3,IF(F731="T4",4,-1))))),-1)</x:f>
        <x:v>-1</x:v>
      </x:c>
      <x:c r="Q731" s="4" t="n">
        <x:f>IF(AND(OR(C731="Ingredient candidate",C731="Consumed input",C731="Contained input",C731="Transform input"),P731=-1),1,0)</x:f>
        <x:v>0</x:v>
      </x:c>
    </x:row>
    <x:row r="732" ht="115" customHeight="1">
      <x:c r="A732" s="4" t="str">
        <x:v>design.lore.threaded_fittings.in.1</x:v>
      </x:c>
      <x:c r="B732" s="4" t="str">
        <x:v>design.lore.threaded_fittings</x:v>
      </x:c>
      <x:c r="C732" s="4" t="str">
        <x:v>Ingredient candidate</x:v>
      </x:c>
      <x:c r="D732" s="4" t="str">
        <x:v>proposal.branch.bearing_bronze</x:v>
      </x:c>
      <x:c r="E732" s="4" t="str">
        <x:f>IFERROR(INDEX('Items'!$B$6:$B$1005,MATCH(D732,'Items'!$A$6:$A$1005,0)),"MISSING ID")</x:f>
        <x:v>Prepared bronze bearing stock</x:v>
      </x:c>
      <x:c r="F732" s="4" t="str">
        <x:f>IFERROR(INDEX('Items'!$C$6:$C$1005,MATCH(D732,'Items'!$A$6:$A$1005,0)),"MISSING ID")</x:f>
        <x:v>T2</x:v>
      </x:c>
      <x:c r="G732" s="4" t="str">
        <x:f>IFERROR(INDEX('Items'!$D$6:$D$1005,MATCH(D732,'Items'!$A$6:$A$1005,0)),"MISSING ID")</x:f>
        <x:v>Manufactured stock</x:v>
      </x:c>
      <x:c r="H732" s="4" t="str">
        <x:f>IFERROR(INDEX('Items'!$X$6:$X$1005,MATCH(D732,'Items'!$A$6:$A$1005,0)),"MISSING ID")</x:f>
        <x:v>Processed material</x:v>
      </x:c>
      <x:c r="I732" s="4"/>
      <x:c r="J732" s="4" t="str">
        <x:v>Unspecified</x:v>
      </x:c>
      <x:c r="K732" s="4" t="str">
        <x:f>IFERROR(INDEX('Crafting recipes'!$D$6:$D$1005,MATCH(B732,'Crafting recipes'!$A$6:$A$1005,0)),"MISSING ID")</x:f>
        <x:v>Proposal</x:v>
      </x:c>
      <x:c r="L732" s="4" t="str">
        <x:f>IFERROR(INDEX('Items'!$AD$6:$AD$1005,MATCH(D732,'Items'!$A$6:$A$1005,0)),"MISSING ID")</x:f>
        <x:v>Proposal</x:v>
      </x:c>
      <x:c r="M732" s="4" t="str">
        <x:f>IFERROR(INDEX('Crafting recipes'!$E$6:$E$1005,MATCH(B732,'Crafting recipes'!$A$6:$A$1005,0)),"MISSING ID")</x:f>
        <x:v>Partial proposal</x:v>
      </x:c>
      <x:c r="N732" s="4" t="str">
        <x:v>Candidate process/hardware relationship; quantity and service compatibility remain open.</x:v>
      </x:c>
      <x:c r="O732" s="4" t="str">
        <x:v>Lore-coherence game proposal; selected WLD source proposals at f6f98515c005dc3c73cccd9cbc031691745740c6.</x:v>
      </x:c>
      <x:c r="P732" s="4" t="n">
        <x:f>IF(OR(C732="Ingredient candidate",C732="Consumed input",C732="Contained input",C732="Transform input"),IF(F732="T0",0,IF(F732="T1",1,IF(F732="T2",2,IF(F732="T3",3,IF(F732="T4",4,-1))))),-1)</x:f>
        <x:v>2</x:v>
      </x:c>
      <x:c r="Q732" s="4" t="n">
        <x:f>IF(AND(OR(C732="Ingredient candidate",C732="Consumed input",C732="Contained input",C732="Transform input"),P732=-1),1,0)</x:f>
        <x:v>0</x:v>
      </x:c>
    </x:row>
    <x:row r="733" ht="115" customHeight="1">
      <x:c r="A733" s="4" t="str">
        <x:v>design.lore.threaded_fittings.in.2</x:v>
      </x:c>
      <x:c r="B733" s="4" t="str">
        <x:v>design.lore.threaded_fittings</x:v>
      </x:c>
      <x:c r="C733" s="4" t="str">
        <x:v>Ingredient candidate</x:v>
      </x:c>
      <x:c r="D733" s="4" t="str">
        <x:v>author.metallurgy.steel_stock</x:v>
      </x:c>
      <x:c r="E733" s="4" t="str">
        <x:f>IFERROR(INDEX('Items'!$B$6:$B$1005,MATCH(D733,'Items'!$A$6:$A$1005,0)),"MISSING ID")</x:f>
        <x:v>Steel stock</x:v>
      </x:c>
      <x:c r="F733" s="4" t="str">
        <x:f>IFERROR(INDEX('Items'!$C$6:$C$1005,MATCH(D733,'Items'!$A$6:$A$1005,0)),"MISSING ID")</x:f>
        <x:v>T2</x:v>
      </x:c>
      <x:c r="G733" s="4" t="str">
        <x:f>IFERROR(INDEX('Items'!$D$6:$D$1005,MATCH(D733,'Items'!$A$6:$A$1005,0)),"MISSING ID")</x:f>
        <x:v>Manufactured stock</x:v>
      </x:c>
      <x:c r="H733" s="4" t="str">
        <x:f>IFERROR(INDEX('Items'!$X$6:$X$1005,MATCH(D733,'Items'!$A$6:$A$1005,0)),"MISSING ID")</x:f>
        <x:v>Processed material</x:v>
      </x:c>
      <x:c r="I733" s="4"/>
      <x:c r="J733" s="4" t="str">
        <x:v>Unspecified</x:v>
      </x:c>
      <x:c r="K733" s="4" t="str">
        <x:f>IFERROR(INDEX('Crafting recipes'!$D$6:$D$1005,MATCH(B733,'Crafting recipes'!$A$6:$A$1005,0)),"MISSING ID")</x:f>
        <x:v>Proposal</x:v>
      </x:c>
      <x:c r="L733" s="4" t="str">
        <x:f>IFERROR(INDEX('Items'!$AD$6:$AD$1005,MATCH(D733,'Items'!$A$6:$A$1005,0)),"MISSING ID")</x:f>
        <x:v>Author direction</x:v>
      </x:c>
      <x:c r="M733" s="4" t="str">
        <x:f>IFERROR(INDEX('Crafting recipes'!$E$6:$E$1005,MATCH(B733,'Crafting recipes'!$A$6:$A$1005,0)),"MISSING ID")</x:f>
        <x:v>Partial proposal</x:v>
      </x:c>
      <x:c r="N733" s="4" t="str">
        <x:v>Candidate process/hardware relationship; quantity and service compatibility remain open.</x:v>
      </x:c>
      <x:c r="O733" s="4" t="str">
        <x:v>Lore-coherence game proposal; selected WLD source proposals at f6f98515c005dc3c73cccd9cbc031691745740c6.</x:v>
      </x:c>
      <x:c r="P733" s="4" t="n">
        <x:f>IF(OR(C733="Ingredient candidate",C733="Consumed input",C733="Contained input",C733="Transform input"),IF(F733="T0",0,IF(F733="T1",1,IF(F733="T2",2,IF(F733="T3",3,IF(F733="T4",4,-1))))),-1)</x:f>
        <x:v>2</x:v>
      </x:c>
      <x:c r="Q733" s="4" t="n">
        <x:f>IF(AND(OR(C733="Ingredient candidate",C733="Consumed input",C733="Contained input",C733="Transform input"),P733=-1),1,0)</x:f>
        <x:v>0</x:v>
      </x:c>
    </x:row>
    <x:row r="734" ht="115" customHeight="1">
      <x:c r="A734" s="4" t="str">
        <x:v>design.lore.threaded_fittings.in.3</x:v>
      </x:c>
      <x:c r="B734" s="4" t="str">
        <x:v>design.lore.threaded_fittings</x:v>
      </x:c>
      <x:c r="C734" s="4" t="str">
        <x:v>Ingredient candidate</x:v>
      </x:c>
      <x:c r="D734" s="4" t="str">
        <x:v>proposal.natural.abrasive</x:v>
      </x:c>
      <x:c r="E734" s="4" t="str">
        <x:f>IFERROR(INDEX('Items'!$B$6:$B$1005,MATCH(D734,'Items'!$A$6:$A$1005,0)),"MISSING ID")</x:f>
        <x:v>Graded abrasive grit</x:v>
      </x:c>
      <x:c r="F734" s="4" t="str">
        <x:f>IFERROR(INDEX('Items'!$C$6:$C$1005,MATCH(D734,'Items'!$A$6:$A$1005,0)),"MISSING ID")</x:f>
        <x:v>T1</x:v>
      </x:c>
      <x:c r="G734" s="4" t="str">
        <x:f>IFERROR(INDEX('Items'!$D$6:$D$1005,MATCH(D734,'Items'!$A$6:$A$1005,0)),"MISSING ID")</x:f>
        <x:v>Manufactured stock</x:v>
      </x:c>
      <x:c r="H734" s="4" t="str">
        <x:f>IFERROR(INDEX('Items'!$X$6:$X$1005,MATCH(D734,'Items'!$A$6:$A$1005,0)),"MISSING ID")</x:f>
        <x:v>Processed material</x:v>
      </x:c>
      <x:c r="I734" s="4"/>
      <x:c r="J734" s="4" t="str">
        <x:v>Unspecified</x:v>
      </x:c>
      <x:c r="K734" s="4" t="str">
        <x:f>IFERROR(INDEX('Crafting recipes'!$D$6:$D$1005,MATCH(B734,'Crafting recipes'!$A$6:$A$1005,0)),"MISSING ID")</x:f>
        <x:v>Proposal</x:v>
      </x:c>
      <x:c r="L734" s="4" t="str">
        <x:f>IFERROR(INDEX('Items'!$AD$6:$AD$1005,MATCH(D734,'Items'!$A$6:$A$1005,0)),"MISSING ID")</x:f>
        <x:v>Proposal</x:v>
      </x:c>
      <x:c r="M734" s="4" t="str">
        <x:f>IFERROR(INDEX('Crafting recipes'!$E$6:$E$1005,MATCH(B734,'Crafting recipes'!$A$6:$A$1005,0)),"MISSING ID")</x:f>
        <x:v>Partial proposal</x:v>
      </x:c>
      <x:c r="N734" s="4" t="str">
        <x:v>Candidate process/hardware relationship; quantity and service compatibility remain open.</x:v>
      </x:c>
      <x:c r="O734" s="4" t="str">
        <x:v>Lore-coherence game proposal; selected WLD source proposals at f6f98515c005dc3c73cccd9cbc031691745740c6.</x:v>
      </x:c>
      <x:c r="P734" s="4" t="n">
        <x:f>IF(OR(C734="Ingredient candidate",C734="Consumed input",C734="Contained input",C734="Transform input"),IF(F734="T0",0,IF(F734="T1",1,IF(F734="T2",2,IF(F734="T3",3,IF(F734="T4",4,-1))))),-1)</x:f>
        <x:v>1</x:v>
      </x:c>
      <x:c r="Q734" s="4" t="n">
        <x:f>IF(AND(OR(C734="Ingredient candidate",C734="Consumed input",C734="Contained input",C734="Transform input"),P734=-1),1,0)</x:f>
        <x:v>0</x:v>
      </x:c>
    </x:row>
    <x:row r="735" ht="115" customHeight="1">
      <x:c r="A735" s="4" t="str">
        <x:v>design.lore.threaded_fittings.out</x:v>
      </x:c>
      <x:c r="B735" s="4" t="str">
        <x:v>design.lore.threaded_fittings</x:v>
      </x:c>
      <x:c r="C735" s="4" t="str">
        <x:v>Output</x:v>
      </x:c>
      <x:c r="D735" s="4" t="str">
        <x:v>proposal.lore.threaded_fittings</x:v>
      </x:c>
      <x:c r="E735" s="4" t="str">
        <x:f>IFERROR(INDEX('Items'!$B$6:$B$1005,MATCH(D735,'Items'!$A$6:$A$1005,0)),"MISSING ID")</x:f>
        <x:v>Threaded metal fitting blanks</x:v>
      </x:c>
      <x:c r="F735" s="4" t="str">
        <x:f>IFERROR(INDEX('Items'!$C$6:$C$1005,MATCH(D735,'Items'!$A$6:$A$1005,0)),"MISSING ID")</x:f>
        <x:v>T3</x:v>
      </x:c>
      <x:c r="G735" s="4" t="str">
        <x:f>IFERROR(INDEX('Items'!$D$6:$D$1005,MATCH(D735,'Items'!$A$6:$A$1005,0)),"MISSING ID")</x:f>
        <x:v>Crafting components</x:v>
      </x:c>
      <x:c r="H735" s="4" t="str">
        <x:f>IFERROR(INDEX('Items'!$X$6:$X$1005,MATCH(D735,'Items'!$A$6:$A$1005,0)),"MISSING ID")</x:f>
        <x:v>Crafting component</x:v>
      </x:c>
      <x:c r="I735" s="4"/>
      <x:c r="J735" s="4" t="str">
        <x:v>Unspecified</x:v>
      </x:c>
      <x:c r="K735" s="4" t="str">
        <x:f>IFERROR(INDEX('Crafting recipes'!$D$6:$D$1005,MATCH(B735,'Crafting recipes'!$A$6:$A$1005,0)),"MISSING ID")</x:f>
        <x:v>Proposal</x:v>
      </x:c>
      <x:c r="L735" s="4" t="str">
        <x:f>IFERROR(INDEX('Items'!$AD$6:$AD$1005,MATCH(D735,'Items'!$A$6:$A$1005,0)),"MISSING ID")</x:f>
        <x:v>Proposal</x:v>
      </x:c>
      <x:c r="M735" s="4" t="str">
        <x:f>IFERROR(INDEX('Crafting recipes'!$E$6:$E$1005,MATCH(B735,'Crafting recipes'!$A$6:$A$1005,0)),"MISSING ID")</x:f>
        <x:v>Partial proposal</x:v>
      </x:c>
      <x:c r="N735" s="4" t="str">
        <x:v>Candidate process/hardware relationship; quantity and service compatibility remain open.</x:v>
      </x:c>
      <x:c r="O735" s="4" t="str">
        <x:v>Lore-coherence game proposal; selected WLD source proposals at f6f98515c005dc3c73cccd9cbc031691745740c6.</x:v>
      </x:c>
      <x:c r="P735" s="4" t="n">
        <x:f>IF(OR(C735="Ingredient candidate",C735="Consumed input",C735="Contained input",C735="Transform input"),IF(F735="T0",0,IF(F735="T1",1,IF(F735="T2",2,IF(F735="T3",3,IF(F735="T4",4,-1))))),-1)</x:f>
        <x:v>-1</x:v>
      </x:c>
      <x:c r="Q735" s="4" t="n">
        <x:f>IF(AND(OR(C735="Ingredient candidate",C735="Consumed input",C735="Contained input",C735="Transform input"),P735=-1),1,0)</x:f>
        <x:v>0</x:v>
      </x:c>
    </x:row>
    <x:row r="736" ht="115" customHeight="1">
      <x:c r="A736" s="4"/>
      <x:c r="B736" s="4"/>
      <x:c r="C736" s="4"/>
      <x:c r="D736" s="4"/>
      <x:c r="E736" s="4"/>
      <x:c r="F736" s="4"/>
      <x:c r="G736" s="4"/>
      <x:c r="H736" s="4"/>
      <x:c r="I736" s="4"/>
      <x:c r="J736" s="4"/>
      <x:c r="K736" s="4"/>
      <x:c r="L736" s="4"/>
      <x:c r="M736" s="4"/>
      <x:c r="N736" s="4"/>
      <x:c r="O736" s="4"/>
      <x:c r="P736" s="4"/>
      <x:c r="Q736" s="4"/>
    </x:row>
    <x:row r="737" ht="115" customHeight="1">
      <x:c r="A737" s="4"/>
      <x:c r="B737" s="4"/>
      <x:c r="C737" s="4"/>
      <x:c r="D737" s="4"/>
      <x:c r="E737" s="4"/>
      <x:c r="F737" s="4"/>
      <x:c r="G737" s="4"/>
      <x:c r="H737" s="4"/>
      <x:c r="I737" s="4"/>
      <x:c r="J737" s="4"/>
      <x:c r="K737" s="4"/>
      <x:c r="L737" s="4"/>
      <x:c r="M737" s="4"/>
      <x:c r="N737" s="4"/>
      <x:c r="O737" s="4"/>
      <x:c r="P737" s="4"/>
      <x:c r="Q737" s="4"/>
    </x:row>
    <x:row r="738" ht="115" customHeight="1">
      <x:c r="A738" s="4"/>
      <x:c r="B738" s="4"/>
      <x:c r="C738" s="4"/>
      <x:c r="D738" s="4"/>
      <x:c r="E738" s="4"/>
      <x:c r="F738" s="4"/>
      <x:c r="G738" s="4"/>
      <x:c r="H738" s="4"/>
      <x:c r="I738" s="4"/>
      <x:c r="J738" s="4"/>
      <x:c r="K738" s="4"/>
      <x:c r="L738" s="4"/>
      <x:c r="M738" s="4"/>
      <x:c r="N738" s="4"/>
      <x:c r="O738" s="4"/>
      <x:c r="P738" s="4"/>
      <x:c r="Q738" s="4"/>
    </x:row>
    <x:row r="739" ht="115" customHeight="1">
      <x:c r="A739" s="4" t="str">
        <x:v>design.lore.phagia_filled_binder.in.1</x:v>
      </x:c>
      <x:c r="B739" s="4" t="str">
        <x:v>design.lore.phagia_filled_binder</x:v>
      </x:c>
      <x:c r="C739" s="4" t="str">
        <x:v>Ingredient candidate</x:v>
      </x:c>
      <x:c r="D739" s="4" t="str">
        <x:v>proposal.lore.phagia_adhesive</x:v>
      </x:c>
      <x:c r="E739" s="4" t="str">
        <x:f>IFERROR(INDEX('Items'!$B$6:$B$1005,MATCH(D739,'Items'!$A$6:$A$1005,0)),"MISSING ID")</x:f>
        <x:v>Concentrated Phagia adhesive base</x:v>
      </x:c>
      <x:c r="F739" s="4" t="str">
        <x:f>IFERROR(INDEX('Items'!$C$6:$C$1005,MATCH(D739,'Items'!$A$6:$A$1005,0)),"MISSING ID")</x:f>
        <x:v>T1</x:v>
      </x:c>
      <x:c r="G739" s="4" t="str">
        <x:f>IFERROR(INDEX('Items'!$D$6:$D$1005,MATCH(D739,'Items'!$A$6:$A$1005,0)),"MISSING ID")</x:f>
        <x:v>Crafting components</x:v>
      </x:c>
      <x:c r="H739" s="4" t="str">
        <x:f>IFERROR(INDEX('Items'!$X$6:$X$1005,MATCH(D739,'Items'!$A$6:$A$1005,0)),"MISSING ID")</x:f>
        <x:v>Chemical material</x:v>
      </x:c>
      <x:c r="I739" s="4"/>
      <x:c r="J739" s="4" t="str">
        <x:v>Unspecified</x:v>
      </x:c>
      <x:c r="K739" s="4" t="str">
        <x:f>IFERROR(INDEX('Crafting recipes'!$D$6:$D$1005,MATCH(B739,'Crafting recipes'!$A$6:$A$1005,0)),"MISSING ID")</x:f>
        <x:v>Proposal</x:v>
      </x:c>
      <x:c r="L739" s="4" t="str">
        <x:f>IFERROR(INDEX('Items'!$AD$6:$AD$1005,MATCH(D739,'Items'!$A$6:$A$1005,0)),"MISSING ID")</x:f>
        <x:v>Proposal</x:v>
      </x:c>
      <x:c r="M739" s="4" t="str">
        <x:f>IFERROR(INDEX('Crafting recipes'!$E$6:$E$1005,MATCH(B739,'Crafting recipes'!$A$6:$A$1005,0)),"MISSING ID")</x:f>
        <x:v>Partial proposal</x:v>
      </x:c>
      <x:c r="N739" s="4" t="str">
        <x:v>Candidate process/hardware relationship; quantity and service compatibility remain open.</x:v>
      </x:c>
      <x:c r="O739" s="4" t="str">
        <x:v>Lore-coherence game proposal; selected WLD source proposals at f6f98515c005dc3c73cccd9cbc031691745740c6.</x:v>
      </x:c>
      <x:c r="P739" s="4" t="n">
        <x:f>IF(OR(C739="Ingredient candidate",C739="Consumed input",C739="Contained input",C739="Transform input"),IF(F739="T0",0,IF(F739="T1",1,IF(F739="T2",2,IF(F739="T3",3,IF(F739="T4",4,-1))))),-1)</x:f>
        <x:v>1</x:v>
      </x:c>
      <x:c r="Q739" s="4" t="n">
        <x:f>IF(AND(OR(C739="Ingredient candidate",C739="Consumed input",C739="Contained input",C739="Transform input"),P739=-1),1,0)</x:f>
        <x:v>0</x:v>
      </x:c>
    </x:row>
    <x:row r="740" ht="115" customHeight="1">
      <x:c r="A740" s="4" t="str">
        <x:v>design.lore.phagia_filled_binder.in.2</x:v>
      </x:c>
      <x:c r="B740" s="4" t="str">
        <x:v>design.lore.phagia_filled_binder</x:v>
      </x:c>
      <x:c r="C740" s="4" t="str">
        <x:v>Ingredient candidate</x:v>
      </x:c>
      <x:c r="D740" s="4" t="str">
        <x:v>proposal.t1.mineral_filler</x:v>
      </x:c>
      <x:c r="E740" s="4" t="str">
        <x:f>IFERROR(INDEX('Items'!$B$6:$B$1005,MATCH(D740,'Items'!$A$6:$A$1005,0)),"MISSING ID")</x:f>
        <x:v>Graded mineral filler</x:v>
      </x:c>
      <x:c r="F740" s="4" t="str">
        <x:f>IFERROR(INDEX('Items'!$C$6:$C$1005,MATCH(D740,'Items'!$A$6:$A$1005,0)),"MISSING ID")</x:f>
        <x:v>T1</x:v>
      </x:c>
      <x:c r="G740" s="4" t="str">
        <x:f>IFERROR(INDEX('Items'!$D$6:$D$1005,MATCH(D740,'Items'!$A$6:$A$1005,0)),"MISSING ID")</x:f>
        <x:v>Manufactured stock</x:v>
      </x:c>
      <x:c r="H740" s="4" t="str">
        <x:f>IFERROR(INDEX('Items'!$X$6:$X$1005,MATCH(D740,'Items'!$A$6:$A$1005,0)),"MISSING ID")</x:f>
        <x:v>Processed material</x:v>
      </x:c>
      <x:c r="I740" s="4"/>
      <x:c r="J740" s="4" t="str">
        <x:v>Unspecified</x:v>
      </x:c>
      <x:c r="K740" s="4" t="str">
        <x:f>IFERROR(INDEX('Crafting recipes'!$D$6:$D$1005,MATCH(B740,'Crafting recipes'!$A$6:$A$1005,0)),"MISSING ID")</x:f>
        <x:v>Proposal</x:v>
      </x:c>
      <x:c r="L740" s="4" t="str">
        <x:f>IFERROR(INDEX('Items'!$AD$6:$AD$1005,MATCH(D740,'Items'!$A$6:$A$1005,0)),"MISSING ID")</x:f>
        <x:v>Proposal</x:v>
      </x:c>
      <x:c r="M740" s="4" t="str">
        <x:f>IFERROR(INDEX('Crafting recipes'!$E$6:$E$1005,MATCH(B740,'Crafting recipes'!$A$6:$A$1005,0)),"MISSING ID")</x:f>
        <x:v>Partial proposal</x:v>
      </x:c>
      <x:c r="N740" s="4" t="str">
        <x:v>Candidate process/hardware relationship; quantity and service compatibility remain open.</x:v>
      </x:c>
      <x:c r="O740" s="4" t="str">
        <x:v>Lore-coherence game proposal; selected WLD source proposals at f6f98515c005dc3c73cccd9cbc031691745740c6.</x:v>
      </x:c>
      <x:c r="P740" s="4" t="n">
        <x:f>IF(OR(C740="Ingredient candidate",C740="Consumed input",C740="Contained input",C740="Transform input"),IF(F740="T0",0,IF(F740="T1",1,IF(F740="T2",2,IF(F740="T3",3,IF(F740="T4",4,-1))))),-1)</x:f>
        <x:v>1</x:v>
      </x:c>
      <x:c r="Q740" s="4" t="n">
        <x:f>IF(AND(OR(C740="Ingredient candidate",C740="Consumed input",C740="Contained input",C740="Transform input"),P740=-1),1,0)</x:f>
        <x:v>0</x:v>
      </x:c>
    </x:row>
    <x:row r="741" ht="115" customHeight="1">
      <x:c r="A741" s="4" t="str">
        <x:v>design.lore.phagia_filled_binder.out</x:v>
      </x:c>
      <x:c r="B741" s="4" t="str">
        <x:v>design.lore.phagia_filled_binder</x:v>
      </x:c>
      <x:c r="C741" s="4" t="str">
        <x:v>Output</x:v>
      </x:c>
      <x:c r="D741" s="4" t="str">
        <x:v>proposal.branch.filled_binder</x:v>
      </x:c>
      <x:c r="E741" s="4" t="str">
        <x:f>IFERROR(INDEX('Items'!$B$6:$B$1005,MATCH(D741,'Items'!$A$6:$A$1005,0)),"MISSING ID")</x:f>
        <x:v>Filled shell-binding compound</x:v>
      </x:c>
      <x:c r="F741" s="4" t="str">
        <x:f>IFERROR(INDEX('Items'!$C$6:$C$1005,MATCH(D741,'Items'!$A$6:$A$1005,0)),"MISSING ID")</x:f>
        <x:v>T2</x:v>
      </x:c>
      <x:c r="G741" s="4" t="str">
        <x:f>IFERROR(INDEX('Items'!$D$6:$D$1005,MATCH(D741,'Items'!$A$6:$A$1005,0)),"MISSING ID")</x:f>
        <x:v>Crafting components</x:v>
      </x:c>
      <x:c r="H741" s="4" t="str">
        <x:f>IFERROR(INDEX('Items'!$X$6:$X$1005,MATCH(D741,'Items'!$A$6:$A$1005,0)),"MISSING ID")</x:f>
        <x:v>Chemical material</x:v>
      </x:c>
      <x:c r="I741" s="4"/>
      <x:c r="J741" s="4" t="str">
        <x:v>Unspecified</x:v>
      </x:c>
      <x:c r="K741" s="4" t="str">
        <x:f>IFERROR(INDEX('Crafting recipes'!$D$6:$D$1005,MATCH(B741,'Crafting recipes'!$A$6:$A$1005,0)),"MISSING ID")</x:f>
        <x:v>Proposal</x:v>
      </x:c>
      <x:c r="L741" s="4" t="str">
        <x:f>IFERROR(INDEX('Items'!$AD$6:$AD$1005,MATCH(D741,'Items'!$A$6:$A$1005,0)),"MISSING ID")</x:f>
        <x:v>Proposal</x:v>
      </x:c>
      <x:c r="M741" s="4" t="str">
        <x:f>IFERROR(INDEX('Crafting recipes'!$E$6:$E$1005,MATCH(B741,'Crafting recipes'!$A$6:$A$1005,0)),"MISSING ID")</x:f>
        <x:v>Partial proposal</x:v>
      </x:c>
      <x:c r="N741" s="4" t="str">
        <x:v>Candidate process/hardware relationship; quantity and service compatibility remain open.</x:v>
      </x:c>
      <x:c r="O741" s="4" t="str">
        <x:v>Lore-coherence game proposal; selected WLD source proposals at f6f98515c005dc3c73cccd9cbc031691745740c6.</x:v>
      </x:c>
      <x:c r="P741" s="4" t="n">
        <x:f>IF(OR(C741="Ingredient candidate",C741="Consumed input",C741="Contained input",C741="Transform input"),IF(F741="T0",0,IF(F741="T1",1,IF(F741="T2",2,IF(F741="T3",3,IF(F741="T4",4,-1))))),-1)</x:f>
        <x:v>-1</x:v>
      </x:c>
      <x:c r="Q741" s="4" t="n">
        <x:f>IF(AND(OR(C741="Ingredient candidate",C741="Consumed input",C741="Contained input",C741="Transform input"),P741=-1),1,0)</x:f>
        <x:v>0</x:v>
      </x:c>
    </x:row>
    <x:row r="742" ht="115" customHeight="1">
      <x:c r="A742" s="4" t="str">
        <x:v>design.lore.mineral_surface_treatment.in.1</x:v>
      </x:c>
      <x:c r="B742" s="4" t="str">
        <x:v>design.lore.mineral_surface_treatment</x:v>
      </x:c>
      <x:c r="C742" s="4" t="str">
        <x:v>Ingredient candidate</x:v>
      </x:c>
      <x:c r="D742" s="4" t="str">
        <x:v>proposal.lore.sulfur_charge</x:v>
      </x:c>
      <x:c r="E742" s="4" t="str">
        <x:f>IFERROR(INDEX('Items'!$B$6:$B$1005,MATCH(D742,'Items'!$A$6:$A$1005,0)),"MISSING ID")</x:f>
        <x:v>Prepared sulfur process charge</x:v>
      </x:c>
      <x:c r="F742" s="4" t="str">
        <x:f>IFERROR(INDEX('Items'!$C$6:$C$1005,MATCH(D742,'Items'!$A$6:$A$1005,0)),"MISSING ID")</x:f>
        <x:v>T1</x:v>
      </x:c>
      <x:c r="G742" s="4" t="str">
        <x:f>IFERROR(INDEX('Items'!$D$6:$D$1005,MATCH(D742,'Items'!$A$6:$A$1005,0)),"MISSING ID")</x:f>
        <x:v>Crafting components</x:v>
      </x:c>
      <x:c r="H742" s="4" t="str">
        <x:f>IFERROR(INDEX('Items'!$X$6:$X$1005,MATCH(D742,'Items'!$A$6:$A$1005,0)),"MISSING ID")</x:f>
        <x:v>Chemical material</x:v>
      </x:c>
      <x:c r="I742" s="4"/>
      <x:c r="J742" s="4" t="str">
        <x:v>Unspecified</x:v>
      </x:c>
      <x:c r="K742" s="4" t="str">
        <x:f>IFERROR(INDEX('Crafting recipes'!$D$6:$D$1005,MATCH(B742,'Crafting recipes'!$A$6:$A$1005,0)),"MISSING ID")</x:f>
        <x:v>Proposal</x:v>
      </x:c>
      <x:c r="L742" s="4" t="str">
        <x:f>IFERROR(INDEX('Items'!$AD$6:$AD$1005,MATCH(D742,'Items'!$A$6:$A$1005,0)),"MISSING ID")</x:f>
        <x:v>Proposal</x:v>
      </x:c>
      <x:c r="M742" s="4" t="str">
        <x:f>IFERROR(INDEX('Crafting recipes'!$E$6:$E$1005,MATCH(B742,'Crafting recipes'!$A$6:$A$1005,0)),"MISSING ID")</x:f>
        <x:v>Partial proposal</x:v>
      </x:c>
      <x:c r="N742" s="4" t="str">
        <x:v>Candidate process/hardware relationship; quantity and service compatibility remain open.</x:v>
      </x:c>
      <x:c r="O742" s="4" t="str">
        <x:v>Lore-coherence game proposal; selected WLD source proposals at f6f98515c005dc3c73cccd9cbc031691745740c6.</x:v>
      </x:c>
      <x:c r="P742" s="4" t="n">
        <x:f>IF(OR(C742="Ingredient candidate",C742="Consumed input",C742="Contained input",C742="Transform input"),IF(F742="T0",0,IF(F742="T1",1,IF(F742="T2",2,IF(F742="T3",3,IF(F742="T4",4,-1))))),-1)</x:f>
        <x:v>1</x:v>
      </x:c>
      <x:c r="Q742" s="4" t="n">
        <x:f>IF(AND(OR(C742="Ingredient candidate",C742="Consumed input",C742="Contained input",C742="Transform input"),P742=-1),1,0)</x:f>
        <x:v>0</x:v>
      </x:c>
    </x:row>
    <x:row r="743" ht="115" customHeight="1">
      <x:c r="A743" s="4" t="str">
        <x:v>design.lore.mineral_surface_treatment.in.2</x:v>
      </x:c>
      <x:c r="B743" s="4" t="str">
        <x:v>design.lore.mineral_surface_treatment</x:v>
      </x:c>
      <x:c r="C743" s="4" t="str">
        <x:v>Ingredient candidate</x:v>
      </x:c>
      <x:c r="D743" s="4" t="str">
        <x:v>proposal.t1.faunal_carrier</x:v>
      </x:c>
      <x:c r="E743" s="4" t="str">
        <x:f>IFERROR(INDEX('Items'!$B$6:$B$1005,MATCH(D743,'Items'!$A$6:$A$1005,0)),"MISSING ID")</x:f>
        <x:v>Selected faunal carrier fraction</x:v>
      </x:c>
      <x:c r="F743" s="4" t="str">
        <x:f>IFERROR(INDEX('Items'!$C$6:$C$1005,MATCH(D743,'Items'!$A$6:$A$1005,0)),"MISSING ID")</x:f>
        <x:v>T1</x:v>
      </x:c>
      <x:c r="G743" s="4" t="str">
        <x:f>IFERROR(INDEX('Items'!$D$6:$D$1005,MATCH(D743,'Items'!$A$6:$A$1005,0)),"MISSING ID")</x:f>
        <x:v>Crafting components</x:v>
      </x:c>
      <x:c r="H743" s="4" t="str">
        <x:f>IFERROR(INDEX('Items'!$X$6:$X$1005,MATCH(D743,'Items'!$A$6:$A$1005,0)),"MISSING ID")</x:f>
        <x:v>Chemical material</x:v>
      </x:c>
      <x:c r="I743" s="4"/>
      <x:c r="J743" s="4" t="str">
        <x:v>Unspecified</x:v>
      </x:c>
      <x:c r="K743" s="4" t="str">
        <x:f>IFERROR(INDEX('Crafting recipes'!$D$6:$D$1005,MATCH(B743,'Crafting recipes'!$A$6:$A$1005,0)),"MISSING ID")</x:f>
        <x:v>Proposal</x:v>
      </x:c>
      <x:c r="L743" s="4" t="str">
        <x:f>IFERROR(INDEX('Items'!$AD$6:$AD$1005,MATCH(D743,'Items'!$A$6:$A$1005,0)),"MISSING ID")</x:f>
        <x:v>Proposal</x:v>
      </x:c>
      <x:c r="M743" s="4" t="str">
        <x:f>IFERROR(INDEX('Crafting recipes'!$E$6:$E$1005,MATCH(B743,'Crafting recipes'!$A$6:$A$1005,0)),"MISSING ID")</x:f>
        <x:v>Partial proposal</x:v>
      </x:c>
      <x:c r="N743" s="4" t="str">
        <x:v>Candidate process/hardware relationship; quantity and service compatibility remain open.</x:v>
      </x:c>
      <x:c r="O743" s="4" t="str">
        <x:v>Lore-coherence game proposal; selected WLD source proposals at f6f98515c005dc3c73cccd9cbc031691745740c6.</x:v>
      </x:c>
      <x:c r="P743" s="4" t="n">
        <x:f>IF(OR(C743="Ingredient candidate",C743="Consumed input",C743="Contained input",C743="Transform input"),IF(F743="T0",0,IF(F743="T1",1,IF(F743="T2",2,IF(F743="T3",3,IF(F743="T4",4,-1))))),-1)</x:f>
        <x:v>1</x:v>
      </x:c>
      <x:c r="Q743" s="4" t="n">
        <x:f>IF(AND(OR(C743="Ingredient candidate",C743="Consumed input",C743="Contained input",C743="Transform input"),P743=-1),1,0)</x:f>
        <x:v>0</x:v>
      </x:c>
    </x:row>
    <x:row r="744" ht="115" customHeight="1">
      <x:c r="A744" s="4" t="str">
        <x:v>design.lore.mineral_surface_treatment.out</x:v>
      </x:c>
      <x:c r="B744" s="4" t="str">
        <x:v>design.lore.mineral_surface_treatment</x:v>
      </x:c>
      <x:c r="C744" s="4" t="str">
        <x:v>Output</x:v>
      </x:c>
      <x:c r="D744" s="4" t="str">
        <x:v>author.corrosion.advanced_remover</x:v>
      </x:c>
      <x:c r="E744" s="4" t="str">
        <x:f>IFERROR(INDEX('Items'!$B$6:$B$1005,MATCH(D744,'Items'!$A$6:$A$1005,0)),"MISSING ID")</x:f>
        <x:v>Advanced rust-removal compound</x:v>
      </x:c>
      <x:c r="F744" s="4" t="str">
        <x:f>IFERROR(INDEX('Items'!$C$6:$C$1005,MATCH(D744,'Items'!$A$6:$A$1005,0)),"MISSING ID")</x:f>
        <x:v>T2</x:v>
      </x:c>
      <x:c r="G744" s="4" t="str">
        <x:f>IFERROR(INDEX('Items'!$D$6:$D$1005,MATCH(D744,'Items'!$A$6:$A$1005,0)),"MISSING ID")</x:f>
        <x:v>Crafting components</x:v>
      </x:c>
      <x:c r="H744" s="4" t="str">
        <x:f>IFERROR(INDEX('Items'!$X$6:$X$1005,MATCH(D744,'Items'!$A$6:$A$1005,0)),"MISSING ID")</x:f>
        <x:v>Chemical material</x:v>
      </x:c>
      <x:c r="I744" s="4"/>
      <x:c r="J744" s="4" t="str">
        <x:v>Unspecified</x:v>
      </x:c>
      <x:c r="K744" s="4" t="str">
        <x:f>IFERROR(INDEX('Crafting recipes'!$D$6:$D$1005,MATCH(B744,'Crafting recipes'!$A$6:$A$1005,0)),"MISSING ID")</x:f>
        <x:v>Proposal</x:v>
      </x:c>
      <x:c r="L744" s="4" t="str">
        <x:f>IFERROR(INDEX('Items'!$AD$6:$AD$1005,MATCH(D744,'Items'!$A$6:$A$1005,0)),"MISSING ID")</x:f>
        <x:v>Author direction</x:v>
      </x:c>
      <x:c r="M744" s="4" t="str">
        <x:f>IFERROR(INDEX('Crafting recipes'!$E$6:$E$1005,MATCH(B744,'Crafting recipes'!$A$6:$A$1005,0)),"MISSING ID")</x:f>
        <x:v>Partial proposal</x:v>
      </x:c>
      <x:c r="N744" s="4" t="str">
        <x:v>Candidate process/hardware relationship; quantity and service compatibility remain open.</x:v>
      </x:c>
      <x:c r="O744" s="4" t="str">
        <x:v>Lore-coherence game proposal; selected WLD source proposals at f6f98515c005dc3c73cccd9cbc031691745740c6.</x:v>
      </x:c>
      <x:c r="P744" s="4" t="n">
        <x:f>IF(OR(C744="Ingredient candidate",C744="Consumed input",C744="Contained input",C744="Transform input"),IF(F744="T0",0,IF(F744="T1",1,IF(F744="T2",2,IF(F744="T3",3,IF(F744="T4",4,-1))))),-1)</x:f>
        <x:v>-1</x:v>
      </x:c>
      <x:c r="Q744" s="4" t="n">
        <x:f>IF(AND(OR(C744="Ingredient candidate",C744="Consumed input",C744="Contained input",C744="Transform input"),P744=-1),1,0)</x:f>
        <x:v>0</x:v>
      </x:c>
    </x:row>
    <x:row r="745" ht="115" customHeight="1">
      <x:c r="A745" s="4" t="str">
        <x:v>design.lore.residue_insulation_stock.in.1</x:v>
      </x:c>
      <x:c r="B745" s="4" t="str">
        <x:v>design.lore.residue_insulation_stock</x:v>
      </x:c>
      <x:c r="C745" s="4" t="str">
        <x:v>Ingredient candidate</x:v>
      </x:c>
      <x:c r="D745" s="4" t="str">
        <x:v>proposal.lore.chitin_binder_residue</x:v>
      </x:c>
      <x:c r="E745" s="4" t="str">
        <x:f>IFERROR(INDEX('Items'!$B$6:$B$1005,MATCH(D745,'Items'!$A$6:$A$1005,0)),"MISSING ID")</x:f>
        <x:v>Concentrated chitin binder residue</x:v>
      </x:c>
      <x:c r="F745" s="4" t="str">
        <x:f>IFERROR(INDEX('Items'!$C$6:$C$1005,MATCH(D745,'Items'!$A$6:$A$1005,0)),"MISSING ID")</x:f>
        <x:v>T2</x:v>
      </x:c>
      <x:c r="G745" s="4" t="str">
        <x:f>IFERROR(INDEX('Items'!$D$6:$D$1005,MATCH(D745,'Items'!$A$6:$A$1005,0)),"MISSING ID")</x:f>
        <x:v>Crafting components</x:v>
      </x:c>
      <x:c r="H745" s="4" t="str">
        <x:f>IFERROR(INDEX('Items'!$X$6:$X$1005,MATCH(D745,'Items'!$A$6:$A$1005,0)),"MISSING ID")</x:f>
        <x:v>Chemical material</x:v>
      </x:c>
      <x:c r="I745" s="4"/>
      <x:c r="J745" s="4" t="str">
        <x:v>Unspecified</x:v>
      </x:c>
      <x:c r="K745" s="4" t="str">
        <x:f>IFERROR(INDEX('Crafting recipes'!$D$6:$D$1005,MATCH(B745,'Crafting recipes'!$A$6:$A$1005,0)),"MISSING ID")</x:f>
        <x:v>Proposal</x:v>
      </x:c>
      <x:c r="L745" s="4" t="str">
        <x:f>IFERROR(INDEX('Items'!$AD$6:$AD$1005,MATCH(D745,'Items'!$A$6:$A$1005,0)),"MISSING ID")</x:f>
        <x:v>Proposal</x:v>
      </x:c>
      <x:c r="M745" s="4" t="str">
        <x:f>IFERROR(INDEX('Crafting recipes'!$E$6:$E$1005,MATCH(B745,'Crafting recipes'!$A$6:$A$1005,0)),"MISSING ID")</x:f>
        <x:v>Partial proposal</x:v>
      </x:c>
      <x:c r="N745" s="4" t="str">
        <x:v>Candidate process/hardware relationship; quantity and service compatibility remain open.</x:v>
      </x:c>
      <x:c r="O745" s="4" t="str">
        <x:v>Lore-coherence game proposal; selected WLD source proposals at f6f98515c005dc3c73cccd9cbc031691745740c6.</x:v>
      </x:c>
      <x:c r="P745" s="4" t="n">
        <x:f>IF(OR(C745="Ingredient candidate",C745="Consumed input",C745="Contained input",C745="Transform input"),IF(F745="T0",0,IF(F745="T1",1,IF(F745="T2",2,IF(F745="T3",3,IF(F745="T4",4,-1))))),-1)</x:f>
        <x:v>2</x:v>
      </x:c>
      <x:c r="Q745" s="4" t="n">
        <x:f>IF(AND(OR(C745="Ingredient candidate",C745="Consumed input",C745="Contained input",C745="Transform input"),P745=-1),1,0)</x:f>
        <x:v>0</x:v>
      </x:c>
    </x:row>
    <x:row r="746" ht="115" customHeight="1">
      <x:c r="A746" s="4" t="str">
        <x:v>design.lore.residue_insulation_stock.in.2</x:v>
      </x:c>
      <x:c r="B746" s="4" t="str">
        <x:v>design.lore.residue_insulation_stock</x:v>
      </x:c>
      <x:c r="C746" s="4" t="str">
        <x:v>Ingredient candidate</x:v>
      </x:c>
      <x:c r="D746" s="4" t="str">
        <x:v>proposal.branch.mica_sheet</x:v>
      </x:c>
      <x:c r="E746" s="4" t="str">
        <x:f>IFERROR(INDEX('Items'!$B$6:$B$1005,MATCH(D746,'Items'!$A$6:$A$1005,0)),"MISSING ID")</x:f>
        <x:v>Mica composite sheet</x:v>
      </x:c>
      <x:c r="F746" s="4" t="str">
        <x:f>IFERROR(INDEX('Items'!$C$6:$C$1005,MATCH(D746,'Items'!$A$6:$A$1005,0)),"MISSING ID")</x:f>
        <x:v>T2</x:v>
      </x:c>
      <x:c r="G746" s="4" t="str">
        <x:f>IFERROR(INDEX('Items'!$D$6:$D$1005,MATCH(D746,'Items'!$A$6:$A$1005,0)),"MISSING ID")</x:f>
        <x:v>Manufactured stock</x:v>
      </x:c>
      <x:c r="H746" s="4" t="str">
        <x:f>IFERROR(INDEX('Items'!$X$6:$X$1005,MATCH(D746,'Items'!$A$6:$A$1005,0)),"MISSING ID")</x:f>
        <x:v>Processed material</x:v>
      </x:c>
      <x:c r="I746" s="4"/>
      <x:c r="J746" s="4" t="str">
        <x:v>Unspecified</x:v>
      </x:c>
      <x:c r="K746" s="4" t="str">
        <x:f>IFERROR(INDEX('Crafting recipes'!$D$6:$D$1005,MATCH(B746,'Crafting recipes'!$A$6:$A$1005,0)),"MISSING ID")</x:f>
        <x:v>Proposal</x:v>
      </x:c>
      <x:c r="L746" s="4" t="str">
        <x:f>IFERROR(INDEX('Items'!$AD$6:$AD$1005,MATCH(D746,'Items'!$A$6:$A$1005,0)),"MISSING ID")</x:f>
        <x:v>Proposal</x:v>
      </x:c>
      <x:c r="M746" s="4" t="str">
        <x:f>IFERROR(INDEX('Crafting recipes'!$E$6:$E$1005,MATCH(B746,'Crafting recipes'!$A$6:$A$1005,0)),"MISSING ID")</x:f>
        <x:v>Partial proposal</x:v>
      </x:c>
      <x:c r="N746" s="4" t="str">
        <x:v>Candidate process/hardware relationship; quantity and service compatibility remain open.</x:v>
      </x:c>
      <x:c r="O746" s="4" t="str">
        <x:v>Lore-coherence game proposal; selected WLD source proposals at f6f98515c005dc3c73cccd9cbc031691745740c6.</x:v>
      </x:c>
      <x:c r="P746" s="4" t="n">
        <x:f>IF(OR(C746="Ingredient candidate",C746="Consumed input",C746="Contained input",C746="Transform input"),IF(F746="T0",0,IF(F746="T1",1,IF(F746="T2",2,IF(F746="T3",3,IF(F746="T4",4,-1))))),-1)</x:f>
        <x:v>2</x:v>
      </x:c>
      <x:c r="Q746" s="4" t="n">
        <x:f>IF(AND(OR(C746="Ingredient candidate",C746="Consumed input",C746="Contained input",C746="Transform input"),P746=-1),1,0)</x:f>
        <x:v>0</x:v>
      </x:c>
    </x:row>
    <x:row r="747" ht="115" customHeight="1">
      <x:c r="A747" s="4" t="str">
        <x:v>design.lore.residue_insulation_stock.in.3</x:v>
      </x:c>
      <x:c r="B747" s="4" t="str">
        <x:v>design.lore.residue_insulation_stock</x:v>
      </x:c>
      <x:c r="C747" s="4" t="str">
        <x:v>Ingredient candidate</x:v>
      </x:c>
      <x:c r="D747" s="4" t="str">
        <x:v>proposal.natural.ceramic</x:v>
      </x:c>
      <x:c r="E747" s="4" t="str">
        <x:f>IFERROR(INDEX('Items'!$B$6:$B$1005,MATCH(D747,'Items'!$A$6:$A$1005,0)),"MISSING ID")</x:f>
        <x:v>Insulating ceramic blanks</x:v>
      </x:c>
      <x:c r="F747" s="4" t="str">
        <x:f>IFERROR(INDEX('Items'!$C$6:$C$1005,MATCH(D747,'Items'!$A$6:$A$1005,0)),"MISSING ID")</x:f>
        <x:v>T2</x:v>
      </x:c>
      <x:c r="G747" s="4" t="str">
        <x:f>IFERROR(INDEX('Items'!$D$6:$D$1005,MATCH(D747,'Items'!$A$6:$A$1005,0)),"MISSING ID")</x:f>
        <x:v>Manufactured stock</x:v>
      </x:c>
      <x:c r="H747" s="4" t="str">
        <x:f>IFERROR(INDEX('Items'!$X$6:$X$1005,MATCH(D747,'Items'!$A$6:$A$1005,0)),"MISSING ID")</x:f>
        <x:v>Processed material</x:v>
      </x:c>
      <x:c r="I747" s="4"/>
      <x:c r="J747" s="4" t="str">
        <x:v>Unspecified</x:v>
      </x:c>
      <x:c r="K747" s="4" t="str">
        <x:f>IFERROR(INDEX('Crafting recipes'!$D$6:$D$1005,MATCH(B747,'Crafting recipes'!$A$6:$A$1005,0)),"MISSING ID")</x:f>
        <x:v>Proposal</x:v>
      </x:c>
      <x:c r="L747" s="4" t="str">
        <x:f>IFERROR(INDEX('Items'!$AD$6:$AD$1005,MATCH(D747,'Items'!$A$6:$A$1005,0)),"MISSING ID")</x:f>
        <x:v>Proposal</x:v>
      </x:c>
      <x:c r="M747" s="4" t="str">
        <x:f>IFERROR(INDEX('Crafting recipes'!$E$6:$E$1005,MATCH(B747,'Crafting recipes'!$A$6:$A$1005,0)),"MISSING ID")</x:f>
        <x:v>Partial proposal</x:v>
      </x:c>
      <x:c r="N747" s="4" t="str">
        <x:v>Candidate process/hardware relationship; quantity and service compatibility remain open.</x:v>
      </x:c>
      <x:c r="O747" s="4" t="str">
        <x:v>Lore-coherence game proposal; selected WLD source proposals at f6f98515c005dc3c73cccd9cbc031691745740c6.</x:v>
      </x:c>
      <x:c r="P747" s="4" t="n">
        <x:f>IF(OR(C747="Ingredient candidate",C747="Consumed input",C747="Contained input",C747="Transform input"),IF(F747="T0",0,IF(F747="T1",1,IF(F747="T2",2,IF(F747="T3",3,IF(F747="T4",4,-1))))),-1)</x:f>
        <x:v>2</x:v>
      </x:c>
      <x:c r="Q747" s="4" t="n">
        <x:f>IF(AND(OR(C747="Ingredient candidate",C747="Consumed input",C747="Contained input",C747="Transform input"),P747=-1),1,0)</x:f>
        <x:v>0</x:v>
      </x:c>
    </x:row>
    <x:row r="748" ht="115" customHeight="1">
      <x:c r="A748" s="4" t="str">
        <x:v>design.lore.residue_insulation_stock.out</x:v>
      </x:c>
      <x:c r="B748" s="4" t="str">
        <x:v>design.lore.residue_insulation_stock</x:v>
      </x:c>
      <x:c r="C748" s="4" t="str">
        <x:v>Output</x:v>
      </x:c>
      <x:c r="D748" s="4" t="str">
        <x:v>author.electrical.insulation_stock</x:v>
      </x:c>
      <x:c r="E748" s="4" t="str">
        <x:f>IFERROR(INDEX('Items'!$B$6:$B$1005,MATCH(D748,'Items'!$A$6:$A$1005,0)),"MISSING ID")</x:f>
        <x:v>Prepared electrical insulation stock</x:v>
      </x:c>
      <x:c r="F748" s="4" t="str">
        <x:f>IFERROR(INDEX('Items'!$C$6:$C$1005,MATCH(D748,'Items'!$A$6:$A$1005,0)),"MISSING ID")</x:f>
        <x:v>T3</x:v>
      </x:c>
      <x:c r="G748" s="4" t="str">
        <x:f>IFERROR(INDEX('Items'!$D$6:$D$1005,MATCH(D748,'Items'!$A$6:$A$1005,0)),"MISSING ID")</x:f>
        <x:v>Manufactured stock</x:v>
      </x:c>
      <x:c r="H748" s="4" t="str">
        <x:f>IFERROR(INDEX('Items'!$X$6:$X$1005,MATCH(D748,'Items'!$A$6:$A$1005,0)),"MISSING ID")</x:f>
        <x:v>Processed material</x:v>
      </x:c>
      <x:c r="I748" s="4"/>
      <x:c r="J748" s="4" t="str">
        <x:v>Unspecified</x:v>
      </x:c>
      <x:c r="K748" s="4" t="str">
        <x:f>IFERROR(INDEX('Crafting recipes'!$D$6:$D$1005,MATCH(B748,'Crafting recipes'!$A$6:$A$1005,0)),"MISSING ID")</x:f>
        <x:v>Proposal</x:v>
      </x:c>
      <x:c r="L748" s="4" t="str">
        <x:f>IFERROR(INDEX('Items'!$AD$6:$AD$1005,MATCH(D748,'Items'!$A$6:$A$1005,0)),"MISSING ID")</x:f>
        <x:v>Author direction</x:v>
      </x:c>
      <x:c r="M748" s="4" t="str">
        <x:f>IFERROR(INDEX('Crafting recipes'!$E$6:$E$1005,MATCH(B748,'Crafting recipes'!$A$6:$A$1005,0)),"MISSING ID")</x:f>
        <x:v>Partial proposal</x:v>
      </x:c>
      <x:c r="N748" s="4" t="str">
        <x:v>Candidate process/hardware relationship; quantity and service compatibility remain open.</x:v>
      </x:c>
      <x:c r="O748" s="4" t="str">
        <x:v>Lore-coherence game proposal; selected WLD source proposals at f6f98515c005dc3c73cccd9cbc031691745740c6.</x:v>
      </x:c>
      <x:c r="P748" s="4" t="n">
        <x:f>IF(OR(C748="Ingredient candidate",C748="Consumed input",C748="Contained input",C748="Transform input"),IF(F748="T0",0,IF(F748="T1",1,IF(F748="T2",2,IF(F748="T3",3,IF(F748="T4",4,-1))))),-1)</x:f>
        <x:v>-1</x:v>
      </x:c>
      <x:c r="Q748" s="4" t="n">
        <x:f>IF(AND(OR(C748="Ingredient candidate",C748="Consumed input",C748="Contained input",C748="Transform input"),P748=-1),1,0)</x:f>
        <x:v>0</x:v>
      </x:c>
    </x:row>
    <x:row r="749" ht="115" customHeight="1">
      <x:c r="A749" s="4" t="str">
        <x:v>design.lore.iron_winding_assembly.in.1</x:v>
      </x:c>
      <x:c r="B749" s="4" t="str">
        <x:v>design.lore.iron_winding_assembly</x:v>
      </x:c>
      <x:c r="C749" s="4" t="str">
        <x:v>Ingredient candidate</x:v>
      </x:c>
      <x:c r="D749" s="4" t="str">
        <x:v>proposal.lore.iron_winding</x:v>
      </x:c>
      <x:c r="E749" s="4" t="str">
        <x:f>IFERROR(INDEX('Items'!$B$6:$B$1005,MATCH(D749,'Items'!$A$6:$A$1005,0)),"MISSING ID")</x:f>
        <x:v>Iron-wound core blank</x:v>
      </x:c>
      <x:c r="F749" s="4" t="str">
        <x:f>IFERROR(INDEX('Items'!$C$6:$C$1005,MATCH(D749,'Items'!$A$6:$A$1005,0)),"MISSING ID")</x:f>
        <x:v>T3</x:v>
      </x:c>
      <x:c r="G749" s="4" t="str">
        <x:f>IFERROR(INDEX('Items'!$D$6:$D$1005,MATCH(D749,'Items'!$A$6:$A$1005,0)),"MISSING ID")</x:f>
        <x:v>Crafting components</x:v>
      </x:c>
      <x:c r="H749" s="4" t="str">
        <x:f>IFERROR(INDEX('Items'!$X$6:$X$1005,MATCH(D749,'Items'!$A$6:$A$1005,0)),"MISSING ID")</x:f>
        <x:v>Crafting component</x:v>
      </x:c>
      <x:c r="I749" s="4"/>
      <x:c r="J749" s="4" t="str">
        <x:v>Unspecified</x:v>
      </x:c>
      <x:c r="K749" s="4" t="str">
        <x:f>IFERROR(INDEX('Crafting recipes'!$D$6:$D$1005,MATCH(B749,'Crafting recipes'!$A$6:$A$1005,0)),"MISSING ID")</x:f>
        <x:v>Proposal</x:v>
      </x:c>
      <x:c r="L749" s="4" t="str">
        <x:f>IFERROR(INDEX('Items'!$AD$6:$AD$1005,MATCH(D749,'Items'!$A$6:$A$1005,0)),"MISSING ID")</x:f>
        <x:v>Proposal</x:v>
      </x:c>
      <x:c r="M749" s="4" t="str">
        <x:f>IFERROR(INDEX('Crafting recipes'!$E$6:$E$1005,MATCH(B749,'Crafting recipes'!$A$6:$A$1005,0)),"MISSING ID")</x:f>
        <x:v>Partial proposal</x:v>
      </x:c>
      <x:c r="N749" s="4" t="str">
        <x:v>Candidate process/hardware relationship; quantity and service compatibility remain open.</x:v>
      </x:c>
      <x:c r="O749" s="4" t="str">
        <x:v>Lore-coherence game proposal; selected WLD source proposals at f6f98515c005dc3c73cccd9cbc031691745740c6.</x:v>
      </x:c>
      <x:c r="P749" s="4" t="n">
        <x:f>IF(OR(C749="Ingredient candidate",C749="Consumed input",C749="Contained input",C749="Transform input"),IF(F749="T0",0,IF(F749="T1",1,IF(F749="T2",2,IF(F749="T3",3,IF(F749="T4",4,-1))))),-1)</x:f>
        <x:v>3</x:v>
      </x:c>
      <x:c r="Q749" s="4" t="n">
        <x:f>IF(AND(OR(C749="Ingredient candidate",C749="Consumed input",C749="Contained input",C749="Transform input"),P749=-1),1,0)</x:f>
        <x:v>0</x:v>
      </x:c>
    </x:row>
    <x:row r="750" ht="115" customHeight="1">
      <x:c r="A750" s="4" t="str">
        <x:v>design.lore.iron_winding_assembly.in.2</x:v>
      </x:c>
      <x:c r="B750" s="4" t="str">
        <x:v>design.lore.iron_winding_assembly</x:v>
      </x:c>
      <x:c r="C750" s="4" t="str">
        <x:v>Ingredient candidate</x:v>
      </x:c>
      <x:c r="D750" s="4" t="str">
        <x:v>author.electrical.insulation_stock</x:v>
      </x:c>
      <x:c r="E750" s="4" t="str">
        <x:f>IFERROR(INDEX('Items'!$B$6:$B$1005,MATCH(D750,'Items'!$A$6:$A$1005,0)),"MISSING ID")</x:f>
        <x:v>Prepared electrical insulation stock</x:v>
      </x:c>
      <x:c r="F750" s="4" t="str">
        <x:f>IFERROR(INDEX('Items'!$C$6:$C$1005,MATCH(D750,'Items'!$A$6:$A$1005,0)),"MISSING ID")</x:f>
        <x:v>T3</x:v>
      </x:c>
      <x:c r="G750" s="4" t="str">
        <x:f>IFERROR(INDEX('Items'!$D$6:$D$1005,MATCH(D750,'Items'!$A$6:$A$1005,0)),"MISSING ID")</x:f>
        <x:v>Manufactured stock</x:v>
      </x:c>
      <x:c r="H750" s="4" t="str">
        <x:f>IFERROR(INDEX('Items'!$X$6:$X$1005,MATCH(D750,'Items'!$A$6:$A$1005,0)),"MISSING ID")</x:f>
        <x:v>Processed material</x:v>
      </x:c>
      <x:c r="I750" s="4"/>
      <x:c r="J750" s="4" t="str">
        <x:v>Unspecified</x:v>
      </x:c>
      <x:c r="K750" s="4" t="str">
        <x:f>IFERROR(INDEX('Crafting recipes'!$D$6:$D$1005,MATCH(B750,'Crafting recipes'!$A$6:$A$1005,0)),"MISSING ID")</x:f>
        <x:v>Proposal</x:v>
      </x:c>
      <x:c r="L750" s="4" t="str">
        <x:f>IFERROR(INDEX('Items'!$AD$6:$AD$1005,MATCH(D750,'Items'!$A$6:$A$1005,0)),"MISSING ID")</x:f>
        <x:v>Author direction</x:v>
      </x:c>
      <x:c r="M750" s="4" t="str">
        <x:f>IFERROR(INDEX('Crafting recipes'!$E$6:$E$1005,MATCH(B750,'Crafting recipes'!$A$6:$A$1005,0)),"MISSING ID")</x:f>
        <x:v>Partial proposal</x:v>
      </x:c>
      <x:c r="N750" s="4" t="str">
        <x:v>Candidate process/hardware relationship; quantity and service compatibility remain open.</x:v>
      </x:c>
      <x:c r="O750" s="4" t="str">
        <x:v>Lore-coherence game proposal; selected WLD source proposals at f6f98515c005dc3c73cccd9cbc031691745740c6.</x:v>
      </x:c>
      <x:c r="P750" s="4" t="n">
        <x:f>IF(OR(C750="Ingredient candidate",C750="Consumed input",C750="Contained input",C750="Transform input"),IF(F750="T0",0,IF(F750="T1",1,IF(F750="T2",2,IF(F750="T3",3,IF(F750="T4",4,-1))))),-1)</x:f>
        <x:v>3</x:v>
      </x:c>
      <x:c r="Q750" s="4" t="n">
        <x:f>IF(AND(OR(C750="Ingredient candidate",C750="Consumed input",C750="Contained input",C750="Transform input"),P750=-1),1,0)</x:f>
        <x:v>0</x:v>
      </x:c>
    </x:row>
    <x:row r="751" ht="115" customHeight="1">
      <x:c r="A751" s="4" t="str">
        <x:v>design.lore.iron_winding_assembly.in.3</x:v>
      </x:c>
      <x:c r="B751" s="4" t="str">
        <x:v>design.lore.iron_winding_assembly</x:v>
      </x:c>
      <x:c r="C751" s="4" t="str">
        <x:v>Ingredient candidate</x:v>
      </x:c>
      <x:c r="D751" s="4" t="str">
        <x:v>proposal.t3.spacer_set</x:v>
      </x:c>
      <x:c r="E751" s="4" t="str">
        <x:f>IFERROR(INDEX('Items'!$B$6:$B$1005,MATCH(D751,'Items'!$A$6:$A$1005,0)),"MISSING ID")</x:f>
        <x:v>Matched ceramic spacer sets</x:v>
      </x:c>
      <x:c r="F751" s="4" t="str">
        <x:f>IFERROR(INDEX('Items'!$C$6:$C$1005,MATCH(D751,'Items'!$A$6:$A$1005,0)),"MISSING ID")</x:f>
        <x:v>T3</x:v>
      </x:c>
      <x:c r="G751" s="4" t="str">
        <x:f>IFERROR(INDEX('Items'!$D$6:$D$1005,MATCH(D751,'Items'!$A$6:$A$1005,0)),"MISSING ID")</x:f>
        <x:v>Crafting components</x:v>
      </x:c>
      <x:c r="H751" s="4" t="str">
        <x:f>IFERROR(INDEX('Items'!$X$6:$X$1005,MATCH(D751,'Items'!$A$6:$A$1005,0)),"MISSING ID")</x:f>
        <x:v>Crafting component</x:v>
      </x:c>
      <x:c r="I751" s="4"/>
      <x:c r="J751" s="4" t="str">
        <x:v>Unspecified</x:v>
      </x:c>
      <x:c r="K751" s="4" t="str">
        <x:f>IFERROR(INDEX('Crafting recipes'!$D$6:$D$1005,MATCH(B751,'Crafting recipes'!$A$6:$A$1005,0)),"MISSING ID")</x:f>
        <x:v>Proposal</x:v>
      </x:c>
      <x:c r="L751" s="4" t="str">
        <x:f>IFERROR(INDEX('Items'!$AD$6:$AD$1005,MATCH(D751,'Items'!$A$6:$A$1005,0)),"MISSING ID")</x:f>
        <x:v>Proposal</x:v>
      </x:c>
      <x:c r="M751" s="4" t="str">
        <x:f>IFERROR(INDEX('Crafting recipes'!$E$6:$E$1005,MATCH(B751,'Crafting recipes'!$A$6:$A$1005,0)),"MISSING ID")</x:f>
        <x:v>Partial proposal</x:v>
      </x:c>
      <x:c r="N751" s="4" t="str">
        <x:v>Candidate process/hardware relationship; quantity and service compatibility remain open.</x:v>
      </x:c>
      <x:c r="O751" s="4" t="str">
        <x:v>Lore-coherence game proposal; selected WLD source proposals at f6f98515c005dc3c73cccd9cbc031691745740c6.</x:v>
      </x:c>
      <x:c r="P751" s="4" t="n">
        <x:f>IF(OR(C751="Ingredient candidate",C751="Consumed input",C751="Contained input",C751="Transform input"),IF(F751="T0",0,IF(F751="T1",1,IF(F751="T2",2,IF(F751="T3",3,IF(F751="T4",4,-1))))),-1)</x:f>
        <x:v>3</x:v>
      </x:c>
      <x:c r="Q751" s="4" t="n">
        <x:f>IF(AND(OR(C751="Ingredient candidate",C751="Consumed input",C751="Contained input",C751="Transform input"),P751=-1),1,0)</x:f>
        <x:v>0</x:v>
      </x:c>
    </x:row>
    <x:row r="752" ht="115" customHeight="1">
      <x:c r="A752" s="4" t="str">
        <x:v>design.lore.iron_winding_assembly.out</x:v>
      </x:c>
      <x:c r="B752" s="4" t="str">
        <x:v>design.lore.iron_winding_assembly</x:v>
      </x:c>
      <x:c r="C752" s="4" t="str">
        <x:v>Output</x:v>
      </x:c>
      <x:c r="D752" s="4" t="str">
        <x:v>proposal.t4.insulated_winding</x:v>
      </x:c>
      <x:c r="E752" s="4" t="str">
        <x:f>IFERROR(INDEX('Items'!$B$6:$B$1005,MATCH(D752,'Items'!$A$6:$A$1005,0)),"MISSING ID")</x:f>
        <x:v>Insulated winding subassembly</x:v>
      </x:c>
      <x:c r="F752" s="4" t="str">
        <x:f>IFERROR(INDEX('Items'!$C$6:$C$1005,MATCH(D752,'Items'!$A$6:$A$1005,0)),"MISSING ID")</x:f>
        <x:v>T4</x:v>
      </x:c>
      <x:c r="G752" s="4" t="str">
        <x:f>IFERROR(INDEX('Items'!$D$6:$D$1005,MATCH(D752,'Items'!$A$6:$A$1005,0)),"MISSING ID")</x:f>
        <x:v>Crafting components</x:v>
      </x:c>
      <x:c r="H752" s="4" t="str">
        <x:f>IFERROR(INDEX('Items'!$X$6:$X$1005,MATCH(D752,'Items'!$A$6:$A$1005,0)),"MISSING ID")</x:f>
        <x:v>Crafting component</x:v>
      </x:c>
      <x:c r="I752" s="4"/>
      <x:c r="J752" s="4" t="str">
        <x:v>Unspecified</x:v>
      </x:c>
      <x:c r="K752" s="4" t="str">
        <x:f>IFERROR(INDEX('Crafting recipes'!$D$6:$D$1005,MATCH(B752,'Crafting recipes'!$A$6:$A$1005,0)),"MISSING ID")</x:f>
        <x:v>Proposal</x:v>
      </x:c>
      <x:c r="L752" s="4" t="str">
        <x:f>IFERROR(INDEX('Items'!$AD$6:$AD$1005,MATCH(D752,'Items'!$A$6:$A$1005,0)),"MISSING ID")</x:f>
        <x:v>Proposal</x:v>
      </x:c>
      <x:c r="M752" s="4" t="str">
        <x:f>IFERROR(INDEX('Crafting recipes'!$E$6:$E$1005,MATCH(B752,'Crafting recipes'!$A$6:$A$1005,0)),"MISSING ID")</x:f>
        <x:v>Partial proposal</x:v>
      </x:c>
      <x:c r="N752" s="4" t="str">
        <x:v>Candidate process/hardware relationship; quantity and service compatibility remain open.</x:v>
      </x:c>
      <x:c r="O752" s="4" t="str">
        <x:v>Lore-coherence game proposal; selected WLD source proposals at f6f98515c005dc3c73cccd9cbc031691745740c6.</x:v>
      </x:c>
      <x:c r="P752" s="4" t="n">
        <x:f>IF(OR(C752="Ingredient candidate",C752="Consumed input",C752="Contained input",C752="Transform input"),IF(F752="T0",0,IF(F752="T1",1,IF(F752="T2",2,IF(F752="T3",3,IF(F752="T4",4,-1))))),-1)</x:f>
        <x:v>-1</x:v>
      </x:c>
      <x:c r="Q752" s="4" t="n">
        <x:f>IF(AND(OR(C752="Ingredient candidate",C752="Consumed input",C752="Contained input",C752="Transform input"),P752=-1),1,0)</x:f>
        <x:v>0</x:v>
      </x:c>
    </x:row>
    <x:row r="753" ht="115" customHeight="1">
      <x:c r="A753" s="4"/>
      <x:c r="B753" s="4"/>
      <x:c r="C753" s="4"/>
      <x:c r="D753" s="4"/>
      <x:c r="E753" s="4"/>
      <x:c r="F753" s="4"/>
      <x:c r="G753" s="4"/>
      <x:c r="H753" s="4"/>
      <x:c r="I753" s="4"/>
      <x:c r="J753" s="4"/>
      <x:c r="K753" s="4"/>
      <x:c r="L753" s="4"/>
      <x:c r="M753" s="4"/>
      <x:c r="N753" s="4"/>
      <x:c r="O753" s="4"/>
      <x:c r="P753" s="4"/>
      <x:c r="Q753" s="4"/>
    </x:row>
    <x:row r="754" ht="115" customHeight="1">
      <x:c r="A754" s="4"/>
      <x:c r="B754" s="4"/>
      <x:c r="C754" s="4"/>
      <x:c r="D754" s="4"/>
      <x:c r="E754" s="4"/>
      <x:c r="F754" s="4"/>
      <x:c r="G754" s="4"/>
      <x:c r="H754" s="4"/>
      <x:c r="I754" s="4"/>
      <x:c r="J754" s="4"/>
      <x:c r="K754" s="4"/>
      <x:c r="L754" s="4"/>
      <x:c r="M754" s="4"/>
      <x:c r="N754" s="4"/>
      <x:c r="O754" s="4"/>
      <x:c r="P754" s="4"/>
      <x:c r="Q754" s="4"/>
    </x:row>
    <x:row r="755" ht="115" customHeight="1">
      <x:c r="A755" s="4"/>
      <x:c r="B755" s="4"/>
      <x:c r="C755" s="4"/>
      <x:c r="D755" s="4"/>
      <x:c r="E755" s="4"/>
      <x:c r="F755" s="4"/>
      <x:c r="G755" s="4"/>
      <x:c r="H755" s="4"/>
      <x:c r="I755" s="4"/>
      <x:c r="J755" s="4"/>
      <x:c r="K755" s="4"/>
      <x:c r="L755" s="4"/>
      <x:c r="M755" s="4"/>
      <x:c r="N755" s="4"/>
      <x:c r="O755" s="4"/>
      <x:c r="P755" s="4"/>
      <x:c r="Q755" s="4"/>
    </x:row>
    <x:row r="756" ht="115" customHeight="1">
      <x:c r="A756" s="4" t="str">
        <x:v>design.t4.drive_cassette.lore.hardware.1</x:v>
      </x:c>
      <x:c r="B756" s="4" t="str">
        <x:v>design.t4.drive_cassette</x:v>
      </x:c>
      <x:c r="C756" s="4" t="str">
        <x:v>Ingredient candidate</x:v>
      </x:c>
      <x:c r="D756" s="4" t="str">
        <x:v>proposal.lore.fastener_set</x:v>
      </x:c>
      <x:c r="E756" s="4" t="str">
        <x:f>IFERROR(INDEX('Items'!$B$6:$B$1005,MATCH(D756,'Items'!$A$6:$A$1005,0)),"MISSING ID")</x:f>
        <x:v>Matched metal fastener set</x:v>
      </x:c>
      <x:c r="F756" s="4" t="str">
        <x:f>IFERROR(INDEX('Items'!$C$6:$C$1005,MATCH(D756,'Items'!$A$6:$A$1005,0)),"MISSING ID")</x:f>
        <x:v>T3</x:v>
      </x:c>
      <x:c r="G756" s="4" t="str">
        <x:f>IFERROR(INDEX('Items'!$D$6:$D$1005,MATCH(D756,'Items'!$A$6:$A$1005,0)),"MISSING ID")</x:f>
        <x:v>Crafting components</x:v>
      </x:c>
      <x:c r="H756" s="4" t="str">
        <x:f>IFERROR(INDEX('Items'!$X$6:$X$1005,MATCH(D756,'Items'!$A$6:$A$1005,0)),"MISSING ID")</x:f>
        <x:v>Crafting component</x:v>
      </x:c>
      <x:c r="I756" s="4"/>
      <x:c r="J756" s="4" t="str">
        <x:v>Unspecified</x:v>
      </x:c>
      <x:c r="K756" s="4" t="str">
        <x:f>IFERROR(INDEX('Crafting recipes'!$D$6:$D$1005,MATCH(B756,'Crafting recipes'!$A$6:$A$1005,0)),"MISSING ID")</x:f>
        <x:v>Proposal</x:v>
      </x:c>
      <x:c r="L756" s="4" t="str">
        <x:f>IFERROR(INDEX('Items'!$AD$6:$AD$1005,MATCH(D756,'Items'!$A$6:$A$1005,0)),"MISSING ID")</x:f>
        <x:v>Proposal</x:v>
      </x:c>
      <x:c r="M756" s="4" t="str">
        <x:f>IFERROR(INDEX('Crafting recipes'!$E$6:$E$1005,MATCH(B756,'Crafting recipes'!$A$6:$A$1005,0)),"MISSING ID")</x:f>
        <x:v>Partial proposal</x:v>
      </x:c>
      <x:c r="N756" s="4" t="str">
        <x:v>Candidate process/hardware relationship; quantity and service compatibility remain open.</x:v>
      </x:c>
      <x:c r="O756" s="4" t="str">
        <x:v>Lore-coherence game proposal; selected WLD source proposals at f6f98515c005dc3c73cccd9cbc031691745740c6.</x:v>
      </x:c>
      <x:c r="P756" s="4" t="n">
        <x:f>IF(OR(C756="Ingredient candidate",C756="Consumed input",C756="Contained input",C756="Transform input"),IF(F756="T0",0,IF(F756="T1",1,IF(F756="T2",2,IF(F756="T3",3,IF(F756="T4",4,-1))))),-1)</x:f>
        <x:v>3</x:v>
      </x:c>
      <x:c r="Q756" s="4" t="n">
        <x:f>IF(AND(OR(C756="Ingredient candidate",C756="Consumed input",C756="Contained input",C756="Transform input"),P756=-1),1,0)</x:f>
        <x:v>0</x:v>
      </x:c>
    </x:row>
    <x:row r="757" ht="115" customHeight="1">
      <x:c r="A757" s="4" t="str">
        <x:v>design.t4.bearing_cartridge.lore.hardware.2</x:v>
      </x:c>
      <x:c r="B757" s="4" t="str">
        <x:v>design.t4.bearing_cartridge</x:v>
      </x:c>
      <x:c r="C757" s="4" t="str">
        <x:v>Ingredient candidate</x:v>
      </x:c>
      <x:c r="D757" s="4" t="str">
        <x:v>proposal.lore.fastener_set</x:v>
      </x:c>
      <x:c r="E757" s="4" t="str">
        <x:f>IFERROR(INDEX('Items'!$B$6:$B$1005,MATCH(D757,'Items'!$A$6:$A$1005,0)),"MISSING ID")</x:f>
        <x:v>Matched metal fastener set</x:v>
      </x:c>
      <x:c r="F757" s="4" t="str">
        <x:f>IFERROR(INDEX('Items'!$C$6:$C$1005,MATCH(D757,'Items'!$A$6:$A$1005,0)),"MISSING ID")</x:f>
        <x:v>T3</x:v>
      </x:c>
      <x:c r="G757" s="4" t="str">
        <x:f>IFERROR(INDEX('Items'!$D$6:$D$1005,MATCH(D757,'Items'!$A$6:$A$1005,0)),"MISSING ID")</x:f>
        <x:v>Crafting components</x:v>
      </x:c>
      <x:c r="H757" s="4" t="str">
        <x:f>IFERROR(INDEX('Items'!$X$6:$X$1005,MATCH(D757,'Items'!$A$6:$A$1005,0)),"MISSING ID")</x:f>
        <x:v>Crafting component</x:v>
      </x:c>
      <x:c r="I757" s="4"/>
      <x:c r="J757" s="4" t="str">
        <x:v>Unspecified</x:v>
      </x:c>
      <x:c r="K757" s="4" t="str">
        <x:f>IFERROR(INDEX('Crafting recipes'!$D$6:$D$1005,MATCH(B757,'Crafting recipes'!$A$6:$A$1005,0)),"MISSING ID")</x:f>
        <x:v>Proposal</x:v>
      </x:c>
      <x:c r="L757" s="4" t="str">
        <x:f>IFERROR(INDEX('Items'!$AD$6:$AD$1005,MATCH(D757,'Items'!$A$6:$A$1005,0)),"MISSING ID")</x:f>
        <x:v>Proposal</x:v>
      </x:c>
      <x:c r="M757" s="4" t="str">
        <x:f>IFERROR(INDEX('Crafting recipes'!$E$6:$E$1005,MATCH(B757,'Crafting recipes'!$A$6:$A$1005,0)),"MISSING ID")</x:f>
        <x:v>Partial proposal</x:v>
      </x:c>
      <x:c r="N757" s="4" t="str">
        <x:v>Candidate process/hardware relationship; quantity and service compatibility remain open.</x:v>
      </x:c>
      <x:c r="O757" s="4" t="str">
        <x:v>Lore-coherence game proposal; selected WLD source proposals at f6f98515c005dc3c73cccd9cbc031691745740c6.</x:v>
      </x:c>
      <x:c r="P757" s="4" t="n">
        <x:f>IF(OR(C757="Ingredient candidate",C757="Consumed input",C757="Contained input",C757="Transform input"),IF(F757="T0",0,IF(F757="T1",1,IF(F757="T2",2,IF(F757="T3",3,IF(F757="T4",4,-1))))),-1)</x:f>
        <x:v>3</x:v>
      </x:c>
      <x:c r="Q757" s="4" t="n">
        <x:f>IF(AND(OR(C757="Ingredient candidate",C757="Consumed input",C757="Contained input",C757="Transform input"),P757=-1),1,0)</x:f>
        <x:v>0</x:v>
      </x:c>
    </x:row>
    <x:row r="758" ht="115" customHeight="1">
      <x:c r="A758" s="4" t="str">
        <x:v>design.t4.screened_chassis.lore.hardware.3</x:v>
      </x:c>
      <x:c r="B758" s="4" t="str">
        <x:v>design.t4.screened_chassis</x:v>
      </x:c>
      <x:c r="C758" s="4" t="str">
        <x:v>Ingredient candidate</x:v>
      </x:c>
      <x:c r="D758" s="4" t="str">
        <x:v>proposal.lore.fastener_set</x:v>
      </x:c>
      <x:c r="E758" s="4" t="str">
        <x:f>IFERROR(INDEX('Items'!$B$6:$B$1005,MATCH(D758,'Items'!$A$6:$A$1005,0)),"MISSING ID")</x:f>
        <x:v>Matched metal fastener set</x:v>
      </x:c>
      <x:c r="F758" s="4" t="str">
        <x:f>IFERROR(INDEX('Items'!$C$6:$C$1005,MATCH(D758,'Items'!$A$6:$A$1005,0)),"MISSING ID")</x:f>
        <x:v>T3</x:v>
      </x:c>
      <x:c r="G758" s="4" t="str">
        <x:f>IFERROR(INDEX('Items'!$D$6:$D$1005,MATCH(D758,'Items'!$A$6:$A$1005,0)),"MISSING ID")</x:f>
        <x:v>Crafting components</x:v>
      </x:c>
      <x:c r="H758" s="4" t="str">
        <x:f>IFERROR(INDEX('Items'!$X$6:$X$1005,MATCH(D758,'Items'!$A$6:$A$1005,0)),"MISSING ID")</x:f>
        <x:v>Crafting component</x:v>
      </x:c>
      <x:c r="I758" s="4"/>
      <x:c r="J758" s="4" t="str">
        <x:v>Unspecified</x:v>
      </x:c>
      <x:c r="K758" s="4" t="str">
        <x:f>IFERROR(INDEX('Crafting recipes'!$D$6:$D$1005,MATCH(B758,'Crafting recipes'!$A$6:$A$1005,0)),"MISSING ID")</x:f>
        <x:v>Proposal</x:v>
      </x:c>
      <x:c r="L758" s="4" t="str">
        <x:f>IFERROR(INDEX('Items'!$AD$6:$AD$1005,MATCH(D758,'Items'!$A$6:$A$1005,0)),"MISSING ID")</x:f>
        <x:v>Proposal</x:v>
      </x:c>
      <x:c r="M758" s="4" t="str">
        <x:f>IFERROR(INDEX('Crafting recipes'!$E$6:$E$1005,MATCH(B758,'Crafting recipes'!$A$6:$A$1005,0)),"MISSING ID")</x:f>
        <x:v>Partial proposal</x:v>
      </x:c>
      <x:c r="N758" s="4" t="str">
        <x:v>Candidate process/hardware relationship; quantity and service compatibility remain open.</x:v>
      </x:c>
      <x:c r="O758" s="4" t="str">
        <x:v>Lore-coherence game proposal; selected WLD source proposals at f6f98515c005dc3c73cccd9cbc031691745740c6.</x:v>
      </x:c>
      <x:c r="P758" s="4" t="n">
        <x:f>IF(OR(C758="Ingredient candidate",C758="Consumed input",C758="Contained input",C758="Transform input"),IF(F758="T0",0,IF(F758="T1",1,IF(F758="T2",2,IF(F758="T3",3,IF(F758="T4",4,-1))))),-1)</x:f>
        <x:v>3</x:v>
      </x:c>
      <x:c r="Q758" s="4" t="n">
        <x:f>IF(AND(OR(C758="Ingredient candidate",C758="Consumed input",C758="Contained input",C758="Transform input"),P758=-1),1,0)</x:f>
        <x:v>0</x:v>
      </x:c>
    </x:row>
    <x:row r="759" ht="115" customHeight="1">
      <x:c r="A759" s="4" t="str">
        <x:v>design.t4.electrical_bulkhead.lore.hardware.4</x:v>
      </x:c>
      <x:c r="B759" s="4" t="str">
        <x:v>design.t4.electrical_bulkhead</x:v>
      </x:c>
      <x:c r="C759" s="4" t="str">
        <x:v>Ingredient candidate</x:v>
      </x:c>
      <x:c r="D759" s="4" t="str">
        <x:v>proposal.lore.fastener_set</x:v>
      </x:c>
      <x:c r="E759" s="4" t="str">
        <x:f>IFERROR(INDEX('Items'!$B$6:$B$1005,MATCH(D759,'Items'!$A$6:$A$1005,0)),"MISSING ID")</x:f>
        <x:v>Matched metal fastener set</x:v>
      </x:c>
      <x:c r="F759" s="4" t="str">
        <x:f>IFERROR(INDEX('Items'!$C$6:$C$1005,MATCH(D759,'Items'!$A$6:$A$1005,0)),"MISSING ID")</x:f>
        <x:v>T3</x:v>
      </x:c>
      <x:c r="G759" s="4" t="str">
        <x:f>IFERROR(INDEX('Items'!$D$6:$D$1005,MATCH(D759,'Items'!$A$6:$A$1005,0)),"MISSING ID")</x:f>
        <x:v>Crafting components</x:v>
      </x:c>
      <x:c r="H759" s="4" t="str">
        <x:f>IFERROR(INDEX('Items'!$X$6:$X$1005,MATCH(D759,'Items'!$A$6:$A$1005,0)),"MISSING ID")</x:f>
        <x:v>Crafting component</x:v>
      </x:c>
      <x:c r="I759" s="4"/>
      <x:c r="J759" s="4" t="str">
        <x:v>Unspecified</x:v>
      </x:c>
      <x:c r="K759" s="4" t="str">
        <x:f>IFERROR(INDEX('Crafting recipes'!$D$6:$D$1005,MATCH(B759,'Crafting recipes'!$A$6:$A$1005,0)),"MISSING ID")</x:f>
        <x:v>Proposal</x:v>
      </x:c>
      <x:c r="L759" s="4" t="str">
        <x:f>IFERROR(INDEX('Items'!$AD$6:$AD$1005,MATCH(D759,'Items'!$A$6:$A$1005,0)),"MISSING ID")</x:f>
        <x:v>Proposal</x:v>
      </x:c>
      <x:c r="M759" s="4" t="str">
        <x:f>IFERROR(INDEX('Crafting recipes'!$E$6:$E$1005,MATCH(B759,'Crafting recipes'!$A$6:$A$1005,0)),"MISSING ID")</x:f>
        <x:v>Partial proposal</x:v>
      </x:c>
      <x:c r="N759" s="4" t="str">
        <x:v>Candidate process/hardware relationship; quantity and service compatibility remain open.</x:v>
      </x:c>
      <x:c r="O759" s="4" t="str">
        <x:v>Lore-coherence game proposal; selected WLD source proposals at f6f98515c005dc3c73cccd9cbc031691745740c6.</x:v>
      </x:c>
      <x:c r="P759" s="4" t="n">
        <x:f>IF(OR(C759="Ingredient candidate",C759="Consumed input",C759="Contained input",C759="Transform input"),IF(F759="T0",0,IF(F759="T1",1,IF(F759="T2",2,IF(F759="T3",3,IF(F759="T4",4,-1))))),-1)</x:f>
        <x:v>3</x:v>
      </x:c>
      <x:c r="Q759" s="4" t="n">
        <x:f>IF(AND(OR(C759="Ingredient candidate",C759="Consumed input",C759="Contained input",C759="Transform input"),P759=-1),1,0)</x:f>
        <x:v>0</x:v>
      </x:c>
    </x:row>
    <x:row r="760" ht="115" customHeight="1">
      <x:c r="A760" s="4" t="str">
        <x:v>design.t4.contact_block.lore.hardware.5</x:v>
      </x:c>
      <x:c r="B760" s="4" t="str">
        <x:v>design.t4.contact_block</x:v>
      </x:c>
      <x:c r="C760" s="4" t="str">
        <x:v>Ingredient candidate</x:v>
      </x:c>
      <x:c r="D760" s="4" t="str">
        <x:v>proposal.lore.fastener_set</x:v>
      </x:c>
      <x:c r="E760" s="4" t="str">
        <x:f>IFERROR(INDEX('Items'!$B$6:$B$1005,MATCH(D760,'Items'!$A$6:$A$1005,0)),"MISSING ID")</x:f>
        <x:v>Matched metal fastener set</x:v>
      </x:c>
      <x:c r="F760" s="4" t="str">
        <x:f>IFERROR(INDEX('Items'!$C$6:$C$1005,MATCH(D760,'Items'!$A$6:$A$1005,0)),"MISSING ID")</x:f>
        <x:v>T3</x:v>
      </x:c>
      <x:c r="G760" s="4" t="str">
        <x:f>IFERROR(INDEX('Items'!$D$6:$D$1005,MATCH(D760,'Items'!$A$6:$A$1005,0)),"MISSING ID")</x:f>
        <x:v>Crafting components</x:v>
      </x:c>
      <x:c r="H760" s="4" t="str">
        <x:f>IFERROR(INDEX('Items'!$X$6:$X$1005,MATCH(D760,'Items'!$A$6:$A$1005,0)),"MISSING ID")</x:f>
        <x:v>Crafting component</x:v>
      </x:c>
      <x:c r="I760" s="4"/>
      <x:c r="J760" s="4" t="str">
        <x:v>Unspecified</x:v>
      </x:c>
      <x:c r="K760" s="4" t="str">
        <x:f>IFERROR(INDEX('Crafting recipes'!$D$6:$D$1005,MATCH(B760,'Crafting recipes'!$A$6:$A$1005,0)),"MISSING ID")</x:f>
        <x:v>Proposal</x:v>
      </x:c>
      <x:c r="L760" s="4" t="str">
        <x:f>IFERROR(INDEX('Items'!$AD$6:$AD$1005,MATCH(D760,'Items'!$A$6:$A$1005,0)),"MISSING ID")</x:f>
        <x:v>Proposal</x:v>
      </x:c>
      <x:c r="M760" s="4" t="str">
        <x:f>IFERROR(INDEX('Crafting recipes'!$E$6:$E$1005,MATCH(B760,'Crafting recipes'!$A$6:$A$1005,0)),"MISSING ID")</x:f>
        <x:v>Partial proposal</x:v>
      </x:c>
      <x:c r="N760" s="4" t="str">
        <x:v>Candidate process/hardware relationship; quantity and service compatibility remain open.</x:v>
      </x:c>
      <x:c r="O760" s="4" t="str">
        <x:v>Lore-coherence game proposal; selected WLD source proposals at f6f98515c005dc3c73cccd9cbc031691745740c6.</x:v>
      </x:c>
      <x:c r="P760" s="4" t="n">
        <x:f>IF(OR(C760="Ingredient candidate",C760="Consumed input",C760="Contained input",C760="Transform input"),IF(F760="T0",0,IF(F760="T1",1,IF(F760="T2",2,IF(F760="T3",3,IF(F760="T4",4,-1))))),-1)</x:f>
        <x:v>3</x:v>
      </x:c>
      <x:c r="Q760" s="4" t="n">
        <x:f>IF(AND(OR(C760="Ingredient candidate",C760="Consumed input",C760="Contained input",C760="Transform input"),P760=-1),1,0)</x:f>
        <x:v>0</x:v>
      </x:c>
    </x:row>
    <x:row r="761" ht="115" customHeight="1">
      <x:c r="A761" s="4" t="str">
        <x:v>design.t4.articulated_guard.lore.hardware.6</x:v>
      </x:c>
      <x:c r="B761" s="4" t="str">
        <x:v>design.t4.articulated_guard</x:v>
      </x:c>
      <x:c r="C761" s="4" t="str">
        <x:v>Ingredient candidate</x:v>
      </x:c>
      <x:c r="D761" s="4" t="str">
        <x:v>proposal.lore.fastener_set</x:v>
      </x:c>
      <x:c r="E761" s="4" t="str">
        <x:f>IFERROR(INDEX('Items'!$B$6:$B$1005,MATCH(D761,'Items'!$A$6:$A$1005,0)),"MISSING ID")</x:f>
        <x:v>Matched metal fastener set</x:v>
      </x:c>
      <x:c r="F761" s="4" t="str">
        <x:f>IFERROR(INDEX('Items'!$C$6:$C$1005,MATCH(D761,'Items'!$A$6:$A$1005,0)),"MISSING ID")</x:f>
        <x:v>T3</x:v>
      </x:c>
      <x:c r="G761" s="4" t="str">
        <x:f>IFERROR(INDEX('Items'!$D$6:$D$1005,MATCH(D761,'Items'!$A$6:$A$1005,0)),"MISSING ID")</x:f>
        <x:v>Crafting components</x:v>
      </x:c>
      <x:c r="H761" s="4" t="str">
        <x:f>IFERROR(INDEX('Items'!$X$6:$X$1005,MATCH(D761,'Items'!$A$6:$A$1005,0)),"MISSING ID")</x:f>
        <x:v>Crafting component</x:v>
      </x:c>
      <x:c r="I761" s="4"/>
      <x:c r="J761" s="4" t="str">
        <x:v>Unspecified</x:v>
      </x:c>
      <x:c r="K761" s="4" t="str">
        <x:f>IFERROR(INDEX('Crafting recipes'!$D$6:$D$1005,MATCH(B761,'Crafting recipes'!$A$6:$A$1005,0)),"MISSING ID")</x:f>
        <x:v>Proposal</x:v>
      </x:c>
      <x:c r="L761" s="4" t="str">
        <x:f>IFERROR(INDEX('Items'!$AD$6:$AD$1005,MATCH(D761,'Items'!$A$6:$A$1005,0)),"MISSING ID")</x:f>
        <x:v>Proposal</x:v>
      </x:c>
      <x:c r="M761" s="4" t="str">
        <x:f>IFERROR(INDEX('Crafting recipes'!$E$6:$E$1005,MATCH(B761,'Crafting recipes'!$A$6:$A$1005,0)),"MISSING ID")</x:f>
        <x:v>Partial proposal</x:v>
      </x:c>
      <x:c r="N761" s="4" t="str">
        <x:v>Candidate process/hardware relationship; quantity and service compatibility remain open.</x:v>
      </x:c>
      <x:c r="O761" s="4" t="str">
        <x:v>Lore-coherence game proposal; selected WLD source proposals at f6f98515c005dc3c73cccd9cbc031691745740c6.</x:v>
      </x:c>
      <x:c r="P761" s="4" t="n">
        <x:f>IF(OR(C761="Ingredient candidate",C761="Consumed input",C761="Contained input",C761="Transform input"),IF(F761="T0",0,IF(F761="T1",1,IF(F761="T2",2,IF(F761="T3",3,IF(F761="T4",4,-1))))),-1)</x:f>
        <x:v>3</x:v>
      </x:c>
      <x:c r="Q761" s="4" t="n">
        <x:f>IF(AND(OR(C761="Ingredient candidate",C761="Consumed input",C761="Contained input",C761="Transform input"),P761=-1),1,0)</x:f>
        <x:v>0</x:v>
      </x:c>
    </x:row>
    <x:row r="762" ht="115" customHeight="1">
      <x:c r="A762" s="4" t="str">
        <x:v>design.t4.valve_core.lore.hardware.7</x:v>
      </x:c>
      <x:c r="B762" s="4" t="str">
        <x:v>design.t4.valve_core</x:v>
      </x:c>
      <x:c r="C762" s="4" t="str">
        <x:v>Ingredient candidate</x:v>
      </x:c>
      <x:c r="D762" s="4" t="str">
        <x:v>proposal.lore.fastener_set</x:v>
      </x:c>
      <x:c r="E762" s="4" t="str">
        <x:f>IFERROR(INDEX('Items'!$B$6:$B$1005,MATCH(D762,'Items'!$A$6:$A$1005,0)),"MISSING ID")</x:f>
        <x:v>Matched metal fastener set</x:v>
      </x:c>
      <x:c r="F762" s="4" t="str">
        <x:f>IFERROR(INDEX('Items'!$C$6:$C$1005,MATCH(D762,'Items'!$A$6:$A$1005,0)),"MISSING ID")</x:f>
        <x:v>T3</x:v>
      </x:c>
      <x:c r="G762" s="4" t="str">
        <x:f>IFERROR(INDEX('Items'!$D$6:$D$1005,MATCH(D762,'Items'!$A$6:$A$1005,0)),"MISSING ID")</x:f>
        <x:v>Crafting components</x:v>
      </x:c>
      <x:c r="H762" s="4" t="str">
        <x:f>IFERROR(INDEX('Items'!$X$6:$X$1005,MATCH(D762,'Items'!$A$6:$A$1005,0)),"MISSING ID")</x:f>
        <x:v>Crafting component</x:v>
      </x:c>
      <x:c r="I762" s="4"/>
      <x:c r="J762" s="4" t="str">
        <x:v>Unspecified</x:v>
      </x:c>
      <x:c r="K762" s="4" t="str">
        <x:f>IFERROR(INDEX('Crafting recipes'!$D$6:$D$1005,MATCH(B762,'Crafting recipes'!$A$6:$A$1005,0)),"MISSING ID")</x:f>
        <x:v>Proposal</x:v>
      </x:c>
      <x:c r="L762" s="4" t="str">
        <x:f>IFERROR(INDEX('Items'!$AD$6:$AD$1005,MATCH(D762,'Items'!$A$6:$A$1005,0)),"MISSING ID")</x:f>
        <x:v>Proposal</x:v>
      </x:c>
      <x:c r="M762" s="4" t="str">
        <x:f>IFERROR(INDEX('Crafting recipes'!$E$6:$E$1005,MATCH(B762,'Crafting recipes'!$A$6:$A$1005,0)),"MISSING ID")</x:f>
        <x:v>Partial proposal</x:v>
      </x:c>
      <x:c r="N762" s="4" t="str">
        <x:v>Candidate process/hardware relationship; quantity and service compatibility remain open.</x:v>
      </x:c>
      <x:c r="O762" s="4" t="str">
        <x:v>Lore-coherence game proposal; selected WLD source proposals at f6f98515c005dc3c73cccd9cbc031691745740c6.</x:v>
      </x:c>
      <x:c r="P762" s="4" t="n">
        <x:f>IF(OR(C762="Ingredient candidate",C762="Consumed input",C762="Contained input",C762="Transform input"),IF(F762="T0",0,IF(F762="T1",1,IF(F762="T2",2,IF(F762="T3",3,IF(F762="T4",4,-1))))),-1)</x:f>
        <x:v>3</x:v>
      </x:c>
      <x:c r="Q762" s="4" t="n">
        <x:f>IF(AND(OR(C762="Ingredient candidate",C762="Consumed input",C762="Contained input",C762="Transform input"),P762=-1),1,0)</x:f>
        <x:v>0</x:v>
      </x:c>
    </x:row>
    <x:row r="763" ht="115" customHeight="1">
      <x:c r="A763" s="4" t="str">
        <x:v>design.t4.seal_carrier.lore.hardware.8</x:v>
      </x:c>
      <x:c r="B763" s="4" t="str">
        <x:v>design.t4.seal_carrier</x:v>
      </x:c>
      <x:c r="C763" s="4" t="str">
        <x:v>Ingredient candidate</x:v>
      </x:c>
      <x:c r="D763" s="4" t="str">
        <x:v>proposal.lore.fastener_set</x:v>
      </x:c>
      <x:c r="E763" s="4" t="str">
        <x:f>IFERROR(INDEX('Items'!$B$6:$B$1005,MATCH(D763,'Items'!$A$6:$A$1005,0)),"MISSING ID")</x:f>
        <x:v>Matched metal fastener set</x:v>
      </x:c>
      <x:c r="F763" s="4" t="str">
        <x:f>IFERROR(INDEX('Items'!$C$6:$C$1005,MATCH(D763,'Items'!$A$6:$A$1005,0)),"MISSING ID")</x:f>
        <x:v>T3</x:v>
      </x:c>
      <x:c r="G763" s="4" t="str">
        <x:f>IFERROR(INDEX('Items'!$D$6:$D$1005,MATCH(D763,'Items'!$A$6:$A$1005,0)),"MISSING ID")</x:f>
        <x:v>Crafting components</x:v>
      </x:c>
      <x:c r="H763" s="4" t="str">
        <x:f>IFERROR(INDEX('Items'!$X$6:$X$1005,MATCH(D763,'Items'!$A$6:$A$1005,0)),"MISSING ID")</x:f>
        <x:v>Crafting component</x:v>
      </x:c>
      <x:c r="I763" s="4"/>
      <x:c r="J763" s="4" t="str">
        <x:v>Unspecified</x:v>
      </x:c>
      <x:c r="K763" s="4" t="str">
        <x:f>IFERROR(INDEX('Crafting recipes'!$D$6:$D$1005,MATCH(B763,'Crafting recipes'!$A$6:$A$1005,0)),"MISSING ID")</x:f>
        <x:v>Proposal</x:v>
      </x:c>
      <x:c r="L763" s="4" t="str">
        <x:f>IFERROR(INDEX('Items'!$AD$6:$AD$1005,MATCH(D763,'Items'!$A$6:$A$1005,0)),"MISSING ID")</x:f>
        <x:v>Proposal</x:v>
      </x:c>
      <x:c r="M763" s="4" t="str">
        <x:f>IFERROR(INDEX('Crafting recipes'!$E$6:$E$1005,MATCH(B763,'Crafting recipes'!$A$6:$A$1005,0)),"MISSING ID")</x:f>
        <x:v>Partial proposal</x:v>
      </x:c>
      <x:c r="N763" s="4" t="str">
        <x:v>Candidate process/hardware relationship; quantity and service compatibility remain open.</x:v>
      </x:c>
      <x:c r="O763" s="4" t="str">
        <x:v>Lore-coherence game proposal; selected WLD source proposals at f6f98515c005dc3c73cccd9cbc031691745740c6.</x:v>
      </x:c>
      <x:c r="P763" s="4" t="n">
        <x:f>IF(OR(C763="Ingredient candidate",C763="Consumed input",C763="Contained input",C763="Transform input"),IF(F763="T0",0,IF(F763="T1",1,IF(F763="T2",2,IF(F763="T3",3,IF(F763="T4",4,-1))))),-1)</x:f>
        <x:v>3</x:v>
      </x:c>
      <x:c r="Q763" s="4" t="n">
        <x:f>IF(AND(OR(C763="Ingredient candidate",C763="Consumed input",C763="Contained input",C763="Transform input"),P763=-1),1,0)</x:f>
        <x:v>0</x:v>
      </x:c>
    </x:row>
    <x:row r="764" ht="115" customHeight="1">
      <x:c r="A764" s="4" t="str">
        <x:v>design.t4.spar_joint.lore.hardware.9</x:v>
      </x:c>
      <x:c r="B764" s="4" t="str">
        <x:v>design.t4.spar_joint</x:v>
      </x:c>
      <x:c r="C764" s="4" t="str">
        <x:v>Ingredient candidate</x:v>
      </x:c>
      <x:c r="D764" s="4" t="str">
        <x:v>proposal.lore.fastener_set</x:v>
      </x:c>
      <x:c r="E764" s="4" t="str">
        <x:f>IFERROR(INDEX('Items'!$B$6:$B$1005,MATCH(D764,'Items'!$A$6:$A$1005,0)),"MISSING ID")</x:f>
        <x:v>Matched metal fastener set</x:v>
      </x:c>
      <x:c r="F764" s="4" t="str">
        <x:f>IFERROR(INDEX('Items'!$C$6:$C$1005,MATCH(D764,'Items'!$A$6:$A$1005,0)),"MISSING ID")</x:f>
        <x:v>T3</x:v>
      </x:c>
      <x:c r="G764" s="4" t="str">
        <x:f>IFERROR(INDEX('Items'!$D$6:$D$1005,MATCH(D764,'Items'!$A$6:$A$1005,0)),"MISSING ID")</x:f>
        <x:v>Crafting components</x:v>
      </x:c>
      <x:c r="H764" s="4" t="str">
        <x:f>IFERROR(INDEX('Items'!$X$6:$X$1005,MATCH(D764,'Items'!$A$6:$A$1005,0)),"MISSING ID")</x:f>
        <x:v>Crafting component</x:v>
      </x:c>
      <x:c r="I764" s="4"/>
      <x:c r="J764" s="4" t="str">
        <x:v>Unspecified</x:v>
      </x:c>
      <x:c r="K764" s="4" t="str">
        <x:f>IFERROR(INDEX('Crafting recipes'!$D$6:$D$1005,MATCH(B764,'Crafting recipes'!$A$6:$A$1005,0)),"MISSING ID")</x:f>
        <x:v>Proposal</x:v>
      </x:c>
      <x:c r="L764" s="4" t="str">
        <x:f>IFERROR(INDEX('Items'!$AD$6:$AD$1005,MATCH(D764,'Items'!$A$6:$A$1005,0)),"MISSING ID")</x:f>
        <x:v>Proposal</x:v>
      </x:c>
      <x:c r="M764" s="4" t="str">
        <x:f>IFERROR(INDEX('Crafting recipes'!$E$6:$E$1005,MATCH(B764,'Crafting recipes'!$A$6:$A$1005,0)),"MISSING ID")</x:f>
        <x:v>Partial proposal</x:v>
      </x:c>
      <x:c r="N764" s="4" t="str">
        <x:v>Candidate process/hardware relationship; quantity and service compatibility remain open.</x:v>
      </x:c>
      <x:c r="O764" s="4" t="str">
        <x:v>Lore-coherence game proposal; selected WLD source proposals at f6f98515c005dc3c73cccd9cbc031691745740c6.</x:v>
      </x:c>
      <x:c r="P764" s="4" t="n">
        <x:f>IF(OR(C764="Ingredient candidate",C764="Consumed input",C764="Contained input",C764="Transform input"),IF(F764="T0",0,IF(F764="T1",1,IF(F764="T2",2,IF(F764="T3",3,IF(F764="T4",4,-1))))),-1)</x:f>
        <x:v>3</x:v>
      </x:c>
      <x:c r="Q764" s="4" t="n">
        <x:f>IF(AND(OR(C764="Ingredient candidate",C764="Consumed input",C764="Contained input",C764="Transform input"),P764=-1),1,0)</x:f>
        <x:v>0</x:v>
      </x:c>
    </x:row>
    <x:row r="765" ht="115" customHeight="1">
      <x:c r="A765" s="4" t="str">
        <x:v>design.t4.joined_wing_panels.lore.hardware.10</x:v>
      </x:c>
      <x:c r="B765" s="4" t="str">
        <x:v>design.t4.joined_wing_panels</x:v>
      </x:c>
      <x:c r="C765" s="4" t="str">
        <x:v>Ingredient candidate</x:v>
      </x:c>
      <x:c r="D765" s="4" t="str">
        <x:v>proposal.lore.fastener_set</x:v>
      </x:c>
      <x:c r="E765" s="4" t="str">
        <x:f>IFERROR(INDEX('Items'!$B$6:$B$1005,MATCH(D765,'Items'!$A$6:$A$1005,0)),"MISSING ID")</x:f>
        <x:v>Matched metal fastener set</x:v>
      </x:c>
      <x:c r="F765" s="4" t="str">
        <x:f>IFERROR(INDEX('Items'!$C$6:$C$1005,MATCH(D765,'Items'!$A$6:$A$1005,0)),"MISSING ID")</x:f>
        <x:v>T3</x:v>
      </x:c>
      <x:c r="G765" s="4" t="str">
        <x:f>IFERROR(INDEX('Items'!$D$6:$D$1005,MATCH(D765,'Items'!$A$6:$A$1005,0)),"MISSING ID")</x:f>
        <x:v>Crafting components</x:v>
      </x:c>
      <x:c r="H765" s="4" t="str">
        <x:f>IFERROR(INDEX('Items'!$X$6:$X$1005,MATCH(D765,'Items'!$A$6:$A$1005,0)),"MISSING ID")</x:f>
        <x:v>Crafting component</x:v>
      </x:c>
      <x:c r="I765" s="4"/>
      <x:c r="J765" s="4" t="str">
        <x:v>Unspecified</x:v>
      </x:c>
      <x:c r="K765" s="4" t="str">
        <x:f>IFERROR(INDEX('Crafting recipes'!$D$6:$D$1005,MATCH(B765,'Crafting recipes'!$A$6:$A$1005,0)),"MISSING ID")</x:f>
        <x:v>Proposal</x:v>
      </x:c>
      <x:c r="L765" s="4" t="str">
        <x:f>IFERROR(INDEX('Items'!$AD$6:$AD$1005,MATCH(D765,'Items'!$A$6:$A$1005,0)),"MISSING ID")</x:f>
        <x:v>Proposal</x:v>
      </x:c>
      <x:c r="M765" s="4" t="str">
        <x:f>IFERROR(INDEX('Crafting recipes'!$E$6:$E$1005,MATCH(B765,'Crafting recipes'!$A$6:$A$1005,0)),"MISSING ID")</x:f>
        <x:v>Partial proposal</x:v>
      </x:c>
      <x:c r="N765" s="4" t="str">
        <x:v>Candidate process/hardware relationship; quantity and service compatibility remain open.</x:v>
      </x:c>
      <x:c r="O765" s="4" t="str">
        <x:v>Lore-coherence game proposal; selected WLD source proposals at f6f98515c005dc3c73cccd9cbc031691745740c6.</x:v>
      </x:c>
      <x:c r="P765" s="4" t="n">
        <x:f>IF(OR(C765="Ingredient candidate",C765="Consumed input",C765="Contained input",C765="Transform input"),IF(F765="T0",0,IF(F765="T1",1,IF(F765="T2",2,IF(F765="T3",3,IF(F765="T4",4,-1))))),-1)</x:f>
        <x:v>3</x:v>
      </x:c>
      <x:c r="Q765" s="4" t="n">
        <x:f>IF(AND(OR(C765="Ingredient candidate",C765="Consumed input",C765="Contained input",C765="Transform input"),P765=-1),1,0)</x:f>
        <x:v>0</x:v>
      </x:c>
    </x:row>
    <x:row r="766" ht="115" customHeight="1">
      <x:c r="A766" s="4" t="str">
        <x:v>design.t4.turbine_hub.lore.hardware.11</x:v>
      </x:c>
      <x:c r="B766" s="4" t="str">
        <x:v>design.t4.turbine_hub</x:v>
      </x:c>
      <x:c r="C766" s="4" t="str">
        <x:v>Ingredient candidate</x:v>
      </x:c>
      <x:c r="D766" s="4" t="str">
        <x:v>proposal.lore.fastener_set</x:v>
      </x:c>
      <x:c r="E766" s="4" t="str">
        <x:f>IFERROR(INDEX('Items'!$B$6:$B$1005,MATCH(D766,'Items'!$A$6:$A$1005,0)),"MISSING ID")</x:f>
        <x:v>Matched metal fastener set</x:v>
      </x:c>
      <x:c r="F766" s="4" t="str">
        <x:f>IFERROR(INDEX('Items'!$C$6:$C$1005,MATCH(D766,'Items'!$A$6:$A$1005,0)),"MISSING ID")</x:f>
        <x:v>T3</x:v>
      </x:c>
      <x:c r="G766" s="4" t="str">
        <x:f>IFERROR(INDEX('Items'!$D$6:$D$1005,MATCH(D766,'Items'!$A$6:$A$1005,0)),"MISSING ID")</x:f>
        <x:v>Crafting components</x:v>
      </x:c>
      <x:c r="H766" s="4" t="str">
        <x:f>IFERROR(INDEX('Items'!$X$6:$X$1005,MATCH(D766,'Items'!$A$6:$A$1005,0)),"MISSING ID")</x:f>
        <x:v>Crafting component</x:v>
      </x:c>
      <x:c r="I766" s="4"/>
      <x:c r="J766" s="4" t="str">
        <x:v>Unspecified</x:v>
      </x:c>
      <x:c r="K766" s="4" t="str">
        <x:f>IFERROR(INDEX('Crafting recipes'!$D$6:$D$1005,MATCH(B766,'Crafting recipes'!$A$6:$A$1005,0)),"MISSING ID")</x:f>
        <x:v>Proposal</x:v>
      </x:c>
      <x:c r="L766" s="4" t="str">
        <x:f>IFERROR(INDEX('Items'!$AD$6:$AD$1005,MATCH(D766,'Items'!$A$6:$A$1005,0)),"MISSING ID")</x:f>
        <x:v>Proposal</x:v>
      </x:c>
      <x:c r="M766" s="4" t="str">
        <x:f>IFERROR(INDEX('Crafting recipes'!$E$6:$E$1005,MATCH(B766,'Crafting recipes'!$A$6:$A$1005,0)),"MISSING ID")</x:f>
        <x:v>Partial proposal</x:v>
      </x:c>
      <x:c r="N766" s="4" t="str">
        <x:v>Candidate process/hardware relationship; quantity and service compatibility remain open.</x:v>
      </x:c>
      <x:c r="O766" s="4" t="str">
        <x:v>Lore-coherence game proposal; selected WLD source proposals at f6f98515c005dc3c73cccd9cbc031691745740c6.</x:v>
      </x:c>
      <x:c r="P766" s="4" t="n">
        <x:f>IF(OR(C766="Ingredient candidate",C766="Consumed input",C766="Contained input",C766="Transform input"),IF(F766="T0",0,IF(F766="T1",1,IF(F766="T2",2,IF(F766="T3",3,IF(F766="T4",4,-1))))),-1)</x:f>
        <x:v>3</x:v>
      </x:c>
      <x:c r="Q766" s="4" t="n">
        <x:f>IF(AND(OR(C766="Ingredient candidate",C766="Consumed input",C766="Contained input",C766="Transform input"),P766=-1),1,0)</x:f>
        <x:v>0</x:v>
      </x:c>
    </x:row>
    <x:row r="767" ht="115" customHeight="1">
      <x:c r="A767" s="4" t="str">
        <x:v>design.t4.wheel_hub.lore.hardware.12</x:v>
      </x:c>
      <x:c r="B767" s="4" t="str">
        <x:v>design.t4.wheel_hub</x:v>
      </x:c>
      <x:c r="C767" s="4" t="str">
        <x:v>Ingredient candidate</x:v>
      </x:c>
      <x:c r="D767" s="4" t="str">
        <x:v>proposal.lore.fastener_set</x:v>
      </x:c>
      <x:c r="E767" s="4" t="str">
        <x:f>IFERROR(INDEX('Items'!$B$6:$B$1005,MATCH(D767,'Items'!$A$6:$A$1005,0)),"MISSING ID")</x:f>
        <x:v>Matched metal fastener set</x:v>
      </x:c>
      <x:c r="F767" s="4" t="str">
        <x:f>IFERROR(INDEX('Items'!$C$6:$C$1005,MATCH(D767,'Items'!$A$6:$A$1005,0)),"MISSING ID")</x:f>
        <x:v>T3</x:v>
      </x:c>
      <x:c r="G767" s="4" t="str">
        <x:f>IFERROR(INDEX('Items'!$D$6:$D$1005,MATCH(D767,'Items'!$A$6:$A$1005,0)),"MISSING ID")</x:f>
        <x:v>Crafting components</x:v>
      </x:c>
      <x:c r="H767" s="4" t="str">
        <x:f>IFERROR(INDEX('Items'!$X$6:$X$1005,MATCH(D767,'Items'!$A$6:$A$1005,0)),"MISSING ID")</x:f>
        <x:v>Crafting component</x:v>
      </x:c>
      <x:c r="I767" s="4"/>
      <x:c r="J767" s="4" t="str">
        <x:v>Unspecified</x:v>
      </x:c>
      <x:c r="K767" s="4" t="str">
        <x:f>IFERROR(INDEX('Crafting recipes'!$D$6:$D$1005,MATCH(B767,'Crafting recipes'!$A$6:$A$1005,0)),"MISSING ID")</x:f>
        <x:v>Proposal</x:v>
      </x:c>
      <x:c r="L767" s="4" t="str">
        <x:f>IFERROR(INDEX('Items'!$AD$6:$AD$1005,MATCH(D767,'Items'!$A$6:$A$1005,0)),"MISSING ID")</x:f>
        <x:v>Proposal</x:v>
      </x:c>
      <x:c r="M767" s="4" t="str">
        <x:f>IFERROR(INDEX('Crafting recipes'!$E$6:$E$1005,MATCH(B767,'Crafting recipes'!$A$6:$A$1005,0)),"MISSING ID")</x:f>
        <x:v>Partial proposal</x:v>
      </x:c>
      <x:c r="N767" s="4" t="str">
        <x:v>Candidate process/hardware relationship; quantity and service compatibility remain open.</x:v>
      </x:c>
      <x:c r="O767" s="4" t="str">
        <x:v>Lore-coherence game proposal; selected WLD source proposals at f6f98515c005dc3c73cccd9cbc031691745740c6.</x:v>
      </x:c>
      <x:c r="P767" s="4" t="n">
        <x:f>IF(OR(C767="Ingredient candidate",C767="Consumed input",C767="Contained input",C767="Transform input"),IF(F767="T0",0,IF(F767="T1",1,IF(F767="T2",2,IF(F767="T3",3,IF(F767="T4",4,-1))))),-1)</x:f>
        <x:v>3</x:v>
      </x:c>
      <x:c r="Q767" s="4" t="n">
        <x:f>IF(AND(OR(C767="Ingredient candidate",C767="Consumed input",C767="Contained input",C767="Transform input"),P767=-1),1,0)</x:f>
        <x:v>0</x:v>
      </x:c>
    </x:row>
    <x:row r="768" ht="115" customHeight="1">
      <x:c r="A768" s="4" t="str">
        <x:v>design.t4.grinding_head.lore.hardware.13</x:v>
      </x:c>
      <x:c r="B768" s="4" t="str">
        <x:v>design.t4.grinding_head</x:v>
      </x:c>
      <x:c r="C768" s="4" t="str">
        <x:v>Ingredient candidate</x:v>
      </x:c>
      <x:c r="D768" s="4" t="str">
        <x:v>proposal.lore.fastener_set</x:v>
      </x:c>
      <x:c r="E768" s="4" t="str">
        <x:f>IFERROR(INDEX('Items'!$B$6:$B$1005,MATCH(D768,'Items'!$A$6:$A$1005,0)),"MISSING ID")</x:f>
        <x:v>Matched metal fastener set</x:v>
      </x:c>
      <x:c r="F768" s="4" t="str">
        <x:f>IFERROR(INDEX('Items'!$C$6:$C$1005,MATCH(D768,'Items'!$A$6:$A$1005,0)),"MISSING ID")</x:f>
        <x:v>T3</x:v>
      </x:c>
      <x:c r="G768" s="4" t="str">
        <x:f>IFERROR(INDEX('Items'!$D$6:$D$1005,MATCH(D768,'Items'!$A$6:$A$1005,0)),"MISSING ID")</x:f>
        <x:v>Crafting components</x:v>
      </x:c>
      <x:c r="H768" s="4" t="str">
        <x:f>IFERROR(INDEX('Items'!$X$6:$X$1005,MATCH(D768,'Items'!$A$6:$A$1005,0)),"MISSING ID")</x:f>
        <x:v>Crafting component</x:v>
      </x:c>
      <x:c r="I768" s="4"/>
      <x:c r="J768" s="4" t="str">
        <x:v>Unspecified</x:v>
      </x:c>
      <x:c r="K768" s="4" t="str">
        <x:f>IFERROR(INDEX('Crafting recipes'!$D$6:$D$1005,MATCH(B768,'Crafting recipes'!$A$6:$A$1005,0)),"MISSING ID")</x:f>
        <x:v>Proposal</x:v>
      </x:c>
      <x:c r="L768" s="4" t="str">
        <x:f>IFERROR(INDEX('Items'!$AD$6:$AD$1005,MATCH(D768,'Items'!$A$6:$A$1005,0)),"MISSING ID")</x:f>
        <x:v>Proposal</x:v>
      </x:c>
      <x:c r="M768" s="4" t="str">
        <x:f>IFERROR(INDEX('Crafting recipes'!$E$6:$E$1005,MATCH(B768,'Crafting recipes'!$A$6:$A$1005,0)),"MISSING ID")</x:f>
        <x:v>Partial proposal</x:v>
      </x:c>
      <x:c r="N768" s="4" t="str">
        <x:v>Candidate process/hardware relationship; quantity and service compatibility remain open.</x:v>
      </x:c>
      <x:c r="O768" s="4" t="str">
        <x:v>Lore-coherence game proposal; selected WLD source proposals at f6f98515c005dc3c73cccd9cbc031691745740c6.</x:v>
      </x:c>
      <x:c r="P768" s="4" t="n">
        <x:f>IF(OR(C768="Ingredient candidate",C768="Consumed input",C768="Contained input",C768="Transform input"),IF(F768="T0",0,IF(F768="T1",1,IF(F768="T2",2,IF(F768="T3",3,IF(F768="T4",4,-1))))),-1)</x:f>
        <x:v>3</x:v>
      </x:c>
      <x:c r="Q768" s="4" t="n">
        <x:f>IF(AND(OR(C768="Ingredient candidate",C768="Consumed input",C768="Contained input",C768="Transform input"),P768=-1),1,0)</x:f>
        <x:v>0</x:v>
      </x:c>
    </x:row>
    <x:row r="769" ht="115" customHeight="1">
      <x:c r="A769" s="4" t="str">
        <x:v>design.t4.acoustic_cassette.lore.hardware.14</x:v>
      </x:c>
      <x:c r="B769" s="4" t="str">
        <x:v>design.t4.acoustic_cassette</x:v>
      </x:c>
      <x:c r="C769" s="4" t="str">
        <x:v>Ingredient candidate</x:v>
      </x:c>
      <x:c r="D769" s="4" t="str">
        <x:v>proposal.lore.fastener_set</x:v>
      </x:c>
      <x:c r="E769" s="4" t="str">
        <x:f>IFERROR(INDEX('Items'!$B$6:$B$1005,MATCH(D769,'Items'!$A$6:$A$1005,0)),"MISSING ID")</x:f>
        <x:v>Matched metal fastener set</x:v>
      </x:c>
      <x:c r="F769" s="4" t="str">
        <x:f>IFERROR(INDEX('Items'!$C$6:$C$1005,MATCH(D769,'Items'!$A$6:$A$1005,0)),"MISSING ID")</x:f>
        <x:v>T3</x:v>
      </x:c>
      <x:c r="G769" s="4" t="str">
        <x:f>IFERROR(INDEX('Items'!$D$6:$D$1005,MATCH(D769,'Items'!$A$6:$A$1005,0)),"MISSING ID")</x:f>
        <x:v>Crafting components</x:v>
      </x:c>
      <x:c r="H769" s="4" t="str">
        <x:f>IFERROR(INDEX('Items'!$X$6:$X$1005,MATCH(D769,'Items'!$A$6:$A$1005,0)),"MISSING ID")</x:f>
        <x:v>Crafting component</x:v>
      </x:c>
      <x:c r="I769" s="4"/>
      <x:c r="J769" s="4" t="str">
        <x:v>Unspecified</x:v>
      </x:c>
      <x:c r="K769" s="4" t="str">
        <x:f>IFERROR(INDEX('Crafting recipes'!$D$6:$D$1005,MATCH(B769,'Crafting recipes'!$A$6:$A$1005,0)),"MISSING ID")</x:f>
        <x:v>Proposal</x:v>
      </x:c>
      <x:c r="L769" s="4" t="str">
        <x:f>IFERROR(INDEX('Items'!$AD$6:$AD$1005,MATCH(D769,'Items'!$A$6:$A$1005,0)),"MISSING ID")</x:f>
        <x:v>Proposal</x:v>
      </x:c>
      <x:c r="M769" s="4" t="str">
        <x:f>IFERROR(INDEX('Crafting recipes'!$E$6:$E$1005,MATCH(B769,'Crafting recipes'!$A$6:$A$1005,0)),"MISSING ID")</x:f>
        <x:v>Partial proposal</x:v>
      </x:c>
      <x:c r="N769" s="4" t="str">
        <x:v>Candidate process/hardware relationship; quantity and service compatibility remain open.</x:v>
      </x:c>
      <x:c r="O769" s="4" t="str">
        <x:v>Lore-coherence game proposal; selected WLD source proposals at f6f98515c005dc3c73cccd9cbc031691745740c6.</x:v>
      </x:c>
      <x:c r="P769" s="4" t="n">
        <x:f>IF(OR(C769="Ingredient candidate",C769="Consumed input",C769="Contained input",C769="Transform input"),IF(F769="T0",0,IF(F769="T1",1,IF(F769="T2",2,IF(F769="T3",3,IF(F769="T4",4,-1))))),-1)</x:f>
        <x:v>3</x:v>
      </x:c>
      <x:c r="Q769" s="4" t="n">
        <x:f>IF(AND(OR(C769="Ingredient candidate",C769="Consumed input",C769="Contained input",C769="Transform input"),P769=-1),1,0)</x:f>
        <x:v>0</x:v>
      </x:c>
    </x:row>
    <x:row r="770" ht="115" customHeight="1">
      <x:c r="A770" s="4" t="str">
        <x:v>design.t4.valve_core.lore.hardware.15</x:v>
      </x:c>
      <x:c r="B770" s="4" t="str">
        <x:v>design.t4.valve_core</x:v>
      </x:c>
      <x:c r="C770" s="4" t="str">
        <x:v>Ingredient candidate</x:v>
      </x:c>
      <x:c r="D770" s="4" t="str">
        <x:v>proposal.lore.threaded_fittings</x:v>
      </x:c>
      <x:c r="E770" s="4" t="str">
        <x:f>IFERROR(INDEX('Items'!$B$6:$B$1005,MATCH(D770,'Items'!$A$6:$A$1005,0)),"MISSING ID")</x:f>
        <x:v>Threaded metal fitting blanks</x:v>
      </x:c>
      <x:c r="F770" s="4" t="str">
        <x:f>IFERROR(INDEX('Items'!$C$6:$C$1005,MATCH(D770,'Items'!$A$6:$A$1005,0)),"MISSING ID")</x:f>
        <x:v>T3</x:v>
      </x:c>
      <x:c r="G770" s="4" t="str">
        <x:f>IFERROR(INDEX('Items'!$D$6:$D$1005,MATCH(D770,'Items'!$A$6:$A$1005,0)),"MISSING ID")</x:f>
        <x:v>Crafting components</x:v>
      </x:c>
      <x:c r="H770" s="4" t="str">
        <x:f>IFERROR(INDEX('Items'!$X$6:$X$1005,MATCH(D770,'Items'!$A$6:$A$1005,0)),"MISSING ID")</x:f>
        <x:v>Crafting component</x:v>
      </x:c>
      <x:c r="I770" s="4"/>
      <x:c r="J770" s="4" t="str">
        <x:v>Unspecified</x:v>
      </x:c>
      <x:c r="K770" s="4" t="str">
        <x:f>IFERROR(INDEX('Crafting recipes'!$D$6:$D$1005,MATCH(B770,'Crafting recipes'!$A$6:$A$1005,0)),"MISSING ID")</x:f>
        <x:v>Proposal</x:v>
      </x:c>
      <x:c r="L770" s="4" t="str">
        <x:f>IFERROR(INDEX('Items'!$AD$6:$AD$1005,MATCH(D770,'Items'!$A$6:$A$1005,0)),"MISSING ID")</x:f>
        <x:v>Proposal</x:v>
      </x:c>
      <x:c r="M770" s="4" t="str">
        <x:f>IFERROR(INDEX('Crafting recipes'!$E$6:$E$1005,MATCH(B770,'Crafting recipes'!$A$6:$A$1005,0)),"MISSING ID")</x:f>
        <x:v>Partial proposal</x:v>
      </x:c>
      <x:c r="N770" s="4" t="str">
        <x:v>Candidate process/hardware relationship; quantity and service compatibility remain open.</x:v>
      </x:c>
      <x:c r="O770" s="4" t="str">
        <x:v>Lore-coherence game proposal; selected WLD source proposals at f6f98515c005dc3c73cccd9cbc031691745740c6.</x:v>
      </x:c>
      <x:c r="P770" s="4" t="n">
        <x:f>IF(OR(C770="Ingredient candidate",C770="Consumed input",C770="Contained input",C770="Transform input"),IF(F770="T0",0,IF(F770="T1",1,IF(F770="T2",2,IF(F770="T3",3,IF(F770="T4",4,-1))))),-1)</x:f>
        <x:v>3</x:v>
      </x:c>
      <x:c r="Q770" s="4" t="n">
        <x:f>IF(AND(OR(C770="Ingredient candidate",C770="Consumed input",C770="Contained input",C770="Transform input"),P770=-1),1,0)</x:f>
        <x:v>0</x:v>
      </x:c>
    </x:row>
    <x:row r="771" ht="115" customHeight="1">
      <x:c r="A771" s="4" t="str">
        <x:v>design.review.proposal_canister_feed_line.lore.hardware.16</x:v>
      </x:c>
      <x:c r="B771" s="4" t="str">
        <x:v>design.review.proposal_canister_feed_line</x:v>
      </x:c>
      <x:c r="C771" s="4" t="str">
        <x:v>Ingredient candidate</x:v>
      </x:c>
      <x:c r="D771" s="4" t="str">
        <x:v>proposal.lore.threaded_fittings</x:v>
      </x:c>
      <x:c r="E771" s="4" t="str">
        <x:f>IFERROR(INDEX('Items'!$B$6:$B$1005,MATCH(D771,'Items'!$A$6:$A$1005,0)),"MISSING ID")</x:f>
        <x:v>Threaded metal fitting blanks</x:v>
      </x:c>
      <x:c r="F771" s="4" t="str">
        <x:f>IFERROR(INDEX('Items'!$C$6:$C$1005,MATCH(D771,'Items'!$A$6:$A$1005,0)),"MISSING ID")</x:f>
        <x:v>T3</x:v>
      </x:c>
      <x:c r="G771" s="4" t="str">
        <x:f>IFERROR(INDEX('Items'!$D$6:$D$1005,MATCH(D771,'Items'!$A$6:$A$1005,0)),"MISSING ID")</x:f>
        <x:v>Crafting components</x:v>
      </x:c>
      <x:c r="H771" s="4" t="str">
        <x:f>IFERROR(INDEX('Items'!$X$6:$X$1005,MATCH(D771,'Items'!$A$6:$A$1005,0)),"MISSING ID")</x:f>
        <x:v>Crafting component</x:v>
      </x:c>
      <x:c r="I771" s="4"/>
      <x:c r="J771" s="4" t="str">
        <x:v>Unspecified</x:v>
      </x:c>
      <x:c r="K771" s="4" t="str">
        <x:f>IFERROR(INDEX('Crafting recipes'!$D$6:$D$1005,MATCH(B771,'Crafting recipes'!$A$6:$A$1005,0)),"MISSING ID")</x:f>
        <x:v>Proposal</x:v>
      </x:c>
      <x:c r="L771" s="4" t="str">
        <x:f>IFERROR(INDEX('Items'!$AD$6:$AD$1005,MATCH(D771,'Items'!$A$6:$A$1005,0)),"MISSING ID")</x:f>
        <x:v>Proposal</x:v>
      </x:c>
      <x:c r="M771" s="4" t="str">
        <x:f>IFERROR(INDEX('Crafting recipes'!$E$6:$E$1005,MATCH(B771,'Crafting recipes'!$A$6:$A$1005,0)),"MISSING ID")</x:f>
        <x:v>Partial proposal</x:v>
      </x:c>
      <x:c r="N771" s="4" t="str">
        <x:v>Candidate process/hardware relationship; quantity and service compatibility remain open.</x:v>
      </x:c>
      <x:c r="O771" s="4" t="str">
        <x:v>Lore-coherence game proposal; selected WLD source proposals at f6f98515c005dc3c73cccd9cbc031691745740c6.</x:v>
      </x:c>
      <x:c r="P771" s="4" t="n">
        <x:f>IF(OR(C771="Ingredient candidate",C771="Consumed input",C771="Contained input",C771="Transform input"),IF(F771="T0",0,IF(F771="T1",1,IF(F771="T2",2,IF(F771="T3",3,IF(F771="T4",4,-1))))),-1)</x:f>
        <x:v>3</x:v>
      </x:c>
      <x:c r="Q771" s="4" t="n">
        <x:f>IF(AND(OR(C771="Ingredient candidate",C771="Consumed input",C771="Contained input",C771="Transform input"),P771=-1),1,0)</x:f>
        <x:v>0</x:v>
      </x:c>
    </x:row>
    <x:row r="772" ht="115" customHeight="1">
      <x:c r="A772" s="4" t="str">
        <x:v>design.review.proposal_canister_coupling.lore.hardware.17</x:v>
      </x:c>
      <x:c r="B772" s="4" t="str">
        <x:v>design.review.proposal_canister_coupling</x:v>
      </x:c>
      <x:c r="C772" s="4" t="str">
        <x:v>Ingredient candidate</x:v>
      </x:c>
      <x:c r="D772" s="4" t="str">
        <x:v>proposal.lore.threaded_fittings</x:v>
      </x:c>
      <x:c r="E772" s="4" t="str">
        <x:f>IFERROR(INDEX('Items'!$B$6:$B$1005,MATCH(D772,'Items'!$A$6:$A$1005,0)),"MISSING ID")</x:f>
        <x:v>Threaded metal fitting blanks</x:v>
      </x:c>
      <x:c r="F772" s="4" t="str">
        <x:f>IFERROR(INDEX('Items'!$C$6:$C$1005,MATCH(D772,'Items'!$A$6:$A$1005,0)),"MISSING ID")</x:f>
        <x:v>T3</x:v>
      </x:c>
      <x:c r="G772" s="4" t="str">
        <x:f>IFERROR(INDEX('Items'!$D$6:$D$1005,MATCH(D772,'Items'!$A$6:$A$1005,0)),"MISSING ID")</x:f>
        <x:v>Crafting components</x:v>
      </x:c>
      <x:c r="H772" s="4" t="str">
        <x:f>IFERROR(INDEX('Items'!$X$6:$X$1005,MATCH(D772,'Items'!$A$6:$A$1005,0)),"MISSING ID")</x:f>
        <x:v>Crafting component</x:v>
      </x:c>
      <x:c r="I772" s="4"/>
      <x:c r="J772" s="4" t="str">
        <x:v>Unspecified</x:v>
      </x:c>
      <x:c r="K772" s="4" t="str">
        <x:f>IFERROR(INDEX('Crafting recipes'!$D$6:$D$1005,MATCH(B772,'Crafting recipes'!$A$6:$A$1005,0)),"MISSING ID")</x:f>
        <x:v>Proposal</x:v>
      </x:c>
      <x:c r="L772" s="4" t="str">
        <x:f>IFERROR(INDEX('Items'!$AD$6:$AD$1005,MATCH(D772,'Items'!$A$6:$A$1005,0)),"MISSING ID")</x:f>
        <x:v>Proposal</x:v>
      </x:c>
      <x:c r="M772" s="4" t="str">
        <x:f>IFERROR(INDEX('Crafting recipes'!$E$6:$E$1005,MATCH(B772,'Crafting recipes'!$A$6:$A$1005,0)),"MISSING ID")</x:f>
        <x:v>Partial proposal</x:v>
      </x:c>
      <x:c r="N772" s="4" t="str">
        <x:v>Candidate process/hardware relationship; quantity and service compatibility remain open.</x:v>
      </x:c>
      <x:c r="O772" s="4" t="str">
        <x:v>Lore-coherence game proposal; selected WLD source proposals at f6f98515c005dc3c73cccd9cbc031691745740c6.</x:v>
      </x:c>
      <x:c r="P772" s="4" t="n">
        <x:f>IF(OR(C772="Ingredient candidate",C772="Consumed input",C772="Contained input",C772="Transform input"),IF(F772="T0",0,IF(F772="T1",1,IF(F772="T2",2,IF(F772="T3",3,IF(F772="T4",4,-1))))),-1)</x:f>
        <x:v>3</x:v>
      </x:c>
      <x:c r="Q772" s="4" t="n">
        <x:f>IF(AND(OR(C772="Ingredient candidate",C772="Consumed input",C772="Contained input",C772="Transform input"),P772=-1),1,0)</x:f>
        <x:v>0</x:v>
      </x:c>
    </x:row>
    <x:row r="773" ht="115" customHeight="1">
      <x:c r="A773" s="4" t="str">
        <x:v>design.review.proposal_legger_service_adapter.lore.hardware.18</x:v>
      </x:c>
      <x:c r="B773" s="4" t="str">
        <x:v>design.review.proposal_legger_service_adapter</x:v>
      </x:c>
      <x:c r="C773" s="4" t="str">
        <x:v>Ingredient candidate</x:v>
      </x:c>
      <x:c r="D773" s="4" t="str">
        <x:v>proposal.lore.threaded_fittings</x:v>
      </x:c>
      <x:c r="E773" s="4" t="str">
        <x:f>IFERROR(INDEX('Items'!$B$6:$B$1005,MATCH(D773,'Items'!$A$6:$A$1005,0)),"MISSING ID")</x:f>
        <x:v>Threaded metal fitting blanks</x:v>
      </x:c>
      <x:c r="F773" s="4" t="str">
        <x:f>IFERROR(INDEX('Items'!$C$6:$C$1005,MATCH(D773,'Items'!$A$6:$A$1005,0)),"MISSING ID")</x:f>
        <x:v>T3</x:v>
      </x:c>
      <x:c r="G773" s="4" t="str">
        <x:f>IFERROR(INDEX('Items'!$D$6:$D$1005,MATCH(D773,'Items'!$A$6:$A$1005,0)),"MISSING ID")</x:f>
        <x:v>Crafting components</x:v>
      </x:c>
      <x:c r="H773" s="4" t="str">
        <x:f>IFERROR(INDEX('Items'!$X$6:$X$1005,MATCH(D773,'Items'!$A$6:$A$1005,0)),"MISSING ID")</x:f>
        <x:v>Crafting component</x:v>
      </x:c>
      <x:c r="I773" s="4"/>
      <x:c r="J773" s="4" t="str">
        <x:v>Unspecified</x:v>
      </x:c>
      <x:c r="K773" s="4" t="str">
        <x:f>IFERROR(INDEX('Crafting recipes'!$D$6:$D$1005,MATCH(B773,'Crafting recipes'!$A$6:$A$1005,0)),"MISSING ID")</x:f>
        <x:v>Proposal</x:v>
      </x:c>
      <x:c r="L773" s="4" t="str">
        <x:f>IFERROR(INDEX('Items'!$AD$6:$AD$1005,MATCH(D773,'Items'!$A$6:$A$1005,0)),"MISSING ID")</x:f>
        <x:v>Proposal</x:v>
      </x:c>
      <x:c r="M773" s="4" t="str">
        <x:f>IFERROR(INDEX('Crafting recipes'!$E$6:$E$1005,MATCH(B773,'Crafting recipes'!$A$6:$A$1005,0)),"MISSING ID")</x:f>
        <x:v>Partial proposal</x:v>
      </x:c>
      <x:c r="N773" s="4" t="str">
        <x:v>Candidate process/hardware relationship; quantity and service compatibility remain open.</x:v>
      </x:c>
      <x:c r="O773" s="4" t="str">
        <x:v>Lore-coherence game proposal; selected WLD source proposals at f6f98515c005dc3c73cccd9cbc031691745740c6.</x:v>
      </x:c>
      <x:c r="P773" s="4" t="n">
        <x:f>IF(OR(C773="Ingredient candidate",C773="Consumed input",C773="Contained input",C773="Transform input"),IF(F773="T0",0,IF(F773="T1",1,IF(F773="T2",2,IF(F773="T3",3,IF(F773="T4",4,-1))))),-1)</x:f>
        <x:v>3</x:v>
      </x:c>
      <x:c r="Q773" s="4" t="n">
        <x:f>IF(AND(OR(C773="Ingredient candidate",C773="Consumed input",C773="Contained input",C773="Transform input"),P773=-1),1,0)</x:f>
        <x:v>0</x:v>
      </x:c>
    </x:row>
    <x:row r="774" ht="115" customHeight="1">
      <x:c r="A774" s="4" t="str">
        <x:v>design.review.proposal_canister_mount.lore.hardware.19</x:v>
      </x:c>
      <x:c r="B774" s="4" t="str">
        <x:v>design.review.proposal_canister_mount</x:v>
      </x:c>
      <x:c r="C774" s="4" t="str">
        <x:v>Ingredient candidate</x:v>
      </x:c>
      <x:c r="D774" s="4" t="str">
        <x:v>proposal.lore.rivet_stock</x:v>
      </x:c>
      <x:c r="E774" s="4" t="str">
        <x:f>IFERROR(INDEX('Items'!$B$6:$B$1005,MATCH(D774,'Items'!$A$6:$A$1005,0)),"MISSING ID")</x:f>
        <x:v>Rough iron rivet stock</x:v>
      </x:c>
      <x:c r="F774" s="4" t="str">
        <x:f>IFERROR(INDEX('Items'!$C$6:$C$1005,MATCH(D774,'Items'!$A$6:$A$1005,0)),"MISSING ID")</x:f>
        <x:v>T2</x:v>
      </x:c>
      <x:c r="G774" s="4" t="str">
        <x:f>IFERROR(INDEX('Items'!$D$6:$D$1005,MATCH(D774,'Items'!$A$6:$A$1005,0)),"MISSING ID")</x:f>
        <x:v>Manufactured stock</x:v>
      </x:c>
      <x:c r="H774" s="4" t="str">
        <x:f>IFERROR(INDEX('Items'!$X$6:$X$1005,MATCH(D774,'Items'!$A$6:$A$1005,0)),"MISSING ID")</x:f>
        <x:v>Processed material</x:v>
      </x:c>
      <x:c r="I774" s="4"/>
      <x:c r="J774" s="4" t="str">
        <x:v>Unspecified</x:v>
      </x:c>
      <x:c r="K774" s="4" t="str">
        <x:f>IFERROR(INDEX('Crafting recipes'!$D$6:$D$1005,MATCH(B774,'Crafting recipes'!$A$6:$A$1005,0)),"MISSING ID")</x:f>
        <x:v>Proposal</x:v>
      </x:c>
      <x:c r="L774" s="4" t="str">
        <x:f>IFERROR(INDEX('Items'!$AD$6:$AD$1005,MATCH(D774,'Items'!$A$6:$A$1005,0)),"MISSING ID")</x:f>
        <x:v>Proposal</x:v>
      </x:c>
      <x:c r="M774" s="4" t="str">
        <x:f>IFERROR(INDEX('Crafting recipes'!$E$6:$E$1005,MATCH(B774,'Crafting recipes'!$A$6:$A$1005,0)),"MISSING ID")</x:f>
        <x:v>Partial proposal</x:v>
      </x:c>
      <x:c r="N774" s="4" t="str">
        <x:v>Candidate process/hardware relationship; quantity and service compatibility remain open.</x:v>
      </x:c>
      <x:c r="O774" s="4" t="str">
        <x:v>Lore-coherence game proposal; selected WLD source proposals at f6f98515c005dc3c73cccd9cbc031691745740c6.</x:v>
      </x:c>
      <x:c r="P774" s="4" t="n">
        <x:f>IF(OR(C774="Ingredient candidate",C774="Consumed input",C774="Contained input",C774="Transform input"),IF(F774="T0",0,IF(F774="T1",1,IF(F774="T2",2,IF(F774="T3",3,IF(F774="T4",4,-1))))),-1)</x:f>
        <x:v>2</x:v>
      </x:c>
      <x:c r="Q774" s="4" t="n">
        <x:f>IF(AND(OR(C774="Ingredient candidate",C774="Consumed input",C774="Contained input",C774="Transform input"),P774=-1),1,0)</x:f>
        <x:v>0</x:v>
      </x:c>
    </x:row>
    <x:row r="775" ht="115" customHeight="1">
      <x:c r="A775" s="4" t="str">
        <x:v>design.review.proposal_legger_anchors.lore.hardware.20</x:v>
      </x:c>
      <x:c r="B775" s="4" t="str">
        <x:v>design.review.proposal_legger_anchors</x:v>
      </x:c>
      <x:c r="C775" s="4" t="str">
        <x:v>Ingredient candidate</x:v>
      </x:c>
      <x:c r="D775" s="4" t="str">
        <x:v>proposal.lore.rivet_stock</x:v>
      </x:c>
      <x:c r="E775" s="4" t="str">
        <x:f>IFERROR(INDEX('Items'!$B$6:$B$1005,MATCH(D775,'Items'!$A$6:$A$1005,0)),"MISSING ID")</x:f>
        <x:v>Rough iron rivet stock</x:v>
      </x:c>
      <x:c r="F775" s="4" t="str">
        <x:f>IFERROR(INDEX('Items'!$C$6:$C$1005,MATCH(D775,'Items'!$A$6:$A$1005,0)),"MISSING ID")</x:f>
        <x:v>T2</x:v>
      </x:c>
      <x:c r="G775" s="4" t="str">
        <x:f>IFERROR(INDEX('Items'!$D$6:$D$1005,MATCH(D775,'Items'!$A$6:$A$1005,0)),"MISSING ID")</x:f>
        <x:v>Manufactured stock</x:v>
      </x:c>
      <x:c r="H775" s="4" t="str">
        <x:f>IFERROR(INDEX('Items'!$X$6:$X$1005,MATCH(D775,'Items'!$A$6:$A$1005,0)),"MISSING ID")</x:f>
        <x:v>Processed material</x:v>
      </x:c>
      <x:c r="I775" s="4"/>
      <x:c r="J775" s="4" t="str">
        <x:v>Unspecified</x:v>
      </x:c>
      <x:c r="K775" s="4" t="str">
        <x:f>IFERROR(INDEX('Crafting recipes'!$D$6:$D$1005,MATCH(B775,'Crafting recipes'!$A$6:$A$1005,0)),"MISSING ID")</x:f>
        <x:v>Proposal</x:v>
      </x:c>
      <x:c r="L775" s="4" t="str">
        <x:f>IFERROR(INDEX('Items'!$AD$6:$AD$1005,MATCH(D775,'Items'!$A$6:$A$1005,0)),"MISSING ID")</x:f>
        <x:v>Proposal</x:v>
      </x:c>
      <x:c r="M775" s="4" t="str">
        <x:f>IFERROR(INDEX('Crafting recipes'!$E$6:$E$1005,MATCH(B775,'Crafting recipes'!$A$6:$A$1005,0)),"MISSING ID")</x:f>
        <x:v>Partial proposal</x:v>
      </x:c>
      <x:c r="N775" s="4" t="str">
        <x:v>Candidate process/hardware relationship; quantity and service compatibility remain open.</x:v>
      </x:c>
      <x:c r="O775" s="4" t="str">
        <x:v>Lore-coherence game proposal; selected WLD source proposals at f6f98515c005dc3c73cccd9cbc031691745740c6.</x:v>
      </x:c>
      <x:c r="P775" s="4" t="n">
        <x:f>IF(OR(C775="Ingredient candidate",C775="Consumed input",C775="Contained input",C775="Transform input"),IF(F775="T0",0,IF(F775="T1",1,IF(F775="T2",2,IF(F775="T3",3,IF(F775="T4",4,-1))))),-1)</x:f>
        <x:v>2</x:v>
      </x:c>
      <x:c r="Q775" s="4" t="n">
        <x:f>IF(AND(OR(C775="Ingredient candidate",C775="Consumed input",C775="Contained input",C775="Transform input"),P775=-1),1,0)</x:f>
        <x:v>0</x:v>
      </x:c>
    </x:row>
    <x:row r="776" ht="115" customHeight="1">
      <x:c r="A776" s="4" t="str">
        <x:v>design.review.proposal_legger_mount_rail.lore.hardware.21</x:v>
      </x:c>
      <x:c r="B776" s="4" t="str">
        <x:v>design.review.proposal_legger_mount_rail</x:v>
      </x:c>
      <x:c r="C776" s="4" t="str">
        <x:v>Ingredient candidate</x:v>
      </x:c>
      <x:c r="D776" s="4" t="str">
        <x:v>proposal.lore.rivet_stock</x:v>
      </x:c>
      <x:c r="E776" s="4" t="str">
        <x:f>IFERROR(INDEX('Items'!$B$6:$B$1005,MATCH(D776,'Items'!$A$6:$A$1005,0)),"MISSING ID")</x:f>
        <x:v>Rough iron rivet stock</x:v>
      </x:c>
      <x:c r="F776" s="4" t="str">
        <x:f>IFERROR(INDEX('Items'!$C$6:$C$1005,MATCH(D776,'Items'!$A$6:$A$1005,0)),"MISSING ID")</x:f>
        <x:v>T2</x:v>
      </x:c>
      <x:c r="G776" s="4" t="str">
        <x:f>IFERROR(INDEX('Items'!$D$6:$D$1005,MATCH(D776,'Items'!$A$6:$A$1005,0)),"MISSING ID")</x:f>
        <x:v>Manufactured stock</x:v>
      </x:c>
      <x:c r="H776" s="4" t="str">
        <x:f>IFERROR(INDEX('Items'!$X$6:$X$1005,MATCH(D776,'Items'!$A$6:$A$1005,0)),"MISSING ID")</x:f>
        <x:v>Processed material</x:v>
      </x:c>
      <x:c r="I776" s="4"/>
      <x:c r="J776" s="4" t="str">
        <x:v>Unspecified</x:v>
      </x:c>
      <x:c r="K776" s="4" t="str">
        <x:f>IFERROR(INDEX('Crafting recipes'!$D$6:$D$1005,MATCH(B776,'Crafting recipes'!$A$6:$A$1005,0)),"MISSING ID")</x:f>
        <x:v>Proposal</x:v>
      </x:c>
      <x:c r="L776" s="4" t="str">
        <x:f>IFERROR(INDEX('Items'!$AD$6:$AD$1005,MATCH(D776,'Items'!$A$6:$A$1005,0)),"MISSING ID")</x:f>
        <x:v>Proposal</x:v>
      </x:c>
      <x:c r="M776" s="4" t="str">
        <x:f>IFERROR(INDEX('Crafting recipes'!$E$6:$E$1005,MATCH(B776,'Crafting recipes'!$A$6:$A$1005,0)),"MISSING ID")</x:f>
        <x:v>Partial proposal</x:v>
      </x:c>
      <x:c r="N776" s="4" t="str">
        <x:v>Candidate process/hardware relationship; quantity and service compatibility remain open.</x:v>
      </x:c>
      <x:c r="O776" s="4" t="str">
        <x:v>Lore-coherence game proposal; selected WLD source proposals at f6f98515c005dc3c73cccd9cbc031691745740c6.</x:v>
      </x:c>
      <x:c r="P776" s="4" t="n">
        <x:f>IF(OR(C776="Ingredient candidate",C776="Consumed input",C776="Contained input",C776="Transform input"),IF(F776="T0",0,IF(F776="T1",1,IF(F776="T2",2,IF(F776="T3",3,IF(F776="T4",4,-1))))),-1)</x:f>
        <x:v>2</x:v>
      </x:c>
      <x:c r="Q776" s="4" t="n">
        <x:f>IF(AND(OR(C776="Ingredient candidate",C776="Consumed input",C776="Contained input",C776="Transform input"),P776=-1),1,0)</x:f>
        <x:v>0</x:v>
      </x:c>
    </x:row>
    <x:row r="777" ht="64" customHeight="1">
      <x:c r="A777" s="4" t="str">
        <x:v>design.collection.sorted_nickel_alloying_feed.in.1</x:v>
      </x:c>
      <x:c r="B777" s="4" t="str">
        <x:v>design.collection.sorted_nickel_alloying_feed</x:v>
      </x:c>
      <x:c r="C777" s="4" t="str">
        <x:v>Ingredient candidate</x:v>
      </x:c>
      <x:c r="D777" s="4" t="str">
        <x:v>proposal.collection.nickel_bearing_nodules</x:v>
      </x:c>
      <x:c r="E777" s="4" t="str">
        <x:f>IFERROR(INDEX('Items'!$B$6:$B$1005,MATCH(D777,'Items'!$A$6:$A$1005,0)),"MISSING ID")</x:f>
        <x:v>Nickel-bearing nodules</x:v>
      </x:c>
      <x:c r="F777" s="4" t="str">
        <x:f>IFERROR(INDEX('Items'!$C$6:$C$1005,MATCH(D777,'Items'!$A$6:$A$1005,0)),"MISSING ID")</x:f>
        <x:v>T0</x:v>
      </x:c>
      <x:c r="G777" s="4" t="str">
        <x:f>IFERROR(INDEX('Items'!$D$6:$D$1005,MATCH(D777,'Items'!$A$6:$A$1005,0)),"MISSING ID")</x:f>
        <x:v>Mineral resources</x:v>
      </x:c>
      <x:c r="H777" s="4" t="str">
        <x:f>IFERROR(INDEX('Items'!$X$6:$X$1005,MATCH(D777,'Items'!$A$6:$A$1005,0)),"MISSING ID")</x:f>
        <x:v>Raw material</x:v>
      </x:c>
      <x:c r="I777" s="4"/>
      <x:c r="J777" s="4" t="str">
        <x:v>Unspecified</x:v>
      </x:c>
      <x:c r="K777" s="4" t="str">
        <x:f>IFERROR(INDEX('Crafting recipes'!$D$6:$D$1005,MATCH(B777,'Crafting recipes'!$A$6:$A$1005,0)),"MISSING ID")</x:f>
        <x:v>Proposal</x:v>
      </x:c>
      <x:c r="L777" s="4" t="str">
        <x:f>IFERROR(INDEX('Items'!$AD$6:$AD$1005,MATCH(D777,'Items'!$A$6:$A$1005,0)),"MISSING ID")</x:f>
        <x:v>Proposal</x:v>
      </x:c>
      <x:c r="M777" s="4" t="str">
        <x:f>IFERROR(INDEX('Crafting recipes'!$E$6:$E$1005,MATCH(B777,'Crafting recipes'!$A$6:$A$1005,0)),"MISSING ID")</x:f>
        <x:v>Partial proposal</x:v>
      </x:c>
      <x:c r="N777" s="4" t="str">
        <x:v>Candidate source or part only. Quantity, grade and method remain open.</x:v>
      </x:c>
      <x:c r="O777" s="4" t="str">
        <x:v>Collection expansion, October 15, 2026. New game proposal.</x:v>
      </x:c>
      <x:c r="P777" s="4" t="n">
        <x:f>IF(OR(C777="Ingredient candidate",C777="Consumed input",C777="Contained input",C777="Transform input"),IF(F777="T0",0,IF(F777="T1",1,IF(F777="T2",2,IF(F777="T3",3,IF(F777="T4",4,-1))))),-1)</x:f>
        <x:v>0</x:v>
      </x:c>
      <x:c r="Q777" s="4" t="n">
        <x:f>IF(AND(OR(C777="Ingredient candidate",C777="Consumed input",C777="Contained input",C777="Transform input"),P777=-1),1,0)</x:f>
        <x:v>0</x:v>
      </x:c>
    </x:row>
    <x:row r="778" ht="64" customHeight="1">
      <x:c r="A778" s="4" t="str">
        <x:v>design.collection.sorted_nickel_alloying_feed.out</x:v>
      </x:c>
      <x:c r="B778" s="4" t="str">
        <x:v>design.collection.sorted_nickel_alloying_feed</x:v>
      </x:c>
      <x:c r="C778" s="4" t="str">
        <x:v>Output</x:v>
      </x:c>
      <x:c r="D778" s="4" t="str">
        <x:v>proposal.collection.sorted_nickel_alloying_feed</x:v>
      </x:c>
      <x:c r="E778" s="4" t="str">
        <x:f>IFERROR(INDEX('Items'!$B$6:$B$1005,MATCH(D778,'Items'!$A$6:$A$1005,0)),"MISSING ID")</x:f>
        <x:v>Sorted nickel alloying feed</x:v>
      </x:c>
      <x:c r="F778" s="4" t="str">
        <x:f>IFERROR(INDEX('Items'!$C$6:$C$1005,MATCH(D778,'Items'!$A$6:$A$1005,0)),"MISSING ID")</x:f>
        <x:v>T1</x:v>
      </x:c>
      <x:c r="G778" s="4" t="str">
        <x:f>IFERROR(INDEX('Items'!$D$6:$D$1005,MATCH(D778,'Items'!$A$6:$A$1005,0)),"MISSING ID")</x:f>
        <x:v>Manufactured stock</x:v>
      </x:c>
      <x:c r="H778" s="4" t="str">
        <x:f>IFERROR(INDEX('Items'!$X$6:$X$1005,MATCH(D778,'Items'!$A$6:$A$1005,0)),"MISSING ID")</x:f>
        <x:v>Processed material</x:v>
      </x:c>
      <x:c r="I778" s="4"/>
      <x:c r="J778" s="4" t="str">
        <x:v>Unspecified</x:v>
      </x:c>
      <x:c r="K778" s="4" t="str">
        <x:f>IFERROR(INDEX('Crafting recipes'!$D$6:$D$1005,MATCH(B778,'Crafting recipes'!$A$6:$A$1005,0)),"MISSING ID")</x:f>
        <x:v>Proposal</x:v>
      </x:c>
      <x:c r="L778" s="4" t="str">
        <x:f>IFERROR(INDEX('Items'!$AD$6:$AD$1005,MATCH(D778,'Items'!$A$6:$A$1005,0)),"MISSING ID")</x:f>
        <x:v>Proposal</x:v>
      </x:c>
      <x:c r="M778" s="4" t="str">
        <x:f>IFERROR(INDEX('Crafting recipes'!$E$6:$E$1005,MATCH(B778,'Crafting recipes'!$A$6:$A$1005,0)),"MISSING ID")</x:f>
        <x:v>Partial proposal</x:v>
      </x:c>
      <x:c r="N778" s="4" t="str">
        <x:v>Candidate source or part only. Quantity, grade and method remain open.</x:v>
      </x:c>
      <x:c r="O778" s="4" t="str">
        <x:v>Collection expansion, October 15, 2026. New game proposal.</x:v>
      </x:c>
      <x:c r="P778" s="4" t="n">
        <x:f>IF(OR(C778="Ingredient candidate",C778="Consumed input",C778="Contained input",C778="Transform input"),IF(F778="T0",0,IF(F778="T1",1,IF(F778="T2",2,IF(F778="T3",3,IF(F778="T4",4,-1))))),-1)</x:f>
        <x:v>-1</x:v>
      </x:c>
      <x:c r="Q778" s="4" t="n">
        <x:f>IF(AND(OR(C778="Ingredient candidate",C778="Consumed input",C778="Contained input",C778="Transform input"),P778=-1),1,0)</x:f>
        <x:v>0</x:v>
      </x:c>
    </x:row>
    <x:row r="779" ht="64" customHeight="1">
      <x:c r="A779" s="4" t="str">
        <x:v>design.collection.sorted_tin_smelter_feed.in.1</x:v>
      </x:c>
      <x:c r="B779" s="4" t="str">
        <x:v>design.collection.sorted_tin_smelter_feed</x:v>
      </x:c>
      <x:c r="C779" s="4" t="str">
        <x:v>Ingredient candidate</x:v>
      </x:c>
      <x:c r="D779" s="4" t="str">
        <x:v>proposal.collection.tin_bearing_gravel</x:v>
      </x:c>
      <x:c r="E779" s="4" t="str">
        <x:f>IFERROR(INDEX('Items'!$B$6:$B$1005,MATCH(D779,'Items'!$A$6:$A$1005,0)),"MISSING ID")</x:f>
        <x:v>Tin-bearing gravel</x:v>
      </x:c>
      <x:c r="F779" s="4" t="str">
        <x:f>IFERROR(INDEX('Items'!$C$6:$C$1005,MATCH(D779,'Items'!$A$6:$A$1005,0)),"MISSING ID")</x:f>
        <x:v>T0</x:v>
      </x:c>
      <x:c r="G779" s="4" t="str">
        <x:f>IFERROR(INDEX('Items'!$D$6:$D$1005,MATCH(D779,'Items'!$A$6:$A$1005,0)),"MISSING ID")</x:f>
        <x:v>Mineral resources</x:v>
      </x:c>
      <x:c r="H779" s="4" t="str">
        <x:f>IFERROR(INDEX('Items'!$X$6:$X$1005,MATCH(D779,'Items'!$A$6:$A$1005,0)),"MISSING ID")</x:f>
        <x:v>Raw material</x:v>
      </x:c>
      <x:c r="I779" s="4"/>
      <x:c r="J779" s="4" t="str">
        <x:v>Unspecified</x:v>
      </x:c>
      <x:c r="K779" s="4" t="str">
        <x:f>IFERROR(INDEX('Crafting recipes'!$D$6:$D$1005,MATCH(B779,'Crafting recipes'!$A$6:$A$1005,0)),"MISSING ID")</x:f>
        <x:v>Proposal</x:v>
      </x:c>
      <x:c r="L779" s="4" t="str">
        <x:f>IFERROR(INDEX('Items'!$AD$6:$AD$1005,MATCH(D779,'Items'!$A$6:$A$1005,0)),"MISSING ID")</x:f>
        <x:v>Proposal</x:v>
      </x:c>
      <x:c r="M779" s="4" t="str">
        <x:f>IFERROR(INDEX('Crafting recipes'!$E$6:$E$1005,MATCH(B779,'Crafting recipes'!$A$6:$A$1005,0)),"MISSING ID")</x:f>
        <x:v>Partial proposal</x:v>
      </x:c>
      <x:c r="N779" s="4" t="str">
        <x:v>Candidate source or part only. Quantity, grade and method remain open.</x:v>
      </x:c>
      <x:c r="O779" s="4" t="str">
        <x:v>Collection expansion, October 15, 2026. New game proposal.</x:v>
      </x:c>
      <x:c r="P779" s="4" t="n">
        <x:f>IF(OR(C779="Ingredient candidate",C779="Consumed input",C779="Contained input",C779="Transform input"),IF(F779="T0",0,IF(F779="T1",1,IF(F779="T2",2,IF(F779="T3",3,IF(F779="T4",4,-1))))),-1)</x:f>
        <x:v>0</x:v>
      </x:c>
      <x:c r="Q779" s="4" t="n">
        <x:f>IF(AND(OR(C779="Ingredient candidate",C779="Consumed input",C779="Contained input",C779="Transform input"),P779=-1),1,0)</x:f>
        <x:v>0</x:v>
      </x:c>
    </x:row>
    <x:row r="780" ht="64" customHeight="1">
      <x:c r="A780" s="4" t="str">
        <x:v>design.collection.sorted_tin_smelter_feed.out</x:v>
      </x:c>
      <x:c r="B780" s="4" t="str">
        <x:v>design.collection.sorted_tin_smelter_feed</x:v>
      </x:c>
      <x:c r="C780" s="4" t="str">
        <x:v>Output</x:v>
      </x:c>
      <x:c r="D780" s="4" t="str">
        <x:v>proposal.collection.sorted_tin_smelter_feed</x:v>
      </x:c>
      <x:c r="E780" s="4" t="str">
        <x:f>IFERROR(INDEX('Items'!$B$6:$B$1005,MATCH(D780,'Items'!$A$6:$A$1005,0)),"MISSING ID")</x:f>
        <x:v>Sorted tin smelter feed</x:v>
      </x:c>
      <x:c r="F780" s="4" t="str">
        <x:f>IFERROR(INDEX('Items'!$C$6:$C$1005,MATCH(D780,'Items'!$A$6:$A$1005,0)),"MISSING ID")</x:f>
        <x:v>T1</x:v>
      </x:c>
      <x:c r="G780" s="4" t="str">
        <x:f>IFERROR(INDEX('Items'!$D$6:$D$1005,MATCH(D780,'Items'!$A$6:$A$1005,0)),"MISSING ID")</x:f>
        <x:v>Manufactured stock</x:v>
      </x:c>
      <x:c r="H780" s="4" t="str">
        <x:f>IFERROR(INDEX('Items'!$X$6:$X$1005,MATCH(D780,'Items'!$A$6:$A$1005,0)),"MISSING ID")</x:f>
        <x:v>Processed material</x:v>
      </x:c>
      <x:c r="I780" s="4"/>
      <x:c r="J780" s="4" t="str">
        <x:v>Unspecified</x:v>
      </x:c>
      <x:c r="K780" s="4" t="str">
        <x:f>IFERROR(INDEX('Crafting recipes'!$D$6:$D$1005,MATCH(B780,'Crafting recipes'!$A$6:$A$1005,0)),"MISSING ID")</x:f>
        <x:v>Proposal</x:v>
      </x:c>
      <x:c r="L780" s="4" t="str">
        <x:f>IFERROR(INDEX('Items'!$AD$6:$AD$1005,MATCH(D780,'Items'!$A$6:$A$1005,0)),"MISSING ID")</x:f>
        <x:v>Proposal</x:v>
      </x:c>
      <x:c r="M780" s="4" t="str">
        <x:f>IFERROR(INDEX('Crafting recipes'!$E$6:$E$1005,MATCH(B780,'Crafting recipes'!$A$6:$A$1005,0)),"MISSING ID")</x:f>
        <x:v>Partial proposal</x:v>
      </x:c>
      <x:c r="N780" s="4" t="str">
        <x:v>Candidate source or part only. Quantity, grade and method remain open.</x:v>
      </x:c>
      <x:c r="O780" s="4" t="str">
        <x:v>Collection expansion, October 15, 2026. New game proposal.</x:v>
      </x:c>
      <x:c r="P780" s="4" t="n">
        <x:f>IF(OR(C780="Ingredient candidate",C780="Consumed input",C780="Contained input",C780="Transform input"),IF(F780="T0",0,IF(F780="T1",1,IF(F780="T2",2,IF(F780="T3",3,IF(F780="T4",4,-1))))),-1)</x:f>
        <x:v>-1</x:v>
      </x:c>
      <x:c r="Q780" s="4" t="n">
        <x:f>IF(AND(OR(C780="Ingredient candidate",C780="Consumed input",C780="Contained input",C780="Transform input"),P780=-1),1,0)</x:f>
        <x:v>0</x:v>
      </x:c>
    </x:row>
    <x:row r="781" ht="64" customHeight="1">
      <x:c r="A781" s="4"/>
      <x:c r="B781" s="4"/>
      <x:c r="C781" s="4"/>
      <x:c r="D781" s="4"/>
      <x:c r="E781" s="4"/>
      <x:c r="F781" s="4"/>
      <x:c r="G781" s="4"/>
      <x:c r="H781" s="4"/>
      <x:c r="I781" s="4"/>
      <x:c r="J781" s="4"/>
      <x:c r="K781" s="4"/>
      <x:c r="L781" s="4"/>
      <x:c r="M781" s="4"/>
      <x:c r="N781" s="4"/>
      <x:c r="O781" s="4"/>
      <x:c r="P781" s="4"/>
      <x:c r="Q781" s="4"/>
    </x:row>
    <x:row r="782" ht="64" customHeight="1">
      <x:c r="A782" s="4"/>
      <x:c r="B782" s="4"/>
      <x:c r="C782" s="4"/>
      <x:c r="D782" s="4"/>
      <x:c r="E782" s="4"/>
      <x:c r="F782" s="4"/>
      <x:c r="G782" s="4"/>
      <x:c r="H782" s="4"/>
      <x:c r="I782" s="4"/>
      <x:c r="J782" s="4"/>
      <x:c r="K782" s="4"/>
      <x:c r="L782" s="4"/>
      <x:c r="M782" s="4"/>
      <x:c r="N782" s="4"/>
      <x:c r="O782" s="4"/>
      <x:c r="P782" s="4"/>
      <x:c r="Q782" s="4"/>
    </x:row>
    <x:row r="783" ht="64" customHeight="1">
      <x:c r="A783" s="4"/>
      <x:c r="B783" s="4"/>
      <x:c r="C783" s="4"/>
      <x:c r="D783" s="4"/>
      <x:c r="E783" s="4"/>
      <x:c r="F783" s="4"/>
      <x:c r="G783" s="4"/>
      <x:c r="H783" s="4"/>
      <x:c r="I783" s="4"/>
      <x:c r="J783" s="4"/>
      <x:c r="K783" s="4"/>
      <x:c r="L783" s="4"/>
      <x:c r="M783" s="4"/>
      <x:c r="N783" s="4"/>
      <x:c r="O783" s="4"/>
      <x:c r="P783" s="4"/>
      <x:c r="Q783" s="4"/>
    </x:row>
    <x:row r="784" ht="64" customHeight="1">
      <x:c r="A784" s="4"/>
      <x:c r="B784" s="4"/>
      <x:c r="C784" s="4"/>
      <x:c r="D784" s="4"/>
      <x:c r="E784" s="4"/>
      <x:c r="F784" s="4"/>
      <x:c r="G784" s="4"/>
      <x:c r="H784" s="4"/>
      <x:c r="I784" s="4"/>
      <x:c r="J784" s="4"/>
      <x:c r="K784" s="4"/>
      <x:c r="L784" s="4"/>
      <x:c r="M784" s="4"/>
      <x:c r="N784" s="4"/>
      <x:c r="O784" s="4"/>
      <x:c r="P784" s="4"/>
      <x:c r="Q784" s="4"/>
    </x:row>
    <x:row r="785" ht="64" customHeight="1">
      <x:c r="A785" s="4"/>
      <x:c r="B785" s="4"/>
      <x:c r="C785" s="4"/>
      <x:c r="D785" s="4"/>
      <x:c r="E785" s="4"/>
      <x:c r="F785" s="4"/>
      <x:c r="G785" s="4"/>
      <x:c r="H785" s="4"/>
      <x:c r="I785" s="4"/>
      <x:c r="J785" s="4"/>
      <x:c r="K785" s="4"/>
      <x:c r="L785" s="4"/>
      <x:c r="M785" s="4"/>
      <x:c r="N785" s="4"/>
      <x:c r="O785" s="4"/>
      <x:c r="P785" s="4"/>
      <x:c r="Q785" s="4"/>
    </x:row>
    <x:row r="786" ht="64" customHeight="1">
      <x:c r="A786" s="4" t="str">
        <x:v>design.collection.drawn_bronze_strip_stock.in.1</x:v>
      </x:c>
      <x:c r="B786" s="4" t="str">
        <x:v>design.collection.drawn_bronze_strip_stock</x:v>
      </x:c>
      <x:c r="C786" s="4" t="str">
        <x:v>Ingredient candidate</x:v>
      </x:c>
      <x:c r="D786" s="4" t="str">
        <x:v>proposal.t1.bronze_billet</x:v>
      </x:c>
      <x:c r="E786" s="4" t="str">
        <x:f>IFERROR(INDEX('Items'!$B$6:$B$1005,MATCH(D786,'Items'!$A$6:$A$1005,0)),"MISSING ID")</x:f>
        <x:v>Reclaimed bronze billet</x:v>
      </x:c>
      <x:c r="F786" s="4" t="str">
        <x:f>IFERROR(INDEX('Items'!$C$6:$C$1005,MATCH(D786,'Items'!$A$6:$A$1005,0)),"MISSING ID")</x:f>
        <x:v>T1</x:v>
      </x:c>
      <x:c r="G786" s="4" t="str">
        <x:f>IFERROR(INDEX('Items'!$D$6:$D$1005,MATCH(D786,'Items'!$A$6:$A$1005,0)),"MISSING ID")</x:f>
        <x:v>Manufactured stock</x:v>
      </x:c>
      <x:c r="H786" s="4" t="str">
        <x:f>IFERROR(INDEX('Items'!$X$6:$X$1005,MATCH(D786,'Items'!$A$6:$A$1005,0)),"MISSING ID")</x:f>
        <x:v>Processed material</x:v>
      </x:c>
      <x:c r="I786" s="4"/>
      <x:c r="J786" s="4" t="str">
        <x:v>Unspecified</x:v>
      </x:c>
      <x:c r="K786" s="4" t="str">
        <x:f>IFERROR(INDEX('Crafting recipes'!$D$6:$D$1005,MATCH(B786,'Crafting recipes'!$A$6:$A$1005,0)),"MISSING ID")</x:f>
        <x:v>Proposal</x:v>
      </x:c>
      <x:c r="L786" s="4" t="str">
        <x:f>IFERROR(INDEX('Items'!$AD$6:$AD$1005,MATCH(D786,'Items'!$A$6:$A$1005,0)),"MISSING ID")</x:f>
        <x:v>Proposal</x:v>
      </x:c>
      <x:c r="M786" s="4" t="str">
        <x:f>IFERROR(INDEX('Crafting recipes'!$E$6:$E$1005,MATCH(B786,'Crafting recipes'!$A$6:$A$1005,0)),"MISSING ID")</x:f>
        <x:v>Partial proposal</x:v>
      </x:c>
      <x:c r="N786" s="4" t="str">
        <x:v>Candidate source or part only. Quantity, grade and method remain open.</x:v>
      </x:c>
      <x:c r="O786" s="4" t="str">
        <x:v>Collection expansion, October 15, 2026. New game proposal.</x:v>
      </x:c>
      <x:c r="P786" s="4" t="n">
        <x:f>IF(OR(C786="Ingredient candidate",C786="Consumed input",C786="Contained input",C786="Transform input"),IF(F786="T0",0,IF(F786="T1",1,IF(F786="T2",2,IF(F786="T3",3,IF(F786="T4",4,-1))))),-1)</x:f>
        <x:v>1</x:v>
      </x:c>
      <x:c r="Q786" s="4" t="n">
        <x:f>IF(AND(OR(C786="Ingredient candidate",C786="Consumed input",C786="Contained input",C786="Transform input"),P786=-1),1,0)</x:f>
        <x:v>0</x:v>
      </x:c>
    </x:row>
    <x:row r="787" ht="64" customHeight="1">
      <x:c r="A787" s="4" t="str">
        <x:v>design.collection.drawn_bronze_strip_stock.out</x:v>
      </x:c>
      <x:c r="B787" s="4" t="str">
        <x:v>design.collection.drawn_bronze_strip_stock</x:v>
      </x:c>
      <x:c r="C787" s="4" t="str">
        <x:v>Output</x:v>
      </x:c>
      <x:c r="D787" s="4" t="str">
        <x:v>proposal.collection.drawn_bronze_strip_stock</x:v>
      </x:c>
      <x:c r="E787" s="4" t="str">
        <x:f>IFERROR(INDEX('Items'!$B$6:$B$1005,MATCH(D787,'Items'!$A$6:$A$1005,0)),"MISSING ID")</x:f>
        <x:v>Drawn bronze strip stock</x:v>
      </x:c>
      <x:c r="F787" s="4" t="str">
        <x:f>IFERROR(INDEX('Items'!$C$6:$C$1005,MATCH(D787,'Items'!$A$6:$A$1005,0)),"MISSING ID")</x:f>
        <x:v>T2</x:v>
      </x:c>
      <x:c r="G787" s="4" t="str">
        <x:f>IFERROR(INDEX('Items'!$D$6:$D$1005,MATCH(D787,'Items'!$A$6:$A$1005,0)),"MISSING ID")</x:f>
        <x:v>Manufactured stock</x:v>
      </x:c>
      <x:c r="H787" s="4" t="str">
        <x:f>IFERROR(INDEX('Items'!$X$6:$X$1005,MATCH(D787,'Items'!$A$6:$A$1005,0)),"MISSING ID")</x:f>
        <x:v>Processed material</x:v>
      </x:c>
      <x:c r="I787" s="4"/>
      <x:c r="J787" s="4" t="str">
        <x:v>Unspecified</x:v>
      </x:c>
      <x:c r="K787" s="4" t="str">
        <x:f>IFERROR(INDEX('Crafting recipes'!$D$6:$D$1005,MATCH(B787,'Crafting recipes'!$A$6:$A$1005,0)),"MISSING ID")</x:f>
        <x:v>Proposal</x:v>
      </x:c>
      <x:c r="L787" s="4" t="str">
        <x:f>IFERROR(INDEX('Items'!$AD$6:$AD$1005,MATCH(D787,'Items'!$A$6:$A$1005,0)),"MISSING ID")</x:f>
        <x:v>Proposal</x:v>
      </x:c>
      <x:c r="M787" s="4" t="str">
        <x:f>IFERROR(INDEX('Crafting recipes'!$E$6:$E$1005,MATCH(B787,'Crafting recipes'!$A$6:$A$1005,0)),"MISSING ID")</x:f>
        <x:v>Partial proposal</x:v>
      </x:c>
      <x:c r="N787" s="4" t="str">
        <x:v>Candidate source or part only. Quantity, grade and method remain open.</x:v>
      </x:c>
      <x:c r="O787" s="4" t="str">
        <x:v>Collection expansion, October 15, 2026. New game proposal.</x:v>
      </x:c>
      <x:c r="P787" s="4" t="n">
        <x:f>IF(OR(C787="Ingredient candidate",C787="Consumed input",C787="Contained input",C787="Transform input"),IF(F787="T0",0,IF(F787="T1",1,IF(F787="T2",2,IF(F787="T3",3,IF(F787="T4",4,-1))))),-1)</x:f>
        <x:v>-1</x:v>
      </x:c>
      <x:c r="Q787" s="4" t="n">
        <x:f>IF(AND(OR(C787="Ingredient candidate",C787="Consumed input",C787="Contained input",C787="Transform input"),P787=-1),1,0)</x:f>
        <x:v>0</x:v>
      </x:c>
    </x:row>
    <x:row r="788" ht="64" customHeight="1">
      <x:c r="A788" s="4" t="str">
        <x:v>design.collection.annealed_iron_sheet_stock.in.1</x:v>
      </x:c>
      <x:c r="B788" s="4" t="str">
        <x:v>design.collection.annealed_iron_sheet_stock</x:v>
      </x:c>
      <x:c r="C788" s="4" t="str">
        <x:v>Ingredient candidate</x:v>
      </x:c>
      <x:c r="D788" s="4" t="str">
        <x:v>proposal.natural.iron_stock</x:v>
      </x:c>
      <x:c r="E788" s="4" t="str">
        <x:f>IFERROR(INDEX('Items'!$B$6:$B$1005,MATCH(D788,'Items'!$A$6:$A$1005,0)),"MISSING ID")</x:f>
        <x:v>Worked iron stock</x:v>
      </x:c>
      <x:c r="F788" s="4" t="str">
        <x:f>IFERROR(INDEX('Items'!$C$6:$C$1005,MATCH(D788,'Items'!$A$6:$A$1005,0)),"MISSING ID")</x:f>
        <x:v>T2</x:v>
      </x:c>
      <x:c r="G788" s="4" t="str">
        <x:f>IFERROR(INDEX('Items'!$D$6:$D$1005,MATCH(D788,'Items'!$A$6:$A$1005,0)),"MISSING ID")</x:f>
        <x:v>Manufactured stock</x:v>
      </x:c>
      <x:c r="H788" s="4" t="str">
        <x:f>IFERROR(INDEX('Items'!$X$6:$X$1005,MATCH(D788,'Items'!$A$6:$A$1005,0)),"MISSING ID")</x:f>
        <x:v>Processed material</x:v>
      </x:c>
      <x:c r="I788" s="4"/>
      <x:c r="J788" s="4" t="str">
        <x:v>Unspecified</x:v>
      </x:c>
      <x:c r="K788" s="4" t="str">
        <x:f>IFERROR(INDEX('Crafting recipes'!$D$6:$D$1005,MATCH(B788,'Crafting recipes'!$A$6:$A$1005,0)),"MISSING ID")</x:f>
        <x:v>Proposal</x:v>
      </x:c>
      <x:c r="L788" s="4" t="str">
        <x:f>IFERROR(INDEX('Items'!$AD$6:$AD$1005,MATCH(D788,'Items'!$A$6:$A$1005,0)),"MISSING ID")</x:f>
        <x:v>Proposal</x:v>
      </x:c>
      <x:c r="M788" s="4" t="str">
        <x:f>IFERROR(INDEX('Crafting recipes'!$E$6:$E$1005,MATCH(B788,'Crafting recipes'!$A$6:$A$1005,0)),"MISSING ID")</x:f>
        <x:v>Partial proposal</x:v>
      </x:c>
      <x:c r="N788" s="4" t="str">
        <x:v>Candidate source or part only. Quantity, grade and method remain open.</x:v>
      </x:c>
      <x:c r="O788" s="4" t="str">
        <x:v>Collection expansion, October 15, 2026. New game proposal.</x:v>
      </x:c>
      <x:c r="P788" s="4" t="n">
        <x:f>IF(OR(C788="Ingredient candidate",C788="Consumed input",C788="Contained input",C788="Transform input"),IF(F788="T0",0,IF(F788="T1",1,IF(F788="T2",2,IF(F788="T3",3,IF(F788="T4",4,-1))))),-1)</x:f>
        <x:v>2</x:v>
      </x:c>
      <x:c r="Q788" s="4" t="n">
        <x:f>IF(AND(OR(C788="Ingredient candidate",C788="Consumed input",C788="Contained input",C788="Transform input"),P788=-1),1,0)</x:f>
        <x:v>0</x:v>
      </x:c>
    </x:row>
    <x:row r="789" ht="64" customHeight="1">
      <x:c r="A789" s="4" t="str">
        <x:v>design.collection.annealed_iron_sheet_stock.out</x:v>
      </x:c>
      <x:c r="B789" s="4" t="str">
        <x:v>design.collection.annealed_iron_sheet_stock</x:v>
      </x:c>
      <x:c r="C789" s="4" t="str">
        <x:v>Output</x:v>
      </x:c>
      <x:c r="D789" s="4" t="str">
        <x:v>proposal.collection.annealed_iron_sheet_stock</x:v>
      </x:c>
      <x:c r="E789" s="4" t="str">
        <x:f>IFERROR(INDEX('Items'!$B$6:$B$1005,MATCH(D789,'Items'!$A$6:$A$1005,0)),"MISSING ID")</x:f>
        <x:v>Annealed iron sheet stock</x:v>
      </x:c>
      <x:c r="F789" s="4" t="str">
        <x:f>IFERROR(INDEX('Items'!$C$6:$C$1005,MATCH(D789,'Items'!$A$6:$A$1005,0)),"MISSING ID")</x:f>
        <x:v>T3</x:v>
      </x:c>
      <x:c r="G789" s="4" t="str">
        <x:f>IFERROR(INDEX('Items'!$D$6:$D$1005,MATCH(D789,'Items'!$A$6:$A$1005,0)),"MISSING ID")</x:f>
        <x:v>Manufactured stock</x:v>
      </x:c>
      <x:c r="H789" s="4" t="str">
        <x:f>IFERROR(INDEX('Items'!$X$6:$X$1005,MATCH(D789,'Items'!$A$6:$A$1005,0)),"MISSING ID")</x:f>
        <x:v>Processed material</x:v>
      </x:c>
      <x:c r="I789" s="4"/>
      <x:c r="J789" s="4" t="str">
        <x:v>Unspecified</x:v>
      </x:c>
      <x:c r="K789" s="4" t="str">
        <x:f>IFERROR(INDEX('Crafting recipes'!$D$6:$D$1005,MATCH(B789,'Crafting recipes'!$A$6:$A$1005,0)),"MISSING ID")</x:f>
        <x:v>Proposal</x:v>
      </x:c>
      <x:c r="L789" s="4" t="str">
        <x:f>IFERROR(INDEX('Items'!$AD$6:$AD$1005,MATCH(D789,'Items'!$A$6:$A$1005,0)),"MISSING ID")</x:f>
        <x:v>Proposal</x:v>
      </x:c>
      <x:c r="M789" s="4" t="str">
        <x:f>IFERROR(INDEX('Crafting recipes'!$E$6:$E$1005,MATCH(B789,'Crafting recipes'!$A$6:$A$1005,0)),"MISSING ID")</x:f>
        <x:v>Partial proposal</x:v>
      </x:c>
      <x:c r="N789" s="4" t="str">
        <x:v>Candidate source or part only. Quantity, grade and method remain open.</x:v>
      </x:c>
      <x:c r="O789" s="4" t="str">
        <x:v>Collection expansion, October 15, 2026. New game proposal.</x:v>
      </x:c>
      <x:c r="P789" s="4" t="n">
        <x:f>IF(OR(C789="Ingredient candidate",C789="Consumed input",C789="Contained input",C789="Transform input"),IF(F789="T0",0,IF(F789="T1",1,IF(F789="T2",2,IF(F789="T3",3,IF(F789="T4",4,-1))))),-1)</x:f>
        <x:v>-1</x:v>
      </x:c>
      <x:c r="Q789" s="4" t="n">
        <x:f>IF(AND(OR(C789="Ingredient candidate",C789="Consumed input",C789="Contained input",C789="Transform input"),P789=-1),1,0)</x:f>
        <x:v>0</x:v>
      </x:c>
    </x:row>
    <x:row r="790" ht="64" customHeight="1">
      <x:c r="A790" s="4" t="str">
        <x:v>design.collection.pressed_chitin_friction_stock.in.1</x:v>
      </x:c>
      <x:c r="B790" s="4" t="str">
        <x:v>design.collection.pressed_chitin_friction_stock</x:v>
      </x:c>
      <x:c r="C790" s="4" t="str">
        <x:v>Ingredient candidate</x:v>
      </x:c>
      <x:c r="D790" s="4" t="str">
        <x:v>proposal.t1.shell_lamina</x:v>
      </x:c>
      <x:c r="E790" s="4" t="str">
        <x:f>IFERROR(INDEX('Items'!$B$6:$B$1005,MATCH(D790,'Items'!$A$6:$A$1005,0)),"MISSING ID")</x:f>
        <x:v>Separated shell lamina stock</x:v>
      </x:c>
      <x:c r="F790" s="4" t="str">
        <x:f>IFERROR(INDEX('Items'!$C$6:$C$1005,MATCH(D790,'Items'!$A$6:$A$1005,0)),"MISSING ID")</x:f>
        <x:v>T1</x:v>
      </x:c>
      <x:c r="G790" s="4" t="str">
        <x:f>IFERROR(INDEX('Items'!$D$6:$D$1005,MATCH(D790,'Items'!$A$6:$A$1005,0)),"MISSING ID")</x:f>
        <x:v>Manufactured stock</x:v>
      </x:c>
      <x:c r="H790" s="4" t="str">
        <x:f>IFERROR(INDEX('Items'!$X$6:$X$1005,MATCH(D790,'Items'!$A$6:$A$1005,0)),"MISSING ID")</x:f>
        <x:v>Processed material</x:v>
      </x:c>
      <x:c r="I790" s="4"/>
      <x:c r="J790" s="4" t="str">
        <x:v>Unspecified</x:v>
      </x:c>
      <x:c r="K790" s="4" t="str">
        <x:f>IFERROR(INDEX('Crafting recipes'!$D$6:$D$1005,MATCH(B790,'Crafting recipes'!$A$6:$A$1005,0)),"MISSING ID")</x:f>
        <x:v>Proposal</x:v>
      </x:c>
      <x:c r="L790" s="4" t="str">
        <x:f>IFERROR(INDEX('Items'!$AD$6:$AD$1005,MATCH(D790,'Items'!$A$6:$A$1005,0)),"MISSING ID")</x:f>
        <x:v>Proposal</x:v>
      </x:c>
      <x:c r="M790" s="4" t="str">
        <x:f>IFERROR(INDEX('Crafting recipes'!$E$6:$E$1005,MATCH(B790,'Crafting recipes'!$A$6:$A$1005,0)),"MISSING ID")</x:f>
        <x:v>Partial proposal</x:v>
      </x:c>
      <x:c r="N790" s="4" t="str">
        <x:v>Candidate source or part only. Quantity, grade and method remain open.</x:v>
      </x:c>
      <x:c r="O790" s="4" t="str">
        <x:v>Collection expansion, October 15, 2026. New game proposal.</x:v>
      </x:c>
      <x:c r="P790" s="4" t="n">
        <x:f>IF(OR(C790="Ingredient candidate",C790="Consumed input",C790="Contained input",C790="Transform input"),IF(F790="T0",0,IF(F790="T1",1,IF(F790="T2",2,IF(F790="T3",3,IF(F790="T4",4,-1))))),-1)</x:f>
        <x:v>1</x:v>
      </x:c>
      <x:c r="Q790" s="4" t="n">
        <x:f>IF(AND(OR(C790="Ingredient candidate",C790="Consumed input",C790="Contained input",C790="Transform input"),P790=-1),1,0)</x:f>
        <x:v>0</x:v>
      </x:c>
    </x:row>
    <x:row r="791" ht="64" customHeight="1">
      <x:c r="A791" s="4" t="str">
        <x:v>design.collection.pressed_chitin_friction_stock.in.2</x:v>
      </x:c>
      <x:c r="B791" s="4" t="str">
        <x:v>design.collection.pressed_chitin_friction_stock</x:v>
      </x:c>
      <x:c r="C791" s="4" t="str">
        <x:v>Ingredient candidate</x:v>
      </x:c>
      <x:c r="D791" s="4" t="str">
        <x:v>proposal.t1.mineral_filler</x:v>
      </x:c>
      <x:c r="E791" s="4" t="str">
        <x:f>IFERROR(INDEX('Items'!$B$6:$B$1005,MATCH(D791,'Items'!$A$6:$A$1005,0)),"MISSING ID")</x:f>
        <x:v>Graded mineral filler</x:v>
      </x:c>
      <x:c r="F791" s="4" t="str">
        <x:f>IFERROR(INDEX('Items'!$C$6:$C$1005,MATCH(D791,'Items'!$A$6:$A$1005,0)),"MISSING ID")</x:f>
        <x:v>T1</x:v>
      </x:c>
      <x:c r="G791" s="4" t="str">
        <x:f>IFERROR(INDEX('Items'!$D$6:$D$1005,MATCH(D791,'Items'!$A$6:$A$1005,0)),"MISSING ID")</x:f>
        <x:v>Manufactured stock</x:v>
      </x:c>
      <x:c r="H791" s="4" t="str">
        <x:f>IFERROR(INDEX('Items'!$X$6:$X$1005,MATCH(D791,'Items'!$A$6:$A$1005,0)),"MISSING ID")</x:f>
        <x:v>Processed material</x:v>
      </x:c>
      <x:c r="I791" s="4"/>
      <x:c r="J791" s="4" t="str">
        <x:v>Unspecified</x:v>
      </x:c>
      <x:c r="K791" s="4" t="str">
        <x:f>IFERROR(INDEX('Crafting recipes'!$D$6:$D$1005,MATCH(B791,'Crafting recipes'!$A$6:$A$1005,0)),"MISSING ID")</x:f>
        <x:v>Proposal</x:v>
      </x:c>
      <x:c r="L791" s="4" t="str">
        <x:f>IFERROR(INDEX('Items'!$AD$6:$AD$1005,MATCH(D791,'Items'!$A$6:$A$1005,0)),"MISSING ID")</x:f>
        <x:v>Proposal</x:v>
      </x:c>
      <x:c r="M791" s="4" t="str">
        <x:f>IFERROR(INDEX('Crafting recipes'!$E$6:$E$1005,MATCH(B791,'Crafting recipes'!$A$6:$A$1005,0)),"MISSING ID")</x:f>
        <x:v>Partial proposal</x:v>
      </x:c>
      <x:c r="N791" s="4" t="str">
        <x:v>Candidate source or part only. Quantity, grade and method remain open.</x:v>
      </x:c>
      <x:c r="O791" s="4" t="str">
        <x:v>Collection expansion, October 15, 2026. New game proposal.</x:v>
      </x:c>
      <x:c r="P791" s="4" t="n">
        <x:f>IF(OR(C791="Ingredient candidate",C791="Consumed input",C791="Contained input",C791="Transform input"),IF(F791="T0",0,IF(F791="T1",1,IF(F791="T2",2,IF(F791="T3",3,IF(F791="T4",4,-1))))),-1)</x:f>
        <x:v>1</x:v>
      </x:c>
      <x:c r="Q791" s="4" t="n">
        <x:f>IF(AND(OR(C791="Ingredient candidate",C791="Consumed input",C791="Contained input",C791="Transform input"),P791=-1),1,0)</x:f>
        <x:v>0</x:v>
      </x:c>
    </x:row>
    <x:row r="792" ht="64" customHeight="1">
      <x:c r="A792" s="4" t="str">
        <x:v>design.collection.pressed_chitin_friction_stock.in.3</x:v>
      </x:c>
      <x:c r="B792" s="4" t="str">
        <x:v>design.collection.pressed_chitin_friction_stock</x:v>
      </x:c>
      <x:c r="C792" s="4" t="str">
        <x:v>Ingredient candidate</x:v>
      </x:c>
      <x:c r="D792" s="4" t="str">
        <x:v>proposal.t1.shell_adhesive</x:v>
      </x:c>
      <x:c r="E792" s="4" t="str">
        <x:f>IFERROR(INDEX('Items'!$B$6:$B$1005,MATCH(D792,'Items'!$A$6:$A$1005,0)),"MISSING ID")</x:f>
        <x:v>Prepared shell-binding adhesive</x:v>
      </x:c>
      <x:c r="F792" s="4" t="str">
        <x:f>IFERROR(INDEX('Items'!$C$6:$C$1005,MATCH(D792,'Items'!$A$6:$A$1005,0)),"MISSING ID")</x:f>
        <x:v>T1</x:v>
      </x:c>
      <x:c r="G792" s="4" t="str">
        <x:f>IFERROR(INDEX('Items'!$D$6:$D$1005,MATCH(D792,'Items'!$A$6:$A$1005,0)),"MISSING ID")</x:f>
        <x:v>Crafting components</x:v>
      </x:c>
      <x:c r="H792" s="4" t="str">
        <x:f>IFERROR(INDEX('Items'!$X$6:$X$1005,MATCH(D792,'Items'!$A$6:$A$1005,0)),"MISSING ID")</x:f>
        <x:v>Chemical material</x:v>
      </x:c>
      <x:c r="I792" s="4"/>
      <x:c r="J792" s="4" t="str">
        <x:v>Unspecified</x:v>
      </x:c>
      <x:c r="K792" s="4" t="str">
        <x:f>IFERROR(INDEX('Crafting recipes'!$D$6:$D$1005,MATCH(B792,'Crafting recipes'!$A$6:$A$1005,0)),"MISSING ID")</x:f>
        <x:v>Proposal</x:v>
      </x:c>
      <x:c r="L792" s="4" t="str">
        <x:f>IFERROR(INDEX('Items'!$AD$6:$AD$1005,MATCH(D792,'Items'!$A$6:$A$1005,0)),"MISSING ID")</x:f>
        <x:v>Proposal</x:v>
      </x:c>
      <x:c r="M792" s="4" t="str">
        <x:f>IFERROR(INDEX('Crafting recipes'!$E$6:$E$1005,MATCH(B792,'Crafting recipes'!$A$6:$A$1005,0)),"MISSING ID")</x:f>
        <x:v>Partial proposal</x:v>
      </x:c>
      <x:c r="N792" s="4" t="str">
        <x:v>Candidate source or part only. Quantity, grade and method remain open.</x:v>
      </x:c>
      <x:c r="O792" s="4" t="str">
        <x:v>Collection expansion, October 15, 2026. New game proposal.</x:v>
      </x:c>
      <x:c r="P792" s="4" t="n">
        <x:f>IF(OR(C792="Ingredient candidate",C792="Consumed input",C792="Contained input",C792="Transform input"),IF(F792="T0",0,IF(F792="T1",1,IF(F792="T2",2,IF(F792="T3",3,IF(F792="T4",4,-1))))),-1)</x:f>
        <x:v>1</x:v>
      </x:c>
      <x:c r="Q792" s="4" t="n">
        <x:f>IF(AND(OR(C792="Ingredient candidate",C792="Consumed input",C792="Contained input",C792="Transform input"),P792=-1),1,0)</x:f>
        <x:v>0</x:v>
      </x:c>
    </x:row>
    <x:row r="793" ht="64" customHeight="1">
      <x:c r="A793" s="4" t="str">
        <x:v>design.collection.pressed_chitin_friction_stock.out</x:v>
      </x:c>
      <x:c r="B793" s="4" t="str">
        <x:v>design.collection.pressed_chitin_friction_stock</x:v>
      </x:c>
      <x:c r="C793" s="4" t="str">
        <x:v>Output</x:v>
      </x:c>
      <x:c r="D793" s="4" t="str">
        <x:v>proposal.collection.pressed_chitin_friction_stock</x:v>
      </x:c>
      <x:c r="E793" s="4" t="str">
        <x:f>IFERROR(INDEX('Items'!$B$6:$B$1005,MATCH(D793,'Items'!$A$6:$A$1005,0)),"MISSING ID")</x:f>
        <x:v>Pressed chitin friction stock</x:v>
      </x:c>
      <x:c r="F793" s="4" t="str">
        <x:f>IFERROR(INDEX('Items'!$C$6:$C$1005,MATCH(D793,'Items'!$A$6:$A$1005,0)),"MISSING ID")</x:f>
        <x:v>T2</x:v>
      </x:c>
      <x:c r="G793" s="4" t="str">
        <x:f>IFERROR(INDEX('Items'!$D$6:$D$1005,MATCH(D793,'Items'!$A$6:$A$1005,0)),"MISSING ID")</x:f>
        <x:v>Manufactured stock</x:v>
      </x:c>
      <x:c r="H793" s="4" t="str">
        <x:f>IFERROR(INDEX('Items'!$X$6:$X$1005,MATCH(D793,'Items'!$A$6:$A$1005,0)),"MISSING ID")</x:f>
        <x:v>Processed material</x:v>
      </x:c>
      <x:c r="I793" s="4"/>
      <x:c r="J793" s="4" t="str">
        <x:v>Unspecified</x:v>
      </x:c>
      <x:c r="K793" s="4" t="str">
        <x:f>IFERROR(INDEX('Crafting recipes'!$D$6:$D$1005,MATCH(B793,'Crafting recipes'!$A$6:$A$1005,0)),"MISSING ID")</x:f>
        <x:v>Proposal</x:v>
      </x:c>
      <x:c r="L793" s="4" t="str">
        <x:f>IFERROR(INDEX('Items'!$AD$6:$AD$1005,MATCH(D793,'Items'!$A$6:$A$1005,0)),"MISSING ID")</x:f>
        <x:v>Proposal</x:v>
      </x:c>
      <x:c r="M793" s="4" t="str">
        <x:f>IFERROR(INDEX('Crafting recipes'!$E$6:$E$1005,MATCH(B793,'Crafting recipes'!$A$6:$A$1005,0)),"MISSING ID")</x:f>
        <x:v>Partial proposal</x:v>
      </x:c>
      <x:c r="N793" s="4" t="str">
        <x:v>Candidate source or part only. Quantity, grade and method remain open.</x:v>
      </x:c>
      <x:c r="O793" s="4" t="str">
        <x:v>Collection expansion, October 15, 2026. New game proposal.</x:v>
      </x:c>
      <x:c r="P793" s="4" t="n">
        <x:f>IF(OR(C793="Ingredient candidate",C793="Consumed input",C793="Contained input",C793="Transform input"),IF(F793="T0",0,IF(F793="T1",1,IF(F793="T2",2,IF(F793="T3",3,IF(F793="T4",4,-1))))),-1)</x:f>
        <x:v>-1</x:v>
      </x:c>
      <x:c r="Q793" s="4" t="n">
        <x:f>IF(AND(OR(C793="Ingredient candidate",C793="Consumed input",C793="Contained input",C793="Transform input"),P793=-1),1,0)</x:f>
        <x:v>0</x:v>
      </x:c>
    </x:row>
    <x:row r="794" ht="64" customHeight="1">
      <x:c r="A794" s="4" t="str">
        <x:v>design.collection.calibrated_ceramic_mounting_saddle.in.1</x:v>
      </x:c>
      <x:c r="B794" s="4" t="str">
        <x:v>design.collection.calibrated_ceramic_mounting_saddle</x:v>
      </x:c>
      <x:c r="C794" s="4" t="str">
        <x:v>Ingredient candidate</x:v>
      </x:c>
      <x:c r="D794" s="4" t="str">
        <x:v>proposal.ceramic.spacer</x:v>
      </x:c>
      <x:c r="E794" s="4" t="str">
        <x:f>IFERROR(INDEX('Items'!$B$6:$B$1005,MATCH(D794,'Items'!$A$6:$A$1005,0)),"MISSING ID")</x:f>
        <x:v>Ceramic insulating spacer</x:v>
      </x:c>
      <x:c r="F794" s="4" t="str">
        <x:f>IFERROR(INDEX('Items'!$C$6:$C$1005,MATCH(D794,'Items'!$A$6:$A$1005,0)),"MISSING ID")</x:f>
        <x:v>T3</x:v>
      </x:c>
      <x:c r="G794" s="4" t="str">
        <x:f>IFERROR(INDEX('Items'!$D$6:$D$1005,MATCH(D794,'Items'!$A$6:$A$1005,0)),"MISSING ID")</x:f>
        <x:v>Crafting components</x:v>
      </x:c>
      <x:c r="H794" s="4" t="str">
        <x:f>IFERROR(INDEX('Items'!$X$6:$X$1005,MATCH(D794,'Items'!$A$6:$A$1005,0)),"MISSING ID")</x:f>
        <x:v>Crafting component</x:v>
      </x:c>
      <x:c r="I794" s="4"/>
      <x:c r="J794" s="4" t="str">
        <x:v>Unspecified</x:v>
      </x:c>
      <x:c r="K794" s="4" t="str">
        <x:f>IFERROR(INDEX('Crafting recipes'!$D$6:$D$1005,MATCH(B794,'Crafting recipes'!$A$6:$A$1005,0)),"MISSING ID")</x:f>
        <x:v>Proposal</x:v>
      </x:c>
      <x:c r="L794" s="4" t="str">
        <x:f>IFERROR(INDEX('Items'!$AD$6:$AD$1005,MATCH(D794,'Items'!$A$6:$A$1005,0)),"MISSING ID")</x:f>
        <x:v>Proposal</x:v>
      </x:c>
      <x:c r="M794" s="4" t="str">
        <x:f>IFERROR(INDEX('Crafting recipes'!$E$6:$E$1005,MATCH(B794,'Crafting recipes'!$A$6:$A$1005,0)),"MISSING ID")</x:f>
        <x:v>Partial proposal</x:v>
      </x:c>
      <x:c r="N794" s="4" t="str">
        <x:v>Candidate source or part only. Quantity, grade and method remain open.</x:v>
      </x:c>
      <x:c r="O794" s="4" t="str">
        <x:v>Collection expansion, October 15, 2026. New game proposal.</x:v>
      </x:c>
      <x:c r="P794" s="4" t="n">
        <x:f>IF(OR(C794="Ingredient candidate",C794="Consumed input",C794="Contained input",C794="Transform input"),IF(F794="T0",0,IF(F794="T1",1,IF(F794="T2",2,IF(F794="T3",3,IF(F794="T4",4,-1))))),-1)</x:f>
        <x:v>3</x:v>
      </x:c>
      <x:c r="Q794" s="4" t="n">
        <x:f>IF(AND(OR(C794="Ingredient candidate",C794="Consumed input",C794="Contained input",C794="Transform input"),P794=-1),1,0)</x:f>
        <x:v>0</x:v>
      </x:c>
    </x:row>
    <x:row r="795" ht="64" customHeight="1">
      <x:c r="A795" s="4" t="str">
        <x:v>design.collection.calibrated_ceramic_mounting_saddle.in.2</x:v>
      </x:c>
      <x:c r="B795" s="4" t="str">
        <x:v>design.collection.calibrated_ceramic_mounting_saddle</x:v>
      </x:c>
      <x:c r="C795" s="4" t="str">
        <x:v>Ingredient candidate</x:v>
      </x:c>
      <x:c r="D795" s="4" t="str">
        <x:v>proposal.collection.annealed_iron_sheet_stock</x:v>
      </x:c>
      <x:c r="E795" s="4" t="str">
        <x:f>IFERROR(INDEX('Items'!$B$6:$B$1005,MATCH(D795,'Items'!$A$6:$A$1005,0)),"MISSING ID")</x:f>
        <x:v>Annealed iron sheet stock</x:v>
      </x:c>
      <x:c r="F795" s="4" t="str">
        <x:f>IFERROR(INDEX('Items'!$C$6:$C$1005,MATCH(D795,'Items'!$A$6:$A$1005,0)),"MISSING ID")</x:f>
        <x:v>T3</x:v>
      </x:c>
      <x:c r="G795" s="4" t="str">
        <x:f>IFERROR(INDEX('Items'!$D$6:$D$1005,MATCH(D795,'Items'!$A$6:$A$1005,0)),"MISSING ID")</x:f>
        <x:v>Manufactured stock</x:v>
      </x:c>
      <x:c r="H795" s="4" t="str">
        <x:f>IFERROR(INDEX('Items'!$X$6:$X$1005,MATCH(D795,'Items'!$A$6:$A$1005,0)),"MISSING ID")</x:f>
        <x:v>Processed material</x:v>
      </x:c>
      <x:c r="I795" s="4"/>
      <x:c r="J795" s="4" t="str">
        <x:v>Unspecified</x:v>
      </x:c>
      <x:c r="K795" s="4" t="str">
        <x:f>IFERROR(INDEX('Crafting recipes'!$D$6:$D$1005,MATCH(B795,'Crafting recipes'!$A$6:$A$1005,0)),"MISSING ID")</x:f>
        <x:v>Proposal</x:v>
      </x:c>
      <x:c r="L795" s="4" t="str">
        <x:f>IFERROR(INDEX('Items'!$AD$6:$AD$1005,MATCH(D795,'Items'!$A$6:$A$1005,0)),"MISSING ID")</x:f>
        <x:v>Proposal</x:v>
      </x:c>
      <x:c r="M795" s="4" t="str">
        <x:f>IFERROR(INDEX('Crafting recipes'!$E$6:$E$1005,MATCH(B795,'Crafting recipes'!$A$6:$A$1005,0)),"MISSING ID")</x:f>
        <x:v>Partial proposal</x:v>
      </x:c>
      <x:c r="N795" s="4" t="str">
        <x:v>Candidate source or part only. Quantity, grade and method remain open.</x:v>
      </x:c>
      <x:c r="O795" s="4" t="str">
        <x:v>Collection expansion, October 15, 2026. New game proposal.</x:v>
      </x:c>
      <x:c r="P795" s="4" t="n">
        <x:f>IF(OR(C795="Ingredient candidate",C795="Consumed input",C795="Contained input",C795="Transform input"),IF(F795="T0",0,IF(F795="T1",1,IF(F795="T2",2,IF(F795="T3",3,IF(F795="T4",4,-1))))),-1)</x:f>
        <x:v>3</x:v>
      </x:c>
      <x:c r="Q795" s="4" t="n">
        <x:f>IF(AND(OR(C795="Ingredient candidate",C795="Consumed input",C795="Contained input",C795="Transform input"),P795=-1),1,0)</x:f>
        <x:v>0</x:v>
      </x:c>
    </x:row>
    <x:row r="796" ht="64" customHeight="1">
      <x:c r="A796" s="4" t="str">
        <x:v>design.collection.calibrated_ceramic_mounting_saddle.out</x:v>
      </x:c>
      <x:c r="B796" s="4" t="str">
        <x:v>design.collection.calibrated_ceramic_mounting_saddle</x:v>
      </x:c>
      <x:c r="C796" s="4" t="str">
        <x:v>Output</x:v>
      </x:c>
      <x:c r="D796" s="4" t="str">
        <x:v>proposal.collection.calibrated_ceramic_mounting_saddle</x:v>
      </x:c>
      <x:c r="E796" s="4" t="str">
        <x:f>IFERROR(INDEX('Items'!$B$6:$B$1005,MATCH(D796,'Items'!$A$6:$A$1005,0)),"MISSING ID")</x:f>
        <x:v>Calibrated ceramic mounting saddle</x:v>
      </x:c>
      <x:c r="F796" s="4" t="str">
        <x:f>IFERROR(INDEX('Items'!$C$6:$C$1005,MATCH(D796,'Items'!$A$6:$A$1005,0)),"MISSING ID")</x:f>
        <x:v>T4</x:v>
      </x:c>
      <x:c r="G796" s="4" t="str">
        <x:f>IFERROR(INDEX('Items'!$D$6:$D$1005,MATCH(D796,'Items'!$A$6:$A$1005,0)),"MISSING ID")</x:f>
        <x:v>Crafting components</x:v>
      </x:c>
      <x:c r="H796" s="4" t="str">
        <x:f>IFERROR(INDEX('Items'!$X$6:$X$1005,MATCH(D796,'Items'!$A$6:$A$1005,0)),"MISSING ID")</x:f>
        <x:v>Crafting component</x:v>
      </x:c>
      <x:c r="I796" s="4"/>
      <x:c r="J796" s="4" t="str">
        <x:v>Unspecified</x:v>
      </x:c>
      <x:c r="K796" s="4" t="str">
        <x:f>IFERROR(INDEX('Crafting recipes'!$D$6:$D$1005,MATCH(B796,'Crafting recipes'!$A$6:$A$1005,0)),"MISSING ID")</x:f>
        <x:v>Proposal</x:v>
      </x:c>
      <x:c r="L796" s="4" t="str">
        <x:f>IFERROR(INDEX('Items'!$AD$6:$AD$1005,MATCH(D796,'Items'!$A$6:$A$1005,0)),"MISSING ID")</x:f>
        <x:v>Proposal</x:v>
      </x:c>
      <x:c r="M796" s="4" t="str">
        <x:f>IFERROR(INDEX('Crafting recipes'!$E$6:$E$1005,MATCH(B796,'Crafting recipes'!$A$6:$A$1005,0)),"MISSING ID")</x:f>
        <x:v>Partial proposal</x:v>
      </x:c>
      <x:c r="N796" s="4" t="str">
        <x:v>Candidate source or part only. Quantity, grade and method remain open.</x:v>
      </x:c>
      <x:c r="O796" s="4" t="str">
        <x:v>Collection expansion, October 15, 2026. New game proposal.</x:v>
      </x:c>
      <x:c r="P796" s="4" t="n">
        <x:f>IF(OR(C796="Ingredient candidate",C796="Consumed input",C796="Contained input",C796="Transform input"),IF(F796="T0",0,IF(F796="T1",1,IF(F796="T2",2,IF(F796="T3",3,IF(F796="T4",4,-1))))),-1)</x:f>
        <x:v>-1</x:v>
      </x:c>
      <x:c r="Q796" s="4" t="n">
        <x:f>IF(AND(OR(C796="Ingredient candidate",C796="Consumed input",C796="Contained input",C796="Transform input"),P796=-1),1,0)</x:f>
        <x:v>0</x:v>
      </x:c>
    </x:row>
    <x:row r="797" ht="64" customHeight="1">
      <x:c r="A797" s="4" t="str">
        <x:v>design.collection.glass_joint_bedding_paste.in.1</x:v>
      </x:c>
      <x:c r="B797" s="4" t="str">
        <x:v>design.collection.glass_joint_bedding_paste</x:v>
      </x:c>
      <x:c r="C797" s="4" t="str">
        <x:v>Ingredient candidate</x:v>
      </x:c>
      <x:c r="D797" s="4" t="str">
        <x:v>proposal.branch.flex_binder</x:v>
      </x:c>
      <x:c r="E797" s="4" t="str">
        <x:f>IFERROR(INDEX('Items'!$B$6:$B$1005,MATCH(D797,'Items'!$A$6:$A$1005,0)),"MISSING ID")</x:f>
        <x:v>Prepared flexible faunal binder</x:v>
      </x:c>
      <x:c r="F797" s="4" t="str">
        <x:f>IFERROR(INDEX('Items'!$C$6:$C$1005,MATCH(D797,'Items'!$A$6:$A$1005,0)),"MISSING ID")</x:f>
        <x:v>T1</x:v>
      </x:c>
      <x:c r="G797" s="4" t="str">
        <x:f>IFERROR(INDEX('Items'!$D$6:$D$1005,MATCH(D797,'Items'!$A$6:$A$1005,0)),"MISSING ID")</x:f>
        <x:v>Crafting components</x:v>
      </x:c>
      <x:c r="H797" s="4" t="str">
        <x:f>IFERROR(INDEX('Items'!$X$6:$X$1005,MATCH(D797,'Items'!$A$6:$A$1005,0)),"MISSING ID")</x:f>
        <x:v>Chemical material</x:v>
      </x:c>
      <x:c r="I797" s="4"/>
      <x:c r="J797" s="4" t="str">
        <x:v>Unspecified</x:v>
      </x:c>
      <x:c r="K797" s="4" t="str">
        <x:f>IFERROR(INDEX('Crafting recipes'!$D$6:$D$1005,MATCH(B797,'Crafting recipes'!$A$6:$A$1005,0)),"MISSING ID")</x:f>
        <x:v>Proposal</x:v>
      </x:c>
      <x:c r="L797" s="4" t="str">
        <x:f>IFERROR(INDEX('Items'!$AD$6:$AD$1005,MATCH(D797,'Items'!$A$6:$A$1005,0)),"MISSING ID")</x:f>
        <x:v>Proposal</x:v>
      </x:c>
      <x:c r="M797" s="4" t="str">
        <x:f>IFERROR(INDEX('Crafting recipes'!$E$6:$E$1005,MATCH(B797,'Crafting recipes'!$A$6:$A$1005,0)),"MISSING ID")</x:f>
        <x:v>Partial proposal</x:v>
      </x:c>
      <x:c r="N797" s="4" t="str">
        <x:v>Candidate source or part only. Quantity, grade and method remain open.</x:v>
      </x:c>
      <x:c r="O797" s="4" t="str">
        <x:v>Collection expansion, October 15, 2026. New game proposal.</x:v>
      </x:c>
      <x:c r="P797" s="4" t="n">
        <x:f>IF(OR(C797="Ingredient candidate",C797="Consumed input",C797="Contained input",C797="Transform input"),IF(F797="T0",0,IF(F797="T1",1,IF(F797="T2",2,IF(F797="T3",3,IF(F797="T4",4,-1))))),-1)</x:f>
        <x:v>1</x:v>
      </x:c>
      <x:c r="Q797" s="4" t="n">
        <x:f>IF(AND(OR(C797="Ingredient candidate",C797="Consumed input",C797="Contained input",C797="Transform input"),P797=-1),1,0)</x:f>
        <x:v>0</x:v>
      </x:c>
    </x:row>
    <x:row r="798" ht="64" customHeight="1">
      <x:c r="A798" s="4" t="str">
        <x:v>design.collection.glass_joint_bedding_paste.in.2</x:v>
      </x:c>
      <x:c r="B798" s="4" t="str">
        <x:v>design.collection.glass_joint_bedding_paste</x:v>
      </x:c>
      <x:c r="C798" s="4" t="str">
        <x:v>Ingredient candidate</x:v>
      </x:c>
      <x:c r="D798" s="4" t="str">
        <x:v>proposal.t1.mineral_filler</x:v>
      </x:c>
      <x:c r="E798" s="4" t="str">
        <x:f>IFERROR(INDEX('Items'!$B$6:$B$1005,MATCH(D798,'Items'!$A$6:$A$1005,0)),"MISSING ID")</x:f>
        <x:v>Graded mineral filler</x:v>
      </x:c>
      <x:c r="F798" s="4" t="str">
        <x:f>IFERROR(INDEX('Items'!$C$6:$C$1005,MATCH(D798,'Items'!$A$6:$A$1005,0)),"MISSING ID")</x:f>
        <x:v>T1</x:v>
      </x:c>
      <x:c r="G798" s="4" t="str">
        <x:f>IFERROR(INDEX('Items'!$D$6:$D$1005,MATCH(D798,'Items'!$A$6:$A$1005,0)),"MISSING ID")</x:f>
        <x:v>Manufactured stock</x:v>
      </x:c>
      <x:c r="H798" s="4" t="str">
        <x:f>IFERROR(INDEX('Items'!$X$6:$X$1005,MATCH(D798,'Items'!$A$6:$A$1005,0)),"MISSING ID")</x:f>
        <x:v>Processed material</x:v>
      </x:c>
      <x:c r="I798" s="4"/>
      <x:c r="J798" s="4" t="str">
        <x:v>Unspecified</x:v>
      </x:c>
      <x:c r="K798" s="4" t="str">
        <x:f>IFERROR(INDEX('Crafting recipes'!$D$6:$D$1005,MATCH(B798,'Crafting recipes'!$A$6:$A$1005,0)),"MISSING ID")</x:f>
        <x:v>Proposal</x:v>
      </x:c>
      <x:c r="L798" s="4" t="str">
        <x:f>IFERROR(INDEX('Items'!$AD$6:$AD$1005,MATCH(D798,'Items'!$A$6:$A$1005,0)),"MISSING ID")</x:f>
        <x:v>Proposal</x:v>
      </x:c>
      <x:c r="M798" s="4" t="str">
        <x:f>IFERROR(INDEX('Crafting recipes'!$E$6:$E$1005,MATCH(B798,'Crafting recipes'!$A$6:$A$1005,0)),"MISSING ID")</x:f>
        <x:v>Partial proposal</x:v>
      </x:c>
      <x:c r="N798" s="4" t="str">
        <x:v>Candidate source or part only. Quantity, grade and method remain open.</x:v>
      </x:c>
      <x:c r="O798" s="4" t="str">
        <x:v>Collection expansion, October 15, 2026. New game proposal.</x:v>
      </x:c>
      <x:c r="P798" s="4" t="n">
        <x:f>IF(OR(C798="Ingredient candidate",C798="Consumed input",C798="Contained input",C798="Transform input"),IF(F798="T0",0,IF(F798="T1",1,IF(F798="T2",2,IF(F798="T3",3,IF(F798="T4",4,-1))))),-1)</x:f>
        <x:v>1</x:v>
      </x:c>
      <x:c r="Q798" s="4" t="n">
        <x:f>IF(AND(OR(C798="Ingredient candidate",C798="Consumed input",C798="Contained input",C798="Transform input"),P798=-1),1,0)</x:f>
        <x:v>0</x:v>
      </x:c>
    </x:row>
    <x:row r="799" ht="64" customHeight="1">
      <x:c r="A799" s="4" t="str">
        <x:v>design.collection.glass_joint_bedding_paste.out</x:v>
      </x:c>
      <x:c r="B799" s="4" t="str">
        <x:v>design.collection.glass_joint_bedding_paste</x:v>
      </x:c>
      <x:c r="C799" s="4" t="str">
        <x:v>Output</x:v>
      </x:c>
      <x:c r="D799" s="4" t="str">
        <x:v>proposal.collection.glass_joint_bedding_paste</x:v>
      </x:c>
      <x:c r="E799" s="4" t="str">
        <x:f>IFERROR(INDEX('Items'!$B$6:$B$1005,MATCH(D799,'Items'!$A$6:$A$1005,0)),"MISSING ID")</x:f>
        <x:v>Glass-joint bedding paste</x:v>
      </x:c>
      <x:c r="F799" s="4" t="str">
        <x:f>IFERROR(INDEX('Items'!$C$6:$C$1005,MATCH(D799,'Items'!$A$6:$A$1005,0)),"MISSING ID")</x:f>
        <x:v>T2</x:v>
      </x:c>
      <x:c r="G799" s="4" t="str">
        <x:f>IFERROR(INDEX('Items'!$D$6:$D$1005,MATCH(D799,'Items'!$A$6:$A$1005,0)),"MISSING ID")</x:f>
        <x:v>Crafting components</x:v>
      </x:c>
      <x:c r="H799" s="4" t="str">
        <x:f>IFERROR(INDEX('Items'!$X$6:$X$1005,MATCH(D799,'Items'!$A$6:$A$1005,0)),"MISSING ID")</x:f>
        <x:v>Chemical material</x:v>
      </x:c>
      <x:c r="I799" s="4"/>
      <x:c r="J799" s="4" t="str">
        <x:v>Unspecified</x:v>
      </x:c>
      <x:c r="K799" s="4" t="str">
        <x:f>IFERROR(INDEX('Crafting recipes'!$D$6:$D$1005,MATCH(B799,'Crafting recipes'!$A$6:$A$1005,0)),"MISSING ID")</x:f>
        <x:v>Proposal</x:v>
      </x:c>
      <x:c r="L799" s="4" t="str">
        <x:f>IFERROR(INDEX('Items'!$AD$6:$AD$1005,MATCH(D799,'Items'!$A$6:$A$1005,0)),"MISSING ID")</x:f>
        <x:v>Proposal</x:v>
      </x:c>
      <x:c r="M799" s="4" t="str">
        <x:f>IFERROR(INDEX('Crafting recipes'!$E$6:$E$1005,MATCH(B799,'Crafting recipes'!$A$6:$A$1005,0)),"MISSING ID")</x:f>
        <x:v>Partial proposal</x:v>
      </x:c>
      <x:c r="N799" s="4" t="str">
        <x:v>Candidate source or part only. Quantity, grade and method remain open.</x:v>
      </x:c>
      <x:c r="O799" s="4" t="str">
        <x:v>Collection expansion, October 15, 2026. New game proposal.</x:v>
      </x:c>
      <x:c r="P799" s="4" t="n">
        <x:f>IF(OR(C799="Ingredient candidate",C799="Consumed input",C799="Contained input",C799="Transform input"),IF(F799="T0",0,IF(F799="T1",1,IF(F799="T2",2,IF(F799="T3",3,IF(F799="T4",4,-1))))),-1)</x:f>
        <x:v>-1</x:v>
      </x:c>
      <x:c r="Q799" s="4" t="n">
        <x:f>IF(AND(OR(C799="Ingredient candidate",C799="Consumed input",C799="Contained input",C799="Transform input"),P799=-1),1,0)</x:f>
        <x:v>0</x:v>
      </x:c>
    </x:row>
    <x:row r="800" ht="64" customHeight="1">
      <x:c r="A800" s="4"/>
      <x:c r="B800" s="4"/>
      <x:c r="C800" s="4"/>
      <x:c r="D800" s="4"/>
      <x:c r="E800" s="4"/>
      <x:c r="F800" s="4"/>
      <x:c r="G800" s="4"/>
      <x:c r="H800" s="4"/>
      <x:c r="I800" s="4"/>
      <x:c r="J800" s="4"/>
      <x:c r="K800" s="4"/>
      <x:c r="L800" s="4"/>
      <x:c r="M800" s="4"/>
      <x:c r="N800" s="4"/>
      <x:c r="O800" s="4"/>
      <x:c r="P800" s="4"/>
      <x:c r="Q800" s="4"/>
    </x:row>
    <x:row r="801" ht="64" customHeight="1">
      <x:c r="A801" s="4"/>
      <x:c r="B801" s="4"/>
      <x:c r="C801" s="4"/>
      <x:c r="D801" s="4"/>
      <x:c r="E801" s="4"/>
      <x:c r="F801" s="4"/>
      <x:c r="G801" s="4"/>
      <x:c r="H801" s="4"/>
      <x:c r="I801" s="4"/>
      <x:c r="J801" s="4"/>
      <x:c r="K801" s="4"/>
      <x:c r="L801" s="4"/>
      <x:c r="M801" s="4"/>
      <x:c r="N801" s="4"/>
      <x:c r="O801" s="4"/>
      <x:c r="P801" s="4"/>
      <x:c r="Q801" s="4"/>
    </x:row>
    <x:row r="802" ht="64" customHeight="1">
      <x:c r="A802" s="4"/>
      <x:c r="B802" s="4"/>
      <x:c r="C802" s="4"/>
      <x:c r="D802" s="4"/>
      <x:c r="E802" s="4"/>
      <x:c r="F802" s="4"/>
      <x:c r="G802" s="4"/>
      <x:c r="H802" s="4"/>
      <x:c r="I802" s="4"/>
      <x:c r="J802" s="4"/>
      <x:c r="K802" s="4"/>
      <x:c r="L802" s="4"/>
      <x:c r="M802" s="4"/>
      <x:c r="N802" s="4"/>
      <x:c r="O802" s="4"/>
      <x:c r="P802" s="4"/>
      <x:c r="Q802" s="4"/>
    </x:row>
    <x:row r="803" ht="64" customHeight="1">
      <x:c r="A803" s="4" t="str">
        <x:v>design.collection.shell_pigment_suspension.in.1</x:v>
      </x:c>
      <x:c r="B803" s="4" t="str">
        <x:v>design.collection.shell_pigment_suspension</x:v>
      </x:c>
      <x:c r="C803" s="4" t="str">
        <x:v>Ingredient candidate</x:v>
      </x:c>
      <x:c r="D803" s="4" t="str">
        <x:v>proposal.t1.faunal_carrier</x:v>
      </x:c>
      <x:c r="E803" s="4" t="str">
        <x:f>IFERROR(INDEX('Items'!$B$6:$B$1005,MATCH(D803,'Items'!$A$6:$A$1005,0)),"MISSING ID")</x:f>
        <x:v>Selected faunal carrier fraction</x:v>
      </x:c>
      <x:c r="F803" s="4" t="str">
        <x:f>IFERROR(INDEX('Items'!$C$6:$C$1005,MATCH(D803,'Items'!$A$6:$A$1005,0)),"MISSING ID")</x:f>
        <x:v>T1</x:v>
      </x:c>
      <x:c r="G803" s="4" t="str">
        <x:f>IFERROR(INDEX('Items'!$D$6:$D$1005,MATCH(D803,'Items'!$A$6:$A$1005,0)),"MISSING ID")</x:f>
        <x:v>Crafting components</x:v>
      </x:c>
      <x:c r="H803" s="4" t="str">
        <x:f>IFERROR(INDEX('Items'!$X$6:$X$1005,MATCH(D803,'Items'!$A$6:$A$1005,0)),"MISSING ID")</x:f>
        <x:v>Chemical material</x:v>
      </x:c>
      <x:c r="I803" s="4"/>
      <x:c r="J803" s="4" t="str">
        <x:v>Unspecified</x:v>
      </x:c>
      <x:c r="K803" s="4" t="str">
        <x:f>IFERROR(INDEX('Crafting recipes'!$D$6:$D$1005,MATCH(B803,'Crafting recipes'!$A$6:$A$1005,0)),"MISSING ID")</x:f>
        <x:v>Proposal</x:v>
      </x:c>
      <x:c r="L803" s="4" t="str">
        <x:f>IFERROR(INDEX('Items'!$AD$6:$AD$1005,MATCH(D803,'Items'!$A$6:$A$1005,0)),"MISSING ID")</x:f>
        <x:v>Proposal</x:v>
      </x:c>
      <x:c r="M803" s="4" t="str">
        <x:f>IFERROR(INDEX('Crafting recipes'!$E$6:$E$1005,MATCH(B803,'Crafting recipes'!$A$6:$A$1005,0)),"MISSING ID")</x:f>
        <x:v>Partial proposal</x:v>
      </x:c>
      <x:c r="N803" s="4" t="str">
        <x:v>Candidate source or part only. Quantity, grade and method remain open.</x:v>
      </x:c>
      <x:c r="O803" s="4" t="str">
        <x:v>Collection expansion, October 15, 2026. New game proposal.</x:v>
      </x:c>
      <x:c r="P803" s="4" t="n">
        <x:f>IF(OR(C803="Ingredient candidate",C803="Consumed input",C803="Contained input",C803="Transform input"),IF(F803="T0",0,IF(F803="T1",1,IF(F803="T2",2,IF(F803="T3",3,IF(F803="T4",4,-1))))),-1)</x:f>
        <x:v>1</x:v>
      </x:c>
      <x:c r="Q803" s="4" t="n">
        <x:f>IF(AND(OR(C803="Ingredient candidate",C803="Consumed input",C803="Contained input",C803="Transform input"),P803=-1),1,0)</x:f>
        <x:v>0</x:v>
      </x:c>
    </x:row>
    <x:row r="804" ht="64" customHeight="1">
      <x:c r="A804" s="4" t="str">
        <x:v>design.collection.shell_pigment_suspension.in.2</x:v>
      </x:c>
      <x:c r="B804" s="4" t="str">
        <x:v>design.collection.shell_pigment_suspension</x:v>
      </x:c>
      <x:c r="C804" s="4" t="str">
        <x:v>Ingredient candidate</x:v>
      </x:c>
      <x:c r="D804" s="4" t="str">
        <x:v>proposal.t1.pigment_powder</x:v>
      </x:c>
      <x:c r="E804" s="4" t="str">
        <x:f>IFERROR(INDEX('Items'!$B$6:$B$1005,MATCH(D804,'Items'!$A$6:$A$1005,0)),"MISSING ID")</x:f>
        <x:v>Prepared mineral pigment powder</x:v>
      </x:c>
      <x:c r="F804" s="4" t="str">
        <x:f>IFERROR(INDEX('Items'!$C$6:$C$1005,MATCH(D804,'Items'!$A$6:$A$1005,0)),"MISSING ID")</x:f>
        <x:v>T1</x:v>
      </x:c>
      <x:c r="G804" s="4" t="str">
        <x:f>IFERROR(INDEX('Items'!$D$6:$D$1005,MATCH(D804,'Items'!$A$6:$A$1005,0)),"MISSING ID")</x:f>
        <x:v>Manufactured stock</x:v>
      </x:c>
      <x:c r="H804" s="4" t="str">
        <x:f>IFERROR(INDEX('Items'!$X$6:$X$1005,MATCH(D804,'Items'!$A$6:$A$1005,0)),"MISSING ID")</x:f>
        <x:v>Processed material</x:v>
      </x:c>
      <x:c r="I804" s="4"/>
      <x:c r="J804" s="4" t="str">
        <x:v>Unspecified</x:v>
      </x:c>
      <x:c r="K804" s="4" t="str">
        <x:f>IFERROR(INDEX('Crafting recipes'!$D$6:$D$1005,MATCH(B804,'Crafting recipes'!$A$6:$A$1005,0)),"MISSING ID")</x:f>
        <x:v>Proposal</x:v>
      </x:c>
      <x:c r="L804" s="4" t="str">
        <x:f>IFERROR(INDEX('Items'!$AD$6:$AD$1005,MATCH(D804,'Items'!$A$6:$A$1005,0)),"MISSING ID")</x:f>
        <x:v>Proposal</x:v>
      </x:c>
      <x:c r="M804" s="4" t="str">
        <x:f>IFERROR(INDEX('Crafting recipes'!$E$6:$E$1005,MATCH(B804,'Crafting recipes'!$A$6:$A$1005,0)),"MISSING ID")</x:f>
        <x:v>Partial proposal</x:v>
      </x:c>
      <x:c r="N804" s="4" t="str">
        <x:v>Candidate source or part only. Quantity, grade and method remain open.</x:v>
      </x:c>
      <x:c r="O804" s="4" t="str">
        <x:v>Collection expansion, October 15, 2026. New game proposal.</x:v>
      </x:c>
      <x:c r="P804" s="4" t="n">
        <x:f>IF(OR(C804="Ingredient candidate",C804="Consumed input",C804="Contained input",C804="Transform input"),IF(F804="T0",0,IF(F804="T1",1,IF(F804="T2",2,IF(F804="T3",3,IF(F804="T4",4,-1))))),-1)</x:f>
        <x:v>1</x:v>
      </x:c>
      <x:c r="Q804" s="4" t="n">
        <x:f>IF(AND(OR(C804="Ingredient candidate",C804="Consumed input",C804="Contained input",C804="Transform input"),P804=-1),1,0)</x:f>
        <x:v>0</x:v>
      </x:c>
    </x:row>
    <x:row r="805" ht="64" customHeight="1">
      <x:c r="A805" s="4" t="str">
        <x:v>design.collection.shell_pigment_suspension.out</x:v>
      </x:c>
      <x:c r="B805" s="4" t="str">
        <x:v>design.collection.shell_pigment_suspension</x:v>
      </x:c>
      <x:c r="C805" s="4" t="str">
        <x:v>Output</x:v>
      </x:c>
      <x:c r="D805" s="4" t="str">
        <x:v>proposal.collection.shell_pigment_suspension</x:v>
      </x:c>
      <x:c r="E805" s="4" t="str">
        <x:f>IFERROR(INDEX('Items'!$B$6:$B$1005,MATCH(D805,'Items'!$A$6:$A$1005,0)),"MISSING ID")</x:f>
        <x:v>Shell-pigment suspension</x:v>
      </x:c>
      <x:c r="F805" s="4" t="str">
        <x:f>IFERROR(INDEX('Items'!$C$6:$C$1005,MATCH(D805,'Items'!$A$6:$A$1005,0)),"MISSING ID")</x:f>
        <x:v>T2</x:v>
      </x:c>
      <x:c r="G805" s="4" t="str">
        <x:f>IFERROR(INDEX('Items'!$D$6:$D$1005,MATCH(D805,'Items'!$A$6:$A$1005,0)),"MISSING ID")</x:f>
        <x:v>Crafting components</x:v>
      </x:c>
      <x:c r="H805" s="4" t="str">
        <x:f>IFERROR(INDEX('Items'!$X$6:$X$1005,MATCH(D805,'Items'!$A$6:$A$1005,0)),"MISSING ID")</x:f>
        <x:v>Chemical material</x:v>
      </x:c>
      <x:c r="I805" s="4"/>
      <x:c r="J805" s="4" t="str">
        <x:v>Unspecified</x:v>
      </x:c>
      <x:c r="K805" s="4" t="str">
        <x:f>IFERROR(INDEX('Crafting recipes'!$D$6:$D$1005,MATCH(B805,'Crafting recipes'!$A$6:$A$1005,0)),"MISSING ID")</x:f>
        <x:v>Proposal</x:v>
      </x:c>
      <x:c r="L805" s="4" t="str">
        <x:f>IFERROR(INDEX('Items'!$AD$6:$AD$1005,MATCH(D805,'Items'!$A$6:$A$1005,0)),"MISSING ID")</x:f>
        <x:v>Proposal</x:v>
      </x:c>
      <x:c r="M805" s="4" t="str">
        <x:f>IFERROR(INDEX('Crafting recipes'!$E$6:$E$1005,MATCH(B805,'Crafting recipes'!$A$6:$A$1005,0)),"MISSING ID")</x:f>
        <x:v>Partial proposal</x:v>
      </x:c>
      <x:c r="N805" s="4" t="str">
        <x:v>Candidate source or part only. Quantity, grade and method remain open.</x:v>
      </x:c>
      <x:c r="O805" s="4" t="str">
        <x:v>Collection expansion, October 15, 2026. New game proposal.</x:v>
      </x:c>
      <x:c r="P805" s="4" t="n">
        <x:f>IF(OR(C805="Ingredient candidate",C805="Consumed input",C805="Contained input",C805="Transform input"),IF(F805="T0",0,IF(F805="T1",1,IF(F805="T2",2,IF(F805="T3",3,IF(F805="T4",4,-1))))),-1)</x:f>
        <x:v>-1</x:v>
      </x:c>
      <x:c r="Q805" s="4" t="n">
        <x:f>IF(AND(OR(C805="Ingredient candidate",C805="Consumed input",C805="Contained input",C805="Transform input"),P805=-1),1,0)</x:f>
        <x:v>0</x:v>
      </x:c>
    </x:row>
    <x:row r="806" ht="64" customHeight="1">
      <x:c r="A806" s="4" t="str">
        <x:v>design.collection.mineral_contact_cleaning_charge.in.1</x:v>
      </x:c>
      <x:c r="B806" s="4" t="str">
        <x:v>design.collection.mineral_contact_cleaning_charge</x:v>
      </x:c>
      <x:c r="C806" s="4" t="str">
        <x:v>Ingredient candidate</x:v>
      </x:c>
      <x:c r="D806" s="4" t="str">
        <x:v>proposal.lore.alkali_concentrate</x:v>
      </x:c>
      <x:c r="E806" s="4" t="str">
        <x:f>IFERROR(INDEX('Items'!$B$6:$B$1005,MATCH(D806,'Items'!$A$6:$A$1005,0)),"MISSING ID")</x:f>
        <x:v>Prepared alkaline mineral concentrate</x:v>
      </x:c>
      <x:c r="F806" s="4" t="str">
        <x:f>IFERROR(INDEX('Items'!$C$6:$C$1005,MATCH(D806,'Items'!$A$6:$A$1005,0)),"MISSING ID")</x:f>
        <x:v>T1</x:v>
      </x:c>
      <x:c r="G806" s="4" t="str">
        <x:f>IFERROR(INDEX('Items'!$D$6:$D$1005,MATCH(D806,'Items'!$A$6:$A$1005,0)),"MISSING ID")</x:f>
        <x:v>Crafting components</x:v>
      </x:c>
      <x:c r="H806" s="4" t="str">
        <x:f>IFERROR(INDEX('Items'!$X$6:$X$1005,MATCH(D806,'Items'!$A$6:$A$1005,0)),"MISSING ID")</x:f>
        <x:v>Chemical material</x:v>
      </x:c>
      <x:c r="I806" s="4"/>
      <x:c r="J806" s="4" t="str">
        <x:v>Unspecified</x:v>
      </x:c>
      <x:c r="K806" s="4" t="str">
        <x:f>IFERROR(INDEX('Crafting recipes'!$D$6:$D$1005,MATCH(B806,'Crafting recipes'!$A$6:$A$1005,0)),"MISSING ID")</x:f>
        <x:v>Proposal</x:v>
      </x:c>
      <x:c r="L806" s="4" t="str">
        <x:f>IFERROR(INDEX('Items'!$AD$6:$AD$1005,MATCH(D806,'Items'!$A$6:$A$1005,0)),"MISSING ID")</x:f>
        <x:v>Proposal</x:v>
      </x:c>
      <x:c r="M806" s="4" t="str">
        <x:f>IFERROR(INDEX('Crafting recipes'!$E$6:$E$1005,MATCH(B806,'Crafting recipes'!$A$6:$A$1005,0)),"MISSING ID")</x:f>
        <x:v>Partial proposal</x:v>
      </x:c>
      <x:c r="N806" s="4" t="str">
        <x:v>Candidate source or part only. Quantity, grade and method remain open.</x:v>
      </x:c>
      <x:c r="O806" s="4" t="str">
        <x:v>Collection expansion, October 15, 2026. New game proposal.</x:v>
      </x:c>
      <x:c r="P806" s="4" t="n">
        <x:f>IF(OR(C806="Ingredient candidate",C806="Consumed input",C806="Contained input",C806="Transform input"),IF(F806="T0",0,IF(F806="T1",1,IF(F806="T2",2,IF(F806="T3",3,IF(F806="T4",4,-1))))),-1)</x:f>
        <x:v>1</x:v>
      </x:c>
      <x:c r="Q806" s="4" t="n">
        <x:f>IF(AND(OR(C806="Ingredient candidate",C806="Consumed input",C806="Contained input",C806="Transform input"),P806=-1),1,0)</x:f>
        <x:v>0</x:v>
      </x:c>
    </x:row>
    <x:row r="807" ht="64" customHeight="1">
      <x:c r="A807" s="4" t="str">
        <x:v>design.collection.mineral_contact_cleaning_charge.in.2</x:v>
      </x:c>
      <x:c r="B807" s="4" t="str">
        <x:v>design.collection.mineral_contact_cleaning_charge</x:v>
      </x:c>
      <x:c r="C807" s="4" t="str">
        <x:v>Ingredient candidate</x:v>
      </x:c>
      <x:c r="D807" s="4" t="str">
        <x:v>proposal.t1.faunal_carrier</x:v>
      </x:c>
      <x:c r="E807" s="4" t="str">
        <x:f>IFERROR(INDEX('Items'!$B$6:$B$1005,MATCH(D807,'Items'!$A$6:$A$1005,0)),"MISSING ID")</x:f>
        <x:v>Selected faunal carrier fraction</x:v>
      </x:c>
      <x:c r="F807" s="4" t="str">
        <x:f>IFERROR(INDEX('Items'!$C$6:$C$1005,MATCH(D807,'Items'!$A$6:$A$1005,0)),"MISSING ID")</x:f>
        <x:v>T1</x:v>
      </x:c>
      <x:c r="G807" s="4" t="str">
        <x:f>IFERROR(INDEX('Items'!$D$6:$D$1005,MATCH(D807,'Items'!$A$6:$A$1005,0)),"MISSING ID")</x:f>
        <x:v>Crafting components</x:v>
      </x:c>
      <x:c r="H807" s="4" t="str">
        <x:f>IFERROR(INDEX('Items'!$X$6:$X$1005,MATCH(D807,'Items'!$A$6:$A$1005,0)),"MISSING ID")</x:f>
        <x:v>Chemical material</x:v>
      </x:c>
      <x:c r="I807" s="4"/>
      <x:c r="J807" s="4" t="str">
        <x:v>Unspecified</x:v>
      </x:c>
      <x:c r="K807" s="4" t="str">
        <x:f>IFERROR(INDEX('Crafting recipes'!$D$6:$D$1005,MATCH(B807,'Crafting recipes'!$A$6:$A$1005,0)),"MISSING ID")</x:f>
        <x:v>Proposal</x:v>
      </x:c>
      <x:c r="L807" s="4" t="str">
        <x:f>IFERROR(INDEX('Items'!$AD$6:$AD$1005,MATCH(D807,'Items'!$A$6:$A$1005,0)),"MISSING ID")</x:f>
        <x:v>Proposal</x:v>
      </x:c>
      <x:c r="M807" s="4" t="str">
        <x:f>IFERROR(INDEX('Crafting recipes'!$E$6:$E$1005,MATCH(B807,'Crafting recipes'!$A$6:$A$1005,0)),"MISSING ID")</x:f>
        <x:v>Partial proposal</x:v>
      </x:c>
      <x:c r="N807" s="4" t="str">
        <x:v>Candidate source or part only. Quantity, grade and method remain open.</x:v>
      </x:c>
      <x:c r="O807" s="4" t="str">
        <x:v>Collection expansion, October 15, 2026. New game proposal.</x:v>
      </x:c>
      <x:c r="P807" s="4" t="n">
        <x:f>IF(OR(C807="Ingredient candidate",C807="Consumed input",C807="Contained input",C807="Transform input"),IF(F807="T0",0,IF(F807="T1",1,IF(F807="T2",2,IF(F807="T3",3,IF(F807="T4",4,-1))))),-1)</x:f>
        <x:v>1</x:v>
      </x:c>
      <x:c r="Q807" s="4" t="n">
        <x:f>IF(AND(OR(C807="Ingredient candidate",C807="Consumed input",C807="Contained input",C807="Transform input"),P807=-1),1,0)</x:f>
        <x:v>0</x:v>
      </x:c>
    </x:row>
    <x:row r="808" ht="64" customHeight="1">
      <x:c r="A808" s="4" t="str">
        <x:v>design.collection.mineral_contact_cleaning_charge.out</x:v>
      </x:c>
      <x:c r="B808" s="4" t="str">
        <x:v>design.collection.mineral_contact_cleaning_charge</x:v>
      </x:c>
      <x:c r="C808" s="4" t="str">
        <x:v>Output</x:v>
      </x:c>
      <x:c r="D808" s="4" t="str">
        <x:v>proposal.collection.mineral_contact_cleaning_charge</x:v>
      </x:c>
      <x:c r="E808" s="4" t="str">
        <x:f>IFERROR(INDEX('Items'!$B$6:$B$1005,MATCH(D808,'Items'!$A$6:$A$1005,0)),"MISSING ID")</x:f>
        <x:v>Mineral contact-cleaning charge</x:v>
      </x:c>
      <x:c r="F808" s="4" t="str">
        <x:f>IFERROR(INDEX('Items'!$C$6:$C$1005,MATCH(D808,'Items'!$A$6:$A$1005,0)),"MISSING ID")</x:f>
        <x:v>T2</x:v>
      </x:c>
      <x:c r="G808" s="4" t="str">
        <x:f>IFERROR(INDEX('Items'!$D$6:$D$1005,MATCH(D808,'Items'!$A$6:$A$1005,0)),"MISSING ID")</x:f>
        <x:v>Crafting components</x:v>
      </x:c>
      <x:c r="H808" s="4" t="str">
        <x:f>IFERROR(INDEX('Items'!$X$6:$X$1005,MATCH(D808,'Items'!$A$6:$A$1005,0)),"MISSING ID")</x:f>
        <x:v>Chemical material</x:v>
      </x:c>
      <x:c r="I808" s="4"/>
      <x:c r="J808" s="4" t="str">
        <x:v>Unspecified</x:v>
      </x:c>
      <x:c r="K808" s="4" t="str">
        <x:f>IFERROR(INDEX('Crafting recipes'!$D$6:$D$1005,MATCH(B808,'Crafting recipes'!$A$6:$A$1005,0)),"MISSING ID")</x:f>
        <x:v>Proposal</x:v>
      </x:c>
      <x:c r="L808" s="4" t="str">
        <x:f>IFERROR(INDEX('Items'!$AD$6:$AD$1005,MATCH(D808,'Items'!$A$6:$A$1005,0)),"MISSING ID")</x:f>
        <x:v>Proposal</x:v>
      </x:c>
      <x:c r="M808" s="4" t="str">
        <x:f>IFERROR(INDEX('Crafting recipes'!$E$6:$E$1005,MATCH(B808,'Crafting recipes'!$A$6:$A$1005,0)),"MISSING ID")</x:f>
        <x:v>Partial proposal</x:v>
      </x:c>
      <x:c r="N808" s="4" t="str">
        <x:v>Candidate source or part only. Quantity, grade and method remain open.</x:v>
      </x:c>
      <x:c r="O808" s="4" t="str">
        <x:v>Collection expansion, October 15, 2026. New game proposal.</x:v>
      </x:c>
      <x:c r="P808" s="4" t="n">
        <x:f>IF(OR(C808="Ingredient candidate",C808="Consumed input",C808="Contained input",C808="Transform input"),IF(F808="T0",0,IF(F808="T1",1,IF(F808="T2",2,IF(F808="T3",3,IF(F808="T4",4,-1))))),-1)</x:f>
        <x:v>-1</x:v>
      </x:c>
      <x:c r="Q808" s="4" t="n">
        <x:f>IF(AND(OR(C808="Ingredient candidate",C808="Consumed input",C808="Contained input",C808="Transform input"),P808=-1),1,0)</x:f>
        <x:v>0</x:v>
      </x:c>
    </x:row>
    <x:row r="809" ht="64" customHeight="1">
      <x:c r="A809" s="4" t="str">
        <x:v>design.collection.hand_cranked_metal_drill.in.1</x:v>
      </x:c>
      <x:c r="B809" s="4" t="str">
        <x:v>design.collection.hand_cranked_metal_drill</x:v>
      </x:c>
      <x:c r="C809" s="4" t="str">
        <x:v>Ingredient candidate</x:v>
      </x:c>
      <x:c r="D809" s="4" t="str">
        <x:v>proposal.natural.iron_stock</x:v>
      </x:c>
      <x:c r="E809" s="4" t="str">
        <x:f>IFERROR(INDEX('Items'!$B$6:$B$1005,MATCH(D809,'Items'!$A$6:$A$1005,0)),"MISSING ID")</x:f>
        <x:v>Worked iron stock</x:v>
      </x:c>
      <x:c r="F809" s="4" t="str">
        <x:f>IFERROR(INDEX('Items'!$C$6:$C$1005,MATCH(D809,'Items'!$A$6:$A$1005,0)),"MISSING ID")</x:f>
        <x:v>T2</x:v>
      </x:c>
      <x:c r="G809" s="4" t="str">
        <x:f>IFERROR(INDEX('Items'!$D$6:$D$1005,MATCH(D809,'Items'!$A$6:$A$1005,0)),"MISSING ID")</x:f>
        <x:v>Manufactured stock</x:v>
      </x:c>
      <x:c r="H809" s="4" t="str">
        <x:f>IFERROR(INDEX('Items'!$X$6:$X$1005,MATCH(D809,'Items'!$A$6:$A$1005,0)),"MISSING ID")</x:f>
        <x:v>Processed material</x:v>
      </x:c>
      <x:c r="I809" s="4"/>
      <x:c r="J809" s="4" t="str">
        <x:v>Unspecified</x:v>
      </x:c>
      <x:c r="K809" s="4" t="str">
        <x:f>IFERROR(INDEX('Crafting recipes'!$D$6:$D$1005,MATCH(B809,'Crafting recipes'!$A$6:$A$1005,0)),"MISSING ID")</x:f>
        <x:v>Proposal</x:v>
      </x:c>
      <x:c r="L809" s="4" t="str">
        <x:f>IFERROR(INDEX('Items'!$AD$6:$AD$1005,MATCH(D809,'Items'!$A$6:$A$1005,0)),"MISSING ID")</x:f>
        <x:v>Proposal</x:v>
      </x:c>
      <x:c r="M809" s="4" t="str">
        <x:f>IFERROR(INDEX('Crafting recipes'!$E$6:$E$1005,MATCH(B809,'Crafting recipes'!$A$6:$A$1005,0)),"MISSING ID")</x:f>
        <x:v>Partial proposal</x:v>
      </x:c>
      <x:c r="N809" s="4" t="str">
        <x:v>Candidate source or part only. Quantity, grade and method remain open.</x:v>
      </x:c>
      <x:c r="O809" s="4" t="str">
        <x:v>Collection expansion, October 15, 2026. New game proposal.</x:v>
      </x:c>
      <x:c r="P809" s="4" t="n">
        <x:f>IF(OR(C809="Ingredient candidate",C809="Consumed input",C809="Contained input",C809="Transform input"),IF(F809="T0",0,IF(F809="T1",1,IF(F809="T2",2,IF(F809="T3",3,IF(F809="T4",4,-1))))),-1)</x:f>
        <x:v>2</x:v>
      </x:c>
      <x:c r="Q809" s="4" t="n">
        <x:f>IF(AND(OR(C809="Ingredient candidate",C809="Consumed input",C809="Contained input",C809="Transform input"),P809=-1),1,0)</x:f>
        <x:v>0</x:v>
      </x:c>
    </x:row>
    <x:row r="810" ht="64" customHeight="1">
      <x:c r="A810" s="4" t="str">
        <x:v>design.collection.hand_cranked_metal_drill.in.2</x:v>
      </x:c>
      <x:c r="B810" s="4" t="str">
        <x:v>design.collection.hand_cranked_metal_drill</x:v>
      </x:c>
      <x:c r="C810" s="4" t="str">
        <x:v>Ingredient candidate</x:v>
      </x:c>
      <x:c r="D810" s="4" t="str">
        <x:v>author.metallurgy.steel_stock</x:v>
      </x:c>
      <x:c r="E810" s="4" t="str">
        <x:f>IFERROR(INDEX('Items'!$B$6:$B$1005,MATCH(D810,'Items'!$A$6:$A$1005,0)),"MISSING ID")</x:f>
        <x:v>Steel stock</x:v>
      </x:c>
      <x:c r="F810" s="4" t="str">
        <x:f>IFERROR(INDEX('Items'!$C$6:$C$1005,MATCH(D810,'Items'!$A$6:$A$1005,0)),"MISSING ID")</x:f>
        <x:v>T2</x:v>
      </x:c>
      <x:c r="G810" s="4" t="str">
        <x:f>IFERROR(INDEX('Items'!$D$6:$D$1005,MATCH(D810,'Items'!$A$6:$A$1005,0)),"MISSING ID")</x:f>
        <x:v>Manufactured stock</x:v>
      </x:c>
      <x:c r="H810" s="4" t="str">
        <x:f>IFERROR(INDEX('Items'!$X$6:$X$1005,MATCH(D810,'Items'!$A$6:$A$1005,0)),"MISSING ID")</x:f>
        <x:v>Processed material</x:v>
      </x:c>
      <x:c r="I810" s="4"/>
      <x:c r="J810" s="4" t="str">
        <x:v>Unspecified</x:v>
      </x:c>
      <x:c r="K810" s="4" t="str">
        <x:f>IFERROR(INDEX('Crafting recipes'!$D$6:$D$1005,MATCH(B810,'Crafting recipes'!$A$6:$A$1005,0)),"MISSING ID")</x:f>
        <x:v>Proposal</x:v>
      </x:c>
      <x:c r="L810" s="4" t="str">
        <x:f>IFERROR(INDEX('Items'!$AD$6:$AD$1005,MATCH(D810,'Items'!$A$6:$A$1005,0)),"MISSING ID")</x:f>
        <x:v>Author direction</x:v>
      </x:c>
      <x:c r="M810" s="4" t="str">
        <x:f>IFERROR(INDEX('Crafting recipes'!$E$6:$E$1005,MATCH(B810,'Crafting recipes'!$A$6:$A$1005,0)),"MISSING ID")</x:f>
        <x:v>Partial proposal</x:v>
      </x:c>
      <x:c r="N810" s="4" t="str">
        <x:v>Candidate source or part only. Quantity, grade and method remain open.</x:v>
      </x:c>
      <x:c r="O810" s="4" t="str">
        <x:v>Collection expansion, October 15, 2026. New game proposal.</x:v>
      </x:c>
      <x:c r="P810" s="4" t="n">
        <x:f>IF(OR(C810="Ingredient candidate",C810="Consumed input",C810="Contained input",C810="Transform input"),IF(F810="T0",0,IF(F810="T1",1,IF(F810="T2",2,IF(F810="T3",3,IF(F810="T4",4,-1))))),-1)</x:f>
        <x:v>2</x:v>
      </x:c>
      <x:c r="Q810" s="4" t="n">
        <x:f>IF(AND(OR(C810="Ingredient candidate",C810="Consumed input",C810="Contained input",C810="Transform input"),P810=-1),1,0)</x:f>
        <x:v>0</x:v>
      </x:c>
    </x:row>
    <x:row r="811" ht="64" customHeight="1">
      <x:c r="A811" s="4" t="str">
        <x:v>design.collection.hand_cranked_metal_drill.in.3</x:v>
      </x:c>
      <x:c r="B811" s="4" t="str">
        <x:v>design.collection.hand_cranked_metal_drill</x:v>
      </x:c>
      <x:c r="C811" s="4" t="str">
        <x:v>Ingredient candidate</x:v>
      </x:c>
      <x:c r="D811" s="4" t="str">
        <x:v>proposal.lore.fastener_set</x:v>
      </x:c>
      <x:c r="E811" s="4" t="str">
        <x:f>IFERROR(INDEX('Items'!$B$6:$B$1005,MATCH(D811,'Items'!$A$6:$A$1005,0)),"MISSING ID")</x:f>
        <x:v>Matched metal fastener set</x:v>
      </x:c>
      <x:c r="F811" s="4" t="str">
        <x:f>IFERROR(INDEX('Items'!$C$6:$C$1005,MATCH(D811,'Items'!$A$6:$A$1005,0)),"MISSING ID")</x:f>
        <x:v>T3</x:v>
      </x:c>
      <x:c r="G811" s="4" t="str">
        <x:f>IFERROR(INDEX('Items'!$D$6:$D$1005,MATCH(D811,'Items'!$A$6:$A$1005,0)),"MISSING ID")</x:f>
        <x:v>Crafting components</x:v>
      </x:c>
      <x:c r="H811" s="4" t="str">
        <x:f>IFERROR(INDEX('Items'!$X$6:$X$1005,MATCH(D811,'Items'!$A$6:$A$1005,0)),"MISSING ID")</x:f>
        <x:v>Crafting component</x:v>
      </x:c>
      <x:c r="I811" s="4"/>
      <x:c r="J811" s="4" t="str">
        <x:v>Unspecified</x:v>
      </x:c>
      <x:c r="K811" s="4" t="str">
        <x:f>IFERROR(INDEX('Crafting recipes'!$D$6:$D$1005,MATCH(B811,'Crafting recipes'!$A$6:$A$1005,0)),"MISSING ID")</x:f>
        <x:v>Proposal</x:v>
      </x:c>
      <x:c r="L811" s="4" t="str">
        <x:f>IFERROR(INDEX('Items'!$AD$6:$AD$1005,MATCH(D811,'Items'!$A$6:$A$1005,0)),"MISSING ID")</x:f>
        <x:v>Proposal</x:v>
      </x:c>
      <x:c r="M811" s="4" t="str">
        <x:f>IFERROR(INDEX('Crafting recipes'!$E$6:$E$1005,MATCH(B811,'Crafting recipes'!$A$6:$A$1005,0)),"MISSING ID")</x:f>
        <x:v>Partial proposal</x:v>
      </x:c>
      <x:c r="N811" s="4" t="str">
        <x:v>Candidate source or part only. Quantity, grade and method remain open.</x:v>
      </x:c>
      <x:c r="O811" s="4" t="str">
        <x:v>Collection expansion, October 15, 2026. New game proposal.</x:v>
      </x:c>
      <x:c r="P811" s="4" t="n">
        <x:f>IF(OR(C811="Ingredient candidate",C811="Consumed input",C811="Contained input",C811="Transform input"),IF(F811="T0",0,IF(F811="T1",1,IF(F811="T2",2,IF(F811="T3",3,IF(F811="T4",4,-1))))),-1)</x:f>
        <x:v>3</x:v>
      </x:c>
      <x:c r="Q811" s="4" t="n">
        <x:f>IF(AND(OR(C811="Ingredient candidate",C811="Consumed input",C811="Contained input",C811="Transform input"),P811=-1),1,0)</x:f>
        <x:v>0</x:v>
      </x:c>
    </x:row>
    <x:row r="812" ht="64" customHeight="1">
      <x:c r="A812" s="4" t="str">
        <x:v>design.collection.hand_cranked_metal_drill.out</x:v>
      </x:c>
      <x:c r="B812" s="4" t="str">
        <x:v>design.collection.hand_cranked_metal_drill</x:v>
      </x:c>
      <x:c r="C812" s="4" t="str">
        <x:v>Output</x:v>
      </x:c>
      <x:c r="D812" s="4" t="str">
        <x:v>proposal.collection.hand_cranked_metal_drill</x:v>
      </x:c>
      <x:c r="E812" s="4" t="str">
        <x:f>IFERROR(INDEX('Items'!$B$6:$B$1005,MATCH(D812,'Items'!$A$6:$A$1005,0)),"MISSING ID")</x:f>
        <x:v>Hand-cranked metal drill</x:v>
      </x:c>
      <x:c r="F812" s="4" t="str">
        <x:f>IFERROR(INDEX('Items'!$C$6:$C$1005,MATCH(D812,'Items'!$A$6:$A$1005,0)),"MISSING ID")</x:f>
        <x:v>Not applicable</x:v>
      </x:c>
      <x:c r="G812" s="4" t="str">
        <x:f>IFERROR(INDEX('Items'!$D$6:$D$1005,MATCH(D812,'Items'!$A$6:$A$1005,0)),"MISSING ID")</x:f>
        <x:v>Salvage</x:v>
      </x:c>
      <x:c r="H812" s="4" t="str">
        <x:f>IFERROR(INDEX('Items'!$X$6:$X$1005,MATCH(D812,'Items'!$A$6:$A$1005,0)),"MISSING ID")</x:f>
        <x:v>Tool</x:v>
      </x:c>
      <x:c r="I812" s="4"/>
      <x:c r="J812" s="4" t="str">
        <x:v>Unspecified</x:v>
      </x:c>
      <x:c r="K812" s="4" t="str">
        <x:f>IFERROR(INDEX('Crafting recipes'!$D$6:$D$1005,MATCH(B812,'Crafting recipes'!$A$6:$A$1005,0)),"MISSING ID")</x:f>
        <x:v>Proposal</x:v>
      </x:c>
      <x:c r="L812" s="4" t="str">
        <x:f>IFERROR(INDEX('Items'!$AD$6:$AD$1005,MATCH(D812,'Items'!$A$6:$A$1005,0)),"MISSING ID")</x:f>
        <x:v>Proposal</x:v>
      </x:c>
      <x:c r="M812" s="4" t="str">
        <x:f>IFERROR(INDEX('Crafting recipes'!$E$6:$E$1005,MATCH(B812,'Crafting recipes'!$A$6:$A$1005,0)),"MISSING ID")</x:f>
        <x:v>Partial proposal</x:v>
      </x:c>
      <x:c r="N812" s="4" t="str">
        <x:v>Candidate source or part only. Quantity, grade and method remain open.</x:v>
      </x:c>
      <x:c r="O812" s="4" t="str">
        <x:v>Collection expansion, October 15, 2026. New game proposal.</x:v>
      </x:c>
      <x:c r="P812" s="4" t="n">
        <x:f>IF(OR(C812="Ingredient candidate",C812="Consumed input",C812="Contained input",C812="Transform input"),IF(F812="T0",0,IF(F812="T1",1,IF(F812="T2",2,IF(F812="T3",3,IF(F812="T4",4,-1))))),-1)</x:f>
        <x:v>-1</x:v>
      </x:c>
      <x:c r="Q812" s="4" t="n">
        <x:f>IF(AND(OR(C812="Ingredient candidate",C812="Consumed input",C812="Contained input",C812="Transform input"),P812=-1),1,0)</x:f>
        <x:v>0</x:v>
      </x:c>
    </x:row>
    <x:row r="813" ht="64" customHeight="1">
      <x:c r="A813" s="4"/>
      <x:c r="B813" s="4"/>
      <x:c r="C813" s="4"/>
      <x:c r="D813" s="4"/>
      <x:c r="E813" s="4"/>
      <x:c r="F813" s="4"/>
      <x:c r="G813" s="4"/>
      <x:c r="H813" s="4"/>
      <x:c r="I813" s="4"/>
      <x:c r="K813" s="4"/>
      <x:c r="L813" s="4"/>
      <x:c r="M813" s="4"/>
      <x:c r="N813" s="4"/>
      <x:c r="O813" s="4"/>
      <x:c r="P813" s="4"/>
      <x:c r="Q813" s="4"/>
    </x:row>
    <x:row r="814" ht="64" customHeight="1">
      <x:c r="A814" s="4"/>
      <x:c r="B814" s="4"/>
      <x:c r="C814" s="4"/>
      <x:c r="D814" s="4"/>
      <x:c r="E814" s="4"/>
      <x:c r="F814" s="4"/>
      <x:c r="G814" s="4"/>
      <x:c r="H814" s="4"/>
      <x:c r="I814" s="4"/>
      <x:c r="K814" s="4"/>
      <x:c r="L814" s="4"/>
      <x:c r="M814" s="4"/>
      <x:c r="N814" s="4"/>
      <x:c r="O814" s="4"/>
      <x:c r="P814" s="4"/>
      <x:c r="Q814" s="4"/>
    </x:row>
    <x:row r="815" ht="64" customHeight="1">
      <x:c r="A815" s="4"/>
      <x:c r="B815" s="4"/>
      <x:c r="C815" s="4"/>
      <x:c r="D815" s="4"/>
      <x:c r="E815" s="4"/>
      <x:c r="F815" s="4"/>
      <x:c r="G815" s="4"/>
      <x:c r="H815" s="4"/>
      <x:c r="I815" s="4"/>
      <x:c r="K815" s="4"/>
      <x:c r="L815" s="4"/>
      <x:c r="M815" s="4"/>
      <x:c r="N815" s="4"/>
      <x:c r="O815" s="4"/>
      <x:c r="P815" s="4"/>
      <x:c r="Q815" s="4"/>
    </x:row>
    <x:row r="816" ht="64" customHeight="1">
      <x:c r="A816" s="4" t="str">
        <x:v>design.collection.husk_sheet_cutting_shears.in.1</x:v>
      </x:c>
      <x:c r="B816" s="4" t="str">
        <x:v>design.collection.husk_sheet_cutting_shears</x:v>
      </x:c>
      <x:c r="C816" s="4" t="str">
        <x:v>Ingredient candidate</x:v>
      </x:c>
      <x:c r="D816" s="4" t="str">
        <x:v>author.metallurgy.steel_stock</x:v>
      </x:c>
      <x:c r="E816" s="4" t="str">
        <x:f>IFERROR(INDEX('Items'!$B$6:$B$1005,MATCH(D816,'Items'!$A$6:$A$1005,0)),"MISSING ID")</x:f>
        <x:v>Steel stock</x:v>
      </x:c>
      <x:c r="F816" s="4" t="str">
        <x:f>IFERROR(INDEX('Items'!$C$6:$C$1005,MATCH(D816,'Items'!$A$6:$A$1005,0)),"MISSING ID")</x:f>
        <x:v>T2</x:v>
      </x:c>
      <x:c r="G816" s="4" t="str">
        <x:f>IFERROR(INDEX('Items'!$D$6:$D$1005,MATCH(D816,'Items'!$A$6:$A$1005,0)),"MISSING ID")</x:f>
        <x:v>Manufactured stock</x:v>
      </x:c>
      <x:c r="H816" s="4" t="str">
        <x:f>IFERROR(INDEX('Items'!$X$6:$X$1005,MATCH(D816,'Items'!$A$6:$A$1005,0)),"MISSING ID")</x:f>
        <x:v>Processed material</x:v>
      </x:c>
      <x:c r="I816" s="4"/>
      <x:c r="J816" s="4" t="str">
        <x:v>Unspecified</x:v>
      </x:c>
      <x:c r="K816" s="4" t="str">
        <x:f>IFERROR(INDEX('Crafting recipes'!$D$6:$D$1005,MATCH(B816,'Crafting recipes'!$A$6:$A$1005,0)),"MISSING ID")</x:f>
        <x:v>Proposal</x:v>
      </x:c>
      <x:c r="L816" s="4" t="str">
        <x:f>IFERROR(INDEX('Items'!$AD$6:$AD$1005,MATCH(D816,'Items'!$A$6:$A$1005,0)),"MISSING ID")</x:f>
        <x:v>Author direction</x:v>
      </x:c>
      <x:c r="M816" s="4" t="str">
        <x:f>IFERROR(INDEX('Crafting recipes'!$E$6:$E$1005,MATCH(B816,'Crafting recipes'!$A$6:$A$1005,0)),"MISSING ID")</x:f>
        <x:v>Partial proposal</x:v>
      </x:c>
      <x:c r="N816" s="4" t="str">
        <x:v>Candidate source or part only. Quantity, grade and method remain open.</x:v>
      </x:c>
      <x:c r="O816" s="4" t="str">
        <x:v>Collection expansion, October 15, 2026. New game proposal.</x:v>
      </x:c>
      <x:c r="P816" s="4" t="n">
        <x:f>IF(OR(C816="Ingredient candidate",C816="Consumed input",C816="Contained input",C816="Transform input"),IF(F816="T0",0,IF(F816="T1",1,IF(F816="T2",2,IF(F816="T3",3,IF(F816="T4",4,-1))))),-1)</x:f>
        <x:v>2</x:v>
      </x:c>
      <x:c r="Q816" s="4" t="n">
        <x:f>IF(AND(OR(C816="Ingredient candidate",C816="Consumed input",C816="Contained input",C816="Transform input"),P816=-1),1,0)</x:f>
        <x:v>0</x:v>
      </x:c>
    </x:row>
    <x:row r="817" ht="64" customHeight="1">
      <x:c r="A817" s="4" t="str">
        <x:v>design.collection.husk_sheet_cutting_shears.in.2</x:v>
      </x:c>
      <x:c r="B817" s="4" t="str">
        <x:v>design.collection.husk_sheet_cutting_shears</x:v>
      </x:c>
      <x:c r="C817" s="4" t="str">
        <x:v>Ingredient candidate</x:v>
      </x:c>
      <x:c r="D817" s="4" t="str">
        <x:v>proposal.legger.joint_pin</x:v>
      </x:c>
      <x:c r="E817" s="4" t="str">
        <x:f>IFERROR(INDEX('Items'!$B$6:$B$1005,MATCH(D817,'Items'!$A$6:$A$1005,0)),"MISSING ID")</x:f>
        <x:v>Replaceable joint pin</x:v>
      </x:c>
      <x:c r="F817" s="4" t="str">
        <x:f>IFERROR(INDEX('Items'!$C$6:$C$1005,MATCH(D817,'Items'!$A$6:$A$1005,0)),"MISSING ID")</x:f>
        <x:v>T3</x:v>
      </x:c>
      <x:c r="G817" s="4" t="str">
        <x:f>IFERROR(INDEX('Items'!$D$6:$D$1005,MATCH(D817,'Items'!$A$6:$A$1005,0)),"MISSING ID")</x:f>
        <x:v>Crafting components</x:v>
      </x:c>
      <x:c r="H817" s="4" t="str">
        <x:f>IFERROR(INDEX('Items'!$X$6:$X$1005,MATCH(D817,'Items'!$A$6:$A$1005,0)),"MISSING ID")</x:f>
        <x:v>Crafting component</x:v>
      </x:c>
      <x:c r="I817" s="4"/>
      <x:c r="J817" s="4" t="str">
        <x:v>Unspecified</x:v>
      </x:c>
      <x:c r="K817" s="4" t="str">
        <x:f>IFERROR(INDEX('Crafting recipes'!$D$6:$D$1005,MATCH(B817,'Crafting recipes'!$A$6:$A$1005,0)),"MISSING ID")</x:f>
        <x:v>Proposal</x:v>
      </x:c>
      <x:c r="L817" s="4" t="str">
        <x:f>IFERROR(INDEX('Items'!$AD$6:$AD$1005,MATCH(D817,'Items'!$A$6:$A$1005,0)),"MISSING ID")</x:f>
        <x:v>Proposal</x:v>
      </x:c>
      <x:c r="M817" s="4" t="str">
        <x:f>IFERROR(INDEX('Crafting recipes'!$E$6:$E$1005,MATCH(B817,'Crafting recipes'!$A$6:$A$1005,0)),"MISSING ID")</x:f>
        <x:v>Partial proposal</x:v>
      </x:c>
      <x:c r="N817" s="4" t="str">
        <x:v>Candidate source or part only. Quantity, grade and method remain open.</x:v>
      </x:c>
      <x:c r="O817" s="4" t="str">
        <x:v>Collection expansion, October 15, 2026. New game proposal.</x:v>
      </x:c>
      <x:c r="P817" s="4" t="n">
        <x:f>IF(OR(C817="Ingredient candidate",C817="Consumed input",C817="Contained input",C817="Transform input"),IF(F817="T0",0,IF(F817="T1",1,IF(F817="T2",2,IF(F817="T3",3,IF(F817="T4",4,-1))))),-1)</x:f>
        <x:v>3</x:v>
      </x:c>
      <x:c r="Q817" s="4" t="n">
        <x:f>IF(AND(OR(C817="Ingredient candidate",C817="Consumed input",C817="Contained input",C817="Transform input"),P817=-1),1,0)</x:f>
        <x:v>0</x:v>
      </x:c>
    </x:row>
    <x:row r="818" ht="64" customHeight="1">
      <x:c r="A818" s="4" t="str">
        <x:v>design.collection.husk_sheet_cutting_shears.out</x:v>
      </x:c>
      <x:c r="B818" s="4" t="str">
        <x:v>design.collection.husk_sheet_cutting_shears</x:v>
      </x:c>
      <x:c r="C818" s="4" t="str">
        <x:v>Output</x:v>
      </x:c>
      <x:c r="D818" s="4" t="str">
        <x:v>proposal.collection.husk_sheet_cutting_shears</x:v>
      </x:c>
      <x:c r="E818" s="4" t="str">
        <x:f>IFERROR(INDEX('Items'!$B$6:$B$1005,MATCH(D818,'Items'!$A$6:$A$1005,0)),"MISSING ID")</x:f>
        <x:v>Husk-sheet cutting shears</x:v>
      </x:c>
      <x:c r="F818" s="4" t="str">
        <x:f>IFERROR(INDEX('Items'!$C$6:$C$1005,MATCH(D818,'Items'!$A$6:$A$1005,0)),"MISSING ID")</x:f>
        <x:v>Not applicable</x:v>
      </x:c>
      <x:c r="G818" s="4" t="str">
        <x:f>IFERROR(INDEX('Items'!$D$6:$D$1005,MATCH(D818,'Items'!$A$6:$A$1005,0)),"MISSING ID")</x:f>
        <x:v>Salvage</x:v>
      </x:c>
      <x:c r="H818" s="4" t="str">
        <x:f>IFERROR(INDEX('Items'!$X$6:$X$1005,MATCH(D818,'Items'!$A$6:$A$1005,0)),"MISSING ID")</x:f>
        <x:v>Tool</x:v>
      </x:c>
      <x:c r="I818" s="4"/>
      <x:c r="J818" s="4" t="str">
        <x:v>Unspecified</x:v>
      </x:c>
      <x:c r="K818" s="4" t="str">
        <x:f>IFERROR(INDEX('Crafting recipes'!$D$6:$D$1005,MATCH(B818,'Crafting recipes'!$A$6:$A$1005,0)),"MISSING ID")</x:f>
        <x:v>Proposal</x:v>
      </x:c>
      <x:c r="L818" s="4" t="str">
        <x:f>IFERROR(INDEX('Items'!$AD$6:$AD$1005,MATCH(D818,'Items'!$A$6:$A$1005,0)),"MISSING ID")</x:f>
        <x:v>Proposal</x:v>
      </x:c>
      <x:c r="M818" s="4" t="str">
        <x:f>IFERROR(INDEX('Crafting recipes'!$E$6:$E$1005,MATCH(B818,'Crafting recipes'!$A$6:$A$1005,0)),"MISSING ID")</x:f>
        <x:v>Partial proposal</x:v>
      </x:c>
      <x:c r="N818" s="4" t="str">
        <x:v>Candidate source or part only. Quantity, grade and method remain open.</x:v>
      </x:c>
      <x:c r="O818" s="4" t="str">
        <x:v>Collection expansion, October 15, 2026. New game proposal.</x:v>
      </x:c>
      <x:c r="P818" s="4" t="n">
        <x:f>IF(OR(C818="Ingredient candidate",C818="Consumed input",C818="Contained input",C818="Transform input"),IF(F818="T0",0,IF(F818="T1",1,IF(F818="T2",2,IF(F818="T3",3,IF(F818="T4",4,-1))))),-1)</x:f>
        <x:v>-1</x:v>
      </x:c>
      <x:c r="Q818" s="4" t="n">
        <x:f>IF(AND(OR(C818="Ingredient candidate",C818="Consumed input",C818="Contained input",C818="Transform input"),P818=-1),1,0)</x:f>
        <x:v>0</x:v>
      </x:c>
    </x:row>
    <x:row r="819" ht="64" customHeight="1">
      <x:c r="A819" s="4" t="str">
        <x:v>design.collection.divided_ceramic_reagent_caddy.in.1</x:v>
      </x:c>
      <x:c r="B819" s="4" t="str">
        <x:v>design.collection.divided_ceramic_reagent_caddy</x:v>
      </x:c>
      <x:c r="C819" s="4" t="str">
        <x:v>Ingredient candidate</x:v>
      </x:c>
      <x:c r="D819" s="4" t="str">
        <x:v>proposal.branch.refractory_ceramic</x:v>
      </x:c>
      <x:c r="E819" s="4" t="str">
        <x:f>IFERROR(INDEX('Items'!$B$6:$B$1005,MATCH(D819,'Items'!$A$6:$A$1005,0)),"MISSING ID")</x:f>
        <x:v>Refractory ceramic stock</x:v>
      </x:c>
      <x:c r="F819" s="4" t="str">
        <x:f>IFERROR(INDEX('Items'!$C$6:$C$1005,MATCH(D819,'Items'!$A$6:$A$1005,0)),"MISSING ID")</x:f>
        <x:v>T2</x:v>
      </x:c>
      <x:c r="G819" s="4" t="str">
        <x:f>IFERROR(INDEX('Items'!$D$6:$D$1005,MATCH(D819,'Items'!$A$6:$A$1005,0)),"MISSING ID")</x:f>
        <x:v>Manufactured stock</x:v>
      </x:c>
      <x:c r="H819" s="4" t="str">
        <x:f>IFERROR(INDEX('Items'!$X$6:$X$1005,MATCH(D819,'Items'!$A$6:$A$1005,0)),"MISSING ID")</x:f>
        <x:v>Processed material</x:v>
      </x:c>
      <x:c r="I819" s="4"/>
      <x:c r="J819" s="4" t="str">
        <x:v>Unspecified</x:v>
      </x:c>
      <x:c r="K819" s="4" t="inlineStr">
        <x:is>
          <x:t xml:space="preserve">Retired</x:t>
        </x:is>
      </x:c>
      <x:c r="L819" s="4" t="str">
        <x:f>IFERROR(INDEX('Items'!$AD$6:$AD$1005,MATCH(D819,'Items'!$A$6:$A$1005,0)),"MISSING ID")</x:f>
        <x:v>Proposal</x:v>
      </x:c>
      <x:c r="M819" s="4" t="inlineStr">
        <x:is>
          <x:t xml:space="preserve">Withdrawn container proposal</x:t>
        </x:is>
      </x:c>
      <x:c r="N81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19" s="4" t="str">
        <x:v>Collection expansion, October 15, 2026. New game proposal.</x:v>
      </x:c>
      <x:c r="P819" s="4" t="n">
        <x:f>IF(OR(C819="Ingredient candidate",C819="Consumed input",C819="Contained input",C819="Transform input"),IF(F819="T0",0,IF(F819="T1",1,IF(F819="T2",2,IF(F819="T3",3,IF(F819="T4",4,-1))))),-1)</x:f>
        <x:v>2</x:v>
      </x:c>
      <x:c r="Q819" s="4" t="n">
        <x:f>IF(AND(OR(C819="Ingredient candidate",C819="Consumed input",C819="Contained input",C819="Transform input"),P819=-1),1,0)</x:f>
        <x:v>0</x:v>
      </x:c>
    </x:row>
    <x:row r="820" ht="64" customHeight="1">
      <x:c r="A820" s="4" t="str">
        <x:v>design.collection.divided_ceramic_reagent_caddy.in.2</x:v>
      </x:c>
      <x:c r="B820" s="4" t="str">
        <x:v>design.collection.divided_ceramic_reagent_caddy</x:v>
      </x:c>
      <x:c r="C820" s="4" t="str">
        <x:v>Ingredient candidate</x:v>
      </x:c>
      <x:c r="D820" s="4" t="str">
        <x:v>proposal.canister.seal_ring</x:v>
      </x:c>
      <x:c r="E820" s="4" t="str">
        <x:f>IFERROR(INDEX('Items'!$B$6:$B$1005,MATCH(D820,'Items'!$A$6:$A$1005,0)),"MISSING ID")</x:f>
        <x:v>Replacement seal ring</x:v>
      </x:c>
      <x:c r="F820" s="4" t="str">
        <x:f>IFERROR(INDEX('Items'!$C$6:$C$1005,MATCH(D820,'Items'!$A$6:$A$1005,0)),"MISSING ID")</x:f>
        <x:v>T3</x:v>
      </x:c>
      <x:c r="G820" s="4" t="str">
        <x:f>IFERROR(INDEX('Items'!$D$6:$D$1005,MATCH(D820,'Items'!$A$6:$A$1005,0)),"MISSING ID")</x:f>
        <x:v>Crafting components</x:v>
      </x:c>
      <x:c r="H820" s="4" t="str">
        <x:f>IFERROR(INDEX('Items'!$X$6:$X$1005,MATCH(D820,'Items'!$A$6:$A$1005,0)),"MISSING ID")</x:f>
        <x:v>Container part</x:v>
      </x:c>
      <x:c r="I820" s="4"/>
      <x:c r="J820" s="4" t="str">
        <x:v>Unspecified</x:v>
      </x:c>
      <x:c r="K820" s="4" t="inlineStr">
        <x:is>
          <x:t xml:space="preserve">Retired</x:t>
        </x:is>
      </x:c>
      <x:c r="L820" s="4" t="str">
        <x:f>IFERROR(INDEX('Items'!$AD$6:$AD$1005,MATCH(D820,'Items'!$A$6:$A$1005,0)),"MISSING ID")</x:f>
        <x:v>Proposal</x:v>
      </x:c>
      <x:c r="M820" s="4" t="inlineStr">
        <x:is>
          <x:t xml:space="preserve">Withdrawn container proposal</x:t>
        </x:is>
      </x:c>
      <x:c r="N82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0" s="4" t="str">
        <x:v>Collection expansion, October 15, 2026. New game proposal.</x:v>
      </x:c>
      <x:c r="P820" s="4" t="n">
        <x:f>IF(OR(C820="Ingredient candidate",C820="Consumed input",C820="Contained input",C820="Transform input"),IF(F820="T0",0,IF(F820="T1",1,IF(F820="T2",2,IF(F820="T3",3,IF(F820="T4",4,-1))))),-1)</x:f>
        <x:v>3</x:v>
      </x:c>
      <x:c r="Q820" s="4" t="n">
        <x:f>IF(AND(OR(C820="Ingredient candidate",C820="Consumed input",C820="Contained input",C820="Transform input"),P820=-1),1,0)</x:f>
        <x:v>0</x:v>
      </x:c>
    </x:row>
    <x:row r="821" ht="64" customHeight="1">
      <x:c r="A821" s="4" t="str">
        <x:v>design.collection.divided_ceramic_reagent_caddy.in.3</x:v>
      </x:c>
      <x:c r="B821" s="4" t="str">
        <x:v>design.collection.divided_ceramic_reagent_caddy</x:v>
      </x:c>
      <x:c r="C821" s="4" t="str">
        <x:v>Ingredient candidate</x:v>
      </x:c>
      <x:c r="D821" s="4" t="str">
        <x:v>proposal.ceramic.lid</x:v>
      </x:c>
      <x:c r="E821" s="4" t="str">
        <x:f>IFERROR(INDEX('Items'!$B$6:$B$1005,MATCH(D821,'Items'!$A$6:$A$1005,0)),"MISSING ID")</x:f>
        <x:v>Ceramic vessel lid</x:v>
      </x:c>
      <x:c r="F821" s="4" t="str">
        <x:f>IFERROR(INDEX('Items'!$C$6:$C$1005,MATCH(D821,'Items'!$A$6:$A$1005,0)),"MISSING ID")</x:f>
        <x:v>T3</x:v>
      </x:c>
      <x:c r="G821" s="4" t="str">
        <x:f>IFERROR(INDEX('Items'!$D$6:$D$1005,MATCH(D821,'Items'!$A$6:$A$1005,0)),"MISSING ID")</x:f>
        <x:v>Crafting components</x:v>
      </x:c>
      <x:c r="H821" s="4" t="str">
        <x:f>IFERROR(INDEX('Items'!$X$6:$X$1005,MATCH(D821,'Items'!$A$6:$A$1005,0)),"MISSING ID")</x:f>
        <x:v>Container part</x:v>
      </x:c>
      <x:c r="I821" s="4"/>
      <x:c r="J821" s="4" t="str">
        <x:v>Unspecified</x:v>
      </x:c>
      <x:c r="K821" s="4" t="inlineStr">
        <x:is>
          <x:t xml:space="preserve">Retired</x:t>
        </x:is>
      </x:c>
      <x:c r="L821" s="4" t="str">
        <x:f>IFERROR(INDEX('Items'!$AD$6:$AD$1005,MATCH(D821,'Items'!$A$6:$A$1005,0)),"MISSING ID")</x:f>
        <x:v>Proposal</x:v>
      </x:c>
      <x:c r="M821" s="4" t="inlineStr">
        <x:is>
          <x:t xml:space="preserve">Withdrawn container proposal</x:t>
        </x:is>
      </x:c>
      <x:c r="N82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1" s="4" t="str">
        <x:v>Collection expansion, October 15, 2026. New game proposal.</x:v>
      </x:c>
      <x:c r="P821" s="4" t="n">
        <x:f>IF(OR(C821="Ingredient candidate",C821="Consumed input",C821="Contained input",C821="Transform input"),IF(F821="T0",0,IF(F821="T1",1,IF(F821="T2",2,IF(F821="T3",3,IF(F821="T4",4,-1))))),-1)</x:f>
        <x:v>3</x:v>
      </x:c>
      <x:c r="Q821" s="4" t="n">
        <x:f>IF(AND(OR(C821="Ingredient candidate",C821="Consumed input",C821="Contained input",C821="Transform input"),P821=-1),1,0)</x:f>
        <x:v>0</x:v>
      </x:c>
    </x:row>
    <x:row r="822" ht="64" customHeight="1">
      <x:c r="A822" s="4" t="str">
        <x:v>design.collection.divided_ceramic_reagent_caddy.out</x:v>
      </x:c>
      <x:c r="B822" s="4" t="str">
        <x:v>design.collection.divided_ceramic_reagent_caddy</x:v>
      </x:c>
      <x:c r="C822" s="4" t="str">
        <x:v>Output</x:v>
      </x:c>
      <x:c r="D822" s="4" t="str">
        <x:v>proposal.collection.divided_ceramic_reagent_caddy</x:v>
      </x:c>
      <x:c r="E822" s="4" t="str">
        <x:f>IFERROR(INDEX('Items'!$B$6:$B$1005,MATCH(D822,'Items'!$A$6:$A$1005,0)),"MISSING ID")</x:f>
        <x:v>Divided ceramic reagent caddy</x:v>
      </x:c>
      <x:c r="F822" s="4" t="str">
        <x:f>IFERROR(INDEX('Items'!$C$6:$C$1005,MATCH(D822,'Items'!$A$6:$A$1005,0)),"MISSING ID")</x:f>
        <x:v>Not applicable</x:v>
      </x:c>
      <x:c r="G822" s="4" t="str">
        <x:f>IFERROR(INDEX('Items'!$D$6:$D$1005,MATCH(D822,'Items'!$A$6:$A$1005,0)),"MISSING ID")</x:f>
        <x:v>Salvage</x:v>
      </x:c>
      <x:c r="H822" s="4" t="inlineStr">
        <x:is>
          <x:t xml:space="preserve">Salvage</x:t>
        </x:is>
      </x:c>
      <x:c r="I822" s="4"/>
      <x:c r="J822" s="4" t="str">
        <x:v>Unspecified</x:v>
      </x:c>
      <x:c r="K822" s="4" t="inlineStr">
        <x:is>
          <x:t xml:space="preserve">Retired</x:t>
        </x:is>
      </x:c>
      <x:c r="L822" s="4" t="str">
        <x:f>IFERROR(INDEX('Items'!$AD$6:$AD$1005,MATCH(D822,'Items'!$A$6:$A$1005,0)),"MISSING ID")</x:f>
        <x:v>Proposal</x:v>
      </x:c>
      <x:c r="M822" s="4" t="inlineStr">
        <x:is>
          <x:t xml:space="preserve">Withdrawn container proposal</x:t>
        </x:is>
      </x:c>
      <x:c r="N82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2" s="4" t="str">
        <x:v>Collection expansion, October 15, 2026. New game proposal.</x:v>
      </x:c>
      <x:c r="P822" s="4" t="n">
        <x:f>IF(OR(C822="Ingredient candidate",C822="Consumed input",C822="Contained input",C822="Transform input"),IF(F822="T0",0,IF(F822="T1",1,IF(F822="T2",2,IF(F822="T3",3,IF(F822="T4",4,-1))))),-1)</x:f>
        <x:v>-1</x:v>
      </x:c>
      <x:c r="Q822" s="4" t="n">
        <x:f>IF(AND(OR(C822="Ingredient candidate",C822="Consumed input",C822="Contained input",C822="Transform input"),P822=-1),1,0)</x:f>
        <x:v>0</x:v>
      </x:c>
    </x:row>
    <x:row r="823" ht="64" customHeight="1">
      <x:c r="A823" s="4" t="str">
        <x:v>design.collection.canister_drain_plug.in.1</x:v>
      </x:c>
      <x:c r="B823" s="4" t="str">
        <x:v>design.collection.canister_drain_plug</x:v>
      </x:c>
      <x:c r="C823" s="4" t="str">
        <x:v>Ingredient candidate</x:v>
      </x:c>
      <x:c r="D823" s="4" t="str">
        <x:v>proposal.lore.threaded_fittings</x:v>
      </x:c>
      <x:c r="E823" s="4" t="str">
        <x:f>IFERROR(INDEX('Items'!$B$6:$B$1005,MATCH(D823,'Items'!$A$6:$A$1005,0)),"MISSING ID")</x:f>
        <x:v>Threaded metal fitting blanks</x:v>
      </x:c>
      <x:c r="F823" s="4" t="str">
        <x:f>IFERROR(INDEX('Items'!$C$6:$C$1005,MATCH(D823,'Items'!$A$6:$A$1005,0)),"MISSING ID")</x:f>
        <x:v>T3</x:v>
      </x:c>
      <x:c r="G823" s="4" t="str">
        <x:f>IFERROR(INDEX('Items'!$D$6:$D$1005,MATCH(D823,'Items'!$A$6:$A$1005,0)),"MISSING ID")</x:f>
        <x:v>Crafting components</x:v>
      </x:c>
      <x:c r="H823" s="4" t="str">
        <x:f>IFERROR(INDEX('Items'!$X$6:$X$1005,MATCH(D823,'Items'!$A$6:$A$1005,0)),"MISSING ID")</x:f>
        <x:v>Crafting component</x:v>
      </x:c>
      <x:c r="I823" s="4"/>
      <x:c r="J823" s="4" t="str">
        <x:v>Unspecified</x:v>
      </x:c>
      <x:c r="K823" s="4" t="str">
        <x:f>IFERROR(INDEX('Crafting recipes'!$D$6:$D$1005,MATCH(B823,'Crafting recipes'!$A$6:$A$1005,0)),"MISSING ID")</x:f>
        <x:v>Proposal</x:v>
      </x:c>
      <x:c r="L823" s="4" t="str">
        <x:f>IFERROR(INDEX('Items'!$AD$6:$AD$1005,MATCH(D823,'Items'!$A$6:$A$1005,0)),"MISSING ID")</x:f>
        <x:v>Proposal</x:v>
      </x:c>
      <x:c r="M823" s="4" t="str">
        <x:f>IFERROR(INDEX('Crafting recipes'!$E$6:$E$1005,MATCH(B823,'Crafting recipes'!$A$6:$A$1005,0)),"MISSING ID")</x:f>
        <x:v>Partial proposal</x:v>
      </x:c>
      <x:c r="N823" s="4" t="str">
        <x:v>Candidate source or part only. Quantity, grade and method remain open.</x:v>
      </x:c>
      <x:c r="O823" s="4" t="str">
        <x:v>Collection expansion, October 15, 2026. New game proposal.</x:v>
      </x:c>
      <x:c r="P823" s="4" t="n">
        <x:f>IF(OR(C823="Ingredient candidate",C823="Consumed input",C823="Contained input",C823="Transform input"),IF(F823="T0",0,IF(F823="T1",1,IF(F823="T2",2,IF(F823="T3",3,IF(F823="T4",4,-1))))),-1)</x:f>
        <x:v>3</x:v>
      </x:c>
      <x:c r="Q823" s="4" t="n">
        <x:f>IF(AND(OR(C823="Ingredient candidate",C823="Consumed input",C823="Contained input",C823="Transform input"),P823=-1),1,0)</x:f>
        <x:v>0</x:v>
      </x:c>
    </x:row>
    <x:row r="824" ht="64" customHeight="1">
      <x:c r="A824" s="4" t="str">
        <x:v>design.collection.canister_drain_plug.in.2</x:v>
      </x:c>
      <x:c r="B824" s="4" t="str">
        <x:v>design.collection.canister_drain_plug</x:v>
      </x:c>
      <x:c r="C824" s="4" t="str">
        <x:v>Ingredient candidate</x:v>
      </x:c>
      <x:c r="D824" s="4" t="str">
        <x:v>proposal.canister.seal_ring</x:v>
      </x:c>
      <x:c r="E824" s="4" t="str">
        <x:f>IFERROR(INDEX('Items'!$B$6:$B$1005,MATCH(D824,'Items'!$A$6:$A$1005,0)),"MISSING ID")</x:f>
        <x:v>Replacement seal ring</x:v>
      </x:c>
      <x:c r="F824" s="4" t="str">
        <x:f>IFERROR(INDEX('Items'!$C$6:$C$1005,MATCH(D824,'Items'!$A$6:$A$1005,0)),"MISSING ID")</x:f>
        <x:v>T3</x:v>
      </x:c>
      <x:c r="G824" s="4" t="str">
        <x:f>IFERROR(INDEX('Items'!$D$6:$D$1005,MATCH(D824,'Items'!$A$6:$A$1005,0)),"MISSING ID")</x:f>
        <x:v>Crafting components</x:v>
      </x:c>
      <x:c r="H824" s="4" t="str">
        <x:f>IFERROR(INDEX('Items'!$X$6:$X$1005,MATCH(D824,'Items'!$A$6:$A$1005,0)),"MISSING ID")</x:f>
        <x:v>Container part</x:v>
      </x:c>
      <x:c r="I824" s="4"/>
      <x:c r="J824" s="4" t="str">
        <x:v>Unspecified</x:v>
      </x:c>
      <x:c r="K824" s="4" t="str">
        <x:f>IFERROR(INDEX('Crafting recipes'!$D$6:$D$1005,MATCH(B824,'Crafting recipes'!$A$6:$A$1005,0)),"MISSING ID")</x:f>
        <x:v>Proposal</x:v>
      </x:c>
      <x:c r="L824" s="4" t="str">
        <x:f>IFERROR(INDEX('Items'!$AD$6:$AD$1005,MATCH(D824,'Items'!$A$6:$A$1005,0)),"MISSING ID")</x:f>
        <x:v>Proposal</x:v>
      </x:c>
      <x:c r="M824" s="4" t="str">
        <x:f>IFERROR(INDEX('Crafting recipes'!$E$6:$E$1005,MATCH(B824,'Crafting recipes'!$A$6:$A$1005,0)),"MISSING ID")</x:f>
        <x:v>Partial proposal</x:v>
      </x:c>
      <x:c r="N824" s="4" t="str">
        <x:v>Candidate source or part only. Quantity, grade and method remain open.</x:v>
      </x:c>
      <x:c r="O824" s="4" t="str">
        <x:v>Collection expansion, October 15, 2026. New game proposal.</x:v>
      </x:c>
      <x:c r="P824" s="4" t="n">
        <x:f>IF(OR(C824="Ingredient candidate",C824="Consumed input",C824="Contained input",C824="Transform input"),IF(F824="T0",0,IF(F824="T1",1,IF(F824="T2",2,IF(F824="T3",3,IF(F824="T4",4,-1))))),-1)</x:f>
        <x:v>3</x:v>
      </x:c>
      <x:c r="Q824" s="4" t="n">
        <x:f>IF(AND(OR(C824="Ingredient candidate",C824="Consumed input",C824="Contained input",C824="Transform input"),P824=-1),1,0)</x:f>
        <x:v>0</x:v>
      </x:c>
    </x:row>
    <x:row r="825" ht="64" customHeight="1">
      <x:c r="A825" s="4" t="str">
        <x:v>design.collection.canister_drain_plug.out</x:v>
      </x:c>
      <x:c r="B825" s="4" t="str">
        <x:v>design.collection.canister_drain_plug</x:v>
      </x:c>
      <x:c r="C825" s="4" t="str">
        <x:v>Output</x:v>
      </x:c>
      <x:c r="D825" s="4" t="str">
        <x:v>proposal.collection.canister_drain_plug</x:v>
      </x:c>
      <x:c r="E825" s="4" t="str">
        <x:f>IFERROR(INDEX('Items'!$B$6:$B$1005,MATCH(D825,'Items'!$A$6:$A$1005,0)),"MISSING ID")</x:f>
        <x:v>Canister drain plug</x:v>
      </x:c>
      <x:c r="F825" s="4" t="str">
        <x:f>IFERROR(INDEX('Items'!$C$6:$C$1005,MATCH(D825,'Items'!$A$6:$A$1005,0)),"MISSING ID")</x:f>
        <x:v>T4</x:v>
      </x:c>
      <x:c r="G825" s="4" t="str">
        <x:f>IFERROR(INDEX('Items'!$D$6:$D$1005,MATCH(D825,'Items'!$A$6:$A$1005,0)),"MISSING ID")</x:f>
        <x:v>Crafting components</x:v>
      </x:c>
      <x:c r="H825" s="4" t="str">
        <x:f>IFERROR(INDEX('Items'!$X$6:$X$1005,MATCH(D825,'Items'!$A$6:$A$1005,0)),"MISSING ID")</x:f>
        <x:v>Container part</x:v>
      </x:c>
      <x:c r="I825" s="4"/>
      <x:c r="J825" s="4" t="str">
        <x:v>Unspecified</x:v>
      </x:c>
      <x:c r="K825" s="4" t="str">
        <x:f>IFERROR(INDEX('Crafting recipes'!$D$6:$D$1005,MATCH(B825,'Crafting recipes'!$A$6:$A$1005,0)),"MISSING ID")</x:f>
        <x:v>Proposal</x:v>
      </x:c>
      <x:c r="L825" s="4" t="str">
        <x:f>IFERROR(INDEX('Items'!$AD$6:$AD$1005,MATCH(D825,'Items'!$A$6:$A$1005,0)),"MISSING ID")</x:f>
        <x:v>Proposal</x:v>
      </x:c>
      <x:c r="M825" s="4" t="str">
        <x:f>IFERROR(INDEX('Crafting recipes'!$E$6:$E$1005,MATCH(B825,'Crafting recipes'!$A$6:$A$1005,0)),"MISSING ID")</x:f>
        <x:v>Partial proposal</x:v>
      </x:c>
      <x:c r="N825" s="4" t="str">
        <x:v>Candidate source or part only. Quantity, grade and method remain open.</x:v>
      </x:c>
      <x:c r="O825" s="4" t="str">
        <x:v>Collection expansion, October 15, 2026. New game proposal.</x:v>
      </x:c>
      <x:c r="P825" s="4" t="n">
        <x:f>IF(OR(C825="Ingredient candidate",C825="Consumed input",C825="Contained input",C825="Transform input"),IF(F825="T0",0,IF(F825="T1",1,IF(F825="T2",2,IF(F825="T3",3,IF(F825="T4",4,-1))))),-1)</x:f>
        <x:v>-1</x:v>
      </x:c>
      <x:c r="Q825" s="4" t="n">
        <x:f>IF(AND(OR(C825="Ingredient candidate",C825="Consumed input",C825="Contained input",C825="Transform input"),P825=-1),1,0)</x:f>
        <x:v>0</x:v>
      </x:c>
    </x:row>
    <x:row r="826" ht="64" customHeight="1">
      <x:c r="A826" s="4" t="str">
        <x:v>design.collection.bottle_retaining_cage.in.1</x:v>
      </x:c>
      <x:c r="B826" s="4" t="str">
        <x:v>design.collection.bottle_retaining_cage</x:v>
      </x:c>
      <x:c r="C826" s="4" t="str">
        <x:v>Ingredient candidate</x:v>
      </x:c>
      <x:c r="D826" s="4" t="str">
        <x:v>proposal.lore.iron_conductor</x:v>
      </x:c>
      <x:c r="E826" s="4" t="str">
        <x:f>IFERROR(INDEX('Items'!$B$6:$B$1005,MATCH(D826,'Items'!$A$6:$A$1005,0)),"MISSING ID")</x:f>
        <x:v>Drawn iron conductor stock</x:v>
      </x:c>
      <x:c r="F826" s="4" t="str">
        <x:f>IFERROR(INDEX('Items'!$C$6:$C$1005,MATCH(D826,'Items'!$A$6:$A$1005,0)),"MISSING ID")</x:f>
        <x:v>T2</x:v>
      </x:c>
      <x:c r="G826" s="4" t="str">
        <x:f>IFERROR(INDEX('Items'!$D$6:$D$1005,MATCH(D826,'Items'!$A$6:$A$1005,0)),"MISSING ID")</x:f>
        <x:v>Manufactured stock</x:v>
      </x:c>
      <x:c r="H826" s="4" t="str">
        <x:f>IFERROR(INDEX('Items'!$X$6:$X$1005,MATCH(D826,'Items'!$A$6:$A$1005,0)),"MISSING ID")</x:f>
        <x:v>Processed material</x:v>
      </x:c>
      <x:c r="I826" s="4"/>
      <x:c r="J826" s="4" t="str">
        <x:v>Unspecified</x:v>
      </x:c>
      <x:c r="K826" s="4" t="str">
        <x:f>IFERROR(INDEX('Crafting recipes'!$D$6:$D$1005,MATCH(B826,'Crafting recipes'!$A$6:$A$1005,0)),"MISSING ID")</x:f>
        <x:v>Proposal</x:v>
      </x:c>
      <x:c r="L826" s="4" t="str">
        <x:f>IFERROR(INDEX('Items'!$AD$6:$AD$1005,MATCH(D826,'Items'!$A$6:$A$1005,0)),"MISSING ID")</x:f>
        <x:v>Proposal</x:v>
      </x:c>
      <x:c r="M826" s="4" t="str">
        <x:f>IFERROR(INDEX('Crafting recipes'!$E$6:$E$1005,MATCH(B826,'Crafting recipes'!$A$6:$A$1005,0)),"MISSING ID")</x:f>
        <x:v>Partial proposal</x:v>
      </x:c>
      <x:c r="N826" s="4" t="str">
        <x:v>Candidate source or part only. Quantity, grade and method remain open.</x:v>
      </x:c>
      <x:c r="O826" s="4" t="str">
        <x:v>Collection expansion, October 15, 2026. New game proposal.</x:v>
      </x:c>
      <x:c r="P826" s="4" t="n">
        <x:f>IF(OR(C826="Ingredient candidate",C826="Consumed input",C826="Contained input",C826="Transform input"),IF(F826="T0",0,IF(F826="T1",1,IF(F826="T2",2,IF(F826="T3",3,IF(F826="T4",4,-1))))),-1)</x:f>
        <x:v>2</x:v>
      </x:c>
      <x:c r="Q826" s="4" t="n">
        <x:f>IF(AND(OR(C826="Ingredient candidate",C826="Consumed input",C826="Contained input",C826="Transform input"),P826=-1),1,0)</x:f>
        <x:v>0</x:v>
      </x:c>
    </x:row>
    <x:row r="827" ht="64" customHeight="1">
      <x:c r="A827" s="4" t="str">
        <x:v>design.collection.bottle_retaining_cage.in.2</x:v>
      </x:c>
      <x:c r="B827" s="4" t="str">
        <x:v>design.collection.bottle_retaining_cage</x:v>
      </x:c>
      <x:c r="C827" s="4" t="str">
        <x:v>Ingredient candidate</x:v>
      </x:c>
      <x:c r="D827" s="4" t="str">
        <x:v>proposal.collection.annealed_iron_sheet_stock</x:v>
      </x:c>
      <x:c r="E827" s="4" t="str">
        <x:f>IFERROR(INDEX('Items'!$B$6:$B$1005,MATCH(D827,'Items'!$A$6:$A$1005,0)),"MISSING ID")</x:f>
        <x:v>Annealed iron sheet stock</x:v>
      </x:c>
      <x:c r="F827" s="4" t="str">
        <x:f>IFERROR(INDEX('Items'!$C$6:$C$1005,MATCH(D827,'Items'!$A$6:$A$1005,0)),"MISSING ID")</x:f>
        <x:v>T3</x:v>
      </x:c>
      <x:c r="G827" s="4" t="str">
        <x:f>IFERROR(INDEX('Items'!$D$6:$D$1005,MATCH(D827,'Items'!$A$6:$A$1005,0)),"MISSING ID")</x:f>
        <x:v>Manufactured stock</x:v>
      </x:c>
      <x:c r="H827" s="4" t="str">
        <x:f>IFERROR(INDEX('Items'!$X$6:$X$1005,MATCH(D827,'Items'!$A$6:$A$1005,0)),"MISSING ID")</x:f>
        <x:v>Processed material</x:v>
      </x:c>
      <x:c r="I827" s="4"/>
      <x:c r="J827" s="4" t="str">
        <x:v>Unspecified</x:v>
      </x:c>
      <x:c r="K827" s="4" t="str">
        <x:f>IFERROR(INDEX('Crafting recipes'!$D$6:$D$1005,MATCH(B827,'Crafting recipes'!$A$6:$A$1005,0)),"MISSING ID")</x:f>
        <x:v>Proposal</x:v>
      </x:c>
      <x:c r="L827" s="4" t="str">
        <x:f>IFERROR(INDEX('Items'!$AD$6:$AD$1005,MATCH(D827,'Items'!$A$6:$A$1005,0)),"MISSING ID")</x:f>
        <x:v>Proposal</x:v>
      </x:c>
      <x:c r="M827" s="4" t="str">
        <x:f>IFERROR(INDEX('Crafting recipes'!$E$6:$E$1005,MATCH(B827,'Crafting recipes'!$A$6:$A$1005,0)),"MISSING ID")</x:f>
        <x:v>Partial proposal</x:v>
      </x:c>
      <x:c r="N827" s="4" t="str">
        <x:v>Candidate source or part only. Quantity, grade and method remain open.</x:v>
      </x:c>
      <x:c r="O827" s="4" t="str">
        <x:v>Collection expansion, October 15, 2026. New game proposal.</x:v>
      </x:c>
      <x:c r="P827" s="4" t="n">
        <x:f>IF(OR(C827="Ingredient candidate",C827="Consumed input",C827="Contained input",C827="Transform input"),IF(F827="T0",0,IF(F827="T1",1,IF(F827="T2",2,IF(F827="T3",3,IF(F827="T4",4,-1))))),-1)</x:f>
        <x:v>3</x:v>
      </x:c>
      <x:c r="Q827" s="4" t="n">
        <x:f>IF(AND(OR(C827="Ingredient candidate",C827="Consumed input",C827="Contained input",C827="Transform input"),P827=-1),1,0)</x:f>
        <x:v>0</x:v>
      </x:c>
    </x:row>
    <x:row r="828" ht="64" customHeight="1">
      <x:c r="A828" s="4" t="str">
        <x:v>design.collection.bottle_retaining_cage.out</x:v>
      </x:c>
      <x:c r="B828" s="4" t="str">
        <x:v>design.collection.bottle_retaining_cage</x:v>
      </x:c>
      <x:c r="C828" s="4" t="str">
        <x:v>Output</x:v>
      </x:c>
      <x:c r="D828" s="4" t="str">
        <x:v>proposal.collection.bottle_retaining_cage</x:v>
      </x:c>
      <x:c r="E828" s="4" t="str">
        <x:f>IFERROR(INDEX('Items'!$B$6:$B$1005,MATCH(D828,'Items'!$A$6:$A$1005,0)),"MISSING ID")</x:f>
        <x:v>Bottle retaining cage</x:v>
      </x:c>
      <x:c r="F828" s="4" t="str">
        <x:f>IFERROR(INDEX('Items'!$C$6:$C$1005,MATCH(D828,'Items'!$A$6:$A$1005,0)),"MISSING ID")</x:f>
        <x:v>T4</x:v>
      </x:c>
      <x:c r="G828" s="4" t="str">
        <x:f>IFERROR(INDEX('Items'!$D$6:$D$1005,MATCH(D828,'Items'!$A$6:$A$1005,0)),"MISSING ID")</x:f>
        <x:v>Crafting components</x:v>
      </x:c>
      <x:c r="H828" s="4" t="str">
        <x:f>IFERROR(INDEX('Items'!$X$6:$X$1005,MATCH(D828,'Items'!$A$6:$A$1005,0)),"MISSING ID")</x:f>
        <x:v>Container part</x:v>
      </x:c>
      <x:c r="I828" s="4"/>
      <x:c r="J828" s="4" t="str">
        <x:v>Unspecified</x:v>
      </x:c>
      <x:c r="K828" s="4" t="str">
        <x:f>IFERROR(INDEX('Crafting recipes'!$D$6:$D$1005,MATCH(B828,'Crafting recipes'!$A$6:$A$1005,0)),"MISSING ID")</x:f>
        <x:v>Proposal</x:v>
      </x:c>
      <x:c r="L828" s="4" t="str">
        <x:f>IFERROR(INDEX('Items'!$AD$6:$AD$1005,MATCH(D828,'Items'!$A$6:$A$1005,0)),"MISSING ID")</x:f>
        <x:v>Proposal</x:v>
      </x:c>
      <x:c r="M828" s="4" t="str">
        <x:f>IFERROR(INDEX('Crafting recipes'!$E$6:$E$1005,MATCH(B828,'Crafting recipes'!$A$6:$A$1005,0)),"MISSING ID")</x:f>
        <x:v>Partial proposal</x:v>
      </x:c>
      <x:c r="N828" s="4" t="str">
        <x:v>Candidate source or part only. Quantity, grade and method remain open.</x:v>
      </x:c>
      <x:c r="O828" s="4" t="str">
        <x:v>Collection expansion, October 15, 2026. New game proposal.</x:v>
      </x:c>
      <x:c r="P828" s="4" t="n">
        <x:f>IF(OR(C828="Ingredient candidate",C828="Consumed input",C828="Contained input",C828="Transform input"),IF(F828="T0",0,IF(F828="T1",1,IF(F828="T2",2,IF(F828="T3",3,IF(F828="T4",4,-1))))),-1)</x:f>
        <x:v>-1</x:v>
      </x:c>
      <x:c r="Q828" s="4" t="n">
        <x:f>IF(AND(OR(C828="Ingredient candidate",C828="Consumed input",C828="Contained input",C828="Transform input"),P828=-1),1,0)</x:f>
        <x:v>0</x:v>
      </x:c>
    </x:row>
    <x:row r="829" ht="64" customHeight="1">
      <x:c r="A829" s="4" t="str">
        <x:v>design.collection.ceramic_vent_labyrinth_insert.in.1</x:v>
      </x:c>
      <x:c r="B829" s="4" t="str">
        <x:v>design.collection.ceramic_vent_labyrinth_insert</x:v>
      </x:c>
      <x:c r="C829" s="4" t="str">
        <x:v>Ingredient candidate</x:v>
      </x:c>
      <x:c r="D829" s="4" t="str">
        <x:v>proposal.branch.refractory_ceramic</x:v>
      </x:c>
      <x:c r="E829" s="4" t="str">
        <x:f>IFERROR(INDEX('Items'!$B$6:$B$1005,MATCH(D829,'Items'!$A$6:$A$1005,0)),"MISSING ID")</x:f>
        <x:v>Refractory ceramic stock</x:v>
      </x:c>
      <x:c r="F829" s="4" t="str">
        <x:f>IFERROR(INDEX('Items'!$C$6:$C$1005,MATCH(D829,'Items'!$A$6:$A$1005,0)),"MISSING ID")</x:f>
        <x:v>T2</x:v>
      </x:c>
      <x:c r="G829" s="4" t="str">
        <x:f>IFERROR(INDEX('Items'!$D$6:$D$1005,MATCH(D829,'Items'!$A$6:$A$1005,0)),"MISSING ID")</x:f>
        <x:v>Manufactured stock</x:v>
      </x:c>
      <x:c r="H829" s="4" t="str">
        <x:f>IFERROR(INDEX('Items'!$X$6:$X$1005,MATCH(D829,'Items'!$A$6:$A$1005,0)),"MISSING ID")</x:f>
        <x:v>Processed material</x:v>
      </x:c>
      <x:c r="I829" s="4"/>
      <x:c r="J829" s="4" t="str">
        <x:v>Unspecified</x:v>
      </x:c>
      <x:c r="K829" s="4" t="str">
        <x:f>IFERROR(INDEX('Crafting recipes'!$D$6:$D$1005,MATCH(B829,'Crafting recipes'!$A$6:$A$1005,0)),"MISSING ID")</x:f>
        <x:v>Proposal</x:v>
      </x:c>
      <x:c r="L829" s="4" t="str">
        <x:f>IFERROR(INDEX('Items'!$AD$6:$AD$1005,MATCH(D829,'Items'!$A$6:$A$1005,0)),"MISSING ID")</x:f>
        <x:v>Proposal</x:v>
      </x:c>
      <x:c r="M829" s="4" t="str">
        <x:f>IFERROR(INDEX('Crafting recipes'!$E$6:$E$1005,MATCH(B829,'Crafting recipes'!$A$6:$A$1005,0)),"MISSING ID")</x:f>
        <x:v>Partial proposal</x:v>
      </x:c>
      <x:c r="N829" s="4" t="str">
        <x:v>Candidate source or part only. Quantity, grade and method remain open.</x:v>
      </x:c>
      <x:c r="O829" s="4" t="str">
        <x:v>Collection expansion, October 15, 2026. New game proposal.</x:v>
      </x:c>
      <x:c r="P829" s="4" t="n">
        <x:f>IF(OR(C829="Ingredient candidate",C829="Consumed input",C829="Contained input",C829="Transform input"),IF(F829="T0",0,IF(F829="T1",1,IF(F829="T2",2,IF(F829="T3",3,IF(F829="T4",4,-1))))),-1)</x:f>
        <x:v>2</x:v>
      </x:c>
      <x:c r="Q829" s="4" t="n">
        <x:f>IF(AND(OR(C829="Ingredient candidate",C829="Consumed input",C829="Contained input",C829="Transform input"),P829=-1),1,0)</x:f>
        <x:v>0</x:v>
      </x:c>
    </x:row>
    <x:row r="830" ht="64" customHeight="1">
      <x:c r="A830" s="4" t="str">
        <x:v>design.collection.ceramic_vent_labyrinth_insert.out</x:v>
      </x:c>
      <x:c r="B830" s="4" t="str">
        <x:v>design.collection.ceramic_vent_labyrinth_insert</x:v>
      </x:c>
      <x:c r="C830" s="4" t="str">
        <x:v>Output</x:v>
      </x:c>
      <x:c r="D830" s="4" t="str">
        <x:v>proposal.collection.ceramic_vent_labyrinth_insert</x:v>
      </x:c>
      <x:c r="E830" s="4" t="str">
        <x:f>IFERROR(INDEX('Items'!$B$6:$B$1005,MATCH(D830,'Items'!$A$6:$A$1005,0)),"MISSING ID")</x:f>
        <x:v>Ceramic vent labyrinth insert</x:v>
      </x:c>
      <x:c r="F830" s="4" t="str">
        <x:f>IFERROR(INDEX('Items'!$C$6:$C$1005,MATCH(D830,'Items'!$A$6:$A$1005,0)),"MISSING ID")</x:f>
        <x:v>T3</x:v>
      </x:c>
      <x:c r="G830" s="4" t="str">
        <x:f>IFERROR(INDEX('Items'!$D$6:$D$1005,MATCH(D830,'Items'!$A$6:$A$1005,0)),"MISSING ID")</x:f>
        <x:v>Crafting components</x:v>
      </x:c>
      <x:c r="H830" s="4" t="str">
        <x:f>IFERROR(INDEX('Items'!$X$6:$X$1005,MATCH(D830,'Items'!$A$6:$A$1005,0)),"MISSING ID")</x:f>
        <x:v>Container part</x:v>
      </x:c>
      <x:c r="I830" s="4"/>
      <x:c r="J830" s="4" t="str">
        <x:v>Unspecified</x:v>
      </x:c>
      <x:c r="K830" s="4" t="str">
        <x:f>IFERROR(INDEX('Crafting recipes'!$D$6:$D$1005,MATCH(B830,'Crafting recipes'!$A$6:$A$1005,0)),"MISSING ID")</x:f>
        <x:v>Proposal</x:v>
      </x:c>
      <x:c r="L830" s="4" t="str">
        <x:f>IFERROR(INDEX('Items'!$AD$6:$AD$1005,MATCH(D830,'Items'!$A$6:$A$1005,0)),"MISSING ID")</x:f>
        <x:v>Proposal</x:v>
      </x:c>
      <x:c r="M830" s="4" t="str">
        <x:f>IFERROR(INDEX('Crafting recipes'!$E$6:$E$1005,MATCH(B830,'Crafting recipes'!$A$6:$A$1005,0)),"MISSING ID")</x:f>
        <x:v>Partial proposal</x:v>
      </x:c>
      <x:c r="N830" s="4" t="str">
        <x:v>Candidate source or part only. Quantity, grade and method remain open.</x:v>
      </x:c>
      <x:c r="O830" s="4" t="str">
        <x:v>Collection expansion, October 15, 2026. New game proposal.</x:v>
      </x:c>
      <x:c r="P830" s="4" t="n">
        <x:f>IF(OR(C830="Ingredient candidate",C830="Consumed input",C830="Contained input",C830="Transform input"),IF(F830="T0",0,IF(F830="T1",1,IF(F830="T2",2,IF(F830="T3",3,IF(F830="T4",4,-1))))),-1)</x:f>
        <x:v>-1</x:v>
      </x:c>
      <x:c r="Q830" s="4" t="n">
        <x:f>IF(AND(OR(C830="Ingredient candidate",C830="Consumed input",C830="Contained input",C830="Transform input"),P830=-1),1,0)</x:f>
        <x:v>0</x:v>
      </x:c>
    </x:row>
    <x:row r="831" ht="64" customHeight="1">
      <x:c r="A831" s="4" t="str">
        <x:v>design.collection.vial_neck_locking_clip.in.1</x:v>
      </x:c>
      <x:c r="B831" s="4" t="str">
        <x:v>design.collection.vial_neck_locking_clip</x:v>
      </x:c>
      <x:c r="C831" s="4" t="str">
        <x:v>Ingredient candidate</x:v>
      </x:c>
      <x:c r="D831" s="4" t="str">
        <x:v>proposal.branch.spring_steel</x:v>
      </x:c>
      <x:c r="E831" s="4" t="str">
        <x:f>IFERROR(INDEX('Items'!$B$6:$B$1005,MATCH(D831,'Items'!$A$6:$A$1005,0)),"MISSING ID")</x:f>
        <x:v>Spring-grade steel stock</x:v>
      </x:c>
      <x:c r="F831" s="4" t="str">
        <x:f>IFERROR(INDEX('Items'!$C$6:$C$1005,MATCH(D831,'Items'!$A$6:$A$1005,0)),"MISSING ID")</x:f>
        <x:v>T3</x:v>
      </x:c>
      <x:c r="G831" s="4" t="str">
        <x:f>IFERROR(INDEX('Items'!$D$6:$D$1005,MATCH(D831,'Items'!$A$6:$A$1005,0)),"MISSING ID")</x:f>
        <x:v>Manufactured stock</x:v>
      </x:c>
      <x:c r="H831" s="4" t="str">
        <x:f>IFERROR(INDEX('Items'!$X$6:$X$1005,MATCH(D831,'Items'!$A$6:$A$1005,0)),"MISSING ID")</x:f>
        <x:v>Processed material</x:v>
      </x:c>
      <x:c r="I831" s="4"/>
      <x:c r="J831" s="4" t="str">
        <x:v>Unspecified</x:v>
      </x:c>
      <x:c r="K831" s="4" t="str">
        <x:f>IFERROR(INDEX('Crafting recipes'!$D$6:$D$1005,MATCH(B831,'Crafting recipes'!$A$6:$A$1005,0)),"MISSING ID")</x:f>
        <x:v>Proposal</x:v>
      </x:c>
      <x:c r="L831" s="4" t="str">
        <x:f>IFERROR(INDEX('Items'!$AD$6:$AD$1005,MATCH(D831,'Items'!$A$6:$A$1005,0)),"MISSING ID")</x:f>
        <x:v>Proposal</x:v>
      </x:c>
      <x:c r="M831" s="4" t="str">
        <x:f>IFERROR(INDEX('Crafting recipes'!$E$6:$E$1005,MATCH(B831,'Crafting recipes'!$A$6:$A$1005,0)),"MISSING ID")</x:f>
        <x:v>Partial proposal</x:v>
      </x:c>
      <x:c r="N831" s="4" t="str">
        <x:v>Candidate source or part only. Quantity, grade and method remain open.</x:v>
      </x:c>
      <x:c r="O831" s="4" t="str">
        <x:v>Collection expansion, October 15, 2026. New game proposal.</x:v>
      </x:c>
      <x:c r="P831" s="4" t="n">
        <x:f>IF(OR(C831="Ingredient candidate",C831="Consumed input",C831="Contained input",C831="Transform input"),IF(F831="T0",0,IF(F831="T1",1,IF(F831="T2",2,IF(F831="T3",3,IF(F831="T4",4,-1))))),-1)</x:f>
        <x:v>3</x:v>
      </x:c>
      <x:c r="Q831" s="4" t="n">
        <x:f>IF(AND(OR(C831="Ingredient candidate",C831="Consumed input",C831="Contained input",C831="Transform input"),P831=-1),1,0)</x:f>
        <x:v>0</x:v>
      </x:c>
    </x:row>
    <x:row r="832" ht="64" customHeight="1">
      <x:c r="A832" s="4" t="str">
        <x:v>design.collection.vial_neck_locking_clip.out</x:v>
      </x:c>
      <x:c r="B832" s="4" t="str">
        <x:v>design.collection.vial_neck_locking_clip</x:v>
      </x:c>
      <x:c r="C832" s="4" t="str">
        <x:v>Output</x:v>
      </x:c>
      <x:c r="D832" s="4" t="str">
        <x:v>proposal.collection.vial_neck_locking_clip</x:v>
      </x:c>
      <x:c r="E832" s="4" t="str">
        <x:f>IFERROR(INDEX('Items'!$B$6:$B$1005,MATCH(D832,'Items'!$A$6:$A$1005,0)),"MISSING ID")</x:f>
        <x:v>Vial neck locking clip</x:v>
      </x:c>
      <x:c r="F832" s="4" t="str">
        <x:f>IFERROR(INDEX('Items'!$C$6:$C$1005,MATCH(D832,'Items'!$A$6:$A$1005,0)),"MISSING ID")</x:f>
        <x:v>T4</x:v>
      </x:c>
      <x:c r="G832" s="4" t="str">
        <x:f>IFERROR(INDEX('Items'!$D$6:$D$1005,MATCH(D832,'Items'!$A$6:$A$1005,0)),"MISSING ID")</x:f>
        <x:v>Crafting components</x:v>
      </x:c>
      <x:c r="H832" s="4" t="str">
        <x:f>IFERROR(INDEX('Items'!$X$6:$X$1005,MATCH(D832,'Items'!$A$6:$A$1005,0)),"MISSING ID")</x:f>
        <x:v>Container part</x:v>
      </x:c>
      <x:c r="I832" s="4"/>
      <x:c r="J832" s="4" t="str">
        <x:v>Unspecified</x:v>
      </x:c>
      <x:c r="K832" s="4" t="str">
        <x:f>IFERROR(INDEX('Crafting recipes'!$D$6:$D$1005,MATCH(B832,'Crafting recipes'!$A$6:$A$1005,0)),"MISSING ID")</x:f>
        <x:v>Proposal</x:v>
      </x:c>
      <x:c r="L832" s="4" t="str">
        <x:f>IFERROR(INDEX('Items'!$AD$6:$AD$1005,MATCH(D832,'Items'!$A$6:$A$1005,0)),"MISSING ID")</x:f>
        <x:v>Proposal</x:v>
      </x:c>
      <x:c r="M832" s="4" t="str">
        <x:f>IFERROR(INDEX('Crafting recipes'!$E$6:$E$1005,MATCH(B832,'Crafting recipes'!$A$6:$A$1005,0)),"MISSING ID")</x:f>
        <x:v>Partial proposal</x:v>
      </x:c>
      <x:c r="N832" s="4" t="str">
        <x:v>Candidate source or part only. Quantity, grade and method remain open.</x:v>
      </x:c>
      <x:c r="O832" s="4" t="str">
        <x:v>Collection expansion, October 15, 2026. New game proposal.</x:v>
      </x:c>
      <x:c r="P832" s="4" t="n">
        <x:f>IF(OR(C832="Ingredient candidate",C832="Consumed input",C832="Contained input",C832="Transform input"),IF(F832="T0",0,IF(F832="T1",1,IF(F832="T2",2,IF(F832="T3",3,IF(F832="T4",4,-1))))),-1)</x:f>
        <x:v>-1</x:v>
      </x:c>
      <x:c r="Q832" s="4" t="n">
        <x:f>IF(AND(OR(C832="Ingredient candidate",C832="Consumed input",C832="Contained input",C832="Transform input"),P832=-1),1,0)</x:f>
        <x:v>0</x:v>
      </x:c>
    </x:row>
    <x:row r="833" ht="64" customHeight="1">
      <x:c r="A833" s="4" t="str">
        <x:v>design.collection.husk_fiber_face_wrap.in.1</x:v>
      </x:c>
      <x:c r="B833" s="4" t="str">
        <x:v>design.collection.husk_fiber_face_wrap</x:v>
      </x:c>
      <x:c r="C833" s="4" t="str">
        <x:v>Ingredient candidate</x:v>
      </x:c>
      <x:c r="D833" s="4" t="str">
        <x:v>proposal.bio.pressed_husk</x:v>
      </x:c>
      <x:c r="E833" s="4" t="str">
        <x:f>IFERROR(INDEX('Items'!$B$6:$B$1005,MATCH(D833,'Items'!$A$6:$A$1005,0)),"MISSING ID")</x:f>
        <x:v>Pressed husk-fiber textile material</x:v>
      </x:c>
      <x:c r="F833" s="4" t="str">
        <x:f>IFERROR(INDEX('Items'!$C$6:$C$1005,MATCH(D833,'Items'!$A$6:$A$1005,0)),"MISSING ID")</x:f>
        <x:v>T1</x:v>
      </x:c>
      <x:c r="G833" s="4" t="str">
        <x:f>IFERROR(INDEX('Items'!$D$6:$D$1005,MATCH(D833,'Items'!$A$6:$A$1005,0)),"MISSING ID")</x:f>
        <x:v>Crafting components</x:v>
      </x:c>
      <x:c r="H833" s="4" t="str">
        <x:f>IFERROR(INDEX('Items'!$X$6:$X$1005,MATCH(D833,'Items'!$A$6:$A$1005,0)),"MISSING ID")</x:f>
        <x:v>Processed material</x:v>
      </x:c>
      <x:c r="I833" s="4"/>
      <x:c r="J833" s="4" t="str">
        <x:v>Unspecified</x:v>
      </x:c>
      <x:c r="K833" s="4" t="str">
        <x:f>IFERROR(INDEX('Crafting recipes'!$D$6:$D$1005,MATCH(B833,'Crafting recipes'!$A$6:$A$1005,0)),"MISSING ID")</x:f>
        <x:v>Proposal</x:v>
      </x:c>
      <x:c r="L833" s="4" t="str">
        <x:f>IFERROR(INDEX('Items'!$AD$6:$AD$1005,MATCH(D833,'Items'!$A$6:$A$1005,0)),"MISSING ID")</x:f>
        <x:v>Author direction</x:v>
      </x:c>
      <x:c r="M833" s="4" t="str">
        <x:f>IFERROR(INDEX('Crafting recipes'!$E$6:$E$1005,MATCH(B833,'Crafting recipes'!$A$6:$A$1005,0)),"MISSING ID")</x:f>
        <x:v>Partial proposal</x:v>
      </x:c>
      <x:c r="N833" s="4" t="str">
        <x:v>Candidate source or part only. Quantity, grade and method remain open.</x:v>
      </x:c>
      <x:c r="O833" s="4" t="str">
        <x:v>Collection expansion, October 15, 2026. New game proposal.</x:v>
      </x:c>
      <x:c r="P833" s="4" t="n">
        <x:f>IF(OR(C833="Ingredient candidate",C833="Consumed input",C833="Contained input",C833="Transform input"),IF(F833="T0",0,IF(F833="T1",1,IF(F833="T2",2,IF(F833="T3",3,IF(F833="T4",4,-1))))),-1)</x:f>
        <x:v>1</x:v>
      </x:c>
      <x:c r="Q833" s="4" t="n">
        <x:f>IF(AND(OR(C833="Ingredient candidate",C833="Consumed input",C833="Contained input",C833="Transform input"),P833=-1),1,0)</x:f>
        <x:v>0</x:v>
      </x:c>
    </x:row>
    <x:row r="834" ht="64" customHeight="1">
      <x:c r="A834" s="4" t="str">
        <x:v>design.collection.husk_fiber_face_wrap.in.2</x:v>
      </x:c>
      <x:c r="B834" s="4" t="str">
        <x:v>design.collection.husk_fiber_face_wrap</x:v>
      </x:c>
      <x:c r="C834" s="4" t="str">
        <x:v>Ingredient candidate</x:v>
      </x:c>
      <x:c r="D834" s="4" t="str">
        <x:v>proposal.ceramic.fastener</x:v>
      </x:c>
      <x:c r="E834" s="4" t="str">
        <x:f>IFERROR(INDEX('Items'!$B$6:$B$1005,MATCH(D834,'Items'!$A$6:$A$1005,0)),"MISSING ID")</x:f>
        <x:v>Ceramic toggle fastener</x:v>
      </x:c>
      <x:c r="F834" s="4" t="str">
        <x:f>IFERROR(INDEX('Items'!$C$6:$C$1005,MATCH(D834,'Items'!$A$6:$A$1005,0)),"MISSING ID")</x:f>
        <x:v>T3</x:v>
      </x:c>
      <x:c r="G834" s="4" t="str">
        <x:f>IFERROR(INDEX('Items'!$D$6:$D$1005,MATCH(D834,'Items'!$A$6:$A$1005,0)),"MISSING ID")</x:f>
        <x:v>Crafting components</x:v>
      </x:c>
      <x:c r="H834" s="4" t="str">
        <x:f>IFERROR(INDEX('Items'!$X$6:$X$1005,MATCH(D834,'Items'!$A$6:$A$1005,0)),"MISSING ID")</x:f>
        <x:v>Crafting component</x:v>
      </x:c>
      <x:c r="I834" s="4"/>
      <x:c r="J834" s="4" t="str">
        <x:v>Unspecified</x:v>
      </x:c>
      <x:c r="K834" s="4" t="str">
        <x:f>IFERROR(INDEX('Crafting recipes'!$D$6:$D$1005,MATCH(B834,'Crafting recipes'!$A$6:$A$1005,0)),"MISSING ID")</x:f>
        <x:v>Proposal</x:v>
      </x:c>
      <x:c r="L834" s="4" t="str">
        <x:f>IFERROR(INDEX('Items'!$AD$6:$AD$1005,MATCH(D834,'Items'!$A$6:$A$1005,0)),"MISSING ID")</x:f>
        <x:v>Proposal</x:v>
      </x:c>
      <x:c r="M834" s="4" t="str">
        <x:f>IFERROR(INDEX('Crafting recipes'!$E$6:$E$1005,MATCH(B834,'Crafting recipes'!$A$6:$A$1005,0)),"MISSING ID")</x:f>
        <x:v>Partial proposal</x:v>
      </x:c>
      <x:c r="N834" s="4" t="str">
        <x:v>Candidate source or part only. Quantity, grade and method remain open.</x:v>
      </x:c>
      <x:c r="O834" s="4" t="str">
        <x:v>Collection expansion, October 15, 2026. New game proposal.</x:v>
      </x:c>
      <x:c r="P834" s="4" t="n">
        <x:f>IF(OR(C834="Ingredient candidate",C834="Consumed input",C834="Contained input",C834="Transform input"),IF(F834="T0",0,IF(F834="T1",1,IF(F834="T2",2,IF(F834="T3",3,IF(F834="T4",4,-1))))),-1)</x:f>
        <x:v>3</x:v>
      </x:c>
      <x:c r="Q834" s="4" t="n">
        <x:f>IF(AND(OR(C834="Ingredient candidate",C834="Consumed input",C834="Contained input",C834="Transform input"),P834=-1),1,0)</x:f>
        <x:v>0</x:v>
      </x:c>
    </x:row>
    <x:row r="835" ht="64" customHeight="1">
      <x:c r="A835" s="4" t="str">
        <x:v>design.collection.husk_fiber_face_wrap.out</x:v>
      </x:c>
      <x:c r="B835" s="4" t="str">
        <x:v>design.collection.husk_fiber_face_wrap</x:v>
      </x:c>
      <x:c r="C835" s="4" t="str">
        <x:v>Output</x:v>
      </x:c>
      <x:c r="D835" s="4" t="str">
        <x:v>proposal.collection.husk_fiber_face_wrap</x:v>
      </x:c>
      <x:c r="E835" s="4" t="str">
        <x:f>IFERROR(INDEX('Items'!$B$6:$B$1005,MATCH(D835,'Items'!$A$6:$A$1005,0)),"MISSING ID")</x:f>
        <x:v>Husk-fiber face wrap</x:v>
      </x:c>
      <x:c r="F835" s="4" t="str">
        <x:f>IFERROR(INDEX('Items'!$C$6:$C$1005,MATCH(D835,'Items'!$A$6:$A$1005,0)),"MISSING ID")</x:f>
        <x:v>Not applicable</x:v>
      </x:c>
      <x:c r="G835" s="4" t="str">
        <x:f>IFERROR(INDEX('Items'!$D$6:$D$1005,MATCH(D835,'Items'!$A$6:$A$1005,0)),"MISSING ID")</x:f>
        <x:v>Clothing</x:v>
      </x:c>
      <x:c r="H835" s="4" t="str">
        <x:f>IFERROR(INDEX('Items'!$X$6:$X$1005,MATCH(D835,'Items'!$A$6:$A$1005,0)),"MISSING ID")</x:f>
        <x:v>Wearable</x:v>
      </x:c>
      <x:c r="I835" s="4"/>
      <x:c r="J835" s="4" t="str">
        <x:v>Unspecified</x:v>
      </x:c>
      <x:c r="K835" s="4" t="str">
        <x:f>IFERROR(INDEX('Crafting recipes'!$D$6:$D$1005,MATCH(B835,'Crafting recipes'!$A$6:$A$1005,0)),"MISSING ID")</x:f>
        <x:v>Proposal</x:v>
      </x:c>
      <x:c r="L835" s="4" t="str">
        <x:f>IFERROR(INDEX('Items'!$AD$6:$AD$1005,MATCH(D835,'Items'!$A$6:$A$1005,0)),"MISSING ID")</x:f>
        <x:v>Proposal</x:v>
      </x:c>
      <x:c r="M835" s="4" t="str">
        <x:f>IFERROR(INDEX('Crafting recipes'!$E$6:$E$1005,MATCH(B835,'Crafting recipes'!$A$6:$A$1005,0)),"MISSING ID")</x:f>
        <x:v>Partial proposal</x:v>
      </x:c>
      <x:c r="N835" s="4" t="str">
        <x:v>Candidate source or part only. Quantity, grade and method remain open.</x:v>
      </x:c>
      <x:c r="O835" s="4" t="str">
        <x:v>Collection expansion, October 15, 2026. New game proposal.</x:v>
      </x:c>
      <x:c r="P835" s="4" t="n">
        <x:f>IF(OR(C835="Ingredient candidate",C835="Consumed input",C835="Contained input",C835="Transform input"),IF(F835="T0",0,IF(F835="T1",1,IF(F835="T2",2,IF(F835="T3",3,IF(F835="T4",4,-1))))),-1)</x:f>
        <x:v>-1</x:v>
      </x:c>
      <x:c r="Q835" s="4" t="n">
        <x:f>IF(AND(OR(C835="Ingredient candidate",C835="Consumed input",C835="Contained input",C835="Transform input"),P835=-1),1,0)</x:f>
        <x:v>0</x:v>
      </x:c>
    </x:row>
    <x:row r="836" ht="64" customHeight="1">
      <x:c r="A836" s="4" t="str">
        <x:v>design.collection.chainmail_shoulder_mantle.in.1</x:v>
      </x:c>
      <x:c r="B836" s="4" t="str">
        <x:v>design.collection.chainmail_shoulder_mantle</x:v>
      </x:c>
      <x:c r="C836" s="4" t="str">
        <x:v>Ingredient candidate</x:v>
      </x:c>
      <x:c r="D836" s="4" t="str">
        <x:v>author.metallurgy.steel_stock</x:v>
      </x:c>
      <x:c r="E836" s="4" t="str">
        <x:f>IFERROR(INDEX('Items'!$B$6:$B$1005,MATCH(D836,'Items'!$A$6:$A$1005,0)),"MISSING ID")</x:f>
        <x:v>Steel stock</x:v>
      </x:c>
      <x:c r="F836" s="4" t="str">
        <x:f>IFERROR(INDEX('Items'!$C$6:$C$1005,MATCH(D836,'Items'!$A$6:$A$1005,0)),"MISSING ID")</x:f>
        <x:v>T2</x:v>
      </x:c>
      <x:c r="G836" s="4" t="str">
        <x:f>IFERROR(INDEX('Items'!$D$6:$D$1005,MATCH(D836,'Items'!$A$6:$A$1005,0)),"MISSING ID")</x:f>
        <x:v>Manufactured stock</x:v>
      </x:c>
      <x:c r="H836" s="4" t="str">
        <x:f>IFERROR(INDEX('Items'!$X$6:$X$1005,MATCH(D836,'Items'!$A$6:$A$1005,0)),"MISSING ID")</x:f>
        <x:v>Processed material</x:v>
      </x:c>
      <x:c r="I836" s="4"/>
      <x:c r="J836" s="4" t="str">
        <x:v>Unspecified</x:v>
      </x:c>
      <x:c r="K836" s="4" t="str">
        <x:f>IFERROR(INDEX('Crafting recipes'!$D$6:$D$1005,MATCH(B836,'Crafting recipes'!$A$6:$A$1005,0)),"MISSING ID")</x:f>
        <x:v>Proposal</x:v>
      </x:c>
      <x:c r="L836" s="4" t="str">
        <x:f>IFERROR(INDEX('Items'!$AD$6:$AD$1005,MATCH(D836,'Items'!$A$6:$A$1005,0)),"MISSING ID")</x:f>
        <x:v>Author direction</x:v>
      </x:c>
      <x:c r="M836" s="4" t="str">
        <x:f>IFERROR(INDEX('Crafting recipes'!$E$6:$E$1005,MATCH(B836,'Crafting recipes'!$A$6:$A$1005,0)),"MISSING ID")</x:f>
        <x:v>Partial proposal</x:v>
      </x:c>
      <x:c r="N836" s="4" t="str">
        <x:v>Candidate source or part only. Quantity, grade and method remain open.</x:v>
      </x:c>
      <x:c r="O836" s="4" t="str">
        <x:v>Collection expansion, October 15, 2026. New game proposal.</x:v>
      </x:c>
      <x:c r="P836" s="4" t="n">
        <x:f>IF(OR(C836="Ingredient candidate",C836="Consumed input",C836="Contained input",C836="Transform input"),IF(F836="T0",0,IF(F836="T1",1,IF(F836="T2",2,IF(F836="T3",3,IF(F836="T4",4,-1))))),-1)</x:f>
        <x:v>2</x:v>
      </x:c>
      <x:c r="Q836" s="4" t="n">
        <x:f>IF(AND(OR(C836="Ingredient candidate",C836="Consumed input",C836="Contained input",C836="Transform input"),P836=-1),1,0)</x:f>
        <x:v>0</x:v>
      </x:c>
    </x:row>
    <x:row r="837" ht="64" customHeight="1">
      <x:c r="A837" s="4" t="str">
        <x:v>design.collection.chainmail_shoulder_mantle.in.2</x:v>
      </x:c>
      <x:c r="B837" s="4" t="str">
        <x:v>design.collection.chainmail_shoulder_mantle</x:v>
      </x:c>
      <x:c r="C837" s="4" t="str">
        <x:v>Ingredient candidate</x:v>
      </x:c>
      <x:c r="D837" s="4" t="str">
        <x:v>proposal.bio.hide_material</x:v>
      </x:c>
      <x:c r="E837" s="4" t="str">
        <x:f>IFERROR(INDEX('Items'!$B$6:$B$1005,MATCH(D837,'Items'!$A$6:$A$1005,0)),"MISSING ID")</x:f>
        <x:v>Processed hide material</x:v>
      </x:c>
      <x:c r="F837" s="4" t="str">
        <x:f>IFERROR(INDEX('Items'!$C$6:$C$1005,MATCH(D837,'Items'!$A$6:$A$1005,0)),"MISSING ID")</x:f>
        <x:v>T1</x:v>
      </x:c>
      <x:c r="G837" s="4" t="str">
        <x:f>IFERROR(INDEX('Items'!$D$6:$D$1005,MATCH(D837,'Items'!$A$6:$A$1005,0)),"MISSING ID")</x:f>
        <x:v>Crafting components</x:v>
      </x:c>
      <x:c r="H837" s="4" t="str">
        <x:f>IFERROR(INDEX('Items'!$X$6:$X$1005,MATCH(D837,'Items'!$A$6:$A$1005,0)),"MISSING ID")</x:f>
        <x:v>Processed material</x:v>
      </x:c>
      <x:c r="I837" s="4"/>
      <x:c r="J837" s="4" t="str">
        <x:v>Unspecified</x:v>
      </x:c>
      <x:c r="K837" s="4" t="str">
        <x:f>IFERROR(INDEX('Crafting recipes'!$D$6:$D$1005,MATCH(B837,'Crafting recipes'!$A$6:$A$1005,0)),"MISSING ID")</x:f>
        <x:v>Proposal</x:v>
      </x:c>
      <x:c r="L837" s="4" t="str">
        <x:f>IFERROR(INDEX('Items'!$AD$6:$AD$1005,MATCH(D837,'Items'!$A$6:$A$1005,0)),"MISSING ID")</x:f>
        <x:v>Author direction</x:v>
      </x:c>
      <x:c r="M837" s="4" t="str">
        <x:f>IFERROR(INDEX('Crafting recipes'!$E$6:$E$1005,MATCH(B837,'Crafting recipes'!$A$6:$A$1005,0)),"MISSING ID")</x:f>
        <x:v>Partial proposal</x:v>
      </x:c>
      <x:c r="N837" s="4" t="str">
        <x:v>Candidate source or part only. Quantity, grade and method remain open.</x:v>
      </x:c>
      <x:c r="O837" s="4" t="str">
        <x:v>Collection expansion, October 15, 2026. New game proposal.</x:v>
      </x:c>
      <x:c r="P837" s="4" t="n">
        <x:f>IF(OR(C837="Ingredient candidate",C837="Consumed input",C837="Contained input",C837="Transform input"),IF(F837="T0",0,IF(F837="T1",1,IF(F837="T2",2,IF(F837="T3",3,IF(F837="T4",4,-1))))),-1)</x:f>
        <x:v>1</x:v>
      </x:c>
      <x:c r="Q837" s="4" t="n">
        <x:f>IF(AND(OR(C837="Ingredient candidate",C837="Consumed input",C837="Contained input",C837="Transform input"),P837=-1),1,0)</x:f>
        <x:v>0</x:v>
      </x:c>
    </x:row>
    <x:row r="838" ht="64" customHeight="1">
      <x:c r="A838" s="4" t="str">
        <x:v>design.collection.chainmail_shoulder_mantle.out</x:v>
      </x:c>
      <x:c r="B838" s="4" t="str">
        <x:v>design.collection.chainmail_shoulder_mantle</x:v>
      </x:c>
      <x:c r="C838" s="4" t="str">
        <x:v>Output</x:v>
      </x:c>
      <x:c r="D838" s="4" t="str">
        <x:v>proposal.collection.chainmail_shoulder_mantle</x:v>
      </x:c>
      <x:c r="E838" s="4" t="str">
        <x:f>IFERROR(INDEX('Items'!$B$6:$B$1005,MATCH(D838,'Items'!$A$6:$A$1005,0)),"MISSING ID")</x:f>
        <x:v>Chainmail shoulder mantle</x:v>
      </x:c>
      <x:c r="F838" s="4" t="str">
        <x:f>IFERROR(INDEX('Items'!$C$6:$C$1005,MATCH(D838,'Items'!$A$6:$A$1005,0)),"MISSING ID")</x:f>
        <x:v>Not applicable</x:v>
      </x:c>
      <x:c r="G838" s="4" t="str">
        <x:f>IFERROR(INDEX('Items'!$D$6:$D$1005,MATCH(D838,'Items'!$A$6:$A$1005,0)),"MISSING ID")</x:f>
        <x:v>Armor</x:v>
      </x:c>
      <x:c r="H838" s="4" t="str">
        <x:f>IFERROR(INDEX('Items'!$X$6:$X$1005,MATCH(D838,'Items'!$A$6:$A$1005,0)),"MISSING ID")</x:f>
        <x:v>Wearable</x:v>
      </x:c>
      <x:c r="I838" s="4"/>
      <x:c r="J838" s="4" t="str">
        <x:v>Unspecified</x:v>
      </x:c>
      <x:c r="K838" s="4" t="str">
        <x:f>IFERROR(INDEX('Crafting recipes'!$D$6:$D$1005,MATCH(B838,'Crafting recipes'!$A$6:$A$1005,0)),"MISSING ID")</x:f>
        <x:v>Proposal</x:v>
      </x:c>
      <x:c r="L838" s="4" t="str">
        <x:f>IFERROR(INDEX('Items'!$AD$6:$AD$1005,MATCH(D838,'Items'!$A$6:$A$1005,0)),"MISSING ID")</x:f>
        <x:v>Proposal</x:v>
      </x:c>
      <x:c r="M838" s="4" t="str">
        <x:f>IFERROR(INDEX('Crafting recipes'!$E$6:$E$1005,MATCH(B838,'Crafting recipes'!$A$6:$A$1005,0)),"MISSING ID")</x:f>
        <x:v>Partial proposal</x:v>
      </x:c>
      <x:c r="N838" s="4" t="str">
        <x:v>Candidate source or part only. Quantity, grade and method remain open.</x:v>
      </x:c>
      <x:c r="O838" s="4" t="str">
        <x:v>Collection expansion, October 15, 2026. New game proposal.</x:v>
      </x:c>
      <x:c r="P838" s="4" t="n">
        <x:f>IF(OR(C838="Ingredient candidate",C838="Consumed input",C838="Contained input",C838="Transform input"),IF(F838="T0",0,IF(F838="T1",1,IF(F838="T2",2,IF(F838="T3",3,IF(F838="T4",4,-1))))),-1)</x:f>
        <x:v>-1</x:v>
      </x:c>
      <x:c r="Q838" s="4" t="n">
        <x:f>IF(AND(OR(C838="Ingredient candidate",C838="Consumed input",C838="Contained input",C838="Transform input"),P838=-1),1,0)</x:f>
        <x:v>0</x:v>
      </x:c>
    </x:row>
    <x:row r="839" ht="64" customHeight="1">
      <x:c r="A839" s="4"/>
      <x:c r="B839" s="4"/>
      <x:c r="C839" s="4"/>
      <x:c r="D839" s="4"/>
      <x:c r="E839" s="4"/>
      <x:c r="F839" s="4"/>
      <x:c r="G839" s="4"/>
      <x:c r="H839" s="4"/>
      <x:c r="I839" s="4"/>
      <x:c r="J839" s="4"/>
      <x:c r="K839" s="4"/>
      <x:c r="L839" s="4"/>
      <x:c r="M839" s="4"/>
      <x:c r="N839" s="4"/>
      <x:c r="O839" s="4"/>
      <x:c r="P839" s="4"/>
      <x:c r="Q839" s="4"/>
    </x:row>
    <x:row r="840" ht="64" customHeight="1">
      <x:c r="A840" s="4"/>
      <x:c r="B840" s="4"/>
      <x:c r="C840" s="4"/>
      <x:c r="D840" s="4"/>
      <x:c r="E840" s="4"/>
      <x:c r="F840" s="4"/>
      <x:c r="G840" s="4"/>
      <x:c r="H840" s="4"/>
      <x:c r="I840" s="4"/>
      <x:c r="J840" s="4"/>
      <x:c r="K840" s="4"/>
      <x:c r="L840" s="4"/>
      <x:c r="M840" s="4"/>
      <x:c r="N840" s="4"/>
      <x:c r="O840" s="4"/>
      <x:c r="P840" s="4"/>
      <x:c r="Q840" s="4"/>
    </x:row>
    <x:row r="841" ht="64" customHeight="1">
      <x:c r="A841" s="4"/>
      <x:c r="B841" s="4"/>
      <x:c r="C841" s="4"/>
      <x:c r="D841" s="4"/>
      <x:c r="E841" s="4"/>
      <x:c r="F841" s="4"/>
      <x:c r="G841" s="4"/>
      <x:c r="H841" s="4"/>
      <x:c r="I841" s="4"/>
      <x:c r="J841" s="4"/>
      <x:c r="K841" s="4"/>
      <x:c r="L841" s="4"/>
      <x:c r="M841" s="4"/>
      <x:c r="N841" s="4"/>
      <x:c r="O841" s="4"/>
      <x:c r="P841" s="4"/>
      <x:c r="Q841" s="4"/>
    </x:row>
    <x:row r="842" ht="64" customHeight="1">
      <x:c r="A842" s="4"/>
      <x:c r="B842" s="4"/>
      <x:c r="C842" s="4"/>
      <x:c r="D842" s="4"/>
      <x:c r="E842" s="4"/>
      <x:c r="F842" s="4"/>
      <x:c r="G842" s="4"/>
      <x:c r="H842" s="4"/>
      <x:c r="I842" s="4"/>
      <x:c r="J842" s="4"/>
      <x:c r="K842" s="4"/>
      <x:c r="L842" s="4"/>
      <x:c r="M842" s="4"/>
      <x:c r="N842" s="4"/>
      <x:c r="O842" s="4"/>
      <x:c r="P842" s="4"/>
      <x:c r="Q842" s="4"/>
    </x:row>
    <x:row r="843" ht="64" customHeight="1">
      <x:c r="A843" s="4"/>
      <x:c r="B843" s="4"/>
      <x:c r="C843" s="4"/>
      <x:c r="D843" s="4"/>
      <x:c r="E843" s="4"/>
      <x:c r="F843" s="4"/>
      <x:c r="G843" s="4"/>
      <x:c r="H843" s="4"/>
      <x:c r="I843" s="4"/>
      <x:c r="J843" s="4"/>
      <x:c r="K843" s="4"/>
      <x:c r="L843" s="4"/>
      <x:c r="M843" s="4"/>
      <x:c r="N843" s="4"/>
      <x:c r="O843" s="4"/>
      <x:c r="P843" s="4"/>
      <x:c r="Q843" s="4"/>
    </x:row>
    <x:row r="844" ht="64" customHeight="1">
      <x:c r="A844" s="4"/>
      <x:c r="B844" s="4"/>
      <x:c r="C844" s="4"/>
      <x:c r="D844" s="4"/>
      <x:c r="E844" s="4"/>
      <x:c r="F844" s="4"/>
      <x:c r="G844" s="4"/>
      <x:c r="H844" s="4"/>
      <x:c r="I844" s="4"/>
      <x:c r="J844" s="4"/>
      <x:c r="K844" s="4"/>
      <x:c r="L844" s="4"/>
      <x:c r="M844" s="4"/>
      <x:c r="N844" s="4"/>
      <x:c r="O844" s="4"/>
      <x:c r="P844" s="4"/>
      <x:c r="Q844" s="4"/>
    </x:row>
    <x:row r="845" ht="64" customHeight="1">
      <x:c r="A845" s="4"/>
      <x:c r="B845" s="4"/>
      <x:c r="C845" s="4"/>
      <x:c r="D845" s="4"/>
      <x:c r="E845" s="4"/>
      <x:c r="F845" s="4"/>
      <x:c r="G845" s="4"/>
      <x:c r="H845" s="4"/>
      <x:c r="I845" s="4"/>
      <x:c r="K845" s="4"/>
      <x:c r="L845" s="4"/>
      <x:c r="M845" s="4"/>
      <x:c r="N845" s="4"/>
      <x:c r="O845" s="4"/>
      <x:c r="P845" s="4"/>
      <x:c r="Q845" s="4"/>
    </x:row>
    <x:row r="846" ht="64" customHeight="1">
      <x:c r="A846" s="4"/>
      <x:c r="B846" s="4"/>
      <x:c r="C846" s="4"/>
      <x:c r="D846" s="4"/>
      <x:c r="E846" s="4"/>
      <x:c r="F846" s="4"/>
      <x:c r="G846" s="4"/>
      <x:c r="H846" s="4"/>
      <x:c r="I846" s="4"/>
      <x:c r="K846" s="4"/>
      <x:c r="L846" s="4"/>
      <x:c r="M846" s="4"/>
      <x:c r="N846" s="4"/>
      <x:c r="O846" s="4"/>
      <x:c r="P846" s="4"/>
      <x:c r="Q846" s="4"/>
    </x:row>
    <x:row r="847" ht="64" customHeight="1">
      <x:c r="A847" s="4"/>
      <x:c r="B847" s="4"/>
      <x:c r="C847" s="4"/>
      <x:c r="D847" s="4"/>
      <x:c r="E847" s="4"/>
      <x:c r="F847" s="4"/>
      <x:c r="G847" s="4"/>
      <x:c r="H847" s="4"/>
      <x:c r="I847" s="4"/>
      <x:c r="K847" s="4"/>
      <x:c r="L847" s="4"/>
      <x:c r="M847" s="4"/>
      <x:c r="N847" s="4"/>
      <x:c r="O847" s="4"/>
      <x:c r="P847" s="4"/>
      <x:c r="Q847" s="4"/>
    </x:row>
    <x:row r="848" ht="64" customHeight="1">
      <x:c r="A848" s="4" t="str">
        <x:v>design.collection.mica_brim_sun_visor.in.1</x:v>
      </x:c>
      <x:c r="B848" s="4" t="str">
        <x:v>design.collection.mica_brim_sun_visor</x:v>
      </x:c>
      <x:c r="C848" s="4" t="str">
        <x:v>Ingredient candidate</x:v>
      </x:c>
      <x:c r="D848" s="4" t="str">
        <x:v>proposal.t1.mica_window</x:v>
      </x:c>
      <x:c r="E848" s="4" t="str">
        <x:f>IFERROR(INDEX('Items'!$B$6:$B$1005,MATCH(D848,'Items'!$A$6:$A$1005,0)),"MISSING ID")</x:f>
        <x:v>Sized mica viewing sheet</x:v>
      </x:c>
      <x:c r="F848" s="4" t="str">
        <x:f>IFERROR(INDEX('Items'!$C$6:$C$1005,MATCH(D848,'Items'!$A$6:$A$1005,0)),"MISSING ID")</x:f>
        <x:v>T1</x:v>
      </x:c>
      <x:c r="G848" s="4" t="str">
        <x:f>IFERROR(INDEX('Items'!$D$6:$D$1005,MATCH(D848,'Items'!$A$6:$A$1005,0)),"MISSING ID")</x:f>
        <x:v>Manufactured stock</x:v>
      </x:c>
      <x:c r="H848" s="4" t="str">
        <x:f>IFERROR(INDEX('Items'!$X$6:$X$1005,MATCH(D848,'Items'!$A$6:$A$1005,0)),"MISSING ID")</x:f>
        <x:v>Processed material</x:v>
      </x:c>
      <x:c r="I848" s="4"/>
      <x:c r="J848" s="4" t="str">
        <x:v>Unspecified</x:v>
      </x:c>
      <x:c r="K848" s="4" t="str">
        <x:f>IFERROR(INDEX('Crafting recipes'!$D$6:$D$1005,MATCH(B848,'Crafting recipes'!$A$6:$A$1005,0)),"MISSING ID")</x:f>
        <x:v>Proposal</x:v>
      </x:c>
      <x:c r="L848" s="4" t="str">
        <x:f>IFERROR(INDEX('Items'!$AD$6:$AD$1005,MATCH(D848,'Items'!$A$6:$A$1005,0)),"MISSING ID")</x:f>
        <x:v>Proposal</x:v>
      </x:c>
      <x:c r="M848" s="4" t="str">
        <x:f>IFERROR(INDEX('Crafting recipes'!$E$6:$E$1005,MATCH(B848,'Crafting recipes'!$A$6:$A$1005,0)),"MISSING ID")</x:f>
        <x:v>Partial proposal</x:v>
      </x:c>
      <x:c r="N848" s="4" t="str">
        <x:v>Candidate source or part only. Quantity, grade and method remain open.</x:v>
      </x:c>
      <x:c r="O848" s="4" t="str">
        <x:v>Collection expansion, October 15, 2026. New game proposal.</x:v>
      </x:c>
      <x:c r="P848" s="4" t="n">
        <x:f>IF(OR(C848="Ingredient candidate",C848="Consumed input",C848="Contained input",C848="Transform input"),IF(F848="T0",0,IF(F848="T1",1,IF(F848="T2",2,IF(F848="T3",3,IF(F848="T4",4,-1))))),-1)</x:f>
        <x:v>1</x:v>
      </x:c>
      <x:c r="Q848" s="4" t="n">
        <x:f>IF(AND(OR(C848="Ingredient candidate",C848="Consumed input",C848="Contained input",C848="Transform input"),P848=-1),1,0)</x:f>
        <x:v>0</x:v>
      </x:c>
    </x:row>
    <x:row r="849" ht="64" customHeight="1">
      <x:c r="A849" s="4" t="str">
        <x:v>design.collection.mica_brim_sun_visor.in.2</x:v>
      </x:c>
      <x:c r="B849" s="4" t="str">
        <x:v>design.collection.mica_brim_sun_visor</x:v>
      </x:c>
      <x:c r="C849" s="4" t="str">
        <x:v>Ingredient candidate</x:v>
      </x:c>
      <x:c r="D849" s="4" t="str">
        <x:v>proposal.natural.iron_stock</x:v>
      </x:c>
      <x:c r="E849" s="4" t="str">
        <x:f>IFERROR(INDEX('Items'!$B$6:$B$1005,MATCH(D849,'Items'!$A$6:$A$1005,0)),"MISSING ID")</x:f>
        <x:v>Worked iron stock</x:v>
      </x:c>
      <x:c r="F849" s="4" t="str">
        <x:f>IFERROR(INDEX('Items'!$C$6:$C$1005,MATCH(D849,'Items'!$A$6:$A$1005,0)),"MISSING ID")</x:f>
        <x:v>T2</x:v>
      </x:c>
      <x:c r="G849" s="4" t="str">
        <x:f>IFERROR(INDEX('Items'!$D$6:$D$1005,MATCH(D849,'Items'!$A$6:$A$1005,0)),"MISSING ID")</x:f>
        <x:v>Manufactured stock</x:v>
      </x:c>
      <x:c r="H849" s="4" t="str">
        <x:f>IFERROR(INDEX('Items'!$X$6:$X$1005,MATCH(D849,'Items'!$A$6:$A$1005,0)),"MISSING ID")</x:f>
        <x:v>Processed material</x:v>
      </x:c>
      <x:c r="I849" s="4"/>
      <x:c r="J849" s="4" t="str">
        <x:v>Unspecified</x:v>
      </x:c>
      <x:c r="K849" s="4" t="str">
        <x:f>IFERROR(INDEX('Crafting recipes'!$D$6:$D$1005,MATCH(B849,'Crafting recipes'!$A$6:$A$1005,0)),"MISSING ID")</x:f>
        <x:v>Proposal</x:v>
      </x:c>
      <x:c r="L849" s="4" t="str">
        <x:f>IFERROR(INDEX('Items'!$AD$6:$AD$1005,MATCH(D849,'Items'!$A$6:$A$1005,0)),"MISSING ID")</x:f>
        <x:v>Proposal</x:v>
      </x:c>
      <x:c r="M849" s="4" t="str">
        <x:f>IFERROR(INDEX('Crafting recipes'!$E$6:$E$1005,MATCH(B849,'Crafting recipes'!$A$6:$A$1005,0)),"MISSING ID")</x:f>
        <x:v>Partial proposal</x:v>
      </x:c>
      <x:c r="N849" s="4" t="str">
        <x:v>Candidate source or part only. Quantity, grade and method remain open.</x:v>
      </x:c>
      <x:c r="O849" s="4" t="str">
        <x:v>Collection expansion, October 15, 2026. New game proposal.</x:v>
      </x:c>
      <x:c r="P849" s="4" t="n">
        <x:f>IF(OR(C849="Ingredient candidate",C849="Consumed input",C849="Contained input",C849="Transform input"),IF(F849="T0",0,IF(F849="T1",1,IF(F849="T2",2,IF(F849="T3",3,IF(F849="T4",4,-1))))),-1)</x:f>
        <x:v>2</x:v>
      </x:c>
      <x:c r="Q849" s="4" t="n">
        <x:f>IF(AND(OR(C849="Ingredient candidate",C849="Consumed input",C849="Contained input",C849="Transform input"),P849=-1),1,0)</x:f>
        <x:v>0</x:v>
      </x:c>
    </x:row>
    <x:row r="850" ht="64" customHeight="1">
      <x:c r="A850" s="4" t="str">
        <x:v>design.collection.mica_brim_sun_visor.out</x:v>
      </x:c>
      <x:c r="B850" s="4" t="str">
        <x:v>design.collection.mica_brim_sun_visor</x:v>
      </x:c>
      <x:c r="C850" s="4" t="str">
        <x:v>Output</x:v>
      </x:c>
      <x:c r="D850" s="4" t="str">
        <x:v>proposal.collection.mica_brim_sun_visor</x:v>
      </x:c>
      <x:c r="E850" s="4" t="str">
        <x:f>IFERROR(INDEX('Items'!$B$6:$B$1005,MATCH(D850,'Items'!$A$6:$A$1005,0)),"MISSING ID")</x:f>
        <x:v>Mica-brim sun visor</x:v>
      </x:c>
      <x:c r="F850" s="4" t="str">
        <x:f>IFERROR(INDEX('Items'!$C$6:$C$1005,MATCH(D850,'Items'!$A$6:$A$1005,0)),"MISSING ID")</x:f>
        <x:v>Not applicable</x:v>
      </x:c>
      <x:c r="G850" s="4" t="str">
        <x:f>IFERROR(INDEX('Items'!$D$6:$D$1005,MATCH(D850,'Items'!$A$6:$A$1005,0)),"MISSING ID")</x:f>
        <x:v>Clothing</x:v>
      </x:c>
      <x:c r="H850" s="4" t="str">
        <x:f>IFERROR(INDEX('Items'!$X$6:$X$1005,MATCH(D850,'Items'!$A$6:$A$1005,0)),"MISSING ID")</x:f>
        <x:v>Wearable</x:v>
      </x:c>
      <x:c r="I850" s="4"/>
      <x:c r="J850" s="4" t="str">
        <x:v>Unspecified</x:v>
      </x:c>
      <x:c r="K850" s="4" t="str">
        <x:f>IFERROR(INDEX('Crafting recipes'!$D$6:$D$1005,MATCH(B850,'Crafting recipes'!$A$6:$A$1005,0)),"MISSING ID")</x:f>
        <x:v>Proposal</x:v>
      </x:c>
      <x:c r="L850" s="4" t="str">
        <x:f>IFERROR(INDEX('Items'!$AD$6:$AD$1005,MATCH(D850,'Items'!$A$6:$A$1005,0)),"MISSING ID")</x:f>
        <x:v>Proposal</x:v>
      </x:c>
      <x:c r="M850" s="4" t="str">
        <x:f>IFERROR(INDEX('Crafting recipes'!$E$6:$E$1005,MATCH(B850,'Crafting recipes'!$A$6:$A$1005,0)),"MISSING ID")</x:f>
        <x:v>Partial proposal</x:v>
      </x:c>
      <x:c r="N850" s="4" t="str">
        <x:v>Candidate source or part only. Quantity, grade and method remain open.</x:v>
      </x:c>
      <x:c r="O850" s="4" t="str">
        <x:v>Collection expansion, October 15, 2026. New game proposal.</x:v>
      </x:c>
      <x:c r="P850" s="4" t="n">
        <x:f>IF(OR(C850="Ingredient candidate",C850="Consumed input",C850="Contained input",C850="Transform input"),IF(F850="T0",0,IF(F850="T1",1,IF(F850="T2",2,IF(F850="T3",3,IF(F850="T4",4,-1))))),-1)</x:f>
        <x:v>-1</x:v>
      </x:c>
      <x:c r="Q850" s="4" t="n">
        <x:f>IF(AND(OR(C850="Ingredient candidate",C850="Consumed input",C850="Contained input",C850="Transform input"),P850=-1),1,0)</x:f>
        <x:v>0</x:v>
      </x:c>
    </x:row>
    <x:row r="851" ht="64" customHeight="1">
      <x:c r="A851" s="4" t="str">
        <x:v>design.collection.founding_stone_keepsake.in.1</x:v>
      </x:c>
      <x:c r="B851" s="4" t="str">
        <x:v>design.collection.founding_stone_keepsake</x:v>
      </x:c>
      <x:c r="C851" s="4" t="str">
        <x:v>Ingredient candidate</x:v>
      </x:c>
      <x:c r="D851" s="4" t="str">
        <x:v>proposal.t1.dressed_stone</x:v>
      </x:c>
      <x:c r="E851" s="4" t="str">
        <x:f>IFERROR(INDEX('Items'!$B$6:$B$1005,MATCH(D851,'Items'!$A$6:$A$1005,0)),"MISSING ID")</x:f>
        <x:v>Dressed building-stone stock</x:v>
      </x:c>
      <x:c r="F851" s="4" t="str">
        <x:f>IFERROR(INDEX('Items'!$C$6:$C$1005,MATCH(D851,'Items'!$A$6:$A$1005,0)),"MISSING ID")</x:f>
        <x:v>T1</x:v>
      </x:c>
      <x:c r="G851" s="4" t="str">
        <x:f>IFERROR(INDEX('Items'!$D$6:$D$1005,MATCH(D851,'Items'!$A$6:$A$1005,0)),"MISSING ID")</x:f>
        <x:v>Manufactured stock</x:v>
      </x:c>
      <x:c r="H851" s="4" t="str">
        <x:f>IFERROR(INDEX('Items'!$X$6:$X$1005,MATCH(D851,'Items'!$A$6:$A$1005,0)),"MISSING ID")</x:f>
        <x:v>Processed material</x:v>
      </x:c>
      <x:c r="I851" s="4"/>
      <x:c r="J851" s="4" t="str">
        <x:v>Unspecified</x:v>
      </x:c>
      <x:c r="K851" s="4" t="str">
        <x:f>IFERROR(INDEX('Crafting recipes'!$D$6:$D$1005,MATCH(B851,'Crafting recipes'!$A$6:$A$1005,0)),"MISSING ID")</x:f>
        <x:v>Proposal</x:v>
      </x:c>
      <x:c r="L851" s="4" t="str">
        <x:f>IFERROR(INDEX('Items'!$AD$6:$AD$1005,MATCH(D851,'Items'!$A$6:$A$1005,0)),"MISSING ID")</x:f>
        <x:v>Proposal</x:v>
      </x:c>
      <x:c r="M851" s="4" t="str">
        <x:f>IFERROR(INDEX('Crafting recipes'!$E$6:$E$1005,MATCH(B851,'Crafting recipes'!$A$6:$A$1005,0)),"MISSING ID")</x:f>
        <x:v>Partial proposal</x:v>
      </x:c>
      <x:c r="N851" s="4" t="str">
        <x:v>Candidate source or part only. Quantity, grade and method remain open.</x:v>
      </x:c>
      <x:c r="O851" s="4" t="str">
        <x:v>Collection expansion, October 15, 2026. New game proposal.</x:v>
      </x:c>
      <x:c r="P851" s="4" t="n">
        <x:f>IF(OR(C851="Ingredient candidate",C851="Consumed input",C851="Contained input",C851="Transform input"),IF(F851="T0",0,IF(F851="T1",1,IF(F851="T2",2,IF(F851="T3",3,IF(F851="T4",4,-1))))),-1)</x:f>
        <x:v>1</x:v>
      </x:c>
      <x:c r="Q851" s="4" t="n">
        <x:f>IF(AND(OR(C851="Ingredient candidate",C851="Consumed input",C851="Contained input",C851="Transform input"),P851=-1),1,0)</x:f>
        <x:v>0</x:v>
      </x:c>
    </x:row>
    <x:row r="852" ht="64" customHeight="1">
      <x:c r="A852" s="4" t="str">
        <x:v>design.collection.founding_stone_keepsake.out</x:v>
      </x:c>
      <x:c r="B852" s="4" t="str">
        <x:v>design.collection.founding_stone_keepsake</x:v>
      </x:c>
      <x:c r="C852" s="4" t="str">
        <x:v>Output</x:v>
      </x:c>
      <x:c r="D852" s="4" t="str">
        <x:v>proposal.collection.founding_stone_keepsake</x:v>
      </x:c>
      <x:c r="E852" s="4" t="str">
        <x:f>IFERROR(INDEX('Items'!$B$6:$B$1005,MATCH(D852,'Items'!$A$6:$A$1005,0)),"MISSING ID")</x:f>
        <x:v>Founding-stone keepsake</x:v>
      </x:c>
      <x:c r="F852" s="4" t="str">
        <x:f>IFERROR(INDEX('Items'!$C$6:$C$1005,MATCH(D852,'Items'!$A$6:$A$1005,0)),"MISSING ID")</x:f>
        <x:v>Not applicable</x:v>
      </x:c>
      <x:c r="G852" s="4" t="str">
        <x:f>IFERROR(INDEX('Items'!$D$6:$D$1005,MATCH(D852,'Items'!$A$6:$A$1005,0)),"MISSING ID")</x:f>
        <x:v>Salvage</x:v>
      </x:c>
      <x:c r="H852" s="4" t="str">
        <x:f>IFERROR(INDEX('Items'!$X$6:$X$1005,MATCH(D852,'Items'!$A$6:$A$1005,0)),"MISSING ID")</x:f>
        <x:v>Cultural object</x:v>
      </x:c>
      <x:c r="I852" s="4"/>
      <x:c r="J852" s="4" t="str">
        <x:v>Unspecified</x:v>
      </x:c>
      <x:c r="K852" s="4" t="str">
        <x:f>IFERROR(INDEX('Crafting recipes'!$D$6:$D$1005,MATCH(B852,'Crafting recipes'!$A$6:$A$1005,0)),"MISSING ID")</x:f>
        <x:v>Proposal</x:v>
      </x:c>
      <x:c r="L852" s="4" t="str">
        <x:f>IFERROR(INDEX('Items'!$AD$6:$AD$1005,MATCH(D852,'Items'!$A$6:$A$1005,0)),"MISSING ID")</x:f>
        <x:v>Proposal</x:v>
      </x:c>
      <x:c r="M852" s="4" t="str">
        <x:f>IFERROR(INDEX('Crafting recipes'!$E$6:$E$1005,MATCH(B852,'Crafting recipes'!$A$6:$A$1005,0)),"MISSING ID")</x:f>
        <x:v>Partial proposal</x:v>
      </x:c>
      <x:c r="N852" s="4" t="str">
        <x:v>Candidate source or part only. Quantity, grade and method remain open.</x:v>
      </x:c>
      <x:c r="O852" s="4" t="str">
        <x:v>Collection expansion, October 15, 2026. New game proposal.</x:v>
      </x:c>
      <x:c r="P852" s="4" t="n">
        <x:f>IF(OR(C852="Ingredient candidate",C852="Consumed input",C852="Contained input",C852="Transform input"),IF(F852="T0",0,IF(F852="T1",1,IF(F852="T2",2,IF(F852="T3",3,IF(F852="T4",4,-1))))),-1)</x:f>
        <x:v>-1</x:v>
      </x:c>
      <x:c r="Q852" s="4" t="n">
        <x:f>IF(AND(OR(C852="Ingredient candidate",C852="Consumed input",C852="Contained input",C852="Transform input"),P852=-1),1,0)</x:f>
        <x:v>0</x:v>
      </x:c>
    </x:row>
    <x:row r="853" ht="64" customHeight="1">
      <x:c r="A853" s="4" t="str">
        <x:v>design.collection.guild_craft_exemplar.in.1</x:v>
      </x:c>
      <x:c r="B853" s="4" t="str">
        <x:v>design.collection.guild_craft_exemplar</x:v>
      </x:c>
      <x:c r="C853" s="4" t="str">
        <x:v>Ingredient candidate</x:v>
      </x:c>
      <x:c r="D853" s="4" t="str">
        <x:v>proposal.branch.polished_gem</x:v>
      </x:c>
      <x:c r="E853" s="4" t="str">
        <x:f>IFERROR(INDEX('Items'!$B$6:$B$1005,MATCH(D853,'Items'!$A$6:$A$1005,0)),"MISSING ID")</x:f>
        <x:v>Polished gemstone blanks</x:v>
      </x:c>
      <x:c r="F853" s="4" t="str">
        <x:f>IFERROR(INDEX('Items'!$C$6:$C$1005,MATCH(D853,'Items'!$A$6:$A$1005,0)),"MISSING ID")</x:f>
        <x:v>T2</x:v>
      </x:c>
      <x:c r="G853" s="4" t="str">
        <x:f>IFERROR(INDEX('Items'!$D$6:$D$1005,MATCH(D853,'Items'!$A$6:$A$1005,0)),"MISSING ID")</x:f>
        <x:v>Manufactured stock</x:v>
      </x:c>
      <x:c r="H853" s="4" t="str">
        <x:f>IFERROR(INDEX('Items'!$X$6:$X$1005,MATCH(D853,'Items'!$A$6:$A$1005,0)),"MISSING ID")</x:f>
        <x:v>Processed material</x:v>
      </x:c>
      <x:c r="I853" s="4"/>
      <x:c r="J853" s="4" t="str">
        <x:v>Unspecified</x:v>
      </x:c>
      <x:c r="K853" s="4" t="str">
        <x:f>IFERROR(INDEX('Crafting recipes'!$D$6:$D$1005,MATCH(B853,'Crafting recipes'!$A$6:$A$1005,0)),"MISSING ID")</x:f>
        <x:v>Proposal</x:v>
      </x:c>
      <x:c r="L853" s="4" t="str">
        <x:f>IFERROR(INDEX('Items'!$AD$6:$AD$1005,MATCH(D853,'Items'!$A$6:$A$1005,0)),"MISSING ID")</x:f>
        <x:v>Proposal</x:v>
      </x:c>
      <x:c r="M853" s="4" t="str">
        <x:f>IFERROR(INDEX('Crafting recipes'!$E$6:$E$1005,MATCH(B853,'Crafting recipes'!$A$6:$A$1005,0)),"MISSING ID")</x:f>
        <x:v>Partial proposal</x:v>
      </x:c>
      <x:c r="N853" s="4" t="str">
        <x:v>Candidate source or part only. Quantity, grade and method remain open.</x:v>
      </x:c>
      <x:c r="O853" s="4" t="str">
        <x:v>Collection expansion, October 15, 2026. New game proposal.</x:v>
      </x:c>
      <x:c r="P853" s="4" t="n">
        <x:f>IF(OR(C853="Ingredient candidate",C853="Consumed input",C853="Contained input",C853="Transform input"),IF(F853="T0",0,IF(F853="T1",1,IF(F853="T2",2,IF(F853="T3",3,IF(F853="T4",4,-1))))),-1)</x:f>
        <x:v>2</x:v>
      </x:c>
      <x:c r="Q853" s="4" t="n">
        <x:f>IF(AND(OR(C853="Ingredient candidate",C853="Consumed input",C853="Contained input",C853="Transform input"),P853=-1),1,0)</x:f>
        <x:v>0</x:v>
      </x:c>
    </x:row>
    <x:row r="854" ht="64" customHeight="1">
      <x:c r="A854" s="4" t="str">
        <x:v>design.collection.guild_craft_exemplar.in.2</x:v>
      </x:c>
      <x:c r="B854" s="4" t="str">
        <x:v>design.collection.guild_craft_exemplar</x:v>
      </x:c>
      <x:c r="C854" s="4" t="str">
        <x:v>Ingredient candidate</x:v>
      </x:c>
      <x:c r="D854" s="4" t="str">
        <x:v>proposal.natural.iron_stock</x:v>
      </x:c>
      <x:c r="E854" s="4" t="str">
        <x:f>IFERROR(INDEX('Items'!$B$6:$B$1005,MATCH(D854,'Items'!$A$6:$A$1005,0)),"MISSING ID")</x:f>
        <x:v>Worked iron stock</x:v>
      </x:c>
      <x:c r="F854" s="4" t="str">
        <x:f>IFERROR(INDEX('Items'!$C$6:$C$1005,MATCH(D854,'Items'!$A$6:$A$1005,0)),"MISSING ID")</x:f>
        <x:v>T2</x:v>
      </x:c>
      <x:c r="G854" s="4" t="str">
        <x:f>IFERROR(INDEX('Items'!$D$6:$D$1005,MATCH(D854,'Items'!$A$6:$A$1005,0)),"MISSING ID")</x:f>
        <x:v>Manufactured stock</x:v>
      </x:c>
      <x:c r="H854" s="4" t="str">
        <x:f>IFERROR(INDEX('Items'!$X$6:$X$1005,MATCH(D854,'Items'!$A$6:$A$1005,0)),"MISSING ID")</x:f>
        <x:v>Processed material</x:v>
      </x:c>
      <x:c r="I854" s="4"/>
      <x:c r="J854" s="4" t="str">
        <x:v>Unspecified</x:v>
      </x:c>
      <x:c r="K854" s="4" t="str">
        <x:f>IFERROR(INDEX('Crafting recipes'!$D$6:$D$1005,MATCH(B854,'Crafting recipes'!$A$6:$A$1005,0)),"MISSING ID")</x:f>
        <x:v>Proposal</x:v>
      </x:c>
      <x:c r="L854" s="4" t="str">
        <x:f>IFERROR(INDEX('Items'!$AD$6:$AD$1005,MATCH(D854,'Items'!$A$6:$A$1005,0)),"MISSING ID")</x:f>
        <x:v>Proposal</x:v>
      </x:c>
      <x:c r="M854" s="4" t="str">
        <x:f>IFERROR(INDEX('Crafting recipes'!$E$6:$E$1005,MATCH(B854,'Crafting recipes'!$A$6:$A$1005,0)),"MISSING ID")</x:f>
        <x:v>Partial proposal</x:v>
      </x:c>
      <x:c r="N854" s="4" t="str">
        <x:v>Candidate source or part only. Quantity, grade and method remain open.</x:v>
      </x:c>
      <x:c r="O854" s="4" t="str">
        <x:v>Collection expansion, October 15, 2026. New game proposal.</x:v>
      </x:c>
      <x:c r="P854" s="4" t="n">
        <x:f>IF(OR(C854="Ingredient candidate",C854="Consumed input",C854="Contained input",C854="Transform input"),IF(F854="T0",0,IF(F854="T1",1,IF(F854="T2",2,IF(F854="T3",3,IF(F854="T4",4,-1))))),-1)</x:f>
        <x:v>2</x:v>
      </x:c>
      <x:c r="Q854" s="4" t="n">
        <x:f>IF(AND(OR(C854="Ingredient candidate",C854="Consumed input",C854="Contained input",C854="Transform input"),P854=-1),1,0)</x:f>
        <x:v>0</x:v>
      </x:c>
    </x:row>
    <x:row r="855" ht="64" customHeight="1">
      <x:c r="A855" s="4" t="str">
        <x:v>design.collection.guild_craft_exemplar.out</x:v>
      </x:c>
      <x:c r="B855" s="4" t="str">
        <x:v>design.collection.guild_craft_exemplar</x:v>
      </x:c>
      <x:c r="C855" s="4" t="str">
        <x:v>Output</x:v>
      </x:c>
      <x:c r="D855" s="4" t="str">
        <x:v>proposal.collection.guild_craft_exemplar</x:v>
      </x:c>
      <x:c r="E855" s="4" t="str">
        <x:f>IFERROR(INDEX('Items'!$B$6:$B$1005,MATCH(D855,'Items'!$A$6:$A$1005,0)),"MISSING ID")</x:f>
        <x:v>Guild craft exemplar</x:v>
      </x:c>
      <x:c r="F855" s="4" t="str">
        <x:f>IFERROR(INDEX('Items'!$C$6:$C$1005,MATCH(D855,'Items'!$A$6:$A$1005,0)),"MISSING ID")</x:f>
        <x:v>Not applicable</x:v>
      </x:c>
      <x:c r="G855" s="4" t="str">
        <x:f>IFERROR(INDEX('Items'!$D$6:$D$1005,MATCH(D855,'Items'!$A$6:$A$1005,0)),"MISSING ID")</x:f>
        <x:v>Salvage</x:v>
      </x:c>
      <x:c r="H855" s="4" t="str">
        <x:f>IFERROR(INDEX('Items'!$X$6:$X$1005,MATCH(D855,'Items'!$A$6:$A$1005,0)),"MISSING ID")</x:f>
        <x:v>Cultural object</x:v>
      </x:c>
      <x:c r="I855" s="4"/>
      <x:c r="J855" s="4" t="str">
        <x:v>Unspecified</x:v>
      </x:c>
      <x:c r="K855" s="4" t="str">
        <x:f>IFERROR(INDEX('Crafting recipes'!$D$6:$D$1005,MATCH(B855,'Crafting recipes'!$A$6:$A$1005,0)),"MISSING ID")</x:f>
        <x:v>Proposal</x:v>
      </x:c>
      <x:c r="L855" s="4" t="str">
        <x:f>IFERROR(INDEX('Items'!$AD$6:$AD$1005,MATCH(D855,'Items'!$A$6:$A$1005,0)),"MISSING ID")</x:f>
        <x:v>Proposal</x:v>
      </x:c>
      <x:c r="M855" s="4" t="str">
        <x:f>IFERROR(INDEX('Crafting recipes'!$E$6:$E$1005,MATCH(B855,'Crafting recipes'!$A$6:$A$1005,0)),"MISSING ID")</x:f>
        <x:v>Partial proposal</x:v>
      </x:c>
      <x:c r="N855" s="4" t="str">
        <x:v>Candidate source or part only. Quantity, grade and method remain open.</x:v>
      </x:c>
      <x:c r="O855" s="4" t="str">
        <x:v>Collection expansion, October 15, 2026. New game proposal.</x:v>
      </x:c>
      <x:c r="P855" s="4" t="n">
        <x:f>IF(OR(C855="Ingredient candidate",C855="Consumed input",C855="Contained input",C855="Transform input"),IF(F855="T0",0,IF(F855="T1",1,IF(F855="T2",2,IF(F855="T3",3,IF(F855="T4",4,-1))))),-1)</x:f>
        <x:v>-1</x:v>
      </x:c>
      <x:c r="Q855" s="4" t="n">
        <x:f>IF(AND(OR(C855="Ingredient candidate",C855="Consumed input",C855="Contained input",C855="Transform input"),P855=-1),1,0)</x:f>
        <x:v>0</x:v>
      </x:c>
    </x:row>
    <x:row r="856" ht="64" customHeight="1">
      <x:c r="A856" s="4" t="str">
        <x:v>design.collection.witness_chain.in.1</x:v>
      </x:c>
      <x:c r="B856" s="4" t="str">
        <x:v>design.collection.witness_chain</x:v>
      </x:c>
      <x:c r="C856" s="4" t="str">
        <x:v>Ingredient candidate</x:v>
      </x:c>
      <x:c r="D856" s="4" t="str">
        <x:v>author.metallurgy.steel_stock</x:v>
      </x:c>
      <x:c r="E856" s="4" t="str">
        <x:f>IFERROR(INDEX('Items'!$B$6:$B$1005,MATCH(D856,'Items'!$A$6:$A$1005,0)),"MISSING ID")</x:f>
        <x:v>Steel stock</x:v>
      </x:c>
      <x:c r="F856" s="4" t="str">
        <x:f>IFERROR(INDEX('Items'!$C$6:$C$1005,MATCH(D856,'Items'!$A$6:$A$1005,0)),"MISSING ID")</x:f>
        <x:v>T2</x:v>
      </x:c>
      <x:c r="G856" s="4" t="str">
        <x:f>IFERROR(INDEX('Items'!$D$6:$D$1005,MATCH(D856,'Items'!$A$6:$A$1005,0)),"MISSING ID")</x:f>
        <x:v>Manufactured stock</x:v>
      </x:c>
      <x:c r="H856" s="4" t="str">
        <x:f>IFERROR(INDEX('Items'!$X$6:$X$1005,MATCH(D856,'Items'!$A$6:$A$1005,0)),"MISSING ID")</x:f>
        <x:v>Processed material</x:v>
      </x:c>
      <x:c r="I856" s="4"/>
      <x:c r="J856" s="4" t="str">
        <x:v>Unspecified</x:v>
      </x:c>
      <x:c r="K856" s="4" t="str">
        <x:f>IFERROR(INDEX('Crafting recipes'!$D$6:$D$1005,MATCH(B856,'Crafting recipes'!$A$6:$A$1005,0)),"MISSING ID")</x:f>
        <x:v>Proposal</x:v>
      </x:c>
      <x:c r="L856" s="4" t="str">
        <x:f>IFERROR(INDEX('Items'!$AD$6:$AD$1005,MATCH(D856,'Items'!$A$6:$A$1005,0)),"MISSING ID")</x:f>
        <x:v>Author direction</x:v>
      </x:c>
      <x:c r="M856" s="4" t="str">
        <x:f>IFERROR(INDEX('Crafting recipes'!$E$6:$E$1005,MATCH(B856,'Crafting recipes'!$A$6:$A$1005,0)),"MISSING ID")</x:f>
        <x:v>Partial proposal</x:v>
      </x:c>
      <x:c r="N856" s="4" t="str">
        <x:v>Candidate source or part only. Quantity, grade and method remain open.</x:v>
      </x:c>
      <x:c r="O856" s="4" t="str">
        <x:v>Collection expansion, October 15, 2026. New game proposal.</x:v>
      </x:c>
      <x:c r="P856" s="4" t="n">
        <x:f>IF(OR(C856="Ingredient candidate",C856="Consumed input",C856="Contained input",C856="Transform input"),IF(F856="T0",0,IF(F856="T1",1,IF(F856="T2",2,IF(F856="T3",3,IF(F856="T4",4,-1))))),-1)</x:f>
        <x:v>2</x:v>
      </x:c>
      <x:c r="Q856" s="4" t="n">
        <x:f>IF(AND(OR(C856="Ingredient candidate",C856="Consumed input",C856="Contained input",C856="Transform input"),P856=-1),1,0)</x:f>
        <x:v>0</x:v>
      </x:c>
    </x:row>
    <x:row r="857" ht="64" customHeight="1">
      <x:c r="A857" s="4" t="str">
        <x:v>design.collection.witness_chain.out</x:v>
      </x:c>
      <x:c r="B857" s="4" t="str">
        <x:v>design.collection.witness_chain</x:v>
      </x:c>
      <x:c r="C857" s="4" t="str">
        <x:v>Output</x:v>
      </x:c>
      <x:c r="D857" s="4" t="str">
        <x:v>proposal.collection.witness_chain</x:v>
      </x:c>
      <x:c r="E857" s="4" t="str">
        <x:f>IFERROR(INDEX('Items'!$B$6:$B$1005,MATCH(D857,'Items'!$A$6:$A$1005,0)),"MISSING ID")</x:f>
        <x:v>Witness chain</x:v>
      </x:c>
      <x:c r="F857" s="4" t="str">
        <x:f>IFERROR(INDEX('Items'!$C$6:$C$1005,MATCH(D857,'Items'!$A$6:$A$1005,0)),"MISSING ID")</x:f>
        <x:v>Not applicable</x:v>
      </x:c>
      <x:c r="G857" s="4" t="str">
        <x:f>IFERROR(INDEX('Items'!$D$6:$D$1005,MATCH(D857,'Items'!$A$6:$A$1005,0)),"MISSING ID")</x:f>
        <x:v>Salvage</x:v>
      </x:c>
      <x:c r="H857" s="4" t="str">
        <x:f>IFERROR(INDEX('Items'!$X$6:$X$1005,MATCH(D857,'Items'!$A$6:$A$1005,0)),"MISSING ID")</x:f>
        <x:v>Cultural object</x:v>
      </x:c>
      <x:c r="I857" s="4"/>
      <x:c r="J857" s="4" t="str">
        <x:v>Unspecified</x:v>
      </x:c>
      <x:c r="K857" s="4" t="str">
        <x:f>IFERROR(INDEX('Crafting recipes'!$D$6:$D$1005,MATCH(B857,'Crafting recipes'!$A$6:$A$1005,0)),"MISSING ID")</x:f>
        <x:v>Proposal</x:v>
      </x:c>
      <x:c r="L857" s="4" t="str">
        <x:f>IFERROR(INDEX('Items'!$AD$6:$AD$1005,MATCH(D857,'Items'!$A$6:$A$1005,0)),"MISSING ID")</x:f>
        <x:v>Proposal</x:v>
      </x:c>
      <x:c r="M857" s="4" t="str">
        <x:f>IFERROR(INDEX('Crafting recipes'!$E$6:$E$1005,MATCH(B857,'Crafting recipes'!$A$6:$A$1005,0)),"MISSING ID")</x:f>
        <x:v>Partial proposal</x:v>
      </x:c>
      <x:c r="N857" s="4" t="str">
        <x:v>Candidate source or part only. Quantity, grade and method remain open.</x:v>
      </x:c>
      <x:c r="O857" s="4" t="str">
        <x:v>Collection expansion, October 15, 2026. New game proposal.</x:v>
      </x:c>
      <x:c r="P857" s="4" t="n">
        <x:f>IF(OR(C857="Ingredient candidate",C857="Consumed input",C857="Contained input",C857="Transform input"),IF(F857="T0",0,IF(F857="T1",1,IF(F857="T2",2,IF(F857="T3",3,IF(F857="T4",4,-1))))),-1)</x:f>
        <x:v>-1</x:v>
      </x:c>
      <x:c r="Q857" s="4" t="n">
        <x:f>IF(AND(OR(C857="Ingredient candidate",C857="Consumed input",C857="Contained input",C857="Transform input"),P857=-1),1,0)</x:f>
        <x:v>0</x:v>
      </x:c>
    </x:row>
    <x:row r="858" ht="64" customHeight="1">
      <x:c r="A858" s="4"/>
      <x:c r="B858" s="4"/>
      <x:c r="C858" s="4"/>
      <x:c r="D858" s="4"/>
      <x:c r="E858" s="4"/>
      <x:c r="F858" s="4"/>
      <x:c r="G858" s="4"/>
      <x:c r="H858" s="4"/>
      <x:c r="I858" s="4"/>
      <x:c r="J858" s="4"/>
      <x:c r="K858" s="4"/>
      <x:c r="L858" s="4"/>
      <x:c r="M858" s="4"/>
      <x:c r="N858" s="4"/>
      <x:c r="O858" s="4"/>
      <x:c r="P858" s="4"/>
      <x:c r="Q858" s="4"/>
    </x:row>
    <x:row r="859" ht="64" customHeight="1">
      <x:c r="A859" s="4"/>
      <x:c r="B859" s="4"/>
      <x:c r="C859" s="4"/>
      <x:c r="D859" s="4"/>
      <x:c r="E859" s="4"/>
      <x:c r="F859" s="4"/>
      <x:c r="G859" s="4"/>
      <x:c r="H859" s="4"/>
      <x:c r="I859" s="4"/>
      <x:c r="J859" s="4"/>
      <x:c r="K859" s="4"/>
      <x:c r="L859" s="4"/>
      <x:c r="M859" s="4"/>
      <x:c r="N859" s="4"/>
      <x:c r="O859" s="4"/>
      <x:c r="P859" s="4"/>
      <x:c r="Q859" s="4"/>
    </x:row>
    <x:row r="860" ht="64" customHeight="1">
      <x:c r="A860" s="4"/>
      <x:c r="B860" s="4"/>
      <x:c r="C860" s="4"/>
      <x:c r="D860" s="4"/>
      <x:c r="E860" s="4"/>
      <x:c r="F860" s="4"/>
      <x:c r="G860" s="4"/>
      <x:c r="H860" s="4"/>
      <x:c r="I860" s="4"/>
      <x:c r="J860" s="4"/>
      <x:c r="K860" s="4"/>
      <x:c r="L860" s="4"/>
      <x:c r="M860" s="4"/>
      <x:c r="N860" s="4"/>
      <x:c r="O860" s="4"/>
      <x:c r="P860" s="4"/>
      <x:c r="Q860" s="4"/>
    </x:row>
    <x:row r="861" ht="64" customHeight="1">
      <x:c r="A861" s="4" t="str">
        <x:v>design.collection.pilgrim_route_bead_strand.in.1</x:v>
      </x:c>
      <x:c r="B861" s="4" t="str">
        <x:v>design.collection.pilgrim_route_bead_strand</x:v>
      </x:c>
      <x:c r="C861" s="4" t="str">
        <x:v>Ingredient candidate</x:v>
      </x:c>
      <x:c r="D861" s="4" t="str">
        <x:v>proposal.ceramic.bead</x:v>
      </x:c>
      <x:c r="E861" s="4" t="str">
        <x:f>IFERROR(INDEX('Items'!$B$6:$B$1005,MATCH(D861,'Items'!$A$6:$A$1005,0)),"MISSING ID")</x:f>
        <x:v>Ceramic insulating bead</x:v>
      </x:c>
      <x:c r="F861" s="4" t="str">
        <x:f>IFERROR(INDEX('Items'!$C$6:$C$1005,MATCH(D861,'Items'!$A$6:$A$1005,0)),"MISSING ID")</x:f>
        <x:v>T3</x:v>
      </x:c>
      <x:c r="G861" s="4" t="str">
        <x:f>IFERROR(INDEX('Items'!$D$6:$D$1005,MATCH(D861,'Items'!$A$6:$A$1005,0)),"MISSING ID")</x:f>
        <x:v>Crafting components</x:v>
      </x:c>
      <x:c r="H861" s="4" t="str">
        <x:f>IFERROR(INDEX('Items'!$X$6:$X$1005,MATCH(D861,'Items'!$A$6:$A$1005,0)),"MISSING ID")</x:f>
        <x:v>Crafting component</x:v>
      </x:c>
      <x:c r="I861" s="4"/>
      <x:c r="J861" s="4" t="str">
        <x:v>Unspecified</x:v>
      </x:c>
      <x:c r="K861" s="4" t="str">
        <x:f>IFERROR(INDEX('Crafting recipes'!$D$6:$D$1005,MATCH(B861,'Crafting recipes'!$A$6:$A$1005,0)),"MISSING ID")</x:f>
        <x:v>Proposal</x:v>
      </x:c>
      <x:c r="L861" s="4" t="str">
        <x:f>IFERROR(INDEX('Items'!$AD$6:$AD$1005,MATCH(D861,'Items'!$A$6:$A$1005,0)),"MISSING ID")</x:f>
        <x:v>Proposal</x:v>
      </x:c>
      <x:c r="M861" s="4" t="str">
        <x:f>IFERROR(INDEX('Crafting recipes'!$E$6:$E$1005,MATCH(B861,'Crafting recipes'!$A$6:$A$1005,0)),"MISSING ID")</x:f>
        <x:v>Partial proposal</x:v>
      </x:c>
      <x:c r="N861" s="4" t="str">
        <x:v>Candidate source or part only. Quantity, grade and method remain open.</x:v>
      </x:c>
      <x:c r="O861" s="4" t="str">
        <x:v>Collection expansion, October 15, 2026. New game proposal.</x:v>
      </x:c>
      <x:c r="P861" s="4" t="n">
        <x:f>IF(OR(C861="Ingredient candidate",C861="Consumed input",C861="Contained input",C861="Transform input"),IF(F861="T0",0,IF(F861="T1",1,IF(F861="T2",2,IF(F861="T3",3,IF(F861="T4",4,-1))))),-1)</x:f>
        <x:v>3</x:v>
      </x:c>
      <x:c r="Q861" s="4" t="n">
        <x:f>IF(AND(OR(C861="Ingredient candidate",C861="Consumed input",C861="Contained input",C861="Transform input"),P861=-1),1,0)</x:f>
        <x:v>0</x:v>
      </x:c>
    </x:row>
    <x:row r="862" ht="64" customHeight="1">
      <x:c r="A862" s="4" t="str">
        <x:v>design.collection.pilgrim_route_bead_strand.in.2</x:v>
      </x:c>
      <x:c r="B862" s="4" t="str">
        <x:v>design.collection.pilgrim_route_bead_strand</x:v>
      </x:c>
      <x:c r="C862" s="4" t="str">
        <x:v>Ingredient candidate</x:v>
      </x:c>
      <x:c r="D862" s="4" t="str">
        <x:v>proposal.bio.cord</x:v>
      </x:c>
      <x:c r="E862" s="4" t="str">
        <x:f>IFERROR(INDEX('Items'!$B$6:$B$1005,MATCH(D862,'Items'!$A$6:$A$1005,0)),"MISSING ID")</x:f>
        <x:v>Tendon cord</x:v>
      </x:c>
      <x:c r="F862" s="4" t="str">
        <x:f>IFERROR(INDEX('Items'!$C$6:$C$1005,MATCH(D862,'Items'!$A$6:$A$1005,0)),"MISSING ID")</x:f>
        <x:v>T1</x:v>
      </x:c>
      <x:c r="G862" s="4" t="str">
        <x:f>IFERROR(INDEX('Items'!$D$6:$D$1005,MATCH(D862,'Items'!$A$6:$A$1005,0)),"MISSING ID")</x:f>
        <x:v>Crafting components</x:v>
      </x:c>
      <x:c r="H862" s="4" t="str">
        <x:f>IFERROR(INDEX('Items'!$X$6:$X$1005,MATCH(D862,'Items'!$A$6:$A$1005,0)),"MISSING ID")</x:f>
        <x:v>Crafting component</x:v>
      </x:c>
      <x:c r="I862" s="4"/>
      <x:c r="J862" s="4" t="str">
        <x:v>Unspecified</x:v>
      </x:c>
      <x:c r="K862" s="4" t="str">
        <x:f>IFERROR(INDEX('Crafting recipes'!$D$6:$D$1005,MATCH(B862,'Crafting recipes'!$A$6:$A$1005,0)),"MISSING ID")</x:f>
        <x:v>Proposal</x:v>
      </x:c>
      <x:c r="L862" s="4" t="str">
        <x:f>IFERROR(INDEX('Items'!$AD$6:$AD$1005,MATCH(D862,'Items'!$A$6:$A$1005,0)),"MISSING ID")</x:f>
        <x:v>Proposal</x:v>
      </x:c>
      <x:c r="M862" s="4" t="str">
        <x:f>IFERROR(INDEX('Crafting recipes'!$E$6:$E$1005,MATCH(B862,'Crafting recipes'!$A$6:$A$1005,0)),"MISSING ID")</x:f>
        <x:v>Partial proposal</x:v>
      </x:c>
      <x:c r="N862" s="4" t="str">
        <x:v>Candidate source or part only. Quantity, grade and method remain open.</x:v>
      </x:c>
      <x:c r="O862" s="4" t="str">
        <x:v>Collection expansion, October 15, 2026. New game proposal.</x:v>
      </x:c>
      <x:c r="P862" s="4" t="n">
        <x:f>IF(OR(C862="Ingredient candidate",C862="Consumed input",C862="Contained input",C862="Transform input"),IF(F862="T0",0,IF(F862="T1",1,IF(F862="T2",2,IF(F862="T3",3,IF(F862="T4",4,-1))))),-1)</x:f>
        <x:v>1</x:v>
      </x:c>
      <x:c r="Q862" s="4" t="n">
        <x:f>IF(AND(OR(C862="Ingredient candidate",C862="Consumed input",C862="Contained input",C862="Transform input"),P862=-1),1,0)</x:f>
        <x:v>0</x:v>
      </x:c>
    </x:row>
    <x:row r="863" ht="64" customHeight="1">
      <x:c r="A863" s="4" t="str">
        <x:v>design.collection.pilgrim_route_bead_strand.out</x:v>
      </x:c>
      <x:c r="B863" s="4" t="str">
        <x:v>design.collection.pilgrim_route_bead_strand</x:v>
      </x:c>
      <x:c r="C863" s="4" t="str">
        <x:v>Output</x:v>
      </x:c>
      <x:c r="D863" s="4" t="str">
        <x:v>proposal.collection.pilgrim_route_bead_strand</x:v>
      </x:c>
      <x:c r="E863" s="4" t="str">
        <x:f>IFERROR(INDEX('Items'!$B$6:$B$1005,MATCH(D863,'Items'!$A$6:$A$1005,0)),"MISSING ID")</x:f>
        <x:v>Pilgrim route bead strand</x:v>
      </x:c>
      <x:c r="F863" s="4" t="str">
        <x:f>IFERROR(INDEX('Items'!$C$6:$C$1005,MATCH(D863,'Items'!$A$6:$A$1005,0)),"MISSING ID")</x:f>
        <x:v>Not applicable</x:v>
      </x:c>
      <x:c r="G863" s="4" t="str">
        <x:f>IFERROR(INDEX('Items'!$D$6:$D$1005,MATCH(D863,'Items'!$A$6:$A$1005,0)),"MISSING ID")</x:f>
        <x:v>Salvage</x:v>
      </x:c>
      <x:c r="H863" s="4" t="str">
        <x:f>IFERROR(INDEX('Items'!$X$6:$X$1005,MATCH(D863,'Items'!$A$6:$A$1005,0)),"MISSING ID")</x:f>
        <x:v>Cultural object</x:v>
      </x:c>
      <x:c r="I863" s="4"/>
      <x:c r="J863" s="4" t="str">
        <x:v>Unspecified</x:v>
      </x:c>
      <x:c r="K863" s="4" t="str">
        <x:f>IFERROR(INDEX('Crafting recipes'!$D$6:$D$1005,MATCH(B863,'Crafting recipes'!$A$6:$A$1005,0)),"MISSING ID")</x:f>
        <x:v>Proposal</x:v>
      </x:c>
      <x:c r="L863" s="4" t="str">
        <x:f>IFERROR(INDEX('Items'!$AD$6:$AD$1005,MATCH(D863,'Items'!$A$6:$A$1005,0)),"MISSING ID")</x:f>
        <x:v>Proposal</x:v>
      </x:c>
      <x:c r="M863" s="4" t="str">
        <x:f>IFERROR(INDEX('Crafting recipes'!$E$6:$E$1005,MATCH(B863,'Crafting recipes'!$A$6:$A$1005,0)),"MISSING ID")</x:f>
        <x:v>Partial proposal</x:v>
      </x:c>
      <x:c r="N863" s="4" t="str">
        <x:v>Candidate source or part only. Quantity, grade and method remain open.</x:v>
      </x:c>
      <x:c r="O863" s="4" t="str">
        <x:v>Collection expansion, October 15, 2026. New game proposal.</x:v>
      </x:c>
      <x:c r="P863" s="4" t="n">
        <x:f>IF(OR(C863="Ingredient candidate",C863="Consumed input",C863="Contained input",C863="Transform input"),IF(F863="T0",0,IF(F863="T1",1,IF(F863="T2",2,IF(F863="T3",3,IF(F863="T4",4,-1))))),-1)</x:f>
        <x:v>-1</x:v>
      </x:c>
      <x:c r="Q863" s="4" t="n">
        <x:f>IF(AND(OR(C863="Ingredient candidate",C863="Consumed input",C863="Contained input",C863="Transform input"),P863=-1),1,0)</x:f>
        <x:v>0</x:v>
      </x:c>
    </x:row>
    <x:row r="864" ht="64" customHeight="1">
      <x:c r="A864" s="4" t="str">
        <x:v>design.collection.ancestor_shell_silhouette.in.1</x:v>
      </x:c>
      <x:c r="B864" s="4" t="str">
        <x:v>design.collection.ancestor_shell_silhouette</x:v>
      </x:c>
      <x:c r="C864" s="4" t="str">
        <x:v>Ingredient candidate</x:v>
      </x:c>
      <x:c r="D864" s="4" t="str">
        <x:v>proposal.t1.shell_lamina</x:v>
      </x:c>
      <x:c r="E864" s="4" t="str">
        <x:f>IFERROR(INDEX('Items'!$B$6:$B$1005,MATCH(D864,'Items'!$A$6:$A$1005,0)),"MISSING ID")</x:f>
        <x:v>Separated shell lamina stock</x:v>
      </x:c>
      <x:c r="F864" s="4" t="str">
        <x:f>IFERROR(INDEX('Items'!$C$6:$C$1005,MATCH(D864,'Items'!$A$6:$A$1005,0)),"MISSING ID")</x:f>
        <x:v>T1</x:v>
      </x:c>
      <x:c r="G864" s="4" t="str">
        <x:f>IFERROR(INDEX('Items'!$D$6:$D$1005,MATCH(D864,'Items'!$A$6:$A$1005,0)),"MISSING ID")</x:f>
        <x:v>Manufactured stock</x:v>
      </x:c>
      <x:c r="H864" s="4" t="str">
        <x:f>IFERROR(INDEX('Items'!$X$6:$X$1005,MATCH(D864,'Items'!$A$6:$A$1005,0)),"MISSING ID")</x:f>
        <x:v>Processed material</x:v>
      </x:c>
      <x:c r="I864" s="4"/>
      <x:c r="J864" s="4" t="str">
        <x:v>Unspecified</x:v>
      </x:c>
      <x:c r="K864" s="4" t="str">
        <x:f>IFERROR(INDEX('Crafting recipes'!$D$6:$D$1005,MATCH(B864,'Crafting recipes'!$A$6:$A$1005,0)),"MISSING ID")</x:f>
        <x:v>Proposal</x:v>
      </x:c>
      <x:c r="L864" s="4" t="str">
        <x:f>IFERROR(INDEX('Items'!$AD$6:$AD$1005,MATCH(D864,'Items'!$A$6:$A$1005,0)),"MISSING ID")</x:f>
        <x:v>Proposal</x:v>
      </x:c>
      <x:c r="M864" s="4" t="str">
        <x:f>IFERROR(INDEX('Crafting recipes'!$E$6:$E$1005,MATCH(B864,'Crafting recipes'!$A$6:$A$1005,0)),"MISSING ID")</x:f>
        <x:v>Partial proposal</x:v>
      </x:c>
      <x:c r="N864" s="4" t="str">
        <x:v>Candidate source or part only. Quantity, grade and method remain open.</x:v>
      </x:c>
      <x:c r="O864" s="4" t="str">
        <x:v>Collection expansion, October 15, 2026. New game proposal.</x:v>
      </x:c>
      <x:c r="P864" s="4" t="n">
        <x:f>IF(OR(C864="Ingredient candidate",C864="Consumed input",C864="Contained input",C864="Transform input"),IF(F864="T0",0,IF(F864="T1",1,IF(F864="T2",2,IF(F864="T3",3,IF(F864="T4",4,-1))))),-1)</x:f>
        <x:v>1</x:v>
      </x:c>
      <x:c r="Q864" s="4" t="n">
        <x:f>IF(AND(OR(C864="Ingredient candidate",C864="Consumed input",C864="Contained input",C864="Transform input"),P864=-1),1,0)</x:f>
        <x:v>0</x:v>
      </x:c>
    </x:row>
    <x:row r="865" ht="64" customHeight="1">
      <x:c r="A865" s="4" t="str">
        <x:v>design.collection.ancestor_shell_silhouette.out</x:v>
      </x:c>
      <x:c r="B865" s="4" t="str">
        <x:v>design.collection.ancestor_shell_silhouette</x:v>
      </x:c>
      <x:c r="C865" s="4" t="str">
        <x:v>Output</x:v>
      </x:c>
      <x:c r="D865" s="4" t="str">
        <x:v>proposal.collection.ancestor_shell_silhouette</x:v>
      </x:c>
      <x:c r="E865" s="4" t="str">
        <x:f>IFERROR(INDEX('Items'!$B$6:$B$1005,MATCH(D865,'Items'!$A$6:$A$1005,0)),"MISSING ID")</x:f>
        <x:v>Ancestor shell silhouette</x:v>
      </x:c>
      <x:c r="F865" s="4" t="str">
        <x:f>IFERROR(INDEX('Items'!$C$6:$C$1005,MATCH(D865,'Items'!$A$6:$A$1005,0)),"MISSING ID")</x:f>
        <x:v>Not applicable</x:v>
      </x:c>
      <x:c r="G865" s="4" t="str">
        <x:f>IFERROR(INDEX('Items'!$D$6:$D$1005,MATCH(D865,'Items'!$A$6:$A$1005,0)),"MISSING ID")</x:f>
        <x:v>Salvage</x:v>
      </x:c>
      <x:c r="H865" s="4" t="str">
        <x:f>IFERROR(INDEX('Items'!$X$6:$X$1005,MATCH(D865,'Items'!$A$6:$A$1005,0)),"MISSING ID")</x:f>
        <x:v>Cultural object</x:v>
      </x:c>
      <x:c r="I865" s="4"/>
      <x:c r="J865" s="4" t="str">
        <x:v>Unspecified</x:v>
      </x:c>
      <x:c r="K865" s="4" t="str">
        <x:f>IFERROR(INDEX('Crafting recipes'!$D$6:$D$1005,MATCH(B865,'Crafting recipes'!$A$6:$A$1005,0)),"MISSING ID")</x:f>
        <x:v>Proposal</x:v>
      </x:c>
      <x:c r="L865" s="4" t="str">
        <x:f>IFERROR(INDEX('Items'!$AD$6:$AD$1005,MATCH(D865,'Items'!$A$6:$A$1005,0)),"MISSING ID")</x:f>
        <x:v>Proposal</x:v>
      </x:c>
      <x:c r="M865" s="4" t="str">
        <x:f>IFERROR(INDEX('Crafting recipes'!$E$6:$E$1005,MATCH(B865,'Crafting recipes'!$A$6:$A$1005,0)),"MISSING ID")</x:f>
        <x:v>Partial proposal</x:v>
      </x:c>
      <x:c r="N865" s="4" t="str">
        <x:v>Candidate source or part only. Quantity, grade and method remain open.</x:v>
      </x:c>
      <x:c r="O865" s="4" t="str">
        <x:v>Collection expansion, October 15, 2026. New game proposal.</x:v>
      </x:c>
      <x:c r="P865" s="4" t="n">
        <x:f>IF(OR(C865="Ingredient candidate",C865="Consumed input",C865="Contained input",C865="Transform input"),IF(F865="T0",0,IF(F865="T1",1,IF(F865="T2",2,IF(F865="T3",3,IF(F865="T4",4,-1))))),-1)</x:f>
        <x:v>-1</x:v>
      </x:c>
      <x:c r="Q865" s="4" t="n">
        <x:f>IF(AND(OR(C865="Ingredient candidate",C865="Consumed input",C865="Contained input",C865="Transform input"),P865=-1),1,0)</x:f>
        <x:v>0</x:v>
      </x:c>
    </x:row>
    <x:row r="866" ht="64" customHeight="1">
      <x:c r="A866" s="4" t="str">
        <x:v>design.collection.work_crew_oath_clasp.in.1</x:v>
      </x:c>
      <x:c r="B866" s="4" t="str">
        <x:v>design.collection.work_crew_oath_clasp</x:v>
      </x:c>
      <x:c r="C866" s="4" t="str">
        <x:v>Ingredient candidate</x:v>
      </x:c>
      <x:c r="D866" s="4" t="str">
        <x:v>proposal.collection.drawn_bronze_strip_stock</x:v>
      </x:c>
      <x:c r="E866" s="4" t="str">
        <x:f>IFERROR(INDEX('Items'!$B$6:$B$1005,MATCH(D866,'Items'!$A$6:$A$1005,0)),"MISSING ID")</x:f>
        <x:v>Drawn bronze strip stock</x:v>
      </x:c>
      <x:c r="F866" s="4" t="str">
        <x:f>IFERROR(INDEX('Items'!$C$6:$C$1005,MATCH(D866,'Items'!$A$6:$A$1005,0)),"MISSING ID")</x:f>
        <x:v>T2</x:v>
      </x:c>
      <x:c r="G866" s="4" t="str">
        <x:f>IFERROR(INDEX('Items'!$D$6:$D$1005,MATCH(D866,'Items'!$A$6:$A$1005,0)),"MISSING ID")</x:f>
        <x:v>Manufactured stock</x:v>
      </x:c>
      <x:c r="H866" s="4" t="str">
        <x:f>IFERROR(INDEX('Items'!$X$6:$X$1005,MATCH(D866,'Items'!$A$6:$A$1005,0)),"MISSING ID")</x:f>
        <x:v>Processed material</x:v>
      </x:c>
      <x:c r="I866" s="4"/>
      <x:c r="J866" s="4" t="str">
        <x:v>Unspecified</x:v>
      </x:c>
      <x:c r="K866" s="4" t="str">
        <x:f>IFERROR(INDEX('Crafting recipes'!$D$6:$D$1005,MATCH(B866,'Crafting recipes'!$A$6:$A$1005,0)),"MISSING ID")</x:f>
        <x:v>Proposal</x:v>
      </x:c>
      <x:c r="L866" s="4" t="str">
        <x:f>IFERROR(INDEX('Items'!$AD$6:$AD$1005,MATCH(D866,'Items'!$A$6:$A$1005,0)),"MISSING ID")</x:f>
        <x:v>Proposal</x:v>
      </x:c>
      <x:c r="M866" s="4" t="str">
        <x:f>IFERROR(INDEX('Crafting recipes'!$E$6:$E$1005,MATCH(B866,'Crafting recipes'!$A$6:$A$1005,0)),"MISSING ID")</x:f>
        <x:v>Partial proposal</x:v>
      </x:c>
      <x:c r="N866" s="4" t="str">
        <x:v>Candidate source or part only. Quantity, grade and method remain open.</x:v>
      </x:c>
      <x:c r="O866" s="4" t="str">
        <x:v>Collection expansion, October 15, 2026. New game proposal.</x:v>
      </x:c>
      <x:c r="P866" s="4" t="n">
        <x:f>IF(OR(C866="Ingredient candidate",C866="Consumed input",C866="Contained input",C866="Transform input"),IF(F866="T0",0,IF(F866="T1",1,IF(F866="T2",2,IF(F866="T3",3,IF(F866="T4",4,-1))))),-1)</x:f>
        <x:v>2</x:v>
      </x:c>
      <x:c r="Q866" s="4" t="n">
        <x:f>IF(AND(OR(C866="Ingredient candidate",C866="Consumed input",C866="Contained input",C866="Transform input"),P866=-1),1,0)</x:f>
        <x:v>0</x:v>
      </x:c>
    </x:row>
    <x:row r="867" ht="64" customHeight="1">
      <x:c r="A867" s="4" t="str">
        <x:v>design.collection.work_crew_oath_clasp.out</x:v>
      </x:c>
      <x:c r="B867" s="4" t="str">
        <x:v>design.collection.work_crew_oath_clasp</x:v>
      </x:c>
      <x:c r="C867" s="4" t="str">
        <x:v>Output</x:v>
      </x:c>
      <x:c r="D867" s="4" t="str">
        <x:v>proposal.collection.work_crew_oath_clasp</x:v>
      </x:c>
      <x:c r="E867" s="4" t="str">
        <x:f>IFERROR(INDEX('Items'!$B$6:$B$1005,MATCH(D867,'Items'!$A$6:$A$1005,0)),"MISSING ID")</x:f>
        <x:v>Work-crew oath clasp</x:v>
      </x:c>
      <x:c r="F867" s="4" t="str">
        <x:f>IFERROR(INDEX('Items'!$C$6:$C$1005,MATCH(D867,'Items'!$A$6:$A$1005,0)),"MISSING ID")</x:f>
        <x:v>Not applicable</x:v>
      </x:c>
      <x:c r="G867" s="4" t="str">
        <x:f>IFERROR(INDEX('Items'!$D$6:$D$1005,MATCH(D867,'Items'!$A$6:$A$1005,0)),"MISSING ID")</x:f>
        <x:v>Salvage</x:v>
      </x:c>
      <x:c r="H867" s="4" t="str">
        <x:f>IFERROR(INDEX('Items'!$X$6:$X$1005,MATCH(D867,'Items'!$A$6:$A$1005,0)),"MISSING ID")</x:f>
        <x:v>Cultural object</x:v>
      </x:c>
      <x:c r="I867" s="4"/>
      <x:c r="J867" s="4" t="str">
        <x:v>Unspecified</x:v>
      </x:c>
      <x:c r="K867" s="4" t="str">
        <x:f>IFERROR(INDEX('Crafting recipes'!$D$6:$D$1005,MATCH(B867,'Crafting recipes'!$A$6:$A$1005,0)),"MISSING ID")</x:f>
        <x:v>Proposal</x:v>
      </x:c>
      <x:c r="L867" s="4" t="str">
        <x:f>IFERROR(INDEX('Items'!$AD$6:$AD$1005,MATCH(D867,'Items'!$A$6:$A$1005,0)),"MISSING ID")</x:f>
        <x:v>Proposal</x:v>
      </x:c>
      <x:c r="M867" s="4" t="str">
        <x:f>IFERROR(INDEX('Crafting recipes'!$E$6:$E$1005,MATCH(B867,'Crafting recipes'!$A$6:$A$1005,0)),"MISSING ID")</x:f>
        <x:v>Partial proposal</x:v>
      </x:c>
      <x:c r="N867" s="4" t="str">
        <x:v>Candidate source or part only. Quantity, grade and method remain open.</x:v>
      </x:c>
      <x:c r="O867" s="4" t="str">
        <x:v>Collection expansion, October 15, 2026. New game proposal.</x:v>
      </x:c>
      <x:c r="P867" s="4" t="n">
        <x:f>IF(OR(C867="Ingredient candidate",C867="Consumed input",C867="Contained input",C867="Transform input"),IF(F867="T0",0,IF(F867="T1",1,IF(F867="T2",2,IF(F867="T3",3,IF(F867="T4",4,-1))))),-1)</x:f>
        <x:v>-1</x:v>
      </x:c>
      <x:c r="Q867" s="4" t="n">
        <x:f>IF(AND(OR(C867="Ingredient candidate",C867="Consumed input",C867="Contained input",C867="Transform input"),P867=-1),1,0)</x:f>
        <x:v>0</x:v>
      </x:c>
    </x:row>
    <x:row r="868" ht="64" customHeight="1">
      <x:c r="A868" s="4" t="str">
        <x:v>design.collection.ceremonial_magnet_stand.in.1</x:v>
      </x:c>
      <x:c r="B868" s="4" t="str">
        <x:v>design.collection.ceremonial_magnet_stand</x:v>
      </x:c>
      <x:c r="C868" s="4" t="str">
        <x:v>Ingredient candidate</x:v>
      </x:c>
      <x:c r="D868" s="4" t="str">
        <x:v>proposal.gear.magnets</x:v>
      </x:c>
      <x:c r="E868" s="4" t="str">
        <x:f>IFERROR(INDEX('Items'!$B$6:$B$1005,MATCH(D868,'Items'!$A$6:$A$1005,0)),"MISSING ID")</x:f>
        <x:v>Field magnets</x:v>
      </x:c>
      <x:c r="F868" s="4" t="str">
        <x:f>IFERROR(INDEX('Items'!$C$6:$C$1005,MATCH(D868,'Items'!$A$6:$A$1005,0)),"MISSING ID")</x:f>
        <x:v>Not applicable</x:v>
      </x:c>
      <x:c r="G868" s="4" t="str">
        <x:f>IFERROR(INDEX('Items'!$D$6:$D$1005,MATCH(D868,'Items'!$A$6:$A$1005,0)),"MISSING ID")</x:f>
        <x:v>Tools</x:v>
      </x:c>
      <x:c r="H868" s="4" t="str">
        <x:f>IFERROR(INDEX('Items'!$X$6:$X$1005,MATCH(D868,'Items'!$A$6:$A$1005,0)),"MISSING ID")</x:f>
        <x:v>Tool</x:v>
      </x:c>
      <x:c r="I868" s="4"/>
      <x:c r="J868" s="4" t="str">
        <x:v>Unspecified</x:v>
      </x:c>
      <x:c r="K868" s="4" t="str">
        <x:f>IFERROR(INDEX('Crafting recipes'!$D$6:$D$1005,MATCH(B868,'Crafting recipes'!$A$6:$A$1005,0)),"MISSING ID")</x:f>
        <x:v>Proposal</x:v>
      </x:c>
      <x:c r="L868" s="4" t="str">
        <x:f>IFERROR(INDEX('Items'!$AD$6:$AD$1005,MATCH(D868,'Items'!$A$6:$A$1005,0)),"MISSING ID")</x:f>
        <x:v>Author direction</x:v>
      </x:c>
      <x:c r="M868" s="4" t="str">
        <x:f>IFERROR(INDEX('Crafting recipes'!$E$6:$E$1005,MATCH(B868,'Crafting recipes'!$A$6:$A$1005,0)),"MISSING ID")</x:f>
        <x:v>Partial proposal</x:v>
      </x:c>
      <x:c r="N868" s="4" t="str">
        <x:v>Candidate source or part only. Quantity, grade and method remain open.</x:v>
      </x:c>
      <x:c r="O868" s="4" t="str">
        <x:v>Collection expansion, October 15, 2026. New game proposal.</x:v>
      </x:c>
      <x:c r="P868" s="4" t="n">
        <x:f>IF(OR(C868="Ingredient candidate",C868="Consumed input",C868="Contained input",C868="Transform input"),IF(F868="T0",0,IF(F868="T1",1,IF(F868="T2",2,IF(F868="T3",3,IF(F868="T4",4,-1))))),-1)</x:f>
        <x:v>-1</x:v>
      </x:c>
      <x:c r="Q868" s="4" t="n">
        <x:f>IF(AND(OR(C868="Ingredient candidate",C868="Consumed input",C868="Contained input",C868="Transform input"),P868=-1),1,0)</x:f>
        <x:v>1</x:v>
      </x:c>
    </x:row>
    <x:row r="869" ht="64" customHeight="1">
      <x:c r="A869" s="4" t="str">
        <x:v>design.collection.ceremonial_magnet_stand.in.2</x:v>
      </x:c>
      <x:c r="B869" s="4" t="str">
        <x:v>design.collection.ceremonial_magnet_stand</x:v>
      </x:c>
      <x:c r="C869" s="4" t="str">
        <x:v>Ingredient candidate</x:v>
      </x:c>
      <x:c r="D869" s="4" t="str">
        <x:v>proposal.t1.dressed_stone</x:v>
      </x:c>
      <x:c r="E869" s="4" t="str">
        <x:f>IFERROR(INDEX('Items'!$B$6:$B$1005,MATCH(D869,'Items'!$A$6:$A$1005,0)),"MISSING ID")</x:f>
        <x:v>Dressed building-stone stock</x:v>
      </x:c>
      <x:c r="F869" s="4" t="str">
        <x:f>IFERROR(INDEX('Items'!$C$6:$C$1005,MATCH(D869,'Items'!$A$6:$A$1005,0)),"MISSING ID")</x:f>
        <x:v>T1</x:v>
      </x:c>
      <x:c r="G869" s="4" t="str">
        <x:f>IFERROR(INDEX('Items'!$D$6:$D$1005,MATCH(D869,'Items'!$A$6:$A$1005,0)),"MISSING ID")</x:f>
        <x:v>Manufactured stock</x:v>
      </x:c>
      <x:c r="H869" s="4" t="str">
        <x:f>IFERROR(INDEX('Items'!$X$6:$X$1005,MATCH(D869,'Items'!$A$6:$A$1005,0)),"MISSING ID")</x:f>
        <x:v>Processed material</x:v>
      </x:c>
      <x:c r="I869" s="4"/>
      <x:c r="J869" s="4" t="str">
        <x:v>Unspecified</x:v>
      </x:c>
      <x:c r="K869" s="4" t="str">
        <x:f>IFERROR(INDEX('Crafting recipes'!$D$6:$D$1005,MATCH(B869,'Crafting recipes'!$A$6:$A$1005,0)),"MISSING ID")</x:f>
        <x:v>Proposal</x:v>
      </x:c>
      <x:c r="L869" s="4" t="str">
        <x:f>IFERROR(INDEX('Items'!$AD$6:$AD$1005,MATCH(D869,'Items'!$A$6:$A$1005,0)),"MISSING ID")</x:f>
        <x:v>Proposal</x:v>
      </x:c>
      <x:c r="M869" s="4" t="str">
        <x:f>IFERROR(INDEX('Crafting recipes'!$E$6:$E$1005,MATCH(B869,'Crafting recipes'!$A$6:$A$1005,0)),"MISSING ID")</x:f>
        <x:v>Partial proposal</x:v>
      </x:c>
      <x:c r="N869" s="4" t="str">
        <x:v>Candidate source or part only. Quantity, grade and method remain open.</x:v>
      </x:c>
      <x:c r="O869" s="4" t="str">
        <x:v>Collection expansion, October 15, 2026. New game proposal.</x:v>
      </x:c>
      <x:c r="P869" s="4" t="n">
        <x:f>IF(OR(C869="Ingredient candidate",C869="Consumed input",C869="Contained input",C869="Transform input"),IF(F869="T0",0,IF(F869="T1",1,IF(F869="T2",2,IF(F869="T3",3,IF(F869="T4",4,-1))))),-1)</x:f>
        <x:v>1</x:v>
      </x:c>
      <x:c r="Q869" s="4" t="n">
        <x:f>IF(AND(OR(C869="Ingredient candidate",C869="Consumed input",C869="Contained input",C869="Transform input"),P869=-1),1,0)</x:f>
        <x:v>0</x:v>
      </x:c>
    </x:row>
    <x:row r="870" ht="64" customHeight="1">
      <x:c r="A870" s="4" t="str">
        <x:v>design.collection.ceremonial_magnet_stand.out</x:v>
      </x:c>
      <x:c r="B870" s="4" t="str">
        <x:v>design.collection.ceremonial_magnet_stand</x:v>
      </x:c>
      <x:c r="C870" s="4" t="str">
        <x:v>Output</x:v>
      </x:c>
      <x:c r="D870" s="4" t="str">
        <x:v>proposal.collection.ceremonial_magnet_stand</x:v>
      </x:c>
      <x:c r="E870" s="4" t="str">
        <x:f>IFERROR(INDEX('Items'!$B$6:$B$1005,MATCH(D870,'Items'!$A$6:$A$1005,0)),"MISSING ID")</x:f>
        <x:v>Ceremonial magnet stand</x:v>
      </x:c>
      <x:c r="F870" s="4" t="str">
        <x:f>IFERROR(INDEX('Items'!$C$6:$C$1005,MATCH(D870,'Items'!$A$6:$A$1005,0)),"MISSING ID")</x:f>
        <x:v>Not applicable</x:v>
      </x:c>
      <x:c r="G870" s="4" t="str">
        <x:f>IFERROR(INDEX('Items'!$D$6:$D$1005,MATCH(D870,'Items'!$A$6:$A$1005,0)),"MISSING ID")</x:f>
        <x:v>Salvage</x:v>
      </x:c>
      <x:c r="H870" s="4" t="str">
        <x:f>IFERROR(INDEX('Items'!$X$6:$X$1005,MATCH(D870,'Items'!$A$6:$A$1005,0)),"MISSING ID")</x:f>
        <x:v>Cultural object</x:v>
      </x:c>
      <x:c r="I870" s="4"/>
      <x:c r="J870" s="4" t="str">
        <x:v>Unspecified</x:v>
      </x:c>
      <x:c r="K870" s="4" t="str">
        <x:f>IFERROR(INDEX('Crafting recipes'!$D$6:$D$1005,MATCH(B870,'Crafting recipes'!$A$6:$A$1005,0)),"MISSING ID")</x:f>
        <x:v>Proposal</x:v>
      </x:c>
      <x:c r="L870" s="4" t="str">
        <x:f>IFERROR(INDEX('Items'!$AD$6:$AD$1005,MATCH(D870,'Items'!$A$6:$A$1005,0)),"MISSING ID")</x:f>
        <x:v>Proposal</x:v>
      </x:c>
      <x:c r="M870" s="4" t="str">
        <x:f>IFERROR(INDEX('Crafting recipes'!$E$6:$E$1005,MATCH(B870,'Crafting recipes'!$A$6:$A$1005,0)),"MISSING ID")</x:f>
        <x:v>Partial proposal</x:v>
      </x:c>
      <x:c r="N870" s="4" t="str">
        <x:v>Candidate source or part only. Quantity, grade and method remain open.</x:v>
      </x:c>
      <x:c r="O870" s="4" t="str">
        <x:v>Collection expansion, October 15, 2026. New game proposal.</x:v>
      </x:c>
      <x:c r="P870" s="4" t="n">
        <x:f>IF(OR(C870="Ingredient candidate",C870="Consumed input",C870="Contained input",C870="Transform input"),IF(F870="T0",0,IF(F870="T1",1,IF(F870="T2",2,IF(F870="T3",3,IF(F870="T4",4,-1))))),-1)</x:f>
        <x:v>-1</x:v>
      </x:c>
      <x:c r="Q870" s="4" t="n">
        <x:f>IF(AND(OR(C870="Ingredient candidate",C870="Consumed input",C870="Contained input",C870="Transform input"),P870=-1),1,0)</x:f>
        <x:v>0</x:v>
      </x:c>
    </x:row>
    <x:row r="871" ht="64" customHeight="1">
      <x:c r="A871" s="4" t="str">
        <x:v>design.collection.masterwork_presentation_tile.in.1</x:v>
      </x:c>
      <x:c r="B871" s="4" t="str">
        <x:v>design.collection.masterwork_presentation_tile</x:v>
      </x:c>
      <x:c r="C871" s="4" t="str">
        <x:v>Ingredient candidate</x:v>
      </x:c>
      <x:c r="D871" s="4" t="str">
        <x:v>proposal.branch.refractory_ceramic</x:v>
      </x:c>
      <x:c r="E871" s="4" t="str">
        <x:f>IFERROR(INDEX('Items'!$B$6:$B$1005,MATCH(D871,'Items'!$A$6:$A$1005,0)),"MISSING ID")</x:f>
        <x:v>Refractory ceramic stock</x:v>
      </x:c>
      <x:c r="F871" s="4" t="str">
        <x:f>IFERROR(INDEX('Items'!$C$6:$C$1005,MATCH(D871,'Items'!$A$6:$A$1005,0)),"MISSING ID")</x:f>
        <x:v>T2</x:v>
      </x:c>
      <x:c r="G871" s="4" t="str">
        <x:f>IFERROR(INDEX('Items'!$D$6:$D$1005,MATCH(D871,'Items'!$A$6:$A$1005,0)),"MISSING ID")</x:f>
        <x:v>Manufactured stock</x:v>
      </x:c>
      <x:c r="H871" s="4" t="str">
        <x:f>IFERROR(INDEX('Items'!$X$6:$X$1005,MATCH(D871,'Items'!$A$6:$A$1005,0)),"MISSING ID")</x:f>
        <x:v>Processed material</x:v>
      </x:c>
      <x:c r="I871" s="4"/>
      <x:c r="J871" s="4" t="str">
        <x:v>Unspecified</x:v>
      </x:c>
      <x:c r="K871" s="4" t="str">
        <x:f>IFERROR(INDEX('Crafting recipes'!$D$6:$D$1005,MATCH(B871,'Crafting recipes'!$A$6:$A$1005,0)),"MISSING ID")</x:f>
        <x:v>Proposal</x:v>
      </x:c>
      <x:c r="L871" s="4" t="str">
        <x:f>IFERROR(INDEX('Items'!$AD$6:$AD$1005,MATCH(D871,'Items'!$A$6:$A$1005,0)),"MISSING ID")</x:f>
        <x:v>Proposal</x:v>
      </x:c>
      <x:c r="M871" s="4" t="str">
        <x:f>IFERROR(INDEX('Crafting recipes'!$E$6:$E$1005,MATCH(B871,'Crafting recipes'!$A$6:$A$1005,0)),"MISSING ID")</x:f>
        <x:v>Partial proposal</x:v>
      </x:c>
      <x:c r="N871" s="4" t="str">
        <x:v>Candidate source or part only. Quantity, grade and method remain open.</x:v>
      </x:c>
      <x:c r="O871" s="4" t="str">
        <x:v>Collection expansion, October 15, 2026. New game proposal.</x:v>
      </x:c>
      <x:c r="P871" s="4" t="n">
        <x:f>IF(OR(C871="Ingredient candidate",C871="Consumed input",C871="Contained input",C871="Transform input"),IF(F871="T0",0,IF(F871="T1",1,IF(F871="T2",2,IF(F871="T3",3,IF(F871="T4",4,-1))))),-1)</x:f>
        <x:v>2</x:v>
      </x:c>
      <x:c r="Q871" s="4" t="n">
        <x:f>IF(AND(OR(C871="Ingredient candidate",C871="Consumed input",C871="Contained input",C871="Transform input"),P871=-1),1,0)</x:f>
        <x:v>0</x:v>
      </x:c>
    </x:row>
    <x:row r="872" ht="64" customHeight="1">
      <x:c r="A872" s="4" t="str">
        <x:v>design.collection.masterwork_presentation_tile.in.2</x:v>
      </x:c>
      <x:c r="B872" s="4" t="str">
        <x:v>design.collection.masterwork_presentation_tile</x:v>
      </x:c>
      <x:c r="C872" s="4" t="str">
        <x:v>Ingredient candidate</x:v>
      </x:c>
      <x:c r="D872" s="4" t="str">
        <x:v>proposal.t1.pigment_powder</x:v>
      </x:c>
      <x:c r="E872" s="4" t="str">
        <x:f>IFERROR(INDEX('Items'!$B$6:$B$1005,MATCH(D872,'Items'!$A$6:$A$1005,0)),"MISSING ID")</x:f>
        <x:v>Prepared mineral pigment powder</x:v>
      </x:c>
      <x:c r="F872" s="4" t="str">
        <x:f>IFERROR(INDEX('Items'!$C$6:$C$1005,MATCH(D872,'Items'!$A$6:$A$1005,0)),"MISSING ID")</x:f>
        <x:v>T1</x:v>
      </x:c>
      <x:c r="G872" s="4" t="str">
        <x:f>IFERROR(INDEX('Items'!$D$6:$D$1005,MATCH(D872,'Items'!$A$6:$A$1005,0)),"MISSING ID")</x:f>
        <x:v>Manufactured stock</x:v>
      </x:c>
      <x:c r="H872" s="4" t="str">
        <x:f>IFERROR(INDEX('Items'!$X$6:$X$1005,MATCH(D872,'Items'!$A$6:$A$1005,0)),"MISSING ID")</x:f>
        <x:v>Processed material</x:v>
      </x:c>
      <x:c r="I872" s="4"/>
      <x:c r="J872" s="4" t="str">
        <x:v>Unspecified</x:v>
      </x:c>
      <x:c r="K872" s="4" t="str">
        <x:f>IFERROR(INDEX('Crafting recipes'!$D$6:$D$1005,MATCH(B872,'Crafting recipes'!$A$6:$A$1005,0)),"MISSING ID")</x:f>
        <x:v>Proposal</x:v>
      </x:c>
      <x:c r="L872" s="4" t="str">
        <x:f>IFERROR(INDEX('Items'!$AD$6:$AD$1005,MATCH(D872,'Items'!$A$6:$A$1005,0)),"MISSING ID")</x:f>
        <x:v>Proposal</x:v>
      </x:c>
      <x:c r="M872" s="4" t="str">
        <x:f>IFERROR(INDEX('Crafting recipes'!$E$6:$E$1005,MATCH(B872,'Crafting recipes'!$A$6:$A$1005,0)),"MISSING ID")</x:f>
        <x:v>Partial proposal</x:v>
      </x:c>
      <x:c r="N872" s="4" t="str">
        <x:v>Candidate source or part only. Quantity, grade and method remain open.</x:v>
      </x:c>
      <x:c r="O872" s="4" t="str">
        <x:v>Collection expansion, October 15, 2026. New game proposal.</x:v>
      </x:c>
      <x:c r="P872" s="4" t="n">
        <x:f>IF(OR(C872="Ingredient candidate",C872="Consumed input",C872="Contained input",C872="Transform input"),IF(F872="T0",0,IF(F872="T1",1,IF(F872="T2",2,IF(F872="T3",3,IF(F872="T4",4,-1))))),-1)</x:f>
        <x:v>1</x:v>
      </x:c>
      <x:c r="Q872" s="4" t="n">
        <x:f>IF(AND(OR(C872="Ingredient candidate",C872="Consumed input",C872="Contained input",C872="Transform input"),P872=-1),1,0)</x:f>
        <x:v>0</x:v>
      </x:c>
    </x:row>
    <x:row r="873" ht="64" customHeight="1">
      <x:c r="A873" s="4" t="str">
        <x:v>design.collection.masterwork_presentation_tile.out</x:v>
      </x:c>
      <x:c r="B873" s="4" t="str">
        <x:v>design.collection.masterwork_presentation_tile</x:v>
      </x:c>
      <x:c r="C873" s="4" t="str">
        <x:v>Output</x:v>
      </x:c>
      <x:c r="D873" s="4" t="str">
        <x:v>proposal.collection.masterwork_presentation_tile</x:v>
      </x:c>
      <x:c r="E873" s="4" t="str">
        <x:f>IFERROR(INDEX('Items'!$B$6:$B$1005,MATCH(D873,'Items'!$A$6:$A$1005,0)),"MISSING ID")</x:f>
        <x:v>Masterwork presentation tile</x:v>
      </x:c>
      <x:c r="F873" s="4" t="str">
        <x:f>IFERROR(INDEX('Items'!$C$6:$C$1005,MATCH(D873,'Items'!$A$6:$A$1005,0)),"MISSING ID")</x:f>
        <x:v>Not applicable</x:v>
      </x:c>
      <x:c r="G873" s="4" t="str">
        <x:f>IFERROR(INDEX('Items'!$D$6:$D$1005,MATCH(D873,'Items'!$A$6:$A$1005,0)),"MISSING ID")</x:f>
        <x:v>Salvage</x:v>
      </x:c>
      <x:c r="H873" s="4" t="str">
        <x:f>IFERROR(INDEX('Items'!$X$6:$X$1005,MATCH(D873,'Items'!$A$6:$A$1005,0)),"MISSING ID")</x:f>
        <x:v>Cultural object</x:v>
      </x:c>
      <x:c r="I873" s="4"/>
      <x:c r="J873" s="4" t="str">
        <x:v>Unspecified</x:v>
      </x:c>
      <x:c r="K873" s="4" t="str">
        <x:f>IFERROR(INDEX('Crafting recipes'!$D$6:$D$1005,MATCH(B873,'Crafting recipes'!$A$6:$A$1005,0)),"MISSING ID")</x:f>
        <x:v>Proposal</x:v>
      </x:c>
      <x:c r="L873" s="4" t="str">
        <x:f>IFERROR(INDEX('Items'!$AD$6:$AD$1005,MATCH(D873,'Items'!$A$6:$A$1005,0)),"MISSING ID")</x:f>
        <x:v>Proposal</x:v>
      </x:c>
      <x:c r="M873" s="4" t="str">
        <x:f>IFERROR(INDEX('Crafting recipes'!$E$6:$E$1005,MATCH(B873,'Crafting recipes'!$A$6:$A$1005,0)),"MISSING ID")</x:f>
        <x:v>Partial proposal</x:v>
      </x:c>
      <x:c r="N873" s="4" t="str">
        <x:v>Candidate source or part only. Quantity, grade and method remain open.</x:v>
      </x:c>
      <x:c r="O873" s="4" t="str">
        <x:v>Collection expansion, October 15, 2026. New game proposal.</x:v>
      </x:c>
      <x:c r="P873" s="4" t="n">
        <x:f>IF(OR(C873="Ingredient candidate",C873="Consumed input",C873="Contained input",C873="Transform input"),IF(F873="T0",0,IF(F873="T1",1,IF(F873="T2",2,IF(F873="T3",3,IF(F873="T4",4,-1))))),-1)</x:f>
        <x:v>-1</x:v>
      </x:c>
      <x:c r="Q873" s="4" t="n">
        <x:f>IF(AND(OR(C873="Ingredient candidate",C873="Consumed input",C873="Contained input",C873="Transform input"),P873=-1),1,0)</x:f>
        <x:v>0</x:v>
      </x:c>
    </x:row>
    <x:row r="874" ht="64" customHeight="1">
      <x:c r="A874" s="4" t="str">
        <x:v>design.collection.long_handled_meal_ladle.in.1</x:v>
      </x:c>
      <x:c r="B874" s="4" t="str">
        <x:v>design.collection.long_handled_meal_ladle</x:v>
      </x:c>
      <x:c r="C874" s="4" t="str">
        <x:v>Ingredient candidate</x:v>
      </x:c>
      <x:c r="D874" s="4" t="str">
        <x:v>proposal.collection.annealed_iron_sheet_stock</x:v>
      </x:c>
      <x:c r="E874" s="4" t="str">
        <x:f>IFERROR(INDEX('Items'!$B$6:$B$1005,MATCH(D874,'Items'!$A$6:$A$1005,0)),"MISSING ID")</x:f>
        <x:v>Annealed iron sheet stock</x:v>
      </x:c>
      <x:c r="F874" s="4" t="str">
        <x:f>IFERROR(INDEX('Items'!$C$6:$C$1005,MATCH(D874,'Items'!$A$6:$A$1005,0)),"MISSING ID")</x:f>
        <x:v>T3</x:v>
      </x:c>
      <x:c r="G874" s="4" t="str">
        <x:f>IFERROR(INDEX('Items'!$D$6:$D$1005,MATCH(D874,'Items'!$A$6:$A$1005,0)),"MISSING ID")</x:f>
        <x:v>Manufactured stock</x:v>
      </x:c>
      <x:c r="H874" s="4" t="str">
        <x:f>IFERROR(INDEX('Items'!$X$6:$X$1005,MATCH(D874,'Items'!$A$6:$A$1005,0)),"MISSING ID")</x:f>
        <x:v>Processed material</x:v>
      </x:c>
      <x:c r="I874" s="4"/>
      <x:c r="J874" s="4" t="str">
        <x:v>Unspecified</x:v>
      </x:c>
      <x:c r="K874" s="4" t="str">
        <x:f>IFERROR(INDEX('Crafting recipes'!$D$6:$D$1005,MATCH(B874,'Crafting recipes'!$A$6:$A$1005,0)),"MISSING ID")</x:f>
        <x:v>Proposal</x:v>
      </x:c>
      <x:c r="L874" s="4" t="str">
        <x:f>IFERROR(INDEX('Items'!$AD$6:$AD$1005,MATCH(D874,'Items'!$A$6:$A$1005,0)),"MISSING ID")</x:f>
        <x:v>Proposal</x:v>
      </x:c>
      <x:c r="M874" s="4" t="str">
        <x:f>IFERROR(INDEX('Crafting recipes'!$E$6:$E$1005,MATCH(B874,'Crafting recipes'!$A$6:$A$1005,0)),"MISSING ID")</x:f>
        <x:v>Partial proposal</x:v>
      </x:c>
      <x:c r="N874" s="4" t="str">
        <x:v>Candidate source or part only. Quantity, grade and method remain open.</x:v>
      </x:c>
      <x:c r="O874" s="4" t="str">
        <x:v>Collection expansion, October 15, 2026. New game proposal.</x:v>
      </x:c>
      <x:c r="P874" s="4" t="n">
        <x:f>IF(OR(C874="Ingredient candidate",C874="Consumed input",C874="Contained input",C874="Transform input"),IF(F874="T0",0,IF(F874="T1",1,IF(F874="T2",2,IF(F874="T3",3,IF(F874="T4",4,-1))))),-1)</x:f>
        <x:v>3</x:v>
      </x:c>
      <x:c r="Q874" s="4" t="n">
        <x:f>IF(AND(OR(C874="Ingredient candidate",C874="Consumed input",C874="Contained input",C874="Transform input"),P874=-1),1,0)</x:f>
        <x:v>0</x:v>
      </x:c>
    </x:row>
    <x:row r="875" ht="64" customHeight="1">
      <x:c r="A875" s="4" t="str">
        <x:v>design.collection.long_handled_meal_ladle.in.2</x:v>
      </x:c>
      <x:c r="B875" s="4" t="str">
        <x:v>design.collection.long_handled_meal_ladle</x:v>
      </x:c>
      <x:c r="C875" s="4" t="str">
        <x:v>Ingredient candidate</x:v>
      </x:c>
      <x:c r="D875" s="4" t="str">
        <x:v>proposal.natural.iron_stock</x:v>
      </x:c>
      <x:c r="E875" s="4" t="str">
        <x:f>IFERROR(INDEX('Items'!$B$6:$B$1005,MATCH(D875,'Items'!$A$6:$A$1005,0)),"MISSING ID")</x:f>
        <x:v>Worked iron stock</x:v>
      </x:c>
      <x:c r="F875" s="4" t="str">
        <x:f>IFERROR(INDEX('Items'!$C$6:$C$1005,MATCH(D875,'Items'!$A$6:$A$1005,0)),"MISSING ID")</x:f>
        <x:v>T2</x:v>
      </x:c>
      <x:c r="G875" s="4" t="str">
        <x:f>IFERROR(INDEX('Items'!$D$6:$D$1005,MATCH(D875,'Items'!$A$6:$A$1005,0)),"MISSING ID")</x:f>
        <x:v>Manufactured stock</x:v>
      </x:c>
      <x:c r="H875" s="4" t="str">
        <x:f>IFERROR(INDEX('Items'!$X$6:$X$1005,MATCH(D875,'Items'!$A$6:$A$1005,0)),"MISSING ID")</x:f>
        <x:v>Processed material</x:v>
      </x:c>
      <x:c r="I875" s="4"/>
      <x:c r="J875" s="4" t="str">
        <x:v>Unspecified</x:v>
      </x:c>
      <x:c r="K875" s="4" t="str">
        <x:f>IFERROR(INDEX('Crafting recipes'!$D$6:$D$1005,MATCH(B875,'Crafting recipes'!$A$6:$A$1005,0)),"MISSING ID")</x:f>
        <x:v>Proposal</x:v>
      </x:c>
      <x:c r="L875" s="4" t="str">
        <x:f>IFERROR(INDEX('Items'!$AD$6:$AD$1005,MATCH(D875,'Items'!$A$6:$A$1005,0)),"MISSING ID")</x:f>
        <x:v>Proposal</x:v>
      </x:c>
      <x:c r="M875" s="4" t="str">
        <x:f>IFERROR(INDEX('Crafting recipes'!$E$6:$E$1005,MATCH(B875,'Crafting recipes'!$A$6:$A$1005,0)),"MISSING ID")</x:f>
        <x:v>Partial proposal</x:v>
      </x:c>
      <x:c r="N875" s="4" t="str">
        <x:v>Candidate source or part only. Quantity, grade and method remain open.</x:v>
      </x:c>
      <x:c r="O875" s="4" t="str">
        <x:v>Collection expansion, October 15, 2026. New game proposal.</x:v>
      </x:c>
      <x:c r="P875" s="4" t="n">
        <x:f>IF(OR(C875="Ingredient candidate",C875="Consumed input",C875="Contained input",C875="Transform input"),IF(F875="T0",0,IF(F875="T1",1,IF(F875="T2",2,IF(F875="T3",3,IF(F875="T4",4,-1))))),-1)</x:f>
        <x:v>2</x:v>
      </x:c>
      <x:c r="Q875" s="4" t="n">
        <x:f>IF(AND(OR(C875="Ingredient candidate",C875="Consumed input",C875="Contained input",C875="Transform input"),P875=-1),1,0)</x:f>
        <x:v>0</x:v>
      </x:c>
    </x:row>
    <x:row r="876" ht="64" customHeight="1">
      <x:c r="A876" s="4" t="str">
        <x:v>design.collection.long_handled_meal_ladle.out</x:v>
      </x:c>
      <x:c r="B876" s="4" t="str">
        <x:v>design.collection.long_handled_meal_ladle</x:v>
      </x:c>
      <x:c r="C876" s="4" t="str">
        <x:v>Output</x:v>
      </x:c>
      <x:c r="D876" s="4" t="str">
        <x:v>proposal.collection.long_handled_meal_ladle</x:v>
      </x:c>
      <x:c r="E876" s="4" t="str">
        <x:f>IFERROR(INDEX('Items'!$B$6:$B$1005,MATCH(D876,'Items'!$A$6:$A$1005,0)),"MISSING ID")</x:f>
        <x:v>Long-handled meal ladle</x:v>
      </x:c>
      <x:c r="F876" s="4" t="str">
        <x:f>IFERROR(INDEX('Items'!$C$6:$C$1005,MATCH(D876,'Items'!$A$6:$A$1005,0)),"MISSING ID")</x:f>
        <x:v>Not applicable</x:v>
      </x:c>
      <x:c r="G876" s="4" t="str">
        <x:f>IFERROR(INDEX('Items'!$D$6:$D$1005,MATCH(D876,'Items'!$A$6:$A$1005,0)),"MISSING ID")</x:f>
        <x:v>Salvage</x:v>
      </x:c>
      <x:c r="H876" s="4" t="str">
        <x:f>IFERROR(INDEX('Items'!$X$6:$X$1005,MATCH(D876,'Items'!$A$6:$A$1005,0)),"MISSING ID")</x:f>
        <x:v>Household utensil</x:v>
      </x:c>
      <x:c r="I876" s="4"/>
      <x:c r="J876" s="4" t="str">
        <x:v>Unspecified</x:v>
      </x:c>
      <x:c r="K876" s="4" t="str">
        <x:f>IFERROR(INDEX('Crafting recipes'!$D$6:$D$1005,MATCH(B876,'Crafting recipes'!$A$6:$A$1005,0)),"MISSING ID")</x:f>
        <x:v>Proposal</x:v>
      </x:c>
      <x:c r="L876" s="4" t="str">
        <x:f>IFERROR(INDEX('Items'!$AD$6:$AD$1005,MATCH(D876,'Items'!$A$6:$A$1005,0)),"MISSING ID")</x:f>
        <x:v>Proposal</x:v>
      </x:c>
      <x:c r="M876" s="4" t="str">
        <x:f>IFERROR(INDEX('Crafting recipes'!$E$6:$E$1005,MATCH(B876,'Crafting recipes'!$A$6:$A$1005,0)),"MISSING ID")</x:f>
        <x:v>Partial proposal</x:v>
      </x:c>
      <x:c r="N876" s="4" t="str">
        <x:v>Candidate source or part only. Quantity, grade and method remain open.</x:v>
      </x:c>
      <x:c r="O876" s="4" t="str">
        <x:v>Collection expansion, October 15, 2026. New game proposal.</x:v>
      </x:c>
      <x:c r="P876" s="4" t="n">
        <x:f>IF(OR(C876="Ingredient candidate",C876="Consumed input",C876="Contained input",C876="Transform input"),IF(F876="T0",0,IF(F876="T1",1,IF(F876="T2",2,IF(F876="T3",3,IF(F876="T4",4,-1))))),-1)</x:f>
        <x:v>-1</x:v>
      </x:c>
      <x:c r="Q876" s="4" t="n">
        <x:f>IF(AND(OR(C876="Ingredient candidate",C876="Consumed input",C876="Contained input",C876="Transform input"),P876=-1),1,0)</x:f>
        <x:v>0</x:v>
      </x:c>
    </x:row>
    <x:row r="877" ht="64" customHeight="1">
      <x:c r="A877" s="4" t="str">
        <x:v>design.collection.ceramic_portion_scoop.in.1</x:v>
      </x:c>
      <x:c r="B877" s="4" t="str">
        <x:v>design.collection.ceramic_portion_scoop</x:v>
      </x:c>
      <x:c r="C877" s="4" t="str">
        <x:v>Ingredient candidate</x:v>
      </x:c>
      <x:c r="D877" s="4" t="str">
        <x:v>proposal.ceramic.body_feed</x:v>
      </x:c>
      <x:c r="E877" s="4" t="str">
        <x:f>IFERROR(INDEX('Items'!$B$6:$B$1005,MATCH(D877,'Items'!$A$6:$A$1005,0)),"MISSING ID")</x:f>
        <x:v>Prepared ceramic body feed</x:v>
      </x:c>
      <x:c r="F877" s="4" t="str">
        <x:f>IFERROR(INDEX('Items'!$C$6:$C$1005,MATCH(D877,'Items'!$A$6:$A$1005,0)),"MISSING ID")</x:f>
        <x:v>T1</x:v>
      </x:c>
      <x:c r="G877" s="4" t="str">
        <x:f>IFERROR(INDEX('Items'!$D$6:$D$1005,MATCH(D877,'Items'!$A$6:$A$1005,0)),"MISSING ID")</x:f>
        <x:v>Manufactured stock</x:v>
      </x:c>
      <x:c r="H877" s="4" t="str">
        <x:f>IFERROR(INDEX('Items'!$X$6:$X$1005,MATCH(D877,'Items'!$A$6:$A$1005,0)),"MISSING ID")</x:f>
        <x:v>Processed material</x:v>
      </x:c>
      <x:c r="I877" s="4"/>
      <x:c r="J877" s="4" t="str">
        <x:v>Unspecified</x:v>
      </x:c>
      <x:c r="K877" s="4" t="str">
        <x:f>IFERROR(INDEX('Crafting recipes'!$D$6:$D$1005,MATCH(B877,'Crafting recipes'!$A$6:$A$1005,0)),"MISSING ID")</x:f>
        <x:v>Proposal</x:v>
      </x:c>
      <x:c r="L877" s="4" t="str">
        <x:f>IFERROR(INDEX('Items'!$AD$6:$AD$1005,MATCH(D877,'Items'!$A$6:$A$1005,0)),"MISSING ID")</x:f>
        <x:v>Proposal</x:v>
      </x:c>
      <x:c r="M877" s="4" t="str">
        <x:f>IFERROR(INDEX('Crafting recipes'!$E$6:$E$1005,MATCH(B877,'Crafting recipes'!$A$6:$A$1005,0)),"MISSING ID")</x:f>
        <x:v>Partial proposal</x:v>
      </x:c>
      <x:c r="N877" s="4" t="str">
        <x:v>Candidate source or part only. Quantity, grade and method remain open.</x:v>
      </x:c>
      <x:c r="O877" s="4" t="str">
        <x:v>Collection expansion, October 15, 2026. New game proposal.</x:v>
      </x:c>
      <x:c r="P877" s="4" t="n">
        <x:f>IF(OR(C877="Ingredient candidate",C877="Consumed input",C877="Contained input",C877="Transform input"),IF(F877="T0",0,IF(F877="T1",1,IF(F877="T2",2,IF(F877="T3",3,IF(F877="T4",4,-1))))),-1)</x:f>
        <x:v>1</x:v>
      </x:c>
      <x:c r="Q877" s="4" t="n">
        <x:f>IF(AND(OR(C877="Ingredient candidate",C877="Consumed input",C877="Contained input",C877="Transform input"),P877=-1),1,0)</x:f>
        <x:v>0</x:v>
      </x:c>
    </x:row>
    <x:row r="878" ht="64" customHeight="1">
      <x:c r="A878" s="4" t="str">
        <x:v>design.collection.ceramic_portion_scoop.out</x:v>
      </x:c>
      <x:c r="B878" s="4" t="str">
        <x:v>design.collection.ceramic_portion_scoop</x:v>
      </x:c>
      <x:c r="C878" s="4" t="str">
        <x:v>Output</x:v>
      </x:c>
      <x:c r="D878" s="4" t="str">
        <x:v>proposal.collection.ceramic_portion_scoop</x:v>
      </x:c>
      <x:c r="E878" s="4" t="str">
        <x:f>IFERROR(INDEX('Items'!$B$6:$B$1005,MATCH(D878,'Items'!$A$6:$A$1005,0)),"MISSING ID")</x:f>
        <x:v>Ceramic portion scoop</x:v>
      </x:c>
      <x:c r="F878" s="4" t="str">
        <x:f>IFERROR(INDEX('Items'!$C$6:$C$1005,MATCH(D878,'Items'!$A$6:$A$1005,0)),"MISSING ID")</x:f>
        <x:v>Not applicable</x:v>
      </x:c>
      <x:c r="G878" s="4" t="str">
        <x:f>IFERROR(INDEX('Items'!$D$6:$D$1005,MATCH(D878,'Items'!$A$6:$A$1005,0)),"MISSING ID")</x:f>
        <x:v>Salvage</x:v>
      </x:c>
      <x:c r="H878" s="4" t="str">
        <x:f>IFERROR(INDEX('Items'!$X$6:$X$1005,MATCH(D878,'Items'!$A$6:$A$1005,0)),"MISSING ID")</x:f>
        <x:v>Household utensil</x:v>
      </x:c>
      <x:c r="I878" s="4"/>
      <x:c r="J878" s="4" t="str">
        <x:v>Unspecified</x:v>
      </x:c>
      <x:c r="K878" s="4" t="str">
        <x:f>IFERROR(INDEX('Crafting recipes'!$D$6:$D$1005,MATCH(B878,'Crafting recipes'!$A$6:$A$1005,0)),"MISSING ID")</x:f>
        <x:v>Proposal</x:v>
      </x:c>
      <x:c r="L878" s="4" t="str">
        <x:f>IFERROR(INDEX('Items'!$AD$6:$AD$1005,MATCH(D878,'Items'!$A$6:$A$1005,0)),"MISSING ID")</x:f>
        <x:v>Proposal</x:v>
      </x:c>
      <x:c r="M878" s="4" t="str">
        <x:f>IFERROR(INDEX('Crafting recipes'!$E$6:$E$1005,MATCH(B878,'Crafting recipes'!$A$6:$A$1005,0)),"MISSING ID")</x:f>
        <x:v>Partial proposal</x:v>
      </x:c>
      <x:c r="N878" s="4" t="str">
        <x:v>Candidate source or part only. Quantity, grade and method remain open.</x:v>
      </x:c>
      <x:c r="O878" s="4" t="str">
        <x:v>Collection expansion, October 15, 2026. New game proposal.</x:v>
      </x:c>
      <x:c r="P878" s="4" t="n">
        <x:f>IF(OR(C878="Ingredient candidate",C878="Consumed input",C878="Contained input",C878="Transform input"),IF(F878="T0",0,IF(F878="T1",1,IF(F878="T2",2,IF(F878="T3",3,IF(F878="T4",4,-1))))),-1)</x:f>
        <x:v>-1</x:v>
      </x:c>
      <x:c r="Q878" s="4" t="n">
        <x:f>IF(AND(OR(C878="Ingredient candidate",C878="Consumed input",C878="Contained input",C878="Transform input"),P878=-1),1,0)</x:f>
        <x:v>0</x:v>
      </x:c>
    </x:row>
    <x:row r="879" ht="64" customHeight="1">
      <x:c r="A879" s="4" t="str">
        <x:v>design.collection.shell_serving_tray.in.1</x:v>
      </x:c>
      <x:c r="B879" s="4" t="str">
        <x:v>design.collection.shell_serving_tray</x:v>
      </x:c>
      <x:c r="C879" s="4" t="str">
        <x:v>Ingredient candidate</x:v>
      </x:c>
      <x:c r="D879" s="4" t="str">
        <x:v>proposal.t1.shell_lamina</x:v>
      </x:c>
      <x:c r="E879" s="4" t="str">
        <x:f>IFERROR(INDEX('Items'!$B$6:$B$1005,MATCH(D879,'Items'!$A$6:$A$1005,0)),"MISSING ID")</x:f>
        <x:v>Separated shell lamina stock</x:v>
      </x:c>
      <x:c r="F879" s="4" t="str">
        <x:f>IFERROR(INDEX('Items'!$C$6:$C$1005,MATCH(D879,'Items'!$A$6:$A$1005,0)),"MISSING ID")</x:f>
        <x:v>T1</x:v>
      </x:c>
      <x:c r="G879" s="4" t="str">
        <x:f>IFERROR(INDEX('Items'!$D$6:$D$1005,MATCH(D879,'Items'!$A$6:$A$1005,0)),"MISSING ID")</x:f>
        <x:v>Manufactured stock</x:v>
      </x:c>
      <x:c r="H879" s="4" t="str">
        <x:f>IFERROR(INDEX('Items'!$X$6:$X$1005,MATCH(D879,'Items'!$A$6:$A$1005,0)),"MISSING ID")</x:f>
        <x:v>Processed material</x:v>
      </x:c>
      <x:c r="I879" s="4"/>
      <x:c r="J879" s="4" t="str">
        <x:v>Unspecified</x:v>
      </x:c>
      <x:c r="K879" s="4" t="str">
        <x:f>IFERROR(INDEX('Crafting recipes'!$D$6:$D$1005,MATCH(B879,'Crafting recipes'!$A$6:$A$1005,0)),"MISSING ID")</x:f>
        <x:v>Proposal</x:v>
      </x:c>
      <x:c r="L879" s="4" t="str">
        <x:f>IFERROR(INDEX('Items'!$AD$6:$AD$1005,MATCH(D879,'Items'!$A$6:$A$1005,0)),"MISSING ID")</x:f>
        <x:v>Proposal</x:v>
      </x:c>
      <x:c r="M879" s="4" t="str">
        <x:f>IFERROR(INDEX('Crafting recipes'!$E$6:$E$1005,MATCH(B879,'Crafting recipes'!$A$6:$A$1005,0)),"MISSING ID")</x:f>
        <x:v>Partial proposal</x:v>
      </x:c>
      <x:c r="N879" s="4" t="str">
        <x:v>Candidate source or part only. Quantity, grade and method remain open.</x:v>
      </x:c>
      <x:c r="O879" s="4" t="str">
        <x:v>Collection expansion, October 15, 2026. New game proposal.</x:v>
      </x:c>
      <x:c r="P879" s="4" t="n">
        <x:f>IF(OR(C879="Ingredient candidate",C879="Consumed input",C879="Contained input",C879="Transform input"),IF(F879="T0",0,IF(F879="T1",1,IF(F879="T2",2,IF(F879="T3",3,IF(F879="T4",4,-1))))),-1)</x:f>
        <x:v>1</x:v>
      </x:c>
      <x:c r="Q879" s="4" t="n">
        <x:f>IF(AND(OR(C879="Ingredient candidate",C879="Consumed input",C879="Contained input",C879="Transform input"),P879=-1),1,0)</x:f>
        <x:v>0</x:v>
      </x:c>
    </x:row>
    <x:row r="880" ht="64" customHeight="1">
      <x:c r="A880" s="4" t="str">
        <x:v>design.collection.shell_serving_tray.in.2</x:v>
      </x:c>
      <x:c r="B880" s="4" t="str">
        <x:v>design.collection.shell_serving_tray</x:v>
      </x:c>
      <x:c r="C880" s="4" t="str">
        <x:v>Ingredient candidate</x:v>
      </x:c>
      <x:c r="D880" s="4" t="str">
        <x:v>proposal.natural.iron_stock</x:v>
      </x:c>
      <x:c r="E880" s="4" t="str">
        <x:f>IFERROR(INDEX('Items'!$B$6:$B$1005,MATCH(D880,'Items'!$A$6:$A$1005,0)),"MISSING ID")</x:f>
        <x:v>Worked iron stock</x:v>
      </x:c>
      <x:c r="F880" s="4" t="str">
        <x:f>IFERROR(INDEX('Items'!$C$6:$C$1005,MATCH(D880,'Items'!$A$6:$A$1005,0)),"MISSING ID")</x:f>
        <x:v>T2</x:v>
      </x:c>
      <x:c r="G880" s="4" t="str">
        <x:f>IFERROR(INDEX('Items'!$D$6:$D$1005,MATCH(D880,'Items'!$A$6:$A$1005,0)),"MISSING ID")</x:f>
        <x:v>Manufactured stock</x:v>
      </x:c>
      <x:c r="H880" s="4" t="str">
        <x:f>IFERROR(INDEX('Items'!$X$6:$X$1005,MATCH(D880,'Items'!$A$6:$A$1005,0)),"MISSING ID")</x:f>
        <x:v>Processed material</x:v>
      </x:c>
      <x:c r="I880" s="4"/>
      <x:c r="J880" s="4" t="str">
        <x:v>Unspecified</x:v>
      </x:c>
      <x:c r="K880" s="4" t="str">
        <x:f>IFERROR(INDEX('Crafting recipes'!$D$6:$D$1005,MATCH(B880,'Crafting recipes'!$A$6:$A$1005,0)),"MISSING ID")</x:f>
        <x:v>Proposal</x:v>
      </x:c>
      <x:c r="L880" s="4" t="str">
        <x:f>IFERROR(INDEX('Items'!$AD$6:$AD$1005,MATCH(D880,'Items'!$A$6:$A$1005,0)),"MISSING ID")</x:f>
        <x:v>Proposal</x:v>
      </x:c>
      <x:c r="M880" s="4" t="str">
        <x:f>IFERROR(INDEX('Crafting recipes'!$E$6:$E$1005,MATCH(B880,'Crafting recipes'!$A$6:$A$1005,0)),"MISSING ID")</x:f>
        <x:v>Partial proposal</x:v>
      </x:c>
      <x:c r="N880" s="4" t="str">
        <x:v>Candidate source or part only. Quantity, grade and method remain open.</x:v>
      </x:c>
      <x:c r="O880" s="4" t="str">
        <x:v>Collection expansion, October 15, 2026. New game proposal.</x:v>
      </x:c>
      <x:c r="P880" s="4" t="n">
        <x:f>IF(OR(C880="Ingredient candidate",C880="Consumed input",C880="Contained input",C880="Transform input"),IF(F880="T0",0,IF(F880="T1",1,IF(F880="T2",2,IF(F880="T3",3,IF(F880="T4",4,-1))))),-1)</x:f>
        <x:v>2</x:v>
      </x:c>
      <x:c r="Q880" s="4" t="n">
        <x:f>IF(AND(OR(C880="Ingredient candidate",C880="Consumed input",C880="Contained input",C880="Transform input"),P880=-1),1,0)</x:f>
        <x:v>0</x:v>
      </x:c>
    </x:row>
    <x:row r="881" ht="64" customHeight="1">
      <x:c r="A881" s="4" t="str">
        <x:v>design.collection.shell_serving_tray.out</x:v>
      </x:c>
      <x:c r="B881" s="4" t="str">
        <x:v>design.collection.shell_serving_tray</x:v>
      </x:c>
      <x:c r="C881" s="4" t="str">
        <x:v>Output</x:v>
      </x:c>
      <x:c r="D881" s="4" t="str">
        <x:v>proposal.collection.shell_serving_tray</x:v>
      </x:c>
      <x:c r="E881" s="4" t="str">
        <x:f>IFERROR(INDEX('Items'!$B$6:$B$1005,MATCH(D881,'Items'!$A$6:$A$1005,0)),"MISSING ID")</x:f>
        <x:v>Shell serving tray</x:v>
      </x:c>
      <x:c r="F881" s="4" t="str">
        <x:f>IFERROR(INDEX('Items'!$C$6:$C$1005,MATCH(D881,'Items'!$A$6:$A$1005,0)),"MISSING ID")</x:f>
        <x:v>Not applicable</x:v>
      </x:c>
      <x:c r="G881" s="4" t="str">
        <x:f>IFERROR(INDEX('Items'!$D$6:$D$1005,MATCH(D881,'Items'!$A$6:$A$1005,0)),"MISSING ID")</x:f>
        <x:v>Salvage</x:v>
      </x:c>
      <x:c r="H881" s="4" t="str">
        <x:f>IFERROR(INDEX('Items'!$X$6:$X$1005,MATCH(D881,'Items'!$A$6:$A$1005,0)),"MISSING ID")</x:f>
        <x:v>Household utensil</x:v>
      </x:c>
      <x:c r="I881" s="4"/>
      <x:c r="J881" s="4" t="str">
        <x:v>Unspecified</x:v>
      </x:c>
      <x:c r="K881" s="4" t="str">
        <x:f>IFERROR(INDEX('Crafting recipes'!$D$6:$D$1005,MATCH(B881,'Crafting recipes'!$A$6:$A$1005,0)),"MISSING ID")</x:f>
        <x:v>Proposal</x:v>
      </x:c>
      <x:c r="L881" s="4" t="str">
        <x:f>IFERROR(INDEX('Items'!$AD$6:$AD$1005,MATCH(D881,'Items'!$A$6:$A$1005,0)),"MISSING ID")</x:f>
        <x:v>Proposal</x:v>
      </x:c>
      <x:c r="M881" s="4" t="str">
        <x:f>IFERROR(INDEX('Crafting recipes'!$E$6:$E$1005,MATCH(B881,'Crafting recipes'!$A$6:$A$1005,0)),"MISSING ID")</x:f>
        <x:v>Partial proposal</x:v>
      </x:c>
      <x:c r="N881" s="4" t="str">
        <x:v>Candidate source or part only. Quantity, grade and method remain open.</x:v>
      </x:c>
      <x:c r="O881" s="4" t="str">
        <x:v>Collection expansion, October 15, 2026. New game proposal.</x:v>
      </x:c>
      <x:c r="P881" s="4" t="n">
        <x:f>IF(OR(C881="Ingredient candidate",C881="Consumed input",C881="Contained input",C881="Transform input"),IF(F881="T0",0,IF(F881="T1",1,IF(F881="T2",2,IF(F881="T3",3,IF(F881="T4",4,-1))))),-1)</x:f>
        <x:v>-1</x:v>
      </x:c>
      <x:c r="Q881" s="4" t="n">
        <x:f>IF(AND(OR(C881="Ingredient candidate",C881="Consumed input",C881="Contained input",C881="Transform input"),P881=-1),1,0)</x:f>
        <x:v>0</x:v>
      </x:c>
    </x:row>
    <x:row r="882" ht="64" customHeight="1">
      <x:c r="A882" s="4" t="str">
        <x:v>design.collection.metal_eating_tongs.in.1</x:v>
      </x:c>
      <x:c r="B882" s="4" t="str">
        <x:v>design.collection.metal_eating_tongs</x:v>
      </x:c>
      <x:c r="C882" s="4" t="str">
        <x:v>Ingredient candidate</x:v>
      </x:c>
      <x:c r="D882" s="4" t="str">
        <x:v>proposal.branch.spring_steel</x:v>
      </x:c>
      <x:c r="E882" s="4" t="str">
        <x:f>IFERROR(INDEX('Items'!$B$6:$B$1005,MATCH(D882,'Items'!$A$6:$A$1005,0)),"MISSING ID")</x:f>
        <x:v>Spring-grade steel stock</x:v>
      </x:c>
      <x:c r="F882" s="4" t="str">
        <x:f>IFERROR(INDEX('Items'!$C$6:$C$1005,MATCH(D882,'Items'!$A$6:$A$1005,0)),"MISSING ID")</x:f>
        <x:v>T3</x:v>
      </x:c>
      <x:c r="G882" s="4" t="str">
        <x:f>IFERROR(INDEX('Items'!$D$6:$D$1005,MATCH(D882,'Items'!$A$6:$A$1005,0)),"MISSING ID")</x:f>
        <x:v>Manufactured stock</x:v>
      </x:c>
      <x:c r="H882" s="4" t="str">
        <x:f>IFERROR(INDEX('Items'!$X$6:$X$1005,MATCH(D882,'Items'!$A$6:$A$1005,0)),"MISSING ID")</x:f>
        <x:v>Processed material</x:v>
      </x:c>
      <x:c r="I882" s="4"/>
      <x:c r="J882" s="4" t="str">
        <x:v>Unspecified</x:v>
      </x:c>
      <x:c r="K882" s="4" t="str">
        <x:f>IFERROR(INDEX('Crafting recipes'!$D$6:$D$1005,MATCH(B882,'Crafting recipes'!$A$6:$A$1005,0)),"MISSING ID")</x:f>
        <x:v>Proposal</x:v>
      </x:c>
      <x:c r="L882" s="4" t="str">
        <x:f>IFERROR(INDEX('Items'!$AD$6:$AD$1005,MATCH(D882,'Items'!$A$6:$A$1005,0)),"MISSING ID")</x:f>
        <x:v>Proposal</x:v>
      </x:c>
      <x:c r="M882" s="4" t="str">
        <x:f>IFERROR(INDEX('Crafting recipes'!$E$6:$E$1005,MATCH(B882,'Crafting recipes'!$A$6:$A$1005,0)),"MISSING ID")</x:f>
        <x:v>Partial proposal</x:v>
      </x:c>
      <x:c r="N882" s="4" t="str">
        <x:v>Candidate source or part only. Quantity, grade and method remain open.</x:v>
      </x:c>
      <x:c r="O882" s="4" t="str">
        <x:v>Collection expansion, October 15, 2026. New game proposal.</x:v>
      </x:c>
      <x:c r="P882" s="4" t="n">
        <x:f>IF(OR(C882="Ingredient candidate",C882="Consumed input",C882="Contained input",C882="Transform input"),IF(F882="T0",0,IF(F882="T1",1,IF(F882="T2",2,IF(F882="T3",3,IF(F882="T4",4,-1))))),-1)</x:f>
        <x:v>3</x:v>
      </x:c>
      <x:c r="Q882" s="4" t="n">
        <x:f>IF(AND(OR(C882="Ingredient candidate",C882="Consumed input",C882="Contained input",C882="Transform input"),P882=-1),1,0)</x:f>
        <x:v>0</x:v>
      </x:c>
    </x:row>
    <x:row r="883" ht="64" customHeight="1">
      <x:c r="A883" s="4" t="str">
        <x:v>design.collection.metal_eating_tongs.out</x:v>
      </x:c>
      <x:c r="B883" s="4" t="str">
        <x:v>design.collection.metal_eating_tongs</x:v>
      </x:c>
      <x:c r="C883" s="4" t="str">
        <x:v>Output</x:v>
      </x:c>
      <x:c r="D883" s="4" t="str">
        <x:v>proposal.collection.metal_eating_tongs</x:v>
      </x:c>
      <x:c r="E883" s="4" t="str">
        <x:f>IFERROR(INDEX('Items'!$B$6:$B$1005,MATCH(D883,'Items'!$A$6:$A$1005,0)),"MISSING ID")</x:f>
        <x:v>Metal eating tongs</x:v>
      </x:c>
      <x:c r="F883" s="4" t="str">
        <x:f>IFERROR(INDEX('Items'!$C$6:$C$1005,MATCH(D883,'Items'!$A$6:$A$1005,0)),"MISSING ID")</x:f>
        <x:v>Not applicable</x:v>
      </x:c>
      <x:c r="G883" s="4" t="str">
        <x:f>IFERROR(INDEX('Items'!$D$6:$D$1005,MATCH(D883,'Items'!$A$6:$A$1005,0)),"MISSING ID")</x:f>
        <x:v>Salvage</x:v>
      </x:c>
      <x:c r="H883" s="4" t="str">
        <x:f>IFERROR(INDEX('Items'!$X$6:$X$1005,MATCH(D883,'Items'!$A$6:$A$1005,0)),"MISSING ID")</x:f>
        <x:v>Household utensil</x:v>
      </x:c>
      <x:c r="I883" s="4"/>
      <x:c r="J883" s="4" t="str">
        <x:v>Unspecified</x:v>
      </x:c>
      <x:c r="K883" s="4" t="str">
        <x:f>IFERROR(INDEX('Crafting recipes'!$D$6:$D$1005,MATCH(B883,'Crafting recipes'!$A$6:$A$1005,0)),"MISSING ID")</x:f>
        <x:v>Proposal</x:v>
      </x:c>
      <x:c r="L883" s="4" t="str">
        <x:f>IFERROR(INDEX('Items'!$AD$6:$AD$1005,MATCH(D883,'Items'!$A$6:$A$1005,0)),"MISSING ID")</x:f>
        <x:v>Proposal</x:v>
      </x:c>
      <x:c r="M883" s="4" t="str">
        <x:f>IFERROR(INDEX('Crafting recipes'!$E$6:$E$1005,MATCH(B883,'Crafting recipes'!$A$6:$A$1005,0)),"MISSING ID")</x:f>
        <x:v>Partial proposal</x:v>
      </x:c>
      <x:c r="N883" s="4" t="str">
        <x:v>Candidate source or part only. Quantity, grade and method remain open.</x:v>
      </x:c>
      <x:c r="O883" s="4" t="str">
        <x:v>Collection expansion, October 15, 2026. New game proposal.</x:v>
      </x:c>
      <x:c r="P883" s="4" t="n">
        <x:f>IF(OR(C883="Ingredient candidate",C883="Consumed input",C883="Contained input",C883="Transform input"),IF(F883="T0",0,IF(F883="T1",1,IF(F883="T2",2,IF(F883="T3",3,IF(F883="T4",4,-1))))),-1)</x:f>
        <x:v>-1</x:v>
      </x:c>
      <x:c r="Q883" s="4" t="n">
        <x:f>IF(AND(OR(C883="Ingredient candidate",C883="Consumed input",C883="Contained input",C883="Transform input"),P883=-1),1,0)</x:f>
        <x:v>0</x:v>
      </x:c>
    </x:row>
    <x:row r="884" ht="64" customHeight="1">
      <x:c r="A884" s="4"/>
      <x:c r="B884" s="4"/>
      <x:c r="C884" s="4"/>
      <x:c r="D884" s="4"/>
      <x:c r="E884" s="4"/>
      <x:c r="F884" s="4"/>
      <x:c r="G884" s="4"/>
      <x:c r="H884" s="4"/>
      <x:c r="I884" s="4"/>
      <x:c r="J884" s="4"/>
      <x:c r="K884" s="4"/>
      <x:c r="L884" s="4"/>
      <x:c r="M884" s="4"/>
      <x:c r="N884" s="4"/>
      <x:c r="O884" s="4"/>
      <x:c r="P884" s="4"/>
      <x:c r="Q884" s="4"/>
    </x:row>
    <x:row r="885" ht="64" customHeight="1">
      <x:c r="A885" s="4"/>
      <x:c r="B885" s="4"/>
      <x:c r="C885" s="4"/>
      <x:c r="D885" s="4"/>
      <x:c r="E885" s="4"/>
      <x:c r="F885" s="4"/>
      <x:c r="G885" s="4"/>
      <x:c r="H885" s="4"/>
      <x:c r="I885" s="4"/>
      <x:c r="J885" s="4"/>
      <x:c r="K885" s="4"/>
      <x:c r="L885" s="4"/>
      <x:c r="M885" s="4"/>
      <x:c r="N885" s="4"/>
      <x:c r="O885" s="4"/>
      <x:c r="P885" s="4"/>
      <x:c r="Q885" s="4"/>
    </x:row>
    <x:row r="886" ht="64" customHeight="1">
      <x:c r="A886" s="4"/>
      <x:c r="B886" s="4"/>
      <x:c r="C886" s="4"/>
      <x:c r="D886" s="4"/>
      <x:c r="E886" s="4"/>
      <x:c r="F886" s="4"/>
      <x:c r="G886" s="4"/>
      <x:c r="H886" s="4"/>
      <x:c r="I886" s="4"/>
      <x:c r="J886" s="4"/>
      <x:c r="K886" s="4"/>
      <x:c r="L886" s="4"/>
      <x:c r="M886" s="4"/>
      <x:c r="N886" s="4"/>
      <x:c r="O886" s="4"/>
      <x:c r="P886" s="4"/>
      <x:c r="Q886" s="4"/>
    </x:row>
    <x:row r="887" ht="64" customHeight="1">
      <x:c r="A887" s="4"/>
      <x:c r="B887" s="4"/>
      <x:c r="C887" s="4"/>
      <x:c r="D887" s="4"/>
      <x:c r="E887" s="4"/>
      <x:c r="F887" s="4"/>
      <x:c r="G887" s="4"/>
      <x:c r="H887" s="4"/>
      <x:c r="I887" s="4"/>
      <x:c r="J887" s="4"/>
      <x:c r="K887" s="4"/>
      <x:c r="L887" s="4"/>
      <x:c r="M887" s="4"/>
      <x:c r="N887" s="4"/>
      <x:c r="O887" s="4"/>
      <x:c r="P887" s="4"/>
      <x:c r="Q887" s="4"/>
    </x:row>
    <x:row r="888" ht="64" customHeight="1">
      <x:c r="A888" s="4"/>
      <x:c r="B888" s="4"/>
      <x:c r="C888" s="4"/>
      <x:c r="D888" s="4"/>
      <x:c r="E888" s="4"/>
      <x:c r="F888" s="4"/>
      <x:c r="G888" s="4"/>
      <x:c r="H888" s="4"/>
      <x:c r="I888" s="4"/>
      <x:c r="J888" s="4"/>
      <x:c r="K888" s="4"/>
      <x:c r="L888" s="4"/>
      <x:c r="M888" s="4"/>
      <x:c r="N888" s="4"/>
      <x:c r="O888" s="4"/>
      <x:c r="P888" s="4"/>
      <x:c r="Q888" s="4"/>
    </x:row>
    <x:row r="889" ht="64" customHeight="1">
      <x:c r="A889" s="4"/>
      <x:c r="B889" s="4"/>
      <x:c r="C889" s="4"/>
      <x:c r="D889" s="4"/>
      <x:c r="E889" s="4"/>
      <x:c r="F889" s="4"/>
      <x:c r="G889" s="4"/>
      <x:c r="H889" s="4"/>
      <x:c r="I889" s="4"/>
      <x:c r="J889" s="4"/>
      <x:c r="K889" s="4"/>
      <x:c r="L889" s="4"/>
      <x:c r="M889" s="4"/>
      <x:c r="N889" s="4"/>
      <x:c r="O889" s="4"/>
      <x:c r="P889" s="4"/>
      <x:c r="Q889" s="4"/>
    </x:row>
    <x:row r="890" ht="64" customHeight="1">
      <x:c r="A890" s="4"/>
      <x:c r="B890" s="4"/>
      <x:c r="C890" s="4"/>
      <x:c r="D890" s="4"/>
      <x:c r="E890" s="4"/>
      <x:c r="F890" s="4"/>
      <x:c r="G890" s="4"/>
      <x:c r="H890" s="4"/>
      <x:c r="I890" s="4"/>
      <x:c r="J890" s="4"/>
      <x:c r="K890" s="4"/>
      <x:c r="L890" s="4"/>
      <x:c r="M890" s="4"/>
      <x:c r="N890" s="4"/>
      <x:c r="O890" s="4"/>
      <x:c r="P890" s="4"/>
      <x:c r="Q890" s="4"/>
    </x:row>
    <x:row r="891" ht="64" customHeight="1">
      <x:c r="A891" s="4"/>
      <x:c r="B891" s="4"/>
      <x:c r="C891" s="4"/>
      <x:c r="D891" s="4"/>
      <x:c r="E891" s="4"/>
      <x:c r="F891" s="4"/>
      <x:c r="G891" s="4"/>
      <x:c r="H891" s="4"/>
      <x:c r="I891" s="4"/>
      <x:c r="J891" s="4"/>
      <x:c r="K891" s="4"/>
      <x:c r="L891" s="4"/>
      <x:c r="M891" s="4"/>
      <x:c r="N891" s="4"/>
      <x:c r="O891" s="4"/>
      <x:c r="P891" s="4"/>
      <x:c r="Q891" s="4"/>
    </x:row>
    <x:row r="892" ht="64" customHeight="1">
      <x:c r="A892" s="4"/>
      <x:c r="B892" s="4"/>
      <x:c r="C892" s="4"/>
      <x:c r="D892" s="4"/>
      <x:c r="E892" s="4"/>
      <x:c r="F892" s="4"/>
      <x:c r="G892" s="4"/>
      <x:c r="H892" s="4"/>
      <x:c r="I892" s="4"/>
      <x:c r="J892" s="4"/>
      <x:c r="K892" s="4"/>
      <x:c r="L892" s="4"/>
      <x:c r="M892" s="4"/>
      <x:c r="N892" s="4"/>
      <x:c r="O892" s="4"/>
      <x:c r="P892" s="4"/>
      <x:c r="Q892" s="4"/>
    </x:row>
    <x:row r="893" ht="64" customHeight="1">
      <x:c r="A893" s="4"/>
      <x:c r="B893" s="4"/>
      <x:c r="C893" s="4"/>
      <x:c r="D893" s="4"/>
      <x:c r="E893" s="4"/>
      <x:c r="F893" s="4"/>
      <x:c r="G893" s="4"/>
      <x:c r="H893" s="4"/>
      <x:c r="I893" s="4"/>
      <x:c r="J893" s="4"/>
      <x:c r="K893" s="4"/>
      <x:c r="L893" s="4"/>
      <x:c r="M893" s="4"/>
      <x:c r="N893" s="4"/>
      <x:c r="O893" s="4"/>
      <x:c r="P893" s="4"/>
      <x:c r="Q893" s="4"/>
    </x:row>
    <x:row r="894" ht="64" customHeight="1">
      <x:c r="A894" s="4" t="str">
        <x:v>design.collection.straight_cut_spur_gear.in.1</x:v>
      </x:c>
      <x:c r="B894" s="4" t="str">
        <x:v>design.collection.straight_cut_spur_gear</x:v>
      </x:c>
      <x:c r="C894" s="4" t="str">
        <x:v>Ingredient candidate</x:v>
      </x:c>
      <x:c r="D894" s="4" t="str">
        <x:v>author.metallurgy.steel_stock</x:v>
      </x:c>
      <x:c r="E894" s="4" t="str">
        <x:f>IFERROR(INDEX('Items'!$B$6:$B$1005,MATCH(D894,'Items'!$A$6:$A$1005,0)),"MISSING ID")</x:f>
        <x:v>Steel stock</x:v>
      </x:c>
      <x:c r="F894" s="4" t="str">
        <x:f>IFERROR(INDEX('Items'!$C$6:$C$1005,MATCH(D894,'Items'!$A$6:$A$1005,0)),"MISSING ID")</x:f>
        <x:v>T2</x:v>
      </x:c>
      <x:c r="G894" s="4" t="str">
        <x:f>IFERROR(INDEX('Items'!$D$6:$D$1005,MATCH(D894,'Items'!$A$6:$A$1005,0)),"MISSING ID")</x:f>
        <x:v>Manufactured stock</x:v>
      </x:c>
      <x:c r="H894" s="4" t="str">
        <x:f>IFERROR(INDEX('Items'!$X$6:$X$1005,MATCH(D894,'Items'!$A$6:$A$1005,0)),"MISSING ID")</x:f>
        <x:v>Processed material</x:v>
      </x:c>
      <x:c r="I894" s="4"/>
      <x:c r="J894" s="4" t="str">
        <x:v>Unspecified</x:v>
      </x:c>
      <x:c r="K894" s="4" t="str">
        <x:f>IFERROR(INDEX('Crafting recipes'!$D$6:$D$1005,MATCH(B894,'Crafting recipes'!$A$6:$A$1005,0)),"MISSING ID")</x:f>
        <x:v>Proposal</x:v>
      </x:c>
      <x:c r="L894" s="4" t="str">
        <x:f>IFERROR(INDEX('Items'!$AD$6:$AD$1005,MATCH(D894,'Items'!$A$6:$A$1005,0)),"MISSING ID")</x:f>
        <x:v>Author direction</x:v>
      </x:c>
      <x:c r="M894" s="4" t="str">
        <x:f>IFERROR(INDEX('Crafting recipes'!$E$6:$E$1005,MATCH(B894,'Crafting recipes'!$A$6:$A$1005,0)),"MISSING ID")</x:f>
        <x:v>Partial proposal</x:v>
      </x:c>
      <x:c r="N894" s="4" t="str">
        <x:v>Candidate source or part only. Quantity, grade and method remain open.</x:v>
      </x:c>
      <x:c r="O894" s="4" t="str">
        <x:v>Collection expansion, October 15, 2026. New game proposal.</x:v>
      </x:c>
      <x:c r="P894" s="4" t="n">
        <x:f>IF(OR(C894="Ingredient candidate",C894="Consumed input",C894="Contained input",C894="Transform input"),IF(F894="T0",0,IF(F894="T1",1,IF(F894="T2",2,IF(F894="T3",3,IF(F894="T4",4,-1))))),-1)</x:f>
        <x:v>2</x:v>
      </x:c>
      <x:c r="Q894" s="4" t="n">
        <x:f>IF(AND(OR(C894="Ingredient candidate",C894="Consumed input",C894="Contained input",C894="Transform input"),P894=-1),1,0)</x:f>
        <x:v>0</x:v>
      </x:c>
    </x:row>
    <x:row r="895" ht="64" customHeight="1">
      <x:c r="A895" s="4" t="str">
        <x:v>design.collection.straight_cut_spur_gear.out</x:v>
      </x:c>
      <x:c r="B895" s="4" t="str">
        <x:v>design.collection.straight_cut_spur_gear</x:v>
      </x:c>
      <x:c r="C895" s="4" t="str">
        <x:v>Output</x:v>
      </x:c>
      <x:c r="D895" s="4" t="str">
        <x:v>proposal.collection.straight_cut_spur_gear</x:v>
      </x:c>
      <x:c r="E895" s="4" t="str">
        <x:f>IFERROR(INDEX('Items'!$B$6:$B$1005,MATCH(D895,'Items'!$A$6:$A$1005,0)),"MISSING ID")</x:f>
        <x:v>Straight-cut spur gear</x:v>
      </x:c>
      <x:c r="F895" s="4" t="str">
        <x:f>IFERROR(INDEX('Items'!$C$6:$C$1005,MATCH(D895,'Items'!$A$6:$A$1005,0)),"MISSING ID")</x:f>
        <x:v>T3</x:v>
      </x:c>
      <x:c r="G895" s="4" t="str">
        <x:f>IFERROR(INDEX('Items'!$D$6:$D$1005,MATCH(D895,'Items'!$A$6:$A$1005,0)),"MISSING ID")</x:f>
        <x:v>Crafting components</x:v>
      </x:c>
      <x:c r="H895" s="4" t="str">
        <x:f>IFERROR(INDEX('Items'!$X$6:$X$1005,MATCH(D895,'Items'!$A$6:$A$1005,0)),"MISSING ID")</x:f>
        <x:v>Machine part</x:v>
      </x:c>
      <x:c r="I895" s="4"/>
      <x:c r="J895" s="4" t="str">
        <x:v>Unspecified</x:v>
      </x:c>
      <x:c r="K895" s="4" t="str">
        <x:f>IFERROR(INDEX('Crafting recipes'!$D$6:$D$1005,MATCH(B895,'Crafting recipes'!$A$6:$A$1005,0)),"MISSING ID")</x:f>
        <x:v>Proposal</x:v>
      </x:c>
      <x:c r="L895" s="4" t="str">
        <x:f>IFERROR(INDEX('Items'!$AD$6:$AD$1005,MATCH(D895,'Items'!$A$6:$A$1005,0)),"MISSING ID")</x:f>
        <x:v>Proposal</x:v>
      </x:c>
      <x:c r="M895" s="4" t="str">
        <x:f>IFERROR(INDEX('Crafting recipes'!$E$6:$E$1005,MATCH(B895,'Crafting recipes'!$A$6:$A$1005,0)),"MISSING ID")</x:f>
        <x:v>Partial proposal</x:v>
      </x:c>
      <x:c r="N895" s="4" t="str">
        <x:v>Candidate source or part only. Quantity, grade and method remain open.</x:v>
      </x:c>
      <x:c r="O895" s="4" t="str">
        <x:v>Collection expansion, October 15, 2026. New game proposal.</x:v>
      </x:c>
      <x:c r="P895" s="4" t="n">
        <x:f>IF(OR(C895="Ingredient candidate",C895="Consumed input",C895="Contained input",C895="Transform input"),IF(F895="T0",0,IF(F895="T1",1,IF(F895="T2",2,IF(F895="T3",3,IF(F895="T4",4,-1))))),-1)</x:f>
        <x:v>-1</x:v>
      </x:c>
      <x:c r="Q895" s="4" t="n">
        <x:f>IF(AND(OR(C895="Ingredient candidate",C895="Consumed input",C895="Contained input",C895="Transform input"),P895=-1),1,0)</x:f>
        <x:v>0</x:v>
      </x:c>
    </x:row>
    <x:row r="896" ht="64" customHeight="1">
      <x:c r="A896" s="4" t="str">
        <x:v>design.collection.bevel_drive_gear.in.1</x:v>
      </x:c>
      <x:c r="B896" s="4" t="str">
        <x:v>design.collection.bevel_drive_gear</x:v>
      </x:c>
      <x:c r="C896" s="4" t="str">
        <x:v>Ingredient candidate</x:v>
      </x:c>
      <x:c r="D896" s="4" t="str">
        <x:v>author.metallurgy.steel_stock</x:v>
      </x:c>
      <x:c r="E896" s="4" t="str">
        <x:f>IFERROR(INDEX('Items'!$B$6:$B$1005,MATCH(D896,'Items'!$A$6:$A$1005,0)),"MISSING ID")</x:f>
        <x:v>Steel stock</x:v>
      </x:c>
      <x:c r="F896" s="4" t="str">
        <x:f>IFERROR(INDEX('Items'!$C$6:$C$1005,MATCH(D896,'Items'!$A$6:$A$1005,0)),"MISSING ID")</x:f>
        <x:v>T2</x:v>
      </x:c>
      <x:c r="G896" s="4" t="str">
        <x:f>IFERROR(INDEX('Items'!$D$6:$D$1005,MATCH(D896,'Items'!$A$6:$A$1005,0)),"MISSING ID")</x:f>
        <x:v>Manufactured stock</x:v>
      </x:c>
      <x:c r="H896" s="4" t="str">
        <x:f>IFERROR(INDEX('Items'!$X$6:$X$1005,MATCH(D896,'Items'!$A$6:$A$1005,0)),"MISSING ID")</x:f>
        <x:v>Processed material</x:v>
      </x:c>
      <x:c r="I896" s="4"/>
      <x:c r="J896" s="4" t="str">
        <x:v>Unspecified</x:v>
      </x:c>
      <x:c r="K896" s="4" t="str">
        <x:f>IFERROR(INDEX('Crafting recipes'!$D$6:$D$1005,MATCH(B896,'Crafting recipes'!$A$6:$A$1005,0)),"MISSING ID")</x:f>
        <x:v>Proposal</x:v>
      </x:c>
      <x:c r="L896" s="4" t="str">
        <x:f>IFERROR(INDEX('Items'!$AD$6:$AD$1005,MATCH(D896,'Items'!$A$6:$A$1005,0)),"MISSING ID")</x:f>
        <x:v>Author direction</x:v>
      </x:c>
      <x:c r="M896" s="4" t="str">
        <x:f>IFERROR(INDEX('Crafting recipes'!$E$6:$E$1005,MATCH(B896,'Crafting recipes'!$A$6:$A$1005,0)),"MISSING ID")</x:f>
        <x:v>Partial proposal</x:v>
      </x:c>
      <x:c r="N896" s="4" t="str">
        <x:v>Candidate source or part only. Quantity, grade and method remain open.</x:v>
      </x:c>
      <x:c r="O896" s="4" t="str">
        <x:v>Collection expansion, October 15, 2026. New game proposal.</x:v>
      </x:c>
      <x:c r="P896" s="4" t="n">
        <x:f>IF(OR(C896="Ingredient candidate",C896="Consumed input",C896="Contained input",C896="Transform input"),IF(F896="T0",0,IF(F896="T1",1,IF(F896="T2",2,IF(F896="T3",3,IF(F896="T4",4,-1))))),-1)</x:f>
        <x:v>2</x:v>
      </x:c>
      <x:c r="Q896" s="4" t="n">
        <x:f>IF(AND(OR(C896="Ingredient candidate",C896="Consumed input",C896="Contained input",C896="Transform input"),P896=-1),1,0)</x:f>
        <x:v>0</x:v>
      </x:c>
    </x:row>
    <x:row r="897" ht="64" customHeight="1">
      <x:c r="A897" s="4" t="str">
        <x:v>design.collection.bevel_drive_gear.out</x:v>
      </x:c>
      <x:c r="B897" s="4" t="str">
        <x:v>design.collection.bevel_drive_gear</x:v>
      </x:c>
      <x:c r="C897" s="4" t="str">
        <x:v>Output</x:v>
      </x:c>
      <x:c r="D897" s="4" t="str">
        <x:v>proposal.collection.bevel_drive_gear</x:v>
      </x:c>
      <x:c r="E897" s="4" t="str">
        <x:f>IFERROR(INDEX('Items'!$B$6:$B$1005,MATCH(D897,'Items'!$A$6:$A$1005,0)),"MISSING ID")</x:f>
        <x:v>Bevel drive gear</x:v>
      </x:c>
      <x:c r="F897" s="4" t="str">
        <x:f>IFERROR(INDEX('Items'!$C$6:$C$1005,MATCH(D897,'Items'!$A$6:$A$1005,0)),"MISSING ID")</x:f>
        <x:v>T3</x:v>
      </x:c>
      <x:c r="G897" s="4" t="str">
        <x:f>IFERROR(INDEX('Items'!$D$6:$D$1005,MATCH(D897,'Items'!$A$6:$A$1005,0)),"MISSING ID")</x:f>
        <x:v>Crafting components</x:v>
      </x:c>
      <x:c r="H897" s="4" t="str">
        <x:f>IFERROR(INDEX('Items'!$X$6:$X$1005,MATCH(D897,'Items'!$A$6:$A$1005,0)),"MISSING ID")</x:f>
        <x:v>Machine part</x:v>
      </x:c>
      <x:c r="I897" s="4"/>
      <x:c r="J897" s="4" t="str">
        <x:v>Unspecified</x:v>
      </x:c>
      <x:c r="K897" s="4" t="str">
        <x:f>IFERROR(INDEX('Crafting recipes'!$D$6:$D$1005,MATCH(B897,'Crafting recipes'!$A$6:$A$1005,0)),"MISSING ID")</x:f>
        <x:v>Proposal</x:v>
      </x:c>
      <x:c r="L897" s="4" t="str">
        <x:f>IFERROR(INDEX('Items'!$AD$6:$AD$1005,MATCH(D897,'Items'!$A$6:$A$1005,0)),"MISSING ID")</x:f>
        <x:v>Proposal</x:v>
      </x:c>
      <x:c r="M897" s="4" t="str">
        <x:f>IFERROR(INDEX('Crafting recipes'!$E$6:$E$1005,MATCH(B897,'Crafting recipes'!$A$6:$A$1005,0)),"MISSING ID")</x:f>
        <x:v>Partial proposal</x:v>
      </x:c>
      <x:c r="N897" s="4" t="str">
        <x:v>Candidate source or part only. Quantity, grade and method remain open.</x:v>
      </x:c>
      <x:c r="O897" s="4" t="str">
        <x:v>Collection expansion, October 15, 2026. New game proposal.</x:v>
      </x:c>
      <x:c r="P897" s="4" t="n">
        <x:f>IF(OR(C897="Ingredient candidate",C897="Consumed input",C897="Contained input",C897="Transform input"),IF(F897="T0",0,IF(F897="T1",1,IF(F897="T2",2,IF(F897="T3",3,IF(F897="T4",4,-1))))),-1)</x:f>
        <x:v>-1</x:v>
      </x:c>
      <x:c r="Q897" s="4" t="n">
        <x:f>IF(AND(OR(C897="Ingredient candidate",C897="Consumed input",C897="Contained input",C897="Transform input"),P897=-1),1,0)</x:f>
        <x:v>0</x:v>
      </x:c>
    </x:row>
    <x:row r="898" ht="64" customHeight="1">
      <x:c r="A898" s="4" t="str">
        <x:v>design.collection.worm_drive_screw.in.1</x:v>
      </x:c>
      <x:c r="B898" s="4" t="str">
        <x:v>design.collection.worm_drive_screw</x:v>
      </x:c>
      <x:c r="C898" s="4" t="str">
        <x:v>Ingredient candidate</x:v>
      </x:c>
      <x:c r="D898" s="4" t="str">
        <x:v>author.metallurgy.steel_stock</x:v>
      </x:c>
      <x:c r="E898" s="4" t="str">
        <x:f>IFERROR(INDEX('Items'!$B$6:$B$1005,MATCH(D898,'Items'!$A$6:$A$1005,0)),"MISSING ID")</x:f>
        <x:v>Steel stock</x:v>
      </x:c>
      <x:c r="F898" s="4" t="str">
        <x:f>IFERROR(INDEX('Items'!$C$6:$C$1005,MATCH(D898,'Items'!$A$6:$A$1005,0)),"MISSING ID")</x:f>
        <x:v>T2</x:v>
      </x:c>
      <x:c r="G898" s="4" t="str">
        <x:f>IFERROR(INDEX('Items'!$D$6:$D$1005,MATCH(D898,'Items'!$A$6:$A$1005,0)),"MISSING ID")</x:f>
        <x:v>Manufactured stock</x:v>
      </x:c>
      <x:c r="H898" s="4" t="str">
        <x:f>IFERROR(INDEX('Items'!$X$6:$X$1005,MATCH(D898,'Items'!$A$6:$A$1005,0)),"MISSING ID")</x:f>
        <x:v>Processed material</x:v>
      </x:c>
      <x:c r="I898" s="4"/>
      <x:c r="J898" s="4" t="str">
        <x:v>Unspecified</x:v>
      </x:c>
      <x:c r="K898" s="4" t="str">
        <x:f>IFERROR(INDEX('Crafting recipes'!$D$6:$D$1005,MATCH(B898,'Crafting recipes'!$A$6:$A$1005,0)),"MISSING ID")</x:f>
        <x:v>Proposal</x:v>
      </x:c>
      <x:c r="L898" s="4" t="str">
        <x:f>IFERROR(INDEX('Items'!$AD$6:$AD$1005,MATCH(D898,'Items'!$A$6:$A$1005,0)),"MISSING ID")</x:f>
        <x:v>Author direction</x:v>
      </x:c>
      <x:c r="M898" s="4" t="str">
        <x:f>IFERROR(INDEX('Crafting recipes'!$E$6:$E$1005,MATCH(B898,'Crafting recipes'!$A$6:$A$1005,0)),"MISSING ID")</x:f>
        <x:v>Partial proposal</x:v>
      </x:c>
      <x:c r="N898" s="4" t="str">
        <x:v>Candidate source or part only. Quantity, grade and method remain open.</x:v>
      </x:c>
      <x:c r="O898" s="4" t="str">
        <x:v>Collection expansion, October 15, 2026. New game proposal.</x:v>
      </x:c>
      <x:c r="P898" s="4" t="n">
        <x:f>IF(OR(C898="Ingredient candidate",C898="Consumed input",C898="Contained input",C898="Transform input"),IF(F898="T0",0,IF(F898="T1",1,IF(F898="T2",2,IF(F898="T3",3,IF(F898="T4",4,-1))))),-1)</x:f>
        <x:v>2</x:v>
      </x:c>
      <x:c r="Q898" s="4" t="n">
        <x:f>IF(AND(OR(C898="Ingredient candidate",C898="Consumed input",C898="Contained input",C898="Transform input"),P898=-1),1,0)</x:f>
        <x:v>0</x:v>
      </x:c>
    </x:row>
    <x:row r="899" ht="64" customHeight="1">
      <x:c r="A899" s="4" t="str">
        <x:v>design.collection.worm_drive_screw.out</x:v>
      </x:c>
      <x:c r="B899" s="4" t="str">
        <x:v>design.collection.worm_drive_screw</x:v>
      </x:c>
      <x:c r="C899" s="4" t="str">
        <x:v>Output</x:v>
      </x:c>
      <x:c r="D899" s="4" t="str">
        <x:v>proposal.collection.worm_drive_screw</x:v>
      </x:c>
      <x:c r="E899" s="4" t="str">
        <x:f>IFERROR(INDEX('Items'!$B$6:$B$1005,MATCH(D899,'Items'!$A$6:$A$1005,0)),"MISSING ID")</x:f>
        <x:v>Worm drive screw</x:v>
      </x:c>
      <x:c r="F899" s="4" t="str">
        <x:f>IFERROR(INDEX('Items'!$C$6:$C$1005,MATCH(D899,'Items'!$A$6:$A$1005,0)),"MISSING ID")</x:f>
        <x:v>T3</x:v>
      </x:c>
      <x:c r="G899" s="4" t="str">
        <x:f>IFERROR(INDEX('Items'!$D$6:$D$1005,MATCH(D899,'Items'!$A$6:$A$1005,0)),"MISSING ID")</x:f>
        <x:v>Crafting components</x:v>
      </x:c>
      <x:c r="H899" s="4" t="str">
        <x:f>IFERROR(INDEX('Items'!$X$6:$X$1005,MATCH(D899,'Items'!$A$6:$A$1005,0)),"MISSING ID")</x:f>
        <x:v>Machine part</x:v>
      </x:c>
      <x:c r="I899" s="4"/>
      <x:c r="J899" s="4" t="str">
        <x:v>Unspecified</x:v>
      </x:c>
      <x:c r="K899" s="4" t="str">
        <x:f>IFERROR(INDEX('Crafting recipes'!$D$6:$D$1005,MATCH(B899,'Crafting recipes'!$A$6:$A$1005,0)),"MISSING ID")</x:f>
        <x:v>Proposal</x:v>
      </x:c>
      <x:c r="L899" s="4" t="str">
        <x:f>IFERROR(INDEX('Items'!$AD$6:$AD$1005,MATCH(D899,'Items'!$A$6:$A$1005,0)),"MISSING ID")</x:f>
        <x:v>Proposal</x:v>
      </x:c>
      <x:c r="M899" s="4" t="str">
        <x:f>IFERROR(INDEX('Crafting recipes'!$E$6:$E$1005,MATCH(B899,'Crafting recipes'!$A$6:$A$1005,0)),"MISSING ID")</x:f>
        <x:v>Partial proposal</x:v>
      </x:c>
      <x:c r="N899" s="4" t="str">
        <x:v>Candidate source or part only. Quantity, grade and method remain open.</x:v>
      </x:c>
      <x:c r="O899" s="4" t="str">
        <x:v>Collection expansion, October 15, 2026. New game proposal.</x:v>
      </x:c>
      <x:c r="P899" s="4" t="n">
        <x:f>IF(OR(C899="Ingredient candidate",C899="Consumed input",C899="Contained input",C899="Transform input"),IF(F899="T0",0,IF(F899="T1",1,IF(F899="T2",2,IF(F899="T3",3,IF(F899="T4",4,-1))))),-1)</x:f>
        <x:v>-1</x:v>
      </x:c>
      <x:c r="Q899" s="4" t="n">
        <x:f>IF(AND(OR(C899="Ingredient candidate",C899="Consumed input",C899="Contained input",C899="Transform input"),P899=-1),1,0)</x:f>
        <x:v>0</x:v>
      </x:c>
    </x:row>
    <x:row r="900" ht="64" customHeight="1">
      <x:c r="A900" s="4" t="str">
        <x:v>design.collection.worm_wheel.in.1</x:v>
      </x:c>
      <x:c r="B900" s="4" t="str">
        <x:v>design.collection.worm_wheel</x:v>
      </x:c>
      <x:c r="C900" s="4" t="str">
        <x:v>Ingredient candidate</x:v>
      </x:c>
      <x:c r="D900" s="4" t="str">
        <x:v>proposal.branch.bearing_bronze</x:v>
      </x:c>
      <x:c r="E900" s="4" t="str">
        <x:f>IFERROR(INDEX('Items'!$B$6:$B$1005,MATCH(D900,'Items'!$A$6:$A$1005,0)),"MISSING ID")</x:f>
        <x:v>Prepared bronze bearing stock</x:v>
      </x:c>
      <x:c r="F900" s="4" t="str">
        <x:f>IFERROR(INDEX('Items'!$C$6:$C$1005,MATCH(D900,'Items'!$A$6:$A$1005,0)),"MISSING ID")</x:f>
        <x:v>T2</x:v>
      </x:c>
      <x:c r="G900" s="4" t="str">
        <x:f>IFERROR(INDEX('Items'!$D$6:$D$1005,MATCH(D900,'Items'!$A$6:$A$1005,0)),"MISSING ID")</x:f>
        <x:v>Manufactured stock</x:v>
      </x:c>
      <x:c r="H900" s="4" t="str">
        <x:f>IFERROR(INDEX('Items'!$X$6:$X$1005,MATCH(D900,'Items'!$A$6:$A$1005,0)),"MISSING ID")</x:f>
        <x:v>Processed material</x:v>
      </x:c>
      <x:c r="I900" s="4"/>
      <x:c r="J900" s="4" t="str">
        <x:v>Unspecified</x:v>
      </x:c>
      <x:c r="K900" s="4" t="str">
        <x:f>IFERROR(INDEX('Crafting recipes'!$D$6:$D$1005,MATCH(B900,'Crafting recipes'!$A$6:$A$1005,0)),"MISSING ID")</x:f>
        <x:v>Proposal</x:v>
      </x:c>
      <x:c r="L900" s="4" t="str">
        <x:f>IFERROR(INDEX('Items'!$AD$6:$AD$1005,MATCH(D900,'Items'!$A$6:$A$1005,0)),"MISSING ID")</x:f>
        <x:v>Proposal</x:v>
      </x:c>
      <x:c r="M900" s="4" t="str">
        <x:f>IFERROR(INDEX('Crafting recipes'!$E$6:$E$1005,MATCH(B900,'Crafting recipes'!$A$6:$A$1005,0)),"MISSING ID")</x:f>
        <x:v>Partial proposal</x:v>
      </x:c>
      <x:c r="N900" s="4" t="str">
        <x:v>Candidate source or part only. Quantity, grade and method remain open.</x:v>
      </x:c>
      <x:c r="O900" s="4" t="str">
        <x:v>Collection expansion, October 15, 2026. New game proposal.</x:v>
      </x:c>
      <x:c r="P900" s="4" t="n">
        <x:f>IF(OR(C900="Ingredient candidate",C900="Consumed input",C900="Contained input",C900="Transform input"),IF(F900="T0",0,IF(F900="T1",1,IF(F900="T2",2,IF(F900="T3",3,IF(F900="T4",4,-1))))),-1)</x:f>
        <x:v>2</x:v>
      </x:c>
      <x:c r="Q900" s="4" t="n">
        <x:f>IF(AND(OR(C900="Ingredient candidate",C900="Consumed input",C900="Contained input",C900="Transform input"),P900=-1),1,0)</x:f>
        <x:v>0</x:v>
      </x:c>
    </x:row>
    <x:row r="901" ht="64" customHeight="1">
      <x:c r="A901" s="4" t="str">
        <x:v>design.collection.worm_wheel.out</x:v>
      </x:c>
      <x:c r="B901" s="4" t="str">
        <x:v>design.collection.worm_wheel</x:v>
      </x:c>
      <x:c r="C901" s="4" t="str">
        <x:v>Output</x:v>
      </x:c>
      <x:c r="D901" s="4" t="str">
        <x:v>proposal.collection.worm_wheel</x:v>
      </x:c>
      <x:c r="E901" s="4" t="str">
        <x:f>IFERROR(INDEX('Items'!$B$6:$B$1005,MATCH(D901,'Items'!$A$6:$A$1005,0)),"MISSING ID")</x:f>
        <x:v>Worm wheel</x:v>
      </x:c>
      <x:c r="F901" s="4" t="str">
        <x:f>IFERROR(INDEX('Items'!$C$6:$C$1005,MATCH(D901,'Items'!$A$6:$A$1005,0)),"MISSING ID")</x:f>
        <x:v>T3</x:v>
      </x:c>
      <x:c r="G901" s="4" t="str">
        <x:f>IFERROR(INDEX('Items'!$D$6:$D$1005,MATCH(D901,'Items'!$A$6:$A$1005,0)),"MISSING ID")</x:f>
        <x:v>Crafting components</x:v>
      </x:c>
      <x:c r="H901" s="4" t="str">
        <x:f>IFERROR(INDEX('Items'!$X$6:$X$1005,MATCH(D901,'Items'!$A$6:$A$1005,0)),"MISSING ID")</x:f>
        <x:v>Machine part</x:v>
      </x:c>
      <x:c r="I901" s="4"/>
      <x:c r="J901" s="4" t="str">
        <x:v>Unspecified</x:v>
      </x:c>
      <x:c r="K901" s="4" t="str">
        <x:f>IFERROR(INDEX('Crafting recipes'!$D$6:$D$1005,MATCH(B901,'Crafting recipes'!$A$6:$A$1005,0)),"MISSING ID")</x:f>
        <x:v>Proposal</x:v>
      </x:c>
      <x:c r="L901" s="4" t="str">
        <x:f>IFERROR(INDEX('Items'!$AD$6:$AD$1005,MATCH(D901,'Items'!$A$6:$A$1005,0)),"MISSING ID")</x:f>
        <x:v>Proposal</x:v>
      </x:c>
      <x:c r="M901" s="4" t="str">
        <x:f>IFERROR(INDEX('Crafting recipes'!$E$6:$E$1005,MATCH(B901,'Crafting recipes'!$A$6:$A$1005,0)),"MISSING ID")</x:f>
        <x:v>Partial proposal</x:v>
      </x:c>
      <x:c r="N901" s="4" t="str">
        <x:v>Candidate source or part only. Quantity, grade and method remain open.</x:v>
      </x:c>
      <x:c r="O901" s="4" t="str">
        <x:v>Collection expansion, October 15, 2026. New game proposal.</x:v>
      </x:c>
      <x:c r="P901" s="4" t="n">
        <x:f>IF(OR(C901="Ingredient candidate",C901="Consumed input",C901="Contained input",C901="Transform input"),IF(F901="T0",0,IF(F901="T1",1,IF(F901="T2",2,IF(F901="T3",3,IF(F901="T4",4,-1))))),-1)</x:f>
        <x:v>-1</x:v>
      </x:c>
      <x:c r="Q901" s="4" t="n">
        <x:f>IF(AND(OR(C901="Ingredient candidate",C901="Consumed input",C901="Contained input",C901="Transform input"),P901=-1),1,0)</x:f>
        <x:v>0</x:v>
      </x:c>
    </x:row>
    <x:row r="902" ht="64" customHeight="1">
      <x:c r="A902" s="4"/>
      <x:c r="B902" s="4"/>
      <x:c r="C902" s="4"/>
      <x:c r="D902" s="4"/>
      <x:c r="E902" s="4"/>
      <x:c r="F902" s="4"/>
      <x:c r="G902" s="4"/>
      <x:c r="H902" s="4"/>
      <x:c r="I902" s="4"/>
      <x:c r="J902" s="4"/>
      <x:c r="K902" s="4"/>
      <x:c r="L902" s="4"/>
      <x:c r="M902" s="4"/>
      <x:c r="N902" s="4"/>
      <x:c r="O902" s="4"/>
      <x:c r="P902" s="4"/>
      <x:c r="Q902" s="4"/>
    </x:row>
    <x:row r="903" ht="64" customHeight="1">
      <x:c r="A903" s="4"/>
      <x:c r="B903" s="4"/>
      <x:c r="C903" s="4"/>
      <x:c r="D903" s="4"/>
      <x:c r="E903" s="4"/>
      <x:c r="F903" s="4"/>
      <x:c r="G903" s="4"/>
      <x:c r="H903" s="4"/>
      <x:c r="I903" s="4"/>
      <x:c r="J903" s="4"/>
      <x:c r="K903" s="4"/>
      <x:c r="L903" s="4"/>
      <x:c r="M903" s="4"/>
      <x:c r="N903" s="4"/>
      <x:c r="O903" s="4"/>
      <x:c r="P903" s="4"/>
      <x:c r="Q903" s="4"/>
    </x:row>
    <x:row r="904" ht="64" customHeight="1">
      <x:c r="A904" s="4" t="str">
        <x:v>design.collection.chain_drive_sprocket.in.1</x:v>
      </x:c>
      <x:c r="B904" s="4" t="str">
        <x:v>design.collection.chain_drive_sprocket</x:v>
      </x:c>
      <x:c r="C904" s="4" t="str">
        <x:v>Ingredient candidate</x:v>
      </x:c>
      <x:c r="D904" s="4" t="str">
        <x:v>author.metallurgy.steel_stock</x:v>
      </x:c>
      <x:c r="E904" s="4" t="str">
        <x:f>IFERROR(INDEX('Items'!$B$6:$B$1005,MATCH(D904,'Items'!$A$6:$A$1005,0)),"MISSING ID")</x:f>
        <x:v>Steel stock</x:v>
      </x:c>
      <x:c r="F904" s="4" t="str">
        <x:f>IFERROR(INDEX('Items'!$C$6:$C$1005,MATCH(D904,'Items'!$A$6:$A$1005,0)),"MISSING ID")</x:f>
        <x:v>T2</x:v>
      </x:c>
      <x:c r="G904" s="4" t="str">
        <x:f>IFERROR(INDEX('Items'!$D$6:$D$1005,MATCH(D904,'Items'!$A$6:$A$1005,0)),"MISSING ID")</x:f>
        <x:v>Manufactured stock</x:v>
      </x:c>
      <x:c r="H904" s="4" t="str">
        <x:f>IFERROR(INDEX('Items'!$X$6:$X$1005,MATCH(D904,'Items'!$A$6:$A$1005,0)),"MISSING ID")</x:f>
        <x:v>Processed material</x:v>
      </x:c>
      <x:c r="I904" s="4"/>
      <x:c r="J904" s="4" t="str">
        <x:v>Unspecified</x:v>
      </x:c>
      <x:c r="K904" s="4" t="str">
        <x:f>IFERROR(INDEX('Crafting recipes'!$D$6:$D$1005,MATCH(B904,'Crafting recipes'!$A$6:$A$1005,0)),"MISSING ID")</x:f>
        <x:v>Proposal</x:v>
      </x:c>
      <x:c r="L904" s="4" t="str">
        <x:f>IFERROR(INDEX('Items'!$AD$6:$AD$1005,MATCH(D904,'Items'!$A$6:$A$1005,0)),"MISSING ID")</x:f>
        <x:v>Author direction</x:v>
      </x:c>
      <x:c r="M904" s="4" t="str">
        <x:f>IFERROR(INDEX('Crafting recipes'!$E$6:$E$1005,MATCH(B904,'Crafting recipes'!$A$6:$A$1005,0)),"MISSING ID")</x:f>
        <x:v>Partial proposal</x:v>
      </x:c>
      <x:c r="N904" s="4" t="str">
        <x:v>Candidate source or part only. Quantity, grade and method remain open.</x:v>
      </x:c>
      <x:c r="O904" s="4" t="str">
        <x:v>Collection expansion, October 15, 2026. New game proposal.</x:v>
      </x:c>
      <x:c r="P904" s="4" t="n">
        <x:f>IF(OR(C904="Ingredient candidate",C904="Consumed input",C904="Contained input",C904="Transform input"),IF(F904="T0",0,IF(F904="T1",1,IF(F904="T2",2,IF(F904="T3",3,IF(F904="T4",4,-1))))),-1)</x:f>
        <x:v>2</x:v>
      </x:c>
      <x:c r="Q904" s="4" t="n">
        <x:f>IF(AND(OR(C904="Ingredient candidate",C904="Consumed input",C904="Contained input",C904="Transform input"),P904=-1),1,0)</x:f>
        <x:v>0</x:v>
      </x:c>
    </x:row>
    <x:row r="905" ht="64" customHeight="1">
      <x:c r="A905" s="4" t="str">
        <x:v>design.collection.chain_drive_sprocket.out</x:v>
      </x:c>
      <x:c r="B905" s="4" t="str">
        <x:v>design.collection.chain_drive_sprocket</x:v>
      </x:c>
      <x:c r="C905" s="4" t="str">
        <x:v>Output</x:v>
      </x:c>
      <x:c r="D905" s="4" t="str">
        <x:v>proposal.collection.chain_drive_sprocket</x:v>
      </x:c>
      <x:c r="E905" s="4" t="str">
        <x:f>IFERROR(INDEX('Items'!$B$6:$B$1005,MATCH(D905,'Items'!$A$6:$A$1005,0)),"MISSING ID")</x:f>
        <x:v>Chain drive sprocket</x:v>
      </x:c>
      <x:c r="F905" s="4" t="str">
        <x:f>IFERROR(INDEX('Items'!$C$6:$C$1005,MATCH(D905,'Items'!$A$6:$A$1005,0)),"MISSING ID")</x:f>
        <x:v>T3</x:v>
      </x:c>
      <x:c r="G905" s="4" t="str">
        <x:f>IFERROR(INDEX('Items'!$D$6:$D$1005,MATCH(D905,'Items'!$A$6:$A$1005,0)),"MISSING ID")</x:f>
        <x:v>Crafting components</x:v>
      </x:c>
      <x:c r="H905" s="4" t="str">
        <x:f>IFERROR(INDEX('Items'!$X$6:$X$1005,MATCH(D905,'Items'!$A$6:$A$1005,0)),"MISSING ID")</x:f>
        <x:v>Machine part</x:v>
      </x:c>
      <x:c r="I905" s="4"/>
      <x:c r="J905" s="4" t="str">
        <x:v>Unspecified</x:v>
      </x:c>
      <x:c r="K905" s="4" t="str">
        <x:f>IFERROR(INDEX('Crafting recipes'!$D$6:$D$1005,MATCH(B905,'Crafting recipes'!$A$6:$A$1005,0)),"MISSING ID")</x:f>
        <x:v>Proposal</x:v>
      </x:c>
      <x:c r="L905" s="4" t="str">
        <x:f>IFERROR(INDEX('Items'!$AD$6:$AD$1005,MATCH(D905,'Items'!$A$6:$A$1005,0)),"MISSING ID")</x:f>
        <x:v>Proposal</x:v>
      </x:c>
      <x:c r="M905" s="4" t="str">
        <x:f>IFERROR(INDEX('Crafting recipes'!$E$6:$E$1005,MATCH(B905,'Crafting recipes'!$A$6:$A$1005,0)),"MISSING ID")</x:f>
        <x:v>Partial proposal</x:v>
      </x:c>
      <x:c r="N905" s="4" t="str">
        <x:v>Candidate source or part only. Quantity, grade and method remain open.</x:v>
      </x:c>
      <x:c r="O905" s="4" t="str">
        <x:v>Collection expansion, October 15, 2026. New game proposal.</x:v>
      </x:c>
      <x:c r="P905" s="4" t="n">
        <x:f>IF(OR(C905="Ingredient candidate",C905="Consumed input",C905="Contained input",C905="Transform input"),IF(F905="T0",0,IF(F905="T1",1,IF(F905="T2",2,IF(F905="T3",3,IF(F905="T4",4,-1))))),-1)</x:f>
        <x:v>-1</x:v>
      </x:c>
      <x:c r="Q905" s="4" t="n">
        <x:f>IF(AND(OR(C905="Ingredient candidate",C905="Consumed input",C905="Contained input",C905="Transform input"),P905=-1),1,0)</x:f>
        <x:v>0</x:v>
      </x:c>
    </x:row>
    <x:row r="906" ht="64" customHeight="1">
      <x:c r="A906" s="4" t="str">
        <x:v>design.collection.split_shaft_coupling.in.1</x:v>
      </x:c>
      <x:c r="B906" s="4" t="str">
        <x:v>design.collection.split_shaft_coupling</x:v>
      </x:c>
      <x:c r="C906" s="4" t="str">
        <x:v>Ingredient candidate</x:v>
      </x:c>
      <x:c r="D906" s="4" t="str">
        <x:v>author.metallurgy.steel_stock</x:v>
      </x:c>
      <x:c r="E906" s="4" t="str">
        <x:f>IFERROR(INDEX('Items'!$B$6:$B$1005,MATCH(D906,'Items'!$A$6:$A$1005,0)),"MISSING ID")</x:f>
        <x:v>Steel stock</x:v>
      </x:c>
      <x:c r="F906" s="4" t="str">
        <x:f>IFERROR(INDEX('Items'!$C$6:$C$1005,MATCH(D906,'Items'!$A$6:$A$1005,0)),"MISSING ID")</x:f>
        <x:v>T2</x:v>
      </x:c>
      <x:c r="G906" s="4" t="str">
        <x:f>IFERROR(INDEX('Items'!$D$6:$D$1005,MATCH(D906,'Items'!$A$6:$A$1005,0)),"MISSING ID")</x:f>
        <x:v>Manufactured stock</x:v>
      </x:c>
      <x:c r="H906" s="4" t="str">
        <x:f>IFERROR(INDEX('Items'!$X$6:$X$1005,MATCH(D906,'Items'!$A$6:$A$1005,0)),"MISSING ID")</x:f>
        <x:v>Processed material</x:v>
      </x:c>
      <x:c r="I906" s="4"/>
      <x:c r="J906" s="4" t="str">
        <x:v>Unspecified</x:v>
      </x:c>
      <x:c r="K906" s="4" t="str">
        <x:f>IFERROR(INDEX('Crafting recipes'!$D$6:$D$1005,MATCH(B906,'Crafting recipes'!$A$6:$A$1005,0)),"MISSING ID")</x:f>
        <x:v>Proposal</x:v>
      </x:c>
      <x:c r="L906" s="4" t="str">
        <x:f>IFERROR(INDEX('Items'!$AD$6:$AD$1005,MATCH(D906,'Items'!$A$6:$A$1005,0)),"MISSING ID")</x:f>
        <x:v>Author direction</x:v>
      </x:c>
      <x:c r="M906" s="4" t="str">
        <x:f>IFERROR(INDEX('Crafting recipes'!$E$6:$E$1005,MATCH(B906,'Crafting recipes'!$A$6:$A$1005,0)),"MISSING ID")</x:f>
        <x:v>Partial proposal</x:v>
      </x:c>
      <x:c r="N906" s="4" t="str">
        <x:v>Candidate source or part only. Quantity, grade and method remain open.</x:v>
      </x:c>
      <x:c r="O906" s="4" t="str">
        <x:v>Collection expansion, October 15, 2026. New game proposal.</x:v>
      </x:c>
      <x:c r="P906" s="4" t="n">
        <x:f>IF(OR(C906="Ingredient candidate",C906="Consumed input",C906="Contained input",C906="Transform input"),IF(F906="T0",0,IF(F906="T1",1,IF(F906="T2",2,IF(F906="T3",3,IF(F906="T4",4,-1))))),-1)</x:f>
        <x:v>2</x:v>
      </x:c>
      <x:c r="Q906" s="4" t="n">
        <x:f>IF(AND(OR(C906="Ingredient candidate",C906="Consumed input",C906="Contained input",C906="Transform input"),P906=-1),1,0)</x:f>
        <x:v>0</x:v>
      </x:c>
    </x:row>
    <x:row r="907" ht="64" customHeight="1">
      <x:c r="A907" s="4" t="str">
        <x:v>design.collection.split_shaft_coupling.in.2</x:v>
      </x:c>
      <x:c r="B907" s="4" t="str">
        <x:v>design.collection.split_shaft_coupling</x:v>
      </x:c>
      <x:c r="C907" s="4" t="str">
        <x:v>Ingredient candidate</x:v>
      </x:c>
      <x:c r="D907" s="4" t="str">
        <x:v>proposal.lore.fastener_set</x:v>
      </x:c>
      <x:c r="E907" s="4" t="str">
        <x:f>IFERROR(INDEX('Items'!$B$6:$B$1005,MATCH(D907,'Items'!$A$6:$A$1005,0)),"MISSING ID")</x:f>
        <x:v>Matched metal fastener set</x:v>
      </x:c>
      <x:c r="F907" s="4" t="str">
        <x:f>IFERROR(INDEX('Items'!$C$6:$C$1005,MATCH(D907,'Items'!$A$6:$A$1005,0)),"MISSING ID")</x:f>
        <x:v>T3</x:v>
      </x:c>
      <x:c r="G907" s="4" t="str">
        <x:f>IFERROR(INDEX('Items'!$D$6:$D$1005,MATCH(D907,'Items'!$A$6:$A$1005,0)),"MISSING ID")</x:f>
        <x:v>Crafting components</x:v>
      </x:c>
      <x:c r="H907" s="4" t="str">
        <x:f>IFERROR(INDEX('Items'!$X$6:$X$1005,MATCH(D907,'Items'!$A$6:$A$1005,0)),"MISSING ID")</x:f>
        <x:v>Crafting component</x:v>
      </x:c>
      <x:c r="I907" s="4"/>
      <x:c r="J907" s="4" t="str">
        <x:v>Unspecified</x:v>
      </x:c>
      <x:c r="K907" s="4" t="str">
        <x:f>IFERROR(INDEX('Crafting recipes'!$D$6:$D$1005,MATCH(B907,'Crafting recipes'!$A$6:$A$1005,0)),"MISSING ID")</x:f>
        <x:v>Proposal</x:v>
      </x:c>
      <x:c r="L907" s="4" t="str">
        <x:f>IFERROR(INDEX('Items'!$AD$6:$AD$1005,MATCH(D907,'Items'!$A$6:$A$1005,0)),"MISSING ID")</x:f>
        <x:v>Proposal</x:v>
      </x:c>
      <x:c r="M907" s="4" t="str">
        <x:f>IFERROR(INDEX('Crafting recipes'!$E$6:$E$1005,MATCH(B907,'Crafting recipes'!$A$6:$A$1005,0)),"MISSING ID")</x:f>
        <x:v>Partial proposal</x:v>
      </x:c>
      <x:c r="N907" s="4" t="str">
        <x:v>Candidate source or part only. Quantity, grade and method remain open.</x:v>
      </x:c>
      <x:c r="O907" s="4" t="str">
        <x:v>Collection expansion, October 15, 2026. New game proposal.</x:v>
      </x:c>
      <x:c r="P907" s="4" t="n">
        <x:f>IF(OR(C907="Ingredient candidate",C907="Consumed input",C907="Contained input",C907="Transform input"),IF(F907="T0",0,IF(F907="T1",1,IF(F907="T2",2,IF(F907="T3",3,IF(F907="T4",4,-1))))),-1)</x:f>
        <x:v>3</x:v>
      </x:c>
      <x:c r="Q907" s="4" t="n">
        <x:f>IF(AND(OR(C907="Ingredient candidate",C907="Consumed input",C907="Contained input",C907="Transform input"),P907=-1),1,0)</x:f>
        <x:v>0</x:v>
      </x:c>
    </x:row>
    <x:row r="908" ht="64" customHeight="1">
      <x:c r="A908" s="4" t="str">
        <x:v>design.collection.split_shaft_coupling.out</x:v>
      </x:c>
      <x:c r="B908" s="4" t="str">
        <x:v>design.collection.split_shaft_coupling</x:v>
      </x:c>
      <x:c r="C908" s="4" t="str">
        <x:v>Output</x:v>
      </x:c>
      <x:c r="D908" s="4" t="str">
        <x:v>proposal.collection.split_shaft_coupling</x:v>
      </x:c>
      <x:c r="E908" s="4" t="str">
        <x:f>IFERROR(INDEX('Items'!$B$6:$B$1005,MATCH(D908,'Items'!$A$6:$A$1005,0)),"MISSING ID")</x:f>
        <x:v>Split shaft coupling</x:v>
      </x:c>
      <x:c r="F908" s="4" t="str">
        <x:f>IFERROR(INDEX('Items'!$C$6:$C$1005,MATCH(D908,'Items'!$A$6:$A$1005,0)),"MISSING ID")</x:f>
        <x:v>T4</x:v>
      </x:c>
      <x:c r="G908" s="4" t="str">
        <x:f>IFERROR(INDEX('Items'!$D$6:$D$1005,MATCH(D908,'Items'!$A$6:$A$1005,0)),"MISSING ID")</x:f>
        <x:v>Crafting components</x:v>
      </x:c>
      <x:c r="H908" s="4" t="str">
        <x:f>IFERROR(INDEX('Items'!$X$6:$X$1005,MATCH(D908,'Items'!$A$6:$A$1005,0)),"MISSING ID")</x:f>
        <x:v>Machine part</x:v>
      </x:c>
      <x:c r="I908" s="4"/>
      <x:c r="J908" s="4" t="str">
        <x:v>Unspecified</x:v>
      </x:c>
      <x:c r="K908" s="4" t="str">
        <x:f>IFERROR(INDEX('Crafting recipes'!$D$6:$D$1005,MATCH(B908,'Crafting recipes'!$A$6:$A$1005,0)),"MISSING ID")</x:f>
        <x:v>Proposal</x:v>
      </x:c>
      <x:c r="L908" s="4" t="str">
        <x:f>IFERROR(INDEX('Items'!$AD$6:$AD$1005,MATCH(D908,'Items'!$A$6:$A$1005,0)),"MISSING ID")</x:f>
        <x:v>Proposal</x:v>
      </x:c>
      <x:c r="M908" s="4" t="str">
        <x:f>IFERROR(INDEX('Crafting recipes'!$E$6:$E$1005,MATCH(B908,'Crafting recipes'!$A$6:$A$1005,0)),"MISSING ID")</x:f>
        <x:v>Partial proposal</x:v>
      </x:c>
      <x:c r="N908" s="4" t="str">
        <x:v>Candidate source or part only. Quantity, grade and method remain open.</x:v>
      </x:c>
      <x:c r="O908" s="4" t="str">
        <x:v>Collection expansion, October 15, 2026. New game proposal.</x:v>
      </x:c>
      <x:c r="P908" s="4" t="n">
        <x:f>IF(OR(C908="Ingredient candidate",C908="Consumed input",C908="Contained input",C908="Transform input"),IF(F908="T0",0,IF(F908="T1",1,IF(F908="T2",2,IF(F908="T3",3,IF(F908="T4",4,-1))))),-1)</x:f>
        <x:v>-1</x:v>
      </x:c>
      <x:c r="Q908" s="4" t="n">
        <x:f>IF(AND(OR(C908="Ingredient candidate",C908="Consumed input",C908="Contained input",C908="Transform input"),P908=-1),1,0)</x:f>
        <x:v>0</x:v>
      </x:c>
    </x:row>
    <x:row r="909" ht="64" customHeight="1">
      <x:c r="A909" s="4" t="str">
        <x:v>design.collection.keyed_drive_shaft.in.1</x:v>
      </x:c>
      <x:c r="B909" s="4" t="str">
        <x:v>design.collection.keyed_drive_shaft</x:v>
      </x:c>
      <x:c r="C909" s="4" t="str">
        <x:v>Ingredient candidate</x:v>
      </x:c>
      <x:c r="D909" s="4" t="str">
        <x:v>author.metallurgy.steel_stock</x:v>
      </x:c>
      <x:c r="E909" s="4" t="str">
        <x:f>IFERROR(INDEX('Items'!$B$6:$B$1005,MATCH(D909,'Items'!$A$6:$A$1005,0)),"MISSING ID")</x:f>
        <x:v>Steel stock</x:v>
      </x:c>
      <x:c r="F909" s="4" t="str">
        <x:f>IFERROR(INDEX('Items'!$C$6:$C$1005,MATCH(D909,'Items'!$A$6:$A$1005,0)),"MISSING ID")</x:f>
        <x:v>T2</x:v>
      </x:c>
      <x:c r="G909" s="4" t="str">
        <x:f>IFERROR(INDEX('Items'!$D$6:$D$1005,MATCH(D909,'Items'!$A$6:$A$1005,0)),"MISSING ID")</x:f>
        <x:v>Manufactured stock</x:v>
      </x:c>
      <x:c r="H909" s="4" t="str">
        <x:f>IFERROR(INDEX('Items'!$X$6:$X$1005,MATCH(D909,'Items'!$A$6:$A$1005,0)),"MISSING ID")</x:f>
        <x:v>Processed material</x:v>
      </x:c>
      <x:c r="I909" s="4"/>
      <x:c r="J909" s="4" t="str">
        <x:v>Unspecified</x:v>
      </x:c>
      <x:c r="K909" s="4" t="str">
        <x:f>IFERROR(INDEX('Crafting recipes'!$D$6:$D$1005,MATCH(B909,'Crafting recipes'!$A$6:$A$1005,0)),"MISSING ID")</x:f>
        <x:v>Proposal</x:v>
      </x:c>
      <x:c r="L909" s="4" t="str">
        <x:f>IFERROR(INDEX('Items'!$AD$6:$AD$1005,MATCH(D909,'Items'!$A$6:$A$1005,0)),"MISSING ID")</x:f>
        <x:v>Author direction</x:v>
      </x:c>
      <x:c r="M909" s="4" t="str">
        <x:f>IFERROR(INDEX('Crafting recipes'!$E$6:$E$1005,MATCH(B909,'Crafting recipes'!$A$6:$A$1005,0)),"MISSING ID")</x:f>
        <x:v>Partial proposal</x:v>
      </x:c>
      <x:c r="N909" s="4" t="str">
        <x:v>Candidate source or part only. Quantity, grade and method remain open.</x:v>
      </x:c>
      <x:c r="O909" s="4" t="str">
        <x:v>Collection expansion, October 15, 2026. New game proposal.</x:v>
      </x:c>
      <x:c r="P909" s="4" t="n">
        <x:f>IF(OR(C909="Ingredient candidate",C909="Consumed input",C909="Contained input",C909="Transform input"),IF(F909="T0",0,IF(F909="T1",1,IF(F909="T2",2,IF(F909="T3",3,IF(F909="T4",4,-1))))),-1)</x:f>
        <x:v>2</x:v>
      </x:c>
      <x:c r="Q909" s="4" t="n">
        <x:f>IF(AND(OR(C909="Ingredient candidate",C909="Consumed input",C909="Contained input",C909="Transform input"),P909=-1),1,0)</x:f>
        <x:v>0</x:v>
      </x:c>
    </x:row>
    <x:row r="910" ht="64" customHeight="1">
      <x:c r="A910" s="4" t="str">
        <x:v>design.collection.keyed_drive_shaft.out</x:v>
      </x:c>
      <x:c r="B910" s="4" t="str">
        <x:v>design.collection.keyed_drive_shaft</x:v>
      </x:c>
      <x:c r="C910" s="4" t="str">
        <x:v>Output</x:v>
      </x:c>
      <x:c r="D910" s="4" t="str">
        <x:v>proposal.collection.keyed_drive_shaft</x:v>
      </x:c>
      <x:c r="E910" s="4" t="str">
        <x:f>IFERROR(INDEX('Items'!$B$6:$B$1005,MATCH(D910,'Items'!$A$6:$A$1005,0)),"MISSING ID")</x:f>
        <x:v>Keyed drive shaft</x:v>
      </x:c>
      <x:c r="F910" s="4" t="str">
        <x:f>IFERROR(INDEX('Items'!$C$6:$C$1005,MATCH(D910,'Items'!$A$6:$A$1005,0)),"MISSING ID")</x:f>
        <x:v>T3</x:v>
      </x:c>
      <x:c r="G910" s="4" t="str">
        <x:f>IFERROR(INDEX('Items'!$D$6:$D$1005,MATCH(D910,'Items'!$A$6:$A$1005,0)),"MISSING ID")</x:f>
        <x:v>Crafting components</x:v>
      </x:c>
      <x:c r="H910" s="4" t="str">
        <x:f>IFERROR(INDEX('Items'!$X$6:$X$1005,MATCH(D910,'Items'!$A$6:$A$1005,0)),"MISSING ID")</x:f>
        <x:v>Machine part</x:v>
      </x:c>
      <x:c r="I910" s="4"/>
      <x:c r="J910" s="4" t="str">
        <x:v>Unspecified</x:v>
      </x:c>
      <x:c r="K910" s="4" t="str">
        <x:f>IFERROR(INDEX('Crafting recipes'!$D$6:$D$1005,MATCH(B910,'Crafting recipes'!$A$6:$A$1005,0)),"MISSING ID")</x:f>
        <x:v>Proposal</x:v>
      </x:c>
      <x:c r="L910" s="4" t="str">
        <x:f>IFERROR(INDEX('Items'!$AD$6:$AD$1005,MATCH(D910,'Items'!$A$6:$A$1005,0)),"MISSING ID")</x:f>
        <x:v>Proposal</x:v>
      </x:c>
      <x:c r="M910" s="4" t="str">
        <x:f>IFERROR(INDEX('Crafting recipes'!$E$6:$E$1005,MATCH(B910,'Crafting recipes'!$A$6:$A$1005,0)),"MISSING ID")</x:f>
        <x:v>Partial proposal</x:v>
      </x:c>
      <x:c r="N910" s="4" t="str">
        <x:v>Candidate source or part only. Quantity, grade and method remain open.</x:v>
      </x:c>
      <x:c r="O910" s="4" t="str">
        <x:v>Collection expansion, October 15, 2026. New game proposal.</x:v>
      </x:c>
      <x:c r="P910" s="4" t="n">
        <x:f>IF(OR(C910="Ingredient candidate",C910="Consumed input",C910="Contained input",C910="Transform input"),IF(F910="T0",0,IF(F910="T1",1,IF(F910="T2",2,IF(F910="T3",3,IF(F910="T4",4,-1))))),-1)</x:f>
        <x:v>-1</x:v>
      </x:c>
      <x:c r="Q910" s="4" t="n">
        <x:f>IF(AND(OR(C910="Ingredient candidate",C910="Consumed input",C910="Contained input",C910="Transform input"),P910=-1),1,0)</x:f>
        <x:v>0</x:v>
      </x:c>
    </x:row>
    <x:row r="911" ht="64" customHeight="1">
      <x:c r="A911" s="4" t="str">
        <x:v>design.collection.eccentric_cam_disc.in.1</x:v>
      </x:c>
      <x:c r="B911" s="4" t="str">
        <x:v>design.collection.eccentric_cam_disc</x:v>
      </x:c>
      <x:c r="C911" s="4" t="str">
        <x:v>Ingredient candidate</x:v>
      </x:c>
      <x:c r="D911" s="4" t="str">
        <x:v>author.metallurgy.steel_stock</x:v>
      </x:c>
      <x:c r="E911" s="4" t="str">
        <x:f>IFERROR(INDEX('Items'!$B$6:$B$1005,MATCH(D911,'Items'!$A$6:$A$1005,0)),"MISSING ID")</x:f>
        <x:v>Steel stock</x:v>
      </x:c>
      <x:c r="F911" s="4" t="str">
        <x:f>IFERROR(INDEX('Items'!$C$6:$C$1005,MATCH(D911,'Items'!$A$6:$A$1005,0)),"MISSING ID")</x:f>
        <x:v>T2</x:v>
      </x:c>
      <x:c r="G911" s="4" t="str">
        <x:f>IFERROR(INDEX('Items'!$D$6:$D$1005,MATCH(D911,'Items'!$A$6:$A$1005,0)),"MISSING ID")</x:f>
        <x:v>Manufactured stock</x:v>
      </x:c>
      <x:c r="H911" s="4" t="str">
        <x:f>IFERROR(INDEX('Items'!$X$6:$X$1005,MATCH(D911,'Items'!$A$6:$A$1005,0)),"MISSING ID")</x:f>
        <x:v>Processed material</x:v>
      </x:c>
      <x:c r="I911" s="4"/>
      <x:c r="J911" s="4" t="str">
        <x:v>Unspecified</x:v>
      </x:c>
      <x:c r="K911" s="4" t="str">
        <x:f>IFERROR(INDEX('Crafting recipes'!$D$6:$D$1005,MATCH(B911,'Crafting recipes'!$A$6:$A$1005,0)),"MISSING ID")</x:f>
        <x:v>Proposal</x:v>
      </x:c>
      <x:c r="L911" s="4" t="str">
        <x:f>IFERROR(INDEX('Items'!$AD$6:$AD$1005,MATCH(D911,'Items'!$A$6:$A$1005,0)),"MISSING ID")</x:f>
        <x:v>Author direction</x:v>
      </x:c>
      <x:c r="M911" s="4" t="str">
        <x:f>IFERROR(INDEX('Crafting recipes'!$E$6:$E$1005,MATCH(B911,'Crafting recipes'!$A$6:$A$1005,0)),"MISSING ID")</x:f>
        <x:v>Partial proposal</x:v>
      </x:c>
      <x:c r="N911" s="4" t="str">
        <x:v>Candidate source or part only. Quantity, grade and method remain open.</x:v>
      </x:c>
      <x:c r="O911" s="4" t="str">
        <x:v>Collection expansion, October 15, 2026. New game proposal.</x:v>
      </x:c>
      <x:c r="P911" s="4" t="n">
        <x:f>IF(OR(C911="Ingredient candidate",C911="Consumed input",C911="Contained input",C911="Transform input"),IF(F911="T0",0,IF(F911="T1",1,IF(F911="T2",2,IF(F911="T3",3,IF(F911="T4",4,-1))))),-1)</x:f>
        <x:v>2</x:v>
      </x:c>
      <x:c r="Q911" s="4" t="n">
        <x:f>IF(AND(OR(C911="Ingredient candidate",C911="Consumed input",C911="Contained input",C911="Transform input"),P911=-1),1,0)</x:f>
        <x:v>0</x:v>
      </x:c>
    </x:row>
    <x:row r="912" ht="64" customHeight="1">
      <x:c r="A912" s="4" t="str">
        <x:v>design.collection.eccentric_cam_disc.out</x:v>
      </x:c>
      <x:c r="B912" s="4" t="str">
        <x:v>design.collection.eccentric_cam_disc</x:v>
      </x:c>
      <x:c r="C912" s="4" t="str">
        <x:v>Output</x:v>
      </x:c>
      <x:c r="D912" s="4" t="str">
        <x:v>proposal.collection.eccentric_cam_disc</x:v>
      </x:c>
      <x:c r="E912" s="4" t="str">
        <x:f>IFERROR(INDEX('Items'!$B$6:$B$1005,MATCH(D912,'Items'!$A$6:$A$1005,0)),"MISSING ID")</x:f>
        <x:v>Eccentric cam disc</x:v>
      </x:c>
      <x:c r="F912" s="4" t="str">
        <x:f>IFERROR(INDEX('Items'!$C$6:$C$1005,MATCH(D912,'Items'!$A$6:$A$1005,0)),"MISSING ID")</x:f>
        <x:v>T3</x:v>
      </x:c>
      <x:c r="G912" s="4" t="str">
        <x:f>IFERROR(INDEX('Items'!$D$6:$D$1005,MATCH(D912,'Items'!$A$6:$A$1005,0)),"MISSING ID")</x:f>
        <x:v>Crafting components</x:v>
      </x:c>
      <x:c r="H912" s="4" t="str">
        <x:f>IFERROR(INDEX('Items'!$X$6:$X$1005,MATCH(D912,'Items'!$A$6:$A$1005,0)),"MISSING ID")</x:f>
        <x:v>Machine part</x:v>
      </x:c>
      <x:c r="I912" s="4"/>
      <x:c r="J912" s="4" t="str">
        <x:v>Unspecified</x:v>
      </x:c>
      <x:c r="K912" s="4" t="str">
        <x:f>IFERROR(INDEX('Crafting recipes'!$D$6:$D$1005,MATCH(B912,'Crafting recipes'!$A$6:$A$1005,0)),"MISSING ID")</x:f>
        <x:v>Proposal</x:v>
      </x:c>
      <x:c r="L912" s="4" t="str">
        <x:f>IFERROR(INDEX('Items'!$AD$6:$AD$1005,MATCH(D912,'Items'!$A$6:$A$1005,0)),"MISSING ID")</x:f>
        <x:v>Proposal</x:v>
      </x:c>
      <x:c r="M912" s="4" t="str">
        <x:f>IFERROR(INDEX('Crafting recipes'!$E$6:$E$1005,MATCH(B912,'Crafting recipes'!$A$6:$A$1005,0)),"MISSING ID")</x:f>
        <x:v>Partial proposal</x:v>
      </x:c>
      <x:c r="N912" s="4" t="str">
        <x:v>Candidate source or part only. Quantity, grade and method remain open.</x:v>
      </x:c>
      <x:c r="O912" s="4" t="str">
        <x:v>Collection expansion, October 15, 2026. New game proposal.</x:v>
      </x:c>
      <x:c r="P912" s="4" t="n">
        <x:f>IF(OR(C912="Ingredient candidate",C912="Consumed input",C912="Contained input",C912="Transform input"),IF(F912="T0",0,IF(F912="T1",1,IF(F912="T2",2,IF(F912="T3",3,IF(F912="T4",4,-1))))),-1)</x:f>
        <x:v>-1</x:v>
      </x:c>
      <x:c r="Q912" s="4" t="n">
        <x:f>IF(AND(OR(C912="Ingredient candidate",C912="Consumed input",C912="Contained input",C912="Transform input"),P912=-1),1,0)</x:f>
        <x:v>0</x:v>
      </x:c>
    </x:row>
    <x:row r="913" ht="64" customHeight="1">
      <x:c r="A913" s="4" t="str">
        <x:v>design.collection.cam_follower_roller.in.1</x:v>
      </x:c>
      <x:c r="B913" s="4" t="str">
        <x:v>design.collection.cam_follower_roller</x:v>
      </x:c>
      <x:c r="C913" s="4" t="str">
        <x:v>Ingredient candidate</x:v>
      </x:c>
      <x:c r="D913" s="4" t="str">
        <x:v>proposal.t3.bearing_blank</x:v>
      </x:c>
      <x:c r="E913" s="4" t="str">
        <x:f>IFERROR(INDEX('Items'!$B$6:$B$1005,MATCH(D913,'Items'!$A$6:$A$1005,0)),"MISSING ID")</x:f>
        <x:v>Lapped bronze bearing blanks</x:v>
      </x:c>
      <x:c r="F913" s="4" t="str">
        <x:f>IFERROR(INDEX('Items'!$C$6:$C$1005,MATCH(D913,'Items'!$A$6:$A$1005,0)),"MISSING ID")</x:f>
        <x:v>T3</x:v>
      </x:c>
      <x:c r="G913" s="4" t="str">
        <x:f>IFERROR(INDEX('Items'!$D$6:$D$1005,MATCH(D913,'Items'!$A$6:$A$1005,0)),"MISSING ID")</x:f>
        <x:v>Crafting components</x:v>
      </x:c>
      <x:c r="H913" s="4" t="str">
        <x:f>IFERROR(INDEX('Items'!$X$6:$X$1005,MATCH(D913,'Items'!$A$6:$A$1005,0)),"MISSING ID")</x:f>
        <x:v>Crafting component</x:v>
      </x:c>
      <x:c r="I913" s="4"/>
      <x:c r="J913" s="4" t="str">
        <x:v>Unspecified</x:v>
      </x:c>
      <x:c r="K913" s="4" t="str">
        <x:f>IFERROR(INDEX('Crafting recipes'!$D$6:$D$1005,MATCH(B913,'Crafting recipes'!$A$6:$A$1005,0)),"MISSING ID")</x:f>
        <x:v>Proposal</x:v>
      </x:c>
      <x:c r="L913" s="4" t="str">
        <x:f>IFERROR(INDEX('Items'!$AD$6:$AD$1005,MATCH(D913,'Items'!$A$6:$A$1005,0)),"MISSING ID")</x:f>
        <x:v>Proposal</x:v>
      </x:c>
      <x:c r="M913" s="4" t="str">
        <x:f>IFERROR(INDEX('Crafting recipes'!$E$6:$E$1005,MATCH(B913,'Crafting recipes'!$A$6:$A$1005,0)),"MISSING ID")</x:f>
        <x:v>Partial proposal</x:v>
      </x:c>
      <x:c r="N913" s="4" t="str">
        <x:v>Candidate source or part only. Quantity, grade and method remain open.</x:v>
      </x:c>
      <x:c r="O913" s="4" t="str">
        <x:v>Collection expansion, October 15, 2026. New game proposal.</x:v>
      </x:c>
      <x:c r="P913" s="4" t="n">
        <x:f>IF(OR(C913="Ingredient candidate",C913="Consumed input",C913="Contained input",C913="Transform input"),IF(F913="T0",0,IF(F913="T1",1,IF(F913="T2",2,IF(F913="T3",3,IF(F913="T4",4,-1))))),-1)</x:f>
        <x:v>3</x:v>
      </x:c>
      <x:c r="Q913" s="4" t="n">
        <x:f>IF(AND(OR(C913="Ingredient candidate",C913="Consumed input",C913="Contained input",C913="Transform input"),P913=-1),1,0)</x:f>
        <x:v>0</x:v>
      </x:c>
    </x:row>
    <x:row r="914" ht="64" customHeight="1">
      <x:c r="A914" s="4" t="str">
        <x:v>design.collection.cam_follower_roller.in.2</x:v>
      </x:c>
      <x:c r="B914" s="4" t="str">
        <x:v>design.collection.cam_follower_roller</x:v>
      </x:c>
      <x:c r="C914" s="4" t="str">
        <x:v>Ingredient candidate</x:v>
      </x:c>
      <x:c r="D914" s="4" t="str">
        <x:v>author.metallurgy.steel_stock</x:v>
      </x:c>
      <x:c r="E914" s="4" t="str">
        <x:f>IFERROR(INDEX('Items'!$B$6:$B$1005,MATCH(D914,'Items'!$A$6:$A$1005,0)),"MISSING ID")</x:f>
        <x:v>Steel stock</x:v>
      </x:c>
      <x:c r="F914" s="4" t="str">
        <x:f>IFERROR(INDEX('Items'!$C$6:$C$1005,MATCH(D914,'Items'!$A$6:$A$1005,0)),"MISSING ID")</x:f>
        <x:v>T2</x:v>
      </x:c>
      <x:c r="G914" s="4" t="str">
        <x:f>IFERROR(INDEX('Items'!$D$6:$D$1005,MATCH(D914,'Items'!$A$6:$A$1005,0)),"MISSING ID")</x:f>
        <x:v>Manufactured stock</x:v>
      </x:c>
      <x:c r="H914" s="4" t="str">
        <x:f>IFERROR(INDEX('Items'!$X$6:$X$1005,MATCH(D914,'Items'!$A$6:$A$1005,0)),"MISSING ID")</x:f>
        <x:v>Processed material</x:v>
      </x:c>
      <x:c r="I914" s="4"/>
      <x:c r="J914" s="4" t="str">
        <x:v>Unspecified</x:v>
      </x:c>
      <x:c r="K914" s="4" t="str">
        <x:f>IFERROR(INDEX('Crafting recipes'!$D$6:$D$1005,MATCH(B914,'Crafting recipes'!$A$6:$A$1005,0)),"MISSING ID")</x:f>
        <x:v>Proposal</x:v>
      </x:c>
      <x:c r="L914" s="4" t="str">
        <x:f>IFERROR(INDEX('Items'!$AD$6:$AD$1005,MATCH(D914,'Items'!$A$6:$A$1005,0)),"MISSING ID")</x:f>
        <x:v>Author direction</x:v>
      </x:c>
      <x:c r="M914" s="4" t="str">
        <x:f>IFERROR(INDEX('Crafting recipes'!$E$6:$E$1005,MATCH(B914,'Crafting recipes'!$A$6:$A$1005,0)),"MISSING ID")</x:f>
        <x:v>Partial proposal</x:v>
      </x:c>
      <x:c r="N914" s="4" t="str">
        <x:v>Candidate source or part only. Quantity, grade and method remain open.</x:v>
      </x:c>
      <x:c r="O914" s="4" t="str">
        <x:v>Collection expansion, October 15, 2026. New game proposal.</x:v>
      </x:c>
      <x:c r="P914" s="4" t="n">
        <x:f>IF(OR(C914="Ingredient candidate",C914="Consumed input",C914="Contained input",C914="Transform input"),IF(F914="T0",0,IF(F914="T1",1,IF(F914="T2",2,IF(F914="T3",3,IF(F914="T4",4,-1))))),-1)</x:f>
        <x:v>2</x:v>
      </x:c>
      <x:c r="Q914" s="4" t="n">
        <x:f>IF(AND(OR(C914="Ingredient candidate",C914="Consumed input",C914="Contained input",C914="Transform input"),P914=-1),1,0)</x:f>
        <x:v>0</x:v>
      </x:c>
    </x:row>
    <x:row r="915" ht="64" customHeight="1">
      <x:c r="A915" s="4" t="str">
        <x:v>design.collection.cam_follower_roller.out</x:v>
      </x:c>
      <x:c r="B915" s="4" t="str">
        <x:v>design.collection.cam_follower_roller</x:v>
      </x:c>
      <x:c r="C915" s="4" t="str">
        <x:v>Output</x:v>
      </x:c>
      <x:c r="D915" s="4" t="str">
        <x:v>proposal.collection.cam_follower_roller</x:v>
      </x:c>
      <x:c r="E915" s="4" t="str">
        <x:f>IFERROR(INDEX('Items'!$B$6:$B$1005,MATCH(D915,'Items'!$A$6:$A$1005,0)),"MISSING ID")</x:f>
        <x:v>Cam follower roller</x:v>
      </x:c>
      <x:c r="F915" s="4" t="str">
        <x:f>IFERROR(INDEX('Items'!$C$6:$C$1005,MATCH(D915,'Items'!$A$6:$A$1005,0)),"MISSING ID")</x:f>
        <x:v>T4</x:v>
      </x:c>
      <x:c r="G915" s="4" t="str">
        <x:f>IFERROR(INDEX('Items'!$D$6:$D$1005,MATCH(D915,'Items'!$A$6:$A$1005,0)),"MISSING ID")</x:f>
        <x:v>Crafting components</x:v>
      </x:c>
      <x:c r="H915" s="4" t="str">
        <x:f>IFERROR(INDEX('Items'!$X$6:$X$1005,MATCH(D915,'Items'!$A$6:$A$1005,0)),"MISSING ID")</x:f>
        <x:v>Machine part</x:v>
      </x:c>
      <x:c r="I915" s="4"/>
      <x:c r="J915" s="4" t="str">
        <x:v>Unspecified</x:v>
      </x:c>
      <x:c r="K915" s="4" t="str">
        <x:f>IFERROR(INDEX('Crafting recipes'!$D$6:$D$1005,MATCH(B915,'Crafting recipes'!$A$6:$A$1005,0)),"MISSING ID")</x:f>
        <x:v>Proposal</x:v>
      </x:c>
      <x:c r="L915" s="4" t="str">
        <x:f>IFERROR(INDEX('Items'!$AD$6:$AD$1005,MATCH(D915,'Items'!$A$6:$A$1005,0)),"MISSING ID")</x:f>
        <x:v>Proposal</x:v>
      </x:c>
      <x:c r="M915" s="4" t="str">
        <x:f>IFERROR(INDEX('Crafting recipes'!$E$6:$E$1005,MATCH(B915,'Crafting recipes'!$A$6:$A$1005,0)),"MISSING ID")</x:f>
        <x:v>Partial proposal</x:v>
      </x:c>
      <x:c r="N915" s="4" t="str">
        <x:v>Candidate source or part only. Quantity, grade and method remain open.</x:v>
      </x:c>
      <x:c r="O915" s="4" t="str">
        <x:v>Collection expansion, October 15, 2026. New game proposal.</x:v>
      </x:c>
      <x:c r="P915" s="4" t="n">
        <x:f>IF(OR(C915="Ingredient candidate",C915="Consumed input",C915="Contained input",C915="Transform input"),IF(F915="T0",0,IF(F915="T1",1,IF(F915="T2",2,IF(F915="T3",3,IF(F915="T4",4,-1))))),-1)</x:f>
        <x:v>-1</x:v>
      </x:c>
      <x:c r="Q915" s="4" t="n">
        <x:f>IF(AND(OR(C915="Ingredient candidate",C915="Consumed input",C915="Contained input",C915="Transform input"),P915=-1),1,0)</x:f>
        <x:v>0</x:v>
      </x:c>
    </x:row>
    <x:row r="916" ht="64" customHeight="1">
      <x:c r="A916" s="4" t="str">
        <x:v>design.collection.ratchet_wheel.in.1</x:v>
      </x:c>
      <x:c r="B916" s="4" t="str">
        <x:v>design.collection.ratchet_wheel</x:v>
      </x:c>
      <x:c r="C916" s="4" t="str">
        <x:v>Ingredient candidate</x:v>
      </x:c>
      <x:c r="D916" s="4" t="str">
        <x:v>author.metallurgy.steel_stock</x:v>
      </x:c>
      <x:c r="E916" s="4" t="str">
        <x:f>IFERROR(INDEX('Items'!$B$6:$B$1005,MATCH(D916,'Items'!$A$6:$A$1005,0)),"MISSING ID")</x:f>
        <x:v>Steel stock</x:v>
      </x:c>
      <x:c r="F916" s="4" t="str">
        <x:f>IFERROR(INDEX('Items'!$C$6:$C$1005,MATCH(D916,'Items'!$A$6:$A$1005,0)),"MISSING ID")</x:f>
        <x:v>T2</x:v>
      </x:c>
      <x:c r="G916" s="4" t="str">
        <x:f>IFERROR(INDEX('Items'!$D$6:$D$1005,MATCH(D916,'Items'!$A$6:$A$1005,0)),"MISSING ID")</x:f>
        <x:v>Manufactured stock</x:v>
      </x:c>
      <x:c r="H916" s="4" t="str">
        <x:f>IFERROR(INDEX('Items'!$X$6:$X$1005,MATCH(D916,'Items'!$A$6:$A$1005,0)),"MISSING ID")</x:f>
        <x:v>Processed material</x:v>
      </x:c>
      <x:c r="I916" s="4"/>
      <x:c r="J916" s="4" t="str">
        <x:v>Unspecified</x:v>
      </x:c>
      <x:c r="K916" s="4" t="str">
        <x:f>IFERROR(INDEX('Crafting recipes'!$D$6:$D$1005,MATCH(B916,'Crafting recipes'!$A$6:$A$1005,0)),"MISSING ID")</x:f>
        <x:v>Proposal</x:v>
      </x:c>
      <x:c r="L916" s="4" t="str">
        <x:f>IFERROR(INDEX('Items'!$AD$6:$AD$1005,MATCH(D916,'Items'!$A$6:$A$1005,0)),"MISSING ID")</x:f>
        <x:v>Author direction</x:v>
      </x:c>
      <x:c r="M916" s="4" t="str">
        <x:f>IFERROR(INDEX('Crafting recipes'!$E$6:$E$1005,MATCH(B916,'Crafting recipes'!$A$6:$A$1005,0)),"MISSING ID")</x:f>
        <x:v>Partial proposal</x:v>
      </x:c>
      <x:c r="N916" s="4" t="str">
        <x:v>Candidate source or part only. Quantity, grade and method remain open.</x:v>
      </x:c>
      <x:c r="O916" s="4" t="str">
        <x:v>Collection expansion, October 15, 2026. New game proposal.</x:v>
      </x:c>
      <x:c r="P916" s="4" t="n">
        <x:f>IF(OR(C916="Ingredient candidate",C916="Consumed input",C916="Contained input",C916="Transform input"),IF(F916="T0",0,IF(F916="T1",1,IF(F916="T2",2,IF(F916="T3",3,IF(F916="T4",4,-1))))),-1)</x:f>
        <x:v>2</x:v>
      </x:c>
      <x:c r="Q916" s="4" t="n">
        <x:f>IF(AND(OR(C916="Ingredient candidate",C916="Consumed input",C916="Contained input",C916="Transform input"),P916=-1),1,0)</x:f>
        <x:v>0</x:v>
      </x:c>
    </x:row>
    <x:row r="917" ht="64" customHeight="1">
      <x:c r="A917" s="4" t="str">
        <x:v>design.collection.ratchet_wheel.out</x:v>
      </x:c>
      <x:c r="B917" s="4" t="str">
        <x:v>design.collection.ratchet_wheel</x:v>
      </x:c>
      <x:c r="C917" s="4" t="str">
        <x:v>Output</x:v>
      </x:c>
      <x:c r="D917" s="4" t="str">
        <x:v>proposal.collection.ratchet_wheel</x:v>
      </x:c>
      <x:c r="E917" s="4" t="str">
        <x:f>IFERROR(INDEX('Items'!$B$6:$B$1005,MATCH(D917,'Items'!$A$6:$A$1005,0)),"MISSING ID")</x:f>
        <x:v>Ratchet wheel</x:v>
      </x:c>
      <x:c r="F917" s="4" t="str">
        <x:f>IFERROR(INDEX('Items'!$C$6:$C$1005,MATCH(D917,'Items'!$A$6:$A$1005,0)),"MISSING ID")</x:f>
        <x:v>T3</x:v>
      </x:c>
      <x:c r="G917" s="4" t="str">
        <x:f>IFERROR(INDEX('Items'!$D$6:$D$1005,MATCH(D917,'Items'!$A$6:$A$1005,0)),"MISSING ID")</x:f>
        <x:v>Crafting components</x:v>
      </x:c>
      <x:c r="H917" s="4" t="str">
        <x:f>IFERROR(INDEX('Items'!$X$6:$X$1005,MATCH(D917,'Items'!$A$6:$A$1005,0)),"MISSING ID")</x:f>
        <x:v>Machine part</x:v>
      </x:c>
      <x:c r="I917" s="4"/>
      <x:c r="J917" s="4" t="str">
        <x:v>Unspecified</x:v>
      </x:c>
      <x:c r="K917" s="4" t="str">
        <x:f>IFERROR(INDEX('Crafting recipes'!$D$6:$D$1005,MATCH(B917,'Crafting recipes'!$A$6:$A$1005,0)),"MISSING ID")</x:f>
        <x:v>Proposal</x:v>
      </x:c>
      <x:c r="L917" s="4" t="str">
        <x:f>IFERROR(INDEX('Items'!$AD$6:$AD$1005,MATCH(D917,'Items'!$A$6:$A$1005,0)),"MISSING ID")</x:f>
        <x:v>Proposal</x:v>
      </x:c>
      <x:c r="M917" s="4" t="str">
        <x:f>IFERROR(INDEX('Crafting recipes'!$E$6:$E$1005,MATCH(B917,'Crafting recipes'!$A$6:$A$1005,0)),"MISSING ID")</x:f>
        <x:v>Partial proposal</x:v>
      </x:c>
      <x:c r="N917" s="4" t="str">
        <x:v>Candidate source or part only. Quantity, grade and method remain open.</x:v>
      </x:c>
      <x:c r="O917" s="4" t="str">
        <x:v>Collection expansion, October 15, 2026. New game proposal.</x:v>
      </x:c>
      <x:c r="P917" s="4" t="n">
        <x:f>IF(OR(C917="Ingredient candidate",C917="Consumed input",C917="Contained input",C917="Transform input"),IF(F917="T0",0,IF(F917="T1",1,IF(F917="T2",2,IF(F917="T3",3,IF(F917="T4",4,-1))))),-1)</x:f>
        <x:v>-1</x:v>
      </x:c>
      <x:c r="Q917" s="4" t="n">
        <x:f>IF(AND(OR(C917="Ingredient candidate",C917="Consumed input",C917="Contained input",C917="Transform input"),P917=-1),1,0)</x:f>
        <x:v>0</x:v>
      </x:c>
    </x:row>
    <x:row r="918" ht="64" customHeight="1">
      <x:c r="A918" s="4" t="str">
        <x:v>design.collection.ratchet_pawl.in.1</x:v>
      </x:c>
      <x:c r="B918" s="4" t="str">
        <x:v>design.collection.ratchet_pawl</x:v>
      </x:c>
      <x:c r="C918" s="4" t="str">
        <x:v>Ingredient candidate</x:v>
      </x:c>
      <x:c r="D918" s="4" t="str">
        <x:v>proposal.branch.spring_steel</x:v>
      </x:c>
      <x:c r="E918" s="4" t="str">
        <x:f>IFERROR(INDEX('Items'!$B$6:$B$1005,MATCH(D918,'Items'!$A$6:$A$1005,0)),"MISSING ID")</x:f>
        <x:v>Spring-grade steel stock</x:v>
      </x:c>
      <x:c r="F918" s="4" t="str">
        <x:f>IFERROR(INDEX('Items'!$C$6:$C$1005,MATCH(D918,'Items'!$A$6:$A$1005,0)),"MISSING ID")</x:f>
        <x:v>T3</x:v>
      </x:c>
      <x:c r="G918" s="4" t="str">
        <x:f>IFERROR(INDEX('Items'!$D$6:$D$1005,MATCH(D918,'Items'!$A$6:$A$1005,0)),"MISSING ID")</x:f>
        <x:v>Manufactured stock</x:v>
      </x:c>
      <x:c r="H918" s="4" t="str">
        <x:f>IFERROR(INDEX('Items'!$X$6:$X$1005,MATCH(D918,'Items'!$A$6:$A$1005,0)),"MISSING ID")</x:f>
        <x:v>Processed material</x:v>
      </x:c>
      <x:c r="I918" s="4"/>
      <x:c r="J918" s="4" t="str">
        <x:v>Unspecified</x:v>
      </x:c>
      <x:c r="K918" s="4" t="str">
        <x:f>IFERROR(INDEX('Crafting recipes'!$D$6:$D$1005,MATCH(B918,'Crafting recipes'!$A$6:$A$1005,0)),"MISSING ID")</x:f>
        <x:v>Proposal</x:v>
      </x:c>
      <x:c r="L918" s="4" t="str">
        <x:f>IFERROR(INDEX('Items'!$AD$6:$AD$1005,MATCH(D918,'Items'!$A$6:$A$1005,0)),"MISSING ID")</x:f>
        <x:v>Proposal</x:v>
      </x:c>
      <x:c r="M918" s="4" t="str">
        <x:f>IFERROR(INDEX('Crafting recipes'!$E$6:$E$1005,MATCH(B918,'Crafting recipes'!$A$6:$A$1005,0)),"MISSING ID")</x:f>
        <x:v>Partial proposal</x:v>
      </x:c>
      <x:c r="N918" s="4" t="str">
        <x:v>Candidate source or part only. Quantity, grade and method remain open.</x:v>
      </x:c>
      <x:c r="O918" s="4" t="str">
        <x:v>Collection expansion, October 15, 2026. New game proposal.</x:v>
      </x:c>
      <x:c r="P918" s="4" t="n">
        <x:f>IF(OR(C918="Ingredient candidate",C918="Consumed input",C918="Contained input",C918="Transform input"),IF(F918="T0",0,IF(F918="T1",1,IF(F918="T2",2,IF(F918="T3",3,IF(F918="T4",4,-1))))),-1)</x:f>
        <x:v>3</x:v>
      </x:c>
      <x:c r="Q918" s="4" t="n">
        <x:f>IF(AND(OR(C918="Ingredient candidate",C918="Consumed input",C918="Contained input",C918="Transform input"),P918=-1),1,0)</x:f>
        <x:v>0</x:v>
      </x:c>
    </x:row>
    <x:row r="919" ht="64" customHeight="1">
      <x:c r="A919" s="4" t="str">
        <x:v>design.collection.ratchet_pawl.out</x:v>
      </x:c>
      <x:c r="B919" s="4" t="str">
        <x:v>design.collection.ratchet_pawl</x:v>
      </x:c>
      <x:c r="C919" s="4" t="str">
        <x:v>Output</x:v>
      </x:c>
      <x:c r="D919" s="4" t="str">
        <x:v>proposal.collection.ratchet_pawl</x:v>
      </x:c>
      <x:c r="E919" s="4" t="str">
        <x:f>IFERROR(INDEX('Items'!$B$6:$B$1005,MATCH(D919,'Items'!$A$6:$A$1005,0)),"MISSING ID")</x:f>
        <x:v>Ratchet pawl</x:v>
      </x:c>
      <x:c r="F919" s="4" t="str">
        <x:f>IFERROR(INDEX('Items'!$C$6:$C$1005,MATCH(D919,'Items'!$A$6:$A$1005,0)),"MISSING ID")</x:f>
        <x:v>T4</x:v>
      </x:c>
      <x:c r="G919" s="4" t="str">
        <x:f>IFERROR(INDEX('Items'!$D$6:$D$1005,MATCH(D919,'Items'!$A$6:$A$1005,0)),"MISSING ID")</x:f>
        <x:v>Crafting components</x:v>
      </x:c>
      <x:c r="H919" s="4" t="str">
        <x:f>IFERROR(INDEX('Items'!$X$6:$X$1005,MATCH(D919,'Items'!$A$6:$A$1005,0)),"MISSING ID")</x:f>
        <x:v>Machine part</x:v>
      </x:c>
      <x:c r="I919" s="4"/>
      <x:c r="J919" s="4" t="str">
        <x:v>Unspecified</x:v>
      </x:c>
      <x:c r="K919" s="4" t="str">
        <x:f>IFERROR(INDEX('Crafting recipes'!$D$6:$D$1005,MATCH(B919,'Crafting recipes'!$A$6:$A$1005,0)),"MISSING ID")</x:f>
        <x:v>Proposal</x:v>
      </x:c>
      <x:c r="L919" s="4" t="str">
        <x:f>IFERROR(INDEX('Items'!$AD$6:$AD$1005,MATCH(D919,'Items'!$A$6:$A$1005,0)),"MISSING ID")</x:f>
        <x:v>Proposal</x:v>
      </x:c>
      <x:c r="M919" s="4" t="str">
        <x:f>IFERROR(INDEX('Crafting recipes'!$E$6:$E$1005,MATCH(B919,'Crafting recipes'!$A$6:$A$1005,0)),"MISSING ID")</x:f>
        <x:v>Partial proposal</x:v>
      </x:c>
      <x:c r="N919" s="4" t="str">
        <x:v>Candidate source or part only. Quantity, grade and method remain open.</x:v>
      </x:c>
      <x:c r="O919" s="4" t="str">
        <x:v>Collection expansion, October 15, 2026. New game proposal.</x:v>
      </x:c>
      <x:c r="P919" s="4" t="n">
        <x:f>IF(OR(C919="Ingredient candidate",C919="Consumed input",C919="Contained input",C919="Transform input"),IF(F919="T0",0,IF(F919="T1",1,IF(F919="T2",2,IF(F919="T3",3,IF(F919="T4",4,-1))))),-1)</x:f>
        <x:v>-1</x:v>
      </x:c>
      <x:c r="Q919" s="4" t="n">
        <x:f>IF(AND(OR(C919="Ingredient candidate",C919="Consumed input",C919="Contained input",C919="Transform input"),P919=-1),1,0)</x:f>
        <x:v>0</x:v>
      </x:c>
    </x:row>
    <x:row r="920" ht="64" customHeight="1">
      <x:c r="A920" s="4" t="str">
        <x:v>design.collection.helical_return_spring.in.1</x:v>
      </x:c>
      <x:c r="B920" s="4" t="str">
        <x:v>design.collection.helical_return_spring</x:v>
      </x:c>
      <x:c r="C920" s="4" t="str">
        <x:v>Ingredient candidate</x:v>
      </x:c>
      <x:c r="D920" s="4" t="str">
        <x:v>proposal.branch.spring_steel</x:v>
      </x:c>
      <x:c r="E920" s="4" t="str">
        <x:f>IFERROR(INDEX('Items'!$B$6:$B$1005,MATCH(D920,'Items'!$A$6:$A$1005,0)),"MISSING ID")</x:f>
        <x:v>Spring-grade steel stock</x:v>
      </x:c>
      <x:c r="F920" s="4" t="str">
        <x:f>IFERROR(INDEX('Items'!$C$6:$C$1005,MATCH(D920,'Items'!$A$6:$A$1005,0)),"MISSING ID")</x:f>
        <x:v>T3</x:v>
      </x:c>
      <x:c r="G920" s="4" t="str">
        <x:f>IFERROR(INDEX('Items'!$D$6:$D$1005,MATCH(D920,'Items'!$A$6:$A$1005,0)),"MISSING ID")</x:f>
        <x:v>Manufactured stock</x:v>
      </x:c>
      <x:c r="H920" s="4" t="str">
        <x:f>IFERROR(INDEX('Items'!$X$6:$X$1005,MATCH(D920,'Items'!$A$6:$A$1005,0)),"MISSING ID")</x:f>
        <x:v>Processed material</x:v>
      </x:c>
      <x:c r="I920" s="4"/>
      <x:c r="J920" s="4" t="str">
        <x:v>Unspecified</x:v>
      </x:c>
      <x:c r="K920" s="4" t="str">
        <x:f>IFERROR(INDEX('Crafting recipes'!$D$6:$D$1005,MATCH(B920,'Crafting recipes'!$A$6:$A$1005,0)),"MISSING ID")</x:f>
        <x:v>Proposal</x:v>
      </x:c>
      <x:c r="L920" s="4" t="str">
        <x:f>IFERROR(INDEX('Items'!$AD$6:$AD$1005,MATCH(D920,'Items'!$A$6:$A$1005,0)),"MISSING ID")</x:f>
        <x:v>Proposal</x:v>
      </x:c>
      <x:c r="M920" s="4" t="str">
        <x:f>IFERROR(INDEX('Crafting recipes'!$E$6:$E$1005,MATCH(B920,'Crafting recipes'!$A$6:$A$1005,0)),"MISSING ID")</x:f>
        <x:v>Partial proposal</x:v>
      </x:c>
      <x:c r="N920" s="4" t="str">
        <x:v>Candidate source or part only. Quantity, grade and method remain open.</x:v>
      </x:c>
      <x:c r="O920" s="4" t="str">
        <x:v>Collection expansion, October 15, 2026. New game proposal.</x:v>
      </x:c>
      <x:c r="P920" s="4" t="n">
        <x:f>IF(OR(C920="Ingredient candidate",C920="Consumed input",C920="Contained input",C920="Transform input"),IF(F920="T0",0,IF(F920="T1",1,IF(F920="T2",2,IF(F920="T3",3,IF(F920="T4",4,-1))))),-1)</x:f>
        <x:v>3</x:v>
      </x:c>
      <x:c r="Q920" s="4" t="n">
        <x:f>IF(AND(OR(C920="Ingredient candidate",C920="Consumed input",C920="Contained input",C920="Transform input"),P920=-1),1,0)</x:f>
        <x:v>0</x:v>
      </x:c>
    </x:row>
    <x:row r="921" ht="64" customHeight="1">
      <x:c r="A921" s="4" t="str">
        <x:v>design.collection.helical_return_spring.out</x:v>
      </x:c>
      <x:c r="B921" s="4" t="str">
        <x:v>design.collection.helical_return_spring</x:v>
      </x:c>
      <x:c r="C921" s="4" t="str">
        <x:v>Output</x:v>
      </x:c>
      <x:c r="D921" s="4" t="str">
        <x:v>proposal.collection.helical_return_spring</x:v>
      </x:c>
      <x:c r="E921" s="4" t="str">
        <x:f>IFERROR(INDEX('Items'!$B$6:$B$1005,MATCH(D921,'Items'!$A$6:$A$1005,0)),"MISSING ID")</x:f>
        <x:v>Helical return spring</x:v>
      </x:c>
      <x:c r="F921" s="4" t="str">
        <x:f>IFERROR(INDEX('Items'!$C$6:$C$1005,MATCH(D921,'Items'!$A$6:$A$1005,0)),"MISSING ID")</x:f>
        <x:v>T4</x:v>
      </x:c>
      <x:c r="G921" s="4" t="str">
        <x:f>IFERROR(INDEX('Items'!$D$6:$D$1005,MATCH(D921,'Items'!$A$6:$A$1005,0)),"MISSING ID")</x:f>
        <x:v>Crafting components</x:v>
      </x:c>
      <x:c r="H921" s="4" t="str">
        <x:f>IFERROR(INDEX('Items'!$X$6:$X$1005,MATCH(D921,'Items'!$A$6:$A$1005,0)),"MISSING ID")</x:f>
        <x:v>Machine part</x:v>
      </x:c>
      <x:c r="I921" s="4"/>
      <x:c r="J921" s="4" t="str">
        <x:v>Unspecified</x:v>
      </x:c>
      <x:c r="K921" s="4" t="str">
        <x:f>IFERROR(INDEX('Crafting recipes'!$D$6:$D$1005,MATCH(B921,'Crafting recipes'!$A$6:$A$1005,0)),"MISSING ID")</x:f>
        <x:v>Proposal</x:v>
      </x:c>
      <x:c r="L921" s="4" t="str">
        <x:f>IFERROR(INDEX('Items'!$AD$6:$AD$1005,MATCH(D921,'Items'!$A$6:$A$1005,0)),"MISSING ID")</x:f>
        <x:v>Proposal</x:v>
      </x:c>
      <x:c r="M921" s="4" t="str">
        <x:f>IFERROR(INDEX('Crafting recipes'!$E$6:$E$1005,MATCH(B921,'Crafting recipes'!$A$6:$A$1005,0)),"MISSING ID")</x:f>
        <x:v>Partial proposal</x:v>
      </x:c>
      <x:c r="N921" s="4" t="str">
        <x:v>Candidate source or part only. Quantity, grade and method remain open.</x:v>
      </x:c>
      <x:c r="O921" s="4" t="str">
        <x:v>Collection expansion, October 15, 2026. New game proposal.</x:v>
      </x:c>
      <x:c r="P921" s="4" t="n">
        <x:f>IF(OR(C921="Ingredient candidate",C921="Consumed input",C921="Contained input",C921="Transform input"),IF(F921="T0",0,IF(F921="T1",1,IF(F921="T2",2,IF(F921="T3",3,IF(F921="T4",4,-1))))),-1)</x:f>
        <x:v>-1</x:v>
      </x:c>
      <x:c r="Q921" s="4" t="n">
        <x:f>IF(AND(OR(C921="Ingredient candidate",C921="Consumed input",C921="Contained input",C921="Transform input"),P921=-1),1,0)</x:f>
        <x:v>0</x:v>
      </x:c>
    </x:row>
    <x:row r="922" ht="64" customHeight="1">
      <x:c r="A922" s="4" t="str">
        <x:v>design.collection.flat_spiral_clock_spring.in.1</x:v>
      </x:c>
      <x:c r="B922" s="4" t="str">
        <x:v>design.collection.flat_spiral_clock_spring</x:v>
      </x:c>
      <x:c r="C922" s="4" t="str">
        <x:v>Ingredient candidate</x:v>
      </x:c>
      <x:c r="D922" s="4" t="str">
        <x:v>proposal.branch.spring_steel</x:v>
      </x:c>
      <x:c r="E922" s="4" t="str">
        <x:f>IFERROR(INDEX('Items'!$B$6:$B$1005,MATCH(D922,'Items'!$A$6:$A$1005,0)),"MISSING ID")</x:f>
        <x:v>Spring-grade steel stock</x:v>
      </x:c>
      <x:c r="F922" s="4" t="str">
        <x:f>IFERROR(INDEX('Items'!$C$6:$C$1005,MATCH(D922,'Items'!$A$6:$A$1005,0)),"MISSING ID")</x:f>
        <x:v>T3</x:v>
      </x:c>
      <x:c r="G922" s="4" t="str">
        <x:f>IFERROR(INDEX('Items'!$D$6:$D$1005,MATCH(D922,'Items'!$A$6:$A$1005,0)),"MISSING ID")</x:f>
        <x:v>Manufactured stock</x:v>
      </x:c>
      <x:c r="H922" s="4" t="str">
        <x:f>IFERROR(INDEX('Items'!$X$6:$X$1005,MATCH(D922,'Items'!$A$6:$A$1005,0)),"MISSING ID")</x:f>
        <x:v>Processed material</x:v>
      </x:c>
      <x:c r="I922" s="4"/>
      <x:c r="J922" s="4" t="str">
        <x:v>Unspecified</x:v>
      </x:c>
      <x:c r="K922" s="4" t="str">
        <x:f>IFERROR(INDEX('Crafting recipes'!$D$6:$D$1005,MATCH(B922,'Crafting recipes'!$A$6:$A$1005,0)),"MISSING ID")</x:f>
        <x:v>Proposal</x:v>
      </x:c>
      <x:c r="L922" s="4" t="str">
        <x:f>IFERROR(INDEX('Items'!$AD$6:$AD$1005,MATCH(D922,'Items'!$A$6:$A$1005,0)),"MISSING ID")</x:f>
        <x:v>Proposal</x:v>
      </x:c>
      <x:c r="M922" s="4" t="str">
        <x:f>IFERROR(INDEX('Crafting recipes'!$E$6:$E$1005,MATCH(B922,'Crafting recipes'!$A$6:$A$1005,0)),"MISSING ID")</x:f>
        <x:v>Partial proposal</x:v>
      </x:c>
      <x:c r="N922" s="4" t="str">
        <x:v>Candidate source or part only. Quantity, grade and method remain open.</x:v>
      </x:c>
      <x:c r="O922" s="4" t="str">
        <x:v>Collection expansion, October 15, 2026. New game proposal.</x:v>
      </x:c>
      <x:c r="P922" s="4" t="n">
        <x:f>IF(OR(C922="Ingredient candidate",C922="Consumed input",C922="Contained input",C922="Transform input"),IF(F922="T0",0,IF(F922="T1",1,IF(F922="T2",2,IF(F922="T3",3,IF(F922="T4",4,-1))))),-1)</x:f>
        <x:v>3</x:v>
      </x:c>
      <x:c r="Q922" s="4" t="n">
        <x:f>IF(AND(OR(C922="Ingredient candidate",C922="Consumed input",C922="Contained input",C922="Transform input"),P922=-1),1,0)</x:f>
        <x:v>0</x:v>
      </x:c>
    </x:row>
    <x:row r="923" ht="64" customHeight="1">
      <x:c r="A923" s="4" t="str">
        <x:v>design.collection.flat_spiral_clock_spring.out</x:v>
      </x:c>
      <x:c r="B923" s="4" t="str">
        <x:v>design.collection.flat_spiral_clock_spring</x:v>
      </x:c>
      <x:c r="C923" s="4" t="str">
        <x:v>Output</x:v>
      </x:c>
      <x:c r="D923" s="4" t="str">
        <x:v>proposal.collection.flat_spiral_clock_spring</x:v>
      </x:c>
      <x:c r="E923" s="4" t="str">
        <x:f>IFERROR(INDEX('Items'!$B$6:$B$1005,MATCH(D923,'Items'!$A$6:$A$1005,0)),"MISSING ID")</x:f>
        <x:v>Flat spiral clock spring</x:v>
      </x:c>
      <x:c r="F923" s="4" t="str">
        <x:f>IFERROR(INDEX('Items'!$C$6:$C$1005,MATCH(D923,'Items'!$A$6:$A$1005,0)),"MISSING ID")</x:f>
        <x:v>T4</x:v>
      </x:c>
      <x:c r="G923" s="4" t="str">
        <x:f>IFERROR(INDEX('Items'!$D$6:$D$1005,MATCH(D923,'Items'!$A$6:$A$1005,0)),"MISSING ID")</x:f>
        <x:v>Crafting components</x:v>
      </x:c>
      <x:c r="H923" s="4" t="str">
        <x:f>IFERROR(INDEX('Items'!$X$6:$X$1005,MATCH(D923,'Items'!$A$6:$A$1005,0)),"MISSING ID")</x:f>
        <x:v>Machine part</x:v>
      </x:c>
      <x:c r="I923" s="4"/>
      <x:c r="J923" s="4" t="str">
        <x:v>Unspecified</x:v>
      </x:c>
      <x:c r="K923" s="4" t="str">
        <x:f>IFERROR(INDEX('Crafting recipes'!$D$6:$D$1005,MATCH(B923,'Crafting recipes'!$A$6:$A$1005,0)),"MISSING ID")</x:f>
        <x:v>Proposal</x:v>
      </x:c>
      <x:c r="L923" s="4" t="str">
        <x:f>IFERROR(INDEX('Items'!$AD$6:$AD$1005,MATCH(D923,'Items'!$A$6:$A$1005,0)),"MISSING ID")</x:f>
        <x:v>Proposal</x:v>
      </x:c>
      <x:c r="M923" s="4" t="str">
        <x:f>IFERROR(INDEX('Crafting recipes'!$E$6:$E$1005,MATCH(B923,'Crafting recipes'!$A$6:$A$1005,0)),"MISSING ID")</x:f>
        <x:v>Partial proposal</x:v>
      </x:c>
      <x:c r="N923" s="4" t="str">
        <x:v>Candidate source or part only. Quantity, grade and method remain open.</x:v>
      </x:c>
      <x:c r="O923" s="4" t="str">
        <x:v>Collection expansion, October 15, 2026. New game proposal.</x:v>
      </x:c>
      <x:c r="P923" s="4" t="n">
        <x:f>IF(OR(C923="Ingredient candidate",C923="Consumed input",C923="Contained input",C923="Transform input"),IF(F923="T0",0,IF(F923="T1",1,IF(F923="T2",2,IF(F923="T3",3,IF(F923="T4",4,-1))))),-1)</x:f>
        <x:v>-1</x:v>
      </x:c>
      <x:c r="Q923" s="4" t="n">
        <x:f>IF(AND(OR(C923="Ingredient candidate",C923="Consumed input",C923="Contained input",C923="Transform input"),P923=-1),1,0)</x:f>
        <x:v>0</x:v>
      </x:c>
    </x:row>
    <x:row r="924" ht="64" customHeight="1">
      <x:c r="A924" s="4" t="str">
        <x:v>design.collection.steel_hinge_knuckle.in.1</x:v>
      </x:c>
      <x:c r="B924" s="4" t="str">
        <x:v>design.collection.steel_hinge_knuckle</x:v>
      </x:c>
      <x:c r="C924" s="4" t="str">
        <x:v>Ingredient candidate</x:v>
      </x:c>
      <x:c r="D924" s="4" t="str">
        <x:v>proposal.t3.precision_tube</x:v>
      </x:c>
      <x:c r="E924" s="4" t="str">
        <x:f>IFERROR(INDEX('Items'!$B$6:$B$1005,MATCH(D924,'Items'!$A$6:$A$1005,0)),"MISSING ID")</x:f>
        <x:v>Drawn steel tube stock</x:v>
      </x:c>
      <x:c r="F924" s="4" t="str">
        <x:f>IFERROR(INDEX('Items'!$C$6:$C$1005,MATCH(D924,'Items'!$A$6:$A$1005,0)),"MISSING ID")</x:f>
        <x:v>T3</x:v>
      </x:c>
      <x:c r="G924" s="4" t="str">
        <x:f>IFERROR(INDEX('Items'!$D$6:$D$1005,MATCH(D924,'Items'!$A$6:$A$1005,0)),"MISSING ID")</x:f>
        <x:v>Manufactured stock</x:v>
      </x:c>
      <x:c r="H924" s="4" t="str">
        <x:f>IFERROR(INDEX('Items'!$X$6:$X$1005,MATCH(D924,'Items'!$A$6:$A$1005,0)),"MISSING ID")</x:f>
        <x:v>Processed material</x:v>
      </x:c>
      <x:c r="I924" s="4"/>
      <x:c r="J924" s="4" t="str">
        <x:v>Unspecified</x:v>
      </x:c>
      <x:c r="K924" s="4" t="str">
        <x:f>IFERROR(INDEX('Crafting recipes'!$D$6:$D$1005,MATCH(B924,'Crafting recipes'!$A$6:$A$1005,0)),"MISSING ID")</x:f>
        <x:v>Proposal</x:v>
      </x:c>
      <x:c r="L924" s="4" t="str">
        <x:f>IFERROR(INDEX('Items'!$AD$6:$AD$1005,MATCH(D924,'Items'!$A$6:$A$1005,0)),"MISSING ID")</x:f>
        <x:v>Proposal</x:v>
      </x:c>
      <x:c r="M924" s="4" t="str">
        <x:f>IFERROR(INDEX('Crafting recipes'!$E$6:$E$1005,MATCH(B924,'Crafting recipes'!$A$6:$A$1005,0)),"MISSING ID")</x:f>
        <x:v>Partial proposal</x:v>
      </x:c>
      <x:c r="N924" s="4" t="str">
        <x:v>Candidate source or part only. Quantity, grade and method remain open.</x:v>
      </x:c>
      <x:c r="O924" s="4" t="str">
        <x:v>Collection expansion, October 15, 2026. New game proposal.</x:v>
      </x:c>
      <x:c r="P924" s="4" t="n">
        <x:f>IF(OR(C924="Ingredient candidate",C924="Consumed input",C924="Contained input",C924="Transform input"),IF(F924="T0",0,IF(F924="T1",1,IF(F924="T2",2,IF(F924="T3",3,IF(F924="T4",4,-1))))),-1)</x:f>
        <x:v>3</x:v>
      </x:c>
      <x:c r="Q924" s="4" t="n">
        <x:f>IF(AND(OR(C924="Ingredient candidate",C924="Consumed input",C924="Contained input",C924="Transform input"),P924=-1),1,0)</x:f>
        <x:v>0</x:v>
      </x:c>
    </x:row>
    <x:row r="925" ht="64" customHeight="1">
      <x:c r="A925" s="4" t="str">
        <x:v>design.collection.steel_hinge_knuckle.out</x:v>
      </x:c>
      <x:c r="B925" s="4" t="str">
        <x:v>design.collection.steel_hinge_knuckle</x:v>
      </x:c>
      <x:c r="C925" s="4" t="str">
        <x:v>Output</x:v>
      </x:c>
      <x:c r="D925" s="4" t="str">
        <x:v>proposal.collection.steel_hinge_knuckle</x:v>
      </x:c>
      <x:c r="E925" s="4" t="str">
        <x:f>IFERROR(INDEX('Items'!$B$6:$B$1005,MATCH(D925,'Items'!$A$6:$A$1005,0)),"MISSING ID")</x:f>
        <x:v>Steel hinge knuckle</x:v>
      </x:c>
      <x:c r="F925" s="4" t="str">
        <x:f>IFERROR(INDEX('Items'!$C$6:$C$1005,MATCH(D925,'Items'!$A$6:$A$1005,0)),"MISSING ID")</x:f>
        <x:v>T4</x:v>
      </x:c>
      <x:c r="G925" s="4" t="str">
        <x:f>IFERROR(INDEX('Items'!$D$6:$D$1005,MATCH(D925,'Items'!$A$6:$A$1005,0)),"MISSING ID")</x:f>
        <x:v>Crafting components</x:v>
      </x:c>
      <x:c r="H925" s="4" t="str">
        <x:f>IFERROR(INDEX('Items'!$X$6:$X$1005,MATCH(D925,'Items'!$A$6:$A$1005,0)),"MISSING ID")</x:f>
        <x:v>Machine part</x:v>
      </x:c>
      <x:c r="I925" s="4"/>
      <x:c r="J925" s="4" t="str">
        <x:v>Unspecified</x:v>
      </x:c>
      <x:c r="K925" s="4" t="str">
        <x:f>IFERROR(INDEX('Crafting recipes'!$D$6:$D$1005,MATCH(B925,'Crafting recipes'!$A$6:$A$1005,0)),"MISSING ID")</x:f>
        <x:v>Proposal</x:v>
      </x:c>
      <x:c r="L925" s="4" t="str">
        <x:f>IFERROR(INDEX('Items'!$AD$6:$AD$1005,MATCH(D925,'Items'!$A$6:$A$1005,0)),"MISSING ID")</x:f>
        <x:v>Proposal</x:v>
      </x:c>
      <x:c r="M925" s="4" t="str">
        <x:f>IFERROR(INDEX('Crafting recipes'!$E$6:$E$1005,MATCH(B925,'Crafting recipes'!$A$6:$A$1005,0)),"MISSING ID")</x:f>
        <x:v>Partial proposal</x:v>
      </x:c>
      <x:c r="N925" s="4" t="str">
        <x:v>Candidate source or part only. Quantity, grade and method remain open.</x:v>
      </x:c>
      <x:c r="O925" s="4" t="str">
        <x:v>Collection expansion, October 15, 2026. New game proposal.</x:v>
      </x:c>
      <x:c r="P925" s="4" t="n">
        <x:f>IF(OR(C925="Ingredient candidate",C925="Consumed input",C925="Contained input",C925="Transform input"),IF(F925="T0",0,IF(F925="T1",1,IF(F925="T2",2,IF(F925="T3",3,IF(F925="T4",4,-1))))),-1)</x:f>
        <x:v>-1</x:v>
      </x:c>
      <x:c r="Q925" s="4" t="n">
        <x:f>IF(AND(OR(C925="Ingredient candidate",C925="Consumed input",C925="Contained input",C925="Transform input"),P925=-1),1,0)</x:f>
        <x:v>0</x:v>
      </x:c>
    </x:row>
    <x:row r="926" ht="64" customHeight="1">
      <x:c r="A926" s="4" t="str">
        <x:v>design.collection.oil_channel_bronze_sleeve.in.1</x:v>
      </x:c>
      <x:c r="B926" s="4" t="str">
        <x:v>design.collection.oil_channel_bronze_sleeve</x:v>
      </x:c>
      <x:c r="C926" s="4" t="str">
        <x:v>Ingredient candidate</x:v>
      </x:c>
      <x:c r="D926" s="4" t="str">
        <x:v>proposal.branch.bearing_bronze</x:v>
      </x:c>
      <x:c r="E926" s="4" t="str">
        <x:f>IFERROR(INDEX('Items'!$B$6:$B$1005,MATCH(D926,'Items'!$A$6:$A$1005,0)),"MISSING ID")</x:f>
        <x:v>Prepared bronze bearing stock</x:v>
      </x:c>
      <x:c r="F926" s="4" t="str">
        <x:f>IFERROR(INDEX('Items'!$C$6:$C$1005,MATCH(D926,'Items'!$A$6:$A$1005,0)),"MISSING ID")</x:f>
        <x:v>T2</x:v>
      </x:c>
      <x:c r="G926" s="4" t="str">
        <x:f>IFERROR(INDEX('Items'!$D$6:$D$1005,MATCH(D926,'Items'!$A$6:$A$1005,0)),"MISSING ID")</x:f>
        <x:v>Manufactured stock</x:v>
      </x:c>
      <x:c r="H926" s="4" t="str">
        <x:f>IFERROR(INDEX('Items'!$X$6:$X$1005,MATCH(D926,'Items'!$A$6:$A$1005,0)),"MISSING ID")</x:f>
        <x:v>Processed material</x:v>
      </x:c>
      <x:c r="I926" s="4"/>
      <x:c r="J926" s="4" t="str">
        <x:v>Unspecified</x:v>
      </x:c>
      <x:c r="K926" s="4" t="str">
        <x:f>IFERROR(INDEX('Crafting recipes'!$D$6:$D$1005,MATCH(B926,'Crafting recipes'!$A$6:$A$1005,0)),"MISSING ID")</x:f>
        <x:v>Proposal</x:v>
      </x:c>
      <x:c r="L926" s="4" t="str">
        <x:f>IFERROR(INDEX('Items'!$AD$6:$AD$1005,MATCH(D926,'Items'!$A$6:$A$1005,0)),"MISSING ID")</x:f>
        <x:v>Proposal</x:v>
      </x:c>
      <x:c r="M926" s="4" t="str">
        <x:f>IFERROR(INDEX('Crafting recipes'!$E$6:$E$1005,MATCH(B926,'Crafting recipes'!$A$6:$A$1005,0)),"MISSING ID")</x:f>
        <x:v>Partial proposal</x:v>
      </x:c>
      <x:c r="N926" s="4" t="str">
        <x:v>Candidate source or part only. Quantity, grade and method remain open.</x:v>
      </x:c>
      <x:c r="O926" s="4" t="str">
        <x:v>Collection expansion, October 15, 2026. New game proposal.</x:v>
      </x:c>
      <x:c r="P926" s="4" t="n">
        <x:f>IF(OR(C926="Ingredient candidate",C926="Consumed input",C926="Contained input",C926="Transform input"),IF(F926="T0",0,IF(F926="T1",1,IF(F926="T2",2,IF(F926="T3",3,IF(F926="T4",4,-1))))),-1)</x:f>
        <x:v>2</x:v>
      </x:c>
      <x:c r="Q926" s="4" t="n">
        <x:f>IF(AND(OR(C926="Ingredient candidate",C926="Consumed input",C926="Contained input",C926="Transform input"),P926=-1),1,0)</x:f>
        <x:v>0</x:v>
      </x:c>
    </x:row>
    <x:row r="927" ht="64" customHeight="1">
      <x:c r="A927" s="4" t="str">
        <x:v>design.collection.oil_channel_bronze_sleeve.out</x:v>
      </x:c>
      <x:c r="B927" s="4" t="str">
        <x:v>design.collection.oil_channel_bronze_sleeve</x:v>
      </x:c>
      <x:c r="C927" s="4" t="str">
        <x:v>Output</x:v>
      </x:c>
      <x:c r="D927" s="4" t="str">
        <x:v>proposal.collection.oil_channel_bronze_sleeve</x:v>
      </x:c>
      <x:c r="E927" s="4" t="str">
        <x:f>IFERROR(INDEX('Items'!$B$6:$B$1005,MATCH(D927,'Items'!$A$6:$A$1005,0)),"MISSING ID")</x:f>
        <x:v>Oil-channel bronze sleeve</x:v>
      </x:c>
      <x:c r="F927" s="4" t="str">
        <x:f>IFERROR(INDEX('Items'!$C$6:$C$1005,MATCH(D927,'Items'!$A$6:$A$1005,0)),"MISSING ID")</x:f>
        <x:v>T3</x:v>
      </x:c>
      <x:c r="G927" s="4" t="str">
        <x:f>IFERROR(INDEX('Items'!$D$6:$D$1005,MATCH(D927,'Items'!$A$6:$A$1005,0)),"MISSING ID")</x:f>
        <x:v>Crafting components</x:v>
      </x:c>
      <x:c r="H927" s="4" t="str">
        <x:f>IFERROR(INDEX('Items'!$X$6:$X$1005,MATCH(D927,'Items'!$A$6:$A$1005,0)),"MISSING ID")</x:f>
        <x:v>Machine part</x:v>
      </x:c>
      <x:c r="I927" s="4"/>
      <x:c r="J927" s="4" t="str">
        <x:v>Unspecified</x:v>
      </x:c>
      <x:c r="K927" s="4" t="str">
        <x:f>IFERROR(INDEX('Crafting recipes'!$D$6:$D$1005,MATCH(B927,'Crafting recipes'!$A$6:$A$1005,0)),"MISSING ID")</x:f>
        <x:v>Proposal</x:v>
      </x:c>
      <x:c r="L927" s="4" t="str">
        <x:f>IFERROR(INDEX('Items'!$AD$6:$AD$1005,MATCH(D927,'Items'!$A$6:$A$1005,0)),"MISSING ID")</x:f>
        <x:v>Proposal</x:v>
      </x:c>
      <x:c r="M927" s="4" t="str">
        <x:f>IFERROR(INDEX('Crafting recipes'!$E$6:$E$1005,MATCH(B927,'Crafting recipes'!$A$6:$A$1005,0)),"MISSING ID")</x:f>
        <x:v>Partial proposal</x:v>
      </x:c>
      <x:c r="N927" s="4" t="str">
        <x:v>Candidate source or part only. Quantity, grade and method remain open.</x:v>
      </x:c>
      <x:c r="O927" s="4" t="str">
        <x:v>Collection expansion, October 15, 2026. New game proposal.</x:v>
      </x:c>
      <x:c r="P927" s="4" t="n">
        <x:f>IF(OR(C927="Ingredient candidate",C927="Consumed input",C927="Contained input",C927="Transform input"),IF(F927="T0",0,IF(F927="T1",1,IF(F927="T2",2,IF(F927="T3",3,IF(F927="T4",4,-1))))),-1)</x:f>
        <x:v>-1</x:v>
      </x:c>
      <x:c r="Q927" s="4" t="n">
        <x:f>IF(AND(OR(C927="Ingredient candidate",C927="Consumed input",C927="Contained input",C927="Transform input"),P927=-1),1,0)</x:f>
        <x:v>0</x:v>
      </x:c>
    </x:row>
    <x:row r="928" ht="64" customHeight="1">
      <x:c r="A928" s="4" t="str">
        <x:v>design.collection.split_bearing_pillow_block.in.1</x:v>
      </x:c>
      <x:c r="B928" s="4" t="str">
        <x:v>design.collection.split_bearing_pillow_block</x:v>
      </x:c>
      <x:c r="C928" s="4" t="str">
        <x:v>Ingredient candidate</x:v>
      </x:c>
      <x:c r="D928" s="4" t="str">
        <x:v>proposal.natural.iron_stock</x:v>
      </x:c>
      <x:c r="E928" s="4" t="str">
        <x:f>IFERROR(INDEX('Items'!$B$6:$B$1005,MATCH(D928,'Items'!$A$6:$A$1005,0)),"MISSING ID")</x:f>
        <x:v>Worked iron stock</x:v>
      </x:c>
      <x:c r="F928" s="4" t="str">
        <x:f>IFERROR(INDEX('Items'!$C$6:$C$1005,MATCH(D928,'Items'!$A$6:$A$1005,0)),"MISSING ID")</x:f>
        <x:v>T2</x:v>
      </x:c>
      <x:c r="G928" s="4" t="str">
        <x:f>IFERROR(INDEX('Items'!$D$6:$D$1005,MATCH(D928,'Items'!$A$6:$A$1005,0)),"MISSING ID")</x:f>
        <x:v>Manufactured stock</x:v>
      </x:c>
      <x:c r="H928" s="4" t="str">
        <x:f>IFERROR(INDEX('Items'!$X$6:$X$1005,MATCH(D928,'Items'!$A$6:$A$1005,0)),"MISSING ID")</x:f>
        <x:v>Processed material</x:v>
      </x:c>
      <x:c r="I928" s="4"/>
      <x:c r="J928" s="4" t="str">
        <x:v>Unspecified</x:v>
      </x:c>
      <x:c r="K928" s="4" t="str">
        <x:f>IFERROR(INDEX('Crafting recipes'!$D$6:$D$1005,MATCH(B928,'Crafting recipes'!$A$6:$A$1005,0)),"MISSING ID")</x:f>
        <x:v>Proposal</x:v>
      </x:c>
      <x:c r="L928" s="4" t="str">
        <x:f>IFERROR(INDEX('Items'!$AD$6:$AD$1005,MATCH(D928,'Items'!$A$6:$A$1005,0)),"MISSING ID")</x:f>
        <x:v>Proposal</x:v>
      </x:c>
      <x:c r="M928" s="4" t="str">
        <x:f>IFERROR(INDEX('Crafting recipes'!$E$6:$E$1005,MATCH(B928,'Crafting recipes'!$A$6:$A$1005,0)),"MISSING ID")</x:f>
        <x:v>Partial proposal</x:v>
      </x:c>
      <x:c r="N928" s="4" t="str">
        <x:v>Candidate source or part only. Quantity, grade and method remain open.</x:v>
      </x:c>
      <x:c r="O928" s="4" t="str">
        <x:v>Collection expansion, October 15, 2026. New game proposal.</x:v>
      </x:c>
      <x:c r="P928" s="4" t="n">
        <x:f>IF(OR(C928="Ingredient candidate",C928="Consumed input",C928="Contained input",C928="Transform input"),IF(F928="T0",0,IF(F928="T1",1,IF(F928="T2",2,IF(F928="T3",3,IF(F928="T4",4,-1))))),-1)</x:f>
        <x:v>2</x:v>
      </x:c>
      <x:c r="Q928" s="4" t="n">
        <x:f>IF(AND(OR(C928="Ingredient candidate",C928="Consumed input",C928="Contained input",C928="Transform input"),P928=-1),1,0)</x:f>
        <x:v>0</x:v>
      </x:c>
    </x:row>
    <x:row r="929" ht="64" customHeight="1">
      <x:c r="A929" s="4" t="str">
        <x:v>design.collection.split_bearing_pillow_block.in.2</x:v>
      </x:c>
      <x:c r="B929" s="4" t="str">
        <x:v>design.collection.split_bearing_pillow_block</x:v>
      </x:c>
      <x:c r="C929" s="4" t="str">
        <x:v>Ingredient candidate</x:v>
      </x:c>
      <x:c r="D929" s="4" t="str">
        <x:v>proposal.lore.fastener_set</x:v>
      </x:c>
      <x:c r="E929" s="4" t="str">
        <x:f>IFERROR(INDEX('Items'!$B$6:$B$1005,MATCH(D929,'Items'!$A$6:$A$1005,0)),"MISSING ID")</x:f>
        <x:v>Matched metal fastener set</x:v>
      </x:c>
      <x:c r="F929" s="4" t="str">
        <x:f>IFERROR(INDEX('Items'!$C$6:$C$1005,MATCH(D929,'Items'!$A$6:$A$1005,0)),"MISSING ID")</x:f>
        <x:v>T3</x:v>
      </x:c>
      <x:c r="G929" s="4" t="str">
        <x:f>IFERROR(INDEX('Items'!$D$6:$D$1005,MATCH(D929,'Items'!$A$6:$A$1005,0)),"MISSING ID")</x:f>
        <x:v>Crafting components</x:v>
      </x:c>
      <x:c r="H929" s="4" t="str">
        <x:f>IFERROR(INDEX('Items'!$X$6:$X$1005,MATCH(D929,'Items'!$A$6:$A$1005,0)),"MISSING ID")</x:f>
        <x:v>Crafting component</x:v>
      </x:c>
      <x:c r="I929" s="4"/>
      <x:c r="J929" s="4" t="str">
        <x:v>Unspecified</x:v>
      </x:c>
      <x:c r="K929" s="4" t="str">
        <x:f>IFERROR(INDEX('Crafting recipes'!$D$6:$D$1005,MATCH(B929,'Crafting recipes'!$A$6:$A$1005,0)),"MISSING ID")</x:f>
        <x:v>Proposal</x:v>
      </x:c>
      <x:c r="L929" s="4" t="str">
        <x:f>IFERROR(INDEX('Items'!$AD$6:$AD$1005,MATCH(D929,'Items'!$A$6:$A$1005,0)),"MISSING ID")</x:f>
        <x:v>Proposal</x:v>
      </x:c>
      <x:c r="M929" s="4" t="str">
        <x:f>IFERROR(INDEX('Crafting recipes'!$E$6:$E$1005,MATCH(B929,'Crafting recipes'!$A$6:$A$1005,0)),"MISSING ID")</x:f>
        <x:v>Partial proposal</x:v>
      </x:c>
      <x:c r="N929" s="4" t="str">
        <x:v>Candidate source or part only. Quantity, grade and method remain open.</x:v>
      </x:c>
      <x:c r="O929" s="4" t="str">
        <x:v>Collection expansion, October 15, 2026. New game proposal.</x:v>
      </x:c>
      <x:c r="P929" s="4" t="n">
        <x:f>IF(OR(C929="Ingredient candidate",C929="Consumed input",C929="Contained input",C929="Transform input"),IF(F929="T0",0,IF(F929="T1",1,IF(F929="T2",2,IF(F929="T3",3,IF(F929="T4",4,-1))))),-1)</x:f>
        <x:v>3</x:v>
      </x:c>
      <x:c r="Q929" s="4" t="n">
        <x:f>IF(AND(OR(C929="Ingredient candidate",C929="Consumed input",C929="Contained input",C929="Transform input"),P929=-1),1,0)</x:f>
        <x:v>0</x:v>
      </x:c>
    </x:row>
    <x:row r="930" ht="64" customHeight="1">
      <x:c r="A930" s="4" t="str">
        <x:v>design.collection.split_bearing_pillow_block.out</x:v>
      </x:c>
      <x:c r="B930" s="4" t="str">
        <x:v>design.collection.split_bearing_pillow_block</x:v>
      </x:c>
      <x:c r="C930" s="4" t="str">
        <x:v>Output</x:v>
      </x:c>
      <x:c r="D930" s="4" t="str">
        <x:v>proposal.collection.split_bearing_pillow_block</x:v>
      </x:c>
      <x:c r="E930" s="4" t="str">
        <x:f>IFERROR(INDEX('Items'!$B$6:$B$1005,MATCH(D930,'Items'!$A$6:$A$1005,0)),"MISSING ID")</x:f>
        <x:v>Split bearing pillow block</x:v>
      </x:c>
      <x:c r="F930" s="4" t="str">
        <x:f>IFERROR(INDEX('Items'!$C$6:$C$1005,MATCH(D930,'Items'!$A$6:$A$1005,0)),"MISSING ID")</x:f>
        <x:v>T4</x:v>
      </x:c>
      <x:c r="G930" s="4" t="str">
        <x:f>IFERROR(INDEX('Items'!$D$6:$D$1005,MATCH(D930,'Items'!$A$6:$A$1005,0)),"MISSING ID")</x:f>
        <x:v>Crafting components</x:v>
      </x:c>
      <x:c r="H930" s="4" t="str">
        <x:f>IFERROR(INDEX('Items'!$X$6:$X$1005,MATCH(D930,'Items'!$A$6:$A$1005,0)),"MISSING ID")</x:f>
        <x:v>Machine part</x:v>
      </x:c>
      <x:c r="I930" s="4"/>
      <x:c r="J930" s="4" t="str">
        <x:v>Unspecified</x:v>
      </x:c>
      <x:c r="K930" s="4" t="str">
        <x:f>IFERROR(INDEX('Crafting recipes'!$D$6:$D$1005,MATCH(B930,'Crafting recipes'!$A$6:$A$1005,0)),"MISSING ID")</x:f>
        <x:v>Proposal</x:v>
      </x:c>
      <x:c r="L930" s="4" t="str">
        <x:f>IFERROR(INDEX('Items'!$AD$6:$AD$1005,MATCH(D930,'Items'!$A$6:$A$1005,0)),"MISSING ID")</x:f>
        <x:v>Proposal</x:v>
      </x:c>
      <x:c r="M930" s="4" t="str">
        <x:f>IFERROR(INDEX('Crafting recipes'!$E$6:$E$1005,MATCH(B930,'Crafting recipes'!$A$6:$A$1005,0)),"MISSING ID")</x:f>
        <x:v>Partial proposal</x:v>
      </x:c>
      <x:c r="N930" s="4" t="str">
        <x:v>Candidate source or part only. Quantity, grade and method remain open.</x:v>
      </x:c>
      <x:c r="O930" s="4" t="str">
        <x:v>Collection expansion, October 15, 2026. New game proposal.</x:v>
      </x:c>
      <x:c r="P930" s="4" t="n">
        <x:f>IF(OR(C930="Ingredient candidate",C930="Consumed input",C930="Contained input",C930="Transform input"),IF(F930="T0",0,IF(F930="T1",1,IF(F930="T2",2,IF(F930="T3",3,IF(F930="T4",4,-1))))),-1)</x:f>
        <x:v>-1</x:v>
      </x:c>
      <x:c r="Q930" s="4" t="n">
        <x:f>IF(AND(OR(C930="Ingredient candidate",C930="Consumed input",C930="Contained input",C930="Transform input"),P930=-1),1,0)</x:f>
        <x:v>0</x:v>
      </x:c>
    </x:row>
    <x:row r="931" ht="64" customHeight="1">
      <x:c r="A931" s="4" t="str">
        <x:v>design.collection.flywheel_rim_segment.in.1</x:v>
      </x:c>
      <x:c r="B931" s="4" t="str">
        <x:v>design.collection.flywheel_rim_segment</x:v>
      </x:c>
      <x:c r="C931" s="4" t="str">
        <x:v>Ingredient candidate</x:v>
      </x:c>
      <x:c r="D931" s="4" t="str">
        <x:v>proposal.natural.iron_stock</x:v>
      </x:c>
      <x:c r="E931" s="4" t="str">
        <x:f>IFERROR(INDEX('Items'!$B$6:$B$1005,MATCH(D931,'Items'!$A$6:$A$1005,0)),"MISSING ID")</x:f>
        <x:v>Worked iron stock</x:v>
      </x:c>
      <x:c r="F931" s="4" t="str">
        <x:f>IFERROR(INDEX('Items'!$C$6:$C$1005,MATCH(D931,'Items'!$A$6:$A$1005,0)),"MISSING ID")</x:f>
        <x:v>T2</x:v>
      </x:c>
      <x:c r="G931" s="4" t="str">
        <x:f>IFERROR(INDEX('Items'!$D$6:$D$1005,MATCH(D931,'Items'!$A$6:$A$1005,0)),"MISSING ID")</x:f>
        <x:v>Manufactured stock</x:v>
      </x:c>
      <x:c r="H931" s="4" t="str">
        <x:f>IFERROR(INDEX('Items'!$X$6:$X$1005,MATCH(D931,'Items'!$A$6:$A$1005,0)),"MISSING ID")</x:f>
        <x:v>Processed material</x:v>
      </x:c>
      <x:c r="I931" s="4"/>
      <x:c r="J931" s="4" t="str">
        <x:v>Unspecified</x:v>
      </x:c>
      <x:c r="K931" s="4" t="str">
        <x:f>IFERROR(INDEX('Crafting recipes'!$D$6:$D$1005,MATCH(B931,'Crafting recipes'!$A$6:$A$1005,0)),"MISSING ID")</x:f>
        <x:v>Proposal</x:v>
      </x:c>
      <x:c r="L931" s="4" t="str">
        <x:f>IFERROR(INDEX('Items'!$AD$6:$AD$1005,MATCH(D931,'Items'!$A$6:$A$1005,0)),"MISSING ID")</x:f>
        <x:v>Proposal</x:v>
      </x:c>
      <x:c r="M931" s="4" t="str">
        <x:f>IFERROR(INDEX('Crafting recipes'!$E$6:$E$1005,MATCH(B931,'Crafting recipes'!$A$6:$A$1005,0)),"MISSING ID")</x:f>
        <x:v>Partial proposal</x:v>
      </x:c>
      <x:c r="N931" s="4" t="str">
        <x:v>Candidate source or part only. Quantity, grade and method remain open.</x:v>
      </x:c>
      <x:c r="O931" s="4" t="str">
        <x:v>Collection expansion, October 15, 2026. New game proposal.</x:v>
      </x:c>
      <x:c r="P931" s="4" t="n">
        <x:f>IF(OR(C931="Ingredient candidate",C931="Consumed input",C931="Contained input",C931="Transform input"),IF(F931="T0",0,IF(F931="T1",1,IF(F931="T2",2,IF(F931="T3",3,IF(F931="T4",4,-1))))),-1)</x:f>
        <x:v>2</x:v>
      </x:c>
      <x:c r="Q931" s="4" t="n">
        <x:f>IF(AND(OR(C931="Ingredient candidate",C931="Consumed input",C931="Contained input",C931="Transform input"),P931=-1),1,0)</x:f>
        <x:v>0</x:v>
      </x:c>
    </x:row>
    <x:row r="932" ht="64" customHeight="1">
      <x:c r="A932" s="4" t="str">
        <x:v>design.collection.flywheel_rim_segment.out</x:v>
      </x:c>
      <x:c r="B932" s="4" t="str">
        <x:v>design.collection.flywheel_rim_segment</x:v>
      </x:c>
      <x:c r="C932" s="4" t="str">
        <x:v>Output</x:v>
      </x:c>
      <x:c r="D932" s="4" t="str">
        <x:v>proposal.collection.flywheel_rim_segment</x:v>
      </x:c>
      <x:c r="E932" s="4" t="str">
        <x:f>IFERROR(INDEX('Items'!$B$6:$B$1005,MATCH(D932,'Items'!$A$6:$A$1005,0)),"MISSING ID")</x:f>
        <x:v>Flywheel rim segment</x:v>
      </x:c>
      <x:c r="F932" s="4" t="str">
        <x:f>IFERROR(INDEX('Items'!$C$6:$C$1005,MATCH(D932,'Items'!$A$6:$A$1005,0)),"MISSING ID")</x:f>
        <x:v>T3</x:v>
      </x:c>
      <x:c r="G932" s="4" t="str">
        <x:f>IFERROR(INDEX('Items'!$D$6:$D$1005,MATCH(D932,'Items'!$A$6:$A$1005,0)),"MISSING ID")</x:f>
        <x:v>Crafting components</x:v>
      </x:c>
      <x:c r="H932" s="4" t="str">
        <x:f>IFERROR(INDEX('Items'!$X$6:$X$1005,MATCH(D932,'Items'!$A$6:$A$1005,0)),"MISSING ID")</x:f>
        <x:v>Machine part</x:v>
      </x:c>
      <x:c r="I932" s="4"/>
      <x:c r="J932" s="4" t="str">
        <x:v>Unspecified</x:v>
      </x:c>
      <x:c r="K932" s="4" t="str">
        <x:f>IFERROR(INDEX('Crafting recipes'!$D$6:$D$1005,MATCH(B932,'Crafting recipes'!$A$6:$A$1005,0)),"MISSING ID")</x:f>
        <x:v>Proposal</x:v>
      </x:c>
      <x:c r="L932" s="4" t="str">
        <x:f>IFERROR(INDEX('Items'!$AD$6:$AD$1005,MATCH(D932,'Items'!$A$6:$A$1005,0)),"MISSING ID")</x:f>
        <x:v>Proposal</x:v>
      </x:c>
      <x:c r="M932" s="4" t="str">
        <x:f>IFERROR(INDEX('Crafting recipes'!$E$6:$E$1005,MATCH(B932,'Crafting recipes'!$A$6:$A$1005,0)),"MISSING ID")</x:f>
        <x:v>Partial proposal</x:v>
      </x:c>
      <x:c r="N932" s="4" t="str">
        <x:v>Candidate source or part only. Quantity, grade and method remain open.</x:v>
      </x:c>
      <x:c r="O932" s="4" t="str">
        <x:v>Collection expansion, October 15, 2026. New game proposal.</x:v>
      </x:c>
      <x:c r="P932" s="4" t="n">
        <x:f>IF(OR(C932="Ingredient candidate",C932="Consumed input",C932="Contained input",C932="Transform input"),IF(F932="T0",0,IF(F932="T1",1,IF(F932="T2",2,IF(F932="T3",3,IF(F932="T4",4,-1))))),-1)</x:f>
        <x:v>-1</x:v>
      </x:c>
      <x:c r="Q932" s="4" t="n">
        <x:f>IF(AND(OR(C932="Ingredient candidate",C932="Consumed input",C932="Contained input",C932="Transform input"),P932=-1),1,0)</x:f>
        <x:v>0</x:v>
      </x:c>
    </x:row>
    <x:row r="933" ht="64" customHeight="1">
      <x:c r="A933" s="4" t="str">
        <x:v>design.collection.clutch_friction_disc.in.1</x:v>
      </x:c>
      <x:c r="B933" s="4" t="str">
        <x:v>design.collection.clutch_friction_disc</x:v>
      </x:c>
      <x:c r="C933" s="4" t="str">
        <x:v>Ingredient candidate</x:v>
      </x:c>
      <x:c r="D933" s="4" t="str">
        <x:v>proposal.collection.pressed_chitin_friction_stock</x:v>
      </x:c>
      <x:c r="E933" s="4" t="str">
        <x:f>IFERROR(INDEX('Items'!$B$6:$B$1005,MATCH(D933,'Items'!$A$6:$A$1005,0)),"MISSING ID")</x:f>
        <x:v>Pressed chitin friction stock</x:v>
      </x:c>
      <x:c r="F933" s="4" t="str">
        <x:f>IFERROR(INDEX('Items'!$C$6:$C$1005,MATCH(D933,'Items'!$A$6:$A$1005,0)),"MISSING ID")</x:f>
        <x:v>T2</x:v>
      </x:c>
      <x:c r="G933" s="4" t="str">
        <x:f>IFERROR(INDEX('Items'!$D$6:$D$1005,MATCH(D933,'Items'!$A$6:$A$1005,0)),"MISSING ID")</x:f>
        <x:v>Manufactured stock</x:v>
      </x:c>
      <x:c r="H933" s="4" t="str">
        <x:f>IFERROR(INDEX('Items'!$X$6:$X$1005,MATCH(D933,'Items'!$A$6:$A$1005,0)),"MISSING ID")</x:f>
        <x:v>Processed material</x:v>
      </x:c>
      <x:c r="I933" s="4"/>
      <x:c r="J933" s="4" t="str">
        <x:v>Unspecified</x:v>
      </x:c>
      <x:c r="K933" s="4" t="str">
        <x:f>IFERROR(INDEX('Crafting recipes'!$D$6:$D$1005,MATCH(B933,'Crafting recipes'!$A$6:$A$1005,0)),"MISSING ID")</x:f>
        <x:v>Proposal</x:v>
      </x:c>
      <x:c r="L933" s="4" t="str">
        <x:f>IFERROR(INDEX('Items'!$AD$6:$AD$1005,MATCH(D933,'Items'!$A$6:$A$1005,0)),"MISSING ID")</x:f>
        <x:v>Proposal</x:v>
      </x:c>
      <x:c r="M933" s="4" t="str">
        <x:f>IFERROR(INDEX('Crafting recipes'!$E$6:$E$1005,MATCH(B933,'Crafting recipes'!$A$6:$A$1005,0)),"MISSING ID")</x:f>
        <x:v>Partial proposal</x:v>
      </x:c>
      <x:c r="N933" s="4" t="str">
        <x:v>Candidate source or part only. Quantity, grade and method remain open.</x:v>
      </x:c>
      <x:c r="O933" s="4" t="str">
        <x:v>Collection expansion, October 15, 2026. New game proposal.</x:v>
      </x:c>
      <x:c r="P933" s="4" t="n">
        <x:f>IF(OR(C933="Ingredient candidate",C933="Consumed input",C933="Contained input",C933="Transform input"),IF(F933="T0",0,IF(F933="T1",1,IF(F933="T2",2,IF(F933="T3",3,IF(F933="T4",4,-1))))),-1)</x:f>
        <x:v>2</x:v>
      </x:c>
      <x:c r="Q933" s="4" t="n">
        <x:f>IF(AND(OR(C933="Ingredient candidate",C933="Consumed input",C933="Contained input",C933="Transform input"),P933=-1),1,0)</x:f>
        <x:v>0</x:v>
      </x:c>
    </x:row>
    <x:row r="934" ht="64" customHeight="1">
      <x:c r="A934" s="4" t="str">
        <x:v>design.collection.clutch_friction_disc.in.2</x:v>
      </x:c>
      <x:c r="B934" s="4" t="str">
        <x:v>design.collection.clutch_friction_disc</x:v>
      </x:c>
      <x:c r="C934" s="4" t="str">
        <x:v>Ingredient candidate</x:v>
      </x:c>
      <x:c r="D934" s="4" t="str">
        <x:v>proposal.collection.annealed_iron_sheet_stock</x:v>
      </x:c>
      <x:c r="E934" s="4" t="str">
        <x:f>IFERROR(INDEX('Items'!$B$6:$B$1005,MATCH(D934,'Items'!$A$6:$A$1005,0)),"MISSING ID")</x:f>
        <x:v>Annealed iron sheet stock</x:v>
      </x:c>
      <x:c r="F934" s="4" t="str">
        <x:f>IFERROR(INDEX('Items'!$C$6:$C$1005,MATCH(D934,'Items'!$A$6:$A$1005,0)),"MISSING ID")</x:f>
        <x:v>T3</x:v>
      </x:c>
      <x:c r="G934" s="4" t="str">
        <x:f>IFERROR(INDEX('Items'!$D$6:$D$1005,MATCH(D934,'Items'!$A$6:$A$1005,0)),"MISSING ID")</x:f>
        <x:v>Manufactured stock</x:v>
      </x:c>
      <x:c r="H934" s="4" t="str">
        <x:f>IFERROR(INDEX('Items'!$X$6:$X$1005,MATCH(D934,'Items'!$A$6:$A$1005,0)),"MISSING ID")</x:f>
        <x:v>Processed material</x:v>
      </x:c>
      <x:c r="I934" s="4"/>
      <x:c r="J934" s="4" t="str">
        <x:v>Unspecified</x:v>
      </x:c>
      <x:c r="K934" s="4" t="str">
        <x:f>IFERROR(INDEX('Crafting recipes'!$D$6:$D$1005,MATCH(B934,'Crafting recipes'!$A$6:$A$1005,0)),"MISSING ID")</x:f>
        <x:v>Proposal</x:v>
      </x:c>
      <x:c r="L934" s="4" t="str">
        <x:f>IFERROR(INDEX('Items'!$AD$6:$AD$1005,MATCH(D934,'Items'!$A$6:$A$1005,0)),"MISSING ID")</x:f>
        <x:v>Proposal</x:v>
      </x:c>
      <x:c r="M934" s="4" t="str">
        <x:f>IFERROR(INDEX('Crafting recipes'!$E$6:$E$1005,MATCH(B934,'Crafting recipes'!$A$6:$A$1005,0)),"MISSING ID")</x:f>
        <x:v>Partial proposal</x:v>
      </x:c>
      <x:c r="N934" s="4" t="str">
        <x:v>Candidate source or part only. Quantity, grade and method remain open.</x:v>
      </x:c>
      <x:c r="O934" s="4" t="str">
        <x:v>Collection expansion, October 15, 2026. New game proposal.</x:v>
      </x:c>
      <x:c r="P934" s="4" t="n">
        <x:f>IF(OR(C934="Ingredient candidate",C934="Consumed input",C934="Contained input",C934="Transform input"),IF(F934="T0",0,IF(F934="T1",1,IF(F934="T2",2,IF(F934="T3",3,IF(F934="T4",4,-1))))),-1)</x:f>
        <x:v>3</x:v>
      </x:c>
      <x:c r="Q934" s="4" t="n">
        <x:f>IF(AND(OR(C934="Ingredient candidate",C934="Consumed input",C934="Contained input",C934="Transform input"),P934=-1),1,0)</x:f>
        <x:v>0</x:v>
      </x:c>
    </x:row>
    <x:row r="935" ht="64" customHeight="1">
      <x:c r="A935" s="4" t="str">
        <x:v>design.collection.clutch_friction_disc.out</x:v>
      </x:c>
      <x:c r="B935" s="4" t="str">
        <x:v>design.collection.clutch_friction_disc</x:v>
      </x:c>
      <x:c r="C935" s="4" t="str">
        <x:v>Output</x:v>
      </x:c>
      <x:c r="D935" s="4" t="str">
        <x:v>proposal.collection.clutch_friction_disc</x:v>
      </x:c>
      <x:c r="E935" s="4" t="str">
        <x:f>IFERROR(INDEX('Items'!$B$6:$B$1005,MATCH(D935,'Items'!$A$6:$A$1005,0)),"MISSING ID")</x:f>
        <x:v>Clutch friction disc</x:v>
      </x:c>
      <x:c r="F935" s="4" t="str">
        <x:f>IFERROR(INDEX('Items'!$C$6:$C$1005,MATCH(D935,'Items'!$A$6:$A$1005,0)),"MISSING ID")</x:f>
        <x:v>T4</x:v>
      </x:c>
      <x:c r="G935" s="4" t="str">
        <x:f>IFERROR(INDEX('Items'!$D$6:$D$1005,MATCH(D935,'Items'!$A$6:$A$1005,0)),"MISSING ID")</x:f>
        <x:v>Crafting components</x:v>
      </x:c>
      <x:c r="H935" s="4" t="str">
        <x:f>IFERROR(INDEX('Items'!$X$6:$X$1005,MATCH(D935,'Items'!$A$6:$A$1005,0)),"MISSING ID")</x:f>
        <x:v>Machine part</x:v>
      </x:c>
      <x:c r="I935" s="4"/>
      <x:c r="J935" s="4" t="str">
        <x:v>Unspecified</x:v>
      </x:c>
      <x:c r="K935" s="4" t="str">
        <x:f>IFERROR(INDEX('Crafting recipes'!$D$6:$D$1005,MATCH(B935,'Crafting recipes'!$A$6:$A$1005,0)),"MISSING ID")</x:f>
        <x:v>Proposal</x:v>
      </x:c>
      <x:c r="L935" s="4" t="str">
        <x:f>IFERROR(INDEX('Items'!$AD$6:$AD$1005,MATCH(D935,'Items'!$A$6:$A$1005,0)),"MISSING ID")</x:f>
        <x:v>Proposal</x:v>
      </x:c>
      <x:c r="M935" s="4" t="str">
        <x:f>IFERROR(INDEX('Crafting recipes'!$E$6:$E$1005,MATCH(B935,'Crafting recipes'!$A$6:$A$1005,0)),"MISSING ID")</x:f>
        <x:v>Partial proposal</x:v>
      </x:c>
      <x:c r="N935" s="4" t="str">
        <x:v>Candidate source or part only. Quantity, grade and method remain open.</x:v>
      </x:c>
      <x:c r="O935" s="4" t="str">
        <x:v>Collection expansion, October 15, 2026. New game proposal.</x:v>
      </x:c>
      <x:c r="P935" s="4" t="n">
        <x:f>IF(OR(C935="Ingredient candidate",C935="Consumed input",C935="Contained input",C935="Transform input"),IF(F935="T0",0,IF(F935="T1",1,IF(F935="T2",2,IF(F935="T3",3,IF(F935="T4",4,-1))))),-1)</x:f>
        <x:v>-1</x:v>
      </x:c>
      <x:c r="Q935" s="4" t="n">
        <x:f>IF(AND(OR(C935="Ingredient candidate",C935="Consumed input",C935="Contained input",C935="Transform input"),P935=-1),1,0)</x:f>
        <x:v>0</x:v>
      </x:c>
    </x:row>
    <x:row r="936" ht="64" customHeight="1">
      <x:c r="A936" s="4" t="str">
        <x:v>design.collection.brake_drum.in.1</x:v>
      </x:c>
      <x:c r="B936" s="4" t="str">
        <x:v>design.collection.brake_drum</x:v>
      </x:c>
      <x:c r="C936" s="4" t="str">
        <x:v>Ingredient candidate</x:v>
      </x:c>
      <x:c r="D936" s="4" t="str">
        <x:v>author.metallurgy.steel_stock</x:v>
      </x:c>
      <x:c r="E936" s="4" t="str">
        <x:f>IFERROR(INDEX('Items'!$B$6:$B$1005,MATCH(D936,'Items'!$A$6:$A$1005,0)),"MISSING ID")</x:f>
        <x:v>Steel stock</x:v>
      </x:c>
      <x:c r="F936" s="4" t="str">
        <x:f>IFERROR(INDEX('Items'!$C$6:$C$1005,MATCH(D936,'Items'!$A$6:$A$1005,0)),"MISSING ID")</x:f>
        <x:v>T2</x:v>
      </x:c>
      <x:c r="G936" s="4" t="str">
        <x:f>IFERROR(INDEX('Items'!$D$6:$D$1005,MATCH(D936,'Items'!$A$6:$A$1005,0)),"MISSING ID")</x:f>
        <x:v>Manufactured stock</x:v>
      </x:c>
      <x:c r="H936" s="4" t="str">
        <x:f>IFERROR(INDEX('Items'!$X$6:$X$1005,MATCH(D936,'Items'!$A$6:$A$1005,0)),"MISSING ID")</x:f>
        <x:v>Processed material</x:v>
      </x:c>
      <x:c r="I936" s="4"/>
      <x:c r="J936" s="4" t="str">
        <x:v>Unspecified</x:v>
      </x:c>
      <x:c r="K936" s="4" t="str">
        <x:f>IFERROR(INDEX('Crafting recipes'!$D$6:$D$1005,MATCH(B936,'Crafting recipes'!$A$6:$A$1005,0)),"MISSING ID")</x:f>
        <x:v>Proposal</x:v>
      </x:c>
      <x:c r="L936" s="4" t="str">
        <x:f>IFERROR(INDEX('Items'!$AD$6:$AD$1005,MATCH(D936,'Items'!$A$6:$A$1005,0)),"MISSING ID")</x:f>
        <x:v>Author direction</x:v>
      </x:c>
      <x:c r="M936" s="4" t="str">
        <x:f>IFERROR(INDEX('Crafting recipes'!$E$6:$E$1005,MATCH(B936,'Crafting recipes'!$A$6:$A$1005,0)),"MISSING ID")</x:f>
        <x:v>Partial proposal</x:v>
      </x:c>
      <x:c r="N936" s="4" t="str">
        <x:v>Candidate source or part only. Quantity, grade and method remain open.</x:v>
      </x:c>
      <x:c r="O936" s="4" t="str">
        <x:v>Collection expansion, October 15, 2026. New game proposal.</x:v>
      </x:c>
      <x:c r="P936" s="4" t="n">
        <x:f>IF(OR(C936="Ingredient candidate",C936="Consumed input",C936="Contained input",C936="Transform input"),IF(F936="T0",0,IF(F936="T1",1,IF(F936="T2",2,IF(F936="T3",3,IF(F936="T4",4,-1))))),-1)</x:f>
        <x:v>2</x:v>
      </x:c>
      <x:c r="Q936" s="4" t="n">
        <x:f>IF(AND(OR(C936="Ingredient candidate",C936="Consumed input",C936="Contained input",C936="Transform input"),P936=-1),1,0)</x:f>
        <x:v>0</x:v>
      </x:c>
    </x:row>
    <x:row r="937" ht="64" customHeight="1">
      <x:c r="A937" s="4" t="str">
        <x:v>design.collection.brake_drum.out</x:v>
      </x:c>
      <x:c r="B937" s="4" t="str">
        <x:v>design.collection.brake_drum</x:v>
      </x:c>
      <x:c r="C937" s="4" t="str">
        <x:v>Output</x:v>
      </x:c>
      <x:c r="D937" s="4" t="str">
        <x:v>proposal.collection.brake_drum</x:v>
      </x:c>
      <x:c r="E937" s="4" t="str">
        <x:f>IFERROR(INDEX('Items'!$B$6:$B$1005,MATCH(D937,'Items'!$A$6:$A$1005,0)),"MISSING ID")</x:f>
        <x:v>Brake drum</x:v>
      </x:c>
      <x:c r="F937" s="4" t="str">
        <x:f>IFERROR(INDEX('Items'!$C$6:$C$1005,MATCH(D937,'Items'!$A$6:$A$1005,0)),"MISSING ID")</x:f>
        <x:v>T3</x:v>
      </x:c>
      <x:c r="G937" s="4" t="str">
        <x:f>IFERROR(INDEX('Items'!$D$6:$D$1005,MATCH(D937,'Items'!$A$6:$A$1005,0)),"MISSING ID")</x:f>
        <x:v>Crafting components</x:v>
      </x:c>
      <x:c r="H937" s="4" t="str">
        <x:f>IFERROR(INDEX('Items'!$X$6:$X$1005,MATCH(D937,'Items'!$A$6:$A$1005,0)),"MISSING ID")</x:f>
        <x:v>Machine part</x:v>
      </x:c>
      <x:c r="I937" s="4"/>
      <x:c r="J937" s="4" t="str">
        <x:v>Unspecified</x:v>
      </x:c>
      <x:c r="K937" s="4" t="str">
        <x:f>IFERROR(INDEX('Crafting recipes'!$D$6:$D$1005,MATCH(B937,'Crafting recipes'!$A$6:$A$1005,0)),"MISSING ID")</x:f>
        <x:v>Proposal</x:v>
      </x:c>
      <x:c r="L937" s="4" t="str">
        <x:f>IFERROR(INDEX('Items'!$AD$6:$AD$1005,MATCH(D937,'Items'!$A$6:$A$1005,0)),"MISSING ID")</x:f>
        <x:v>Proposal</x:v>
      </x:c>
      <x:c r="M937" s="4" t="str">
        <x:f>IFERROR(INDEX('Crafting recipes'!$E$6:$E$1005,MATCH(B937,'Crafting recipes'!$A$6:$A$1005,0)),"MISSING ID")</x:f>
        <x:v>Partial proposal</x:v>
      </x:c>
      <x:c r="N937" s="4" t="str">
        <x:v>Candidate source or part only. Quantity, grade and method remain open.</x:v>
      </x:c>
      <x:c r="O937" s="4" t="str">
        <x:v>Collection expansion, October 15, 2026. New game proposal.</x:v>
      </x:c>
      <x:c r="P937" s="4" t="n">
        <x:f>IF(OR(C937="Ingredient candidate",C937="Consumed input",C937="Contained input",C937="Transform input"),IF(F937="T0",0,IF(F937="T1",1,IF(F937="T2",2,IF(F937="T3",3,IF(F937="T4",4,-1))))),-1)</x:f>
        <x:v>-1</x:v>
      </x:c>
      <x:c r="Q937" s="4" t="n">
        <x:f>IF(AND(OR(C937="Ingredient candidate",C937="Consumed input",C937="Contained input",C937="Transform input"),P937=-1),1,0)</x:f>
        <x:v>0</x:v>
      </x:c>
    </x:row>
    <x:row r="938" ht="64" customHeight="1">
      <x:c r="A938" s="4" t="str">
        <x:v>design.collection.brake_lining_shoe.in.1</x:v>
      </x:c>
      <x:c r="B938" s="4" t="str">
        <x:v>design.collection.brake_lining_shoe</x:v>
      </x:c>
      <x:c r="C938" s="4" t="str">
        <x:v>Ingredient candidate</x:v>
      </x:c>
      <x:c r="D938" s="4" t="str">
        <x:v>proposal.collection.pressed_chitin_friction_stock</x:v>
      </x:c>
      <x:c r="E938" s="4" t="str">
        <x:f>IFERROR(INDEX('Items'!$B$6:$B$1005,MATCH(D938,'Items'!$A$6:$A$1005,0)),"MISSING ID")</x:f>
        <x:v>Pressed chitin friction stock</x:v>
      </x:c>
      <x:c r="F938" s="4" t="str">
        <x:f>IFERROR(INDEX('Items'!$C$6:$C$1005,MATCH(D938,'Items'!$A$6:$A$1005,0)),"MISSING ID")</x:f>
        <x:v>T2</x:v>
      </x:c>
      <x:c r="G938" s="4" t="str">
        <x:f>IFERROR(INDEX('Items'!$D$6:$D$1005,MATCH(D938,'Items'!$A$6:$A$1005,0)),"MISSING ID")</x:f>
        <x:v>Manufactured stock</x:v>
      </x:c>
      <x:c r="H938" s="4" t="str">
        <x:f>IFERROR(INDEX('Items'!$X$6:$X$1005,MATCH(D938,'Items'!$A$6:$A$1005,0)),"MISSING ID")</x:f>
        <x:v>Processed material</x:v>
      </x:c>
      <x:c r="I938" s="4"/>
      <x:c r="J938" s="4" t="str">
        <x:v>Unspecified</x:v>
      </x:c>
      <x:c r="K938" s="4" t="str">
        <x:f>IFERROR(INDEX('Crafting recipes'!$D$6:$D$1005,MATCH(B938,'Crafting recipes'!$A$6:$A$1005,0)),"MISSING ID")</x:f>
        <x:v>Proposal</x:v>
      </x:c>
      <x:c r="L938" s="4" t="str">
        <x:f>IFERROR(INDEX('Items'!$AD$6:$AD$1005,MATCH(D938,'Items'!$A$6:$A$1005,0)),"MISSING ID")</x:f>
        <x:v>Proposal</x:v>
      </x:c>
      <x:c r="M938" s="4" t="str">
        <x:f>IFERROR(INDEX('Crafting recipes'!$E$6:$E$1005,MATCH(B938,'Crafting recipes'!$A$6:$A$1005,0)),"MISSING ID")</x:f>
        <x:v>Partial proposal</x:v>
      </x:c>
      <x:c r="N938" s="4" t="str">
        <x:v>Candidate source or part only. Quantity, grade and method remain open.</x:v>
      </x:c>
      <x:c r="O938" s="4" t="str">
        <x:v>Collection expansion, October 15, 2026. New game proposal.</x:v>
      </x:c>
      <x:c r="P938" s="4" t="n">
        <x:f>IF(OR(C938="Ingredient candidate",C938="Consumed input",C938="Contained input",C938="Transform input"),IF(F938="T0",0,IF(F938="T1",1,IF(F938="T2",2,IF(F938="T3",3,IF(F938="T4",4,-1))))),-1)</x:f>
        <x:v>2</x:v>
      </x:c>
      <x:c r="Q938" s="4" t="n">
        <x:f>IF(AND(OR(C938="Ingredient candidate",C938="Consumed input",C938="Contained input",C938="Transform input"),P938=-1),1,0)</x:f>
        <x:v>0</x:v>
      </x:c>
    </x:row>
    <x:row r="939" ht="64" customHeight="1">
      <x:c r="A939" s="4" t="str">
        <x:v>design.collection.brake_lining_shoe.in.2</x:v>
      </x:c>
      <x:c r="B939" s="4" t="str">
        <x:v>design.collection.brake_lining_shoe</x:v>
      </x:c>
      <x:c r="C939" s="4" t="str">
        <x:v>Ingredient candidate</x:v>
      </x:c>
      <x:c r="D939" s="4" t="str">
        <x:v>proposal.natural.iron_stock</x:v>
      </x:c>
      <x:c r="E939" s="4" t="str">
        <x:f>IFERROR(INDEX('Items'!$B$6:$B$1005,MATCH(D939,'Items'!$A$6:$A$1005,0)),"MISSING ID")</x:f>
        <x:v>Worked iron stock</x:v>
      </x:c>
      <x:c r="F939" s="4" t="str">
        <x:f>IFERROR(INDEX('Items'!$C$6:$C$1005,MATCH(D939,'Items'!$A$6:$A$1005,0)),"MISSING ID")</x:f>
        <x:v>T2</x:v>
      </x:c>
      <x:c r="G939" s="4" t="str">
        <x:f>IFERROR(INDEX('Items'!$D$6:$D$1005,MATCH(D939,'Items'!$A$6:$A$1005,0)),"MISSING ID")</x:f>
        <x:v>Manufactured stock</x:v>
      </x:c>
      <x:c r="H939" s="4" t="str">
        <x:f>IFERROR(INDEX('Items'!$X$6:$X$1005,MATCH(D939,'Items'!$A$6:$A$1005,0)),"MISSING ID")</x:f>
        <x:v>Processed material</x:v>
      </x:c>
      <x:c r="I939" s="4"/>
      <x:c r="J939" s="4" t="str">
        <x:v>Unspecified</x:v>
      </x:c>
      <x:c r="K939" s="4" t="str">
        <x:f>IFERROR(INDEX('Crafting recipes'!$D$6:$D$1005,MATCH(B939,'Crafting recipes'!$A$6:$A$1005,0)),"MISSING ID")</x:f>
        <x:v>Proposal</x:v>
      </x:c>
      <x:c r="L939" s="4" t="str">
        <x:f>IFERROR(INDEX('Items'!$AD$6:$AD$1005,MATCH(D939,'Items'!$A$6:$A$1005,0)),"MISSING ID")</x:f>
        <x:v>Proposal</x:v>
      </x:c>
      <x:c r="M939" s="4" t="str">
        <x:f>IFERROR(INDEX('Crafting recipes'!$E$6:$E$1005,MATCH(B939,'Crafting recipes'!$A$6:$A$1005,0)),"MISSING ID")</x:f>
        <x:v>Partial proposal</x:v>
      </x:c>
      <x:c r="N939" s="4" t="str">
        <x:v>Candidate source or part only. Quantity, grade and method remain open.</x:v>
      </x:c>
      <x:c r="O939" s="4" t="str">
        <x:v>Collection expansion, October 15, 2026. New game proposal.</x:v>
      </x:c>
      <x:c r="P939" s="4" t="n">
        <x:f>IF(OR(C939="Ingredient candidate",C939="Consumed input",C939="Contained input",C939="Transform input"),IF(F939="T0",0,IF(F939="T1",1,IF(F939="T2",2,IF(F939="T3",3,IF(F939="T4",4,-1))))),-1)</x:f>
        <x:v>2</x:v>
      </x:c>
      <x:c r="Q939" s="4" t="n">
        <x:f>IF(AND(OR(C939="Ingredient candidate",C939="Consumed input",C939="Contained input",C939="Transform input"),P939=-1),1,0)</x:f>
        <x:v>0</x:v>
      </x:c>
    </x:row>
    <x:row r="940" ht="64" customHeight="1">
      <x:c r="A940" s="4" t="str">
        <x:v>design.collection.brake_lining_shoe.out</x:v>
      </x:c>
      <x:c r="B940" s="4" t="str">
        <x:v>design.collection.brake_lining_shoe</x:v>
      </x:c>
      <x:c r="C940" s="4" t="str">
        <x:v>Output</x:v>
      </x:c>
      <x:c r="D940" s="4" t="str">
        <x:v>proposal.collection.brake_lining_shoe</x:v>
      </x:c>
      <x:c r="E940" s="4" t="str">
        <x:f>IFERROR(INDEX('Items'!$B$6:$B$1005,MATCH(D940,'Items'!$A$6:$A$1005,0)),"MISSING ID")</x:f>
        <x:v>Brake lining shoe</x:v>
      </x:c>
      <x:c r="F940" s="4" t="str">
        <x:f>IFERROR(INDEX('Items'!$C$6:$C$1005,MATCH(D940,'Items'!$A$6:$A$1005,0)),"MISSING ID")</x:f>
        <x:v>T3</x:v>
      </x:c>
      <x:c r="G940" s="4" t="str">
        <x:f>IFERROR(INDEX('Items'!$D$6:$D$1005,MATCH(D940,'Items'!$A$6:$A$1005,0)),"MISSING ID")</x:f>
        <x:v>Crafting components</x:v>
      </x:c>
      <x:c r="H940" s="4" t="str">
        <x:f>IFERROR(INDEX('Items'!$X$6:$X$1005,MATCH(D940,'Items'!$A$6:$A$1005,0)),"MISSING ID")</x:f>
        <x:v>Machine part</x:v>
      </x:c>
      <x:c r="I940" s="4"/>
      <x:c r="J940" s="4" t="str">
        <x:v>Unspecified</x:v>
      </x:c>
      <x:c r="K940" s="4" t="str">
        <x:f>IFERROR(INDEX('Crafting recipes'!$D$6:$D$1005,MATCH(B940,'Crafting recipes'!$A$6:$A$1005,0)),"MISSING ID")</x:f>
        <x:v>Proposal</x:v>
      </x:c>
      <x:c r="L940" s="4" t="str">
        <x:f>IFERROR(INDEX('Items'!$AD$6:$AD$1005,MATCH(D940,'Items'!$A$6:$A$1005,0)),"MISSING ID")</x:f>
        <x:v>Proposal</x:v>
      </x:c>
      <x:c r="M940" s="4" t="str">
        <x:f>IFERROR(INDEX('Crafting recipes'!$E$6:$E$1005,MATCH(B940,'Crafting recipes'!$A$6:$A$1005,0)),"MISSING ID")</x:f>
        <x:v>Partial proposal</x:v>
      </x:c>
      <x:c r="N940" s="4" t="str">
        <x:v>Candidate source or part only. Quantity, grade and method remain open.</x:v>
      </x:c>
      <x:c r="O940" s="4" t="str">
        <x:v>Collection expansion, October 15, 2026. New game proposal.</x:v>
      </x:c>
      <x:c r="P940" s="4" t="n">
        <x:f>IF(OR(C940="Ingredient candidate",C940="Consumed input",C940="Contained input",C940="Transform input"),IF(F940="T0",0,IF(F940="T1",1,IF(F940="T2",2,IF(F940="T3",3,IF(F940="T4",4,-1))))),-1)</x:f>
        <x:v>-1</x:v>
      </x:c>
      <x:c r="Q940" s="4" t="n">
        <x:f>IF(AND(OR(C940="Ingredient candidate",C940="Consumed input",C940="Contained input",C940="Transform input"),P940=-1),1,0)</x:f>
        <x:v>0</x:v>
      </x:c>
    </x:row>
    <x:row r="941" ht="64" customHeight="1">
      <x:c r="A941" s="4" t="str">
        <x:v>design.collection.counterweight_chain_link.in.1</x:v>
      </x:c>
      <x:c r="B941" s="4" t="str">
        <x:v>design.collection.counterweight_chain_link</x:v>
      </x:c>
      <x:c r="C941" s="4" t="str">
        <x:v>Ingredient candidate</x:v>
      </x:c>
      <x:c r="D941" s="4" t="str">
        <x:v>author.metallurgy.steel_stock</x:v>
      </x:c>
      <x:c r="E941" s="4" t="str">
        <x:f>IFERROR(INDEX('Items'!$B$6:$B$1005,MATCH(D941,'Items'!$A$6:$A$1005,0)),"MISSING ID")</x:f>
        <x:v>Steel stock</x:v>
      </x:c>
      <x:c r="F941" s="4" t="str">
        <x:f>IFERROR(INDEX('Items'!$C$6:$C$1005,MATCH(D941,'Items'!$A$6:$A$1005,0)),"MISSING ID")</x:f>
        <x:v>T2</x:v>
      </x:c>
      <x:c r="G941" s="4" t="str">
        <x:f>IFERROR(INDEX('Items'!$D$6:$D$1005,MATCH(D941,'Items'!$A$6:$A$1005,0)),"MISSING ID")</x:f>
        <x:v>Manufactured stock</x:v>
      </x:c>
      <x:c r="H941" s="4" t="str">
        <x:f>IFERROR(INDEX('Items'!$X$6:$X$1005,MATCH(D941,'Items'!$A$6:$A$1005,0)),"MISSING ID")</x:f>
        <x:v>Processed material</x:v>
      </x:c>
      <x:c r="I941" s="4"/>
      <x:c r="J941" s="4" t="str">
        <x:v>Unspecified</x:v>
      </x:c>
      <x:c r="K941" s="4" t="str">
        <x:f>IFERROR(INDEX('Crafting recipes'!$D$6:$D$1005,MATCH(B941,'Crafting recipes'!$A$6:$A$1005,0)),"MISSING ID")</x:f>
        <x:v>Proposal</x:v>
      </x:c>
      <x:c r="L941" s="4" t="str">
        <x:f>IFERROR(INDEX('Items'!$AD$6:$AD$1005,MATCH(D941,'Items'!$A$6:$A$1005,0)),"MISSING ID")</x:f>
        <x:v>Author direction</x:v>
      </x:c>
      <x:c r="M941" s="4" t="str">
        <x:f>IFERROR(INDEX('Crafting recipes'!$E$6:$E$1005,MATCH(B941,'Crafting recipes'!$A$6:$A$1005,0)),"MISSING ID")</x:f>
        <x:v>Partial proposal</x:v>
      </x:c>
      <x:c r="N941" s="4" t="str">
        <x:v>Candidate source or part only. Quantity, grade and method remain open.</x:v>
      </x:c>
      <x:c r="O941" s="4" t="str">
        <x:v>Collection expansion, October 15, 2026. New game proposal.</x:v>
      </x:c>
      <x:c r="P941" s="4" t="n">
        <x:f>IF(OR(C941="Ingredient candidate",C941="Consumed input",C941="Contained input",C941="Transform input"),IF(F941="T0",0,IF(F941="T1",1,IF(F941="T2",2,IF(F941="T3",3,IF(F941="T4",4,-1))))),-1)</x:f>
        <x:v>2</x:v>
      </x:c>
      <x:c r="Q941" s="4" t="n">
        <x:f>IF(AND(OR(C941="Ingredient candidate",C941="Consumed input",C941="Contained input",C941="Transform input"),P941=-1),1,0)</x:f>
        <x:v>0</x:v>
      </x:c>
    </x:row>
    <x:row r="942" ht="64" customHeight="1">
      <x:c r="A942" s="4" t="str">
        <x:v>design.collection.counterweight_chain_link.out</x:v>
      </x:c>
      <x:c r="B942" s="4" t="str">
        <x:v>design.collection.counterweight_chain_link</x:v>
      </x:c>
      <x:c r="C942" s="4" t="str">
        <x:v>Output</x:v>
      </x:c>
      <x:c r="D942" s="4" t="str">
        <x:v>proposal.collection.counterweight_chain_link</x:v>
      </x:c>
      <x:c r="E942" s="4" t="str">
        <x:f>IFERROR(INDEX('Items'!$B$6:$B$1005,MATCH(D942,'Items'!$A$6:$A$1005,0)),"MISSING ID")</x:f>
        <x:v>Counterweight chain link</x:v>
      </x:c>
      <x:c r="F942" s="4" t="str">
        <x:f>IFERROR(INDEX('Items'!$C$6:$C$1005,MATCH(D942,'Items'!$A$6:$A$1005,0)),"MISSING ID")</x:f>
        <x:v>T3</x:v>
      </x:c>
      <x:c r="G942" s="4" t="str">
        <x:f>IFERROR(INDEX('Items'!$D$6:$D$1005,MATCH(D942,'Items'!$A$6:$A$1005,0)),"MISSING ID")</x:f>
        <x:v>Crafting components</x:v>
      </x:c>
      <x:c r="H942" s="4" t="str">
        <x:f>IFERROR(INDEX('Items'!$X$6:$X$1005,MATCH(D942,'Items'!$A$6:$A$1005,0)),"MISSING ID")</x:f>
        <x:v>Machine part</x:v>
      </x:c>
      <x:c r="I942" s="4"/>
      <x:c r="J942" s="4" t="str">
        <x:v>Unspecified</x:v>
      </x:c>
      <x:c r="K942" s="4" t="str">
        <x:f>IFERROR(INDEX('Crafting recipes'!$D$6:$D$1005,MATCH(B942,'Crafting recipes'!$A$6:$A$1005,0)),"MISSING ID")</x:f>
        <x:v>Proposal</x:v>
      </x:c>
      <x:c r="L942" s="4" t="str">
        <x:f>IFERROR(INDEX('Items'!$AD$6:$AD$1005,MATCH(D942,'Items'!$A$6:$A$1005,0)),"MISSING ID")</x:f>
        <x:v>Proposal</x:v>
      </x:c>
      <x:c r="M942" s="4" t="str">
        <x:f>IFERROR(INDEX('Crafting recipes'!$E$6:$E$1005,MATCH(B942,'Crafting recipes'!$A$6:$A$1005,0)),"MISSING ID")</x:f>
        <x:v>Partial proposal</x:v>
      </x:c>
      <x:c r="N942" s="4" t="str">
        <x:v>Candidate source or part only. Quantity, grade and method remain open.</x:v>
      </x:c>
      <x:c r="O942" s="4" t="str">
        <x:v>Collection expansion, October 15, 2026. New game proposal.</x:v>
      </x:c>
      <x:c r="P942" s="4" t="n">
        <x:f>IF(OR(C942="Ingredient candidate",C942="Consumed input",C942="Contained input",C942="Transform input"),IF(F942="T0",0,IF(F942="T1",1,IF(F942="T2",2,IF(F942="T3",3,IF(F942="T4",4,-1))))),-1)</x:f>
        <x:v>-1</x:v>
      </x:c>
      <x:c r="Q942" s="4" t="n">
        <x:f>IF(AND(OR(C942="Ingredient candidate",C942="Consumed input",C942="Contained input",C942="Transform input"),P942=-1),1,0)</x:f>
        <x:v>0</x:v>
      </x:c>
    </x:row>
    <x:row r="943" ht="64" customHeight="1">
      <x:c r="A943" s="4" t="str">
        <x:v>design.collection.grooved_lift_pulley.in.1</x:v>
      </x:c>
      <x:c r="B943" s="4" t="str">
        <x:v>design.collection.grooved_lift_pulley</x:v>
      </x:c>
      <x:c r="C943" s="4" t="str">
        <x:v>Ingredient candidate</x:v>
      </x:c>
      <x:c r="D943" s="4" t="str">
        <x:v>author.metallurgy.steel_stock</x:v>
      </x:c>
      <x:c r="E943" s="4" t="str">
        <x:f>IFERROR(INDEX('Items'!$B$6:$B$1005,MATCH(D943,'Items'!$A$6:$A$1005,0)),"MISSING ID")</x:f>
        <x:v>Steel stock</x:v>
      </x:c>
      <x:c r="F943" s="4" t="str">
        <x:f>IFERROR(INDEX('Items'!$C$6:$C$1005,MATCH(D943,'Items'!$A$6:$A$1005,0)),"MISSING ID")</x:f>
        <x:v>T2</x:v>
      </x:c>
      <x:c r="G943" s="4" t="str">
        <x:f>IFERROR(INDEX('Items'!$D$6:$D$1005,MATCH(D943,'Items'!$A$6:$A$1005,0)),"MISSING ID")</x:f>
        <x:v>Manufactured stock</x:v>
      </x:c>
      <x:c r="H943" s="4" t="str">
        <x:f>IFERROR(INDEX('Items'!$X$6:$X$1005,MATCH(D943,'Items'!$A$6:$A$1005,0)),"MISSING ID")</x:f>
        <x:v>Processed material</x:v>
      </x:c>
      <x:c r="I943" s="4"/>
      <x:c r="J943" s="4" t="str">
        <x:v>Unspecified</x:v>
      </x:c>
      <x:c r="K943" s="4" t="str">
        <x:f>IFERROR(INDEX('Crafting recipes'!$D$6:$D$1005,MATCH(B943,'Crafting recipes'!$A$6:$A$1005,0)),"MISSING ID")</x:f>
        <x:v>Proposal</x:v>
      </x:c>
      <x:c r="L943" s="4" t="str">
        <x:f>IFERROR(INDEX('Items'!$AD$6:$AD$1005,MATCH(D943,'Items'!$A$6:$A$1005,0)),"MISSING ID")</x:f>
        <x:v>Author direction</x:v>
      </x:c>
      <x:c r="M943" s="4" t="str">
        <x:f>IFERROR(INDEX('Crafting recipes'!$E$6:$E$1005,MATCH(B943,'Crafting recipes'!$A$6:$A$1005,0)),"MISSING ID")</x:f>
        <x:v>Partial proposal</x:v>
      </x:c>
      <x:c r="N943" s="4" t="str">
        <x:v>Candidate source or part only. Quantity, grade and method remain open.</x:v>
      </x:c>
      <x:c r="O943" s="4" t="str">
        <x:v>Collection expansion, October 15, 2026. New game proposal.</x:v>
      </x:c>
      <x:c r="P943" s="4" t="n">
        <x:f>IF(OR(C943="Ingredient candidate",C943="Consumed input",C943="Contained input",C943="Transform input"),IF(F943="T0",0,IF(F943="T1",1,IF(F943="T2",2,IF(F943="T3",3,IF(F943="T4",4,-1))))),-1)</x:f>
        <x:v>2</x:v>
      </x:c>
      <x:c r="Q943" s="4" t="n">
        <x:f>IF(AND(OR(C943="Ingredient candidate",C943="Consumed input",C943="Contained input",C943="Transform input"),P943=-1),1,0)</x:f>
        <x:v>0</x:v>
      </x:c>
    </x:row>
    <x:row r="944" ht="64" customHeight="1">
      <x:c r="A944" s="4" t="str">
        <x:v>design.collection.grooved_lift_pulley.out</x:v>
      </x:c>
      <x:c r="B944" s="4" t="str">
        <x:v>design.collection.grooved_lift_pulley</x:v>
      </x:c>
      <x:c r="C944" s="4" t="str">
        <x:v>Output</x:v>
      </x:c>
      <x:c r="D944" s="4" t="str">
        <x:v>proposal.collection.grooved_lift_pulley</x:v>
      </x:c>
      <x:c r="E944" s="4" t="str">
        <x:f>IFERROR(INDEX('Items'!$B$6:$B$1005,MATCH(D944,'Items'!$A$6:$A$1005,0)),"MISSING ID")</x:f>
        <x:v>Grooved lift pulley</x:v>
      </x:c>
      <x:c r="F944" s="4" t="str">
        <x:f>IFERROR(INDEX('Items'!$C$6:$C$1005,MATCH(D944,'Items'!$A$6:$A$1005,0)),"MISSING ID")</x:f>
        <x:v>T3</x:v>
      </x:c>
      <x:c r="G944" s="4" t="str">
        <x:f>IFERROR(INDEX('Items'!$D$6:$D$1005,MATCH(D944,'Items'!$A$6:$A$1005,0)),"MISSING ID")</x:f>
        <x:v>Crafting components</x:v>
      </x:c>
      <x:c r="H944" s="4" t="str">
        <x:f>IFERROR(INDEX('Items'!$X$6:$X$1005,MATCH(D944,'Items'!$A$6:$A$1005,0)),"MISSING ID")</x:f>
        <x:v>Machine part</x:v>
      </x:c>
      <x:c r="I944" s="4"/>
      <x:c r="J944" s="4" t="str">
        <x:v>Unspecified</x:v>
      </x:c>
      <x:c r="K944" s="4" t="str">
        <x:f>IFERROR(INDEX('Crafting recipes'!$D$6:$D$1005,MATCH(B944,'Crafting recipes'!$A$6:$A$1005,0)),"MISSING ID")</x:f>
        <x:v>Proposal</x:v>
      </x:c>
      <x:c r="L944" s="4" t="str">
        <x:f>IFERROR(INDEX('Items'!$AD$6:$AD$1005,MATCH(D944,'Items'!$A$6:$A$1005,0)),"MISSING ID")</x:f>
        <x:v>Proposal</x:v>
      </x:c>
      <x:c r="M944" s="4" t="str">
        <x:f>IFERROR(INDEX('Crafting recipes'!$E$6:$E$1005,MATCH(B944,'Crafting recipes'!$A$6:$A$1005,0)),"MISSING ID")</x:f>
        <x:v>Partial proposal</x:v>
      </x:c>
      <x:c r="N944" s="4" t="str">
        <x:v>Candidate source or part only. Quantity, grade and method remain open.</x:v>
      </x:c>
      <x:c r="O944" s="4" t="str">
        <x:v>Collection expansion, October 15, 2026. New game proposal.</x:v>
      </x:c>
      <x:c r="P944" s="4" t="n">
        <x:f>IF(OR(C944="Ingredient candidate",C944="Consumed input",C944="Contained input",C944="Transform input"),IF(F944="T0",0,IF(F944="T1",1,IF(F944="T2",2,IF(F944="T3",3,IF(F944="T4",4,-1))))),-1)</x:f>
        <x:v>-1</x:v>
      </x:c>
      <x:c r="Q944" s="4" t="n">
        <x:f>IF(AND(OR(C944="Ingredient candidate",C944="Consumed input",C944="Contained input",C944="Transform input"),P944=-1),1,0)</x:f>
        <x:v>0</x:v>
      </x:c>
    </x:row>
    <x:row r="945" ht="64" customHeight="1">
      <x:c r="A945" s="4" t="str">
        <x:v>design.collection.mechanical_escapement_fork.in.1</x:v>
      </x:c>
      <x:c r="B945" s="4" t="str">
        <x:v>design.collection.mechanical_escapement_fork</x:v>
      </x:c>
      <x:c r="C945" s="4" t="str">
        <x:v>Ingredient candidate</x:v>
      </x:c>
      <x:c r="D945" s="4" t="str">
        <x:v>author.metallurgy.steel_stock</x:v>
      </x:c>
      <x:c r="E945" s="4" t="str">
        <x:f>IFERROR(INDEX('Items'!$B$6:$B$1005,MATCH(D945,'Items'!$A$6:$A$1005,0)),"MISSING ID")</x:f>
        <x:v>Steel stock</x:v>
      </x:c>
      <x:c r="F945" s="4" t="str">
        <x:f>IFERROR(INDEX('Items'!$C$6:$C$1005,MATCH(D945,'Items'!$A$6:$A$1005,0)),"MISSING ID")</x:f>
        <x:v>T2</x:v>
      </x:c>
      <x:c r="G945" s="4" t="str">
        <x:f>IFERROR(INDEX('Items'!$D$6:$D$1005,MATCH(D945,'Items'!$A$6:$A$1005,0)),"MISSING ID")</x:f>
        <x:v>Manufactured stock</x:v>
      </x:c>
      <x:c r="H945" s="4" t="str">
        <x:f>IFERROR(INDEX('Items'!$X$6:$X$1005,MATCH(D945,'Items'!$A$6:$A$1005,0)),"MISSING ID")</x:f>
        <x:v>Processed material</x:v>
      </x:c>
      <x:c r="I945" s="4"/>
      <x:c r="J945" s="4" t="str">
        <x:v>Unspecified</x:v>
      </x:c>
      <x:c r="K945" s="4" t="str">
        <x:f>IFERROR(INDEX('Crafting recipes'!$D$6:$D$1005,MATCH(B945,'Crafting recipes'!$A$6:$A$1005,0)),"MISSING ID")</x:f>
        <x:v>Proposal</x:v>
      </x:c>
      <x:c r="L945" s="4" t="str">
        <x:f>IFERROR(INDEX('Items'!$AD$6:$AD$1005,MATCH(D945,'Items'!$A$6:$A$1005,0)),"MISSING ID")</x:f>
        <x:v>Author direction</x:v>
      </x:c>
      <x:c r="M945" s="4" t="str">
        <x:f>IFERROR(INDEX('Crafting recipes'!$E$6:$E$1005,MATCH(B945,'Crafting recipes'!$A$6:$A$1005,0)),"MISSING ID")</x:f>
        <x:v>Partial proposal</x:v>
      </x:c>
      <x:c r="N945" s="4" t="str">
        <x:v>Candidate source or part only. Quantity, grade and method remain open.</x:v>
      </x:c>
      <x:c r="O945" s="4" t="str">
        <x:v>Collection expansion, October 15, 2026. New game proposal.</x:v>
      </x:c>
      <x:c r="P945" s="4" t="n">
        <x:f>IF(OR(C945="Ingredient candidate",C945="Consumed input",C945="Contained input",C945="Transform input"),IF(F945="T0",0,IF(F945="T1",1,IF(F945="T2",2,IF(F945="T3",3,IF(F945="T4",4,-1))))),-1)</x:f>
        <x:v>2</x:v>
      </x:c>
      <x:c r="Q945" s="4" t="n">
        <x:f>IF(AND(OR(C945="Ingredient candidate",C945="Consumed input",C945="Contained input",C945="Transform input"),P945=-1),1,0)</x:f>
        <x:v>0</x:v>
      </x:c>
    </x:row>
    <x:row r="946" ht="64" customHeight="1">
      <x:c r="A946" s="4" t="str">
        <x:v>design.collection.mechanical_escapement_fork.out</x:v>
      </x:c>
      <x:c r="B946" s="4" t="str">
        <x:v>design.collection.mechanical_escapement_fork</x:v>
      </x:c>
      <x:c r="C946" s="4" t="str">
        <x:v>Output</x:v>
      </x:c>
      <x:c r="D946" s="4" t="str">
        <x:v>proposal.collection.mechanical_escapement_fork</x:v>
      </x:c>
      <x:c r="E946" s="4" t="str">
        <x:f>IFERROR(INDEX('Items'!$B$6:$B$1005,MATCH(D946,'Items'!$A$6:$A$1005,0)),"MISSING ID")</x:f>
        <x:v>Mechanical escapement fork</x:v>
      </x:c>
      <x:c r="F946" s="4" t="str">
        <x:f>IFERROR(INDEX('Items'!$C$6:$C$1005,MATCH(D946,'Items'!$A$6:$A$1005,0)),"MISSING ID")</x:f>
        <x:v>T3</x:v>
      </x:c>
      <x:c r="G946" s="4" t="str">
        <x:f>IFERROR(INDEX('Items'!$D$6:$D$1005,MATCH(D946,'Items'!$A$6:$A$1005,0)),"MISSING ID")</x:f>
        <x:v>Crafting components</x:v>
      </x:c>
      <x:c r="H946" s="4" t="str">
        <x:f>IFERROR(INDEX('Items'!$X$6:$X$1005,MATCH(D946,'Items'!$A$6:$A$1005,0)),"MISSING ID")</x:f>
        <x:v>Machine part</x:v>
      </x:c>
      <x:c r="I946" s="4"/>
      <x:c r="J946" s="4" t="str">
        <x:v>Unspecified</x:v>
      </x:c>
      <x:c r="K946" s="4" t="str">
        <x:f>IFERROR(INDEX('Crafting recipes'!$D$6:$D$1005,MATCH(B946,'Crafting recipes'!$A$6:$A$1005,0)),"MISSING ID")</x:f>
        <x:v>Proposal</x:v>
      </x:c>
      <x:c r="L946" s="4" t="str">
        <x:f>IFERROR(INDEX('Items'!$AD$6:$AD$1005,MATCH(D946,'Items'!$A$6:$A$1005,0)),"MISSING ID")</x:f>
        <x:v>Proposal</x:v>
      </x:c>
      <x:c r="M946" s="4" t="str">
        <x:f>IFERROR(INDEX('Crafting recipes'!$E$6:$E$1005,MATCH(B946,'Crafting recipes'!$A$6:$A$1005,0)),"MISSING ID")</x:f>
        <x:v>Partial proposal</x:v>
      </x:c>
      <x:c r="N946" s="4" t="str">
        <x:v>Candidate source or part only. Quantity, grade and method remain open.</x:v>
      </x:c>
      <x:c r="O946" s="4" t="str">
        <x:v>Collection expansion, October 15, 2026. New game proposal.</x:v>
      </x:c>
      <x:c r="P946" s="4" t="n">
        <x:f>IF(OR(C946="Ingredient candidate",C946="Consumed input",C946="Contained input",C946="Transform input"),IF(F946="T0",0,IF(F946="T1",1,IF(F946="T2",2,IF(F946="T3",3,IF(F946="T4",4,-1))))),-1)</x:f>
        <x:v>-1</x:v>
      </x:c>
      <x:c r="Q946" s="4" t="n">
        <x:f>IF(AND(OR(C946="Ingredient candidate",C946="Consumed input",C946="Contained input",C946="Transform input"),P946=-1),1,0)</x:f>
        <x:v>0</x:v>
      </x:c>
    </x:row>
    <x:row r="947" ht="64" customHeight="1">
      <x:c r="A947" s="4" t="str">
        <x:v>design.collection.pressure_bellows_capsule.in.1</x:v>
      </x:c>
      <x:c r="B947" s="4" t="str">
        <x:v>design.collection.pressure_bellows_capsule</x:v>
      </x:c>
      <x:c r="C947" s="4" t="str">
        <x:v>Ingredient candidate</x:v>
      </x:c>
      <x:c r="D947" s="4" t="str">
        <x:v>proposal.collection.annealed_iron_sheet_stock</x:v>
      </x:c>
      <x:c r="E947" s="4" t="str">
        <x:f>IFERROR(INDEX('Items'!$B$6:$B$1005,MATCH(D947,'Items'!$A$6:$A$1005,0)),"MISSING ID")</x:f>
        <x:v>Annealed iron sheet stock</x:v>
      </x:c>
      <x:c r="F947" s="4" t="str">
        <x:f>IFERROR(INDEX('Items'!$C$6:$C$1005,MATCH(D947,'Items'!$A$6:$A$1005,0)),"MISSING ID")</x:f>
        <x:v>T3</x:v>
      </x:c>
      <x:c r="G947" s="4" t="str">
        <x:f>IFERROR(INDEX('Items'!$D$6:$D$1005,MATCH(D947,'Items'!$A$6:$A$1005,0)),"MISSING ID")</x:f>
        <x:v>Manufactured stock</x:v>
      </x:c>
      <x:c r="H947" s="4" t="str">
        <x:f>IFERROR(INDEX('Items'!$X$6:$X$1005,MATCH(D947,'Items'!$A$6:$A$1005,0)),"MISSING ID")</x:f>
        <x:v>Processed material</x:v>
      </x:c>
      <x:c r="I947" s="4"/>
      <x:c r="J947" s="4" t="str">
        <x:v>Unspecified</x:v>
      </x:c>
      <x:c r="K947" s="4" t="str">
        <x:f>IFERROR(INDEX('Crafting recipes'!$D$6:$D$1005,MATCH(B947,'Crafting recipes'!$A$6:$A$1005,0)),"MISSING ID")</x:f>
        <x:v>Proposal</x:v>
      </x:c>
      <x:c r="L947" s="4" t="str">
        <x:f>IFERROR(INDEX('Items'!$AD$6:$AD$1005,MATCH(D947,'Items'!$A$6:$A$1005,0)),"MISSING ID")</x:f>
        <x:v>Proposal</x:v>
      </x:c>
      <x:c r="M947" s="4" t="str">
        <x:f>IFERROR(INDEX('Crafting recipes'!$E$6:$E$1005,MATCH(B947,'Crafting recipes'!$A$6:$A$1005,0)),"MISSING ID")</x:f>
        <x:v>Partial proposal</x:v>
      </x:c>
      <x:c r="N947" s="4" t="str">
        <x:v>Candidate source or part only. Quantity, grade and method remain open.</x:v>
      </x:c>
      <x:c r="O947" s="4" t="str">
        <x:v>Collection expansion, October 15, 2026. New game proposal.</x:v>
      </x:c>
      <x:c r="P947" s="4" t="n">
        <x:f>IF(OR(C947="Ingredient candidate",C947="Consumed input",C947="Contained input",C947="Transform input"),IF(F947="T0",0,IF(F947="T1",1,IF(F947="T2",2,IF(F947="T3",3,IF(F947="T4",4,-1))))),-1)</x:f>
        <x:v>3</x:v>
      </x:c>
      <x:c r="Q947" s="4" t="n">
        <x:f>IF(AND(OR(C947="Ingredient candidate",C947="Consumed input",C947="Contained input",C947="Transform input"),P947=-1),1,0)</x:f>
        <x:v>0</x:v>
      </x:c>
    </x:row>
    <x:row r="948" ht="64" customHeight="1">
      <x:c r="A948" s="4" t="str">
        <x:v>design.collection.pressure_bellows_capsule.out</x:v>
      </x:c>
      <x:c r="B948" s="4" t="str">
        <x:v>design.collection.pressure_bellows_capsule</x:v>
      </x:c>
      <x:c r="C948" s="4" t="str">
        <x:v>Output</x:v>
      </x:c>
      <x:c r="D948" s="4" t="str">
        <x:v>proposal.collection.pressure_bellows_capsule</x:v>
      </x:c>
      <x:c r="E948" s="4" t="str">
        <x:f>IFERROR(INDEX('Items'!$B$6:$B$1005,MATCH(D948,'Items'!$A$6:$A$1005,0)),"MISSING ID")</x:f>
        <x:v>Pressure bellows capsule</x:v>
      </x:c>
      <x:c r="F948" s="4" t="str">
        <x:f>IFERROR(INDEX('Items'!$C$6:$C$1005,MATCH(D948,'Items'!$A$6:$A$1005,0)),"MISSING ID")</x:f>
        <x:v>T4</x:v>
      </x:c>
      <x:c r="G948" s="4" t="str">
        <x:f>IFERROR(INDEX('Items'!$D$6:$D$1005,MATCH(D948,'Items'!$A$6:$A$1005,0)),"MISSING ID")</x:f>
        <x:v>Crafting components</x:v>
      </x:c>
      <x:c r="H948" s="4" t="str">
        <x:f>IFERROR(INDEX('Items'!$X$6:$X$1005,MATCH(D948,'Items'!$A$6:$A$1005,0)),"MISSING ID")</x:f>
        <x:v>Machine part</x:v>
      </x:c>
      <x:c r="I948" s="4"/>
      <x:c r="J948" s="4" t="str">
        <x:v>Unspecified</x:v>
      </x:c>
      <x:c r="K948" s="4" t="str">
        <x:f>IFERROR(INDEX('Crafting recipes'!$D$6:$D$1005,MATCH(B948,'Crafting recipes'!$A$6:$A$1005,0)),"MISSING ID")</x:f>
        <x:v>Proposal</x:v>
      </x:c>
      <x:c r="L948" s="4" t="str">
        <x:f>IFERROR(INDEX('Items'!$AD$6:$AD$1005,MATCH(D948,'Items'!$A$6:$A$1005,0)),"MISSING ID")</x:f>
        <x:v>Proposal</x:v>
      </x:c>
      <x:c r="M948" s="4" t="str">
        <x:f>IFERROR(INDEX('Crafting recipes'!$E$6:$E$1005,MATCH(B948,'Crafting recipes'!$A$6:$A$1005,0)),"MISSING ID")</x:f>
        <x:v>Partial proposal</x:v>
      </x:c>
      <x:c r="N948" s="4" t="str">
        <x:v>Candidate source or part only. Quantity, grade and method remain open.</x:v>
      </x:c>
      <x:c r="O948" s="4" t="str">
        <x:v>Collection expansion, October 15, 2026. New game proposal.</x:v>
      </x:c>
      <x:c r="P948" s="4" t="n">
        <x:f>IF(OR(C948="Ingredient candidate",C948="Consumed input",C948="Contained input",C948="Transform input"),IF(F948="T0",0,IF(F948="T1",1,IF(F948="T2",2,IF(F948="T3",3,IF(F948="T4",4,-1))))),-1)</x:f>
        <x:v>-1</x:v>
      </x:c>
      <x:c r="Q948" s="4" t="n">
        <x:f>IF(AND(OR(C948="Ingredient candidate",C948="Consumed input",C948="Contained input",C948="Transform input"),P948=-1),1,0)</x:f>
        <x:v>0</x:v>
      </x:c>
    </x:row>
    <x:row r="949" ht="64" customHeight="1">
      <x:c r="A949" s="4" t="str">
        <x:v>design.collection.ceramic_piston_sleeve.in.1</x:v>
      </x:c>
      <x:c r="B949" s="4" t="str">
        <x:v>design.collection.ceramic_piston_sleeve</x:v>
      </x:c>
      <x:c r="C949" s="4" t="str">
        <x:v>Ingredient candidate</x:v>
      </x:c>
      <x:c r="D949" s="4" t="str">
        <x:v>proposal.branch.refractory_ceramic</x:v>
      </x:c>
      <x:c r="E949" s="4" t="str">
        <x:f>IFERROR(INDEX('Items'!$B$6:$B$1005,MATCH(D949,'Items'!$A$6:$A$1005,0)),"MISSING ID")</x:f>
        <x:v>Refractory ceramic stock</x:v>
      </x:c>
      <x:c r="F949" s="4" t="str">
        <x:f>IFERROR(INDEX('Items'!$C$6:$C$1005,MATCH(D949,'Items'!$A$6:$A$1005,0)),"MISSING ID")</x:f>
        <x:v>T2</x:v>
      </x:c>
      <x:c r="G949" s="4" t="str">
        <x:f>IFERROR(INDEX('Items'!$D$6:$D$1005,MATCH(D949,'Items'!$A$6:$A$1005,0)),"MISSING ID")</x:f>
        <x:v>Manufactured stock</x:v>
      </x:c>
      <x:c r="H949" s="4" t="str">
        <x:f>IFERROR(INDEX('Items'!$X$6:$X$1005,MATCH(D949,'Items'!$A$6:$A$1005,0)),"MISSING ID")</x:f>
        <x:v>Processed material</x:v>
      </x:c>
      <x:c r="I949" s="4"/>
      <x:c r="J949" s="4" t="str">
        <x:v>Unspecified</x:v>
      </x:c>
      <x:c r="K949" s="4" t="str">
        <x:f>IFERROR(INDEX('Crafting recipes'!$D$6:$D$1005,MATCH(B949,'Crafting recipes'!$A$6:$A$1005,0)),"MISSING ID")</x:f>
        <x:v>Proposal</x:v>
      </x:c>
      <x:c r="L949" s="4" t="str">
        <x:f>IFERROR(INDEX('Items'!$AD$6:$AD$1005,MATCH(D949,'Items'!$A$6:$A$1005,0)),"MISSING ID")</x:f>
        <x:v>Proposal</x:v>
      </x:c>
      <x:c r="M949" s="4" t="str">
        <x:f>IFERROR(INDEX('Crafting recipes'!$E$6:$E$1005,MATCH(B949,'Crafting recipes'!$A$6:$A$1005,0)),"MISSING ID")</x:f>
        <x:v>Partial proposal</x:v>
      </x:c>
      <x:c r="N949" s="4" t="str">
        <x:v>Candidate source or part only. Quantity, grade and method remain open.</x:v>
      </x:c>
      <x:c r="O949" s="4" t="str">
        <x:v>Collection expansion, October 15, 2026. New game proposal.</x:v>
      </x:c>
      <x:c r="P949" s="4" t="n">
        <x:f>IF(OR(C949="Ingredient candidate",C949="Consumed input",C949="Contained input",C949="Transform input"),IF(F949="T0",0,IF(F949="T1",1,IF(F949="T2",2,IF(F949="T3",3,IF(F949="T4",4,-1))))),-1)</x:f>
        <x:v>2</x:v>
      </x:c>
      <x:c r="Q949" s="4" t="n">
        <x:f>IF(AND(OR(C949="Ingredient candidate",C949="Consumed input",C949="Contained input",C949="Transform input"),P949=-1),1,0)</x:f>
        <x:v>0</x:v>
      </x:c>
    </x:row>
    <x:row r="950" ht="64" customHeight="1">
      <x:c r="A950" s="4" t="str">
        <x:v>design.collection.ceramic_piston_sleeve.out</x:v>
      </x:c>
      <x:c r="B950" s="4" t="str">
        <x:v>design.collection.ceramic_piston_sleeve</x:v>
      </x:c>
      <x:c r="C950" s="4" t="str">
        <x:v>Output</x:v>
      </x:c>
      <x:c r="D950" s="4" t="str">
        <x:v>proposal.collection.ceramic_piston_sleeve</x:v>
      </x:c>
      <x:c r="E950" s="4" t="str">
        <x:f>IFERROR(INDEX('Items'!$B$6:$B$1005,MATCH(D950,'Items'!$A$6:$A$1005,0)),"MISSING ID")</x:f>
        <x:v>Ceramic piston sleeve</x:v>
      </x:c>
      <x:c r="F950" s="4" t="str">
        <x:f>IFERROR(INDEX('Items'!$C$6:$C$1005,MATCH(D950,'Items'!$A$6:$A$1005,0)),"MISSING ID")</x:f>
        <x:v>T3</x:v>
      </x:c>
      <x:c r="G950" s="4" t="str">
        <x:f>IFERROR(INDEX('Items'!$D$6:$D$1005,MATCH(D950,'Items'!$A$6:$A$1005,0)),"MISSING ID")</x:f>
        <x:v>Crafting components</x:v>
      </x:c>
      <x:c r="H950" s="4" t="str">
        <x:f>IFERROR(INDEX('Items'!$X$6:$X$1005,MATCH(D950,'Items'!$A$6:$A$1005,0)),"MISSING ID")</x:f>
        <x:v>Machine part</x:v>
      </x:c>
      <x:c r="I950" s="4"/>
      <x:c r="J950" s="4" t="str">
        <x:v>Unspecified</x:v>
      </x:c>
      <x:c r="K950" s="4" t="str">
        <x:f>IFERROR(INDEX('Crafting recipes'!$D$6:$D$1005,MATCH(B950,'Crafting recipes'!$A$6:$A$1005,0)),"MISSING ID")</x:f>
        <x:v>Proposal</x:v>
      </x:c>
      <x:c r="L950" s="4" t="str">
        <x:f>IFERROR(INDEX('Items'!$AD$6:$AD$1005,MATCH(D950,'Items'!$A$6:$A$1005,0)),"MISSING ID")</x:f>
        <x:v>Proposal</x:v>
      </x:c>
      <x:c r="M950" s="4" t="str">
        <x:f>IFERROR(INDEX('Crafting recipes'!$E$6:$E$1005,MATCH(B950,'Crafting recipes'!$A$6:$A$1005,0)),"MISSING ID")</x:f>
        <x:v>Partial proposal</x:v>
      </x:c>
      <x:c r="N950" s="4" t="str">
        <x:v>Candidate source or part only. Quantity, grade and method remain open.</x:v>
      </x:c>
      <x:c r="O950" s="4" t="str">
        <x:v>Collection expansion, October 15, 2026. New game proposal.</x:v>
      </x:c>
      <x:c r="P950" s="4" t="n">
        <x:f>IF(OR(C950="Ingredient candidate",C950="Consumed input",C950="Contained input",C950="Transform input"),IF(F950="T0",0,IF(F950="T1",1,IF(F950="T2",2,IF(F950="T3",3,IF(F950="T4",4,-1))))),-1)</x:f>
        <x:v>-1</x:v>
      </x:c>
      <x:c r="Q950" s="4" t="n">
        <x:f>IF(AND(OR(C950="Ingredient candidate",C950="Consumed input",C950="Contained input",C950="Transform input"),P950=-1),1,0)</x:f>
        <x:v>0</x:v>
      </x:c>
    </x:row>
    <x:row r="951" ht="64" customHeight="1">
      <x:c r="A951" s="4" t="str">
        <x:v>design.collection.metal_piston_head.in.1</x:v>
      </x:c>
      <x:c r="B951" s="4" t="str">
        <x:v>design.collection.metal_piston_head</x:v>
      </x:c>
      <x:c r="C951" s="4" t="str">
        <x:v>Ingredient candidate</x:v>
      </x:c>
      <x:c r="D951" s="4" t="str">
        <x:v>author.metallurgy.steel_stock</x:v>
      </x:c>
      <x:c r="E951" s="4" t="str">
        <x:f>IFERROR(INDEX('Items'!$B$6:$B$1005,MATCH(D951,'Items'!$A$6:$A$1005,0)),"MISSING ID")</x:f>
        <x:v>Steel stock</x:v>
      </x:c>
      <x:c r="F951" s="4" t="str">
        <x:f>IFERROR(INDEX('Items'!$C$6:$C$1005,MATCH(D951,'Items'!$A$6:$A$1005,0)),"MISSING ID")</x:f>
        <x:v>T2</x:v>
      </x:c>
      <x:c r="G951" s="4" t="str">
        <x:f>IFERROR(INDEX('Items'!$D$6:$D$1005,MATCH(D951,'Items'!$A$6:$A$1005,0)),"MISSING ID")</x:f>
        <x:v>Manufactured stock</x:v>
      </x:c>
      <x:c r="H951" s="4" t="str">
        <x:f>IFERROR(INDEX('Items'!$X$6:$X$1005,MATCH(D951,'Items'!$A$6:$A$1005,0)),"MISSING ID")</x:f>
        <x:v>Processed material</x:v>
      </x:c>
      <x:c r="I951" s="4"/>
      <x:c r="J951" s="4" t="str">
        <x:v>Unspecified</x:v>
      </x:c>
      <x:c r="K951" s="4" t="str">
        <x:f>IFERROR(INDEX('Crafting recipes'!$D$6:$D$1005,MATCH(B951,'Crafting recipes'!$A$6:$A$1005,0)),"MISSING ID")</x:f>
        <x:v>Proposal</x:v>
      </x:c>
      <x:c r="L951" s="4" t="str">
        <x:f>IFERROR(INDEX('Items'!$AD$6:$AD$1005,MATCH(D951,'Items'!$A$6:$A$1005,0)),"MISSING ID")</x:f>
        <x:v>Author direction</x:v>
      </x:c>
      <x:c r="M951" s="4" t="str">
        <x:f>IFERROR(INDEX('Crafting recipes'!$E$6:$E$1005,MATCH(B951,'Crafting recipes'!$A$6:$A$1005,0)),"MISSING ID")</x:f>
        <x:v>Partial proposal</x:v>
      </x:c>
      <x:c r="N951" s="4" t="str">
        <x:v>Candidate source or part only. Quantity, grade and method remain open.</x:v>
      </x:c>
      <x:c r="O951" s="4" t="str">
        <x:v>Collection expansion, October 15, 2026. New game proposal.</x:v>
      </x:c>
      <x:c r="P951" s="4" t="n">
        <x:f>IF(OR(C951="Ingredient candidate",C951="Consumed input",C951="Contained input",C951="Transform input"),IF(F951="T0",0,IF(F951="T1",1,IF(F951="T2",2,IF(F951="T3",3,IF(F951="T4",4,-1))))),-1)</x:f>
        <x:v>2</x:v>
      </x:c>
      <x:c r="Q951" s="4" t="n">
        <x:f>IF(AND(OR(C951="Ingredient candidate",C951="Consumed input",C951="Contained input",C951="Transform input"),P951=-1),1,0)</x:f>
        <x:v>0</x:v>
      </x:c>
    </x:row>
    <x:row r="952" ht="64" customHeight="1">
      <x:c r="A952" s="4" t="str">
        <x:v>design.collection.metal_piston_head.out</x:v>
      </x:c>
      <x:c r="B952" s="4" t="str">
        <x:v>design.collection.metal_piston_head</x:v>
      </x:c>
      <x:c r="C952" s="4" t="str">
        <x:v>Output</x:v>
      </x:c>
      <x:c r="D952" s="4" t="str">
        <x:v>proposal.collection.metal_piston_head</x:v>
      </x:c>
      <x:c r="E952" s="4" t="str">
        <x:f>IFERROR(INDEX('Items'!$B$6:$B$1005,MATCH(D952,'Items'!$A$6:$A$1005,0)),"MISSING ID")</x:f>
        <x:v>Metal piston head</x:v>
      </x:c>
      <x:c r="F952" s="4" t="str">
        <x:f>IFERROR(INDEX('Items'!$C$6:$C$1005,MATCH(D952,'Items'!$A$6:$A$1005,0)),"MISSING ID")</x:f>
        <x:v>T3</x:v>
      </x:c>
      <x:c r="G952" s="4" t="str">
        <x:f>IFERROR(INDEX('Items'!$D$6:$D$1005,MATCH(D952,'Items'!$A$6:$A$1005,0)),"MISSING ID")</x:f>
        <x:v>Crafting components</x:v>
      </x:c>
      <x:c r="H952" s="4" t="str">
        <x:f>IFERROR(INDEX('Items'!$X$6:$X$1005,MATCH(D952,'Items'!$A$6:$A$1005,0)),"MISSING ID")</x:f>
        <x:v>Machine part</x:v>
      </x:c>
      <x:c r="I952" s="4"/>
      <x:c r="J952" s="4" t="str">
        <x:v>Unspecified</x:v>
      </x:c>
      <x:c r="K952" s="4" t="str">
        <x:f>IFERROR(INDEX('Crafting recipes'!$D$6:$D$1005,MATCH(B952,'Crafting recipes'!$A$6:$A$1005,0)),"MISSING ID")</x:f>
        <x:v>Proposal</x:v>
      </x:c>
      <x:c r="L952" s="4" t="str">
        <x:f>IFERROR(INDEX('Items'!$AD$6:$AD$1005,MATCH(D952,'Items'!$A$6:$A$1005,0)),"MISSING ID")</x:f>
        <x:v>Proposal</x:v>
      </x:c>
      <x:c r="M952" s="4" t="str">
        <x:f>IFERROR(INDEX('Crafting recipes'!$E$6:$E$1005,MATCH(B952,'Crafting recipes'!$A$6:$A$1005,0)),"MISSING ID")</x:f>
        <x:v>Partial proposal</x:v>
      </x:c>
      <x:c r="N952" s="4" t="str">
        <x:v>Candidate source or part only. Quantity, grade and method remain open.</x:v>
      </x:c>
      <x:c r="O952" s="4" t="str">
        <x:v>Collection expansion, October 15, 2026. New game proposal.</x:v>
      </x:c>
      <x:c r="P952" s="4" t="n">
        <x:f>IF(OR(C952="Ingredient candidate",C952="Consumed input",C952="Contained input",C952="Transform input"),IF(F952="T0",0,IF(F952="T1",1,IF(F952="T2",2,IF(F952="T3",3,IF(F952="T4",4,-1))))),-1)</x:f>
        <x:v>-1</x:v>
      </x:c>
      <x:c r="Q952" s="4" t="n">
        <x:f>IF(AND(OR(C952="Ingredient candidate",C952="Consumed input",C952="Contained input",C952="Transform input"),P952=-1),1,0)</x:f>
        <x:v>0</x:v>
      </x:c>
    </x:row>
    <x:row r="953" ht="64" customHeight="1">
      <x:c r="A953" s="4" t="str">
        <x:v>design.collection.spring_seated_check_valve.in.1</x:v>
      </x:c>
      <x:c r="B953" s="4" t="str">
        <x:v>design.collection.spring_seated_check_valve</x:v>
      </x:c>
      <x:c r="C953" s="4" t="str">
        <x:v>Ingredient candidate</x:v>
      </x:c>
      <x:c r="D953" s="4" t="str">
        <x:v>proposal.branch.spring_steel</x:v>
      </x:c>
      <x:c r="E953" s="4" t="str">
        <x:f>IFERROR(INDEX('Items'!$B$6:$B$1005,MATCH(D953,'Items'!$A$6:$A$1005,0)),"MISSING ID")</x:f>
        <x:v>Spring-grade steel stock</x:v>
      </x:c>
      <x:c r="F953" s="4" t="str">
        <x:f>IFERROR(INDEX('Items'!$C$6:$C$1005,MATCH(D953,'Items'!$A$6:$A$1005,0)),"MISSING ID")</x:f>
        <x:v>T3</x:v>
      </x:c>
      <x:c r="G953" s="4" t="str">
        <x:f>IFERROR(INDEX('Items'!$D$6:$D$1005,MATCH(D953,'Items'!$A$6:$A$1005,0)),"MISSING ID")</x:f>
        <x:v>Manufactured stock</x:v>
      </x:c>
      <x:c r="H953" s="4" t="str">
        <x:f>IFERROR(INDEX('Items'!$X$6:$X$1005,MATCH(D953,'Items'!$A$6:$A$1005,0)),"MISSING ID")</x:f>
        <x:v>Processed material</x:v>
      </x:c>
      <x:c r="I953" s="4"/>
      <x:c r="J953" s="4" t="str">
        <x:v>Unspecified</x:v>
      </x:c>
      <x:c r="K953" s="4" t="str">
        <x:f>IFERROR(INDEX('Crafting recipes'!$D$6:$D$1005,MATCH(B953,'Crafting recipes'!$A$6:$A$1005,0)),"MISSING ID")</x:f>
        <x:v>Proposal</x:v>
      </x:c>
      <x:c r="L953" s="4" t="str">
        <x:f>IFERROR(INDEX('Items'!$AD$6:$AD$1005,MATCH(D953,'Items'!$A$6:$A$1005,0)),"MISSING ID")</x:f>
        <x:v>Proposal</x:v>
      </x:c>
      <x:c r="M953" s="4" t="str">
        <x:f>IFERROR(INDEX('Crafting recipes'!$E$6:$E$1005,MATCH(B953,'Crafting recipes'!$A$6:$A$1005,0)),"MISSING ID")</x:f>
        <x:v>Partial proposal</x:v>
      </x:c>
      <x:c r="N953" s="4" t="str">
        <x:v>Candidate source or part only. Quantity, grade and method remain open.</x:v>
      </x:c>
      <x:c r="O953" s="4" t="str">
        <x:v>Collection expansion, October 15, 2026. New game proposal.</x:v>
      </x:c>
      <x:c r="P953" s="4" t="n">
        <x:f>IF(OR(C953="Ingredient candidate",C953="Consumed input",C953="Contained input",C953="Transform input"),IF(F953="T0",0,IF(F953="T1",1,IF(F953="T2",2,IF(F953="T3",3,IF(F953="T4",4,-1))))),-1)</x:f>
        <x:v>3</x:v>
      </x:c>
      <x:c r="Q953" s="4" t="n">
        <x:f>IF(AND(OR(C953="Ingredient candidate",C953="Consumed input",C953="Contained input",C953="Transform input"),P953=-1),1,0)</x:f>
        <x:v>0</x:v>
      </x:c>
    </x:row>
    <x:row r="954" ht="64" customHeight="1">
      <x:c r="A954" s="4" t="str">
        <x:v>design.collection.spring_seated_check_valve.in.2</x:v>
      </x:c>
      <x:c r="B954" s="4" t="str">
        <x:v>design.collection.spring_seated_check_valve</x:v>
      </x:c>
      <x:c r="C954" s="4" t="str">
        <x:v>Ingredient candidate</x:v>
      </x:c>
      <x:c r="D954" s="4" t="str">
        <x:v>proposal.lore.threaded_fittings</x:v>
      </x:c>
      <x:c r="E954" s="4" t="str">
        <x:f>IFERROR(INDEX('Items'!$B$6:$B$1005,MATCH(D954,'Items'!$A$6:$A$1005,0)),"MISSING ID")</x:f>
        <x:v>Threaded metal fitting blanks</x:v>
      </x:c>
      <x:c r="F954" s="4" t="str">
        <x:f>IFERROR(INDEX('Items'!$C$6:$C$1005,MATCH(D954,'Items'!$A$6:$A$1005,0)),"MISSING ID")</x:f>
        <x:v>T3</x:v>
      </x:c>
      <x:c r="G954" s="4" t="str">
        <x:f>IFERROR(INDEX('Items'!$D$6:$D$1005,MATCH(D954,'Items'!$A$6:$A$1005,0)),"MISSING ID")</x:f>
        <x:v>Crafting components</x:v>
      </x:c>
      <x:c r="H954" s="4" t="str">
        <x:f>IFERROR(INDEX('Items'!$X$6:$X$1005,MATCH(D954,'Items'!$A$6:$A$1005,0)),"MISSING ID")</x:f>
        <x:v>Crafting component</x:v>
      </x:c>
      <x:c r="I954" s="4"/>
      <x:c r="J954" s="4" t="str">
        <x:v>Unspecified</x:v>
      </x:c>
      <x:c r="K954" s="4" t="str">
        <x:f>IFERROR(INDEX('Crafting recipes'!$D$6:$D$1005,MATCH(B954,'Crafting recipes'!$A$6:$A$1005,0)),"MISSING ID")</x:f>
        <x:v>Proposal</x:v>
      </x:c>
      <x:c r="L954" s="4" t="str">
        <x:f>IFERROR(INDEX('Items'!$AD$6:$AD$1005,MATCH(D954,'Items'!$A$6:$A$1005,0)),"MISSING ID")</x:f>
        <x:v>Proposal</x:v>
      </x:c>
      <x:c r="M954" s="4" t="str">
        <x:f>IFERROR(INDEX('Crafting recipes'!$E$6:$E$1005,MATCH(B954,'Crafting recipes'!$A$6:$A$1005,0)),"MISSING ID")</x:f>
        <x:v>Partial proposal</x:v>
      </x:c>
      <x:c r="N954" s="4" t="str">
        <x:v>Candidate source or part only. Quantity, grade and method remain open.</x:v>
      </x:c>
      <x:c r="O954" s="4" t="str">
        <x:v>Collection expansion, October 15, 2026. New game proposal.</x:v>
      </x:c>
      <x:c r="P954" s="4" t="n">
        <x:f>IF(OR(C954="Ingredient candidate",C954="Consumed input",C954="Contained input",C954="Transform input"),IF(F954="T0",0,IF(F954="T1",1,IF(F954="T2",2,IF(F954="T3",3,IF(F954="T4",4,-1))))),-1)</x:f>
        <x:v>3</x:v>
      </x:c>
      <x:c r="Q954" s="4" t="n">
        <x:f>IF(AND(OR(C954="Ingredient candidate",C954="Consumed input",C954="Contained input",C954="Transform input"),P954=-1),1,0)</x:f>
        <x:v>0</x:v>
      </x:c>
    </x:row>
    <x:row r="955" ht="64" customHeight="1">
      <x:c r="A955" s="4" t="str">
        <x:v>design.collection.spring_seated_check_valve.out</x:v>
      </x:c>
      <x:c r="B955" s="4" t="str">
        <x:v>design.collection.spring_seated_check_valve</x:v>
      </x:c>
      <x:c r="C955" s="4" t="str">
        <x:v>Output</x:v>
      </x:c>
      <x:c r="D955" s="4" t="str">
        <x:v>proposal.collection.spring_seated_check_valve</x:v>
      </x:c>
      <x:c r="E955" s="4" t="str">
        <x:f>IFERROR(INDEX('Items'!$B$6:$B$1005,MATCH(D955,'Items'!$A$6:$A$1005,0)),"MISSING ID")</x:f>
        <x:v>Spring-seated check valve</x:v>
      </x:c>
      <x:c r="F955" s="4" t="str">
        <x:f>IFERROR(INDEX('Items'!$C$6:$C$1005,MATCH(D955,'Items'!$A$6:$A$1005,0)),"MISSING ID")</x:f>
        <x:v>T4</x:v>
      </x:c>
      <x:c r="G955" s="4" t="str">
        <x:f>IFERROR(INDEX('Items'!$D$6:$D$1005,MATCH(D955,'Items'!$A$6:$A$1005,0)),"MISSING ID")</x:f>
        <x:v>Crafting components</x:v>
      </x:c>
      <x:c r="H955" s="4" t="str">
        <x:f>IFERROR(INDEX('Items'!$X$6:$X$1005,MATCH(D955,'Items'!$A$6:$A$1005,0)),"MISSING ID")</x:f>
        <x:v>Machine part</x:v>
      </x:c>
      <x:c r="I955" s="4"/>
      <x:c r="J955" s="4" t="str">
        <x:v>Unspecified</x:v>
      </x:c>
      <x:c r="K955" s="4" t="str">
        <x:f>IFERROR(INDEX('Crafting recipes'!$D$6:$D$1005,MATCH(B955,'Crafting recipes'!$A$6:$A$1005,0)),"MISSING ID")</x:f>
        <x:v>Proposal</x:v>
      </x:c>
      <x:c r="L955" s="4" t="str">
        <x:f>IFERROR(INDEX('Items'!$AD$6:$AD$1005,MATCH(D955,'Items'!$A$6:$A$1005,0)),"MISSING ID")</x:f>
        <x:v>Proposal</x:v>
      </x:c>
      <x:c r="M955" s="4" t="str">
        <x:f>IFERROR(INDEX('Crafting recipes'!$E$6:$E$1005,MATCH(B955,'Crafting recipes'!$A$6:$A$1005,0)),"MISSING ID")</x:f>
        <x:v>Partial proposal</x:v>
      </x:c>
      <x:c r="N955" s="4" t="str">
        <x:v>Candidate source or part only. Quantity, grade and method remain open.</x:v>
      </x:c>
      <x:c r="O955" s="4" t="str">
        <x:v>Collection expansion, October 15, 2026. New game proposal.</x:v>
      </x:c>
      <x:c r="P955" s="4" t="n">
        <x:f>IF(OR(C955="Ingredient candidate",C955="Consumed input",C955="Contained input",C955="Transform input"),IF(F955="T0",0,IF(F955="T1",1,IF(F955="T2",2,IF(F955="T3",3,IF(F955="T4",4,-1))))),-1)</x:f>
        <x:v>-1</x:v>
      </x:c>
      <x:c r="Q955" s="4" t="n">
        <x:f>IF(AND(OR(C955="Ingredient candidate",C955="Consumed input",C955="Contained input",C955="Transform input"),P955=-1),1,0)</x:f>
        <x:v>0</x:v>
      </x:c>
    </x:row>
    <x:row r="956" ht="64" customHeight="1">
      <x:c r="A956" s="4" t="str">
        <x:v>design.collection.graphite_current_brush.in.1</x:v>
      </x:c>
      <x:c r="B956" s="4" t="str">
        <x:v>design.collection.graphite_current_brush</x:v>
      </x:c>
      <x:c r="C956" s="4" t="str">
        <x:v>Ingredient candidate</x:v>
      </x:c>
      <x:c r="D956" s="4" t="str">
        <x:v>proposal.natural.carbon</x:v>
      </x:c>
      <x:c r="E956" s="4" t="str">
        <x:f>IFERROR(INDEX('Items'!$B$6:$B$1005,MATCH(D956,'Items'!$A$6:$A$1005,0)),"MISSING ID")</x:f>
        <x:v>Graded graphite flakes</x:v>
      </x:c>
      <x:c r="F956" s="4" t="str">
        <x:f>IFERROR(INDEX('Items'!$C$6:$C$1005,MATCH(D956,'Items'!$A$6:$A$1005,0)),"MISSING ID")</x:f>
        <x:v>T1</x:v>
      </x:c>
      <x:c r="G956" s="4" t="str">
        <x:f>IFERROR(INDEX('Items'!$D$6:$D$1005,MATCH(D956,'Items'!$A$6:$A$1005,0)),"MISSING ID")</x:f>
        <x:v>Manufactured stock</x:v>
      </x:c>
      <x:c r="H956" s="4" t="str">
        <x:f>IFERROR(INDEX('Items'!$X$6:$X$1005,MATCH(D956,'Items'!$A$6:$A$1005,0)),"MISSING ID")</x:f>
        <x:v>Processed material</x:v>
      </x:c>
      <x:c r="I956" s="4"/>
      <x:c r="J956" s="4" t="str">
        <x:v>Unspecified</x:v>
      </x:c>
      <x:c r="K956" s="4" t="str">
        <x:f>IFERROR(INDEX('Crafting recipes'!$D$6:$D$1005,MATCH(B956,'Crafting recipes'!$A$6:$A$1005,0)),"MISSING ID")</x:f>
        <x:v>Proposal</x:v>
      </x:c>
      <x:c r="L956" s="4" t="str">
        <x:f>IFERROR(INDEX('Items'!$AD$6:$AD$1005,MATCH(D956,'Items'!$A$6:$A$1005,0)),"MISSING ID")</x:f>
        <x:v>Proposal</x:v>
      </x:c>
      <x:c r="M956" s="4" t="str">
        <x:f>IFERROR(INDEX('Crafting recipes'!$E$6:$E$1005,MATCH(B956,'Crafting recipes'!$A$6:$A$1005,0)),"MISSING ID")</x:f>
        <x:v>Partial proposal</x:v>
      </x:c>
      <x:c r="N956" s="4" t="str">
        <x:v>Candidate source or part only. Quantity, grade and method remain open.</x:v>
      </x:c>
      <x:c r="O956" s="4" t="str">
        <x:v>Collection expansion, October 15, 2026. New game proposal.</x:v>
      </x:c>
      <x:c r="P956" s="4" t="n">
        <x:f>IF(OR(C956="Ingredient candidate",C956="Consumed input",C956="Contained input",C956="Transform input"),IF(F956="T0",0,IF(F956="T1",1,IF(F956="T2",2,IF(F956="T3",3,IF(F956="T4",4,-1))))),-1)</x:f>
        <x:v>1</x:v>
      </x:c>
      <x:c r="Q956" s="4" t="n">
        <x:f>IF(AND(OR(C956="Ingredient candidate",C956="Consumed input",C956="Contained input",C956="Transform input"),P956=-1),1,0)</x:f>
        <x:v>0</x:v>
      </x:c>
    </x:row>
    <x:row r="957" ht="64" customHeight="1">
      <x:c r="A957" s="4" t="str">
        <x:v>design.collection.graphite_current_brush.in.2</x:v>
      </x:c>
      <x:c r="B957" s="4" t="str">
        <x:v>design.collection.graphite_current_brush</x:v>
      </x:c>
      <x:c r="C957" s="4" t="str">
        <x:v>Ingredient candidate</x:v>
      </x:c>
      <x:c r="D957" s="4" t="str">
        <x:v>proposal.t1.shell_adhesive</x:v>
      </x:c>
      <x:c r="E957" s="4" t="str">
        <x:f>IFERROR(INDEX('Items'!$B$6:$B$1005,MATCH(D957,'Items'!$A$6:$A$1005,0)),"MISSING ID")</x:f>
        <x:v>Prepared shell-binding adhesive</x:v>
      </x:c>
      <x:c r="F957" s="4" t="str">
        <x:f>IFERROR(INDEX('Items'!$C$6:$C$1005,MATCH(D957,'Items'!$A$6:$A$1005,0)),"MISSING ID")</x:f>
        <x:v>T1</x:v>
      </x:c>
      <x:c r="G957" s="4" t="str">
        <x:f>IFERROR(INDEX('Items'!$D$6:$D$1005,MATCH(D957,'Items'!$A$6:$A$1005,0)),"MISSING ID")</x:f>
        <x:v>Crafting components</x:v>
      </x:c>
      <x:c r="H957" s="4" t="str">
        <x:f>IFERROR(INDEX('Items'!$X$6:$X$1005,MATCH(D957,'Items'!$A$6:$A$1005,0)),"MISSING ID")</x:f>
        <x:v>Chemical material</x:v>
      </x:c>
      <x:c r="I957" s="4"/>
      <x:c r="J957" s="4" t="str">
        <x:v>Unspecified</x:v>
      </x:c>
      <x:c r="K957" s="4" t="str">
        <x:f>IFERROR(INDEX('Crafting recipes'!$D$6:$D$1005,MATCH(B957,'Crafting recipes'!$A$6:$A$1005,0)),"MISSING ID")</x:f>
        <x:v>Proposal</x:v>
      </x:c>
      <x:c r="L957" s="4" t="str">
        <x:f>IFERROR(INDEX('Items'!$AD$6:$AD$1005,MATCH(D957,'Items'!$A$6:$A$1005,0)),"MISSING ID")</x:f>
        <x:v>Proposal</x:v>
      </x:c>
      <x:c r="M957" s="4" t="str">
        <x:f>IFERROR(INDEX('Crafting recipes'!$E$6:$E$1005,MATCH(B957,'Crafting recipes'!$A$6:$A$1005,0)),"MISSING ID")</x:f>
        <x:v>Partial proposal</x:v>
      </x:c>
      <x:c r="N957" s="4" t="str">
        <x:v>Candidate source or part only. Quantity, grade and method remain open.</x:v>
      </x:c>
      <x:c r="O957" s="4" t="str">
        <x:v>Collection expansion, October 15, 2026. New game proposal.</x:v>
      </x:c>
      <x:c r="P957" s="4" t="n">
        <x:f>IF(OR(C957="Ingredient candidate",C957="Consumed input",C957="Contained input",C957="Transform input"),IF(F957="T0",0,IF(F957="T1",1,IF(F957="T2",2,IF(F957="T3",3,IF(F957="T4",4,-1))))),-1)</x:f>
        <x:v>1</x:v>
      </x:c>
      <x:c r="Q957" s="4" t="n">
        <x:f>IF(AND(OR(C957="Ingredient candidate",C957="Consumed input",C957="Contained input",C957="Transform input"),P957=-1),1,0)</x:f>
        <x:v>0</x:v>
      </x:c>
    </x:row>
    <x:row r="958" ht="64" customHeight="1">
      <x:c r="A958" s="4" t="str">
        <x:v>design.collection.graphite_current_brush.out</x:v>
      </x:c>
      <x:c r="B958" s="4" t="str">
        <x:v>design.collection.graphite_current_brush</x:v>
      </x:c>
      <x:c r="C958" s="4" t="str">
        <x:v>Output</x:v>
      </x:c>
      <x:c r="D958" s="4" t="str">
        <x:v>proposal.collection.graphite_current_brush</x:v>
      </x:c>
      <x:c r="E958" s="4" t="str">
        <x:f>IFERROR(INDEX('Items'!$B$6:$B$1005,MATCH(D958,'Items'!$A$6:$A$1005,0)),"MISSING ID")</x:f>
        <x:v>Graphite current brush</x:v>
      </x:c>
      <x:c r="F958" s="4" t="str">
        <x:f>IFERROR(INDEX('Items'!$C$6:$C$1005,MATCH(D958,'Items'!$A$6:$A$1005,0)),"MISSING ID")</x:f>
        <x:v>T2</x:v>
      </x:c>
      <x:c r="G958" s="4" t="str">
        <x:f>IFERROR(INDEX('Items'!$D$6:$D$1005,MATCH(D958,'Items'!$A$6:$A$1005,0)),"MISSING ID")</x:f>
        <x:v>Crafting components</x:v>
      </x:c>
      <x:c r="H958" s="4" t="str">
        <x:f>IFERROR(INDEX('Items'!$X$6:$X$1005,MATCH(D958,'Items'!$A$6:$A$1005,0)),"MISSING ID")</x:f>
        <x:v>Machine part</x:v>
      </x:c>
      <x:c r="I958" s="4"/>
      <x:c r="J958" s="4" t="str">
        <x:v>Unspecified</x:v>
      </x:c>
      <x:c r="K958" s="4" t="str">
        <x:f>IFERROR(INDEX('Crafting recipes'!$D$6:$D$1005,MATCH(B958,'Crafting recipes'!$A$6:$A$1005,0)),"MISSING ID")</x:f>
        <x:v>Proposal</x:v>
      </x:c>
      <x:c r="L958" s="4" t="str">
        <x:f>IFERROR(INDEX('Items'!$AD$6:$AD$1005,MATCH(D958,'Items'!$A$6:$A$1005,0)),"MISSING ID")</x:f>
        <x:v>Proposal</x:v>
      </x:c>
      <x:c r="M958" s="4" t="str">
        <x:f>IFERROR(INDEX('Crafting recipes'!$E$6:$E$1005,MATCH(B958,'Crafting recipes'!$A$6:$A$1005,0)),"MISSING ID")</x:f>
        <x:v>Partial proposal</x:v>
      </x:c>
      <x:c r="N958" s="4" t="str">
        <x:v>Candidate source or part only. Quantity, grade and method remain open.</x:v>
      </x:c>
      <x:c r="O958" s="4" t="str">
        <x:v>Collection expansion, October 15, 2026. New game proposal.</x:v>
      </x:c>
      <x:c r="P958" s="4" t="n">
        <x:f>IF(OR(C958="Ingredient candidate",C958="Consumed input",C958="Contained input",C958="Transform input"),IF(F958="T0",0,IF(F958="T1",1,IF(F958="T2",2,IF(F958="T3",3,IF(F958="T4",4,-1))))),-1)</x:f>
        <x:v>-1</x:v>
      </x:c>
      <x:c r="Q958" s="4" t="n">
        <x:f>IF(AND(OR(C958="Ingredient candidate",C958="Consumed input",C958="Contained input",C958="Transform input"),P958=-1),1,0)</x:f>
        <x:v>0</x:v>
      </x:c>
    </x:row>
    <x:row r="959" ht="64" customHeight="1">
      <x:c r="A959" s="4" t="str">
        <x:v>design.collection.segmented_commutator_ring.in.1</x:v>
      </x:c>
      <x:c r="B959" s="4" t="str">
        <x:v>design.collection.segmented_commutator_ring</x:v>
      </x:c>
      <x:c r="C959" s="4" t="str">
        <x:v>Ingredient candidate</x:v>
      </x:c>
      <x:c r="D959" s="4" t="str">
        <x:v>proposal.t1.copper_cake</x:v>
      </x:c>
      <x:c r="E959" s="4" t="str">
        <x:f>IFERROR(INDEX('Items'!$B$6:$B$1005,MATCH(D959,'Items'!$A$6:$A$1005,0)),"MISSING ID")</x:f>
        <x:v>Refined copper cake</x:v>
      </x:c>
      <x:c r="F959" s="4" t="str">
        <x:f>IFERROR(INDEX('Items'!$C$6:$C$1005,MATCH(D959,'Items'!$A$6:$A$1005,0)),"MISSING ID")</x:f>
        <x:v>T1</x:v>
      </x:c>
      <x:c r="G959" s="4" t="str">
        <x:f>IFERROR(INDEX('Items'!$D$6:$D$1005,MATCH(D959,'Items'!$A$6:$A$1005,0)),"MISSING ID")</x:f>
        <x:v>Manufactured stock</x:v>
      </x:c>
      <x:c r="H959" s="4" t="str">
        <x:f>IFERROR(INDEX('Items'!$X$6:$X$1005,MATCH(D959,'Items'!$A$6:$A$1005,0)),"MISSING ID")</x:f>
        <x:v>Processed material</x:v>
      </x:c>
      <x:c r="I959" s="4"/>
      <x:c r="J959" s="4" t="str">
        <x:v>Unspecified</x:v>
      </x:c>
      <x:c r="K959" s="4" t="str">
        <x:f>IFERROR(INDEX('Crafting recipes'!$D$6:$D$1005,MATCH(B959,'Crafting recipes'!$A$6:$A$1005,0)),"MISSING ID")</x:f>
        <x:v>Proposal</x:v>
      </x:c>
      <x:c r="L959" s="4" t="str">
        <x:f>IFERROR(INDEX('Items'!$AD$6:$AD$1005,MATCH(D959,'Items'!$A$6:$A$1005,0)),"MISSING ID")</x:f>
        <x:v>Proposal</x:v>
      </x:c>
      <x:c r="M959" s="4" t="str">
        <x:f>IFERROR(INDEX('Crafting recipes'!$E$6:$E$1005,MATCH(B959,'Crafting recipes'!$A$6:$A$1005,0)),"MISSING ID")</x:f>
        <x:v>Partial proposal</x:v>
      </x:c>
      <x:c r="N959" s="4" t="str">
        <x:v>Candidate source or part only. Quantity, grade and method remain open.</x:v>
      </x:c>
      <x:c r="O959" s="4" t="str">
        <x:v>Collection expansion, October 15, 2026. New game proposal.</x:v>
      </x:c>
      <x:c r="P959" s="4" t="n">
        <x:f>IF(OR(C959="Ingredient candidate",C959="Consumed input",C959="Contained input",C959="Transform input"),IF(F959="T0",0,IF(F959="T1",1,IF(F959="T2",2,IF(F959="T3",3,IF(F959="T4",4,-1))))),-1)</x:f>
        <x:v>1</x:v>
      </x:c>
      <x:c r="Q959" s="4" t="n">
        <x:f>IF(AND(OR(C959="Ingredient candidate",C959="Consumed input",C959="Contained input",C959="Transform input"),P959=-1),1,0)</x:f>
        <x:v>0</x:v>
      </x:c>
    </x:row>
    <x:row r="960" ht="64" customHeight="1">
      <x:c r="A960" s="4" t="str">
        <x:v>design.collection.segmented_commutator_ring.in.2</x:v>
      </x:c>
      <x:c r="B960" s="4" t="str">
        <x:v>design.collection.segmented_commutator_ring</x:v>
      </x:c>
      <x:c r="C960" s="4" t="str">
        <x:v>Ingredient candidate</x:v>
      </x:c>
      <x:c r="D960" s="4" t="str">
        <x:v>proposal.ceramic.spacer</x:v>
      </x:c>
      <x:c r="E960" s="4" t="str">
        <x:f>IFERROR(INDEX('Items'!$B$6:$B$1005,MATCH(D960,'Items'!$A$6:$A$1005,0)),"MISSING ID")</x:f>
        <x:v>Ceramic insulating spacer</x:v>
      </x:c>
      <x:c r="F960" s="4" t="str">
        <x:f>IFERROR(INDEX('Items'!$C$6:$C$1005,MATCH(D960,'Items'!$A$6:$A$1005,0)),"MISSING ID")</x:f>
        <x:v>T3</x:v>
      </x:c>
      <x:c r="G960" s="4" t="str">
        <x:f>IFERROR(INDEX('Items'!$D$6:$D$1005,MATCH(D960,'Items'!$A$6:$A$1005,0)),"MISSING ID")</x:f>
        <x:v>Crafting components</x:v>
      </x:c>
      <x:c r="H960" s="4" t="str">
        <x:f>IFERROR(INDEX('Items'!$X$6:$X$1005,MATCH(D960,'Items'!$A$6:$A$1005,0)),"MISSING ID")</x:f>
        <x:v>Crafting component</x:v>
      </x:c>
      <x:c r="I960" s="4"/>
      <x:c r="J960" s="4" t="str">
        <x:v>Unspecified</x:v>
      </x:c>
      <x:c r="K960" s="4" t="str">
        <x:f>IFERROR(INDEX('Crafting recipes'!$D$6:$D$1005,MATCH(B960,'Crafting recipes'!$A$6:$A$1005,0)),"MISSING ID")</x:f>
        <x:v>Proposal</x:v>
      </x:c>
      <x:c r="L960" s="4" t="str">
        <x:f>IFERROR(INDEX('Items'!$AD$6:$AD$1005,MATCH(D960,'Items'!$A$6:$A$1005,0)),"MISSING ID")</x:f>
        <x:v>Proposal</x:v>
      </x:c>
      <x:c r="M960" s="4" t="str">
        <x:f>IFERROR(INDEX('Crafting recipes'!$E$6:$E$1005,MATCH(B960,'Crafting recipes'!$A$6:$A$1005,0)),"MISSING ID")</x:f>
        <x:v>Partial proposal</x:v>
      </x:c>
      <x:c r="N960" s="4" t="str">
        <x:v>Candidate source or part only. Quantity, grade and method remain open.</x:v>
      </x:c>
      <x:c r="O960" s="4" t="str">
        <x:v>Collection expansion, October 15, 2026. New game proposal.</x:v>
      </x:c>
      <x:c r="P960" s="4" t="n">
        <x:f>IF(OR(C960="Ingredient candidate",C960="Consumed input",C960="Contained input",C960="Transform input"),IF(F960="T0",0,IF(F960="T1",1,IF(F960="T2",2,IF(F960="T3",3,IF(F960="T4",4,-1))))),-1)</x:f>
        <x:v>3</x:v>
      </x:c>
      <x:c r="Q960" s="4" t="n">
        <x:f>IF(AND(OR(C960="Ingredient candidate",C960="Consumed input",C960="Contained input",C960="Transform input"),P960=-1),1,0)</x:f>
        <x:v>0</x:v>
      </x:c>
    </x:row>
    <x:row r="961" ht="64" customHeight="1">
      <x:c r="A961" s="4" t="str">
        <x:v>design.collection.segmented_commutator_ring.out</x:v>
      </x:c>
      <x:c r="B961" s="4" t="str">
        <x:v>design.collection.segmented_commutator_ring</x:v>
      </x:c>
      <x:c r="C961" s="4" t="str">
        <x:v>Output</x:v>
      </x:c>
      <x:c r="D961" s="4" t="str">
        <x:v>proposal.collection.segmented_commutator_ring</x:v>
      </x:c>
      <x:c r="E961" s="4" t="str">
        <x:f>IFERROR(INDEX('Items'!$B$6:$B$1005,MATCH(D961,'Items'!$A$6:$A$1005,0)),"MISSING ID")</x:f>
        <x:v>Segmented commutator ring</x:v>
      </x:c>
      <x:c r="F961" s="4" t="str">
        <x:f>IFERROR(INDEX('Items'!$C$6:$C$1005,MATCH(D961,'Items'!$A$6:$A$1005,0)),"MISSING ID")</x:f>
        <x:v>T4</x:v>
      </x:c>
      <x:c r="G961" s="4" t="str">
        <x:f>IFERROR(INDEX('Items'!$D$6:$D$1005,MATCH(D961,'Items'!$A$6:$A$1005,0)),"MISSING ID")</x:f>
        <x:v>Crafting components</x:v>
      </x:c>
      <x:c r="H961" s="4" t="str">
        <x:f>IFERROR(INDEX('Items'!$X$6:$X$1005,MATCH(D961,'Items'!$A$6:$A$1005,0)),"MISSING ID")</x:f>
        <x:v>Machine part</x:v>
      </x:c>
      <x:c r="I961" s="4"/>
      <x:c r="J961" s="4" t="str">
        <x:v>Unspecified</x:v>
      </x:c>
      <x:c r="K961" s="4" t="str">
        <x:f>IFERROR(INDEX('Crafting recipes'!$D$6:$D$1005,MATCH(B961,'Crafting recipes'!$A$6:$A$1005,0)),"MISSING ID")</x:f>
        <x:v>Proposal</x:v>
      </x:c>
      <x:c r="L961" s="4" t="str">
        <x:f>IFERROR(INDEX('Items'!$AD$6:$AD$1005,MATCH(D961,'Items'!$A$6:$A$1005,0)),"MISSING ID")</x:f>
        <x:v>Proposal</x:v>
      </x:c>
      <x:c r="M961" s="4" t="str">
        <x:f>IFERROR(INDEX('Crafting recipes'!$E$6:$E$1005,MATCH(B961,'Crafting recipes'!$A$6:$A$1005,0)),"MISSING ID")</x:f>
        <x:v>Partial proposal</x:v>
      </x:c>
      <x:c r="N961" s="4" t="str">
        <x:v>Candidate source or part only. Quantity, grade and method remain open.</x:v>
      </x:c>
      <x:c r="O961" s="4" t="str">
        <x:v>Collection expansion, October 15, 2026. New game proposal.</x:v>
      </x:c>
      <x:c r="P961" s="4" t="n">
        <x:f>IF(OR(C961="Ingredient candidate",C961="Consumed input",C961="Contained input",C961="Transform input"),IF(F961="T0",0,IF(F961="T1",1,IF(F961="T2",2,IF(F961="T3",3,IF(F961="T4",4,-1))))),-1)</x:f>
        <x:v>-1</x:v>
      </x:c>
      <x:c r="Q961" s="4" t="n">
        <x:f>IF(AND(OR(C961="Ingredient candidate",C961="Consumed input",C961="Contained input",C961="Transform input"),P961=-1),1,0)</x:f>
        <x:v>0</x:v>
      </x:c>
    </x:row>
    <x:row r="962" ht="64" customHeight="1">
      <x:c r="A962" s="4" t="str">
        <x:v>design.collection.iron_wound_relay_core.in.1</x:v>
      </x:c>
      <x:c r="B962" s="4" t="str">
        <x:v>design.collection.iron_wound_relay_core</x:v>
      </x:c>
      <x:c r="C962" s="4" t="str">
        <x:v>Ingredient candidate</x:v>
      </x:c>
      <x:c r="D962" s="4" t="str">
        <x:v>proposal.lore.iron_winding</x:v>
      </x:c>
      <x:c r="E962" s="4" t="str">
        <x:f>IFERROR(INDEX('Items'!$B$6:$B$1005,MATCH(D962,'Items'!$A$6:$A$1005,0)),"MISSING ID")</x:f>
        <x:v>Iron-wound core blank</x:v>
      </x:c>
      <x:c r="F962" s="4" t="str">
        <x:f>IFERROR(INDEX('Items'!$C$6:$C$1005,MATCH(D962,'Items'!$A$6:$A$1005,0)),"MISSING ID")</x:f>
        <x:v>T3</x:v>
      </x:c>
      <x:c r="G962" s="4" t="str">
        <x:f>IFERROR(INDEX('Items'!$D$6:$D$1005,MATCH(D962,'Items'!$A$6:$A$1005,0)),"MISSING ID")</x:f>
        <x:v>Crafting components</x:v>
      </x:c>
      <x:c r="H962" s="4" t="str">
        <x:f>IFERROR(INDEX('Items'!$X$6:$X$1005,MATCH(D962,'Items'!$A$6:$A$1005,0)),"MISSING ID")</x:f>
        <x:v>Crafting component</x:v>
      </x:c>
      <x:c r="I962" s="4"/>
      <x:c r="J962" s="4" t="str">
        <x:v>Unspecified</x:v>
      </x:c>
      <x:c r="K962" s="4" t="str">
        <x:f>IFERROR(INDEX('Crafting recipes'!$D$6:$D$1005,MATCH(B962,'Crafting recipes'!$A$6:$A$1005,0)),"MISSING ID")</x:f>
        <x:v>Proposal</x:v>
      </x:c>
      <x:c r="L962" s="4" t="str">
        <x:f>IFERROR(INDEX('Items'!$AD$6:$AD$1005,MATCH(D962,'Items'!$A$6:$A$1005,0)),"MISSING ID")</x:f>
        <x:v>Proposal</x:v>
      </x:c>
      <x:c r="M962" s="4" t="str">
        <x:f>IFERROR(INDEX('Crafting recipes'!$E$6:$E$1005,MATCH(B962,'Crafting recipes'!$A$6:$A$1005,0)),"MISSING ID")</x:f>
        <x:v>Partial proposal</x:v>
      </x:c>
      <x:c r="N962" s="4" t="str">
        <x:v>Candidate source or part only. Quantity, grade and method remain open.</x:v>
      </x:c>
      <x:c r="O962" s="4" t="str">
        <x:v>Collection expansion, October 15, 2026. New game proposal.</x:v>
      </x:c>
      <x:c r="P962" s="4" t="n">
        <x:f>IF(OR(C962="Ingredient candidate",C962="Consumed input",C962="Contained input",C962="Transform input"),IF(F962="T0",0,IF(F962="T1",1,IF(F962="T2",2,IF(F962="T3",3,IF(F962="T4",4,-1))))),-1)</x:f>
        <x:v>3</x:v>
      </x:c>
      <x:c r="Q962" s="4" t="n">
        <x:f>IF(AND(OR(C962="Ingredient candidate",C962="Consumed input",C962="Contained input",C962="Transform input"),P962=-1),1,0)</x:f>
        <x:v>0</x:v>
      </x:c>
    </x:row>
    <x:row r="963" ht="64" customHeight="1">
      <x:c r="A963" s="4" t="str">
        <x:v>design.collection.iron_wound_relay_core.out</x:v>
      </x:c>
      <x:c r="B963" s="4" t="str">
        <x:v>design.collection.iron_wound_relay_core</x:v>
      </x:c>
      <x:c r="C963" s="4" t="str">
        <x:v>Output</x:v>
      </x:c>
      <x:c r="D963" s="4" t="str">
        <x:v>proposal.collection.iron_wound_relay_core</x:v>
      </x:c>
      <x:c r="E963" s="4" t="str">
        <x:f>IFERROR(INDEX('Items'!$B$6:$B$1005,MATCH(D963,'Items'!$A$6:$A$1005,0)),"MISSING ID")</x:f>
        <x:v>Iron-wound relay core</x:v>
      </x:c>
      <x:c r="F963" s="4" t="str">
        <x:f>IFERROR(INDEX('Items'!$C$6:$C$1005,MATCH(D963,'Items'!$A$6:$A$1005,0)),"MISSING ID")</x:f>
        <x:v>T4</x:v>
      </x:c>
      <x:c r="G963" s="4" t="str">
        <x:f>IFERROR(INDEX('Items'!$D$6:$D$1005,MATCH(D963,'Items'!$A$6:$A$1005,0)),"MISSING ID")</x:f>
        <x:v>Crafting components</x:v>
      </x:c>
      <x:c r="H963" s="4" t="str">
        <x:f>IFERROR(INDEX('Items'!$X$6:$X$1005,MATCH(D963,'Items'!$A$6:$A$1005,0)),"MISSING ID")</x:f>
        <x:v>Machine part</x:v>
      </x:c>
      <x:c r="I963" s="4"/>
      <x:c r="J963" s="4" t="str">
        <x:v>Unspecified</x:v>
      </x:c>
      <x:c r="K963" s="4" t="str">
        <x:f>IFERROR(INDEX('Crafting recipes'!$D$6:$D$1005,MATCH(B963,'Crafting recipes'!$A$6:$A$1005,0)),"MISSING ID")</x:f>
        <x:v>Proposal</x:v>
      </x:c>
      <x:c r="L963" s="4" t="str">
        <x:f>IFERROR(INDEX('Items'!$AD$6:$AD$1005,MATCH(D963,'Items'!$A$6:$A$1005,0)),"MISSING ID")</x:f>
        <x:v>Proposal</x:v>
      </x:c>
      <x:c r="M963" s="4" t="str">
        <x:f>IFERROR(INDEX('Crafting recipes'!$E$6:$E$1005,MATCH(B963,'Crafting recipes'!$A$6:$A$1005,0)),"MISSING ID")</x:f>
        <x:v>Partial proposal</x:v>
      </x:c>
      <x:c r="N963" s="4" t="str">
        <x:v>Candidate source or part only. Quantity, grade and method remain open.</x:v>
      </x:c>
      <x:c r="O963" s="4" t="str">
        <x:v>Collection expansion, October 15, 2026. New game proposal.</x:v>
      </x:c>
      <x:c r="P963" s="4" t="n">
        <x:f>IF(OR(C963="Ingredient candidate",C963="Consumed input",C963="Contained input",C963="Transform input"),IF(F963="T0",0,IF(F963="T1",1,IF(F963="T2",2,IF(F963="T3",3,IF(F963="T4",4,-1))))),-1)</x:f>
        <x:v>-1</x:v>
      </x:c>
      <x:c r="Q963" s="4" t="n">
        <x:f>IF(AND(OR(C963="Ingredient candidate",C963="Consumed input",C963="Contained input",C963="Transform input"),P963=-1),1,0)</x:f>
        <x:v>0</x:v>
      </x:c>
    </x:row>
    <x:row r="964" ht="64" customHeight="1">
      <x:c r="A964" s="4" t="str">
        <x:v>design.collection.mica_separated_terminal_strip.in.1</x:v>
      </x:c>
      <x:c r="B964" s="4" t="str">
        <x:v>design.collection.mica_separated_terminal_strip</x:v>
      </x:c>
      <x:c r="C964" s="4" t="str">
        <x:v>Ingredient candidate</x:v>
      </x:c>
      <x:c r="D964" s="4" t="str">
        <x:v>proposal.t1.mica_window</x:v>
      </x:c>
      <x:c r="E964" s="4" t="str">
        <x:f>IFERROR(INDEX('Items'!$B$6:$B$1005,MATCH(D964,'Items'!$A$6:$A$1005,0)),"MISSING ID")</x:f>
        <x:v>Sized mica viewing sheet</x:v>
      </x:c>
      <x:c r="F964" s="4" t="str">
        <x:f>IFERROR(INDEX('Items'!$C$6:$C$1005,MATCH(D964,'Items'!$A$6:$A$1005,0)),"MISSING ID")</x:f>
        <x:v>T1</x:v>
      </x:c>
      <x:c r="G964" s="4" t="str">
        <x:f>IFERROR(INDEX('Items'!$D$6:$D$1005,MATCH(D964,'Items'!$A$6:$A$1005,0)),"MISSING ID")</x:f>
        <x:v>Manufactured stock</x:v>
      </x:c>
      <x:c r="H964" s="4" t="str">
        <x:f>IFERROR(INDEX('Items'!$X$6:$X$1005,MATCH(D964,'Items'!$A$6:$A$1005,0)),"MISSING ID")</x:f>
        <x:v>Processed material</x:v>
      </x:c>
      <x:c r="I964" s="4"/>
      <x:c r="J964" s="4" t="str">
        <x:v>Unspecified</x:v>
      </x:c>
      <x:c r="K964" s="4" t="str">
        <x:f>IFERROR(INDEX('Crafting recipes'!$D$6:$D$1005,MATCH(B964,'Crafting recipes'!$A$6:$A$1005,0)),"MISSING ID")</x:f>
        <x:v>Proposal</x:v>
      </x:c>
      <x:c r="L964" s="4" t="str">
        <x:f>IFERROR(INDEX('Items'!$AD$6:$AD$1005,MATCH(D964,'Items'!$A$6:$A$1005,0)),"MISSING ID")</x:f>
        <x:v>Proposal</x:v>
      </x:c>
      <x:c r="M964" s="4" t="str">
        <x:f>IFERROR(INDEX('Crafting recipes'!$E$6:$E$1005,MATCH(B964,'Crafting recipes'!$A$6:$A$1005,0)),"MISSING ID")</x:f>
        <x:v>Partial proposal</x:v>
      </x:c>
      <x:c r="N964" s="4" t="str">
        <x:v>Candidate source or part only. Quantity, grade and method remain open.</x:v>
      </x:c>
      <x:c r="O964" s="4" t="str">
        <x:v>Collection expansion, October 15, 2026. New game proposal.</x:v>
      </x:c>
      <x:c r="P964" s="4" t="n">
        <x:f>IF(OR(C964="Ingredient candidate",C964="Consumed input",C964="Contained input",C964="Transform input"),IF(F964="T0",0,IF(F964="T1",1,IF(F964="T2",2,IF(F964="T3",3,IF(F964="T4",4,-1))))),-1)</x:f>
        <x:v>1</x:v>
      </x:c>
      <x:c r="Q964" s="4" t="n">
        <x:f>IF(AND(OR(C964="Ingredient candidate",C964="Consumed input",C964="Contained input",C964="Transform input"),P964=-1),1,0)</x:f>
        <x:v>0</x:v>
      </x:c>
    </x:row>
    <x:row r="965" ht="64" customHeight="1">
      <x:c r="A965" s="4" t="str">
        <x:v>design.collection.mica_separated_terminal_strip.in.2</x:v>
      </x:c>
      <x:c r="B965" s="4" t="str">
        <x:v>design.collection.mica_separated_terminal_strip</x:v>
      </x:c>
      <x:c r="C965" s="4" t="str">
        <x:v>Ingredient candidate</x:v>
      </x:c>
      <x:c r="D965" s="4" t="str">
        <x:v>proposal.collection.annealed_iron_sheet_stock</x:v>
      </x:c>
      <x:c r="E965" s="4" t="str">
        <x:f>IFERROR(INDEX('Items'!$B$6:$B$1005,MATCH(D965,'Items'!$A$6:$A$1005,0)),"MISSING ID")</x:f>
        <x:v>Annealed iron sheet stock</x:v>
      </x:c>
      <x:c r="F965" s="4" t="str">
        <x:f>IFERROR(INDEX('Items'!$C$6:$C$1005,MATCH(D965,'Items'!$A$6:$A$1005,0)),"MISSING ID")</x:f>
        <x:v>T3</x:v>
      </x:c>
      <x:c r="G965" s="4" t="str">
        <x:f>IFERROR(INDEX('Items'!$D$6:$D$1005,MATCH(D965,'Items'!$A$6:$A$1005,0)),"MISSING ID")</x:f>
        <x:v>Manufactured stock</x:v>
      </x:c>
      <x:c r="H965" s="4" t="str">
        <x:f>IFERROR(INDEX('Items'!$X$6:$X$1005,MATCH(D965,'Items'!$A$6:$A$1005,0)),"MISSING ID")</x:f>
        <x:v>Processed material</x:v>
      </x:c>
      <x:c r="I965" s="4"/>
      <x:c r="J965" s="4" t="str">
        <x:v>Unspecified</x:v>
      </x:c>
      <x:c r="K965" s="4" t="str">
        <x:f>IFERROR(INDEX('Crafting recipes'!$D$6:$D$1005,MATCH(B965,'Crafting recipes'!$A$6:$A$1005,0)),"MISSING ID")</x:f>
        <x:v>Proposal</x:v>
      </x:c>
      <x:c r="L965" s="4" t="str">
        <x:f>IFERROR(INDEX('Items'!$AD$6:$AD$1005,MATCH(D965,'Items'!$A$6:$A$1005,0)),"MISSING ID")</x:f>
        <x:v>Proposal</x:v>
      </x:c>
      <x:c r="M965" s="4" t="str">
        <x:f>IFERROR(INDEX('Crafting recipes'!$E$6:$E$1005,MATCH(B965,'Crafting recipes'!$A$6:$A$1005,0)),"MISSING ID")</x:f>
        <x:v>Partial proposal</x:v>
      </x:c>
      <x:c r="N965" s="4" t="str">
        <x:v>Candidate source or part only. Quantity, grade and method remain open.</x:v>
      </x:c>
      <x:c r="O965" s="4" t="str">
        <x:v>Collection expansion, October 15, 2026. New game proposal.</x:v>
      </x:c>
      <x:c r="P965" s="4" t="n">
        <x:f>IF(OR(C965="Ingredient candidate",C965="Consumed input",C965="Contained input",C965="Transform input"),IF(F965="T0",0,IF(F965="T1",1,IF(F965="T2",2,IF(F965="T3",3,IF(F965="T4",4,-1))))),-1)</x:f>
        <x:v>3</x:v>
      </x:c>
      <x:c r="Q965" s="4" t="n">
        <x:f>IF(AND(OR(C965="Ingredient candidate",C965="Consumed input",C965="Contained input",C965="Transform input"),P965=-1),1,0)</x:f>
        <x:v>0</x:v>
      </x:c>
    </x:row>
    <x:row r="966" ht="64" customHeight="1">
      <x:c r="A966" s="4" t="str">
        <x:v>design.collection.mica_separated_terminal_strip.out</x:v>
      </x:c>
      <x:c r="B966" s="4" t="str">
        <x:v>design.collection.mica_separated_terminal_strip</x:v>
      </x:c>
      <x:c r="C966" s="4" t="str">
        <x:v>Output</x:v>
      </x:c>
      <x:c r="D966" s="4" t="str">
        <x:v>proposal.collection.mica_separated_terminal_strip</x:v>
      </x:c>
      <x:c r="E966" s="4" t="str">
        <x:f>IFERROR(INDEX('Items'!$B$6:$B$1005,MATCH(D966,'Items'!$A$6:$A$1005,0)),"MISSING ID")</x:f>
        <x:v>Mica-separated terminal strip</x:v>
      </x:c>
      <x:c r="F966" s="4" t="str">
        <x:f>IFERROR(INDEX('Items'!$C$6:$C$1005,MATCH(D966,'Items'!$A$6:$A$1005,0)),"MISSING ID")</x:f>
        <x:v>T4</x:v>
      </x:c>
      <x:c r="G966" s="4" t="str">
        <x:f>IFERROR(INDEX('Items'!$D$6:$D$1005,MATCH(D966,'Items'!$A$6:$A$1005,0)),"MISSING ID")</x:f>
        <x:v>Crafting components</x:v>
      </x:c>
      <x:c r="H966" s="4" t="str">
        <x:f>IFERROR(INDEX('Items'!$X$6:$X$1005,MATCH(D966,'Items'!$A$6:$A$1005,0)),"MISSING ID")</x:f>
        <x:v>Machine part</x:v>
      </x:c>
      <x:c r="I966" s="4"/>
      <x:c r="J966" s="4" t="str">
        <x:v>Unspecified</x:v>
      </x:c>
      <x:c r="K966" s="4" t="str">
        <x:f>IFERROR(INDEX('Crafting recipes'!$D$6:$D$1005,MATCH(B966,'Crafting recipes'!$A$6:$A$1005,0)),"MISSING ID")</x:f>
        <x:v>Proposal</x:v>
      </x:c>
      <x:c r="L966" s="4" t="str">
        <x:f>IFERROR(INDEX('Items'!$AD$6:$AD$1005,MATCH(D966,'Items'!$A$6:$A$1005,0)),"MISSING ID")</x:f>
        <x:v>Proposal</x:v>
      </x:c>
      <x:c r="M966" s="4" t="str">
        <x:f>IFERROR(INDEX('Crafting recipes'!$E$6:$E$1005,MATCH(B966,'Crafting recipes'!$A$6:$A$1005,0)),"MISSING ID")</x:f>
        <x:v>Partial proposal</x:v>
      </x:c>
      <x:c r="N966" s="4" t="str">
        <x:v>Candidate source or part only. Quantity, grade and method remain open.</x:v>
      </x:c>
      <x:c r="O966" s="4" t="str">
        <x:v>Collection expansion, October 15, 2026. New game proposal.</x:v>
      </x:c>
      <x:c r="P966" s="4" t="n">
        <x:f>IF(OR(C966="Ingredient candidate",C966="Consumed input",C966="Contained input",C966="Transform input"),IF(F966="T0",0,IF(F966="T1",1,IF(F966="T2",2,IF(F966="T3",3,IF(F966="T4",4,-1))))),-1)</x:f>
        <x:v>-1</x:v>
      </x:c>
      <x:c r="Q966" s="4" t="n">
        <x:f>IF(AND(OR(C966="Ingredient candidate",C966="Consumed input",C966="Contained input",C966="Transform input"),P966=-1),1,0)</x:f>
        <x:v>0</x:v>
      </x:c>
    </x:row>
    <x:row r="967" ht="64" customHeight="1">
      <x:c r="A967" s="4" t="str">
        <x:v>design.collection.ceramic_wire_routing_comb.in.1</x:v>
      </x:c>
      <x:c r="B967" s="4" t="str">
        <x:v>design.collection.ceramic_wire_routing_comb</x:v>
      </x:c>
      <x:c r="C967" s="4" t="str">
        <x:v>Ingredient candidate</x:v>
      </x:c>
      <x:c r="D967" s="4" t="str">
        <x:v>proposal.branch.refractory_ceramic</x:v>
      </x:c>
      <x:c r="E967" s="4" t="str">
        <x:f>IFERROR(INDEX('Items'!$B$6:$B$1005,MATCH(D967,'Items'!$A$6:$A$1005,0)),"MISSING ID")</x:f>
        <x:v>Refractory ceramic stock</x:v>
      </x:c>
      <x:c r="F967" s="4" t="str">
        <x:f>IFERROR(INDEX('Items'!$C$6:$C$1005,MATCH(D967,'Items'!$A$6:$A$1005,0)),"MISSING ID")</x:f>
        <x:v>T2</x:v>
      </x:c>
      <x:c r="G967" s="4" t="str">
        <x:f>IFERROR(INDEX('Items'!$D$6:$D$1005,MATCH(D967,'Items'!$A$6:$A$1005,0)),"MISSING ID")</x:f>
        <x:v>Manufactured stock</x:v>
      </x:c>
      <x:c r="H967" s="4" t="str">
        <x:f>IFERROR(INDEX('Items'!$X$6:$X$1005,MATCH(D967,'Items'!$A$6:$A$1005,0)),"MISSING ID")</x:f>
        <x:v>Processed material</x:v>
      </x:c>
      <x:c r="I967" s="4"/>
      <x:c r="J967" s="4" t="str">
        <x:v>Unspecified</x:v>
      </x:c>
      <x:c r="K967" s="4" t="str">
        <x:f>IFERROR(INDEX('Crafting recipes'!$D$6:$D$1005,MATCH(B967,'Crafting recipes'!$A$6:$A$1005,0)),"MISSING ID")</x:f>
        <x:v>Proposal</x:v>
      </x:c>
      <x:c r="L967" s="4" t="str">
        <x:f>IFERROR(INDEX('Items'!$AD$6:$AD$1005,MATCH(D967,'Items'!$A$6:$A$1005,0)),"MISSING ID")</x:f>
        <x:v>Proposal</x:v>
      </x:c>
      <x:c r="M967" s="4" t="str">
        <x:f>IFERROR(INDEX('Crafting recipes'!$E$6:$E$1005,MATCH(B967,'Crafting recipes'!$A$6:$A$1005,0)),"MISSING ID")</x:f>
        <x:v>Partial proposal</x:v>
      </x:c>
      <x:c r="N967" s="4" t="str">
        <x:v>Candidate source or part only. Quantity, grade and method remain open.</x:v>
      </x:c>
      <x:c r="O967" s="4" t="str">
        <x:v>Collection expansion, October 15, 2026. New game proposal.</x:v>
      </x:c>
      <x:c r="P967" s="4" t="n">
        <x:f>IF(OR(C967="Ingredient candidate",C967="Consumed input",C967="Contained input",C967="Transform input"),IF(F967="T0",0,IF(F967="T1",1,IF(F967="T2",2,IF(F967="T3",3,IF(F967="T4",4,-1))))),-1)</x:f>
        <x:v>2</x:v>
      </x:c>
      <x:c r="Q967" s="4" t="n">
        <x:f>IF(AND(OR(C967="Ingredient candidate",C967="Consumed input",C967="Contained input",C967="Transform input"),P967=-1),1,0)</x:f>
        <x:v>0</x:v>
      </x:c>
    </x:row>
    <x:row r="968" ht="64" customHeight="1">
      <x:c r="A968" s="4" t="str">
        <x:v>design.collection.ceramic_wire_routing_comb.out</x:v>
      </x:c>
      <x:c r="B968" s="4" t="str">
        <x:v>design.collection.ceramic_wire_routing_comb</x:v>
      </x:c>
      <x:c r="C968" s="4" t="str">
        <x:v>Output</x:v>
      </x:c>
      <x:c r="D968" s="4" t="str">
        <x:v>proposal.collection.ceramic_wire_routing_comb</x:v>
      </x:c>
      <x:c r="E968" s="4" t="str">
        <x:f>IFERROR(INDEX('Items'!$B$6:$B$1005,MATCH(D968,'Items'!$A$6:$A$1005,0)),"MISSING ID")</x:f>
        <x:v>Ceramic wire-routing comb</x:v>
      </x:c>
      <x:c r="F968" s="4" t="str">
        <x:f>IFERROR(INDEX('Items'!$C$6:$C$1005,MATCH(D968,'Items'!$A$6:$A$1005,0)),"MISSING ID")</x:f>
        <x:v>T3</x:v>
      </x:c>
      <x:c r="G968" s="4" t="str">
        <x:f>IFERROR(INDEX('Items'!$D$6:$D$1005,MATCH(D968,'Items'!$A$6:$A$1005,0)),"MISSING ID")</x:f>
        <x:v>Crafting components</x:v>
      </x:c>
      <x:c r="H968" s="4" t="str">
        <x:f>IFERROR(INDEX('Items'!$X$6:$X$1005,MATCH(D968,'Items'!$A$6:$A$1005,0)),"MISSING ID")</x:f>
        <x:v>Machine part</x:v>
      </x:c>
      <x:c r="I968" s="4"/>
      <x:c r="J968" s="4" t="str">
        <x:v>Unspecified</x:v>
      </x:c>
      <x:c r="K968" s="4" t="str">
        <x:f>IFERROR(INDEX('Crafting recipes'!$D$6:$D$1005,MATCH(B968,'Crafting recipes'!$A$6:$A$1005,0)),"MISSING ID")</x:f>
        <x:v>Proposal</x:v>
      </x:c>
      <x:c r="L968" s="4" t="str">
        <x:f>IFERROR(INDEX('Items'!$AD$6:$AD$1005,MATCH(D968,'Items'!$A$6:$A$1005,0)),"MISSING ID")</x:f>
        <x:v>Proposal</x:v>
      </x:c>
      <x:c r="M968" s="4" t="str">
        <x:f>IFERROR(INDEX('Crafting recipes'!$E$6:$E$1005,MATCH(B968,'Crafting recipes'!$A$6:$A$1005,0)),"MISSING ID")</x:f>
        <x:v>Partial proposal</x:v>
      </x:c>
      <x:c r="N968" s="4" t="str">
        <x:v>Candidate source or part only. Quantity, grade and method remain open.</x:v>
      </x:c>
      <x:c r="O968" s="4" t="str">
        <x:v>Collection expansion, October 15, 2026. New game proposal.</x:v>
      </x:c>
      <x:c r="P968" s="4" t="n">
        <x:f>IF(OR(C968="Ingredient candidate",C968="Consumed input",C968="Contained input",C968="Transform input"),IF(F968="T0",0,IF(F968="T1",1,IF(F968="T2",2,IF(F968="T3",3,IF(F968="T4",4,-1))))),-1)</x:f>
        <x:v>-1</x:v>
      </x:c>
      <x:c r="Q968" s="4" t="n">
        <x:f>IF(AND(OR(C968="Ingredient candidate",C968="Consumed input",C968="Contained input",C968="Transform input"),P968=-1),1,0)</x:f>
        <x:v>0</x:v>
      </x:c>
    </x:row>
    <x:row r="969" ht="64" customHeight="1">
      <x:c r="A969" s="4" t="str">
        <x:v>design.collection.braided_iron_signal_lead.in.1</x:v>
      </x:c>
      <x:c r="B969" s="4" t="str">
        <x:v>design.collection.braided_iron_signal_lead</x:v>
      </x:c>
      <x:c r="C969" s="4" t="str">
        <x:v>Ingredient candidate</x:v>
      </x:c>
      <x:c r="D969" s="4" t="str">
        <x:v>proposal.lore.iron_conductor</x:v>
      </x:c>
      <x:c r="E969" s="4" t="str">
        <x:f>IFERROR(INDEX('Items'!$B$6:$B$1005,MATCH(D969,'Items'!$A$6:$A$1005,0)),"MISSING ID")</x:f>
        <x:v>Drawn iron conductor stock</x:v>
      </x:c>
      <x:c r="F969" s="4" t="str">
        <x:f>IFERROR(INDEX('Items'!$C$6:$C$1005,MATCH(D969,'Items'!$A$6:$A$1005,0)),"MISSING ID")</x:f>
        <x:v>T2</x:v>
      </x:c>
      <x:c r="G969" s="4" t="str">
        <x:f>IFERROR(INDEX('Items'!$D$6:$D$1005,MATCH(D969,'Items'!$A$6:$A$1005,0)),"MISSING ID")</x:f>
        <x:v>Manufactured stock</x:v>
      </x:c>
      <x:c r="H969" s="4" t="str">
        <x:f>IFERROR(INDEX('Items'!$X$6:$X$1005,MATCH(D969,'Items'!$A$6:$A$1005,0)),"MISSING ID")</x:f>
        <x:v>Processed material</x:v>
      </x:c>
      <x:c r="I969" s="4"/>
      <x:c r="J969" s="4" t="str">
        <x:v>Unspecified</x:v>
      </x:c>
      <x:c r="K969" s="4" t="str">
        <x:f>IFERROR(INDEX('Crafting recipes'!$D$6:$D$1005,MATCH(B969,'Crafting recipes'!$A$6:$A$1005,0)),"MISSING ID")</x:f>
        <x:v>Proposal</x:v>
      </x:c>
      <x:c r="L969" s="4" t="str">
        <x:f>IFERROR(INDEX('Items'!$AD$6:$AD$1005,MATCH(D969,'Items'!$A$6:$A$1005,0)),"MISSING ID")</x:f>
        <x:v>Proposal</x:v>
      </x:c>
      <x:c r="M969" s="4" t="str">
        <x:f>IFERROR(INDEX('Crafting recipes'!$E$6:$E$1005,MATCH(B969,'Crafting recipes'!$A$6:$A$1005,0)),"MISSING ID")</x:f>
        <x:v>Partial proposal</x:v>
      </x:c>
      <x:c r="N969" s="4" t="str">
        <x:v>Candidate source or part only. Quantity, grade and method remain open.</x:v>
      </x:c>
      <x:c r="O969" s="4" t="str">
        <x:v>Collection expansion, October 15, 2026. New game proposal.</x:v>
      </x:c>
      <x:c r="P969" s="4" t="n">
        <x:f>IF(OR(C969="Ingredient candidate",C969="Consumed input",C969="Contained input",C969="Transform input"),IF(F969="T0",0,IF(F969="T1",1,IF(F969="T2",2,IF(F969="T3",3,IF(F969="T4",4,-1))))),-1)</x:f>
        <x:v>2</x:v>
      </x:c>
      <x:c r="Q969" s="4" t="n">
        <x:f>IF(AND(OR(C969="Ingredient candidate",C969="Consumed input",C969="Contained input",C969="Transform input"),P969=-1),1,0)</x:f>
        <x:v>0</x:v>
      </x:c>
    </x:row>
    <x:row r="970" ht="64" customHeight="1">
      <x:c r="A970" s="4" t="str">
        <x:v>design.collection.braided_iron_signal_lead.out</x:v>
      </x:c>
      <x:c r="B970" s="4" t="str">
        <x:v>design.collection.braided_iron_signal_lead</x:v>
      </x:c>
      <x:c r="C970" s="4" t="str">
        <x:v>Output</x:v>
      </x:c>
      <x:c r="D970" s="4" t="str">
        <x:v>proposal.collection.braided_iron_signal_lead</x:v>
      </x:c>
      <x:c r="E970" s="4" t="str">
        <x:f>IFERROR(INDEX('Items'!$B$6:$B$1005,MATCH(D970,'Items'!$A$6:$A$1005,0)),"MISSING ID")</x:f>
        <x:v>Braided iron signal lead</x:v>
      </x:c>
      <x:c r="F970" s="4" t="str">
        <x:f>IFERROR(INDEX('Items'!$C$6:$C$1005,MATCH(D970,'Items'!$A$6:$A$1005,0)),"MISSING ID")</x:f>
        <x:v>T3</x:v>
      </x:c>
      <x:c r="G970" s="4" t="str">
        <x:f>IFERROR(INDEX('Items'!$D$6:$D$1005,MATCH(D970,'Items'!$A$6:$A$1005,0)),"MISSING ID")</x:f>
        <x:v>Crafting components</x:v>
      </x:c>
      <x:c r="H970" s="4" t="str">
        <x:f>IFERROR(INDEX('Items'!$X$6:$X$1005,MATCH(D970,'Items'!$A$6:$A$1005,0)),"MISSING ID")</x:f>
        <x:v>Machine part</x:v>
      </x:c>
      <x:c r="I970" s="4"/>
      <x:c r="J970" s="4" t="str">
        <x:v>Unspecified</x:v>
      </x:c>
      <x:c r="K970" s="4" t="str">
        <x:f>IFERROR(INDEX('Crafting recipes'!$D$6:$D$1005,MATCH(B970,'Crafting recipes'!$A$6:$A$1005,0)),"MISSING ID")</x:f>
        <x:v>Proposal</x:v>
      </x:c>
      <x:c r="L970" s="4" t="str">
        <x:f>IFERROR(INDEX('Items'!$AD$6:$AD$1005,MATCH(D970,'Items'!$A$6:$A$1005,0)),"MISSING ID")</x:f>
        <x:v>Proposal</x:v>
      </x:c>
      <x:c r="M970" s="4" t="str">
        <x:f>IFERROR(INDEX('Crafting recipes'!$E$6:$E$1005,MATCH(B970,'Crafting recipes'!$A$6:$A$1005,0)),"MISSING ID")</x:f>
        <x:v>Partial proposal</x:v>
      </x:c>
      <x:c r="N970" s="4" t="str">
        <x:v>Candidate source or part only. Quantity, grade and method remain open.</x:v>
      </x:c>
      <x:c r="O970" s="4" t="str">
        <x:v>Collection expansion, October 15, 2026. New game proposal.</x:v>
      </x:c>
      <x:c r="P970" s="4" t="n">
        <x:f>IF(OR(C970="Ingredient candidate",C970="Consumed input",C970="Contained input",C970="Transform input"),IF(F970="T0",0,IF(F970="T1",1,IF(F970="T2",2,IF(F970="T3",3,IF(F970="T4",4,-1))))),-1)</x:f>
        <x:v>-1</x:v>
      </x:c>
      <x:c r="Q970" s="4" t="n">
        <x:f>IF(AND(OR(C970="Ingredient candidate",C970="Consumed input",C970="Contained input",C970="Transform input"),P970=-1),1,0)</x:f>
        <x:v>0</x:v>
      </x:c>
    </x:row>
    <x:row r="971" ht="64" customHeight="1">
      <x:c r="A971" s="4" t="str">
        <x:v>design.collection.flexible_copper_service_jumper.in.1</x:v>
      </x:c>
      <x:c r="B971" s="4" t="str">
        <x:v>design.collection.flexible_copper_service_jumper</x:v>
      </x:c>
      <x:c r="C971" s="4" t="str">
        <x:v>Ingredient candidate</x:v>
      </x:c>
      <x:c r="D971" s="4" t="str">
        <x:v>proposal.branch.drawn_copper</x:v>
      </x:c>
      <x:c r="E971" s="4" t="str">
        <x:f>IFERROR(INDEX('Items'!$B$6:$B$1005,MATCH(D971,'Items'!$A$6:$A$1005,0)),"MISSING ID")</x:f>
        <x:v>Drawn copper stock</x:v>
      </x:c>
      <x:c r="F971" s="4" t="str">
        <x:f>IFERROR(INDEX('Items'!$C$6:$C$1005,MATCH(D971,'Items'!$A$6:$A$1005,0)),"MISSING ID")</x:f>
        <x:v>T2</x:v>
      </x:c>
      <x:c r="G971" s="4" t="str">
        <x:f>IFERROR(INDEX('Items'!$D$6:$D$1005,MATCH(D971,'Items'!$A$6:$A$1005,0)),"MISSING ID")</x:f>
        <x:v>Manufactured stock</x:v>
      </x:c>
      <x:c r="H971" s="4" t="str">
        <x:f>IFERROR(INDEX('Items'!$X$6:$X$1005,MATCH(D971,'Items'!$A$6:$A$1005,0)),"MISSING ID")</x:f>
        <x:v>Processed material</x:v>
      </x:c>
      <x:c r="I971" s="4"/>
      <x:c r="J971" s="4" t="str">
        <x:v>Unspecified</x:v>
      </x:c>
      <x:c r="K971" s="4" t="str">
        <x:f>IFERROR(INDEX('Crafting recipes'!$D$6:$D$1005,MATCH(B971,'Crafting recipes'!$A$6:$A$1005,0)),"MISSING ID")</x:f>
        <x:v>Proposal</x:v>
      </x:c>
      <x:c r="L971" s="4" t="str">
        <x:f>IFERROR(INDEX('Items'!$AD$6:$AD$1005,MATCH(D971,'Items'!$A$6:$A$1005,0)),"MISSING ID")</x:f>
        <x:v>Proposal</x:v>
      </x:c>
      <x:c r="M971" s="4" t="str">
        <x:f>IFERROR(INDEX('Crafting recipes'!$E$6:$E$1005,MATCH(B971,'Crafting recipes'!$A$6:$A$1005,0)),"MISSING ID")</x:f>
        <x:v>Partial proposal</x:v>
      </x:c>
      <x:c r="N971" s="4" t="str">
        <x:v>Candidate source or part only. Quantity, grade and method remain open.</x:v>
      </x:c>
      <x:c r="O971" s="4" t="str">
        <x:v>Collection expansion, October 15, 2026. New game proposal.</x:v>
      </x:c>
      <x:c r="P971" s="4" t="n">
        <x:f>IF(OR(C971="Ingredient candidate",C971="Consumed input",C971="Contained input",C971="Transform input"),IF(F971="T0",0,IF(F971="T1",1,IF(F971="T2",2,IF(F971="T3",3,IF(F971="T4",4,-1))))),-1)</x:f>
        <x:v>2</x:v>
      </x:c>
      <x:c r="Q971" s="4" t="n">
        <x:f>IF(AND(OR(C971="Ingredient candidate",C971="Consumed input",C971="Contained input",C971="Transform input"),P971=-1),1,0)</x:f>
        <x:v>0</x:v>
      </x:c>
    </x:row>
    <x:row r="972" ht="64" customHeight="1">
      <x:c r="A972" s="4" t="str">
        <x:v>design.collection.flexible_copper_service_jumper.in.2</x:v>
      </x:c>
      <x:c r="B972" s="4" t="str">
        <x:v>design.collection.flexible_copper_service_jumper</x:v>
      </x:c>
      <x:c r="C972" s="4" t="str">
        <x:v>Ingredient candidate</x:v>
      </x:c>
      <x:c r="D972" s="4" t="str">
        <x:v>author.electrical.insulation_stock</x:v>
      </x:c>
      <x:c r="E972" s="4" t="str">
        <x:f>IFERROR(INDEX('Items'!$B$6:$B$1005,MATCH(D972,'Items'!$A$6:$A$1005,0)),"MISSING ID")</x:f>
        <x:v>Prepared electrical insulation stock</x:v>
      </x:c>
      <x:c r="F972" s="4" t="str">
        <x:f>IFERROR(INDEX('Items'!$C$6:$C$1005,MATCH(D972,'Items'!$A$6:$A$1005,0)),"MISSING ID")</x:f>
        <x:v>T3</x:v>
      </x:c>
      <x:c r="G972" s="4" t="str">
        <x:f>IFERROR(INDEX('Items'!$D$6:$D$1005,MATCH(D972,'Items'!$A$6:$A$1005,0)),"MISSING ID")</x:f>
        <x:v>Manufactured stock</x:v>
      </x:c>
      <x:c r="H972" s="4" t="str">
        <x:f>IFERROR(INDEX('Items'!$X$6:$X$1005,MATCH(D972,'Items'!$A$6:$A$1005,0)),"MISSING ID")</x:f>
        <x:v>Processed material</x:v>
      </x:c>
      <x:c r="I972" s="4"/>
      <x:c r="J972" s="4" t="str">
        <x:v>Unspecified</x:v>
      </x:c>
      <x:c r="K972" s="4" t="str">
        <x:f>IFERROR(INDEX('Crafting recipes'!$D$6:$D$1005,MATCH(B972,'Crafting recipes'!$A$6:$A$1005,0)),"MISSING ID")</x:f>
        <x:v>Proposal</x:v>
      </x:c>
      <x:c r="L972" s="4" t="str">
        <x:f>IFERROR(INDEX('Items'!$AD$6:$AD$1005,MATCH(D972,'Items'!$A$6:$A$1005,0)),"MISSING ID")</x:f>
        <x:v>Author direction</x:v>
      </x:c>
      <x:c r="M972" s="4" t="str">
        <x:f>IFERROR(INDEX('Crafting recipes'!$E$6:$E$1005,MATCH(B972,'Crafting recipes'!$A$6:$A$1005,0)),"MISSING ID")</x:f>
        <x:v>Partial proposal</x:v>
      </x:c>
      <x:c r="N972" s="4" t="str">
        <x:v>Candidate source or part only. Quantity, grade and method remain open.</x:v>
      </x:c>
      <x:c r="O972" s="4" t="str">
        <x:v>Collection expansion, October 15, 2026. New game proposal.</x:v>
      </x:c>
      <x:c r="P972" s="4" t="n">
        <x:f>IF(OR(C972="Ingredient candidate",C972="Consumed input",C972="Contained input",C972="Transform input"),IF(F972="T0",0,IF(F972="T1",1,IF(F972="T2",2,IF(F972="T3",3,IF(F972="T4",4,-1))))),-1)</x:f>
        <x:v>3</x:v>
      </x:c>
      <x:c r="Q972" s="4" t="n">
        <x:f>IF(AND(OR(C972="Ingredient candidate",C972="Consumed input",C972="Contained input",C972="Transform input"),P972=-1),1,0)</x:f>
        <x:v>0</x:v>
      </x:c>
    </x:row>
    <x:row r="973" ht="64" customHeight="1">
      <x:c r="A973" s="4" t="str">
        <x:v>design.collection.flexible_copper_service_jumper.out</x:v>
      </x:c>
      <x:c r="B973" s="4" t="str">
        <x:v>design.collection.flexible_copper_service_jumper</x:v>
      </x:c>
      <x:c r="C973" s="4" t="str">
        <x:v>Output</x:v>
      </x:c>
      <x:c r="D973" s="4" t="str">
        <x:v>proposal.collection.flexible_copper_service_jumper</x:v>
      </x:c>
      <x:c r="E973" s="4" t="str">
        <x:f>IFERROR(INDEX('Items'!$B$6:$B$1005,MATCH(D973,'Items'!$A$6:$A$1005,0)),"MISSING ID")</x:f>
        <x:v>Flexible copper service jumper</x:v>
      </x:c>
      <x:c r="F973" s="4" t="str">
        <x:f>IFERROR(INDEX('Items'!$C$6:$C$1005,MATCH(D973,'Items'!$A$6:$A$1005,0)),"MISSING ID")</x:f>
        <x:v>T4</x:v>
      </x:c>
      <x:c r="G973" s="4" t="str">
        <x:f>IFERROR(INDEX('Items'!$D$6:$D$1005,MATCH(D973,'Items'!$A$6:$A$1005,0)),"MISSING ID")</x:f>
        <x:v>Crafting components</x:v>
      </x:c>
      <x:c r="H973" s="4" t="str">
        <x:f>IFERROR(INDEX('Items'!$X$6:$X$1005,MATCH(D973,'Items'!$A$6:$A$1005,0)),"MISSING ID")</x:f>
        <x:v>Machine part</x:v>
      </x:c>
      <x:c r="I973" s="4"/>
      <x:c r="J973" s="4" t="str">
        <x:v>Unspecified</x:v>
      </x:c>
      <x:c r="K973" s="4" t="str">
        <x:f>IFERROR(INDEX('Crafting recipes'!$D$6:$D$1005,MATCH(B973,'Crafting recipes'!$A$6:$A$1005,0)),"MISSING ID")</x:f>
        <x:v>Proposal</x:v>
      </x:c>
      <x:c r="L973" s="4" t="str">
        <x:f>IFERROR(INDEX('Items'!$AD$6:$AD$1005,MATCH(D973,'Items'!$A$6:$A$1005,0)),"MISSING ID")</x:f>
        <x:v>Proposal</x:v>
      </x:c>
      <x:c r="M973" s="4" t="str">
        <x:f>IFERROR(INDEX('Crafting recipes'!$E$6:$E$1005,MATCH(B973,'Crafting recipes'!$A$6:$A$1005,0)),"MISSING ID")</x:f>
        <x:v>Partial proposal</x:v>
      </x:c>
      <x:c r="N973" s="4" t="str">
        <x:v>Candidate source or part only. Quantity, grade and method remain open.</x:v>
      </x:c>
      <x:c r="O973" s="4" t="str">
        <x:v>Collection expansion, October 15, 2026. New game proposal.</x:v>
      </x:c>
      <x:c r="P973" s="4" t="n">
        <x:f>IF(OR(C973="Ingredient candidate",C973="Consumed input",C973="Contained input",C973="Transform input"),IF(F973="T0",0,IF(F973="T1",1,IF(F973="T2",2,IF(F973="T3",3,IF(F973="T4",4,-1))))),-1)</x:f>
        <x:v>-1</x:v>
      </x:c>
      <x:c r="Q973" s="4" t="n">
        <x:f>IF(AND(OR(C973="Ingredient candidate",C973="Consumed input",C973="Contained input",C973="Transform input"),P973=-1),1,0)</x:f>
        <x:v>0</x:v>
      </x:c>
    </x:row>
    <x:row r="974" ht="64" customHeight="1">
      <x:c r="A974" s="4" t="str">
        <x:v>design.collection.metal_shaft_hunting_spear.in.1</x:v>
      </x:c>
      <x:c r="B974" s="4" t="str">
        <x:v>design.collection.metal_shaft_hunting_spear</x:v>
      </x:c>
      <x:c r="C974" s="4" t="str">
        <x:v>Ingredient candidate</x:v>
      </x:c>
      <x:c r="D974" s="4" t="str">
        <x:v>author.metallurgy.steel_stock</x:v>
      </x:c>
      <x:c r="E974" s="4" t="str">
        <x:f>IFERROR(INDEX('Items'!$B$6:$B$1005,MATCH(D974,'Items'!$A$6:$A$1005,0)),"MISSING ID")</x:f>
        <x:v>Steel stock</x:v>
      </x:c>
      <x:c r="F974" s="4" t="str">
        <x:f>IFERROR(INDEX('Items'!$C$6:$C$1005,MATCH(D974,'Items'!$A$6:$A$1005,0)),"MISSING ID")</x:f>
        <x:v>T2</x:v>
      </x:c>
      <x:c r="G974" s="4" t="str">
        <x:f>IFERROR(INDEX('Items'!$D$6:$D$1005,MATCH(D974,'Items'!$A$6:$A$1005,0)),"MISSING ID")</x:f>
        <x:v>Manufactured stock</x:v>
      </x:c>
      <x:c r="H974" s="4" t="str">
        <x:f>IFERROR(INDEX('Items'!$X$6:$X$1005,MATCH(D974,'Items'!$A$6:$A$1005,0)),"MISSING ID")</x:f>
        <x:v>Processed material</x:v>
      </x:c>
      <x:c r="I974" s="4"/>
      <x:c r="J974" s="4" t="str">
        <x:v>Unspecified</x:v>
      </x:c>
      <x:c r="K974" s="4" t="str">
        <x:f>IFERROR(INDEX('Crafting recipes'!$D$6:$D$1005,MATCH(B974,'Crafting recipes'!$A$6:$A$1005,0)),"MISSING ID")</x:f>
        <x:v>Proposal</x:v>
      </x:c>
      <x:c r="L974" s="4" t="str">
        <x:f>IFERROR(INDEX('Items'!$AD$6:$AD$1005,MATCH(D974,'Items'!$A$6:$A$1005,0)),"MISSING ID")</x:f>
        <x:v>Author direction</x:v>
      </x:c>
      <x:c r="M974" s="4" t="str">
        <x:f>IFERROR(INDEX('Crafting recipes'!$E$6:$E$1005,MATCH(B974,'Crafting recipes'!$A$6:$A$1005,0)),"MISSING ID")</x:f>
        <x:v>Partial proposal</x:v>
      </x:c>
      <x:c r="N974" s="4" t="str">
        <x:v>Candidate source or part only. Quantity, grade and method remain open.</x:v>
      </x:c>
      <x:c r="O974" s="4" t="str">
        <x:v>Collection expansion, October 15, 2026. New game proposal.</x:v>
      </x:c>
      <x:c r="P974" s="4" t="n">
        <x:f>IF(OR(C974="Ingredient candidate",C974="Consumed input",C974="Contained input",C974="Transform input"),IF(F974="T0",0,IF(F974="T1",1,IF(F974="T2",2,IF(F974="T3",3,IF(F974="T4",4,-1))))),-1)</x:f>
        <x:v>2</x:v>
      </x:c>
      <x:c r="Q974" s="4" t="n">
        <x:f>IF(AND(OR(C974="Ingredient candidate",C974="Consumed input",C974="Contained input",C974="Transform input"),P974=-1),1,0)</x:f>
        <x:v>0</x:v>
      </x:c>
    </x:row>
    <x:row r="975" ht="64" customHeight="1">
      <x:c r="A975" s="4" t="str">
        <x:v>design.collection.metal_shaft_hunting_spear.in.2</x:v>
      </x:c>
      <x:c r="B975" s="4" t="str">
        <x:v>design.collection.metal_shaft_hunting_spear</x:v>
      </x:c>
      <x:c r="C975" s="4" t="str">
        <x:v>Ingredient candidate</x:v>
      </x:c>
      <x:c r="D975" s="4" t="str">
        <x:v>proposal.t3.precision_tube</x:v>
      </x:c>
      <x:c r="E975" s="4" t="str">
        <x:f>IFERROR(INDEX('Items'!$B$6:$B$1005,MATCH(D975,'Items'!$A$6:$A$1005,0)),"MISSING ID")</x:f>
        <x:v>Drawn steel tube stock</x:v>
      </x:c>
      <x:c r="F975" s="4" t="str">
        <x:f>IFERROR(INDEX('Items'!$C$6:$C$1005,MATCH(D975,'Items'!$A$6:$A$1005,0)),"MISSING ID")</x:f>
        <x:v>T3</x:v>
      </x:c>
      <x:c r="G975" s="4" t="str">
        <x:f>IFERROR(INDEX('Items'!$D$6:$D$1005,MATCH(D975,'Items'!$A$6:$A$1005,0)),"MISSING ID")</x:f>
        <x:v>Manufactured stock</x:v>
      </x:c>
      <x:c r="H975" s="4" t="str">
        <x:f>IFERROR(INDEX('Items'!$X$6:$X$1005,MATCH(D975,'Items'!$A$6:$A$1005,0)),"MISSING ID")</x:f>
        <x:v>Processed material</x:v>
      </x:c>
      <x:c r="I975" s="4"/>
      <x:c r="J975" s="4" t="str">
        <x:v>Unspecified</x:v>
      </x:c>
      <x:c r="K975" s="4" t="str">
        <x:f>IFERROR(INDEX('Crafting recipes'!$D$6:$D$1005,MATCH(B975,'Crafting recipes'!$A$6:$A$1005,0)),"MISSING ID")</x:f>
        <x:v>Proposal</x:v>
      </x:c>
      <x:c r="L975" s="4" t="str">
        <x:f>IFERROR(INDEX('Items'!$AD$6:$AD$1005,MATCH(D975,'Items'!$A$6:$A$1005,0)),"MISSING ID")</x:f>
        <x:v>Proposal</x:v>
      </x:c>
      <x:c r="M975" s="4" t="str">
        <x:f>IFERROR(INDEX('Crafting recipes'!$E$6:$E$1005,MATCH(B975,'Crafting recipes'!$A$6:$A$1005,0)),"MISSING ID")</x:f>
        <x:v>Partial proposal</x:v>
      </x:c>
      <x:c r="N975" s="4" t="str">
        <x:v>Candidate source or part only. Quantity, grade and method remain open.</x:v>
      </x:c>
      <x:c r="O975" s="4" t="str">
        <x:v>Collection expansion, October 15, 2026. New game proposal.</x:v>
      </x:c>
      <x:c r="P975" s="4" t="n">
        <x:f>IF(OR(C975="Ingredient candidate",C975="Consumed input",C975="Contained input",C975="Transform input"),IF(F975="T0",0,IF(F975="T1",1,IF(F975="T2",2,IF(F975="T3",3,IF(F975="T4",4,-1))))),-1)</x:f>
        <x:v>3</x:v>
      </x:c>
      <x:c r="Q975" s="4" t="n">
        <x:f>IF(AND(OR(C975="Ingredient candidate",C975="Consumed input",C975="Contained input",C975="Transform input"),P975=-1),1,0)</x:f>
        <x:v>0</x:v>
      </x:c>
    </x:row>
    <x:row r="976" ht="64" customHeight="1">
      <x:c r="A976" s="4" t="str">
        <x:v>design.collection.metal_shaft_hunting_spear.out</x:v>
      </x:c>
      <x:c r="B976" s="4" t="str">
        <x:v>design.collection.metal_shaft_hunting_spear</x:v>
      </x:c>
      <x:c r="C976" s="4" t="str">
        <x:v>Output</x:v>
      </x:c>
      <x:c r="D976" s="4" t="str">
        <x:v>proposal.collection.metal_shaft_hunting_spear</x:v>
      </x:c>
      <x:c r="E976" s="4" t="str">
        <x:f>IFERROR(INDEX('Items'!$B$6:$B$1005,MATCH(D976,'Items'!$A$6:$A$1005,0)),"MISSING ID")</x:f>
        <x:v>Metal-shaft hunting spear</x:v>
      </x:c>
      <x:c r="F976" s="4" t="str">
        <x:f>IFERROR(INDEX('Items'!$C$6:$C$1005,MATCH(D976,'Items'!$A$6:$A$1005,0)),"MISSING ID")</x:f>
        <x:v>Not applicable</x:v>
      </x:c>
      <x:c r="G976" s="4" t="str">
        <x:f>IFERROR(INDEX('Items'!$D$6:$D$1005,MATCH(D976,'Items'!$A$6:$A$1005,0)),"MISSING ID")</x:f>
        <x:v>Weapons</x:v>
      </x:c>
      <x:c r="H976" s="4" t="str">
        <x:f>IFERROR(INDEX('Items'!$X$6:$X$1005,MATCH(D976,'Items'!$A$6:$A$1005,0)),"MISSING ID")</x:f>
        <x:v>Weapon</x:v>
      </x:c>
      <x:c r="I976" s="4"/>
      <x:c r="J976" s="4" t="str">
        <x:v>Unspecified</x:v>
      </x:c>
      <x:c r="K976" s="4" t="str">
        <x:f>IFERROR(INDEX('Crafting recipes'!$D$6:$D$1005,MATCH(B976,'Crafting recipes'!$A$6:$A$1005,0)),"MISSING ID")</x:f>
        <x:v>Proposal</x:v>
      </x:c>
      <x:c r="L976" s="4" t="str">
        <x:f>IFERROR(INDEX('Items'!$AD$6:$AD$1005,MATCH(D976,'Items'!$A$6:$A$1005,0)),"MISSING ID")</x:f>
        <x:v>Proposal</x:v>
      </x:c>
      <x:c r="M976" s="4" t="str">
        <x:f>IFERROR(INDEX('Crafting recipes'!$E$6:$E$1005,MATCH(B976,'Crafting recipes'!$A$6:$A$1005,0)),"MISSING ID")</x:f>
        <x:v>Partial proposal</x:v>
      </x:c>
      <x:c r="N976" s="4" t="str">
        <x:v>Candidate source or part only. Quantity, grade and method remain open.</x:v>
      </x:c>
      <x:c r="O976" s="4" t="str">
        <x:v>Collection expansion, October 15, 2026. New game proposal.</x:v>
      </x:c>
      <x:c r="P976" s="4" t="n">
        <x:f>IF(OR(C976="Ingredient candidate",C976="Consumed input",C976="Contained input",C976="Transform input"),IF(F976="T0",0,IF(F976="T1",1,IF(F976="T2",2,IF(F976="T3",3,IF(F976="T4",4,-1))))),-1)</x:f>
        <x:v>-1</x:v>
      </x:c>
      <x:c r="Q976" s="4" t="n">
        <x:f>IF(AND(OR(C976="Ingredient candidate",C976="Consumed input",C976="Contained input",C976="Transform input"),P976=-1),1,0)</x:f>
        <x:v>0</x:v>
      </x:c>
    </x:row>
    <x:row r="977" ht="64" customHeight="1">
      <x:c r="A977" s="4" t="str">
        <x:v>design.collection.shell_edged_glaive.in.1</x:v>
      </x:c>
      <x:c r="B977" s="4" t="str">
        <x:v>design.collection.shell_edged_glaive</x:v>
      </x:c>
      <x:c r="C977" s="4" t="str">
        <x:v>Ingredient candidate</x:v>
      </x:c>
      <x:c r="D977" s="4" t="str">
        <x:v>proposal.bio.insert</x:v>
      </x:c>
      <x:c r="E977" s="4" t="str">
        <x:f>IFERROR(INDEX('Items'!$B$6:$B$1005,MATCH(D977,'Items'!$A$6:$A$1005,0)),"MISSING ID")</x:f>
        <x:v>Jaw cutting insert</x:v>
      </x:c>
      <x:c r="F977" s="4" t="str">
        <x:f>IFERROR(INDEX('Items'!$C$6:$C$1005,MATCH(D977,'Items'!$A$6:$A$1005,0)),"MISSING ID")</x:f>
        <x:v>T2</x:v>
      </x:c>
      <x:c r="G977" s="4" t="str">
        <x:f>IFERROR(INDEX('Items'!$D$6:$D$1005,MATCH(D977,'Items'!$A$6:$A$1005,0)),"MISSING ID")</x:f>
        <x:v>Crafting components</x:v>
      </x:c>
      <x:c r="H977" s="4" t="str">
        <x:f>IFERROR(INDEX('Items'!$X$6:$X$1005,MATCH(D977,'Items'!$A$6:$A$1005,0)),"MISSING ID")</x:f>
        <x:v>Crafting component</x:v>
      </x:c>
      <x:c r="I977" s="4"/>
      <x:c r="J977" s="4" t="str">
        <x:v>Unspecified</x:v>
      </x:c>
      <x:c r="K977" s="4" t="str">
        <x:f>IFERROR(INDEX('Crafting recipes'!$D$6:$D$1005,MATCH(B977,'Crafting recipes'!$A$6:$A$1005,0)),"MISSING ID")</x:f>
        <x:v>Proposal</x:v>
      </x:c>
      <x:c r="L977" s="4" t="str">
        <x:f>IFERROR(INDEX('Items'!$AD$6:$AD$1005,MATCH(D977,'Items'!$A$6:$A$1005,0)),"MISSING ID")</x:f>
        <x:v>Proposal</x:v>
      </x:c>
      <x:c r="M977" s="4" t="str">
        <x:f>IFERROR(INDEX('Crafting recipes'!$E$6:$E$1005,MATCH(B977,'Crafting recipes'!$A$6:$A$1005,0)),"MISSING ID")</x:f>
        <x:v>Partial proposal</x:v>
      </x:c>
      <x:c r="N977" s="4" t="str">
        <x:v>Candidate source or part only. Quantity, grade and method remain open.</x:v>
      </x:c>
      <x:c r="O977" s="4" t="str">
        <x:v>Collection expansion, October 15, 2026. New game proposal.</x:v>
      </x:c>
      <x:c r="P977" s="4" t="n">
        <x:f>IF(OR(C977="Ingredient candidate",C977="Consumed input",C977="Contained input",C977="Transform input"),IF(F977="T0",0,IF(F977="T1",1,IF(F977="T2",2,IF(F977="T3",3,IF(F977="T4",4,-1))))),-1)</x:f>
        <x:v>2</x:v>
      </x:c>
      <x:c r="Q977" s="4" t="n">
        <x:f>IF(AND(OR(C977="Ingredient candidate",C977="Consumed input",C977="Contained input",C977="Transform input"),P977=-1),1,0)</x:f>
        <x:v>0</x:v>
      </x:c>
    </x:row>
    <x:row r="978" ht="64" customHeight="1">
      <x:c r="A978" s="4" t="str">
        <x:v>design.collection.shell_edged_glaive.in.2</x:v>
      </x:c>
      <x:c r="B978" s="4" t="str">
        <x:v>design.collection.shell_edged_glaive</x:v>
      </x:c>
      <x:c r="C978" s="4" t="str">
        <x:v>Ingredient candidate</x:v>
      </x:c>
      <x:c r="D978" s="4" t="str">
        <x:v>proposal.t3.precision_tube</x:v>
      </x:c>
      <x:c r="E978" s="4" t="str">
        <x:f>IFERROR(INDEX('Items'!$B$6:$B$1005,MATCH(D978,'Items'!$A$6:$A$1005,0)),"MISSING ID")</x:f>
        <x:v>Drawn steel tube stock</x:v>
      </x:c>
      <x:c r="F978" s="4" t="str">
        <x:f>IFERROR(INDEX('Items'!$C$6:$C$1005,MATCH(D978,'Items'!$A$6:$A$1005,0)),"MISSING ID")</x:f>
        <x:v>T3</x:v>
      </x:c>
      <x:c r="G978" s="4" t="str">
        <x:f>IFERROR(INDEX('Items'!$D$6:$D$1005,MATCH(D978,'Items'!$A$6:$A$1005,0)),"MISSING ID")</x:f>
        <x:v>Manufactured stock</x:v>
      </x:c>
      <x:c r="H978" s="4" t="str">
        <x:f>IFERROR(INDEX('Items'!$X$6:$X$1005,MATCH(D978,'Items'!$A$6:$A$1005,0)),"MISSING ID")</x:f>
        <x:v>Processed material</x:v>
      </x:c>
      <x:c r="I978" s="4"/>
      <x:c r="J978" s="4" t="str">
        <x:v>Unspecified</x:v>
      </x:c>
      <x:c r="K978" s="4" t="str">
        <x:f>IFERROR(INDEX('Crafting recipes'!$D$6:$D$1005,MATCH(B978,'Crafting recipes'!$A$6:$A$1005,0)),"MISSING ID")</x:f>
        <x:v>Proposal</x:v>
      </x:c>
      <x:c r="L978" s="4" t="str">
        <x:f>IFERROR(INDEX('Items'!$AD$6:$AD$1005,MATCH(D978,'Items'!$A$6:$A$1005,0)),"MISSING ID")</x:f>
        <x:v>Proposal</x:v>
      </x:c>
      <x:c r="M978" s="4" t="str">
        <x:f>IFERROR(INDEX('Crafting recipes'!$E$6:$E$1005,MATCH(B978,'Crafting recipes'!$A$6:$A$1005,0)),"MISSING ID")</x:f>
        <x:v>Partial proposal</x:v>
      </x:c>
      <x:c r="N978" s="4" t="str">
        <x:v>Candidate source or part only. Quantity, grade and method remain open.</x:v>
      </x:c>
      <x:c r="O978" s="4" t="str">
        <x:v>Collection expansion, October 15, 2026. New game proposal.</x:v>
      </x:c>
      <x:c r="P978" s="4" t="n">
        <x:f>IF(OR(C978="Ingredient candidate",C978="Consumed input",C978="Contained input",C978="Transform input"),IF(F978="T0",0,IF(F978="T1",1,IF(F978="T2",2,IF(F978="T3",3,IF(F978="T4",4,-1))))),-1)</x:f>
        <x:v>3</x:v>
      </x:c>
      <x:c r="Q978" s="4" t="n">
        <x:f>IF(AND(OR(C978="Ingredient candidate",C978="Consumed input",C978="Contained input",C978="Transform input"),P978=-1),1,0)</x:f>
        <x:v>0</x:v>
      </x:c>
    </x:row>
    <x:row r="979" ht="64" customHeight="1">
      <x:c r="A979" s="4" t="str">
        <x:v>design.collection.shell_edged_glaive.out</x:v>
      </x:c>
      <x:c r="B979" s="4" t="str">
        <x:v>design.collection.shell_edged_glaive</x:v>
      </x:c>
      <x:c r="C979" s="4" t="str">
        <x:v>Output</x:v>
      </x:c>
      <x:c r="D979" s="4" t="str">
        <x:v>proposal.collection.shell_edged_glaive</x:v>
      </x:c>
      <x:c r="E979" s="4" t="str">
        <x:f>IFERROR(INDEX('Items'!$B$6:$B$1005,MATCH(D979,'Items'!$A$6:$A$1005,0)),"MISSING ID")</x:f>
        <x:v>Shell-edged glaive</x:v>
      </x:c>
      <x:c r="F979" s="4" t="str">
        <x:f>IFERROR(INDEX('Items'!$C$6:$C$1005,MATCH(D979,'Items'!$A$6:$A$1005,0)),"MISSING ID")</x:f>
        <x:v>Not applicable</x:v>
      </x:c>
      <x:c r="G979" s="4" t="str">
        <x:f>IFERROR(INDEX('Items'!$D$6:$D$1005,MATCH(D979,'Items'!$A$6:$A$1005,0)),"MISSING ID")</x:f>
        <x:v>Weapons</x:v>
      </x:c>
      <x:c r="H979" s="4" t="str">
        <x:f>IFERROR(INDEX('Items'!$X$6:$X$1005,MATCH(D979,'Items'!$A$6:$A$1005,0)),"MISSING ID")</x:f>
        <x:v>Weapon</x:v>
      </x:c>
      <x:c r="I979" s="4"/>
      <x:c r="J979" s="4" t="str">
        <x:v>Unspecified</x:v>
      </x:c>
      <x:c r="K979" s="4" t="str">
        <x:f>IFERROR(INDEX('Crafting recipes'!$D$6:$D$1005,MATCH(B979,'Crafting recipes'!$A$6:$A$1005,0)),"MISSING ID")</x:f>
        <x:v>Proposal</x:v>
      </x:c>
      <x:c r="L979" s="4" t="str">
        <x:f>IFERROR(INDEX('Items'!$AD$6:$AD$1005,MATCH(D979,'Items'!$A$6:$A$1005,0)),"MISSING ID")</x:f>
        <x:v>Proposal</x:v>
      </x:c>
      <x:c r="M979" s="4" t="str">
        <x:f>IFERROR(INDEX('Crafting recipes'!$E$6:$E$1005,MATCH(B979,'Crafting recipes'!$A$6:$A$1005,0)),"MISSING ID")</x:f>
        <x:v>Partial proposal</x:v>
      </x:c>
      <x:c r="N979" s="4" t="str">
        <x:v>Candidate source or part only. Quantity, grade and method remain open.</x:v>
      </x:c>
      <x:c r="O979" s="4" t="str">
        <x:v>Collection expansion, October 15, 2026. New game proposal.</x:v>
      </x:c>
      <x:c r="P979" s="4" t="n">
        <x:f>IF(OR(C979="Ingredient candidate",C979="Consumed input",C979="Contained input",C979="Transform input"),IF(F979="T0",0,IF(F979="T1",1,IF(F979="T2",2,IF(F979="T3",3,IF(F979="T4",4,-1))))),-1)</x:f>
        <x:v>-1</x:v>
      </x:c>
      <x:c r="Q979" s="4" t="n">
        <x:f>IF(AND(OR(C979="Ingredient candidate",C979="Consumed input",C979="Contained input",C979="Transform input"),P979=-1),1,0)</x:f>
        <x:v>0</x:v>
      </x:c>
    </x:row>
    <x:row r="980" ht="64" customHeight="1">
      <x:c r="A980" s="4"/>
      <x:c r="B980" s="4"/>
      <x:c r="C980" s="4"/>
      <x:c r="D980" s="4"/>
      <x:c r="E980" s="4"/>
      <x:c r="F980" s="4"/>
      <x:c r="G980" s="4"/>
      <x:c r="H980" s="4"/>
      <x:c r="I980" s="4"/>
      <x:c r="K980" s="4"/>
      <x:c r="L980" s="4"/>
      <x:c r="M980" s="4"/>
      <x:c r="N980" s="4"/>
      <x:c r="O980" s="4"/>
      <x:c r="P980" s="4"/>
      <x:c r="Q980" s="4"/>
    </x:row>
    <x:row r="981" ht="64" customHeight="1">
      <x:c r="A981" s="4"/>
      <x:c r="B981" s="4"/>
      <x:c r="C981" s="4"/>
      <x:c r="D981" s="4"/>
      <x:c r="E981" s="4"/>
      <x:c r="F981" s="4"/>
      <x:c r="G981" s="4"/>
      <x:c r="H981" s="4"/>
      <x:c r="I981" s="4"/>
      <x:c r="K981" s="4"/>
      <x:c r="L981" s="4"/>
      <x:c r="M981" s="4"/>
      <x:c r="N981" s="4"/>
      <x:c r="O981" s="4"/>
      <x:c r="P981" s="4"/>
      <x:c r="Q981" s="4"/>
    </x:row>
    <x:row r="982" ht="64" customHeight="1">
      <x:c r="A982" s="4" t="str">
        <x:v>design.collection.steel_salvage_cleaver.in.1</x:v>
      </x:c>
      <x:c r="B982" s="4" t="str">
        <x:v>design.collection.steel_salvage_cleaver</x:v>
      </x:c>
      <x:c r="C982" s="4" t="str">
        <x:v>Ingredient candidate</x:v>
      </x:c>
      <x:c r="D982" s="4" t="str">
        <x:v>author.metallurgy.steel_stock</x:v>
      </x:c>
      <x:c r="E982" s="4" t="str">
        <x:f>IFERROR(INDEX('Items'!$B$6:$B$1005,MATCH(D982,'Items'!$A$6:$A$1005,0)),"MISSING ID")</x:f>
        <x:v>Steel stock</x:v>
      </x:c>
      <x:c r="F982" s="4" t="str">
        <x:f>IFERROR(INDEX('Items'!$C$6:$C$1005,MATCH(D982,'Items'!$A$6:$A$1005,0)),"MISSING ID")</x:f>
        <x:v>T2</x:v>
      </x:c>
      <x:c r="G982" s="4" t="str">
        <x:f>IFERROR(INDEX('Items'!$D$6:$D$1005,MATCH(D982,'Items'!$A$6:$A$1005,0)),"MISSING ID")</x:f>
        <x:v>Manufactured stock</x:v>
      </x:c>
      <x:c r="H982" s="4" t="str">
        <x:f>IFERROR(INDEX('Items'!$X$6:$X$1005,MATCH(D982,'Items'!$A$6:$A$1005,0)),"MISSING ID")</x:f>
        <x:v>Processed material</x:v>
      </x:c>
      <x:c r="I982" s="4"/>
      <x:c r="J982" s="4" t="str">
        <x:v>Unspecified</x:v>
      </x:c>
      <x:c r="K982" s="4" t="str">
        <x:f>IFERROR(INDEX('Crafting recipes'!$D$6:$D$1005,MATCH(B982,'Crafting recipes'!$A$6:$A$1005,0)),"MISSING ID")</x:f>
        <x:v>Proposal</x:v>
      </x:c>
      <x:c r="L982" s="4" t="str">
        <x:f>IFERROR(INDEX('Items'!$AD$6:$AD$1005,MATCH(D982,'Items'!$A$6:$A$1005,0)),"MISSING ID")</x:f>
        <x:v>Author direction</x:v>
      </x:c>
      <x:c r="M982" s="4" t="str">
        <x:f>IFERROR(INDEX('Crafting recipes'!$E$6:$E$1005,MATCH(B982,'Crafting recipes'!$A$6:$A$1005,0)),"MISSING ID")</x:f>
        <x:v>Partial proposal</x:v>
      </x:c>
      <x:c r="N982" s="4" t="str">
        <x:v>Candidate source or part only. Quantity, grade and method remain open.</x:v>
      </x:c>
      <x:c r="O982" s="4" t="str">
        <x:v>Collection expansion, October 15, 2026. New game proposal.</x:v>
      </x:c>
      <x:c r="P982" s="4" t="n">
        <x:f>IF(OR(C982="Ingredient candidate",C982="Consumed input",C982="Contained input",C982="Transform input"),IF(F982="T0",0,IF(F982="T1",1,IF(F982="T2",2,IF(F982="T3",3,IF(F982="T4",4,-1))))),-1)</x:f>
        <x:v>2</x:v>
      </x:c>
      <x:c r="Q982" s="4" t="n">
        <x:f>IF(AND(OR(C982="Ingredient candidate",C982="Consumed input",C982="Contained input",C982="Transform input"),P982=-1),1,0)</x:f>
        <x:v>0</x:v>
      </x:c>
    </x:row>
    <x:row r="983" ht="64" customHeight="1">
      <x:c r="A983" s="4" t="str">
        <x:v>design.collection.steel_salvage_cleaver.in.2</x:v>
      </x:c>
      <x:c r="B983" s="4" t="str">
        <x:v>design.collection.steel_salvage_cleaver</x:v>
      </x:c>
      <x:c r="C983" s="4" t="str">
        <x:v>Ingredient candidate</x:v>
      </x:c>
      <x:c r="D983" s="4" t="str">
        <x:v>proposal.bio.hide_material</x:v>
      </x:c>
      <x:c r="E983" s="4" t="str">
        <x:f>IFERROR(INDEX('Items'!$B$6:$B$1005,MATCH(D983,'Items'!$A$6:$A$1005,0)),"MISSING ID")</x:f>
        <x:v>Processed hide material</x:v>
      </x:c>
      <x:c r="F983" s="4" t="str">
        <x:f>IFERROR(INDEX('Items'!$C$6:$C$1005,MATCH(D983,'Items'!$A$6:$A$1005,0)),"MISSING ID")</x:f>
        <x:v>T1</x:v>
      </x:c>
      <x:c r="G983" s="4" t="str">
        <x:f>IFERROR(INDEX('Items'!$D$6:$D$1005,MATCH(D983,'Items'!$A$6:$A$1005,0)),"MISSING ID")</x:f>
        <x:v>Crafting components</x:v>
      </x:c>
      <x:c r="H983" s="4" t="str">
        <x:f>IFERROR(INDEX('Items'!$X$6:$X$1005,MATCH(D983,'Items'!$A$6:$A$1005,0)),"MISSING ID")</x:f>
        <x:v>Processed material</x:v>
      </x:c>
      <x:c r="I983" s="4"/>
      <x:c r="J983" s="4" t="str">
        <x:v>Unspecified</x:v>
      </x:c>
      <x:c r="K983" s="4" t="str">
        <x:f>IFERROR(INDEX('Crafting recipes'!$D$6:$D$1005,MATCH(B983,'Crafting recipes'!$A$6:$A$1005,0)),"MISSING ID")</x:f>
        <x:v>Proposal</x:v>
      </x:c>
      <x:c r="L983" s="4" t="str">
        <x:f>IFERROR(INDEX('Items'!$AD$6:$AD$1005,MATCH(D983,'Items'!$A$6:$A$1005,0)),"MISSING ID")</x:f>
        <x:v>Author direction</x:v>
      </x:c>
      <x:c r="M983" s="4" t="str">
        <x:f>IFERROR(INDEX('Crafting recipes'!$E$6:$E$1005,MATCH(B983,'Crafting recipes'!$A$6:$A$1005,0)),"MISSING ID")</x:f>
        <x:v>Partial proposal</x:v>
      </x:c>
      <x:c r="N983" s="4" t="str">
        <x:v>Candidate source or part only. Quantity, grade and method remain open.</x:v>
      </x:c>
      <x:c r="O983" s="4" t="str">
        <x:v>Collection expansion, October 15, 2026. New game proposal.</x:v>
      </x:c>
      <x:c r="P983" s="4" t="n">
        <x:f>IF(OR(C983="Ingredient candidate",C983="Consumed input",C983="Contained input",C983="Transform input"),IF(F983="T0",0,IF(F983="T1",1,IF(F983="T2",2,IF(F983="T3",3,IF(F983="T4",4,-1))))),-1)</x:f>
        <x:v>1</x:v>
      </x:c>
      <x:c r="Q983" s="4" t="n">
        <x:f>IF(AND(OR(C983="Ingredient candidate",C983="Consumed input",C983="Contained input",C983="Transform input"),P983=-1),1,0)</x:f>
        <x:v>0</x:v>
      </x:c>
    </x:row>
    <x:row r="984" ht="64" customHeight="1">
      <x:c r="A984" s="4" t="str">
        <x:v>design.collection.steel_salvage_cleaver.out</x:v>
      </x:c>
      <x:c r="B984" s="4" t="str">
        <x:v>design.collection.steel_salvage_cleaver</x:v>
      </x:c>
      <x:c r="C984" s="4" t="str">
        <x:v>Output</x:v>
      </x:c>
      <x:c r="D984" s="4" t="str">
        <x:v>proposal.collection.steel_salvage_cleaver</x:v>
      </x:c>
      <x:c r="E984" s="4" t="str">
        <x:f>IFERROR(INDEX('Items'!$B$6:$B$1005,MATCH(D984,'Items'!$A$6:$A$1005,0)),"MISSING ID")</x:f>
        <x:v>Steel salvage cleaver</x:v>
      </x:c>
      <x:c r="F984" s="4" t="str">
        <x:f>IFERROR(INDEX('Items'!$C$6:$C$1005,MATCH(D984,'Items'!$A$6:$A$1005,0)),"MISSING ID")</x:f>
        <x:v>Not applicable</x:v>
      </x:c>
      <x:c r="G984" s="4" t="str">
        <x:f>IFERROR(INDEX('Items'!$D$6:$D$1005,MATCH(D984,'Items'!$A$6:$A$1005,0)),"MISSING ID")</x:f>
        <x:v>Weapons</x:v>
      </x:c>
      <x:c r="H984" s="4" t="str">
        <x:f>IFERROR(INDEX('Items'!$X$6:$X$1005,MATCH(D984,'Items'!$A$6:$A$1005,0)),"MISSING ID")</x:f>
        <x:v>Weapon</x:v>
      </x:c>
      <x:c r="I984" s="4"/>
      <x:c r="J984" s="4" t="str">
        <x:v>Unspecified</x:v>
      </x:c>
      <x:c r="K984" s="4" t="str">
        <x:f>IFERROR(INDEX('Crafting recipes'!$D$6:$D$1005,MATCH(B984,'Crafting recipes'!$A$6:$A$1005,0)),"MISSING ID")</x:f>
        <x:v>Proposal</x:v>
      </x:c>
      <x:c r="L984" s="4" t="str">
        <x:f>IFERROR(INDEX('Items'!$AD$6:$AD$1005,MATCH(D984,'Items'!$A$6:$A$1005,0)),"MISSING ID")</x:f>
        <x:v>Proposal</x:v>
      </x:c>
      <x:c r="M984" s="4" t="str">
        <x:f>IFERROR(INDEX('Crafting recipes'!$E$6:$E$1005,MATCH(B984,'Crafting recipes'!$A$6:$A$1005,0)),"MISSING ID")</x:f>
        <x:v>Partial proposal</x:v>
      </x:c>
      <x:c r="N984" s="4" t="str">
        <x:v>Candidate source or part only. Quantity, grade and method remain open.</x:v>
      </x:c>
      <x:c r="O984" s="4" t="str">
        <x:v>Collection expansion, October 15, 2026. New game proposal.</x:v>
      </x:c>
      <x:c r="P984" s="4" t="n">
        <x:f>IF(OR(C984="Ingredient candidate",C984="Consumed input",C984="Contained input",C984="Transform input"),IF(F984="T0",0,IF(F984="T1",1,IF(F984="T2",2,IF(F984="T3",3,IF(F984="T4",4,-1))))),-1)</x:f>
        <x:v>-1</x:v>
      </x:c>
      <x:c r="Q984" s="4" t="n">
        <x:f>IF(AND(OR(C984="Ingredient candidate",C984="Consumed input",C984="Contained input",C984="Transform input"),P984=-1),1,0)</x:f>
        <x:v>0</x:v>
      </x:c>
    </x:row>
    <x:row r="985" ht="64" customHeight="1">
      <x:c r="A985" s="4" t="str">
        <x:v>design.collection.hooked_catchstaff.in.1</x:v>
      </x:c>
      <x:c r="B985" s="4" t="str">
        <x:v>design.collection.hooked_catchstaff</x:v>
      </x:c>
      <x:c r="C985" s="4" t="str">
        <x:v>Ingredient candidate</x:v>
      </x:c>
      <x:c r="D985" s="4" t="str">
        <x:v>author.metallurgy.steel_stock</x:v>
      </x:c>
      <x:c r="E985" s="4" t="str">
        <x:f>IFERROR(INDEX('Items'!$B$6:$B$1005,MATCH(D985,'Items'!$A$6:$A$1005,0)),"MISSING ID")</x:f>
        <x:v>Steel stock</x:v>
      </x:c>
      <x:c r="F985" s="4" t="str">
        <x:f>IFERROR(INDEX('Items'!$C$6:$C$1005,MATCH(D985,'Items'!$A$6:$A$1005,0)),"MISSING ID")</x:f>
        <x:v>T2</x:v>
      </x:c>
      <x:c r="G985" s="4" t="str">
        <x:f>IFERROR(INDEX('Items'!$D$6:$D$1005,MATCH(D985,'Items'!$A$6:$A$1005,0)),"MISSING ID")</x:f>
        <x:v>Manufactured stock</x:v>
      </x:c>
      <x:c r="H985" s="4" t="str">
        <x:f>IFERROR(INDEX('Items'!$X$6:$X$1005,MATCH(D985,'Items'!$A$6:$A$1005,0)),"MISSING ID")</x:f>
        <x:v>Processed material</x:v>
      </x:c>
      <x:c r="I985" s="4"/>
      <x:c r="J985" s="4" t="str">
        <x:v>Unspecified</x:v>
      </x:c>
      <x:c r="K985" s="4" t="str">
        <x:f>IFERROR(INDEX('Crafting recipes'!$D$6:$D$1005,MATCH(B985,'Crafting recipes'!$A$6:$A$1005,0)),"MISSING ID")</x:f>
        <x:v>Proposal</x:v>
      </x:c>
      <x:c r="L985" s="4" t="str">
        <x:f>IFERROR(INDEX('Items'!$AD$6:$AD$1005,MATCH(D985,'Items'!$A$6:$A$1005,0)),"MISSING ID")</x:f>
        <x:v>Author direction</x:v>
      </x:c>
      <x:c r="M985" s="4" t="str">
        <x:f>IFERROR(INDEX('Crafting recipes'!$E$6:$E$1005,MATCH(B985,'Crafting recipes'!$A$6:$A$1005,0)),"MISSING ID")</x:f>
        <x:v>Partial proposal</x:v>
      </x:c>
      <x:c r="N985" s="4" t="str">
        <x:v>Candidate source or part only. Quantity, grade and method remain open.</x:v>
      </x:c>
      <x:c r="O985" s="4" t="str">
        <x:v>Collection expansion, October 15, 2026. New game proposal.</x:v>
      </x:c>
      <x:c r="P985" s="4" t="n">
        <x:f>IF(OR(C985="Ingredient candidate",C985="Consumed input",C985="Contained input",C985="Transform input"),IF(F985="T0",0,IF(F985="T1",1,IF(F985="T2",2,IF(F985="T3",3,IF(F985="T4",4,-1))))),-1)</x:f>
        <x:v>2</x:v>
      </x:c>
      <x:c r="Q985" s="4" t="n">
        <x:f>IF(AND(OR(C985="Ingredient candidate",C985="Consumed input",C985="Contained input",C985="Transform input"),P985=-1),1,0)</x:f>
        <x:v>0</x:v>
      </x:c>
    </x:row>
    <x:row r="986" ht="64" customHeight="1">
      <x:c r="A986" s="4" t="str">
        <x:v>design.collection.hooked_catchstaff.in.2</x:v>
      </x:c>
      <x:c r="B986" s="4" t="str">
        <x:v>design.collection.hooked_catchstaff</x:v>
      </x:c>
      <x:c r="C986" s="4" t="str">
        <x:v>Ingredient candidate</x:v>
      </x:c>
      <x:c r="D986" s="4" t="str">
        <x:v>proposal.t3.precision_tube</x:v>
      </x:c>
      <x:c r="E986" s="4" t="str">
        <x:f>IFERROR(INDEX('Items'!$B$6:$B$1005,MATCH(D986,'Items'!$A$6:$A$1005,0)),"MISSING ID")</x:f>
        <x:v>Drawn steel tube stock</x:v>
      </x:c>
      <x:c r="F986" s="4" t="str">
        <x:f>IFERROR(INDEX('Items'!$C$6:$C$1005,MATCH(D986,'Items'!$A$6:$A$1005,0)),"MISSING ID")</x:f>
        <x:v>T3</x:v>
      </x:c>
      <x:c r="G986" s="4" t="str">
        <x:f>IFERROR(INDEX('Items'!$D$6:$D$1005,MATCH(D986,'Items'!$A$6:$A$1005,0)),"MISSING ID")</x:f>
        <x:v>Manufactured stock</x:v>
      </x:c>
      <x:c r="H986" s="4" t="str">
        <x:f>IFERROR(INDEX('Items'!$X$6:$X$1005,MATCH(D986,'Items'!$A$6:$A$1005,0)),"MISSING ID")</x:f>
        <x:v>Processed material</x:v>
      </x:c>
      <x:c r="I986" s="4"/>
      <x:c r="J986" s="4" t="str">
        <x:v>Unspecified</x:v>
      </x:c>
      <x:c r="K986" s="4" t="str">
        <x:f>IFERROR(INDEX('Crafting recipes'!$D$6:$D$1005,MATCH(B986,'Crafting recipes'!$A$6:$A$1005,0)),"MISSING ID")</x:f>
        <x:v>Proposal</x:v>
      </x:c>
      <x:c r="L986" s="4" t="str">
        <x:f>IFERROR(INDEX('Items'!$AD$6:$AD$1005,MATCH(D986,'Items'!$A$6:$A$1005,0)),"MISSING ID")</x:f>
        <x:v>Proposal</x:v>
      </x:c>
      <x:c r="M986" s="4" t="str">
        <x:f>IFERROR(INDEX('Crafting recipes'!$E$6:$E$1005,MATCH(B986,'Crafting recipes'!$A$6:$A$1005,0)),"MISSING ID")</x:f>
        <x:v>Partial proposal</x:v>
      </x:c>
      <x:c r="N986" s="4" t="str">
        <x:v>Candidate source or part only. Quantity, grade and method remain open.</x:v>
      </x:c>
      <x:c r="O986" s="4" t="str">
        <x:v>Collection expansion, October 15, 2026. New game proposal.</x:v>
      </x:c>
      <x:c r="P986" s="4" t="n">
        <x:f>IF(OR(C986="Ingredient candidate",C986="Consumed input",C986="Contained input",C986="Transform input"),IF(F986="T0",0,IF(F986="T1",1,IF(F986="T2",2,IF(F986="T3",3,IF(F986="T4",4,-1))))),-1)</x:f>
        <x:v>3</x:v>
      </x:c>
      <x:c r="Q986" s="4" t="n">
        <x:f>IF(AND(OR(C986="Ingredient candidate",C986="Consumed input",C986="Contained input",C986="Transform input"),P986=-1),1,0)</x:f>
        <x:v>0</x:v>
      </x:c>
    </x:row>
    <x:row r="987" ht="64" customHeight="1">
      <x:c r="A987" s="4" t="str">
        <x:v>design.collection.hooked_catchstaff.out</x:v>
      </x:c>
      <x:c r="B987" s="4" t="str">
        <x:v>design.collection.hooked_catchstaff</x:v>
      </x:c>
      <x:c r="C987" s="4" t="str">
        <x:v>Output</x:v>
      </x:c>
      <x:c r="D987" s="4" t="str">
        <x:v>proposal.collection.hooked_catchstaff</x:v>
      </x:c>
      <x:c r="E987" s="4" t="str">
        <x:f>IFERROR(INDEX('Items'!$B$6:$B$1005,MATCH(D987,'Items'!$A$6:$A$1005,0)),"MISSING ID")</x:f>
        <x:v>Hooked catchstaff</x:v>
      </x:c>
      <x:c r="F987" s="4" t="str">
        <x:f>IFERROR(INDEX('Items'!$C$6:$C$1005,MATCH(D987,'Items'!$A$6:$A$1005,0)),"MISSING ID")</x:f>
        <x:v>Not applicable</x:v>
      </x:c>
      <x:c r="G987" s="4" t="str">
        <x:f>IFERROR(INDEX('Items'!$D$6:$D$1005,MATCH(D987,'Items'!$A$6:$A$1005,0)),"MISSING ID")</x:f>
        <x:v>Weapons</x:v>
      </x:c>
      <x:c r="H987" s="4" t="str">
        <x:f>IFERROR(INDEX('Items'!$X$6:$X$1005,MATCH(D987,'Items'!$A$6:$A$1005,0)),"MISSING ID")</x:f>
        <x:v>Weapon</x:v>
      </x:c>
      <x:c r="I987" s="4"/>
      <x:c r="J987" s="4" t="str">
        <x:v>Unspecified</x:v>
      </x:c>
      <x:c r="K987" s="4" t="str">
        <x:f>IFERROR(INDEX('Crafting recipes'!$D$6:$D$1005,MATCH(B987,'Crafting recipes'!$A$6:$A$1005,0)),"MISSING ID")</x:f>
        <x:v>Proposal</x:v>
      </x:c>
      <x:c r="L987" s="4" t="str">
        <x:f>IFERROR(INDEX('Items'!$AD$6:$AD$1005,MATCH(D987,'Items'!$A$6:$A$1005,0)),"MISSING ID")</x:f>
        <x:v>Proposal</x:v>
      </x:c>
      <x:c r="M987" s="4" t="str">
        <x:f>IFERROR(INDEX('Crafting recipes'!$E$6:$E$1005,MATCH(B987,'Crafting recipes'!$A$6:$A$1005,0)),"MISSING ID")</x:f>
        <x:v>Partial proposal</x:v>
      </x:c>
      <x:c r="N987" s="4" t="str">
        <x:v>Candidate source or part only. Quantity, grade and method remain open.</x:v>
      </x:c>
      <x:c r="O987" s="4" t="str">
        <x:v>Collection expansion, October 15, 2026. New game proposal.</x:v>
      </x:c>
      <x:c r="P987" s="4" t="n">
        <x:f>IF(OR(C987="Ingredient candidate",C987="Consumed input",C987="Contained input",C987="Transform input"),IF(F987="T0",0,IF(F987="T1",1,IF(F987="T2",2,IF(F987="T3",3,IF(F987="T4",4,-1))))),-1)</x:f>
        <x:v>-1</x:v>
      </x:c>
      <x:c r="Q987" s="4" t="n">
        <x:f>IF(AND(OR(C987="Ingredient candidate",C987="Consumed input",C987="Contained input",C987="Transform input"),P987=-1),1,0)</x:f>
        <x:v>0</x:v>
      </x:c>
    </x:row>
    <x:row r="988" ht="64" customHeight="1">
      <x:c r="A988" s="4" t="str">
        <x:v>design.collection.tendon_pouch_sling.in.1</x:v>
      </x:c>
      <x:c r="B988" s="4" t="str">
        <x:v>design.collection.tendon_pouch_sling</x:v>
      </x:c>
      <x:c r="C988" s="4" t="str">
        <x:v>Ingredient candidate</x:v>
      </x:c>
      <x:c r="D988" s="4" t="str">
        <x:v>proposal.bio.cord</x:v>
      </x:c>
      <x:c r="E988" s="4" t="str">
        <x:f>IFERROR(INDEX('Items'!$B$6:$B$1005,MATCH(D988,'Items'!$A$6:$A$1005,0)),"MISSING ID")</x:f>
        <x:v>Tendon cord</x:v>
      </x:c>
      <x:c r="F988" s="4" t="str">
        <x:f>IFERROR(INDEX('Items'!$C$6:$C$1005,MATCH(D988,'Items'!$A$6:$A$1005,0)),"MISSING ID")</x:f>
        <x:v>T1</x:v>
      </x:c>
      <x:c r="G988" s="4" t="str">
        <x:f>IFERROR(INDEX('Items'!$D$6:$D$1005,MATCH(D988,'Items'!$A$6:$A$1005,0)),"MISSING ID")</x:f>
        <x:v>Crafting components</x:v>
      </x:c>
      <x:c r="H988" s="4" t="str">
        <x:f>IFERROR(INDEX('Items'!$X$6:$X$1005,MATCH(D988,'Items'!$A$6:$A$1005,0)),"MISSING ID")</x:f>
        <x:v>Crafting component</x:v>
      </x:c>
      <x:c r="I988" s="4"/>
      <x:c r="J988" s="4" t="str">
        <x:v>Unspecified</x:v>
      </x:c>
      <x:c r="K988" s="4" t="str">
        <x:f>IFERROR(INDEX('Crafting recipes'!$D$6:$D$1005,MATCH(B988,'Crafting recipes'!$A$6:$A$1005,0)),"MISSING ID")</x:f>
        <x:v>Proposal</x:v>
      </x:c>
      <x:c r="L988" s="4" t="str">
        <x:f>IFERROR(INDEX('Items'!$AD$6:$AD$1005,MATCH(D988,'Items'!$A$6:$A$1005,0)),"MISSING ID")</x:f>
        <x:v>Proposal</x:v>
      </x:c>
      <x:c r="M988" s="4" t="str">
        <x:f>IFERROR(INDEX('Crafting recipes'!$E$6:$E$1005,MATCH(B988,'Crafting recipes'!$A$6:$A$1005,0)),"MISSING ID")</x:f>
        <x:v>Partial proposal</x:v>
      </x:c>
      <x:c r="N988" s="4" t="str">
        <x:v>Candidate source or part only. Quantity, grade and method remain open.</x:v>
      </x:c>
      <x:c r="O988" s="4" t="str">
        <x:v>Collection expansion, October 15, 2026. New game proposal.</x:v>
      </x:c>
      <x:c r="P988" s="4" t="n">
        <x:f>IF(OR(C988="Ingredient candidate",C988="Consumed input",C988="Contained input",C988="Transform input"),IF(F988="T0",0,IF(F988="T1",1,IF(F988="T2",2,IF(F988="T3",3,IF(F988="T4",4,-1))))),-1)</x:f>
        <x:v>1</x:v>
      </x:c>
      <x:c r="Q988" s="4" t="n">
        <x:f>IF(AND(OR(C988="Ingredient candidate",C988="Consumed input",C988="Contained input",C988="Transform input"),P988=-1),1,0)</x:f>
        <x:v>0</x:v>
      </x:c>
    </x:row>
    <x:row r="989" ht="64" customHeight="1">
      <x:c r="A989" s="4" t="str">
        <x:v>design.collection.tendon_pouch_sling.in.2</x:v>
      </x:c>
      <x:c r="B989" s="4" t="str">
        <x:v>design.collection.tendon_pouch_sling</x:v>
      </x:c>
      <x:c r="C989" s="4" t="str">
        <x:v>Ingredient candidate</x:v>
      </x:c>
      <x:c r="D989" s="4" t="str">
        <x:v>proposal.bio.hide_material</x:v>
      </x:c>
      <x:c r="E989" s="4" t="str">
        <x:f>IFERROR(INDEX('Items'!$B$6:$B$1005,MATCH(D989,'Items'!$A$6:$A$1005,0)),"MISSING ID")</x:f>
        <x:v>Processed hide material</x:v>
      </x:c>
      <x:c r="F989" s="4" t="str">
        <x:f>IFERROR(INDEX('Items'!$C$6:$C$1005,MATCH(D989,'Items'!$A$6:$A$1005,0)),"MISSING ID")</x:f>
        <x:v>T1</x:v>
      </x:c>
      <x:c r="G989" s="4" t="str">
        <x:f>IFERROR(INDEX('Items'!$D$6:$D$1005,MATCH(D989,'Items'!$A$6:$A$1005,0)),"MISSING ID")</x:f>
        <x:v>Crafting components</x:v>
      </x:c>
      <x:c r="H989" s="4" t="str">
        <x:f>IFERROR(INDEX('Items'!$X$6:$X$1005,MATCH(D989,'Items'!$A$6:$A$1005,0)),"MISSING ID")</x:f>
        <x:v>Processed material</x:v>
      </x:c>
      <x:c r="I989" s="4"/>
      <x:c r="J989" s="4" t="str">
        <x:v>Unspecified</x:v>
      </x:c>
      <x:c r="K989" s="4" t="str">
        <x:f>IFERROR(INDEX('Crafting recipes'!$D$6:$D$1005,MATCH(B989,'Crafting recipes'!$A$6:$A$1005,0)),"MISSING ID")</x:f>
        <x:v>Proposal</x:v>
      </x:c>
      <x:c r="L989" s="4" t="str">
        <x:f>IFERROR(INDEX('Items'!$AD$6:$AD$1005,MATCH(D989,'Items'!$A$6:$A$1005,0)),"MISSING ID")</x:f>
        <x:v>Author direction</x:v>
      </x:c>
      <x:c r="M989" s="4" t="str">
        <x:f>IFERROR(INDEX('Crafting recipes'!$E$6:$E$1005,MATCH(B989,'Crafting recipes'!$A$6:$A$1005,0)),"MISSING ID")</x:f>
        <x:v>Partial proposal</x:v>
      </x:c>
      <x:c r="N989" s="4" t="str">
        <x:v>Candidate source or part only. Quantity, grade and method remain open.</x:v>
      </x:c>
      <x:c r="O989" s="4" t="str">
        <x:v>Collection expansion, October 15, 2026. New game proposal.</x:v>
      </x:c>
      <x:c r="P989" s="4" t="n">
        <x:f>IF(OR(C989="Ingredient candidate",C989="Consumed input",C989="Contained input",C989="Transform input"),IF(F989="T0",0,IF(F989="T1",1,IF(F989="T2",2,IF(F989="T3",3,IF(F989="T4",4,-1))))),-1)</x:f>
        <x:v>1</x:v>
      </x:c>
      <x:c r="Q989" s="4" t="n">
        <x:f>IF(AND(OR(C989="Ingredient candidate",C989="Consumed input",C989="Contained input",C989="Transform input"),P989=-1),1,0)</x:f>
        <x:v>0</x:v>
      </x:c>
    </x:row>
    <x:row r="990" ht="64" customHeight="1">
      <x:c r="A990" s="4" t="str">
        <x:v>design.collection.tendon_pouch_sling.out</x:v>
      </x:c>
      <x:c r="B990" s="4" t="str">
        <x:v>design.collection.tendon_pouch_sling</x:v>
      </x:c>
      <x:c r="C990" s="4" t="str">
        <x:v>Output</x:v>
      </x:c>
      <x:c r="D990" s="4" t="str">
        <x:v>proposal.collection.tendon_pouch_sling</x:v>
      </x:c>
      <x:c r="E990" s="4" t="str">
        <x:f>IFERROR(INDEX('Items'!$B$6:$B$1005,MATCH(D990,'Items'!$A$6:$A$1005,0)),"MISSING ID")</x:f>
        <x:v>Tendon-pouch sling</x:v>
      </x:c>
      <x:c r="F990" s="4" t="str">
        <x:f>IFERROR(INDEX('Items'!$C$6:$C$1005,MATCH(D990,'Items'!$A$6:$A$1005,0)),"MISSING ID")</x:f>
        <x:v>Not applicable</x:v>
      </x:c>
      <x:c r="G990" s="4" t="str">
        <x:f>IFERROR(INDEX('Items'!$D$6:$D$1005,MATCH(D990,'Items'!$A$6:$A$1005,0)),"MISSING ID")</x:f>
        <x:v>Weapons</x:v>
      </x:c>
      <x:c r="H990" s="4" t="str">
        <x:f>IFERROR(INDEX('Items'!$X$6:$X$1005,MATCH(D990,'Items'!$A$6:$A$1005,0)),"MISSING ID")</x:f>
        <x:v>Weapon</x:v>
      </x:c>
      <x:c r="I990" s="4"/>
      <x:c r="J990" s="4" t="str">
        <x:v>Unspecified</x:v>
      </x:c>
      <x:c r="K990" s="4" t="str">
        <x:f>IFERROR(INDEX('Crafting recipes'!$D$6:$D$1005,MATCH(B990,'Crafting recipes'!$A$6:$A$1005,0)),"MISSING ID")</x:f>
        <x:v>Proposal</x:v>
      </x:c>
      <x:c r="L990" s="4" t="str">
        <x:f>IFERROR(INDEX('Items'!$AD$6:$AD$1005,MATCH(D990,'Items'!$A$6:$A$1005,0)),"MISSING ID")</x:f>
        <x:v>Proposal</x:v>
      </x:c>
      <x:c r="M990" s="4" t="str">
        <x:f>IFERROR(INDEX('Crafting recipes'!$E$6:$E$1005,MATCH(B990,'Crafting recipes'!$A$6:$A$1005,0)),"MISSING ID")</x:f>
        <x:v>Partial proposal</x:v>
      </x:c>
      <x:c r="N990" s="4" t="str">
        <x:v>Candidate source or part only. Quantity, grade and method remain open.</x:v>
      </x:c>
      <x:c r="O990" s="4" t="str">
        <x:v>Collection expansion, October 15, 2026. New game proposal.</x:v>
      </x:c>
      <x:c r="P990" s="4" t="n">
        <x:f>IF(OR(C990="Ingredient candidate",C990="Consumed input",C990="Contained input",C990="Transform input"),IF(F990="T0",0,IF(F990="T1",1,IF(F990="T2",2,IF(F990="T3",3,IF(F990="T4",4,-1))))),-1)</x:f>
        <x:v>-1</x:v>
      </x:c>
      <x:c r="Q990" s="4" t="n">
        <x:f>IF(AND(OR(C990="Ingredient candidate",C990="Consumed input",C990="Contained input",C990="Transform input"),P990=-1),1,0)</x:f>
        <x:v>0</x:v>
      </x:c>
    </x:row>
    <x:row r="991" ht="64" customHeight="1">
      <x:c r="A991" s="4" t="str">
        <x:v>design.collection.steel_limbed_crossbow.in.1</x:v>
      </x:c>
      <x:c r="B991" s="4" t="str">
        <x:v>design.collection.steel_limbed_crossbow</x:v>
      </x:c>
      <x:c r="C991" s="4" t="str">
        <x:v>Ingredient candidate</x:v>
      </x:c>
      <x:c r="D991" s="4" t="str">
        <x:v>proposal.branch.spring_steel</x:v>
      </x:c>
      <x:c r="E991" s="4" t="str">
        <x:f>IFERROR(INDEX('Items'!$B$6:$B$1005,MATCH(D991,'Items'!$A$6:$A$1005,0)),"MISSING ID")</x:f>
        <x:v>Spring-grade steel stock</x:v>
      </x:c>
      <x:c r="F991" s="4" t="str">
        <x:f>IFERROR(INDEX('Items'!$C$6:$C$1005,MATCH(D991,'Items'!$A$6:$A$1005,0)),"MISSING ID")</x:f>
        <x:v>T3</x:v>
      </x:c>
      <x:c r="G991" s="4" t="str">
        <x:f>IFERROR(INDEX('Items'!$D$6:$D$1005,MATCH(D991,'Items'!$A$6:$A$1005,0)),"MISSING ID")</x:f>
        <x:v>Manufactured stock</x:v>
      </x:c>
      <x:c r="H991" s="4" t="str">
        <x:f>IFERROR(INDEX('Items'!$X$6:$X$1005,MATCH(D991,'Items'!$A$6:$A$1005,0)),"MISSING ID")</x:f>
        <x:v>Processed material</x:v>
      </x:c>
      <x:c r="I991" s="4"/>
      <x:c r="J991" s="4" t="str">
        <x:v>Unspecified</x:v>
      </x:c>
      <x:c r="K991" s="4" t="str">
        <x:f>IFERROR(INDEX('Crafting recipes'!$D$6:$D$1005,MATCH(B991,'Crafting recipes'!$A$6:$A$1005,0)),"MISSING ID")</x:f>
        <x:v>Proposal</x:v>
      </x:c>
      <x:c r="L991" s="4" t="str">
        <x:f>IFERROR(INDEX('Items'!$AD$6:$AD$1005,MATCH(D991,'Items'!$A$6:$A$1005,0)),"MISSING ID")</x:f>
        <x:v>Proposal</x:v>
      </x:c>
      <x:c r="M991" s="4" t="str">
        <x:f>IFERROR(INDEX('Crafting recipes'!$E$6:$E$1005,MATCH(B991,'Crafting recipes'!$A$6:$A$1005,0)),"MISSING ID")</x:f>
        <x:v>Partial proposal</x:v>
      </x:c>
      <x:c r="N991" s="4" t="str">
        <x:v>Candidate source or part only. Quantity, grade and method remain open.</x:v>
      </x:c>
      <x:c r="O991" s="4" t="str">
        <x:v>Collection expansion, October 15, 2026. New game proposal.</x:v>
      </x:c>
      <x:c r="P991" s="4" t="n">
        <x:f>IF(OR(C991="Ingredient candidate",C991="Consumed input",C991="Contained input",C991="Transform input"),IF(F991="T0",0,IF(F991="T1",1,IF(F991="T2",2,IF(F991="T3",3,IF(F991="T4",4,-1))))),-1)</x:f>
        <x:v>3</x:v>
      </x:c>
      <x:c r="Q991" s="4" t="n">
        <x:f>IF(AND(OR(C991="Ingredient candidate",C991="Consumed input",C991="Contained input",C991="Transform input"),P991=-1),1,0)</x:f>
        <x:v>0</x:v>
      </x:c>
    </x:row>
    <x:row r="992" ht="64" customHeight="1">
      <x:c r="A992" s="4" t="str">
        <x:v>design.collection.steel_limbed_crossbow.in.2</x:v>
      </x:c>
      <x:c r="B992" s="4" t="str">
        <x:v>design.collection.steel_limbed_crossbow</x:v>
      </x:c>
      <x:c r="C992" s="4" t="str">
        <x:v>Ingredient candidate</x:v>
      </x:c>
      <x:c r="D992" s="4" t="str">
        <x:v>author.metallurgy.steel_stock</x:v>
      </x:c>
      <x:c r="E992" s="4" t="str">
        <x:f>IFERROR(INDEX('Items'!$B$6:$B$1005,MATCH(D992,'Items'!$A$6:$A$1005,0)),"MISSING ID")</x:f>
        <x:v>Steel stock</x:v>
      </x:c>
      <x:c r="F992" s="4" t="str">
        <x:f>IFERROR(INDEX('Items'!$C$6:$C$1005,MATCH(D992,'Items'!$A$6:$A$1005,0)),"MISSING ID")</x:f>
        <x:v>T2</x:v>
      </x:c>
      <x:c r="G992" s="4" t="str">
        <x:f>IFERROR(INDEX('Items'!$D$6:$D$1005,MATCH(D992,'Items'!$A$6:$A$1005,0)),"MISSING ID")</x:f>
        <x:v>Manufactured stock</x:v>
      </x:c>
      <x:c r="H992" s="4" t="str">
        <x:f>IFERROR(INDEX('Items'!$X$6:$X$1005,MATCH(D992,'Items'!$A$6:$A$1005,0)),"MISSING ID")</x:f>
        <x:v>Processed material</x:v>
      </x:c>
      <x:c r="I992" s="4"/>
      <x:c r="J992" s="4" t="str">
        <x:v>Unspecified</x:v>
      </x:c>
      <x:c r="K992" s="4" t="str">
        <x:f>IFERROR(INDEX('Crafting recipes'!$D$6:$D$1005,MATCH(B992,'Crafting recipes'!$A$6:$A$1005,0)),"MISSING ID")</x:f>
        <x:v>Proposal</x:v>
      </x:c>
      <x:c r="L992" s="4" t="str">
        <x:f>IFERROR(INDEX('Items'!$AD$6:$AD$1005,MATCH(D992,'Items'!$A$6:$A$1005,0)),"MISSING ID")</x:f>
        <x:v>Author direction</x:v>
      </x:c>
      <x:c r="M992" s="4" t="str">
        <x:f>IFERROR(INDEX('Crafting recipes'!$E$6:$E$1005,MATCH(B992,'Crafting recipes'!$A$6:$A$1005,0)),"MISSING ID")</x:f>
        <x:v>Partial proposal</x:v>
      </x:c>
      <x:c r="N992" s="4" t="str">
        <x:v>Candidate source or part only. Quantity, grade and method remain open.</x:v>
      </x:c>
      <x:c r="O992" s="4" t="str">
        <x:v>Collection expansion, October 15, 2026. New game proposal.</x:v>
      </x:c>
      <x:c r="P992" s="4" t="n">
        <x:f>IF(OR(C992="Ingredient candidate",C992="Consumed input",C992="Contained input",C992="Transform input"),IF(F992="T0",0,IF(F992="T1",1,IF(F992="T2",2,IF(F992="T3",3,IF(F992="T4",4,-1))))),-1)</x:f>
        <x:v>2</x:v>
      </x:c>
      <x:c r="Q992" s="4" t="n">
        <x:f>IF(AND(OR(C992="Ingredient candidate",C992="Consumed input",C992="Contained input",C992="Transform input"),P992=-1),1,0)</x:f>
        <x:v>0</x:v>
      </x:c>
    </x:row>
    <x:row r="993" ht="64" customHeight="1">
      <x:c r="A993" s="4" t="str">
        <x:v>design.collection.steel_limbed_crossbow.in.3</x:v>
      </x:c>
      <x:c r="B993" s="4" t="str">
        <x:v>design.collection.steel_limbed_crossbow</x:v>
      </x:c>
      <x:c r="C993" s="4" t="str">
        <x:v>Ingredient candidate</x:v>
      </x:c>
      <x:c r="D993" s="4" t="str">
        <x:v>proposal.bio.cord</x:v>
      </x:c>
      <x:c r="E993" s="4" t="str">
        <x:f>IFERROR(INDEX('Items'!$B$6:$B$1005,MATCH(D993,'Items'!$A$6:$A$1005,0)),"MISSING ID")</x:f>
        <x:v>Tendon cord</x:v>
      </x:c>
      <x:c r="F993" s="4" t="str">
        <x:f>IFERROR(INDEX('Items'!$C$6:$C$1005,MATCH(D993,'Items'!$A$6:$A$1005,0)),"MISSING ID")</x:f>
        <x:v>T1</x:v>
      </x:c>
      <x:c r="G993" s="4" t="str">
        <x:f>IFERROR(INDEX('Items'!$D$6:$D$1005,MATCH(D993,'Items'!$A$6:$A$1005,0)),"MISSING ID")</x:f>
        <x:v>Crafting components</x:v>
      </x:c>
      <x:c r="H993" s="4" t="str">
        <x:f>IFERROR(INDEX('Items'!$X$6:$X$1005,MATCH(D993,'Items'!$A$6:$A$1005,0)),"MISSING ID")</x:f>
        <x:v>Crafting component</x:v>
      </x:c>
      <x:c r="I993" s="4"/>
      <x:c r="J993" s="4" t="str">
        <x:v>Unspecified</x:v>
      </x:c>
      <x:c r="K993" s="4" t="str">
        <x:f>IFERROR(INDEX('Crafting recipes'!$D$6:$D$1005,MATCH(B993,'Crafting recipes'!$A$6:$A$1005,0)),"MISSING ID")</x:f>
        <x:v>Proposal</x:v>
      </x:c>
      <x:c r="L993" s="4" t="str">
        <x:f>IFERROR(INDEX('Items'!$AD$6:$AD$1005,MATCH(D993,'Items'!$A$6:$A$1005,0)),"MISSING ID")</x:f>
        <x:v>Proposal</x:v>
      </x:c>
      <x:c r="M993" s="4" t="str">
        <x:f>IFERROR(INDEX('Crafting recipes'!$E$6:$E$1005,MATCH(B993,'Crafting recipes'!$A$6:$A$1005,0)),"MISSING ID")</x:f>
        <x:v>Partial proposal</x:v>
      </x:c>
      <x:c r="N993" s="4" t="str">
        <x:v>Candidate source or part only. Quantity, grade and method remain open.</x:v>
      </x:c>
      <x:c r="O993" s="4" t="str">
        <x:v>Collection expansion, October 15, 2026. New game proposal.</x:v>
      </x:c>
      <x:c r="P993" s="4" t="n">
        <x:f>IF(OR(C993="Ingredient candidate",C993="Consumed input",C993="Contained input",C993="Transform input"),IF(F993="T0",0,IF(F993="T1",1,IF(F993="T2",2,IF(F993="T3",3,IF(F993="T4",4,-1))))),-1)</x:f>
        <x:v>1</x:v>
      </x:c>
      <x:c r="Q993" s="4" t="n">
        <x:f>IF(AND(OR(C993="Ingredient candidate",C993="Consumed input",C993="Contained input",C993="Transform input"),P993=-1),1,0)</x:f>
        <x:v>0</x:v>
      </x:c>
    </x:row>
    <x:row r="994" ht="64" customHeight="1">
      <x:c r="A994" s="4" t="str">
        <x:v>design.collection.steel_limbed_crossbow.out</x:v>
      </x:c>
      <x:c r="B994" s="4" t="str">
        <x:v>design.collection.steel_limbed_crossbow</x:v>
      </x:c>
      <x:c r="C994" s="4" t="str">
        <x:v>Output</x:v>
      </x:c>
      <x:c r="D994" s="4" t="str">
        <x:v>proposal.collection.steel_limbed_crossbow</x:v>
      </x:c>
      <x:c r="E994" s="4" t="str">
        <x:f>IFERROR(INDEX('Items'!$B$6:$B$1005,MATCH(D994,'Items'!$A$6:$A$1005,0)),"MISSING ID")</x:f>
        <x:v>Steel-limbed crossbow</x:v>
      </x:c>
      <x:c r="F994" s="4" t="str">
        <x:f>IFERROR(INDEX('Items'!$C$6:$C$1005,MATCH(D994,'Items'!$A$6:$A$1005,0)),"MISSING ID")</x:f>
        <x:v>Not applicable</x:v>
      </x:c>
      <x:c r="G994" s="4" t="str">
        <x:f>IFERROR(INDEX('Items'!$D$6:$D$1005,MATCH(D994,'Items'!$A$6:$A$1005,0)),"MISSING ID")</x:f>
        <x:v>Weapons</x:v>
      </x:c>
      <x:c r="H994" s="4" t="str">
        <x:f>IFERROR(INDEX('Items'!$X$6:$X$1005,MATCH(D994,'Items'!$A$6:$A$1005,0)),"MISSING ID")</x:f>
        <x:v>Weapon</x:v>
      </x:c>
      <x:c r="I994" s="4"/>
      <x:c r="J994" s="4" t="str">
        <x:v>Unspecified</x:v>
      </x:c>
      <x:c r="K994" s="4" t="str">
        <x:f>IFERROR(INDEX('Crafting recipes'!$D$6:$D$1005,MATCH(B994,'Crafting recipes'!$A$6:$A$1005,0)),"MISSING ID")</x:f>
        <x:v>Proposal</x:v>
      </x:c>
      <x:c r="L994" s="4" t="str">
        <x:f>IFERROR(INDEX('Items'!$AD$6:$AD$1005,MATCH(D994,'Items'!$A$6:$A$1005,0)),"MISSING ID")</x:f>
        <x:v>Proposal</x:v>
      </x:c>
      <x:c r="M994" s="4" t="str">
        <x:f>IFERROR(INDEX('Crafting recipes'!$E$6:$E$1005,MATCH(B994,'Crafting recipes'!$A$6:$A$1005,0)),"MISSING ID")</x:f>
        <x:v>Partial proposal</x:v>
      </x:c>
      <x:c r="N994" s="4" t="str">
        <x:v>Candidate source or part only. Quantity, grade and method remain open.</x:v>
      </x:c>
      <x:c r="O994" s="4" t="str">
        <x:v>Collection expansion, October 15, 2026. New game proposal.</x:v>
      </x:c>
      <x:c r="P994" s="4" t="n">
        <x:f>IF(OR(C994="Ingredient candidate",C994="Consumed input",C994="Contained input",C994="Transform input"),IF(F994="T0",0,IF(F994="T1",1,IF(F994="T2",2,IF(F994="T3",3,IF(F994="T4",4,-1))))),-1)</x:f>
        <x:v>-1</x:v>
      </x:c>
      <x:c r="Q994" s="4" t="n">
        <x:f>IF(AND(OR(C994="Ingredient candidate",C994="Consumed input",C994="Contained input",C994="Transform input"),P994=-1),1,0)</x:f>
        <x:v>0</x:v>
      </x:c>
    </x:row>
    <x:row r="995" ht="64" customHeight="1">
      <x:c r="A995" s="4" t="str">
        <x:v>design.collection.crank_wound_siege_bow.in.1</x:v>
      </x:c>
      <x:c r="B995" s="4" t="str">
        <x:v>design.collection.crank_wound_siege_bow</x:v>
      </x:c>
      <x:c r="C995" s="4" t="str">
        <x:v>Ingredient candidate</x:v>
      </x:c>
      <x:c r="D995" s="4" t="str">
        <x:v>proposal.branch.spring_steel</x:v>
      </x:c>
      <x:c r="E995" s="4" t="str">
        <x:f>IFERROR(INDEX('Items'!$B$6:$B$1005,MATCH(D995,'Items'!$A$6:$A$1005,0)),"MISSING ID")</x:f>
        <x:v>Spring-grade steel stock</x:v>
      </x:c>
      <x:c r="F995" s="4" t="str">
        <x:f>IFERROR(INDEX('Items'!$C$6:$C$1005,MATCH(D995,'Items'!$A$6:$A$1005,0)),"MISSING ID")</x:f>
        <x:v>T3</x:v>
      </x:c>
      <x:c r="G995" s="4" t="str">
        <x:f>IFERROR(INDEX('Items'!$D$6:$D$1005,MATCH(D995,'Items'!$A$6:$A$1005,0)),"MISSING ID")</x:f>
        <x:v>Manufactured stock</x:v>
      </x:c>
      <x:c r="H995" s="4" t="str">
        <x:f>IFERROR(INDEX('Items'!$X$6:$X$1005,MATCH(D995,'Items'!$A$6:$A$1005,0)),"MISSING ID")</x:f>
        <x:v>Processed material</x:v>
      </x:c>
      <x:c r="I995" s="4"/>
      <x:c r="J995" s="4" t="str">
        <x:v>Unspecified</x:v>
      </x:c>
      <x:c r="K995" s="4" t="str">
        <x:f>IFERROR(INDEX('Crafting recipes'!$D$6:$D$1005,MATCH(B995,'Crafting recipes'!$A$6:$A$1005,0)),"MISSING ID")</x:f>
        <x:v>Proposal</x:v>
      </x:c>
      <x:c r="L995" s="4" t="str">
        <x:f>IFERROR(INDEX('Items'!$AD$6:$AD$1005,MATCH(D995,'Items'!$A$6:$A$1005,0)),"MISSING ID")</x:f>
        <x:v>Proposal</x:v>
      </x:c>
      <x:c r="M995" s="4" t="str">
        <x:f>IFERROR(INDEX('Crafting recipes'!$E$6:$E$1005,MATCH(B995,'Crafting recipes'!$A$6:$A$1005,0)),"MISSING ID")</x:f>
        <x:v>Partial proposal</x:v>
      </x:c>
      <x:c r="N995" s="4" t="str">
        <x:v>Candidate source or part only. Quantity, grade and method remain open.</x:v>
      </x:c>
      <x:c r="O995" s="4" t="str">
        <x:v>Collection expansion, October 15, 2026. New game proposal.</x:v>
      </x:c>
      <x:c r="P995" s="4" t="n">
        <x:f>IF(OR(C995="Ingredient candidate",C995="Consumed input",C995="Contained input",C995="Transform input"),IF(F995="T0",0,IF(F995="T1",1,IF(F995="T2",2,IF(F995="T3",3,IF(F995="T4",4,-1))))),-1)</x:f>
        <x:v>3</x:v>
      </x:c>
      <x:c r="Q995" s="4" t="n">
        <x:f>IF(AND(OR(C995="Ingredient candidate",C995="Consumed input",C995="Contained input",C995="Transform input"),P995=-1),1,0)</x:f>
        <x:v>0</x:v>
      </x:c>
    </x:row>
    <x:row r="996" ht="64" customHeight="1">
      <x:c r="A996" s="4" t="str">
        <x:v>design.collection.crank_wound_siege_bow.in.2</x:v>
      </x:c>
      <x:c r="B996" s="4" t="str">
        <x:v>design.collection.crank_wound_siege_bow</x:v>
      </x:c>
      <x:c r="C996" s="4" t="str">
        <x:v>Ingredient candidate</x:v>
      </x:c>
      <x:c r="D996" s="4" t="str">
        <x:v>author.metallurgy.steel_stock</x:v>
      </x:c>
      <x:c r="E996" s="4" t="str">
        <x:f>IFERROR(INDEX('Items'!$B$6:$B$1005,MATCH(D996,'Items'!$A$6:$A$1005,0)),"MISSING ID")</x:f>
        <x:v>Steel stock</x:v>
      </x:c>
      <x:c r="F996" s="4" t="str">
        <x:f>IFERROR(INDEX('Items'!$C$6:$C$1005,MATCH(D996,'Items'!$A$6:$A$1005,0)),"MISSING ID")</x:f>
        <x:v>T2</x:v>
      </x:c>
      <x:c r="G996" s="4" t="str">
        <x:f>IFERROR(INDEX('Items'!$D$6:$D$1005,MATCH(D996,'Items'!$A$6:$A$1005,0)),"MISSING ID")</x:f>
        <x:v>Manufactured stock</x:v>
      </x:c>
      <x:c r="H996" s="4" t="str">
        <x:f>IFERROR(INDEX('Items'!$X$6:$X$1005,MATCH(D996,'Items'!$A$6:$A$1005,0)),"MISSING ID")</x:f>
        <x:v>Processed material</x:v>
      </x:c>
      <x:c r="I996" s="4"/>
      <x:c r="J996" s="4" t="str">
        <x:v>Unspecified</x:v>
      </x:c>
      <x:c r="K996" s="4" t="str">
        <x:f>IFERROR(INDEX('Crafting recipes'!$D$6:$D$1005,MATCH(B996,'Crafting recipes'!$A$6:$A$1005,0)),"MISSING ID")</x:f>
        <x:v>Proposal</x:v>
      </x:c>
      <x:c r="L996" s="4" t="str">
        <x:f>IFERROR(INDEX('Items'!$AD$6:$AD$1005,MATCH(D996,'Items'!$A$6:$A$1005,0)),"MISSING ID")</x:f>
        <x:v>Author direction</x:v>
      </x:c>
      <x:c r="M996" s="4" t="str">
        <x:f>IFERROR(INDEX('Crafting recipes'!$E$6:$E$1005,MATCH(B996,'Crafting recipes'!$A$6:$A$1005,0)),"MISSING ID")</x:f>
        <x:v>Partial proposal</x:v>
      </x:c>
      <x:c r="N996" s="4" t="str">
        <x:v>Candidate source or part only. Quantity, grade and method remain open.</x:v>
      </x:c>
      <x:c r="O996" s="4" t="str">
        <x:v>Collection expansion, October 15, 2026. New game proposal.</x:v>
      </x:c>
      <x:c r="P996" s="4" t="n">
        <x:f>IF(OR(C996="Ingredient candidate",C996="Consumed input",C996="Contained input",C996="Transform input"),IF(F996="T0",0,IF(F996="T1",1,IF(F996="T2",2,IF(F996="T3",3,IF(F996="T4",4,-1))))),-1)</x:f>
        <x:v>2</x:v>
      </x:c>
      <x:c r="Q996" s="4" t="n">
        <x:f>IF(AND(OR(C996="Ingredient candidate",C996="Consumed input",C996="Contained input",C996="Transform input"),P996=-1),1,0)</x:f>
        <x:v>0</x:v>
      </x:c>
    </x:row>
    <x:row r="997" ht="64" customHeight="1">
      <x:c r="A997" s="4" t="str">
        <x:v>design.collection.crank_wound_siege_bow.in.3</x:v>
      </x:c>
      <x:c r="B997" s="4" t="str">
        <x:v>design.collection.crank_wound_siege_bow</x:v>
      </x:c>
      <x:c r="C997" s="4" t="str">
        <x:v>Ingredient candidate</x:v>
      </x:c>
      <x:c r="D997" s="4" t="str">
        <x:v>proposal.lore.fastener_set</x:v>
      </x:c>
      <x:c r="E997" s="4" t="str">
        <x:f>IFERROR(INDEX('Items'!$B$6:$B$1005,MATCH(D997,'Items'!$A$6:$A$1005,0)),"MISSING ID")</x:f>
        <x:v>Matched metal fastener set</x:v>
      </x:c>
      <x:c r="F997" s="4" t="str">
        <x:f>IFERROR(INDEX('Items'!$C$6:$C$1005,MATCH(D997,'Items'!$A$6:$A$1005,0)),"MISSING ID")</x:f>
        <x:v>T3</x:v>
      </x:c>
      <x:c r="G997" s="4" t="str">
        <x:f>IFERROR(INDEX('Items'!$D$6:$D$1005,MATCH(D997,'Items'!$A$6:$A$1005,0)),"MISSING ID")</x:f>
        <x:v>Crafting components</x:v>
      </x:c>
      <x:c r="H997" s="4" t="str">
        <x:f>IFERROR(INDEX('Items'!$X$6:$X$1005,MATCH(D997,'Items'!$A$6:$A$1005,0)),"MISSING ID")</x:f>
        <x:v>Crafting component</x:v>
      </x:c>
      <x:c r="I997" s="4"/>
      <x:c r="J997" s="4" t="str">
        <x:v>Unspecified</x:v>
      </x:c>
      <x:c r="K997" s="4" t="str">
        <x:f>IFERROR(INDEX('Crafting recipes'!$D$6:$D$1005,MATCH(B997,'Crafting recipes'!$A$6:$A$1005,0)),"MISSING ID")</x:f>
        <x:v>Proposal</x:v>
      </x:c>
      <x:c r="L997" s="4" t="str">
        <x:f>IFERROR(INDEX('Items'!$AD$6:$AD$1005,MATCH(D997,'Items'!$A$6:$A$1005,0)),"MISSING ID")</x:f>
        <x:v>Proposal</x:v>
      </x:c>
      <x:c r="M997" s="4" t="str">
        <x:f>IFERROR(INDEX('Crafting recipes'!$E$6:$E$1005,MATCH(B997,'Crafting recipes'!$A$6:$A$1005,0)),"MISSING ID")</x:f>
        <x:v>Partial proposal</x:v>
      </x:c>
      <x:c r="N997" s="4" t="str">
        <x:v>Candidate source or part only. Quantity, grade and method remain open.</x:v>
      </x:c>
      <x:c r="O997" s="4" t="str">
        <x:v>Collection expansion, October 15, 2026. New game proposal.</x:v>
      </x:c>
      <x:c r="P997" s="4" t="n">
        <x:f>IF(OR(C997="Ingredient candidate",C997="Consumed input",C997="Contained input",C997="Transform input"),IF(F997="T0",0,IF(F997="T1",1,IF(F997="T2",2,IF(F997="T3",3,IF(F997="T4",4,-1))))),-1)</x:f>
        <x:v>3</x:v>
      </x:c>
      <x:c r="Q997" s="4" t="n">
        <x:f>IF(AND(OR(C997="Ingredient candidate",C997="Consumed input",C997="Contained input",C997="Transform input"),P997=-1),1,0)</x:f>
        <x:v>0</x:v>
      </x:c>
    </x:row>
    <x:row r="998" ht="64" customHeight="1">
      <x:c r="A998" s="4" t="str">
        <x:v>design.collection.crank_wound_siege_bow.out</x:v>
      </x:c>
      <x:c r="B998" s="4" t="str">
        <x:v>design.collection.crank_wound_siege_bow</x:v>
      </x:c>
      <x:c r="C998" s="4" t="str">
        <x:v>Output</x:v>
      </x:c>
      <x:c r="D998" s="4" t="str">
        <x:v>proposal.collection.crank_wound_siege_bow</x:v>
      </x:c>
      <x:c r="E998" s="4" t="str">
        <x:f>IFERROR(INDEX('Items'!$B$6:$B$1005,MATCH(D998,'Items'!$A$6:$A$1005,0)),"MISSING ID")</x:f>
        <x:v>Crank-wound siege bow</x:v>
      </x:c>
      <x:c r="F998" s="4" t="str">
        <x:f>IFERROR(INDEX('Items'!$C$6:$C$1005,MATCH(D998,'Items'!$A$6:$A$1005,0)),"MISSING ID")</x:f>
        <x:v>Not applicable</x:v>
      </x:c>
      <x:c r="G998" s="4" t="str">
        <x:f>IFERROR(INDEX('Items'!$D$6:$D$1005,MATCH(D998,'Items'!$A$6:$A$1005,0)),"MISSING ID")</x:f>
        <x:v>Weapons</x:v>
      </x:c>
      <x:c r="H998" s="4" t="str">
        <x:f>IFERROR(INDEX('Items'!$X$6:$X$1005,MATCH(D998,'Items'!$A$6:$A$1005,0)),"MISSING ID")</x:f>
        <x:v>Weapon</x:v>
      </x:c>
      <x:c r="I998" s="4"/>
      <x:c r="J998" s="4" t="str">
        <x:v>Unspecified</x:v>
      </x:c>
      <x:c r="K998" s="4" t="str">
        <x:f>IFERROR(INDEX('Crafting recipes'!$D$6:$D$1005,MATCH(B998,'Crafting recipes'!$A$6:$A$1005,0)),"MISSING ID")</x:f>
        <x:v>Proposal</x:v>
      </x:c>
      <x:c r="L998" s="4" t="str">
        <x:f>IFERROR(INDEX('Items'!$AD$6:$AD$1005,MATCH(D998,'Items'!$A$6:$A$1005,0)),"MISSING ID")</x:f>
        <x:v>Proposal</x:v>
      </x:c>
      <x:c r="M998" s="4" t="str">
        <x:f>IFERROR(INDEX('Crafting recipes'!$E$6:$E$1005,MATCH(B998,'Crafting recipes'!$A$6:$A$1005,0)),"MISSING ID")</x:f>
        <x:v>Partial proposal</x:v>
      </x:c>
      <x:c r="N998" s="4" t="str">
        <x:v>Candidate source or part only. Quantity, grade and method remain open.</x:v>
      </x:c>
      <x:c r="O998" s="4" t="str">
        <x:v>Collection expansion, October 15, 2026. New game proposal.</x:v>
      </x:c>
      <x:c r="P998" s="4" t="n">
        <x:f>IF(OR(C998="Ingredient candidate",C998="Consumed input",C998="Contained input",C998="Transform input"),IF(F998="T0",0,IF(F998="T1",1,IF(F998="T2",2,IF(F998="T3",3,IF(F998="T4",4,-1))))),-1)</x:f>
        <x:v>-1</x:v>
      </x:c>
      <x:c r="Q998" s="4" t="n">
        <x:f>IF(AND(OR(C998="Ingredient candidate",C998="Consumed input",C998="Contained input",C998="Transform input"),P998=-1),1,0)</x:f>
        <x:v>0</x:v>
      </x:c>
    </x:row>
    <x:row r="999" ht="64" customHeight="1">
      <x:c r="A999" s="4"/>
      <x:c r="B999" s="4"/>
      <x:c r="C999" s="4"/>
      <x:c r="D999" s="4"/>
      <x:c r="E999" s="4"/>
      <x:c r="F999" s="4"/>
      <x:c r="G999" s="4"/>
      <x:c r="H999" s="4"/>
      <x:c r="I999" s="4"/>
      <x:c r="K999" s="4"/>
      <x:c r="L999" s="4"/>
      <x:c r="M999" s="4"/>
      <x:c r="N999" s="4"/>
      <x:c r="O999" s="4"/>
      <x:c r="P999" s="4"/>
      <x:c r="Q999" s="4"/>
    </x:row>
    <x:row r="1000" ht="64" customHeight="1">
      <x:c r="A1000" s="4"/>
      <x:c r="B1000" s="4"/>
      <x:c r="C1000" s="4"/>
      <x:c r="D1000" s="4"/>
      <x:c r="E1000" s="4"/>
      <x:c r="F1000" s="4"/>
      <x:c r="G1000" s="4"/>
      <x:c r="H1000" s="4"/>
      <x:c r="I1000" s="4"/>
      <x:c r="K1000" s="4"/>
      <x:c r="L1000" s="4"/>
      <x:c r="M1000" s="4"/>
      <x:c r="N1000" s="4"/>
      <x:c r="O1000" s="4"/>
      <x:c r="P1000" s="4"/>
      <x:c r="Q1000" s="4"/>
    </x:row>
    <x:row r="1001" ht="64" customHeight="1">
      <x:c r="A1001" s="4"/>
      <x:c r="B1001" s="4"/>
      <x:c r="C1001" s="4"/>
      <x:c r="D1001" s="4"/>
      <x:c r="E1001" s="4"/>
      <x:c r="F1001" s="4"/>
      <x:c r="G1001" s="4"/>
      <x:c r="H1001" s="4"/>
      <x:c r="I1001" s="4"/>
      <x:c r="K1001" s="4"/>
      <x:c r="L1001" s="4"/>
      <x:c r="M1001" s="4"/>
      <x:c r="N1001" s="4"/>
      <x:c r="O1001" s="4"/>
      <x:c r="P1001" s="4"/>
      <x:c r="Q1001" s="4"/>
    </x:row>
    <x:row r="1002" ht="64" customHeight="1">
      <x:c r="A1002" s="4" t="str">
        <x:v>design.collection.pressure_rivet_launcher.in.1</x:v>
      </x:c>
      <x:c r="B1002" s="4" t="str">
        <x:v>design.collection.pressure_rivet_launcher</x:v>
      </x:c>
      <x:c r="C1002" s="4" t="str">
        <x:v>Ingredient candidate</x:v>
      </x:c>
      <x:c r="D1002" s="4" t="str">
        <x:v>proposal.collection.ceramic_piston_sleeve</x:v>
      </x:c>
      <x:c r="E1002" s="4" t="str">
        <x:f>IFERROR(INDEX('Items'!$B$6:$B$1005,MATCH(D1002,'Items'!$A$6:$A$1005,0)),"MISSING ID")</x:f>
        <x:v>Ceramic piston sleeve</x:v>
      </x:c>
      <x:c r="F1002" s="4" t="str">
        <x:f>IFERROR(INDEX('Items'!$C$6:$C$1005,MATCH(D1002,'Items'!$A$6:$A$1005,0)),"MISSING ID")</x:f>
        <x:v>T3</x:v>
      </x:c>
      <x:c r="G1002" s="4" t="str">
        <x:f>IFERROR(INDEX('Items'!$D$6:$D$1005,MATCH(D1002,'Items'!$A$6:$A$1005,0)),"MISSING ID")</x:f>
        <x:v>Crafting components</x:v>
      </x:c>
      <x:c r="H1002" s="4" t="str">
        <x:f>IFERROR(INDEX('Items'!$X$6:$X$1005,MATCH(D1002,'Items'!$A$6:$A$1005,0)),"MISSING ID")</x:f>
        <x:v>Machine part</x:v>
      </x:c>
      <x:c r="I1002" s="4"/>
      <x:c r="J1002" s="4" t="str">
        <x:v>Unspecified</x:v>
      </x:c>
      <x:c r="K1002" s="4" t="str">
        <x:f>IFERROR(INDEX('Crafting recipes'!$D$6:$D$1005,MATCH(B1002,'Crafting recipes'!$A$6:$A$1005,0)),"MISSING ID")</x:f>
        <x:v>Proposal</x:v>
      </x:c>
      <x:c r="L1002" s="4" t="str">
        <x:f>IFERROR(INDEX('Items'!$AD$6:$AD$1005,MATCH(D1002,'Items'!$A$6:$A$1005,0)),"MISSING ID")</x:f>
        <x:v>Proposal</x:v>
      </x:c>
      <x:c r="M1002" s="4" t="str">
        <x:f>IFERROR(INDEX('Crafting recipes'!$E$6:$E$1005,MATCH(B1002,'Crafting recipes'!$A$6:$A$1005,0)),"MISSING ID")</x:f>
        <x:v>Partial proposal</x:v>
      </x:c>
      <x:c r="N1002" s="4" t="str">
        <x:v>Candidate source or part only. Quantity, grade and method remain open.</x:v>
      </x:c>
      <x:c r="O1002" s="4" t="str">
        <x:v>Collection expansion, October 15, 2026. New game proposal.</x:v>
      </x:c>
      <x:c r="P1002" s="4" t="n">
        <x:f>IF(OR(C1002="Ingredient candidate",C1002="Consumed input",C1002="Contained input",C1002="Transform input"),IF(F1002="T0",0,IF(F1002="T1",1,IF(F1002="T2",2,IF(F1002="T3",3,IF(F1002="T4",4,-1))))),-1)</x:f>
        <x:v>3</x:v>
      </x:c>
      <x:c r="Q1002" s="4" t="n">
        <x:f>IF(AND(OR(C1002="Ingredient candidate",C1002="Consumed input",C1002="Contained input",C1002="Transform input"),P1002=-1),1,0)</x:f>
        <x:v>0</x:v>
      </x:c>
    </x:row>
    <x:row r="1003" ht="64" customHeight="1">
      <x:c r="A1003" s="4" t="str">
        <x:v>design.collection.pressure_rivet_launcher.in.2</x:v>
      </x:c>
      <x:c r="B1003" s="4" t="str">
        <x:v>design.collection.pressure_rivet_launcher</x:v>
      </x:c>
      <x:c r="C1003" s="4" t="str">
        <x:v>Ingredient candidate</x:v>
      </x:c>
      <x:c r="D1003" s="4" t="str">
        <x:v>proposal.collection.metal_piston_head</x:v>
      </x:c>
      <x:c r="E1003" s="4" t="str">
        <x:f>IFERROR(INDEX('Items'!$B$6:$B$1005,MATCH(D1003,'Items'!$A$6:$A$1005,0)),"MISSING ID")</x:f>
        <x:v>Metal piston head</x:v>
      </x:c>
      <x:c r="F1003" s="4" t="str">
        <x:f>IFERROR(INDEX('Items'!$C$6:$C$1005,MATCH(D1003,'Items'!$A$6:$A$1005,0)),"MISSING ID")</x:f>
        <x:v>T3</x:v>
      </x:c>
      <x:c r="G1003" s="4" t="str">
        <x:f>IFERROR(INDEX('Items'!$D$6:$D$1005,MATCH(D1003,'Items'!$A$6:$A$1005,0)),"MISSING ID")</x:f>
        <x:v>Crafting components</x:v>
      </x:c>
      <x:c r="H1003" s="4" t="str">
        <x:f>IFERROR(INDEX('Items'!$X$6:$X$1005,MATCH(D1003,'Items'!$A$6:$A$1005,0)),"MISSING ID")</x:f>
        <x:v>Machine part</x:v>
      </x:c>
      <x:c r="I1003" s="4"/>
      <x:c r="J1003" s="4" t="str">
        <x:v>Unspecified</x:v>
      </x:c>
      <x:c r="K1003" s="4" t="str">
        <x:f>IFERROR(INDEX('Crafting recipes'!$D$6:$D$1005,MATCH(B1003,'Crafting recipes'!$A$6:$A$1005,0)),"MISSING ID")</x:f>
        <x:v>Proposal</x:v>
      </x:c>
      <x:c r="L1003" s="4" t="str">
        <x:f>IFERROR(INDEX('Items'!$AD$6:$AD$1005,MATCH(D1003,'Items'!$A$6:$A$1005,0)),"MISSING ID")</x:f>
        <x:v>Proposal</x:v>
      </x:c>
      <x:c r="M1003" s="4" t="str">
        <x:f>IFERROR(INDEX('Crafting recipes'!$E$6:$E$1005,MATCH(B1003,'Crafting recipes'!$A$6:$A$1005,0)),"MISSING ID")</x:f>
        <x:v>Partial proposal</x:v>
      </x:c>
      <x:c r="N1003" s="4" t="str">
        <x:v>Candidate source or part only. Quantity, grade and method remain open.</x:v>
      </x:c>
      <x:c r="O1003" s="4" t="str">
        <x:v>Collection expansion, October 15, 2026. New game proposal.</x:v>
      </x:c>
      <x:c r="P1003" s="4" t="n">
        <x:f>IF(OR(C1003="Ingredient candidate",C1003="Consumed input",C1003="Contained input",C1003="Transform input"),IF(F1003="T0",0,IF(F1003="T1",1,IF(F1003="T2",2,IF(F1003="T3",3,IF(F1003="T4",4,-1))))),-1)</x:f>
        <x:v>3</x:v>
      </x:c>
      <x:c r="Q1003" s="4" t="n">
        <x:f>IF(AND(OR(C1003="Ingredient candidate",C1003="Consumed input",C1003="Contained input",C1003="Transform input"),P1003=-1),1,0)</x:f>
        <x:v>0</x:v>
      </x:c>
    </x:row>
    <x:row r="1004" ht="64" customHeight="1">
      <x:c r="A1004" s="4" t="str">
        <x:v>design.collection.pressure_rivet_launcher.in.3</x:v>
      </x:c>
      <x:c r="B1004" s="4" t="str">
        <x:v>design.collection.pressure_rivet_launcher</x:v>
      </x:c>
      <x:c r="C1004" s="4" t="str">
        <x:v>Ingredient candidate</x:v>
      </x:c>
      <x:c r="D1004" s="4" t="str">
        <x:v>proposal.lore.threaded_fittings</x:v>
      </x:c>
      <x:c r="E1004" s="4" t="str">
        <x:f>IFERROR(INDEX('Items'!$B$6:$B$1005,MATCH(D1004,'Items'!$A$6:$A$1005,0)),"MISSING ID")</x:f>
        <x:v>Threaded metal fitting blanks</x:v>
      </x:c>
      <x:c r="F1004" s="4" t="str">
        <x:f>IFERROR(INDEX('Items'!$C$6:$C$1005,MATCH(D1004,'Items'!$A$6:$A$1005,0)),"MISSING ID")</x:f>
        <x:v>T3</x:v>
      </x:c>
      <x:c r="G1004" s="4" t="str">
        <x:f>IFERROR(INDEX('Items'!$D$6:$D$1005,MATCH(D1004,'Items'!$A$6:$A$1005,0)),"MISSING ID")</x:f>
        <x:v>Crafting components</x:v>
      </x:c>
      <x:c r="H1004" s="4" t="str">
        <x:f>IFERROR(INDEX('Items'!$X$6:$X$1005,MATCH(D1004,'Items'!$A$6:$A$1005,0)),"MISSING ID")</x:f>
        <x:v>Crafting component</x:v>
      </x:c>
      <x:c r="I1004" s="4"/>
      <x:c r="J1004" s="4" t="str">
        <x:v>Unspecified</x:v>
      </x:c>
      <x:c r="K1004" s="4" t="str">
        <x:f>IFERROR(INDEX('Crafting recipes'!$D$6:$D$1005,MATCH(B1004,'Crafting recipes'!$A$6:$A$1005,0)),"MISSING ID")</x:f>
        <x:v>Proposal</x:v>
      </x:c>
      <x:c r="L1004" s="4" t="str">
        <x:f>IFERROR(INDEX('Items'!$AD$6:$AD$1005,MATCH(D1004,'Items'!$A$6:$A$1005,0)),"MISSING ID")</x:f>
        <x:v>Proposal</x:v>
      </x:c>
      <x:c r="M1004" s="4" t="str">
        <x:f>IFERROR(INDEX('Crafting recipes'!$E$6:$E$1005,MATCH(B1004,'Crafting recipes'!$A$6:$A$1005,0)),"MISSING ID")</x:f>
        <x:v>Partial proposal</x:v>
      </x:c>
      <x:c r="N1004" s="4" t="str">
        <x:v>Candidate source or part only. Quantity, grade and method remain open.</x:v>
      </x:c>
      <x:c r="O1004" s="4" t="str">
        <x:v>Collection expansion, October 15, 2026. New game proposal.</x:v>
      </x:c>
      <x:c r="P1004" s="4" t="n">
        <x:f>IF(OR(C1004="Ingredient candidate",C1004="Consumed input",C1004="Contained input",C1004="Transform input"),IF(F1004="T0",0,IF(F1004="T1",1,IF(F1004="T2",2,IF(F1004="T3",3,IF(F1004="T4",4,-1))))),-1)</x:f>
        <x:v>3</x:v>
      </x:c>
      <x:c r="Q1004" s="4" t="n">
        <x:f>IF(AND(OR(C1004="Ingredient candidate",C1004="Consumed input",C1004="Contained input",C1004="Transform input"),P1004=-1),1,0)</x:f>
        <x:v>0</x:v>
      </x:c>
    </x:row>
    <x:row r="1005" ht="64" customHeight="1">
      <x:c r="A1005" s="4" t="str">
        <x:v>design.collection.pressure_rivet_launcher.out</x:v>
      </x:c>
      <x:c r="B1005" s="4" t="str">
        <x:v>design.collection.pressure_rivet_launcher</x:v>
      </x:c>
      <x:c r="C1005" s="4" t="str">
        <x:v>Output</x:v>
      </x:c>
      <x:c r="D1005" s="4" t="str">
        <x:v>proposal.collection.pressure_rivet_launcher</x:v>
      </x:c>
      <x:c r="E1005" s="4" t="str">
        <x:f>IFERROR(INDEX('Items'!$B$6:$B$1005,MATCH(D1005,'Items'!$A$6:$A$1005,0)),"MISSING ID")</x:f>
        <x:v>Pressure rivet launcher</x:v>
      </x:c>
      <x:c r="F1005" s="4" t="str">
        <x:f>IFERROR(INDEX('Items'!$C$6:$C$1005,MATCH(D1005,'Items'!$A$6:$A$1005,0)),"MISSING ID")</x:f>
        <x:v>Not applicable</x:v>
      </x:c>
      <x:c r="G1005" s="4" t="str">
        <x:f>IFERROR(INDEX('Items'!$D$6:$D$1005,MATCH(D1005,'Items'!$A$6:$A$1005,0)),"MISSING ID")</x:f>
        <x:v>Weapons</x:v>
      </x:c>
      <x:c r="H1005" s="4" t="str">
        <x:f>IFERROR(INDEX('Items'!$X$6:$X$1005,MATCH(D1005,'Items'!$A$6:$A$1005,0)),"MISSING ID")</x:f>
        <x:v>Weapon</x:v>
      </x:c>
      <x:c r="I1005" s="4"/>
      <x:c r="J1005" s="4" t="str">
        <x:v>Unspecified</x:v>
      </x:c>
      <x:c r="K1005" s="4" t="str">
        <x:f>IFERROR(INDEX('Crafting recipes'!$D$6:$D$1005,MATCH(B1005,'Crafting recipes'!$A$6:$A$1005,0)),"MISSING ID")</x:f>
        <x:v>Proposal</x:v>
      </x:c>
      <x:c r="L1005" s="4" t="str">
        <x:f>IFERROR(INDEX('Items'!$AD$6:$AD$1005,MATCH(D1005,'Items'!$A$6:$A$1005,0)),"MISSING ID")</x:f>
        <x:v>Proposal</x:v>
      </x:c>
      <x:c r="M1005" s="4" t="str">
        <x:f>IFERROR(INDEX('Crafting recipes'!$E$6:$E$1005,MATCH(B1005,'Crafting recipes'!$A$6:$A$1005,0)),"MISSING ID")</x:f>
        <x:v>Partial proposal</x:v>
      </x:c>
      <x:c r="N1005" s="4" t="str">
        <x:v>Candidate source or part only. Quantity, grade and method remain open.</x:v>
      </x:c>
      <x:c r="O1005" s="4" t="str">
        <x:v>Collection expansion, October 15, 2026. New game proposal.</x:v>
      </x:c>
      <x:c r="P1005" s="4" t="n">
        <x:f>IF(OR(C1005="Ingredient candidate",C1005="Consumed input",C1005="Contained input",C1005="Transform input"),IF(F1005="T0",0,IF(F1005="T1",1,IF(F1005="T2",2,IF(F1005="T3",3,IF(F1005="T4",4,-1))))),-1)</x:f>
        <x:v>-1</x:v>
      </x:c>
      <x:c r="Q1005" s="4" t="n">
        <x:f>IF(AND(OR(C1005="Ingredient candidate",C1005="Consumed input",C1005="Contained input",C1005="Transform input"),P1005=-1),1,0)</x:f>
        <x:v>0</x:v>
      </x:c>
    </x:row>
    <x:row r="1006" ht="64" customHeight="1">
      <x:c r="A1006" s="4" t="str">
        <x:v>design.collection.magnetic_dart_projector.in.1</x:v>
      </x:c>
      <x:c r="B1006" s="4" t="str">
        <x:v>design.collection.magnetic_dart_projector</x:v>
      </x:c>
      <x:c r="C1006" s="4" t="str">
        <x:v>Ingredient candidate</x:v>
      </x:c>
      <x:c r="D1006" s="4" t="str">
        <x:v>proposal.lore.iron_winding</x:v>
      </x:c>
      <x:c r="E1006" s="4" t="str">
        <x:f>IFERROR(INDEX('Items'!$B$6:$B$1005,MATCH(D1006,'Items'!$A$6:$A$1005,0)),"MISSING ID")</x:f>
        <x:v>Iron-wound core blank</x:v>
      </x:c>
      <x:c r="F1006" s="4" t="str">
        <x:f>IFERROR(INDEX('Items'!$C$6:$C$1005,MATCH(D1006,'Items'!$A$6:$A$1005,0)),"MISSING ID")</x:f>
        <x:v>T3</x:v>
      </x:c>
      <x:c r="G1006" s="4" t="str">
        <x:f>IFERROR(INDEX('Items'!$D$6:$D$1005,MATCH(D1006,'Items'!$A$6:$A$1005,0)),"MISSING ID")</x:f>
        <x:v>Crafting components</x:v>
      </x:c>
      <x:c r="H1006" s="4" t="str">
        <x:f>IFERROR(INDEX('Items'!$X$6:$X$1005,MATCH(D1006,'Items'!$A$6:$A$1005,0)),"MISSING ID")</x:f>
        <x:v>Crafting component</x:v>
      </x:c>
      <x:c r="I1006" s="4"/>
      <x:c r="J1006" s="4" t="str">
        <x:v>Unspecified</x:v>
      </x:c>
      <x:c r="K1006" s="4" t="str">
        <x:f>IFERROR(INDEX('Crafting recipes'!$D$6:$D$1005,MATCH(B1006,'Crafting recipes'!$A$6:$A$1005,0)),"MISSING ID")</x:f>
        <x:v>Proposal</x:v>
      </x:c>
      <x:c r="L1006" s="4" t="str">
        <x:f>IFERROR(INDEX('Items'!$AD$6:$AD$1005,MATCH(D1006,'Items'!$A$6:$A$1005,0)),"MISSING ID")</x:f>
        <x:v>Proposal</x:v>
      </x:c>
      <x:c r="M1006" s="4" t="str">
        <x:f>IFERROR(INDEX('Crafting recipes'!$E$6:$E$1005,MATCH(B1006,'Crafting recipes'!$A$6:$A$1005,0)),"MISSING ID")</x:f>
        <x:v>Partial proposal</x:v>
      </x:c>
      <x:c r="N1006" s="4" t="str">
        <x:v>Candidate source or part only. Quantity, grade and method remain open.</x:v>
      </x:c>
      <x:c r="O1006" s="4" t="str">
        <x:v>Collection expansion, October 15, 2026. New game proposal.</x:v>
      </x:c>
      <x:c r="P1006" s="4" t="n">
        <x:f>IF(OR(C1006="Ingredient candidate",C1006="Consumed input",C1006="Contained input",C1006="Transform input"),IF(F1006="T0",0,IF(F1006="T1",1,IF(F1006="T2",2,IF(F1006="T3",3,IF(F1006="T4",4,-1))))),-1)</x:f>
        <x:v>3</x:v>
      </x:c>
      <x:c r="Q1006" s="4" t="n">
        <x:f>IF(AND(OR(C1006="Ingredient candidate",C1006="Consumed input",C1006="Contained input",C1006="Transform input"),P1006=-1),1,0)</x:f>
        <x:v>0</x:v>
      </x:c>
    </x:row>
    <x:row r="1007" ht="64" customHeight="1">
      <x:c r="A1007" s="4" t="str">
        <x:v>design.collection.magnetic_dart_projector.in.2</x:v>
      </x:c>
      <x:c r="B1007" s="4" t="str">
        <x:v>design.collection.magnetic_dart_projector</x:v>
      </x:c>
      <x:c r="C1007" s="4" t="str">
        <x:v>Ingredient candidate</x:v>
      </x:c>
      <x:c r="D1007" s="4" t="str">
        <x:v>proposal.ceramic.spacer</x:v>
      </x:c>
      <x:c r="E1007" s="4" t="str">
        <x:f>IFERROR(INDEX('Items'!$B$6:$B$1005,MATCH(D1007,'Items'!$A$6:$A$1005,0)),"MISSING ID")</x:f>
        <x:v>Ceramic insulating spacer</x:v>
      </x:c>
      <x:c r="F1007" s="4" t="str">
        <x:f>IFERROR(INDEX('Items'!$C$6:$C$1005,MATCH(D1007,'Items'!$A$6:$A$1005,0)),"MISSING ID")</x:f>
        <x:v>T3</x:v>
      </x:c>
      <x:c r="G1007" s="4" t="str">
        <x:f>IFERROR(INDEX('Items'!$D$6:$D$1005,MATCH(D1007,'Items'!$A$6:$A$1005,0)),"MISSING ID")</x:f>
        <x:v>Crafting components</x:v>
      </x:c>
      <x:c r="H1007" s="4" t="str">
        <x:f>IFERROR(INDEX('Items'!$X$6:$X$1005,MATCH(D1007,'Items'!$A$6:$A$1005,0)),"MISSING ID")</x:f>
        <x:v>Crafting component</x:v>
      </x:c>
      <x:c r="I1007" s="4"/>
      <x:c r="J1007" s="4" t="str">
        <x:v>Unspecified</x:v>
      </x:c>
      <x:c r="K1007" s="4" t="str">
        <x:f>IFERROR(INDEX('Crafting recipes'!$D$6:$D$1005,MATCH(B1007,'Crafting recipes'!$A$6:$A$1005,0)),"MISSING ID")</x:f>
        <x:v>Proposal</x:v>
      </x:c>
      <x:c r="L1007" s="4" t="str">
        <x:f>IFERROR(INDEX('Items'!$AD$6:$AD$1005,MATCH(D1007,'Items'!$A$6:$A$1005,0)),"MISSING ID")</x:f>
        <x:v>Proposal</x:v>
      </x:c>
      <x:c r="M1007" s="4" t="str">
        <x:f>IFERROR(INDEX('Crafting recipes'!$E$6:$E$1005,MATCH(B1007,'Crafting recipes'!$A$6:$A$1005,0)),"MISSING ID")</x:f>
        <x:v>Partial proposal</x:v>
      </x:c>
      <x:c r="N1007" s="4" t="str">
        <x:v>Candidate source or part only. Quantity, grade and method remain open.</x:v>
      </x:c>
      <x:c r="O1007" s="4" t="str">
        <x:v>Collection expansion, October 15, 2026. New game proposal.</x:v>
      </x:c>
      <x:c r="P1007" s="4" t="n">
        <x:f>IF(OR(C1007="Ingredient candidate",C1007="Consumed input",C1007="Contained input",C1007="Transform input"),IF(F1007="T0",0,IF(F1007="T1",1,IF(F1007="T2",2,IF(F1007="T3",3,IF(F1007="T4",4,-1))))),-1)</x:f>
        <x:v>3</x:v>
      </x:c>
      <x:c r="Q1007" s="4" t="n">
        <x:f>IF(AND(OR(C1007="Ingredient candidate",C1007="Consumed input",C1007="Contained input",C1007="Transform input"),P1007=-1),1,0)</x:f>
        <x:v>0</x:v>
      </x:c>
    </x:row>
    <x:row r="1008" ht="64" customHeight="1">
      <x:c r="A1008" s="4" t="str">
        <x:v>design.collection.magnetic_dart_projector.out</x:v>
      </x:c>
      <x:c r="B1008" s="4" t="str">
        <x:v>design.collection.magnetic_dart_projector</x:v>
      </x:c>
      <x:c r="C1008" s="4" t="str">
        <x:v>Output</x:v>
      </x:c>
      <x:c r="D1008" s="4" t="str">
        <x:v>proposal.collection.magnetic_dart_projector</x:v>
      </x:c>
      <x:c r="E1008" s="4" t="str">
        <x:f>IFERROR(INDEX('Items'!$B$6:$B$1005,MATCH(D1008,'Items'!$A$6:$A$1005,0)),"MISSING ID")</x:f>
        <x:v>Magnetic dart projector</x:v>
      </x:c>
      <x:c r="F1008" s="4" t="str">
        <x:f>IFERROR(INDEX('Items'!$C$6:$C$1005,MATCH(D1008,'Items'!$A$6:$A$1005,0)),"MISSING ID")</x:f>
        <x:v>Not applicable</x:v>
      </x:c>
      <x:c r="G1008" s="4" t="str">
        <x:f>IFERROR(INDEX('Items'!$D$6:$D$1005,MATCH(D1008,'Items'!$A$6:$A$1005,0)),"MISSING ID")</x:f>
        <x:v>Weapons</x:v>
      </x:c>
      <x:c r="H1008" s="4" t="str">
        <x:f>IFERROR(INDEX('Items'!$X$6:$X$1005,MATCH(D1008,'Items'!$A$6:$A$1005,0)),"MISSING ID")</x:f>
        <x:v>Weapon</x:v>
      </x:c>
      <x:c r="I1008" s="4"/>
      <x:c r="J1008" s="4" t="str">
        <x:v>Unspecified</x:v>
      </x:c>
      <x:c r="K1008" s="4" t="str">
        <x:f>IFERROR(INDEX('Crafting recipes'!$D$6:$D$1005,MATCH(B1008,'Crafting recipes'!$A$6:$A$1005,0)),"MISSING ID")</x:f>
        <x:v>Proposal</x:v>
      </x:c>
      <x:c r="L1008" s="4" t="str">
        <x:f>IFERROR(INDEX('Items'!$AD$6:$AD$1005,MATCH(D1008,'Items'!$A$6:$A$1005,0)),"MISSING ID")</x:f>
        <x:v>Proposal</x:v>
      </x:c>
      <x:c r="M1008" s="4" t="str">
        <x:f>IFERROR(INDEX('Crafting recipes'!$E$6:$E$1005,MATCH(B1008,'Crafting recipes'!$A$6:$A$1005,0)),"MISSING ID")</x:f>
        <x:v>Partial proposal</x:v>
      </x:c>
      <x:c r="N1008" s="4" t="str">
        <x:v>Candidate source or part only. Quantity, grade and method remain open.</x:v>
      </x:c>
      <x:c r="O1008" s="4" t="str">
        <x:v>Collection expansion, October 15, 2026. New game proposal.</x:v>
      </x:c>
      <x:c r="P1008" s="4" t="n">
        <x:f>IF(OR(C1008="Ingredient candidate",C1008="Consumed input",C1008="Contained input",C1008="Transform input"),IF(F1008="T0",0,IF(F1008="T1",1,IF(F1008="T2",2,IF(F1008="T3",3,IF(F1008="T4",4,-1))))),-1)</x:f>
        <x:v>-1</x:v>
      </x:c>
      <x:c r="Q1008" s="4" t="n">
        <x:f>IF(AND(OR(C1008="Ingredient candidate",C1008="Consumed input",C1008="Contained input",C1008="Transform input"),P1008=-1),1,0)</x:f>
        <x:v>0</x:v>
      </x:c>
    </x:row>
    <x:row r="1009" ht="64" customHeight="1">
      <x:c r="A1009" s="4" t="str">
        <x:v>design.collection.coil_slug_carbine.in.1</x:v>
      </x:c>
      <x:c r="B1009" s="4" t="str">
        <x:v>design.collection.coil_slug_carbine</x:v>
      </x:c>
      <x:c r="C1009" s="4" t="str">
        <x:v>Ingredient candidate</x:v>
      </x:c>
      <x:c r="D1009" s="4" t="str">
        <x:v>proposal.lore.iron_winding</x:v>
      </x:c>
      <x:c r="E1009" s="4" t="str">
        <x:f>IFERROR(INDEX('Items'!$B$6:$B$1005,MATCH(D1009,'Items'!$A$6:$A$1005,0)),"MISSING ID")</x:f>
        <x:v>Iron-wound core blank</x:v>
      </x:c>
      <x:c r="F1009" s="4" t="str">
        <x:f>IFERROR(INDEX('Items'!$C$6:$C$1005,MATCH(D1009,'Items'!$A$6:$A$1005,0)),"MISSING ID")</x:f>
        <x:v>T3</x:v>
      </x:c>
      <x:c r="G1009" s="4" t="str">
        <x:f>IFERROR(INDEX('Items'!$D$6:$D$1005,MATCH(D1009,'Items'!$A$6:$A$1005,0)),"MISSING ID")</x:f>
        <x:v>Crafting components</x:v>
      </x:c>
      <x:c r="H1009" s="4" t="str">
        <x:f>IFERROR(INDEX('Items'!$X$6:$X$1005,MATCH(D1009,'Items'!$A$6:$A$1005,0)),"MISSING ID")</x:f>
        <x:v>Crafting component</x:v>
      </x:c>
      <x:c r="I1009" s="4"/>
      <x:c r="J1009" s="4" t="str">
        <x:v>Unspecified</x:v>
      </x:c>
      <x:c r="K1009" s="4" t="str">
        <x:f>IFERROR(INDEX('Crafting recipes'!$D$6:$D$1005,MATCH(B1009,'Crafting recipes'!$A$6:$A$1005,0)),"MISSING ID")</x:f>
        <x:v>Proposal</x:v>
      </x:c>
      <x:c r="L1009" s="4" t="str">
        <x:f>IFERROR(INDEX('Items'!$AD$6:$AD$1005,MATCH(D1009,'Items'!$A$6:$A$1005,0)),"MISSING ID")</x:f>
        <x:v>Proposal</x:v>
      </x:c>
      <x:c r="M1009" s="4" t="str">
        <x:f>IFERROR(INDEX('Crafting recipes'!$E$6:$E$1005,MATCH(B1009,'Crafting recipes'!$A$6:$A$1005,0)),"MISSING ID")</x:f>
        <x:v>Partial proposal</x:v>
      </x:c>
      <x:c r="N1009" s="4" t="str">
        <x:v>Candidate source or part only. Quantity, grade and method remain open.</x:v>
      </x:c>
      <x:c r="O1009" s="4" t="str">
        <x:v>Collection expansion, October 15, 2026. New game proposal.</x:v>
      </x:c>
      <x:c r="P1009" s="4" t="n">
        <x:f>IF(OR(C1009="Ingredient candidate",C1009="Consumed input",C1009="Contained input",C1009="Transform input"),IF(F1009="T0",0,IF(F1009="T1",1,IF(F1009="T2",2,IF(F1009="T3",3,IF(F1009="T4",4,-1))))),-1)</x:f>
        <x:v>3</x:v>
      </x:c>
      <x:c r="Q1009" s="4" t="n">
        <x:f>IF(AND(OR(C1009="Ingredient candidate",C1009="Consumed input",C1009="Contained input",C1009="Transform input"),P1009=-1),1,0)</x:f>
        <x:v>0</x:v>
      </x:c>
    </x:row>
    <x:row r="1010" ht="64" customHeight="1">
      <x:c r="A1010" s="4" t="str">
        <x:v>design.collection.coil_slug_carbine.in.2</x:v>
      </x:c>
      <x:c r="B1010" s="4" t="str">
        <x:v>design.collection.coil_slug_carbine</x:v>
      </x:c>
      <x:c r="C1010" s="4" t="str">
        <x:v>Ingredient candidate</x:v>
      </x:c>
      <x:c r="D1010" s="4" t="str">
        <x:v>proposal.t3.precision_tube</x:v>
      </x:c>
      <x:c r="E1010" s="4" t="str">
        <x:f>IFERROR(INDEX('Items'!$B$6:$B$1005,MATCH(D1010,'Items'!$A$6:$A$1005,0)),"MISSING ID")</x:f>
        <x:v>Drawn steel tube stock</x:v>
      </x:c>
      <x:c r="F1010" s="4" t="str">
        <x:f>IFERROR(INDEX('Items'!$C$6:$C$1005,MATCH(D1010,'Items'!$A$6:$A$1005,0)),"MISSING ID")</x:f>
        <x:v>T3</x:v>
      </x:c>
      <x:c r="G1010" s="4" t="str">
        <x:f>IFERROR(INDEX('Items'!$D$6:$D$1005,MATCH(D1010,'Items'!$A$6:$A$1005,0)),"MISSING ID")</x:f>
        <x:v>Manufactured stock</x:v>
      </x:c>
      <x:c r="H1010" s="4" t="str">
        <x:f>IFERROR(INDEX('Items'!$X$6:$X$1005,MATCH(D1010,'Items'!$A$6:$A$1005,0)),"MISSING ID")</x:f>
        <x:v>Processed material</x:v>
      </x:c>
      <x:c r="I1010" s="4"/>
      <x:c r="J1010" s="4" t="str">
        <x:v>Unspecified</x:v>
      </x:c>
      <x:c r="K1010" s="4" t="str">
        <x:f>IFERROR(INDEX('Crafting recipes'!$D$6:$D$1005,MATCH(B1010,'Crafting recipes'!$A$6:$A$1005,0)),"MISSING ID")</x:f>
        <x:v>Proposal</x:v>
      </x:c>
      <x:c r="L1010" s="4" t="str">
        <x:f>IFERROR(INDEX('Items'!$AD$6:$AD$1005,MATCH(D1010,'Items'!$A$6:$A$1005,0)),"MISSING ID")</x:f>
        <x:v>Proposal</x:v>
      </x:c>
      <x:c r="M1010" s="4" t="str">
        <x:f>IFERROR(INDEX('Crafting recipes'!$E$6:$E$1005,MATCH(B1010,'Crafting recipes'!$A$6:$A$1005,0)),"MISSING ID")</x:f>
        <x:v>Partial proposal</x:v>
      </x:c>
      <x:c r="N1010" s="4" t="str">
        <x:v>Candidate source or part only. Quantity, grade and method remain open.</x:v>
      </x:c>
      <x:c r="O1010" s="4" t="str">
        <x:v>Collection expansion, October 15, 2026. New game proposal.</x:v>
      </x:c>
      <x:c r="P1010" s="4" t="n">
        <x:f>IF(OR(C1010="Ingredient candidate",C1010="Consumed input",C1010="Contained input",C1010="Transform input"),IF(F1010="T0",0,IF(F1010="T1",1,IF(F1010="T2",2,IF(F1010="T3",3,IF(F1010="T4",4,-1))))),-1)</x:f>
        <x:v>3</x:v>
      </x:c>
      <x:c r="Q1010" s="4" t="n">
        <x:f>IF(AND(OR(C1010="Ingredient candidate",C1010="Consumed input",C1010="Contained input",C1010="Transform input"),P1010=-1),1,0)</x:f>
        <x:v>0</x:v>
      </x:c>
    </x:row>
    <x:row r="1011" ht="64" customHeight="1">
      <x:c r="A1011" s="4" t="str">
        <x:v>design.collection.coil_slug_carbine.in.3</x:v>
      </x:c>
      <x:c r="B1011" s="4" t="str">
        <x:v>design.collection.coil_slug_carbine</x:v>
      </x:c>
      <x:c r="C1011" s="4" t="str">
        <x:v>Ingredient candidate</x:v>
      </x:c>
      <x:c r="D1011" s="4" t="str">
        <x:v>proposal.ceramic.spacer</x:v>
      </x:c>
      <x:c r="E1011" s="4" t="str">
        <x:f>IFERROR(INDEX('Items'!$B$6:$B$1005,MATCH(D1011,'Items'!$A$6:$A$1005,0)),"MISSING ID")</x:f>
        <x:v>Ceramic insulating spacer</x:v>
      </x:c>
      <x:c r="F1011" s="4" t="str">
        <x:f>IFERROR(INDEX('Items'!$C$6:$C$1005,MATCH(D1011,'Items'!$A$6:$A$1005,0)),"MISSING ID")</x:f>
        <x:v>T3</x:v>
      </x:c>
      <x:c r="G1011" s="4" t="str">
        <x:f>IFERROR(INDEX('Items'!$D$6:$D$1005,MATCH(D1011,'Items'!$A$6:$A$1005,0)),"MISSING ID")</x:f>
        <x:v>Crafting components</x:v>
      </x:c>
      <x:c r="H1011" s="4" t="str">
        <x:f>IFERROR(INDEX('Items'!$X$6:$X$1005,MATCH(D1011,'Items'!$A$6:$A$1005,0)),"MISSING ID")</x:f>
        <x:v>Crafting component</x:v>
      </x:c>
      <x:c r="I1011" s="4"/>
      <x:c r="J1011" s="4" t="str">
        <x:v>Unspecified</x:v>
      </x:c>
      <x:c r="K1011" s="4" t="str">
        <x:f>IFERROR(INDEX('Crafting recipes'!$D$6:$D$1005,MATCH(B1011,'Crafting recipes'!$A$6:$A$1005,0)),"MISSING ID")</x:f>
        <x:v>Proposal</x:v>
      </x:c>
      <x:c r="L1011" s="4" t="str">
        <x:f>IFERROR(INDEX('Items'!$AD$6:$AD$1005,MATCH(D1011,'Items'!$A$6:$A$1005,0)),"MISSING ID")</x:f>
        <x:v>Proposal</x:v>
      </x:c>
      <x:c r="M1011" s="4" t="str">
        <x:f>IFERROR(INDEX('Crafting recipes'!$E$6:$E$1005,MATCH(B1011,'Crafting recipes'!$A$6:$A$1005,0)),"MISSING ID")</x:f>
        <x:v>Partial proposal</x:v>
      </x:c>
      <x:c r="N1011" s="4" t="str">
        <x:v>Candidate source or part only. Quantity, grade and method remain open.</x:v>
      </x:c>
      <x:c r="O1011" s="4" t="str">
        <x:v>Collection expansion, October 15, 2026. New game proposal.</x:v>
      </x:c>
      <x:c r="P1011" s="4" t="n">
        <x:f>IF(OR(C1011="Ingredient candidate",C1011="Consumed input",C1011="Contained input",C1011="Transform input"),IF(F1011="T0",0,IF(F1011="T1",1,IF(F1011="T2",2,IF(F1011="T3",3,IF(F1011="T4",4,-1))))),-1)</x:f>
        <x:v>3</x:v>
      </x:c>
      <x:c r="Q1011" s="4" t="n">
        <x:f>IF(AND(OR(C1011="Ingredient candidate",C1011="Consumed input",C1011="Contained input",C1011="Transform input"),P1011=-1),1,0)</x:f>
        <x:v>0</x:v>
      </x:c>
    </x:row>
    <x:row r="1012" ht="64" customHeight="1">
      <x:c r="A1012" s="4" t="str">
        <x:v>design.collection.coil_slug_carbine.out</x:v>
      </x:c>
      <x:c r="B1012" s="4" t="str">
        <x:v>design.collection.coil_slug_carbine</x:v>
      </x:c>
      <x:c r="C1012" s="4" t="str">
        <x:v>Output</x:v>
      </x:c>
      <x:c r="D1012" s="4" t="str">
        <x:v>proposal.collection.coil_slug_carbine</x:v>
      </x:c>
      <x:c r="E1012" s="4" t="str">
        <x:f>IFERROR(INDEX('Items'!$B$6:$B$1005,MATCH(D1012,'Items'!$A$6:$A$1005,0)),"MISSING ID")</x:f>
        <x:v>Coil slug carbine</x:v>
      </x:c>
      <x:c r="F1012" s="4" t="str">
        <x:f>IFERROR(INDEX('Items'!$C$6:$C$1005,MATCH(D1012,'Items'!$A$6:$A$1005,0)),"MISSING ID")</x:f>
        <x:v>Not applicable</x:v>
      </x:c>
      <x:c r="G1012" s="4" t="str">
        <x:f>IFERROR(INDEX('Items'!$D$6:$D$1005,MATCH(D1012,'Items'!$A$6:$A$1005,0)),"MISSING ID")</x:f>
        <x:v>Weapons</x:v>
      </x:c>
      <x:c r="H1012" s="4" t="str">
        <x:f>IFERROR(INDEX('Items'!$X$6:$X$1005,MATCH(D1012,'Items'!$A$6:$A$1005,0)),"MISSING ID")</x:f>
        <x:v>Weapon</x:v>
      </x:c>
      <x:c r="I1012" s="4"/>
      <x:c r="J1012" s="4" t="str">
        <x:v>Unspecified</x:v>
      </x:c>
      <x:c r="K1012" s="4" t="str">
        <x:f>IFERROR(INDEX('Crafting recipes'!$D$6:$D$1005,MATCH(B1012,'Crafting recipes'!$A$6:$A$1005,0)),"MISSING ID")</x:f>
        <x:v>Proposal</x:v>
      </x:c>
      <x:c r="L1012" s="4" t="str">
        <x:f>IFERROR(INDEX('Items'!$AD$6:$AD$1005,MATCH(D1012,'Items'!$A$6:$A$1005,0)),"MISSING ID")</x:f>
        <x:v>Proposal</x:v>
      </x:c>
      <x:c r="M1012" s="4" t="str">
        <x:f>IFERROR(INDEX('Crafting recipes'!$E$6:$E$1005,MATCH(B1012,'Crafting recipes'!$A$6:$A$1005,0)),"MISSING ID")</x:f>
        <x:v>Partial proposal</x:v>
      </x:c>
      <x:c r="N1012" s="4" t="str">
        <x:v>Candidate source or part only. Quantity, grade and method remain open.</x:v>
      </x:c>
      <x:c r="O1012" s="4" t="str">
        <x:v>Collection expansion, October 15, 2026. New game proposal.</x:v>
      </x:c>
      <x:c r="P1012" s="4" t="n">
        <x:f>IF(OR(C1012="Ingredient candidate",C1012="Consumed input",C1012="Contained input",C1012="Transform input"),IF(F1012="T0",0,IF(F1012="T1",1,IF(F1012="T2",2,IF(F1012="T3",3,IF(F1012="T4",4,-1))))),-1)</x:f>
        <x:v>-1</x:v>
      </x:c>
      <x:c r="Q1012" s="4" t="n">
        <x:f>IF(AND(OR(C1012="Ingredient candidate",C1012="Consumed input",C1012="Contained input",C1012="Transform input"),P1012=-1),1,0)</x:f>
        <x:v>0</x:v>
      </x:c>
    </x:row>
    <x:row r="1013" ht="64" customHeight="1">
      <x:c r="A1013" s="4"/>
      <x:c r="B1013" s="4"/>
      <x:c r="C1013" s="4"/>
      <x:c r="D1013" s="4"/>
      <x:c r="E1013" s="4"/>
      <x:c r="F1013" s="4"/>
      <x:c r="G1013" s="4"/>
      <x:c r="H1013" s="4"/>
      <x:c r="I1013" s="4"/>
      <x:c r="J1013" s="4"/>
      <x:c r="K1013" s="4"/>
      <x:c r="L1013" s="4"/>
      <x:c r="M1013" s="4"/>
      <x:c r="N1013" s="4"/>
      <x:c r="O1013" s="4"/>
      <x:c r="P1013" s="4"/>
      <x:c r="Q1013" s="4"/>
    </x:row>
    <x:row r="1014" ht="64" customHeight="1">
      <x:c r="A1014" s="4"/>
      <x:c r="B1014" s="4"/>
      <x:c r="C1014" s="4"/>
      <x:c r="D1014" s="4"/>
      <x:c r="E1014" s="4"/>
      <x:c r="F1014" s="4"/>
      <x:c r="G1014" s="4"/>
      <x:c r="H1014" s="4"/>
      <x:c r="I1014" s="4"/>
      <x:c r="J1014" s="4"/>
      <x:c r="K1014" s="4"/>
      <x:c r="L1014" s="4"/>
      <x:c r="M1014" s="4"/>
      <x:c r="N1014" s="4"/>
      <x:c r="O1014" s="4"/>
      <x:c r="P1014" s="4"/>
      <x:c r="Q1014" s="4"/>
    </x:row>
    <x:row r="1015" ht="64" customHeight="1">
      <x:c r="A1015" s="4"/>
      <x:c r="B1015" s="4"/>
      <x:c r="C1015" s="4"/>
      <x:c r="D1015" s="4"/>
      <x:c r="E1015" s="4"/>
      <x:c r="F1015" s="4"/>
      <x:c r="G1015" s="4"/>
      <x:c r="H1015" s="4"/>
      <x:c r="I1015" s="4"/>
      <x:c r="J1015" s="4"/>
      <x:c r="K1015" s="4"/>
      <x:c r="L1015" s="4"/>
      <x:c r="M1015" s="4"/>
      <x:c r="N1015" s="4"/>
      <x:c r="O1015" s="4"/>
      <x:c r="P1015" s="4"/>
      <x:c r="Q1015" s="4"/>
    </x:row>
    <x:row r="1016" ht="64" customHeight="1">
      <x:c r="A1016" s="4"/>
      <x:c r="B1016" s="4"/>
      <x:c r="C1016" s="4"/>
      <x:c r="D1016" s="4"/>
      <x:c r="E1016" s="4"/>
      <x:c r="F1016" s="4"/>
      <x:c r="G1016" s="4"/>
      <x:c r="H1016" s="4"/>
      <x:c r="I1016" s="4"/>
      <x:c r="J1016" s="4"/>
      <x:c r="K1016" s="4"/>
      <x:c r="L1016" s="4"/>
      <x:c r="M1016" s="4"/>
      <x:c r="N1016" s="4"/>
      <x:c r="O1016" s="4"/>
      <x:c r="P1016" s="4"/>
      <x:c r="Q1016" s="4"/>
    </x:row>
    <x:row r="1017" ht="64" customHeight="1">
      <x:c r="A1017" s="4"/>
      <x:c r="B1017" s="4"/>
      <x:c r="C1017" s="4"/>
      <x:c r="D1017" s="4"/>
      <x:c r="E1017" s="4"/>
      <x:c r="F1017" s="4"/>
      <x:c r="G1017" s="4"/>
      <x:c r="H1017" s="4"/>
      <x:c r="I1017" s="4"/>
      <x:c r="J1017" s="4"/>
      <x:c r="K1017" s="4"/>
      <x:c r="L1017" s="4"/>
      <x:c r="M1017" s="4"/>
      <x:c r="N1017" s="4"/>
      <x:c r="O1017" s="4"/>
      <x:c r="P1017" s="4"/>
      <x:c r="Q1017" s="4"/>
    </x:row>
    <x:row r="1018" ht="64" customHeight="1">
      <x:c r="A1018" s="4"/>
      <x:c r="B1018" s="4"/>
      <x:c r="C1018" s="4"/>
      <x:c r="D1018" s="4"/>
      <x:c r="E1018" s="4"/>
      <x:c r="F1018" s="4"/>
      <x:c r="G1018" s="4"/>
      <x:c r="H1018" s="4"/>
      <x:c r="I1018" s="4"/>
      <x:c r="J1018" s="4"/>
      <x:c r="K1018" s="4"/>
      <x:c r="L1018" s="4"/>
      <x:c r="M1018" s="4"/>
      <x:c r="N1018" s="4"/>
      <x:c r="O1018" s="4"/>
      <x:c r="P1018" s="4"/>
      <x:c r="Q1018" s="4"/>
    </x:row>
    <x:row r="1019" ht="64" customHeight="1">
      <x:c r="A1019" s="4"/>
      <x:c r="B1019" s="4"/>
      <x:c r="C1019" s="4"/>
      <x:c r="D1019" s="4"/>
      <x:c r="E1019" s="4"/>
      <x:c r="F1019" s="4"/>
      <x:c r="G1019" s="4"/>
      <x:c r="H1019" s="4"/>
      <x:c r="I1019" s="4"/>
      <x:c r="J1019" s="4"/>
      <x:c r="K1019" s="4"/>
      <x:c r="L1019" s="4"/>
      <x:c r="M1019" s="4"/>
      <x:c r="N1019" s="4"/>
      <x:c r="O1019" s="4"/>
      <x:c r="P1019" s="4"/>
      <x:c r="Q1019" s="4"/>
    </x:row>
    <x:row r="1020" ht="64" customHeight="1">
      <x:c r="A1020" s="4"/>
      <x:c r="B1020" s="4"/>
      <x:c r="C1020" s="4"/>
      <x:c r="D1020" s="4"/>
      <x:c r="E1020" s="4"/>
      <x:c r="F1020" s="4"/>
      <x:c r="G1020" s="4"/>
      <x:c r="H1020" s="4"/>
      <x:c r="I1020" s="4"/>
      <x:c r="J1020" s="4"/>
      <x:c r="K1020" s="4"/>
      <x:c r="L1020" s="4"/>
      <x:c r="M1020" s="4"/>
      <x:c r="N1020" s="4"/>
      <x:c r="O1020" s="4"/>
      <x:c r="P1020" s="4"/>
      <x:c r="Q1020" s="4"/>
    </x:row>
    <x:row r="1021" ht="64" customHeight="1">
      <x:c r="A1021" s="4"/>
      <x:c r="B1021" s="4"/>
      <x:c r="C1021" s="4"/>
      <x:c r="D1021" s="4"/>
      <x:c r="E1021" s="4"/>
      <x:c r="F1021" s="4"/>
      <x:c r="G1021" s="4"/>
      <x:c r="H1021" s="4"/>
      <x:c r="I1021" s="4"/>
      <x:c r="K1021" s="4"/>
      <x:c r="L1021" s="4"/>
      <x:c r="M1021" s="4"/>
      <x:c r="N1021" s="4"/>
      <x:c r="O1021" s="4"/>
      <x:c r="P1021" s="4"/>
      <x:c r="Q1021" s="4"/>
    </x:row>
    <x:row r="1022" ht="64" customHeight="1">
      <x:c r="A1022" s="4"/>
      <x:c r="B1022" s="4"/>
      <x:c r="C1022" s="4"/>
      <x:c r="D1022" s="4"/>
      <x:c r="E1022" s="4"/>
      <x:c r="F1022" s="4"/>
      <x:c r="G1022" s="4"/>
      <x:c r="H1022" s="4"/>
      <x:c r="I1022" s="4"/>
      <x:c r="K1022" s="4"/>
      <x:c r="L1022" s="4"/>
      <x:c r="M1022" s="4"/>
      <x:c r="N1022" s="4"/>
      <x:c r="O1022" s="4"/>
      <x:c r="P1022" s="4"/>
      <x:c r="Q1022" s="4"/>
    </x:row>
    <x:row r="1023" ht="64" customHeight="1">
      <x:c r="A1023" s="4"/>
      <x:c r="B1023" s="4"/>
      <x:c r="C1023" s="4"/>
      <x:c r="D1023" s="4"/>
      <x:c r="E1023" s="4"/>
      <x:c r="F1023" s="4"/>
      <x:c r="G1023" s="4"/>
      <x:c r="H1023" s="4"/>
      <x:c r="I1023" s="4"/>
      <x:c r="J1023" s="4"/>
      <x:c r="K1023" s="4"/>
      <x:c r="L1023" s="4"/>
      <x:c r="M1023" s="4"/>
      <x:c r="N1023" s="4"/>
      <x:c r="O1023" s="4"/>
      <x:c r="P1023" s="4"/>
      <x:c r="Q1023" s="4"/>
    </x:row>
    <x:row r="1024" ht="64" customHeight="1">
      <x:c r="A1024" s="4"/>
      <x:c r="B1024" s="4"/>
      <x:c r="C1024" s="4"/>
      <x:c r="D1024" s="4"/>
      <x:c r="E1024" s="4"/>
      <x:c r="F1024" s="4"/>
      <x:c r="G1024" s="4"/>
      <x:c r="H1024" s="4"/>
      <x:c r="I1024" s="4"/>
      <x:c r="J1024" s="4"/>
      <x:c r="K1024" s="4"/>
      <x:c r="L1024" s="4"/>
      <x:c r="M1024" s="4"/>
      <x:c r="N1024" s="4"/>
      <x:c r="O1024" s="4"/>
      <x:c r="P1024" s="4"/>
      <x:c r="Q1024" s="4"/>
    </x:row>
    <x:row r="1025" ht="64" customHeight="1">
      <x:c r="A1025" s="4"/>
      <x:c r="B1025" s="4"/>
      <x:c r="C1025" s="4"/>
      <x:c r="D1025" s="4"/>
      <x:c r="E1025" s="4"/>
      <x:c r="F1025" s="4"/>
      <x:c r="G1025" s="4"/>
      <x:c r="H1025" s="4"/>
      <x:c r="I1025" s="4"/>
      <x:c r="J1025" s="4"/>
      <x:c r="K1025" s="4"/>
      <x:c r="L1025" s="4"/>
      <x:c r="M1025" s="4"/>
      <x:c r="N1025" s="4"/>
      <x:c r="O1025" s="4"/>
      <x:c r="P1025" s="4"/>
      <x:c r="Q1025" s="4"/>
    </x:row>
    <x:row r="1026" ht="64" customHeight="1">
      <x:c r="A1026" s="4"/>
      <x:c r="B1026" s="4"/>
      <x:c r="C1026" s="4"/>
      <x:c r="D1026" s="4"/>
      <x:c r="E1026" s="4"/>
      <x:c r="F1026" s="4"/>
      <x:c r="G1026" s="4"/>
      <x:c r="H1026" s="4"/>
      <x:c r="I1026" s="4"/>
      <x:c r="J1026" s="4"/>
      <x:c r="K1026" s="4"/>
      <x:c r="L1026" s="4"/>
      <x:c r="M1026" s="4"/>
      <x:c r="N1026" s="4"/>
      <x:c r="O1026" s="4"/>
      <x:c r="P1026" s="4"/>
      <x:c r="Q1026" s="4"/>
    </x:row>
    <x:row r="1027" ht="64" customHeight="1">
      <x:c r="A1027" s="4" t="str">
        <x:v>design.collection.reduced_culinary_phagia_concentrate.in.1</x:v>
      </x:c>
      <x:c r="B1027" s="4" t="str">
        <x:v>design.collection.reduced_culinary_phagia_concentrate</x:v>
      </x:c>
      <x:c r="C1027" s="4" t="str">
        <x:v>Ingredient candidate</x:v>
      </x:c>
      <x:c r="D1027" s="4" t="str">
        <x:v>proposal.collection.culinary_phagia_liquid_fraction</x:v>
      </x:c>
      <x:c r="E1027" s="4" t="str">
        <x:f>IFERROR(INDEX('Items'!$B$6:$B$1005,MATCH(D1027,'Items'!$A$6:$A$1005,0)),"MISSING ID")</x:f>
        <x:v>Culinary Phagia liquid fraction</x:v>
      </x:c>
      <x:c r="F1027" s="4" t="str">
        <x:f>IFERROR(INDEX('Items'!$C$6:$C$1005,MATCH(D1027,'Items'!$A$6:$A$1005,0)),"MISSING ID")</x:f>
        <x:v>T1</x:v>
      </x:c>
      <x:c r="G1027" s="4" t="str">
        <x:f>IFERROR(INDEX('Items'!$D$6:$D$1005,MATCH(D1027,'Items'!$A$6:$A$1005,0)),"MISSING ID")</x:f>
        <x:v>Cooking ingredients</x:v>
      </x:c>
      <x:c r="H1027" s="4" t="str">
        <x:f>IFERROR(INDEX('Items'!$X$6:$X$1005,MATCH(D1027,'Items'!$A$6:$A$1005,0)),"MISSING ID")</x:f>
        <x:v>Food material</x:v>
      </x:c>
      <x:c r="I1027" s="4"/>
      <x:c r="J1027" s="4" t="str">
        <x:v>Unspecified</x:v>
      </x:c>
      <x:c r="K1027" s="4" t="str">
        <x:f>IFERROR(INDEX('Crafting recipes'!$D$6:$D$1005,MATCH(B1027,'Crafting recipes'!$A$6:$A$1005,0)),"MISSING ID")</x:f>
        <x:v>Proposal</x:v>
      </x:c>
      <x:c r="L1027" s="4" t="str">
        <x:f>IFERROR(INDEX('Items'!$AD$6:$AD$1005,MATCH(D1027,'Items'!$A$6:$A$1005,0)),"MISSING ID")</x:f>
        <x:v>Proposal</x:v>
      </x:c>
      <x:c r="M1027" s="4" t="str">
        <x:f>IFERROR(INDEX('Crafting recipes'!$E$6:$E$1005,MATCH(B1027,'Crafting recipes'!$A$6:$A$1005,0)),"MISSING ID")</x:f>
        <x:v>Partial proposal</x:v>
      </x:c>
      <x:c r="N1027" s="4" t="str">
        <x:v>Candidate source or part only. Quantity, grade and method remain open.</x:v>
      </x:c>
      <x:c r="O1027" s="4" t="str">
        <x:v>Collection expansion, October 15, 2026. New game proposal.</x:v>
      </x:c>
      <x:c r="P1027" s="4" t="n">
        <x:f>IF(OR(C1027="Ingredient candidate",C1027="Consumed input",C1027="Contained input",C1027="Transform input"),IF(F1027="T0",0,IF(F1027="T1",1,IF(F1027="T2",2,IF(F1027="T3",3,IF(F1027="T4",4,-1))))),-1)</x:f>
        <x:v>1</x:v>
      </x:c>
      <x:c r="Q1027" s="4" t="n">
        <x:f>IF(AND(OR(C1027="Ingredient candidate",C1027="Consumed input",C1027="Contained input",C1027="Transform input"),P1027=-1),1,0)</x:f>
        <x:v>0</x:v>
      </x:c>
    </x:row>
    <x:row r="1028" ht="64" customHeight="1">
      <x:c r="A1028" s="4" t="str">
        <x:v>design.collection.reduced_culinary_phagia_concentrate.out</x:v>
      </x:c>
      <x:c r="B1028" s="4" t="str">
        <x:v>design.collection.reduced_culinary_phagia_concentrate</x:v>
      </x:c>
      <x:c r="C1028" s="4" t="str">
        <x:v>Output</x:v>
      </x:c>
      <x:c r="D1028" s="4" t="str">
        <x:v>proposal.collection.reduced_culinary_phagia_concentrate</x:v>
      </x:c>
      <x:c r="E1028" s="4" t="str">
        <x:f>IFERROR(INDEX('Items'!$B$6:$B$1005,MATCH(D1028,'Items'!$A$6:$A$1005,0)),"MISSING ID")</x:f>
        <x:v>Reduced culinary Phagia concentrate</x:v>
      </x:c>
      <x:c r="F1028" s="4" t="str">
        <x:f>IFERROR(INDEX('Items'!$C$6:$C$1005,MATCH(D1028,'Items'!$A$6:$A$1005,0)),"MISSING ID")</x:f>
        <x:v>T2</x:v>
      </x:c>
      <x:c r="G1028" s="4" t="str">
        <x:f>IFERROR(INDEX('Items'!$D$6:$D$1005,MATCH(D1028,'Items'!$A$6:$A$1005,0)),"MISSING ID")</x:f>
        <x:v>Cooking ingredients</x:v>
      </x:c>
      <x:c r="H1028" s="4" t="str">
        <x:f>IFERROR(INDEX('Items'!$X$6:$X$1005,MATCH(D1028,'Items'!$A$6:$A$1005,0)),"MISSING ID")</x:f>
        <x:v>Food material</x:v>
      </x:c>
      <x:c r="I1028" s="4"/>
      <x:c r="J1028" s="4" t="str">
        <x:v>Unspecified</x:v>
      </x:c>
      <x:c r="K1028" s="4" t="str">
        <x:f>IFERROR(INDEX('Crafting recipes'!$D$6:$D$1005,MATCH(B1028,'Crafting recipes'!$A$6:$A$1005,0)),"MISSING ID")</x:f>
        <x:v>Proposal</x:v>
      </x:c>
      <x:c r="L1028" s="4" t="str">
        <x:f>IFERROR(INDEX('Items'!$AD$6:$AD$1005,MATCH(D1028,'Items'!$A$6:$A$1005,0)),"MISSING ID")</x:f>
        <x:v>Proposal</x:v>
      </x:c>
      <x:c r="M1028" s="4" t="str">
        <x:f>IFERROR(INDEX('Crafting recipes'!$E$6:$E$1005,MATCH(B1028,'Crafting recipes'!$A$6:$A$1005,0)),"MISSING ID")</x:f>
        <x:v>Partial proposal</x:v>
      </x:c>
      <x:c r="N1028" s="4" t="str">
        <x:v>Candidate source or part only. Quantity, grade and method remain open.</x:v>
      </x:c>
      <x:c r="O1028" s="4" t="str">
        <x:v>Collection expansion, October 15, 2026. New game proposal.</x:v>
      </x:c>
      <x:c r="P1028" s="4" t="n">
        <x:f>IF(OR(C1028="Ingredient candidate",C1028="Consumed input",C1028="Contained input",C1028="Transform input"),IF(F1028="T0",0,IF(F1028="T1",1,IF(F1028="T2",2,IF(F1028="T3",3,IF(F1028="T4",4,-1))))),-1)</x:f>
        <x:v>-1</x:v>
      </x:c>
      <x:c r="Q1028" s="4" t="n">
        <x:f>IF(AND(OR(C1028="Ingredient candidate",C1028="Consumed input",C1028="Contained input",C1028="Transform input"),P1028=-1),1,0)</x:f>
        <x:v>0</x:v>
      </x:c>
    </x:row>
    <x:row r="1029" ht="64" customHeight="1">
      <x:c r="A1029" s="4" t="str">
        <x:v>design.collection.aerated_culinary_phagia_curd.in.1</x:v>
      </x:c>
      <x:c r="B1029" s="4" t="str">
        <x:v>design.collection.aerated_culinary_phagia_curd</x:v>
      </x:c>
      <x:c r="C1029" s="4" t="str">
        <x:v>Ingredient candidate</x:v>
      </x:c>
      <x:c r="D1029" s="4" t="str">
        <x:v>proposal.collection.drained_culinary_phagia_curd</x:v>
      </x:c>
      <x:c r="E1029" s="4" t="str">
        <x:f>IFERROR(INDEX('Items'!$B$6:$B$1005,MATCH(D1029,'Items'!$A$6:$A$1005,0)),"MISSING ID")</x:f>
        <x:v>Drained culinary Phagia curd</x:v>
      </x:c>
      <x:c r="F1029" s="4" t="str">
        <x:f>IFERROR(INDEX('Items'!$C$6:$C$1005,MATCH(D1029,'Items'!$A$6:$A$1005,0)),"MISSING ID")</x:f>
        <x:v>T1</x:v>
      </x:c>
      <x:c r="G1029" s="4" t="str">
        <x:f>IFERROR(INDEX('Items'!$D$6:$D$1005,MATCH(D1029,'Items'!$A$6:$A$1005,0)),"MISSING ID")</x:f>
        <x:v>Cooking ingredients</x:v>
      </x:c>
      <x:c r="H1029" s="4" t="str">
        <x:f>IFERROR(INDEX('Items'!$X$6:$X$1005,MATCH(D1029,'Items'!$A$6:$A$1005,0)),"MISSING ID")</x:f>
        <x:v>Food material</x:v>
      </x:c>
      <x:c r="I1029" s="4"/>
      <x:c r="J1029" s="4" t="str">
        <x:v>Unspecified</x:v>
      </x:c>
      <x:c r="K1029" s="4" t="str">
        <x:f>IFERROR(INDEX('Crafting recipes'!$D$6:$D$1005,MATCH(B1029,'Crafting recipes'!$A$6:$A$1005,0)),"MISSING ID")</x:f>
        <x:v>Proposal</x:v>
      </x:c>
      <x:c r="L1029" s="4" t="str">
        <x:f>IFERROR(INDEX('Items'!$AD$6:$AD$1005,MATCH(D1029,'Items'!$A$6:$A$1005,0)),"MISSING ID")</x:f>
        <x:v>Proposal</x:v>
      </x:c>
      <x:c r="M1029" s="4" t="str">
        <x:f>IFERROR(INDEX('Crafting recipes'!$E$6:$E$1005,MATCH(B1029,'Crafting recipes'!$A$6:$A$1005,0)),"MISSING ID")</x:f>
        <x:v>Partial proposal</x:v>
      </x:c>
      <x:c r="N1029" s="4" t="str">
        <x:v>Candidate source or part only. Quantity, grade and method remain open.</x:v>
      </x:c>
      <x:c r="O1029" s="4" t="str">
        <x:v>Collection expansion, October 15, 2026. New game proposal.</x:v>
      </x:c>
      <x:c r="P1029" s="4" t="n">
        <x:f>IF(OR(C1029="Ingredient candidate",C1029="Consumed input",C1029="Contained input",C1029="Transform input"),IF(F1029="T0",0,IF(F1029="T1",1,IF(F1029="T2",2,IF(F1029="T3",3,IF(F1029="T4",4,-1))))),-1)</x:f>
        <x:v>1</x:v>
      </x:c>
      <x:c r="Q1029" s="4" t="n">
        <x:f>IF(AND(OR(C1029="Ingredient candidate",C1029="Consumed input",C1029="Contained input",C1029="Transform input"),P1029=-1),1,0)</x:f>
        <x:v>0</x:v>
      </x:c>
    </x:row>
    <x:row r="1030" ht="64" customHeight="1">
      <x:c r="A1030" s="4" t="str">
        <x:v>design.collection.aerated_culinary_phagia_curd.out</x:v>
      </x:c>
      <x:c r="B1030" s="4" t="str">
        <x:v>design.collection.aerated_culinary_phagia_curd</x:v>
      </x:c>
      <x:c r="C1030" s="4" t="str">
        <x:v>Output</x:v>
      </x:c>
      <x:c r="D1030" s="4" t="str">
        <x:v>proposal.collection.aerated_culinary_phagia_curd</x:v>
      </x:c>
      <x:c r="E1030" s="4" t="str">
        <x:f>IFERROR(INDEX('Items'!$B$6:$B$1005,MATCH(D1030,'Items'!$A$6:$A$1005,0)),"MISSING ID")</x:f>
        <x:v>Aerated culinary Phagia curd</x:v>
      </x:c>
      <x:c r="F1030" s="4" t="str">
        <x:f>IFERROR(INDEX('Items'!$C$6:$C$1005,MATCH(D1030,'Items'!$A$6:$A$1005,0)),"MISSING ID")</x:f>
        <x:v>T2</x:v>
      </x:c>
      <x:c r="G1030" s="4" t="str">
        <x:f>IFERROR(INDEX('Items'!$D$6:$D$1005,MATCH(D1030,'Items'!$A$6:$A$1005,0)),"MISSING ID")</x:f>
        <x:v>Cooking ingredients</x:v>
      </x:c>
      <x:c r="H1030" s="4" t="str">
        <x:f>IFERROR(INDEX('Items'!$X$6:$X$1005,MATCH(D1030,'Items'!$A$6:$A$1005,0)),"MISSING ID")</x:f>
        <x:v>Food material</x:v>
      </x:c>
      <x:c r="I1030" s="4"/>
      <x:c r="J1030" s="4" t="str">
        <x:v>Unspecified</x:v>
      </x:c>
      <x:c r="K1030" s="4" t="str">
        <x:f>IFERROR(INDEX('Crafting recipes'!$D$6:$D$1005,MATCH(B1030,'Crafting recipes'!$A$6:$A$1005,0)),"MISSING ID")</x:f>
        <x:v>Proposal</x:v>
      </x:c>
      <x:c r="L1030" s="4" t="str">
        <x:f>IFERROR(INDEX('Items'!$AD$6:$AD$1005,MATCH(D1030,'Items'!$A$6:$A$1005,0)),"MISSING ID")</x:f>
        <x:v>Proposal</x:v>
      </x:c>
      <x:c r="M1030" s="4" t="str">
        <x:f>IFERROR(INDEX('Crafting recipes'!$E$6:$E$1005,MATCH(B1030,'Crafting recipes'!$A$6:$A$1005,0)),"MISSING ID")</x:f>
        <x:v>Partial proposal</x:v>
      </x:c>
      <x:c r="N1030" s="4" t="str">
        <x:v>Candidate source or part only. Quantity, grade and method remain open.</x:v>
      </x:c>
      <x:c r="O1030" s="4" t="str">
        <x:v>Collection expansion, October 15, 2026. New game proposal.</x:v>
      </x:c>
      <x:c r="P1030" s="4" t="n">
        <x:f>IF(OR(C1030="Ingredient candidate",C1030="Consumed input",C1030="Contained input",C1030="Transform input"),IF(F1030="T0",0,IF(F1030="T1",1,IF(F1030="T2",2,IF(F1030="T3",3,IF(F1030="T4",4,-1))))),-1)</x:f>
        <x:v>-1</x:v>
      </x:c>
      <x:c r="Q1030" s="4" t="n">
        <x:f>IF(AND(OR(C1030="Ingredient candidate",C1030="Consumed input",C1030="Contained input",C1030="Transform input"),P1030=-1),1,0)</x:f>
        <x:v>0</x:v>
      </x:c>
    </x:row>
    <x:row r="1031" ht="64" customHeight="1">
      <x:c r="A1031" s="4" t="str">
        <x:v>design.collection.food_grade_mineral_seasoning.in.1</x:v>
      </x:c>
      <x:c r="B1031" s="4" t="str">
        <x:v>design.collection.food_grade_mineral_seasoning</x:v>
      </x:c>
      <x:c r="C1031" s="4" t="str">
        <x:v>Ingredient candidate</x:v>
      </x:c>
      <x:c r="D1031" s="4" t="str">
        <x:v>proposal.audit.selected_culinary_salt_crystals</x:v>
      </x:c>
      <x:c r="E1031" s="4" t="str">
        <x:f>IFERROR(INDEX('Items'!$B$6:$B$1005,MATCH(D1031,'Items'!$A$6:$A$1005,0)),"MISSING ID")</x:f>
        <x:v>Selected culinary salt crystals</x:v>
      </x:c>
      <x:c r="F1031" s="4" t="str">
        <x:f>IFERROR(INDEX('Items'!$C$6:$C$1005,MATCH(D1031,'Items'!$A$6:$A$1005,0)),"MISSING ID")</x:f>
        <x:v>T0</x:v>
      </x:c>
      <x:c r="G1031" s="4" t="str">
        <x:f>IFERROR(INDEX('Items'!$D$6:$D$1005,MATCH(D1031,'Items'!$A$6:$A$1005,0)),"MISSING ID")</x:f>
        <x:v>Mineral resources</x:v>
      </x:c>
      <x:c r="H1031" s="4" t="str">
        <x:f>IFERROR(INDEX('Items'!$X$6:$X$1005,MATCH(D1031,'Items'!$A$6:$A$1005,0)),"MISSING ID")</x:f>
        <x:v>Raw material</x:v>
      </x:c>
      <x:c r="I1031" s="4"/>
      <x:c r="J1031" s="4" t="str">
        <x:v>Unspecified</x:v>
      </x:c>
      <x:c r="K1031" s="4" t="str">
        <x:f>IFERROR(INDEX('Crafting recipes'!$D$6:$D$1005,MATCH(B1031,'Crafting recipes'!$A$6:$A$1005,0)),"MISSING ID")</x:f>
        <x:v>Proposal</x:v>
      </x:c>
      <x:c r="L1031" s="4" t="str">
        <x:f>IFERROR(INDEX('Items'!$AD$6:$AD$1005,MATCH(D1031,'Items'!$A$6:$A$1005,0)),"MISSING ID")</x:f>
        <x:v>Proposal</x:v>
      </x:c>
      <x:c r="M1031" s="4" t="str">
        <x:f>IFERROR(INDEX('Crafting recipes'!$E$6:$E$1005,MATCH(B1031,'Crafting recipes'!$A$6:$A$1005,0)),"MISSING ID")</x:f>
        <x:v>Partial proposal</x:v>
      </x:c>
      <x:c r="N1031" s="4" t="str">
        <x:v>Candidate source or part only. Quantity, grade and method remain open.</x:v>
      </x:c>
      <x:c r="O1031" s="4" t="str">
        <x:v>Collection expansion, October 15, 2026. New game proposal.</x:v>
      </x:c>
      <x:c r="P1031" s="4" t="n">
        <x:f>IF(OR(C1031="Ingredient candidate",C1031="Consumed input",C1031="Contained input",C1031="Transform input"),IF(F1031="T0",0,IF(F1031="T1",1,IF(F1031="T2",2,IF(F1031="T3",3,IF(F1031="T4",4,-1))))),-1)</x:f>
        <x:v>0</x:v>
      </x:c>
      <x:c r="Q1031" s="4" t="n">
        <x:f>IF(AND(OR(C1031="Ingredient candidate",C1031="Consumed input",C1031="Contained input",C1031="Transform input"),P1031=-1),1,0)</x:f>
        <x:v>0</x:v>
      </x:c>
    </x:row>
    <x:row r="1032" ht="64" customHeight="1">
      <x:c r="A1032" s="4" t="str">
        <x:v>design.collection.food_grade_mineral_seasoning.out</x:v>
      </x:c>
      <x:c r="B1032" s="4" t="str">
        <x:v>design.collection.food_grade_mineral_seasoning</x:v>
      </x:c>
      <x:c r="C1032" s="4" t="str">
        <x:v>Output</x:v>
      </x:c>
      <x:c r="D1032" s="4" t="str">
        <x:v>proposal.collection.food_grade_mineral_seasoning</x:v>
      </x:c>
      <x:c r="E1032" s="4" t="str">
        <x:f>IFERROR(INDEX('Items'!$B$6:$B$1005,MATCH(D1032,'Items'!$A$6:$A$1005,0)),"MISSING ID")</x:f>
        <x:v>Food-grade mineral seasoning</x:v>
      </x:c>
      <x:c r="F1032" s="4" t="str">
        <x:f>IFERROR(INDEX('Items'!$C$6:$C$1005,MATCH(D1032,'Items'!$A$6:$A$1005,0)),"MISSING ID")</x:f>
        <x:v>T1</x:v>
      </x:c>
      <x:c r="G1032" s="4" t="str">
        <x:f>IFERROR(INDEX('Items'!$D$6:$D$1005,MATCH(D1032,'Items'!$A$6:$A$1005,0)),"MISSING ID")</x:f>
        <x:v>Cooking ingredients</x:v>
      </x:c>
      <x:c r="H1032" s="4" t="str">
        <x:f>IFERROR(INDEX('Items'!$X$6:$X$1005,MATCH(D1032,'Items'!$A$6:$A$1005,0)),"MISSING ID")</x:f>
        <x:v>Food material</x:v>
      </x:c>
      <x:c r="I1032" s="4"/>
      <x:c r="J1032" s="4" t="str">
        <x:v>Unspecified</x:v>
      </x:c>
      <x:c r="K1032" s="4" t="str">
        <x:f>IFERROR(INDEX('Crafting recipes'!$D$6:$D$1005,MATCH(B1032,'Crafting recipes'!$A$6:$A$1005,0)),"MISSING ID")</x:f>
        <x:v>Proposal</x:v>
      </x:c>
      <x:c r="L1032" s="4" t="str">
        <x:f>IFERROR(INDEX('Items'!$AD$6:$AD$1005,MATCH(D1032,'Items'!$A$6:$A$1005,0)),"MISSING ID")</x:f>
        <x:v>Proposal</x:v>
      </x:c>
      <x:c r="M1032" s="4" t="str">
        <x:f>IFERROR(INDEX('Crafting recipes'!$E$6:$E$1005,MATCH(B1032,'Crafting recipes'!$A$6:$A$1005,0)),"MISSING ID")</x:f>
        <x:v>Partial proposal</x:v>
      </x:c>
      <x:c r="N1032" s="4" t="str">
        <x:v>Candidate source or part only. Quantity, grade and method remain open.</x:v>
      </x:c>
      <x:c r="O1032" s="4" t="str">
        <x:v>Collection expansion, October 15, 2026. New game proposal.</x:v>
      </x:c>
      <x:c r="P1032" s="4" t="n">
        <x:f>IF(OR(C1032="Ingredient candidate",C1032="Consumed input",C1032="Contained input",C1032="Transform input"),IF(F1032="T0",0,IF(F1032="T1",1,IF(F1032="T2",2,IF(F1032="T3",3,IF(F1032="T4",4,-1))))),-1)</x:f>
        <x:v>-1</x:v>
      </x:c>
      <x:c r="Q1032" s="4" t="n">
        <x:f>IF(AND(OR(C1032="Ingredient candidate",C1032="Consumed input",C1032="Contained input",C1032="Transform input"),P1032=-1),1,0)</x:f>
        <x:v>0</x:v>
      </x:c>
    </x:row>
    <x:row r="1033" ht="64" customHeight="1">
      <x:c r="A1033" s="4" t="str">
        <x:v>design.collection.selected_edible_fauna_gel.in.1</x:v>
      </x:c>
      <x:c r="B1033" s="4" t="str">
        <x:v>design.collection.selected_edible_fauna_gel</x:v>
      </x:c>
      <x:c r="C1033" s="4" t="str">
        <x:v>Ingredient candidate</x:v>
      </x:c>
      <x:c r="D1033" s="4" t="str">
        <x:v>proposal.collection.selected_edible_fauna_gland_tissue</x:v>
      </x:c>
      <x:c r="E1033" s="4" t="str">
        <x:f>IFERROR(INDEX('Items'!$B$6:$B$1005,MATCH(D1033,'Items'!$A$6:$A$1005,0)),"MISSING ID")</x:f>
        <x:v>Selected edible-fauna gland tissue</x:v>
      </x:c>
      <x:c r="F1033" s="4" t="str">
        <x:f>IFERROR(INDEX('Items'!$C$6:$C$1005,MATCH(D1033,'Items'!$A$6:$A$1005,0)),"MISSING ID")</x:f>
        <x:v>T0</x:v>
      </x:c>
      <x:c r="G1033" s="4" t="str">
        <x:f>IFERROR(INDEX('Items'!$D$6:$D$1005,MATCH(D1033,'Items'!$A$6:$A$1005,0)),"MISSING ID")</x:f>
        <x:v>Cooking ingredients</x:v>
      </x:c>
      <x:c r="H1033" s="4" t="str">
        <x:f>IFERROR(INDEX('Items'!$X$6:$X$1005,MATCH(D1033,'Items'!$A$6:$A$1005,0)),"MISSING ID")</x:f>
        <x:v>Raw material</x:v>
      </x:c>
      <x:c r="I1033" s="4"/>
      <x:c r="J1033" s="4" t="str">
        <x:v>Unspecified</x:v>
      </x:c>
      <x:c r="K1033" s="4" t="str">
        <x:f>IFERROR(INDEX('Crafting recipes'!$D$6:$D$1005,MATCH(B1033,'Crafting recipes'!$A$6:$A$1005,0)),"MISSING ID")</x:f>
        <x:v>Proposal</x:v>
      </x:c>
      <x:c r="L1033" s="4" t="str">
        <x:f>IFERROR(INDEX('Items'!$AD$6:$AD$1005,MATCH(D1033,'Items'!$A$6:$A$1005,0)),"MISSING ID")</x:f>
        <x:v>Proposal</x:v>
      </x:c>
      <x:c r="M1033" s="4" t="str">
        <x:f>IFERROR(INDEX('Crafting recipes'!$E$6:$E$1005,MATCH(B1033,'Crafting recipes'!$A$6:$A$1005,0)),"MISSING ID")</x:f>
        <x:v>Partial proposal</x:v>
      </x:c>
      <x:c r="N1033" s="4" t="str">
        <x:v>Candidate source or part only. Quantity, grade and method remain open.</x:v>
      </x:c>
      <x:c r="O1033" s="4" t="str">
        <x:v>Collection expansion, October 15, 2026. New game proposal.</x:v>
      </x:c>
      <x:c r="P1033" s="4" t="n">
        <x:f>IF(OR(C1033="Ingredient candidate",C1033="Consumed input",C1033="Contained input",C1033="Transform input"),IF(F1033="T0",0,IF(F1033="T1",1,IF(F1033="T2",2,IF(F1033="T3",3,IF(F1033="T4",4,-1))))),-1)</x:f>
        <x:v>0</x:v>
      </x:c>
      <x:c r="Q1033" s="4" t="n">
        <x:f>IF(AND(OR(C1033="Ingredient candidate",C1033="Consumed input",C1033="Contained input",C1033="Transform input"),P1033=-1),1,0)</x:f>
        <x:v>0</x:v>
      </x:c>
    </x:row>
    <x:row r="1034" ht="64" customHeight="1">
      <x:c r="A1034" s="4" t="str">
        <x:v>design.collection.selected_edible_fauna_gel.out</x:v>
      </x:c>
      <x:c r="B1034" s="4" t="str">
        <x:v>design.collection.selected_edible_fauna_gel</x:v>
      </x:c>
      <x:c r="C1034" s="4" t="str">
        <x:v>Output</x:v>
      </x:c>
      <x:c r="D1034" s="4" t="str">
        <x:v>proposal.collection.selected_edible_fauna_gel</x:v>
      </x:c>
      <x:c r="E1034" s="4" t="str">
        <x:f>IFERROR(INDEX('Items'!$B$6:$B$1005,MATCH(D1034,'Items'!$A$6:$A$1005,0)),"MISSING ID")</x:f>
        <x:v>Selected edible-fauna gel</x:v>
      </x:c>
      <x:c r="F1034" s="4" t="str">
        <x:f>IFERROR(INDEX('Items'!$C$6:$C$1005,MATCH(D1034,'Items'!$A$6:$A$1005,0)),"MISSING ID")</x:f>
        <x:v>T1</x:v>
      </x:c>
      <x:c r="G1034" s="4" t="str">
        <x:f>IFERROR(INDEX('Items'!$D$6:$D$1005,MATCH(D1034,'Items'!$A$6:$A$1005,0)),"MISSING ID")</x:f>
        <x:v>Cooking ingredients</x:v>
      </x:c>
      <x:c r="H1034" s="4" t="str">
        <x:f>IFERROR(INDEX('Items'!$X$6:$X$1005,MATCH(D1034,'Items'!$A$6:$A$1005,0)),"MISSING ID")</x:f>
        <x:v>Food material</x:v>
      </x:c>
      <x:c r="I1034" s="4"/>
      <x:c r="J1034" s="4" t="str">
        <x:v>Unspecified</x:v>
      </x:c>
      <x:c r="K1034" s="4" t="str">
        <x:f>IFERROR(INDEX('Crafting recipes'!$D$6:$D$1005,MATCH(B1034,'Crafting recipes'!$A$6:$A$1005,0)),"MISSING ID")</x:f>
        <x:v>Proposal</x:v>
      </x:c>
      <x:c r="L1034" s="4" t="str">
        <x:f>IFERROR(INDEX('Items'!$AD$6:$AD$1005,MATCH(D1034,'Items'!$A$6:$A$1005,0)),"MISSING ID")</x:f>
        <x:v>Proposal</x:v>
      </x:c>
      <x:c r="M1034" s="4" t="str">
        <x:f>IFERROR(INDEX('Crafting recipes'!$E$6:$E$1005,MATCH(B1034,'Crafting recipes'!$A$6:$A$1005,0)),"MISSING ID")</x:f>
        <x:v>Partial proposal</x:v>
      </x:c>
      <x:c r="N1034" s="4" t="str">
        <x:v>Candidate source or part only. Quantity, grade and method remain open.</x:v>
      </x:c>
      <x:c r="O1034" s="4" t="str">
        <x:v>Collection expansion, October 15, 2026. New game proposal.</x:v>
      </x:c>
      <x:c r="P1034" s="4" t="n">
        <x:f>IF(OR(C1034="Ingredient candidate",C1034="Consumed input",C1034="Contained input",C1034="Transform input"),IF(F1034="T0",0,IF(F1034="T1",1,IF(F1034="T2",2,IF(F1034="T3",3,IF(F1034="T4",4,-1))))),-1)</x:f>
        <x:v>-1</x:v>
      </x:c>
      <x:c r="Q1034" s="4" t="n">
        <x:f>IF(AND(OR(C1034="Ingredient candidate",C1034="Consumed input",C1034="Contained input",C1034="Transform input"),P1034=-1),1,0)</x:f>
        <x:v>0</x:v>
      </x:c>
    </x:row>
    <x:row r="1035" ht="64" customHeight="1">
      <x:c r="A1035" s="4" t="str">
        <x:v>design.collection.dried_edible_fauna_granules.in.1</x:v>
      </x:c>
      <x:c r="B1035" s="4" t="str">
        <x:v>design.collection.dried_edible_fauna_granules</x:v>
      </x:c>
      <x:c r="C1035" s="4" t="str">
        <x:v>Ingredient candidate</x:v>
      </x:c>
      <x:c r="D1035" s="4" t="str">
        <x:v>proposal.bio.edible_fraction</x:v>
      </x:c>
      <x:c r="E1035" s="4" t="str">
        <x:f>IFERROR(INDEX('Items'!$B$6:$B$1005,MATCH(D1035,'Items'!$A$6:$A$1005,0)),"MISSING ID")</x:f>
        <x:v>Edible fauna fraction (species TBD)</x:v>
      </x:c>
      <x:c r="F1035" s="4" t="str">
        <x:f>IFERROR(INDEX('Items'!$C$6:$C$1005,MATCH(D1035,'Items'!$A$6:$A$1005,0)),"MISSING ID")</x:f>
        <x:v>T0</x:v>
      </x:c>
      <x:c r="G1035" s="4" t="str">
        <x:f>IFERROR(INDEX('Items'!$D$6:$D$1005,MATCH(D1035,'Items'!$A$6:$A$1005,0)),"MISSING ID")</x:f>
        <x:v>Cooking ingredients</x:v>
      </x:c>
      <x:c r="H1035" s="4" t="str">
        <x:f>IFERROR(INDEX('Items'!$X$6:$X$1005,MATCH(D1035,'Items'!$A$6:$A$1005,0)),"MISSING ID")</x:f>
        <x:v>Food material</x:v>
      </x:c>
      <x:c r="I1035" s="4"/>
      <x:c r="J1035" s="4" t="str">
        <x:v>Unspecified</x:v>
      </x:c>
      <x:c r="K1035" s="4" t="str">
        <x:f>IFERROR(INDEX('Crafting recipes'!$D$6:$D$1005,MATCH(B1035,'Crafting recipes'!$A$6:$A$1005,0)),"MISSING ID")</x:f>
        <x:v>Proposal</x:v>
      </x:c>
      <x:c r="L1035" s="4" t="str">
        <x:f>IFERROR(INDEX('Items'!$AD$6:$AD$1005,MATCH(D1035,'Items'!$A$6:$A$1005,0)),"MISSING ID")</x:f>
        <x:v>Author direction</x:v>
      </x:c>
      <x:c r="M1035" s="4" t="str">
        <x:f>IFERROR(INDEX('Crafting recipes'!$E$6:$E$1005,MATCH(B1035,'Crafting recipes'!$A$6:$A$1005,0)),"MISSING ID")</x:f>
        <x:v>Partial proposal</x:v>
      </x:c>
      <x:c r="N1035" s="4" t="str">
        <x:v>Candidate source or part only. Quantity, grade and method remain open.</x:v>
      </x:c>
      <x:c r="O1035" s="4" t="str">
        <x:v>Collection expansion, October 15, 2026. New game proposal.</x:v>
      </x:c>
      <x:c r="P1035" s="4" t="n">
        <x:f>IF(OR(C1035="Ingredient candidate",C1035="Consumed input",C1035="Contained input",C1035="Transform input"),IF(F1035="T0",0,IF(F1035="T1",1,IF(F1035="T2",2,IF(F1035="T3",3,IF(F1035="T4",4,-1))))),-1)</x:f>
        <x:v>0</x:v>
      </x:c>
      <x:c r="Q1035" s="4" t="n">
        <x:f>IF(AND(OR(C1035="Ingredient candidate",C1035="Consumed input",C1035="Contained input",C1035="Transform input"),P1035=-1),1,0)</x:f>
        <x:v>0</x:v>
      </x:c>
    </x:row>
    <x:row r="1036" ht="64" customHeight="1">
      <x:c r="A1036" s="4" t="str">
        <x:v>design.collection.dried_edible_fauna_granules.out</x:v>
      </x:c>
      <x:c r="B1036" s="4" t="str">
        <x:v>design.collection.dried_edible_fauna_granules</x:v>
      </x:c>
      <x:c r="C1036" s="4" t="str">
        <x:v>Output</x:v>
      </x:c>
      <x:c r="D1036" s="4" t="str">
        <x:v>proposal.collection.dried_edible_fauna_granules</x:v>
      </x:c>
      <x:c r="E1036" s="4" t="str">
        <x:f>IFERROR(INDEX('Items'!$B$6:$B$1005,MATCH(D1036,'Items'!$A$6:$A$1005,0)),"MISSING ID")</x:f>
        <x:v>Dried edible-fauna granules</x:v>
      </x:c>
      <x:c r="F1036" s="4" t="str">
        <x:f>IFERROR(INDEX('Items'!$C$6:$C$1005,MATCH(D1036,'Items'!$A$6:$A$1005,0)),"MISSING ID")</x:f>
        <x:v>T1</x:v>
      </x:c>
      <x:c r="G1036" s="4" t="str">
        <x:f>IFERROR(INDEX('Items'!$D$6:$D$1005,MATCH(D1036,'Items'!$A$6:$A$1005,0)),"MISSING ID")</x:f>
        <x:v>Cooking ingredients</x:v>
      </x:c>
      <x:c r="H1036" s="4" t="str">
        <x:f>IFERROR(INDEX('Items'!$X$6:$X$1005,MATCH(D1036,'Items'!$A$6:$A$1005,0)),"MISSING ID")</x:f>
        <x:v>Food material</x:v>
      </x:c>
      <x:c r="I1036" s="4"/>
      <x:c r="J1036" s="4" t="str">
        <x:v>Unspecified</x:v>
      </x:c>
      <x:c r="K1036" s="4" t="str">
        <x:f>IFERROR(INDEX('Crafting recipes'!$D$6:$D$1005,MATCH(B1036,'Crafting recipes'!$A$6:$A$1005,0)),"MISSING ID")</x:f>
        <x:v>Proposal</x:v>
      </x:c>
      <x:c r="L1036" s="4" t="str">
        <x:f>IFERROR(INDEX('Items'!$AD$6:$AD$1005,MATCH(D1036,'Items'!$A$6:$A$1005,0)),"MISSING ID")</x:f>
        <x:v>Proposal</x:v>
      </x:c>
      <x:c r="M1036" s="4" t="str">
        <x:f>IFERROR(INDEX('Crafting recipes'!$E$6:$E$1005,MATCH(B1036,'Crafting recipes'!$A$6:$A$1005,0)),"MISSING ID")</x:f>
        <x:v>Partial proposal</x:v>
      </x:c>
      <x:c r="N1036" s="4" t="str">
        <x:v>Candidate source or part only. Quantity, grade and method remain open.</x:v>
      </x:c>
      <x:c r="O1036" s="4" t="str">
        <x:v>Collection expansion, October 15, 2026. New game proposal.</x:v>
      </x:c>
      <x:c r="P1036" s="4" t="n">
        <x:f>IF(OR(C1036="Ingredient candidate",C1036="Consumed input",C1036="Contained input",C1036="Transform input"),IF(F1036="T0",0,IF(F1036="T1",1,IF(F1036="T2",2,IF(F1036="T3",3,IF(F1036="T4",4,-1))))),-1)</x:f>
        <x:v>-1</x:v>
      </x:c>
      <x:c r="Q1036" s="4" t="n">
        <x:f>IF(AND(OR(C1036="Ingredient candidate",C1036="Consumed input",C1036="Contained input",C1036="Transform input"),P1036=-1),1,0)</x:f>
        <x:v>0</x:v>
      </x:c>
    </x:row>
    <x:row r="1037" ht="64" customHeight="1">
      <x:c r="A1037" s="4" t="str">
        <x:v>design.collection.strained_edible_fauna_broth_base.in.1</x:v>
      </x:c>
      <x:c r="B1037" s="4" t="str">
        <x:v>design.collection.strained_edible_fauna_broth_base</x:v>
      </x:c>
      <x:c r="C1037" s="4" t="str">
        <x:v>Ingredient candidate</x:v>
      </x:c>
      <x:c r="D1037" s="4" t="str">
        <x:v>proposal.bio.edible_fraction</x:v>
      </x:c>
      <x:c r="E1037" s="4" t="str">
        <x:f>IFERROR(INDEX('Items'!$B$6:$B$1005,MATCH(D1037,'Items'!$A$6:$A$1005,0)),"MISSING ID")</x:f>
        <x:v>Edible fauna fraction (species TBD)</x:v>
      </x:c>
      <x:c r="F1037" s="4" t="str">
        <x:f>IFERROR(INDEX('Items'!$C$6:$C$1005,MATCH(D1037,'Items'!$A$6:$A$1005,0)),"MISSING ID")</x:f>
        <x:v>T0</x:v>
      </x:c>
      <x:c r="G1037" s="4" t="str">
        <x:f>IFERROR(INDEX('Items'!$D$6:$D$1005,MATCH(D1037,'Items'!$A$6:$A$1005,0)),"MISSING ID")</x:f>
        <x:v>Cooking ingredients</x:v>
      </x:c>
      <x:c r="H1037" s="4" t="str">
        <x:f>IFERROR(INDEX('Items'!$X$6:$X$1005,MATCH(D1037,'Items'!$A$6:$A$1005,0)),"MISSING ID")</x:f>
        <x:v>Food material</x:v>
      </x:c>
      <x:c r="I1037" s="4"/>
      <x:c r="J1037" s="4" t="str">
        <x:v>Unspecified</x:v>
      </x:c>
      <x:c r="K1037" s="4" t="str">
        <x:f>IFERROR(INDEX('Crafting recipes'!$D$6:$D$1005,MATCH(B1037,'Crafting recipes'!$A$6:$A$1005,0)),"MISSING ID")</x:f>
        <x:v>Proposal</x:v>
      </x:c>
      <x:c r="L1037" s="4" t="str">
        <x:f>IFERROR(INDEX('Items'!$AD$6:$AD$1005,MATCH(D1037,'Items'!$A$6:$A$1005,0)),"MISSING ID")</x:f>
        <x:v>Author direction</x:v>
      </x:c>
      <x:c r="M1037" s="4" t="str">
        <x:f>IFERROR(INDEX('Crafting recipes'!$E$6:$E$1005,MATCH(B1037,'Crafting recipes'!$A$6:$A$1005,0)),"MISSING ID")</x:f>
        <x:v>Partial proposal</x:v>
      </x:c>
      <x:c r="N1037" s="4" t="str">
        <x:v>Candidate source or part only. Quantity, grade and method remain open.</x:v>
      </x:c>
      <x:c r="O1037" s="4" t="str">
        <x:v>Collection expansion, October 15, 2026. New game proposal.</x:v>
      </x:c>
      <x:c r="P1037" s="4" t="n">
        <x:f>IF(OR(C1037="Ingredient candidate",C1037="Consumed input",C1037="Contained input",C1037="Transform input"),IF(F1037="T0",0,IF(F1037="T1",1,IF(F1037="T2",2,IF(F1037="T3",3,IF(F1037="T4",4,-1))))),-1)</x:f>
        <x:v>0</x:v>
      </x:c>
      <x:c r="Q1037" s="4" t="n">
        <x:f>IF(AND(OR(C1037="Ingredient candidate",C1037="Consumed input",C1037="Contained input",C1037="Transform input"),P1037=-1),1,0)</x:f>
        <x:v>0</x:v>
      </x:c>
    </x:row>
    <x:row r="1038" ht="64" customHeight="1">
      <x:c r="A1038" s="4" t="str">
        <x:v>design.collection.strained_edible_fauna_broth_base.in.2</x:v>
      </x:c>
      <x:c r="B1038" s="4" t="str">
        <x:v>design.collection.strained_edible_fauna_broth_base</x:v>
      </x:c>
      <x:c r="C1038" s="4" t="str">
        <x:v>Ingredient candidate</x:v>
      </x:c>
      <x:c r="D1038" s="4" t="str">
        <x:v>proposal.collection.culinary_phagia_liquid_fraction</x:v>
      </x:c>
      <x:c r="E1038" s="4" t="str">
        <x:f>IFERROR(INDEX('Items'!$B$6:$B$1005,MATCH(D1038,'Items'!$A$6:$A$1005,0)),"MISSING ID")</x:f>
        <x:v>Culinary Phagia liquid fraction</x:v>
      </x:c>
      <x:c r="F1038" s="4" t="str">
        <x:f>IFERROR(INDEX('Items'!$C$6:$C$1005,MATCH(D1038,'Items'!$A$6:$A$1005,0)),"MISSING ID")</x:f>
        <x:v>T1</x:v>
      </x:c>
      <x:c r="G1038" s="4" t="str">
        <x:f>IFERROR(INDEX('Items'!$D$6:$D$1005,MATCH(D1038,'Items'!$A$6:$A$1005,0)),"MISSING ID")</x:f>
        <x:v>Cooking ingredients</x:v>
      </x:c>
      <x:c r="H1038" s="4" t="str">
        <x:f>IFERROR(INDEX('Items'!$X$6:$X$1005,MATCH(D1038,'Items'!$A$6:$A$1005,0)),"MISSING ID")</x:f>
        <x:v>Food material</x:v>
      </x:c>
      <x:c r="I1038" s="4"/>
      <x:c r="J1038" s="4" t="str">
        <x:v>Unspecified</x:v>
      </x:c>
      <x:c r="K1038" s="4" t="str">
        <x:f>IFERROR(INDEX('Crafting recipes'!$D$6:$D$1005,MATCH(B1038,'Crafting recipes'!$A$6:$A$1005,0)),"MISSING ID")</x:f>
        <x:v>Proposal</x:v>
      </x:c>
      <x:c r="L1038" s="4" t="str">
        <x:f>IFERROR(INDEX('Items'!$AD$6:$AD$1005,MATCH(D1038,'Items'!$A$6:$A$1005,0)),"MISSING ID")</x:f>
        <x:v>Proposal</x:v>
      </x:c>
      <x:c r="M1038" s="4" t="str">
        <x:f>IFERROR(INDEX('Crafting recipes'!$E$6:$E$1005,MATCH(B1038,'Crafting recipes'!$A$6:$A$1005,0)),"MISSING ID")</x:f>
        <x:v>Partial proposal</x:v>
      </x:c>
      <x:c r="N1038" s="4" t="str">
        <x:v>Candidate source or part only. Quantity, grade and method remain open.</x:v>
      </x:c>
      <x:c r="O1038" s="4" t="str">
        <x:v>Collection expansion, October 15, 2026. New game proposal.</x:v>
      </x:c>
      <x:c r="P1038" s="4" t="n">
        <x:f>IF(OR(C1038="Ingredient candidate",C1038="Consumed input",C1038="Contained input",C1038="Transform input"),IF(F1038="T0",0,IF(F1038="T1",1,IF(F1038="T2",2,IF(F1038="T3",3,IF(F1038="T4",4,-1))))),-1)</x:f>
        <x:v>1</x:v>
      </x:c>
      <x:c r="Q1038" s="4" t="n">
        <x:f>IF(AND(OR(C1038="Ingredient candidate",C1038="Consumed input",C1038="Contained input",C1038="Transform input"),P1038=-1),1,0)</x:f>
        <x:v>0</x:v>
      </x:c>
    </x:row>
    <x:row r="1039" ht="64" customHeight="1">
      <x:c r="A1039" s="4" t="str">
        <x:v>design.collection.strained_edible_fauna_broth_base.out</x:v>
      </x:c>
      <x:c r="B1039" s="4" t="str">
        <x:v>design.collection.strained_edible_fauna_broth_base</x:v>
      </x:c>
      <x:c r="C1039" s="4" t="str">
        <x:v>Output</x:v>
      </x:c>
      <x:c r="D1039" s="4" t="str">
        <x:v>proposal.collection.strained_edible_fauna_broth_base</x:v>
      </x:c>
      <x:c r="E1039" s="4" t="str">
        <x:f>IFERROR(INDEX('Items'!$B$6:$B$1005,MATCH(D1039,'Items'!$A$6:$A$1005,0)),"MISSING ID")</x:f>
        <x:v>Strained edible-fauna broth base</x:v>
      </x:c>
      <x:c r="F1039" s="4" t="str">
        <x:f>IFERROR(INDEX('Items'!$C$6:$C$1005,MATCH(D1039,'Items'!$A$6:$A$1005,0)),"MISSING ID")</x:f>
        <x:v>T2</x:v>
      </x:c>
      <x:c r="G1039" s="4" t="str">
        <x:f>IFERROR(INDEX('Items'!$D$6:$D$1005,MATCH(D1039,'Items'!$A$6:$A$1005,0)),"MISSING ID")</x:f>
        <x:v>Cooking ingredients</x:v>
      </x:c>
      <x:c r="H1039" s="4" t="str">
        <x:f>IFERROR(INDEX('Items'!$X$6:$X$1005,MATCH(D1039,'Items'!$A$6:$A$1005,0)),"MISSING ID")</x:f>
        <x:v>Food material</x:v>
      </x:c>
      <x:c r="I1039" s="4"/>
      <x:c r="J1039" s="4" t="str">
        <x:v>Unspecified</x:v>
      </x:c>
      <x:c r="K1039" s="4" t="str">
        <x:f>IFERROR(INDEX('Crafting recipes'!$D$6:$D$1005,MATCH(B1039,'Crafting recipes'!$A$6:$A$1005,0)),"MISSING ID")</x:f>
        <x:v>Proposal</x:v>
      </x:c>
      <x:c r="L1039" s="4" t="str">
        <x:f>IFERROR(INDEX('Items'!$AD$6:$AD$1005,MATCH(D1039,'Items'!$A$6:$A$1005,0)),"MISSING ID")</x:f>
        <x:v>Proposal</x:v>
      </x:c>
      <x:c r="M1039" s="4" t="str">
        <x:f>IFERROR(INDEX('Crafting recipes'!$E$6:$E$1005,MATCH(B1039,'Crafting recipes'!$A$6:$A$1005,0)),"MISSING ID")</x:f>
        <x:v>Partial proposal</x:v>
      </x:c>
      <x:c r="N1039" s="4" t="str">
        <x:v>Candidate source or part only. Quantity, grade and method remain open.</x:v>
      </x:c>
      <x:c r="O1039" s="4" t="str">
        <x:v>Collection expansion, October 15, 2026. New game proposal.</x:v>
      </x:c>
      <x:c r="P1039" s="4" t="n">
        <x:f>IF(OR(C1039="Ingredient candidate",C1039="Consumed input",C1039="Contained input",C1039="Transform input"),IF(F1039="T0",0,IF(F1039="T1",1,IF(F1039="T2",2,IF(F1039="T3",3,IF(F1039="T4",4,-1))))),-1)</x:f>
        <x:v>-1</x:v>
      </x:c>
      <x:c r="Q1039" s="4" t="n">
        <x:f>IF(AND(OR(C1039="Ingredient candidate",C1039="Consumed input",C1039="Contained input",C1039="Transform input"),P1039=-1),1,0)</x:f>
        <x:v>0</x:v>
      </x:c>
    </x:row>
    <x:row r="1040" ht="64" customHeight="1">
      <x:c r="A1040" s="4"/>
      <x:c r="B1040" s="4"/>
      <x:c r="C1040" s="4"/>
      <x:c r="D1040" s="4"/>
      <x:c r="E1040" s="4"/>
      <x:c r="F1040" s="4"/>
      <x:c r="G1040" s="4"/>
      <x:c r="H1040" s="4"/>
      <x:c r="I1040" s="4"/>
      <x:c r="J1040" s="4"/>
      <x:c r="K1040" s="4"/>
      <x:c r="L1040" s="4"/>
      <x:c r="M1040" s="4"/>
      <x:c r="N1040" s="4"/>
      <x:c r="O1040" s="4"/>
      <x:c r="P1040" s="4"/>
      <x:c r="Q1040" s="4"/>
    </x:row>
    <x:row r="1041" ht="64" customHeight="1">
      <x:c r="A1041" s="4"/>
      <x:c r="B1041" s="4"/>
      <x:c r="C1041" s="4"/>
      <x:c r="D1041" s="4"/>
      <x:c r="E1041" s="4"/>
      <x:c r="F1041" s="4"/>
      <x:c r="G1041" s="4"/>
      <x:c r="H1041" s="4"/>
      <x:c r="I1041" s="4"/>
      <x:c r="J1041" s="4"/>
      <x:c r="K1041" s="4"/>
      <x:c r="L1041" s="4"/>
      <x:c r="M1041" s="4"/>
      <x:c r="N1041" s="4"/>
      <x:c r="O1041" s="4"/>
      <x:c r="P1041" s="4"/>
      <x:c r="Q1041" s="4"/>
    </x:row>
    <x:row r="1042" ht="64" customHeight="1">
      <x:c r="A1042" s="4" t="str">
        <x:v>design.collection.cooked_edible_fauna_morsels.in.1</x:v>
      </x:c>
      <x:c r="B1042" s="4" t="str">
        <x:v>design.collection.cooked_edible_fauna_morsels</x:v>
      </x:c>
      <x:c r="C1042" s="4" t="str">
        <x:v>Ingredient candidate</x:v>
      </x:c>
      <x:c r="D1042" s="4" t="str">
        <x:v>proposal.bio.edible_fraction</x:v>
      </x:c>
      <x:c r="E1042" s="4" t="str">
        <x:f>IFERROR(INDEX('Items'!$B$6:$B$1005,MATCH(D1042,'Items'!$A$6:$A$1005,0)),"MISSING ID")</x:f>
        <x:v>Edible fauna fraction (species TBD)</x:v>
      </x:c>
      <x:c r="F1042" s="4" t="str">
        <x:f>IFERROR(INDEX('Items'!$C$6:$C$1005,MATCH(D1042,'Items'!$A$6:$A$1005,0)),"MISSING ID")</x:f>
        <x:v>T0</x:v>
      </x:c>
      <x:c r="G1042" s="4" t="str">
        <x:f>IFERROR(INDEX('Items'!$D$6:$D$1005,MATCH(D1042,'Items'!$A$6:$A$1005,0)),"MISSING ID")</x:f>
        <x:v>Cooking ingredients</x:v>
      </x:c>
      <x:c r="H1042" s="4" t="str">
        <x:f>IFERROR(INDEX('Items'!$X$6:$X$1005,MATCH(D1042,'Items'!$A$6:$A$1005,0)),"MISSING ID")</x:f>
        <x:v>Food material</x:v>
      </x:c>
      <x:c r="I1042" s="4"/>
      <x:c r="J1042" s="4" t="str">
        <x:v>Unspecified</x:v>
      </x:c>
      <x:c r="K1042" s="4" t="str">
        <x:f>IFERROR(INDEX('Crafting recipes'!$D$6:$D$1005,MATCH(B1042,'Crafting recipes'!$A$6:$A$1005,0)),"MISSING ID")</x:f>
        <x:v>Proposal</x:v>
      </x:c>
      <x:c r="L1042" s="4" t="str">
        <x:f>IFERROR(INDEX('Items'!$AD$6:$AD$1005,MATCH(D1042,'Items'!$A$6:$A$1005,0)),"MISSING ID")</x:f>
        <x:v>Author direction</x:v>
      </x:c>
      <x:c r="M1042" s="4" t="str">
        <x:f>IFERROR(INDEX('Crafting recipes'!$E$6:$E$1005,MATCH(B1042,'Crafting recipes'!$A$6:$A$1005,0)),"MISSING ID")</x:f>
        <x:v>Partial proposal</x:v>
      </x:c>
      <x:c r="N1042" s="4" t="str">
        <x:v>Candidate source or part only. Quantity, grade and method remain open.</x:v>
      </x:c>
      <x:c r="O1042" s="4" t="str">
        <x:v>Collection expansion, October 15, 2026. New game proposal.</x:v>
      </x:c>
      <x:c r="P1042" s="4" t="n">
        <x:f>IF(OR(C1042="Ingredient candidate",C1042="Consumed input",C1042="Contained input",C1042="Transform input"),IF(F1042="T0",0,IF(F1042="T1",1,IF(F1042="T2",2,IF(F1042="T3",3,IF(F1042="T4",4,-1))))),-1)</x:f>
        <x:v>0</x:v>
      </x:c>
      <x:c r="Q1042" s="4" t="n">
        <x:f>IF(AND(OR(C1042="Ingredient candidate",C1042="Consumed input",C1042="Contained input",C1042="Transform input"),P1042=-1),1,0)</x:f>
        <x:v>0</x:v>
      </x:c>
    </x:row>
    <x:row r="1043" ht="64" customHeight="1">
      <x:c r="A1043" s="4" t="str">
        <x:v>design.collection.cooked_edible_fauna_morsels.out</x:v>
      </x:c>
      <x:c r="B1043" s="4" t="str">
        <x:v>design.collection.cooked_edible_fauna_morsels</x:v>
      </x:c>
      <x:c r="C1043" s="4" t="str">
        <x:v>Output</x:v>
      </x:c>
      <x:c r="D1043" s="4" t="str">
        <x:v>proposal.collection.cooked_edible_fauna_morsels</x:v>
      </x:c>
      <x:c r="E1043" s="4" t="str">
        <x:f>IFERROR(INDEX('Items'!$B$6:$B$1005,MATCH(D1043,'Items'!$A$6:$A$1005,0)),"MISSING ID")</x:f>
        <x:v>Cooked edible-fauna morsels</x:v>
      </x:c>
      <x:c r="F1043" s="4" t="str">
        <x:f>IFERROR(INDEX('Items'!$C$6:$C$1005,MATCH(D1043,'Items'!$A$6:$A$1005,0)),"MISSING ID")</x:f>
        <x:v>T1</x:v>
      </x:c>
      <x:c r="G1043" s="4" t="str">
        <x:f>IFERROR(INDEX('Items'!$D$6:$D$1005,MATCH(D1043,'Items'!$A$6:$A$1005,0)),"MISSING ID")</x:f>
        <x:v>Cooking ingredients</x:v>
      </x:c>
      <x:c r="H1043" s="4" t="str">
        <x:f>IFERROR(INDEX('Items'!$X$6:$X$1005,MATCH(D1043,'Items'!$A$6:$A$1005,0)),"MISSING ID")</x:f>
        <x:v>Food material</x:v>
      </x:c>
      <x:c r="I1043" s="4"/>
      <x:c r="J1043" s="4" t="str">
        <x:v>Unspecified</x:v>
      </x:c>
      <x:c r="K1043" s="4" t="str">
        <x:f>IFERROR(INDEX('Crafting recipes'!$D$6:$D$1005,MATCH(B1043,'Crafting recipes'!$A$6:$A$1005,0)),"MISSING ID")</x:f>
        <x:v>Proposal</x:v>
      </x:c>
      <x:c r="L1043" s="4" t="str">
        <x:f>IFERROR(INDEX('Items'!$AD$6:$AD$1005,MATCH(D1043,'Items'!$A$6:$A$1005,0)),"MISSING ID")</x:f>
        <x:v>Proposal</x:v>
      </x:c>
      <x:c r="M1043" s="4" t="str">
        <x:f>IFERROR(INDEX('Crafting recipes'!$E$6:$E$1005,MATCH(B1043,'Crafting recipes'!$A$6:$A$1005,0)),"MISSING ID")</x:f>
        <x:v>Partial proposal</x:v>
      </x:c>
      <x:c r="N1043" s="4" t="str">
        <x:v>Candidate source or part only. Quantity, grade and method remain open.</x:v>
      </x:c>
      <x:c r="O1043" s="4" t="str">
        <x:v>Collection expansion, October 15, 2026. New game proposal.</x:v>
      </x:c>
      <x:c r="P1043" s="4" t="n">
        <x:f>IF(OR(C1043="Ingredient candidate",C1043="Consumed input",C1043="Contained input",C1043="Transform input"),IF(F1043="T0",0,IF(F1043="T1",1,IF(F1043="T2",2,IF(F1043="T3",3,IF(F1043="T4",4,-1))))),-1)</x:f>
        <x:v>-1</x:v>
      </x:c>
      <x:c r="Q1043" s="4" t="n">
        <x:f>IF(AND(OR(C1043="Ingredient candidate",C1043="Consumed input",C1043="Contained input",C1043="Transform input"),P1043=-1),1,0)</x:f>
        <x:v>0</x:v>
      </x:c>
    </x:row>
    <x:row r="1044" ht="64" customHeight="1">
      <x:c r="A1044" s="4" t="str">
        <x:v>design.collection.culinary_fauna_aroma_fraction.in.1</x:v>
      </x:c>
      <x:c r="B1044" s="4" t="str">
        <x:v>design.collection.culinary_fauna_aroma_fraction</x:v>
      </x:c>
      <x:c r="C1044" s="4" t="str">
        <x:v>Ingredient candidate</x:v>
      </x:c>
      <x:c r="D1044" s="4" t="str">
        <x:v>proposal.collection.selected_edible_fauna_gland_tissue</x:v>
      </x:c>
      <x:c r="E1044" s="4" t="str">
        <x:f>IFERROR(INDEX('Items'!$B$6:$B$1005,MATCH(D1044,'Items'!$A$6:$A$1005,0)),"MISSING ID")</x:f>
        <x:v>Selected edible-fauna gland tissue</x:v>
      </x:c>
      <x:c r="F1044" s="4" t="str">
        <x:f>IFERROR(INDEX('Items'!$C$6:$C$1005,MATCH(D1044,'Items'!$A$6:$A$1005,0)),"MISSING ID")</x:f>
        <x:v>T0</x:v>
      </x:c>
      <x:c r="G1044" s="4" t="str">
        <x:f>IFERROR(INDEX('Items'!$D$6:$D$1005,MATCH(D1044,'Items'!$A$6:$A$1005,0)),"MISSING ID")</x:f>
        <x:v>Cooking ingredients</x:v>
      </x:c>
      <x:c r="H1044" s="4" t="str">
        <x:f>IFERROR(INDEX('Items'!$X$6:$X$1005,MATCH(D1044,'Items'!$A$6:$A$1005,0)),"MISSING ID")</x:f>
        <x:v>Raw material</x:v>
      </x:c>
      <x:c r="I1044" s="4"/>
      <x:c r="J1044" s="4" t="str">
        <x:v>Unspecified</x:v>
      </x:c>
      <x:c r="K1044" s="4" t="str">
        <x:f>IFERROR(INDEX('Crafting recipes'!$D$6:$D$1005,MATCH(B1044,'Crafting recipes'!$A$6:$A$1005,0)),"MISSING ID")</x:f>
        <x:v>Proposal</x:v>
      </x:c>
      <x:c r="L1044" s="4" t="str">
        <x:f>IFERROR(INDEX('Items'!$AD$6:$AD$1005,MATCH(D1044,'Items'!$A$6:$A$1005,0)),"MISSING ID")</x:f>
        <x:v>Proposal</x:v>
      </x:c>
      <x:c r="M1044" s="4" t="str">
        <x:f>IFERROR(INDEX('Crafting recipes'!$E$6:$E$1005,MATCH(B1044,'Crafting recipes'!$A$6:$A$1005,0)),"MISSING ID")</x:f>
        <x:v>Partial proposal</x:v>
      </x:c>
      <x:c r="N1044" s="4" t="str">
        <x:v>Candidate source or part only. Quantity, grade and method remain open.</x:v>
      </x:c>
      <x:c r="O1044" s="4" t="str">
        <x:v>Collection expansion, October 15, 2026. New game proposal.</x:v>
      </x:c>
      <x:c r="P1044" s="4" t="n">
        <x:f>IF(OR(C1044="Ingredient candidate",C1044="Consumed input",C1044="Contained input",C1044="Transform input"),IF(F1044="T0",0,IF(F1044="T1",1,IF(F1044="T2",2,IF(F1044="T3",3,IF(F1044="T4",4,-1))))),-1)</x:f>
        <x:v>0</x:v>
      </x:c>
      <x:c r="Q1044" s="4" t="n">
        <x:f>IF(AND(OR(C1044="Ingredient candidate",C1044="Consumed input",C1044="Contained input",C1044="Transform input"),P1044=-1),1,0)</x:f>
        <x:v>0</x:v>
      </x:c>
    </x:row>
    <x:row r="1045" ht="64" customHeight="1">
      <x:c r="A1045" s="4" t="str">
        <x:v>design.collection.culinary_fauna_aroma_fraction.out</x:v>
      </x:c>
      <x:c r="B1045" s="4" t="str">
        <x:v>design.collection.culinary_fauna_aroma_fraction</x:v>
      </x:c>
      <x:c r="C1045" s="4" t="str">
        <x:v>Output</x:v>
      </x:c>
      <x:c r="D1045" s="4" t="str">
        <x:v>proposal.collection.culinary_fauna_aroma_fraction</x:v>
      </x:c>
      <x:c r="E1045" s="4" t="str">
        <x:f>IFERROR(INDEX('Items'!$B$6:$B$1005,MATCH(D1045,'Items'!$A$6:$A$1005,0)),"MISSING ID")</x:f>
        <x:v>Culinary fauna aroma fraction</x:v>
      </x:c>
      <x:c r="F1045" s="4" t="str">
        <x:f>IFERROR(INDEX('Items'!$C$6:$C$1005,MATCH(D1045,'Items'!$A$6:$A$1005,0)),"MISSING ID")</x:f>
        <x:v>T1</x:v>
      </x:c>
      <x:c r="G1045" s="4" t="str">
        <x:f>IFERROR(INDEX('Items'!$D$6:$D$1005,MATCH(D1045,'Items'!$A$6:$A$1005,0)),"MISSING ID")</x:f>
        <x:v>Cooking ingredients</x:v>
      </x:c>
      <x:c r="H1045" s="4" t="str">
        <x:f>IFERROR(INDEX('Items'!$X$6:$X$1005,MATCH(D1045,'Items'!$A$6:$A$1005,0)),"MISSING ID")</x:f>
        <x:v>Food material</x:v>
      </x:c>
      <x:c r="I1045" s="4"/>
      <x:c r="J1045" s="4" t="str">
        <x:v>Unspecified</x:v>
      </x:c>
      <x:c r="K1045" s="4" t="str">
        <x:f>IFERROR(INDEX('Crafting recipes'!$D$6:$D$1005,MATCH(B1045,'Crafting recipes'!$A$6:$A$1005,0)),"MISSING ID")</x:f>
        <x:v>Proposal</x:v>
      </x:c>
      <x:c r="L1045" s="4" t="str">
        <x:f>IFERROR(INDEX('Items'!$AD$6:$AD$1005,MATCH(D1045,'Items'!$A$6:$A$1005,0)),"MISSING ID")</x:f>
        <x:v>Proposal</x:v>
      </x:c>
      <x:c r="M1045" s="4" t="str">
        <x:f>IFERROR(INDEX('Crafting recipes'!$E$6:$E$1005,MATCH(B1045,'Crafting recipes'!$A$6:$A$1005,0)),"MISSING ID")</x:f>
        <x:v>Partial proposal</x:v>
      </x:c>
      <x:c r="N1045" s="4" t="str">
        <x:v>Candidate source or part only. Quantity, grade and method remain open.</x:v>
      </x:c>
      <x:c r="O1045" s="4" t="str">
        <x:v>Collection expansion, October 15, 2026. New game proposal.</x:v>
      </x:c>
      <x:c r="P1045" s="4" t="n">
        <x:f>IF(OR(C1045="Ingredient candidate",C1045="Consumed input",C1045="Contained input",C1045="Transform input"),IF(F1045="T0",0,IF(F1045="T1",1,IF(F1045="T2",2,IF(F1045="T3",3,IF(F1045="T4",4,-1))))),-1)</x:f>
        <x:v>-1</x:v>
      </x:c>
      <x:c r="Q1045" s="4" t="n">
        <x:f>IF(AND(OR(C1045="Ingredient candidate",C1045="Consumed input",C1045="Contained input",C1045="Transform input"),P1045=-1),1,0)</x:f>
        <x:v>0</x:v>
      </x:c>
    </x:row>
    <x:row r="1046" ht="64" customHeight="1">
      <x:c r="A1046" s="4" t="str">
        <x:v>design.collection.phagia_fauna_savory_filling.in.1</x:v>
      </x:c>
      <x:c r="B1046" s="4" t="str">
        <x:v>design.collection.phagia_fauna_savory_filling</x:v>
      </x:c>
      <x:c r="C1046" s="4" t="str">
        <x:v>Ingredient candidate</x:v>
      </x:c>
      <x:c r="D1046" s="4" t="str">
        <x:v>proposal.collection.drained_culinary_phagia_curd</x:v>
      </x:c>
      <x:c r="E1046" s="4" t="str">
        <x:f>IFERROR(INDEX('Items'!$B$6:$B$1005,MATCH(D1046,'Items'!$A$6:$A$1005,0)),"MISSING ID")</x:f>
        <x:v>Drained culinary Phagia curd</x:v>
      </x:c>
      <x:c r="F1046" s="4" t="str">
        <x:f>IFERROR(INDEX('Items'!$C$6:$C$1005,MATCH(D1046,'Items'!$A$6:$A$1005,0)),"MISSING ID")</x:f>
        <x:v>T1</x:v>
      </x:c>
      <x:c r="G1046" s="4" t="str">
        <x:f>IFERROR(INDEX('Items'!$D$6:$D$1005,MATCH(D1046,'Items'!$A$6:$A$1005,0)),"MISSING ID")</x:f>
        <x:v>Cooking ingredients</x:v>
      </x:c>
      <x:c r="H1046" s="4" t="str">
        <x:f>IFERROR(INDEX('Items'!$X$6:$X$1005,MATCH(D1046,'Items'!$A$6:$A$1005,0)),"MISSING ID")</x:f>
        <x:v>Food material</x:v>
      </x:c>
      <x:c r="I1046" s="4"/>
      <x:c r="J1046" s="4" t="str">
        <x:v>Unspecified</x:v>
      </x:c>
      <x:c r="K1046" s="4" t="str">
        <x:f>IFERROR(INDEX('Crafting recipes'!$D$6:$D$1005,MATCH(B1046,'Crafting recipes'!$A$6:$A$1005,0)),"MISSING ID")</x:f>
        <x:v>Proposal</x:v>
      </x:c>
      <x:c r="L1046" s="4" t="str">
        <x:f>IFERROR(INDEX('Items'!$AD$6:$AD$1005,MATCH(D1046,'Items'!$A$6:$A$1005,0)),"MISSING ID")</x:f>
        <x:v>Proposal</x:v>
      </x:c>
      <x:c r="M1046" s="4" t="str">
        <x:f>IFERROR(INDEX('Crafting recipes'!$E$6:$E$1005,MATCH(B1046,'Crafting recipes'!$A$6:$A$1005,0)),"MISSING ID")</x:f>
        <x:v>Partial proposal</x:v>
      </x:c>
      <x:c r="N1046" s="4" t="str">
        <x:v>Candidate source or part only. Quantity, grade and method remain open.</x:v>
      </x:c>
      <x:c r="O1046" s="4" t="str">
        <x:v>Collection expansion, October 15, 2026. New game proposal.</x:v>
      </x:c>
      <x:c r="P1046" s="4" t="n">
        <x:f>IF(OR(C1046="Ingredient candidate",C1046="Consumed input",C1046="Contained input",C1046="Transform input"),IF(F1046="T0",0,IF(F1046="T1",1,IF(F1046="T2",2,IF(F1046="T3",3,IF(F1046="T4",4,-1))))),-1)</x:f>
        <x:v>1</x:v>
      </x:c>
      <x:c r="Q1046" s="4" t="n">
        <x:f>IF(AND(OR(C1046="Ingredient candidate",C1046="Consumed input",C1046="Contained input",C1046="Transform input"),P1046=-1),1,0)</x:f>
        <x:v>0</x:v>
      </x:c>
    </x:row>
    <x:row r="1047" ht="64" customHeight="1">
      <x:c r="A1047" s="4" t="str">
        <x:v>design.collection.phagia_fauna_savory_filling.in.2</x:v>
      </x:c>
      <x:c r="B1047" s="4" t="str">
        <x:v>design.collection.phagia_fauna_savory_filling</x:v>
      </x:c>
      <x:c r="C1047" s="4" t="str">
        <x:v>Ingredient candidate</x:v>
      </x:c>
      <x:c r="D1047" s="4" t="str">
        <x:v>proposal.food.edible_paste</x:v>
      </x:c>
      <x:c r="E1047" s="4" t="str">
        <x:f>IFERROR(INDEX('Items'!$B$6:$B$1005,MATCH(D1047,'Items'!$A$6:$A$1005,0)),"MISSING ID")</x:f>
        <x:v>Prepared edible-fauna paste</x:v>
      </x:c>
      <x:c r="F1047" s="4" t="str">
        <x:f>IFERROR(INDEX('Items'!$C$6:$C$1005,MATCH(D1047,'Items'!$A$6:$A$1005,0)),"MISSING ID")</x:f>
        <x:v>T1</x:v>
      </x:c>
      <x:c r="G1047" s="4" t="str">
        <x:f>IFERROR(INDEX('Items'!$D$6:$D$1005,MATCH(D1047,'Items'!$A$6:$A$1005,0)),"MISSING ID")</x:f>
        <x:v>Cooking ingredients</x:v>
      </x:c>
      <x:c r="H1047" s="4" t="str">
        <x:f>IFERROR(INDEX('Items'!$X$6:$X$1005,MATCH(D1047,'Items'!$A$6:$A$1005,0)),"MISSING ID")</x:f>
        <x:v>Food material</x:v>
      </x:c>
      <x:c r="I1047" s="4"/>
      <x:c r="J1047" s="4" t="str">
        <x:v>Unspecified</x:v>
      </x:c>
      <x:c r="K1047" s="4" t="str">
        <x:f>IFERROR(INDEX('Crafting recipes'!$D$6:$D$1005,MATCH(B1047,'Crafting recipes'!$A$6:$A$1005,0)),"MISSING ID")</x:f>
        <x:v>Proposal</x:v>
      </x:c>
      <x:c r="L1047" s="4" t="str">
        <x:f>IFERROR(INDEX('Items'!$AD$6:$AD$1005,MATCH(D1047,'Items'!$A$6:$A$1005,0)),"MISSING ID")</x:f>
        <x:v>Proposal</x:v>
      </x:c>
      <x:c r="M1047" s="4" t="str">
        <x:f>IFERROR(INDEX('Crafting recipes'!$E$6:$E$1005,MATCH(B1047,'Crafting recipes'!$A$6:$A$1005,0)),"MISSING ID")</x:f>
        <x:v>Partial proposal</x:v>
      </x:c>
      <x:c r="N1047" s="4" t="str">
        <x:v>Candidate source or part only. Quantity, grade and method remain open.</x:v>
      </x:c>
      <x:c r="O1047" s="4" t="str">
        <x:v>Collection expansion, October 15, 2026. New game proposal.</x:v>
      </x:c>
      <x:c r="P1047" s="4" t="n">
        <x:f>IF(OR(C1047="Ingredient candidate",C1047="Consumed input",C1047="Contained input",C1047="Transform input"),IF(F1047="T0",0,IF(F1047="T1",1,IF(F1047="T2",2,IF(F1047="T3",3,IF(F1047="T4",4,-1))))),-1)</x:f>
        <x:v>1</x:v>
      </x:c>
      <x:c r="Q1047" s="4" t="n">
        <x:f>IF(AND(OR(C1047="Ingredient candidate",C1047="Consumed input",C1047="Contained input",C1047="Transform input"),P1047=-1),1,0)</x:f>
        <x:v>0</x:v>
      </x:c>
    </x:row>
    <x:row r="1048" ht="64" customHeight="1">
      <x:c r="A1048" s="4" t="str">
        <x:v>design.collection.phagia_fauna_savory_filling.out</x:v>
      </x:c>
      <x:c r="B1048" s="4" t="str">
        <x:v>design.collection.phagia_fauna_savory_filling</x:v>
      </x:c>
      <x:c r="C1048" s="4" t="str">
        <x:v>Output</x:v>
      </x:c>
      <x:c r="D1048" s="4" t="str">
        <x:v>proposal.collection.phagia_fauna_savory_filling</x:v>
      </x:c>
      <x:c r="E1048" s="4" t="str">
        <x:f>IFERROR(INDEX('Items'!$B$6:$B$1005,MATCH(D1048,'Items'!$A$6:$A$1005,0)),"MISSING ID")</x:f>
        <x:v>Phagia-fauna savory filling</x:v>
      </x:c>
      <x:c r="F1048" s="4" t="str">
        <x:f>IFERROR(INDEX('Items'!$C$6:$C$1005,MATCH(D1048,'Items'!$A$6:$A$1005,0)),"MISSING ID")</x:f>
        <x:v>T2</x:v>
      </x:c>
      <x:c r="G1048" s="4" t="str">
        <x:f>IFERROR(INDEX('Items'!$D$6:$D$1005,MATCH(D1048,'Items'!$A$6:$A$1005,0)),"MISSING ID")</x:f>
        <x:v>Cooking ingredients</x:v>
      </x:c>
      <x:c r="H1048" s="4" t="str">
        <x:f>IFERROR(INDEX('Items'!$X$6:$X$1005,MATCH(D1048,'Items'!$A$6:$A$1005,0)),"MISSING ID")</x:f>
        <x:v>Food material</x:v>
      </x:c>
      <x:c r="I1048" s="4"/>
      <x:c r="J1048" s="4" t="str">
        <x:v>Unspecified</x:v>
      </x:c>
      <x:c r="K1048" s="4" t="str">
        <x:f>IFERROR(INDEX('Crafting recipes'!$D$6:$D$1005,MATCH(B1048,'Crafting recipes'!$A$6:$A$1005,0)),"MISSING ID")</x:f>
        <x:v>Proposal</x:v>
      </x:c>
      <x:c r="L1048" s="4" t="str">
        <x:f>IFERROR(INDEX('Items'!$AD$6:$AD$1005,MATCH(D1048,'Items'!$A$6:$A$1005,0)),"MISSING ID")</x:f>
        <x:v>Proposal</x:v>
      </x:c>
      <x:c r="M1048" s="4" t="str">
        <x:f>IFERROR(INDEX('Crafting recipes'!$E$6:$E$1005,MATCH(B1048,'Crafting recipes'!$A$6:$A$1005,0)),"MISSING ID")</x:f>
        <x:v>Partial proposal</x:v>
      </x:c>
      <x:c r="N1048" s="4" t="str">
        <x:v>Candidate source or part only. Quantity, grade and method remain open.</x:v>
      </x:c>
      <x:c r="O1048" s="4" t="str">
        <x:v>Collection expansion, October 15, 2026. New game proposal.</x:v>
      </x:c>
      <x:c r="P1048" s="4" t="n">
        <x:f>IF(OR(C1048="Ingredient candidate",C1048="Consumed input",C1048="Contained input",C1048="Transform input"),IF(F1048="T0",0,IF(F1048="T1",1,IF(F1048="T2",2,IF(F1048="T3",3,IF(F1048="T4",4,-1))))),-1)</x:f>
        <x:v>-1</x:v>
      </x:c>
      <x:c r="Q1048" s="4" t="n">
        <x:f>IF(AND(OR(C1048="Ingredient candidate",C1048="Consumed input",C1048="Contained input",C1048="Transform input"),P1048=-1),1,0)</x:f>
        <x:v>0</x:v>
      </x:c>
    </x:row>
    <x:row r="1049" ht="64" customHeight="1">
      <x:c r="A1049" s="4" t="str">
        <x:v>design.collection.pressed_phagia_travel_cake.in.1</x:v>
      </x:c>
      <x:c r="B1049" s="4" t="str">
        <x:v>design.collection.pressed_phagia_travel_cake</x:v>
      </x:c>
      <x:c r="C1049" s="4" t="str">
        <x:v>Ingredient candidate</x:v>
      </x:c>
      <x:c r="D1049" s="4" t="str">
        <x:v>proposal.collection.fine_culinary_phagia_meal</x:v>
      </x:c>
      <x:c r="E1049" s="4" t="str">
        <x:f>IFERROR(INDEX('Items'!$B$6:$B$1005,MATCH(D1049,'Items'!$A$6:$A$1005,0)),"MISSING ID")</x:f>
        <x:v>Fine culinary Phagia meal</x:v>
      </x:c>
      <x:c r="F1049" s="4" t="str">
        <x:f>IFERROR(INDEX('Items'!$C$6:$C$1005,MATCH(D1049,'Items'!$A$6:$A$1005,0)),"MISSING ID")</x:f>
        <x:v>T1</x:v>
      </x:c>
      <x:c r="G1049" s="4" t="str">
        <x:f>IFERROR(INDEX('Items'!$D$6:$D$1005,MATCH(D1049,'Items'!$A$6:$A$1005,0)),"MISSING ID")</x:f>
        <x:v>Cooking ingredients</x:v>
      </x:c>
      <x:c r="H1049" s="4" t="str">
        <x:f>IFERROR(INDEX('Items'!$X$6:$X$1005,MATCH(D1049,'Items'!$A$6:$A$1005,0)),"MISSING ID")</x:f>
        <x:v>Food material</x:v>
      </x:c>
      <x:c r="I1049" s="4"/>
      <x:c r="J1049" s="4" t="str">
        <x:v>Unspecified</x:v>
      </x:c>
      <x:c r="K1049" s="4" t="str">
        <x:f>IFERROR(INDEX('Crafting recipes'!$D$6:$D$1005,MATCH(B1049,'Crafting recipes'!$A$6:$A$1005,0)),"MISSING ID")</x:f>
        <x:v>Proposal</x:v>
      </x:c>
      <x:c r="L1049" s="4" t="str">
        <x:f>IFERROR(INDEX('Items'!$AD$6:$AD$1005,MATCH(D1049,'Items'!$A$6:$A$1005,0)),"MISSING ID")</x:f>
        <x:v>Proposal</x:v>
      </x:c>
      <x:c r="M1049" s="4" t="str">
        <x:f>IFERROR(INDEX('Crafting recipes'!$E$6:$E$1005,MATCH(B1049,'Crafting recipes'!$A$6:$A$1005,0)),"MISSING ID")</x:f>
        <x:v>Partial proposal</x:v>
      </x:c>
      <x:c r="N1049" s="4" t="str">
        <x:v>Candidate source or part only. Quantity, grade and method remain open.</x:v>
      </x:c>
      <x:c r="O1049" s="4" t="str">
        <x:v>Collection expansion, October 15, 2026. New game proposal.</x:v>
      </x:c>
      <x:c r="P1049" s="4" t="n">
        <x:f>IF(OR(C1049="Ingredient candidate",C1049="Consumed input",C1049="Contained input",C1049="Transform input"),IF(F1049="T0",0,IF(F1049="T1",1,IF(F1049="T2",2,IF(F1049="T3",3,IF(F1049="T4",4,-1))))),-1)</x:f>
        <x:v>1</x:v>
      </x:c>
      <x:c r="Q1049" s="4" t="n">
        <x:f>IF(AND(OR(C1049="Ingredient candidate",C1049="Consumed input",C1049="Contained input",C1049="Transform input"),P1049=-1),1,0)</x:f>
        <x:v>0</x:v>
      </x:c>
    </x:row>
    <x:row r="1050" ht="64" customHeight="1">
      <x:c r="A1050" s="4" t="str">
        <x:v>design.collection.pressed_phagia_travel_cake.in.2</x:v>
      </x:c>
      <x:c r="B1050" s="4" t="str">
        <x:v>design.collection.pressed_phagia_travel_cake</x:v>
      </x:c>
      <x:c r="C1050" s="4" t="str">
        <x:v>Ingredient candidate</x:v>
      </x:c>
      <x:c r="D1050" s="4" t="str">
        <x:v>proposal.collection.culinary_phagia_binding_paste</x:v>
      </x:c>
      <x:c r="E1050" s="4" t="str">
        <x:f>IFERROR(INDEX('Items'!$B$6:$B$1005,MATCH(D1050,'Items'!$A$6:$A$1005,0)),"MISSING ID")</x:f>
        <x:v>Culinary Phagia binding paste</x:v>
      </x:c>
      <x:c r="F1050" s="4" t="str">
        <x:f>IFERROR(INDEX('Items'!$C$6:$C$1005,MATCH(D1050,'Items'!$A$6:$A$1005,0)),"MISSING ID")</x:f>
        <x:v>T1</x:v>
      </x:c>
      <x:c r="G1050" s="4" t="str">
        <x:f>IFERROR(INDEX('Items'!$D$6:$D$1005,MATCH(D1050,'Items'!$A$6:$A$1005,0)),"MISSING ID")</x:f>
        <x:v>Cooking ingredients</x:v>
      </x:c>
      <x:c r="H1050" s="4" t="str">
        <x:f>IFERROR(INDEX('Items'!$X$6:$X$1005,MATCH(D1050,'Items'!$A$6:$A$1005,0)),"MISSING ID")</x:f>
        <x:v>Food material</x:v>
      </x:c>
      <x:c r="I1050" s="4"/>
      <x:c r="J1050" s="4" t="str">
        <x:v>Unspecified</x:v>
      </x:c>
      <x:c r="K1050" s="4" t="str">
        <x:f>IFERROR(INDEX('Crafting recipes'!$D$6:$D$1005,MATCH(B1050,'Crafting recipes'!$A$6:$A$1005,0)),"MISSING ID")</x:f>
        <x:v>Proposal</x:v>
      </x:c>
      <x:c r="L1050" s="4" t="str">
        <x:f>IFERROR(INDEX('Items'!$AD$6:$AD$1005,MATCH(D1050,'Items'!$A$6:$A$1005,0)),"MISSING ID")</x:f>
        <x:v>Proposal</x:v>
      </x:c>
      <x:c r="M1050" s="4" t="str">
        <x:f>IFERROR(INDEX('Crafting recipes'!$E$6:$E$1005,MATCH(B1050,'Crafting recipes'!$A$6:$A$1005,0)),"MISSING ID")</x:f>
        <x:v>Partial proposal</x:v>
      </x:c>
      <x:c r="N1050" s="4" t="str">
        <x:v>Candidate source or part only. Quantity, grade and method remain open.</x:v>
      </x:c>
      <x:c r="O1050" s="4" t="str">
        <x:v>Collection expansion, October 15, 2026. New game proposal.</x:v>
      </x:c>
      <x:c r="P1050" s="4" t="n">
        <x:f>IF(OR(C1050="Ingredient candidate",C1050="Consumed input",C1050="Contained input",C1050="Transform input"),IF(F1050="T0",0,IF(F1050="T1",1,IF(F1050="T2",2,IF(F1050="T3",3,IF(F1050="T4",4,-1))))),-1)</x:f>
        <x:v>1</x:v>
      </x:c>
      <x:c r="Q1050" s="4" t="n">
        <x:f>IF(AND(OR(C1050="Ingredient candidate",C1050="Consumed input",C1050="Contained input",C1050="Transform input"),P1050=-1),1,0)</x:f>
        <x:v>0</x:v>
      </x:c>
    </x:row>
    <x:row r="1051" ht="64" customHeight="1">
      <x:c r="A1051" s="4" t="str">
        <x:v>design.collection.pressed_phagia_travel_cake.out</x:v>
      </x:c>
      <x:c r="B1051" s="4" t="str">
        <x:v>design.collection.pressed_phagia_travel_cake</x:v>
      </x:c>
      <x:c r="C1051" s="4" t="str">
        <x:v>Output</x:v>
      </x:c>
      <x:c r="D1051" s="4" t="str">
        <x:v>proposal.collection.pressed_phagia_travel_cake</x:v>
      </x:c>
      <x:c r="E1051" s="4" t="str">
        <x:f>IFERROR(INDEX('Items'!$B$6:$B$1005,MATCH(D1051,'Items'!$A$6:$A$1005,0)),"MISSING ID")</x:f>
        <x:v>Pressed Phagia travel cake</x:v>
      </x:c>
      <x:c r="F1051" s="4" t="str">
        <x:f>IFERROR(INDEX('Items'!$C$6:$C$1005,MATCH(D1051,'Items'!$A$6:$A$1005,0)),"MISSING ID")</x:f>
        <x:v>Not applicable</x:v>
      </x:c>
      <x:c r="G1051" s="4" t="str">
        <x:f>IFERROR(INDEX('Items'!$D$6:$D$1005,MATCH(D1051,'Items'!$A$6:$A$1005,0)),"MISSING ID")</x:f>
        <x:v>Consumables</x:v>
      </x:c>
      <x:c r="H1051" s="4" t="str">
        <x:f>IFERROR(INDEX('Items'!$X$6:$X$1005,MATCH(D1051,'Items'!$A$6:$A$1005,0)),"MISSING ID")</x:f>
        <x:v>Food consumable</x:v>
      </x:c>
      <x:c r="I1051" s="4"/>
      <x:c r="J1051" s="4" t="str">
        <x:v>Unspecified</x:v>
      </x:c>
      <x:c r="K1051" s="4" t="str">
        <x:f>IFERROR(INDEX('Crafting recipes'!$D$6:$D$1005,MATCH(B1051,'Crafting recipes'!$A$6:$A$1005,0)),"MISSING ID")</x:f>
        <x:v>Proposal</x:v>
      </x:c>
      <x:c r="L1051" s="4" t="str">
        <x:f>IFERROR(INDEX('Items'!$AD$6:$AD$1005,MATCH(D1051,'Items'!$A$6:$A$1005,0)),"MISSING ID")</x:f>
        <x:v>Proposal</x:v>
      </x:c>
      <x:c r="M1051" s="4" t="str">
        <x:f>IFERROR(INDEX('Crafting recipes'!$E$6:$E$1005,MATCH(B1051,'Crafting recipes'!$A$6:$A$1005,0)),"MISSING ID")</x:f>
        <x:v>Partial proposal</x:v>
      </x:c>
      <x:c r="N1051" s="4" t="str">
        <x:v>Candidate source or part only. Quantity, grade and method remain open.</x:v>
      </x:c>
      <x:c r="O1051" s="4" t="str">
        <x:v>Collection expansion, October 15, 2026. New game proposal.</x:v>
      </x:c>
      <x:c r="P1051" s="4" t="n">
        <x:f>IF(OR(C1051="Ingredient candidate",C1051="Consumed input",C1051="Contained input",C1051="Transform input"),IF(F1051="T0",0,IF(F1051="T1",1,IF(F1051="T2",2,IF(F1051="T3",3,IF(F1051="T4",4,-1))))),-1)</x:f>
        <x:v>-1</x:v>
      </x:c>
      <x:c r="Q1051" s="4" t="n">
        <x:f>IF(AND(OR(C1051="Ingredient candidate",C1051="Consumed input",C1051="Contained input",C1051="Transform input"),P1051=-1),1,0)</x:f>
        <x:v>0</x:v>
      </x:c>
    </x:row>
    <x:row r="1052" ht="64" customHeight="1">
      <x:c r="A1052" s="4"/>
      <x:c r="B1052" s="4"/>
      <x:c r="C1052" s="4"/>
      <x:c r="D1052" s="4"/>
      <x:c r="E1052" s="4"/>
      <x:c r="F1052" s="4"/>
      <x:c r="G1052" s="4"/>
      <x:c r="H1052" s="4"/>
      <x:c r="I1052" s="4"/>
      <x:c r="K1052" s="4"/>
      <x:c r="L1052" s="4"/>
      <x:c r="M1052" s="4"/>
      <x:c r="N1052" s="4"/>
      <x:c r="O1052" s="4"/>
      <x:c r="P1052" s="4"/>
      <x:c r="Q1052" s="4"/>
    </x:row>
    <x:row r="1053" ht="64" customHeight="1">
      <x:c r="A1053" s="4"/>
      <x:c r="B1053" s="4"/>
      <x:c r="C1053" s="4"/>
      <x:c r="D1053" s="4"/>
      <x:c r="E1053" s="4"/>
      <x:c r="F1053" s="4"/>
      <x:c r="G1053" s="4"/>
      <x:c r="H1053" s="4"/>
      <x:c r="I1053" s="4"/>
      <x:c r="K1053" s="4"/>
      <x:c r="L1053" s="4"/>
      <x:c r="M1053" s="4"/>
      <x:c r="N1053" s="4"/>
      <x:c r="O1053" s="4"/>
      <x:c r="P1053" s="4"/>
      <x:c r="Q1053" s="4"/>
    </x:row>
    <x:row r="1054" ht="64" customHeight="1">
      <x:c r="A1054" s="4"/>
      <x:c r="B1054" s="4"/>
      <x:c r="C1054" s="4"/>
      <x:c r="D1054" s="4"/>
      <x:c r="E1054" s="4"/>
      <x:c r="F1054" s="4"/>
      <x:c r="G1054" s="4"/>
      <x:c r="H1054" s="4"/>
      <x:c r="I1054" s="4"/>
      <x:c r="K1054" s="4"/>
      <x:c r="L1054" s="4"/>
      <x:c r="M1054" s="4"/>
      <x:c r="N1054" s="4"/>
      <x:c r="O1054" s="4"/>
      <x:c r="P1054" s="4"/>
      <x:c r="Q1054" s="4"/>
    </x:row>
    <x:row r="1055" ht="64" customHeight="1">
      <x:c r="A1055" s="4" t="str">
        <x:v>design.collection.layered_savory_phagia_parcel.in.1</x:v>
      </x:c>
      <x:c r="B1055" s="4" t="str">
        <x:v>design.collection.layered_savory_phagia_parcel</x:v>
      </x:c>
      <x:c r="C1055" s="4" t="str">
        <x:v>Ingredient candidate</x:v>
      </x:c>
      <x:c r="D1055" s="4" t="str">
        <x:v>proposal.collection.pressed_culinary_phagia_flakes</x:v>
      </x:c>
      <x:c r="E1055" s="4" t="str">
        <x:f>IFERROR(INDEX('Items'!$B$6:$B$1005,MATCH(D1055,'Items'!$A$6:$A$1005,0)),"MISSING ID")</x:f>
        <x:v>Pressed culinary Phagia flakes</x:v>
      </x:c>
      <x:c r="F1055" s="4" t="str">
        <x:f>IFERROR(INDEX('Items'!$C$6:$C$1005,MATCH(D1055,'Items'!$A$6:$A$1005,0)),"MISSING ID")</x:f>
        <x:v>T1</x:v>
      </x:c>
      <x:c r="G1055" s="4" t="str">
        <x:f>IFERROR(INDEX('Items'!$D$6:$D$1005,MATCH(D1055,'Items'!$A$6:$A$1005,0)),"MISSING ID")</x:f>
        <x:v>Cooking ingredients</x:v>
      </x:c>
      <x:c r="H1055" s="4" t="str">
        <x:f>IFERROR(INDEX('Items'!$X$6:$X$1005,MATCH(D1055,'Items'!$A$6:$A$1005,0)),"MISSING ID")</x:f>
        <x:v>Food material</x:v>
      </x:c>
      <x:c r="I1055" s="4"/>
      <x:c r="J1055" s="4" t="str">
        <x:v>Unspecified</x:v>
      </x:c>
      <x:c r="K1055" s="4" t="str">
        <x:f>IFERROR(INDEX('Crafting recipes'!$D$6:$D$1005,MATCH(B1055,'Crafting recipes'!$A$6:$A$1005,0)),"MISSING ID")</x:f>
        <x:v>Proposal</x:v>
      </x:c>
      <x:c r="L1055" s="4" t="str">
        <x:f>IFERROR(INDEX('Items'!$AD$6:$AD$1005,MATCH(D1055,'Items'!$A$6:$A$1005,0)),"MISSING ID")</x:f>
        <x:v>Proposal</x:v>
      </x:c>
      <x:c r="M1055" s="4" t="str">
        <x:f>IFERROR(INDEX('Crafting recipes'!$E$6:$E$1005,MATCH(B1055,'Crafting recipes'!$A$6:$A$1005,0)),"MISSING ID")</x:f>
        <x:v>Partial proposal</x:v>
      </x:c>
      <x:c r="N1055" s="4" t="str">
        <x:v>Candidate source or part only. Quantity, grade and method remain open.</x:v>
      </x:c>
      <x:c r="O1055" s="4" t="str">
        <x:v>Collection expansion, October 15, 2026. New game proposal.</x:v>
      </x:c>
      <x:c r="P1055" s="4" t="n">
        <x:f>IF(OR(C1055="Ingredient candidate",C1055="Consumed input",C1055="Contained input",C1055="Transform input"),IF(F1055="T0",0,IF(F1055="T1",1,IF(F1055="T2",2,IF(F1055="T3",3,IF(F1055="T4",4,-1))))),-1)</x:f>
        <x:v>1</x:v>
      </x:c>
      <x:c r="Q1055" s="4" t="n">
        <x:f>IF(AND(OR(C1055="Ingredient candidate",C1055="Consumed input",C1055="Contained input",C1055="Transform input"),P1055=-1),1,0)</x:f>
        <x:v>0</x:v>
      </x:c>
    </x:row>
    <x:row r="1056" ht="64" customHeight="1">
      <x:c r="A1056" s="4" t="str">
        <x:v>design.collection.layered_savory_phagia_parcel.in.2</x:v>
      </x:c>
      <x:c r="B1056" s="4" t="str">
        <x:v>design.collection.layered_savory_phagia_parcel</x:v>
      </x:c>
      <x:c r="C1056" s="4" t="str">
        <x:v>Ingredient candidate</x:v>
      </x:c>
      <x:c r="D1056" s="4" t="str">
        <x:v>proposal.collection.phagia_fauna_savory_filling</x:v>
      </x:c>
      <x:c r="E1056" s="4" t="str">
        <x:f>IFERROR(INDEX('Items'!$B$6:$B$1005,MATCH(D1056,'Items'!$A$6:$A$1005,0)),"MISSING ID")</x:f>
        <x:v>Phagia-fauna savory filling</x:v>
      </x:c>
      <x:c r="F1056" s="4" t="str">
        <x:f>IFERROR(INDEX('Items'!$C$6:$C$1005,MATCH(D1056,'Items'!$A$6:$A$1005,0)),"MISSING ID")</x:f>
        <x:v>T2</x:v>
      </x:c>
      <x:c r="G1056" s="4" t="str">
        <x:f>IFERROR(INDEX('Items'!$D$6:$D$1005,MATCH(D1056,'Items'!$A$6:$A$1005,0)),"MISSING ID")</x:f>
        <x:v>Cooking ingredients</x:v>
      </x:c>
      <x:c r="H1056" s="4" t="str">
        <x:f>IFERROR(INDEX('Items'!$X$6:$X$1005,MATCH(D1056,'Items'!$A$6:$A$1005,0)),"MISSING ID")</x:f>
        <x:v>Food material</x:v>
      </x:c>
      <x:c r="I1056" s="4"/>
      <x:c r="J1056" s="4" t="str">
        <x:v>Unspecified</x:v>
      </x:c>
      <x:c r="K1056" s="4" t="str">
        <x:f>IFERROR(INDEX('Crafting recipes'!$D$6:$D$1005,MATCH(B1056,'Crafting recipes'!$A$6:$A$1005,0)),"MISSING ID")</x:f>
        <x:v>Proposal</x:v>
      </x:c>
      <x:c r="L1056" s="4" t="str">
        <x:f>IFERROR(INDEX('Items'!$AD$6:$AD$1005,MATCH(D1056,'Items'!$A$6:$A$1005,0)),"MISSING ID")</x:f>
        <x:v>Proposal</x:v>
      </x:c>
      <x:c r="M1056" s="4" t="str">
        <x:f>IFERROR(INDEX('Crafting recipes'!$E$6:$E$1005,MATCH(B1056,'Crafting recipes'!$A$6:$A$1005,0)),"MISSING ID")</x:f>
        <x:v>Partial proposal</x:v>
      </x:c>
      <x:c r="N1056" s="4" t="str">
        <x:v>Candidate source or part only. Quantity, grade and method remain open.</x:v>
      </x:c>
      <x:c r="O1056" s="4" t="str">
        <x:v>Collection expansion, October 15, 2026. New game proposal.</x:v>
      </x:c>
      <x:c r="P1056" s="4" t="n">
        <x:f>IF(OR(C1056="Ingredient candidate",C1056="Consumed input",C1056="Contained input",C1056="Transform input"),IF(F1056="T0",0,IF(F1056="T1",1,IF(F1056="T2",2,IF(F1056="T3",3,IF(F1056="T4",4,-1))))),-1)</x:f>
        <x:v>2</x:v>
      </x:c>
      <x:c r="Q1056" s="4" t="n">
        <x:f>IF(AND(OR(C1056="Ingredient candidate",C1056="Consumed input",C1056="Contained input",C1056="Transform input"),P1056=-1),1,0)</x:f>
        <x:v>0</x:v>
      </x:c>
    </x:row>
    <x:row r="1057" ht="64" customHeight="1">
      <x:c r="A1057" s="4" t="str">
        <x:v>design.collection.layered_savory_phagia_parcel.out</x:v>
      </x:c>
      <x:c r="B1057" s="4" t="str">
        <x:v>design.collection.layered_savory_phagia_parcel</x:v>
      </x:c>
      <x:c r="C1057" s="4" t="str">
        <x:v>Output</x:v>
      </x:c>
      <x:c r="D1057" s="4" t="str">
        <x:v>proposal.collection.layered_savory_phagia_parcel</x:v>
      </x:c>
      <x:c r="E1057" s="4" t="str">
        <x:f>IFERROR(INDEX('Items'!$B$6:$B$1005,MATCH(D1057,'Items'!$A$6:$A$1005,0)),"MISSING ID")</x:f>
        <x:v>Layered savory Phagia parcel</x:v>
      </x:c>
      <x:c r="F1057" s="4" t="str">
        <x:f>IFERROR(INDEX('Items'!$C$6:$C$1005,MATCH(D1057,'Items'!$A$6:$A$1005,0)),"MISSING ID")</x:f>
        <x:v>Not applicable</x:v>
      </x:c>
      <x:c r="G1057" s="4" t="str">
        <x:f>IFERROR(INDEX('Items'!$D$6:$D$1005,MATCH(D1057,'Items'!$A$6:$A$1005,0)),"MISSING ID")</x:f>
        <x:v>Consumables</x:v>
      </x:c>
      <x:c r="H1057" s="4" t="str">
        <x:f>IFERROR(INDEX('Items'!$X$6:$X$1005,MATCH(D1057,'Items'!$A$6:$A$1005,0)),"MISSING ID")</x:f>
        <x:v>Food consumable</x:v>
      </x:c>
      <x:c r="I1057" s="4"/>
      <x:c r="J1057" s="4" t="str">
        <x:v>Unspecified</x:v>
      </x:c>
      <x:c r="K1057" s="4" t="str">
        <x:f>IFERROR(INDEX('Crafting recipes'!$D$6:$D$1005,MATCH(B1057,'Crafting recipes'!$A$6:$A$1005,0)),"MISSING ID")</x:f>
        <x:v>Proposal</x:v>
      </x:c>
      <x:c r="L1057" s="4" t="str">
        <x:f>IFERROR(INDEX('Items'!$AD$6:$AD$1005,MATCH(D1057,'Items'!$A$6:$A$1005,0)),"MISSING ID")</x:f>
        <x:v>Proposal</x:v>
      </x:c>
      <x:c r="M1057" s="4" t="str">
        <x:f>IFERROR(INDEX('Crafting recipes'!$E$6:$E$1005,MATCH(B1057,'Crafting recipes'!$A$6:$A$1005,0)),"MISSING ID")</x:f>
        <x:v>Partial proposal</x:v>
      </x:c>
      <x:c r="N1057" s="4" t="str">
        <x:v>Candidate source or part only. Quantity, grade and method remain open.</x:v>
      </x:c>
      <x:c r="O1057" s="4" t="str">
        <x:v>Collection expansion, October 15, 2026. New game proposal.</x:v>
      </x:c>
      <x:c r="P1057" s="4" t="n">
        <x:f>IF(OR(C1057="Ingredient candidate",C1057="Consumed input",C1057="Contained input",C1057="Transform input"),IF(F1057="T0",0,IF(F1057="T1",1,IF(F1057="T2",2,IF(F1057="T3",3,IF(F1057="T4",4,-1))))),-1)</x:f>
        <x:v>-1</x:v>
      </x:c>
      <x:c r="Q1057" s="4" t="n">
        <x:f>IF(AND(OR(C1057="Ingredient candidate",C1057="Consumed input",C1057="Contained input",C1057="Transform input"),P1057=-1),1,0)</x:f>
        <x:v>0</x:v>
      </x:c>
    </x:row>
    <x:row r="1058" ht="64" customHeight="1">
      <x:c r="A1058" s="4"/>
      <x:c r="B1058" s="4"/>
      <x:c r="C1058" s="4"/>
      <x:c r="D1058" s="4"/>
      <x:c r="E1058" s="4"/>
      <x:c r="F1058" s="4"/>
      <x:c r="G1058" s="4"/>
      <x:c r="H1058" s="4"/>
      <x:c r="I1058" s="4"/>
      <x:c r="K1058" s="4"/>
      <x:c r="L1058" s="4"/>
      <x:c r="M1058" s="4"/>
      <x:c r="N1058" s="4"/>
      <x:c r="O1058" s="4"/>
      <x:c r="P1058" s="4"/>
      <x:c r="Q1058" s="4"/>
    </x:row>
    <x:row r="1059" ht="64" customHeight="1">
      <x:c r="A1059" s="4"/>
      <x:c r="B1059" s="4"/>
      <x:c r="C1059" s="4"/>
      <x:c r="D1059" s="4"/>
      <x:c r="E1059" s="4"/>
      <x:c r="F1059" s="4"/>
      <x:c r="G1059" s="4"/>
      <x:c r="H1059" s="4"/>
      <x:c r="I1059" s="4"/>
      <x:c r="K1059" s="4"/>
      <x:c r="L1059" s="4"/>
      <x:c r="M1059" s="4"/>
      <x:c r="N1059" s="4"/>
      <x:c r="O1059" s="4"/>
      <x:c r="P1059" s="4"/>
      <x:c r="Q1059" s="4"/>
    </x:row>
    <x:row r="1060" ht="64" customHeight="1">
      <x:c r="A1060" s="4" t="str">
        <x:v>design.collection.smooth_phagia_curd_drink.in.1</x:v>
      </x:c>
      <x:c r="B1060" s="4" t="str">
        <x:v>design.collection.smooth_phagia_curd_drink</x:v>
      </x:c>
      <x:c r="C1060" s="4" t="str">
        <x:v>Ingredient candidate</x:v>
      </x:c>
      <x:c r="D1060" s="4" t="str">
        <x:v>proposal.collection.drained_culinary_phagia_curd</x:v>
      </x:c>
      <x:c r="E1060" s="4" t="str">
        <x:f>IFERROR(INDEX('Items'!$B$6:$B$1005,MATCH(D1060,'Items'!$A$6:$A$1005,0)),"MISSING ID")</x:f>
        <x:v>Drained culinary Phagia curd</x:v>
      </x:c>
      <x:c r="F1060" s="4" t="str">
        <x:f>IFERROR(INDEX('Items'!$C$6:$C$1005,MATCH(D1060,'Items'!$A$6:$A$1005,0)),"MISSING ID")</x:f>
        <x:v>T1</x:v>
      </x:c>
      <x:c r="G1060" s="4" t="str">
        <x:f>IFERROR(INDEX('Items'!$D$6:$D$1005,MATCH(D1060,'Items'!$A$6:$A$1005,0)),"MISSING ID")</x:f>
        <x:v>Cooking ingredients</x:v>
      </x:c>
      <x:c r="H1060" s="4" t="str">
        <x:f>IFERROR(INDEX('Items'!$X$6:$X$1005,MATCH(D1060,'Items'!$A$6:$A$1005,0)),"MISSING ID")</x:f>
        <x:v>Food material</x:v>
      </x:c>
      <x:c r="I1060" s="4"/>
      <x:c r="J1060" s="4" t="str">
        <x:v>Unspecified</x:v>
      </x:c>
      <x:c r="K1060" s="4" t="str">
        <x:f>IFERROR(INDEX('Crafting recipes'!$D$6:$D$1005,MATCH(B1060,'Crafting recipes'!$A$6:$A$1005,0)),"MISSING ID")</x:f>
        <x:v>Proposal</x:v>
      </x:c>
      <x:c r="L1060" s="4" t="str">
        <x:f>IFERROR(INDEX('Items'!$AD$6:$AD$1005,MATCH(D1060,'Items'!$A$6:$A$1005,0)),"MISSING ID")</x:f>
        <x:v>Proposal</x:v>
      </x:c>
      <x:c r="M1060" s="4" t="str">
        <x:f>IFERROR(INDEX('Crafting recipes'!$E$6:$E$1005,MATCH(B1060,'Crafting recipes'!$A$6:$A$1005,0)),"MISSING ID")</x:f>
        <x:v>Partial proposal</x:v>
      </x:c>
      <x:c r="N1060" s="4" t="str">
        <x:v>Candidate source or part only. Quantity, grade and method remain open.</x:v>
      </x:c>
      <x:c r="O1060" s="4" t="str">
        <x:v>Collection expansion, October 15, 2026. New game proposal.</x:v>
      </x:c>
      <x:c r="P1060" s="4" t="n">
        <x:f>IF(OR(C1060="Ingredient candidate",C1060="Consumed input",C1060="Contained input",C1060="Transform input"),IF(F1060="T0",0,IF(F1060="T1",1,IF(F1060="T2",2,IF(F1060="T3",3,IF(F1060="T4",4,-1))))),-1)</x:f>
        <x:v>1</x:v>
      </x:c>
      <x:c r="Q1060" s="4" t="n">
        <x:f>IF(AND(OR(C1060="Ingredient candidate",C1060="Consumed input",C1060="Contained input",C1060="Transform input"),P1060=-1),1,0)</x:f>
        <x:v>0</x:v>
      </x:c>
    </x:row>
    <x:row r="1061" ht="64" customHeight="1">
      <x:c r="A1061" s="4" t="str">
        <x:v>design.collection.smooth_phagia_curd_drink.in.2</x:v>
      </x:c>
      <x:c r="B1061" s="4" t="str">
        <x:v>design.collection.smooth_phagia_curd_drink</x:v>
      </x:c>
      <x:c r="C1061" s="4" t="str">
        <x:v>Ingredient candidate</x:v>
      </x:c>
      <x:c r="D1061" s="4" t="str">
        <x:v>proposal.collection.culinary_phagia_liquid_fraction</x:v>
      </x:c>
      <x:c r="E1061" s="4" t="str">
        <x:f>IFERROR(INDEX('Items'!$B$6:$B$1005,MATCH(D1061,'Items'!$A$6:$A$1005,0)),"MISSING ID")</x:f>
        <x:v>Culinary Phagia liquid fraction</x:v>
      </x:c>
      <x:c r="F1061" s="4" t="str">
        <x:f>IFERROR(INDEX('Items'!$C$6:$C$1005,MATCH(D1061,'Items'!$A$6:$A$1005,0)),"MISSING ID")</x:f>
        <x:v>T1</x:v>
      </x:c>
      <x:c r="G1061" s="4" t="str">
        <x:f>IFERROR(INDEX('Items'!$D$6:$D$1005,MATCH(D1061,'Items'!$A$6:$A$1005,0)),"MISSING ID")</x:f>
        <x:v>Cooking ingredients</x:v>
      </x:c>
      <x:c r="H1061" s="4" t="str">
        <x:f>IFERROR(INDEX('Items'!$X$6:$X$1005,MATCH(D1061,'Items'!$A$6:$A$1005,0)),"MISSING ID")</x:f>
        <x:v>Food material</x:v>
      </x:c>
      <x:c r="I1061" s="4"/>
      <x:c r="J1061" s="4" t="str">
        <x:v>Unspecified</x:v>
      </x:c>
      <x:c r="K1061" s="4" t="str">
        <x:f>IFERROR(INDEX('Crafting recipes'!$D$6:$D$1005,MATCH(B1061,'Crafting recipes'!$A$6:$A$1005,0)),"MISSING ID")</x:f>
        <x:v>Proposal</x:v>
      </x:c>
      <x:c r="L1061" s="4" t="str">
        <x:f>IFERROR(INDEX('Items'!$AD$6:$AD$1005,MATCH(D1061,'Items'!$A$6:$A$1005,0)),"MISSING ID")</x:f>
        <x:v>Proposal</x:v>
      </x:c>
      <x:c r="M1061" s="4" t="str">
        <x:f>IFERROR(INDEX('Crafting recipes'!$E$6:$E$1005,MATCH(B1061,'Crafting recipes'!$A$6:$A$1005,0)),"MISSING ID")</x:f>
        <x:v>Partial proposal</x:v>
      </x:c>
      <x:c r="N1061" s="4" t="str">
        <x:v>Candidate source or part only. Quantity, grade and method remain open.</x:v>
      </x:c>
      <x:c r="O1061" s="4" t="str">
        <x:v>Collection expansion, October 15, 2026. New game proposal.</x:v>
      </x:c>
      <x:c r="P1061" s="4" t="n">
        <x:f>IF(OR(C1061="Ingredient candidate",C1061="Consumed input",C1061="Contained input",C1061="Transform input"),IF(F1061="T0",0,IF(F1061="T1",1,IF(F1061="T2",2,IF(F1061="T3",3,IF(F1061="T4",4,-1))))),-1)</x:f>
        <x:v>1</x:v>
      </x:c>
      <x:c r="Q1061" s="4" t="n">
        <x:f>IF(AND(OR(C1061="Ingredient candidate",C1061="Consumed input",C1061="Contained input",C1061="Transform input"),P1061=-1),1,0)</x:f>
        <x:v>0</x:v>
      </x:c>
    </x:row>
    <x:row r="1062" ht="64" customHeight="1">
      <x:c r="A1062" s="4" t="str">
        <x:v>design.collection.smooth_phagia_curd_drink.out</x:v>
      </x:c>
      <x:c r="B1062" s="4" t="str">
        <x:v>design.collection.smooth_phagia_curd_drink</x:v>
      </x:c>
      <x:c r="C1062" s="4" t="str">
        <x:v>Output</x:v>
      </x:c>
      <x:c r="D1062" s="4" t="str">
        <x:v>proposal.collection.smooth_phagia_curd_drink</x:v>
      </x:c>
      <x:c r="E1062" s="4" t="str">
        <x:f>IFERROR(INDEX('Items'!$B$6:$B$1005,MATCH(D1062,'Items'!$A$6:$A$1005,0)),"MISSING ID")</x:f>
        <x:v>Smooth Phagia curd drink</x:v>
      </x:c>
      <x:c r="F1062" s="4" t="str">
        <x:f>IFERROR(INDEX('Items'!$C$6:$C$1005,MATCH(D1062,'Items'!$A$6:$A$1005,0)),"MISSING ID")</x:f>
        <x:v>Not applicable</x:v>
      </x:c>
      <x:c r="G1062" s="4" t="str">
        <x:f>IFERROR(INDEX('Items'!$D$6:$D$1005,MATCH(D1062,'Items'!$A$6:$A$1005,0)),"MISSING ID")</x:f>
        <x:v>Consumables</x:v>
      </x:c>
      <x:c r="H1062" s="4" t="str">
        <x:f>IFERROR(INDEX('Items'!$X$6:$X$1005,MATCH(D1062,'Items'!$A$6:$A$1005,0)),"MISSING ID")</x:f>
        <x:v>Drink consumable</x:v>
      </x:c>
      <x:c r="I1062" s="4"/>
      <x:c r="J1062" s="4" t="str">
        <x:v>Unspecified</x:v>
      </x:c>
      <x:c r="K1062" s="4" t="str">
        <x:f>IFERROR(INDEX('Crafting recipes'!$D$6:$D$1005,MATCH(B1062,'Crafting recipes'!$A$6:$A$1005,0)),"MISSING ID")</x:f>
        <x:v>Proposal</x:v>
      </x:c>
      <x:c r="L1062" s="4" t="str">
        <x:f>IFERROR(INDEX('Items'!$AD$6:$AD$1005,MATCH(D1062,'Items'!$A$6:$A$1005,0)),"MISSING ID")</x:f>
        <x:v>Proposal</x:v>
      </x:c>
      <x:c r="M1062" s="4" t="str">
        <x:f>IFERROR(INDEX('Crafting recipes'!$E$6:$E$1005,MATCH(B1062,'Crafting recipes'!$A$6:$A$1005,0)),"MISSING ID")</x:f>
        <x:v>Partial proposal</x:v>
      </x:c>
      <x:c r="N1062" s="4" t="str">
        <x:v>Candidate source or part only. Quantity, grade and method remain open.</x:v>
      </x:c>
      <x:c r="O1062" s="4" t="str">
        <x:v>Collection expansion, October 15, 2026. New game proposal.</x:v>
      </x:c>
      <x:c r="P1062" s="4" t="n">
        <x:f>IF(OR(C1062="Ingredient candidate",C1062="Consumed input",C1062="Contained input",C1062="Transform input"),IF(F1062="T0",0,IF(F1062="T1",1,IF(F1062="T2",2,IF(F1062="T3",3,IF(F1062="T4",4,-1))))),-1)</x:f>
        <x:v>-1</x:v>
      </x:c>
      <x:c r="Q1062" s="4" t="n">
        <x:f>IF(AND(OR(C1062="Ingredient candidate",C1062="Consumed input",C1062="Contained input",C1062="Transform input"),P1062=-1),1,0)</x:f>
        <x:v>0</x:v>
      </x:c>
    </x:row>
    <x:row r="1063" ht="64" customHeight="1">
      <x:c r="A1063" s="4"/>
      <x:c r="B1063" s="4"/>
      <x:c r="C1063" s="4"/>
      <x:c r="D1063" s="4"/>
      <x:c r="E1063" s="4"/>
      <x:c r="F1063" s="4"/>
      <x:c r="G1063" s="4"/>
      <x:c r="H1063" s="4"/>
      <x:c r="I1063" s="4"/>
      <x:c r="K1063" s="4"/>
      <x:c r="L1063" s="4"/>
      <x:c r="M1063" s="4"/>
      <x:c r="N1063" s="4"/>
      <x:c r="O1063" s="4"/>
      <x:c r="P1063" s="4"/>
      <x:c r="Q1063" s="4"/>
    </x:row>
    <x:row r="1064" ht="64" customHeight="1">
      <x:c r="A1064" s="4"/>
      <x:c r="B1064" s="4"/>
      <x:c r="C1064" s="4"/>
      <x:c r="D1064" s="4"/>
      <x:c r="E1064" s="4"/>
      <x:c r="F1064" s="4"/>
      <x:c r="G1064" s="4"/>
      <x:c r="H1064" s="4"/>
      <x:c r="I1064" s="4"/>
      <x:c r="K1064" s="4"/>
      <x:c r="L1064" s="4"/>
      <x:c r="M1064" s="4"/>
      <x:c r="N1064" s="4"/>
      <x:c r="O1064" s="4"/>
      <x:c r="P1064" s="4"/>
      <x:c r="Q1064" s="4"/>
    </x:row>
    <x:row r="1065" ht="64" customHeight="1">
      <x:c r="A1065" s="4"/>
      <x:c r="B1065" s="4"/>
      <x:c r="C1065" s="4"/>
      <x:c r="D1065" s="4"/>
      <x:c r="E1065" s="4"/>
      <x:c r="F1065" s="4"/>
      <x:c r="G1065" s="4"/>
      <x:c r="H1065" s="4"/>
      <x:c r="I1065" s="4"/>
      <x:c r="K1065" s="4"/>
      <x:c r="L1065" s="4"/>
      <x:c r="M1065" s="4"/>
      <x:c r="N1065" s="4"/>
      <x:c r="O1065" s="4"/>
      <x:c r="P1065" s="4"/>
      <x:c r="Q1065" s="4"/>
    </x:row>
    <x:row r="1066" ht="64" customHeight="1">
      <x:c r="A1066" s="4" t="str">
        <x:v>design.collection.savory_mineral_phagia_drink.in.1</x:v>
      </x:c>
      <x:c r="B1066" s="4" t="str">
        <x:v>design.collection.savory_mineral_phagia_drink</x:v>
      </x:c>
      <x:c r="C1066" s="4" t="str">
        <x:v>Ingredient candidate</x:v>
      </x:c>
      <x:c r="D1066" s="4" t="str">
        <x:v>proposal.collection.food_grade_mineral_seasoning</x:v>
      </x:c>
      <x:c r="E1066" s="4" t="str">
        <x:f>IFERROR(INDEX('Items'!$B$6:$B$1005,MATCH(D1066,'Items'!$A$6:$A$1005,0)),"MISSING ID")</x:f>
        <x:v>Food-grade mineral seasoning</x:v>
      </x:c>
      <x:c r="F1066" s="4" t="str">
        <x:f>IFERROR(INDEX('Items'!$C$6:$C$1005,MATCH(D1066,'Items'!$A$6:$A$1005,0)),"MISSING ID")</x:f>
        <x:v>T1</x:v>
      </x:c>
      <x:c r="G1066" s="4" t="str">
        <x:f>IFERROR(INDEX('Items'!$D$6:$D$1005,MATCH(D1066,'Items'!$A$6:$A$1005,0)),"MISSING ID")</x:f>
        <x:v>Cooking ingredients</x:v>
      </x:c>
      <x:c r="H1066" s="4" t="str">
        <x:f>IFERROR(INDEX('Items'!$X$6:$X$1005,MATCH(D1066,'Items'!$A$6:$A$1005,0)),"MISSING ID")</x:f>
        <x:v>Food material</x:v>
      </x:c>
      <x:c r="I1066" s="4"/>
      <x:c r="J1066" s="4" t="str">
        <x:v>Unspecified</x:v>
      </x:c>
      <x:c r="K1066" s="4" t="str">
        <x:f>IFERROR(INDEX('Crafting recipes'!$D$6:$D$1005,MATCH(B1066,'Crafting recipes'!$A$6:$A$1005,0)),"MISSING ID")</x:f>
        <x:v>Proposal</x:v>
      </x:c>
      <x:c r="L1066" s="4" t="str">
        <x:f>IFERROR(INDEX('Items'!$AD$6:$AD$1005,MATCH(D1066,'Items'!$A$6:$A$1005,0)),"MISSING ID")</x:f>
        <x:v>Proposal</x:v>
      </x:c>
      <x:c r="M1066" s="4" t="str">
        <x:f>IFERROR(INDEX('Crafting recipes'!$E$6:$E$1005,MATCH(B1066,'Crafting recipes'!$A$6:$A$1005,0)),"MISSING ID")</x:f>
        <x:v>Partial proposal</x:v>
      </x:c>
      <x:c r="N1066" s="4" t="str">
        <x:v>Candidate source or part only. Quantity, grade and method remain open.</x:v>
      </x:c>
      <x:c r="O1066" s="4" t="str">
        <x:v>Collection expansion, October 15, 2026. New game proposal.</x:v>
      </x:c>
      <x:c r="P1066" s="4" t="n">
        <x:f>IF(OR(C1066="Ingredient candidate",C1066="Consumed input",C1066="Contained input",C1066="Transform input"),IF(F1066="T0",0,IF(F1066="T1",1,IF(F1066="T2",2,IF(F1066="T3",3,IF(F1066="T4",4,-1))))),-1)</x:f>
        <x:v>1</x:v>
      </x:c>
      <x:c r="Q1066" s="4" t="n">
        <x:f>IF(AND(OR(C1066="Ingredient candidate",C1066="Consumed input",C1066="Contained input",C1066="Transform input"),P1066=-1),1,0)</x:f>
        <x:v>0</x:v>
      </x:c>
    </x:row>
    <x:row r="1067" ht="64" customHeight="1">
      <x:c r="A1067" s="4" t="str">
        <x:v>design.collection.savory_mineral_phagia_drink.in.2</x:v>
      </x:c>
      <x:c r="B1067" s="4" t="str">
        <x:v>design.collection.savory_mineral_phagia_drink</x:v>
      </x:c>
      <x:c r="C1067" s="4" t="str">
        <x:v>Ingredient candidate</x:v>
      </x:c>
      <x:c r="D1067" s="4" t="str">
        <x:v>proposal.collection.culinary_phagia_liquid_fraction</x:v>
      </x:c>
      <x:c r="E1067" s="4" t="str">
        <x:f>IFERROR(INDEX('Items'!$B$6:$B$1005,MATCH(D1067,'Items'!$A$6:$A$1005,0)),"MISSING ID")</x:f>
        <x:v>Culinary Phagia liquid fraction</x:v>
      </x:c>
      <x:c r="F1067" s="4" t="str">
        <x:f>IFERROR(INDEX('Items'!$C$6:$C$1005,MATCH(D1067,'Items'!$A$6:$A$1005,0)),"MISSING ID")</x:f>
        <x:v>T1</x:v>
      </x:c>
      <x:c r="G1067" s="4" t="str">
        <x:f>IFERROR(INDEX('Items'!$D$6:$D$1005,MATCH(D1067,'Items'!$A$6:$A$1005,0)),"MISSING ID")</x:f>
        <x:v>Cooking ingredients</x:v>
      </x:c>
      <x:c r="H1067" s="4" t="str">
        <x:f>IFERROR(INDEX('Items'!$X$6:$X$1005,MATCH(D1067,'Items'!$A$6:$A$1005,0)),"MISSING ID")</x:f>
        <x:v>Food material</x:v>
      </x:c>
      <x:c r="I1067" s="4"/>
      <x:c r="J1067" s="4" t="str">
        <x:v>Unspecified</x:v>
      </x:c>
      <x:c r="K1067" s="4" t="str">
        <x:f>IFERROR(INDEX('Crafting recipes'!$D$6:$D$1005,MATCH(B1067,'Crafting recipes'!$A$6:$A$1005,0)),"MISSING ID")</x:f>
        <x:v>Proposal</x:v>
      </x:c>
      <x:c r="L1067" s="4" t="str">
        <x:f>IFERROR(INDEX('Items'!$AD$6:$AD$1005,MATCH(D1067,'Items'!$A$6:$A$1005,0)),"MISSING ID")</x:f>
        <x:v>Proposal</x:v>
      </x:c>
      <x:c r="M1067" s="4" t="str">
        <x:f>IFERROR(INDEX('Crafting recipes'!$E$6:$E$1005,MATCH(B1067,'Crafting recipes'!$A$6:$A$1005,0)),"MISSING ID")</x:f>
        <x:v>Partial proposal</x:v>
      </x:c>
      <x:c r="N1067" s="4" t="str">
        <x:v>Candidate source or part only. Quantity, grade and method remain open.</x:v>
      </x:c>
      <x:c r="O1067" s="4" t="str">
        <x:v>Collection expansion, October 15, 2026. New game proposal.</x:v>
      </x:c>
      <x:c r="P1067" s="4" t="n">
        <x:f>IF(OR(C1067="Ingredient candidate",C1067="Consumed input",C1067="Contained input",C1067="Transform input"),IF(F1067="T0",0,IF(F1067="T1",1,IF(F1067="T2",2,IF(F1067="T3",3,IF(F1067="T4",4,-1))))),-1)</x:f>
        <x:v>1</x:v>
      </x:c>
      <x:c r="Q1067" s="4" t="n">
        <x:f>IF(AND(OR(C1067="Ingredient candidate",C1067="Consumed input",C1067="Contained input",C1067="Transform input"),P1067=-1),1,0)</x:f>
        <x:v>0</x:v>
      </x:c>
    </x:row>
    <x:row r="1068" ht="64" customHeight="1">
      <x:c r="A1068" s="4" t="str">
        <x:v>design.collection.savory_mineral_phagia_drink.out</x:v>
      </x:c>
      <x:c r="B1068" s="4" t="str">
        <x:v>design.collection.savory_mineral_phagia_drink</x:v>
      </x:c>
      <x:c r="C1068" s="4" t="str">
        <x:v>Output</x:v>
      </x:c>
      <x:c r="D1068" s="4" t="str">
        <x:v>proposal.collection.savory_mineral_phagia_drink</x:v>
      </x:c>
      <x:c r="E1068" s="4" t="str">
        <x:f>IFERROR(INDEX('Items'!$B$6:$B$1005,MATCH(D1068,'Items'!$A$6:$A$1005,0)),"MISSING ID")</x:f>
        <x:v>Savory mineral Phagia drink</x:v>
      </x:c>
      <x:c r="F1068" s="4" t="str">
        <x:f>IFERROR(INDEX('Items'!$C$6:$C$1005,MATCH(D1068,'Items'!$A$6:$A$1005,0)),"MISSING ID")</x:f>
        <x:v>Not applicable</x:v>
      </x:c>
      <x:c r="G1068" s="4" t="str">
        <x:f>IFERROR(INDEX('Items'!$D$6:$D$1005,MATCH(D1068,'Items'!$A$6:$A$1005,0)),"MISSING ID")</x:f>
        <x:v>Consumables</x:v>
      </x:c>
      <x:c r="H1068" s="4" t="str">
        <x:f>IFERROR(INDEX('Items'!$X$6:$X$1005,MATCH(D1068,'Items'!$A$6:$A$1005,0)),"MISSING ID")</x:f>
        <x:v>Drink consumable</x:v>
      </x:c>
      <x:c r="I1068" s="4"/>
      <x:c r="J1068" s="4" t="str">
        <x:v>Unspecified</x:v>
      </x:c>
      <x:c r="K1068" s="4" t="str">
        <x:f>IFERROR(INDEX('Crafting recipes'!$D$6:$D$1005,MATCH(B1068,'Crafting recipes'!$A$6:$A$1005,0)),"MISSING ID")</x:f>
        <x:v>Proposal</x:v>
      </x:c>
      <x:c r="L1068" s="4" t="str">
        <x:f>IFERROR(INDEX('Items'!$AD$6:$AD$1005,MATCH(D1068,'Items'!$A$6:$A$1005,0)),"MISSING ID")</x:f>
        <x:v>Proposal</x:v>
      </x:c>
      <x:c r="M1068" s="4" t="str">
        <x:f>IFERROR(INDEX('Crafting recipes'!$E$6:$E$1005,MATCH(B1068,'Crafting recipes'!$A$6:$A$1005,0)),"MISSING ID")</x:f>
        <x:v>Partial proposal</x:v>
      </x:c>
      <x:c r="N1068" s="4" t="str">
        <x:v>Candidate source or part only. Quantity, grade and method remain open.</x:v>
      </x:c>
      <x:c r="O1068" s="4" t="str">
        <x:v>Collection expansion, October 15, 2026. New game proposal.</x:v>
      </x:c>
      <x:c r="P1068" s="4" t="n">
        <x:f>IF(OR(C1068="Ingredient candidate",C1068="Consumed input",C1068="Contained input",C1068="Transform input"),IF(F1068="T0",0,IF(F1068="T1",1,IF(F1068="T2",2,IF(F1068="T3",3,IF(F1068="T4",4,-1))))),-1)</x:f>
        <x:v>-1</x:v>
      </x:c>
      <x:c r="Q1068" s="4" t="n">
        <x:f>IF(AND(OR(C1068="Ingredient candidate",C1068="Consumed input",C1068="Contained input",C1068="Transform input"),P1068=-1),1,0)</x:f>
        <x:v>0</x:v>
      </x:c>
    </x:row>
    <x:row r="1069" ht="64" customHeight="1">
      <x:c r="A1069" s="4"/>
      <x:c r="B1069" s="4"/>
      <x:c r="C1069" s="4"/>
      <x:c r="D1069" s="4"/>
      <x:c r="E1069" s="4"/>
      <x:c r="F1069" s="4"/>
      <x:c r="G1069" s="4"/>
      <x:c r="H1069" s="4"/>
      <x:c r="I1069" s="4"/>
      <x:c r="K1069" s="4"/>
      <x:c r="L1069" s="4"/>
      <x:c r="M1069" s="4"/>
      <x:c r="N1069" s="4"/>
      <x:c r="O1069" s="4"/>
      <x:c r="P1069" s="4"/>
      <x:c r="Q1069" s="4"/>
    </x:row>
    <x:row r="1070" ht="64" customHeight="1">
      <x:c r="A1070" s="4"/>
      <x:c r="B1070" s="4"/>
      <x:c r="C1070" s="4"/>
      <x:c r="D1070" s="4"/>
      <x:c r="E1070" s="4"/>
      <x:c r="F1070" s="4"/>
      <x:c r="G1070" s="4"/>
      <x:c r="H1070" s="4"/>
      <x:c r="I1070" s="4"/>
      <x:c r="K1070" s="4"/>
      <x:c r="L1070" s="4"/>
      <x:c r="M1070" s="4"/>
      <x:c r="N1070" s="4"/>
      <x:c r="O1070" s="4"/>
      <x:c r="P1070" s="4"/>
      <x:c r="Q1070" s="4"/>
    </x:row>
    <x:row r="1071" ht="64" customHeight="1">
      <x:c r="A1071" s="4"/>
      <x:c r="B1071" s="4"/>
      <x:c r="C1071" s="4"/>
      <x:c r="D1071" s="4"/>
      <x:c r="E1071" s="4"/>
      <x:c r="F1071" s="4"/>
      <x:c r="G1071" s="4"/>
      <x:c r="H1071" s="4"/>
      <x:c r="I1071" s="4"/>
      <x:c r="K1071" s="4"/>
      <x:c r="L1071" s="4"/>
      <x:c r="M1071" s="4"/>
      <x:c r="N1071" s="4"/>
      <x:c r="O1071" s="4"/>
      <x:c r="P1071" s="4"/>
      <x:c r="Q1071" s="4"/>
    </x:row>
    <x:row r="1072" ht="64" customHeight="1">
      <x:c r="A1072" s="4"/>
      <x:c r="B1072" s="4"/>
      <x:c r="C1072" s="4"/>
      <x:c r="D1072" s="4"/>
      <x:c r="E1072" s="4"/>
      <x:c r="F1072" s="4"/>
      <x:c r="G1072" s="4"/>
      <x:c r="H1072" s="4"/>
      <x:c r="I1072" s="4"/>
      <x:c r="K1072" s="4"/>
      <x:c r="L1072" s="4"/>
      <x:c r="M1072" s="4"/>
      <x:c r="N1072" s="4"/>
      <x:c r="O1072" s="4"/>
      <x:c r="P1072" s="4"/>
      <x:c r="Q1072" s="4"/>
    </x:row>
    <x:row r="1073" ht="64" customHeight="1">
      <x:c r="A1073" s="4"/>
      <x:c r="B1073" s="4"/>
      <x:c r="C1073" s="4"/>
      <x:c r="D1073" s="4"/>
      <x:c r="E1073" s="4"/>
      <x:c r="F1073" s="4"/>
      <x:c r="G1073" s="4"/>
      <x:c r="H1073" s="4"/>
      <x:c r="I1073" s="4"/>
      <x:c r="K1073" s="4"/>
      <x:c r="L1073" s="4"/>
      <x:c r="M1073" s="4"/>
      <x:c r="N1073" s="4"/>
      <x:c r="O1073" s="4"/>
      <x:c r="P1073" s="4"/>
      <x:c r="Q1073" s="4"/>
    </x:row>
    <x:row r="1074" ht="64" customHeight="1">
      <x:c r="A1074" s="4"/>
      <x:c r="B1074" s="4"/>
      <x:c r="C1074" s="4"/>
      <x:c r="D1074" s="4"/>
      <x:c r="E1074" s="4"/>
      <x:c r="F1074" s="4"/>
      <x:c r="G1074" s="4"/>
      <x:c r="H1074" s="4"/>
      <x:c r="I1074" s="4"/>
      <x:c r="K1074" s="4"/>
      <x:c r="L1074" s="4"/>
      <x:c r="M1074" s="4"/>
      <x:c r="N1074" s="4"/>
      <x:c r="O1074" s="4"/>
      <x:c r="P1074" s="4"/>
      <x:c r="Q1074" s="4"/>
    </x:row>
    <x:row r="1075" ht="64" customHeight="1">
      <x:c r="A1075" s="4"/>
      <x:c r="B1075" s="4"/>
      <x:c r="C1075" s="4"/>
      <x:c r="D1075" s="4"/>
      <x:c r="E1075" s="4"/>
      <x:c r="F1075" s="4"/>
      <x:c r="G1075" s="4"/>
      <x:c r="H1075" s="4"/>
      <x:c r="I1075" s="4"/>
      <x:c r="K1075" s="4"/>
      <x:c r="L1075" s="4"/>
      <x:c r="M1075" s="4"/>
      <x:c r="N1075" s="4"/>
      <x:c r="O1075" s="4"/>
      <x:c r="P1075" s="4"/>
      <x:c r="Q1075" s="4"/>
    </x:row>
    <x:row r="1076" ht="64" customHeight="1">
      <x:c r="A1076" s="4"/>
      <x:c r="B1076" s="4"/>
      <x:c r="C1076" s="4"/>
      <x:c r="D1076" s="4"/>
      <x:c r="E1076" s="4"/>
      <x:c r="F1076" s="4"/>
      <x:c r="G1076" s="4"/>
      <x:c r="H1076" s="4"/>
      <x:c r="I1076" s="4"/>
      <x:c r="K1076" s="4"/>
      <x:c r="L1076" s="4"/>
      <x:c r="M1076" s="4"/>
      <x:c r="N1076" s="4"/>
      <x:c r="O1076" s="4"/>
      <x:c r="P1076" s="4"/>
      <x:c r="Q1076" s="4"/>
    </x:row>
    <x:row r="1077" ht="64" customHeight="1">
      <x:c r="A1077" s="4"/>
      <x:c r="B1077" s="4"/>
      <x:c r="C1077" s="4"/>
      <x:c r="D1077" s="4"/>
      <x:c r="E1077" s="4"/>
      <x:c r="F1077" s="4"/>
      <x:c r="G1077" s="4"/>
      <x:c r="H1077" s="4"/>
      <x:c r="I1077" s="4"/>
      <x:c r="K1077" s="4"/>
      <x:c r="L1077" s="4"/>
      <x:c r="M1077" s="4"/>
      <x:c r="N1077" s="4"/>
      <x:c r="O1077" s="4"/>
      <x:c r="P1077" s="4"/>
      <x:c r="Q1077" s="4"/>
    </x:row>
    <x:row r="1078" ht="64" customHeight="1">
      <x:c r="A1078" s="4"/>
      <x:c r="B1078" s="4"/>
      <x:c r="C1078" s="4"/>
      <x:c r="D1078" s="4"/>
      <x:c r="E1078" s="4"/>
      <x:c r="F1078" s="4"/>
      <x:c r="G1078" s="4"/>
      <x:c r="H1078" s="4"/>
      <x:c r="I1078" s="4"/>
      <x:c r="K1078" s="4"/>
      <x:c r="L1078" s="4"/>
      <x:c r="M1078" s="4"/>
      <x:c r="N1078" s="4"/>
      <x:c r="O1078" s="4"/>
      <x:c r="P1078" s="4"/>
      <x:c r="Q1078" s="4"/>
    </x:row>
    <x:row r="1079" ht="64" customHeight="1">
      <x:c r="A1079" s="4"/>
      <x:c r="B1079" s="4"/>
      <x:c r="C1079" s="4"/>
      <x:c r="D1079" s="4"/>
      <x:c r="E1079" s="4"/>
      <x:c r="F1079" s="4"/>
      <x:c r="G1079" s="4"/>
      <x:c r="H1079" s="4"/>
      <x:c r="I1079" s="4"/>
      <x:c r="K1079" s="4"/>
      <x:c r="L1079" s="4"/>
      <x:c r="M1079" s="4"/>
      <x:c r="N1079" s="4"/>
      <x:c r="O1079" s="4"/>
      <x:c r="P1079" s="4"/>
      <x:c r="Q1079" s="4"/>
    </x:row>
    <x:row r="1080" ht="64" customHeight="1">
      <x:c r="A1080" s="4"/>
      <x:c r="B1080" s="4"/>
      <x:c r="C1080" s="4"/>
      <x:c r="D1080" s="4"/>
      <x:c r="E1080" s="4"/>
      <x:c r="F1080" s="4"/>
      <x:c r="G1080" s="4"/>
      <x:c r="H1080" s="4"/>
      <x:c r="I1080" s="4"/>
      <x:c r="K1080" s="4"/>
      <x:c r="L1080" s="4"/>
      <x:c r="M1080" s="4"/>
      <x:c r="N1080" s="4"/>
      <x:c r="O1080" s="4"/>
      <x:c r="P1080" s="4"/>
      <x:c r="Q1080" s="4"/>
    </x:row>
    <x:row r="1081" ht="64" customHeight="1">
      <x:c r="A1081" s="4" t="str">
        <x:v>design.collection.warm_phagia_meal_drink.in.1</x:v>
      </x:c>
      <x:c r="B1081" s="4" t="str">
        <x:v>design.collection.warm_phagia_meal_drink</x:v>
      </x:c>
      <x:c r="C1081" s="4" t="str">
        <x:v>Ingredient candidate</x:v>
      </x:c>
      <x:c r="D1081" s="4" t="str">
        <x:v>proposal.collection.culinary_phagia_binding_paste</x:v>
      </x:c>
      <x:c r="E1081" s="4" t="str">
        <x:f>IFERROR(INDEX('Items'!$B$6:$B$1005,MATCH(D1081,'Items'!$A$6:$A$1005,0)),"MISSING ID")</x:f>
        <x:v>Culinary Phagia binding paste</x:v>
      </x:c>
      <x:c r="F1081" s="4" t="str">
        <x:f>IFERROR(INDEX('Items'!$C$6:$C$1005,MATCH(D1081,'Items'!$A$6:$A$1005,0)),"MISSING ID")</x:f>
        <x:v>T1</x:v>
      </x:c>
      <x:c r="G1081" s="4" t="str">
        <x:f>IFERROR(INDEX('Items'!$D$6:$D$1005,MATCH(D1081,'Items'!$A$6:$A$1005,0)),"MISSING ID")</x:f>
        <x:v>Cooking ingredients</x:v>
      </x:c>
      <x:c r="H1081" s="4" t="str">
        <x:f>IFERROR(INDEX('Items'!$X$6:$X$1005,MATCH(D1081,'Items'!$A$6:$A$1005,0)),"MISSING ID")</x:f>
        <x:v>Food material</x:v>
      </x:c>
      <x:c r="I1081" s="4"/>
      <x:c r="J1081" s="4" t="str">
        <x:v>Unspecified</x:v>
      </x:c>
      <x:c r="K1081" s="4" t="str">
        <x:f>IFERROR(INDEX('Crafting recipes'!$D$6:$D$1005,MATCH(B1081,'Crafting recipes'!$A$6:$A$1005,0)),"MISSING ID")</x:f>
        <x:v>Proposal</x:v>
      </x:c>
      <x:c r="L1081" s="4" t="str">
        <x:f>IFERROR(INDEX('Items'!$AD$6:$AD$1005,MATCH(D1081,'Items'!$A$6:$A$1005,0)),"MISSING ID")</x:f>
        <x:v>Proposal</x:v>
      </x:c>
      <x:c r="M1081" s="4" t="str">
        <x:f>IFERROR(INDEX('Crafting recipes'!$E$6:$E$1005,MATCH(B1081,'Crafting recipes'!$A$6:$A$1005,0)),"MISSING ID")</x:f>
        <x:v>Partial proposal</x:v>
      </x:c>
      <x:c r="N1081" s="4" t="str">
        <x:v>Candidate source or part only. Quantity, grade and method remain open.</x:v>
      </x:c>
      <x:c r="O1081" s="4" t="str">
        <x:v>Collection expansion, October 15, 2026. New game proposal.</x:v>
      </x:c>
      <x:c r="P1081" s="4" t="n">
        <x:f>IF(OR(C1081="Ingredient candidate",C1081="Consumed input",C1081="Contained input",C1081="Transform input"),IF(F1081="T0",0,IF(F1081="T1",1,IF(F1081="T2",2,IF(F1081="T3",3,IF(F1081="T4",4,-1))))),-1)</x:f>
        <x:v>1</x:v>
      </x:c>
      <x:c r="Q1081" s="4" t="n">
        <x:f>IF(AND(OR(C1081="Ingredient candidate",C1081="Consumed input",C1081="Contained input",C1081="Transform input"),P1081=-1),1,0)</x:f>
        <x:v>0</x:v>
      </x:c>
    </x:row>
    <x:row r="1082" ht="64" customHeight="1">
      <x:c r="A1082" s="4" t="str">
        <x:v>design.collection.warm_phagia_meal_drink.in.2</x:v>
      </x:c>
      <x:c r="B1082" s="4" t="str">
        <x:v>design.collection.warm_phagia_meal_drink</x:v>
      </x:c>
      <x:c r="C1082" s="4" t="str">
        <x:v>Ingredient candidate</x:v>
      </x:c>
      <x:c r="D1082" s="4" t="str">
        <x:v>proposal.collection.culinary_phagia_liquid_fraction</x:v>
      </x:c>
      <x:c r="E1082" s="4" t="str">
        <x:f>IFERROR(INDEX('Items'!$B$6:$B$1005,MATCH(D1082,'Items'!$A$6:$A$1005,0)),"MISSING ID")</x:f>
        <x:v>Culinary Phagia liquid fraction</x:v>
      </x:c>
      <x:c r="F1082" s="4" t="str">
        <x:f>IFERROR(INDEX('Items'!$C$6:$C$1005,MATCH(D1082,'Items'!$A$6:$A$1005,0)),"MISSING ID")</x:f>
        <x:v>T1</x:v>
      </x:c>
      <x:c r="G1082" s="4" t="str">
        <x:f>IFERROR(INDEX('Items'!$D$6:$D$1005,MATCH(D1082,'Items'!$A$6:$A$1005,0)),"MISSING ID")</x:f>
        <x:v>Cooking ingredients</x:v>
      </x:c>
      <x:c r="H1082" s="4" t="str">
        <x:f>IFERROR(INDEX('Items'!$X$6:$X$1005,MATCH(D1082,'Items'!$A$6:$A$1005,0)),"MISSING ID")</x:f>
        <x:v>Food material</x:v>
      </x:c>
      <x:c r="I1082" s="4"/>
      <x:c r="J1082" s="4" t="str">
        <x:v>Unspecified</x:v>
      </x:c>
      <x:c r="K1082" s="4" t="str">
        <x:f>IFERROR(INDEX('Crafting recipes'!$D$6:$D$1005,MATCH(B1082,'Crafting recipes'!$A$6:$A$1005,0)),"MISSING ID")</x:f>
        <x:v>Proposal</x:v>
      </x:c>
      <x:c r="L1082" s="4" t="str">
        <x:f>IFERROR(INDEX('Items'!$AD$6:$AD$1005,MATCH(D1082,'Items'!$A$6:$A$1005,0)),"MISSING ID")</x:f>
        <x:v>Proposal</x:v>
      </x:c>
      <x:c r="M1082" s="4" t="str">
        <x:f>IFERROR(INDEX('Crafting recipes'!$E$6:$E$1005,MATCH(B1082,'Crafting recipes'!$A$6:$A$1005,0)),"MISSING ID")</x:f>
        <x:v>Partial proposal</x:v>
      </x:c>
      <x:c r="N1082" s="4" t="str">
        <x:v>Candidate source or part only. Quantity, grade and method remain open.</x:v>
      </x:c>
      <x:c r="O1082" s="4" t="str">
        <x:v>Collection expansion, October 15, 2026. New game proposal.</x:v>
      </x:c>
      <x:c r="P1082" s="4" t="n">
        <x:f>IF(OR(C1082="Ingredient candidate",C1082="Consumed input",C1082="Contained input",C1082="Transform input"),IF(F1082="T0",0,IF(F1082="T1",1,IF(F1082="T2",2,IF(F1082="T3",3,IF(F1082="T4",4,-1))))),-1)</x:f>
        <x:v>1</x:v>
      </x:c>
      <x:c r="Q1082" s="4" t="n">
        <x:f>IF(AND(OR(C1082="Ingredient candidate",C1082="Consumed input",C1082="Contained input",C1082="Transform input"),P1082=-1),1,0)</x:f>
        <x:v>0</x:v>
      </x:c>
    </x:row>
    <x:row r="1083" ht="64" customHeight="1">
      <x:c r="A1083" s="4" t="str">
        <x:v>design.collection.warm_phagia_meal_drink.out</x:v>
      </x:c>
      <x:c r="B1083" s="4" t="str">
        <x:v>design.collection.warm_phagia_meal_drink</x:v>
      </x:c>
      <x:c r="C1083" s="4" t="str">
        <x:v>Output</x:v>
      </x:c>
      <x:c r="D1083" s="4" t="str">
        <x:v>proposal.collection.warm_phagia_meal_drink</x:v>
      </x:c>
      <x:c r="E1083" s="4" t="str">
        <x:f>IFERROR(INDEX('Items'!$B$6:$B$1005,MATCH(D1083,'Items'!$A$6:$A$1005,0)),"MISSING ID")</x:f>
        <x:v>Warm Phagia meal drink</x:v>
      </x:c>
      <x:c r="F1083" s="4" t="str">
        <x:f>IFERROR(INDEX('Items'!$C$6:$C$1005,MATCH(D1083,'Items'!$A$6:$A$1005,0)),"MISSING ID")</x:f>
        <x:v>Not applicable</x:v>
      </x:c>
      <x:c r="G1083" s="4" t="str">
        <x:f>IFERROR(INDEX('Items'!$D$6:$D$1005,MATCH(D1083,'Items'!$A$6:$A$1005,0)),"MISSING ID")</x:f>
        <x:v>Consumables</x:v>
      </x:c>
      <x:c r="H1083" s="4" t="str">
        <x:f>IFERROR(INDEX('Items'!$X$6:$X$1005,MATCH(D1083,'Items'!$A$6:$A$1005,0)),"MISSING ID")</x:f>
        <x:v>Drink consumable</x:v>
      </x:c>
      <x:c r="I1083" s="4"/>
      <x:c r="J1083" s="4" t="str">
        <x:v>Unspecified</x:v>
      </x:c>
      <x:c r="K1083" s="4" t="str">
        <x:f>IFERROR(INDEX('Crafting recipes'!$D$6:$D$1005,MATCH(B1083,'Crafting recipes'!$A$6:$A$1005,0)),"MISSING ID")</x:f>
        <x:v>Proposal</x:v>
      </x:c>
      <x:c r="L1083" s="4" t="str">
        <x:f>IFERROR(INDEX('Items'!$AD$6:$AD$1005,MATCH(D1083,'Items'!$A$6:$A$1005,0)),"MISSING ID")</x:f>
        <x:v>Proposal</x:v>
      </x:c>
      <x:c r="M1083" s="4" t="str">
        <x:f>IFERROR(INDEX('Crafting recipes'!$E$6:$E$1005,MATCH(B1083,'Crafting recipes'!$A$6:$A$1005,0)),"MISSING ID")</x:f>
        <x:v>Partial proposal</x:v>
      </x:c>
      <x:c r="N1083" s="4" t="str">
        <x:v>Candidate source or part only. Quantity, grade and method remain open.</x:v>
      </x:c>
      <x:c r="O1083" s="4" t="str">
        <x:v>Collection expansion, October 15, 2026. New game proposal.</x:v>
      </x:c>
      <x:c r="P1083" s="4" t="n">
        <x:f>IF(OR(C1083="Ingredient candidate",C1083="Consumed input",C1083="Contained input",C1083="Transform input"),IF(F1083="T0",0,IF(F1083="T1",1,IF(F1083="T2",2,IF(F1083="T3",3,IF(F1083="T4",4,-1))))),-1)</x:f>
        <x:v>-1</x:v>
      </x:c>
      <x:c r="Q1083" s="4" t="n">
        <x:f>IF(AND(OR(C1083="Ingredient candidate",C1083="Consumed input",C1083="Contained input",C1083="Transform input"),P1083=-1),1,0)</x:f>
        <x:v>0</x:v>
      </x:c>
    </x:row>
    <x:row r="1084" ht="64" customHeight="1">
      <x:c r="A1084" s="4" t="str">
        <x:v>design.collection.cool_cellar_phagia_drink.in.1</x:v>
      </x:c>
      <x:c r="B1084" s="4" t="str">
        <x:v>design.collection.cool_cellar_phagia_drink</x:v>
      </x:c>
      <x:c r="C1084" s="4" t="str">
        <x:v>Ingredient candidate</x:v>
      </x:c>
      <x:c r="D1084" s="4" t="str">
        <x:v>proposal.collection.culinary_phagia_liquid_fraction</x:v>
      </x:c>
      <x:c r="E1084" s="4" t="str">
        <x:f>IFERROR(INDEX('Items'!$B$6:$B$1005,MATCH(D1084,'Items'!$A$6:$A$1005,0)),"MISSING ID")</x:f>
        <x:v>Culinary Phagia liquid fraction</x:v>
      </x:c>
      <x:c r="F1084" s="4" t="str">
        <x:f>IFERROR(INDEX('Items'!$C$6:$C$1005,MATCH(D1084,'Items'!$A$6:$A$1005,0)),"MISSING ID")</x:f>
        <x:v>T1</x:v>
      </x:c>
      <x:c r="G1084" s="4" t="str">
        <x:f>IFERROR(INDEX('Items'!$D$6:$D$1005,MATCH(D1084,'Items'!$A$6:$A$1005,0)),"MISSING ID")</x:f>
        <x:v>Cooking ingredients</x:v>
      </x:c>
      <x:c r="H1084" s="4" t="str">
        <x:f>IFERROR(INDEX('Items'!$X$6:$X$1005,MATCH(D1084,'Items'!$A$6:$A$1005,0)),"MISSING ID")</x:f>
        <x:v>Food material</x:v>
      </x:c>
      <x:c r="I1084" s="4"/>
      <x:c r="J1084" s="4" t="str">
        <x:v>Unspecified</x:v>
      </x:c>
      <x:c r="K1084" s="4" t="str">
        <x:f>IFERROR(INDEX('Crafting recipes'!$D$6:$D$1005,MATCH(B1084,'Crafting recipes'!$A$6:$A$1005,0)),"MISSING ID")</x:f>
        <x:v>Proposal</x:v>
      </x:c>
      <x:c r="L1084" s="4" t="str">
        <x:f>IFERROR(INDEX('Items'!$AD$6:$AD$1005,MATCH(D1084,'Items'!$A$6:$A$1005,0)),"MISSING ID")</x:f>
        <x:v>Proposal</x:v>
      </x:c>
      <x:c r="M1084" s="4" t="str">
        <x:f>IFERROR(INDEX('Crafting recipes'!$E$6:$E$1005,MATCH(B1084,'Crafting recipes'!$A$6:$A$1005,0)),"MISSING ID")</x:f>
        <x:v>Partial proposal</x:v>
      </x:c>
      <x:c r="N1084" s="4" t="str">
        <x:v>Candidate source or part only. Quantity, grade and method remain open.</x:v>
      </x:c>
      <x:c r="O1084" s="4" t="str">
        <x:v>Collection expansion, October 15, 2026. New game proposal.</x:v>
      </x:c>
      <x:c r="P1084" s="4" t="n">
        <x:f>IF(OR(C1084="Ingredient candidate",C1084="Consumed input",C1084="Contained input",C1084="Transform input"),IF(F1084="T0",0,IF(F1084="T1",1,IF(F1084="T2",2,IF(F1084="T3",3,IF(F1084="T4",4,-1))))),-1)</x:f>
        <x:v>1</x:v>
      </x:c>
      <x:c r="Q1084" s="4" t="n">
        <x:f>IF(AND(OR(C1084="Ingredient candidate",C1084="Consumed input",C1084="Contained input",C1084="Transform input"),P1084=-1),1,0)</x:f>
        <x:v>0</x:v>
      </x:c>
    </x:row>
    <x:row r="1085" ht="64" customHeight="1">
      <x:c r="A1085" s="4" t="str">
        <x:v>design.collection.cool_cellar_phagia_drink.out</x:v>
      </x:c>
      <x:c r="B1085" s="4" t="str">
        <x:v>design.collection.cool_cellar_phagia_drink</x:v>
      </x:c>
      <x:c r="C1085" s="4" t="str">
        <x:v>Output</x:v>
      </x:c>
      <x:c r="D1085" s="4" t="str">
        <x:v>proposal.collection.cool_cellar_phagia_drink</x:v>
      </x:c>
      <x:c r="E1085" s="4" t="str">
        <x:f>IFERROR(INDEX('Items'!$B$6:$B$1005,MATCH(D1085,'Items'!$A$6:$A$1005,0)),"MISSING ID")</x:f>
        <x:v>Cool-cellar Phagia drink</x:v>
      </x:c>
      <x:c r="F1085" s="4" t="str">
        <x:f>IFERROR(INDEX('Items'!$C$6:$C$1005,MATCH(D1085,'Items'!$A$6:$A$1005,0)),"MISSING ID")</x:f>
        <x:v>Not applicable</x:v>
      </x:c>
      <x:c r="G1085" s="4" t="str">
        <x:f>IFERROR(INDEX('Items'!$D$6:$D$1005,MATCH(D1085,'Items'!$A$6:$A$1005,0)),"MISSING ID")</x:f>
        <x:v>Consumables</x:v>
      </x:c>
      <x:c r="H1085" s="4" t="str">
        <x:f>IFERROR(INDEX('Items'!$X$6:$X$1005,MATCH(D1085,'Items'!$A$6:$A$1005,0)),"MISSING ID")</x:f>
        <x:v>Drink consumable</x:v>
      </x:c>
      <x:c r="I1085" s="4"/>
      <x:c r="J1085" s="4" t="str">
        <x:v>Unspecified</x:v>
      </x:c>
      <x:c r="K1085" s="4" t="str">
        <x:f>IFERROR(INDEX('Crafting recipes'!$D$6:$D$1005,MATCH(B1085,'Crafting recipes'!$A$6:$A$1005,0)),"MISSING ID")</x:f>
        <x:v>Proposal</x:v>
      </x:c>
      <x:c r="L1085" s="4" t="str">
        <x:f>IFERROR(INDEX('Items'!$AD$6:$AD$1005,MATCH(D1085,'Items'!$A$6:$A$1005,0)),"MISSING ID")</x:f>
        <x:v>Proposal</x:v>
      </x:c>
      <x:c r="M1085" s="4" t="str">
        <x:f>IFERROR(INDEX('Crafting recipes'!$E$6:$E$1005,MATCH(B1085,'Crafting recipes'!$A$6:$A$1005,0)),"MISSING ID")</x:f>
        <x:v>Partial proposal</x:v>
      </x:c>
      <x:c r="N1085" s="4" t="str">
        <x:v>Candidate source or part only. Quantity, grade and method remain open.</x:v>
      </x:c>
      <x:c r="O1085" s="4" t="str">
        <x:v>Collection expansion, October 15, 2026. New game proposal.</x:v>
      </x:c>
      <x:c r="P1085" s="4" t="n">
        <x:f>IF(OR(C1085="Ingredient candidate",C1085="Consumed input",C1085="Contained input",C1085="Transform input"),IF(F1085="T0",0,IF(F1085="T1",1,IF(F1085="T2",2,IF(F1085="T3",3,IF(F1085="T4",4,-1))))),-1)</x:f>
        <x:v>-1</x:v>
      </x:c>
      <x:c r="Q1085" s="4" t="n">
        <x:f>IF(AND(OR(C1085="Ingredient candidate",C1085="Consumed input",C1085="Contained input",C1085="Transform input"),P1085=-1),1,0)</x:f>
        <x:v>0</x:v>
      </x:c>
    </x:row>
    <x:row r="1086" ht="64" customHeight="1">
      <x:c r="A1086" s="4" t="str">
        <x:v>design.collection.phagia_fauna_savory_broth.in.1</x:v>
      </x:c>
      <x:c r="B1086" s="4" t="str">
        <x:v>design.collection.phagia_fauna_savory_broth</x:v>
      </x:c>
      <x:c r="C1086" s="4" t="str">
        <x:v>Ingredient candidate</x:v>
      </x:c>
      <x:c r="D1086" s="4" t="str">
        <x:v>proposal.collection.strained_edible_fauna_broth_base</x:v>
      </x:c>
      <x:c r="E1086" s="4" t="str">
        <x:f>IFERROR(INDEX('Items'!$B$6:$B$1005,MATCH(D1086,'Items'!$A$6:$A$1005,0)),"MISSING ID")</x:f>
        <x:v>Strained edible-fauna broth base</x:v>
      </x:c>
      <x:c r="F1086" s="4" t="str">
        <x:f>IFERROR(INDEX('Items'!$C$6:$C$1005,MATCH(D1086,'Items'!$A$6:$A$1005,0)),"MISSING ID")</x:f>
        <x:v>T2</x:v>
      </x:c>
      <x:c r="G1086" s="4" t="str">
        <x:f>IFERROR(INDEX('Items'!$D$6:$D$1005,MATCH(D1086,'Items'!$A$6:$A$1005,0)),"MISSING ID")</x:f>
        <x:v>Cooking ingredients</x:v>
      </x:c>
      <x:c r="H1086" s="4" t="str">
        <x:f>IFERROR(INDEX('Items'!$X$6:$X$1005,MATCH(D1086,'Items'!$A$6:$A$1005,0)),"MISSING ID")</x:f>
        <x:v>Food material</x:v>
      </x:c>
      <x:c r="I1086" s="4"/>
      <x:c r="J1086" s="4" t="str">
        <x:v>Unspecified</x:v>
      </x:c>
      <x:c r="K1086" s="4" t="str">
        <x:f>IFERROR(INDEX('Crafting recipes'!$D$6:$D$1005,MATCH(B1086,'Crafting recipes'!$A$6:$A$1005,0)),"MISSING ID")</x:f>
        <x:v>Proposal</x:v>
      </x:c>
      <x:c r="L1086" s="4" t="str">
        <x:f>IFERROR(INDEX('Items'!$AD$6:$AD$1005,MATCH(D1086,'Items'!$A$6:$A$1005,0)),"MISSING ID")</x:f>
        <x:v>Proposal</x:v>
      </x:c>
      <x:c r="M1086" s="4" t="str">
        <x:f>IFERROR(INDEX('Crafting recipes'!$E$6:$E$1005,MATCH(B1086,'Crafting recipes'!$A$6:$A$1005,0)),"MISSING ID")</x:f>
        <x:v>Partial proposal</x:v>
      </x:c>
      <x:c r="N1086" s="4" t="str">
        <x:v>Candidate source or part only. Quantity, grade and method remain open.</x:v>
      </x:c>
      <x:c r="O1086" s="4" t="str">
        <x:v>Collection expansion, October 15, 2026. New game proposal.</x:v>
      </x:c>
      <x:c r="P1086" s="4" t="n">
        <x:f>IF(OR(C1086="Ingredient candidate",C1086="Consumed input",C1086="Contained input",C1086="Transform input"),IF(F1086="T0",0,IF(F1086="T1",1,IF(F1086="T2",2,IF(F1086="T3",3,IF(F1086="T4",4,-1))))),-1)</x:f>
        <x:v>2</x:v>
      </x:c>
      <x:c r="Q1086" s="4" t="n">
        <x:f>IF(AND(OR(C1086="Ingredient candidate",C1086="Consumed input",C1086="Contained input",C1086="Transform input"),P1086=-1),1,0)</x:f>
        <x:v>0</x:v>
      </x:c>
    </x:row>
    <x:row r="1087" ht="64" customHeight="1">
      <x:c r="A1087" s="4" t="str">
        <x:v>design.collection.phagia_fauna_savory_broth.in.2</x:v>
      </x:c>
      <x:c r="B1087" s="4" t="str">
        <x:v>design.collection.phagia_fauna_savory_broth</x:v>
      </x:c>
      <x:c r="C1087" s="4" t="str">
        <x:v>Ingredient candidate</x:v>
      </x:c>
      <x:c r="D1087" s="4" t="str">
        <x:v>proposal.collection.culinary_phagia_liquid_fraction</x:v>
      </x:c>
      <x:c r="E1087" s="4" t="str">
        <x:f>IFERROR(INDEX('Items'!$B$6:$B$1005,MATCH(D1087,'Items'!$A$6:$A$1005,0)),"MISSING ID")</x:f>
        <x:v>Culinary Phagia liquid fraction</x:v>
      </x:c>
      <x:c r="F1087" s="4" t="str">
        <x:f>IFERROR(INDEX('Items'!$C$6:$C$1005,MATCH(D1087,'Items'!$A$6:$A$1005,0)),"MISSING ID")</x:f>
        <x:v>T1</x:v>
      </x:c>
      <x:c r="G1087" s="4" t="str">
        <x:f>IFERROR(INDEX('Items'!$D$6:$D$1005,MATCH(D1087,'Items'!$A$6:$A$1005,0)),"MISSING ID")</x:f>
        <x:v>Cooking ingredients</x:v>
      </x:c>
      <x:c r="H1087" s="4" t="str">
        <x:f>IFERROR(INDEX('Items'!$X$6:$X$1005,MATCH(D1087,'Items'!$A$6:$A$1005,0)),"MISSING ID")</x:f>
        <x:v>Food material</x:v>
      </x:c>
      <x:c r="I1087" s="4"/>
      <x:c r="J1087" s="4" t="str">
        <x:v>Unspecified</x:v>
      </x:c>
      <x:c r="K1087" s="4" t="str">
        <x:f>IFERROR(INDEX('Crafting recipes'!$D$6:$D$1005,MATCH(B1087,'Crafting recipes'!$A$6:$A$1005,0)),"MISSING ID")</x:f>
        <x:v>Proposal</x:v>
      </x:c>
      <x:c r="L1087" s="4" t="str">
        <x:f>IFERROR(INDEX('Items'!$AD$6:$AD$1005,MATCH(D1087,'Items'!$A$6:$A$1005,0)),"MISSING ID")</x:f>
        <x:v>Proposal</x:v>
      </x:c>
      <x:c r="M1087" s="4" t="str">
        <x:f>IFERROR(INDEX('Crafting recipes'!$E$6:$E$1005,MATCH(B1087,'Crafting recipes'!$A$6:$A$1005,0)),"MISSING ID")</x:f>
        <x:v>Partial proposal</x:v>
      </x:c>
      <x:c r="N1087" s="4" t="str">
        <x:v>Candidate source or part only. Quantity, grade and method remain open.</x:v>
      </x:c>
      <x:c r="O1087" s="4" t="str">
        <x:v>Collection expansion, October 15, 2026. New game proposal.</x:v>
      </x:c>
      <x:c r="P1087" s="4" t="n">
        <x:f>IF(OR(C1087="Ingredient candidate",C1087="Consumed input",C1087="Contained input",C1087="Transform input"),IF(F1087="T0",0,IF(F1087="T1",1,IF(F1087="T2",2,IF(F1087="T3",3,IF(F1087="T4",4,-1))))),-1)</x:f>
        <x:v>1</x:v>
      </x:c>
      <x:c r="Q1087" s="4" t="n">
        <x:f>IF(AND(OR(C1087="Ingredient candidate",C1087="Consumed input",C1087="Contained input",C1087="Transform input"),P1087=-1),1,0)</x:f>
        <x:v>0</x:v>
      </x:c>
    </x:row>
    <x:row r="1088" ht="64" customHeight="1">
      <x:c r="A1088" s="4" t="str">
        <x:v>design.collection.phagia_fauna_savory_broth.out</x:v>
      </x:c>
      <x:c r="B1088" s="4" t="str">
        <x:v>design.collection.phagia_fauna_savory_broth</x:v>
      </x:c>
      <x:c r="C1088" s="4" t="str">
        <x:v>Output</x:v>
      </x:c>
      <x:c r="D1088" s="4" t="str">
        <x:v>proposal.collection.phagia_fauna_savory_broth</x:v>
      </x:c>
      <x:c r="E1088" s="4" t="str">
        <x:f>IFERROR(INDEX('Items'!$B$6:$B$1005,MATCH(D1088,'Items'!$A$6:$A$1005,0)),"MISSING ID")</x:f>
        <x:v>Phagia-fauna savory broth</x:v>
      </x:c>
      <x:c r="F1088" s="4" t="str">
        <x:f>IFERROR(INDEX('Items'!$C$6:$C$1005,MATCH(D1088,'Items'!$A$6:$A$1005,0)),"MISSING ID")</x:f>
        <x:v>Not applicable</x:v>
      </x:c>
      <x:c r="G1088" s="4" t="str">
        <x:f>IFERROR(INDEX('Items'!$D$6:$D$1005,MATCH(D1088,'Items'!$A$6:$A$1005,0)),"MISSING ID")</x:f>
        <x:v>Consumables</x:v>
      </x:c>
      <x:c r="H1088" s="4" t="str">
        <x:f>IFERROR(INDEX('Items'!$X$6:$X$1005,MATCH(D1088,'Items'!$A$6:$A$1005,0)),"MISSING ID")</x:f>
        <x:v>Drink consumable</x:v>
      </x:c>
      <x:c r="I1088" s="4"/>
      <x:c r="J1088" s="4" t="str">
        <x:v>Unspecified</x:v>
      </x:c>
      <x:c r="K1088" s="4" t="str">
        <x:f>IFERROR(INDEX('Crafting recipes'!$D$6:$D$1005,MATCH(B1088,'Crafting recipes'!$A$6:$A$1005,0)),"MISSING ID")</x:f>
        <x:v>Proposal</x:v>
      </x:c>
      <x:c r="L1088" s="4" t="str">
        <x:f>IFERROR(INDEX('Items'!$AD$6:$AD$1005,MATCH(D1088,'Items'!$A$6:$A$1005,0)),"MISSING ID")</x:f>
        <x:v>Proposal</x:v>
      </x:c>
      <x:c r="M1088" s="4" t="str">
        <x:f>IFERROR(INDEX('Crafting recipes'!$E$6:$E$1005,MATCH(B1088,'Crafting recipes'!$A$6:$A$1005,0)),"MISSING ID")</x:f>
        <x:v>Partial proposal</x:v>
      </x:c>
      <x:c r="N1088" s="4" t="str">
        <x:v>Candidate source or part only. Quantity, grade and method remain open.</x:v>
      </x:c>
      <x:c r="O1088" s="4" t="str">
        <x:v>Collection expansion, October 15, 2026. New game proposal.</x:v>
      </x:c>
      <x:c r="P1088" s="4" t="n">
        <x:f>IF(OR(C1088="Ingredient candidate",C1088="Consumed input",C1088="Contained input",C1088="Transform input"),IF(F1088="T0",0,IF(F1088="T1",1,IF(F1088="T2",2,IF(F1088="T3",3,IF(F1088="T4",4,-1))))),-1)</x:f>
        <x:v>-1</x:v>
      </x:c>
      <x:c r="Q1088" s="4" t="n">
        <x:f>IF(AND(OR(C1088="Ingredient candidate",C1088="Consumed input",C1088="Contained input",C1088="Transform input"),P1088=-1),1,0)</x:f>
        <x:v>0</x:v>
      </x:c>
    </x:row>
    <x:row r="1089" ht="64" customHeight="1">
      <x:c r="A1089" s="4"/>
      <x:c r="B1089" s="4"/>
      <x:c r="C1089" s="4"/>
      <x:c r="D1089" s="4"/>
      <x:c r="E1089" s="4"/>
      <x:c r="F1089" s="4"/>
      <x:c r="G1089" s="4"/>
      <x:c r="H1089" s="4"/>
      <x:c r="I1089" s="4"/>
      <x:c r="K1089" s="4"/>
      <x:c r="L1089" s="4"/>
      <x:c r="M1089" s="4"/>
      <x:c r="N1089" s="4"/>
      <x:c r="O1089" s="4"/>
      <x:c r="P1089" s="4"/>
      <x:c r="Q1089" s="4"/>
    </x:row>
    <x:row r="1090" ht="64" customHeight="1">
      <x:c r="A1090" s="4"/>
      <x:c r="B1090" s="4"/>
      <x:c r="C1090" s="4"/>
      <x:c r="D1090" s="4"/>
      <x:c r="E1090" s="4"/>
      <x:c r="F1090" s="4"/>
      <x:c r="G1090" s="4"/>
      <x:c r="H1090" s="4"/>
      <x:c r="I1090" s="4"/>
      <x:c r="K1090" s="4"/>
      <x:c r="L1090" s="4"/>
      <x:c r="M1090" s="4"/>
      <x:c r="N1090" s="4"/>
      <x:c r="O1090" s="4"/>
      <x:c r="P1090" s="4"/>
      <x:c r="Q1090" s="4"/>
    </x:row>
    <x:row r="1091" ht="64" customHeight="1">
      <x:c r="A1091" s="4"/>
      <x:c r="B1091" s="4"/>
      <x:c r="C1091" s="4"/>
      <x:c r="D1091" s="4"/>
      <x:c r="E1091" s="4"/>
      <x:c r="F1091" s="4"/>
      <x:c r="G1091" s="4"/>
      <x:c r="H1091" s="4"/>
      <x:c r="I1091" s="4"/>
      <x:c r="K1091" s="4"/>
      <x:c r="L1091" s="4"/>
      <x:c r="M1091" s="4"/>
      <x:c r="N1091" s="4"/>
      <x:c r="O1091" s="4"/>
      <x:c r="P1091" s="4"/>
      <x:c r="Q1091" s="4"/>
    </x:row>
    <x:row r="1092" ht="64" customHeight="1">
      <x:c r="A1092" s="4" t="str">
        <x:v>design.collection.phagia_aroma_tasting_cup.in.1</x:v>
      </x:c>
      <x:c r="B1092" s="4" t="str">
        <x:v>design.collection.phagia_aroma_tasting_cup</x:v>
      </x:c>
      <x:c r="C1092" s="4" t="str">
        <x:v>Ingredient candidate</x:v>
      </x:c>
      <x:c r="D1092" s="4" t="str">
        <x:v>proposal.collection.culinary_fauna_aroma_fraction</x:v>
      </x:c>
      <x:c r="E1092" s="4" t="str">
        <x:f>IFERROR(INDEX('Items'!$B$6:$B$1005,MATCH(D1092,'Items'!$A$6:$A$1005,0)),"MISSING ID")</x:f>
        <x:v>Culinary fauna aroma fraction</x:v>
      </x:c>
      <x:c r="F1092" s="4" t="str">
        <x:f>IFERROR(INDEX('Items'!$C$6:$C$1005,MATCH(D1092,'Items'!$A$6:$A$1005,0)),"MISSING ID")</x:f>
        <x:v>T1</x:v>
      </x:c>
      <x:c r="G1092" s="4" t="str">
        <x:f>IFERROR(INDEX('Items'!$D$6:$D$1005,MATCH(D1092,'Items'!$A$6:$A$1005,0)),"MISSING ID")</x:f>
        <x:v>Cooking ingredients</x:v>
      </x:c>
      <x:c r="H1092" s="4" t="str">
        <x:f>IFERROR(INDEX('Items'!$X$6:$X$1005,MATCH(D1092,'Items'!$A$6:$A$1005,0)),"MISSING ID")</x:f>
        <x:v>Food material</x:v>
      </x:c>
      <x:c r="I1092" s="4"/>
      <x:c r="J1092" s="4" t="str">
        <x:v>Unspecified</x:v>
      </x:c>
      <x:c r="K1092" s="4" t="str">
        <x:f>IFERROR(INDEX('Crafting recipes'!$D$6:$D$1005,MATCH(B1092,'Crafting recipes'!$A$6:$A$1005,0)),"MISSING ID")</x:f>
        <x:v>Proposal</x:v>
      </x:c>
      <x:c r="L1092" s="4" t="str">
        <x:f>IFERROR(INDEX('Items'!$AD$6:$AD$1005,MATCH(D1092,'Items'!$A$6:$A$1005,0)),"MISSING ID")</x:f>
        <x:v>Proposal</x:v>
      </x:c>
      <x:c r="M1092" s="4" t="str">
        <x:f>IFERROR(INDEX('Crafting recipes'!$E$6:$E$1005,MATCH(B1092,'Crafting recipes'!$A$6:$A$1005,0)),"MISSING ID")</x:f>
        <x:v>Partial proposal</x:v>
      </x:c>
      <x:c r="N1092" s="4" t="str">
        <x:v>Candidate source or part only. Quantity, grade and method remain open.</x:v>
      </x:c>
      <x:c r="O1092" s="4" t="str">
        <x:v>Collection expansion, October 15, 2026. New game proposal.</x:v>
      </x:c>
      <x:c r="P1092" s="4" t="n">
        <x:f>IF(OR(C1092="Ingredient candidate",C1092="Consumed input",C1092="Contained input",C1092="Transform input"),IF(F1092="T0",0,IF(F1092="T1",1,IF(F1092="T2",2,IF(F1092="T3",3,IF(F1092="T4",4,-1))))),-1)</x:f>
        <x:v>1</x:v>
      </x:c>
      <x:c r="Q1092" s="4" t="n">
        <x:f>IF(AND(OR(C1092="Ingredient candidate",C1092="Consumed input",C1092="Contained input",C1092="Transform input"),P1092=-1),1,0)</x:f>
        <x:v>0</x:v>
      </x:c>
    </x:row>
    <x:row r="1093" ht="64" customHeight="1">
      <x:c r="A1093" s="4" t="str">
        <x:v>design.collection.phagia_aroma_tasting_cup.in.2</x:v>
      </x:c>
      <x:c r="B1093" s="4" t="str">
        <x:v>design.collection.phagia_aroma_tasting_cup</x:v>
      </x:c>
      <x:c r="C1093" s="4" t="str">
        <x:v>Ingredient candidate</x:v>
      </x:c>
      <x:c r="D1093" s="4" t="str">
        <x:v>proposal.collection.culinary_phagia_liquid_fraction</x:v>
      </x:c>
      <x:c r="E1093" s="4" t="str">
        <x:f>IFERROR(INDEX('Items'!$B$6:$B$1005,MATCH(D1093,'Items'!$A$6:$A$1005,0)),"MISSING ID")</x:f>
        <x:v>Culinary Phagia liquid fraction</x:v>
      </x:c>
      <x:c r="F1093" s="4" t="str">
        <x:f>IFERROR(INDEX('Items'!$C$6:$C$1005,MATCH(D1093,'Items'!$A$6:$A$1005,0)),"MISSING ID")</x:f>
        <x:v>T1</x:v>
      </x:c>
      <x:c r="G1093" s="4" t="str">
        <x:f>IFERROR(INDEX('Items'!$D$6:$D$1005,MATCH(D1093,'Items'!$A$6:$A$1005,0)),"MISSING ID")</x:f>
        <x:v>Cooking ingredients</x:v>
      </x:c>
      <x:c r="H1093" s="4" t="str">
        <x:f>IFERROR(INDEX('Items'!$X$6:$X$1005,MATCH(D1093,'Items'!$A$6:$A$1005,0)),"MISSING ID")</x:f>
        <x:v>Food material</x:v>
      </x:c>
      <x:c r="I1093" s="4"/>
      <x:c r="J1093" s="4" t="str">
        <x:v>Unspecified</x:v>
      </x:c>
      <x:c r="K1093" s="4" t="str">
        <x:f>IFERROR(INDEX('Crafting recipes'!$D$6:$D$1005,MATCH(B1093,'Crafting recipes'!$A$6:$A$1005,0)),"MISSING ID")</x:f>
        <x:v>Proposal</x:v>
      </x:c>
      <x:c r="L1093" s="4" t="str">
        <x:f>IFERROR(INDEX('Items'!$AD$6:$AD$1005,MATCH(D1093,'Items'!$A$6:$A$1005,0)),"MISSING ID")</x:f>
        <x:v>Proposal</x:v>
      </x:c>
      <x:c r="M1093" s="4" t="str">
        <x:f>IFERROR(INDEX('Crafting recipes'!$E$6:$E$1005,MATCH(B1093,'Crafting recipes'!$A$6:$A$1005,0)),"MISSING ID")</x:f>
        <x:v>Partial proposal</x:v>
      </x:c>
      <x:c r="N1093" s="4" t="str">
        <x:v>Candidate source or part only. Quantity, grade and method remain open.</x:v>
      </x:c>
      <x:c r="O1093" s="4" t="str">
        <x:v>Collection expansion, October 15, 2026. New game proposal.</x:v>
      </x:c>
      <x:c r="P1093" s="4" t="n">
        <x:f>IF(OR(C1093="Ingredient candidate",C1093="Consumed input",C1093="Contained input",C1093="Transform input"),IF(F1093="T0",0,IF(F1093="T1",1,IF(F1093="T2",2,IF(F1093="T3",3,IF(F1093="T4",4,-1))))),-1)</x:f>
        <x:v>1</x:v>
      </x:c>
      <x:c r="Q1093" s="4" t="n">
        <x:f>IF(AND(OR(C1093="Ingredient candidate",C1093="Consumed input",C1093="Contained input",C1093="Transform input"),P1093=-1),1,0)</x:f>
        <x:v>0</x:v>
      </x:c>
    </x:row>
    <x:row r="1094" ht="64" customHeight="1">
      <x:c r="A1094" s="4" t="str">
        <x:v>design.collection.phagia_aroma_tasting_cup.out</x:v>
      </x:c>
      <x:c r="B1094" s="4" t="str">
        <x:v>design.collection.phagia_aroma_tasting_cup</x:v>
      </x:c>
      <x:c r="C1094" s="4" t="str">
        <x:v>Output</x:v>
      </x:c>
      <x:c r="D1094" s="4" t="str">
        <x:v>proposal.collection.phagia_aroma_tasting_cup</x:v>
      </x:c>
      <x:c r="E1094" s="4" t="str">
        <x:f>IFERROR(INDEX('Items'!$B$6:$B$1005,MATCH(D1094,'Items'!$A$6:$A$1005,0)),"MISSING ID")</x:f>
        <x:v>Phagia aroma tasting cup</x:v>
      </x:c>
      <x:c r="F1094" s="4" t="str">
        <x:f>IFERROR(INDEX('Items'!$C$6:$C$1005,MATCH(D1094,'Items'!$A$6:$A$1005,0)),"MISSING ID")</x:f>
        <x:v>Not applicable</x:v>
      </x:c>
      <x:c r="G1094" s="4" t="str">
        <x:f>IFERROR(INDEX('Items'!$D$6:$D$1005,MATCH(D1094,'Items'!$A$6:$A$1005,0)),"MISSING ID")</x:f>
        <x:v>Consumables</x:v>
      </x:c>
      <x:c r="H1094" s="4" t="str">
        <x:f>IFERROR(INDEX('Items'!$X$6:$X$1005,MATCH(D1094,'Items'!$A$6:$A$1005,0)),"MISSING ID")</x:f>
        <x:v>Drink consumable</x:v>
      </x:c>
      <x:c r="I1094" s="4"/>
      <x:c r="J1094" s="4" t="str">
        <x:v>Unspecified</x:v>
      </x:c>
      <x:c r="K1094" s="4" t="str">
        <x:f>IFERROR(INDEX('Crafting recipes'!$D$6:$D$1005,MATCH(B1094,'Crafting recipes'!$A$6:$A$1005,0)),"MISSING ID")</x:f>
        <x:v>Proposal</x:v>
      </x:c>
      <x:c r="L1094" s="4" t="str">
        <x:f>IFERROR(INDEX('Items'!$AD$6:$AD$1005,MATCH(D1094,'Items'!$A$6:$A$1005,0)),"MISSING ID")</x:f>
        <x:v>Proposal</x:v>
      </x:c>
      <x:c r="M1094" s="4" t="str">
        <x:f>IFERROR(INDEX('Crafting recipes'!$E$6:$E$1005,MATCH(B1094,'Crafting recipes'!$A$6:$A$1005,0)),"MISSING ID")</x:f>
        <x:v>Partial proposal</x:v>
      </x:c>
      <x:c r="N1094" s="4" t="str">
        <x:v>Candidate source or part only. Quantity, grade and method remain open.</x:v>
      </x:c>
      <x:c r="O1094" s="4" t="str">
        <x:v>Collection expansion, October 15, 2026. New game proposal.</x:v>
      </x:c>
      <x:c r="P1094" s="4" t="n">
        <x:f>IF(OR(C1094="Ingredient candidate",C1094="Consumed input",C1094="Contained input",C1094="Transform input"),IF(F1094="T0",0,IF(F1094="T1",1,IF(F1094="T2",2,IF(F1094="T3",3,IF(F1094="T4",4,-1))))),-1)</x:f>
        <x:v>-1</x:v>
      </x:c>
      <x:c r="Q1094" s="4" t="n">
        <x:f>IF(AND(OR(C1094="Ingredient candidate",C1094="Consumed input",C1094="Contained input",C1094="Transform input"),P1094=-1),1,0)</x:f>
        <x:v>0</x:v>
      </x:c>
    </x:row>
    <x:row r="1095" ht="64" customHeight="1">
      <x:c r="A1095" s="4" t="str">
        <x:v>design.collection.coarse_meal_phagia_drink.in.1</x:v>
      </x:c>
      <x:c r="B1095" s="4" t="str">
        <x:v>design.collection.coarse_meal_phagia_drink</x:v>
      </x:c>
      <x:c r="C1095" s="4" t="str">
        <x:v>Ingredient candidate</x:v>
      </x:c>
      <x:c r="D1095" s="4" t="str">
        <x:v>proposal.collection.fine_culinary_phagia_meal</x:v>
      </x:c>
      <x:c r="E1095" s="4" t="str">
        <x:f>IFERROR(INDEX('Items'!$B$6:$B$1005,MATCH(D1095,'Items'!$A$6:$A$1005,0)),"MISSING ID")</x:f>
        <x:v>Fine culinary Phagia meal</x:v>
      </x:c>
      <x:c r="F1095" s="4" t="str">
        <x:f>IFERROR(INDEX('Items'!$C$6:$C$1005,MATCH(D1095,'Items'!$A$6:$A$1005,0)),"MISSING ID")</x:f>
        <x:v>T1</x:v>
      </x:c>
      <x:c r="G1095" s="4" t="str">
        <x:f>IFERROR(INDEX('Items'!$D$6:$D$1005,MATCH(D1095,'Items'!$A$6:$A$1005,0)),"MISSING ID")</x:f>
        <x:v>Cooking ingredients</x:v>
      </x:c>
      <x:c r="H1095" s="4" t="str">
        <x:f>IFERROR(INDEX('Items'!$X$6:$X$1005,MATCH(D1095,'Items'!$A$6:$A$1005,0)),"MISSING ID")</x:f>
        <x:v>Food material</x:v>
      </x:c>
      <x:c r="I1095" s="4"/>
      <x:c r="J1095" s="4" t="str">
        <x:v>Unspecified</x:v>
      </x:c>
      <x:c r="K1095" s="4" t="str">
        <x:f>IFERROR(INDEX('Crafting recipes'!$D$6:$D$1005,MATCH(B1095,'Crafting recipes'!$A$6:$A$1005,0)),"MISSING ID")</x:f>
        <x:v>Proposal</x:v>
      </x:c>
      <x:c r="L1095" s="4" t="str">
        <x:f>IFERROR(INDEX('Items'!$AD$6:$AD$1005,MATCH(D1095,'Items'!$A$6:$A$1005,0)),"MISSING ID")</x:f>
        <x:v>Proposal</x:v>
      </x:c>
      <x:c r="M1095" s="4" t="str">
        <x:f>IFERROR(INDEX('Crafting recipes'!$E$6:$E$1005,MATCH(B1095,'Crafting recipes'!$A$6:$A$1005,0)),"MISSING ID")</x:f>
        <x:v>Partial proposal</x:v>
      </x:c>
      <x:c r="N1095" s="4" t="str">
        <x:v>Candidate source or part only. Quantity, grade and method remain open.</x:v>
      </x:c>
      <x:c r="O1095" s="4" t="str">
        <x:v>Collection expansion, October 15, 2026. New game proposal.</x:v>
      </x:c>
      <x:c r="P1095" s="4" t="n">
        <x:f>IF(OR(C1095="Ingredient candidate",C1095="Consumed input",C1095="Contained input",C1095="Transform input"),IF(F1095="T0",0,IF(F1095="T1",1,IF(F1095="T2",2,IF(F1095="T3",3,IF(F1095="T4",4,-1))))),-1)</x:f>
        <x:v>1</x:v>
      </x:c>
      <x:c r="Q1095" s="4" t="n">
        <x:f>IF(AND(OR(C1095="Ingredient candidate",C1095="Consumed input",C1095="Contained input",C1095="Transform input"),P1095=-1),1,0)</x:f>
        <x:v>0</x:v>
      </x:c>
    </x:row>
    <x:row r="1096" ht="64" customHeight="1">
      <x:c r="A1096" s="4" t="str">
        <x:v>design.collection.coarse_meal_phagia_drink.in.2</x:v>
      </x:c>
      <x:c r="B1096" s="4" t="str">
        <x:v>design.collection.coarse_meal_phagia_drink</x:v>
      </x:c>
      <x:c r="C1096" s="4" t="str">
        <x:v>Ingredient candidate</x:v>
      </x:c>
      <x:c r="D1096" s="4" t="str">
        <x:v>proposal.collection.culinary_phagia_liquid_fraction</x:v>
      </x:c>
      <x:c r="E1096" s="4" t="str">
        <x:f>IFERROR(INDEX('Items'!$B$6:$B$1005,MATCH(D1096,'Items'!$A$6:$A$1005,0)),"MISSING ID")</x:f>
        <x:v>Culinary Phagia liquid fraction</x:v>
      </x:c>
      <x:c r="F1096" s="4" t="str">
        <x:f>IFERROR(INDEX('Items'!$C$6:$C$1005,MATCH(D1096,'Items'!$A$6:$A$1005,0)),"MISSING ID")</x:f>
        <x:v>T1</x:v>
      </x:c>
      <x:c r="G1096" s="4" t="str">
        <x:f>IFERROR(INDEX('Items'!$D$6:$D$1005,MATCH(D1096,'Items'!$A$6:$A$1005,0)),"MISSING ID")</x:f>
        <x:v>Cooking ingredients</x:v>
      </x:c>
      <x:c r="H1096" s="4" t="str">
        <x:f>IFERROR(INDEX('Items'!$X$6:$X$1005,MATCH(D1096,'Items'!$A$6:$A$1005,0)),"MISSING ID")</x:f>
        <x:v>Food material</x:v>
      </x:c>
      <x:c r="I1096" s="4"/>
      <x:c r="J1096" s="4" t="str">
        <x:v>Unspecified</x:v>
      </x:c>
      <x:c r="K1096" s="4" t="str">
        <x:f>IFERROR(INDEX('Crafting recipes'!$D$6:$D$1005,MATCH(B1096,'Crafting recipes'!$A$6:$A$1005,0)),"MISSING ID")</x:f>
        <x:v>Proposal</x:v>
      </x:c>
      <x:c r="L1096" s="4" t="str">
        <x:f>IFERROR(INDEX('Items'!$AD$6:$AD$1005,MATCH(D1096,'Items'!$A$6:$A$1005,0)),"MISSING ID")</x:f>
        <x:v>Proposal</x:v>
      </x:c>
      <x:c r="M1096" s="4" t="str">
        <x:f>IFERROR(INDEX('Crafting recipes'!$E$6:$E$1005,MATCH(B1096,'Crafting recipes'!$A$6:$A$1005,0)),"MISSING ID")</x:f>
        <x:v>Partial proposal</x:v>
      </x:c>
      <x:c r="N1096" s="4" t="str">
        <x:v>Candidate source or part only. Quantity, grade and method remain open.</x:v>
      </x:c>
      <x:c r="O1096" s="4" t="str">
        <x:v>Collection expansion, October 15, 2026. New game proposal.</x:v>
      </x:c>
      <x:c r="P1096" s="4" t="n">
        <x:f>IF(OR(C1096="Ingredient candidate",C1096="Consumed input",C1096="Contained input",C1096="Transform input"),IF(F1096="T0",0,IF(F1096="T1",1,IF(F1096="T2",2,IF(F1096="T3",3,IF(F1096="T4",4,-1))))),-1)</x:f>
        <x:v>1</x:v>
      </x:c>
      <x:c r="Q1096" s="4" t="n">
        <x:f>IF(AND(OR(C1096="Ingredient candidate",C1096="Consumed input",C1096="Contained input",C1096="Transform input"),P1096=-1),1,0)</x:f>
        <x:v>0</x:v>
      </x:c>
    </x:row>
    <x:row r="1097" ht="64" customHeight="1">
      <x:c r="A1097" s="4" t="str">
        <x:v>design.collection.coarse_meal_phagia_drink.out</x:v>
      </x:c>
      <x:c r="B1097" s="4" t="str">
        <x:v>design.collection.coarse_meal_phagia_drink</x:v>
      </x:c>
      <x:c r="C1097" s="4" t="str">
        <x:v>Output</x:v>
      </x:c>
      <x:c r="D1097" s="4" t="str">
        <x:v>proposal.collection.coarse_meal_phagia_drink</x:v>
      </x:c>
      <x:c r="E1097" s="4" t="str">
        <x:f>IFERROR(INDEX('Items'!$B$6:$B$1005,MATCH(D1097,'Items'!$A$6:$A$1005,0)),"MISSING ID")</x:f>
        <x:v>Coarse-meal Phagia drink</x:v>
      </x:c>
      <x:c r="F1097" s="4" t="str">
        <x:f>IFERROR(INDEX('Items'!$C$6:$C$1005,MATCH(D1097,'Items'!$A$6:$A$1005,0)),"MISSING ID")</x:f>
        <x:v>Not applicable</x:v>
      </x:c>
      <x:c r="G1097" s="4" t="str">
        <x:f>IFERROR(INDEX('Items'!$D$6:$D$1005,MATCH(D1097,'Items'!$A$6:$A$1005,0)),"MISSING ID")</x:f>
        <x:v>Consumables</x:v>
      </x:c>
      <x:c r="H1097" s="4" t="str">
        <x:f>IFERROR(INDEX('Items'!$X$6:$X$1005,MATCH(D1097,'Items'!$A$6:$A$1005,0)),"MISSING ID")</x:f>
        <x:v>Drink consumable</x:v>
      </x:c>
      <x:c r="I1097" s="4"/>
      <x:c r="J1097" s="4" t="str">
        <x:v>Unspecified</x:v>
      </x:c>
      <x:c r="K1097" s="4" t="str">
        <x:f>IFERROR(INDEX('Crafting recipes'!$D$6:$D$1005,MATCH(B1097,'Crafting recipes'!$A$6:$A$1005,0)),"MISSING ID")</x:f>
        <x:v>Proposal</x:v>
      </x:c>
      <x:c r="L1097" s="4" t="str">
        <x:f>IFERROR(INDEX('Items'!$AD$6:$AD$1005,MATCH(D1097,'Items'!$A$6:$A$1005,0)),"MISSING ID")</x:f>
        <x:v>Proposal</x:v>
      </x:c>
      <x:c r="M1097" s="4" t="str">
        <x:f>IFERROR(INDEX('Crafting recipes'!$E$6:$E$1005,MATCH(B1097,'Crafting recipes'!$A$6:$A$1005,0)),"MISSING ID")</x:f>
        <x:v>Partial proposal</x:v>
      </x:c>
      <x:c r="N1097" s="4" t="str">
        <x:v>Candidate source or part only. Quantity, grade and method remain open.</x:v>
      </x:c>
      <x:c r="O1097" s="4" t="str">
        <x:v>Collection expansion, October 15, 2026. New game proposal.</x:v>
      </x:c>
      <x:c r="P1097" s="4" t="n">
        <x:f>IF(OR(C1097="Ingredient candidate",C1097="Consumed input",C1097="Contained input",C1097="Transform input"),IF(F1097="T0",0,IF(F1097="T1",1,IF(F1097="T2",2,IF(F1097="T3",3,IF(F1097="T4",4,-1))))),-1)</x:f>
        <x:v>-1</x:v>
      </x:c>
      <x:c r="Q1097" s="4" t="n">
        <x:f>IF(AND(OR(C1097="Ingredient candidate",C1097="Consumed input",C1097="Contained input",C1097="Transform input"),P1097=-1),1,0)</x:f>
        <x:v>0</x:v>
      </x:c>
    </x:row>
    <x:row r="1098" ht="64" customHeight="1">
      <x:c r="A1098" s="4" t="str">
        <x:v>design.collection.two_layer_phagia_cup.in.1</x:v>
      </x:c>
      <x:c r="B1098" s="4" t="str">
        <x:v>design.collection.two_layer_phagia_cup</x:v>
      </x:c>
      <x:c r="C1098" s="4" t="str">
        <x:v>Ingredient candidate</x:v>
      </x:c>
      <x:c r="D1098" s="4" t="str">
        <x:v>proposal.collection.drained_culinary_phagia_curd</x:v>
      </x:c>
      <x:c r="E1098" s="4" t="str">
        <x:f>IFERROR(INDEX('Items'!$B$6:$B$1005,MATCH(D1098,'Items'!$A$6:$A$1005,0)),"MISSING ID")</x:f>
        <x:v>Drained culinary Phagia curd</x:v>
      </x:c>
      <x:c r="F1098" s="4" t="str">
        <x:f>IFERROR(INDEX('Items'!$C$6:$C$1005,MATCH(D1098,'Items'!$A$6:$A$1005,0)),"MISSING ID")</x:f>
        <x:v>T1</x:v>
      </x:c>
      <x:c r="G1098" s="4" t="str">
        <x:f>IFERROR(INDEX('Items'!$D$6:$D$1005,MATCH(D1098,'Items'!$A$6:$A$1005,0)),"MISSING ID")</x:f>
        <x:v>Cooking ingredients</x:v>
      </x:c>
      <x:c r="H1098" s="4" t="str">
        <x:f>IFERROR(INDEX('Items'!$X$6:$X$1005,MATCH(D1098,'Items'!$A$6:$A$1005,0)),"MISSING ID")</x:f>
        <x:v>Food material</x:v>
      </x:c>
      <x:c r="I1098" s="4"/>
      <x:c r="J1098" s="4" t="str">
        <x:v>Unspecified</x:v>
      </x:c>
      <x:c r="K1098" s="4" t="str">
        <x:f>IFERROR(INDEX('Crafting recipes'!$D$6:$D$1005,MATCH(B1098,'Crafting recipes'!$A$6:$A$1005,0)),"MISSING ID")</x:f>
        <x:v>Proposal</x:v>
      </x:c>
      <x:c r="L1098" s="4" t="str">
        <x:f>IFERROR(INDEX('Items'!$AD$6:$AD$1005,MATCH(D1098,'Items'!$A$6:$A$1005,0)),"MISSING ID")</x:f>
        <x:v>Proposal</x:v>
      </x:c>
      <x:c r="M1098" s="4" t="str">
        <x:f>IFERROR(INDEX('Crafting recipes'!$E$6:$E$1005,MATCH(B1098,'Crafting recipes'!$A$6:$A$1005,0)),"MISSING ID")</x:f>
        <x:v>Partial proposal</x:v>
      </x:c>
      <x:c r="N1098" s="4" t="str">
        <x:v>Candidate source or part only. Quantity, grade and method remain open.</x:v>
      </x:c>
      <x:c r="O1098" s="4" t="str">
        <x:v>Collection expansion, October 15, 2026. New game proposal.</x:v>
      </x:c>
      <x:c r="P1098" s="4" t="n">
        <x:f>IF(OR(C1098="Ingredient candidate",C1098="Consumed input",C1098="Contained input",C1098="Transform input"),IF(F1098="T0",0,IF(F1098="T1",1,IF(F1098="T2",2,IF(F1098="T3",3,IF(F1098="T4",4,-1))))),-1)</x:f>
        <x:v>1</x:v>
      </x:c>
      <x:c r="Q1098" s="4" t="n">
        <x:f>IF(AND(OR(C1098="Ingredient candidate",C1098="Consumed input",C1098="Contained input",C1098="Transform input"),P1098=-1),1,0)</x:f>
        <x:v>0</x:v>
      </x:c>
    </x:row>
    <x:row r="1099" ht="64" customHeight="1">
      <x:c r="A1099" s="4" t="str">
        <x:v>design.collection.two_layer_phagia_cup.in.2</x:v>
      </x:c>
      <x:c r="B1099" s="4" t="str">
        <x:v>design.collection.two_layer_phagia_cup</x:v>
      </x:c>
      <x:c r="C1099" s="4" t="str">
        <x:v>Ingredient candidate</x:v>
      </x:c>
      <x:c r="D1099" s="4" t="str">
        <x:v>proposal.collection.culinary_phagia_liquid_fraction</x:v>
      </x:c>
      <x:c r="E1099" s="4" t="str">
        <x:f>IFERROR(INDEX('Items'!$B$6:$B$1005,MATCH(D1099,'Items'!$A$6:$A$1005,0)),"MISSING ID")</x:f>
        <x:v>Culinary Phagia liquid fraction</x:v>
      </x:c>
      <x:c r="F1099" s="4" t="str">
        <x:f>IFERROR(INDEX('Items'!$C$6:$C$1005,MATCH(D1099,'Items'!$A$6:$A$1005,0)),"MISSING ID")</x:f>
        <x:v>T1</x:v>
      </x:c>
      <x:c r="G1099" s="4" t="str">
        <x:f>IFERROR(INDEX('Items'!$D$6:$D$1005,MATCH(D1099,'Items'!$A$6:$A$1005,0)),"MISSING ID")</x:f>
        <x:v>Cooking ingredients</x:v>
      </x:c>
      <x:c r="H1099" s="4" t="str">
        <x:f>IFERROR(INDEX('Items'!$X$6:$X$1005,MATCH(D1099,'Items'!$A$6:$A$1005,0)),"MISSING ID")</x:f>
        <x:v>Food material</x:v>
      </x:c>
      <x:c r="I1099" s="4"/>
      <x:c r="J1099" s="4" t="str">
        <x:v>Unspecified</x:v>
      </x:c>
      <x:c r="K1099" s="4" t="str">
        <x:f>IFERROR(INDEX('Crafting recipes'!$D$6:$D$1005,MATCH(B1099,'Crafting recipes'!$A$6:$A$1005,0)),"MISSING ID")</x:f>
        <x:v>Proposal</x:v>
      </x:c>
      <x:c r="L1099" s="4" t="str">
        <x:f>IFERROR(INDEX('Items'!$AD$6:$AD$1005,MATCH(D1099,'Items'!$A$6:$A$1005,0)),"MISSING ID")</x:f>
        <x:v>Proposal</x:v>
      </x:c>
      <x:c r="M1099" s="4" t="str">
        <x:f>IFERROR(INDEX('Crafting recipes'!$E$6:$E$1005,MATCH(B1099,'Crafting recipes'!$A$6:$A$1005,0)),"MISSING ID")</x:f>
        <x:v>Partial proposal</x:v>
      </x:c>
      <x:c r="N1099" s="4" t="str">
        <x:v>Candidate source or part only. Quantity, grade and method remain open.</x:v>
      </x:c>
      <x:c r="O1099" s="4" t="str">
        <x:v>Collection expansion, October 15, 2026. New game proposal.</x:v>
      </x:c>
      <x:c r="P1099" s="4" t="n">
        <x:f>IF(OR(C1099="Ingredient candidate",C1099="Consumed input",C1099="Contained input",C1099="Transform input"),IF(F1099="T0",0,IF(F1099="T1",1,IF(F1099="T2",2,IF(F1099="T3",3,IF(F1099="T4",4,-1))))),-1)</x:f>
        <x:v>1</x:v>
      </x:c>
      <x:c r="Q1099" s="4" t="n">
        <x:f>IF(AND(OR(C1099="Ingredient candidate",C1099="Consumed input",C1099="Contained input",C1099="Transform input"),P1099=-1),1,0)</x:f>
        <x:v>0</x:v>
      </x:c>
    </x:row>
    <x:row r="1100" ht="64" customHeight="1">
      <x:c r="A1100" s="4" t="str">
        <x:v>design.collection.two_layer_phagia_cup.out</x:v>
      </x:c>
      <x:c r="B1100" s="4" t="str">
        <x:v>design.collection.two_layer_phagia_cup</x:v>
      </x:c>
      <x:c r="C1100" s="4" t="str">
        <x:v>Output</x:v>
      </x:c>
      <x:c r="D1100" s="4" t="str">
        <x:v>proposal.collection.two_layer_phagia_cup</x:v>
      </x:c>
      <x:c r="E1100" s="4" t="str">
        <x:f>IFERROR(INDEX('Items'!$B$6:$B$1005,MATCH(D1100,'Items'!$A$6:$A$1005,0)),"MISSING ID")</x:f>
        <x:v>Two-layer Phagia cup</x:v>
      </x:c>
      <x:c r="F1100" s="4" t="str">
        <x:f>IFERROR(INDEX('Items'!$C$6:$C$1005,MATCH(D1100,'Items'!$A$6:$A$1005,0)),"MISSING ID")</x:f>
        <x:v>Not applicable</x:v>
      </x:c>
      <x:c r="G1100" s="4" t="str">
        <x:f>IFERROR(INDEX('Items'!$D$6:$D$1005,MATCH(D1100,'Items'!$A$6:$A$1005,0)),"MISSING ID")</x:f>
        <x:v>Consumables</x:v>
      </x:c>
      <x:c r="H1100" s="4" t="str">
        <x:f>IFERROR(INDEX('Items'!$X$6:$X$1005,MATCH(D1100,'Items'!$A$6:$A$1005,0)),"MISSING ID")</x:f>
        <x:v>Drink consumable</x:v>
      </x:c>
      <x:c r="I1100" s="4"/>
      <x:c r="J1100" s="4" t="str">
        <x:v>Unspecified</x:v>
      </x:c>
      <x:c r="K1100" s="4" t="str">
        <x:f>IFERROR(INDEX('Crafting recipes'!$D$6:$D$1005,MATCH(B1100,'Crafting recipes'!$A$6:$A$1005,0)),"MISSING ID")</x:f>
        <x:v>Proposal</x:v>
      </x:c>
      <x:c r="L1100" s="4" t="str">
        <x:f>IFERROR(INDEX('Items'!$AD$6:$AD$1005,MATCH(D1100,'Items'!$A$6:$A$1005,0)),"MISSING ID")</x:f>
        <x:v>Proposal</x:v>
      </x:c>
      <x:c r="M1100" s="4" t="str">
        <x:f>IFERROR(INDEX('Crafting recipes'!$E$6:$E$1005,MATCH(B1100,'Crafting recipes'!$A$6:$A$1005,0)),"MISSING ID")</x:f>
        <x:v>Partial proposal</x:v>
      </x:c>
      <x:c r="N1100" s="4" t="str">
        <x:v>Candidate source or part only. Quantity, grade and method remain open.</x:v>
      </x:c>
      <x:c r="O1100" s="4" t="str">
        <x:v>Collection expansion, October 15, 2026. New game proposal.</x:v>
      </x:c>
      <x:c r="P1100" s="4" t="n">
        <x:f>IF(OR(C1100="Ingredient candidate",C1100="Consumed input",C1100="Contained input",C1100="Transform input"),IF(F1100="T0",0,IF(F1100="T1",1,IF(F1100="T2",2,IF(F1100="T3",3,IF(F1100="T4",4,-1))))),-1)</x:f>
        <x:v>-1</x:v>
      </x:c>
      <x:c r="Q1100" s="4" t="n">
        <x:f>IF(AND(OR(C1100="Ingredient candidate",C1100="Consumed input",C1100="Contained input",C1100="Transform input"),P1100=-1),1,0)</x:f>
        <x:v>0</x:v>
      </x:c>
    </x:row>
    <x:row r="1101" ht="64" customHeight="1">
      <x:c r="A1101" s="4"/>
      <x:c r="B1101" s="4"/>
      <x:c r="C1101" s="4"/>
      <x:c r="D1101" s="4"/>
      <x:c r="E1101" s="4"/>
      <x:c r="F1101" s="4"/>
      <x:c r="G1101" s="4"/>
      <x:c r="H1101" s="4"/>
      <x:c r="I1101" s="4"/>
      <x:c r="K1101" s="4"/>
      <x:c r="L1101" s="4"/>
      <x:c r="M1101" s="4"/>
      <x:c r="N1101" s="4"/>
      <x:c r="O1101" s="4"/>
      <x:c r="P1101" s="4"/>
      <x:c r="Q1101" s="4"/>
    </x:row>
    <x:row r="1102" ht="64" customHeight="1">
      <x:c r="A1102" s="4"/>
      <x:c r="B1102" s="4"/>
      <x:c r="C1102" s="4"/>
      <x:c r="D1102" s="4"/>
      <x:c r="E1102" s="4"/>
      <x:c r="F1102" s="4"/>
      <x:c r="G1102" s="4"/>
      <x:c r="H1102" s="4"/>
      <x:c r="I1102" s="4"/>
      <x:c r="K1102" s="4"/>
      <x:c r="L1102" s="4"/>
      <x:c r="M1102" s="4"/>
      <x:c r="N1102" s="4"/>
      <x:c r="O1102" s="4"/>
      <x:c r="P1102" s="4"/>
      <x:c r="Q1102" s="4"/>
    </x:row>
    <x:row r="1103" ht="64" customHeight="1">
      <x:c r="A1103" s="4"/>
      <x:c r="B1103" s="4"/>
      <x:c r="C1103" s="4"/>
      <x:c r="D1103" s="4"/>
      <x:c r="E1103" s="4"/>
      <x:c r="F1103" s="4"/>
      <x:c r="G1103" s="4"/>
      <x:c r="H1103" s="4"/>
      <x:c r="I1103" s="4"/>
      <x:c r="K1103" s="4"/>
      <x:c r="L1103" s="4"/>
      <x:c r="M1103" s="4"/>
      <x:c r="N1103" s="4"/>
      <x:c r="O1103" s="4"/>
      <x:c r="P1103" s="4"/>
      <x:c r="Q1103" s="4"/>
    </x:row>
    <x:row r="1104" ht="64" customHeight="1">
      <x:c r="A1104" s="4"/>
      <x:c r="B1104" s="4"/>
      <x:c r="C1104" s="4"/>
      <x:c r="D1104" s="4"/>
      <x:c r="E1104" s="4"/>
      <x:c r="F1104" s="4"/>
      <x:c r="G1104" s="4"/>
      <x:c r="H1104" s="4"/>
      <x:c r="I1104" s="4"/>
      <x:c r="J1104" s="4"/>
      <x:c r="K1104" s="4"/>
      <x:c r="L1104" s="4"/>
      <x:c r="M1104" s="4"/>
      <x:c r="N1104" s="4"/>
      <x:c r="O1104" s="4"/>
      <x:c r="P1104" s="4"/>
      <x:c r="Q1104" s="4"/>
    </x:row>
    <x:row r="1105" ht="64" customHeight="1">
      <x:c r="A1105" s="4"/>
      <x:c r="B1105" s="4"/>
      <x:c r="C1105" s="4"/>
      <x:c r="D1105" s="4"/>
      <x:c r="E1105" s="4"/>
      <x:c r="F1105" s="4"/>
      <x:c r="G1105" s="4"/>
      <x:c r="H1105" s="4"/>
      <x:c r="I1105" s="4"/>
      <x:c r="J1105" s="4"/>
      <x:c r="K1105" s="4"/>
      <x:c r="L1105" s="4"/>
      <x:c r="M1105" s="4"/>
      <x:c r="N1105" s="4"/>
      <x:c r="O1105" s="4"/>
      <x:c r="P1105" s="4"/>
      <x:c r="Q1105" s="4"/>
    </x:row>
    <x:row r="1106" ht="64" customHeight="1">
      <x:c r="A1106" s="4"/>
      <x:c r="B1106" s="4"/>
      <x:c r="C1106" s="4"/>
      <x:c r="D1106" s="4"/>
      <x:c r="E1106" s="4"/>
      <x:c r="F1106" s="4"/>
      <x:c r="G1106" s="4"/>
      <x:c r="H1106" s="4"/>
      <x:c r="I1106" s="4"/>
      <x:c r="J1106" s="4"/>
      <x:c r="K1106" s="4"/>
      <x:c r="L1106" s="4"/>
      <x:c r="M1106" s="4"/>
      <x:c r="N1106" s="4"/>
      <x:c r="O1106" s="4"/>
      <x:c r="P1106" s="4"/>
      <x:c r="Q1106" s="4"/>
    </x:row>
    <x:row r="1107" ht="64" customHeight="1">
      <x:c r="A1107" s="4"/>
      <x:c r="B1107" s="4"/>
      <x:c r="C1107" s="4"/>
      <x:c r="D1107" s="4"/>
      <x:c r="E1107" s="4"/>
      <x:c r="F1107" s="4"/>
      <x:c r="G1107" s="4"/>
      <x:c r="H1107" s="4"/>
      <x:c r="I1107" s="4"/>
      <x:c r="J1107" s="4"/>
      <x:c r="K1107" s="4"/>
      <x:c r="L1107" s="4"/>
      <x:c r="M1107" s="4"/>
      <x:c r="N1107" s="4"/>
      <x:c r="O1107" s="4"/>
      <x:c r="P1107" s="4"/>
      <x:c r="Q1107" s="4"/>
    </x:row>
    <x:row r="1108" ht="64" customHeight="1">
      <x:c r="A1108" s="4"/>
      <x:c r="B1108" s="4"/>
      <x:c r="C1108" s="4"/>
      <x:c r="D1108" s="4"/>
      <x:c r="E1108" s="4"/>
      <x:c r="F1108" s="4"/>
      <x:c r="G1108" s="4"/>
      <x:c r="H1108" s="4"/>
      <x:c r="I1108" s="4"/>
      <x:c r="J1108" s="4"/>
      <x:c r="K1108" s="4"/>
      <x:c r="L1108" s="4"/>
      <x:c r="M1108" s="4"/>
      <x:c r="N1108" s="4"/>
      <x:c r="O1108" s="4"/>
      <x:c r="P1108" s="4"/>
      <x:c r="Q1108" s="4"/>
    </x:row>
    <x:row r="1109" ht="64" customHeight="1">
      <x:c r="A1109" s="4"/>
      <x:c r="B1109" s="4"/>
      <x:c r="C1109" s="4"/>
      <x:c r="D1109" s="4"/>
      <x:c r="E1109" s="4"/>
      <x:c r="F1109" s="4"/>
      <x:c r="G1109" s="4"/>
      <x:c r="H1109" s="4"/>
      <x:c r="I1109" s="4"/>
      <x:c r="J1109" s="4"/>
      <x:c r="K1109" s="4"/>
      <x:c r="L1109" s="4"/>
      <x:c r="M1109" s="4"/>
      <x:c r="N1109" s="4"/>
      <x:c r="O1109" s="4"/>
      <x:c r="P1109" s="4"/>
      <x:c r="Q1109" s="4"/>
    </x:row>
    <x:row r="1110" ht="64" customHeight="1">
      <x:c r="A1110" s="4" t="str">
        <x:v>design.collection.guarded_flywheel_cartridge.in.1</x:v>
      </x:c>
      <x:c r="B1110" s="4" t="str">
        <x:v>design.collection.guarded_flywheel_cartridge</x:v>
      </x:c>
      <x:c r="C1110" s="4" t="str">
        <x:v>Ingredient candidate</x:v>
      </x:c>
      <x:c r="D1110" s="4" t="str">
        <x:v>proposal.collection.flywheel_rim_segment</x:v>
      </x:c>
      <x:c r="E1110" s="4" t="str">
        <x:f>IFERROR(INDEX('Items'!$B$6:$B$1005,MATCH(D1110,'Items'!$A$6:$A$1005,0)),"MISSING ID")</x:f>
        <x:v>Flywheel rim segment</x:v>
      </x:c>
      <x:c r="F1110" s="4" t="str">
        <x:f>IFERROR(INDEX('Items'!$C$6:$C$1005,MATCH(D1110,'Items'!$A$6:$A$1005,0)),"MISSING ID")</x:f>
        <x:v>T3</x:v>
      </x:c>
      <x:c r="G1110" s="4" t="str">
        <x:f>IFERROR(INDEX('Items'!$D$6:$D$1005,MATCH(D1110,'Items'!$A$6:$A$1005,0)),"MISSING ID")</x:f>
        <x:v>Crafting components</x:v>
      </x:c>
      <x:c r="H1110" s="4" t="str">
        <x:f>IFERROR(INDEX('Items'!$X$6:$X$1005,MATCH(D1110,'Items'!$A$6:$A$1005,0)),"MISSING ID")</x:f>
        <x:v>Machine part</x:v>
      </x:c>
      <x:c r="I1110" s="4"/>
      <x:c r="J1110" s="4" t="str">
        <x:v>Unspecified</x:v>
      </x:c>
      <x:c r="K1110" s="4" t="str">
        <x:f>IFERROR(INDEX('Crafting recipes'!$D$6:$D$1005,MATCH(B1110,'Crafting recipes'!$A$6:$A$1005,0)),"MISSING ID")</x:f>
        <x:v>Proposal</x:v>
      </x:c>
      <x:c r="L1110" s="4" t="str">
        <x:f>IFERROR(INDEX('Items'!$AD$6:$AD$1005,MATCH(D1110,'Items'!$A$6:$A$1005,0)),"MISSING ID")</x:f>
        <x:v>Proposal</x:v>
      </x:c>
      <x:c r="M1110" s="4" t="str">
        <x:f>IFERROR(INDEX('Crafting recipes'!$E$6:$E$1005,MATCH(B1110,'Crafting recipes'!$A$6:$A$1005,0)),"MISSING ID")</x:f>
        <x:v>Partial proposal</x:v>
      </x:c>
      <x:c r="N1110" s="4" t="str">
        <x:v>Candidate source or part only. Quantity, grade and method remain open.</x:v>
      </x:c>
      <x:c r="O1110" s="4" t="str">
        <x:v>Collection expansion, October 15, 2026. New game proposal.</x:v>
      </x:c>
      <x:c r="P1110" s="4" t="n">
        <x:f>IF(OR(C1110="Ingredient candidate",C1110="Consumed input",C1110="Contained input",C1110="Transform input"),IF(F1110="T0",0,IF(F1110="T1",1,IF(F1110="T2",2,IF(F1110="T3",3,IF(F1110="T4",4,-1))))),-1)</x:f>
        <x:v>3</x:v>
      </x:c>
      <x:c r="Q1110" s="4" t="n">
        <x:f>IF(AND(OR(C1110="Ingredient candidate",C1110="Consumed input",C1110="Contained input",C1110="Transform input"),P1110=-1),1,0)</x:f>
        <x:v>0</x:v>
      </x:c>
    </x:row>
    <x:row r="1111" ht="64" customHeight="1">
      <x:c r="A1111" s="4" t="str">
        <x:v>design.collection.guarded_flywheel_cartridge.in.2</x:v>
      </x:c>
      <x:c r="B1111" s="4" t="str">
        <x:v>design.collection.guarded_flywheel_cartridge</x:v>
      </x:c>
      <x:c r="C1111" s="4" t="str">
        <x:v>Ingredient candidate</x:v>
      </x:c>
      <x:c r="D1111" s="4" t="str">
        <x:v>proposal.collection.keyed_drive_shaft</x:v>
      </x:c>
      <x:c r="E1111" s="4" t="str">
        <x:f>IFERROR(INDEX('Items'!$B$6:$B$1005,MATCH(D1111,'Items'!$A$6:$A$1005,0)),"MISSING ID")</x:f>
        <x:v>Keyed drive shaft</x:v>
      </x:c>
      <x:c r="F1111" s="4" t="str">
        <x:f>IFERROR(INDEX('Items'!$C$6:$C$1005,MATCH(D1111,'Items'!$A$6:$A$1005,0)),"MISSING ID")</x:f>
        <x:v>T3</x:v>
      </x:c>
      <x:c r="G1111" s="4" t="str">
        <x:f>IFERROR(INDEX('Items'!$D$6:$D$1005,MATCH(D1111,'Items'!$A$6:$A$1005,0)),"MISSING ID")</x:f>
        <x:v>Crafting components</x:v>
      </x:c>
      <x:c r="H1111" s="4" t="str">
        <x:f>IFERROR(INDEX('Items'!$X$6:$X$1005,MATCH(D1111,'Items'!$A$6:$A$1005,0)),"MISSING ID")</x:f>
        <x:v>Machine part</x:v>
      </x:c>
      <x:c r="I1111" s="4"/>
      <x:c r="J1111" s="4" t="str">
        <x:v>Unspecified</x:v>
      </x:c>
      <x:c r="K1111" s="4" t="str">
        <x:f>IFERROR(INDEX('Crafting recipes'!$D$6:$D$1005,MATCH(B1111,'Crafting recipes'!$A$6:$A$1005,0)),"MISSING ID")</x:f>
        <x:v>Proposal</x:v>
      </x:c>
      <x:c r="L1111" s="4" t="str">
        <x:f>IFERROR(INDEX('Items'!$AD$6:$AD$1005,MATCH(D1111,'Items'!$A$6:$A$1005,0)),"MISSING ID")</x:f>
        <x:v>Proposal</x:v>
      </x:c>
      <x:c r="M1111" s="4" t="str">
        <x:f>IFERROR(INDEX('Crafting recipes'!$E$6:$E$1005,MATCH(B1111,'Crafting recipes'!$A$6:$A$1005,0)),"MISSING ID")</x:f>
        <x:v>Partial proposal</x:v>
      </x:c>
      <x:c r="N1111" s="4" t="str">
        <x:v>Candidate source or part only. Quantity, grade and method remain open.</x:v>
      </x:c>
      <x:c r="O1111" s="4" t="str">
        <x:v>Collection expansion, October 15, 2026. New game proposal.</x:v>
      </x:c>
      <x:c r="P1111" s="4" t="n">
        <x:f>IF(OR(C1111="Ingredient candidate",C1111="Consumed input",C1111="Contained input",C1111="Transform input"),IF(F1111="T0",0,IF(F1111="T1",1,IF(F1111="T2",2,IF(F1111="T3",3,IF(F1111="T4",4,-1))))),-1)</x:f>
        <x:v>3</x:v>
      </x:c>
      <x:c r="Q1111" s="4" t="n">
        <x:f>IF(AND(OR(C1111="Ingredient candidate",C1111="Consumed input",C1111="Contained input",C1111="Transform input"),P1111=-1),1,0)</x:f>
        <x:v>0</x:v>
      </x:c>
    </x:row>
    <x:row r="1112" ht="64" customHeight="1">
      <x:c r="A1112" s="4" t="str">
        <x:v>design.collection.guarded_flywheel_cartridge.in.3</x:v>
      </x:c>
      <x:c r="B1112" s="4" t="str">
        <x:v>design.collection.guarded_flywheel_cartridge</x:v>
      </x:c>
      <x:c r="C1112" s="4" t="str">
        <x:v>Ingredient candidate</x:v>
      </x:c>
      <x:c r="D1112" s="4" t="str">
        <x:v>proposal.collection.split_bearing_pillow_block</x:v>
      </x:c>
      <x:c r="E1112" s="4" t="str">
        <x:f>IFERROR(INDEX('Items'!$B$6:$B$1005,MATCH(D1112,'Items'!$A$6:$A$1005,0)),"MISSING ID")</x:f>
        <x:v>Split bearing pillow block</x:v>
      </x:c>
      <x:c r="F1112" s="4" t="str">
        <x:f>IFERROR(INDEX('Items'!$C$6:$C$1005,MATCH(D1112,'Items'!$A$6:$A$1005,0)),"MISSING ID")</x:f>
        <x:v>T4</x:v>
      </x:c>
      <x:c r="G1112" s="4" t="str">
        <x:f>IFERROR(INDEX('Items'!$D$6:$D$1005,MATCH(D1112,'Items'!$A$6:$A$1005,0)),"MISSING ID")</x:f>
        <x:v>Crafting components</x:v>
      </x:c>
      <x:c r="H1112" s="4" t="str">
        <x:f>IFERROR(INDEX('Items'!$X$6:$X$1005,MATCH(D1112,'Items'!$A$6:$A$1005,0)),"MISSING ID")</x:f>
        <x:v>Machine part</x:v>
      </x:c>
      <x:c r="I1112" s="4"/>
      <x:c r="J1112" s="4" t="str">
        <x:v>Unspecified</x:v>
      </x:c>
      <x:c r="K1112" s="4" t="str">
        <x:f>IFERROR(INDEX('Crafting recipes'!$D$6:$D$1005,MATCH(B1112,'Crafting recipes'!$A$6:$A$1005,0)),"MISSING ID")</x:f>
        <x:v>Proposal</x:v>
      </x:c>
      <x:c r="L1112" s="4" t="str">
        <x:f>IFERROR(INDEX('Items'!$AD$6:$AD$1005,MATCH(D1112,'Items'!$A$6:$A$1005,0)),"MISSING ID")</x:f>
        <x:v>Proposal</x:v>
      </x:c>
      <x:c r="M1112" s="4" t="str">
        <x:f>IFERROR(INDEX('Crafting recipes'!$E$6:$E$1005,MATCH(B1112,'Crafting recipes'!$A$6:$A$1005,0)),"MISSING ID")</x:f>
        <x:v>Partial proposal</x:v>
      </x:c>
      <x:c r="N1112" s="4" t="str">
        <x:v>Candidate source or part only. Quantity, grade and method remain open.</x:v>
      </x:c>
      <x:c r="O1112" s="4" t="str">
        <x:v>Collection expansion, October 15, 2026. New game proposal.</x:v>
      </x:c>
      <x:c r="P1112" s="4" t="n">
        <x:f>IF(OR(C1112="Ingredient candidate",C1112="Consumed input",C1112="Contained input",C1112="Transform input"),IF(F1112="T0",0,IF(F1112="T1",1,IF(F1112="T2",2,IF(F1112="T3",3,IF(F1112="T4",4,-1))))),-1)</x:f>
        <x:v>4</x:v>
      </x:c>
      <x:c r="Q1112" s="4" t="n">
        <x:f>IF(AND(OR(C1112="Ingredient candidate",C1112="Consumed input",C1112="Contained input",C1112="Transform input"),P1112=-1),1,0)</x:f>
        <x:v>0</x:v>
      </x:c>
    </x:row>
    <x:row r="1113" ht="64" customHeight="1">
      <x:c r="A1113" s="4" t="str">
        <x:v>design.collection.guarded_flywheel_cartridge.out</x:v>
      </x:c>
      <x:c r="B1113" s="4" t="str">
        <x:v>design.collection.guarded_flywheel_cartridge</x:v>
      </x:c>
      <x:c r="C1113" s="4" t="str">
        <x:v>Output</x:v>
      </x:c>
      <x:c r="D1113" s="4" t="str">
        <x:v>proposal.collection.guarded_flywheel_cartridge</x:v>
      </x:c>
      <x:c r="E1113" s="4" t="str">
        <x:f>IFERROR(INDEX('Items'!$B$6:$B$1005,MATCH(D1113,'Items'!$A$6:$A$1005,0)),"MISSING ID")</x:f>
        <x:v>Guarded flywheel cartridge</x:v>
      </x:c>
      <x:c r="F1113" s="4" t="str">
        <x:f>IFERROR(INDEX('Items'!$C$6:$C$1005,MATCH(D1113,'Items'!$A$6:$A$1005,0)),"MISSING ID")</x:f>
        <x:v>Not applicable</x:v>
      </x:c>
      <x:c r="G1113" s="4" t="str">
        <x:f>IFERROR(INDEX('Items'!$D$6:$D$1005,MATCH(D1113,'Items'!$A$6:$A$1005,0)),"MISSING ID")</x:f>
        <x:v>Crafting components</x:v>
      </x:c>
      <x:c r="H1113" s="4" t="str">
        <x:f>IFERROR(INDEX('Items'!$X$6:$X$1005,MATCH(D1113,'Items'!$A$6:$A$1005,0)),"MISSING ID")</x:f>
        <x:v>Energy storage</x:v>
      </x:c>
      <x:c r="I1113" s="4"/>
      <x:c r="J1113" s="4" t="str">
        <x:v>Unspecified</x:v>
      </x:c>
      <x:c r="K1113" s="4" t="str">
        <x:f>IFERROR(INDEX('Crafting recipes'!$D$6:$D$1005,MATCH(B1113,'Crafting recipes'!$A$6:$A$1005,0)),"MISSING ID")</x:f>
        <x:v>Proposal</x:v>
      </x:c>
      <x:c r="L1113" s="4" t="str">
        <x:f>IFERROR(INDEX('Items'!$AD$6:$AD$1005,MATCH(D1113,'Items'!$A$6:$A$1005,0)),"MISSING ID")</x:f>
        <x:v>Proposal</x:v>
      </x:c>
      <x:c r="M1113" s="4" t="str">
        <x:f>IFERROR(INDEX('Crafting recipes'!$E$6:$E$1005,MATCH(B1113,'Crafting recipes'!$A$6:$A$1005,0)),"MISSING ID")</x:f>
        <x:v>Partial proposal</x:v>
      </x:c>
      <x:c r="N1113" s="4" t="str">
        <x:v>Candidate source or part only. Quantity, grade and method remain open.</x:v>
      </x:c>
      <x:c r="O1113" s="4" t="str">
        <x:v>Collection expansion, October 15, 2026. New game proposal.</x:v>
      </x:c>
      <x:c r="P1113" s="4" t="n">
        <x:f>IF(OR(C1113="Ingredient candidate",C1113="Consumed input",C1113="Contained input",C1113="Transform input"),IF(F1113="T0",0,IF(F1113="T1",1,IF(F1113="T2",2,IF(F1113="T3",3,IF(F1113="T4",4,-1))))),-1)</x:f>
        <x:v>-1</x:v>
      </x:c>
      <x:c r="Q1113" s="4" t="n">
        <x:f>IF(AND(OR(C1113="Ingredient candidate",C1113="Consumed input",C1113="Contained input",C1113="Transform input"),P1113=-1),1,0)</x:f>
        <x:v>0</x:v>
      </x:c>
    </x:row>
    <x:row r="1114" ht="64" customHeight="1">
      <x:c r="A1114" s="4" t="str">
        <x:v>design.collection.wound_clock_spring_pack.in.1</x:v>
      </x:c>
      <x:c r="B1114" s="4" t="str">
        <x:v>design.collection.wound_clock_spring_pack</x:v>
      </x:c>
      <x:c r="C1114" s="4" t="str">
        <x:v>Ingredient candidate</x:v>
      </x:c>
      <x:c r="D1114" s="4" t="str">
        <x:v>proposal.collection.flat_spiral_clock_spring</x:v>
      </x:c>
      <x:c r="E1114" s="4" t="str">
        <x:f>IFERROR(INDEX('Items'!$B$6:$B$1005,MATCH(D1114,'Items'!$A$6:$A$1005,0)),"MISSING ID")</x:f>
        <x:v>Flat spiral clock spring</x:v>
      </x:c>
      <x:c r="F1114" s="4" t="str">
        <x:f>IFERROR(INDEX('Items'!$C$6:$C$1005,MATCH(D1114,'Items'!$A$6:$A$1005,0)),"MISSING ID")</x:f>
        <x:v>T4</x:v>
      </x:c>
      <x:c r="G1114" s="4" t="str">
        <x:f>IFERROR(INDEX('Items'!$D$6:$D$1005,MATCH(D1114,'Items'!$A$6:$A$1005,0)),"MISSING ID")</x:f>
        <x:v>Crafting components</x:v>
      </x:c>
      <x:c r="H1114" s="4" t="str">
        <x:f>IFERROR(INDEX('Items'!$X$6:$X$1005,MATCH(D1114,'Items'!$A$6:$A$1005,0)),"MISSING ID")</x:f>
        <x:v>Machine part</x:v>
      </x:c>
      <x:c r="I1114" s="4"/>
      <x:c r="J1114" s="4" t="str">
        <x:v>Unspecified</x:v>
      </x:c>
      <x:c r="K1114" s="4" t="str">
        <x:f>IFERROR(INDEX('Crafting recipes'!$D$6:$D$1005,MATCH(B1114,'Crafting recipes'!$A$6:$A$1005,0)),"MISSING ID")</x:f>
        <x:v>Proposal</x:v>
      </x:c>
      <x:c r="L1114" s="4" t="str">
        <x:f>IFERROR(INDEX('Items'!$AD$6:$AD$1005,MATCH(D1114,'Items'!$A$6:$A$1005,0)),"MISSING ID")</x:f>
        <x:v>Proposal</x:v>
      </x:c>
      <x:c r="M1114" s="4" t="str">
        <x:f>IFERROR(INDEX('Crafting recipes'!$E$6:$E$1005,MATCH(B1114,'Crafting recipes'!$A$6:$A$1005,0)),"MISSING ID")</x:f>
        <x:v>Partial proposal</x:v>
      </x:c>
      <x:c r="N1114" s="4" t="str">
        <x:v>Candidate source or part only. Quantity, grade and method remain open.</x:v>
      </x:c>
      <x:c r="O1114" s="4" t="str">
        <x:v>Collection expansion, October 15, 2026. New game proposal.</x:v>
      </x:c>
      <x:c r="P1114" s="4" t="n">
        <x:f>IF(OR(C1114="Ingredient candidate",C1114="Consumed input",C1114="Contained input",C1114="Transform input"),IF(F1114="T0",0,IF(F1114="T1",1,IF(F1114="T2",2,IF(F1114="T3",3,IF(F1114="T4",4,-1))))),-1)</x:f>
        <x:v>4</x:v>
      </x:c>
      <x:c r="Q1114" s="4" t="n">
        <x:f>IF(AND(OR(C1114="Ingredient candidate",C1114="Consumed input",C1114="Contained input",C1114="Transform input"),P1114=-1),1,0)</x:f>
        <x:v>0</x:v>
      </x:c>
    </x:row>
    <x:row r="1115" ht="64" customHeight="1">
      <x:c r="A1115" s="4" t="str">
        <x:v>design.collection.wound_clock_spring_pack.in.2</x:v>
      </x:c>
      <x:c r="B1115" s="4" t="str">
        <x:v>design.collection.wound_clock_spring_pack</x:v>
      </x:c>
      <x:c r="C1115" s="4" t="str">
        <x:v>Ingredient candidate</x:v>
      </x:c>
      <x:c r="D1115" s="4" t="str">
        <x:v>author.metallurgy.steel_stock</x:v>
      </x:c>
      <x:c r="E1115" s="4" t="str">
        <x:f>IFERROR(INDEX('Items'!$B$6:$B$1005,MATCH(D1115,'Items'!$A$6:$A$1005,0)),"MISSING ID")</x:f>
        <x:v>Steel stock</x:v>
      </x:c>
      <x:c r="F1115" s="4" t="str">
        <x:f>IFERROR(INDEX('Items'!$C$6:$C$1005,MATCH(D1115,'Items'!$A$6:$A$1005,0)),"MISSING ID")</x:f>
        <x:v>T2</x:v>
      </x:c>
      <x:c r="G1115" s="4" t="str">
        <x:f>IFERROR(INDEX('Items'!$D$6:$D$1005,MATCH(D1115,'Items'!$A$6:$A$1005,0)),"MISSING ID")</x:f>
        <x:v>Manufactured stock</x:v>
      </x:c>
      <x:c r="H1115" s="4" t="str">
        <x:f>IFERROR(INDEX('Items'!$X$6:$X$1005,MATCH(D1115,'Items'!$A$6:$A$1005,0)),"MISSING ID")</x:f>
        <x:v>Processed material</x:v>
      </x:c>
      <x:c r="I1115" s="4"/>
      <x:c r="J1115" s="4" t="str">
        <x:v>Unspecified</x:v>
      </x:c>
      <x:c r="K1115" s="4" t="str">
        <x:f>IFERROR(INDEX('Crafting recipes'!$D$6:$D$1005,MATCH(B1115,'Crafting recipes'!$A$6:$A$1005,0)),"MISSING ID")</x:f>
        <x:v>Proposal</x:v>
      </x:c>
      <x:c r="L1115" s="4" t="str">
        <x:f>IFERROR(INDEX('Items'!$AD$6:$AD$1005,MATCH(D1115,'Items'!$A$6:$A$1005,0)),"MISSING ID")</x:f>
        <x:v>Author direction</x:v>
      </x:c>
      <x:c r="M1115" s="4" t="str">
        <x:f>IFERROR(INDEX('Crafting recipes'!$E$6:$E$1005,MATCH(B1115,'Crafting recipes'!$A$6:$A$1005,0)),"MISSING ID")</x:f>
        <x:v>Partial proposal</x:v>
      </x:c>
      <x:c r="N1115" s="4" t="str">
        <x:v>Candidate source or part only. Quantity, grade and method remain open.</x:v>
      </x:c>
      <x:c r="O1115" s="4" t="str">
        <x:v>Collection expansion, October 15, 2026. New game proposal.</x:v>
      </x:c>
      <x:c r="P1115" s="4" t="n">
        <x:f>IF(OR(C1115="Ingredient candidate",C1115="Consumed input",C1115="Contained input",C1115="Transform input"),IF(F1115="T0",0,IF(F1115="T1",1,IF(F1115="T2",2,IF(F1115="T3",3,IF(F1115="T4",4,-1))))),-1)</x:f>
        <x:v>2</x:v>
      </x:c>
      <x:c r="Q1115" s="4" t="n">
        <x:f>IF(AND(OR(C1115="Ingredient candidate",C1115="Consumed input",C1115="Contained input",C1115="Transform input"),P1115=-1),1,0)</x:f>
        <x:v>0</x:v>
      </x:c>
    </x:row>
    <x:row r="1116" ht="64" customHeight="1">
      <x:c r="A1116" s="4" t="str">
        <x:v>design.collection.wound_clock_spring_pack.out</x:v>
      </x:c>
      <x:c r="B1116" s="4" t="str">
        <x:v>design.collection.wound_clock_spring_pack</x:v>
      </x:c>
      <x:c r="C1116" s="4" t="str">
        <x:v>Output</x:v>
      </x:c>
      <x:c r="D1116" s="4" t="str">
        <x:v>proposal.collection.wound_clock_spring_pack</x:v>
      </x:c>
      <x:c r="E1116" s="4" t="str">
        <x:f>IFERROR(INDEX('Items'!$B$6:$B$1005,MATCH(D1116,'Items'!$A$6:$A$1005,0)),"MISSING ID")</x:f>
        <x:v>Wound clock-spring pack</x:v>
      </x:c>
      <x:c r="F1116" s="4" t="str">
        <x:f>IFERROR(INDEX('Items'!$C$6:$C$1005,MATCH(D1116,'Items'!$A$6:$A$1005,0)),"MISSING ID")</x:f>
        <x:v>Not applicable</x:v>
      </x:c>
      <x:c r="G1116" s="4" t="str">
        <x:f>IFERROR(INDEX('Items'!$D$6:$D$1005,MATCH(D1116,'Items'!$A$6:$A$1005,0)),"MISSING ID")</x:f>
        <x:v>Crafting components</x:v>
      </x:c>
      <x:c r="H1116" s="4" t="str">
        <x:f>IFERROR(INDEX('Items'!$X$6:$X$1005,MATCH(D1116,'Items'!$A$6:$A$1005,0)),"MISSING ID")</x:f>
        <x:v>Energy storage</x:v>
      </x:c>
      <x:c r="I1116" s="4"/>
      <x:c r="J1116" s="4" t="str">
        <x:v>Unspecified</x:v>
      </x:c>
      <x:c r="K1116" s="4" t="str">
        <x:f>IFERROR(INDEX('Crafting recipes'!$D$6:$D$1005,MATCH(B1116,'Crafting recipes'!$A$6:$A$1005,0)),"MISSING ID")</x:f>
        <x:v>Proposal</x:v>
      </x:c>
      <x:c r="L1116" s="4" t="str">
        <x:f>IFERROR(INDEX('Items'!$AD$6:$AD$1005,MATCH(D1116,'Items'!$A$6:$A$1005,0)),"MISSING ID")</x:f>
        <x:v>Proposal</x:v>
      </x:c>
      <x:c r="M1116" s="4" t="str">
        <x:f>IFERROR(INDEX('Crafting recipes'!$E$6:$E$1005,MATCH(B1116,'Crafting recipes'!$A$6:$A$1005,0)),"MISSING ID")</x:f>
        <x:v>Partial proposal</x:v>
      </x:c>
      <x:c r="N1116" s="4" t="str">
        <x:v>Candidate source or part only. Quantity, grade and method remain open.</x:v>
      </x:c>
      <x:c r="O1116" s="4" t="str">
        <x:v>Collection expansion, October 15, 2026. New game proposal.</x:v>
      </x:c>
      <x:c r="P1116" s="4" t="n">
        <x:f>IF(OR(C1116="Ingredient candidate",C1116="Consumed input",C1116="Contained input",C1116="Transform input"),IF(F1116="T0",0,IF(F1116="T1",1,IF(F1116="T2",2,IF(F1116="T3",3,IF(F1116="T4",4,-1))))),-1)</x:f>
        <x:v>-1</x:v>
      </x:c>
      <x:c r="Q1116" s="4" t="n">
        <x:f>IF(AND(OR(C1116="Ingredient candidate",C1116="Consumed input",C1116="Contained input",C1116="Transform input"),P1116=-1),1,0)</x:f>
        <x:v>0</x:v>
      </x:c>
    </x:row>
    <x:row r="1117" ht="64" customHeight="1">
      <x:c r="A1117" s="4" t="str">
        <x:v>design.collection.torsion_spring_accumulator.in.1</x:v>
      </x:c>
      <x:c r="B1117" s="4" t="str">
        <x:v>design.collection.torsion_spring_accumulator</x:v>
      </x:c>
      <x:c r="C1117" s="4" t="str">
        <x:v>Ingredient candidate</x:v>
      </x:c>
      <x:c r="D1117" s="4" t="str">
        <x:v>proposal.collection.helical_return_spring</x:v>
      </x:c>
      <x:c r="E1117" s="4" t="str">
        <x:f>IFERROR(INDEX('Items'!$B$6:$B$1005,MATCH(D1117,'Items'!$A$6:$A$1005,0)),"MISSING ID")</x:f>
        <x:v>Helical return spring</x:v>
      </x:c>
      <x:c r="F1117" s="4" t="str">
        <x:f>IFERROR(INDEX('Items'!$C$6:$C$1005,MATCH(D1117,'Items'!$A$6:$A$1005,0)),"MISSING ID")</x:f>
        <x:v>T4</x:v>
      </x:c>
      <x:c r="G1117" s="4" t="str">
        <x:f>IFERROR(INDEX('Items'!$D$6:$D$1005,MATCH(D1117,'Items'!$A$6:$A$1005,0)),"MISSING ID")</x:f>
        <x:v>Crafting components</x:v>
      </x:c>
      <x:c r="H1117" s="4" t="str">
        <x:f>IFERROR(INDEX('Items'!$X$6:$X$1005,MATCH(D1117,'Items'!$A$6:$A$1005,0)),"MISSING ID")</x:f>
        <x:v>Machine part</x:v>
      </x:c>
      <x:c r="I1117" s="4"/>
      <x:c r="J1117" s="4" t="str">
        <x:v>Unspecified</x:v>
      </x:c>
      <x:c r="K1117" s="4" t="str">
        <x:f>IFERROR(INDEX('Crafting recipes'!$D$6:$D$1005,MATCH(B1117,'Crafting recipes'!$A$6:$A$1005,0)),"MISSING ID")</x:f>
        <x:v>Proposal</x:v>
      </x:c>
      <x:c r="L1117" s="4" t="str">
        <x:f>IFERROR(INDEX('Items'!$AD$6:$AD$1005,MATCH(D1117,'Items'!$A$6:$A$1005,0)),"MISSING ID")</x:f>
        <x:v>Proposal</x:v>
      </x:c>
      <x:c r="M1117" s="4" t="str">
        <x:f>IFERROR(INDEX('Crafting recipes'!$E$6:$E$1005,MATCH(B1117,'Crafting recipes'!$A$6:$A$1005,0)),"MISSING ID")</x:f>
        <x:v>Partial proposal</x:v>
      </x:c>
      <x:c r="N1117" s="4" t="str">
        <x:v>Candidate source or part only. Quantity, grade and method remain open.</x:v>
      </x:c>
      <x:c r="O1117" s="4" t="str">
        <x:v>Collection expansion, October 15, 2026. New game proposal.</x:v>
      </x:c>
      <x:c r="P1117" s="4" t="n">
        <x:f>IF(OR(C1117="Ingredient candidate",C1117="Consumed input",C1117="Contained input",C1117="Transform input"),IF(F1117="T0",0,IF(F1117="T1",1,IF(F1117="T2",2,IF(F1117="T3",3,IF(F1117="T4",4,-1))))),-1)</x:f>
        <x:v>4</x:v>
      </x:c>
      <x:c r="Q1117" s="4" t="n">
        <x:f>IF(AND(OR(C1117="Ingredient candidate",C1117="Consumed input",C1117="Contained input",C1117="Transform input"),P1117=-1),1,0)</x:f>
        <x:v>0</x:v>
      </x:c>
    </x:row>
    <x:row r="1118" ht="64" customHeight="1">
      <x:c r="A1118" s="4" t="str">
        <x:v>design.collection.torsion_spring_accumulator.in.2</x:v>
      </x:c>
      <x:c r="B1118" s="4" t="str">
        <x:v>design.collection.torsion_spring_accumulator</x:v>
      </x:c>
      <x:c r="C1118" s="4" t="str">
        <x:v>Ingredient candidate</x:v>
      </x:c>
      <x:c r="D1118" s="4" t="str">
        <x:v>author.metallurgy.steel_stock</x:v>
      </x:c>
      <x:c r="E1118" s="4" t="str">
        <x:f>IFERROR(INDEX('Items'!$B$6:$B$1005,MATCH(D1118,'Items'!$A$6:$A$1005,0)),"MISSING ID")</x:f>
        <x:v>Steel stock</x:v>
      </x:c>
      <x:c r="F1118" s="4" t="str">
        <x:f>IFERROR(INDEX('Items'!$C$6:$C$1005,MATCH(D1118,'Items'!$A$6:$A$1005,0)),"MISSING ID")</x:f>
        <x:v>T2</x:v>
      </x:c>
      <x:c r="G1118" s="4" t="str">
        <x:f>IFERROR(INDEX('Items'!$D$6:$D$1005,MATCH(D1118,'Items'!$A$6:$A$1005,0)),"MISSING ID")</x:f>
        <x:v>Manufactured stock</x:v>
      </x:c>
      <x:c r="H1118" s="4" t="str">
        <x:f>IFERROR(INDEX('Items'!$X$6:$X$1005,MATCH(D1118,'Items'!$A$6:$A$1005,0)),"MISSING ID")</x:f>
        <x:v>Processed material</x:v>
      </x:c>
      <x:c r="I1118" s="4"/>
      <x:c r="J1118" s="4" t="str">
        <x:v>Unspecified</x:v>
      </x:c>
      <x:c r="K1118" s="4" t="str">
        <x:f>IFERROR(INDEX('Crafting recipes'!$D$6:$D$1005,MATCH(B1118,'Crafting recipes'!$A$6:$A$1005,0)),"MISSING ID")</x:f>
        <x:v>Proposal</x:v>
      </x:c>
      <x:c r="L1118" s="4" t="str">
        <x:f>IFERROR(INDEX('Items'!$AD$6:$AD$1005,MATCH(D1118,'Items'!$A$6:$A$1005,0)),"MISSING ID")</x:f>
        <x:v>Author direction</x:v>
      </x:c>
      <x:c r="M1118" s="4" t="str">
        <x:f>IFERROR(INDEX('Crafting recipes'!$E$6:$E$1005,MATCH(B1118,'Crafting recipes'!$A$6:$A$1005,0)),"MISSING ID")</x:f>
        <x:v>Partial proposal</x:v>
      </x:c>
      <x:c r="N1118" s="4" t="str">
        <x:v>Candidate source or part only. Quantity, grade and method remain open.</x:v>
      </x:c>
      <x:c r="O1118" s="4" t="str">
        <x:v>Collection expansion, October 15, 2026. New game proposal.</x:v>
      </x:c>
      <x:c r="P1118" s="4" t="n">
        <x:f>IF(OR(C1118="Ingredient candidate",C1118="Consumed input",C1118="Contained input",C1118="Transform input"),IF(F1118="T0",0,IF(F1118="T1",1,IF(F1118="T2",2,IF(F1118="T3",3,IF(F1118="T4",4,-1))))),-1)</x:f>
        <x:v>2</x:v>
      </x:c>
      <x:c r="Q1118" s="4" t="n">
        <x:f>IF(AND(OR(C1118="Ingredient candidate",C1118="Consumed input",C1118="Contained input",C1118="Transform input"),P1118=-1),1,0)</x:f>
        <x:v>0</x:v>
      </x:c>
    </x:row>
    <x:row r="1119" ht="64" customHeight="1">
      <x:c r="A1119" s="4" t="str">
        <x:v>design.collection.torsion_spring_accumulator.out</x:v>
      </x:c>
      <x:c r="B1119" s="4" t="str">
        <x:v>design.collection.torsion_spring_accumulator</x:v>
      </x:c>
      <x:c r="C1119" s="4" t="str">
        <x:v>Output</x:v>
      </x:c>
      <x:c r="D1119" s="4" t="str">
        <x:v>proposal.collection.torsion_spring_accumulator</x:v>
      </x:c>
      <x:c r="E1119" s="4" t="str">
        <x:f>IFERROR(INDEX('Items'!$B$6:$B$1005,MATCH(D1119,'Items'!$A$6:$A$1005,0)),"MISSING ID")</x:f>
        <x:v>Torsion-spring accumulator</x:v>
      </x:c>
      <x:c r="F1119" s="4" t="str">
        <x:f>IFERROR(INDEX('Items'!$C$6:$C$1005,MATCH(D1119,'Items'!$A$6:$A$1005,0)),"MISSING ID")</x:f>
        <x:v>Not applicable</x:v>
      </x:c>
      <x:c r="G1119" s="4" t="str">
        <x:f>IFERROR(INDEX('Items'!$D$6:$D$1005,MATCH(D1119,'Items'!$A$6:$A$1005,0)),"MISSING ID")</x:f>
        <x:v>Crafting components</x:v>
      </x:c>
      <x:c r="H1119" s="4" t="str">
        <x:f>IFERROR(INDEX('Items'!$X$6:$X$1005,MATCH(D1119,'Items'!$A$6:$A$1005,0)),"MISSING ID")</x:f>
        <x:v>Energy storage</x:v>
      </x:c>
      <x:c r="I1119" s="4"/>
      <x:c r="J1119" s="4" t="str">
        <x:v>Unspecified</x:v>
      </x:c>
      <x:c r="K1119" s="4" t="str">
        <x:f>IFERROR(INDEX('Crafting recipes'!$D$6:$D$1005,MATCH(B1119,'Crafting recipes'!$A$6:$A$1005,0)),"MISSING ID")</x:f>
        <x:v>Proposal</x:v>
      </x:c>
      <x:c r="L1119" s="4" t="str">
        <x:f>IFERROR(INDEX('Items'!$AD$6:$AD$1005,MATCH(D1119,'Items'!$A$6:$A$1005,0)),"MISSING ID")</x:f>
        <x:v>Proposal</x:v>
      </x:c>
      <x:c r="M1119" s="4" t="str">
        <x:f>IFERROR(INDEX('Crafting recipes'!$E$6:$E$1005,MATCH(B1119,'Crafting recipes'!$A$6:$A$1005,0)),"MISSING ID")</x:f>
        <x:v>Partial proposal</x:v>
      </x:c>
      <x:c r="N1119" s="4" t="str">
        <x:v>Candidate source or part only. Quantity, grade and method remain open.</x:v>
      </x:c>
      <x:c r="O1119" s="4" t="str">
        <x:v>Collection expansion, October 15, 2026. New game proposal.</x:v>
      </x:c>
      <x:c r="P1119" s="4" t="n">
        <x:f>IF(OR(C1119="Ingredient candidate",C1119="Consumed input",C1119="Contained input",C1119="Transform input"),IF(F1119="T0",0,IF(F1119="T1",1,IF(F1119="T2",2,IF(F1119="T3",3,IF(F1119="T4",4,-1))))),-1)</x:f>
        <x:v>-1</x:v>
      </x:c>
      <x:c r="Q1119" s="4" t="n">
        <x:f>IF(AND(OR(C1119="Ingredient candidate",C1119="Consumed input",C1119="Contained input",C1119="Transform input"),P1119=-1),1,0)</x:f>
        <x:v>0</x:v>
      </x:c>
    </x:row>
    <x:row r="1120" ht="64" customHeight="1">
      <x:c r="A1120" s="4" t="str">
        <x:v>design.collection.lifted_counterweight_module.in.1</x:v>
      </x:c>
      <x:c r="B1120" s="4" t="str">
        <x:v>design.collection.lifted_counterweight_module</x:v>
      </x:c>
      <x:c r="C1120" s="4" t="str">
        <x:v>Ingredient candidate</x:v>
      </x:c>
      <x:c r="D1120" s="4" t="str">
        <x:v>proposal.natural.iron_stock</x:v>
      </x:c>
      <x:c r="E1120" s="4" t="str">
        <x:f>IFERROR(INDEX('Items'!$B$6:$B$1005,MATCH(D1120,'Items'!$A$6:$A$1005,0)),"MISSING ID")</x:f>
        <x:v>Worked iron stock</x:v>
      </x:c>
      <x:c r="F1120" s="4" t="str">
        <x:f>IFERROR(INDEX('Items'!$C$6:$C$1005,MATCH(D1120,'Items'!$A$6:$A$1005,0)),"MISSING ID")</x:f>
        <x:v>T2</x:v>
      </x:c>
      <x:c r="G1120" s="4" t="str">
        <x:f>IFERROR(INDEX('Items'!$D$6:$D$1005,MATCH(D1120,'Items'!$A$6:$A$1005,0)),"MISSING ID")</x:f>
        <x:v>Manufactured stock</x:v>
      </x:c>
      <x:c r="H1120" s="4" t="str">
        <x:f>IFERROR(INDEX('Items'!$X$6:$X$1005,MATCH(D1120,'Items'!$A$6:$A$1005,0)),"MISSING ID")</x:f>
        <x:v>Processed material</x:v>
      </x:c>
      <x:c r="I1120" s="4"/>
      <x:c r="J1120" s="4" t="str">
        <x:v>Unspecified</x:v>
      </x:c>
      <x:c r="K1120" s="4" t="str">
        <x:f>IFERROR(INDEX('Crafting recipes'!$D$6:$D$1005,MATCH(B1120,'Crafting recipes'!$A$6:$A$1005,0)),"MISSING ID")</x:f>
        <x:v>Proposal</x:v>
      </x:c>
      <x:c r="L1120" s="4" t="str">
        <x:f>IFERROR(INDEX('Items'!$AD$6:$AD$1005,MATCH(D1120,'Items'!$A$6:$A$1005,0)),"MISSING ID")</x:f>
        <x:v>Proposal</x:v>
      </x:c>
      <x:c r="M1120" s="4" t="str">
        <x:f>IFERROR(INDEX('Crafting recipes'!$E$6:$E$1005,MATCH(B1120,'Crafting recipes'!$A$6:$A$1005,0)),"MISSING ID")</x:f>
        <x:v>Partial proposal</x:v>
      </x:c>
      <x:c r="N1120" s="4" t="str">
        <x:v>Candidate source or part only. Quantity, grade and method remain open.</x:v>
      </x:c>
      <x:c r="O1120" s="4" t="str">
        <x:v>Collection expansion, October 15, 2026. New game proposal.</x:v>
      </x:c>
      <x:c r="P1120" s="4" t="n">
        <x:f>IF(OR(C1120="Ingredient candidate",C1120="Consumed input",C1120="Contained input",C1120="Transform input"),IF(F1120="T0",0,IF(F1120="T1",1,IF(F1120="T2",2,IF(F1120="T3",3,IF(F1120="T4",4,-1))))),-1)</x:f>
        <x:v>2</x:v>
      </x:c>
      <x:c r="Q1120" s="4" t="n">
        <x:f>IF(AND(OR(C1120="Ingredient candidate",C1120="Consumed input",C1120="Contained input",C1120="Transform input"),P1120=-1),1,0)</x:f>
        <x:v>0</x:v>
      </x:c>
    </x:row>
    <x:row r="1121" ht="64" customHeight="1">
      <x:c r="A1121" s="4" t="str">
        <x:v>design.collection.lifted_counterweight_module.in.2</x:v>
      </x:c>
      <x:c r="B1121" s="4" t="str">
        <x:v>design.collection.lifted_counterweight_module</x:v>
      </x:c>
      <x:c r="C1121" s="4" t="str">
        <x:v>Ingredient candidate</x:v>
      </x:c>
      <x:c r="D1121" s="4" t="str">
        <x:v>proposal.collection.counterweight_chain_link</x:v>
      </x:c>
      <x:c r="E1121" s="4" t="str">
        <x:f>IFERROR(INDEX('Items'!$B$6:$B$1005,MATCH(D1121,'Items'!$A$6:$A$1005,0)),"MISSING ID")</x:f>
        <x:v>Counterweight chain link</x:v>
      </x:c>
      <x:c r="F1121" s="4" t="str">
        <x:f>IFERROR(INDEX('Items'!$C$6:$C$1005,MATCH(D1121,'Items'!$A$6:$A$1005,0)),"MISSING ID")</x:f>
        <x:v>T3</x:v>
      </x:c>
      <x:c r="G1121" s="4" t="str">
        <x:f>IFERROR(INDEX('Items'!$D$6:$D$1005,MATCH(D1121,'Items'!$A$6:$A$1005,0)),"MISSING ID")</x:f>
        <x:v>Crafting components</x:v>
      </x:c>
      <x:c r="H1121" s="4" t="str">
        <x:f>IFERROR(INDEX('Items'!$X$6:$X$1005,MATCH(D1121,'Items'!$A$6:$A$1005,0)),"MISSING ID")</x:f>
        <x:v>Machine part</x:v>
      </x:c>
      <x:c r="I1121" s="4"/>
      <x:c r="J1121" s="4" t="str">
        <x:v>Unspecified</x:v>
      </x:c>
      <x:c r="K1121" s="4" t="str">
        <x:f>IFERROR(INDEX('Crafting recipes'!$D$6:$D$1005,MATCH(B1121,'Crafting recipes'!$A$6:$A$1005,0)),"MISSING ID")</x:f>
        <x:v>Proposal</x:v>
      </x:c>
      <x:c r="L1121" s="4" t="str">
        <x:f>IFERROR(INDEX('Items'!$AD$6:$AD$1005,MATCH(D1121,'Items'!$A$6:$A$1005,0)),"MISSING ID")</x:f>
        <x:v>Proposal</x:v>
      </x:c>
      <x:c r="M1121" s="4" t="str">
        <x:f>IFERROR(INDEX('Crafting recipes'!$E$6:$E$1005,MATCH(B1121,'Crafting recipes'!$A$6:$A$1005,0)),"MISSING ID")</x:f>
        <x:v>Partial proposal</x:v>
      </x:c>
      <x:c r="N1121" s="4" t="str">
        <x:v>Candidate source or part only. Quantity, grade and method remain open.</x:v>
      </x:c>
      <x:c r="O1121" s="4" t="str">
        <x:v>Collection expansion, October 15, 2026. New game proposal.</x:v>
      </x:c>
      <x:c r="P1121" s="4" t="n">
        <x:f>IF(OR(C1121="Ingredient candidate",C1121="Consumed input",C1121="Contained input",C1121="Transform input"),IF(F1121="T0",0,IF(F1121="T1",1,IF(F1121="T2",2,IF(F1121="T3",3,IF(F1121="T4",4,-1))))),-1)</x:f>
        <x:v>3</x:v>
      </x:c>
      <x:c r="Q1121" s="4" t="n">
        <x:f>IF(AND(OR(C1121="Ingredient candidate",C1121="Consumed input",C1121="Contained input",C1121="Transform input"),P1121=-1),1,0)</x:f>
        <x:v>0</x:v>
      </x:c>
    </x:row>
    <x:row r="1122" ht="64" customHeight="1">
      <x:c r="A1122" s="4" t="str">
        <x:v>design.collection.lifted_counterweight_module.in.3</x:v>
      </x:c>
      <x:c r="B1122" s="4" t="str">
        <x:v>design.collection.lifted_counterweight_module</x:v>
      </x:c>
      <x:c r="C1122" s="4" t="str">
        <x:v>Ingredient candidate</x:v>
      </x:c>
      <x:c r="D1122" s="4" t="str">
        <x:v>proposal.collection.grooved_lift_pulley</x:v>
      </x:c>
      <x:c r="E1122" s="4" t="str">
        <x:f>IFERROR(INDEX('Items'!$B$6:$B$1005,MATCH(D1122,'Items'!$A$6:$A$1005,0)),"MISSING ID")</x:f>
        <x:v>Grooved lift pulley</x:v>
      </x:c>
      <x:c r="F1122" s="4" t="str">
        <x:f>IFERROR(INDEX('Items'!$C$6:$C$1005,MATCH(D1122,'Items'!$A$6:$A$1005,0)),"MISSING ID")</x:f>
        <x:v>T3</x:v>
      </x:c>
      <x:c r="G1122" s="4" t="str">
        <x:f>IFERROR(INDEX('Items'!$D$6:$D$1005,MATCH(D1122,'Items'!$A$6:$A$1005,0)),"MISSING ID")</x:f>
        <x:v>Crafting components</x:v>
      </x:c>
      <x:c r="H1122" s="4" t="str">
        <x:f>IFERROR(INDEX('Items'!$X$6:$X$1005,MATCH(D1122,'Items'!$A$6:$A$1005,0)),"MISSING ID")</x:f>
        <x:v>Machine part</x:v>
      </x:c>
      <x:c r="I1122" s="4"/>
      <x:c r="J1122" s="4" t="str">
        <x:v>Unspecified</x:v>
      </x:c>
      <x:c r="K1122" s="4" t="str">
        <x:f>IFERROR(INDEX('Crafting recipes'!$D$6:$D$1005,MATCH(B1122,'Crafting recipes'!$A$6:$A$1005,0)),"MISSING ID")</x:f>
        <x:v>Proposal</x:v>
      </x:c>
      <x:c r="L1122" s="4" t="str">
        <x:f>IFERROR(INDEX('Items'!$AD$6:$AD$1005,MATCH(D1122,'Items'!$A$6:$A$1005,0)),"MISSING ID")</x:f>
        <x:v>Proposal</x:v>
      </x:c>
      <x:c r="M1122" s="4" t="str">
        <x:f>IFERROR(INDEX('Crafting recipes'!$E$6:$E$1005,MATCH(B1122,'Crafting recipes'!$A$6:$A$1005,0)),"MISSING ID")</x:f>
        <x:v>Partial proposal</x:v>
      </x:c>
      <x:c r="N1122" s="4" t="str">
        <x:v>Candidate source or part only. Quantity, grade and method remain open.</x:v>
      </x:c>
      <x:c r="O1122" s="4" t="str">
        <x:v>Collection expansion, October 15, 2026. New game proposal.</x:v>
      </x:c>
      <x:c r="P1122" s="4" t="n">
        <x:f>IF(OR(C1122="Ingredient candidate",C1122="Consumed input",C1122="Contained input",C1122="Transform input"),IF(F1122="T0",0,IF(F1122="T1",1,IF(F1122="T2",2,IF(F1122="T3",3,IF(F1122="T4",4,-1))))),-1)</x:f>
        <x:v>3</x:v>
      </x:c>
      <x:c r="Q1122" s="4" t="n">
        <x:f>IF(AND(OR(C1122="Ingredient candidate",C1122="Consumed input",C1122="Contained input",C1122="Transform input"),P1122=-1),1,0)</x:f>
        <x:v>0</x:v>
      </x:c>
    </x:row>
    <x:row r="1123" ht="64" customHeight="1">
      <x:c r="A1123" s="4" t="str">
        <x:v>design.collection.lifted_counterweight_module.out</x:v>
      </x:c>
      <x:c r="B1123" s="4" t="str">
        <x:v>design.collection.lifted_counterweight_module</x:v>
      </x:c>
      <x:c r="C1123" s="4" t="str">
        <x:v>Output</x:v>
      </x:c>
      <x:c r="D1123" s="4" t="str">
        <x:v>proposal.collection.lifted_counterweight_module</x:v>
      </x:c>
      <x:c r="E1123" s="4" t="str">
        <x:f>IFERROR(INDEX('Items'!$B$6:$B$1005,MATCH(D1123,'Items'!$A$6:$A$1005,0)),"MISSING ID")</x:f>
        <x:v>Lifted counterweight module</x:v>
      </x:c>
      <x:c r="F1123" s="4" t="str">
        <x:f>IFERROR(INDEX('Items'!$C$6:$C$1005,MATCH(D1123,'Items'!$A$6:$A$1005,0)),"MISSING ID")</x:f>
        <x:v>Not applicable</x:v>
      </x:c>
      <x:c r="G1123" s="4" t="str">
        <x:f>IFERROR(INDEX('Items'!$D$6:$D$1005,MATCH(D1123,'Items'!$A$6:$A$1005,0)),"MISSING ID")</x:f>
        <x:v>Crafting components</x:v>
      </x:c>
      <x:c r="H1123" s="4" t="str">
        <x:f>IFERROR(INDEX('Items'!$X$6:$X$1005,MATCH(D1123,'Items'!$A$6:$A$1005,0)),"MISSING ID")</x:f>
        <x:v>Energy storage</x:v>
      </x:c>
      <x:c r="I1123" s="4"/>
      <x:c r="J1123" s="4" t="str">
        <x:v>Unspecified</x:v>
      </x:c>
      <x:c r="K1123" s="4" t="str">
        <x:f>IFERROR(INDEX('Crafting recipes'!$D$6:$D$1005,MATCH(B1123,'Crafting recipes'!$A$6:$A$1005,0)),"MISSING ID")</x:f>
        <x:v>Proposal</x:v>
      </x:c>
      <x:c r="L1123" s="4" t="str">
        <x:f>IFERROR(INDEX('Items'!$AD$6:$AD$1005,MATCH(D1123,'Items'!$A$6:$A$1005,0)),"MISSING ID")</x:f>
        <x:v>Proposal</x:v>
      </x:c>
      <x:c r="M1123" s="4" t="str">
        <x:f>IFERROR(INDEX('Crafting recipes'!$E$6:$E$1005,MATCH(B1123,'Crafting recipes'!$A$6:$A$1005,0)),"MISSING ID")</x:f>
        <x:v>Partial proposal</x:v>
      </x:c>
      <x:c r="N1123" s="4" t="str">
        <x:v>Candidate source or part only. Quantity, grade and method remain open.</x:v>
      </x:c>
      <x:c r="O1123" s="4" t="str">
        <x:v>Collection expansion, October 15, 2026. New game proposal.</x:v>
      </x:c>
      <x:c r="P1123" s="4" t="n">
        <x:f>IF(OR(C1123="Ingredient candidate",C1123="Consumed input",C1123="Contained input",C1123="Transform input"),IF(F1123="T0",0,IF(F1123="T1",1,IF(F1123="T2",2,IF(F1123="T3",3,IF(F1123="T4",4,-1))))),-1)</x:f>
        <x:v>-1</x:v>
      </x:c>
      <x:c r="Q1123" s="4" t="n">
        <x:f>IF(AND(OR(C1123="Ingredient candidate",C1123="Consumed input",C1123="Contained input",C1123="Transform input"),P1123=-1),1,0)</x:f>
        <x:v>0</x:v>
      </x:c>
    </x:row>
    <x:row r="1124" ht="64" customHeight="1">
      <x:c r="A1124" s="4" t="str">
        <x:v>design.collection.shaft_drop_weight_train.in.1</x:v>
      </x:c>
      <x:c r="B1124" s="4" t="str">
        <x:v>design.collection.shaft_drop_weight_train</x:v>
      </x:c>
      <x:c r="C1124" s="4" t="str">
        <x:v>Ingredient candidate</x:v>
      </x:c>
      <x:c r="D1124" s="4" t="str">
        <x:v>proposal.collection.counterweight_chain_link</x:v>
      </x:c>
      <x:c r="E1124" s="4" t="str">
        <x:f>IFERROR(INDEX('Items'!$B$6:$B$1005,MATCH(D1124,'Items'!$A$6:$A$1005,0)),"MISSING ID")</x:f>
        <x:v>Counterweight chain link</x:v>
      </x:c>
      <x:c r="F1124" s="4" t="str">
        <x:f>IFERROR(INDEX('Items'!$C$6:$C$1005,MATCH(D1124,'Items'!$A$6:$A$1005,0)),"MISSING ID")</x:f>
        <x:v>T3</x:v>
      </x:c>
      <x:c r="G1124" s="4" t="str">
        <x:f>IFERROR(INDEX('Items'!$D$6:$D$1005,MATCH(D1124,'Items'!$A$6:$A$1005,0)),"MISSING ID")</x:f>
        <x:v>Crafting components</x:v>
      </x:c>
      <x:c r="H1124" s="4" t="str">
        <x:f>IFERROR(INDEX('Items'!$X$6:$X$1005,MATCH(D1124,'Items'!$A$6:$A$1005,0)),"MISSING ID")</x:f>
        <x:v>Machine part</x:v>
      </x:c>
      <x:c r="I1124" s="4"/>
      <x:c r="J1124" s="4" t="str">
        <x:v>Unspecified</x:v>
      </x:c>
      <x:c r="K1124" s="4" t="str">
        <x:f>IFERROR(INDEX('Crafting recipes'!$D$6:$D$1005,MATCH(B1124,'Crafting recipes'!$A$6:$A$1005,0)),"MISSING ID")</x:f>
        <x:v>Proposal</x:v>
      </x:c>
      <x:c r="L1124" s="4" t="str">
        <x:f>IFERROR(INDEX('Items'!$AD$6:$AD$1005,MATCH(D1124,'Items'!$A$6:$A$1005,0)),"MISSING ID")</x:f>
        <x:v>Proposal</x:v>
      </x:c>
      <x:c r="M1124" s="4" t="str">
        <x:f>IFERROR(INDEX('Crafting recipes'!$E$6:$E$1005,MATCH(B1124,'Crafting recipes'!$A$6:$A$1005,0)),"MISSING ID")</x:f>
        <x:v>Partial proposal</x:v>
      </x:c>
      <x:c r="N1124" s="4" t="str">
        <x:v>Candidate source or part only. Quantity, grade and method remain open.</x:v>
      </x:c>
      <x:c r="O1124" s="4" t="str">
        <x:v>Collection expansion, October 15, 2026. New game proposal.</x:v>
      </x:c>
      <x:c r="P1124" s="4" t="n">
        <x:f>IF(OR(C1124="Ingredient candidate",C1124="Consumed input",C1124="Contained input",C1124="Transform input"),IF(F1124="T0",0,IF(F1124="T1",1,IF(F1124="T2",2,IF(F1124="T3",3,IF(F1124="T4",4,-1))))),-1)</x:f>
        <x:v>3</x:v>
      </x:c>
      <x:c r="Q1124" s="4" t="n">
        <x:f>IF(AND(OR(C1124="Ingredient candidate",C1124="Consumed input",C1124="Contained input",C1124="Transform input"),P1124=-1),1,0)</x:f>
        <x:v>0</x:v>
      </x:c>
    </x:row>
    <x:row r="1125" ht="64" customHeight="1">
      <x:c r="A1125" s="4" t="str">
        <x:v>design.collection.shaft_drop_weight_train.in.2</x:v>
      </x:c>
      <x:c r="B1125" s="4" t="str">
        <x:v>design.collection.shaft_drop_weight_train</x:v>
      </x:c>
      <x:c r="C1125" s="4" t="str">
        <x:v>Ingredient candidate</x:v>
      </x:c>
      <x:c r="D1125" s="4" t="str">
        <x:v>author.metallurgy.steel_stock</x:v>
      </x:c>
      <x:c r="E1125" s="4" t="str">
        <x:f>IFERROR(INDEX('Items'!$B$6:$B$1005,MATCH(D1125,'Items'!$A$6:$A$1005,0)),"MISSING ID")</x:f>
        <x:v>Steel stock</x:v>
      </x:c>
      <x:c r="F1125" s="4" t="str">
        <x:f>IFERROR(INDEX('Items'!$C$6:$C$1005,MATCH(D1125,'Items'!$A$6:$A$1005,0)),"MISSING ID")</x:f>
        <x:v>T2</x:v>
      </x:c>
      <x:c r="G1125" s="4" t="str">
        <x:f>IFERROR(INDEX('Items'!$D$6:$D$1005,MATCH(D1125,'Items'!$A$6:$A$1005,0)),"MISSING ID")</x:f>
        <x:v>Manufactured stock</x:v>
      </x:c>
      <x:c r="H1125" s="4" t="str">
        <x:f>IFERROR(INDEX('Items'!$X$6:$X$1005,MATCH(D1125,'Items'!$A$6:$A$1005,0)),"MISSING ID")</x:f>
        <x:v>Processed material</x:v>
      </x:c>
      <x:c r="I1125" s="4"/>
      <x:c r="J1125" s="4" t="str">
        <x:v>Unspecified</x:v>
      </x:c>
      <x:c r="K1125" s="4" t="str">
        <x:f>IFERROR(INDEX('Crafting recipes'!$D$6:$D$1005,MATCH(B1125,'Crafting recipes'!$A$6:$A$1005,0)),"MISSING ID")</x:f>
        <x:v>Proposal</x:v>
      </x:c>
      <x:c r="L1125" s="4" t="str">
        <x:f>IFERROR(INDEX('Items'!$AD$6:$AD$1005,MATCH(D1125,'Items'!$A$6:$A$1005,0)),"MISSING ID")</x:f>
        <x:v>Author direction</x:v>
      </x:c>
      <x:c r="M1125" s="4" t="str">
        <x:f>IFERROR(INDEX('Crafting recipes'!$E$6:$E$1005,MATCH(B1125,'Crafting recipes'!$A$6:$A$1005,0)),"MISSING ID")</x:f>
        <x:v>Partial proposal</x:v>
      </x:c>
      <x:c r="N1125" s="4" t="str">
        <x:v>Candidate source or part only. Quantity, grade and method remain open.</x:v>
      </x:c>
      <x:c r="O1125" s="4" t="str">
        <x:v>Collection expansion, October 15, 2026. New game proposal.</x:v>
      </x:c>
      <x:c r="P1125" s="4" t="n">
        <x:f>IF(OR(C1125="Ingredient candidate",C1125="Consumed input",C1125="Contained input",C1125="Transform input"),IF(F1125="T0",0,IF(F1125="T1",1,IF(F1125="T2",2,IF(F1125="T3",3,IF(F1125="T4",4,-1))))),-1)</x:f>
        <x:v>2</x:v>
      </x:c>
      <x:c r="Q1125" s="4" t="n">
        <x:f>IF(AND(OR(C1125="Ingredient candidate",C1125="Consumed input",C1125="Contained input",C1125="Transform input"),P1125=-1),1,0)</x:f>
        <x:v>0</x:v>
      </x:c>
    </x:row>
    <x:row r="1126" ht="64" customHeight="1">
      <x:c r="A1126" s="4" t="str">
        <x:v>design.collection.shaft_drop_weight_train.out</x:v>
      </x:c>
      <x:c r="B1126" s="4" t="str">
        <x:v>design.collection.shaft_drop_weight_train</x:v>
      </x:c>
      <x:c r="C1126" s="4" t="str">
        <x:v>Output</x:v>
      </x:c>
      <x:c r="D1126" s="4" t="str">
        <x:v>proposal.collection.shaft_drop_weight_train</x:v>
      </x:c>
      <x:c r="E1126" s="4" t="str">
        <x:f>IFERROR(INDEX('Items'!$B$6:$B$1005,MATCH(D1126,'Items'!$A$6:$A$1005,0)),"MISSING ID")</x:f>
        <x:v>Shaft-drop weight train</x:v>
      </x:c>
      <x:c r="F1126" s="4" t="str">
        <x:f>IFERROR(INDEX('Items'!$C$6:$C$1005,MATCH(D1126,'Items'!$A$6:$A$1005,0)),"MISSING ID")</x:f>
        <x:v>Not applicable</x:v>
      </x:c>
      <x:c r="G1126" s="4" t="str">
        <x:f>IFERROR(INDEX('Items'!$D$6:$D$1005,MATCH(D1126,'Items'!$A$6:$A$1005,0)),"MISSING ID")</x:f>
        <x:v>Salvage</x:v>
      </x:c>
      <x:c r="H1126" s="4" t="str">
        <x:f>IFERROR(INDEX('Items'!$X$6:$X$1005,MATCH(D1126,'Items'!$A$6:$A$1005,0)),"MISSING ID")</x:f>
        <x:v>Energy storage</x:v>
      </x:c>
      <x:c r="I1126" s="4"/>
      <x:c r="J1126" s="4" t="str">
        <x:v>Unspecified</x:v>
      </x:c>
      <x:c r="K1126" s="4" t="str">
        <x:f>IFERROR(INDEX('Crafting recipes'!$D$6:$D$1005,MATCH(B1126,'Crafting recipes'!$A$6:$A$1005,0)),"MISSING ID")</x:f>
        <x:v>Proposal</x:v>
      </x:c>
      <x:c r="L1126" s="4" t="str">
        <x:f>IFERROR(INDEX('Items'!$AD$6:$AD$1005,MATCH(D1126,'Items'!$A$6:$A$1005,0)),"MISSING ID")</x:f>
        <x:v>Proposal</x:v>
      </x:c>
      <x:c r="M1126" s="4" t="str">
        <x:f>IFERROR(INDEX('Crafting recipes'!$E$6:$E$1005,MATCH(B1126,'Crafting recipes'!$A$6:$A$1005,0)),"MISSING ID")</x:f>
        <x:v>Partial proposal</x:v>
      </x:c>
      <x:c r="N1126" s="4" t="str">
        <x:v>Candidate source or part only. Quantity, grade and method remain open.</x:v>
      </x:c>
      <x:c r="O1126" s="4" t="str">
        <x:v>Collection expansion, October 15, 2026. New game proposal.</x:v>
      </x:c>
      <x:c r="P1126" s="4" t="n">
        <x:f>IF(OR(C1126="Ingredient candidate",C1126="Consumed input",C1126="Contained input",C1126="Transform input"),IF(F1126="T0",0,IF(F1126="T1",1,IF(F1126="T2",2,IF(F1126="T3",3,IF(F1126="T4",4,-1))))),-1)</x:f>
        <x:v>-1</x:v>
      </x:c>
      <x:c r="Q1126" s="4" t="n">
        <x:f>IF(AND(OR(C1126="Ingredient candidate",C1126="Consumed input",C1126="Contained input",C1126="Transform input"),P1126=-1),1,0)</x:f>
        <x:v>0</x:v>
      </x:c>
    </x:row>
    <x:row r="1127" ht="64" customHeight="1">
      <x:c r="A1127" s="4" t="str">
        <x:v>design.collection.sealed_pressure_accumulator.in.1</x:v>
      </x:c>
      <x:c r="B1127" s="4" t="str">
        <x:v>design.collection.sealed_pressure_accumulator</x:v>
      </x:c>
      <x:c r="C1127" s="4" t="str">
        <x:v>Ingredient candidate</x:v>
      </x:c>
      <x:c r="D1127" s="4" t="str">
        <x:v>author.metallurgy.steel_stock</x:v>
      </x:c>
      <x:c r="E1127" s="4" t="str">
        <x:f>IFERROR(INDEX('Items'!$B$6:$B$1005,MATCH(D1127,'Items'!$A$6:$A$1005,0)),"MISSING ID")</x:f>
        <x:v>Steel stock</x:v>
      </x:c>
      <x:c r="F1127" s="4" t="str">
        <x:f>IFERROR(INDEX('Items'!$C$6:$C$1005,MATCH(D1127,'Items'!$A$6:$A$1005,0)),"MISSING ID")</x:f>
        <x:v>T2</x:v>
      </x:c>
      <x:c r="G1127" s="4" t="str">
        <x:f>IFERROR(INDEX('Items'!$D$6:$D$1005,MATCH(D1127,'Items'!$A$6:$A$1005,0)),"MISSING ID")</x:f>
        <x:v>Manufactured stock</x:v>
      </x:c>
      <x:c r="H1127" s="4" t="str">
        <x:f>IFERROR(INDEX('Items'!$X$6:$X$1005,MATCH(D1127,'Items'!$A$6:$A$1005,0)),"MISSING ID")</x:f>
        <x:v>Processed material</x:v>
      </x:c>
      <x:c r="I1127" s="4"/>
      <x:c r="J1127" s="4" t="str">
        <x:v>Unspecified</x:v>
      </x:c>
      <x:c r="K1127" s="4" t="str">
        <x:f>IFERROR(INDEX('Crafting recipes'!$D$6:$D$1005,MATCH(B1127,'Crafting recipes'!$A$6:$A$1005,0)),"MISSING ID")</x:f>
        <x:v>Proposal</x:v>
      </x:c>
      <x:c r="L1127" s="4" t="str">
        <x:f>IFERROR(INDEX('Items'!$AD$6:$AD$1005,MATCH(D1127,'Items'!$A$6:$A$1005,0)),"MISSING ID")</x:f>
        <x:v>Author direction</x:v>
      </x:c>
      <x:c r="M1127" s="4" t="str">
        <x:f>IFERROR(INDEX('Crafting recipes'!$E$6:$E$1005,MATCH(B1127,'Crafting recipes'!$A$6:$A$1005,0)),"MISSING ID")</x:f>
        <x:v>Partial proposal</x:v>
      </x:c>
      <x:c r="N1127" s="4" t="str">
        <x:v>Candidate source or part only. Quantity, grade and method remain open.</x:v>
      </x:c>
      <x:c r="O1127" s="4" t="str">
        <x:v>Collection expansion, October 15, 2026. New game proposal.</x:v>
      </x:c>
      <x:c r="P1127" s="4" t="n">
        <x:f>IF(OR(C1127="Ingredient candidate",C1127="Consumed input",C1127="Contained input",C1127="Transform input"),IF(F1127="T0",0,IF(F1127="T1",1,IF(F1127="T2",2,IF(F1127="T3",3,IF(F1127="T4",4,-1))))),-1)</x:f>
        <x:v>2</x:v>
      </x:c>
      <x:c r="Q1127" s="4" t="n">
        <x:f>IF(AND(OR(C1127="Ingredient candidate",C1127="Consumed input",C1127="Contained input",C1127="Transform input"),P1127=-1),1,0)</x:f>
        <x:v>0</x:v>
      </x:c>
    </x:row>
    <x:row r="1128" ht="64" customHeight="1">
      <x:c r="A1128" s="4" t="str">
        <x:v>design.collection.sealed_pressure_accumulator.in.2</x:v>
      </x:c>
      <x:c r="B1128" s="4" t="str">
        <x:v>design.collection.sealed_pressure_accumulator</x:v>
      </x:c>
      <x:c r="C1128" s="4" t="str">
        <x:v>Ingredient candidate</x:v>
      </x:c>
      <x:c r="D1128" s="4" t="str">
        <x:v>proposal.collection.spring_seated_check_valve</x:v>
      </x:c>
      <x:c r="E1128" s="4" t="str">
        <x:f>IFERROR(INDEX('Items'!$B$6:$B$1005,MATCH(D1128,'Items'!$A$6:$A$1005,0)),"MISSING ID")</x:f>
        <x:v>Spring-seated check valve</x:v>
      </x:c>
      <x:c r="F1128" s="4" t="str">
        <x:f>IFERROR(INDEX('Items'!$C$6:$C$1005,MATCH(D1128,'Items'!$A$6:$A$1005,0)),"MISSING ID")</x:f>
        <x:v>T4</x:v>
      </x:c>
      <x:c r="G1128" s="4" t="str">
        <x:f>IFERROR(INDEX('Items'!$D$6:$D$1005,MATCH(D1128,'Items'!$A$6:$A$1005,0)),"MISSING ID")</x:f>
        <x:v>Crafting components</x:v>
      </x:c>
      <x:c r="H1128" s="4" t="str">
        <x:f>IFERROR(INDEX('Items'!$X$6:$X$1005,MATCH(D1128,'Items'!$A$6:$A$1005,0)),"MISSING ID")</x:f>
        <x:v>Machine part</x:v>
      </x:c>
      <x:c r="I1128" s="4"/>
      <x:c r="J1128" s="4" t="str">
        <x:v>Unspecified</x:v>
      </x:c>
      <x:c r="K1128" s="4" t="str">
        <x:f>IFERROR(INDEX('Crafting recipes'!$D$6:$D$1005,MATCH(B1128,'Crafting recipes'!$A$6:$A$1005,0)),"MISSING ID")</x:f>
        <x:v>Proposal</x:v>
      </x:c>
      <x:c r="L1128" s="4" t="str">
        <x:f>IFERROR(INDEX('Items'!$AD$6:$AD$1005,MATCH(D1128,'Items'!$A$6:$A$1005,0)),"MISSING ID")</x:f>
        <x:v>Proposal</x:v>
      </x:c>
      <x:c r="M1128" s="4" t="str">
        <x:f>IFERROR(INDEX('Crafting recipes'!$E$6:$E$1005,MATCH(B1128,'Crafting recipes'!$A$6:$A$1005,0)),"MISSING ID")</x:f>
        <x:v>Partial proposal</x:v>
      </x:c>
      <x:c r="N1128" s="4" t="str">
        <x:v>Candidate source or part only. Quantity, grade and method remain open.</x:v>
      </x:c>
      <x:c r="O1128" s="4" t="str">
        <x:v>Collection expansion, October 15, 2026. New game proposal.</x:v>
      </x:c>
      <x:c r="P1128" s="4" t="n">
        <x:f>IF(OR(C1128="Ingredient candidate",C1128="Consumed input",C1128="Contained input",C1128="Transform input"),IF(F1128="T0",0,IF(F1128="T1",1,IF(F1128="T2",2,IF(F1128="T3",3,IF(F1128="T4",4,-1))))),-1)</x:f>
        <x:v>4</x:v>
      </x:c>
      <x:c r="Q1128" s="4" t="n">
        <x:f>IF(AND(OR(C1128="Ingredient candidate",C1128="Consumed input",C1128="Contained input",C1128="Transform input"),P1128=-1),1,0)</x:f>
        <x:v>0</x:v>
      </x:c>
    </x:row>
    <x:row r="1129" ht="64" customHeight="1">
      <x:c r="A1129" s="4" t="str">
        <x:v>design.collection.sealed_pressure_accumulator.out</x:v>
      </x:c>
      <x:c r="B1129" s="4" t="str">
        <x:v>design.collection.sealed_pressure_accumulator</x:v>
      </x:c>
      <x:c r="C1129" s="4" t="str">
        <x:v>Output</x:v>
      </x:c>
      <x:c r="D1129" s="4" t="str">
        <x:v>proposal.collection.sealed_pressure_accumulator</x:v>
      </x:c>
      <x:c r="E1129" s="4" t="str">
        <x:f>IFERROR(INDEX('Items'!$B$6:$B$1005,MATCH(D1129,'Items'!$A$6:$A$1005,0)),"MISSING ID")</x:f>
        <x:v>Sealed pressure accumulator</x:v>
      </x:c>
      <x:c r="F1129" s="4" t="str">
        <x:f>IFERROR(INDEX('Items'!$C$6:$C$1005,MATCH(D1129,'Items'!$A$6:$A$1005,0)),"MISSING ID")</x:f>
        <x:v>Not applicable</x:v>
      </x:c>
      <x:c r="G1129" s="4" t="str">
        <x:f>IFERROR(INDEX('Items'!$D$6:$D$1005,MATCH(D1129,'Items'!$A$6:$A$1005,0)),"MISSING ID")</x:f>
        <x:v>Crafting components</x:v>
      </x:c>
      <x:c r="H1129" s="4" t="str">
        <x:f>IFERROR(INDEX('Items'!$X$6:$X$1005,MATCH(D1129,'Items'!$A$6:$A$1005,0)),"MISSING ID")</x:f>
        <x:v>Energy storage</x:v>
      </x:c>
      <x:c r="I1129" s="4"/>
      <x:c r="J1129" s="4" t="str">
        <x:v>Unspecified</x:v>
      </x:c>
      <x:c r="K1129" s="4" t="str">
        <x:f>IFERROR(INDEX('Crafting recipes'!$D$6:$D$1005,MATCH(B1129,'Crafting recipes'!$A$6:$A$1005,0)),"MISSING ID")</x:f>
        <x:v>Proposal</x:v>
      </x:c>
      <x:c r="L1129" s="4" t="str">
        <x:f>IFERROR(INDEX('Items'!$AD$6:$AD$1005,MATCH(D1129,'Items'!$A$6:$A$1005,0)),"MISSING ID")</x:f>
        <x:v>Proposal</x:v>
      </x:c>
      <x:c r="M1129" s="4" t="str">
        <x:f>IFERROR(INDEX('Crafting recipes'!$E$6:$E$1005,MATCH(B1129,'Crafting recipes'!$A$6:$A$1005,0)),"MISSING ID")</x:f>
        <x:v>Partial proposal</x:v>
      </x:c>
      <x:c r="N1129" s="4" t="str">
        <x:v>Candidate source or part only. Quantity, grade and method remain open.</x:v>
      </x:c>
      <x:c r="O1129" s="4" t="str">
        <x:v>Collection expansion, October 15, 2026. New game proposal.</x:v>
      </x:c>
      <x:c r="P1129" s="4" t="n">
        <x:f>IF(OR(C1129="Ingredient candidate",C1129="Consumed input",C1129="Contained input",C1129="Transform input"),IF(F1129="T0",0,IF(F1129="T1",1,IF(F1129="T2",2,IF(F1129="T3",3,IF(F1129="T4",4,-1))))),-1)</x:f>
        <x:v>-1</x:v>
      </x:c>
      <x:c r="Q1129" s="4" t="n">
        <x:f>IF(AND(OR(C1129="Ingredient candidate",C1129="Consumed input",C1129="Contained input",C1129="Transform input"),P1129=-1),1,0)</x:f>
        <x:v>0</x:v>
      </x:c>
    </x:row>
    <x:row r="1130" ht="64" customHeight="1">
      <x:c r="A1130" s="4" t="str">
        <x:v>design.collection.packed_stone_thermal_block.in.1</x:v>
      </x:c>
      <x:c r="B1130" s="4" t="str">
        <x:v>design.collection.packed_stone_thermal_block</x:v>
      </x:c>
      <x:c r="C1130" s="4" t="str">
        <x:v>Ingredient candidate</x:v>
      </x:c>
      <x:c r="D1130" s="4" t="str">
        <x:v>proposal.collection.dense_heat_holding_stone</x:v>
      </x:c>
      <x:c r="E1130" s="4" t="str">
        <x:f>IFERROR(INDEX('Items'!$B$6:$B$1005,MATCH(D1130,'Items'!$A$6:$A$1005,0)),"MISSING ID")</x:f>
        <x:v>Dense heat-holding stone</x:v>
      </x:c>
      <x:c r="F1130" s="4" t="str">
        <x:f>IFERROR(INDEX('Items'!$C$6:$C$1005,MATCH(D1130,'Items'!$A$6:$A$1005,0)),"MISSING ID")</x:f>
        <x:v>T0</x:v>
      </x:c>
      <x:c r="G1130" s="4" t="str">
        <x:f>IFERROR(INDEX('Items'!$D$6:$D$1005,MATCH(D1130,'Items'!$A$6:$A$1005,0)),"MISSING ID")</x:f>
        <x:v>Crafting components</x:v>
      </x:c>
      <x:c r="H1130" s="4" t="str">
        <x:f>IFERROR(INDEX('Items'!$X$6:$X$1005,MATCH(D1130,'Items'!$A$6:$A$1005,0)),"MISSING ID")</x:f>
        <x:v>Raw material</x:v>
      </x:c>
      <x:c r="I1130" s="4"/>
      <x:c r="J1130" s="4" t="str">
        <x:v>Unspecified</x:v>
      </x:c>
      <x:c r="K1130" s="4" t="str">
        <x:f>IFERROR(INDEX('Crafting recipes'!$D$6:$D$1005,MATCH(B1130,'Crafting recipes'!$A$6:$A$1005,0)),"MISSING ID")</x:f>
        <x:v>Proposal</x:v>
      </x:c>
      <x:c r="L1130" s="4" t="str">
        <x:f>IFERROR(INDEX('Items'!$AD$6:$AD$1005,MATCH(D1130,'Items'!$A$6:$A$1005,0)),"MISSING ID")</x:f>
        <x:v>Proposal</x:v>
      </x:c>
      <x:c r="M1130" s="4" t="str">
        <x:f>IFERROR(INDEX('Crafting recipes'!$E$6:$E$1005,MATCH(B1130,'Crafting recipes'!$A$6:$A$1005,0)),"MISSING ID")</x:f>
        <x:v>Partial proposal</x:v>
      </x:c>
      <x:c r="N1130" s="4" t="str">
        <x:v>Candidate source or part only. Quantity, grade and method remain open.</x:v>
      </x:c>
      <x:c r="O1130" s="4" t="str">
        <x:v>Collection expansion, October 15, 2026. New game proposal.</x:v>
      </x:c>
      <x:c r="P1130" s="4" t="n">
        <x:f>IF(OR(C1130="Ingredient candidate",C1130="Consumed input",C1130="Contained input",C1130="Transform input"),IF(F1130="T0",0,IF(F1130="T1",1,IF(F1130="T2",2,IF(F1130="T3",3,IF(F1130="T4",4,-1))))),-1)</x:f>
        <x:v>0</x:v>
      </x:c>
      <x:c r="Q1130" s="4" t="n">
        <x:f>IF(AND(OR(C1130="Ingredient candidate",C1130="Consumed input",C1130="Contained input",C1130="Transform input"),P1130=-1),1,0)</x:f>
        <x:v>0</x:v>
      </x:c>
    </x:row>
    <x:row r="1131" ht="64" customHeight="1">
      <x:c r="A1131" s="4" t="str">
        <x:v>design.collection.packed_stone_thermal_block.in.2</x:v>
      </x:c>
      <x:c r="B1131" s="4" t="str">
        <x:v>design.collection.packed_stone_thermal_block</x:v>
      </x:c>
      <x:c r="C1131" s="4" t="str">
        <x:v>Ingredient candidate</x:v>
      </x:c>
      <x:c r="D1131" s="4" t="str">
        <x:v>proposal.branch.refractory_ceramic</x:v>
      </x:c>
      <x:c r="E1131" s="4" t="str">
        <x:f>IFERROR(INDEX('Items'!$B$6:$B$1005,MATCH(D1131,'Items'!$A$6:$A$1005,0)),"MISSING ID")</x:f>
        <x:v>Refractory ceramic stock</x:v>
      </x:c>
      <x:c r="F1131" s="4" t="str">
        <x:f>IFERROR(INDEX('Items'!$C$6:$C$1005,MATCH(D1131,'Items'!$A$6:$A$1005,0)),"MISSING ID")</x:f>
        <x:v>T2</x:v>
      </x:c>
      <x:c r="G1131" s="4" t="str">
        <x:f>IFERROR(INDEX('Items'!$D$6:$D$1005,MATCH(D1131,'Items'!$A$6:$A$1005,0)),"MISSING ID")</x:f>
        <x:v>Manufactured stock</x:v>
      </x:c>
      <x:c r="H1131" s="4" t="str">
        <x:f>IFERROR(INDEX('Items'!$X$6:$X$1005,MATCH(D1131,'Items'!$A$6:$A$1005,0)),"MISSING ID")</x:f>
        <x:v>Processed material</x:v>
      </x:c>
      <x:c r="I1131" s="4"/>
      <x:c r="J1131" s="4" t="str">
        <x:v>Unspecified</x:v>
      </x:c>
      <x:c r="K1131" s="4" t="str">
        <x:f>IFERROR(INDEX('Crafting recipes'!$D$6:$D$1005,MATCH(B1131,'Crafting recipes'!$A$6:$A$1005,0)),"MISSING ID")</x:f>
        <x:v>Proposal</x:v>
      </x:c>
      <x:c r="L1131" s="4" t="str">
        <x:f>IFERROR(INDEX('Items'!$AD$6:$AD$1005,MATCH(D1131,'Items'!$A$6:$A$1005,0)),"MISSING ID")</x:f>
        <x:v>Proposal</x:v>
      </x:c>
      <x:c r="M1131" s="4" t="str">
        <x:f>IFERROR(INDEX('Crafting recipes'!$E$6:$E$1005,MATCH(B1131,'Crafting recipes'!$A$6:$A$1005,0)),"MISSING ID")</x:f>
        <x:v>Partial proposal</x:v>
      </x:c>
      <x:c r="N1131" s="4" t="str">
        <x:v>Candidate source or part only. Quantity, grade and method remain open.</x:v>
      </x:c>
      <x:c r="O1131" s="4" t="str">
        <x:v>Collection expansion, October 15, 2026. New game proposal.</x:v>
      </x:c>
      <x:c r="P1131" s="4" t="n">
        <x:f>IF(OR(C1131="Ingredient candidate",C1131="Consumed input",C1131="Contained input",C1131="Transform input"),IF(F1131="T0",0,IF(F1131="T1",1,IF(F1131="T2",2,IF(F1131="T3",3,IF(F1131="T4",4,-1))))),-1)</x:f>
        <x:v>2</x:v>
      </x:c>
      <x:c r="Q1131" s="4" t="n">
        <x:f>IF(AND(OR(C1131="Ingredient candidate",C1131="Consumed input",C1131="Contained input",C1131="Transform input"),P1131=-1),1,0)</x:f>
        <x:v>0</x:v>
      </x:c>
    </x:row>
    <x:row r="1132" ht="64" customHeight="1">
      <x:c r="A1132" s="4" t="str">
        <x:v>design.collection.packed_stone_thermal_block.out</x:v>
      </x:c>
      <x:c r="B1132" s="4" t="str">
        <x:v>design.collection.packed_stone_thermal_block</x:v>
      </x:c>
      <x:c r="C1132" s="4" t="str">
        <x:v>Output</x:v>
      </x:c>
      <x:c r="D1132" s="4" t="str">
        <x:v>proposal.collection.packed_stone_thermal_block</x:v>
      </x:c>
      <x:c r="E1132" s="4" t="str">
        <x:f>IFERROR(INDEX('Items'!$B$6:$B$1005,MATCH(D1132,'Items'!$A$6:$A$1005,0)),"MISSING ID")</x:f>
        <x:v>Packed-stone thermal block</x:v>
      </x:c>
      <x:c r="F1132" s="4" t="str">
        <x:f>IFERROR(INDEX('Items'!$C$6:$C$1005,MATCH(D1132,'Items'!$A$6:$A$1005,0)),"MISSING ID")</x:f>
        <x:v>Not applicable</x:v>
      </x:c>
      <x:c r="G1132" s="4" t="str">
        <x:f>IFERROR(INDEX('Items'!$D$6:$D$1005,MATCH(D1132,'Items'!$A$6:$A$1005,0)),"MISSING ID")</x:f>
        <x:v>Crafting components</x:v>
      </x:c>
      <x:c r="H1132" s="4" t="str">
        <x:f>IFERROR(INDEX('Items'!$X$6:$X$1005,MATCH(D1132,'Items'!$A$6:$A$1005,0)),"MISSING ID")</x:f>
        <x:v>Energy storage</x:v>
      </x:c>
      <x:c r="I1132" s="4"/>
      <x:c r="J1132" s="4" t="str">
        <x:v>Unspecified</x:v>
      </x:c>
      <x:c r="K1132" s="4" t="str">
        <x:f>IFERROR(INDEX('Crafting recipes'!$D$6:$D$1005,MATCH(B1132,'Crafting recipes'!$A$6:$A$1005,0)),"MISSING ID")</x:f>
        <x:v>Proposal</x:v>
      </x:c>
      <x:c r="L1132" s="4" t="str">
        <x:f>IFERROR(INDEX('Items'!$AD$6:$AD$1005,MATCH(D1132,'Items'!$A$6:$A$1005,0)),"MISSING ID")</x:f>
        <x:v>Proposal</x:v>
      </x:c>
      <x:c r="M1132" s="4" t="str">
        <x:f>IFERROR(INDEX('Crafting recipes'!$E$6:$E$1005,MATCH(B1132,'Crafting recipes'!$A$6:$A$1005,0)),"MISSING ID")</x:f>
        <x:v>Partial proposal</x:v>
      </x:c>
      <x:c r="N1132" s="4" t="str">
        <x:v>Candidate source or part only. Quantity, grade and method remain open.</x:v>
      </x:c>
      <x:c r="O1132" s="4" t="str">
        <x:v>Collection expansion, October 15, 2026. New game proposal.</x:v>
      </x:c>
      <x:c r="P1132" s="4" t="n">
        <x:f>IF(OR(C1132="Ingredient candidate",C1132="Consumed input",C1132="Contained input",C1132="Transform input"),IF(F1132="T0",0,IF(F1132="T1",1,IF(F1132="T2",2,IF(F1132="T3",3,IF(F1132="T4",4,-1))))),-1)</x:f>
        <x:v>-1</x:v>
      </x:c>
      <x:c r="Q1132" s="4" t="n">
        <x:f>IF(AND(OR(C1132="Ingredient candidate",C1132="Consumed input",C1132="Contained input",C1132="Transform input"),P1132=-1),1,0)</x:f>
        <x:v>0</x:v>
      </x:c>
    </x:row>
    <x:row r="1133" ht="64" customHeight="1">
      <x:c r="A1133" s="4" t="str">
        <x:v>design.collection.contained_salt_heat_cell.in.1</x:v>
      </x:c>
      <x:c r="B1133" s="4" t="str">
        <x:v>design.collection.contained_salt_heat_cell</x:v>
      </x:c>
      <x:c r="C1133" s="4" t="str">
        <x:v>Ingredient candidate</x:v>
      </x:c>
      <x:c r="D1133" s="4" t="str">
        <x:v>proposal.t1.process_salts</x:v>
      </x:c>
      <x:c r="E1133" s="4" t="str">
        <x:f>IFERROR(INDEX('Items'!$B$6:$B$1005,MATCH(D1133,'Items'!$A$6:$A$1005,0)),"MISSING ID")</x:f>
        <x:v>Graded process salts</x:v>
      </x:c>
      <x:c r="F1133" s="4" t="str">
        <x:f>IFERROR(INDEX('Items'!$C$6:$C$1005,MATCH(D1133,'Items'!$A$6:$A$1005,0)),"MISSING ID")</x:f>
        <x:v>T1</x:v>
      </x:c>
      <x:c r="G1133" s="4" t="str">
        <x:f>IFERROR(INDEX('Items'!$D$6:$D$1005,MATCH(D1133,'Items'!$A$6:$A$1005,0)),"MISSING ID")</x:f>
        <x:v>Manufactured stock</x:v>
      </x:c>
      <x:c r="H1133" s="4" t="str">
        <x:f>IFERROR(INDEX('Items'!$X$6:$X$1005,MATCH(D1133,'Items'!$A$6:$A$1005,0)),"MISSING ID")</x:f>
        <x:v>Processed material</x:v>
      </x:c>
      <x:c r="I1133" s="4"/>
      <x:c r="J1133" s="4" t="str">
        <x:v>Unspecified</x:v>
      </x:c>
      <x:c r="K1133" s="4" t="str">
        <x:f>IFERROR(INDEX('Crafting recipes'!$D$6:$D$1005,MATCH(B1133,'Crafting recipes'!$A$6:$A$1005,0)),"MISSING ID")</x:f>
        <x:v>Proposal</x:v>
      </x:c>
      <x:c r="L1133" s="4" t="str">
        <x:f>IFERROR(INDEX('Items'!$AD$6:$AD$1005,MATCH(D1133,'Items'!$A$6:$A$1005,0)),"MISSING ID")</x:f>
        <x:v>Proposal</x:v>
      </x:c>
      <x:c r="M1133" s="4" t="str">
        <x:f>IFERROR(INDEX('Crafting recipes'!$E$6:$E$1005,MATCH(B1133,'Crafting recipes'!$A$6:$A$1005,0)),"MISSING ID")</x:f>
        <x:v>Partial proposal</x:v>
      </x:c>
      <x:c r="N1133" s="4" t="str">
        <x:v>Candidate source or part only. Quantity, grade and method remain open.</x:v>
      </x:c>
      <x:c r="O1133" s="4" t="str">
        <x:v>Collection expansion, October 15, 2026. New game proposal.</x:v>
      </x:c>
      <x:c r="P1133" s="4" t="n">
        <x:f>IF(OR(C1133="Ingredient candidate",C1133="Consumed input",C1133="Contained input",C1133="Transform input"),IF(F1133="T0",0,IF(F1133="T1",1,IF(F1133="T2",2,IF(F1133="T3",3,IF(F1133="T4",4,-1))))),-1)</x:f>
        <x:v>1</x:v>
      </x:c>
      <x:c r="Q1133" s="4" t="n">
        <x:f>IF(AND(OR(C1133="Ingredient candidate",C1133="Consumed input",C1133="Contained input",C1133="Transform input"),P1133=-1),1,0)</x:f>
        <x:v>0</x:v>
      </x:c>
    </x:row>
    <x:row r="1134" ht="64" customHeight="1">
      <x:c r="A1134" s="4" t="str">
        <x:v>design.collection.contained_salt_heat_cell.in.2</x:v>
      </x:c>
      <x:c r="B1134" s="4" t="str">
        <x:v>design.collection.contained_salt_heat_cell</x:v>
      </x:c>
      <x:c r="C1134" s="4" t="str">
        <x:v>Ingredient candidate</x:v>
      </x:c>
      <x:c r="D1134" s="4" t="str">
        <x:v>proposal.branch.refractory_ceramic</x:v>
      </x:c>
      <x:c r="E1134" s="4" t="str">
        <x:f>IFERROR(INDEX('Items'!$B$6:$B$1005,MATCH(D1134,'Items'!$A$6:$A$1005,0)),"MISSING ID")</x:f>
        <x:v>Refractory ceramic stock</x:v>
      </x:c>
      <x:c r="F1134" s="4" t="str">
        <x:f>IFERROR(INDEX('Items'!$C$6:$C$1005,MATCH(D1134,'Items'!$A$6:$A$1005,0)),"MISSING ID")</x:f>
        <x:v>T2</x:v>
      </x:c>
      <x:c r="G1134" s="4" t="str">
        <x:f>IFERROR(INDEX('Items'!$D$6:$D$1005,MATCH(D1134,'Items'!$A$6:$A$1005,0)),"MISSING ID")</x:f>
        <x:v>Manufactured stock</x:v>
      </x:c>
      <x:c r="H1134" s="4" t="str">
        <x:f>IFERROR(INDEX('Items'!$X$6:$X$1005,MATCH(D1134,'Items'!$A$6:$A$1005,0)),"MISSING ID")</x:f>
        <x:v>Processed material</x:v>
      </x:c>
      <x:c r="I1134" s="4"/>
      <x:c r="J1134" s="4" t="str">
        <x:v>Unspecified</x:v>
      </x:c>
      <x:c r="K1134" s="4" t="str">
        <x:f>IFERROR(INDEX('Crafting recipes'!$D$6:$D$1005,MATCH(B1134,'Crafting recipes'!$A$6:$A$1005,0)),"MISSING ID")</x:f>
        <x:v>Proposal</x:v>
      </x:c>
      <x:c r="L1134" s="4" t="str">
        <x:f>IFERROR(INDEX('Items'!$AD$6:$AD$1005,MATCH(D1134,'Items'!$A$6:$A$1005,0)),"MISSING ID")</x:f>
        <x:v>Proposal</x:v>
      </x:c>
      <x:c r="M1134" s="4" t="str">
        <x:f>IFERROR(INDEX('Crafting recipes'!$E$6:$E$1005,MATCH(B1134,'Crafting recipes'!$A$6:$A$1005,0)),"MISSING ID")</x:f>
        <x:v>Partial proposal</x:v>
      </x:c>
      <x:c r="N1134" s="4" t="str">
        <x:v>Candidate source or part only. Quantity, grade and method remain open.</x:v>
      </x:c>
      <x:c r="O1134" s="4" t="str">
        <x:v>Collection expansion, October 15, 2026. New game proposal.</x:v>
      </x:c>
      <x:c r="P1134" s="4" t="n">
        <x:f>IF(OR(C1134="Ingredient candidate",C1134="Consumed input",C1134="Contained input",C1134="Transform input"),IF(F1134="T0",0,IF(F1134="T1",1,IF(F1134="T2",2,IF(F1134="T3",3,IF(F1134="T4",4,-1))))),-1)</x:f>
        <x:v>2</x:v>
      </x:c>
      <x:c r="Q1134" s="4" t="n">
        <x:f>IF(AND(OR(C1134="Ingredient candidate",C1134="Consumed input",C1134="Contained input",C1134="Transform input"),P1134=-1),1,0)</x:f>
        <x:v>0</x:v>
      </x:c>
    </x:row>
    <x:row r="1135" ht="64" customHeight="1">
      <x:c r="A1135" s="4" t="str">
        <x:v>design.collection.contained_salt_heat_cell.out</x:v>
      </x:c>
      <x:c r="B1135" s="4" t="str">
        <x:v>design.collection.contained_salt_heat_cell</x:v>
      </x:c>
      <x:c r="C1135" s="4" t="str">
        <x:v>Output</x:v>
      </x:c>
      <x:c r="D1135" s="4" t="str">
        <x:v>proposal.collection.contained_salt_heat_cell</x:v>
      </x:c>
      <x:c r="E1135" s="4" t="str">
        <x:f>IFERROR(INDEX('Items'!$B$6:$B$1005,MATCH(D1135,'Items'!$A$6:$A$1005,0)),"MISSING ID")</x:f>
        <x:v>Contained salt heat cell</x:v>
      </x:c>
      <x:c r="F1135" s="4" t="str">
        <x:f>IFERROR(INDEX('Items'!$C$6:$C$1005,MATCH(D1135,'Items'!$A$6:$A$1005,0)),"MISSING ID")</x:f>
        <x:v>Not applicable</x:v>
      </x:c>
      <x:c r="G1135" s="4" t="str">
        <x:f>IFERROR(INDEX('Items'!$D$6:$D$1005,MATCH(D1135,'Items'!$A$6:$A$1005,0)),"MISSING ID")</x:f>
        <x:v>Crafting components</x:v>
      </x:c>
      <x:c r="H1135" s="4" t="str">
        <x:f>IFERROR(INDEX('Items'!$X$6:$X$1005,MATCH(D1135,'Items'!$A$6:$A$1005,0)),"MISSING ID")</x:f>
        <x:v>Energy storage</x:v>
      </x:c>
      <x:c r="I1135" s="4"/>
      <x:c r="J1135" s="4" t="str">
        <x:v>Unspecified</x:v>
      </x:c>
      <x:c r="K1135" s="4" t="str">
        <x:f>IFERROR(INDEX('Crafting recipes'!$D$6:$D$1005,MATCH(B1135,'Crafting recipes'!$A$6:$A$1005,0)),"MISSING ID")</x:f>
        <x:v>Proposal</x:v>
      </x:c>
      <x:c r="L1135" s="4" t="str">
        <x:f>IFERROR(INDEX('Items'!$AD$6:$AD$1005,MATCH(D1135,'Items'!$A$6:$A$1005,0)),"MISSING ID")</x:f>
        <x:v>Proposal</x:v>
      </x:c>
      <x:c r="M1135" s="4" t="str">
        <x:f>IFERROR(INDEX('Crafting recipes'!$E$6:$E$1005,MATCH(B1135,'Crafting recipes'!$A$6:$A$1005,0)),"MISSING ID")</x:f>
        <x:v>Partial proposal</x:v>
      </x:c>
      <x:c r="N1135" s="4" t="str">
        <x:v>Candidate source or part only. Quantity, grade and method remain open.</x:v>
      </x:c>
      <x:c r="O1135" s="4" t="str">
        <x:v>Collection expansion, October 15, 2026. New game proposal.</x:v>
      </x:c>
      <x:c r="P1135" s="4" t="n">
        <x:f>IF(OR(C1135="Ingredient candidate",C1135="Consumed input",C1135="Contained input",C1135="Transform input"),IF(F1135="T0",0,IF(F1135="T1",1,IF(F1135="T2",2,IF(F1135="T3",3,IF(F1135="T4",4,-1))))),-1)</x:f>
        <x:v>-1</x:v>
      </x:c>
      <x:c r="Q1135" s="4" t="n">
        <x:f>IF(AND(OR(C1135="Ingredient candidate",C1135="Consumed input",C1135="Contained input",C1135="Transform input"),P1135=-1),1,0)</x:f>
        <x:v>0</x:v>
      </x:c>
    </x:row>
    <x:row r="1136" ht="64" customHeight="1">
      <x:c r="A1136" s="4" t="str">
        <x:v>design.collection.ceramic_housed_mineral_battery.in.1</x:v>
      </x:c>
      <x:c r="B1136" s="4" t="str">
        <x:v>design.collection.ceramic_housed_mineral_battery</x:v>
      </x:c>
      <x:c r="C1136" s="4" t="str">
        <x:v>Ingredient candidate</x:v>
      </x:c>
      <x:c r="D1136" s="4" t="str">
        <x:v>proposal.branch.refractory_ceramic</x:v>
      </x:c>
      <x:c r="E1136" s="4" t="str">
        <x:f>IFERROR(INDEX('Items'!$B$6:$B$1005,MATCH(D1136,'Items'!$A$6:$A$1005,0)),"MISSING ID")</x:f>
        <x:v>Refractory ceramic stock</x:v>
      </x:c>
      <x:c r="F1136" s="4" t="str">
        <x:f>IFERROR(INDEX('Items'!$C$6:$C$1005,MATCH(D1136,'Items'!$A$6:$A$1005,0)),"MISSING ID")</x:f>
        <x:v>T2</x:v>
      </x:c>
      <x:c r="G1136" s="4" t="str">
        <x:f>IFERROR(INDEX('Items'!$D$6:$D$1005,MATCH(D1136,'Items'!$A$6:$A$1005,0)),"MISSING ID")</x:f>
        <x:v>Manufactured stock</x:v>
      </x:c>
      <x:c r="H1136" s="4" t="str">
        <x:f>IFERROR(INDEX('Items'!$X$6:$X$1005,MATCH(D1136,'Items'!$A$6:$A$1005,0)),"MISSING ID")</x:f>
        <x:v>Processed material</x:v>
      </x:c>
      <x:c r="I1136" s="4"/>
      <x:c r="J1136" s="4" t="str">
        <x:v>Unspecified</x:v>
      </x:c>
      <x:c r="K1136" s="4" t="str">
        <x:f>IFERROR(INDEX('Crafting recipes'!$D$6:$D$1005,MATCH(B1136,'Crafting recipes'!$A$6:$A$1005,0)),"MISSING ID")</x:f>
        <x:v>Proposal</x:v>
      </x:c>
      <x:c r="L1136" s="4" t="str">
        <x:f>IFERROR(INDEX('Items'!$AD$6:$AD$1005,MATCH(D1136,'Items'!$A$6:$A$1005,0)),"MISSING ID")</x:f>
        <x:v>Proposal</x:v>
      </x:c>
      <x:c r="M1136" s="4" t="str">
        <x:f>IFERROR(INDEX('Crafting recipes'!$E$6:$E$1005,MATCH(B1136,'Crafting recipes'!$A$6:$A$1005,0)),"MISSING ID")</x:f>
        <x:v>Partial proposal</x:v>
      </x:c>
      <x:c r="N1136" s="4" t="str">
        <x:v>Candidate source or part only. Quantity, grade and method remain open.</x:v>
      </x:c>
      <x:c r="O1136" s="4" t="str">
        <x:v>Collection expansion, October 15, 2026. New game proposal.</x:v>
      </x:c>
      <x:c r="P1136" s="4" t="n">
        <x:f>IF(OR(C1136="Ingredient candidate",C1136="Consumed input",C1136="Contained input",C1136="Transform input"),IF(F1136="T0",0,IF(F1136="T1",1,IF(F1136="T2",2,IF(F1136="T3",3,IF(F1136="T4",4,-1))))),-1)</x:f>
        <x:v>2</x:v>
      </x:c>
      <x:c r="Q1136" s="4" t="n">
        <x:f>IF(AND(OR(C1136="Ingredient candidate",C1136="Consumed input",C1136="Contained input",C1136="Transform input"),P1136=-1),1,0)</x:f>
        <x:v>0</x:v>
      </x:c>
    </x:row>
    <x:row r="1137" ht="64" customHeight="1">
      <x:c r="A1137" s="4" t="str">
        <x:v>design.collection.ceramic_housed_mineral_battery.in.2</x:v>
      </x:c>
      <x:c r="B1137" s="4" t="str">
        <x:v>design.collection.ceramic_housed_mineral_battery</x:v>
      </x:c>
      <x:c r="C1137" s="4" t="str">
        <x:v>Ingredient candidate</x:v>
      </x:c>
      <x:c r="D1137" s="4" t="str">
        <x:v>proposal.natural.iron_stock</x:v>
      </x:c>
      <x:c r="E1137" s="4" t="str">
        <x:f>IFERROR(INDEX('Items'!$B$6:$B$1005,MATCH(D1137,'Items'!$A$6:$A$1005,0)),"MISSING ID")</x:f>
        <x:v>Worked iron stock</x:v>
      </x:c>
      <x:c r="F1137" s="4" t="str">
        <x:f>IFERROR(INDEX('Items'!$C$6:$C$1005,MATCH(D1137,'Items'!$A$6:$A$1005,0)),"MISSING ID")</x:f>
        <x:v>T2</x:v>
      </x:c>
      <x:c r="G1137" s="4" t="str">
        <x:f>IFERROR(INDEX('Items'!$D$6:$D$1005,MATCH(D1137,'Items'!$A$6:$A$1005,0)),"MISSING ID")</x:f>
        <x:v>Manufactured stock</x:v>
      </x:c>
      <x:c r="H1137" s="4" t="str">
        <x:f>IFERROR(INDEX('Items'!$X$6:$X$1005,MATCH(D1137,'Items'!$A$6:$A$1005,0)),"MISSING ID")</x:f>
        <x:v>Processed material</x:v>
      </x:c>
      <x:c r="I1137" s="4"/>
      <x:c r="J1137" s="4" t="str">
        <x:v>Unspecified</x:v>
      </x:c>
      <x:c r="K1137" s="4" t="str">
        <x:f>IFERROR(INDEX('Crafting recipes'!$D$6:$D$1005,MATCH(B1137,'Crafting recipes'!$A$6:$A$1005,0)),"MISSING ID")</x:f>
        <x:v>Proposal</x:v>
      </x:c>
      <x:c r="L1137" s="4" t="str">
        <x:f>IFERROR(INDEX('Items'!$AD$6:$AD$1005,MATCH(D1137,'Items'!$A$6:$A$1005,0)),"MISSING ID")</x:f>
        <x:v>Proposal</x:v>
      </x:c>
      <x:c r="M1137" s="4" t="str">
        <x:f>IFERROR(INDEX('Crafting recipes'!$E$6:$E$1005,MATCH(B1137,'Crafting recipes'!$A$6:$A$1005,0)),"MISSING ID")</x:f>
        <x:v>Partial proposal</x:v>
      </x:c>
      <x:c r="N1137" s="4" t="str">
        <x:v>Candidate source or part only. Quantity, grade and method remain open.</x:v>
      </x:c>
      <x:c r="O1137" s="4" t="str">
        <x:v>Collection expansion, October 15, 2026. New game proposal.</x:v>
      </x:c>
      <x:c r="P1137" s="4" t="n">
        <x:f>IF(OR(C1137="Ingredient candidate",C1137="Consumed input",C1137="Contained input",C1137="Transform input"),IF(F1137="T0",0,IF(F1137="T1",1,IF(F1137="T2",2,IF(F1137="T3",3,IF(F1137="T4",4,-1))))),-1)</x:f>
        <x:v>2</x:v>
      </x:c>
      <x:c r="Q1137" s="4" t="n">
        <x:f>IF(AND(OR(C1137="Ingredient candidate",C1137="Consumed input",C1137="Contained input",C1137="Transform input"),P1137=-1),1,0)</x:f>
        <x:v>0</x:v>
      </x:c>
    </x:row>
    <x:row r="1138" ht="64" customHeight="1">
      <x:c r="A1138" s="4" t="str">
        <x:v>design.collection.ceramic_housed_mineral_battery.in.3</x:v>
      </x:c>
      <x:c r="B1138" s="4" t="str">
        <x:v>design.collection.ceramic_housed_mineral_battery</x:v>
      </x:c>
      <x:c r="C1138" s="4" t="str">
        <x:v>Ingredient candidate</x:v>
      </x:c>
      <x:c r="D1138" s="4" t="str">
        <x:v>proposal.t1.process_salts</x:v>
      </x:c>
      <x:c r="E1138" s="4" t="str">
        <x:f>IFERROR(INDEX('Items'!$B$6:$B$1005,MATCH(D1138,'Items'!$A$6:$A$1005,0)),"MISSING ID")</x:f>
        <x:v>Graded process salts</x:v>
      </x:c>
      <x:c r="F1138" s="4" t="str">
        <x:f>IFERROR(INDEX('Items'!$C$6:$C$1005,MATCH(D1138,'Items'!$A$6:$A$1005,0)),"MISSING ID")</x:f>
        <x:v>T1</x:v>
      </x:c>
      <x:c r="G1138" s="4" t="str">
        <x:f>IFERROR(INDEX('Items'!$D$6:$D$1005,MATCH(D1138,'Items'!$A$6:$A$1005,0)),"MISSING ID")</x:f>
        <x:v>Manufactured stock</x:v>
      </x:c>
      <x:c r="H1138" s="4" t="str">
        <x:f>IFERROR(INDEX('Items'!$X$6:$X$1005,MATCH(D1138,'Items'!$A$6:$A$1005,0)),"MISSING ID")</x:f>
        <x:v>Processed material</x:v>
      </x:c>
      <x:c r="I1138" s="4"/>
      <x:c r="J1138" s="4" t="str">
        <x:v>Unspecified</x:v>
      </x:c>
      <x:c r="K1138" s="4" t="str">
        <x:f>IFERROR(INDEX('Crafting recipes'!$D$6:$D$1005,MATCH(B1138,'Crafting recipes'!$A$6:$A$1005,0)),"MISSING ID")</x:f>
        <x:v>Proposal</x:v>
      </x:c>
      <x:c r="L1138" s="4" t="str">
        <x:f>IFERROR(INDEX('Items'!$AD$6:$AD$1005,MATCH(D1138,'Items'!$A$6:$A$1005,0)),"MISSING ID")</x:f>
        <x:v>Proposal</x:v>
      </x:c>
      <x:c r="M1138" s="4" t="str">
        <x:f>IFERROR(INDEX('Crafting recipes'!$E$6:$E$1005,MATCH(B1138,'Crafting recipes'!$A$6:$A$1005,0)),"MISSING ID")</x:f>
        <x:v>Partial proposal</x:v>
      </x:c>
      <x:c r="N1138" s="4" t="str">
        <x:v>Candidate source or part only. Quantity, grade and method remain open.</x:v>
      </x:c>
      <x:c r="O1138" s="4" t="str">
        <x:v>Collection expansion, October 15, 2026. New game proposal.</x:v>
      </x:c>
      <x:c r="P1138" s="4" t="n">
        <x:f>IF(OR(C1138="Ingredient candidate",C1138="Consumed input",C1138="Contained input",C1138="Transform input"),IF(F1138="T0",0,IF(F1138="T1",1,IF(F1138="T2",2,IF(F1138="T3",3,IF(F1138="T4",4,-1))))),-1)</x:f>
        <x:v>1</x:v>
      </x:c>
      <x:c r="Q1138" s="4" t="n">
        <x:f>IF(AND(OR(C1138="Ingredient candidate",C1138="Consumed input",C1138="Contained input",C1138="Transform input"),P1138=-1),1,0)</x:f>
        <x:v>0</x:v>
      </x:c>
    </x:row>
    <x:row r="1139" ht="64" customHeight="1">
      <x:c r="A1139" s="4" t="str">
        <x:v>design.collection.ceramic_housed_mineral_battery.out</x:v>
      </x:c>
      <x:c r="B1139" s="4" t="str">
        <x:v>design.collection.ceramic_housed_mineral_battery</x:v>
      </x:c>
      <x:c r="C1139" s="4" t="str">
        <x:v>Output</x:v>
      </x:c>
      <x:c r="D1139" s="4" t="str">
        <x:v>proposal.collection.ceramic_housed_mineral_battery</x:v>
      </x:c>
      <x:c r="E1139" s="4" t="str">
        <x:f>IFERROR(INDEX('Items'!$B$6:$B$1005,MATCH(D1139,'Items'!$A$6:$A$1005,0)),"MISSING ID")</x:f>
        <x:v>Ceramic-housed mineral battery</x:v>
      </x:c>
      <x:c r="F1139" s="4" t="str">
        <x:f>IFERROR(INDEX('Items'!$C$6:$C$1005,MATCH(D1139,'Items'!$A$6:$A$1005,0)),"MISSING ID")</x:f>
        <x:v>Not applicable</x:v>
      </x:c>
      <x:c r="G1139" s="4" t="str">
        <x:f>IFERROR(INDEX('Items'!$D$6:$D$1005,MATCH(D1139,'Items'!$A$6:$A$1005,0)),"MISSING ID")</x:f>
        <x:v>Crafting components</x:v>
      </x:c>
      <x:c r="H1139" s="4" t="str">
        <x:f>IFERROR(INDEX('Items'!$X$6:$X$1005,MATCH(D1139,'Items'!$A$6:$A$1005,0)),"MISSING ID")</x:f>
        <x:v>Energy storage</x:v>
      </x:c>
      <x:c r="I1139" s="4"/>
      <x:c r="J1139" s="4" t="str">
        <x:v>Unspecified</x:v>
      </x:c>
      <x:c r="K1139" s="4" t="str">
        <x:f>IFERROR(INDEX('Crafting recipes'!$D$6:$D$1005,MATCH(B1139,'Crafting recipes'!$A$6:$A$1005,0)),"MISSING ID")</x:f>
        <x:v>Proposal</x:v>
      </x:c>
      <x:c r="L1139" s="4" t="str">
        <x:f>IFERROR(INDEX('Items'!$AD$6:$AD$1005,MATCH(D1139,'Items'!$A$6:$A$1005,0)),"MISSING ID")</x:f>
        <x:v>Proposal</x:v>
      </x:c>
      <x:c r="M1139" s="4" t="str">
        <x:f>IFERROR(INDEX('Crafting recipes'!$E$6:$E$1005,MATCH(B1139,'Crafting recipes'!$A$6:$A$1005,0)),"MISSING ID")</x:f>
        <x:v>Partial proposal</x:v>
      </x:c>
      <x:c r="N1139" s="4" t="str">
        <x:v>Candidate source or part only. Quantity, grade and method remain open.</x:v>
      </x:c>
      <x:c r="O1139" s="4" t="str">
        <x:v>Collection expansion, October 15, 2026. New game proposal.</x:v>
      </x:c>
      <x:c r="P1139" s="4" t="n">
        <x:f>IF(OR(C1139="Ingredient candidate",C1139="Consumed input",C1139="Contained input",C1139="Transform input"),IF(F1139="T0",0,IF(F1139="T1",1,IF(F1139="T2",2,IF(F1139="T3",3,IF(F1139="T4",4,-1))))),-1)</x:f>
        <x:v>-1</x:v>
      </x:c>
      <x:c r="Q1139" s="4" t="n">
        <x:f>IF(AND(OR(C1139="Ingredient candidate",C1139="Consumed input",C1139="Contained input",C1139="Transform input"),P1139=-1),1,0)</x:f>
        <x:v>0</x:v>
      </x:c>
    </x:row>
    <x:row r="1140" ht="64" customHeight="1">
      <x:c r="A1140" s="4" t="str">
        <x:v>design.collection.replaceable_electrode_battery_jar.in.1</x:v>
      </x:c>
      <x:c r="B1140" s="4" t="str">
        <x:v>design.collection.replaceable_electrode_battery_jar</x:v>
      </x:c>
      <x:c r="C1140" s="4" t="str">
        <x:v>Ingredient candidate</x:v>
      </x:c>
      <x:c r="D1140" s="4" t="str">
        <x:v>proposal.container.ceramic_jar</x:v>
      </x:c>
      <x:c r="E1140" s="4" t="str">
        <x:f>IFERROR(INDEX('Items'!$B$6:$B$1005,MATCH(D1140,'Items'!$A$6:$A$1005,0)),"MISSING ID")</x:f>
        <x:v>Glazed ceramic reagent jar</x:v>
      </x:c>
      <x:c r="F1140" s="4" t="str">
        <x:f>IFERROR(INDEX('Items'!$C$6:$C$1005,MATCH(D1140,'Items'!$A$6:$A$1005,0)),"MISSING ID")</x:f>
        <x:v>Not applicable</x:v>
      </x:c>
      <x:c r="G1140" s="4" t="str">
        <x:f>IFERROR(INDEX('Items'!$D$6:$D$1005,MATCH(D1140,'Items'!$A$6:$A$1005,0)),"MISSING ID")</x:f>
        <x:v>Salvage</x:v>
      </x:c>
      <x:c r="H1140" s="4" t="inlineStr">
        <x:is>
          <x:t xml:space="preserve">Salvage</x:t>
        </x:is>
      </x:c>
      <x:c r="I1140" s="4"/>
      <x:c r="J1140" s="4" t="str">
        <x:v>Unspecified</x:v>
      </x:c>
      <x:c r="K1140" s="4" t="str">
        <x:f>IFERROR(INDEX('Crafting recipes'!$D$6:$D$1005,MATCH(B1140,'Crafting recipes'!$A$6:$A$1005,0)),"MISSING ID")</x:f>
        <x:v>Proposal</x:v>
      </x:c>
      <x:c r="L1140" s="4" t="str">
        <x:f>IFERROR(INDEX('Items'!$AD$6:$AD$1005,MATCH(D1140,'Items'!$A$6:$A$1005,0)),"MISSING ID")</x:f>
        <x:v>Proposal</x:v>
      </x:c>
      <x:c r="M1140" s="4" t="str">
        <x:f>IFERROR(INDEX('Crafting recipes'!$E$6:$E$1005,MATCH(B1140,'Crafting recipes'!$A$6:$A$1005,0)),"MISSING ID")</x:f>
        <x:v>Partial proposal</x:v>
      </x:c>
      <x:c r="N1140" s="4" t="str">
        <x:v>Candidate source or part only. Quantity, grade and method remain open.</x:v>
      </x:c>
      <x:c r="O1140" s="4" t="str">
        <x:v>Collection expansion, October 15, 2026. New game proposal.</x:v>
      </x:c>
      <x:c r="P1140" s="4" t="n">
        <x:f>IF(OR(C1140="Ingredient candidate",C1140="Consumed input",C1140="Contained input",C1140="Transform input"),IF(F1140="T0",0,IF(F1140="T1",1,IF(F1140="T2",2,IF(F1140="T3",3,IF(F1140="T4",4,-1))))),-1)</x:f>
        <x:v>-1</x:v>
      </x:c>
      <x:c r="Q1140" s="4" t="n">
        <x:f>IF(AND(OR(C1140="Ingredient candidate",C1140="Consumed input",C1140="Contained input",C1140="Transform input"),P1140=-1),1,0)</x:f>
        <x:v>1</x:v>
      </x:c>
    </x:row>
    <x:row r="1141" ht="64" customHeight="1">
      <x:c r="A1141" s="4" t="str">
        <x:v>design.collection.replaceable_electrode_battery_jar.in.2</x:v>
      </x:c>
      <x:c r="B1141" s="4" t="str">
        <x:v>design.collection.replaceable_electrode_battery_jar</x:v>
      </x:c>
      <x:c r="C1141" s="4" t="str">
        <x:v>Ingredient candidate</x:v>
      </x:c>
      <x:c r="D1141" s="4" t="str">
        <x:v>proposal.collection.graphite_current_brush</x:v>
      </x:c>
      <x:c r="E1141" s="4" t="str">
        <x:f>IFERROR(INDEX('Items'!$B$6:$B$1005,MATCH(D1141,'Items'!$A$6:$A$1005,0)),"MISSING ID")</x:f>
        <x:v>Graphite current brush</x:v>
      </x:c>
      <x:c r="F1141" s="4" t="str">
        <x:f>IFERROR(INDEX('Items'!$C$6:$C$1005,MATCH(D1141,'Items'!$A$6:$A$1005,0)),"MISSING ID")</x:f>
        <x:v>T2</x:v>
      </x:c>
      <x:c r="G1141" s="4" t="str">
        <x:f>IFERROR(INDEX('Items'!$D$6:$D$1005,MATCH(D1141,'Items'!$A$6:$A$1005,0)),"MISSING ID")</x:f>
        <x:v>Crafting components</x:v>
      </x:c>
      <x:c r="H1141" s="4" t="str">
        <x:f>IFERROR(INDEX('Items'!$X$6:$X$1005,MATCH(D1141,'Items'!$A$6:$A$1005,0)),"MISSING ID")</x:f>
        <x:v>Machine part</x:v>
      </x:c>
      <x:c r="I1141" s="4"/>
      <x:c r="J1141" s="4" t="str">
        <x:v>Unspecified</x:v>
      </x:c>
      <x:c r="K1141" s="4" t="str">
        <x:f>IFERROR(INDEX('Crafting recipes'!$D$6:$D$1005,MATCH(B1141,'Crafting recipes'!$A$6:$A$1005,0)),"MISSING ID")</x:f>
        <x:v>Proposal</x:v>
      </x:c>
      <x:c r="L1141" s="4" t="str">
        <x:f>IFERROR(INDEX('Items'!$AD$6:$AD$1005,MATCH(D1141,'Items'!$A$6:$A$1005,0)),"MISSING ID")</x:f>
        <x:v>Proposal</x:v>
      </x:c>
      <x:c r="M1141" s="4" t="str">
        <x:f>IFERROR(INDEX('Crafting recipes'!$E$6:$E$1005,MATCH(B1141,'Crafting recipes'!$A$6:$A$1005,0)),"MISSING ID")</x:f>
        <x:v>Partial proposal</x:v>
      </x:c>
      <x:c r="N1141" s="4" t="str">
        <x:v>Candidate source or part only. Quantity, grade and method remain open.</x:v>
      </x:c>
      <x:c r="O1141" s="4" t="str">
        <x:v>Collection expansion, October 15, 2026. New game proposal.</x:v>
      </x:c>
      <x:c r="P1141" s="4" t="n">
        <x:f>IF(OR(C1141="Ingredient candidate",C1141="Consumed input",C1141="Contained input",C1141="Transform input"),IF(F1141="T0",0,IF(F1141="T1",1,IF(F1141="T2",2,IF(F1141="T3",3,IF(F1141="T4",4,-1))))),-1)</x:f>
        <x:v>2</x:v>
      </x:c>
      <x:c r="Q1141" s="4" t="n">
        <x:f>IF(AND(OR(C1141="Ingredient candidate",C1141="Consumed input",C1141="Contained input",C1141="Transform input"),P1141=-1),1,0)</x:f>
        <x:v>0</x:v>
      </x:c>
    </x:row>
    <x:row r="1142" ht="64" customHeight="1">
      <x:c r="A1142" s="4" t="str">
        <x:v>design.collection.replaceable_electrode_battery_jar.in.3</x:v>
      </x:c>
      <x:c r="B1142" s="4" t="str">
        <x:v>design.collection.replaceable_electrode_battery_jar</x:v>
      </x:c>
      <x:c r="C1142" s="4" t="str">
        <x:v>Ingredient candidate</x:v>
      </x:c>
      <x:c r="D1142" s="4" t="str">
        <x:v>proposal.collection.annealed_iron_sheet_stock</x:v>
      </x:c>
      <x:c r="E1142" s="4" t="str">
        <x:f>IFERROR(INDEX('Items'!$B$6:$B$1005,MATCH(D1142,'Items'!$A$6:$A$1005,0)),"MISSING ID")</x:f>
        <x:v>Annealed iron sheet stock</x:v>
      </x:c>
      <x:c r="F1142" s="4" t="str">
        <x:f>IFERROR(INDEX('Items'!$C$6:$C$1005,MATCH(D1142,'Items'!$A$6:$A$1005,0)),"MISSING ID")</x:f>
        <x:v>T3</x:v>
      </x:c>
      <x:c r="G1142" s="4" t="str">
        <x:f>IFERROR(INDEX('Items'!$D$6:$D$1005,MATCH(D1142,'Items'!$A$6:$A$1005,0)),"MISSING ID")</x:f>
        <x:v>Manufactured stock</x:v>
      </x:c>
      <x:c r="H1142" s="4" t="str">
        <x:f>IFERROR(INDEX('Items'!$X$6:$X$1005,MATCH(D1142,'Items'!$A$6:$A$1005,0)),"MISSING ID")</x:f>
        <x:v>Processed material</x:v>
      </x:c>
      <x:c r="I1142" s="4"/>
      <x:c r="J1142" s="4" t="str">
        <x:v>Unspecified</x:v>
      </x:c>
      <x:c r="K1142" s="4" t="str">
        <x:f>IFERROR(INDEX('Crafting recipes'!$D$6:$D$1005,MATCH(B1142,'Crafting recipes'!$A$6:$A$1005,0)),"MISSING ID")</x:f>
        <x:v>Proposal</x:v>
      </x:c>
      <x:c r="L1142" s="4" t="str">
        <x:f>IFERROR(INDEX('Items'!$AD$6:$AD$1005,MATCH(D1142,'Items'!$A$6:$A$1005,0)),"MISSING ID")</x:f>
        <x:v>Proposal</x:v>
      </x:c>
      <x:c r="M1142" s="4" t="str">
        <x:f>IFERROR(INDEX('Crafting recipes'!$E$6:$E$1005,MATCH(B1142,'Crafting recipes'!$A$6:$A$1005,0)),"MISSING ID")</x:f>
        <x:v>Partial proposal</x:v>
      </x:c>
      <x:c r="N1142" s="4" t="str">
        <x:v>Candidate source or part only. Quantity, grade and method remain open.</x:v>
      </x:c>
      <x:c r="O1142" s="4" t="str">
        <x:v>Collection expansion, October 15, 2026. New game proposal.</x:v>
      </x:c>
      <x:c r="P1142" s="4" t="n">
        <x:f>IF(OR(C1142="Ingredient candidate",C1142="Consumed input",C1142="Contained input",C1142="Transform input"),IF(F1142="T0",0,IF(F1142="T1",1,IF(F1142="T2",2,IF(F1142="T3",3,IF(F1142="T4",4,-1))))),-1)</x:f>
        <x:v>3</x:v>
      </x:c>
      <x:c r="Q1142" s="4" t="n">
        <x:f>IF(AND(OR(C1142="Ingredient candidate",C1142="Consumed input",C1142="Contained input",C1142="Transform input"),P1142=-1),1,0)</x:f>
        <x:v>0</x:v>
      </x:c>
    </x:row>
    <x:row r="1143" ht="64" customHeight="1">
      <x:c r="A1143" s="4" t="str">
        <x:v>design.collection.replaceable_electrode_battery_jar.out</x:v>
      </x:c>
      <x:c r="B1143" s="4" t="str">
        <x:v>design.collection.replaceable_electrode_battery_jar</x:v>
      </x:c>
      <x:c r="C1143" s="4" t="str">
        <x:v>Output</x:v>
      </x:c>
      <x:c r="D1143" s="4" t="str">
        <x:v>proposal.collection.replaceable_electrode_battery_jar</x:v>
      </x:c>
      <x:c r="E1143" s="4" t="str">
        <x:f>IFERROR(INDEX('Items'!$B$6:$B$1005,MATCH(D1143,'Items'!$A$6:$A$1005,0)),"MISSING ID")</x:f>
        <x:v>Replaceable electrode battery jar</x:v>
      </x:c>
      <x:c r="F1143" s="4" t="str">
        <x:f>IFERROR(INDEX('Items'!$C$6:$C$1005,MATCH(D1143,'Items'!$A$6:$A$1005,0)),"MISSING ID")</x:f>
        <x:v>Not applicable</x:v>
      </x:c>
      <x:c r="G1143" s="4" t="str">
        <x:f>IFERROR(INDEX('Items'!$D$6:$D$1005,MATCH(D1143,'Items'!$A$6:$A$1005,0)),"MISSING ID")</x:f>
        <x:v>Salvage</x:v>
      </x:c>
      <x:c r="H1143" s="4" t="str">
        <x:f>IFERROR(INDEX('Items'!$X$6:$X$1005,MATCH(D1143,'Items'!$A$6:$A$1005,0)),"MISSING ID")</x:f>
        <x:v>Energy storage</x:v>
      </x:c>
      <x:c r="I1143" s="4"/>
      <x:c r="J1143" s="4" t="str">
        <x:v>Unspecified</x:v>
      </x:c>
      <x:c r="K1143" s="4" t="str">
        <x:f>IFERROR(INDEX('Crafting recipes'!$D$6:$D$1005,MATCH(B1143,'Crafting recipes'!$A$6:$A$1005,0)),"MISSING ID")</x:f>
        <x:v>Proposal</x:v>
      </x:c>
      <x:c r="L1143" s="4" t="str">
        <x:f>IFERROR(INDEX('Items'!$AD$6:$AD$1005,MATCH(D1143,'Items'!$A$6:$A$1005,0)),"MISSING ID")</x:f>
        <x:v>Proposal</x:v>
      </x:c>
      <x:c r="M1143" s="4" t="str">
        <x:f>IFERROR(INDEX('Crafting recipes'!$E$6:$E$1005,MATCH(B1143,'Crafting recipes'!$A$6:$A$1005,0)),"MISSING ID")</x:f>
        <x:v>Partial proposal</x:v>
      </x:c>
      <x:c r="N1143" s="4" t="str">
        <x:v>Candidate source or part only. Quantity, grade and method remain open.</x:v>
      </x:c>
      <x:c r="O1143" s="4" t="str">
        <x:v>Collection expansion, October 15, 2026. New game proposal.</x:v>
      </x:c>
      <x:c r="P1143" s="4" t="n">
        <x:f>IF(OR(C1143="Ingredient candidate",C1143="Consumed input",C1143="Contained input",C1143="Transform input"),IF(F1143="T0",0,IF(F1143="T1",1,IF(F1143="T2",2,IF(F1143="T3",3,IF(F1143="T4",4,-1))))),-1)</x:f>
        <x:v>-1</x:v>
      </x:c>
      <x:c r="Q1143" s="4" t="n">
        <x:f>IF(AND(OR(C1143="Ingredient candidate",C1143="Consumed input",C1143="Contained input",C1143="Transform input"),P1143=-1),1,0)</x:f>
        <x:v>0</x:v>
      </x:c>
    </x:row>
    <x:row r="1144" ht="64" customHeight="1">
      <x:c r="A1144" s="4" t="str">
        <x:v>design.collection.packed_separator_battery_stack.in.1</x:v>
      </x:c>
      <x:c r="B1144" s="4" t="str">
        <x:v>design.collection.packed_separator_battery_stack</x:v>
      </x:c>
      <x:c r="C1144" s="4" t="str">
        <x:v>Ingredient candidate</x:v>
      </x:c>
      <x:c r="D1144" s="4" t="str">
        <x:v>author.electrical.insulation_stock</x:v>
      </x:c>
      <x:c r="E1144" s="4" t="str">
        <x:f>IFERROR(INDEX('Items'!$B$6:$B$1005,MATCH(D1144,'Items'!$A$6:$A$1005,0)),"MISSING ID")</x:f>
        <x:v>Prepared electrical insulation stock</x:v>
      </x:c>
      <x:c r="F1144" s="4" t="str">
        <x:f>IFERROR(INDEX('Items'!$C$6:$C$1005,MATCH(D1144,'Items'!$A$6:$A$1005,0)),"MISSING ID")</x:f>
        <x:v>T3</x:v>
      </x:c>
      <x:c r="G1144" s="4" t="str">
        <x:f>IFERROR(INDEX('Items'!$D$6:$D$1005,MATCH(D1144,'Items'!$A$6:$A$1005,0)),"MISSING ID")</x:f>
        <x:v>Manufactured stock</x:v>
      </x:c>
      <x:c r="H1144" s="4" t="str">
        <x:f>IFERROR(INDEX('Items'!$X$6:$X$1005,MATCH(D1144,'Items'!$A$6:$A$1005,0)),"MISSING ID")</x:f>
        <x:v>Processed material</x:v>
      </x:c>
      <x:c r="I1144" s="4"/>
      <x:c r="J1144" s="4" t="str">
        <x:v>Unspecified</x:v>
      </x:c>
      <x:c r="K1144" s="4" t="str">
        <x:f>IFERROR(INDEX('Crafting recipes'!$D$6:$D$1005,MATCH(B1144,'Crafting recipes'!$A$6:$A$1005,0)),"MISSING ID")</x:f>
        <x:v>Proposal</x:v>
      </x:c>
      <x:c r="L1144" s="4" t="str">
        <x:f>IFERROR(INDEX('Items'!$AD$6:$AD$1005,MATCH(D1144,'Items'!$A$6:$A$1005,0)),"MISSING ID")</x:f>
        <x:v>Author direction</x:v>
      </x:c>
      <x:c r="M1144" s="4" t="str">
        <x:f>IFERROR(INDEX('Crafting recipes'!$E$6:$E$1005,MATCH(B1144,'Crafting recipes'!$A$6:$A$1005,0)),"MISSING ID")</x:f>
        <x:v>Partial proposal</x:v>
      </x:c>
      <x:c r="N1144" s="4" t="str">
        <x:v>Candidate source or part only. Quantity, grade and method remain open.</x:v>
      </x:c>
      <x:c r="O1144" s="4" t="str">
        <x:v>Collection expansion, October 15, 2026. New game proposal.</x:v>
      </x:c>
      <x:c r="P1144" s="4" t="n">
        <x:f>IF(OR(C1144="Ingredient candidate",C1144="Consumed input",C1144="Contained input",C1144="Transform input"),IF(F1144="T0",0,IF(F1144="T1",1,IF(F1144="T2",2,IF(F1144="T3",3,IF(F1144="T4",4,-1))))),-1)</x:f>
        <x:v>3</x:v>
      </x:c>
      <x:c r="Q1144" s="4" t="n">
        <x:f>IF(AND(OR(C1144="Ingredient candidate",C1144="Consumed input",C1144="Contained input",C1144="Transform input"),P1144=-1),1,0)</x:f>
        <x:v>0</x:v>
      </x:c>
    </x:row>
    <x:row r="1145" ht="64" customHeight="1">
      <x:c r="A1145" s="4" t="str">
        <x:v>design.collection.packed_separator_battery_stack.in.2</x:v>
      </x:c>
      <x:c r="B1145" s="4" t="str">
        <x:v>design.collection.packed_separator_battery_stack</x:v>
      </x:c>
      <x:c r="C1145" s="4" t="str">
        <x:v>Ingredient candidate</x:v>
      </x:c>
      <x:c r="D1145" s="4" t="str">
        <x:v>proposal.collection.annealed_iron_sheet_stock</x:v>
      </x:c>
      <x:c r="E1145" s="4" t="str">
        <x:f>IFERROR(INDEX('Items'!$B$6:$B$1005,MATCH(D1145,'Items'!$A$6:$A$1005,0)),"MISSING ID")</x:f>
        <x:v>Annealed iron sheet stock</x:v>
      </x:c>
      <x:c r="F1145" s="4" t="str">
        <x:f>IFERROR(INDEX('Items'!$C$6:$C$1005,MATCH(D1145,'Items'!$A$6:$A$1005,0)),"MISSING ID")</x:f>
        <x:v>T3</x:v>
      </x:c>
      <x:c r="G1145" s="4" t="str">
        <x:f>IFERROR(INDEX('Items'!$D$6:$D$1005,MATCH(D1145,'Items'!$A$6:$A$1005,0)),"MISSING ID")</x:f>
        <x:v>Manufactured stock</x:v>
      </x:c>
      <x:c r="H1145" s="4" t="str">
        <x:f>IFERROR(INDEX('Items'!$X$6:$X$1005,MATCH(D1145,'Items'!$A$6:$A$1005,0)),"MISSING ID")</x:f>
        <x:v>Processed material</x:v>
      </x:c>
      <x:c r="I1145" s="4"/>
      <x:c r="J1145" s="4" t="str">
        <x:v>Unspecified</x:v>
      </x:c>
      <x:c r="K1145" s="4" t="str">
        <x:f>IFERROR(INDEX('Crafting recipes'!$D$6:$D$1005,MATCH(B1145,'Crafting recipes'!$A$6:$A$1005,0)),"MISSING ID")</x:f>
        <x:v>Proposal</x:v>
      </x:c>
      <x:c r="L1145" s="4" t="str">
        <x:f>IFERROR(INDEX('Items'!$AD$6:$AD$1005,MATCH(D1145,'Items'!$A$6:$A$1005,0)),"MISSING ID")</x:f>
        <x:v>Proposal</x:v>
      </x:c>
      <x:c r="M1145" s="4" t="str">
        <x:f>IFERROR(INDEX('Crafting recipes'!$E$6:$E$1005,MATCH(B1145,'Crafting recipes'!$A$6:$A$1005,0)),"MISSING ID")</x:f>
        <x:v>Partial proposal</x:v>
      </x:c>
      <x:c r="N1145" s="4" t="str">
        <x:v>Candidate source or part only. Quantity, grade and method remain open.</x:v>
      </x:c>
      <x:c r="O1145" s="4" t="str">
        <x:v>Collection expansion, October 15, 2026. New game proposal.</x:v>
      </x:c>
      <x:c r="P1145" s="4" t="n">
        <x:f>IF(OR(C1145="Ingredient candidate",C1145="Consumed input",C1145="Contained input",C1145="Transform input"),IF(F1145="T0",0,IF(F1145="T1",1,IF(F1145="T2",2,IF(F1145="T3",3,IF(F1145="T4",4,-1))))),-1)</x:f>
        <x:v>3</x:v>
      </x:c>
      <x:c r="Q1145" s="4" t="n">
        <x:f>IF(AND(OR(C1145="Ingredient candidate",C1145="Consumed input",C1145="Contained input",C1145="Transform input"),P1145=-1),1,0)</x:f>
        <x:v>0</x:v>
      </x:c>
    </x:row>
    <x:row r="1146" ht="64" customHeight="1">
      <x:c r="A1146" s="4" t="str">
        <x:v>design.collection.packed_separator_battery_stack.out</x:v>
      </x:c>
      <x:c r="B1146" s="4" t="str">
        <x:v>design.collection.packed_separator_battery_stack</x:v>
      </x:c>
      <x:c r="C1146" s="4" t="str">
        <x:v>Output</x:v>
      </x:c>
      <x:c r="D1146" s="4" t="str">
        <x:v>proposal.collection.packed_separator_battery_stack</x:v>
      </x:c>
      <x:c r="E1146" s="4" t="str">
        <x:f>IFERROR(INDEX('Items'!$B$6:$B$1005,MATCH(D1146,'Items'!$A$6:$A$1005,0)),"MISSING ID")</x:f>
        <x:v>Packed separator battery stack</x:v>
      </x:c>
      <x:c r="F1146" s="4" t="str">
        <x:f>IFERROR(INDEX('Items'!$C$6:$C$1005,MATCH(D1146,'Items'!$A$6:$A$1005,0)),"MISSING ID")</x:f>
        <x:v>Not applicable</x:v>
      </x:c>
      <x:c r="G1146" s="4" t="str">
        <x:f>IFERROR(INDEX('Items'!$D$6:$D$1005,MATCH(D1146,'Items'!$A$6:$A$1005,0)),"MISSING ID")</x:f>
        <x:v>Crafting components</x:v>
      </x:c>
      <x:c r="H1146" s="4" t="str">
        <x:f>IFERROR(INDEX('Items'!$X$6:$X$1005,MATCH(D1146,'Items'!$A$6:$A$1005,0)),"MISSING ID")</x:f>
        <x:v>Energy storage</x:v>
      </x:c>
      <x:c r="I1146" s="4"/>
      <x:c r="J1146" s="4" t="str">
        <x:v>Unspecified</x:v>
      </x:c>
      <x:c r="K1146" s="4" t="str">
        <x:f>IFERROR(INDEX('Crafting recipes'!$D$6:$D$1005,MATCH(B1146,'Crafting recipes'!$A$6:$A$1005,0)),"MISSING ID")</x:f>
        <x:v>Proposal</x:v>
      </x:c>
      <x:c r="L1146" s="4" t="str">
        <x:f>IFERROR(INDEX('Items'!$AD$6:$AD$1005,MATCH(D1146,'Items'!$A$6:$A$1005,0)),"MISSING ID")</x:f>
        <x:v>Proposal</x:v>
      </x:c>
      <x:c r="M1146" s="4" t="str">
        <x:f>IFERROR(INDEX('Crafting recipes'!$E$6:$E$1005,MATCH(B1146,'Crafting recipes'!$A$6:$A$1005,0)),"MISSING ID")</x:f>
        <x:v>Partial proposal</x:v>
      </x:c>
      <x:c r="N1146" s="4" t="str">
        <x:v>Candidate source or part only. Quantity, grade and method remain open.</x:v>
      </x:c>
      <x:c r="O1146" s="4" t="str">
        <x:v>Collection expansion, October 15, 2026. New game proposal.</x:v>
      </x:c>
      <x:c r="P1146" s="4" t="n">
        <x:f>IF(OR(C1146="Ingredient candidate",C1146="Consumed input",C1146="Contained input",C1146="Transform input"),IF(F1146="T0",0,IF(F1146="T1",1,IF(F1146="T2",2,IF(F1146="T3",3,IF(F1146="T4",4,-1))))),-1)</x:f>
        <x:v>-1</x:v>
      </x:c>
      <x:c r="Q1146" s="4" t="n">
        <x:f>IF(AND(OR(C1146="Ingredient candidate",C1146="Consumed input",C1146="Contained input",C1146="Transform input"),P1146=-1),1,0)</x:f>
        <x:v>0</x:v>
      </x:c>
    </x:row>
    <x:row r="1147" ht="64" customHeight="1">
      <x:c r="A1147" s="4" t="str">
        <x:v>design.collection.mica_plate_capacitor_pack.in.1</x:v>
      </x:c>
      <x:c r="B1147" s="4" t="str">
        <x:v>design.collection.mica_plate_capacitor_pack</x:v>
      </x:c>
      <x:c r="C1147" s="4" t="str">
        <x:v>Ingredient candidate</x:v>
      </x:c>
      <x:c r="D1147" s="4" t="str">
        <x:v>proposal.t1.mica_window</x:v>
      </x:c>
      <x:c r="E1147" s="4" t="str">
        <x:f>IFERROR(INDEX('Items'!$B$6:$B$1005,MATCH(D1147,'Items'!$A$6:$A$1005,0)),"MISSING ID")</x:f>
        <x:v>Sized mica viewing sheet</x:v>
      </x:c>
      <x:c r="F1147" s="4" t="str">
        <x:f>IFERROR(INDEX('Items'!$C$6:$C$1005,MATCH(D1147,'Items'!$A$6:$A$1005,0)),"MISSING ID")</x:f>
        <x:v>T1</x:v>
      </x:c>
      <x:c r="G1147" s="4" t="str">
        <x:f>IFERROR(INDEX('Items'!$D$6:$D$1005,MATCH(D1147,'Items'!$A$6:$A$1005,0)),"MISSING ID")</x:f>
        <x:v>Manufactured stock</x:v>
      </x:c>
      <x:c r="H1147" s="4" t="str">
        <x:f>IFERROR(INDEX('Items'!$X$6:$X$1005,MATCH(D1147,'Items'!$A$6:$A$1005,0)),"MISSING ID")</x:f>
        <x:v>Processed material</x:v>
      </x:c>
      <x:c r="I1147" s="4"/>
      <x:c r="J1147" s="4" t="str">
        <x:v>Unspecified</x:v>
      </x:c>
      <x:c r="K1147" s="4" t="str">
        <x:f>IFERROR(INDEX('Crafting recipes'!$D$6:$D$1005,MATCH(B1147,'Crafting recipes'!$A$6:$A$1005,0)),"MISSING ID")</x:f>
        <x:v>Proposal</x:v>
      </x:c>
      <x:c r="L1147" s="4" t="str">
        <x:f>IFERROR(INDEX('Items'!$AD$6:$AD$1005,MATCH(D1147,'Items'!$A$6:$A$1005,0)),"MISSING ID")</x:f>
        <x:v>Proposal</x:v>
      </x:c>
      <x:c r="M1147" s="4" t="str">
        <x:f>IFERROR(INDEX('Crafting recipes'!$E$6:$E$1005,MATCH(B1147,'Crafting recipes'!$A$6:$A$1005,0)),"MISSING ID")</x:f>
        <x:v>Partial proposal</x:v>
      </x:c>
      <x:c r="N1147" s="4" t="str">
        <x:v>Candidate source or part only. Quantity, grade and method remain open.</x:v>
      </x:c>
      <x:c r="O1147" s="4" t="str">
        <x:v>Collection expansion, October 15, 2026. New game proposal.</x:v>
      </x:c>
      <x:c r="P1147" s="4" t="n">
        <x:f>IF(OR(C1147="Ingredient candidate",C1147="Consumed input",C1147="Contained input",C1147="Transform input"),IF(F1147="T0",0,IF(F1147="T1",1,IF(F1147="T2",2,IF(F1147="T3",3,IF(F1147="T4",4,-1))))),-1)</x:f>
        <x:v>1</x:v>
      </x:c>
      <x:c r="Q1147" s="4" t="n">
        <x:f>IF(AND(OR(C1147="Ingredient candidate",C1147="Consumed input",C1147="Contained input",C1147="Transform input"),P1147=-1),1,0)</x:f>
        <x:v>0</x:v>
      </x:c>
    </x:row>
    <x:row r="1148" ht="64" customHeight="1">
      <x:c r="A1148" s="4" t="str">
        <x:v>design.collection.mica_plate_capacitor_pack.in.2</x:v>
      </x:c>
      <x:c r="B1148" s="4" t="str">
        <x:v>design.collection.mica_plate_capacitor_pack</x:v>
      </x:c>
      <x:c r="C1148" s="4" t="str">
        <x:v>Ingredient candidate</x:v>
      </x:c>
      <x:c r="D1148" s="4" t="str">
        <x:v>proposal.collection.annealed_iron_sheet_stock</x:v>
      </x:c>
      <x:c r="E1148" s="4" t="str">
        <x:f>IFERROR(INDEX('Items'!$B$6:$B$1005,MATCH(D1148,'Items'!$A$6:$A$1005,0)),"MISSING ID")</x:f>
        <x:v>Annealed iron sheet stock</x:v>
      </x:c>
      <x:c r="F1148" s="4" t="str">
        <x:f>IFERROR(INDEX('Items'!$C$6:$C$1005,MATCH(D1148,'Items'!$A$6:$A$1005,0)),"MISSING ID")</x:f>
        <x:v>T3</x:v>
      </x:c>
      <x:c r="G1148" s="4" t="str">
        <x:f>IFERROR(INDEX('Items'!$D$6:$D$1005,MATCH(D1148,'Items'!$A$6:$A$1005,0)),"MISSING ID")</x:f>
        <x:v>Manufactured stock</x:v>
      </x:c>
      <x:c r="H1148" s="4" t="str">
        <x:f>IFERROR(INDEX('Items'!$X$6:$X$1005,MATCH(D1148,'Items'!$A$6:$A$1005,0)),"MISSING ID")</x:f>
        <x:v>Processed material</x:v>
      </x:c>
      <x:c r="I1148" s="4"/>
      <x:c r="J1148" s="4" t="str">
        <x:v>Unspecified</x:v>
      </x:c>
      <x:c r="K1148" s="4" t="str">
        <x:f>IFERROR(INDEX('Crafting recipes'!$D$6:$D$1005,MATCH(B1148,'Crafting recipes'!$A$6:$A$1005,0)),"MISSING ID")</x:f>
        <x:v>Proposal</x:v>
      </x:c>
      <x:c r="L1148" s="4" t="str">
        <x:f>IFERROR(INDEX('Items'!$AD$6:$AD$1005,MATCH(D1148,'Items'!$A$6:$A$1005,0)),"MISSING ID")</x:f>
        <x:v>Proposal</x:v>
      </x:c>
      <x:c r="M1148" s="4" t="str">
        <x:f>IFERROR(INDEX('Crafting recipes'!$E$6:$E$1005,MATCH(B1148,'Crafting recipes'!$A$6:$A$1005,0)),"MISSING ID")</x:f>
        <x:v>Partial proposal</x:v>
      </x:c>
      <x:c r="N1148" s="4" t="str">
        <x:v>Candidate source or part only. Quantity, grade and method remain open.</x:v>
      </x:c>
      <x:c r="O1148" s="4" t="str">
        <x:v>Collection expansion, October 15, 2026. New game proposal.</x:v>
      </x:c>
      <x:c r="P1148" s="4" t="n">
        <x:f>IF(OR(C1148="Ingredient candidate",C1148="Consumed input",C1148="Contained input",C1148="Transform input"),IF(F1148="T0",0,IF(F1148="T1",1,IF(F1148="T2",2,IF(F1148="T3",3,IF(F1148="T4",4,-1))))),-1)</x:f>
        <x:v>3</x:v>
      </x:c>
      <x:c r="Q1148" s="4" t="n">
        <x:f>IF(AND(OR(C1148="Ingredient candidate",C1148="Consumed input",C1148="Contained input",C1148="Transform input"),P1148=-1),1,0)</x:f>
        <x:v>0</x:v>
      </x:c>
    </x:row>
    <x:row r="1149" ht="64" customHeight="1">
      <x:c r="A1149" s="4" t="str">
        <x:v>design.collection.mica_plate_capacitor_pack.out</x:v>
      </x:c>
      <x:c r="B1149" s="4" t="str">
        <x:v>design.collection.mica_plate_capacitor_pack</x:v>
      </x:c>
      <x:c r="C1149" s="4" t="str">
        <x:v>Output</x:v>
      </x:c>
      <x:c r="D1149" s="4" t="str">
        <x:v>proposal.collection.mica_plate_capacitor_pack</x:v>
      </x:c>
      <x:c r="E1149" s="4" t="str">
        <x:f>IFERROR(INDEX('Items'!$B$6:$B$1005,MATCH(D1149,'Items'!$A$6:$A$1005,0)),"MISSING ID")</x:f>
        <x:v>Mica-plate capacitor pack</x:v>
      </x:c>
      <x:c r="F1149" s="4" t="str">
        <x:f>IFERROR(INDEX('Items'!$C$6:$C$1005,MATCH(D1149,'Items'!$A$6:$A$1005,0)),"MISSING ID")</x:f>
        <x:v>Not applicable</x:v>
      </x:c>
      <x:c r="G1149" s="4" t="str">
        <x:f>IFERROR(INDEX('Items'!$D$6:$D$1005,MATCH(D1149,'Items'!$A$6:$A$1005,0)),"MISSING ID")</x:f>
        <x:v>Crafting components</x:v>
      </x:c>
      <x:c r="H1149" s="4" t="str">
        <x:f>IFERROR(INDEX('Items'!$X$6:$X$1005,MATCH(D1149,'Items'!$A$6:$A$1005,0)),"MISSING ID")</x:f>
        <x:v>Energy storage</x:v>
      </x:c>
      <x:c r="I1149" s="4"/>
      <x:c r="J1149" s="4" t="str">
        <x:v>Unspecified</x:v>
      </x:c>
      <x:c r="K1149" s="4" t="str">
        <x:f>IFERROR(INDEX('Crafting recipes'!$D$6:$D$1005,MATCH(B1149,'Crafting recipes'!$A$6:$A$1005,0)),"MISSING ID")</x:f>
        <x:v>Proposal</x:v>
      </x:c>
      <x:c r="L1149" s="4" t="str">
        <x:f>IFERROR(INDEX('Items'!$AD$6:$AD$1005,MATCH(D1149,'Items'!$A$6:$A$1005,0)),"MISSING ID")</x:f>
        <x:v>Proposal</x:v>
      </x:c>
      <x:c r="M1149" s="4" t="str">
        <x:f>IFERROR(INDEX('Crafting recipes'!$E$6:$E$1005,MATCH(B1149,'Crafting recipes'!$A$6:$A$1005,0)),"MISSING ID")</x:f>
        <x:v>Partial proposal</x:v>
      </x:c>
      <x:c r="N1149" s="4" t="str">
        <x:v>Candidate source or part only. Quantity, grade and method remain open.</x:v>
      </x:c>
      <x:c r="O1149" s="4" t="str">
        <x:v>Collection expansion, October 15, 2026. New game proposal.</x:v>
      </x:c>
      <x:c r="P1149" s="4" t="n">
        <x:f>IF(OR(C1149="Ingredient candidate",C1149="Consumed input",C1149="Contained input",C1149="Transform input"),IF(F1149="T0",0,IF(F1149="T1",1,IF(F1149="T2",2,IF(F1149="T3",3,IF(F1149="T4",4,-1))))),-1)</x:f>
        <x:v>-1</x:v>
      </x:c>
      <x:c r="Q1149" s="4" t="n">
        <x:f>IF(AND(OR(C1149="Ingredient candidate",C1149="Consumed input",C1149="Contained input",C1149="Transform input"),P1149=-1),1,0)</x:f>
        <x:v>0</x:v>
      </x:c>
    </x:row>
    <x:row r="1150" ht="64" customHeight="1">
      <x:c r="A1150" s="4" t="str">
        <x:v>design.collection.glass_jar_capacitor_bank.in.1</x:v>
      </x:c>
      <x:c r="B1150" s="4" t="str">
        <x:v>design.collection.glass_jar_capacitor_bank</x:v>
      </x:c>
      <x:c r="C1150" s="4" t="str">
        <x:v>Ingredient candidate</x:v>
      </x:c>
      <x:c r="D1150" s="4" t="str">
        <x:v>proposal.t1.clear_glass_blank</x:v>
      </x:c>
      <x:c r="E1150" s="4" t="str">
        <x:f>IFERROR(INDEX('Items'!$B$6:$B$1005,MATCH(D1150,'Items'!$A$6:$A$1005,0)),"MISSING ID")</x:f>
        <x:v>Rough clear-glass blank</x:v>
      </x:c>
      <x:c r="F1150" s="4" t="str">
        <x:f>IFERROR(INDEX('Items'!$C$6:$C$1005,MATCH(D1150,'Items'!$A$6:$A$1005,0)),"MISSING ID")</x:f>
        <x:v>T1</x:v>
      </x:c>
      <x:c r="G1150" s="4" t="str">
        <x:f>IFERROR(INDEX('Items'!$D$6:$D$1005,MATCH(D1150,'Items'!$A$6:$A$1005,0)),"MISSING ID")</x:f>
        <x:v>Manufactured stock</x:v>
      </x:c>
      <x:c r="H1150" s="4" t="str">
        <x:f>IFERROR(INDEX('Items'!$X$6:$X$1005,MATCH(D1150,'Items'!$A$6:$A$1005,0)),"MISSING ID")</x:f>
        <x:v>Processed material</x:v>
      </x:c>
      <x:c r="I1150" s="4"/>
      <x:c r="J1150" s="4" t="str">
        <x:v>Unspecified</x:v>
      </x:c>
      <x:c r="K1150" s="4" t="str">
        <x:f>IFERROR(INDEX('Crafting recipes'!$D$6:$D$1005,MATCH(B1150,'Crafting recipes'!$A$6:$A$1005,0)),"MISSING ID")</x:f>
        <x:v>Proposal</x:v>
      </x:c>
      <x:c r="L1150" s="4" t="str">
        <x:f>IFERROR(INDEX('Items'!$AD$6:$AD$1005,MATCH(D1150,'Items'!$A$6:$A$1005,0)),"MISSING ID")</x:f>
        <x:v>Proposal</x:v>
      </x:c>
      <x:c r="M1150" s="4" t="str">
        <x:f>IFERROR(INDEX('Crafting recipes'!$E$6:$E$1005,MATCH(B1150,'Crafting recipes'!$A$6:$A$1005,0)),"MISSING ID")</x:f>
        <x:v>Partial proposal</x:v>
      </x:c>
      <x:c r="N1150" s="4" t="str">
        <x:v>Candidate source or part only. Quantity, grade and method remain open.</x:v>
      </x:c>
      <x:c r="O1150" s="4" t="str">
        <x:v>Collection expansion, October 15, 2026. New game proposal.</x:v>
      </x:c>
      <x:c r="P1150" s="4" t="n">
        <x:f>IF(OR(C1150="Ingredient candidate",C1150="Consumed input",C1150="Contained input",C1150="Transform input"),IF(F1150="T0",0,IF(F1150="T1",1,IF(F1150="T2",2,IF(F1150="T3",3,IF(F1150="T4",4,-1))))),-1)</x:f>
        <x:v>1</x:v>
      </x:c>
      <x:c r="Q1150" s="4" t="n">
        <x:f>IF(AND(OR(C1150="Ingredient candidate",C1150="Consumed input",C1150="Contained input",C1150="Transform input"),P1150=-1),1,0)</x:f>
        <x:v>0</x:v>
      </x:c>
    </x:row>
    <x:row r="1151" ht="64" customHeight="1">
      <x:c r="A1151" s="4" t="str">
        <x:v>design.collection.glass_jar_capacitor_bank.in.2</x:v>
      </x:c>
      <x:c r="B1151" s="4" t="str">
        <x:v>design.collection.glass_jar_capacitor_bank</x:v>
      </x:c>
      <x:c r="C1151" s="4" t="str">
        <x:v>Ingredient candidate</x:v>
      </x:c>
      <x:c r="D1151" s="4" t="str">
        <x:v>proposal.collection.annealed_iron_sheet_stock</x:v>
      </x:c>
      <x:c r="E1151" s="4" t="str">
        <x:f>IFERROR(INDEX('Items'!$B$6:$B$1005,MATCH(D1151,'Items'!$A$6:$A$1005,0)),"MISSING ID")</x:f>
        <x:v>Annealed iron sheet stock</x:v>
      </x:c>
      <x:c r="F1151" s="4" t="str">
        <x:f>IFERROR(INDEX('Items'!$C$6:$C$1005,MATCH(D1151,'Items'!$A$6:$A$1005,0)),"MISSING ID")</x:f>
        <x:v>T3</x:v>
      </x:c>
      <x:c r="G1151" s="4" t="str">
        <x:f>IFERROR(INDEX('Items'!$D$6:$D$1005,MATCH(D1151,'Items'!$A$6:$A$1005,0)),"MISSING ID")</x:f>
        <x:v>Manufactured stock</x:v>
      </x:c>
      <x:c r="H1151" s="4" t="str">
        <x:f>IFERROR(INDEX('Items'!$X$6:$X$1005,MATCH(D1151,'Items'!$A$6:$A$1005,0)),"MISSING ID")</x:f>
        <x:v>Processed material</x:v>
      </x:c>
      <x:c r="I1151" s="4"/>
      <x:c r="J1151" s="4" t="str">
        <x:v>Unspecified</x:v>
      </x:c>
      <x:c r="K1151" s="4" t="str">
        <x:f>IFERROR(INDEX('Crafting recipes'!$D$6:$D$1005,MATCH(B1151,'Crafting recipes'!$A$6:$A$1005,0)),"MISSING ID")</x:f>
        <x:v>Proposal</x:v>
      </x:c>
      <x:c r="L1151" s="4" t="str">
        <x:f>IFERROR(INDEX('Items'!$AD$6:$AD$1005,MATCH(D1151,'Items'!$A$6:$A$1005,0)),"MISSING ID")</x:f>
        <x:v>Proposal</x:v>
      </x:c>
      <x:c r="M1151" s="4" t="str">
        <x:f>IFERROR(INDEX('Crafting recipes'!$E$6:$E$1005,MATCH(B1151,'Crafting recipes'!$A$6:$A$1005,0)),"MISSING ID")</x:f>
        <x:v>Partial proposal</x:v>
      </x:c>
      <x:c r="N1151" s="4" t="str">
        <x:v>Candidate source or part only. Quantity, grade and method remain open.</x:v>
      </x:c>
      <x:c r="O1151" s="4" t="str">
        <x:v>Collection expansion, October 15, 2026. New game proposal.</x:v>
      </x:c>
      <x:c r="P1151" s="4" t="n">
        <x:f>IF(OR(C1151="Ingredient candidate",C1151="Consumed input",C1151="Contained input",C1151="Transform input"),IF(F1151="T0",0,IF(F1151="T1",1,IF(F1151="T2",2,IF(F1151="T3",3,IF(F1151="T4",4,-1))))),-1)</x:f>
        <x:v>3</x:v>
      </x:c>
      <x:c r="Q1151" s="4" t="n">
        <x:f>IF(AND(OR(C1151="Ingredient candidate",C1151="Consumed input",C1151="Contained input",C1151="Transform input"),P1151=-1),1,0)</x:f>
        <x:v>0</x:v>
      </x:c>
    </x:row>
    <x:row r="1152" ht="64" customHeight="1">
      <x:c r="A1152" s="4" t="str">
        <x:v>design.collection.glass_jar_capacitor_bank.out</x:v>
      </x:c>
      <x:c r="B1152" s="4" t="str">
        <x:v>design.collection.glass_jar_capacitor_bank</x:v>
      </x:c>
      <x:c r="C1152" s="4" t="str">
        <x:v>Output</x:v>
      </x:c>
      <x:c r="D1152" s="4" t="str">
        <x:v>proposal.collection.glass_jar_capacitor_bank</x:v>
      </x:c>
      <x:c r="E1152" s="4" t="str">
        <x:f>IFERROR(INDEX('Items'!$B$6:$B$1005,MATCH(D1152,'Items'!$A$6:$A$1005,0)),"MISSING ID")</x:f>
        <x:v>Glass-jar capacitor bank</x:v>
      </x:c>
      <x:c r="F1152" s="4" t="str">
        <x:f>IFERROR(INDEX('Items'!$C$6:$C$1005,MATCH(D1152,'Items'!$A$6:$A$1005,0)),"MISSING ID")</x:f>
        <x:v>Not applicable</x:v>
      </x:c>
      <x:c r="G1152" s="4" t="str">
        <x:f>IFERROR(INDEX('Items'!$D$6:$D$1005,MATCH(D1152,'Items'!$A$6:$A$1005,0)),"MISSING ID")</x:f>
        <x:v>Crafting components</x:v>
      </x:c>
      <x:c r="H1152" s="4" t="str">
        <x:f>IFERROR(INDEX('Items'!$X$6:$X$1005,MATCH(D1152,'Items'!$A$6:$A$1005,0)),"MISSING ID")</x:f>
        <x:v>Energy storage</x:v>
      </x:c>
      <x:c r="I1152" s="4"/>
      <x:c r="J1152" s="4" t="str">
        <x:v>Unspecified</x:v>
      </x:c>
      <x:c r="K1152" s="4" t="str">
        <x:f>IFERROR(INDEX('Crafting recipes'!$D$6:$D$1005,MATCH(B1152,'Crafting recipes'!$A$6:$A$1005,0)),"MISSING ID")</x:f>
        <x:v>Proposal</x:v>
      </x:c>
      <x:c r="L1152" s="4" t="str">
        <x:f>IFERROR(INDEX('Items'!$AD$6:$AD$1005,MATCH(D1152,'Items'!$A$6:$A$1005,0)),"MISSING ID")</x:f>
        <x:v>Proposal</x:v>
      </x:c>
      <x:c r="M1152" s="4" t="str">
        <x:f>IFERROR(INDEX('Crafting recipes'!$E$6:$E$1005,MATCH(B1152,'Crafting recipes'!$A$6:$A$1005,0)),"MISSING ID")</x:f>
        <x:v>Partial proposal</x:v>
      </x:c>
      <x:c r="N1152" s="4" t="str">
        <x:v>Candidate source or part only. Quantity, grade and method remain open.</x:v>
      </x:c>
      <x:c r="O1152" s="4" t="str">
        <x:v>Collection expansion, October 15, 2026. New game proposal.</x:v>
      </x:c>
      <x:c r="P1152" s="4" t="n">
        <x:f>IF(OR(C1152="Ingredient candidate",C1152="Consumed input",C1152="Contained input",C1152="Transform input"),IF(F1152="T0",0,IF(F1152="T1",1,IF(F1152="T2",2,IF(F1152="T3",3,IF(F1152="T4",4,-1))))),-1)</x:f>
        <x:v>-1</x:v>
      </x:c>
      <x:c r="Q1152" s="4" t="n">
        <x:f>IF(AND(OR(C1152="Ingredient candidate",C1152="Consumed input",C1152="Contained input",C1152="Transform input"),P1152=-1),1,0)</x:f>
        <x:v>0</x:v>
      </x:c>
    </x:row>
    <x:row r="1153" ht="64" customHeight="1">
      <x:c r="A1153" s="4" t="str">
        <x:v>design.collection.ceramic_dielectric_pulse_bank.in.1</x:v>
      </x:c>
      <x:c r="B1153" s="4" t="str">
        <x:v>design.collection.ceramic_dielectric_pulse_bank</x:v>
      </x:c>
      <x:c r="C1153" s="4" t="str">
        <x:v>Ingredient candidate</x:v>
      </x:c>
      <x:c r="D1153" s="4" t="str">
        <x:v>proposal.branch.refractory_ceramic</x:v>
      </x:c>
      <x:c r="E1153" s="4" t="str">
        <x:f>IFERROR(INDEX('Items'!$B$6:$B$1005,MATCH(D1153,'Items'!$A$6:$A$1005,0)),"MISSING ID")</x:f>
        <x:v>Refractory ceramic stock</x:v>
      </x:c>
      <x:c r="F1153" s="4" t="str">
        <x:f>IFERROR(INDEX('Items'!$C$6:$C$1005,MATCH(D1153,'Items'!$A$6:$A$1005,0)),"MISSING ID")</x:f>
        <x:v>T2</x:v>
      </x:c>
      <x:c r="G1153" s="4" t="str">
        <x:f>IFERROR(INDEX('Items'!$D$6:$D$1005,MATCH(D1153,'Items'!$A$6:$A$1005,0)),"MISSING ID")</x:f>
        <x:v>Manufactured stock</x:v>
      </x:c>
      <x:c r="H1153" s="4" t="str">
        <x:f>IFERROR(INDEX('Items'!$X$6:$X$1005,MATCH(D1153,'Items'!$A$6:$A$1005,0)),"MISSING ID")</x:f>
        <x:v>Processed material</x:v>
      </x:c>
      <x:c r="I1153" s="4"/>
      <x:c r="J1153" s="4" t="str">
        <x:v>Unspecified</x:v>
      </x:c>
      <x:c r="K1153" s="4" t="str">
        <x:f>IFERROR(INDEX('Crafting recipes'!$D$6:$D$1005,MATCH(B1153,'Crafting recipes'!$A$6:$A$1005,0)),"MISSING ID")</x:f>
        <x:v>Proposal</x:v>
      </x:c>
      <x:c r="L1153" s="4" t="str">
        <x:f>IFERROR(INDEX('Items'!$AD$6:$AD$1005,MATCH(D1153,'Items'!$A$6:$A$1005,0)),"MISSING ID")</x:f>
        <x:v>Proposal</x:v>
      </x:c>
      <x:c r="M1153" s="4" t="str">
        <x:f>IFERROR(INDEX('Crafting recipes'!$E$6:$E$1005,MATCH(B1153,'Crafting recipes'!$A$6:$A$1005,0)),"MISSING ID")</x:f>
        <x:v>Partial proposal</x:v>
      </x:c>
      <x:c r="N1153" s="4" t="str">
        <x:v>Candidate source or part only. Quantity, grade and method remain open.</x:v>
      </x:c>
      <x:c r="O1153" s="4" t="str">
        <x:v>Collection expansion, October 15, 2026. New game proposal.</x:v>
      </x:c>
      <x:c r="P1153" s="4" t="n">
        <x:f>IF(OR(C1153="Ingredient candidate",C1153="Consumed input",C1153="Contained input",C1153="Transform input"),IF(F1153="T0",0,IF(F1153="T1",1,IF(F1153="T2",2,IF(F1153="T3",3,IF(F1153="T4",4,-1))))),-1)</x:f>
        <x:v>2</x:v>
      </x:c>
      <x:c r="Q1153" s="4" t="n">
        <x:f>IF(AND(OR(C1153="Ingredient candidate",C1153="Consumed input",C1153="Contained input",C1153="Transform input"),P1153=-1),1,0)</x:f>
        <x:v>0</x:v>
      </x:c>
    </x:row>
    <x:row r="1154" ht="64" customHeight="1">
      <x:c r="A1154" s="4" t="str">
        <x:v>design.collection.ceramic_dielectric_pulse_bank.in.2</x:v>
      </x:c>
      <x:c r="B1154" s="4" t="str">
        <x:v>design.collection.ceramic_dielectric_pulse_bank</x:v>
      </x:c>
      <x:c r="C1154" s="4" t="str">
        <x:v>Ingredient candidate</x:v>
      </x:c>
      <x:c r="D1154" s="4" t="str">
        <x:v>proposal.t1.copper_cake</x:v>
      </x:c>
      <x:c r="E1154" s="4" t="str">
        <x:f>IFERROR(INDEX('Items'!$B$6:$B$1005,MATCH(D1154,'Items'!$A$6:$A$1005,0)),"MISSING ID")</x:f>
        <x:v>Refined copper cake</x:v>
      </x:c>
      <x:c r="F1154" s="4" t="str">
        <x:f>IFERROR(INDEX('Items'!$C$6:$C$1005,MATCH(D1154,'Items'!$A$6:$A$1005,0)),"MISSING ID")</x:f>
        <x:v>T1</x:v>
      </x:c>
      <x:c r="G1154" s="4" t="str">
        <x:f>IFERROR(INDEX('Items'!$D$6:$D$1005,MATCH(D1154,'Items'!$A$6:$A$1005,0)),"MISSING ID")</x:f>
        <x:v>Manufactured stock</x:v>
      </x:c>
      <x:c r="H1154" s="4" t="str">
        <x:f>IFERROR(INDEX('Items'!$X$6:$X$1005,MATCH(D1154,'Items'!$A$6:$A$1005,0)),"MISSING ID")</x:f>
        <x:v>Processed material</x:v>
      </x:c>
      <x:c r="I1154" s="4"/>
      <x:c r="J1154" s="4" t="str">
        <x:v>Unspecified</x:v>
      </x:c>
      <x:c r="K1154" s="4" t="str">
        <x:f>IFERROR(INDEX('Crafting recipes'!$D$6:$D$1005,MATCH(B1154,'Crafting recipes'!$A$6:$A$1005,0)),"MISSING ID")</x:f>
        <x:v>Proposal</x:v>
      </x:c>
      <x:c r="L1154" s="4" t="str">
        <x:f>IFERROR(INDEX('Items'!$AD$6:$AD$1005,MATCH(D1154,'Items'!$A$6:$A$1005,0)),"MISSING ID")</x:f>
        <x:v>Proposal</x:v>
      </x:c>
      <x:c r="M1154" s="4" t="str">
        <x:f>IFERROR(INDEX('Crafting recipes'!$E$6:$E$1005,MATCH(B1154,'Crafting recipes'!$A$6:$A$1005,0)),"MISSING ID")</x:f>
        <x:v>Partial proposal</x:v>
      </x:c>
      <x:c r="N1154" s="4" t="str">
        <x:v>Candidate source or part only. Quantity, grade and method remain open.</x:v>
      </x:c>
      <x:c r="O1154" s="4" t="str">
        <x:v>Collection expansion, October 15, 2026. New game proposal.</x:v>
      </x:c>
      <x:c r="P1154" s="4" t="n">
        <x:f>IF(OR(C1154="Ingredient candidate",C1154="Consumed input",C1154="Contained input",C1154="Transform input"),IF(F1154="T0",0,IF(F1154="T1",1,IF(F1154="T2",2,IF(F1154="T3",3,IF(F1154="T4",4,-1))))),-1)</x:f>
        <x:v>1</x:v>
      </x:c>
      <x:c r="Q1154" s="4" t="n">
        <x:f>IF(AND(OR(C1154="Ingredient candidate",C1154="Consumed input",C1154="Contained input",C1154="Transform input"),P1154=-1),1,0)</x:f>
        <x:v>0</x:v>
      </x:c>
    </x:row>
    <x:row r="1155" ht="64" customHeight="1">
      <x:c r="A1155" s="4" t="str">
        <x:v>design.collection.ceramic_dielectric_pulse_bank.out</x:v>
      </x:c>
      <x:c r="B1155" s="4" t="str">
        <x:v>design.collection.ceramic_dielectric_pulse_bank</x:v>
      </x:c>
      <x:c r="C1155" s="4" t="str">
        <x:v>Output</x:v>
      </x:c>
      <x:c r="D1155" s="4" t="str">
        <x:v>proposal.collection.ceramic_dielectric_pulse_bank</x:v>
      </x:c>
      <x:c r="E1155" s="4" t="str">
        <x:f>IFERROR(INDEX('Items'!$B$6:$B$1005,MATCH(D1155,'Items'!$A$6:$A$1005,0)),"MISSING ID")</x:f>
        <x:v>Ceramic-dielectric pulse bank</x:v>
      </x:c>
      <x:c r="F1155" s="4" t="str">
        <x:f>IFERROR(INDEX('Items'!$C$6:$C$1005,MATCH(D1155,'Items'!$A$6:$A$1005,0)),"MISSING ID")</x:f>
        <x:v>Not applicable</x:v>
      </x:c>
      <x:c r="G1155" s="4" t="str">
        <x:f>IFERROR(INDEX('Items'!$D$6:$D$1005,MATCH(D1155,'Items'!$A$6:$A$1005,0)),"MISSING ID")</x:f>
        <x:v>Crafting components</x:v>
      </x:c>
      <x:c r="H1155" s="4" t="str">
        <x:f>IFERROR(INDEX('Items'!$X$6:$X$1005,MATCH(D1155,'Items'!$A$6:$A$1005,0)),"MISSING ID")</x:f>
        <x:v>Energy storage</x:v>
      </x:c>
      <x:c r="I1155" s="4"/>
      <x:c r="J1155" s="4" t="str">
        <x:v>Unspecified</x:v>
      </x:c>
      <x:c r="K1155" s="4" t="str">
        <x:f>IFERROR(INDEX('Crafting recipes'!$D$6:$D$1005,MATCH(B1155,'Crafting recipes'!$A$6:$A$1005,0)),"MISSING ID")</x:f>
        <x:v>Proposal</x:v>
      </x:c>
      <x:c r="L1155" s="4" t="str">
        <x:f>IFERROR(INDEX('Items'!$AD$6:$AD$1005,MATCH(D1155,'Items'!$A$6:$A$1005,0)),"MISSING ID")</x:f>
        <x:v>Proposal</x:v>
      </x:c>
      <x:c r="M1155" s="4" t="str">
        <x:f>IFERROR(INDEX('Crafting recipes'!$E$6:$E$1005,MATCH(B1155,'Crafting recipes'!$A$6:$A$1005,0)),"MISSING ID")</x:f>
        <x:v>Partial proposal</x:v>
      </x:c>
      <x:c r="N1155" s="4" t="str">
        <x:v>Candidate source or part only. Quantity, grade and method remain open.</x:v>
      </x:c>
      <x:c r="O1155" s="4" t="str">
        <x:v>Collection expansion, October 15, 2026. New game proposal.</x:v>
      </x:c>
      <x:c r="P1155" s="4" t="n">
        <x:f>IF(OR(C1155="Ingredient candidate",C1155="Consumed input",C1155="Contained input",C1155="Transform input"),IF(F1155="T0",0,IF(F1155="T1",1,IF(F1155="T2",2,IF(F1155="T3",3,IF(F1155="T4",4,-1))))),-1)</x:f>
        <x:v>-1</x:v>
      </x:c>
      <x:c r="Q1155" s="4" t="n">
        <x:f>IF(AND(OR(C1155="Ingredient candidate",C1155="Consumed input",C1155="Contained input",C1155="Transform input"),P1155=-1),1,0)</x:f>
        <x:v>0</x:v>
      </x:c>
    </x:row>
    <x:row r="1156" ht="64" customHeight="1">
      <x:c r="A1156" s="4" t="str">
        <x:v>design.collection.radio_contact_service_kit.in.1</x:v>
      </x:c>
      <x:c r="B1156" s="4" t="str">
        <x:v>design.collection.radio_contact_service_kit</x:v>
      </x:c>
      <x:c r="C1156" s="4" t="str">
        <x:v>Ingredient candidate</x:v>
      </x:c>
      <x:c r="D1156" s="4" t="str">
        <x:v>proposal.collection.mineral_contact_cleaning_charge</x:v>
      </x:c>
      <x:c r="E1156" s="4" t="str">
        <x:f>IFERROR(INDEX('Items'!$B$6:$B$1005,MATCH(D1156,'Items'!$A$6:$A$1005,0)),"MISSING ID")</x:f>
        <x:v>Mineral contact-cleaning charge</x:v>
      </x:c>
      <x:c r="F1156" s="4" t="str">
        <x:f>IFERROR(INDEX('Items'!$C$6:$C$1005,MATCH(D1156,'Items'!$A$6:$A$1005,0)),"MISSING ID")</x:f>
        <x:v>T2</x:v>
      </x:c>
      <x:c r="G1156" s="4" t="str">
        <x:f>IFERROR(INDEX('Items'!$D$6:$D$1005,MATCH(D1156,'Items'!$A$6:$A$1005,0)),"MISSING ID")</x:f>
        <x:v>Crafting components</x:v>
      </x:c>
      <x:c r="H1156" s="4" t="str">
        <x:f>IFERROR(INDEX('Items'!$X$6:$X$1005,MATCH(D1156,'Items'!$A$6:$A$1005,0)),"MISSING ID")</x:f>
        <x:v>Chemical material</x:v>
      </x:c>
      <x:c r="I1156" s="4"/>
      <x:c r="J1156" s="4" t="str">
        <x:v>Unspecified</x:v>
      </x:c>
      <x:c r="K1156" s="4" t="str">
        <x:f>IFERROR(INDEX('Crafting recipes'!$D$6:$D$1005,MATCH(B1156,'Crafting recipes'!$A$6:$A$1005,0)),"MISSING ID")</x:f>
        <x:v>Proposal</x:v>
      </x:c>
      <x:c r="L1156" s="4" t="str">
        <x:f>IFERROR(INDEX('Items'!$AD$6:$AD$1005,MATCH(D1156,'Items'!$A$6:$A$1005,0)),"MISSING ID")</x:f>
        <x:v>Proposal</x:v>
      </x:c>
      <x:c r="M1156" s="4" t="str">
        <x:f>IFERROR(INDEX('Crafting recipes'!$E$6:$E$1005,MATCH(B1156,'Crafting recipes'!$A$6:$A$1005,0)),"MISSING ID")</x:f>
        <x:v>Partial proposal</x:v>
      </x:c>
      <x:c r="N1156" s="4" t="str">
        <x:v>Candidate source or part only. Quantity, grade and method remain open.</x:v>
      </x:c>
      <x:c r="O1156" s="4" t="str">
        <x:v>Collection expansion, October 15, 2026. New game proposal.</x:v>
      </x:c>
      <x:c r="P1156" s="4" t="n">
        <x:f>IF(OR(C1156="Ingredient candidate",C1156="Consumed input",C1156="Contained input",C1156="Transform input"),IF(F1156="T0",0,IF(F1156="T1",1,IF(F1156="T2",2,IF(F1156="T3",3,IF(F1156="T4",4,-1))))),-1)</x:f>
        <x:v>2</x:v>
      </x:c>
      <x:c r="Q1156" s="4" t="n">
        <x:f>IF(AND(OR(C1156="Ingredient candidate",C1156="Consumed input",C1156="Contained input",C1156="Transform input"),P1156=-1),1,0)</x:f>
        <x:v>0</x:v>
      </x:c>
    </x:row>
    <x:row r="1157" ht="64" customHeight="1">
      <x:c r="A1157" s="4" t="str">
        <x:v>design.collection.radio_contact_service_kit.in.2</x:v>
      </x:c>
      <x:c r="B1157" s="4" t="str">
        <x:v>design.collection.radio_contact_service_kit</x:v>
      </x:c>
      <x:c r="C1157" s="4" t="str">
        <x:v>Ingredient candidate</x:v>
      </x:c>
      <x:c r="D1157" s="4" t="str">
        <x:v>proposal.collection.mica_separated_terminal_strip</x:v>
      </x:c>
      <x:c r="E1157" s="4" t="str">
        <x:f>IFERROR(INDEX('Items'!$B$6:$B$1005,MATCH(D1157,'Items'!$A$6:$A$1005,0)),"MISSING ID")</x:f>
        <x:v>Mica-separated terminal strip</x:v>
      </x:c>
      <x:c r="F1157" s="4" t="str">
        <x:f>IFERROR(INDEX('Items'!$C$6:$C$1005,MATCH(D1157,'Items'!$A$6:$A$1005,0)),"MISSING ID")</x:f>
        <x:v>T4</x:v>
      </x:c>
      <x:c r="G1157" s="4" t="str">
        <x:f>IFERROR(INDEX('Items'!$D$6:$D$1005,MATCH(D1157,'Items'!$A$6:$A$1005,0)),"MISSING ID")</x:f>
        <x:v>Crafting components</x:v>
      </x:c>
      <x:c r="H1157" s="4" t="str">
        <x:f>IFERROR(INDEX('Items'!$X$6:$X$1005,MATCH(D1157,'Items'!$A$6:$A$1005,0)),"MISSING ID")</x:f>
        <x:v>Machine part</x:v>
      </x:c>
      <x:c r="I1157" s="4"/>
      <x:c r="J1157" s="4" t="str">
        <x:v>Unspecified</x:v>
      </x:c>
      <x:c r="K1157" s="4" t="str">
        <x:f>IFERROR(INDEX('Crafting recipes'!$D$6:$D$1005,MATCH(B1157,'Crafting recipes'!$A$6:$A$1005,0)),"MISSING ID")</x:f>
        <x:v>Proposal</x:v>
      </x:c>
      <x:c r="L1157" s="4" t="str">
        <x:f>IFERROR(INDEX('Items'!$AD$6:$AD$1005,MATCH(D1157,'Items'!$A$6:$A$1005,0)),"MISSING ID")</x:f>
        <x:v>Proposal</x:v>
      </x:c>
      <x:c r="M1157" s="4" t="str">
        <x:f>IFERROR(INDEX('Crafting recipes'!$E$6:$E$1005,MATCH(B1157,'Crafting recipes'!$A$6:$A$1005,0)),"MISSING ID")</x:f>
        <x:v>Partial proposal</x:v>
      </x:c>
      <x:c r="N1157" s="4" t="str">
        <x:v>Candidate source or part only. Quantity, grade and method remain open.</x:v>
      </x:c>
      <x:c r="O1157" s="4" t="str">
        <x:v>Collection expansion, October 15, 2026. New game proposal.</x:v>
      </x:c>
      <x:c r="P1157" s="4" t="n">
        <x:f>IF(OR(C1157="Ingredient candidate",C1157="Consumed input",C1157="Contained input",C1157="Transform input"),IF(F1157="T0",0,IF(F1157="T1",1,IF(F1157="T2",2,IF(F1157="T3",3,IF(F1157="T4",4,-1))))),-1)</x:f>
        <x:v>4</x:v>
      </x:c>
      <x:c r="Q1157" s="4" t="n">
        <x:f>IF(AND(OR(C1157="Ingredient candidate",C1157="Consumed input",C1157="Contained input",C1157="Transform input"),P1157=-1),1,0)</x:f>
        <x:v>0</x:v>
      </x:c>
    </x:row>
    <x:row r="1158" ht="64" customHeight="1">
      <x:c r="A1158" s="4" t="str">
        <x:v>design.collection.radio_contact_service_kit.in.3</x:v>
      </x:c>
      <x:c r="B1158" s="4" t="str">
        <x:v>design.collection.radio_contact_service_kit</x:v>
      </x:c>
      <x:c r="C1158" s="4" t="str">
        <x:v>Ingredient candidate</x:v>
      </x:c>
      <x:c r="D1158" s="4" t="str">
        <x:v>proposal.legger.service_pick</x:v>
      </x:c>
      <x:c r="E1158" s="4" t="str">
        <x:f>IFERROR(INDEX('Items'!$B$6:$B$1005,MATCH(D1158,'Items'!$A$6:$A$1005,0)),"MISSING ID")</x:f>
        <x:v>Joint-service cleaning pick</x:v>
      </x:c>
      <x:c r="F1158" s="4" t="str">
        <x:f>IFERROR(INDEX('Items'!$C$6:$C$1005,MATCH(D1158,'Items'!$A$6:$A$1005,0)),"MISSING ID")</x:f>
        <x:v>Not applicable</x:v>
      </x:c>
      <x:c r="G1158" s="4" t="str">
        <x:f>IFERROR(INDEX('Items'!$D$6:$D$1005,MATCH(D1158,'Items'!$A$6:$A$1005,0)),"MISSING ID")</x:f>
        <x:v>Salvage</x:v>
      </x:c>
      <x:c r="H1158" s="4" t="str">
        <x:f>IFERROR(INDEX('Items'!$X$6:$X$1005,MATCH(D1158,'Items'!$A$6:$A$1005,0)),"MISSING ID")</x:f>
        <x:v>Tool</x:v>
      </x:c>
      <x:c r="I1158" s="4"/>
      <x:c r="J1158" s="4" t="str">
        <x:v>Unspecified</x:v>
      </x:c>
      <x:c r="K1158" s="4" t="str">
        <x:f>IFERROR(INDEX('Crafting recipes'!$D$6:$D$1005,MATCH(B1158,'Crafting recipes'!$A$6:$A$1005,0)),"MISSING ID")</x:f>
        <x:v>Proposal</x:v>
      </x:c>
      <x:c r="L1158" s="4" t="str">
        <x:f>IFERROR(INDEX('Items'!$AD$6:$AD$1005,MATCH(D1158,'Items'!$A$6:$A$1005,0)),"MISSING ID")</x:f>
        <x:v>Proposal</x:v>
      </x:c>
      <x:c r="M1158" s="4" t="str">
        <x:f>IFERROR(INDEX('Crafting recipes'!$E$6:$E$1005,MATCH(B1158,'Crafting recipes'!$A$6:$A$1005,0)),"MISSING ID")</x:f>
        <x:v>Partial proposal</x:v>
      </x:c>
      <x:c r="N1158" s="4" t="str">
        <x:v>Candidate source or part only. Quantity, grade and method remain open.</x:v>
      </x:c>
      <x:c r="O1158" s="4" t="str">
        <x:v>Collection expansion, October 15, 2026. New game proposal.</x:v>
      </x:c>
      <x:c r="P1158" s="4" t="n">
        <x:f>IF(OR(C1158="Ingredient candidate",C1158="Consumed input",C1158="Contained input",C1158="Transform input"),IF(F1158="T0",0,IF(F1158="T1",1,IF(F1158="T2",2,IF(F1158="T3",3,IF(F1158="T4",4,-1))))),-1)</x:f>
        <x:v>-1</x:v>
      </x:c>
      <x:c r="Q1158" s="4" t="n">
        <x:f>IF(AND(OR(C1158="Ingredient candidate",C1158="Consumed input",C1158="Contained input",C1158="Transform input"),P1158=-1),1,0)</x:f>
        <x:v>1</x:v>
      </x:c>
    </x:row>
    <x:row r="1159" ht="64" customHeight="1">
      <x:c r="A1159" s="4" t="str">
        <x:v>design.collection.radio_contact_service_kit.out</x:v>
      </x:c>
      <x:c r="B1159" s="4" t="str">
        <x:v>design.collection.radio_contact_service_kit</x:v>
      </x:c>
      <x:c r="C1159" s="4" t="str">
        <x:v>Output</x:v>
      </x:c>
      <x:c r="D1159" s="4" t="str">
        <x:v>proposal.collection.radio_contact_service_kit</x:v>
      </x:c>
      <x:c r="E1159" s="4" t="str">
        <x:f>IFERROR(INDEX('Items'!$B$6:$B$1005,MATCH(D1159,'Items'!$A$6:$A$1005,0)),"MISSING ID")</x:f>
        <x:v>Radio contact service kit</x:v>
      </x:c>
      <x:c r="F1159" s="4" t="str">
        <x:f>IFERROR(INDEX('Items'!$C$6:$C$1005,MATCH(D1159,'Items'!$A$6:$A$1005,0)),"MISSING ID")</x:f>
        <x:v>Not applicable</x:v>
      </x:c>
      <x:c r="G1159" s="4" t="str">
        <x:f>IFERROR(INDEX('Items'!$D$6:$D$1005,MATCH(D1159,'Items'!$A$6:$A$1005,0)),"MISSING ID")</x:f>
        <x:v>Salvage</x:v>
      </x:c>
      <x:c r="H1159" s="4" t="str">
        <x:f>IFERROR(INDEX('Items'!$X$6:$X$1005,MATCH(D1159,'Items'!$A$6:$A$1005,0)),"MISSING ID")</x:f>
        <x:v>Service kit</x:v>
      </x:c>
      <x:c r="I1159" s="4"/>
      <x:c r="J1159" s="4" t="str">
        <x:v>Unspecified</x:v>
      </x:c>
      <x:c r="K1159" s="4" t="str">
        <x:f>IFERROR(INDEX('Crafting recipes'!$D$6:$D$1005,MATCH(B1159,'Crafting recipes'!$A$6:$A$1005,0)),"MISSING ID")</x:f>
        <x:v>Proposal</x:v>
      </x:c>
      <x:c r="L1159" s="4" t="str">
        <x:f>IFERROR(INDEX('Items'!$AD$6:$AD$1005,MATCH(D1159,'Items'!$A$6:$A$1005,0)),"MISSING ID")</x:f>
        <x:v>Proposal</x:v>
      </x:c>
      <x:c r="M1159" s="4" t="str">
        <x:f>IFERROR(INDEX('Crafting recipes'!$E$6:$E$1005,MATCH(B1159,'Crafting recipes'!$A$6:$A$1005,0)),"MISSING ID")</x:f>
        <x:v>Partial proposal</x:v>
      </x:c>
      <x:c r="N1159" s="4" t="str">
        <x:v>Candidate source or part only. Quantity, grade and method remain open.</x:v>
      </x:c>
      <x:c r="O1159" s="4" t="str">
        <x:v>Collection expansion, October 15, 2026. New game proposal.</x:v>
      </x:c>
      <x:c r="P1159" s="4" t="n">
        <x:f>IF(OR(C1159="Ingredient candidate",C1159="Consumed input",C1159="Contained input",C1159="Transform input"),IF(F1159="T0",0,IF(F1159="T1",1,IF(F1159="T2",2,IF(F1159="T3",3,IF(F1159="T4",4,-1))))),-1)</x:f>
        <x:v>-1</x:v>
      </x:c>
      <x:c r="Q1159" s="4" t="n">
        <x:f>IF(AND(OR(C1159="Ingredient candidate",C1159="Consumed input",C1159="Contained input",C1159="Transform input"),P1159=-1),1,0)</x:f>
        <x:v>0</x:v>
      </x:c>
    </x:row>
    <x:row r="1160" ht="64" customHeight="1">
      <x:c r="A1160" s="4"/>
      <x:c r="B1160" s="4"/>
      <x:c r="C1160" s="4"/>
      <x:c r="D1160" s="4"/>
      <x:c r="E1160" s="4"/>
      <x:c r="F1160" s="4"/>
      <x:c r="G1160" s="4"/>
      <x:c r="H1160" s="4"/>
      <x:c r="I1160" s="4"/>
      <x:c r="K1160" s="4"/>
      <x:c r="L1160" s="4"/>
      <x:c r="M1160" s="4"/>
      <x:c r="N1160" s="4"/>
      <x:c r="O1160" s="4"/>
      <x:c r="P1160" s="4"/>
      <x:c r="Q1160" s="4"/>
    </x:row>
    <x:row r="1161" ht="64" customHeight="1">
      <x:c r="A1161" s="4"/>
      <x:c r="B1161" s="4"/>
      <x:c r="C1161" s="4"/>
      <x:c r="D1161" s="4"/>
      <x:c r="E1161" s="4"/>
      <x:c r="F1161" s="4"/>
      <x:c r="G1161" s="4"/>
      <x:c r="H1161" s="4"/>
      <x:c r="I1161" s="4"/>
      <x:c r="K1161" s="4"/>
      <x:c r="L1161" s="4"/>
      <x:c r="M1161" s="4"/>
      <x:c r="N1161" s="4"/>
      <x:c r="O1161" s="4"/>
      <x:c r="P1161" s="4"/>
      <x:c r="Q1161" s="4"/>
    </x:row>
    <x:row r="1162" ht="64" customHeight="1">
      <x:c r="A1162" s="4"/>
      <x:c r="B1162" s="4"/>
      <x:c r="C1162" s="4"/>
      <x:c r="D1162" s="4"/>
      <x:c r="E1162" s="4"/>
      <x:c r="F1162" s="4"/>
      <x:c r="G1162" s="4"/>
      <x:c r="H1162" s="4"/>
      <x:c r="I1162" s="4"/>
      <x:c r="K1162" s="4"/>
      <x:c r="L1162" s="4"/>
      <x:c r="M1162" s="4"/>
      <x:c r="N1162" s="4"/>
      <x:c r="O1162" s="4"/>
      <x:c r="P1162" s="4"/>
      <x:c r="Q1162" s="4"/>
    </x:row>
    <x:row r="1163" ht="64" customHeight="1">
      <x:c r="A1163" s="4" t="str">
        <x:v>design.collection.dirtboard_running_gear_kit.in.1</x:v>
      </x:c>
      <x:c r="B1163" s="4" t="str">
        <x:v>design.collection.dirtboard_running_gear_kit</x:v>
      </x:c>
      <x:c r="C1163" s="4" t="str">
        <x:v>Ingredient candidate</x:v>
      </x:c>
      <x:c r="D1163" s="4" t="str">
        <x:v>proposal.legger.thrust_washer</x:v>
      </x:c>
      <x:c r="E1163" s="4" t="str">
        <x:f>IFERROR(INDEX('Items'!$B$6:$B$1005,MATCH(D1163,'Items'!$A$6:$A$1005,0)),"MISSING ID")</x:f>
        <x:v>Joint thrust washer</x:v>
      </x:c>
      <x:c r="F1163" s="4" t="str">
        <x:f>IFERROR(INDEX('Items'!$C$6:$C$1005,MATCH(D1163,'Items'!$A$6:$A$1005,0)),"MISSING ID")</x:f>
        <x:v>T3</x:v>
      </x:c>
      <x:c r="G1163" s="4" t="str">
        <x:f>IFERROR(INDEX('Items'!$D$6:$D$1005,MATCH(D1163,'Items'!$A$6:$A$1005,0)),"MISSING ID")</x:f>
        <x:v>Crafting components</x:v>
      </x:c>
      <x:c r="H1163" s="4" t="str">
        <x:f>IFERROR(INDEX('Items'!$X$6:$X$1005,MATCH(D1163,'Items'!$A$6:$A$1005,0)),"MISSING ID")</x:f>
        <x:v>Crafting component</x:v>
      </x:c>
      <x:c r="I1163" s="4"/>
      <x:c r="J1163" s="4" t="str">
        <x:v>Unspecified</x:v>
      </x:c>
      <x:c r="K1163" s="4" t="str">
        <x:f>IFERROR(INDEX('Crafting recipes'!$D$6:$D$1005,MATCH(B1163,'Crafting recipes'!$A$6:$A$1005,0)),"MISSING ID")</x:f>
        <x:v>Proposal</x:v>
      </x:c>
      <x:c r="L1163" s="4" t="str">
        <x:f>IFERROR(INDEX('Items'!$AD$6:$AD$1005,MATCH(D1163,'Items'!$A$6:$A$1005,0)),"MISSING ID")</x:f>
        <x:v>Proposal</x:v>
      </x:c>
      <x:c r="M1163" s="4" t="str">
        <x:f>IFERROR(INDEX('Crafting recipes'!$E$6:$E$1005,MATCH(B1163,'Crafting recipes'!$A$6:$A$1005,0)),"MISSING ID")</x:f>
        <x:v>Partial proposal</x:v>
      </x:c>
      <x:c r="N1163" s="4" t="str">
        <x:v>Candidate source or part only. Quantity, grade and method remain open.</x:v>
      </x:c>
      <x:c r="O1163" s="4" t="str">
        <x:v>Collection expansion, October 15, 2026. New game proposal.</x:v>
      </x:c>
      <x:c r="P1163" s="4" t="n">
        <x:f>IF(OR(C1163="Ingredient candidate",C1163="Consumed input",C1163="Contained input",C1163="Transform input"),IF(F1163="T0",0,IF(F1163="T1",1,IF(F1163="T2",2,IF(F1163="T3",3,IF(F1163="T4",4,-1))))),-1)</x:f>
        <x:v>3</x:v>
      </x:c>
      <x:c r="Q1163" s="4" t="n">
        <x:f>IF(AND(OR(C1163="Ingredient candidate",C1163="Consumed input",C1163="Contained input",C1163="Transform input"),P1163=-1),1,0)</x:f>
        <x:v>0</x:v>
      </x:c>
    </x:row>
    <x:row r="1164" ht="64" customHeight="1">
      <x:c r="A1164" s="4" t="str">
        <x:v>design.collection.dirtboard_running_gear_kit.in.2</x:v>
      </x:c>
      <x:c r="B1164" s="4" t="str">
        <x:v>design.collection.dirtboard_running_gear_kit</x:v>
      </x:c>
      <x:c r="C1164" s="4" t="str">
        <x:v>Ingredient candidate</x:v>
      </x:c>
      <x:c r="D1164" s="4" t="str">
        <x:v>proposal.lore.fastener_set</x:v>
      </x:c>
      <x:c r="E1164" s="4" t="str">
        <x:f>IFERROR(INDEX('Items'!$B$6:$B$1005,MATCH(D1164,'Items'!$A$6:$A$1005,0)),"MISSING ID")</x:f>
        <x:v>Matched metal fastener set</x:v>
      </x:c>
      <x:c r="F1164" s="4" t="str">
        <x:f>IFERROR(INDEX('Items'!$C$6:$C$1005,MATCH(D1164,'Items'!$A$6:$A$1005,0)),"MISSING ID")</x:f>
        <x:v>T3</x:v>
      </x:c>
      <x:c r="G1164" s="4" t="str">
        <x:f>IFERROR(INDEX('Items'!$D$6:$D$1005,MATCH(D1164,'Items'!$A$6:$A$1005,0)),"MISSING ID")</x:f>
        <x:v>Crafting components</x:v>
      </x:c>
      <x:c r="H1164" s="4" t="str">
        <x:f>IFERROR(INDEX('Items'!$X$6:$X$1005,MATCH(D1164,'Items'!$A$6:$A$1005,0)),"MISSING ID")</x:f>
        <x:v>Crafting component</x:v>
      </x:c>
      <x:c r="I1164" s="4"/>
      <x:c r="J1164" s="4" t="str">
        <x:v>Unspecified</x:v>
      </x:c>
      <x:c r="K1164" s="4" t="str">
        <x:f>IFERROR(INDEX('Crafting recipes'!$D$6:$D$1005,MATCH(B1164,'Crafting recipes'!$A$6:$A$1005,0)),"MISSING ID")</x:f>
        <x:v>Proposal</x:v>
      </x:c>
      <x:c r="L1164" s="4" t="str">
        <x:f>IFERROR(INDEX('Items'!$AD$6:$AD$1005,MATCH(D1164,'Items'!$A$6:$A$1005,0)),"MISSING ID")</x:f>
        <x:v>Proposal</x:v>
      </x:c>
      <x:c r="M1164" s="4" t="str">
        <x:f>IFERROR(INDEX('Crafting recipes'!$E$6:$E$1005,MATCH(B1164,'Crafting recipes'!$A$6:$A$1005,0)),"MISSING ID")</x:f>
        <x:v>Partial proposal</x:v>
      </x:c>
      <x:c r="N1164" s="4" t="str">
        <x:v>Candidate source or part only. Quantity, grade and method remain open.</x:v>
      </x:c>
      <x:c r="O1164" s="4" t="str">
        <x:v>Collection expansion, October 15, 2026. New game proposal.</x:v>
      </x:c>
      <x:c r="P1164" s="4" t="n">
        <x:f>IF(OR(C1164="Ingredient candidate",C1164="Consumed input",C1164="Contained input",C1164="Transform input"),IF(F1164="T0",0,IF(F1164="T1",1,IF(F1164="T2",2,IF(F1164="T3",3,IF(F1164="T4",4,-1))))),-1)</x:f>
        <x:v>3</x:v>
      </x:c>
      <x:c r="Q1164" s="4" t="n">
        <x:f>IF(AND(OR(C1164="Ingredient candidate",C1164="Consumed input",C1164="Contained input",C1164="Transform input"),P1164=-1),1,0)</x:f>
        <x:v>0</x:v>
      </x:c>
    </x:row>
    <x:row r="1165" ht="64" customHeight="1">
      <x:c r="A1165" s="4" t="str">
        <x:v>design.collection.dirtboard_running_gear_kit.in.3</x:v>
      </x:c>
      <x:c r="B1165" s="4" t="str">
        <x:v>design.collection.dirtboard_running_gear_kit</x:v>
      </x:c>
      <x:c r="C1165" s="4" t="str">
        <x:v>Ingredient candidate</x:v>
      </x:c>
      <x:c r="D1165" s="4" t="str">
        <x:v>proposal.lubricant.precision_oil</x:v>
      </x:c>
      <x:c r="E1165" s="4" t="str">
        <x:f>IFERROR(INDEX('Items'!$B$6:$B$1005,MATCH(D1165,'Items'!$A$6:$A$1005,0)),"MISSING ID")</x:f>
        <x:v>Fine mechanism oil</x:v>
      </x:c>
      <x:c r="F1165" s="4" t="str">
        <x:f>IFERROR(INDEX('Items'!$C$6:$C$1005,MATCH(D1165,'Items'!$A$6:$A$1005,0)),"MISSING ID")</x:f>
        <x:v>T2</x:v>
      </x:c>
      <x:c r="G1165" s="4" t="str">
        <x:f>IFERROR(INDEX('Items'!$D$6:$D$1005,MATCH(D1165,'Items'!$A$6:$A$1005,0)),"MISSING ID")</x:f>
        <x:v>Crafting components</x:v>
      </x:c>
      <x:c r="H1165" s="4" t="str">
        <x:f>IFERROR(INDEX('Items'!$X$6:$X$1005,MATCH(D1165,'Items'!$A$6:$A$1005,0)),"MISSING ID")</x:f>
        <x:v>Chemical material</x:v>
      </x:c>
      <x:c r="I1165" s="4"/>
      <x:c r="J1165" s="4" t="str">
        <x:v>Unspecified</x:v>
      </x:c>
      <x:c r="K1165" s="4" t="str">
        <x:f>IFERROR(INDEX('Crafting recipes'!$D$6:$D$1005,MATCH(B1165,'Crafting recipes'!$A$6:$A$1005,0)),"MISSING ID")</x:f>
        <x:v>Proposal</x:v>
      </x:c>
      <x:c r="L1165" s="4" t="str">
        <x:f>IFERROR(INDEX('Items'!$AD$6:$AD$1005,MATCH(D1165,'Items'!$A$6:$A$1005,0)),"MISSING ID")</x:f>
        <x:v>Proposal</x:v>
      </x:c>
      <x:c r="M1165" s="4" t="str">
        <x:f>IFERROR(INDEX('Crafting recipes'!$E$6:$E$1005,MATCH(B1165,'Crafting recipes'!$A$6:$A$1005,0)),"MISSING ID")</x:f>
        <x:v>Partial proposal</x:v>
      </x:c>
      <x:c r="N1165" s="4" t="str">
        <x:v>Candidate source or part only. Quantity, grade and method remain open.</x:v>
      </x:c>
      <x:c r="O1165" s="4" t="str">
        <x:v>Collection expansion, October 15, 2026. New game proposal.</x:v>
      </x:c>
      <x:c r="P1165" s="4" t="n">
        <x:f>IF(OR(C1165="Ingredient candidate",C1165="Consumed input",C1165="Contained input",C1165="Transform input"),IF(F1165="T0",0,IF(F1165="T1",1,IF(F1165="T2",2,IF(F1165="T3",3,IF(F1165="T4",4,-1))))),-1)</x:f>
        <x:v>2</x:v>
      </x:c>
      <x:c r="Q1165" s="4" t="n">
        <x:f>IF(AND(OR(C1165="Ingredient candidate",C1165="Consumed input",C1165="Contained input",C1165="Transform input"),P1165=-1),1,0)</x:f>
        <x:v>0</x:v>
      </x:c>
    </x:row>
    <x:row r="1166" ht="64" customHeight="1">
      <x:c r="A1166" s="4" t="str">
        <x:v>design.collection.dirtboard_running_gear_kit.out</x:v>
      </x:c>
      <x:c r="B1166" s="4" t="str">
        <x:v>design.collection.dirtboard_running_gear_kit</x:v>
      </x:c>
      <x:c r="C1166" s="4" t="str">
        <x:v>Output</x:v>
      </x:c>
      <x:c r="D1166" s="4" t="str">
        <x:v>proposal.collection.dirtboard_running_gear_kit</x:v>
      </x:c>
      <x:c r="E1166" s="4" t="str">
        <x:f>IFERROR(INDEX('Items'!$B$6:$B$1005,MATCH(D1166,'Items'!$A$6:$A$1005,0)),"MISSING ID")</x:f>
        <x:v>Dirtboard running-gear kit</x:v>
      </x:c>
      <x:c r="F1166" s="4" t="str">
        <x:f>IFERROR(INDEX('Items'!$C$6:$C$1005,MATCH(D1166,'Items'!$A$6:$A$1005,0)),"MISSING ID")</x:f>
        <x:v>Not applicable</x:v>
      </x:c>
      <x:c r="G1166" s="4" t="str">
        <x:f>IFERROR(INDEX('Items'!$D$6:$D$1005,MATCH(D1166,'Items'!$A$6:$A$1005,0)),"MISSING ID")</x:f>
        <x:v>Salvage</x:v>
      </x:c>
      <x:c r="H1166" s="4" t="str">
        <x:f>IFERROR(INDEX('Items'!$X$6:$X$1005,MATCH(D1166,'Items'!$A$6:$A$1005,0)),"MISSING ID")</x:f>
        <x:v>Service kit</x:v>
      </x:c>
      <x:c r="I1166" s="4"/>
      <x:c r="J1166" s="4" t="str">
        <x:v>Unspecified</x:v>
      </x:c>
      <x:c r="K1166" s="4" t="str">
        <x:f>IFERROR(INDEX('Crafting recipes'!$D$6:$D$1005,MATCH(B1166,'Crafting recipes'!$A$6:$A$1005,0)),"MISSING ID")</x:f>
        <x:v>Proposal</x:v>
      </x:c>
      <x:c r="L1166" s="4" t="str">
        <x:f>IFERROR(INDEX('Items'!$AD$6:$AD$1005,MATCH(D1166,'Items'!$A$6:$A$1005,0)),"MISSING ID")</x:f>
        <x:v>Proposal</x:v>
      </x:c>
      <x:c r="M1166" s="4" t="str">
        <x:f>IFERROR(INDEX('Crafting recipes'!$E$6:$E$1005,MATCH(B1166,'Crafting recipes'!$A$6:$A$1005,0)),"MISSING ID")</x:f>
        <x:v>Partial proposal</x:v>
      </x:c>
      <x:c r="N1166" s="4" t="str">
        <x:v>Candidate source or part only. Quantity, grade and method remain open.</x:v>
      </x:c>
      <x:c r="O1166" s="4" t="str">
        <x:v>Collection expansion, October 15, 2026. New game proposal.</x:v>
      </x:c>
      <x:c r="P1166" s="4" t="n">
        <x:f>IF(OR(C1166="Ingredient candidate",C1166="Consumed input",C1166="Contained input",C1166="Transform input"),IF(F1166="T0",0,IF(F1166="T1",1,IF(F1166="T2",2,IF(F1166="T3",3,IF(F1166="T4",4,-1))))),-1)</x:f>
        <x:v>-1</x:v>
      </x:c>
      <x:c r="Q1166" s="4" t="n">
        <x:f>IF(AND(OR(C1166="Ingredient candidate",C1166="Consumed input",C1166="Contained input",C1166="Transform input"),P1166=-1),1,0)</x:f>
        <x:v>0</x:v>
      </x:c>
    </x:row>
    <x:row r="1167" ht="64" customHeight="1">
      <x:c r="A1167" s="4"/>
      <x:c r="B1167" s="4"/>
      <x:c r="C1167" s="4"/>
      <x:c r="D1167" s="4"/>
      <x:c r="E1167" s="4"/>
      <x:c r="F1167" s="4"/>
      <x:c r="G1167" s="4"/>
      <x:c r="H1167" s="4"/>
      <x:c r="I1167" s="4"/>
      <x:c r="K1167" s="4"/>
      <x:c r="L1167" s="4"/>
      <x:c r="M1167" s="4"/>
      <x:c r="N1167" s="4"/>
      <x:c r="O1167" s="4"/>
      <x:c r="P1167" s="4"/>
      <x:c r="Q1167" s="4"/>
    </x:row>
    <x:row r="1168" ht="64" customHeight="1">
      <x:c r="A1168" s="4"/>
      <x:c r="B1168" s="4"/>
      <x:c r="C1168" s="4"/>
      <x:c r="D1168" s="4"/>
      <x:c r="E1168" s="4"/>
      <x:c r="F1168" s="4"/>
      <x:c r="G1168" s="4"/>
      <x:c r="H1168" s="4"/>
      <x:c r="I1168" s="4"/>
      <x:c r="K1168" s="4"/>
      <x:c r="L1168" s="4"/>
      <x:c r="M1168" s="4"/>
      <x:c r="N1168" s="4"/>
      <x:c r="O1168" s="4"/>
      <x:c r="P1168" s="4"/>
      <x:c r="Q1168" s="4"/>
    </x:row>
    <x:row r="1169" ht="64" customHeight="1">
      <x:c r="A1169" s="4"/>
      <x:c r="B1169" s="4"/>
      <x:c r="C1169" s="4"/>
      <x:c r="D1169" s="4"/>
      <x:c r="E1169" s="4"/>
      <x:c r="F1169" s="4"/>
      <x:c r="G1169" s="4"/>
      <x:c r="H1169" s="4"/>
      <x:c r="I1169" s="4"/>
      <x:c r="K1169" s="4"/>
      <x:c r="L1169" s="4"/>
      <x:c r="M1169" s="4"/>
      <x:c r="N1169" s="4"/>
      <x:c r="O1169" s="4"/>
      <x:c r="P1169" s="4"/>
      <x:c r="Q1169" s="4"/>
    </x:row>
    <x:row r="1170" ht="64" customHeight="1">
      <x:c r="A1170" s="4"/>
      <x:c r="B1170" s="4"/>
      <x:c r="C1170" s="4"/>
      <x:c r="D1170" s="4"/>
      <x:c r="E1170" s="4"/>
      <x:c r="F1170" s="4"/>
      <x:c r="G1170" s="4"/>
      <x:c r="H1170" s="4"/>
      <x:c r="I1170" s="4"/>
      <x:c r="K1170" s="4"/>
      <x:c r="L1170" s="4"/>
      <x:c r="M1170" s="4"/>
      <x:c r="N1170" s="4"/>
      <x:c r="O1170" s="4"/>
      <x:c r="P1170" s="4"/>
      <x:c r="Q1170" s="4"/>
    </x:row>
    <x:row r="1171" ht="64" customHeight="1">
      <x:c r="A1171" s="4"/>
      <x:c r="B1171" s="4"/>
      <x:c r="C1171" s="4"/>
      <x:c r="D1171" s="4"/>
      <x:c r="E1171" s="4"/>
      <x:c r="F1171" s="4"/>
      <x:c r="G1171" s="4"/>
      <x:c r="H1171" s="4"/>
      <x:c r="I1171" s="4"/>
      <x:c r="K1171" s="4"/>
      <x:c r="L1171" s="4"/>
      <x:c r="M1171" s="4"/>
      <x:c r="N1171" s="4"/>
      <x:c r="O1171" s="4"/>
      <x:c r="P1171" s="4"/>
      <x:c r="Q1171" s="4"/>
    </x:row>
    <x:row r="1172" ht="64" customHeight="1">
      <x:c r="A1172" s="4"/>
      <x:c r="B1172" s="4"/>
      <x:c r="C1172" s="4"/>
      <x:c r="D1172" s="4"/>
      <x:c r="E1172" s="4"/>
      <x:c r="F1172" s="4"/>
      <x:c r="G1172" s="4"/>
      <x:c r="H1172" s="4"/>
      <x:c r="I1172" s="4"/>
      <x:c r="K1172" s="4"/>
      <x:c r="L1172" s="4"/>
      <x:c r="M1172" s="4"/>
      <x:c r="N1172" s="4"/>
      <x:c r="O1172" s="4"/>
      <x:c r="P1172" s="4"/>
      <x:c r="Q1172" s="4"/>
    </x:row>
    <x:row r="1173" ht="64" customHeight="1">
      <x:c r="A1173" s="4"/>
      <x:c r="B1173" s="4"/>
      <x:c r="C1173" s="4"/>
      <x:c r="D1173" s="4"/>
      <x:c r="E1173" s="4"/>
      <x:c r="F1173" s="4"/>
      <x:c r="G1173" s="4"/>
      <x:c r="H1173" s="4"/>
      <x:c r="I1173" s="4"/>
      <x:c r="K1173" s="4"/>
      <x:c r="L1173" s="4"/>
      <x:c r="M1173" s="4"/>
      <x:c r="N1173" s="4"/>
      <x:c r="O1173" s="4"/>
      <x:c r="P1173" s="4"/>
      <x:c r="Q1173" s="4"/>
    </x:row>
    <x:row r="1174" ht="64" customHeight="1">
      <x:c r="A1174" s="4"/>
      <x:c r="B1174" s="4"/>
      <x:c r="C1174" s="4"/>
      <x:c r="D1174" s="4"/>
      <x:c r="E1174" s="4"/>
      <x:c r="F1174" s="4"/>
      <x:c r="G1174" s="4"/>
      <x:c r="H1174" s="4"/>
      <x:c r="I1174" s="4"/>
      <x:c r="K1174" s="4"/>
      <x:c r="L1174" s="4"/>
      <x:c r="M1174" s="4"/>
      <x:c r="N1174" s="4"/>
      <x:c r="O1174" s="4"/>
      <x:c r="P1174" s="4"/>
      <x:c r="Q1174" s="4"/>
    </x:row>
    <x:row r="1175" ht="64" customHeight="1">
      <x:c r="A1175" s="4"/>
      <x:c r="B1175" s="4"/>
      <x:c r="C1175" s="4"/>
      <x:c r="D1175" s="4"/>
      <x:c r="E1175" s="4"/>
      <x:c r="F1175" s="4"/>
      <x:c r="G1175" s="4"/>
      <x:c r="H1175" s="4"/>
      <x:c r="I1175" s="4"/>
      <x:c r="J1175" s="4"/>
      <x:c r="K1175" s="4"/>
      <x:c r="L1175" s="4"/>
      <x:c r="M1175" s="4"/>
      <x:c r="N1175" s="4"/>
      <x:c r="O1175" s="4"/>
      <x:c r="P1175" s="4"/>
      <x:c r="Q1175" s="4"/>
    </x:row>
    <x:row r="1176" ht="64" customHeight="1">
      <x:c r="A1176" s="4"/>
      <x:c r="B1176" s="4"/>
      <x:c r="C1176" s="4"/>
      <x:c r="D1176" s="4"/>
      <x:c r="E1176" s="4"/>
      <x:c r="F1176" s="4"/>
      <x:c r="G1176" s="4"/>
      <x:c r="H1176" s="4"/>
      <x:c r="I1176" s="4"/>
      <x:c r="J1176" s="4"/>
      <x:c r="K1176" s="4"/>
      <x:c r="L1176" s="4"/>
      <x:c r="M1176" s="4"/>
      <x:c r="N1176" s="4"/>
      <x:c r="O1176" s="4"/>
      <x:c r="P1176" s="4"/>
      <x:c r="Q1176" s="4"/>
    </x:row>
    <x:row r="1177" ht="64" customHeight="1">
      <x:c r="A1177" s="4"/>
      <x:c r="B1177" s="4"/>
      <x:c r="C1177" s="4"/>
      <x:c r="D1177" s="4"/>
      <x:c r="E1177" s="4"/>
      <x:c r="F1177" s="4"/>
      <x:c r="G1177" s="4"/>
      <x:c r="H1177" s="4"/>
      <x:c r="I1177" s="4"/>
      <x:c r="J1177" s="4"/>
      <x:c r="K1177" s="4"/>
      <x:c r="L1177" s="4"/>
      <x:c r="M1177" s="4"/>
      <x:c r="N1177" s="4"/>
      <x:c r="O1177" s="4"/>
      <x:c r="P1177" s="4"/>
      <x:c r="Q1177" s="4"/>
    </x:row>
    <x:row r="1178" ht="64" customHeight="1">
      <x:c r="A1178" s="4" t="str">
        <x:v>design.collection.hide_headed_shell_drum.in.1</x:v>
      </x:c>
      <x:c r="B1178" s="4" t="str">
        <x:v>design.collection.hide_headed_shell_drum</x:v>
      </x:c>
      <x:c r="C1178" s="4" t="str">
        <x:v>Ingredient candidate</x:v>
      </x:c>
      <x:c r="D1178" s="4" t="str">
        <x:v>proposal.bio.hide_material</x:v>
      </x:c>
      <x:c r="E1178" s="4" t="str">
        <x:f>IFERROR(INDEX('Items'!$B$6:$B$1005,MATCH(D1178,'Items'!$A$6:$A$1005,0)),"MISSING ID")</x:f>
        <x:v>Processed hide material</x:v>
      </x:c>
      <x:c r="F1178" s="4" t="str">
        <x:f>IFERROR(INDEX('Items'!$C$6:$C$1005,MATCH(D1178,'Items'!$A$6:$A$1005,0)),"MISSING ID")</x:f>
        <x:v>T1</x:v>
      </x:c>
      <x:c r="G1178" s="4" t="str">
        <x:f>IFERROR(INDEX('Items'!$D$6:$D$1005,MATCH(D1178,'Items'!$A$6:$A$1005,0)),"MISSING ID")</x:f>
        <x:v>Crafting components</x:v>
      </x:c>
      <x:c r="H1178" s="4" t="str">
        <x:f>IFERROR(INDEX('Items'!$X$6:$X$1005,MATCH(D1178,'Items'!$A$6:$A$1005,0)),"MISSING ID")</x:f>
        <x:v>Processed material</x:v>
      </x:c>
      <x:c r="I1178" s="4"/>
      <x:c r="J1178" s="4" t="str">
        <x:v>Unspecified</x:v>
      </x:c>
      <x:c r="K1178" s="4" t="str">
        <x:f>IFERROR(INDEX('Crafting recipes'!$D$6:$D$1005,MATCH(B1178,'Crafting recipes'!$A$6:$A$1005,0)),"MISSING ID")</x:f>
        <x:v>Proposal</x:v>
      </x:c>
      <x:c r="L1178" s="4" t="str">
        <x:f>IFERROR(INDEX('Items'!$AD$6:$AD$1005,MATCH(D1178,'Items'!$A$6:$A$1005,0)),"MISSING ID")</x:f>
        <x:v>Author direction</x:v>
      </x:c>
      <x:c r="M1178" s="4" t="str">
        <x:f>IFERROR(INDEX('Crafting recipes'!$E$6:$E$1005,MATCH(B1178,'Crafting recipes'!$A$6:$A$1005,0)),"MISSING ID")</x:f>
        <x:v>Partial proposal</x:v>
      </x:c>
      <x:c r="N1178" s="4" t="str">
        <x:v>Candidate source or part only. Quantity, grade and method remain open.</x:v>
      </x:c>
      <x:c r="O1178" s="4" t="str">
        <x:v>Collection expansion, October 15, 2026. New game proposal.</x:v>
      </x:c>
      <x:c r="P1178" s="4" t="n">
        <x:f>IF(OR(C1178="Ingredient candidate",C1178="Consumed input",C1178="Contained input",C1178="Transform input"),IF(F1178="T0",0,IF(F1178="T1",1,IF(F1178="T2",2,IF(F1178="T3",3,IF(F1178="T4",4,-1))))),-1)</x:f>
        <x:v>1</x:v>
      </x:c>
      <x:c r="Q1178" s="4" t="n">
        <x:f>IF(AND(OR(C1178="Ingredient candidate",C1178="Consumed input",C1178="Contained input",C1178="Transform input"),P1178=-1),1,0)</x:f>
        <x:v>0</x:v>
      </x:c>
    </x:row>
    <x:row r="1179" ht="64" customHeight="1">
      <x:c r="A1179" s="4" t="str">
        <x:v>design.collection.hide_headed_shell_drum.in.2</x:v>
      </x:c>
      <x:c r="B1179" s="4" t="str">
        <x:v>design.collection.hide_headed_shell_drum</x:v>
      </x:c>
      <x:c r="C1179" s="4" t="str">
        <x:v>Ingredient candidate</x:v>
      </x:c>
      <x:c r="D1179" s="4" t="str">
        <x:v>proposal.t1.shell_lamina</x:v>
      </x:c>
      <x:c r="E1179" s="4" t="str">
        <x:f>IFERROR(INDEX('Items'!$B$6:$B$1005,MATCH(D1179,'Items'!$A$6:$A$1005,0)),"MISSING ID")</x:f>
        <x:v>Separated shell lamina stock</x:v>
      </x:c>
      <x:c r="F1179" s="4" t="str">
        <x:f>IFERROR(INDEX('Items'!$C$6:$C$1005,MATCH(D1179,'Items'!$A$6:$A$1005,0)),"MISSING ID")</x:f>
        <x:v>T1</x:v>
      </x:c>
      <x:c r="G1179" s="4" t="str">
        <x:f>IFERROR(INDEX('Items'!$D$6:$D$1005,MATCH(D1179,'Items'!$A$6:$A$1005,0)),"MISSING ID")</x:f>
        <x:v>Manufactured stock</x:v>
      </x:c>
      <x:c r="H1179" s="4" t="str">
        <x:f>IFERROR(INDEX('Items'!$X$6:$X$1005,MATCH(D1179,'Items'!$A$6:$A$1005,0)),"MISSING ID")</x:f>
        <x:v>Processed material</x:v>
      </x:c>
      <x:c r="I1179" s="4"/>
      <x:c r="J1179" s="4" t="str">
        <x:v>Unspecified</x:v>
      </x:c>
      <x:c r="K1179" s="4" t="str">
        <x:f>IFERROR(INDEX('Crafting recipes'!$D$6:$D$1005,MATCH(B1179,'Crafting recipes'!$A$6:$A$1005,0)),"MISSING ID")</x:f>
        <x:v>Proposal</x:v>
      </x:c>
      <x:c r="L1179" s="4" t="str">
        <x:f>IFERROR(INDEX('Items'!$AD$6:$AD$1005,MATCH(D1179,'Items'!$A$6:$A$1005,0)),"MISSING ID")</x:f>
        <x:v>Proposal</x:v>
      </x:c>
      <x:c r="M1179" s="4" t="str">
        <x:f>IFERROR(INDEX('Crafting recipes'!$E$6:$E$1005,MATCH(B1179,'Crafting recipes'!$A$6:$A$1005,0)),"MISSING ID")</x:f>
        <x:v>Partial proposal</x:v>
      </x:c>
      <x:c r="N1179" s="4" t="str">
        <x:v>Candidate source or part only. Quantity, grade and method remain open.</x:v>
      </x:c>
      <x:c r="O1179" s="4" t="str">
        <x:v>Collection expansion, October 15, 2026. New game proposal.</x:v>
      </x:c>
      <x:c r="P1179" s="4" t="n">
        <x:f>IF(OR(C1179="Ingredient candidate",C1179="Consumed input",C1179="Contained input",C1179="Transform input"),IF(F1179="T0",0,IF(F1179="T1",1,IF(F1179="T2",2,IF(F1179="T3",3,IF(F1179="T4",4,-1))))),-1)</x:f>
        <x:v>1</x:v>
      </x:c>
      <x:c r="Q1179" s="4" t="n">
        <x:f>IF(AND(OR(C1179="Ingredient candidate",C1179="Consumed input",C1179="Contained input",C1179="Transform input"),P1179=-1),1,0)</x:f>
        <x:v>0</x:v>
      </x:c>
    </x:row>
    <x:row r="1180" ht="64" customHeight="1">
      <x:c r="A1180" s="4" t="str">
        <x:v>design.collection.hide_headed_shell_drum.in.3</x:v>
      </x:c>
      <x:c r="B1180" s="4" t="str">
        <x:v>design.collection.hide_headed_shell_drum</x:v>
      </x:c>
      <x:c r="C1180" s="4" t="str">
        <x:v>Ingredient candidate</x:v>
      </x:c>
      <x:c r="D1180" s="4" t="str">
        <x:v>proposal.bio.cord</x:v>
      </x:c>
      <x:c r="E1180" s="4" t="str">
        <x:f>IFERROR(INDEX('Items'!$B$6:$B$1005,MATCH(D1180,'Items'!$A$6:$A$1005,0)),"MISSING ID")</x:f>
        <x:v>Tendon cord</x:v>
      </x:c>
      <x:c r="F1180" s="4" t="str">
        <x:f>IFERROR(INDEX('Items'!$C$6:$C$1005,MATCH(D1180,'Items'!$A$6:$A$1005,0)),"MISSING ID")</x:f>
        <x:v>T1</x:v>
      </x:c>
      <x:c r="G1180" s="4" t="str">
        <x:f>IFERROR(INDEX('Items'!$D$6:$D$1005,MATCH(D1180,'Items'!$A$6:$A$1005,0)),"MISSING ID")</x:f>
        <x:v>Crafting components</x:v>
      </x:c>
      <x:c r="H1180" s="4" t="str">
        <x:f>IFERROR(INDEX('Items'!$X$6:$X$1005,MATCH(D1180,'Items'!$A$6:$A$1005,0)),"MISSING ID")</x:f>
        <x:v>Crafting component</x:v>
      </x:c>
      <x:c r="I1180" s="4"/>
      <x:c r="J1180" s="4" t="str">
        <x:v>Unspecified</x:v>
      </x:c>
      <x:c r="K1180" s="4" t="str">
        <x:f>IFERROR(INDEX('Crafting recipes'!$D$6:$D$1005,MATCH(B1180,'Crafting recipes'!$A$6:$A$1005,0)),"MISSING ID")</x:f>
        <x:v>Proposal</x:v>
      </x:c>
      <x:c r="L1180" s="4" t="str">
        <x:f>IFERROR(INDEX('Items'!$AD$6:$AD$1005,MATCH(D1180,'Items'!$A$6:$A$1005,0)),"MISSING ID")</x:f>
        <x:v>Proposal</x:v>
      </x:c>
      <x:c r="M1180" s="4" t="str">
        <x:f>IFERROR(INDEX('Crafting recipes'!$E$6:$E$1005,MATCH(B1180,'Crafting recipes'!$A$6:$A$1005,0)),"MISSING ID")</x:f>
        <x:v>Partial proposal</x:v>
      </x:c>
      <x:c r="N1180" s="4" t="str">
        <x:v>Candidate source or part only. Quantity, grade and method remain open.</x:v>
      </x:c>
      <x:c r="O1180" s="4" t="str">
        <x:v>Collection expansion, October 15, 2026. New game proposal.</x:v>
      </x:c>
      <x:c r="P1180" s="4" t="n">
        <x:f>IF(OR(C1180="Ingredient candidate",C1180="Consumed input",C1180="Contained input",C1180="Transform input"),IF(F1180="T0",0,IF(F1180="T1",1,IF(F1180="T2",2,IF(F1180="T3",3,IF(F1180="T4",4,-1))))),-1)</x:f>
        <x:v>1</x:v>
      </x:c>
      <x:c r="Q1180" s="4" t="n">
        <x:f>IF(AND(OR(C1180="Ingredient candidate",C1180="Consumed input",C1180="Contained input",C1180="Transform input"),P1180=-1),1,0)</x:f>
        <x:v>0</x:v>
      </x:c>
    </x:row>
    <x:row r="1181" ht="64" customHeight="1">
      <x:c r="A1181" s="4" t="str">
        <x:v>design.collection.hide_headed_shell_drum.out</x:v>
      </x:c>
      <x:c r="B1181" s="4" t="str">
        <x:v>design.collection.hide_headed_shell_drum</x:v>
      </x:c>
      <x:c r="C1181" s="4" t="str">
        <x:v>Output</x:v>
      </x:c>
      <x:c r="D1181" s="4" t="str">
        <x:v>proposal.collection.hide_headed_shell_drum</x:v>
      </x:c>
      <x:c r="E1181" s="4" t="str">
        <x:f>IFERROR(INDEX('Items'!$B$6:$B$1005,MATCH(D1181,'Items'!$A$6:$A$1005,0)),"MISSING ID")</x:f>
        <x:v>Hide-headed shell drum</x:v>
      </x:c>
      <x:c r="F1181" s="4" t="str">
        <x:f>IFERROR(INDEX('Items'!$C$6:$C$1005,MATCH(D1181,'Items'!$A$6:$A$1005,0)),"MISSING ID")</x:f>
        <x:v>Not applicable</x:v>
      </x:c>
      <x:c r="G1181" s="4" t="str">
        <x:f>IFERROR(INDEX('Items'!$D$6:$D$1005,MATCH(D1181,'Items'!$A$6:$A$1005,0)),"MISSING ID")</x:f>
        <x:v>Salvage</x:v>
      </x:c>
      <x:c r="H1181" s="4" t="str">
        <x:f>IFERROR(INDEX('Items'!$X$6:$X$1005,MATCH(D1181,'Items'!$A$6:$A$1005,0)),"MISSING ID")</x:f>
        <x:v>Musical instrument</x:v>
      </x:c>
      <x:c r="I1181" s="4"/>
      <x:c r="J1181" s="4" t="str">
        <x:v>Unspecified</x:v>
      </x:c>
      <x:c r="K1181" s="4" t="str">
        <x:f>IFERROR(INDEX('Crafting recipes'!$D$6:$D$1005,MATCH(B1181,'Crafting recipes'!$A$6:$A$1005,0)),"MISSING ID")</x:f>
        <x:v>Proposal</x:v>
      </x:c>
      <x:c r="L1181" s="4" t="str">
        <x:f>IFERROR(INDEX('Items'!$AD$6:$AD$1005,MATCH(D1181,'Items'!$A$6:$A$1005,0)),"MISSING ID")</x:f>
        <x:v>Proposal</x:v>
      </x:c>
      <x:c r="M1181" s="4" t="str">
        <x:f>IFERROR(INDEX('Crafting recipes'!$E$6:$E$1005,MATCH(B1181,'Crafting recipes'!$A$6:$A$1005,0)),"MISSING ID")</x:f>
        <x:v>Partial proposal</x:v>
      </x:c>
      <x:c r="N1181" s="4" t="str">
        <x:v>Candidate source or part only. Quantity, grade and method remain open.</x:v>
      </x:c>
      <x:c r="O1181" s="4" t="str">
        <x:v>Collection expansion, October 15, 2026. New game proposal.</x:v>
      </x:c>
      <x:c r="P1181" s="4" t="n">
        <x:f>IF(OR(C1181="Ingredient candidate",C1181="Consumed input",C1181="Contained input",C1181="Transform input"),IF(F1181="T0",0,IF(F1181="T1",1,IF(F1181="T2",2,IF(F1181="T3",3,IF(F1181="T4",4,-1))))),-1)</x:f>
        <x:v>-1</x:v>
      </x:c>
      <x:c r="Q1181" s="4" t="n">
        <x:f>IF(AND(OR(C1181="Ingredient candidate",C1181="Consumed input",C1181="Contained input",C1181="Transform input"),P1181=-1),1,0)</x:f>
        <x:v>0</x:v>
      </x:c>
    </x:row>
    <x:row r="1182" ht="64" customHeight="1">
      <x:c r="A1182" s="4" t="str">
        <x:v>design.collection.double_headed_metal_drum.in.1</x:v>
      </x:c>
      <x:c r="B1182" s="4" t="str">
        <x:v>design.collection.double_headed_metal_drum</x:v>
      </x:c>
      <x:c r="C1182" s="4" t="str">
        <x:v>Ingredient candidate</x:v>
      </x:c>
      <x:c r="D1182" s="4" t="str">
        <x:v>proposal.bio.hide_material</x:v>
      </x:c>
      <x:c r="E1182" s="4" t="str">
        <x:f>IFERROR(INDEX('Items'!$B$6:$B$1005,MATCH(D1182,'Items'!$A$6:$A$1005,0)),"MISSING ID")</x:f>
        <x:v>Processed hide material</x:v>
      </x:c>
      <x:c r="F1182" s="4" t="str">
        <x:f>IFERROR(INDEX('Items'!$C$6:$C$1005,MATCH(D1182,'Items'!$A$6:$A$1005,0)),"MISSING ID")</x:f>
        <x:v>T1</x:v>
      </x:c>
      <x:c r="G1182" s="4" t="str">
        <x:f>IFERROR(INDEX('Items'!$D$6:$D$1005,MATCH(D1182,'Items'!$A$6:$A$1005,0)),"MISSING ID")</x:f>
        <x:v>Crafting components</x:v>
      </x:c>
      <x:c r="H1182" s="4" t="str">
        <x:f>IFERROR(INDEX('Items'!$X$6:$X$1005,MATCH(D1182,'Items'!$A$6:$A$1005,0)),"MISSING ID")</x:f>
        <x:v>Processed material</x:v>
      </x:c>
      <x:c r="I1182" s="4"/>
      <x:c r="J1182" s="4" t="str">
        <x:v>Unspecified</x:v>
      </x:c>
      <x:c r="K1182" s="4" t="str">
        <x:f>IFERROR(INDEX('Crafting recipes'!$D$6:$D$1005,MATCH(B1182,'Crafting recipes'!$A$6:$A$1005,0)),"MISSING ID")</x:f>
        <x:v>Proposal</x:v>
      </x:c>
      <x:c r="L1182" s="4" t="str">
        <x:f>IFERROR(INDEX('Items'!$AD$6:$AD$1005,MATCH(D1182,'Items'!$A$6:$A$1005,0)),"MISSING ID")</x:f>
        <x:v>Author direction</x:v>
      </x:c>
      <x:c r="M1182" s="4" t="str">
        <x:f>IFERROR(INDEX('Crafting recipes'!$E$6:$E$1005,MATCH(B1182,'Crafting recipes'!$A$6:$A$1005,0)),"MISSING ID")</x:f>
        <x:v>Partial proposal</x:v>
      </x:c>
      <x:c r="N1182" s="4" t="str">
        <x:v>Candidate source or part only. Quantity, grade and method remain open.</x:v>
      </x:c>
      <x:c r="O1182" s="4" t="str">
        <x:v>Collection expansion, October 15, 2026. New game proposal.</x:v>
      </x:c>
      <x:c r="P1182" s="4" t="n">
        <x:f>IF(OR(C1182="Ingredient candidate",C1182="Consumed input",C1182="Contained input",C1182="Transform input"),IF(F1182="T0",0,IF(F1182="T1",1,IF(F1182="T2",2,IF(F1182="T3",3,IF(F1182="T4",4,-1))))),-1)</x:f>
        <x:v>1</x:v>
      </x:c>
      <x:c r="Q1182" s="4" t="n">
        <x:f>IF(AND(OR(C1182="Ingredient candidate",C1182="Consumed input",C1182="Contained input",C1182="Transform input"),P1182=-1),1,0)</x:f>
        <x:v>0</x:v>
      </x:c>
    </x:row>
    <x:row r="1183" ht="64" customHeight="1">
      <x:c r="A1183" s="4" t="str">
        <x:v>design.collection.double_headed_metal_drum.in.2</x:v>
      </x:c>
      <x:c r="B1183" s="4" t="str">
        <x:v>design.collection.double_headed_metal_drum</x:v>
      </x:c>
      <x:c r="C1183" s="4" t="str">
        <x:v>Ingredient candidate</x:v>
      </x:c>
      <x:c r="D1183" s="4" t="str">
        <x:v>proposal.collection.annealed_iron_sheet_stock</x:v>
      </x:c>
      <x:c r="E1183" s="4" t="str">
        <x:f>IFERROR(INDEX('Items'!$B$6:$B$1005,MATCH(D1183,'Items'!$A$6:$A$1005,0)),"MISSING ID")</x:f>
        <x:v>Annealed iron sheet stock</x:v>
      </x:c>
      <x:c r="F1183" s="4" t="str">
        <x:f>IFERROR(INDEX('Items'!$C$6:$C$1005,MATCH(D1183,'Items'!$A$6:$A$1005,0)),"MISSING ID")</x:f>
        <x:v>T3</x:v>
      </x:c>
      <x:c r="G1183" s="4" t="str">
        <x:f>IFERROR(INDEX('Items'!$D$6:$D$1005,MATCH(D1183,'Items'!$A$6:$A$1005,0)),"MISSING ID")</x:f>
        <x:v>Manufactured stock</x:v>
      </x:c>
      <x:c r="H1183" s="4" t="str">
        <x:f>IFERROR(INDEX('Items'!$X$6:$X$1005,MATCH(D1183,'Items'!$A$6:$A$1005,0)),"MISSING ID")</x:f>
        <x:v>Processed material</x:v>
      </x:c>
      <x:c r="I1183" s="4"/>
      <x:c r="J1183" s="4" t="str">
        <x:v>Unspecified</x:v>
      </x:c>
      <x:c r="K1183" s="4" t="str">
        <x:f>IFERROR(INDEX('Crafting recipes'!$D$6:$D$1005,MATCH(B1183,'Crafting recipes'!$A$6:$A$1005,0)),"MISSING ID")</x:f>
        <x:v>Proposal</x:v>
      </x:c>
      <x:c r="L1183" s="4" t="str">
        <x:f>IFERROR(INDEX('Items'!$AD$6:$AD$1005,MATCH(D1183,'Items'!$A$6:$A$1005,0)),"MISSING ID")</x:f>
        <x:v>Proposal</x:v>
      </x:c>
      <x:c r="M1183" s="4" t="str">
        <x:f>IFERROR(INDEX('Crafting recipes'!$E$6:$E$1005,MATCH(B1183,'Crafting recipes'!$A$6:$A$1005,0)),"MISSING ID")</x:f>
        <x:v>Partial proposal</x:v>
      </x:c>
      <x:c r="N1183" s="4" t="str">
        <x:v>Candidate source or part only. Quantity, grade and method remain open.</x:v>
      </x:c>
      <x:c r="O1183" s="4" t="str">
        <x:v>Collection expansion, October 15, 2026. New game proposal.</x:v>
      </x:c>
      <x:c r="P1183" s="4" t="n">
        <x:f>IF(OR(C1183="Ingredient candidate",C1183="Consumed input",C1183="Contained input",C1183="Transform input"),IF(F1183="T0",0,IF(F1183="T1",1,IF(F1183="T2",2,IF(F1183="T3",3,IF(F1183="T4",4,-1))))),-1)</x:f>
        <x:v>3</x:v>
      </x:c>
      <x:c r="Q1183" s="4" t="n">
        <x:f>IF(AND(OR(C1183="Ingredient candidate",C1183="Consumed input",C1183="Contained input",C1183="Transform input"),P1183=-1),1,0)</x:f>
        <x:v>0</x:v>
      </x:c>
    </x:row>
    <x:row r="1184" ht="64" customHeight="1">
      <x:c r="A1184" s="4" t="str">
        <x:v>design.collection.double_headed_metal_drum.out</x:v>
      </x:c>
      <x:c r="B1184" s="4" t="str">
        <x:v>design.collection.double_headed_metal_drum</x:v>
      </x:c>
      <x:c r="C1184" s="4" t="str">
        <x:v>Output</x:v>
      </x:c>
      <x:c r="D1184" s="4" t="str">
        <x:v>proposal.collection.double_headed_metal_drum</x:v>
      </x:c>
      <x:c r="E1184" s="4" t="str">
        <x:f>IFERROR(INDEX('Items'!$B$6:$B$1005,MATCH(D1184,'Items'!$A$6:$A$1005,0)),"MISSING ID")</x:f>
        <x:v>Double-headed metal drum</x:v>
      </x:c>
      <x:c r="F1184" s="4" t="str">
        <x:f>IFERROR(INDEX('Items'!$C$6:$C$1005,MATCH(D1184,'Items'!$A$6:$A$1005,0)),"MISSING ID")</x:f>
        <x:v>Not applicable</x:v>
      </x:c>
      <x:c r="G1184" s="4" t="str">
        <x:f>IFERROR(INDEX('Items'!$D$6:$D$1005,MATCH(D1184,'Items'!$A$6:$A$1005,0)),"MISSING ID")</x:f>
        <x:v>Salvage</x:v>
      </x:c>
      <x:c r="H1184" s="4" t="str">
        <x:f>IFERROR(INDEX('Items'!$X$6:$X$1005,MATCH(D1184,'Items'!$A$6:$A$1005,0)),"MISSING ID")</x:f>
        <x:v>Musical instrument</x:v>
      </x:c>
      <x:c r="I1184" s="4"/>
      <x:c r="J1184" s="4" t="str">
        <x:v>Unspecified</x:v>
      </x:c>
      <x:c r="K1184" s="4" t="str">
        <x:f>IFERROR(INDEX('Crafting recipes'!$D$6:$D$1005,MATCH(B1184,'Crafting recipes'!$A$6:$A$1005,0)),"MISSING ID")</x:f>
        <x:v>Proposal</x:v>
      </x:c>
      <x:c r="L1184" s="4" t="str">
        <x:f>IFERROR(INDEX('Items'!$AD$6:$AD$1005,MATCH(D1184,'Items'!$A$6:$A$1005,0)),"MISSING ID")</x:f>
        <x:v>Proposal</x:v>
      </x:c>
      <x:c r="M1184" s="4" t="str">
        <x:f>IFERROR(INDEX('Crafting recipes'!$E$6:$E$1005,MATCH(B1184,'Crafting recipes'!$A$6:$A$1005,0)),"MISSING ID")</x:f>
        <x:v>Partial proposal</x:v>
      </x:c>
      <x:c r="N1184" s="4" t="str">
        <x:v>Candidate source or part only. Quantity, grade and method remain open.</x:v>
      </x:c>
      <x:c r="O1184" s="4" t="str">
        <x:v>Collection expansion, October 15, 2026. New game proposal.</x:v>
      </x:c>
      <x:c r="P1184" s="4" t="n">
        <x:f>IF(OR(C1184="Ingredient candidate",C1184="Consumed input",C1184="Contained input",C1184="Transform input"),IF(F1184="T0",0,IF(F1184="T1",1,IF(F1184="T2",2,IF(F1184="T3",3,IF(F1184="T4",4,-1))))),-1)</x:f>
        <x:v>-1</x:v>
      </x:c>
      <x:c r="Q1184" s="4" t="n">
        <x:f>IF(AND(OR(C1184="Ingredient candidate",C1184="Consumed input",C1184="Contained input",C1184="Transform input"),P1184=-1),1,0)</x:f>
        <x:v>0</x:v>
      </x:c>
    </x:row>
    <x:row r="1185" ht="64" customHeight="1">
      <x:c r="A1185" s="4" t="str">
        <x:v>design.collection.slit_shell_drum.in.1</x:v>
      </x:c>
      <x:c r="B1185" s="4" t="str">
        <x:v>design.collection.slit_shell_drum</x:v>
      </x:c>
      <x:c r="C1185" s="4" t="str">
        <x:v>Ingredient candidate</x:v>
      </x:c>
      <x:c r="D1185" s="4" t="str">
        <x:v>proposal.t1.hardpart_blank</x:v>
      </x:c>
      <x:c r="E1185" s="4" t="str">
        <x:f>IFERROR(INDEX('Items'!$B$6:$B$1005,MATCH(D1185,'Items'!$A$6:$A$1005,0)),"MISSING ID")</x:f>
        <x:v>Shaped fauna hard-part blanks</x:v>
      </x:c>
      <x:c r="F1185" s="4" t="str">
        <x:f>IFERROR(INDEX('Items'!$C$6:$C$1005,MATCH(D1185,'Items'!$A$6:$A$1005,0)),"MISSING ID")</x:f>
        <x:v>T1</x:v>
      </x:c>
      <x:c r="G1185" s="4" t="str">
        <x:f>IFERROR(INDEX('Items'!$D$6:$D$1005,MATCH(D1185,'Items'!$A$6:$A$1005,0)),"MISSING ID")</x:f>
        <x:v>Manufactured stock</x:v>
      </x:c>
      <x:c r="H1185" s="4" t="str">
        <x:f>IFERROR(INDEX('Items'!$X$6:$X$1005,MATCH(D1185,'Items'!$A$6:$A$1005,0)),"MISSING ID")</x:f>
        <x:v>Processed material</x:v>
      </x:c>
      <x:c r="I1185" s="4"/>
      <x:c r="J1185" s="4" t="str">
        <x:v>Unspecified</x:v>
      </x:c>
      <x:c r="K1185" s="4" t="str">
        <x:f>IFERROR(INDEX('Crafting recipes'!$D$6:$D$1005,MATCH(B1185,'Crafting recipes'!$A$6:$A$1005,0)),"MISSING ID")</x:f>
        <x:v>Proposal</x:v>
      </x:c>
      <x:c r="L1185" s="4" t="str">
        <x:f>IFERROR(INDEX('Items'!$AD$6:$AD$1005,MATCH(D1185,'Items'!$A$6:$A$1005,0)),"MISSING ID")</x:f>
        <x:v>Proposal</x:v>
      </x:c>
      <x:c r="M1185" s="4" t="str">
        <x:f>IFERROR(INDEX('Crafting recipes'!$E$6:$E$1005,MATCH(B1185,'Crafting recipes'!$A$6:$A$1005,0)),"MISSING ID")</x:f>
        <x:v>Partial proposal</x:v>
      </x:c>
      <x:c r="N1185" s="4" t="str">
        <x:v>Candidate source or part only. Quantity, grade and method remain open.</x:v>
      </x:c>
      <x:c r="O1185" s="4" t="str">
        <x:v>Collection expansion, October 15, 2026. New game proposal.</x:v>
      </x:c>
      <x:c r="P1185" s="4" t="n">
        <x:f>IF(OR(C1185="Ingredient candidate",C1185="Consumed input",C1185="Contained input",C1185="Transform input"),IF(F1185="T0",0,IF(F1185="T1",1,IF(F1185="T2",2,IF(F1185="T3",3,IF(F1185="T4",4,-1))))),-1)</x:f>
        <x:v>1</x:v>
      </x:c>
      <x:c r="Q1185" s="4" t="n">
        <x:f>IF(AND(OR(C1185="Ingredient candidate",C1185="Consumed input",C1185="Contained input",C1185="Transform input"),P1185=-1),1,0)</x:f>
        <x:v>0</x:v>
      </x:c>
    </x:row>
    <x:row r="1186" ht="64" customHeight="1">
      <x:c r="A1186" s="4" t="str">
        <x:v>design.collection.slit_shell_drum.out</x:v>
      </x:c>
      <x:c r="B1186" s="4" t="str">
        <x:v>design.collection.slit_shell_drum</x:v>
      </x:c>
      <x:c r="C1186" s="4" t="str">
        <x:v>Output</x:v>
      </x:c>
      <x:c r="D1186" s="4" t="str">
        <x:v>proposal.collection.slit_shell_drum</x:v>
      </x:c>
      <x:c r="E1186" s="4" t="str">
        <x:f>IFERROR(INDEX('Items'!$B$6:$B$1005,MATCH(D1186,'Items'!$A$6:$A$1005,0)),"MISSING ID")</x:f>
        <x:v>Slit shell drum</x:v>
      </x:c>
      <x:c r="F1186" s="4" t="str">
        <x:f>IFERROR(INDEX('Items'!$C$6:$C$1005,MATCH(D1186,'Items'!$A$6:$A$1005,0)),"MISSING ID")</x:f>
        <x:v>Not applicable</x:v>
      </x:c>
      <x:c r="G1186" s="4" t="str">
        <x:f>IFERROR(INDEX('Items'!$D$6:$D$1005,MATCH(D1186,'Items'!$A$6:$A$1005,0)),"MISSING ID")</x:f>
        <x:v>Salvage</x:v>
      </x:c>
      <x:c r="H1186" s="4" t="str">
        <x:f>IFERROR(INDEX('Items'!$X$6:$X$1005,MATCH(D1186,'Items'!$A$6:$A$1005,0)),"MISSING ID")</x:f>
        <x:v>Musical instrument</x:v>
      </x:c>
      <x:c r="I1186" s="4"/>
      <x:c r="J1186" s="4" t="str">
        <x:v>Unspecified</x:v>
      </x:c>
      <x:c r="K1186" s="4" t="str">
        <x:f>IFERROR(INDEX('Crafting recipes'!$D$6:$D$1005,MATCH(B1186,'Crafting recipes'!$A$6:$A$1005,0)),"MISSING ID")</x:f>
        <x:v>Proposal</x:v>
      </x:c>
      <x:c r="L1186" s="4" t="str">
        <x:f>IFERROR(INDEX('Items'!$AD$6:$AD$1005,MATCH(D1186,'Items'!$A$6:$A$1005,0)),"MISSING ID")</x:f>
        <x:v>Proposal</x:v>
      </x:c>
      <x:c r="M1186" s="4" t="str">
        <x:f>IFERROR(INDEX('Crafting recipes'!$E$6:$E$1005,MATCH(B1186,'Crafting recipes'!$A$6:$A$1005,0)),"MISSING ID")</x:f>
        <x:v>Partial proposal</x:v>
      </x:c>
      <x:c r="N1186" s="4" t="str">
        <x:v>Candidate source or part only. Quantity, grade and method remain open.</x:v>
      </x:c>
      <x:c r="O1186" s="4" t="str">
        <x:v>Collection expansion, October 15, 2026. New game proposal.</x:v>
      </x:c>
      <x:c r="P1186" s="4" t="n">
        <x:f>IF(OR(C1186="Ingredient candidate",C1186="Consumed input",C1186="Contained input",C1186="Transform input"),IF(F1186="T0",0,IF(F1186="T1",1,IF(F1186="T2",2,IF(F1186="T3",3,IF(F1186="T4",4,-1))))),-1)</x:f>
        <x:v>-1</x:v>
      </x:c>
      <x:c r="Q1186" s="4" t="n">
        <x:f>IF(AND(OR(C1186="Ingredient candidate",C1186="Consumed input",C1186="Contained input",C1186="Transform input"),P1186=-1),1,0)</x:f>
        <x:v>0</x:v>
      </x:c>
    </x:row>
    <x:row r="1187" ht="64" customHeight="1">
      <x:c r="A1187" s="4" t="str">
        <x:v>design.collection.metal_frame_drum.in.1</x:v>
      </x:c>
      <x:c r="B1187" s="4" t="str">
        <x:v>design.collection.metal_frame_drum</x:v>
      </x:c>
      <x:c r="C1187" s="4" t="str">
        <x:v>Ingredient candidate</x:v>
      </x:c>
      <x:c r="D1187" s="4" t="str">
        <x:v>proposal.bio.hide_material</x:v>
      </x:c>
      <x:c r="E1187" s="4" t="str">
        <x:f>IFERROR(INDEX('Items'!$B$6:$B$1005,MATCH(D1187,'Items'!$A$6:$A$1005,0)),"MISSING ID")</x:f>
        <x:v>Processed hide material</x:v>
      </x:c>
      <x:c r="F1187" s="4" t="str">
        <x:f>IFERROR(INDEX('Items'!$C$6:$C$1005,MATCH(D1187,'Items'!$A$6:$A$1005,0)),"MISSING ID")</x:f>
        <x:v>T1</x:v>
      </x:c>
      <x:c r="G1187" s="4" t="str">
        <x:f>IFERROR(INDEX('Items'!$D$6:$D$1005,MATCH(D1187,'Items'!$A$6:$A$1005,0)),"MISSING ID")</x:f>
        <x:v>Crafting components</x:v>
      </x:c>
      <x:c r="H1187" s="4" t="str">
        <x:f>IFERROR(INDEX('Items'!$X$6:$X$1005,MATCH(D1187,'Items'!$A$6:$A$1005,0)),"MISSING ID")</x:f>
        <x:v>Processed material</x:v>
      </x:c>
      <x:c r="I1187" s="4"/>
      <x:c r="J1187" s="4" t="str">
        <x:v>Unspecified</x:v>
      </x:c>
      <x:c r="K1187" s="4" t="str">
        <x:f>IFERROR(INDEX('Crafting recipes'!$D$6:$D$1005,MATCH(B1187,'Crafting recipes'!$A$6:$A$1005,0)),"MISSING ID")</x:f>
        <x:v>Proposal</x:v>
      </x:c>
      <x:c r="L1187" s="4" t="str">
        <x:f>IFERROR(INDEX('Items'!$AD$6:$AD$1005,MATCH(D1187,'Items'!$A$6:$A$1005,0)),"MISSING ID")</x:f>
        <x:v>Author direction</x:v>
      </x:c>
      <x:c r="M1187" s="4" t="str">
        <x:f>IFERROR(INDEX('Crafting recipes'!$E$6:$E$1005,MATCH(B1187,'Crafting recipes'!$A$6:$A$1005,0)),"MISSING ID")</x:f>
        <x:v>Partial proposal</x:v>
      </x:c>
      <x:c r="N1187" s="4" t="str">
        <x:v>Candidate source or part only. Quantity, grade and method remain open.</x:v>
      </x:c>
      <x:c r="O1187" s="4" t="str">
        <x:v>Collection expansion, October 15, 2026. New game proposal.</x:v>
      </x:c>
      <x:c r="P1187" s="4" t="n">
        <x:f>IF(OR(C1187="Ingredient candidate",C1187="Consumed input",C1187="Contained input",C1187="Transform input"),IF(F1187="T0",0,IF(F1187="T1",1,IF(F1187="T2",2,IF(F1187="T3",3,IF(F1187="T4",4,-1))))),-1)</x:f>
        <x:v>1</x:v>
      </x:c>
      <x:c r="Q1187" s="4" t="n">
        <x:f>IF(AND(OR(C1187="Ingredient candidate",C1187="Consumed input",C1187="Contained input",C1187="Transform input"),P1187=-1),1,0)</x:f>
        <x:v>0</x:v>
      </x:c>
    </x:row>
    <x:row r="1188" ht="64" customHeight="1">
      <x:c r="A1188" s="4" t="str">
        <x:v>design.collection.metal_frame_drum.in.2</x:v>
      </x:c>
      <x:c r="B1188" s="4" t="str">
        <x:v>design.collection.metal_frame_drum</x:v>
      </x:c>
      <x:c r="C1188" s="4" t="str">
        <x:v>Ingredient candidate</x:v>
      </x:c>
      <x:c r="D1188" s="4" t="str">
        <x:v>proposal.natural.iron_stock</x:v>
      </x:c>
      <x:c r="E1188" s="4" t="str">
        <x:f>IFERROR(INDEX('Items'!$B$6:$B$1005,MATCH(D1188,'Items'!$A$6:$A$1005,0)),"MISSING ID")</x:f>
        <x:v>Worked iron stock</x:v>
      </x:c>
      <x:c r="F1188" s="4" t="str">
        <x:f>IFERROR(INDEX('Items'!$C$6:$C$1005,MATCH(D1188,'Items'!$A$6:$A$1005,0)),"MISSING ID")</x:f>
        <x:v>T2</x:v>
      </x:c>
      <x:c r="G1188" s="4" t="str">
        <x:f>IFERROR(INDEX('Items'!$D$6:$D$1005,MATCH(D1188,'Items'!$A$6:$A$1005,0)),"MISSING ID")</x:f>
        <x:v>Manufactured stock</x:v>
      </x:c>
      <x:c r="H1188" s="4" t="str">
        <x:f>IFERROR(INDEX('Items'!$X$6:$X$1005,MATCH(D1188,'Items'!$A$6:$A$1005,0)),"MISSING ID")</x:f>
        <x:v>Processed material</x:v>
      </x:c>
      <x:c r="I1188" s="4"/>
      <x:c r="J1188" s="4" t="str">
        <x:v>Unspecified</x:v>
      </x:c>
      <x:c r="K1188" s="4" t="str">
        <x:f>IFERROR(INDEX('Crafting recipes'!$D$6:$D$1005,MATCH(B1188,'Crafting recipes'!$A$6:$A$1005,0)),"MISSING ID")</x:f>
        <x:v>Proposal</x:v>
      </x:c>
      <x:c r="L1188" s="4" t="str">
        <x:f>IFERROR(INDEX('Items'!$AD$6:$AD$1005,MATCH(D1188,'Items'!$A$6:$A$1005,0)),"MISSING ID")</x:f>
        <x:v>Proposal</x:v>
      </x:c>
      <x:c r="M1188" s="4" t="str">
        <x:f>IFERROR(INDEX('Crafting recipes'!$E$6:$E$1005,MATCH(B1188,'Crafting recipes'!$A$6:$A$1005,0)),"MISSING ID")</x:f>
        <x:v>Partial proposal</x:v>
      </x:c>
      <x:c r="N1188" s="4" t="str">
        <x:v>Candidate source or part only. Quantity, grade and method remain open.</x:v>
      </x:c>
      <x:c r="O1188" s="4" t="str">
        <x:v>Collection expansion, October 15, 2026. New game proposal.</x:v>
      </x:c>
      <x:c r="P1188" s="4" t="n">
        <x:f>IF(OR(C1188="Ingredient candidate",C1188="Consumed input",C1188="Contained input",C1188="Transform input"),IF(F1188="T0",0,IF(F1188="T1",1,IF(F1188="T2",2,IF(F1188="T3",3,IF(F1188="T4",4,-1))))),-1)</x:f>
        <x:v>2</x:v>
      </x:c>
      <x:c r="Q1188" s="4" t="n">
        <x:f>IF(AND(OR(C1188="Ingredient candidate",C1188="Consumed input",C1188="Contained input",C1188="Transform input"),P1188=-1),1,0)</x:f>
        <x:v>0</x:v>
      </x:c>
    </x:row>
    <x:row r="1189" ht="64" customHeight="1">
      <x:c r="A1189" s="4" t="str">
        <x:v>design.collection.metal_frame_drum.out</x:v>
      </x:c>
      <x:c r="B1189" s="4" t="str">
        <x:v>design.collection.metal_frame_drum</x:v>
      </x:c>
      <x:c r="C1189" s="4" t="str">
        <x:v>Output</x:v>
      </x:c>
      <x:c r="D1189" s="4" t="str">
        <x:v>proposal.collection.metal_frame_drum</x:v>
      </x:c>
      <x:c r="E1189" s="4" t="str">
        <x:f>IFERROR(INDEX('Items'!$B$6:$B$1005,MATCH(D1189,'Items'!$A$6:$A$1005,0)),"MISSING ID")</x:f>
        <x:v>Metal frame drum</x:v>
      </x:c>
      <x:c r="F1189" s="4" t="str">
        <x:f>IFERROR(INDEX('Items'!$C$6:$C$1005,MATCH(D1189,'Items'!$A$6:$A$1005,0)),"MISSING ID")</x:f>
        <x:v>Not applicable</x:v>
      </x:c>
      <x:c r="G1189" s="4" t="str">
        <x:f>IFERROR(INDEX('Items'!$D$6:$D$1005,MATCH(D1189,'Items'!$A$6:$A$1005,0)),"MISSING ID")</x:f>
        <x:v>Salvage</x:v>
      </x:c>
      <x:c r="H1189" s="4" t="str">
        <x:f>IFERROR(INDEX('Items'!$X$6:$X$1005,MATCH(D1189,'Items'!$A$6:$A$1005,0)),"MISSING ID")</x:f>
        <x:v>Musical instrument</x:v>
      </x:c>
      <x:c r="I1189" s="4"/>
      <x:c r="J1189" s="4" t="str">
        <x:v>Unspecified</x:v>
      </x:c>
      <x:c r="K1189" s="4" t="str">
        <x:f>IFERROR(INDEX('Crafting recipes'!$D$6:$D$1005,MATCH(B1189,'Crafting recipes'!$A$6:$A$1005,0)),"MISSING ID")</x:f>
        <x:v>Proposal</x:v>
      </x:c>
      <x:c r="L1189" s="4" t="str">
        <x:f>IFERROR(INDEX('Items'!$AD$6:$AD$1005,MATCH(D1189,'Items'!$A$6:$A$1005,0)),"MISSING ID")</x:f>
        <x:v>Proposal</x:v>
      </x:c>
      <x:c r="M1189" s="4" t="str">
        <x:f>IFERROR(INDEX('Crafting recipes'!$E$6:$E$1005,MATCH(B1189,'Crafting recipes'!$A$6:$A$1005,0)),"MISSING ID")</x:f>
        <x:v>Partial proposal</x:v>
      </x:c>
      <x:c r="N1189" s="4" t="str">
        <x:v>Candidate source or part only. Quantity, grade and method remain open.</x:v>
      </x:c>
      <x:c r="O1189" s="4" t="str">
        <x:v>Collection expansion, October 15, 2026. New game proposal.</x:v>
      </x:c>
      <x:c r="P1189" s="4" t="n">
        <x:f>IF(OR(C1189="Ingredient candidate",C1189="Consumed input",C1189="Contained input",C1189="Transform input"),IF(F1189="T0",0,IF(F1189="T1",1,IF(F1189="T2",2,IF(F1189="T3",3,IF(F1189="T4",4,-1))))),-1)</x:f>
        <x:v>-1</x:v>
      </x:c>
      <x:c r="Q1189" s="4" t="n">
        <x:f>IF(AND(OR(C1189="Ingredient candidate",C1189="Consumed input",C1189="Contained input",C1189="Transform input"),P1189=-1),1,0)</x:f>
        <x:v>0</x:v>
      </x:c>
    </x:row>
    <x:row r="1190" ht="64" customHeight="1">
      <x:c r="A1190" s="4" t="str">
        <x:v>design.collection.shell_clapper_pair.in.1</x:v>
      </x:c>
      <x:c r="B1190" s="4" t="str">
        <x:v>design.collection.shell_clapper_pair</x:v>
      </x:c>
      <x:c r="C1190" s="4" t="str">
        <x:v>Ingredient candidate</x:v>
      </x:c>
      <x:c r="D1190" s="4" t="str">
        <x:v>proposal.t1.hardpart_blank</x:v>
      </x:c>
      <x:c r="E1190" s="4" t="str">
        <x:f>IFERROR(INDEX('Items'!$B$6:$B$1005,MATCH(D1190,'Items'!$A$6:$A$1005,0)),"MISSING ID")</x:f>
        <x:v>Shaped fauna hard-part blanks</x:v>
      </x:c>
      <x:c r="F1190" s="4" t="str">
        <x:f>IFERROR(INDEX('Items'!$C$6:$C$1005,MATCH(D1190,'Items'!$A$6:$A$1005,0)),"MISSING ID")</x:f>
        <x:v>T1</x:v>
      </x:c>
      <x:c r="G1190" s="4" t="str">
        <x:f>IFERROR(INDEX('Items'!$D$6:$D$1005,MATCH(D1190,'Items'!$A$6:$A$1005,0)),"MISSING ID")</x:f>
        <x:v>Manufactured stock</x:v>
      </x:c>
      <x:c r="H1190" s="4" t="str">
        <x:f>IFERROR(INDEX('Items'!$X$6:$X$1005,MATCH(D1190,'Items'!$A$6:$A$1005,0)),"MISSING ID")</x:f>
        <x:v>Processed material</x:v>
      </x:c>
      <x:c r="I1190" s="4"/>
      <x:c r="J1190" s="4" t="str">
        <x:v>Unspecified</x:v>
      </x:c>
      <x:c r="K1190" s="4" t="str">
        <x:f>IFERROR(INDEX('Crafting recipes'!$D$6:$D$1005,MATCH(B1190,'Crafting recipes'!$A$6:$A$1005,0)),"MISSING ID")</x:f>
        <x:v>Proposal</x:v>
      </x:c>
      <x:c r="L1190" s="4" t="str">
        <x:f>IFERROR(INDEX('Items'!$AD$6:$AD$1005,MATCH(D1190,'Items'!$A$6:$A$1005,0)),"MISSING ID")</x:f>
        <x:v>Proposal</x:v>
      </x:c>
      <x:c r="M1190" s="4" t="str">
        <x:f>IFERROR(INDEX('Crafting recipes'!$E$6:$E$1005,MATCH(B1190,'Crafting recipes'!$A$6:$A$1005,0)),"MISSING ID")</x:f>
        <x:v>Partial proposal</x:v>
      </x:c>
      <x:c r="N1190" s="4" t="str">
        <x:v>Candidate source or part only. Quantity, grade and method remain open.</x:v>
      </x:c>
      <x:c r="O1190" s="4" t="str">
        <x:v>Collection expansion, October 15, 2026. New game proposal.</x:v>
      </x:c>
      <x:c r="P1190" s="4" t="n">
        <x:f>IF(OR(C1190="Ingredient candidate",C1190="Consumed input",C1190="Contained input",C1190="Transform input"),IF(F1190="T0",0,IF(F1190="T1",1,IF(F1190="T2",2,IF(F1190="T3",3,IF(F1190="T4",4,-1))))),-1)</x:f>
        <x:v>1</x:v>
      </x:c>
      <x:c r="Q1190" s="4" t="n">
        <x:f>IF(AND(OR(C1190="Ingredient candidate",C1190="Consumed input",C1190="Contained input",C1190="Transform input"),P1190=-1),1,0)</x:f>
        <x:v>0</x:v>
      </x:c>
    </x:row>
    <x:row r="1191" ht="64" customHeight="1">
      <x:c r="A1191" s="4" t="str">
        <x:v>design.collection.shell_clapper_pair.out</x:v>
      </x:c>
      <x:c r="B1191" s="4" t="str">
        <x:v>design.collection.shell_clapper_pair</x:v>
      </x:c>
      <x:c r="C1191" s="4" t="str">
        <x:v>Output</x:v>
      </x:c>
      <x:c r="D1191" s="4" t="str">
        <x:v>proposal.collection.shell_clapper_pair</x:v>
      </x:c>
      <x:c r="E1191" s="4" t="str">
        <x:f>IFERROR(INDEX('Items'!$B$6:$B$1005,MATCH(D1191,'Items'!$A$6:$A$1005,0)),"MISSING ID")</x:f>
        <x:v>Shell-clapper pair</x:v>
      </x:c>
      <x:c r="F1191" s="4" t="str">
        <x:f>IFERROR(INDEX('Items'!$C$6:$C$1005,MATCH(D1191,'Items'!$A$6:$A$1005,0)),"MISSING ID")</x:f>
        <x:v>Not applicable</x:v>
      </x:c>
      <x:c r="G1191" s="4" t="str">
        <x:f>IFERROR(INDEX('Items'!$D$6:$D$1005,MATCH(D1191,'Items'!$A$6:$A$1005,0)),"MISSING ID")</x:f>
        <x:v>Salvage</x:v>
      </x:c>
      <x:c r="H1191" s="4" t="str">
        <x:f>IFERROR(INDEX('Items'!$X$6:$X$1005,MATCH(D1191,'Items'!$A$6:$A$1005,0)),"MISSING ID")</x:f>
        <x:v>Musical instrument</x:v>
      </x:c>
      <x:c r="I1191" s="4"/>
      <x:c r="J1191" s="4" t="str">
        <x:v>Unspecified</x:v>
      </x:c>
      <x:c r="K1191" s="4" t="str">
        <x:f>IFERROR(INDEX('Crafting recipes'!$D$6:$D$1005,MATCH(B1191,'Crafting recipes'!$A$6:$A$1005,0)),"MISSING ID")</x:f>
        <x:v>Proposal</x:v>
      </x:c>
      <x:c r="L1191" s="4" t="str">
        <x:f>IFERROR(INDEX('Items'!$AD$6:$AD$1005,MATCH(D1191,'Items'!$A$6:$A$1005,0)),"MISSING ID")</x:f>
        <x:v>Proposal</x:v>
      </x:c>
      <x:c r="M1191" s="4" t="str">
        <x:f>IFERROR(INDEX('Crafting recipes'!$E$6:$E$1005,MATCH(B1191,'Crafting recipes'!$A$6:$A$1005,0)),"MISSING ID")</x:f>
        <x:v>Partial proposal</x:v>
      </x:c>
      <x:c r="N1191" s="4" t="str">
        <x:v>Candidate source or part only. Quantity, grade and method remain open.</x:v>
      </x:c>
      <x:c r="O1191" s="4" t="str">
        <x:v>Collection expansion, October 15, 2026. New game proposal.</x:v>
      </x:c>
      <x:c r="P1191" s="4" t="n">
        <x:f>IF(OR(C1191="Ingredient candidate",C1191="Consumed input",C1191="Contained input",C1191="Transform input"),IF(F1191="T0",0,IF(F1191="T1",1,IF(F1191="T2",2,IF(F1191="T3",3,IF(F1191="T4",4,-1))))),-1)</x:f>
        <x:v>-1</x:v>
      </x:c>
      <x:c r="Q1191" s="4" t="n">
        <x:f>IF(AND(OR(C1191="Ingredient candidate",C1191="Consumed input",C1191="Contained input",C1191="Transform input"),P1191=-1),1,0)</x:f>
        <x:v>0</x:v>
      </x:c>
    </x:row>
    <x:row r="1192" ht="64" customHeight="1">
      <x:c r="A1192" s="4" t="str">
        <x:v>design.collection.bronze_hand_bell.in.1</x:v>
      </x:c>
      <x:c r="B1192" s="4" t="str">
        <x:v>design.collection.bronze_hand_bell</x:v>
      </x:c>
      <x:c r="C1192" s="4" t="str">
        <x:v>Ingredient candidate</x:v>
      </x:c>
      <x:c r="D1192" s="4" t="str">
        <x:v>proposal.t1.bronze_billet</x:v>
      </x:c>
      <x:c r="E1192" s="4" t="str">
        <x:f>IFERROR(INDEX('Items'!$B$6:$B$1005,MATCH(D1192,'Items'!$A$6:$A$1005,0)),"MISSING ID")</x:f>
        <x:v>Reclaimed bronze billet</x:v>
      </x:c>
      <x:c r="F1192" s="4" t="str">
        <x:f>IFERROR(INDEX('Items'!$C$6:$C$1005,MATCH(D1192,'Items'!$A$6:$A$1005,0)),"MISSING ID")</x:f>
        <x:v>T1</x:v>
      </x:c>
      <x:c r="G1192" s="4" t="str">
        <x:f>IFERROR(INDEX('Items'!$D$6:$D$1005,MATCH(D1192,'Items'!$A$6:$A$1005,0)),"MISSING ID")</x:f>
        <x:v>Manufactured stock</x:v>
      </x:c>
      <x:c r="H1192" s="4" t="str">
        <x:f>IFERROR(INDEX('Items'!$X$6:$X$1005,MATCH(D1192,'Items'!$A$6:$A$1005,0)),"MISSING ID")</x:f>
        <x:v>Processed material</x:v>
      </x:c>
      <x:c r="I1192" s="4"/>
      <x:c r="J1192" s="4" t="str">
        <x:v>Unspecified</x:v>
      </x:c>
      <x:c r="K1192" s="4" t="str">
        <x:f>IFERROR(INDEX('Crafting recipes'!$D$6:$D$1005,MATCH(B1192,'Crafting recipes'!$A$6:$A$1005,0)),"MISSING ID")</x:f>
        <x:v>Proposal</x:v>
      </x:c>
      <x:c r="L1192" s="4" t="str">
        <x:f>IFERROR(INDEX('Items'!$AD$6:$AD$1005,MATCH(D1192,'Items'!$A$6:$A$1005,0)),"MISSING ID")</x:f>
        <x:v>Proposal</x:v>
      </x:c>
      <x:c r="M1192" s="4" t="str">
        <x:f>IFERROR(INDEX('Crafting recipes'!$E$6:$E$1005,MATCH(B1192,'Crafting recipes'!$A$6:$A$1005,0)),"MISSING ID")</x:f>
        <x:v>Partial proposal</x:v>
      </x:c>
      <x:c r="N1192" s="4" t="str">
        <x:v>Candidate source or part only. Quantity, grade and method remain open.</x:v>
      </x:c>
      <x:c r="O1192" s="4" t="str">
        <x:v>Collection expansion, October 15, 2026. New game proposal.</x:v>
      </x:c>
      <x:c r="P1192" s="4" t="n">
        <x:f>IF(OR(C1192="Ingredient candidate",C1192="Consumed input",C1192="Contained input",C1192="Transform input"),IF(F1192="T0",0,IF(F1192="T1",1,IF(F1192="T2",2,IF(F1192="T3",3,IF(F1192="T4",4,-1))))),-1)</x:f>
        <x:v>1</x:v>
      </x:c>
      <x:c r="Q1192" s="4" t="n">
        <x:f>IF(AND(OR(C1192="Ingredient candidate",C1192="Consumed input",C1192="Contained input",C1192="Transform input"),P1192=-1),1,0)</x:f>
        <x:v>0</x:v>
      </x:c>
    </x:row>
    <x:row r="1193" ht="64" customHeight="1">
      <x:c r="A1193" s="4" t="str">
        <x:v>design.collection.bronze_hand_bell.in.2</x:v>
      </x:c>
      <x:c r="B1193" s="4" t="str">
        <x:v>design.collection.bronze_hand_bell</x:v>
      </x:c>
      <x:c r="C1193" s="4" t="str">
        <x:v>Ingredient candidate</x:v>
      </x:c>
      <x:c r="D1193" s="4" t="str">
        <x:v>proposal.natural.iron_stock</x:v>
      </x:c>
      <x:c r="E1193" s="4" t="str">
        <x:f>IFERROR(INDEX('Items'!$B$6:$B$1005,MATCH(D1193,'Items'!$A$6:$A$1005,0)),"MISSING ID")</x:f>
        <x:v>Worked iron stock</x:v>
      </x:c>
      <x:c r="F1193" s="4" t="str">
        <x:f>IFERROR(INDEX('Items'!$C$6:$C$1005,MATCH(D1193,'Items'!$A$6:$A$1005,0)),"MISSING ID")</x:f>
        <x:v>T2</x:v>
      </x:c>
      <x:c r="G1193" s="4" t="str">
        <x:f>IFERROR(INDEX('Items'!$D$6:$D$1005,MATCH(D1193,'Items'!$A$6:$A$1005,0)),"MISSING ID")</x:f>
        <x:v>Manufactured stock</x:v>
      </x:c>
      <x:c r="H1193" s="4" t="str">
        <x:f>IFERROR(INDEX('Items'!$X$6:$X$1005,MATCH(D1193,'Items'!$A$6:$A$1005,0)),"MISSING ID")</x:f>
        <x:v>Processed material</x:v>
      </x:c>
      <x:c r="I1193" s="4"/>
      <x:c r="J1193" s="4" t="str">
        <x:v>Unspecified</x:v>
      </x:c>
      <x:c r="K1193" s="4" t="str">
        <x:f>IFERROR(INDEX('Crafting recipes'!$D$6:$D$1005,MATCH(B1193,'Crafting recipes'!$A$6:$A$1005,0)),"MISSING ID")</x:f>
        <x:v>Proposal</x:v>
      </x:c>
      <x:c r="L1193" s="4" t="str">
        <x:f>IFERROR(INDEX('Items'!$AD$6:$AD$1005,MATCH(D1193,'Items'!$A$6:$A$1005,0)),"MISSING ID")</x:f>
        <x:v>Proposal</x:v>
      </x:c>
      <x:c r="M1193" s="4" t="str">
        <x:f>IFERROR(INDEX('Crafting recipes'!$E$6:$E$1005,MATCH(B1193,'Crafting recipes'!$A$6:$A$1005,0)),"MISSING ID")</x:f>
        <x:v>Partial proposal</x:v>
      </x:c>
      <x:c r="N1193" s="4" t="str">
        <x:v>Candidate source or part only. Quantity, grade and method remain open.</x:v>
      </x:c>
      <x:c r="O1193" s="4" t="str">
        <x:v>Collection expansion, October 15, 2026. New game proposal.</x:v>
      </x:c>
      <x:c r="P1193" s="4" t="n">
        <x:f>IF(OR(C1193="Ingredient candidate",C1193="Consumed input",C1193="Contained input",C1193="Transform input"),IF(F1193="T0",0,IF(F1193="T1",1,IF(F1193="T2",2,IF(F1193="T3",3,IF(F1193="T4",4,-1))))),-1)</x:f>
        <x:v>2</x:v>
      </x:c>
      <x:c r="Q1193" s="4" t="n">
        <x:f>IF(AND(OR(C1193="Ingredient candidate",C1193="Consumed input",C1193="Contained input",C1193="Transform input"),P1193=-1),1,0)</x:f>
        <x:v>0</x:v>
      </x:c>
    </x:row>
    <x:row r="1194" ht="64" customHeight="1">
      <x:c r="A1194" s="4" t="str">
        <x:v>design.collection.bronze_hand_bell.out</x:v>
      </x:c>
      <x:c r="B1194" s="4" t="str">
        <x:v>design.collection.bronze_hand_bell</x:v>
      </x:c>
      <x:c r="C1194" s="4" t="str">
        <x:v>Output</x:v>
      </x:c>
      <x:c r="D1194" s="4" t="str">
        <x:v>proposal.collection.bronze_hand_bell</x:v>
      </x:c>
      <x:c r="E1194" s="4" t="str">
        <x:f>IFERROR(INDEX('Items'!$B$6:$B$1005,MATCH(D1194,'Items'!$A$6:$A$1005,0)),"MISSING ID")</x:f>
        <x:v>Bronze hand bell</x:v>
      </x:c>
      <x:c r="F1194" s="4" t="str">
        <x:f>IFERROR(INDEX('Items'!$C$6:$C$1005,MATCH(D1194,'Items'!$A$6:$A$1005,0)),"MISSING ID")</x:f>
        <x:v>Not applicable</x:v>
      </x:c>
      <x:c r="G1194" s="4" t="str">
        <x:f>IFERROR(INDEX('Items'!$D$6:$D$1005,MATCH(D1194,'Items'!$A$6:$A$1005,0)),"MISSING ID")</x:f>
        <x:v>Salvage</x:v>
      </x:c>
      <x:c r="H1194" s="4" t="str">
        <x:f>IFERROR(INDEX('Items'!$X$6:$X$1005,MATCH(D1194,'Items'!$A$6:$A$1005,0)),"MISSING ID")</x:f>
        <x:v>Musical instrument</x:v>
      </x:c>
      <x:c r="I1194" s="4"/>
      <x:c r="J1194" s="4" t="str">
        <x:v>Unspecified</x:v>
      </x:c>
      <x:c r="K1194" s="4" t="str">
        <x:f>IFERROR(INDEX('Crafting recipes'!$D$6:$D$1005,MATCH(B1194,'Crafting recipes'!$A$6:$A$1005,0)),"MISSING ID")</x:f>
        <x:v>Proposal</x:v>
      </x:c>
      <x:c r="L1194" s="4" t="str">
        <x:f>IFERROR(INDEX('Items'!$AD$6:$AD$1005,MATCH(D1194,'Items'!$A$6:$A$1005,0)),"MISSING ID")</x:f>
        <x:v>Proposal</x:v>
      </x:c>
      <x:c r="M1194" s="4" t="str">
        <x:f>IFERROR(INDEX('Crafting recipes'!$E$6:$E$1005,MATCH(B1194,'Crafting recipes'!$A$6:$A$1005,0)),"MISSING ID")</x:f>
        <x:v>Partial proposal</x:v>
      </x:c>
      <x:c r="N1194" s="4" t="str">
        <x:v>Candidate source or part only. Quantity, grade and method remain open.</x:v>
      </x:c>
      <x:c r="O1194" s="4" t="str">
        <x:v>Collection expansion, October 15, 2026. New game proposal.</x:v>
      </x:c>
      <x:c r="P1194" s="4" t="n">
        <x:f>IF(OR(C1194="Ingredient candidate",C1194="Consumed input",C1194="Contained input",C1194="Transform input"),IF(F1194="T0",0,IF(F1194="T1",1,IF(F1194="T2",2,IF(F1194="T3",3,IF(F1194="T4",4,-1))))),-1)</x:f>
        <x:v>-1</x:v>
      </x:c>
      <x:c r="Q1194" s="4" t="n">
        <x:f>IF(AND(OR(C1194="Ingredient candidate",C1194="Consumed input",C1194="Contained input",C1194="Transform input"),P1194=-1),1,0)</x:f>
        <x:v>0</x:v>
      </x:c>
    </x:row>
    <x:row r="1195" ht="64" customHeight="1">
      <x:c r="A1195" s="4" t="str">
        <x:v>design.collection.iron_cup_bell_chime.in.1</x:v>
      </x:c>
      <x:c r="B1195" s="4" t="str">
        <x:v>design.collection.iron_cup_bell_chime</x:v>
      </x:c>
      <x:c r="C1195" s="4" t="str">
        <x:v>Ingredient candidate</x:v>
      </x:c>
      <x:c r="D1195" s="4" t="str">
        <x:v>proposal.collection.annealed_iron_sheet_stock</x:v>
      </x:c>
      <x:c r="E1195" s="4" t="str">
        <x:f>IFERROR(INDEX('Items'!$B$6:$B$1005,MATCH(D1195,'Items'!$A$6:$A$1005,0)),"MISSING ID")</x:f>
        <x:v>Annealed iron sheet stock</x:v>
      </x:c>
      <x:c r="F1195" s="4" t="str">
        <x:f>IFERROR(INDEX('Items'!$C$6:$C$1005,MATCH(D1195,'Items'!$A$6:$A$1005,0)),"MISSING ID")</x:f>
        <x:v>T3</x:v>
      </x:c>
      <x:c r="G1195" s="4" t="str">
        <x:f>IFERROR(INDEX('Items'!$D$6:$D$1005,MATCH(D1195,'Items'!$A$6:$A$1005,0)),"MISSING ID")</x:f>
        <x:v>Manufactured stock</x:v>
      </x:c>
      <x:c r="H1195" s="4" t="str">
        <x:f>IFERROR(INDEX('Items'!$X$6:$X$1005,MATCH(D1195,'Items'!$A$6:$A$1005,0)),"MISSING ID")</x:f>
        <x:v>Processed material</x:v>
      </x:c>
      <x:c r="I1195" s="4"/>
      <x:c r="J1195" s="4" t="str">
        <x:v>Unspecified</x:v>
      </x:c>
      <x:c r="K1195" s="4" t="str">
        <x:f>IFERROR(INDEX('Crafting recipes'!$D$6:$D$1005,MATCH(B1195,'Crafting recipes'!$A$6:$A$1005,0)),"MISSING ID")</x:f>
        <x:v>Proposal</x:v>
      </x:c>
      <x:c r="L1195" s="4" t="str">
        <x:f>IFERROR(INDEX('Items'!$AD$6:$AD$1005,MATCH(D1195,'Items'!$A$6:$A$1005,0)),"MISSING ID")</x:f>
        <x:v>Proposal</x:v>
      </x:c>
      <x:c r="M1195" s="4" t="str">
        <x:f>IFERROR(INDEX('Crafting recipes'!$E$6:$E$1005,MATCH(B1195,'Crafting recipes'!$A$6:$A$1005,0)),"MISSING ID")</x:f>
        <x:v>Partial proposal</x:v>
      </x:c>
      <x:c r="N1195" s="4" t="str">
        <x:v>Candidate source or part only. Quantity, grade and method remain open.</x:v>
      </x:c>
      <x:c r="O1195" s="4" t="str">
        <x:v>Collection expansion, October 15, 2026. New game proposal.</x:v>
      </x:c>
      <x:c r="P1195" s="4" t="n">
        <x:f>IF(OR(C1195="Ingredient candidate",C1195="Consumed input",C1195="Contained input",C1195="Transform input"),IF(F1195="T0",0,IF(F1195="T1",1,IF(F1195="T2",2,IF(F1195="T3",3,IF(F1195="T4",4,-1))))),-1)</x:f>
        <x:v>3</x:v>
      </x:c>
      <x:c r="Q1195" s="4" t="n">
        <x:f>IF(AND(OR(C1195="Ingredient candidate",C1195="Consumed input",C1195="Contained input",C1195="Transform input"),P1195=-1),1,0)</x:f>
        <x:v>0</x:v>
      </x:c>
    </x:row>
    <x:row r="1196" ht="64" customHeight="1">
      <x:c r="A1196" s="4" t="str">
        <x:v>design.collection.iron_cup_bell_chime.in.2</x:v>
      </x:c>
      <x:c r="B1196" s="4" t="str">
        <x:v>design.collection.iron_cup_bell_chime</x:v>
      </x:c>
      <x:c r="C1196" s="4" t="str">
        <x:v>Ingredient candidate</x:v>
      </x:c>
      <x:c r="D1196" s="4" t="str">
        <x:v>proposal.bio.cord</x:v>
      </x:c>
      <x:c r="E1196" s="4" t="str">
        <x:f>IFERROR(INDEX('Items'!$B$6:$B$1005,MATCH(D1196,'Items'!$A$6:$A$1005,0)),"MISSING ID")</x:f>
        <x:v>Tendon cord</x:v>
      </x:c>
      <x:c r="F1196" s="4" t="str">
        <x:f>IFERROR(INDEX('Items'!$C$6:$C$1005,MATCH(D1196,'Items'!$A$6:$A$1005,0)),"MISSING ID")</x:f>
        <x:v>T1</x:v>
      </x:c>
      <x:c r="G1196" s="4" t="str">
        <x:f>IFERROR(INDEX('Items'!$D$6:$D$1005,MATCH(D1196,'Items'!$A$6:$A$1005,0)),"MISSING ID")</x:f>
        <x:v>Crafting components</x:v>
      </x:c>
      <x:c r="H1196" s="4" t="str">
        <x:f>IFERROR(INDEX('Items'!$X$6:$X$1005,MATCH(D1196,'Items'!$A$6:$A$1005,0)),"MISSING ID")</x:f>
        <x:v>Crafting component</x:v>
      </x:c>
      <x:c r="I1196" s="4"/>
      <x:c r="J1196" s="4" t="str">
        <x:v>Unspecified</x:v>
      </x:c>
      <x:c r="K1196" s="4" t="str">
        <x:f>IFERROR(INDEX('Crafting recipes'!$D$6:$D$1005,MATCH(B1196,'Crafting recipes'!$A$6:$A$1005,0)),"MISSING ID")</x:f>
        <x:v>Proposal</x:v>
      </x:c>
      <x:c r="L1196" s="4" t="str">
        <x:f>IFERROR(INDEX('Items'!$AD$6:$AD$1005,MATCH(D1196,'Items'!$A$6:$A$1005,0)),"MISSING ID")</x:f>
        <x:v>Proposal</x:v>
      </x:c>
      <x:c r="M1196" s="4" t="str">
        <x:f>IFERROR(INDEX('Crafting recipes'!$E$6:$E$1005,MATCH(B1196,'Crafting recipes'!$A$6:$A$1005,0)),"MISSING ID")</x:f>
        <x:v>Partial proposal</x:v>
      </x:c>
      <x:c r="N1196" s="4" t="str">
        <x:v>Candidate source or part only. Quantity, grade and method remain open.</x:v>
      </x:c>
      <x:c r="O1196" s="4" t="str">
        <x:v>Collection expansion, October 15, 2026. New game proposal.</x:v>
      </x:c>
      <x:c r="P1196" s="4" t="n">
        <x:f>IF(OR(C1196="Ingredient candidate",C1196="Consumed input",C1196="Contained input",C1196="Transform input"),IF(F1196="T0",0,IF(F1196="T1",1,IF(F1196="T2",2,IF(F1196="T3",3,IF(F1196="T4",4,-1))))),-1)</x:f>
        <x:v>1</x:v>
      </x:c>
      <x:c r="Q1196" s="4" t="n">
        <x:f>IF(AND(OR(C1196="Ingredient candidate",C1196="Consumed input",C1196="Contained input",C1196="Transform input"),P1196=-1),1,0)</x:f>
        <x:v>0</x:v>
      </x:c>
    </x:row>
    <x:row r="1197" ht="64" customHeight="1">
      <x:c r="A1197" s="4" t="str">
        <x:v>design.collection.iron_cup_bell_chime.out</x:v>
      </x:c>
      <x:c r="B1197" s="4" t="str">
        <x:v>design.collection.iron_cup_bell_chime</x:v>
      </x:c>
      <x:c r="C1197" s="4" t="str">
        <x:v>Output</x:v>
      </x:c>
      <x:c r="D1197" s="4" t="str">
        <x:v>proposal.collection.iron_cup_bell_chime</x:v>
      </x:c>
      <x:c r="E1197" s="4" t="str">
        <x:f>IFERROR(INDEX('Items'!$B$6:$B$1005,MATCH(D1197,'Items'!$A$6:$A$1005,0)),"MISSING ID")</x:f>
        <x:v>Iron cup-bell chime</x:v>
      </x:c>
      <x:c r="F1197" s="4" t="str">
        <x:f>IFERROR(INDEX('Items'!$C$6:$C$1005,MATCH(D1197,'Items'!$A$6:$A$1005,0)),"MISSING ID")</x:f>
        <x:v>Not applicable</x:v>
      </x:c>
      <x:c r="G1197" s="4" t="str">
        <x:f>IFERROR(INDEX('Items'!$D$6:$D$1005,MATCH(D1197,'Items'!$A$6:$A$1005,0)),"MISSING ID")</x:f>
        <x:v>Salvage</x:v>
      </x:c>
      <x:c r="H1197" s="4" t="str">
        <x:f>IFERROR(INDEX('Items'!$X$6:$X$1005,MATCH(D1197,'Items'!$A$6:$A$1005,0)),"MISSING ID")</x:f>
        <x:v>Musical instrument</x:v>
      </x:c>
      <x:c r="I1197" s="4"/>
      <x:c r="J1197" s="4" t="str">
        <x:v>Unspecified</x:v>
      </x:c>
      <x:c r="K1197" s="4" t="str">
        <x:f>IFERROR(INDEX('Crafting recipes'!$D$6:$D$1005,MATCH(B1197,'Crafting recipes'!$A$6:$A$1005,0)),"MISSING ID")</x:f>
        <x:v>Proposal</x:v>
      </x:c>
      <x:c r="L1197" s="4" t="str">
        <x:f>IFERROR(INDEX('Items'!$AD$6:$AD$1005,MATCH(D1197,'Items'!$A$6:$A$1005,0)),"MISSING ID")</x:f>
        <x:v>Proposal</x:v>
      </x:c>
      <x:c r="M1197" s="4" t="str">
        <x:f>IFERROR(INDEX('Crafting recipes'!$E$6:$E$1005,MATCH(B1197,'Crafting recipes'!$A$6:$A$1005,0)),"MISSING ID")</x:f>
        <x:v>Partial proposal</x:v>
      </x:c>
      <x:c r="N1197" s="4" t="str">
        <x:v>Candidate source or part only. Quantity, grade and method remain open.</x:v>
      </x:c>
      <x:c r="O1197" s="4" t="str">
        <x:v>Collection expansion, October 15, 2026. New game proposal.</x:v>
      </x:c>
      <x:c r="P1197" s="4" t="n">
        <x:f>IF(OR(C1197="Ingredient candidate",C1197="Consumed input",C1197="Contained input",C1197="Transform input"),IF(F1197="T0",0,IF(F1197="T1",1,IF(F1197="T2",2,IF(F1197="T3",3,IF(F1197="T4",4,-1))))),-1)</x:f>
        <x:v>-1</x:v>
      </x:c>
      <x:c r="Q1197" s="4" t="n">
        <x:f>IF(AND(OR(C1197="Ingredient candidate",C1197="Consumed input",C1197="Contained input",C1197="Transform input"),P1197=-1),1,0)</x:f>
        <x:v>0</x:v>
      </x:c>
    </x:row>
    <x:row r="1198" ht="64" customHeight="1">
      <x:c r="A1198" s="4" t="str">
        <x:v>design.collection.stone_bar_resonator.in.1</x:v>
      </x:c>
      <x:c r="B1198" s="4" t="str">
        <x:v>design.collection.stone_bar_resonator</x:v>
      </x:c>
      <x:c r="C1198" s="4" t="str">
        <x:v>Ingredient candidate</x:v>
      </x:c>
      <x:c r="D1198" s="4" t="str">
        <x:v>proposal.branch.tuned_stone</x:v>
      </x:c>
      <x:c r="E1198" s="4" t="str">
        <x:f>IFERROR(INDEX('Items'!$B$6:$B$1005,MATCH(D1198,'Items'!$A$6:$A$1005,0)),"MISSING ID")</x:f>
        <x:v>Tuned stone stock</x:v>
      </x:c>
      <x:c r="F1198" s="4" t="str">
        <x:f>IFERROR(INDEX('Items'!$C$6:$C$1005,MATCH(D1198,'Items'!$A$6:$A$1005,0)),"MISSING ID")</x:f>
        <x:v>T2</x:v>
      </x:c>
      <x:c r="G1198" s="4" t="str">
        <x:f>IFERROR(INDEX('Items'!$D$6:$D$1005,MATCH(D1198,'Items'!$A$6:$A$1005,0)),"MISSING ID")</x:f>
        <x:v>Manufactured stock</x:v>
      </x:c>
      <x:c r="H1198" s="4" t="str">
        <x:f>IFERROR(INDEX('Items'!$X$6:$X$1005,MATCH(D1198,'Items'!$A$6:$A$1005,0)),"MISSING ID")</x:f>
        <x:v>Processed material</x:v>
      </x:c>
      <x:c r="I1198" s="4"/>
      <x:c r="J1198" s="4" t="str">
        <x:v>Unspecified</x:v>
      </x:c>
      <x:c r="K1198" s="4" t="str">
        <x:f>IFERROR(INDEX('Crafting recipes'!$D$6:$D$1005,MATCH(B1198,'Crafting recipes'!$A$6:$A$1005,0)),"MISSING ID")</x:f>
        <x:v>Proposal</x:v>
      </x:c>
      <x:c r="L1198" s="4" t="str">
        <x:f>IFERROR(INDEX('Items'!$AD$6:$AD$1005,MATCH(D1198,'Items'!$A$6:$A$1005,0)),"MISSING ID")</x:f>
        <x:v>Proposal</x:v>
      </x:c>
      <x:c r="M1198" s="4" t="str">
        <x:f>IFERROR(INDEX('Crafting recipes'!$E$6:$E$1005,MATCH(B1198,'Crafting recipes'!$A$6:$A$1005,0)),"MISSING ID")</x:f>
        <x:v>Partial proposal</x:v>
      </x:c>
      <x:c r="N1198" s="4" t="str">
        <x:v>Candidate source or part only. Quantity, grade and method remain open.</x:v>
      </x:c>
      <x:c r="O1198" s="4" t="str">
        <x:v>Collection expansion, October 15, 2026. New game proposal.</x:v>
      </x:c>
      <x:c r="P1198" s="4" t="n">
        <x:f>IF(OR(C1198="Ingredient candidate",C1198="Consumed input",C1198="Contained input",C1198="Transform input"),IF(F1198="T0",0,IF(F1198="T1",1,IF(F1198="T2",2,IF(F1198="T3",3,IF(F1198="T4",4,-1))))),-1)</x:f>
        <x:v>2</x:v>
      </x:c>
      <x:c r="Q1198" s="4" t="n">
        <x:f>IF(AND(OR(C1198="Ingredient candidate",C1198="Consumed input",C1198="Contained input",C1198="Transform input"),P1198=-1),1,0)</x:f>
        <x:v>0</x:v>
      </x:c>
    </x:row>
    <x:row r="1199" ht="64" customHeight="1">
      <x:c r="A1199" s="4" t="str">
        <x:v>design.collection.stone_bar_resonator.in.2</x:v>
      </x:c>
      <x:c r="B1199" s="4" t="str">
        <x:v>design.collection.stone_bar_resonator</x:v>
      </x:c>
      <x:c r="C1199" s="4" t="str">
        <x:v>Ingredient candidate</x:v>
      </x:c>
      <x:c r="D1199" s="4" t="str">
        <x:v>proposal.t1.shell_lamina</x:v>
      </x:c>
      <x:c r="E1199" s="4" t="str">
        <x:f>IFERROR(INDEX('Items'!$B$6:$B$1005,MATCH(D1199,'Items'!$A$6:$A$1005,0)),"MISSING ID")</x:f>
        <x:v>Separated shell lamina stock</x:v>
      </x:c>
      <x:c r="F1199" s="4" t="str">
        <x:f>IFERROR(INDEX('Items'!$C$6:$C$1005,MATCH(D1199,'Items'!$A$6:$A$1005,0)),"MISSING ID")</x:f>
        <x:v>T1</x:v>
      </x:c>
      <x:c r="G1199" s="4" t="str">
        <x:f>IFERROR(INDEX('Items'!$D$6:$D$1005,MATCH(D1199,'Items'!$A$6:$A$1005,0)),"MISSING ID")</x:f>
        <x:v>Manufactured stock</x:v>
      </x:c>
      <x:c r="H1199" s="4" t="str">
        <x:f>IFERROR(INDEX('Items'!$X$6:$X$1005,MATCH(D1199,'Items'!$A$6:$A$1005,0)),"MISSING ID")</x:f>
        <x:v>Processed material</x:v>
      </x:c>
      <x:c r="I1199" s="4"/>
      <x:c r="J1199" s="4" t="str">
        <x:v>Unspecified</x:v>
      </x:c>
      <x:c r="K1199" s="4" t="str">
        <x:f>IFERROR(INDEX('Crafting recipes'!$D$6:$D$1005,MATCH(B1199,'Crafting recipes'!$A$6:$A$1005,0)),"MISSING ID")</x:f>
        <x:v>Proposal</x:v>
      </x:c>
      <x:c r="L1199" s="4" t="str">
        <x:f>IFERROR(INDEX('Items'!$AD$6:$AD$1005,MATCH(D1199,'Items'!$A$6:$A$1005,0)),"MISSING ID")</x:f>
        <x:v>Proposal</x:v>
      </x:c>
      <x:c r="M1199" s="4" t="str">
        <x:f>IFERROR(INDEX('Crafting recipes'!$E$6:$E$1005,MATCH(B1199,'Crafting recipes'!$A$6:$A$1005,0)),"MISSING ID")</x:f>
        <x:v>Partial proposal</x:v>
      </x:c>
      <x:c r="N1199" s="4" t="str">
        <x:v>Candidate source or part only. Quantity, grade and method remain open.</x:v>
      </x:c>
      <x:c r="O1199" s="4" t="str">
        <x:v>Collection expansion, October 15, 2026. New game proposal.</x:v>
      </x:c>
      <x:c r="P1199" s="4" t="n">
        <x:f>IF(OR(C1199="Ingredient candidate",C1199="Consumed input",C1199="Contained input",C1199="Transform input"),IF(F1199="T0",0,IF(F1199="T1",1,IF(F1199="T2",2,IF(F1199="T3",3,IF(F1199="T4",4,-1))))),-1)</x:f>
        <x:v>1</x:v>
      </x:c>
      <x:c r="Q1199" s="4" t="n">
        <x:f>IF(AND(OR(C1199="Ingredient candidate",C1199="Consumed input",C1199="Contained input",C1199="Transform input"),P1199=-1),1,0)</x:f>
        <x:v>0</x:v>
      </x:c>
    </x:row>
    <x:row r="1200" ht="64" customHeight="1">
      <x:c r="A1200" s="4" t="str">
        <x:v>design.collection.stone_bar_resonator.out</x:v>
      </x:c>
      <x:c r="B1200" s="4" t="str">
        <x:v>design.collection.stone_bar_resonator</x:v>
      </x:c>
      <x:c r="C1200" s="4" t="str">
        <x:v>Output</x:v>
      </x:c>
      <x:c r="D1200" s="4" t="str">
        <x:v>proposal.collection.stone_bar_resonator</x:v>
      </x:c>
      <x:c r="E1200" s="4" t="str">
        <x:f>IFERROR(INDEX('Items'!$B$6:$B$1005,MATCH(D1200,'Items'!$A$6:$A$1005,0)),"MISSING ID")</x:f>
        <x:v>Stone-bar resonator</x:v>
      </x:c>
      <x:c r="F1200" s="4" t="str">
        <x:f>IFERROR(INDEX('Items'!$C$6:$C$1005,MATCH(D1200,'Items'!$A$6:$A$1005,0)),"MISSING ID")</x:f>
        <x:v>Not applicable</x:v>
      </x:c>
      <x:c r="G1200" s="4" t="str">
        <x:f>IFERROR(INDEX('Items'!$D$6:$D$1005,MATCH(D1200,'Items'!$A$6:$A$1005,0)),"MISSING ID")</x:f>
        <x:v>Salvage</x:v>
      </x:c>
      <x:c r="H1200" s="4" t="str">
        <x:f>IFERROR(INDEX('Items'!$X$6:$X$1005,MATCH(D1200,'Items'!$A$6:$A$1005,0)),"MISSING ID")</x:f>
        <x:v>Musical instrument</x:v>
      </x:c>
      <x:c r="I1200" s="4"/>
      <x:c r="J1200" s="4" t="str">
        <x:v>Unspecified</x:v>
      </x:c>
      <x:c r="K1200" s="4" t="str">
        <x:f>IFERROR(INDEX('Crafting recipes'!$D$6:$D$1005,MATCH(B1200,'Crafting recipes'!$A$6:$A$1005,0)),"MISSING ID")</x:f>
        <x:v>Proposal</x:v>
      </x:c>
      <x:c r="L1200" s="4" t="str">
        <x:f>IFERROR(INDEX('Items'!$AD$6:$AD$1005,MATCH(D1200,'Items'!$A$6:$A$1005,0)),"MISSING ID")</x:f>
        <x:v>Proposal</x:v>
      </x:c>
      <x:c r="M1200" s="4" t="str">
        <x:f>IFERROR(INDEX('Crafting recipes'!$E$6:$E$1005,MATCH(B1200,'Crafting recipes'!$A$6:$A$1005,0)),"MISSING ID")</x:f>
        <x:v>Partial proposal</x:v>
      </x:c>
      <x:c r="N1200" s="4" t="str">
        <x:v>Candidate source or part only. Quantity, grade and method remain open.</x:v>
      </x:c>
      <x:c r="O1200" s="4" t="str">
        <x:v>Collection expansion, October 15, 2026. New game proposal.</x:v>
      </x:c>
      <x:c r="P1200" s="4" t="n">
        <x:f>IF(OR(C1200="Ingredient candidate",C1200="Consumed input",C1200="Contained input",C1200="Transform input"),IF(F1200="T0",0,IF(F1200="T1",1,IF(F1200="T2",2,IF(F1200="T3",3,IF(F1200="T4",4,-1))))),-1)</x:f>
        <x:v>-1</x:v>
      </x:c>
      <x:c r="Q1200" s="4" t="n">
        <x:f>IF(AND(OR(C1200="Ingredient candidate",C1200="Consumed input",C1200="Contained input",C1200="Transform input"),P1200=-1),1,0)</x:f>
        <x:v>0</x:v>
      </x:c>
    </x:row>
    <x:row r="1201" ht="64" customHeight="1">
      <x:c r="A1201" s="4" t="str">
        <x:v>design.collection.steel_tongue_drum.in.1</x:v>
      </x:c>
      <x:c r="B1201" s="4" t="str">
        <x:v>design.collection.steel_tongue_drum</x:v>
      </x:c>
      <x:c r="C1201" s="4" t="str">
        <x:v>Ingredient candidate</x:v>
      </x:c>
      <x:c r="D1201" s="4" t="str">
        <x:v>proposal.collection.annealed_iron_sheet_stock</x:v>
      </x:c>
      <x:c r="E1201" s="4" t="str">
        <x:f>IFERROR(INDEX('Items'!$B$6:$B$1005,MATCH(D1201,'Items'!$A$6:$A$1005,0)),"MISSING ID")</x:f>
        <x:v>Annealed iron sheet stock</x:v>
      </x:c>
      <x:c r="F1201" s="4" t="str">
        <x:f>IFERROR(INDEX('Items'!$C$6:$C$1005,MATCH(D1201,'Items'!$A$6:$A$1005,0)),"MISSING ID")</x:f>
        <x:v>T3</x:v>
      </x:c>
      <x:c r="G1201" s="4" t="str">
        <x:f>IFERROR(INDEX('Items'!$D$6:$D$1005,MATCH(D1201,'Items'!$A$6:$A$1005,0)),"MISSING ID")</x:f>
        <x:v>Manufactured stock</x:v>
      </x:c>
      <x:c r="H1201" s="4" t="str">
        <x:f>IFERROR(INDEX('Items'!$X$6:$X$1005,MATCH(D1201,'Items'!$A$6:$A$1005,0)),"MISSING ID")</x:f>
        <x:v>Processed material</x:v>
      </x:c>
      <x:c r="I1201" s="4"/>
      <x:c r="J1201" s="4" t="str">
        <x:v>Unspecified</x:v>
      </x:c>
      <x:c r="K1201" s="4" t="str">
        <x:f>IFERROR(INDEX('Crafting recipes'!$D$6:$D$1005,MATCH(B1201,'Crafting recipes'!$A$6:$A$1005,0)),"MISSING ID")</x:f>
        <x:v>Proposal</x:v>
      </x:c>
      <x:c r="L1201" s="4" t="str">
        <x:f>IFERROR(INDEX('Items'!$AD$6:$AD$1005,MATCH(D1201,'Items'!$A$6:$A$1005,0)),"MISSING ID")</x:f>
        <x:v>Proposal</x:v>
      </x:c>
      <x:c r="M1201" s="4" t="str">
        <x:f>IFERROR(INDEX('Crafting recipes'!$E$6:$E$1005,MATCH(B1201,'Crafting recipes'!$A$6:$A$1005,0)),"MISSING ID")</x:f>
        <x:v>Partial proposal</x:v>
      </x:c>
      <x:c r="N1201" s="4" t="str">
        <x:v>Candidate source or part only. Quantity, grade and method remain open.</x:v>
      </x:c>
      <x:c r="O1201" s="4" t="str">
        <x:v>Collection expansion, October 15, 2026. New game proposal.</x:v>
      </x:c>
      <x:c r="P1201" s="4" t="n">
        <x:f>IF(OR(C1201="Ingredient candidate",C1201="Consumed input",C1201="Contained input",C1201="Transform input"),IF(F1201="T0",0,IF(F1201="T1",1,IF(F1201="T2",2,IF(F1201="T3",3,IF(F1201="T4",4,-1))))),-1)</x:f>
        <x:v>3</x:v>
      </x:c>
      <x:c r="Q1201" s="4" t="n">
        <x:f>IF(AND(OR(C1201="Ingredient candidate",C1201="Consumed input",C1201="Contained input",C1201="Transform input"),P1201=-1),1,0)</x:f>
        <x:v>0</x:v>
      </x:c>
    </x:row>
    <x:row r="1202" ht="64" customHeight="1">
      <x:c r="A1202" s="4" t="str">
        <x:v>design.collection.steel_tongue_drum.out</x:v>
      </x:c>
      <x:c r="B1202" s="4" t="str">
        <x:v>design.collection.steel_tongue_drum</x:v>
      </x:c>
      <x:c r="C1202" s="4" t="str">
        <x:v>Output</x:v>
      </x:c>
      <x:c r="D1202" s="4" t="str">
        <x:v>proposal.collection.steel_tongue_drum</x:v>
      </x:c>
      <x:c r="E1202" s="4" t="str">
        <x:f>IFERROR(INDEX('Items'!$B$6:$B$1005,MATCH(D1202,'Items'!$A$6:$A$1005,0)),"MISSING ID")</x:f>
        <x:v>Steel tongue drum</x:v>
      </x:c>
      <x:c r="F1202" s="4" t="str">
        <x:f>IFERROR(INDEX('Items'!$C$6:$C$1005,MATCH(D1202,'Items'!$A$6:$A$1005,0)),"MISSING ID")</x:f>
        <x:v>Not applicable</x:v>
      </x:c>
      <x:c r="G1202" s="4" t="str">
        <x:f>IFERROR(INDEX('Items'!$D$6:$D$1005,MATCH(D1202,'Items'!$A$6:$A$1005,0)),"MISSING ID")</x:f>
        <x:v>Salvage</x:v>
      </x:c>
      <x:c r="H1202" s="4" t="str">
        <x:f>IFERROR(INDEX('Items'!$X$6:$X$1005,MATCH(D1202,'Items'!$A$6:$A$1005,0)),"MISSING ID")</x:f>
        <x:v>Musical instrument</x:v>
      </x:c>
      <x:c r="I1202" s="4"/>
      <x:c r="J1202" s="4" t="str">
        <x:v>Unspecified</x:v>
      </x:c>
      <x:c r="K1202" s="4" t="str">
        <x:f>IFERROR(INDEX('Crafting recipes'!$D$6:$D$1005,MATCH(B1202,'Crafting recipes'!$A$6:$A$1005,0)),"MISSING ID")</x:f>
        <x:v>Proposal</x:v>
      </x:c>
      <x:c r="L1202" s="4" t="str">
        <x:f>IFERROR(INDEX('Items'!$AD$6:$AD$1005,MATCH(D1202,'Items'!$A$6:$A$1005,0)),"MISSING ID")</x:f>
        <x:v>Proposal</x:v>
      </x:c>
      <x:c r="M1202" s="4" t="str">
        <x:f>IFERROR(INDEX('Crafting recipes'!$E$6:$E$1005,MATCH(B1202,'Crafting recipes'!$A$6:$A$1005,0)),"MISSING ID")</x:f>
        <x:v>Partial proposal</x:v>
      </x:c>
      <x:c r="N1202" s="4" t="str">
        <x:v>Candidate source or part only. Quantity, grade and method remain open.</x:v>
      </x:c>
      <x:c r="O1202" s="4" t="str">
        <x:v>Collection expansion, October 15, 2026. New game proposal.</x:v>
      </x:c>
      <x:c r="P1202" s="4" t="n">
        <x:f>IF(OR(C1202="Ingredient candidate",C1202="Consumed input",C1202="Contained input",C1202="Transform input"),IF(F1202="T0",0,IF(F1202="T1",1,IF(F1202="T2",2,IF(F1202="T3",3,IF(F1202="T4",4,-1))))),-1)</x:f>
        <x:v>-1</x:v>
      </x:c>
      <x:c r="Q1202" s="4" t="n">
        <x:f>IF(AND(OR(C1202="Ingredient candidate",C1202="Consumed input",C1202="Contained input",C1202="Transform input"),P1202=-1),1,0)</x:f>
        <x:v>0</x:v>
      </x:c>
    </x:row>
    <x:row r="1203" ht="64" customHeight="1">
      <x:c r="A1203" s="4" t="str">
        <x:v>design.collection.metal_transverse_flute.in.1</x:v>
      </x:c>
      <x:c r="B1203" s="4" t="str">
        <x:v>design.collection.metal_transverse_flute</x:v>
      </x:c>
      <x:c r="C1203" s="4" t="str">
        <x:v>Ingredient candidate</x:v>
      </x:c>
      <x:c r="D1203" s="4" t="str">
        <x:v>proposal.t3.precision_tube</x:v>
      </x:c>
      <x:c r="E1203" s="4" t="str">
        <x:f>IFERROR(INDEX('Items'!$B$6:$B$1005,MATCH(D1203,'Items'!$A$6:$A$1005,0)),"MISSING ID")</x:f>
        <x:v>Drawn steel tube stock</x:v>
      </x:c>
      <x:c r="F1203" s="4" t="str">
        <x:f>IFERROR(INDEX('Items'!$C$6:$C$1005,MATCH(D1203,'Items'!$A$6:$A$1005,0)),"MISSING ID")</x:f>
        <x:v>T3</x:v>
      </x:c>
      <x:c r="G1203" s="4" t="str">
        <x:f>IFERROR(INDEX('Items'!$D$6:$D$1005,MATCH(D1203,'Items'!$A$6:$A$1005,0)),"MISSING ID")</x:f>
        <x:v>Manufactured stock</x:v>
      </x:c>
      <x:c r="H1203" s="4" t="str">
        <x:f>IFERROR(INDEX('Items'!$X$6:$X$1005,MATCH(D1203,'Items'!$A$6:$A$1005,0)),"MISSING ID")</x:f>
        <x:v>Processed material</x:v>
      </x:c>
      <x:c r="I1203" s="4"/>
      <x:c r="J1203" s="4" t="str">
        <x:v>Unspecified</x:v>
      </x:c>
      <x:c r="K1203" s="4" t="str">
        <x:f>IFERROR(INDEX('Crafting recipes'!$D$6:$D$1005,MATCH(B1203,'Crafting recipes'!$A$6:$A$1005,0)),"MISSING ID")</x:f>
        <x:v>Proposal</x:v>
      </x:c>
      <x:c r="L1203" s="4" t="str">
        <x:f>IFERROR(INDEX('Items'!$AD$6:$AD$1005,MATCH(D1203,'Items'!$A$6:$A$1005,0)),"MISSING ID")</x:f>
        <x:v>Proposal</x:v>
      </x:c>
      <x:c r="M1203" s="4" t="str">
        <x:f>IFERROR(INDEX('Crafting recipes'!$E$6:$E$1005,MATCH(B1203,'Crafting recipes'!$A$6:$A$1005,0)),"MISSING ID")</x:f>
        <x:v>Partial proposal</x:v>
      </x:c>
      <x:c r="N1203" s="4" t="str">
        <x:v>Candidate source or part only. Quantity, grade and method remain open.</x:v>
      </x:c>
      <x:c r="O1203" s="4" t="str">
        <x:v>Collection expansion, October 15, 2026. New game proposal.</x:v>
      </x:c>
      <x:c r="P1203" s="4" t="n">
        <x:f>IF(OR(C1203="Ingredient candidate",C1203="Consumed input",C1203="Contained input",C1203="Transform input"),IF(F1203="T0",0,IF(F1203="T1",1,IF(F1203="T2",2,IF(F1203="T3",3,IF(F1203="T4",4,-1))))),-1)</x:f>
        <x:v>3</x:v>
      </x:c>
      <x:c r="Q1203" s="4" t="n">
        <x:f>IF(AND(OR(C1203="Ingredient candidate",C1203="Consumed input",C1203="Contained input",C1203="Transform input"),P1203=-1),1,0)</x:f>
        <x:v>0</x:v>
      </x:c>
    </x:row>
    <x:row r="1204" ht="64" customHeight="1">
      <x:c r="A1204" s="4" t="str">
        <x:v>design.collection.metal_transverse_flute.out</x:v>
      </x:c>
      <x:c r="B1204" s="4" t="str">
        <x:v>design.collection.metal_transverse_flute</x:v>
      </x:c>
      <x:c r="C1204" s="4" t="str">
        <x:v>Output</x:v>
      </x:c>
      <x:c r="D1204" s="4" t="str">
        <x:v>proposal.collection.metal_transverse_flute</x:v>
      </x:c>
      <x:c r="E1204" s="4" t="str">
        <x:f>IFERROR(INDEX('Items'!$B$6:$B$1005,MATCH(D1204,'Items'!$A$6:$A$1005,0)),"MISSING ID")</x:f>
        <x:v>Metal transverse flute</x:v>
      </x:c>
      <x:c r="F1204" s="4" t="str">
        <x:f>IFERROR(INDEX('Items'!$C$6:$C$1005,MATCH(D1204,'Items'!$A$6:$A$1005,0)),"MISSING ID")</x:f>
        <x:v>Not applicable</x:v>
      </x:c>
      <x:c r="G1204" s="4" t="str">
        <x:f>IFERROR(INDEX('Items'!$D$6:$D$1005,MATCH(D1204,'Items'!$A$6:$A$1005,0)),"MISSING ID")</x:f>
        <x:v>Salvage</x:v>
      </x:c>
      <x:c r="H1204" s="4" t="str">
        <x:f>IFERROR(INDEX('Items'!$X$6:$X$1005,MATCH(D1204,'Items'!$A$6:$A$1005,0)),"MISSING ID")</x:f>
        <x:v>Musical instrument</x:v>
      </x:c>
      <x:c r="I1204" s="4"/>
      <x:c r="J1204" s="4" t="str">
        <x:v>Unspecified</x:v>
      </x:c>
      <x:c r="K1204" s="4" t="str">
        <x:f>IFERROR(INDEX('Crafting recipes'!$D$6:$D$1005,MATCH(B1204,'Crafting recipes'!$A$6:$A$1005,0)),"MISSING ID")</x:f>
        <x:v>Proposal</x:v>
      </x:c>
      <x:c r="L1204" s="4" t="str">
        <x:f>IFERROR(INDEX('Items'!$AD$6:$AD$1005,MATCH(D1204,'Items'!$A$6:$A$1005,0)),"MISSING ID")</x:f>
        <x:v>Proposal</x:v>
      </x:c>
      <x:c r="M1204" s="4" t="str">
        <x:f>IFERROR(INDEX('Crafting recipes'!$E$6:$E$1005,MATCH(B1204,'Crafting recipes'!$A$6:$A$1005,0)),"MISSING ID")</x:f>
        <x:v>Partial proposal</x:v>
      </x:c>
      <x:c r="N1204" s="4" t="str">
        <x:v>Candidate source or part only. Quantity, grade and method remain open.</x:v>
      </x:c>
      <x:c r="O1204" s="4" t="str">
        <x:v>Collection expansion, October 15, 2026. New game proposal.</x:v>
      </x:c>
      <x:c r="P1204" s="4" t="n">
        <x:f>IF(OR(C1204="Ingredient candidate",C1204="Consumed input",C1204="Contained input",C1204="Transform input"),IF(F1204="T0",0,IF(F1204="T1",1,IF(F1204="T2",2,IF(F1204="T3",3,IF(F1204="T4",4,-1))))),-1)</x:f>
        <x:v>-1</x:v>
      </x:c>
      <x:c r="Q1204" s="4" t="n">
        <x:f>IF(AND(OR(C1204="Ingredient candidate",C1204="Consumed input",C1204="Contained input",C1204="Transform input"),P1204=-1),1,0)</x:f>
        <x:v>0</x:v>
      </x:c>
    </x:row>
    <x:row r="1205" ht="64" customHeight="1">
      <x:c r="A1205" s="4" t="str">
        <x:v>design.collection.ceramic_duct_flute.in.1</x:v>
      </x:c>
      <x:c r="B1205" s="4" t="str">
        <x:v>design.collection.ceramic_duct_flute</x:v>
      </x:c>
      <x:c r="C1205" s="4" t="str">
        <x:v>Ingredient candidate</x:v>
      </x:c>
      <x:c r="D1205" s="4" t="str">
        <x:v>proposal.ceramic.body_feed</x:v>
      </x:c>
      <x:c r="E1205" s="4" t="str">
        <x:f>IFERROR(INDEX('Items'!$B$6:$B$1005,MATCH(D1205,'Items'!$A$6:$A$1005,0)),"MISSING ID")</x:f>
        <x:v>Prepared ceramic body feed</x:v>
      </x:c>
      <x:c r="F1205" s="4" t="str">
        <x:f>IFERROR(INDEX('Items'!$C$6:$C$1005,MATCH(D1205,'Items'!$A$6:$A$1005,0)),"MISSING ID")</x:f>
        <x:v>T1</x:v>
      </x:c>
      <x:c r="G1205" s="4" t="str">
        <x:f>IFERROR(INDEX('Items'!$D$6:$D$1005,MATCH(D1205,'Items'!$A$6:$A$1005,0)),"MISSING ID")</x:f>
        <x:v>Manufactured stock</x:v>
      </x:c>
      <x:c r="H1205" s="4" t="str">
        <x:f>IFERROR(INDEX('Items'!$X$6:$X$1005,MATCH(D1205,'Items'!$A$6:$A$1005,0)),"MISSING ID")</x:f>
        <x:v>Processed material</x:v>
      </x:c>
      <x:c r="I1205" s="4"/>
      <x:c r="J1205" s="4" t="str">
        <x:v>Unspecified</x:v>
      </x:c>
      <x:c r="K1205" s="4" t="str">
        <x:f>IFERROR(INDEX('Crafting recipes'!$D$6:$D$1005,MATCH(B1205,'Crafting recipes'!$A$6:$A$1005,0)),"MISSING ID")</x:f>
        <x:v>Proposal</x:v>
      </x:c>
      <x:c r="L1205" s="4" t="str">
        <x:f>IFERROR(INDEX('Items'!$AD$6:$AD$1005,MATCH(D1205,'Items'!$A$6:$A$1005,0)),"MISSING ID")</x:f>
        <x:v>Proposal</x:v>
      </x:c>
      <x:c r="M1205" s="4" t="str">
        <x:f>IFERROR(INDEX('Crafting recipes'!$E$6:$E$1005,MATCH(B1205,'Crafting recipes'!$A$6:$A$1005,0)),"MISSING ID")</x:f>
        <x:v>Partial proposal</x:v>
      </x:c>
      <x:c r="N1205" s="4" t="str">
        <x:v>Candidate source or part only. Quantity, grade and method remain open.</x:v>
      </x:c>
      <x:c r="O1205" s="4" t="str">
        <x:v>Collection expansion, October 15, 2026. New game proposal.</x:v>
      </x:c>
      <x:c r="P1205" s="4" t="n">
        <x:f>IF(OR(C1205="Ingredient candidate",C1205="Consumed input",C1205="Contained input",C1205="Transform input"),IF(F1205="T0",0,IF(F1205="T1",1,IF(F1205="T2",2,IF(F1205="T3",3,IF(F1205="T4",4,-1))))),-1)</x:f>
        <x:v>1</x:v>
      </x:c>
      <x:c r="Q1205" s="4" t="n">
        <x:f>IF(AND(OR(C1205="Ingredient candidate",C1205="Consumed input",C1205="Contained input",C1205="Transform input"),P1205=-1),1,0)</x:f>
        <x:v>0</x:v>
      </x:c>
    </x:row>
    <x:row r="1206" ht="64" customHeight="1">
      <x:c r="A1206" s="4" t="str">
        <x:v>design.collection.ceramic_duct_flute.out</x:v>
      </x:c>
      <x:c r="B1206" s="4" t="str">
        <x:v>design.collection.ceramic_duct_flute</x:v>
      </x:c>
      <x:c r="C1206" s="4" t="str">
        <x:v>Output</x:v>
      </x:c>
      <x:c r="D1206" s="4" t="str">
        <x:v>proposal.collection.ceramic_duct_flute</x:v>
      </x:c>
      <x:c r="E1206" s="4" t="str">
        <x:f>IFERROR(INDEX('Items'!$B$6:$B$1005,MATCH(D1206,'Items'!$A$6:$A$1005,0)),"MISSING ID")</x:f>
        <x:v>Ceramic duct flute</x:v>
      </x:c>
      <x:c r="F1206" s="4" t="str">
        <x:f>IFERROR(INDEX('Items'!$C$6:$C$1005,MATCH(D1206,'Items'!$A$6:$A$1005,0)),"MISSING ID")</x:f>
        <x:v>Not applicable</x:v>
      </x:c>
      <x:c r="G1206" s="4" t="str">
        <x:f>IFERROR(INDEX('Items'!$D$6:$D$1005,MATCH(D1206,'Items'!$A$6:$A$1005,0)),"MISSING ID")</x:f>
        <x:v>Salvage</x:v>
      </x:c>
      <x:c r="H1206" s="4" t="str">
        <x:f>IFERROR(INDEX('Items'!$X$6:$X$1005,MATCH(D1206,'Items'!$A$6:$A$1005,0)),"MISSING ID")</x:f>
        <x:v>Musical instrument</x:v>
      </x:c>
      <x:c r="I1206" s="4"/>
      <x:c r="J1206" s="4" t="str">
        <x:v>Unspecified</x:v>
      </x:c>
      <x:c r="K1206" s="4" t="str">
        <x:f>IFERROR(INDEX('Crafting recipes'!$D$6:$D$1005,MATCH(B1206,'Crafting recipes'!$A$6:$A$1005,0)),"MISSING ID")</x:f>
        <x:v>Proposal</x:v>
      </x:c>
      <x:c r="L1206" s="4" t="str">
        <x:f>IFERROR(INDEX('Items'!$AD$6:$AD$1005,MATCH(D1206,'Items'!$A$6:$A$1005,0)),"MISSING ID")</x:f>
        <x:v>Proposal</x:v>
      </x:c>
      <x:c r="M1206" s="4" t="str">
        <x:f>IFERROR(INDEX('Crafting recipes'!$E$6:$E$1005,MATCH(B1206,'Crafting recipes'!$A$6:$A$1005,0)),"MISSING ID")</x:f>
        <x:v>Partial proposal</x:v>
      </x:c>
      <x:c r="N1206" s="4" t="str">
        <x:v>Candidate source or part only. Quantity, grade and method remain open.</x:v>
      </x:c>
      <x:c r="O1206" s="4" t="str">
        <x:v>Collection expansion, October 15, 2026. New game proposal.</x:v>
      </x:c>
      <x:c r="P1206" s="4" t="n">
        <x:f>IF(OR(C1206="Ingredient candidate",C1206="Consumed input",C1206="Contained input",C1206="Transform input"),IF(F1206="T0",0,IF(F1206="T1",1,IF(F1206="T2",2,IF(F1206="T3",3,IF(F1206="T4",4,-1))))),-1)</x:f>
        <x:v>-1</x:v>
      </x:c>
      <x:c r="Q1206" s="4" t="n">
        <x:f>IF(AND(OR(C1206="Ingredient candidate",C1206="Consumed input",C1206="Contained input",C1206="Transform input"),P1206=-1),1,0)</x:f>
        <x:v>0</x:v>
      </x:c>
    </x:row>
    <x:row r="1207" ht="64" customHeight="1">
      <x:c r="A1207" s="4" t="str">
        <x:v>design.collection.hollow_horn_flute.in.1</x:v>
      </x:c>
      <x:c r="B1207" s="4" t="str">
        <x:v>design.collection.hollow_horn_flute</x:v>
      </x:c>
      <x:c r="C1207" s="4" t="str">
        <x:v>Ingredient candidate</x:v>
      </x:c>
      <x:c r="D1207" s="4" t="str">
        <x:v>proposal.raw.horn_core</x:v>
      </x:c>
      <x:c r="E1207" s="4" t="str">
        <x:f>IFERROR(INDEX('Items'!$B$6:$B$1005,MATCH(D1207,'Items'!$A$6:$A$1005,0)),"MISSING ID")</x:f>
        <x:v>Fauna horn cores</x:v>
      </x:c>
      <x:c r="F1207" s="4" t="str">
        <x:f>IFERROR(INDEX('Items'!$C$6:$C$1005,MATCH(D1207,'Items'!$A$6:$A$1005,0)),"MISSING ID")</x:f>
        <x:v>T0</x:v>
      </x:c>
      <x:c r="G1207" s="4" t="str">
        <x:f>IFERROR(INDEX('Items'!$D$6:$D$1005,MATCH(D1207,'Items'!$A$6:$A$1005,0)),"MISSING ID")</x:f>
        <x:v>Biological resources</x:v>
      </x:c>
      <x:c r="H1207" s="4" t="str">
        <x:f>IFERROR(INDEX('Items'!$X$6:$X$1005,MATCH(D1207,'Items'!$A$6:$A$1005,0)),"MISSING ID")</x:f>
        <x:v>Raw material</x:v>
      </x:c>
      <x:c r="I1207" s="4"/>
      <x:c r="J1207" s="4" t="str">
        <x:v>Unspecified</x:v>
      </x:c>
      <x:c r="K1207" s="4" t="str">
        <x:f>IFERROR(INDEX('Crafting recipes'!$D$6:$D$1005,MATCH(B1207,'Crafting recipes'!$A$6:$A$1005,0)),"MISSING ID")</x:f>
        <x:v>Proposal</x:v>
      </x:c>
      <x:c r="L1207" s="4" t="str">
        <x:f>IFERROR(INDEX('Items'!$AD$6:$AD$1005,MATCH(D1207,'Items'!$A$6:$A$1005,0)),"MISSING ID")</x:f>
        <x:v>Proposal</x:v>
      </x:c>
      <x:c r="M1207" s="4" t="str">
        <x:f>IFERROR(INDEX('Crafting recipes'!$E$6:$E$1005,MATCH(B1207,'Crafting recipes'!$A$6:$A$1005,0)),"MISSING ID")</x:f>
        <x:v>Partial proposal</x:v>
      </x:c>
      <x:c r="N1207" s="4" t="str">
        <x:v>Candidate source or part only. Quantity, grade and method remain open.</x:v>
      </x:c>
      <x:c r="O1207" s="4" t="str">
        <x:v>Collection expansion, October 15, 2026. New game proposal.</x:v>
      </x:c>
      <x:c r="P1207" s="4" t="n">
        <x:f>IF(OR(C1207="Ingredient candidate",C1207="Consumed input",C1207="Contained input",C1207="Transform input"),IF(F1207="T0",0,IF(F1207="T1",1,IF(F1207="T2",2,IF(F1207="T3",3,IF(F1207="T4",4,-1))))),-1)</x:f>
        <x:v>0</x:v>
      </x:c>
      <x:c r="Q1207" s="4" t="n">
        <x:f>IF(AND(OR(C1207="Ingredient candidate",C1207="Consumed input",C1207="Contained input",C1207="Transform input"),P1207=-1),1,0)</x:f>
        <x:v>0</x:v>
      </x:c>
    </x:row>
    <x:row r="1208" ht="64" customHeight="1">
      <x:c r="A1208" s="4" t="str">
        <x:v>design.collection.hollow_horn_flute.out</x:v>
      </x:c>
      <x:c r="B1208" s="4" t="str">
        <x:v>design.collection.hollow_horn_flute</x:v>
      </x:c>
      <x:c r="C1208" s="4" t="str">
        <x:v>Output</x:v>
      </x:c>
      <x:c r="D1208" s="4" t="str">
        <x:v>proposal.collection.hollow_horn_flute</x:v>
      </x:c>
      <x:c r="E1208" s="4" t="str">
        <x:f>IFERROR(INDEX('Items'!$B$6:$B$1005,MATCH(D1208,'Items'!$A$6:$A$1005,0)),"MISSING ID")</x:f>
        <x:v>Hollow-horn flute</x:v>
      </x:c>
      <x:c r="F1208" s="4" t="str">
        <x:f>IFERROR(INDEX('Items'!$C$6:$C$1005,MATCH(D1208,'Items'!$A$6:$A$1005,0)),"MISSING ID")</x:f>
        <x:v>Not applicable</x:v>
      </x:c>
      <x:c r="G1208" s="4" t="str">
        <x:f>IFERROR(INDEX('Items'!$D$6:$D$1005,MATCH(D1208,'Items'!$A$6:$A$1005,0)),"MISSING ID")</x:f>
        <x:v>Salvage</x:v>
      </x:c>
      <x:c r="H1208" s="4" t="str">
        <x:f>IFERROR(INDEX('Items'!$X$6:$X$1005,MATCH(D1208,'Items'!$A$6:$A$1005,0)),"MISSING ID")</x:f>
        <x:v>Musical instrument</x:v>
      </x:c>
      <x:c r="I1208" s="4"/>
      <x:c r="J1208" s="4" t="str">
        <x:v>Unspecified</x:v>
      </x:c>
      <x:c r="K1208" s="4" t="str">
        <x:f>IFERROR(INDEX('Crafting recipes'!$D$6:$D$1005,MATCH(B1208,'Crafting recipes'!$A$6:$A$1005,0)),"MISSING ID")</x:f>
        <x:v>Proposal</x:v>
      </x:c>
      <x:c r="L1208" s="4" t="str">
        <x:f>IFERROR(INDEX('Items'!$AD$6:$AD$1005,MATCH(D1208,'Items'!$A$6:$A$1005,0)),"MISSING ID")</x:f>
        <x:v>Proposal</x:v>
      </x:c>
      <x:c r="M1208" s="4" t="str">
        <x:f>IFERROR(INDEX('Crafting recipes'!$E$6:$E$1005,MATCH(B1208,'Crafting recipes'!$A$6:$A$1005,0)),"MISSING ID")</x:f>
        <x:v>Partial proposal</x:v>
      </x:c>
      <x:c r="N1208" s="4" t="str">
        <x:v>Candidate source or part only. Quantity, grade and method remain open.</x:v>
      </x:c>
      <x:c r="O1208" s="4" t="str">
        <x:v>Collection expansion, October 15, 2026. New game proposal.</x:v>
      </x:c>
      <x:c r="P1208" s="4" t="n">
        <x:f>IF(OR(C1208="Ingredient candidate",C1208="Consumed input",C1208="Contained input",C1208="Transform input"),IF(F1208="T0",0,IF(F1208="T1",1,IF(F1208="T2",2,IF(F1208="T3",3,IF(F1208="T4",4,-1))))),-1)</x:f>
        <x:v>-1</x:v>
      </x:c>
      <x:c r="Q1208" s="4" t="n">
        <x:f>IF(AND(OR(C1208="Ingredient candidate",C1208="Consumed input",C1208="Contained input",C1208="Transform input"),P1208=-1),1,0)</x:f>
        <x:v>0</x:v>
      </x:c>
    </x:row>
    <x:row r="1209" ht="64" customHeight="1">
      <x:c r="A1209" s="4" t="str">
        <x:v>design.collection.wing_rib_whistle.in.1</x:v>
      </x:c>
      <x:c r="B1209" s="4" t="str">
        <x:v>design.collection.wing_rib_whistle</x:v>
      </x:c>
      <x:c r="C1209" s="4" t="str">
        <x:v>Ingredient candidate</x:v>
      </x:c>
      <x:c r="D1209" s="4" t="str">
        <x:v>proposal.raw.wing_ribs</x:v>
      </x:c>
      <x:c r="E1209" s="4" t="str">
        <x:f>IFERROR(INDEX('Items'!$B$6:$B$1005,MATCH(D1209,'Items'!$A$6:$A$1005,0)),"MISSING ID")</x:f>
        <x:v>Insectoid wing ribs</x:v>
      </x:c>
      <x:c r="F1209" s="4" t="str">
        <x:f>IFERROR(INDEX('Items'!$C$6:$C$1005,MATCH(D1209,'Items'!$A$6:$A$1005,0)),"MISSING ID")</x:f>
        <x:v>T0</x:v>
      </x:c>
      <x:c r="G1209" s="4" t="str">
        <x:f>IFERROR(INDEX('Items'!$D$6:$D$1005,MATCH(D1209,'Items'!$A$6:$A$1005,0)),"MISSING ID")</x:f>
        <x:v>Biological resources</x:v>
      </x:c>
      <x:c r="H1209" s="4" t="str">
        <x:f>IFERROR(INDEX('Items'!$X$6:$X$1005,MATCH(D1209,'Items'!$A$6:$A$1005,0)),"MISSING ID")</x:f>
        <x:v>Raw material</x:v>
      </x:c>
      <x:c r="I1209" s="4"/>
      <x:c r="J1209" s="4" t="str">
        <x:v>Unspecified</x:v>
      </x:c>
      <x:c r="K1209" s="4" t="str">
        <x:f>IFERROR(INDEX('Crafting recipes'!$D$6:$D$1005,MATCH(B1209,'Crafting recipes'!$A$6:$A$1005,0)),"MISSING ID")</x:f>
        <x:v>Proposal</x:v>
      </x:c>
      <x:c r="L1209" s="4" t="str">
        <x:f>IFERROR(INDEX('Items'!$AD$6:$AD$1005,MATCH(D1209,'Items'!$A$6:$A$1005,0)),"MISSING ID")</x:f>
        <x:v>Proposal</x:v>
      </x:c>
      <x:c r="M1209" s="4" t="str">
        <x:f>IFERROR(INDEX('Crafting recipes'!$E$6:$E$1005,MATCH(B1209,'Crafting recipes'!$A$6:$A$1005,0)),"MISSING ID")</x:f>
        <x:v>Partial proposal</x:v>
      </x:c>
      <x:c r="N1209" s="4" t="str">
        <x:v>Candidate source or part only. Quantity, grade and method remain open.</x:v>
      </x:c>
      <x:c r="O1209" s="4" t="str">
        <x:v>Collection expansion, October 15, 2026. New game proposal.</x:v>
      </x:c>
      <x:c r="P1209" s="4" t="n">
        <x:f>IF(OR(C1209="Ingredient candidate",C1209="Consumed input",C1209="Contained input",C1209="Transform input"),IF(F1209="T0",0,IF(F1209="T1",1,IF(F1209="T2",2,IF(F1209="T3",3,IF(F1209="T4",4,-1))))),-1)</x:f>
        <x:v>0</x:v>
      </x:c>
      <x:c r="Q1209" s="4" t="n">
        <x:f>IF(AND(OR(C1209="Ingredient candidate",C1209="Consumed input",C1209="Contained input",C1209="Transform input"),P1209=-1),1,0)</x:f>
        <x:v>0</x:v>
      </x:c>
    </x:row>
    <x:row r="1210" ht="64" customHeight="1">
      <x:c r="A1210" s="4" t="str">
        <x:v>design.collection.wing_rib_whistle.out</x:v>
      </x:c>
      <x:c r="B1210" s="4" t="str">
        <x:v>design.collection.wing_rib_whistle</x:v>
      </x:c>
      <x:c r="C1210" s="4" t="str">
        <x:v>Output</x:v>
      </x:c>
      <x:c r="D1210" s="4" t="str">
        <x:v>proposal.collection.wing_rib_whistle</x:v>
      </x:c>
      <x:c r="E1210" s="4" t="str">
        <x:f>IFERROR(INDEX('Items'!$B$6:$B$1005,MATCH(D1210,'Items'!$A$6:$A$1005,0)),"MISSING ID")</x:f>
        <x:v>Wing-rib whistle</x:v>
      </x:c>
      <x:c r="F1210" s="4" t="str">
        <x:f>IFERROR(INDEX('Items'!$C$6:$C$1005,MATCH(D1210,'Items'!$A$6:$A$1005,0)),"MISSING ID")</x:f>
        <x:v>Not applicable</x:v>
      </x:c>
      <x:c r="G1210" s="4" t="str">
        <x:f>IFERROR(INDEX('Items'!$D$6:$D$1005,MATCH(D1210,'Items'!$A$6:$A$1005,0)),"MISSING ID")</x:f>
        <x:v>Salvage</x:v>
      </x:c>
      <x:c r="H1210" s="4" t="str">
        <x:f>IFERROR(INDEX('Items'!$X$6:$X$1005,MATCH(D1210,'Items'!$A$6:$A$1005,0)),"MISSING ID")</x:f>
        <x:v>Musical instrument</x:v>
      </x:c>
      <x:c r="I1210" s="4"/>
      <x:c r="J1210" s="4" t="str">
        <x:v>Unspecified</x:v>
      </x:c>
      <x:c r="K1210" s="4" t="str">
        <x:f>IFERROR(INDEX('Crafting recipes'!$D$6:$D$1005,MATCH(B1210,'Crafting recipes'!$A$6:$A$1005,0)),"MISSING ID")</x:f>
        <x:v>Proposal</x:v>
      </x:c>
      <x:c r="L1210" s="4" t="str">
        <x:f>IFERROR(INDEX('Items'!$AD$6:$AD$1005,MATCH(D1210,'Items'!$A$6:$A$1005,0)),"MISSING ID")</x:f>
        <x:v>Proposal</x:v>
      </x:c>
      <x:c r="M1210" s="4" t="str">
        <x:f>IFERROR(INDEX('Crafting recipes'!$E$6:$E$1005,MATCH(B1210,'Crafting recipes'!$A$6:$A$1005,0)),"MISSING ID")</x:f>
        <x:v>Partial proposal</x:v>
      </x:c>
      <x:c r="N1210" s="4" t="str">
        <x:v>Candidate source or part only. Quantity, grade and method remain open.</x:v>
      </x:c>
      <x:c r="O1210" s="4" t="str">
        <x:v>Collection expansion, October 15, 2026. New game proposal.</x:v>
      </x:c>
      <x:c r="P1210" s="4" t="n">
        <x:f>IF(OR(C1210="Ingredient candidate",C1210="Consumed input",C1210="Contained input",C1210="Transform input"),IF(F1210="T0",0,IF(F1210="T1",1,IF(F1210="T2",2,IF(F1210="T3",3,IF(F1210="T4",4,-1))))),-1)</x:f>
        <x:v>-1</x:v>
      </x:c>
      <x:c r="Q1210" s="4" t="n">
        <x:f>IF(AND(OR(C1210="Ingredient candidate",C1210="Consumed input",C1210="Contained input",C1210="Transform input"),P1210=-1),1,0)</x:f>
        <x:v>0</x:v>
      </x:c>
    </x:row>
    <x:row r="1211" ht="64" customHeight="1">
      <x:c r="A1211" s="4" t="str">
        <x:v>design.collection.shell_chamber_ocarina.in.1</x:v>
      </x:c>
      <x:c r="B1211" s="4" t="str">
        <x:v>design.collection.shell_chamber_ocarina</x:v>
      </x:c>
      <x:c r="C1211" s="4" t="str">
        <x:v>Ingredient candidate</x:v>
      </x:c>
      <x:c r="D1211" s="4" t="str">
        <x:v>proposal.t1.shell_lamina</x:v>
      </x:c>
      <x:c r="E1211" s="4" t="str">
        <x:f>IFERROR(INDEX('Items'!$B$6:$B$1005,MATCH(D1211,'Items'!$A$6:$A$1005,0)),"MISSING ID")</x:f>
        <x:v>Separated shell lamina stock</x:v>
      </x:c>
      <x:c r="F1211" s="4" t="str">
        <x:f>IFERROR(INDEX('Items'!$C$6:$C$1005,MATCH(D1211,'Items'!$A$6:$A$1005,0)),"MISSING ID")</x:f>
        <x:v>T1</x:v>
      </x:c>
      <x:c r="G1211" s="4" t="str">
        <x:f>IFERROR(INDEX('Items'!$D$6:$D$1005,MATCH(D1211,'Items'!$A$6:$A$1005,0)),"MISSING ID")</x:f>
        <x:v>Manufactured stock</x:v>
      </x:c>
      <x:c r="H1211" s="4" t="str">
        <x:f>IFERROR(INDEX('Items'!$X$6:$X$1005,MATCH(D1211,'Items'!$A$6:$A$1005,0)),"MISSING ID")</x:f>
        <x:v>Processed material</x:v>
      </x:c>
      <x:c r="I1211" s="4"/>
      <x:c r="J1211" s="4" t="str">
        <x:v>Unspecified</x:v>
      </x:c>
      <x:c r="K1211" s="4" t="str">
        <x:f>IFERROR(INDEX('Crafting recipes'!$D$6:$D$1005,MATCH(B1211,'Crafting recipes'!$A$6:$A$1005,0)),"MISSING ID")</x:f>
        <x:v>Proposal</x:v>
      </x:c>
      <x:c r="L1211" s="4" t="str">
        <x:f>IFERROR(INDEX('Items'!$AD$6:$AD$1005,MATCH(D1211,'Items'!$A$6:$A$1005,0)),"MISSING ID")</x:f>
        <x:v>Proposal</x:v>
      </x:c>
      <x:c r="M1211" s="4" t="str">
        <x:f>IFERROR(INDEX('Crafting recipes'!$E$6:$E$1005,MATCH(B1211,'Crafting recipes'!$A$6:$A$1005,0)),"MISSING ID")</x:f>
        <x:v>Partial proposal</x:v>
      </x:c>
      <x:c r="N1211" s="4" t="str">
        <x:v>Candidate source or part only. Quantity, grade and method remain open.</x:v>
      </x:c>
      <x:c r="O1211" s="4" t="str">
        <x:v>Collection expansion, October 15, 2026. New game proposal.</x:v>
      </x:c>
      <x:c r="P1211" s="4" t="n">
        <x:f>IF(OR(C1211="Ingredient candidate",C1211="Consumed input",C1211="Contained input",C1211="Transform input"),IF(F1211="T0",0,IF(F1211="T1",1,IF(F1211="T2",2,IF(F1211="T3",3,IF(F1211="T4",4,-1))))),-1)</x:f>
        <x:v>1</x:v>
      </x:c>
      <x:c r="Q1211" s="4" t="n">
        <x:f>IF(AND(OR(C1211="Ingredient candidate",C1211="Consumed input",C1211="Contained input",C1211="Transform input"),P1211=-1),1,0)</x:f>
        <x:v>0</x:v>
      </x:c>
    </x:row>
    <x:row r="1212" ht="64" customHeight="1">
      <x:c r="A1212" s="4" t="str">
        <x:v>design.collection.shell_chamber_ocarina.in.2</x:v>
      </x:c>
      <x:c r="B1212" s="4" t="str">
        <x:v>design.collection.shell_chamber_ocarina</x:v>
      </x:c>
      <x:c r="C1212" s="4" t="str">
        <x:v>Ingredient candidate</x:v>
      </x:c>
      <x:c r="D1212" s="4" t="str">
        <x:v>proposal.audit.ceramic_whistle_mouthpiece</x:v>
      </x:c>
      <x:c r="E1212" s="4" t="str">
        <x:f>IFERROR(INDEX('Items'!$B$6:$B$1005,MATCH(D1212,'Items'!$A$6:$A$1005,0)),"MISSING ID")</x:f>
        <x:v>Ceramic whistle mouthpiece</x:v>
      </x:c>
      <x:c r="F1212" s="4" t="str">
        <x:f>IFERROR(INDEX('Items'!$C$6:$C$1005,MATCH(D1212,'Items'!$A$6:$A$1005,0)),"MISSING ID")</x:f>
        <x:v>T2</x:v>
      </x:c>
      <x:c r="G1212" s="4" t="str">
        <x:f>IFERROR(INDEX('Items'!$D$6:$D$1005,MATCH(D1212,'Items'!$A$6:$A$1005,0)),"MISSING ID")</x:f>
        <x:v>Crafting components</x:v>
      </x:c>
      <x:c r="H1212" s="4" t="str">
        <x:f>IFERROR(INDEX('Items'!$X$6:$X$1005,MATCH(D1212,'Items'!$A$6:$A$1005,0)),"MISSING ID")</x:f>
        <x:v>Crafting component</x:v>
      </x:c>
      <x:c r="I1212" s="4"/>
      <x:c r="J1212" s="4" t="str">
        <x:v>Unspecified</x:v>
      </x:c>
      <x:c r="K1212" s="4" t="str">
        <x:f>IFERROR(INDEX('Crafting recipes'!$D$6:$D$1005,MATCH(B1212,'Crafting recipes'!$A$6:$A$1005,0)),"MISSING ID")</x:f>
        <x:v>Proposal</x:v>
      </x:c>
      <x:c r="L1212" s="4" t="str">
        <x:f>IFERROR(INDEX('Items'!$AD$6:$AD$1005,MATCH(D1212,'Items'!$A$6:$A$1005,0)),"MISSING ID")</x:f>
        <x:v>Proposal</x:v>
      </x:c>
      <x:c r="M1212" s="4" t="str">
        <x:f>IFERROR(INDEX('Crafting recipes'!$E$6:$E$1005,MATCH(B1212,'Crafting recipes'!$A$6:$A$1005,0)),"MISSING ID")</x:f>
        <x:v>Partial proposal</x:v>
      </x:c>
      <x:c r="N1212" s="4" t="str">
        <x:v>Candidate source or part only. Quantity, grade and method remain open.</x:v>
      </x:c>
      <x:c r="O1212" s="4" t="str">
        <x:v>Collection expansion, October 15, 2026. New game proposal.</x:v>
      </x:c>
      <x:c r="P1212" s="4" t="n">
        <x:f>IF(OR(C1212="Ingredient candidate",C1212="Consumed input",C1212="Contained input",C1212="Transform input"),IF(F1212="T0",0,IF(F1212="T1",1,IF(F1212="T2",2,IF(F1212="T3",3,IF(F1212="T4",4,-1))))),-1)</x:f>
        <x:v>2</x:v>
      </x:c>
      <x:c r="Q1212" s="4" t="n">
        <x:f>IF(AND(OR(C1212="Ingredient candidate",C1212="Consumed input",C1212="Contained input",C1212="Transform input"),P1212=-1),1,0)</x:f>
        <x:v>0</x:v>
      </x:c>
    </x:row>
    <x:row r="1213" ht="64" customHeight="1">
      <x:c r="A1213" s="4" t="str">
        <x:v>design.collection.shell_chamber_ocarina.out</x:v>
      </x:c>
      <x:c r="B1213" s="4" t="str">
        <x:v>design.collection.shell_chamber_ocarina</x:v>
      </x:c>
      <x:c r="C1213" s="4" t="str">
        <x:v>Output</x:v>
      </x:c>
      <x:c r="D1213" s="4" t="str">
        <x:v>proposal.collection.shell_chamber_ocarina</x:v>
      </x:c>
      <x:c r="E1213" s="4" t="str">
        <x:f>IFERROR(INDEX('Items'!$B$6:$B$1005,MATCH(D1213,'Items'!$A$6:$A$1005,0)),"MISSING ID")</x:f>
        <x:v>Shell chamber ocarina</x:v>
      </x:c>
      <x:c r="F1213" s="4" t="str">
        <x:f>IFERROR(INDEX('Items'!$C$6:$C$1005,MATCH(D1213,'Items'!$A$6:$A$1005,0)),"MISSING ID")</x:f>
        <x:v>Not applicable</x:v>
      </x:c>
      <x:c r="G1213" s="4" t="str">
        <x:f>IFERROR(INDEX('Items'!$D$6:$D$1005,MATCH(D1213,'Items'!$A$6:$A$1005,0)),"MISSING ID")</x:f>
        <x:v>Salvage</x:v>
      </x:c>
      <x:c r="H1213" s="4" t="str">
        <x:f>IFERROR(INDEX('Items'!$X$6:$X$1005,MATCH(D1213,'Items'!$A$6:$A$1005,0)),"MISSING ID")</x:f>
        <x:v>Musical instrument</x:v>
      </x:c>
      <x:c r="I1213" s="4"/>
      <x:c r="J1213" s="4" t="str">
        <x:v>Unspecified</x:v>
      </x:c>
      <x:c r="K1213" s="4" t="str">
        <x:f>IFERROR(INDEX('Crafting recipes'!$D$6:$D$1005,MATCH(B1213,'Crafting recipes'!$A$6:$A$1005,0)),"MISSING ID")</x:f>
        <x:v>Proposal</x:v>
      </x:c>
      <x:c r="L1213" s="4" t="str">
        <x:f>IFERROR(INDEX('Items'!$AD$6:$AD$1005,MATCH(D1213,'Items'!$A$6:$A$1005,0)),"MISSING ID")</x:f>
        <x:v>Proposal</x:v>
      </x:c>
      <x:c r="M1213" s="4" t="str">
        <x:f>IFERROR(INDEX('Crafting recipes'!$E$6:$E$1005,MATCH(B1213,'Crafting recipes'!$A$6:$A$1005,0)),"MISSING ID")</x:f>
        <x:v>Partial proposal</x:v>
      </x:c>
      <x:c r="N1213" s="4" t="str">
        <x:v>Candidate source or part only. Quantity, grade and method remain open.</x:v>
      </x:c>
      <x:c r="O1213" s="4" t="str">
        <x:v>Collection expansion, October 15, 2026. New game proposal.</x:v>
      </x:c>
      <x:c r="P1213" s="4" t="n">
        <x:f>IF(OR(C1213="Ingredient candidate",C1213="Consumed input",C1213="Contained input",C1213="Transform input"),IF(F1213="T0",0,IF(F1213="T1",1,IF(F1213="T2",2,IF(F1213="T3",3,IF(F1213="T4",4,-1))))),-1)</x:f>
        <x:v>-1</x:v>
      </x:c>
      <x:c r="Q1213" s="4" t="n">
        <x:f>IF(AND(OR(C1213="Ingredient candidate",C1213="Consumed input",C1213="Contained input",C1213="Transform input"),P1213=-1),1,0)</x:f>
        <x:v>0</x:v>
      </x:c>
    </x:row>
    <x:row r="1214" ht="64" customHeight="1">
      <x:c r="A1214" s="4" t="str">
        <x:v>design.collection.bronze_lip_horn.in.1</x:v>
      </x:c>
      <x:c r="B1214" s="4" t="str">
        <x:v>design.collection.bronze_lip_horn</x:v>
      </x:c>
      <x:c r="C1214" s="4" t="str">
        <x:v>Ingredient candidate</x:v>
      </x:c>
      <x:c r="D1214" s="4" t="str">
        <x:v>proposal.collection.drawn_bronze_strip_stock</x:v>
      </x:c>
      <x:c r="E1214" s="4" t="str">
        <x:f>IFERROR(INDEX('Items'!$B$6:$B$1005,MATCH(D1214,'Items'!$A$6:$A$1005,0)),"MISSING ID")</x:f>
        <x:v>Drawn bronze strip stock</x:v>
      </x:c>
      <x:c r="F1214" s="4" t="str">
        <x:f>IFERROR(INDEX('Items'!$C$6:$C$1005,MATCH(D1214,'Items'!$A$6:$A$1005,0)),"MISSING ID")</x:f>
        <x:v>T2</x:v>
      </x:c>
      <x:c r="G1214" s="4" t="str">
        <x:f>IFERROR(INDEX('Items'!$D$6:$D$1005,MATCH(D1214,'Items'!$A$6:$A$1005,0)),"MISSING ID")</x:f>
        <x:v>Manufactured stock</x:v>
      </x:c>
      <x:c r="H1214" s="4" t="str">
        <x:f>IFERROR(INDEX('Items'!$X$6:$X$1005,MATCH(D1214,'Items'!$A$6:$A$1005,0)),"MISSING ID")</x:f>
        <x:v>Processed material</x:v>
      </x:c>
      <x:c r="I1214" s="4"/>
      <x:c r="J1214" s="4" t="str">
        <x:v>Unspecified</x:v>
      </x:c>
      <x:c r="K1214" s="4" t="str">
        <x:f>IFERROR(INDEX('Crafting recipes'!$D$6:$D$1005,MATCH(B1214,'Crafting recipes'!$A$6:$A$1005,0)),"MISSING ID")</x:f>
        <x:v>Proposal</x:v>
      </x:c>
      <x:c r="L1214" s="4" t="str">
        <x:f>IFERROR(INDEX('Items'!$AD$6:$AD$1005,MATCH(D1214,'Items'!$A$6:$A$1005,0)),"MISSING ID")</x:f>
        <x:v>Proposal</x:v>
      </x:c>
      <x:c r="M1214" s="4" t="str">
        <x:f>IFERROR(INDEX('Crafting recipes'!$E$6:$E$1005,MATCH(B1214,'Crafting recipes'!$A$6:$A$1005,0)),"MISSING ID")</x:f>
        <x:v>Partial proposal</x:v>
      </x:c>
      <x:c r="N1214" s="4" t="str">
        <x:v>Candidate source or part only. Quantity, grade and method remain open.</x:v>
      </x:c>
      <x:c r="O1214" s="4" t="str">
        <x:v>Collection expansion, October 15, 2026. New game proposal.</x:v>
      </x:c>
      <x:c r="P1214" s="4" t="n">
        <x:f>IF(OR(C1214="Ingredient candidate",C1214="Consumed input",C1214="Contained input",C1214="Transform input"),IF(F1214="T0",0,IF(F1214="T1",1,IF(F1214="T2",2,IF(F1214="T3",3,IF(F1214="T4",4,-1))))),-1)</x:f>
        <x:v>2</x:v>
      </x:c>
      <x:c r="Q1214" s="4" t="n">
        <x:f>IF(AND(OR(C1214="Ingredient candidate",C1214="Consumed input",C1214="Contained input",C1214="Transform input"),P1214=-1),1,0)</x:f>
        <x:v>0</x:v>
      </x:c>
    </x:row>
    <x:row r="1215" ht="64" customHeight="1">
      <x:c r="A1215" s="4" t="str">
        <x:v>design.collection.bronze_lip_horn.out</x:v>
      </x:c>
      <x:c r="B1215" s="4" t="str">
        <x:v>design.collection.bronze_lip_horn</x:v>
      </x:c>
      <x:c r="C1215" s="4" t="str">
        <x:v>Output</x:v>
      </x:c>
      <x:c r="D1215" s="4" t="str">
        <x:v>proposal.collection.bronze_lip_horn</x:v>
      </x:c>
      <x:c r="E1215" s="4" t="str">
        <x:f>IFERROR(INDEX('Items'!$B$6:$B$1005,MATCH(D1215,'Items'!$A$6:$A$1005,0)),"MISSING ID")</x:f>
        <x:v>Bronze lip horn</x:v>
      </x:c>
      <x:c r="F1215" s="4" t="str">
        <x:f>IFERROR(INDEX('Items'!$C$6:$C$1005,MATCH(D1215,'Items'!$A$6:$A$1005,0)),"MISSING ID")</x:f>
        <x:v>Not applicable</x:v>
      </x:c>
      <x:c r="G1215" s="4" t="str">
        <x:f>IFERROR(INDEX('Items'!$D$6:$D$1005,MATCH(D1215,'Items'!$A$6:$A$1005,0)),"MISSING ID")</x:f>
        <x:v>Salvage</x:v>
      </x:c>
      <x:c r="H1215" s="4" t="str">
        <x:f>IFERROR(INDEX('Items'!$X$6:$X$1005,MATCH(D1215,'Items'!$A$6:$A$1005,0)),"MISSING ID")</x:f>
        <x:v>Musical instrument</x:v>
      </x:c>
      <x:c r="I1215" s="4"/>
      <x:c r="J1215" s="4" t="str">
        <x:v>Unspecified</x:v>
      </x:c>
      <x:c r="K1215" s="4" t="str">
        <x:f>IFERROR(INDEX('Crafting recipes'!$D$6:$D$1005,MATCH(B1215,'Crafting recipes'!$A$6:$A$1005,0)),"MISSING ID")</x:f>
        <x:v>Proposal</x:v>
      </x:c>
      <x:c r="L1215" s="4" t="str">
        <x:f>IFERROR(INDEX('Items'!$AD$6:$AD$1005,MATCH(D1215,'Items'!$A$6:$A$1005,0)),"MISSING ID")</x:f>
        <x:v>Proposal</x:v>
      </x:c>
      <x:c r="M1215" s="4" t="str">
        <x:f>IFERROR(INDEX('Crafting recipes'!$E$6:$E$1005,MATCH(B1215,'Crafting recipes'!$A$6:$A$1005,0)),"MISSING ID")</x:f>
        <x:v>Partial proposal</x:v>
      </x:c>
      <x:c r="N1215" s="4" t="str">
        <x:v>Candidate source or part only. Quantity, grade and method remain open.</x:v>
      </x:c>
      <x:c r="O1215" s="4" t="str">
        <x:v>Collection expansion, October 15, 2026. New game proposal.</x:v>
      </x:c>
      <x:c r="P1215" s="4" t="n">
        <x:f>IF(OR(C1215="Ingredient candidate",C1215="Consumed input",C1215="Contained input",C1215="Transform input"),IF(F1215="T0",0,IF(F1215="T1",1,IF(F1215="T2",2,IF(F1215="T3",3,IF(F1215="T4",4,-1))))),-1)</x:f>
        <x:v>-1</x:v>
      </x:c>
      <x:c r="Q1215" s="4" t="n">
        <x:f>IF(AND(OR(C1215="Ingredient candidate",C1215="Consumed input",C1215="Contained input",C1215="Transform input"),P1215=-1),1,0)</x:f>
        <x:v>0</x:v>
      </x:c>
    </x:row>
    <x:row r="1216" ht="64" customHeight="1">
      <x:c r="A1216" s="4" t="str">
        <x:v>design.collection.metal_free_reed_mouth_organ.in.1</x:v>
      </x:c>
      <x:c r="B1216" s="4" t="str">
        <x:v>design.collection.metal_free_reed_mouth_organ</x:v>
      </x:c>
      <x:c r="C1216" s="4" t="str">
        <x:v>Ingredient candidate</x:v>
      </x:c>
      <x:c r="D1216" s="4" t="str">
        <x:v>proposal.branch.spring_steel</x:v>
      </x:c>
      <x:c r="E1216" s="4" t="str">
        <x:f>IFERROR(INDEX('Items'!$B$6:$B$1005,MATCH(D1216,'Items'!$A$6:$A$1005,0)),"MISSING ID")</x:f>
        <x:v>Spring-grade steel stock</x:v>
      </x:c>
      <x:c r="F1216" s="4" t="str">
        <x:f>IFERROR(INDEX('Items'!$C$6:$C$1005,MATCH(D1216,'Items'!$A$6:$A$1005,0)),"MISSING ID")</x:f>
        <x:v>T3</x:v>
      </x:c>
      <x:c r="G1216" s="4" t="str">
        <x:f>IFERROR(INDEX('Items'!$D$6:$D$1005,MATCH(D1216,'Items'!$A$6:$A$1005,0)),"MISSING ID")</x:f>
        <x:v>Manufactured stock</x:v>
      </x:c>
      <x:c r="H1216" s="4" t="str">
        <x:f>IFERROR(INDEX('Items'!$X$6:$X$1005,MATCH(D1216,'Items'!$A$6:$A$1005,0)),"MISSING ID")</x:f>
        <x:v>Processed material</x:v>
      </x:c>
      <x:c r="I1216" s="4"/>
      <x:c r="J1216" s="4" t="str">
        <x:v>Unspecified</x:v>
      </x:c>
      <x:c r="K1216" s="4" t="str">
        <x:f>IFERROR(INDEX('Crafting recipes'!$D$6:$D$1005,MATCH(B1216,'Crafting recipes'!$A$6:$A$1005,0)),"MISSING ID")</x:f>
        <x:v>Proposal</x:v>
      </x:c>
      <x:c r="L1216" s="4" t="str">
        <x:f>IFERROR(INDEX('Items'!$AD$6:$AD$1005,MATCH(D1216,'Items'!$A$6:$A$1005,0)),"MISSING ID")</x:f>
        <x:v>Proposal</x:v>
      </x:c>
      <x:c r="M1216" s="4" t="str">
        <x:f>IFERROR(INDEX('Crafting recipes'!$E$6:$E$1005,MATCH(B1216,'Crafting recipes'!$A$6:$A$1005,0)),"MISSING ID")</x:f>
        <x:v>Partial proposal</x:v>
      </x:c>
      <x:c r="N1216" s="4" t="str">
        <x:v>Candidate source or part only. Quantity, grade and method remain open.</x:v>
      </x:c>
      <x:c r="O1216" s="4" t="str">
        <x:v>Collection expansion, October 15, 2026. New game proposal.</x:v>
      </x:c>
      <x:c r="P1216" s="4" t="n">
        <x:f>IF(OR(C1216="Ingredient candidate",C1216="Consumed input",C1216="Contained input",C1216="Transform input"),IF(F1216="T0",0,IF(F1216="T1",1,IF(F1216="T2",2,IF(F1216="T3",3,IF(F1216="T4",4,-1))))),-1)</x:f>
        <x:v>3</x:v>
      </x:c>
      <x:c r="Q1216" s="4" t="n">
        <x:f>IF(AND(OR(C1216="Ingredient candidate",C1216="Consumed input",C1216="Contained input",C1216="Transform input"),P1216=-1),1,0)</x:f>
        <x:v>0</x:v>
      </x:c>
    </x:row>
    <x:row r="1217" ht="64" customHeight="1">
      <x:c r="A1217" s="4" t="str">
        <x:v>design.collection.metal_free_reed_mouth_organ.in.2</x:v>
      </x:c>
      <x:c r="B1217" s="4" t="str">
        <x:v>design.collection.metal_free_reed_mouth_organ</x:v>
      </x:c>
      <x:c r="C1217" s="4" t="str">
        <x:v>Ingredient candidate</x:v>
      </x:c>
      <x:c r="D1217" s="4" t="str">
        <x:v>proposal.collection.annealed_iron_sheet_stock</x:v>
      </x:c>
      <x:c r="E1217" s="4" t="str">
        <x:f>IFERROR(INDEX('Items'!$B$6:$B$1005,MATCH(D1217,'Items'!$A$6:$A$1005,0)),"MISSING ID")</x:f>
        <x:v>Annealed iron sheet stock</x:v>
      </x:c>
      <x:c r="F1217" s="4" t="str">
        <x:f>IFERROR(INDEX('Items'!$C$6:$C$1005,MATCH(D1217,'Items'!$A$6:$A$1005,0)),"MISSING ID")</x:f>
        <x:v>T3</x:v>
      </x:c>
      <x:c r="G1217" s="4" t="str">
        <x:f>IFERROR(INDEX('Items'!$D$6:$D$1005,MATCH(D1217,'Items'!$A$6:$A$1005,0)),"MISSING ID")</x:f>
        <x:v>Manufactured stock</x:v>
      </x:c>
      <x:c r="H1217" s="4" t="str">
        <x:f>IFERROR(INDEX('Items'!$X$6:$X$1005,MATCH(D1217,'Items'!$A$6:$A$1005,0)),"MISSING ID")</x:f>
        <x:v>Processed material</x:v>
      </x:c>
      <x:c r="I1217" s="4"/>
      <x:c r="J1217" s="4" t="str">
        <x:v>Unspecified</x:v>
      </x:c>
      <x:c r="K1217" s="4" t="str">
        <x:f>IFERROR(INDEX('Crafting recipes'!$D$6:$D$1005,MATCH(B1217,'Crafting recipes'!$A$6:$A$1005,0)),"MISSING ID")</x:f>
        <x:v>Proposal</x:v>
      </x:c>
      <x:c r="L1217" s="4" t="str">
        <x:f>IFERROR(INDEX('Items'!$AD$6:$AD$1005,MATCH(D1217,'Items'!$A$6:$A$1005,0)),"MISSING ID")</x:f>
        <x:v>Proposal</x:v>
      </x:c>
      <x:c r="M1217" s="4" t="str">
        <x:f>IFERROR(INDEX('Crafting recipes'!$E$6:$E$1005,MATCH(B1217,'Crafting recipes'!$A$6:$A$1005,0)),"MISSING ID")</x:f>
        <x:v>Partial proposal</x:v>
      </x:c>
      <x:c r="N1217" s="4" t="str">
        <x:v>Candidate source or part only. Quantity, grade and method remain open.</x:v>
      </x:c>
      <x:c r="O1217" s="4" t="str">
        <x:v>Collection expansion, October 15, 2026. New game proposal.</x:v>
      </x:c>
      <x:c r="P1217" s="4" t="n">
        <x:f>IF(OR(C1217="Ingredient candidate",C1217="Consumed input",C1217="Contained input",C1217="Transform input"),IF(F1217="T0",0,IF(F1217="T1",1,IF(F1217="T2",2,IF(F1217="T3",3,IF(F1217="T4",4,-1))))),-1)</x:f>
        <x:v>3</x:v>
      </x:c>
      <x:c r="Q1217" s="4" t="n">
        <x:f>IF(AND(OR(C1217="Ingredient candidate",C1217="Consumed input",C1217="Contained input",C1217="Transform input"),P1217=-1),1,0)</x:f>
        <x:v>0</x:v>
      </x:c>
    </x:row>
    <x:row r="1218" ht="64" customHeight="1">
      <x:c r="A1218" s="4" t="str">
        <x:v>design.collection.metal_free_reed_mouth_organ.out</x:v>
      </x:c>
      <x:c r="B1218" s="4" t="str">
        <x:v>design.collection.metal_free_reed_mouth_organ</x:v>
      </x:c>
      <x:c r="C1218" s="4" t="str">
        <x:v>Output</x:v>
      </x:c>
      <x:c r="D1218" s="4" t="str">
        <x:v>proposal.collection.metal_free_reed_mouth_organ</x:v>
      </x:c>
      <x:c r="E1218" s="4" t="str">
        <x:f>IFERROR(INDEX('Items'!$B$6:$B$1005,MATCH(D1218,'Items'!$A$6:$A$1005,0)),"MISSING ID")</x:f>
        <x:v>Metal free-reed mouth organ</x:v>
      </x:c>
      <x:c r="F1218" s="4" t="str">
        <x:f>IFERROR(INDEX('Items'!$C$6:$C$1005,MATCH(D1218,'Items'!$A$6:$A$1005,0)),"MISSING ID")</x:f>
        <x:v>Not applicable</x:v>
      </x:c>
      <x:c r="G1218" s="4" t="str">
        <x:f>IFERROR(INDEX('Items'!$D$6:$D$1005,MATCH(D1218,'Items'!$A$6:$A$1005,0)),"MISSING ID")</x:f>
        <x:v>Salvage</x:v>
      </x:c>
      <x:c r="H1218" s="4" t="str">
        <x:f>IFERROR(INDEX('Items'!$X$6:$X$1005,MATCH(D1218,'Items'!$A$6:$A$1005,0)),"MISSING ID")</x:f>
        <x:v>Musical instrument</x:v>
      </x:c>
      <x:c r="I1218" s="4"/>
      <x:c r="J1218" s="4" t="str">
        <x:v>Unspecified</x:v>
      </x:c>
      <x:c r="K1218" s="4" t="str">
        <x:f>IFERROR(INDEX('Crafting recipes'!$D$6:$D$1005,MATCH(B1218,'Crafting recipes'!$A$6:$A$1005,0)),"MISSING ID")</x:f>
        <x:v>Proposal</x:v>
      </x:c>
      <x:c r="L1218" s="4" t="str">
        <x:f>IFERROR(INDEX('Items'!$AD$6:$AD$1005,MATCH(D1218,'Items'!$A$6:$A$1005,0)),"MISSING ID")</x:f>
        <x:v>Proposal</x:v>
      </x:c>
      <x:c r="M1218" s="4" t="str">
        <x:f>IFERROR(INDEX('Crafting recipes'!$E$6:$E$1005,MATCH(B1218,'Crafting recipes'!$A$6:$A$1005,0)),"MISSING ID")</x:f>
        <x:v>Partial proposal</x:v>
      </x:c>
      <x:c r="N1218" s="4" t="str">
        <x:v>Candidate source or part only. Quantity, grade and method remain open.</x:v>
      </x:c>
      <x:c r="O1218" s="4" t="str">
        <x:v>Collection expansion, October 15, 2026. New game proposal.</x:v>
      </x:c>
      <x:c r="P1218" s="4" t="n">
        <x:f>IF(OR(C1218="Ingredient candidate",C1218="Consumed input",C1218="Contained input",C1218="Transform input"),IF(F1218="T0",0,IF(F1218="T1",1,IF(F1218="T2",2,IF(F1218="T3",3,IF(F1218="T4",4,-1))))),-1)</x:f>
        <x:v>-1</x:v>
      </x:c>
      <x:c r="Q1218" s="4" t="n">
        <x:f>IF(AND(OR(C1218="Ingredient candidate",C1218="Consumed input",C1218="Contained input",C1218="Transform input"),P1218=-1),1,0)</x:f>
        <x:v>0</x:v>
      </x:c>
    </x:row>
    <x:row r="1219" ht="64" customHeight="1">
      <x:c r="A1219" s="4"/>
      <x:c r="B1219" s="4"/>
      <x:c r="C1219" s="4"/>
      <x:c r="D1219" s="4"/>
      <x:c r="E1219" s="4"/>
      <x:c r="F1219" s="4"/>
      <x:c r="G1219" s="4"/>
      <x:c r="H1219" s="4"/>
      <x:c r="I1219" s="4"/>
      <x:c r="J1219" s="4"/>
      <x:c r="K1219" s="4"/>
      <x:c r="L1219" s="4"/>
      <x:c r="M1219" s="4"/>
      <x:c r="N1219" s="4"/>
      <x:c r="O1219" s="4"/>
      <x:c r="P1219" s="4"/>
      <x:c r="Q1219" s="4"/>
    </x:row>
    <x:row r="1220" ht="64" customHeight="1">
      <x:c r="A1220" s="4"/>
      <x:c r="B1220" s="4"/>
      <x:c r="C1220" s="4"/>
      <x:c r="D1220" s="4"/>
      <x:c r="E1220" s="4"/>
      <x:c r="F1220" s="4"/>
      <x:c r="G1220" s="4"/>
      <x:c r="H1220" s="4"/>
      <x:c r="I1220" s="4"/>
      <x:c r="J1220" s="4"/>
      <x:c r="K1220" s="4"/>
      <x:c r="L1220" s="4"/>
      <x:c r="M1220" s="4"/>
      <x:c r="N1220" s="4"/>
      <x:c r="O1220" s="4"/>
      <x:c r="P1220" s="4"/>
      <x:c r="Q1220" s="4"/>
    </x:row>
    <x:row r="1221" ht="64" customHeight="1">
      <x:c r="A1221" s="4"/>
      <x:c r="B1221" s="4"/>
      <x:c r="C1221" s="4"/>
      <x:c r="D1221" s="4"/>
      <x:c r="E1221" s="4"/>
      <x:c r="F1221" s="4"/>
      <x:c r="G1221" s="4"/>
      <x:c r="H1221" s="4"/>
      <x:c r="I1221" s="4"/>
      <x:c r="J1221" s="4"/>
      <x:c r="K1221" s="4"/>
      <x:c r="L1221" s="4"/>
      <x:c r="M1221" s="4"/>
      <x:c r="N1221" s="4"/>
      <x:c r="O1221" s="4"/>
      <x:c r="P1221" s="4"/>
      <x:c r="Q1221" s="4"/>
    </x:row>
    <x:row r="1222" ht="64" customHeight="1">
      <x:c r="A1222" s="4"/>
      <x:c r="B1222" s="4"/>
      <x:c r="C1222" s="4"/>
      <x:c r="D1222" s="4"/>
      <x:c r="E1222" s="4"/>
      <x:c r="F1222" s="4"/>
      <x:c r="G1222" s="4"/>
      <x:c r="H1222" s="4"/>
      <x:c r="I1222" s="4"/>
      <x:c r="J1222" s="4"/>
      <x:c r="K1222" s="4"/>
      <x:c r="L1222" s="4"/>
      <x:c r="M1222" s="4"/>
      <x:c r="N1222" s="4"/>
      <x:c r="O1222" s="4"/>
      <x:c r="P1222" s="4"/>
      <x:c r="Q1222" s="4"/>
    </x:row>
    <x:row r="1223" ht="64" customHeight="1">
      <x:c r="A1223" s="4"/>
      <x:c r="B1223" s="4"/>
      <x:c r="C1223" s="4"/>
      <x:c r="D1223" s="4"/>
      <x:c r="E1223" s="4"/>
      <x:c r="F1223" s="4"/>
      <x:c r="G1223" s="4"/>
      <x:c r="H1223" s="4"/>
      <x:c r="I1223" s="4"/>
      <x:c r="J1223" s="4"/>
      <x:c r="K1223" s="4"/>
      <x:c r="L1223" s="4"/>
      <x:c r="M1223" s="4"/>
      <x:c r="N1223" s="4"/>
      <x:c r="O1223" s="4"/>
      <x:c r="P1223" s="4"/>
      <x:c r="Q1223" s="4"/>
    </x:row>
    <x:row r="1224" ht="64" customHeight="1">
      <x:c r="A1224" s="4"/>
      <x:c r="B1224" s="4"/>
      <x:c r="C1224" s="4"/>
      <x:c r="D1224" s="4"/>
      <x:c r="E1224" s="4"/>
      <x:c r="F1224" s="4"/>
      <x:c r="G1224" s="4"/>
      <x:c r="H1224" s="4"/>
      <x:c r="I1224" s="4"/>
      <x:c r="J1224" s="4"/>
      <x:c r="K1224" s="4"/>
      <x:c r="L1224" s="4"/>
      <x:c r="M1224" s="4"/>
      <x:c r="N1224" s="4"/>
      <x:c r="O1224" s="4"/>
      <x:c r="P1224" s="4"/>
      <x:c r="Q1224" s="4"/>
    </x:row>
    <x:row r="1225" ht="64" customHeight="1">
      <x:c r="A1225" s="4" t="str">
        <x:v>design.collection.steel_jaw_harp.in.1</x:v>
      </x:c>
      <x:c r="B1225" s="4" t="str">
        <x:v>design.collection.steel_jaw_harp</x:v>
      </x:c>
      <x:c r="C1225" s="4" t="str">
        <x:v>Ingredient candidate</x:v>
      </x:c>
      <x:c r="D1225" s="4" t="str">
        <x:v>proposal.branch.spring_steel</x:v>
      </x:c>
      <x:c r="E1225" s="4" t="str">
        <x:f>IFERROR(INDEX('Items'!$B$6:$B$1005,MATCH(D1225,'Items'!$A$6:$A$1005,0)),"MISSING ID")</x:f>
        <x:v>Spring-grade steel stock</x:v>
      </x:c>
      <x:c r="F1225" s="4" t="str">
        <x:f>IFERROR(INDEX('Items'!$C$6:$C$1005,MATCH(D1225,'Items'!$A$6:$A$1005,0)),"MISSING ID")</x:f>
        <x:v>T3</x:v>
      </x:c>
      <x:c r="G1225" s="4" t="str">
        <x:f>IFERROR(INDEX('Items'!$D$6:$D$1005,MATCH(D1225,'Items'!$A$6:$A$1005,0)),"MISSING ID")</x:f>
        <x:v>Manufactured stock</x:v>
      </x:c>
      <x:c r="H1225" s="4" t="str">
        <x:f>IFERROR(INDEX('Items'!$X$6:$X$1005,MATCH(D1225,'Items'!$A$6:$A$1005,0)),"MISSING ID")</x:f>
        <x:v>Processed material</x:v>
      </x:c>
      <x:c r="I1225" s="4"/>
      <x:c r="J1225" s="4" t="str">
        <x:v>Unspecified</x:v>
      </x:c>
      <x:c r="K1225" s="4" t="str">
        <x:f>IFERROR(INDEX('Crafting recipes'!$D$6:$D$1005,MATCH(B1225,'Crafting recipes'!$A$6:$A$1005,0)),"MISSING ID")</x:f>
        <x:v>Proposal</x:v>
      </x:c>
      <x:c r="L1225" s="4" t="str">
        <x:f>IFERROR(INDEX('Items'!$AD$6:$AD$1005,MATCH(D1225,'Items'!$A$6:$A$1005,0)),"MISSING ID")</x:f>
        <x:v>Proposal</x:v>
      </x:c>
      <x:c r="M1225" s="4" t="str">
        <x:f>IFERROR(INDEX('Crafting recipes'!$E$6:$E$1005,MATCH(B1225,'Crafting recipes'!$A$6:$A$1005,0)),"MISSING ID")</x:f>
        <x:v>Partial proposal</x:v>
      </x:c>
      <x:c r="N1225" s="4" t="str">
        <x:v>Candidate source or part only. Quantity, grade and method remain open.</x:v>
      </x:c>
      <x:c r="O1225" s="4" t="str">
        <x:v>Collection expansion, October 15, 2026. New game proposal.</x:v>
      </x:c>
      <x:c r="P1225" s="4" t="n">
        <x:f>IF(OR(C1225="Ingredient candidate",C1225="Consumed input",C1225="Contained input",C1225="Transform input"),IF(F1225="T0",0,IF(F1225="T1",1,IF(F1225="T2",2,IF(F1225="T3",3,IF(F1225="T4",4,-1))))),-1)</x:f>
        <x:v>3</x:v>
      </x:c>
      <x:c r="Q1225" s="4" t="n">
        <x:f>IF(AND(OR(C1225="Ingredient candidate",C1225="Consumed input",C1225="Contained input",C1225="Transform input"),P1225=-1),1,0)</x:f>
        <x:v>0</x:v>
      </x:c>
    </x:row>
    <x:row r="1226" ht="64" customHeight="1">
      <x:c r="A1226" s="4" t="str">
        <x:v>design.collection.steel_jaw_harp.in.2</x:v>
      </x:c>
      <x:c r="B1226" s="4" t="str">
        <x:v>design.collection.steel_jaw_harp</x:v>
      </x:c>
      <x:c r="C1226" s="4" t="str">
        <x:v>Ingredient candidate</x:v>
      </x:c>
      <x:c r="D1226" s="4" t="str">
        <x:v>proposal.natural.iron_stock</x:v>
      </x:c>
      <x:c r="E1226" s="4" t="str">
        <x:f>IFERROR(INDEX('Items'!$B$6:$B$1005,MATCH(D1226,'Items'!$A$6:$A$1005,0)),"MISSING ID")</x:f>
        <x:v>Worked iron stock</x:v>
      </x:c>
      <x:c r="F1226" s="4" t="str">
        <x:f>IFERROR(INDEX('Items'!$C$6:$C$1005,MATCH(D1226,'Items'!$A$6:$A$1005,0)),"MISSING ID")</x:f>
        <x:v>T2</x:v>
      </x:c>
      <x:c r="G1226" s="4" t="str">
        <x:f>IFERROR(INDEX('Items'!$D$6:$D$1005,MATCH(D1226,'Items'!$A$6:$A$1005,0)),"MISSING ID")</x:f>
        <x:v>Manufactured stock</x:v>
      </x:c>
      <x:c r="H1226" s="4" t="str">
        <x:f>IFERROR(INDEX('Items'!$X$6:$X$1005,MATCH(D1226,'Items'!$A$6:$A$1005,0)),"MISSING ID")</x:f>
        <x:v>Processed material</x:v>
      </x:c>
      <x:c r="I1226" s="4"/>
      <x:c r="J1226" s="4" t="str">
        <x:v>Unspecified</x:v>
      </x:c>
      <x:c r="K1226" s="4" t="str">
        <x:f>IFERROR(INDEX('Crafting recipes'!$D$6:$D$1005,MATCH(B1226,'Crafting recipes'!$A$6:$A$1005,0)),"MISSING ID")</x:f>
        <x:v>Proposal</x:v>
      </x:c>
      <x:c r="L1226" s="4" t="str">
        <x:f>IFERROR(INDEX('Items'!$AD$6:$AD$1005,MATCH(D1226,'Items'!$A$6:$A$1005,0)),"MISSING ID")</x:f>
        <x:v>Proposal</x:v>
      </x:c>
      <x:c r="M1226" s="4" t="str">
        <x:f>IFERROR(INDEX('Crafting recipes'!$E$6:$E$1005,MATCH(B1226,'Crafting recipes'!$A$6:$A$1005,0)),"MISSING ID")</x:f>
        <x:v>Partial proposal</x:v>
      </x:c>
      <x:c r="N1226" s="4" t="str">
        <x:v>Candidate source or part only. Quantity, grade and method remain open.</x:v>
      </x:c>
      <x:c r="O1226" s="4" t="str">
        <x:v>Collection expansion, October 15, 2026. New game proposal.</x:v>
      </x:c>
      <x:c r="P1226" s="4" t="n">
        <x:f>IF(OR(C1226="Ingredient candidate",C1226="Consumed input",C1226="Contained input",C1226="Transform input"),IF(F1226="T0",0,IF(F1226="T1",1,IF(F1226="T2",2,IF(F1226="T3",3,IF(F1226="T4",4,-1))))),-1)</x:f>
        <x:v>2</x:v>
      </x:c>
      <x:c r="Q1226" s="4" t="n">
        <x:f>IF(AND(OR(C1226="Ingredient candidate",C1226="Consumed input",C1226="Contained input",C1226="Transform input"),P1226=-1),1,0)</x:f>
        <x:v>0</x:v>
      </x:c>
    </x:row>
    <x:row r="1227" ht="64" customHeight="1">
      <x:c r="A1227" s="4" t="str">
        <x:v>design.collection.steel_jaw_harp.out</x:v>
      </x:c>
      <x:c r="B1227" s="4" t="str">
        <x:v>design.collection.steel_jaw_harp</x:v>
      </x:c>
      <x:c r="C1227" s="4" t="str">
        <x:v>Output</x:v>
      </x:c>
      <x:c r="D1227" s="4" t="str">
        <x:v>proposal.collection.steel_jaw_harp</x:v>
      </x:c>
      <x:c r="E1227" s="4" t="str">
        <x:f>IFERROR(INDEX('Items'!$B$6:$B$1005,MATCH(D1227,'Items'!$A$6:$A$1005,0)),"MISSING ID")</x:f>
        <x:v>Steel jaw harp</x:v>
      </x:c>
      <x:c r="F1227" s="4" t="str">
        <x:f>IFERROR(INDEX('Items'!$C$6:$C$1005,MATCH(D1227,'Items'!$A$6:$A$1005,0)),"MISSING ID")</x:f>
        <x:v>Not applicable</x:v>
      </x:c>
      <x:c r="G1227" s="4" t="str">
        <x:f>IFERROR(INDEX('Items'!$D$6:$D$1005,MATCH(D1227,'Items'!$A$6:$A$1005,0)),"MISSING ID")</x:f>
        <x:v>Salvage</x:v>
      </x:c>
      <x:c r="H1227" s="4" t="str">
        <x:f>IFERROR(INDEX('Items'!$X$6:$X$1005,MATCH(D1227,'Items'!$A$6:$A$1005,0)),"MISSING ID")</x:f>
        <x:v>Musical instrument</x:v>
      </x:c>
      <x:c r="I1227" s="4"/>
      <x:c r="J1227" s="4" t="str">
        <x:v>Unspecified</x:v>
      </x:c>
      <x:c r="K1227" s="4" t="str">
        <x:f>IFERROR(INDEX('Crafting recipes'!$D$6:$D$1005,MATCH(B1227,'Crafting recipes'!$A$6:$A$1005,0)),"MISSING ID")</x:f>
        <x:v>Proposal</x:v>
      </x:c>
      <x:c r="L1227" s="4" t="str">
        <x:f>IFERROR(INDEX('Items'!$AD$6:$AD$1005,MATCH(D1227,'Items'!$A$6:$A$1005,0)),"MISSING ID")</x:f>
        <x:v>Proposal</x:v>
      </x:c>
      <x:c r="M1227" s="4" t="str">
        <x:f>IFERROR(INDEX('Crafting recipes'!$E$6:$E$1005,MATCH(B1227,'Crafting recipes'!$A$6:$A$1005,0)),"MISSING ID")</x:f>
        <x:v>Partial proposal</x:v>
      </x:c>
      <x:c r="N1227" s="4" t="str">
        <x:v>Candidate source or part only. Quantity, grade and method remain open.</x:v>
      </x:c>
      <x:c r="O1227" s="4" t="str">
        <x:v>Collection expansion, October 15, 2026. New game proposal.</x:v>
      </x:c>
      <x:c r="P1227" s="4" t="n">
        <x:f>IF(OR(C1227="Ingredient candidate",C1227="Consumed input",C1227="Contained input",C1227="Transform input"),IF(F1227="T0",0,IF(F1227="T1",1,IF(F1227="T2",2,IF(F1227="T3",3,IF(F1227="T4",4,-1))))),-1)</x:f>
        <x:v>-1</x:v>
      </x:c>
      <x:c r="Q1227" s="4" t="n">
        <x:f>IF(AND(OR(C1227="Ingredient candidate",C1227="Consumed input",C1227="Contained input",C1227="Transform input"),P1227=-1),1,0)</x:f>
        <x:v>0</x:v>
      </x:c>
    </x:row>
    <x:row r="1228" ht="64" customHeight="1">
      <x:c r="A1228" s="4" t="str">
        <x:v>design.collection.folding_vertical_wing_shade.in.1</x:v>
      </x:c>
      <x:c r="B1228" s="4" t="str">
        <x:v>design.collection.folding_vertical_wing_shade</x:v>
      </x:c>
      <x:c r="C1228" s="4" t="str">
        <x:v>Ingredient candidate</x:v>
      </x:c>
      <x:c r="D1228" s="4" t="str">
        <x:v>proposal.bio.wing_panel</x:v>
      </x:c>
      <x:c r="E1228" s="4" t="str">
        <x:f>IFERROR(INDEX('Items'!$B$6:$B$1005,MATCH(D1228,'Items'!$A$6:$A$1005,0)),"MISSING ID")</x:f>
        <x:v>Prepared wing shade panel</x:v>
      </x:c>
      <x:c r="F1228" s="4" t="str">
        <x:f>IFERROR(INDEX('Items'!$C$6:$C$1005,MATCH(D1228,'Items'!$A$6:$A$1005,0)),"MISSING ID")</x:f>
        <x:v>T1</x:v>
      </x:c>
      <x:c r="G1228" s="4" t="str">
        <x:f>IFERROR(INDEX('Items'!$D$6:$D$1005,MATCH(D1228,'Items'!$A$6:$A$1005,0)),"MISSING ID")</x:f>
        <x:v>Salvage</x:v>
      </x:c>
      <x:c r="H1228" s="4" t="str">
        <x:f>IFERROR(INDEX('Items'!$X$6:$X$1005,MATCH(D1228,'Items'!$A$6:$A$1005,0)),"MISSING ID")</x:f>
        <x:v>Crafting component</x:v>
      </x:c>
      <x:c r="I1228" s="4"/>
      <x:c r="J1228" s="4" t="str">
        <x:v>Unspecified</x:v>
      </x:c>
      <x:c r="K1228" s="4" t="str">
        <x:f>IFERROR(INDEX('Crafting recipes'!$D$6:$D$1005,MATCH(B1228,'Crafting recipes'!$A$6:$A$1005,0)),"MISSING ID")</x:f>
        <x:v>Proposal</x:v>
      </x:c>
      <x:c r="L1228" s="4" t="str">
        <x:f>IFERROR(INDEX('Items'!$AD$6:$AD$1005,MATCH(D1228,'Items'!$A$6:$A$1005,0)),"MISSING ID")</x:f>
        <x:v>Proposal</x:v>
      </x:c>
      <x:c r="M1228" s="4" t="str">
        <x:f>IFERROR(INDEX('Crafting recipes'!$E$6:$E$1005,MATCH(B1228,'Crafting recipes'!$A$6:$A$1005,0)),"MISSING ID")</x:f>
        <x:v>Partial proposal</x:v>
      </x:c>
      <x:c r="N1228" s="4" t="str">
        <x:v>Candidate source or part only. Quantity, grade and method remain open.</x:v>
      </x:c>
      <x:c r="O1228" s="4" t="str">
        <x:v>Collection expansion, October 15, 2026. New game proposal.</x:v>
      </x:c>
      <x:c r="P1228" s="4" t="n">
        <x:f>IF(OR(C1228="Ingredient candidate",C1228="Consumed input",C1228="Contained input",C1228="Transform input"),IF(F1228="T0",0,IF(F1228="T1",1,IF(F1228="T2",2,IF(F1228="T3",3,IF(F1228="T4",4,-1))))),-1)</x:f>
        <x:v>1</x:v>
      </x:c>
      <x:c r="Q1228" s="4" t="n">
        <x:f>IF(AND(OR(C1228="Ingredient candidate",C1228="Consumed input",C1228="Contained input",C1228="Transform input"),P1228=-1),1,0)</x:f>
        <x:v>0</x:v>
      </x:c>
    </x:row>
    <x:row r="1229" ht="64" customHeight="1">
      <x:c r="A1229" s="4" t="str">
        <x:v>design.collection.folding_vertical_wing_shade.in.2</x:v>
      </x:c>
      <x:c r="B1229" s="4" t="str">
        <x:v>design.collection.folding_vertical_wing_shade</x:v>
      </x:c>
      <x:c r="C1229" s="4" t="str">
        <x:v>Ingredient candidate</x:v>
      </x:c>
      <x:c r="D1229" s="4" t="str">
        <x:v>proposal.wind.folding_frame</x:v>
      </x:c>
      <x:c r="E1229" s="4" t="str">
        <x:f>IFERROR(INDEX('Items'!$B$6:$B$1005,MATCH(D1229,'Items'!$A$6:$A$1005,0)),"MISSING ID")</x:f>
        <x:v>Collapsible sail frame</x:v>
      </x:c>
      <x:c r="F1229" s="4" t="str">
        <x:f>IFERROR(INDEX('Items'!$C$6:$C$1005,MATCH(D1229,'Items'!$A$6:$A$1005,0)),"MISSING ID")</x:f>
        <x:v>T4</x:v>
      </x:c>
      <x:c r="G1229" s="4" t="str">
        <x:f>IFERROR(INDEX('Items'!$D$6:$D$1005,MATCH(D1229,'Items'!$A$6:$A$1005,0)),"MISSING ID")</x:f>
        <x:v>Salvage</x:v>
      </x:c>
      <x:c r="H1229" s="4" t="str">
        <x:f>IFERROR(INDEX('Items'!$X$6:$X$1005,MATCH(D1229,'Items'!$A$6:$A$1005,0)),"MISSING ID")</x:f>
        <x:v>Crafting component</x:v>
      </x:c>
      <x:c r="I1229" s="4"/>
      <x:c r="J1229" s="4" t="str">
        <x:v>Unspecified</x:v>
      </x:c>
      <x:c r="K1229" s="4" t="str">
        <x:f>IFERROR(INDEX('Crafting recipes'!$D$6:$D$1005,MATCH(B1229,'Crafting recipes'!$A$6:$A$1005,0)),"MISSING ID")</x:f>
        <x:v>Proposal</x:v>
      </x:c>
      <x:c r="L1229" s="4" t="str">
        <x:f>IFERROR(INDEX('Items'!$AD$6:$AD$1005,MATCH(D1229,'Items'!$A$6:$A$1005,0)),"MISSING ID")</x:f>
        <x:v>Proposal</x:v>
      </x:c>
      <x:c r="M1229" s="4" t="str">
        <x:f>IFERROR(INDEX('Crafting recipes'!$E$6:$E$1005,MATCH(B1229,'Crafting recipes'!$A$6:$A$1005,0)),"MISSING ID")</x:f>
        <x:v>Partial proposal</x:v>
      </x:c>
      <x:c r="N1229" s="4" t="str">
        <x:v>Candidate source or part only. Quantity, grade and method remain open.</x:v>
      </x:c>
      <x:c r="O1229" s="4" t="str">
        <x:v>Collection expansion, October 15, 2026. New game proposal.</x:v>
      </x:c>
      <x:c r="P1229" s="4" t="n">
        <x:f>IF(OR(C1229="Ingredient candidate",C1229="Consumed input",C1229="Contained input",C1229="Transform input"),IF(F1229="T0",0,IF(F1229="T1",1,IF(F1229="T2",2,IF(F1229="T3",3,IF(F1229="T4",4,-1))))),-1)</x:f>
        <x:v>4</x:v>
      </x:c>
      <x:c r="Q1229" s="4" t="n">
        <x:f>IF(AND(OR(C1229="Ingredient candidate",C1229="Consumed input",C1229="Contained input",C1229="Transform input"),P1229=-1),1,0)</x:f>
        <x:v>0</x:v>
      </x:c>
    </x:row>
    <x:row r="1230" ht="64" customHeight="1">
      <x:c r="A1230" s="4" t="str">
        <x:v>design.collection.folding_vertical_wing_shade.out</x:v>
      </x:c>
      <x:c r="B1230" s="4" t="str">
        <x:v>design.collection.folding_vertical_wing_shade</x:v>
      </x:c>
      <x:c r="C1230" s="4" t="str">
        <x:v>Output</x:v>
      </x:c>
      <x:c r="D1230" s="4" t="str">
        <x:v>proposal.collection.folding_vertical_wing_shade</x:v>
      </x:c>
      <x:c r="E1230" s="4" t="str">
        <x:f>IFERROR(INDEX('Items'!$B$6:$B$1005,MATCH(D1230,'Items'!$A$6:$A$1005,0)),"MISSING ID")</x:f>
        <x:v>Folding vertical wing shade</x:v>
      </x:c>
      <x:c r="F1230" s="4" t="str">
        <x:f>IFERROR(INDEX('Items'!$C$6:$C$1005,MATCH(D1230,'Items'!$A$6:$A$1005,0)),"MISSING ID")</x:f>
        <x:v>Not applicable</x:v>
      </x:c>
      <x:c r="G1230" s="4" t="str">
        <x:f>IFERROR(INDEX('Items'!$D$6:$D$1005,MATCH(D1230,'Items'!$A$6:$A$1005,0)),"MISSING ID")</x:f>
        <x:v>Salvage</x:v>
      </x:c>
      <x:c r="H1230" s="4" t="str">
        <x:f>IFERROR(INDEX('Items'!$X$6:$X$1005,MATCH(D1230,'Items'!$A$6:$A$1005,0)),"MISSING ID")</x:f>
        <x:v>Shelter item</x:v>
      </x:c>
      <x:c r="I1230" s="4"/>
      <x:c r="J1230" s="4" t="str">
        <x:v>Unspecified</x:v>
      </x:c>
      <x:c r="K1230" s="4" t="str">
        <x:f>IFERROR(INDEX('Crafting recipes'!$D$6:$D$1005,MATCH(B1230,'Crafting recipes'!$A$6:$A$1005,0)),"MISSING ID")</x:f>
        <x:v>Proposal</x:v>
      </x:c>
      <x:c r="L1230" s="4" t="str">
        <x:f>IFERROR(INDEX('Items'!$AD$6:$AD$1005,MATCH(D1230,'Items'!$A$6:$A$1005,0)),"MISSING ID")</x:f>
        <x:v>Proposal</x:v>
      </x:c>
      <x:c r="M1230" s="4" t="str">
        <x:f>IFERROR(INDEX('Crafting recipes'!$E$6:$E$1005,MATCH(B1230,'Crafting recipes'!$A$6:$A$1005,0)),"MISSING ID")</x:f>
        <x:v>Partial proposal</x:v>
      </x:c>
      <x:c r="N1230" s="4" t="str">
        <x:v>Candidate source or part only. Quantity, grade and method remain open.</x:v>
      </x:c>
      <x:c r="O1230" s="4" t="str">
        <x:v>Collection expansion, October 15, 2026. New game proposal.</x:v>
      </x:c>
      <x:c r="P1230" s="4" t="n">
        <x:f>IF(OR(C1230="Ingredient candidate",C1230="Consumed input",C1230="Contained input",C1230="Transform input"),IF(F1230="T0",0,IF(F1230="T1",1,IF(F1230="T2",2,IF(F1230="T3",3,IF(F1230="T4",4,-1))))),-1)</x:f>
        <x:v>-1</x:v>
      </x:c>
      <x:c r="Q1230" s="4" t="n">
        <x:f>IF(AND(OR(C1230="Ingredient candidate",C1230="Consumed input",C1230="Contained input",C1230="Transform input"),P1230=-1),1,0)</x:f>
        <x:v>0</x:v>
      </x:c>
    </x:row>
    <x:row r="1231" ht="64" customHeight="1">
      <x:c r="A1231" s="4" t="str">
        <x:v>design.collection.low_wing_roof_panel.in.1</x:v>
      </x:c>
      <x:c r="B1231" s="4" t="str">
        <x:v>design.collection.low_wing_roof_panel</x:v>
      </x:c>
      <x:c r="C1231" s="4" t="str">
        <x:v>Ingredient candidate</x:v>
      </x:c>
      <x:c r="D1231" s="4" t="str">
        <x:v>proposal.branch.wing_membrane</x:v>
      </x:c>
      <x:c r="E1231" s="4" t="str">
        <x:f>IFERROR(INDEX('Items'!$B$6:$B$1005,MATCH(D1231,'Items'!$A$6:$A$1005,0)),"MISSING ID")</x:f>
        <x:v>Reinforced wing membrane</x:v>
      </x:c>
      <x:c r="F1231" s="4" t="str">
        <x:f>IFERROR(INDEX('Items'!$C$6:$C$1005,MATCH(D1231,'Items'!$A$6:$A$1005,0)),"MISSING ID")</x:f>
        <x:v>T2</x:v>
      </x:c>
      <x:c r="G1231" s="4" t="str">
        <x:f>IFERROR(INDEX('Items'!$D$6:$D$1005,MATCH(D1231,'Items'!$A$6:$A$1005,0)),"MISSING ID")</x:f>
        <x:v>Manufactured stock</x:v>
      </x:c>
      <x:c r="H1231" s="4" t="str">
        <x:f>IFERROR(INDEX('Items'!$X$6:$X$1005,MATCH(D1231,'Items'!$A$6:$A$1005,0)),"MISSING ID")</x:f>
        <x:v>Processed material</x:v>
      </x:c>
      <x:c r="I1231" s="4"/>
      <x:c r="J1231" s="4" t="str">
        <x:v>Unspecified</x:v>
      </x:c>
      <x:c r="K1231" s="4" t="str">
        <x:f>IFERROR(INDEX('Crafting recipes'!$D$6:$D$1005,MATCH(B1231,'Crafting recipes'!$A$6:$A$1005,0)),"MISSING ID")</x:f>
        <x:v>Proposal</x:v>
      </x:c>
      <x:c r="L1231" s="4" t="str">
        <x:f>IFERROR(INDEX('Items'!$AD$6:$AD$1005,MATCH(D1231,'Items'!$A$6:$A$1005,0)),"MISSING ID")</x:f>
        <x:v>Proposal</x:v>
      </x:c>
      <x:c r="M1231" s="4" t="str">
        <x:f>IFERROR(INDEX('Crafting recipes'!$E$6:$E$1005,MATCH(B1231,'Crafting recipes'!$A$6:$A$1005,0)),"MISSING ID")</x:f>
        <x:v>Partial proposal</x:v>
      </x:c>
      <x:c r="N1231" s="4" t="str">
        <x:v>Candidate source or part only. Quantity, grade and method remain open.</x:v>
      </x:c>
      <x:c r="O1231" s="4" t="str">
        <x:v>Collection expansion, October 15, 2026. New game proposal.</x:v>
      </x:c>
      <x:c r="P1231" s="4" t="n">
        <x:f>IF(OR(C1231="Ingredient candidate",C1231="Consumed input",C1231="Contained input",C1231="Transform input"),IF(F1231="T0",0,IF(F1231="T1",1,IF(F1231="T2",2,IF(F1231="T3",3,IF(F1231="T4",4,-1))))),-1)</x:f>
        <x:v>2</x:v>
      </x:c>
      <x:c r="Q1231" s="4" t="n">
        <x:f>IF(AND(OR(C1231="Ingredient candidate",C1231="Consumed input",C1231="Contained input",C1231="Transform input"),P1231=-1),1,0)</x:f>
        <x:v>0</x:v>
      </x:c>
    </x:row>
    <x:row r="1232" ht="64" customHeight="1">
      <x:c r="A1232" s="4" t="str">
        <x:v>design.collection.low_wing_roof_panel.in.2</x:v>
      </x:c>
      <x:c r="B1232" s="4" t="str">
        <x:v>design.collection.low_wing_roof_panel</x:v>
      </x:c>
      <x:c r="C1232" s="4" t="str">
        <x:v>Ingredient candidate</x:v>
      </x:c>
      <x:c r="D1232" s="4" t="str">
        <x:v>proposal.natural.iron_stock</x:v>
      </x:c>
      <x:c r="E1232" s="4" t="str">
        <x:f>IFERROR(INDEX('Items'!$B$6:$B$1005,MATCH(D1232,'Items'!$A$6:$A$1005,0)),"MISSING ID")</x:f>
        <x:v>Worked iron stock</x:v>
      </x:c>
      <x:c r="F1232" s="4" t="str">
        <x:f>IFERROR(INDEX('Items'!$C$6:$C$1005,MATCH(D1232,'Items'!$A$6:$A$1005,0)),"MISSING ID")</x:f>
        <x:v>T2</x:v>
      </x:c>
      <x:c r="G1232" s="4" t="str">
        <x:f>IFERROR(INDEX('Items'!$D$6:$D$1005,MATCH(D1232,'Items'!$A$6:$A$1005,0)),"MISSING ID")</x:f>
        <x:v>Manufactured stock</x:v>
      </x:c>
      <x:c r="H1232" s="4" t="str">
        <x:f>IFERROR(INDEX('Items'!$X$6:$X$1005,MATCH(D1232,'Items'!$A$6:$A$1005,0)),"MISSING ID")</x:f>
        <x:v>Processed material</x:v>
      </x:c>
      <x:c r="I1232" s="4"/>
      <x:c r="J1232" s="4" t="str">
        <x:v>Unspecified</x:v>
      </x:c>
      <x:c r="K1232" s="4" t="str">
        <x:f>IFERROR(INDEX('Crafting recipes'!$D$6:$D$1005,MATCH(B1232,'Crafting recipes'!$A$6:$A$1005,0)),"MISSING ID")</x:f>
        <x:v>Proposal</x:v>
      </x:c>
      <x:c r="L1232" s="4" t="str">
        <x:f>IFERROR(INDEX('Items'!$AD$6:$AD$1005,MATCH(D1232,'Items'!$A$6:$A$1005,0)),"MISSING ID")</x:f>
        <x:v>Proposal</x:v>
      </x:c>
      <x:c r="M1232" s="4" t="str">
        <x:f>IFERROR(INDEX('Crafting recipes'!$E$6:$E$1005,MATCH(B1232,'Crafting recipes'!$A$6:$A$1005,0)),"MISSING ID")</x:f>
        <x:v>Partial proposal</x:v>
      </x:c>
      <x:c r="N1232" s="4" t="str">
        <x:v>Candidate source or part only. Quantity, grade and method remain open.</x:v>
      </x:c>
      <x:c r="O1232" s="4" t="str">
        <x:v>Collection expansion, October 15, 2026. New game proposal.</x:v>
      </x:c>
      <x:c r="P1232" s="4" t="n">
        <x:f>IF(OR(C1232="Ingredient candidate",C1232="Consumed input",C1232="Contained input",C1232="Transform input"),IF(F1232="T0",0,IF(F1232="T1",1,IF(F1232="T2",2,IF(F1232="T3",3,IF(F1232="T4",4,-1))))),-1)</x:f>
        <x:v>2</x:v>
      </x:c>
      <x:c r="Q1232" s="4" t="n">
        <x:f>IF(AND(OR(C1232="Ingredient candidate",C1232="Consumed input",C1232="Contained input",C1232="Transform input"),P1232=-1),1,0)</x:f>
        <x:v>0</x:v>
      </x:c>
    </x:row>
    <x:row r="1233" ht="64" customHeight="1">
      <x:c r="A1233" s="4" t="str">
        <x:v>design.collection.low_wing_roof_panel.out</x:v>
      </x:c>
      <x:c r="B1233" s="4" t="str">
        <x:v>design.collection.low_wing_roof_panel</x:v>
      </x:c>
      <x:c r="C1233" s="4" t="str">
        <x:v>Output</x:v>
      </x:c>
      <x:c r="D1233" s="4" t="str">
        <x:v>proposal.collection.low_wing_roof_panel</x:v>
      </x:c>
      <x:c r="E1233" s="4" t="str">
        <x:f>IFERROR(INDEX('Items'!$B$6:$B$1005,MATCH(D1233,'Items'!$A$6:$A$1005,0)),"MISSING ID")</x:f>
        <x:v>Low wing-roof panel</x:v>
      </x:c>
      <x:c r="F1233" s="4" t="str">
        <x:f>IFERROR(INDEX('Items'!$C$6:$C$1005,MATCH(D1233,'Items'!$A$6:$A$1005,0)),"MISSING ID")</x:f>
        <x:v>Not applicable</x:v>
      </x:c>
      <x:c r="G1233" s="4" t="str">
        <x:f>IFERROR(INDEX('Items'!$D$6:$D$1005,MATCH(D1233,'Items'!$A$6:$A$1005,0)),"MISSING ID")</x:f>
        <x:v>Salvage</x:v>
      </x:c>
      <x:c r="H1233" s="4" t="str">
        <x:f>IFERROR(INDEX('Items'!$X$6:$X$1005,MATCH(D1233,'Items'!$A$6:$A$1005,0)),"MISSING ID")</x:f>
        <x:v>Shelter item</x:v>
      </x:c>
      <x:c r="I1233" s="4"/>
      <x:c r="J1233" s="4" t="str">
        <x:v>Unspecified</x:v>
      </x:c>
      <x:c r="K1233" s="4" t="str">
        <x:f>IFERROR(INDEX('Crafting recipes'!$D$6:$D$1005,MATCH(B1233,'Crafting recipes'!$A$6:$A$1005,0)),"MISSING ID")</x:f>
        <x:v>Proposal</x:v>
      </x:c>
      <x:c r="L1233" s="4" t="str">
        <x:f>IFERROR(INDEX('Items'!$AD$6:$AD$1005,MATCH(D1233,'Items'!$A$6:$A$1005,0)),"MISSING ID")</x:f>
        <x:v>Proposal</x:v>
      </x:c>
      <x:c r="M1233" s="4" t="str">
        <x:f>IFERROR(INDEX('Crafting recipes'!$E$6:$E$1005,MATCH(B1233,'Crafting recipes'!$A$6:$A$1005,0)),"MISSING ID")</x:f>
        <x:v>Partial proposal</x:v>
      </x:c>
      <x:c r="N1233" s="4" t="str">
        <x:v>Candidate source or part only. Quantity, grade and method remain open.</x:v>
      </x:c>
      <x:c r="O1233" s="4" t="str">
        <x:v>Collection expansion, October 15, 2026. New game proposal.</x:v>
      </x:c>
      <x:c r="P1233" s="4" t="n">
        <x:f>IF(OR(C1233="Ingredient candidate",C1233="Consumed input",C1233="Contained input",C1233="Transform input"),IF(F1233="T0",0,IF(F1233="T1",1,IF(F1233="T2",2,IF(F1233="T3",3,IF(F1233="T4",4,-1))))),-1)</x:f>
        <x:v>-1</x:v>
      </x:c>
      <x:c r="Q1233" s="4" t="n">
        <x:f>IF(AND(OR(C1233="Ingredient candidate",C1233="Consumed input",C1233="Contained input",C1233="Transform input"),P1233=-1),1,0)</x:f>
        <x:v>0</x:v>
      </x:c>
    </x:row>
    <x:row r="1234" ht="64" customHeight="1">
      <x:c r="A1234" s="4" t="str">
        <x:v>design.collection.segmented_shelter_pole_set.in.1</x:v>
      </x:c>
      <x:c r="B1234" s="4" t="str">
        <x:v>design.collection.segmented_shelter_pole_set</x:v>
      </x:c>
      <x:c r="C1234" s="4" t="str">
        <x:v>Ingredient candidate</x:v>
      </x:c>
      <x:c r="D1234" s="4" t="str">
        <x:v>proposal.t3.precision_tube</x:v>
      </x:c>
      <x:c r="E1234" s="4" t="str">
        <x:f>IFERROR(INDEX('Items'!$B$6:$B$1005,MATCH(D1234,'Items'!$A$6:$A$1005,0)),"MISSING ID")</x:f>
        <x:v>Drawn steel tube stock</x:v>
      </x:c>
      <x:c r="F1234" s="4" t="str">
        <x:f>IFERROR(INDEX('Items'!$C$6:$C$1005,MATCH(D1234,'Items'!$A$6:$A$1005,0)),"MISSING ID")</x:f>
        <x:v>T3</x:v>
      </x:c>
      <x:c r="G1234" s="4" t="str">
        <x:f>IFERROR(INDEX('Items'!$D$6:$D$1005,MATCH(D1234,'Items'!$A$6:$A$1005,0)),"MISSING ID")</x:f>
        <x:v>Manufactured stock</x:v>
      </x:c>
      <x:c r="H1234" s="4" t="str">
        <x:f>IFERROR(INDEX('Items'!$X$6:$X$1005,MATCH(D1234,'Items'!$A$6:$A$1005,0)),"MISSING ID")</x:f>
        <x:v>Processed material</x:v>
      </x:c>
      <x:c r="I1234" s="4"/>
      <x:c r="J1234" s="4" t="str">
        <x:v>Unspecified</x:v>
      </x:c>
      <x:c r="K1234" s="4" t="str">
        <x:f>IFERROR(INDEX('Crafting recipes'!$D$6:$D$1005,MATCH(B1234,'Crafting recipes'!$A$6:$A$1005,0)),"MISSING ID")</x:f>
        <x:v>Proposal</x:v>
      </x:c>
      <x:c r="L1234" s="4" t="str">
        <x:f>IFERROR(INDEX('Items'!$AD$6:$AD$1005,MATCH(D1234,'Items'!$A$6:$A$1005,0)),"MISSING ID")</x:f>
        <x:v>Proposal</x:v>
      </x:c>
      <x:c r="M1234" s="4" t="str">
        <x:f>IFERROR(INDEX('Crafting recipes'!$E$6:$E$1005,MATCH(B1234,'Crafting recipes'!$A$6:$A$1005,0)),"MISSING ID")</x:f>
        <x:v>Partial proposal</x:v>
      </x:c>
      <x:c r="N1234" s="4" t="str">
        <x:v>Candidate source or part only. Quantity, grade and method remain open.</x:v>
      </x:c>
      <x:c r="O1234" s="4" t="str">
        <x:v>Collection expansion, October 15, 2026. New game proposal.</x:v>
      </x:c>
      <x:c r="P1234" s="4" t="n">
        <x:f>IF(OR(C1234="Ingredient candidate",C1234="Consumed input",C1234="Contained input",C1234="Transform input"),IF(F1234="T0",0,IF(F1234="T1",1,IF(F1234="T2",2,IF(F1234="T3",3,IF(F1234="T4",4,-1))))),-1)</x:f>
        <x:v>3</x:v>
      </x:c>
      <x:c r="Q1234" s="4" t="n">
        <x:f>IF(AND(OR(C1234="Ingredient candidate",C1234="Consumed input",C1234="Contained input",C1234="Transform input"),P1234=-1),1,0)</x:f>
        <x:v>0</x:v>
      </x:c>
    </x:row>
    <x:row r="1235" ht="64" customHeight="1">
      <x:c r="A1235" s="4" t="str">
        <x:v>design.collection.segmented_shelter_pole_set.in.2</x:v>
      </x:c>
      <x:c r="B1235" s="4" t="str">
        <x:v>design.collection.segmented_shelter_pole_set</x:v>
      </x:c>
      <x:c r="C1235" s="4" t="str">
        <x:v>Ingredient candidate</x:v>
      </x:c>
      <x:c r="D1235" s="4" t="str">
        <x:v>proposal.lore.fastener_set</x:v>
      </x:c>
      <x:c r="E1235" s="4" t="str">
        <x:f>IFERROR(INDEX('Items'!$B$6:$B$1005,MATCH(D1235,'Items'!$A$6:$A$1005,0)),"MISSING ID")</x:f>
        <x:v>Matched metal fastener set</x:v>
      </x:c>
      <x:c r="F1235" s="4" t="str">
        <x:f>IFERROR(INDEX('Items'!$C$6:$C$1005,MATCH(D1235,'Items'!$A$6:$A$1005,0)),"MISSING ID")</x:f>
        <x:v>T3</x:v>
      </x:c>
      <x:c r="G1235" s="4" t="str">
        <x:f>IFERROR(INDEX('Items'!$D$6:$D$1005,MATCH(D1235,'Items'!$A$6:$A$1005,0)),"MISSING ID")</x:f>
        <x:v>Crafting components</x:v>
      </x:c>
      <x:c r="H1235" s="4" t="str">
        <x:f>IFERROR(INDEX('Items'!$X$6:$X$1005,MATCH(D1235,'Items'!$A$6:$A$1005,0)),"MISSING ID")</x:f>
        <x:v>Crafting component</x:v>
      </x:c>
      <x:c r="I1235" s="4"/>
      <x:c r="J1235" s="4" t="str">
        <x:v>Unspecified</x:v>
      </x:c>
      <x:c r="K1235" s="4" t="str">
        <x:f>IFERROR(INDEX('Crafting recipes'!$D$6:$D$1005,MATCH(B1235,'Crafting recipes'!$A$6:$A$1005,0)),"MISSING ID")</x:f>
        <x:v>Proposal</x:v>
      </x:c>
      <x:c r="L1235" s="4" t="str">
        <x:f>IFERROR(INDEX('Items'!$AD$6:$AD$1005,MATCH(D1235,'Items'!$A$6:$A$1005,0)),"MISSING ID")</x:f>
        <x:v>Proposal</x:v>
      </x:c>
      <x:c r="M1235" s="4" t="str">
        <x:f>IFERROR(INDEX('Crafting recipes'!$E$6:$E$1005,MATCH(B1235,'Crafting recipes'!$A$6:$A$1005,0)),"MISSING ID")</x:f>
        <x:v>Partial proposal</x:v>
      </x:c>
      <x:c r="N1235" s="4" t="str">
        <x:v>Candidate source or part only. Quantity, grade and method remain open.</x:v>
      </x:c>
      <x:c r="O1235" s="4" t="str">
        <x:v>Collection expansion, October 15, 2026. New game proposal.</x:v>
      </x:c>
      <x:c r="P1235" s="4" t="n">
        <x:f>IF(OR(C1235="Ingredient candidate",C1235="Consumed input",C1235="Contained input",C1235="Transform input"),IF(F1235="T0",0,IF(F1235="T1",1,IF(F1235="T2",2,IF(F1235="T3",3,IF(F1235="T4",4,-1))))),-1)</x:f>
        <x:v>3</x:v>
      </x:c>
      <x:c r="Q1235" s="4" t="n">
        <x:f>IF(AND(OR(C1235="Ingredient candidate",C1235="Consumed input",C1235="Contained input",C1235="Transform input"),P1235=-1),1,0)</x:f>
        <x:v>0</x:v>
      </x:c>
    </x:row>
    <x:row r="1236" ht="64" customHeight="1">
      <x:c r="A1236" s="4" t="str">
        <x:v>design.collection.segmented_shelter_pole_set.out</x:v>
      </x:c>
      <x:c r="B1236" s="4" t="str">
        <x:v>design.collection.segmented_shelter_pole_set</x:v>
      </x:c>
      <x:c r="C1236" s="4" t="str">
        <x:v>Output</x:v>
      </x:c>
      <x:c r="D1236" s="4" t="str">
        <x:v>proposal.collection.segmented_shelter_pole_set</x:v>
      </x:c>
      <x:c r="E1236" s="4" t="str">
        <x:f>IFERROR(INDEX('Items'!$B$6:$B$1005,MATCH(D1236,'Items'!$A$6:$A$1005,0)),"MISSING ID")</x:f>
        <x:v>Segmented shelter pole set</x:v>
      </x:c>
      <x:c r="F1236" s="4" t="str">
        <x:f>IFERROR(INDEX('Items'!$C$6:$C$1005,MATCH(D1236,'Items'!$A$6:$A$1005,0)),"MISSING ID")</x:f>
        <x:v>Not applicable</x:v>
      </x:c>
      <x:c r="G1236" s="4" t="str">
        <x:f>IFERROR(INDEX('Items'!$D$6:$D$1005,MATCH(D1236,'Items'!$A$6:$A$1005,0)),"MISSING ID")</x:f>
        <x:v>Salvage</x:v>
      </x:c>
      <x:c r="H1236" s="4" t="str">
        <x:f>IFERROR(INDEX('Items'!$X$6:$X$1005,MATCH(D1236,'Items'!$A$6:$A$1005,0)),"MISSING ID")</x:f>
        <x:v>Shelter item</x:v>
      </x:c>
      <x:c r="I1236" s="4"/>
      <x:c r="J1236" s="4" t="str">
        <x:v>Unspecified</x:v>
      </x:c>
      <x:c r="K1236" s="4" t="str">
        <x:f>IFERROR(INDEX('Crafting recipes'!$D$6:$D$1005,MATCH(B1236,'Crafting recipes'!$A$6:$A$1005,0)),"MISSING ID")</x:f>
        <x:v>Proposal</x:v>
      </x:c>
      <x:c r="L1236" s="4" t="str">
        <x:f>IFERROR(INDEX('Items'!$AD$6:$AD$1005,MATCH(D1236,'Items'!$A$6:$A$1005,0)),"MISSING ID")</x:f>
        <x:v>Proposal</x:v>
      </x:c>
      <x:c r="M1236" s="4" t="str">
        <x:f>IFERROR(INDEX('Crafting recipes'!$E$6:$E$1005,MATCH(B1236,'Crafting recipes'!$A$6:$A$1005,0)),"MISSING ID")</x:f>
        <x:v>Partial proposal</x:v>
      </x:c>
      <x:c r="N1236" s="4" t="str">
        <x:v>Candidate source or part only. Quantity, grade and method remain open.</x:v>
      </x:c>
      <x:c r="O1236" s="4" t="str">
        <x:v>Collection expansion, October 15, 2026. New game proposal.</x:v>
      </x:c>
      <x:c r="P1236" s="4" t="n">
        <x:f>IF(OR(C1236="Ingredient candidate",C1236="Consumed input",C1236="Contained input",C1236="Transform input"),IF(F1236="T0",0,IF(F1236="T1",1,IF(F1236="T2",2,IF(F1236="T3",3,IF(F1236="T4",4,-1))))),-1)</x:f>
        <x:v>-1</x:v>
      </x:c>
      <x:c r="Q1236" s="4" t="n">
        <x:f>IF(AND(OR(C1236="Ingredient candidate",C1236="Consumed input",C1236="Contained input",C1236="Transform input"),P1236=-1),1,0)</x:f>
        <x:v>0</x:v>
      </x:c>
    </x:row>
    <x:row r="1237" ht="64" customHeight="1">
      <x:c r="A1237" s="4" t="str">
        <x:v>design.collection.ground_anchor_stake_set.in.1</x:v>
      </x:c>
      <x:c r="B1237" s="4" t="str">
        <x:v>design.collection.ground_anchor_stake_set</x:v>
      </x:c>
      <x:c r="C1237" s="4" t="str">
        <x:v>Ingredient candidate</x:v>
      </x:c>
      <x:c r="D1237" s="4" t="str">
        <x:v>author.metallurgy.steel_stock</x:v>
      </x:c>
      <x:c r="E1237" s="4" t="str">
        <x:f>IFERROR(INDEX('Items'!$B$6:$B$1005,MATCH(D1237,'Items'!$A$6:$A$1005,0)),"MISSING ID")</x:f>
        <x:v>Steel stock</x:v>
      </x:c>
      <x:c r="F1237" s="4" t="str">
        <x:f>IFERROR(INDEX('Items'!$C$6:$C$1005,MATCH(D1237,'Items'!$A$6:$A$1005,0)),"MISSING ID")</x:f>
        <x:v>T2</x:v>
      </x:c>
      <x:c r="G1237" s="4" t="str">
        <x:f>IFERROR(INDEX('Items'!$D$6:$D$1005,MATCH(D1237,'Items'!$A$6:$A$1005,0)),"MISSING ID")</x:f>
        <x:v>Manufactured stock</x:v>
      </x:c>
      <x:c r="H1237" s="4" t="str">
        <x:f>IFERROR(INDEX('Items'!$X$6:$X$1005,MATCH(D1237,'Items'!$A$6:$A$1005,0)),"MISSING ID")</x:f>
        <x:v>Processed material</x:v>
      </x:c>
      <x:c r="I1237" s="4"/>
      <x:c r="J1237" s="4" t="str">
        <x:v>Unspecified</x:v>
      </x:c>
      <x:c r="K1237" s="4" t="str">
        <x:f>IFERROR(INDEX('Crafting recipes'!$D$6:$D$1005,MATCH(B1237,'Crafting recipes'!$A$6:$A$1005,0)),"MISSING ID")</x:f>
        <x:v>Proposal</x:v>
      </x:c>
      <x:c r="L1237" s="4" t="str">
        <x:f>IFERROR(INDEX('Items'!$AD$6:$AD$1005,MATCH(D1237,'Items'!$A$6:$A$1005,0)),"MISSING ID")</x:f>
        <x:v>Author direction</x:v>
      </x:c>
      <x:c r="M1237" s="4" t="str">
        <x:f>IFERROR(INDEX('Crafting recipes'!$E$6:$E$1005,MATCH(B1237,'Crafting recipes'!$A$6:$A$1005,0)),"MISSING ID")</x:f>
        <x:v>Partial proposal</x:v>
      </x:c>
      <x:c r="N1237" s="4" t="str">
        <x:v>Candidate source or part only. Quantity, grade and method remain open.</x:v>
      </x:c>
      <x:c r="O1237" s="4" t="str">
        <x:v>Collection expansion, October 15, 2026. New game proposal.</x:v>
      </x:c>
      <x:c r="P1237" s="4" t="n">
        <x:f>IF(OR(C1237="Ingredient candidate",C1237="Consumed input",C1237="Contained input",C1237="Transform input"),IF(F1237="T0",0,IF(F1237="T1",1,IF(F1237="T2",2,IF(F1237="T3",3,IF(F1237="T4",4,-1))))),-1)</x:f>
        <x:v>2</x:v>
      </x:c>
      <x:c r="Q1237" s="4" t="n">
        <x:f>IF(AND(OR(C1237="Ingredient candidate",C1237="Consumed input",C1237="Contained input",C1237="Transform input"),P1237=-1),1,0)</x:f>
        <x:v>0</x:v>
      </x:c>
    </x:row>
    <x:row r="1238" ht="64" customHeight="1">
      <x:c r="A1238" s="4" t="str">
        <x:v>design.collection.ground_anchor_stake_set.out</x:v>
      </x:c>
      <x:c r="B1238" s="4" t="str">
        <x:v>design.collection.ground_anchor_stake_set</x:v>
      </x:c>
      <x:c r="C1238" s="4" t="str">
        <x:v>Output</x:v>
      </x:c>
      <x:c r="D1238" s="4" t="str">
        <x:v>proposal.collection.ground_anchor_stake_set</x:v>
      </x:c>
      <x:c r="E1238" s="4" t="str">
        <x:f>IFERROR(INDEX('Items'!$B$6:$B$1005,MATCH(D1238,'Items'!$A$6:$A$1005,0)),"MISSING ID")</x:f>
        <x:v>Ground-anchor stake set</x:v>
      </x:c>
      <x:c r="F1238" s="4" t="str">
        <x:f>IFERROR(INDEX('Items'!$C$6:$C$1005,MATCH(D1238,'Items'!$A$6:$A$1005,0)),"MISSING ID")</x:f>
        <x:v>Not applicable</x:v>
      </x:c>
      <x:c r="G1238" s="4" t="str">
        <x:f>IFERROR(INDEX('Items'!$D$6:$D$1005,MATCH(D1238,'Items'!$A$6:$A$1005,0)),"MISSING ID")</x:f>
        <x:v>Salvage</x:v>
      </x:c>
      <x:c r="H1238" s="4" t="str">
        <x:f>IFERROR(INDEX('Items'!$X$6:$X$1005,MATCH(D1238,'Items'!$A$6:$A$1005,0)),"MISSING ID")</x:f>
        <x:v>Shelter item</x:v>
      </x:c>
      <x:c r="I1238" s="4"/>
      <x:c r="J1238" s="4" t="str">
        <x:v>Unspecified</x:v>
      </x:c>
      <x:c r="K1238" s="4" t="str">
        <x:f>IFERROR(INDEX('Crafting recipes'!$D$6:$D$1005,MATCH(B1238,'Crafting recipes'!$A$6:$A$1005,0)),"MISSING ID")</x:f>
        <x:v>Proposal</x:v>
      </x:c>
      <x:c r="L1238" s="4" t="str">
        <x:f>IFERROR(INDEX('Items'!$AD$6:$AD$1005,MATCH(D1238,'Items'!$A$6:$A$1005,0)),"MISSING ID")</x:f>
        <x:v>Proposal</x:v>
      </x:c>
      <x:c r="M1238" s="4" t="str">
        <x:f>IFERROR(INDEX('Crafting recipes'!$E$6:$E$1005,MATCH(B1238,'Crafting recipes'!$A$6:$A$1005,0)),"MISSING ID")</x:f>
        <x:v>Partial proposal</x:v>
      </x:c>
      <x:c r="N1238" s="4" t="str">
        <x:v>Candidate source or part only. Quantity, grade and method remain open.</x:v>
      </x:c>
      <x:c r="O1238" s="4" t="str">
        <x:v>Collection expansion, October 15, 2026. New game proposal.</x:v>
      </x:c>
      <x:c r="P1238" s="4" t="n">
        <x:f>IF(OR(C1238="Ingredient candidate",C1238="Consumed input",C1238="Contained input",C1238="Transform input"),IF(F1238="T0",0,IF(F1238="T1",1,IF(F1238="T2",2,IF(F1238="T3",3,IF(F1238="T4",4,-1))))),-1)</x:f>
        <x:v>-1</x:v>
      </x:c>
      <x:c r="Q1238" s="4" t="n">
        <x:f>IF(AND(OR(C1238="Ingredient candidate",C1238="Consumed input",C1238="Contained input",C1238="Transform input"),P1238=-1),1,0)</x:f>
        <x:v>0</x:v>
      </x:c>
    </x:row>
    <x:row r="1239" ht="64" customHeight="1">
      <x:c r="A1239" s="4" t="str">
        <x:v>design.collection.tendon_guyline_bundle.in.1</x:v>
      </x:c>
      <x:c r="B1239" s="4" t="str">
        <x:v>design.collection.tendon_guyline_bundle</x:v>
      </x:c>
      <x:c r="C1239" s="4" t="str">
        <x:v>Ingredient candidate</x:v>
      </x:c>
      <x:c r="D1239" s="4" t="str">
        <x:v>proposal.bio.cord</x:v>
      </x:c>
      <x:c r="E1239" s="4" t="str">
        <x:f>IFERROR(INDEX('Items'!$B$6:$B$1005,MATCH(D1239,'Items'!$A$6:$A$1005,0)),"MISSING ID")</x:f>
        <x:v>Tendon cord</x:v>
      </x:c>
      <x:c r="F1239" s="4" t="str">
        <x:f>IFERROR(INDEX('Items'!$C$6:$C$1005,MATCH(D1239,'Items'!$A$6:$A$1005,0)),"MISSING ID")</x:f>
        <x:v>T1</x:v>
      </x:c>
      <x:c r="G1239" s="4" t="str">
        <x:f>IFERROR(INDEX('Items'!$D$6:$D$1005,MATCH(D1239,'Items'!$A$6:$A$1005,0)),"MISSING ID")</x:f>
        <x:v>Crafting components</x:v>
      </x:c>
      <x:c r="H1239" s="4" t="str">
        <x:f>IFERROR(INDEX('Items'!$X$6:$X$1005,MATCH(D1239,'Items'!$A$6:$A$1005,0)),"MISSING ID")</x:f>
        <x:v>Crafting component</x:v>
      </x:c>
      <x:c r="I1239" s="4"/>
      <x:c r="J1239" s="4" t="str">
        <x:v>Unspecified</x:v>
      </x:c>
      <x:c r="K1239" s="4" t="str">
        <x:f>IFERROR(INDEX('Crafting recipes'!$D$6:$D$1005,MATCH(B1239,'Crafting recipes'!$A$6:$A$1005,0)),"MISSING ID")</x:f>
        <x:v>Proposal</x:v>
      </x:c>
      <x:c r="L1239" s="4" t="str">
        <x:f>IFERROR(INDEX('Items'!$AD$6:$AD$1005,MATCH(D1239,'Items'!$A$6:$A$1005,0)),"MISSING ID")</x:f>
        <x:v>Proposal</x:v>
      </x:c>
      <x:c r="M1239" s="4" t="str">
        <x:f>IFERROR(INDEX('Crafting recipes'!$E$6:$E$1005,MATCH(B1239,'Crafting recipes'!$A$6:$A$1005,0)),"MISSING ID")</x:f>
        <x:v>Partial proposal</x:v>
      </x:c>
      <x:c r="N1239" s="4" t="str">
        <x:v>Candidate source or part only. Quantity, grade and method remain open.</x:v>
      </x:c>
      <x:c r="O1239" s="4" t="str">
        <x:v>Collection expansion, October 15, 2026. New game proposal.</x:v>
      </x:c>
      <x:c r="P1239" s="4" t="n">
        <x:f>IF(OR(C1239="Ingredient candidate",C1239="Consumed input",C1239="Contained input",C1239="Transform input"),IF(F1239="T0",0,IF(F1239="T1",1,IF(F1239="T2",2,IF(F1239="T3",3,IF(F1239="T4",4,-1))))),-1)</x:f>
        <x:v>1</x:v>
      </x:c>
      <x:c r="Q1239" s="4" t="n">
        <x:f>IF(AND(OR(C1239="Ingredient candidate",C1239="Consumed input",C1239="Contained input",C1239="Transform input"),P1239=-1),1,0)</x:f>
        <x:v>0</x:v>
      </x:c>
    </x:row>
    <x:row r="1240" ht="64" customHeight="1">
      <x:c r="A1240" s="4" t="str">
        <x:v>design.collection.tendon_guyline_bundle.out</x:v>
      </x:c>
      <x:c r="B1240" s="4" t="str">
        <x:v>design.collection.tendon_guyline_bundle</x:v>
      </x:c>
      <x:c r="C1240" s="4" t="str">
        <x:v>Output</x:v>
      </x:c>
      <x:c r="D1240" s="4" t="str">
        <x:v>proposal.collection.tendon_guyline_bundle</x:v>
      </x:c>
      <x:c r="E1240" s="4" t="str">
        <x:f>IFERROR(INDEX('Items'!$B$6:$B$1005,MATCH(D1240,'Items'!$A$6:$A$1005,0)),"MISSING ID")</x:f>
        <x:v>Tendon guyline bundle</x:v>
      </x:c>
      <x:c r="F1240" s="4" t="str">
        <x:f>IFERROR(INDEX('Items'!$C$6:$C$1005,MATCH(D1240,'Items'!$A$6:$A$1005,0)),"MISSING ID")</x:f>
        <x:v>Not applicable</x:v>
      </x:c>
      <x:c r="G1240" s="4" t="str">
        <x:f>IFERROR(INDEX('Items'!$D$6:$D$1005,MATCH(D1240,'Items'!$A$6:$A$1005,0)),"MISSING ID")</x:f>
        <x:v>Salvage</x:v>
      </x:c>
      <x:c r="H1240" s="4" t="str">
        <x:f>IFERROR(INDEX('Items'!$X$6:$X$1005,MATCH(D1240,'Items'!$A$6:$A$1005,0)),"MISSING ID")</x:f>
        <x:v>Shelter item</x:v>
      </x:c>
      <x:c r="I1240" s="4"/>
      <x:c r="J1240" s="4" t="str">
        <x:v>Unspecified</x:v>
      </x:c>
      <x:c r="K1240" s="4" t="str">
        <x:f>IFERROR(INDEX('Crafting recipes'!$D$6:$D$1005,MATCH(B1240,'Crafting recipes'!$A$6:$A$1005,0)),"MISSING ID")</x:f>
        <x:v>Proposal</x:v>
      </x:c>
      <x:c r="L1240" s="4" t="str">
        <x:f>IFERROR(INDEX('Items'!$AD$6:$AD$1005,MATCH(D1240,'Items'!$A$6:$A$1005,0)),"MISSING ID")</x:f>
        <x:v>Proposal</x:v>
      </x:c>
      <x:c r="M1240" s="4" t="str">
        <x:f>IFERROR(INDEX('Crafting recipes'!$E$6:$E$1005,MATCH(B1240,'Crafting recipes'!$A$6:$A$1005,0)),"MISSING ID")</x:f>
        <x:v>Partial proposal</x:v>
      </x:c>
      <x:c r="N1240" s="4" t="str">
        <x:v>Candidate source or part only. Quantity, grade and method remain open.</x:v>
      </x:c>
      <x:c r="O1240" s="4" t="str">
        <x:v>Collection expansion, October 15, 2026. New game proposal.</x:v>
      </x:c>
      <x:c r="P1240" s="4" t="n">
        <x:f>IF(OR(C1240="Ingredient candidate",C1240="Consumed input",C1240="Contained input",C1240="Transform input"),IF(F1240="T0",0,IF(F1240="T1",1,IF(F1240="T2",2,IF(F1240="T3",3,IF(F1240="T4",4,-1))))),-1)</x:f>
        <x:v>-1</x:v>
      </x:c>
      <x:c r="Q1240" s="4" t="n">
        <x:f>IF(AND(OR(C1240="Ingredient candidate",C1240="Consumed input",C1240="Contained input",C1240="Transform input"),P1240=-1),1,0)</x:f>
        <x:v>0</x:v>
      </x:c>
    </x:row>
    <x:row r="1241" ht="64" customHeight="1">
      <x:c r="A1241" s="4" t="str">
        <x:v>design.collection.husk_sheet_grit_screen.in.1</x:v>
      </x:c>
      <x:c r="B1241" s="4" t="str">
        <x:v>design.collection.husk_sheet_grit_screen</x:v>
      </x:c>
      <x:c r="C1241" s="4" t="str">
        <x:v>Ingredient candidate</x:v>
      </x:c>
      <x:c r="D1241" s="4" t="str">
        <x:v>proposal.branch.husk_sheet</x:v>
      </x:c>
      <x:c r="E1241" s="4" t="str">
        <x:f>IFERROR(INDEX('Items'!$B$6:$B$1005,MATCH(D1241,'Items'!$A$6:$A$1005,0)),"MISSING ID")</x:f>
        <x:v>Bonded husk sheet</x:v>
      </x:c>
      <x:c r="F1241" s="4" t="str">
        <x:f>IFERROR(INDEX('Items'!$C$6:$C$1005,MATCH(D1241,'Items'!$A$6:$A$1005,0)),"MISSING ID")</x:f>
        <x:v>T2</x:v>
      </x:c>
      <x:c r="G1241" s="4" t="str">
        <x:f>IFERROR(INDEX('Items'!$D$6:$D$1005,MATCH(D1241,'Items'!$A$6:$A$1005,0)),"MISSING ID")</x:f>
        <x:v>Manufactured stock</x:v>
      </x:c>
      <x:c r="H1241" s="4" t="str">
        <x:f>IFERROR(INDEX('Items'!$X$6:$X$1005,MATCH(D1241,'Items'!$A$6:$A$1005,0)),"MISSING ID")</x:f>
        <x:v>Processed material</x:v>
      </x:c>
      <x:c r="I1241" s="4"/>
      <x:c r="J1241" s="4" t="str">
        <x:v>Unspecified</x:v>
      </x:c>
      <x:c r="K1241" s="4" t="str">
        <x:f>IFERROR(INDEX('Crafting recipes'!$D$6:$D$1005,MATCH(B1241,'Crafting recipes'!$A$6:$A$1005,0)),"MISSING ID")</x:f>
        <x:v>Proposal</x:v>
      </x:c>
      <x:c r="L1241" s="4" t="str">
        <x:f>IFERROR(INDEX('Items'!$AD$6:$AD$1005,MATCH(D1241,'Items'!$A$6:$A$1005,0)),"MISSING ID")</x:f>
        <x:v>Proposal</x:v>
      </x:c>
      <x:c r="M1241" s="4" t="str">
        <x:f>IFERROR(INDEX('Crafting recipes'!$E$6:$E$1005,MATCH(B1241,'Crafting recipes'!$A$6:$A$1005,0)),"MISSING ID")</x:f>
        <x:v>Partial proposal</x:v>
      </x:c>
      <x:c r="N1241" s="4" t="str">
        <x:v>Candidate source or part only. Quantity, grade and method remain open.</x:v>
      </x:c>
      <x:c r="O1241" s="4" t="str">
        <x:v>Collection expansion, October 15, 2026. New game proposal.</x:v>
      </x:c>
      <x:c r="P1241" s="4" t="n">
        <x:f>IF(OR(C1241="Ingredient candidate",C1241="Consumed input",C1241="Contained input",C1241="Transform input"),IF(F1241="T0",0,IF(F1241="T1",1,IF(F1241="T2",2,IF(F1241="T3",3,IF(F1241="T4",4,-1))))),-1)</x:f>
        <x:v>2</x:v>
      </x:c>
      <x:c r="Q1241" s="4" t="n">
        <x:f>IF(AND(OR(C1241="Ingredient candidate",C1241="Consumed input",C1241="Contained input",C1241="Transform input"),P1241=-1),1,0)</x:f>
        <x:v>0</x:v>
      </x:c>
    </x:row>
    <x:row r="1242" ht="64" customHeight="1">
      <x:c r="A1242" s="4" t="str">
        <x:v>design.collection.husk_sheet_grit_screen.in.2</x:v>
      </x:c>
      <x:c r="B1242" s="4" t="str">
        <x:v>design.collection.husk_sheet_grit_screen</x:v>
      </x:c>
      <x:c r="C1242" s="4" t="str">
        <x:v>Ingredient candidate</x:v>
      </x:c>
      <x:c r="D1242" s="4" t="str">
        <x:v>proposal.natural.iron_stock</x:v>
      </x:c>
      <x:c r="E1242" s="4" t="str">
        <x:f>IFERROR(INDEX('Items'!$B$6:$B$1005,MATCH(D1242,'Items'!$A$6:$A$1005,0)),"MISSING ID")</x:f>
        <x:v>Worked iron stock</x:v>
      </x:c>
      <x:c r="F1242" s="4" t="str">
        <x:f>IFERROR(INDEX('Items'!$C$6:$C$1005,MATCH(D1242,'Items'!$A$6:$A$1005,0)),"MISSING ID")</x:f>
        <x:v>T2</x:v>
      </x:c>
      <x:c r="G1242" s="4" t="str">
        <x:f>IFERROR(INDEX('Items'!$D$6:$D$1005,MATCH(D1242,'Items'!$A$6:$A$1005,0)),"MISSING ID")</x:f>
        <x:v>Manufactured stock</x:v>
      </x:c>
      <x:c r="H1242" s="4" t="str">
        <x:f>IFERROR(INDEX('Items'!$X$6:$X$1005,MATCH(D1242,'Items'!$A$6:$A$1005,0)),"MISSING ID")</x:f>
        <x:v>Processed material</x:v>
      </x:c>
      <x:c r="I1242" s="4"/>
      <x:c r="J1242" s="4" t="str">
        <x:v>Unspecified</x:v>
      </x:c>
      <x:c r="K1242" s="4" t="str">
        <x:f>IFERROR(INDEX('Crafting recipes'!$D$6:$D$1005,MATCH(B1242,'Crafting recipes'!$A$6:$A$1005,0)),"MISSING ID")</x:f>
        <x:v>Proposal</x:v>
      </x:c>
      <x:c r="L1242" s="4" t="str">
        <x:f>IFERROR(INDEX('Items'!$AD$6:$AD$1005,MATCH(D1242,'Items'!$A$6:$A$1005,0)),"MISSING ID")</x:f>
        <x:v>Proposal</x:v>
      </x:c>
      <x:c r="M1242" s="4" t="str">
        <x:f>IFERROR(INDEX('Crafting recipes'!$E$6:$E$1005,MATCH(B1242,'Crafting recipes'!$A$6:$A$1005,0)),"MISSING ID")</x:f>
        <x:v>Partial proposal</x:v>
      </x:c>
      <x:c r="N1242" s="4" t="str">
        <x:v>Candidate source or part only. Quantity, grade and method remain open.</x:v>
      </x:c>
      <x:c r="O1242" s="4" t="str">
        <x:v>Collection expansion, October 15, 2026. New game proposal.</x:v>
      </x:c>
      <x:c r="P1242" s="4" t="n">
        <x:f>IF(OR(C1242="Ingredient candidate",C1242="Consumed input",C1242="Contained input",C1242="Transform input"),IF(F1242="T0",0,IF(F1242="T1",1,IF(F1242="T2",2,IF(F1242="T3",3,IF(F1242="T4",4,-1))))),-1)</x:f>
        <x:v>2</x:v>
      </x:c>
      <x:c r="Q1242" s="4" t="n">
        <x:f>IF(AND(OR(C1242="Ingredient candidate",C1242="Consumed input",C1242="Contained input",C1242="Transform input"),P1242=-1),1,0)</x:f>
        <x:v>0</x:v>
      </x:c>
    </x:row>
    <x:row r="1243" ht="64" customHeight="1">
      <x:c r="A1243" s="4" t="str">
        <x:v>design.collection.husk_sheet_grit_screen.out</x:v>
      </x:c>
      <x:c r="B1243" s="4" t="str">
        <x:v>design.collection.husk_sheet_grit_screen</x:v>
      </x:c>
      <x:c r="C1243" s="4" t="str">
        <x:v>Output</x:v>
      </x:c>
      <x:c r="D1243" s="4" t="str">
        <x:v>proposal.collection.husk_sheet_grit_screen</x:v>
      </x:c>
      <x:c r="E1243" s="4" t="str">
        <x:f>IFERROR(INDEX('Items'!$B$6:$B$1005,MATCH(D1243,'Items'!$A$6:$A$1005,0)),"MISSING ID")</x:f>
        <x:v>Husk-sheet grit screen</x:v>
      </x:c>
      <x:c r="F1243" s="4" t="str">
        <x:f>IFERROR(INDEX('Items'!$C$6:$C$1005,MATCH(D1243,'Items'!$A$6:$A$1005,0)),"MISSING ID")</x:f>
        <x:v>Not applicable</x:v>
      </x:c>
      <x:c r="G1243" s="4" t="str">
        <x:f>IFERROR(INDEX('Items'!$D$6:$D$1005,MATCH(D1243,'Items'!$A$6:$A$1005,0)),"MISSING ID")</x:f>
        <x:v>Salvage</x:v>
      </x:c>
      <x:c r="H1243" s="4" t="str">
        <x:f>IFERROR(INDEX('Items'!$X$6:$X$1005,MATCH(D1243,'Items'!$A$6:$A$1005,0)),"MISSING ID")</x:f>
        <x:v>Shelter item</x:v>
      </x:c>
      <x:c r="I1243" s="4"/>
      <x:c r="J1243" s="4" t="str">
        <x:v>Unspecified</x:v>
      </x:c>
      <x:c r="K1243" s="4" t="str">
        <x:f>IFERROR(INDEX('Crafting recipes'!$D$6:$D$1005,MATCH(B1243,'Crafting recipes'!$A$6:$A$1005,0)),"MISSING ID")</x:f>
        <x:v>Proposal</x:v>
      </x:c>
      <x:c r="L1243" s="4" t="str">
        <x:f>IFERROR(INDEX('Items'!$AD$6:$AD$1005,MATCH(D1243,'Items'!$A$6:$A$1005,0)),"MISSING ID")</x:f>
        <x:v>Proposal</x:v>
      </x:c>
      <x:c r="M1243" s="4" t="str">
        <x:f>IFERROR(INDEX('Crafting recipes'!$E$6:$E$1005,MATCH(B1243,'Crafting recipes'!$A$6:$A$1005,0)),"MISSING ID")</x:f>
        <x:v>Partial proposal</x:v>
      </x:c>
      <x:c r="N1243" s="4" t="str">
        <x:v>Candidate source or part only. Quantity, grade and method remain open.</x:v>
      </x:c>
      <x:c r="O1243" s="4" t="str">
        <x:v>Collection expansion, October 15, 2026. New game proposal.</x:v>
      </x:c>
      <x:c r="P1243" s="4" t="n">
        <x:f>IF(OR(C1243="Ingredient candidate",C1243="Consumed input",C1243="Contained input",C1243="Transform input"),IF(F1243="T0",0,IF(F1243="T1",1,IF(F1243="T2",2,IF(F1243="T3",3,IF(F1243="T4",4,-1))))),-1)</x:f>
        <x:v>-1</x:v>
      </x:c>
      <x:c r="Q1243" s="4" t="n">
        <x:f>IF(AND(OR(C1243="Ingredient candidate",C1243="Consumed input",C1243="Contained input",C1243="Transform input"),P1243=-1),1,0)</x:f>
        <x:v>0</x:v>
      </x:c>
    </x:row>
    <x:row r="1244" ht="64" customHeight="1">
      <x:c r="A1244" s="4" t="str">
        <x:v>design.collection.shell_ground_rest_panel.in.1</x:v>
      </x:c>
      <x:c r="B1244" s="4" t="str">
        <x:v>design.collection.shell_ground_rest_panel</x:v>
      </x:c>
      <x:c r="C1244" s="4" t="str">
        <x:v>Ingredient candidate</x:v>
      </x:c>
      <x:c r="D1244" s="4" t="str">
        <x:v>proposal.t1.shell_lamina</x:v>
      </x:c>
      <x:c r="E1244" s="4" t="str">
        <x:f>IFERROR(INDEX('Items'!$B$6:$B$1005,MATCH(D1244,'Items'!$A$6:$A$1005,0)),"MISSING ID")</x:f>
        <x:v>Separated shell lamina stock</x:v>
      </x:c>
      <x:c r="F1244" s="4" t="str">
        <x:f>IFERROR(INDEX('Items'!$C$6:$C$1005,MATCH(D1244,'Items'!$A$6:$A$1005,0)),"MISSING ID")</x:f>
        <x:v>T1</x:v>
      </x:c>
      <x:c r="G1244" s="4" t="str">
        <x:f>IFERROR(INDEX('Items'!$D$6:$D$1005,MATCH(D1244,'Items'!$A$6:$A$1005,0)),"MISSING ID")</x:f>
        <x:v>Manufactured stock</x:v>
      </x:c>
      <x:c r="H1244" s="4" t="str">
        <x:f>IFERROR(INDEX('Items'!$X$6:$X$1005,MATCH(D1244,'Items'!$A$6:$A$1005,0)),"MISSING ID")</x:f>
        <x:v>Processed material</x:v>
      </x:c>
      <x:c r="I1244" s="4"/>
      <x:c r="J1244" s="4" t="str">
        <x:v>Unspecified</x:v>
      </x:c>
      <x:c r="K1244" s="4" t="str">
        <x:f>IFERROR(INDEX('Crafting recipes'!$D$6:$D$1005,MATCH(B1244,'Crafting recipes'!$A$6:$A$1005,0)),"MISSING ID")</x:f>
        <x:v>Proposal</x:v>
      </x:c>
      <x:c r="L1244" s="4" t="str">
        <x:f>IFERROR(INDEX('Items'!$AD$6:$AD$1005,MATCH(D1244,'Items'!$A$6:$A$1005,0)),"MISSING ID")</x:f>
        <x:v>Proposal</x:v>
      </x:c>
      <x:c r="M1244" s="4" t="str">
        <x:f>IFERROR(INDEX('Crafting recipes'!$E$6:$E$1005,MATCH(B1244,'Crafting recipes'!$A$6:$A$1005,0)),"MISSING ID")</x:f>
        <x:v>Partial proposal</x:v>
      </x:c>
      <x:c r="N1244" s="4" t="str">
        <x:v>Candidate source or part only. Quantity, grade and method remain open.</x:v>
      </x:c>
      <x:c r="O1244" s="4" t="str">
        <x:v>Collection expansion, October 15, 2026. New game proposal.</x:v>
      </x:c>
      <x:c r="P1244" s="4" t="n">
        <x:f>IF(OR(C1244="Ingredient candidate",C1244="Consumed input",C1244="Contained input",C1244="Transform input"),IF(F1244="T0",0,IF(F1244="T1",1,IF(F1244="T2",2,IF(F1244="T3",3,IF(F1244="T4",4,-1))))),-1)</x:f>
        <x:v>1</x:v>
      </x:c>
      <x:c r="Q1244" s="4" t="n">
        <x:f>IF(AND(OR(C1244="Ingredient candidate",C1244="Consumed input",C1244="Contained input",C1244="Transform input"),P1244=-1),1,0)</x:f>
        <x:v>0</x:v>
      </x:c>
    </x:row>
    <x:row r="1245" ht="64" customHeight="1">
      <x:c r="A1245" s="4" t="str">
        <x:v>design.collection.shell_ground_rest_panel.in.2</x:v>
      </x:c>
      <x:c r="B1245" s="4" t="str">
        <x:v>design.collection.shell_ground_rest_panel</x:v>
      </x:c>
      <x:c r="C1245" s="4" t="str">
        <x:v>Ingredient candidate</x:v>
      </x:c>
      <x:c r="D1245" s="4" t="str">
        <x:v>proposal.natural.iron_stock</x:v>
      </x:c>
      <x:c r="E1245" s="4" t="str">
        <x:f>IFERROR(INDEX('Items'!$B$6:$B$1005,MATCH(D1245,'Items'!$A$6:$A$1005,0)),"MISSING ID")</x:f>
        <x:v>Worked iron stock</x:v>
      </x:c>
      <x:c r="F1245" s="4" t="str">
        <x:f>IFERROR(INDEX('Items'!$C$6:$C$1005,MATCH(D1245,'Items'!$A$6:$A$1005,0)),"MISSING ID")</x:f>
        <x:v>T2</x:v>
      </x:c>
      <x:c r="G1245" s="4" t="str">
        <x:f>IFERROR(INDEX('Items'!$D$6:$D$1005,MATCH(D1245,'Items'!$A$6:$A$1005,0)),"MISSING ID")</x:f>
        <x:v>Manufactured stock</x:v>
      </x:c>
      <x:c r="H1245" s="4" t="str">
        <x:f>IFERROR(INDEX('Items'!$X$6:$X$1005,MATCH(D1245,'Items'!$A$6:$A$1005,0)),"MISSING ID")</x:f>
        <x:v>Processed material</x:v>
      </x:c>
      <x:c r="I1245" s="4"/>
      <x:c r="J1245" s="4" t="str">
        <x:v>Unspecified</x:v>
      </x:c>
      <x:c r="K1245" s="4" t="str">
        <x:f>IFERROR(INDEX('Crafting recipes'!$D$6:$D$1005,MATCH(B1245,'Crafting recipes'!$A$6:$A$1005,0)),"MISSING ID")</x:f>
        <x:v>Proposal</x:v>
      </x:c>
      <x:c r="L1245" s="4" t="str">
        <x:f>IFERROR(INDEX('Items'!$AD$6:$AD$1005,MATCH(D1245,'Items'!$A$6:$A$1005,0)),"MISSING ID")</x:f>
        <x:v>Proposal</x:v>
      </x:c>
      <x:c r="M1245" s="4" t="str">
        <x:f>IFERROR(INDEX('Crafting recipes'!$E$6:$E$1005,MATCH(B1245,'Crafting recipes'!$A$6:$A$1005,0)),"MISSING ID")</x:f>
        <x:v>Partial proposal</x:v>
      </x:c>
      <x:c r="N1245" s="4" t="str">
        <x:v>Candidate source or part only. Quantity, grade and method remain open.</x:v>
      </x:c>
      <x:c r="O1245" s="4" t="str">
        <x:v>Collection expansion, October 15, 2026. New game proposal.</x:v>
      </x:c>
      <x:c r="P1245" s="4" t="n">
        <x:f>IF(OR(C1245="Ingredient candidate",C1245="Consumed input",C1245="Contained input",C1245="Transform input"),IF(F1245="T0",0,IF(F1245="T1",1,IF(F1245="T2",2,IF(F1245="T3",3,IF(F1245="T4",4,-1))))),-1)</x:f>
        <x:v>2</x:v>
      </x:c>
      <x:c r="Q1245" s="4" t="n">
        <x:f>IF(AND(OR(C1245="Ingredient candidate",C1245="Consumed input",C1245="Contained input",C1245="Transform input"),P1245=-1),1,0)</x:f>
        <x:v>0</x:v>
      </x:c>
    </x:row>
    <x:row r="1246" ht="64" customHeight="1">
      <x:c r="A1246" s="4" t="str">
        <x:v>design.collection.shell_ground_rest_panel.out</x:v>
      </x:c>
      <x:c r="B1246" s="4" t="str">
        <x:v>design.collection.shell_ground_rest_panel</x:v>
      </x:c>
      <x:c r="C1246" s="4" t="str">
        <x:v>Output</x:v>
      </x:c>
      <x:c r="D1246" s="4" t="str">
        <x:v>proposal.collection.shell_ground_rest_panel</x:v>
      </x:c>
      <x:c r="E1246" s="4" t="str">
        <x:f>IFERROR(INDEX('Items'!$B$6:$B$1005,MATCH(D1246,'Items'!$A$6:$A$1005,0)),"MISSING ID")</x:f>
        <x:v>Shell ground-rest panel</x:v>
      </x:c>
      <x:c r="F1246" s="4" t="str">
        <x:f>IFERROR(INDEX('Items'!$C$6:$C$1005,MATCH(D1246,'Items'!$A$6:$A$1005,0)),"MISSING ID")</x:f>
        <x:v>Not applicable</x:v>
      </x:c>
      <x:c r="G1246" s="4" t="str">
        <x:f>IFERROR(INDEX('Items'!$D$6:$D$1005,MATCH(D1246,'Items'!$A$6:$A$1005,0)),"MISSING ID")</x:f>
        <x:v>Salvage</x:v>
      </x:c>
      <x:c r="H1246" s="4" t="str">
        <x:f>IFERROR(INDEX('Items'!$X$6:$X$1005,MATCH(D1246,'Items'!$A$6:$A$1005,0)),"MISSING ID")</x:f>
        <x:v>Shelter item</x:v>
      </x:c>
      <x:c r="I1246" s="4"/>
      <x:c r="J1246" s="4" t="str">
        <x:v>Unspecified</x:v>
      </x:c>
      <x:c r="K1246" s="4" t="str">
        <x:f>IFERROR(INDEX('Crafting recipes'!$D$6:$D$1005,MATCH(B1246,'Crafting recipes'!$A$6:$A$1005,0)),"MISSING ID")</x:f>
        <x:v>Proposal</x:v>
      </x:c>
      <x:c r="L1246" s="4" t="str">
        <x:f>IFERROR(INDEX('Items'!$AD$6:$AD$1005,MATCH(D1246,'Items'!$A$6:$A$1005,0)),"MISSING ID")</x:f>
        <x:v>Proposal</x:v>
      </x:c>
      <x:c r="M1246" s="4" t="str">
        <x:f>IFERROR(INDEX('Crafting recipes'!$E$6:$E$1005,MATCH(B1246,'Crafting recipes'!$A$6:$A$1005,0)),"MISSING ID")</x:f>
        <x:v>Partial proposal</x:v>
      </x:c>
      <x:c r="N1246" s="4" t="str">
        <x:v>Candidate source or part only. Quantity, grade and method remain open.</x:v>
      </x:c>
      <x:c r="O1246" s="4" t="str">
        <x:v>Collection expansion, October 15, 2026. New game proposal.</x:v>
      </x:c>
      <x:c r="P1246" s="4" t="n">
        <x:f>IF(OR(C1246="Ingredient candidate",C1246="Consumed input",C1246="Contained input",C1246="Transform input"),IF(F1246="T0",0,IF(F1246="T1",1,IF(F1246="T2",2,IF(F1246="T3",3,IF(F1246="T4",4,-1))))),-1)</x:f>
        <x:v>-1</x:v>
      </x:c>
      <x:c r="Q1246" s="4" t="n">
        <x:f>IF(AND(OR(C1246="Ingredient candidate",C1246="Consumed input",C1246="Contained input",C1246="Transform input"),P1246=-1),1,0)</x:f>
        <x:v>0</x:v>
      </x:c>
    </x:row>
    <x:row r="1247" ht="64" customHeight="1">
      <x:c r="A1247" s="4" t="str">
        <x:v>design.collection.folding_privacy_partition.in.1</x:v>
      </x:c>
      <x:c r="B1247" s="4" t="str">
        <x:v>design.collection.folding_privacy_partition</x:v>
      </x:c>
      <x:c r="C1247" s="4" t="str">
        <x:v>Ingredient candidate</x:v>
      </x:c>
      <x:c r="D1247" s="4" t="str">
        <x:v>proposal.branch.husk_sheet</x:v>
      </x:c>
      <x:c r="E1247" s="4" t="str">
        <x:f>IFERROR(INDEX('Items'!$B$6:$B$1005,MATCH(D1247,'Items'!$A$6:$A$1005,0)),"MISSING ID")</x:f>
        <x:v>Bonded husk sheet</x:v>
      </x:c>
      <x:c r="F1247" s="4" t="str">
        <x:f>IFERROR(INDEX('Items'!$C$6:$C$1005,MATCH(D1247,'Items'!$A$6:$A$1005,0)),"MISSING ID")</x:f>
        <x:v>T2</x:v>
      </x:c>
      <x:c r="G1247" s="4" t="str">
        <x:f>IFERROR(INDEX('Items'!$D$6:$D$1005,MATCH(D1247,'Items'!$A$6:$A$1005,0)),"MISSING ID")</x:f>
        <x:v>Manufactured stock</x:v>
      </x:c>
      <x:c r="H1247" s="4" t="str">
        <x:f>IFERROR(INDEX('Items'!$X$6:$X$1005,MATCH(D1247,'Items'!$A$6:$A$1005,0)),"MISSING ID")</x:f>
        <x:v>Processed material</x:v>
      </x:c>
      <x:c r="I1247" s="4"/>
      <x:c r="J1247" s="4" t="str">
        <x:v>Unspecified</x:v>
      </x:c>
      <x:c r="K1247" s="4" t="str">
        <x:f>IFERROR(INDEX('Crafting recipes'!$D$6:$D$1005,MATCH(B1247,'Crafting recipes'!$A$6:$A$1005,0)),"MISSING ID")</x:f>
        <x:v>Proposal</x:v>
      </x:c>
      <x:c r="L1247" s="4" t="str">
        <x:f>IFERROR(INDEX('Items'!$AD$6:$AD$1005,MATCH(D1247,'Items'!$A$6:$A$1005,0)),"MISSING ID")</x:f>
        <x:v>Proposal</x:v>
      </x:c>
      <x:c r="M1247" s="4" t="str">
        <x:f>IFERROR(INDEX('Crafting recipes'!$E$6:$E$1005,MATCH(B1247,'Crafting recipes'!$A$6:$A$1005,0)),"MISSING ID")</x:f>
        <x:v>Partial proposal</x:v>
      </x:c>
      <x:c r="N1247" s="4" t="str">
        <x:v>Candidate source or part only. Quantity, grade and method remain open.</x:v>
      </x:c>
      <x:c r="O1247" s="4" t="str">
        <x:v>Collection expansion, October 15, 2026. New game proposal.</x:v>
      </x:c>
      <x:c r="P1247" s="4" t="n">
        <x:f>IF(OR(C1247="Ingredient candidate",C1247="Consumed input",C1247="Contained input",C1247="Transform input"),IF(F1247="T0",0,IF(F1247="T1",1,IF(F1247="T2",2,IF(F1247="T3",3,IF(F1247="T4",4,-1))))),-1)</x:f>
        <x:v>2</x:v>
      </x:c>
      <x:c r="Q1247" s="4" t="n">
        <x:f>IF(AND(OR(C1247="Ingredient candidate",C1247="Consumed input",C1247="Contained input",C1247="Transform input"),P1247=-1),1,0)</x:f>
        <x:v>0</x:v>
      </x:c>
    </x:row>
    <x:row r="1248" ht="64" customHeight="1">
      <x:c r="A1248" s="4" t="str">
        <x:v>design.collection.folding_privacy_partition.in.2</x:v>
      </x:c>
      <x:c r="B1248" s="4" t="str">
        <x:v>design.collection.folding_privacy_partition</x:v>
      </x:c>
      <x:c r="C1248" s="4" t="str">
        <x:v>Ingredient candidate</x:v>
      </x:c>
      <x:c r="D1248" s="4" t="str">
        <x:v>proposal.natural.iron_stock</x:v>
      </x:c>
      <x:c r="E1248" s="4" t="str">
        <x:f>IFERROR(INDEX('Items'!$B$6:$B$1005,MATCH(D1248,'Items'!$A$6:$A$1005,0)),"MISSING ID")</x:f>
        <x:v>Worked iron stock</x:v>
      </x:c>
      <x:c r="F1248" s="4" t="str">
        <x:f>IFERROR(INDEX('Items'!$C$6:$C$1005,MATCH(D1248,'Items'!$A$6:$A$1005,0)),"MISSING ID")</x:f>
        <x:v>T2</x:v>
      </x:c>
      <x:c r="G1248" s="4" t="str">
        <x:f>IFERROR(INDEX('Items'!$D$6:$D$1005,MATCH(D1248,'Items'!$A$6:$A$1005,0)),"MISSING ID")</x:f>
        <x:v>Manufactured stock</x:v>
      </x:c>
      <x:c r="H1248" s="4" t="str">
        <x:f>IFERROR(INDEX('Items'!$X$6:$X$1005,MATCH(D1248,'Items'!$A$6:$A$1005,0)),"MISSING ID")</x:f>
        <x:v>Processed material</x:v>
      </x:c>
      <x:c r="I1248" s="4"/>
      <x:c r="J1248" s="4" t="str">
        <x:v>Unspecified</x:v>
      </x:c>
      <x:c r="K1248" s="4" t="str">
        <x:f>IFERROR(INDEX('Crafting recipes'!$D$6:$D$1005,MATCH(B1248,'Crafting recipes'!$A$6:$A$1005,0)),"MISSING ID")</x:f>
        <x:v>Proposal</x:v>
      </x:c>
      <x:c r="L1248" s="4" t="str">
        <x:f>IFERROR(INDEX('Items'!$AD$6:$AD$1005,MATCH(D1248,'Items'!$A$6:$A$1005,0)),"MISSING ID")</x:f>
        <x:v>Proposal</x:v>
      </x:c>
      <x:c r="M1248" s="4" t="str">
        <x:f>IFERROR(INDEX('Crafting recipes'!$E$6:$E$1005,MATCH(B1248,'Crafting recipes'!$A$6:$A$1005,0)),"MISSING ID")</x:f>
        <x:v>Partial proposal</x:v>
      </x:c>
      <x:c r="N1248" s="4" t="str">
        <x:v>Candidate source or part only. Quantity, grade and method remain open.</x:v>
      </x:c>
      <x:c r="O1248" s="4" t="str">
        <x:v>Collection expansion, October 15, 2026. New game proposal.</x:v>
      </x:c>
      <x:c r="P1248" s="4" t="n">
        <x:f>IF(OR(C1248="Ingredient candidate",C1248="Consumed input",C1248="Contained input",C1248="Transform input"),IF(F1248="T0",0,IF(F1248="T1",1,IF(F1248="T2",2,IF(F1248="T3",3,IF(F1248="T4",4,-1))))),-1)</x:f>
        <x:v>2</x:v>
      </x:c>
      <x:c r="Q1248" s="4" t="n">
        <x:f>IF(AND(OR(C1248="Ingredient candidate",C1248="Consumed input",C1248="Contained input",C1248="Transform input"),P1248=-1),1,0)</x:f>
        <x:v>0</x:v>
      </x:c>
    </x:row>
    <x:row r="1249" ht="64" customHeight="1">
      <x:c r="A1249" s="4" t="str">
        <x:v>design.collection.folding_privacy_partition.out</x:v>
      </x:c>
      <x:c r="B1249" s="4" t="str">
        <x:v>design.collection.folding_privacy_partition</x:v>
      </x:c>
      <x:c r="C1249" s="4" t="str">
        <x:v>Output</x:v>
      </x:c>
      <x:c r="D1249" s="4" t="str">
        <x:v>proposal.collection.folding_privacy_partition</x:v>
      </x:c>
      <x:c r="E1249" s="4" t="str">
        <x:f>IFERROR(INDEX('Items'!$B$6:$B$1005,MATCH(D1249,'Items'!$A$6:$A$1005,0)),"MISSING ID")</x:f>
        <x:v>Folding privacy partition</x:v>
      </x:c>
      <x:c r="F1249" s="4" t="str">
        <x:f>IFERROR(INDEX('Items'!$C$6:$C$1005,MATCH(D1249,'Items'!$A$6:$A$1005,0)),"MISSING ID")</x:f>
        <x:v>Not applicable</x:v>
      </x:c>
      <x:c r="G1249" s="4" t="str">
        <x:f>IFERROR(INDEX('Items'!$D$6:$D$1005,MATCH(D1249,'Items'!$A$6:$A$1005,0)),"MISSING ID")</x:f>
        <x:v>Salvage</x:v>
      </x:c>
      <x:c r="H1249" s="4" t="str">
        <x:f>IFERROR(INDEX('Items'!$X$6:$X$1005,MATCH(D1249,'Items'!$A$6:$A$1005,0)),"MISSING ID")</x:f>
        <x:v>Shelter item</x:v>
      </x:c>
      <x:c r="I1249" s="4"/>
      <x:c r="J1249" s="4" t="str">
        <x:v>Unspecified</x:v>
      </x:c>
      <x:c r="K1249" s="4" t="str">
        <x:f>IFERROR(INDEX('Crafting recipes'!$D$6:$D$1005,MATCH(B1249,'Crafting recipes'!$A$6:$A$1005,0)),"MISSING ID")</x:f>
        <x:v>Proposal</x:v>
      </x:c>
      <x:c r="L1249" s="4" t="str">
        <x:f>IFERROR(INDEX('Items'!$AD$6:$AD$1005,MATCH(D1249,'Items'!$A$6:$A$1005,0)),"MISSING ID")</x:f>
        <x:v>Proposal</x:v>
      </x:c>
      <x:c r="M1249" s="4" t="str">
        <x:f>IFERROR(INDEX('Crafting recipes'!$E$6:$E$1005,MATCH(B1249,'Crafting recipes'!$A$6:$A$1005,0)),"MISSING ID")</x:f>
        <x:v>Partial proposal</x:v>
      </x:c>
      <x:c r="N1249" s="4" t="str">
        <x:v>Candidate source or part only. Quantity, grade and method remain open.</x:v>
      </x:c>
      <x:c r="O1249" s="4" t="str">
        <x:v>Collection expansion, October 15, 2026. New game proposal.</x:v>
      </x:c>
      <x:c r="P1249" s="4" t="n">
        <x:f>IF(OR(C1249="Ingredient candidate",C1249="Consumed input",C1249="Contained input",C1249="Transform input"),IF(F1249="T0",0,IF(F1249="T1",1,IF(F1249="T2",2,IF(F1249="T3",3,IF(F1249="T4",4,-1))))),-1)</x:f>
        <x:v>-1</x:v>
      </x:c>
      <x:c r="Q1249" s="4" t="n">
        <x:f>IF(AND(OR(C1249="Ingredient candidate",C1249="Consumed input",C1249="Contained input",C1249="Transform input"),P1249=-1),1,0)</x:f>
        <x:v>0</x:v>
      </x:c>
    </x:row>
    <x:row r="1250" ht="64" customHeight="1">
      <x:c r="A1250" s="4" t="str">
        <x:v>design.collection.canister_shelter_docking_stand.in.1</x:v>
      </x:c>
      <x:c r="B1250" s="4" t="str">
        <x:v>design.collection.canister_shelter_docking_stand</x:v>
      </x:c>
      <x:c r="C1250" s="4" t="str">
        <x:v>Ingredient candidate</x:v>
      </x:c>
      <x:c r="D1250" s="4" t="str">
        <x:v>proposal.collection.annealed_iron_sheet_stock</x:v>
      </x:c>
      <x:c r="E1250" s="4" t="str">
        <x:f>IFERROR(INDEX('Items'!$B$6:$B$1005,MATCH(D1250,'Items'!$A$6:$A$1005,0)),"MISSING ID")</x:f>
        <x:v>Annealed iron sheet stock</x:v>
      </x:c>
      <x:c r="F1250" s="4" t="str">
        <x:f>IFERROR(INDEX('Items'!$C$6:$C$1005,MATCH(D1250,'Items'!$A$6:$A$1005,0)),"MISSING ID")</x:f>
        <x:v>T3</x:v>
      </x:c>
      <x:c r="G1250" s="4" t="str">
        <x:f>IFERROR(INDEX('Items'!$D$6:$D$1005,MATCH(D1250,'Items'!$A$6:$A$1005,0)),"MISSING ID")</x:f>
        <x:v>Manufactured stock</x:v>
      </x:c>
      <x:c r="H1250" s="4" t="str">
        <x:f>IFERROR(INDEX('Items'!$X$6:$X$1005,MATCH(D1250,'Items'!$A$6:$A$1005,0)),"MISSING ID")</x:f>
        <x:v>Processed material</x:v>
      </x:c>
      <x:c r="I1250" s="4"/>
      <x:c r="J1250" s="4" t="str">
        <x:v>Unspecified</x:v>
      </x:c>
      <x:c r="K1250" s="4" t="str">
        <x:f>IFERROR(INDEX('Crafting recipes'!$D$6:$D$1005,MATCH(B1250,'Crafting recipes'!$A$6:$A$1005,0)),"MISSING ID")</x:f>
        <x:v>Proposal</x:v>
      </x:c>
      <x:c r="L1250" s="4" t="str">
        <x:f>IFERROR(INDEX('Items'!$AD$6:$AD$1005,MATCH(D1250,'Items'!$A$6:$A$1005,0)),"MISSING ID")</x:f>
        <x:v>Proposal</x:v>
      </x:c>
      <x:c r="M1250" s="4" t="str">
        <x:f>IFERROR(INDEX('Crafting recipes'!$E$6:$E$1005,MATCH(B1250,'Crafting recipes'!$A$6:$A$1005,0)),"MISSING ID")</x:f>
        <x:v>Partial proposal</x:v>
      </x:c>
      <x:c r="N1250" s="4" t="str">
        <x:v>Candidate source or part only. Quantity, grade and method remain open.</x:v>
      </x:c>
      <x:c r="O1250" s="4" t="str">
        <x:v>Collection expansion, October 15, 2026. New game proposal.</x:v>
      </x:c>
      <x:c r="P1250" s="4" t="n">
        <x:f>IF(OR(C1250="Ingredient candidate",C1250="Consumed input",C1250="Contained input",C1250="Transform input"),IF(F1250="T0",0,IF(F1250="T1",1,IF(F1250="T2",2,IF(F1250="T3",3,IF(F1250="T4",4,-1))))),-1)</x:f>
        <x:v>3</x:v>
      </x:c>
      <x:c r="Q1250" s="4" t="n">
        <x:f>IF(AND(OR(C1250="Ingredient candidate",C1250="Consumed input",C1250="Contained input",C1250="Transform input"),P1250=-1),1,0)</x:f>
        <x:v>0</x:v>
      </x:c>
    </x:row>
    <x:row r="1251" ht="64" customHeight="1">
      <x:c r="A1251" s="4" t="str">
        <x:v>design.collection.canister_shelter_docking_stand.in.2</x:v>
      </x:c>
      <x:c r="B1251" s="4" t="str">
        <x:v>design.collection.canister_shelter_docking_stand</x:v>
      </x:c>
      <x:c r="C1251" s="4" t="str">
        <x:v>Ingredient candidate</x:v>
      </x:c>
      <x:c r="D1251" s="4" t="str">
        <x:v>proposal.collection.calibrated_ceramic_mounting_saddle</x:v>
      </x:c>
      <x:c r="E1251" s="4" t="str">
        <x:f>IFERROR(INDEX('Items'!$B$6:$B$1005,MATCH(D1251,'Items'!$A$6:$A$1005,0)),"MISSING ID")</x:f>
        <x:v>Calibrated ceramic mounting saddle</x:v>
      </x:c>
      <x:c r="F1251" s="4" t="str">
        <x:f>IFERROR(INDEX('Items'!$C$6:$C$1005,MATCH(D1251,'Items'!$A$6:$A$1005,0)),"MISSING ID")</x:f>
        <x:v>T4</x:v>
      </x:c>
      <x:c r="G1251" s="4" t="str">
        <x:f>IFERROR(INDEX('Items'!$D$6:$D$1005,MATCH(D1251,'Items'!$A$6:$A$1005,0)),"MISSING ID")</x:f>
        <x:v>Crafting components</x:v>
      </x:c>
      <x:c r="H1251" s="4" t="str">
        <x:f>IFERROR(INDEX('Items'!$X$6:$X$1005,MATCH(D1251,'Items'!$A$6:$A$1005,0)),"MISSING ID")</x:f>
        <x:v>Crafting component</x:v>
      </x:c>
      <x:c r="I1251" s="4"/>
      <x:c r="J1251" s="4" t="str">
        <x:v>Unspecified</x:v>
      </x:c>
      <x:c r="K1251" s="4" t="str">
        <x:f>IFERROR(INDEX('Crafting recipes'!$D$6:$D$1005,MATCH(B1251,'Crafting recipes'!$A$6:$A$1005,0)),"MISSING ID")</x:f>
        <x:v>Proposal</x:v>
      </x:c>
      <x:c r="L1251" s="4" t="str">
        <x:f>IFERROR(INDEX('Items'!$AD$6:$AD$1005,MATCH(D1251,'Items'!$A$6:$A$1005,0)),"MISSING ID")</x:f>
        <x:v>Proposal</x:v>
      </x:c>
      <x:c r="M1251" s="4" t="str">
        <x:f>IFERROR(INDEX('Crafting recipes'!$E$6:$E$1005,MATCH(B1251,'Crafting recipes'!$A$6:$A$1005,0)),"MISSING ID")</x:f>
        <x:v>Partial proposal</x:v>
      </x:c>
      <x:c r="N1251" s="4" t="str">
        <x:v>Candidate source or part only. Quantity, grade and method remain open.</x:v>
      </x:c>
      <x:c r="O1251" s="4" t="str">
        <x:v>Collection expansion, October 15, 2026. New game proposal.</x:v>
      </x:c>
      <x:c r="P1251" s="4" t="n">
        <x:f>IF(OR(C1251="Ingredient candidate",C1251="Consumed input",C1251="Contained input",C1251="Transform input"),IF(F1251="T0",0,IF(F1251="T1",1,IF(F1251="T2",2,IF(F1251="T3",3,IF(F1251="T4",4,-1))))),-1)</x:f>
        <x:v>4</x:v>
      </x:c>
      <x:c r="Q1251" s="4" t="n">
        <x:f>IF(AND(OR(C1251="Ingredient candidate",C1251="Consumed input",C1251="Contained input",C1251="Transform input"),P1251=-1),1,0)</x:f>
        <x:v>0</x:v>
      </x:c>
    </x:row>
    <x:row r="1252" ht="64" customHeight="1">
      <x:c r="A1252" s="4" t="str">
        <x:v>design.collection.canister_shelter_docking_stand.out</x:v>
      </x:c>
      <x:c r="B1252" s="4" t="str">
        <x:v>design.collection.canister_shelter_docking_stand</x:v>
      </x:c>
      <x:c r="C1252" s="4" t="str">
        <x:v>Output</x:v>
      </x:c>
      <x:c r="D1252" s="4" t="str">
        <x:v>proposal.collection.canister_shelter_docking_stand</x:v>
      </x:c>
      <x:c r="E1252" s="4" t="str">
        <x:f>IFERROR(INDEX('Items'!$B$6:$B$1005,MATCH(D1252,'Items'!$A$6:$A$1005,0)),"MISSING ID")</x:f>
        <x:v>Canister shelter docking stand</x:v>
      </x:c>
      <x:c r="F1252" s="4" t="str">
        <x:f>IFERROR(INDEX('Items'!$C$6:$C$1005,MATCH(D1252,'Items'!$A$6:$A$1005,0)),"MISSING ID")</x:f>
        <x:v>Not applicable</x:v>
      </x:c>
      <x:c r="G1252" s="4" t="str">
        <x:f>IFERROR(INDEX('Items'!$D$6:$D$1005,MATCH(D1252,'Items'!$A$6:$A$1005,0)),"MISSING ID")</x:f>
        <x:v>Salvage</x:v>
      </x:c>
      <x:c r="H1252" s="4" t="str">
        <x:f>IFERROR(INDEX('Items'!$X$6:$X$1005,MATCH(D1252,'Items'!$A$6:$A$1005,0)),"MISSING ID")</x:f>
        <x:v>Shelter item</x:v>
      </x:c>
      <x:c r="I1252" s="4"/>
      <x:c r="J1252" s="4" t="str">
        <x:v>Unspecified</x:v>
      </x:c>
      <x:c r="K1252" s="4" t="str">
        <x:f>IFERROR(INDEX('Crafting recipes'!$D$6:$D$1005,MATCH(B1252,'Crafting recipes'!$A$6:$A$1005,0)),"MISSING ID")</x:f>
        <x:v>Proposal</x:v>
      </x:c>
      <x:c r="L1252" s="4" t="str">
        <x:f>IFERROR(INDEX('Items'!$AD$6:$AD$1005,MATCH(D1252,'Items'!$A$6:$A$1005,0)),"MISSING ID")</x:f>
        <x:v>Proposal</x:v>
      </x:c>
      <x:c r="M1252" s="4" t="str">
        <x:f>IFERROR(INDEX('Crafting recipes'!$E$6:$E$1005,MATCH(B1252,'Crafting recipes'!$A$6:$A$1005,0)),"MISSING ID")</x:f>
        <x:v>Partial proposal</x:v>
      </x:c>
      <x:c r="N1252" s="4" t="str">
        <x:v>Candidate source or part only. Quantity, grade and method remain open.</x:v>
      </x:c>
      <x:c r="O1252" s="4" t="str">
        <x:v>Collection expansion, October 15, 2026. New game proposal.</x:v>
      </x:c>
      <x:c r="P1252" s="4" t="n">
        <x:f>IF(OR(C1252="Ingredient candidate",C1252="Consumed input",C1252="Contained input",C1252="Transform input"),IF(F1252="T0",0,IF(F1252="T1",1,IF(F1252="T2",2,IF(F1252="T3",3,IF(F1252="T4",4,-1))))),-1)</x:f>
        <x:v>-1</x:v>
      </x:c>
      <x:c r="Q1252" s="4" t="n">
        <x:f>IF(AND(OR(C1252="Ingredient candidate",C1252="Consumed input",C1252="Contained input",C1252="Transform input"),P1252=-1),1,0)</x:f>
        <x:v>0</x:v>
      </x:c>
    </x:row>
    <x:row r="1253" ht="64" customHeight="1">
      <x:c r="A1253" s="4" t="str">
        <x:v>design.collection.shelter_repair_patch_roll.in.1</x:v>
      </x:c>
      <x:c r="B1253" s="4" t="str">
        <x:v>design.collection.shelter_repair_patch_roll</x:v>
      </x:c>
      <x:c r="C1253" s="4" t="str">
        <x:v>Ingredient candidate</x:v>
      </x:c>
      <x:c r="D1253" s="4" t="str">
        <x:v>proposal.bio.seal</x:v>
      </x:c>
      <x:c r="E1253" s="4" t="str">
        <x:f>IFERROR(INDEX('Items'!$B$6:$B$1005,MATCH(D1253,'Items'!$A$6:$A$1005,0)),"MISSING ID")</x:f>
        <x:v>Membrane seal patches</x:v>
      </x:c>
      <x:c r="F1253" s="4" t="str">
        <x:f>IFERROR(INDEX('Items'!$C$6:$C$1005,MATCH(D1253,'Items'!$A$6:$A$1005,0)),"MISSING ID")</x:f>
        <x:v>T1</x:v>
      </x:c>
      <x:c r="G1253" s="4" t="str">
        <x:f>IFERROR(INDEX('Items'!$D$6:$D$1005,MATCH(D1253,'Items'!$A$6:$A$1005,0)),"MISSING ID")</x:f>
        <x:v>Crafting components</x:v>
      </x:c>
      <x:c r="H1253" s="4" t="str">
        <x:f>IFERROR(INDEX('Items'!$X$6:$X$1005,MATCH(D1253,'Items'!$A$6:$A$1005,0)),"MISSING ID")</x:f>
        <x:v>Crafting component</x:v>
      </x:c>
      <x:c r="I1253" s="4"/>
      <x:c r="J1253" s="4" t="str">
        <x:v>Unspecified</x:v>
      </x:c>
      <x:c r="K1253" s="4" t="str">
        <x:f>IFERROR(INDEX('Crafting recipes'!$D$6:$D$1005,MATCH(B1253,'Crafting recipes'!$A$6:$A$1005,0)),"MISSING ID")</x:f>
        <x:v>Proposal</x:v>
      </x:c>
      <x:c r="L1253" s="4" t="str">
        <x:f>IFERROR(INDEX('Items'!$AD$6:$AD$1005,MATCH(D1253,'Items'!$A$6:$A$1005,0)),"MISSING ID")</x:f>
        <x:v>Proposal</x:v>
      </x:c>
      <x:c r="M1253" s="4" t="str">
        <x:f>IFERROR(INDEX('Crafting recipes'!$E$6:$E$1005,MATCH(B1253,'Crafting recipes'!$A$6:$A$1005,0)),"MISSING ID")</x:f>
        <x:v>Partial proposal</x:v>
      </x:c>
      <x:c r="N1253" s="4" t="str">
        <x:v>Candidate source or part only. Quantity, grade and method remain open.</x:v>
      </x:c>
      <x:c r="O1253" s="4" t="str">
        <x:v>Collection expansion, October 15, 2026. New game proposal.</x:v>
      </x:c>
      <x:c r="P1253" s="4" t="n">
        <x:f>IF(OR(C1253="Ingredient candidate",C1253="Consumed input",C1253="Contained input",C1253="Transform input"),IF(F1253="T0",0,IF(F1253="T1",1,IF(F1253="T2",2,IF(F1253="T3",3,IF(F1253="T4",4,-1))))),-1)</x:f>
        <x:v>1</x:v>
      </x:c>
      <x:c r="Q1253" s="4" t="n">
        <x:f>IF(AND(OR(C1253="Ingredient candidate",C1253="Consumed input",C1253="Contained input",C1253="Transform input"),P1253=-1),1,0)</x:f>
        <x:v>0</x:v>
      </x:c>
    </x:row>
    <x:row r="1254" ht="64" customHeight="1">
      <x:c r="A1254" s="4" t="str">
        <x:v>design.collection.shelter_repair_patch_roll.in.2</x:v>
      </x:c>
      <x:c r="B1254" s="4" t="str">
        <x:v>design.collection.shelter_repair_patch_roll</x:v>
      </x:c>
      <x:c r="C1254" s="4" t="str">
        <x:v>Ingredient candidate</x:v>
      </x:c>
      <x:c r="D1254" s="4" t="str">
        <x:v>proposal.lore.fastener_set</x:v>
      </x:c>
      <x:c r="E1254" s="4" t="str">
        <x:f>IFERROR(INDEX('Items'!$B$6:$B$1005,MATCH(D1254,'Items'!$A$6:$A$1005,0)),"MISSING ID")</x:f>
        <x:v>Matched metal fastener set</x:v>
      </x:c>
      <x:c r="F1254" s="4" t="str">
        <x:f>IFERROR(INDEX('Items'!$C$6:$C$1005,MATCH(D1254,'Items'!$A$6:$A$1005,0)),"MISSING ID")</x:f>
        <x:v>T3</x:v>
      </x:c>
      <x:c r="G1254" s="4" t="str">
        <x:f>IFERROR(INDEX('Items'!$D$6:$D$1005,MATCH(D1254,'Items'!$A$6:$A$1005,0)),"MISSING ID")</x:f>
        <x:v>Crafting components</x:v>
      </x:c>
      <x:c r="H1254" s="4" t="str">
        <x:f>IFERROR(INDEX('Items'!$X$6:$X$1005,MATCH(D1254,'Items'!$A$6:$A$1005,0)),"MISSING ID")</x:f>
        <x:v>Crafting component</x:v>
      </x:c>
      <x:c r="I1254" s="4"/>
      <x:c r="J1254" s="4" t="str">
        <x:v>Unspecified</x:v>
      </x:c>
      <x:c r="K1254" s="4" t="str">
        <x:f>IFERROR(INDEX('Crafting recipes'!$D$6:$D$1005,MATCH(B1254,'Crafting recipes'!$A$6:$A$1005,0)),"MISSING ID")</x:f>
        <x:v>Proposal</x:v>
      </x:c>
      <x:c r="L1254" s="4" t="str">
        <x:f>IFERROR(INDEX('Items'!$AD$6:$AD$1005,MATCH(D1254,'Items'!$A$6:$A$1005,0)),"MISSING ID")</x:f>
        <x:v>Proposal</x:v>
      </x:c>
      <x:c r="M1254" s="4" t="str">
        <x:f>IFERROR(INDEX('Crafting recipes'!$E$6:$E$1005,MATCH(B1254,'Crafting recipes'!$A$6:$A$1005,0)),"MISSING ID")</x:f>
        <x:v>Partial proposal</x:v>
      </x:c>
      <x:c r="N1254" s="4" t="str">
        <x:v>Candidate source or part only. Quantity, grade and method remain open.</x:v>
      </x:c>
      <x:c r="O1254" s="4" t="str">
        <x:v>Collection expansion, October 15, 2026. New game proposal.</x:v>
      </x:c>
      <x:c r="P1254" s="4" t="n">
        <x:f>IF(OR(C1254="Ingredient candidate",C1254="Consumed input",C1254="Contained input",C1254="Transform input"),IF(F1254="T0",0,IF(F1254="T1",1,IF(F1254="T2",2,IF(F1254="T3",3,IF(F1254="T4",4,-1))))),-1)</x:f>
        <x:v>3</x:v>
      </x:c>
      <x:c r="Q1254" s="4" t="n">
        <x:f>IF(AND(OR(C1254="Ingredient candidate",C1254="Consumed input",C1254="Contained input",C1254="Transform input"),P1254=-1),1,0)</x:f>
        <x:v>0</x:v>
      </x:c>
    </x:row>
    <x:row r="1255" ht="64" customHeight="1">
      <x:c r="A1255" s="4" t="str">
        <x:v>design.collection.shelter_repair_patch_roll.out</x:v>
      </x:c>
      <x:c r="B1255" s="4" t="str">
        <x:v>design.collection.shelter_repair_patch_roll</x:v>
      </x:c>
      <x:c r="C1255" s="4" t="str">
        <x:v>Output</x:v>
      </x:c>
      <x:c r="D1255" s="4" t="str">
        <x:v>proposal.collection.shelter_repair_patch_roll</x:v>
      </x:c>
      <x:c r="E1255" s="4" t="str">
        <x:f>IFERROR(INDEX('Items'!$B$6:$B$1005,MATCH(D1255,'Items'!$A$6:$A$1005,0)),"MISSING ID")</x:f>
        <x:v>Shelter repair patch roll</x:v>
      </x:c>
      <x:c r="F1255" s="4" t="str">
        <x:f>IFERROR(INDEX('Items'!$C$6:$C$1005,MATCH(D1255,'Items'!$A$6:$A$1005,0)),"MISSING ID")</x:f>
        <x:v>Not applicable</x:v>
      </x:c>
      <x:c r="G1255" s="4" t="str">
        <x:f>IFERROR(INDEX('Items'!$D$6:$D$1005,MATCH(D1255,'Items'!$A$6:$A$1005,0)),"MISSING ID")</x:f>
        <x:v>Salvage</x:v>
      </x:c>
      <x:c r="H1255" s="4" t="str">
        <x:f>IFERROR(INDEX('Items'!$X$6:$X$1005,MATCH(D1255,'Items'!$A$6:$A$1005,0)),"MISSING ID")</x:f>
        <x:v>Shelter item</x:v>
      </x:c>
      <x:c r="I1255" s="4"/>
      <x:c r="J1255" s="4" t="str">
        <x:v>Unspecified</x:v>
      </x:c>
      <x:c r="K1255" s="4" t="str">
        <x:f>IFERROR(INDEX('Crafting recipes'!$D$6:$D$1005,MATCH(B1255,'Crafting recipes'!$A$6:$A$1005,0)),"MISSING ID")</x:f>
        <x:v>Proposal</x:v>
      </x:c>
      <x:c r="L1255" s="4" t="str">
        <x:f>IFERROR(INDEX('Items'!$AD$6:$AD$1005,MATCH(D1255,'Items'!$A$6:$A$1005,0)),"MISSING ID")</x:f>
        <x:v>Proposal</x:v>
      </x:c>
      <x:c r="M1255" s="4" t="str">
        <x:f>IFERROR(INDEX('Crafting recipes'!$E$6:$E$1005,MATCH(B1255,'Crafting recipes'!$A$6:$A$1005,0)),"MISSING ID")</x:f>
        <x:v>Partial proposal</x:v>
      </x:c>
      <x:c r="N1255" s="4" t="str">
        <x:v>Candidate source or part only. Quantity, grade and method remain open.</x:v>
      </x:c>
      <x:c r="O1255" s="4" t="str">
        <x:v>Collection expansion, October 15, 2026. New game proposal.</x:v>
      </x:c>
      <x:c r="P1255" s="4" t="n">
        <x:f>IF(OR(C1255="Ingredient candidate",C1255="Consumed input",C1255="Contained input",C1255="Transform input"),IF(F1255="T0",0,IF(F1255="T1",1,IF(F1255="T2",2,IF(F1255="T3",3,IF(F1255="T4",4,-1))))),-1)</x:f>
        <x:v>-1</x:v>
      </x:c>
      <x:c r="Q1255" s="4" t="n">
        <x:f>IF(AND(OR(C1255="Ingredient candidate",C1255="Consumed input",C1255="Contained input",C1255="Transform input"),P1255=-1),1,0)</x:f>
        <x:v>0</x:v>
      </x:c>
    </x:row>
    <x:row r="1256" ht="64" customHeight="1">
      <x:c r="A1256" s="4" t="str">
        <x:v>design.collection.round_iron_buckler.in.1</x:v>
      </x:c>
      <x:c r="B1256" s="4" t="str">
        <x:v>design.collection.round_iron_buckler</x:v>
      </x:c>
      <x:c r="C1256" s="4" t="str">
        <x:v>Ingredient candidate</x:v>
      </x:c>
      <x:c r="D1256" s="4" t="str">
        <x:v>proposal.natural.iron_stock</x:v>
      </x:c>
      <x:c r="E1256" s="4" t="str">
        <x:f>IFERROR(INDEX('Items'!$B$6:$B$1005,MATCH(D1256,'Items'!$A$6:$A$1005,0)),"MISSING ID")</x:f>
        <x:v>Worked iron stock</x:v>
      </x:c>
      <x:c r="F1256" s="4" t="str">
        <x:f>IFERROR(INDEX('Items'!$C$6:$C$1005,MATCH(D1256,'Items'!$A$6:$A$1005,0)),"MISSING ID")</x:f>
        <x:v>T2</x:v>
      </x:c>
      <x:c r="G1256" s="4" t="str">
        <x:f>IFERROR(INDEX('Items'!$D$6:$D$1005,MATCH(D1256,'Items'!$A$6:$A$1005,0)),"MISSING ID")</x:f>
        <x:v>Manufactured stock</x:v>
      </x:c>
      <x:c r="H1256" s="4" t="str">
        <x:f>IFERROR(INDEX('Items'!$X$6:$X$1005,MATCH(D1256,'Items'!$A$6:$A$1005,0)),"MISSING ID")</x:f>
        <x:v>Processed material</x:v>
      </x:c>
      <x:c r="I1256" s="4"/>
      <x:c r="J1256" s="4" t="str">
        <x:v>Unspecified</x:v>
      </x:c>
      <x:c r="K1256" s="4" t="str">
        <x:f>IFERROR(INDEX('Crafting recipes'!$D$6:$D$1005,MATCH(B1256,'Crafting recipes'!$A$6:$A$1005,0)),"MISSING ID")</x:f>
        <x:v>Proposal</x:v>
      </x:c>
      <x:c r="L1256" s="4" t="str">
        <x:f>IFERROR(INDEX('Items'!$AD$6:$AD$1005,MATCH(D1256,'Items'!$A$6:$A$1005,0)),"MISSING ID")</x:f>
        <x:v>Proposal</x:v>
      </x:c>
      <x:c r="M1256" s="4" t="str">
        <x:f>IFERROR(INDEX('Crafting recipes'!$E$6:$E$1005,MATCH(B1256,'Crafting recipes'!$A$6:$A$1005,0)),"MISSING ID")</x:f>
        <x:v>Partial proposal</x:v>
      </x:c>
      <x:c r="N1256" s="4" t="str">
        <x:v>Candidate source or part only. Quantity, grade and method remain open.</x:v>
      </x:c>
      <x:c r="O1256" s="4" t="str">
        <x:v>Collection expansion, October 15, 2026. New game proposal.</x:v>
      </x:c>
      <x:c r="P1256" s="4" t="n">
        <x:f>IF(OR(C1256="Ingredient candidate",C1256="Consumed input",C1256="Contained input",C1256="Transform input"),IF(F1256="T0",0,IF(F1256="T1",1,IF(F1256="T2",2,IF(F1256="T3",3,IF(F1256="T4",4,-1))))),-1)</x:f>
        <x:v>2</x:v>
      </x:c>
      <x:c r="Q1256" s="4" t="n">
        <x:f>IF(AND(OR(C1256="Ingredient candidate",C1256="Consumed input",C1256="Contained input",C1256="Transform input"),P1256=-1),1,0)</x:f>
        <x:v>0</x:v>
      </x:c>
    </x:row>
    <x:row r="1257" ht="64" customHeight="1">
      <x:c r="A1257" s="4" t="str">
        <x:v>design.collection.round_iron_buckler.out</x:v>
      </x:c>
      <x:c r="B1257" s="4" t="str">
        <x:v>design.collection.round_iron_buckler</x:v>
      </x:c>
      <x:c r="C1257" s="4" t="str">
        <x:v>Output</x:v>
      </x:c>
      <x:c r="D1257" s="4" t="str">
        <x:v>proposal.collection.round_iron_buckler</x:v>
      </x:c>
      <x:c r="E1257" s="4" t="str">
        <x:f>IFERROR(INDEX('Items'!$B$6:$B$1005,MATCH(D1257,'Items'!$A$6:$A$1005,0)),"MISSING ID")</x:f>
        <x:v>Round iron buckler</x:v>
      </x:c>
      <x:c r="F1257" s="4" t="str">
        <x:f>IFERROR(INDEX('Items'!$C$6:$C$1005,MATCH(D1257,'Items'!$A$6:$A$1005,0)),"MISSING ID")</x:f>
        <x:v>Not applicable</x:v>
      </x:c>
      <x:c r="G1257" s="4" t="str">
        <x:f>IFERROR(INDEX('Items'!$D$6:$D$1005,MATCH(D1257,'Items'!$A$6:$A$1005,0)),"MISSING ID")</x:f>
        <x:v>Armor</x:v>
      </x:c>
      <x:c r="H1257" s="4" t="str">
        <x:f>IFERROR(INDEX('Items'!$X$6:$X$1005,MATCH(D1257,'Items'!$A$6:$A$1005,0)),"MISSING ID")</x:f>
        <x:v>Shield</x:v>
      </x:c>
      <x:c r="I1257" s="4"/>
      <x:c r="J1257" s="4" t="str">
        <x:v>Unspecified</x:v>
      </x:c>
      <x:c r="K1257" s="4" t="str">
        <x:f>IFERROR(INDEX('Crafting recipes'!$D$6:$D$1005,MATCH(B1257,'Crafting recipes'!$A$6:$A$1005,0)),"MISSING ID")</x:f>
        <x:v>Proposal</x:v>
      </x:c>
      <x:c r="L1257" s="4" t="str">
        <x:f>IFERROR(INDEX('Items'!$AD$6:$AD$1005,MATCH(D1257,'Items'!$A$6:$A$1005,0)),"MISSING ID")</x:f>
        <x:v>Proposal</x:v>
      </x:c>
      <x:c r="M1257" s="4" t="str">
        <x:f>IFERROR(INDEX('Crafting recipes'!$E$6:$E$1005,MATCH(B1257,'Crafting recipes'!$A$6:$A$1005,0)),"MISSING ID")</x:f>
        <x:v>Partial proposal</x:v>
      </x:c>
      <x:c r="N1257" s="4" t="str">
        <x:v>Candidate source or part only. Quantity, grade and method remain open.</x:v>
      </x:c>
      <x:c r="O1257" s="4" t="str">
        <x:v>Collection expansion, October 15, 2026. New game proposal.</x:v>
      </x:c>
      <x:c r="P1257" s="4" t="n">
        <x:f>IF(OR(C1257="Ingredient candidate",C1257="Consumed input",C1257="Contained input",C1257="Transform input"),IF(F1257="T0",0,IF(F1257="T1",1,IF(F1257="T2",2,IF(F1257="T3",3,IF(F1257="T4",4,-1))))),-1)</x:f>
        <x:v>-1</x:v>
      </x:c>
      <x:c r="Q1257" s="4" t="n">
        <x:f>IF(AND(OR(C1257="Ingredient candidate",C1257="Consumed input",C1257="Contained input",C1257="Transform input"),P1257=-1),1,0)</x:f>
        <x:v>0</x:v>
      </x:c>
    </x:row>
    <x:row r="1258" ht="64" customHeight="1">
      <x:c r="A1258" s="4" t="str">
        <x:v>design.collection.riveted_steel_round_shield.in.1</x:v>
      </x:c>
      <x:c r="B1258" s="4" t="str">
        <x:v>design.collection.riveted_steel_round_shield</x:v>
      </x:c>
      <x:c r="C1258" s="4" t="str">
        <x:v>Ingredient candidate</x:v>
      </x:c>
      <x:c r="D1258" s="4" t="str">
        <x:v>author.metallurgy.steel_stock</x:v>
      </x:c>
      <x:c r="E1258" s="4" t="str">
        <x:f>IFERROR(INDEX('Items'!$B$6:$B$1005,MATCH(D1258,'Items'!$A$6:$A$1005,0)),"MISSING ID")</x:f>
        <x:v>Steel stock</x:v>
      </x:c>
      <x:c r="F1258" s="4" t="str">
        <x:f>IFERROR(INDEX('Items'!$C$6:$C$1005,MATCH(D1258,'Items'!$A$6:$A$1005,0)),"MISSING ID")</x:f>
        <x:v>T2</x:v>
      </x:c>
      <x:c r="G1258" s="4" t="str">
        <x:f>IFERROR(INDEX('Items'!$D$6:$D$1005,MATCH(D1258,'Items'!$A$6:$A$1005,0)),"MISSING ID")</x:f>
        <x:v>Manufactured stock</x:v>
      </x:c>
      <x:c r="H1258" s="4" t="str">
        <x:f>IFERROR(INDEX('Items'!$X$6:$X$1005,MATCH(D1258,'Items'!$A$6:$A$1005,0)),"MISSING ID")</x:f>
        <x:v>Processed material</x:v>
      </x:c>
      <x:c r="I1258" s="4"/>
      <x:c r="J1258" s="4" t="str">
        <x:v>Unspecified</x:v>
      </x:c>
      <x:c r="K1258" s="4" t="str">
        <x:f>IFERROR(INDEX('Crafting recipes'!$D$6:$D$1005,MATCH(B1258,'Crafting recipes'!$A$6:$A$1005,0)),"MISSING ID")</x:f>
        <x:v>Proposal</x:v>
      </x:c>
      <x:c r="L1258" s="4" t="str">
        <x:f>IFERROR(INDEX('Items'!$AD$6:$AD$1005,MATCH(D1258,'Items'!$A$6:$A$1005,0)),"MISSING ID")</x:f>
        <x:v>Author direction</x:v>
      </x:c>
      <x:c r="M1258" s="4" t="str">
        <x:f>IFERROR(INDEX('Crafting recipes'!$E$6:$E$1005,MATCH(B1258,'Crafting recipes'!$A$6:$A$1005,0)),"MISSING ID")</x:f>
        <x:v>Partial proposal</x:v>
      </x:c>
      <x:c r="N1258" s="4" t="str">
        <x:v>Candidate source or part only. Quantity, grade and method remain open.</x:v>
      </x:c>
      <x:c r="O1258" s="4" t="str">
        <x:v>Collection expansion, October 15, 2026. New game proposal.</x:v>
      </x:c>
      <x:c r="P1258" s="4" t="n">
        <x:f>IF(OR(C1258="Ingredient candidate",C1258="Consumed input",C1258="Contained input",C1258="Transform input"),IF(F1258="T0",0,IF(F1258="T1",1,IF(F1258="T2",2,IF(F1258="T3",3,IF(F1258="T4",4,-1))))),-1)</x:f>
        <x:v>2</x:v>
      </x:c>
      <x:c r="Q1258" s="4" t="n">
        <x:f>IF(AND(OR(C1258="Ingredient candidate",C1258="Consumed input",C1258="Contained input",C1258="Transform input"),P1258=-1),1,0)</x:f>
        <x:v>0</x:v>
      </x:c>
    </x:row>
    <x:row r="1259" ht="64" customHeight="1">
      <x:c r="A1259" s="4" t="str">
        <x:v>design.collection.riveted_steel_round_shield.in.2</x:v>
      </x:c>
      <x:c r="B1259" s="4" t="str">
        <x:v>design.collection.riveted_steel_round_shield</x:v>
      </x:c>
      <x:c r="C1259" s="4" t="str">
        <x:v>Ingredient candidate</x:v>
      </x:c>
      <x:c r="D1259" s="4" t="str">
        <x:v>proposal.lore.rivet_stock</x:v>
      </x:c>
      <x:c r="E1259" s="4" t="str">
        <x:f>IFERROR(INDEX('Items'!$B$6:$B$1005,MATCH(D1259,'Items'!$A$6:$A$1005,0)),"MISSING ID")</x:f>
        <x:v>Rough iron rivet stock</x:v>
      </x:c>
      <x:c r="F1259" s="4" t="str">
        <x:f>IFERROR(INDEX('Items'!$C$6:$C$1005,MATCH(D1259,'Items'!$A$6:$A$1005,0)),"MISSING ID")</x:f>
        <x:v>T2</x:v>
      </x:c>
      <x:c r="G1259" s="4" t="str">
        <x:f>IFERROR(INDEX('Items'!$D$6:$D$1005,MATCH(D1259,'Items'!$A$6:$A$1005,0)),"MISSING ID")</x:f>
        <x:v>Manufactured stock</x:v>
      </x:c>
      <x:c r="H1259" s="4" t="str">
        <x:f>IFERROR(INDEX('Items'!$X$6:$X$1005,MATCH(D1259,'Items'!$A$6:$A$1005,0)),"MISSING ID")</x:f>
        <x:v>Processed material</x:v>
      </x:c>
      <x:c r="I1259" s="4"/>
      <x:c r="J1259" s="4" t="str">
        <x:v>Unspecified</x:v>
      </x:c>
      <x:c r="K1259" s="4" t="str">
        <x:f>IFERROR(INDEX('Crafting recipes'!$D$6:$D$1005,MATCH(B1259,'Crafting recipes'!$A$6:$A$1005,0)),"MISSING ID")</x:f>
        <x:v>Proposal</x:v>
      </x:c>
      <x:c r="L1259" s="4" t="str">
        <x:f>IFERROR(INDEX('Items'!$AD$6:$AD$1005,MATCH(D1259,'Items'!$A$6:$A$1005,0)),"MISSING ID")</x:f>
        <x:v>Proposal</x:v>
      </x:c>
      <x:c r="M1259" s="4" t="str">
        <x:f>IFERROR(INDEX('Crafting recipes'!$E$6:$E$1005,MATCH(B1259,'Crafting recipes'!$A$6:$A$1005,0)),"MISSING ID")</x:f>
        <x:v>Partial proposal</x:v>
      </x:c>
      <x:c r="N1259" s="4" t="str">
        <x:v>Candidate source or part only. Quantity, grade and method remain open.</x:v>
      </x:c>
      <x:c r="O1259" s="4" t="str">
        <x:v>Collection expansion, October 15, 2026. New game proposal.</x:v>
      </x:c>
      <x:c r="P1259" s="4" t="n">
        <x:f>IF(OR(C1259="Ingredient candidate",C1259="Consumed input",C1259="Contained input",C1259="Transform input"),IF(F1259="T0",0,IF(F1259="T1",1,IF(F1259="T2",2,IF(F1259="T3",3,IF(F1259="T4",4,-1))))),-1)</x:f>
        <x:v>2</x:v>
      </x:c>
      <x:c r="Q1259" s="4" t="n">
        <x:f>IF(AND(OR(C1259="Ingredient candidate",C1259="Consumed input",C1259="Contained input",C1259="Transform input"),P1259=-1),1,0)</x:f>
        <x:v>0</x:v>
      </x:c>
    </x:row>
    <x:row r="1260" ht="64" customHeight="1">
      <x:c r="A1260" s="4" t="str">
        <x:v>design.collection.riveted_steel_round_shield.out</x:v>
      </x:c>
      <x:c r="B1260" s="4" t="str">
        <x:v>design.collection.riveted_steel_round_shield</x:v>
      </x:c>
      <x:c r="C1260" s="4" t="str">
        <x:v>Output</x:v>
      </x:c>
      <x:c r="D1260" s="4" t="str">
        <x:v>proposal.collection.riveted_steel_round_shield</x:v>
      </x:c>
      <x:c r="E1260" s="4" t="str">
        <x:f>IFERROR(INDEX('Items'!$B$6:$B$1005,MATCH(D1260,'Items'!$A$6:$A$1005,0)),"MISSING ID")</x:f>
        <x:v>Riveted steel round shield</x:v>
      </x:c>
      <x:c r="F1260" s="4" t="str">
        <x:f>IFERROR(INDEX('Items'!$C$6:$C$1005,MATCH(D1260,'Items'!$A$6:$A$1005,0)),"MISSING ID")</x:f>
        <x:v>Not applicable</x:v>
      </x:c>
      <x:c r="G1260" s="4" t="str">
        <x:f>IFERROR(INDEX('Items'!$D$6:$D$1005,MATCH(D1260,'Items'!$A$6:$A$1005,0)),"MISSING ID")</x:f>
        <x:v>Armor</x:v>
      </x:c>
      <x:c r="H1260" s="4" t="str">
        <x:f>IFERROR(INDEX('Items'!$X$6:$X$1005,MATCH(D1260,'Items'!$A$6:$A$1005,0)),"MISSING ID")</x:f>
        <x:v>Shield</x:v>
      </x:c>
      <x:c r="I1260" s="4"/>
      <x:c r="J1260" s="4" t="str">
        <x:v>Unspecified</x:v>
      </x:c>
      <x:c r="K1260" s="4" t="str">
        <x:f>IFERROR(INDEX('Crafting recipes'!$D$6:$D$1005,MATCH(B1260,'Crafting recipes'!$A$6:$A$1005,0)),"MISSING ID")</x:f>
        <x:v>Proposal</x:v>
      </x:c>
      <x:c r="L1260" s="4" t="str">
        <x:f>IFERROR(INDEX('Items'!$AD$6:$AD$1005,MATCH(D1260,'Items'!$A$6:$A$1005,0)),"MISSING ID")</x:f>
        <x:v>Proposal</x:v>
      </x:c>
      <x:c r="M1260" s="4" t="str">
        <x:f>IFERROR(INDEX('Crafting recipes'!$E$6:$E$1005,MATCH(B1260,'Crafting recipes'!$A$6:$A$1005,0)),"MISSING ID")</x:f>
        <x:v>Partial proposal</x:v>
      </x:c>
      <x:c r="N1260" s="4" t="str">
        <x:v>Candidate source or part only. Quantity, grade and method remain open.</x:v>
      </x:c>
      <x:c r="O1260" s="4" t="str">
        <x:v>Collection expansion, October 15, 2026. New game proposal.</x:v>
      </x:c>
      <x:c r="P1260" s="4" t="n">
        <x:f>IF(OR(C1260="Ingredient candidate",C1260="Consumed input",C1260="Contained input",C1260="Transform input"),IF(F1260="T0",0,IF(F1260="T1",1,IF(F1260="T2",2,IF(F1260="T3",3,IF(F1260="T4",4,-1))))),-1)</x:f>
        <x:v>-1</x:v>
      </x:c>
      <x:c r="Q1260" s="4" t="n">
        <x:f>IF(AND(OR(C1260="Ingredient candidate",C1260="Consumed input",C1260="Contained input",C1260="Transform input"),P1260=-1),1,0)</x:f>
        <x:v>0</x:v>
      </x:c>
    </x:row>
    <x:row r="1261" ht="64" customHeight="1">
      <x:c r="A1261" s="4" t="str">
        <x:v>design.collection.broad_chitin_shield.in.1</x:v>
      </x:c>
      <x:c r="B1261" s="4" t="str">
        <x:v>design.collection.broad_chitin_shield</x:v>
      </x:c>
      <x:c r="C1261" s="4" t="str">
        <x:v>Ingredient candidate</x:v>
      </x:c>
      <x:c r="D1261" s="4" t="str">
        <x:v>proposal.t1.shell_lamina</x:v>
      </x:c>
      <x:c r="E1261" s="4" t="str">
        <x:f>IFERROR(INDEX('Items'!$B$6:$B$1005,MATCH(D1261,'Items'!$A$6:$A$1005,0)),"MISSING ID")</x:f>
        <x:v>Separated shell lamina stock</x:v>
      </x:c>
      <x:c r="F1261" s="4" t="str">
        <x:f>IFERROR(INDEX('Items'!$C$6:$C$1005,MATCH(D1261,'Items'!$A$6:$A$1005,0)),"MISSING ID")</x:f>
        <x:v>T1</x:v>
      </x:c>
      <x:c r="G1261" s="4" t="str">
        <x:f>IFERROR(INDEX('Items'!$D$6:$D$1005,MATCH(D1261,'Items'!$A$6:$A$1005,0)),"MISSING ID")</x:f>
        <x:v>Manufactured stock</x:v>
      </x:c>
      <x:c r="H1261" s="4" t="str">
        <x:f>IFERROR(INDEX('Items'!$X$6:$X$1005,MATCH(D1261,'Items'!$A$6:$A$1005,0)),"MISSING ID")</x:f>
        <x:v>Processed material</x:v>
      </x:c>
      <x:c r="I1261" s="4"/>
      <x:c r="J1261" s="4" t="str">
        <x:v>Unspecified</x:v>
      </x:c>
      <x:c r="K1261" s="4" t="str">
        <x:f>IFERROR(INDEX('Crafting recipes'!$D$6:$D$1005,MATCH(B1261,'Crafting recipes'!$A$6:$A$1005,0)),"MISSING ID")</x:f>
        <x:v>Proposal</x:v>
      </x:c>
      <x:c r="L1261" s="4" t="str">
        <x:f>IFERROR(INDEX('Items'!$AD$6:$AD$1005,MATCH(D1261,'Items'!$A$6:$A$1005,0)),"MISSING ID")</x:f>
        <x:v>Proposal</x:v>
      </x:c>
      <x:c r="M1261" s="4" t="str">
        <x:f>IFERROR(INDEX('Crafting recipes'!$E$6:$E$1005,MATCH(B1261,'Crafting recipes'!$A$6:$A$1005,0)),"MISSING ID")</x:f>
        <x:v>Partial proposal</x:v>
      </x:c>
      <x:c r="N1261" s="4" t="str">
        <x:v>Candidate source or part only. Quantity, grade and method remain open.</x:v>
      </x:c>
      <x:c r="O1261" s="4" t="str">
        <x:v>Collection expansion, October 15, 2026. New game proposal.</x:v>
      </x:c>
      <x:c r="P1261" s="4" t="n">
        <x:f>IF(OR(C1261="Ingredient candidate",C1261="Consumed input",C1261="Contained input",C1261="Transform input"),IF(F1261="T0",0,IF(F1261="T1",1,IF(F1261="T2",2,IF(F1261="T3",3,IF(F1261="T4",4,-1))))),-1)</x:f>
        <x:v>1</x:v>
      </x:c>
      <x:c r="Q1261" s="4" t="n">
        <x:f>IF(AND(OR(C1261="Ingredient candidate",C1261="Consumed input",C1261="Contained input",C1261="Transform input"),P1261=-1),1,0)</x:f>
        <x:v>0</x:v>
      </x:c>
    </x:row>
    <x:row r="1262" ht="64" customHeight="1">
      <x:c r="A1262" s="4" t="str">
        <x:v>design.collection.broad_chitin_shield.in.2</x:v>
      </x:c>
      <x:c r="B1262" s="4" t="str">
        <x:v>design.collection.broad_chitin_shield</x:v>
      </x:c>
      <x:c r="C1262" s="4" t="str">
        <x:v>Ingredient candidate</x:v>
      </x:c>
      <x:c r="D1262" s="4" t="str">
        <x:v>proposal.natural.iron_stock</x:v>
      </x:c>
      <x:c r="E1262" s="4" t="str">
        <x:f>IFERROR(INDEX('Items'!$B$6:$B$1005,MATCH(D1262,'Items'!$A$6:$A$1005,0)),"MISSING ID")</x:f>
        <x:v>Worked iron stock</x:v>
      </x:c>
      <x:c r="F1262" s="4" t="str">
        <x:f>IFERROR(INDEX('Items'!$C$6:$C$1005,MATCH(D1262,'Items'!$A$6:$A$1005,0)),"MISSING ID")</x:f>
        <x:v>T2</x:v>
      </x:c>
      <x:c r="G1262" s="4" t="str">
        <x:f>IFERROR(INDEX('Items'!$D$6:$D$1005,MATCH(D1262,'Items'!$A$6:$A$1005,0)),"MISSING ID")</x:f>
        <x:v>Manufactured stock</x:v>
      </x:c>
      <x:c r="H1262" s="4" t="str">
        <x:f>IFERROR(INDEX('Items'!$X$6:$X$1005,MATCH(D1262,'Items'!$A$6:$A$1005,0)),"MISSING ID")</x:f>
        <x:v>Processed material</x:v>
      </x:c>
      <x:c r="I1262" s="4"/>
      <x:c r="J1262" s="4" t="str">
        <x:v>Unspecified</x:v>
      </x:c>
      <x:c r="K1262" s="4" t="str">
        <x:f>IFERROR(INDEX('Crafting recipes'!$D$6:$D$1005,MATCH(B1262,'Crafting recipes'!$A$6:$A$1005,0)),"MISSING ID")</x:f>
        <x:v>Proposal</x:v>
      </x:c>
      <x:c r="L1262" s="4" t="str">
        <x:f>IFERROR(INDEX('Items'!$AD$6:$AD$1005,MATCH(D1262,'Items'!$A$6:$A$1005,0)),"MISSING ID")</x:f>
        <x:v>Proposal</x:v>
      </x:c>
      <x:c r="M1262" s="4" t="str">
        <x:f>IFERROR(INDEX('Crafting recipes'!$E$6:$E$1005,MATCH(B1262,'Crafting recipes'!$A$6:$A$1005,0)),"MISSING ID")</x:f>
        <x:v>Partial proposal</x:v>
      </x:c>
      <x:c r="N1262" s="4" t="str">
        <x:v>Candidate source or part only. Quantity, grade and method remain open.</x:v>
      </x:c>
      <x:c r="O1262" s="4" t="str">
        <x:v>Collection expansion, October 15, 2026. New game proposal.</x:v>
      </x:c>
      <x:c r="P1262" s="4" t="n">
        <x:f>IF(OR(C1262="Ingredient candidate",C1262="Consumed input",C1262="Contained input",C1262="Transform input"),IF(F1262="T0",0,IF(F1262="T1",1,IF(F1262="T2",2,IF(F1262="T3",3,IF(F1262="T4",4,-1))))),-1)</x:f>
        <x:v>2</x:v>
      </x:c>
      <x:c r="Q1262" s="4" t="n">
        <x:f>IF(AND(OR(C1262="Ingredient candidate",C1262="Consumed input",C1262="Contained input",C1262="Transform input"),P1262=-1),1,0)</x:f>
        <x:v>0</x:v>
      </x:c>
    </x:row>
    <x:row r="1263" ht="64" customHeight="1">
      <x:c r="A1263" s="4" t="str">
        <x:v>design.collection.broad_chitin_shield.out</x:v>
      </x:c>
      <x:c r="B1263" s="4" t="str">
        <x:v>design.collection.broad_chitin_shield</x:v>
      </x:c>
      <x:c r="C1263" s="4" t="str">
        <x:v>Output</x:v>
      </x:c>
      <x:c r="D1263" s="4" t="str">
        <x:v>proposal.collection.broad_chitin_shield</x:v>
      </x:c>
      <x:c r="E1263" s="4" t="str">
        <x:f>IFERROR(INDEX('Items'!$B$6:$B$1005,MATCH(D1263,'Items'!$A$6:$A$1005,0)),"MISSING ID")</x:f>
        <x:v>Broad chitin shield</x:v>
      </x:c>
      <x:c r="F1263" s="4" t="str">
        <x:f>IFERROR(INDEX('Items'!$C$6:$C$1005,MATCH(D1263,'Items'!$A$6:$A$1005,0)),"MISSING ID")</x:f>
        <x:v>Not applicable</x:v>
      </x:c>
      <x:c r="G1263" s="4" t="str">
        <x:f>IFERROR(INDEX('Items'!$D$6:$D$1005,MATCH(D1263,'Items'!$A$6:$A$1005,0)),"MISSING ID")</x:f>
        <x:v>Armor</x:v>
      </x:c>
      <x:c r="H1263" s="4" t="str">
        <x:f>IFERROR(INDEX('Items'!$X$6:$X$1005,MATCH(D1263,'Items'!$A$6:$A$1005,0)),"MISSING ID")</x:f>
        <x:v>Shield</x:v>
      </x:c>
      <x:c r="I1263" s="4"/>
      <x:c r="J1263" s="4" t="str">
        <x:v>Unspecified</x:v>
      </x:c>
      <x:c r="K1263" s="4" t="str">
        <x:f>IFERROR(INDEX('Crafting recipes'!$D$6:$D$1005,MATCH(B1263,'Crafting recipes'!$A$6:$A$1005,0)),"MISSING ID")</x:f>
        <x:v>Proposal</x:v>
      </x:c>
      <x:c r="L1263" s="4" t="str">
        <x:f>IFERROR(INDEX('Items'!$AD$6:$AD$1005,MATCH(D1263,'Items'!$A$6:$A$1005,0)),"MISSING ID")</x:f>
        <x:v>Proposal</x:v>
      </x:c>
      <x:c r="M1263" s="4" t="str">
        <x:f>IFERROR(INDEX('Crafting recipes'!$E$6:$E$1005,MATCH(B1263,'Crafting recipes'!$A$6:$A$1005,0)),"MISSING ID")</x:f>
        <x:v>Partial proposal</x:v>
      </x:c>
      <x:c r="N1263" s="4" t="str">
        <x:v>Candidate source or part only. Quantity, grade and method remain open.</x:v>
      </x:c>
      <x:c r="O1263" s="4" t="str">
        <x:v>Collection expansion, October 15, 2026. New game proposal.</x:v>
      </x:c>
      <x:c r="P1263" s="4" t="n">
        <x:f>IF(OR(C1263="Ingredient candidate",C1263="Consumed input",C1263="Contained input",C1263="Transform input"),IF(F1263="T0",0,IF(F1263="T1",1,IF(F1263="T2",2,IF(F1263="T3",3,IF(F1263="T4",4,-1))))),-1)</x:f>
        <x:v>-1</x:v>
      </x:c>
      <x:c r="Q1263" s="4" t="n">
        <x:f>IF(AND(OR(C1263="Ingredient candidate",C1263="Consumed input",C1263="Contained input",C1263="Transform input"),P1263=-1),1,0)</x:f>
        <x:v>0</x:v>
      </x:c>
    </x:row>
    <x:row r="1264" ht="64" customHeight="1">
      <x:c r="A1264" s="4"/>
      <x:c r="B1264" s="4"/>
      <x:c r="C1264" s="4"/>
      <x:c r="D1264" s="4"/>
      <x:c r="E1264" s="4"/>
      <x:c r="F1264" s="4"/>
      <x:c r="G1264" s="4"/>
      <x:c r="H1264" s="4"/>
      <x:c r="I1264" s="4"/>
      <x:c r="K1264" s="4"/>
      <x:c r="L1264" s="4"/>
      <x:c r="M1264" s="4"/>
      <x:c r="N1264" s="4"/>
      <x:c r="O1264" s="4"/>
      <x:c r="P1264" s="4"/>
      <x:c r="Q1264" s="4"/>
    </x:row>
    <x:row r="1265" ht="64" customHeight="1">
      <x:c r="A1265" s="4"/>
      <x:c r="B1265" s="4"/>
      <x:c r="C1265" s="4"/>
      <x:c r="D1265" s="4"/>
      <x:c r="E1265" s="4"/>
      <x:c r="F1265" s="4"/>
      <x:c r="G1265" s="4"/>
      <x:c r="H1265" s="4"/>
      <x:c r="I1265" s="4"/>
      <x:c r="K1265" s="4"/>
      <x:c r="L1265" s="4"/>
      <x:c r="M1265" s="4"/>
      <x:c r="N1265" s="4"/>
      <x:c r="O1265" s="4"/>
      <x:c r="P1265" s="4"/>
      <x:c r="Q1265" s="4"/>
    </x:row>
    <x:row r="1266" ht="64" customHeight="1">
      <x:c r="A1266" s="4"/>
      <x:c r="B1266" s="4"/>
      <x:c r="C1266" s="4"/>
      <x:c r="D1266" s="4"/>
      <x:c r="E1266" s="4"/>
      <x:c r="F1266" s="4"/>
      <x:c r="G1266" s="4"/>
      <x:c r="H1266" s="4"/>
      <x:c r="I1266" s="4"/>
      <x:c r="K1266" s="4"/>
      <x:c r="L1266" s="4"/>
      <x:c r="M1266" s="4"/>
      <x:c r="N1266" s="4"/>
      <x:c r="O1266" s="4"/>
      <x:c r="P1266" s="4"/>
      <x:c r="Q1266" s="4"/>
    </x:row>
    <x:row r="1267" ht="64" customHeight="1">
      <x:c r="A1267" s="4" t="str">
        <x:v>design.collection.tall_iron_pavise.in.1</x:v>
      </x:c>
      <x:c r="B1267" s="4" t="str">
        <x:v>design.collection.tall_iron_pavise</x:v>
      </x:c>
      <x:c r="C1267" s="4" t="str">
        <x:v>Ingredient candidate</x:v>
      </x:c>
      <x:c r="D1267" s="4" t="str">
        <x:v>proposal.collection.annealed_iron_sheet_stock</x:v>
      </x:c>
      <x:c r="E1267" s="4" t="str">
        <x:f>IFERROR(INDEX('Items'!$B$6:$B$1005,MATCH(D1267,'Items'!$A$6:$A$1005,0)),"MISSING ID")</x:f>
        <x:v>Annealed iron sheet stock</x:v>
      </x:c>
      <x:c r="F1267" s="4" t="str">
        <x:f>IFERROR(INDEX('Items'!$C$6:$C$1005,MATCH(D1267,'Items'!$A$6:$A$1005,0)),"MISSING ID")</x:f>
        <x:v>T3</x:v>
      </x:c>
      <x:c r="G1267" s="4" t="str">
        <x:f>IFERROR(INDEX('Items'!$D$6:$D$1005,MATCH(D1267,'Items'!$A$6:$A$1005,0)),"MISSING ID")</x:f>
        <x:v>Manufactured stock</x:v>
      </x:c>
      <x:c r="H1267" s="4" t="str">
        <x:f>IFERROR(INDEX('Items'!$X$6:$X$1005,MATCH(D1267,'Items'!$A$6:$A$1005,0)),"MISSING ID")</x:f>
        <x:v>Processed material</x:v>
      </x:c>
      <x:c r="I1267" s="4"/>
      <x:c r="J1267" s="4" t="str">
        <x:v>Unspecified</x:v>
      </x:c>
      <x:c r="K1267" s="4" t="str">
        <x:f>IFERROR(INDEX('Crafting recipes'!$D$6:$D$1005,MATCH(B1267,'Crafting recipes'!$A$6:$A$1005,0)),"MISSING ID")</x:f>
        <x:v>Proposal</x:v>
      </x:c>
      <x:c r="L1267" s="4" t="str">
        <x:f>IFERROR(INDEX('Items'!$AD$6:$AD$1005,MATCH(D1267,'Items'!$A$6:$A$1005,0)),"MISSING ID")</x:f>
        <x:v>Proposal</x:v>
      </x:c>
      <x:c r="M1267" s="4" t="str">
        <x:f>IFERROR(INDEX('Crafting recipes'!$E$6:$E$1005,MATCH(B1267,'Crafting recipes'!$A$6:$A$1005,0)),"MISSING ID")</x:f>
        <x:v>Partial proposal</x:v>
      </x:c>
      <x:c r="N1267" s="4" t="str">
        <x:v>Candidate source or part only. Quantity, grade and method remain open.</x:v>
      </x:c>
      <x:c r="O1267" s="4" t="str">
        <x:v>Collection expansion, October 15, 2026. New game proposal.</x:v>
      </x:c>
      <x:c r="P1267" s="4" t="n">
        <x:f>IF(OR(C1267="Ingredient candidate",C1267="Consumed input",C1267="Contained input",C1267="Transform input"),IF(F1267="T0",0,IF(F1267="T1",1,IF(F1267="T2",2,IF(F1267="T3",3,IF(F1267="T4",4,-1))))),-1)</x:f>
        <x:v>3</x:v>
      </x:c>
      <x:c r="Q1267" s="4" t="n">
        <x:f>IF(AND(OR(C1267="Ingredient candidate",C1267="Consumed input",C1267="Contained input",C1267="Transform input"),P1267=-1),1,0)</x:f>
        <x:v>0</x:v>
      </x:c>
    </x:row>
    <x:row r="1268" ht="64" customHeight="1">
      <x:c r="A1268" s="4" t="str">
        <x:v>design.collection.tall_iron_pavise.in.2</x:v>
      </x:c>
      <x:c r="B1268" s="4" t="str">
        <x:v>design.collection.tall_iron_pavise</x:v>
      </x:c>
      <x:c r="C1268" s="4" t="str">
        <x:v>Ingredient candidate</x:v>
      </x:c>
      <x:c r="D1268" s="4" t="str">
        <x:v>proposal.natural.iron_stock</x:v>
      </x:c>
      <x:c r="E1268" s="4" t="str">
        <x:f>IFERROR(INDEX('Items'!$B$6:$B$1005,MATCH(D1268,'Items'!$A$6:$A$1005,0)),"MISSING ID")</x:f>
        <x:v>Worked iron stock</x:v>
      </x:c>
      <x:c r="F1268" s="4" t="str">
        <x:f>IFERROR(INDEX('Items'!$C$6:$C$1005,MATCH(D1268,'Items'!$A$6:$A$1005,0)),"MISSING ID")</x:f>
        <x:v>T2</x:v>
      </x:c>
      <x:c r="G1268" s="4" t="str">
        <x:f>IFERROR(INDEX('Items'!$D$6:$D$1005,MATCH(D1268,'Items'!$A$6:$A$1005,0)),"MISSING ID")</x:f>
        <x:v>Manufactured stock</x:v>
      </x:c>
      <x:c r="H1268" s="4" t="str">
        <x:f>IFERROR(INDEX('Items'!$X$6:$X$1005,MATCH(D1268,'Items'!$A$6:$A$1005,0)),"MISSING ID")</x:f>
        <x:v>Processed material</x:v>
      </x:c>
      <x:c r="I1268" s="4"/>
      <x:c r="J1268" s="4" t="str">
        <x:v>Unspecified</x:v>
      </x:c>
      <x:c r="K1268" s="4" t="str">
        <x:f>IFERROR(INDEX('Crafting recipes'!$D$6:$D$1005,MATCH(B1268,'Crafting recipes'!$A$6:$A$1005,0)),"MISSING ID")</x:f>
        <x:v>Proposal</x:v>
      </x:c>
      <x:c r="L1268" s="4" t="str">
        <x:f>IFERROR(INDEX('Items'!$AD$6:$AD$1005,MATCH(D1268,'Items'!$A$6:$A$1005,0)),"MISSING ID")</x:f>
        <x:v>Proposal</x:v>
      </x:c>
      <x:c r="M1268" s="4" t="str">
        <x:f>IFERROR(INDEX('Crafting recipes'!$E$6:$E$1005,MATCH(B1268,'Crafting recipes'!$A$6:$A$1005,0)),"MISSING ID")</x:f>
        <x:v>Partial proposal</x:v>
      </x:c>
      <x:c r="N1268" s="4" t="str">
        <x:v>Candidate source or part only. Quantity, grade and method remain open.</x:v>
      </x:c>
      <x:c r="O1268" s="4" t="str">
        <x:v>Collection expansion, October 15, 2026. New game proposal.</x:v>
      </x:c>
      <x:c r="P1268" s="4" t="n">
        <x:f>IF(OR(C1268="Ingredient candidate",C1268="Consumed input",C1268="Contained input",C1268="Transform input"),IF(F1268="T0",0,IF(F1268="T1",1,IF(F1268="T2",2,IF(F1268="T3",3,IF(F1268="T4",4,-1))))),-1)</x:f>
        <x:v>2</x:v>
      </x:c>
      <x:c r="Q1268" s="4" t="n">
        <x:f>IF(AND(OR(C1268="Ingredient candidate",C1268="Consumed input",C1268="Contained input",C1268="Transform input"),P1268=-1),1,0)</x:f>
        <x:v>0</x:v>
      </x:c>
    </x:row>
    <x:row r="1269" ht="64" customHeight="1">
      <x:c r="A1269" s="4" t="str">
        <x:v>design.collection.tall_iron_pavise.out</x:v>
      </x:c>
      <x:c r="B1269" s="4" t="str">
        <x:v>design.collection.tall_iron_pavise</x:v>
      </x:c>
      <x:c r="C1269" s="4" t="str">
        <x:v>Output</x:v>
      </x:c>
      <x:c r="D1269" s="4" t="str">
        <x:v>proposal.collection.tall_iron_pavise</x:v>
      </x:c>
      <x:c r="E1269" s="4" t="str">
        <x:f>IFERROR(INDEX('Items'!$B$6:$B$1005,MATCH(D1269,'Items'!$A$6:$A$1005,0)),"MISSING ID")</x:f>
        <x:v>Tall iron pavise</x:v>
      </x:c>
      <x:c r="F1269" s="4" t="str">
        <x:f>IFERROR(INDEX('Items'!$C$6:$C$1005,MATCH(D1269,'Items'!$A$6:$A$1005,0)),"MISSING ID")</x:f>
        <x:v>Not applicable</x:v>
      </x:c>
      <x:c r="G1269" s="4" t="str">
        <x:f>IFERROR(INDEX('Items'!$D$6:$D$1005,MATCH(D1269,'Items'!$A$6:$A$1005,0)),"MISSING ID")</x:f>
        <x:v>Armor</x:v>
      </x:c>
      <x:c r="H1269" s="4" t="str">
        <x:f>IFERROR(INDEX('Items'!$X$6:$X$1005,MATCH(D1269,'Items'!$A$6:$A$1005,0)),"MISSING ID")</x:f>
        <x:v>Shield</x:v>
      </x:c>
      <x:c r="I1269" s="4"/>
      <x:c r="J1269" s="4" t="str">
        <x:v>Unspecified</x:v>
      </x:c>
      <x:c r="K1269" s="4" t="str">
        <x:f>IFERROR(INDEX('Crafting recipes'!$D$6:$D$1005,MATCH(B1269,'Crafting recipes'!$A$6:$A$1005,0)),"MISSING ID")</x:f>
        <x:v>Proposal</x:v>
      </x:c>
      <x:c r="L1269" s="4" t="str">
        <x:f>IFERROR(INDEX('Items'!$AD$6:$AD$1005,MATCH(D1269,'Items'!$A$6:$A$1005,0)),"MISSING ID")</x:f>
        <x:v>Proposal</x:v>
      </x:c>
      <x:c r="M1269" s="4" t="str">
        <x:f>IFERROR(INDEX('Crafting recipes'!$E$6:$E$1005,MATCH(B1269,'Crafting recipes'!$A$6:$A$1005,0)),"MISSING ID")</x:f>
        <x:v>Partial proposal</x:v>
      </x:c>
      <x:c r="N1269" s="4" t="str">
        <x:v>Candidate source or part only. Quantity, grade and method remain open.</x:v>
      </x:c>
      <x:c r="O1269" s="4" t="str">
        <x:v>Collection expansion, October 15, 2026. New game proposal.</x:v>
      </x:c>
      <x:c r="P1269" s="4" t="n">
        <x:f>IF(OR(C1269="Ingredient candidate",C1269="Consumed input",C1269="Contained input",C1269="Transform input"),IF(F1269="T0",0,IF(F1269="T1",1,IF(F1269="T2",2,IF(F1269="T3",3,IF(F1269="T4",4,-1))))),-1)</x:f>
        <x:v>-1</x:v>
      </x:c>
      <x:c r="Q1269" s="4" t="n">
        <x:f>IF(AND(OR(C1269="Ingredient candidate",C1269="Consumed input",C1269="Contained input",C1269="Transform input"),P1269=-1),1,0)</x:f>
        <x:v>0</x:v>
      </x:c>
    </x:row>
    <x:row r="1270" ht="64" customHeight="1">
      <x:c r="A1270" s="4" t="str">
        <x:v>design.collection.folding_wing_frame_screen_shield.in.1</x:v>
      </x:c>
      <x:c r="B1270" s="4" t="str">
        <x:v>design.collection.folding_wing_frame_screen_shield</x:v>
      </x:c>
      <x:c r="C1270" s="4" t="str">
        <x:v>Ingredient candidate</x:v>
      </x:c>
      <x:c r="D1270" s="4" t="str">
        <x:v>proposal.branch.wing_membrane</x:v>
      </x:c>
      <x:c r="E1270" s="4" t="str">
        <x:f>IFERROR(INDEX('Items'!$B$6:$B$1005,MATCH(D1270,'Items'!$A$6:$A$1005,0)),"MISSING ID")</x:f>
        <x:v>Reinforced wing membrane</x:v>
      </x:c>
      <x:c r="F1270" s="4" t="str">
        <x:f>IFERROR(INDEX('Items'!$C$6:$C$1005,MATCH(D1270,'Items'!$A$6:$A$1005,0)),"MISSING ID")</x:f>
        <x:v>T2</x:v>
      </x:c>
      <x:c r="G1270" s="4" t="str">
        <x:f>IFERROR(INDEX('Items'!$D$6:$D$1005,MATCH(D1270,'Items'!$A$6:$A$1005,0)),"MISSING ID")</x:f>
        <x:v>Manufactured stock</x:v>
      </x:c>
      <x:c r="H1270" s="4" t="str">
        <x:f>IFERROR(INDEX('Items'!$X$6:$X$1005,MATCH(D1270,'Items'!$A$6:$A$1005,0)),"MISSING ID")</x:f>
        <x:v>Processed material</x:v>
      </x:c>
      <x:c r="I1270" s="4"/>
      <x:c r="J1270" s="4" t="str">
        <x:v>Unspecified</x:v>
      </x:c>
      <x:c r="K1270" s="4" t="str">
        <x:f>IFERROR(INDEX('Crafting recipes'!$D$6:$D$1005,MATCH(B1270,'Crafting recipes'!$A$6:$A$1005,0)),"MISSING ID")</x:f>
        <x:v>Proposal</x:v>
      </x:c>
      <x:c r="L1270" s="4" t="str">
        <x:f>IFERROR(INDEX('Items'!$AD$6:$AD$1005,MATCH(D1270,'Items'!$A$6:$A$1005,0)),"MISSING ID")</x:f>
        <x:v>Proposal</x:v>
      </x:c>
      <x:c r="M1270" s="4" t="str">
        <x:f>IFERROR(INDEX('Crafting recipes'!$E$6:$E$1005,MATCH(B1270,'Crafting recipes'!$A$6:$A$1005,0)),"MISSING ID")</x:f>
        <x:v>Partial proposal</x:v>
      </x:c>
      <x:c r="N1270" s="4" t="str">
        <x:v>Candidate source or part only. Quantity, grade and method remain open.</x:v>
      </x:c>
      <x:c r="O1270" s="4" t="str">
        <x:v>Collection expansion, October 15, 2026. New game proposal.</x:v>
      </x:c>
      <x:c r="P1270" s="4" t="n">
        <x:f>IF(OR(C1270="Ingredient candidate",C1270="Consumed input",C1270="Contained input",C1270="Transform input"),IF(F1270="T0",0,IF(F1270="T1",1,IF(F1270="T2",2,IF(F1270="T3",3,IF(F1270="T4",4,-1))))),-1)</x:f>
        <x:v>2</x:v>
      </x:c>
      <x:c r="Q1270" s="4" t="n">
        <x:f>IF(AND(OR(C1270="Ingredient candidate",C1270="Consumed input",C1270="Contained input",C1270="Transform input"),P1270=-1),1,0)</x:f>
        <x:v>0</x:v>
      </x:c>
    </x:row>
    <x:row r="1271" ht="64" customHeight="1">
      <x:c r="A1271" s="4" t="str">
        <x:v>design.collection.folding_wing_frame_screen_shield.in.2</x:v>
      </x:c>
      <x:c r="B1271" s="4" t="str">
        <x:v>design.collection.folding_wing_frame_screen_shield</x:v>
      </x:c>
      <x:c r="C1271" s="4" t="str">
        <x:v>Ingredient candidate</x:v>
      </x:c>
      <x:c r="D1271" s="4" t="str">
        <x:v>proposal.wind.folding_frame</x:v>
      </x:c>
      <x:c r="E1271" s="4" t="str">
        <x:f>IFERROR(INDEX('Items'!$B$6:$B$1005,MATCH(D1271,'Items'!$A$6:$A$1005,0)),"MISSING ID")</x:f>
        <x:v>Collapsible sail frame</x:v>
      </x:c>
      <x:c r="F1271" s="4" t="str">
        <x:f>IFERROR(INDEX('Items'!$C$6:$C$1005,MATCH(D1271,'Items'!$A$6:$A$1005,0)),"MISSING ID")</x:f>
        <x:v>T4</x:v>
      </x:c>
      <x:c r="G1271" s="4" t="str">
        <x:f>IFERROR(INDEX('Items'!$D$6:$D$1005,MATCH(D1271,'Items'!$A$6:$A$1005,0)),"MISSING ID")</x:f>
        <x:v>Salvage</x:v>
      </x:c>
      <x:c r="H1271" s="4" t="str">
        <x:f>IFERROR(INDEX('Items'!$X$6:$X$1005,MATCH(D1271,'Items'!$A$6:$A$1005,0)),"MISSING ID")</x:f>
        <x:v>Crafting component</x:v>
      </x:c>
      <x:c r="I1271" s="4"/>
      <x:c r="J1271" s="4" t="str">
        <x:v>Unspecified</x:v>
      </x:c>
      <x:c r="K1271" s="4" t="str">
        <x:f>IFERROR(INDEX('Crafting recipes'!$D$6:$D$1005,MATCH(B1271,'Crafting recipes'!$A$6:$A$1005,0)),"MISSING ID")</x:f>
        <x:v>Proposal</x:v>
      </x:c>
      <x:c r="L1271" s="4" t="str">
        <x:f>IFERROR(INDEX('Items'!$AD$6:$AD$1005,MATCH(D1271,'Items'!$A$6:$A$1005,0)),"MISSING ID")</x:f>
        <x:v>Proposal</x:v>
      </x:c>
      <x:c r="M1271" s="4" t="str">
        <x:f>IFERROR(INDEX('Crafting recipes'!$E$6:$E$1005,MATCH(B1271,'Crafting recipes'!$A$6:$A$1005,0)),"MISSING ID")</x:f>
        <x:v>Partial proposal</x:v>
      </x:c>
      <x:c r="N1271" s="4" t="str">
        <x:v>Candidate source or part only. Quantity, grade and method remain open.</x:v>
      </x:c>
      <x:c r="O1271" s="4" t="str">
        <x:v>Collection expansion, October 15, 2026. New game proposal.</x:v>
      </x:c>
      <x:c r="P1271" s="4" t="n">
        <x:f>IF(OR(C1271="Ingredient candidate",C1271="Consumed input",C1271="Contained input",C1271="Transform input"),IF(F1271="T0",0,IF(F1271="T1",1,IF(F1271="T2",2,IF(F1271="T3",3,IF(F1271="T4",4,-1))))),-1)</x:f>
        <x:v>4</x:v>
      </x:c>
      <x:c r="Q1271" s="4" t="n">
        <x:f>IF(AND(OR(C1271="Ingredient candidate",C1271="Consumed input",C1271="Contained input",C1271="Transform input"),P1271=-1),1,0)</x:f>
        <x:v>0</x:v>
      </x:c>
    </x:row>
    <x:row r="1272" ht="64" customHeight="1">
      <x:c r="A1272" s="4" t="str">
        <x:v>design.collection.folding_wing_frame_screen_shield.out</x:v>
      </x:c>
      <x:c r="B1272" s="4" t="str">
        <x:v>design.collection.folding_wing_frame_screen_shield</x:v>
      </x:c>
      <x:c r="C1272" s="4" t="str">
        <x:v>Output</x:v>
      </x:c>
      <x:c r="D1272" s="4" t="str">
        <x:v>proposal.collection.folding_wing_frame_screen_shield</x:v>
      </x:c>
      <x:c r="E1272" s="4" t="str">
        <x:f>IFERROR(INDEX('Items'!$B$6:$B$1005,MATCH(D1272,'Items'!$A$6:$A$1005,0)),"MISSING ID")</x:f>
        <x:v>Folding wing-frame screen shield</x:v>
      </x:c>
      <x:c r="F1272" s="4" t="str">
        <x:f>IFERROR(INDEX('Items'!$C$6:$C$1005,MATCH(D1272,'Items'!$A$6:$A$1005,0)),"MISSING ID")</x:f>
        <x:v>Not applicable</x:v>
      </x:c>
      <x:c r="G1272" s="4" t="str">
        <x:f>IFERROR(INDEX('Items'!$D$6:$D$1005,MATCH(D1272,'Items'!$A$6:$A$1005,0)),"MISSING ID")</x:f>
        <x:v>Armor</x:v>
      </x:c>
      <x:c r="H1272" s="4" t="str">
        <x:f>IFERROR(INDEX('Items'!$X$6:$X$1005,MATCH(D1272,'Items'!$A$6:$A$1005,0)),"MISSING ID")</x:f>
        <x:v>Shield</x:v>
      </x:c>
      <x:c r="I1272" s="4"/>
      <x:c r="J1272" s="4" t="str">
        <x:v>Unspecified</x:v>
      </x:c>
      <x:c r="K1272" s="4" t="str">
        <x:f>IFERROR(INDEX('Crafting recipes'!$D$6:$D$1005,MATCH(B1272,'Crafting recipes'!$A$6:$A$1005,0)),"MISSING ID")</x:f>
        <x:v>Proposal</x:v>
      </x:c>
      <x:c r="L1272" s="4" t="str">
        <x:f>IFERROR(INDEX('Items'!$AD$6:$AD$1005,MATCH(D1272,'Items'!$A$6:$A$1005,0)),"MISSING ID")</x:f>
        <x:v>Proposal</x:v>
      </x:c>
      <x:c r="M1272" s="4" t="str">
        <x:f>IFERROR(INDEX('Crafting recipes'!$E$6:$E$1005,MATCH(B1272,'Crafting recipes'!$A$6:$A$1005,0)),"MISSING ID")</x:f>
        <x:v>Partial proposal</x:v>
      </x:c>
      <x:c r="N1272" s="4" t="str">
        <x:v>Candidate source or part only. Quantity, grade and method remain open.</x:v>
      </x:c>
      <x:c r="O1272" s="4" t="str">
        <x:v>Collection expansion, October 15, 2026. New game proposal.</x:v>
      </x:c>
      <x:c r="P1272" s="4" t="n">
        <x:f>IF(OR(C1272="Ingredient candidate",C1272="Consumed input",C1272="Contained input",C1272="Transform input"),IF(F1272="T0",0,IF(F1272="T1",1,IF(F1272="T2",2,IF(F1272="T3",3,IF(F1272="T4",4,-1))))),-1)</x:f>
        <x:v>-1</x:v>
      </x:c>
      <x:c r="Q1272" s="4" t="n">
        <x:f>IF(AND(OR(C1272="Ingredient candidate",C1272="Consumed input",C1272="Contained input",C1272="Transform input"),P1272=-1),1,0)</x:f>
        <x:v>0</x:v>
      </x:c>
    </x:row>
    <x:row r="1273" ht="64" customHeight="1">
      <x:c r="A1273" s="4"/>
      <x:c r="B1273" s="4"/>
      <x:c r="C1273" s="4"/>
      <x:c r="D1273" s="4"/>
      <x:c r="E1273" s="4"/>
      <x:c r="F1273" s="4"/>
      <x:c r="G1273" s="4"/>
      <x:c r="H1273" s="4"/>
      <x:c r="I1273" s="4"/>
      <x:c r="J1273" s="4"/>
      <x:c r="K1273" s="4"/>
      <x:c r="L1273" s="4"/>
      <x:c r="M1273" s="4"/>
      <x:c r="N1273" s="4"/>
      <x:c r="O1273" s="4"/>
      <x:c r="P1273" s="4"/>
      <x:c r="Q1273" s="4"/>
    </x:row>
    <x:row r="1274" ht="64" customHeight="1">
      <x:c r="A1274" s="4"/>
      <x:c r="B1274" s="4"/>
      <x:c r="C1274" s="4"/>
      <x:c r="D1274" s="4"/>
      <x:c r="E1274" s="4"/>
      <x:c r="F1274" s="4"/>
      <x:c r="G1274" s="4"/>
      <x:c r="H1274" s="4"/>
      <x:c r="I1274" s="4"/>
      <x:c r="J1274" s="4"/>
      <x:c r="K1274" s="4"/>
      <x:c r="L1274" s="4"/>
      <x:c r="M1274" s="4"/>
      <x:c r="N1274" s="4"/>
      <x:c r="O1274" s="4"/>
      <x:c r="P1274" s="4"/>
      <x:c r="Q1274" s="4"/>
    </x:row>
    <x:row r="1275" ht="64" customHeight="1">
      <x:c r="A1275" s="4"/>
      <x:c r="B1275" s="4"/>
      <x:c r="C1275" s="4"/>
      <x:c r="D1275" s="4"/>
      <x:c r="E1275" s="4"/>
      <x:c r="F1275" s="4"/>
      <x:c r="G1275" s="4"/>
      <x:c r="H1275" s="4"/>
      <x:c r="I1275" s="4"/>
      <x:c r="J1275" s="4"/>
      <x:c r="K1275" s="4"/>
      <x:c r="L1275" s="4"/>
      <x:c r="M1275" s="4"/>
      <x:c r="N1275" s="4"/>
      <x:c r="O1275" s="4"/>
      <x:c r="P1275" s="4"/>
      <x:c r="Q1275" s="4"/>
    </x:row>
    <x:row r="1276" ht="64" customHeight="1">
      <x:c r="A1276" s="4" t="str">
        <x:v>design.collection.layered_husk_shield.in.1</x:v>
      </x:c>
      <x:c r="B1276" s="4" t="str">
        <x:v>design.collection.layered_husk_shield</x:v>
      </x:c>
      <x:c r="C1276" s="4" t="str">
        <x:v>Ingredient candidate</x:v>
      </x:c>
      <x:c r="D1276" s="4" t="str">
        <x:v>proposal.branch.husk_composite</x:v>
      </x:c>
      <x:c r="E1276" s="4" t="str">
        <x:f>IFERROR(INDEX('Items'!$B$6:$B$1005,MATCH(D1276,'Items'!$A$6:$A$1005,0)),"MISSING ID")</x:f>
        <x:v>Layered husk composite stock</x:v>
      </x:c>
      <x:c r="F1276" s="4" t="str">
        <x:f>IFERROR(INDEX('Items'!$C$6:$C$1005,MATCH(D1276,'Items'!$A$6:$A$1005,0)),"MISSING ID")</x:f>
        <x:v>T3</x:v>
      </x:c>
      <x:c r="G1276" s="4" t="str">
        <x:f>IFERROR(INDEX('Items'!$D$6:$D$1005,MATCH(D1276,'Items'!$A$6:$A$1005,0)),"MISSING ID")</x:f>
        <x:v>Manufactured stock</x:v>
      </x:c>
      <x:c r="H1276" s="4" t="str">
        <x:f>IFERROR(INDEX('Items'!$X$6:$X$1005,MATCH(D1276,'Items'!$A$6:$A$1005,0)),"MISSING ID")</x:f>
        <x:v>Processed material</x:v>
      </x:c>
      <x:c r="I1276" s="4"/>
      <x:c r="J1276" s="4" t="str">
        <x:v>Unspecified</x:v>
      </x:c>
      <x:c r="K1276" s="4" t="str">
        <x:f>IFERROR(INDEX('Crafting recipes'!$D$6:$D$1005,MATCH(B1276,'Crafting recipes'!$A$6:$A$1005,0)),"MISSING ID")</x:f>
        <x:v>Proposal</x:v>
      </x:c>
      <x:c r="L1276" s="4" t="str">
        <x:f>IFERROR(INDEX('Items'!$AD$6:$AD$1005,MATCH(D1276,'Items'!$A$6:$A$1005,0)),"MISSING ID")</x:f>
        <x:v>Proposal</x:v>
      </x:c>
      <x:c r="M1276" s="4" t="str">
        <x:f>IFERROR(INDEX('Crafting recipes'!$E$6:$E$1005,MATCH(B1276,'Crafting recipes'!$A$6:$A$1005,0)),"MISSING ID")</x:f>
        <x:v>Partial proposal</x:v>
      </x:c>
      <x:c r="N1276" s="4" t="str">
        <x:v>Candidate source or part only. Quantity, grade and method remain open.</x:v>
      </x:c>
      <x:c r="O1276" s="4" t="str">
        <x:v>Collection expansion, October 15, 2026. New game proposal.</x:v>
      </x:c>
      <x:c r="P1276" s="4" t="n">
        <x:f>IF(OR(C1276="Ingredient candidate",C1276="Consumed input",C1276="Contained input",C1276="Transform input"),IF(F1276="T0",0,IF(F1276="T1",1,IF(F1276="T2",2,IF(F1276="T3",3,IF(F1276="T4",4,-1))))),-1)</x:f>
        <x:v>3</x:v>
      </x:c>
      <x:c r="Q1276" s="4" t="n">
        <x:f>IF(AND(OR(C1276="Ingredient candidate",C1276="Consumed input",C1276="Contained input",C1276="Transform input"),P1276=-1),1,0)</x:f>
        <x:v>0</x:v>
      </x:c>
    </x:row>
    <x:row r="1277" ht="64" customHeight="1">
      <x:c r="A1277" s="4" t="str">
        <x:v>design.collection.layered_husk_shield.in.2</x:v>
      </x:c>
      <x:c r="B1277" s="4" t="str">
        <x:v>design.collection.layered_husk_shield</x:v>
      </x:c>
      <x:c r="C1277" s="4" t="str">
        <x:v>Ingredient candidate</x:v>
      </x:c>
      <x:c r="D1277" s="4" t="str">
        <x:v>proposal.natural.iron_stock</x:v>
      </x:c>
      <x:c r="E1277" s="4" t="str">
        <x:f>IFERROR(INDEX('Items'!$B$6:$B$1005,MATCH(D1277,'Items'!$A$6:$A$1005,0)),"MISSING ID")</x:f>
        <x:v>Worked iron stock</x:v>
      </x:c>
      <x:c r="F1277" s="4" t="str">
        <x:f>IFERROR(INDEX('Items'!$C$6:$C$1005,MATCH(D1277,'Items'!$A$6:$A$1005,0)),"MISSING ID")</x:f>
        <x:v>T2</x:v>
      </x:c>
      <x:c r="G1277" s="4" t="str">
        <x:f>IFERROR(INDEX('Items'!$D$6:$D$1005,MATCH(D1277,'Items'!$A$6:$A$1005,0)),"MISSING ID")</x:f>
        <x:v>Manufactured stock</x:v>
      </x:c>
      <x:c r="H1277" s="4" t="str">
        <x:f>IFERROR(INDEX('Items'!$X$6:$X$1005,MATCH(D1277,'Items'!$A$6:$A$1005,0)),"MISSING ID")</x:f>
        <x:v>Processed material</x:v>
      </x:c>
      <x:c r="I1277" s="4"/>
      <x:c r="J1277" s="4" t="str">
        <x:v>Unspecified</x:v>
      </x:c>
      <x:c r="K1277" s="4" t="str">
        <x:f>IFERROR(INDEX('Crafting recipes'!$D$6:$D$1005,MATCH(B1277,'Crafting recipes'!$A$6:$A$1005,0)),"MISSING ID")</x:f>
        <x:v>Proposal</x:v>
      </x:c>
      <x:c r="L1277" s="4" t="str">
        <x:f>IFERROR(INDEX('Items'!$AD$6:$AD$1005,MATCH(D1277,'Items'!$A$6:$A$1005,0)),"MISSING ID")</x:f>
        <x:v>Proposal</x:v>
      </x:c>
      <x:c r="M1277" s="4" t="str">
        <x:f>IFERROR(INDEX('Crafting recipes'!$E$6:$E$1005,MATCH(B1277,'Crafting recipes'!$A$6:$A$1005,0)),"MISSING ID")</x:f>
        <x:v>Partial proposal</x:v>
      </x:c>
      <x:c r="N1277" s="4" t="str">
        <x:v>Candidate source or part only. Quantity, grade and method remain open.</x:v>
      </x:c>
      <x:c r="O1277" s="4" t="str">
        <x:v>Collection expansion, October 15, 2026. New game proposal.</x:v>
      </x:c>
      <x:c r="P1277" s="4" t="n">
        <x:f>IF(OR(C1277="Ingredient candidate",C1277="Consumed input",C1277="Contained input",C1277="Transform input"),IF(F1277="T0",0,IF(F1277="T1",1,IF(F1277="T2",2,IF(F1277="T3",3,IF(F1277="T4",4,-1))))),-1)</x:f>
        <x:v>2</x:v>
      </x:c>
      <x:c r="Q1277" s="4" t="n">
        <x:f>IF(AND(OR(C1277="Ingredient candidate",C1277="Consumed input",C1277="Contained input",C1277="Transform input"),P1277=-1),1,0)</x:f>
        <x:v>0</x:v>
      </x:c>
    </x:row>
    <x:row r="1278" ht="64" customHeight="1">
      <x:c r="A1278" s="4" t="str">
        <x:v>design.collection.layered_husk_shield.out</x:v>
      </x:c>
      <x:c r="B1278" s="4" t="str">
        <x:v>design.collection.layered_husk_shield</x:v>
      </x:c>
      <x:c r="C1278" s="4" t="str">
        <x:v>Output</x:v>
      </x:c>
      <x:c r="D1278" s="4" t="str">
        <x:v>proposal.collection.layered_husk_shield</x:v>
      </x:c>
      <x:c r="E1278" s="4" t="str">
        <x:f>IFERROR(INDEX('Items'!$B$6:$B$1005,MATCH(D1278,'Items'!$A$6:$A$1005,0)),"MISSING ID")</x:f>
        <x:v>Layered husk shield</x:v>
      </x:c>
      <x:c r="F1278" s="4" t="str">
        <x:f>IFERROR(INDEX('Items'!$C$6:$C$1005,MATCH(D1278,'Items'!$A$6:$A$1005,0)),"MISSING ID")</x:f>
        <x:v>Not applicable</x:v>
      </x:c>
      <x:c r="G1278" s="4" t="str">
        <x:f>IFERROR(INDEX('Items'!$D$6:$D$1005,MATCH(D1278,'Items'!$A$6:$A$1005,0)),"MISSING ID")</x:f>
        <x:v>Armor</x:v>
      </x:c>
      <x:c r="H1278" s="4" t="str">
        <x:f>IFERROR(INDEX('Items'!$X$6:$X$1005,MATCH(D1278,'Items'!$A$6:$A$1005,0)),"MISSING ID")</x:f>
        <x:v>Shield</x:v>
      </x:c>
      <x:c r="I1278" s="4"/>
      <x:c r="J1278" s="4" t="str">
        <x:v>Unspecified</x:v>
      </x:c>
      <x:c r="K1278" s="4" t="str">
        <x:f>IFERROR(INDEX('Crafting recipes'!$D$6:$D$1005,MATCH(B1278,'Crafting recipes'!$A$6:$A$1005,0)),"MISSING ID")</x:f>
        <x:v>Proposal</x:v>
      </x:c>
      <x:c r="L1278" s="4" t="str">
        <x:f>IFERROR(INDEX('Items'!$AD$6:$AD$1005,MATCH(D1278,'Items'!$A$6:$A$1005,0)),"MISSING ID")</x:f>
        <x:v>Proposal</x:v>
      </x:c>
      <x:c r="M1278" s="4" t="str">
        <x:f>IFERROR(INDEX('Crafting recipes'!$E$6:$E$1005,MATCH(B1278,'Crafting recipes'!$A$6:$A$1005,0)),"MISSING ID")</x:f>
        <x:v>Partial proposal</x:v>
      </x:c>
      <x:c r="N1278" s="4" t="str">
        <x:v>Candidate source or part only. Quantity, grade and method remain open.</x:v>
      </x:c>
      <x:c r="O1278" s="4" t="str">
        <x:v>Collection expansion, October 15, 2026. New game proposal.</x:v>
      </x:c>
      <x:c r="P1278" s="4" t="n">
        <x:f>IF(OR(C1278="Ingredient candidate",C1278="Consumed input",C1278="Contained input",C1278="Transform input"),IF(F1278="T0",0,IF(F1278="T1",1,IF(F1278="T2",2,IF(F1278="T3",3,IF(F1278="T4",4,-1))))),-1)</x:f>
        <x:v>-1</x:v>
      </x:c>
      <x:c r="Q1278" s="4" t="n">
        <x:f>IF(AND(OR(C1278="Ingredient candidate",C1278="Consumed input",C1278="Contained input",C1278="Transform input"),P1278=-1),1,0)</x:f>
        <x:v>0</x:v>
      </x:c>
    </x:row>
    <x:row r="1279" ht="64" customHeight="1">
      <x:c r="A1279" s="4" t="str">
        <x:v>design.collection.steel_rimmed_shell_shield.in.1</x:v>
      </x:c>
      <x:c r="B1279" s="4" t="str">
        <x:v>design.collection.steel_rimmed_shell_shield</x:v>
      </x:c>
      <x:c r="C1279" s="4" t="str">
        <x:v>Ingredient candidate</x:v>
      </x:c>
      <x:c r="D1279" s="4" t="str">
        <x:v>proposal.t1.shell_lamina</x:v>
      </x:c>
      <x:c r="E1279" s="4" t="str">
        <x:f>IFERROR(INDEX('Items'!$B$6:$B$1005,MATCH(D1279,'Items'!$A$6:$A$1005,0)),"MISSING ID")</x:f>
        <x:v>Separated shell lamina stock</x:v>
      </x:c>
      <x:c r="F1279" s="4" t="str">
        <x:f>IFERROR(INDEX('Items'!$C$6:$C$1005,MATCH(D1279,'Items'!$A$6:$A$1005,0)),"MISSING ID")</x:f>
        <x:v>T1</x:v>
      </x:c>
      <x:c r="G1279" s="4" t="str">
        <x:f>IFERROR(INDEX('Items'!$D$6:$D$1005,MATCH(D1279,'Items'!$A$6:$A$1005,0)),"MISSING ID")</x:f>
        <x:v>Manufactured stock</x:v>
      </x:c>
      <x:c r="H1279" s="4" t="str">
        <x:f>IFERROR(INDEX('Items'!$X$6:$X$1005,MATCH(D1279,'Items'!$A$6:$A$1005,0)),"MISSING ID")</x:f>
        <x:v>Processed material</x:v>
      </x:c>
      <x:c r="I1279" s="4"/>
      <x:c r="J1279" s="4" t="str">
        <x:v>Unspecified</x:v>
      </x:c>
      <x:c r="K1279" s="4" t="str">
        <x:f>IFERROR(INDEX('Crafting recipes'!$D$6:$D$1005,MATCH(B1279,'Crafting recipes'!$A$6:$A$1005,0)),"MISSING ID")</x:f>
        <x:v>Proposal</x:v>
      </x:c>
      <x:c r="L1279" s="4" t="str">
        <x:f>IFERROR(INDEX('Items'!$AD$6:$AD$1005,MATCH(D1279,'Items'!$A$6:$A$1005,0)),"MISSING ID")</x:f>
        <x:v>Proposal</x:v>
      </x:c>
      <x:c r="M1279" s="4" t="str">
        <x:f>IFERROR(INDEX('Crafting recipes'!$E$6:$E$1005,MATCH(B1279,'Crafting recipes'!$A$6:$A$1005,0)),"MISSING ID")</x:f>
        <x:v>Partial proposal</x:v>
      </x:c>
      <x:c r="N1279" s="4" t="str">
        <x:v>Candidate source or part only. Quantity, grade and method remain open.</x:v>
      </x:c>
      <x:c r="O1279" s="4" t="str">
        <x:v>Collection expansion, October 15, 2026. New game proposal.</x:v>
      </x:c>
      <x:c r="P1279" s="4" t="n">
        <x:f>IF(OR(C1279="Ingredient candidate",C1279="Consumed input",C1279="Contained input",C1279="Transform input"),IF(F1279="T0",0,IF(F1279="T1",1,IF(F1279="T2",2,IF(F1279="T3",3,IF(F1279="T4",4,-1))))),-1)</x:f>
        <x:v>1</x:v>
      </x:c>
      <x:c r="Q1279" s="4" t="n">
        <x:f>IF(AND(OR(C1279="Ingredient candidate",C1279="Consumed input",C1279="Contained input",C1279="Transform input"),P1279=-1),1,0)</x:f>
        <x:v>0</x:v>
      </x:c>
    </x:row>
    <x:row r="1280" ht="64" customHeight="1">
      <x:c r="A1280" s="4" t="str">
        <x:v>design.collection.steel_rimmed_shell_shield.in.2</x:v>
      </x:c>
      <x:c r="B1280" s="4" t="str">
        <x:v>design.collection.steel_rimmed_shell_shield</x:v>
      </x:c>
      <x:c r="C1280" s="4" t="str">
        <x:v>Ingredient candidate</x:v>
      </x:c>
      <x:c r="D1280" s="4" t="str">
        <x:v>author.metallurgy.steel_stock</x:v>
      </x:c>
      <x:c r="E1280" s="4" t="str">
        <x:f>IFERROR(INDEX('Items'!$B$6:$B$1005,MATCH(D1280,'Items'!$A$6:$A$1005,0)),"MISSING ID")</x:f>
        <x:v>Steel stock</x:v>
      </x:c>
      <x:c r="F1280" s="4" t="str">
        <x:f>IFERROR(INDEX('Items'!$C$6:$C$1005,MATCH(D1280,'Items'!$A$6:$A$1005,0)),"MISSING ID")</x:f>
        <x:v>T2</x:v>
      </x:c>
      <x:c r="G1280" s="4" t="str">
        <x:f>IFERROR(INDEX('Items'!$D$6:$D$1005,MATCH(D1280,'Items'!$A$6:$A$1005,0)),"MISSING ID")</x:f>
        <x:v>Manufactured stock</x:v>
      </x:c>
      <x:c r="H1280" s="4" t="str">
        <x:f>IFERROR(INDEX('Items'!$X$6:$X$1005,MATCH(D1280,'Items'!$A$6:$A$1005,0)),"MISSING ID")</x:f>
        <x:v>Processed material</x:v>
      </x:c>
      <x:c r="I1280" s="4"/>
      <x:c r="J1280" s="4" t="str">
        <x:v>Unspecified</x:v>
      </x:c>
      <x:c r="K1280" s="4" t="str">
        <x:f>IFERROR(INDEX('Crafting recipes'!$D$6:$D$1005,MATCH(B1280,'Crafting recipes'!$A$6:$A$1005,0)),"MISSING ID")</x:f>
        <x:v>Proposal</x:v>
      </x:c>
      <x:c r="L1280" s="4" t="str">
        <x:f>IFERROR(INDEX('Items'!$AD$6:$AD$1005,MATCH(D1280,'Items'!$A$6:$A$1005,0)),"MISSING ID")</x:f>
        <x:v>Author direction</x:v>
      </x:c>
      <x:c r="M1280" s="4" t="str">
        <x:f>IFERROR(INDEX('Crafting recipes'!$E$6:$E$1005,MATCH(B1280,'Crafting recipes'!$A$6:$A$1005,0)),"MISSING ID")</x:f>
        <x:v>Partial proposal</x:v>
      </x:c>
      <x:c r="N1280" s="4" t="str">
        <x:v>Candidate source or part only. Quantity, grade and method remain open.</x:v>
      </x:c>
      <x:c r="O1280" s="4" t="str">
        <x:v>Collection expansion, October 15, 2026. New game proposal.</x:v>
      </x:c>
      <x:c r="P1280" s="4" t="n">
        <x:f>IF(OR(C1280="Ingredient candidate",C1280="Consumed input",C1280="Contained input",C1280="Transform input"),IF(F1280="T0",0,IF(F1280="T1",1,IF(F1280="T2",2,IF(F1280="T3",3,IF(F1280="T4",4,-1))))),-1)</x:f>
        <x:v>2</x:v>
      </x:c>
      <x:c r="Q1280" s="4" t="n">
        <x:f>IF(AND(OR(C1280="Ingredient candidate",C1280="Consumed input",C1280="Contained input",C1280="Transform input"),P1280=-1),1,0)</x:f>
        <x:v>0</x:v>
      </x:c>
    </x:row>
    <x:row r="1281" ht="64" customHeight="1">
      <x:c r="A1281" s="4" t="str">
        <x:v>design.collection.steel_rimmed_shell_shield.out</x:v>
      </x:c>
      <x:c r="B1281" s="4" t="str">
        <x:v>design.collection.steel_rimmed_shell_shield</x:v>
      </x:c>
      <x:c r="C1281" s="4" t="str">
        <x:v>Output</x:v>
      </x:c>
      <x:c r="D1281" s="4" t="str">
        <x:v>proposal.collection.steel_rimmed_shell_shield</x:v>
      </x:c>
      <x:c r="E1281" s="4" t="str">
        <x:f>IFERROR(INDEX('Items'!$B$6:$B$1005,MATCH(D1281,'Items'!$A$6:$A$1005,0)),"MISSING ID")</x:f>
        <x:v>Steel-rimmed shell shield</x:v>
      </x:c>
      <x:c r="F1281" s="4" t="str">
        <x:f>IFERROR(INDEX('Items'!$C$6:$C$1005,MATCH(D1281,'Items'!$A$6:$A$1005,0)),"MISSING ID")</x:f>
        <x:v>Not applicable</x:v>
      </x:c>
      <x:c r="G1281" s="4" t="str">
        <x:f>IFERROR(INDEX('Items'!$D$6:$D$1005,MATCH(D1281,'Items'!$A$6:$A$1005,0)),"MISSING ID")</x:f>
        <x:v>Armor</x:v>
      </x:c>
      <x:c r="H1281" s="4" t="str">
        <x:f>IFERROR(INDEX('Items'!$X$6:$X$1005,MATCH(D1281,'Items'!$A$6:$A$1005,0)),"MISSING ID")</x:f>
        <x:v>Shield</x:v>
      </x:c>
      <x:c r="I1281" s="4"/>
      <x:c r="J1281" s="4" t="str">
        <x:v>Unspecified</x:v>
      </x:c>
      <x:c r="K1281" s="4" t="str">
        <x:f>IFERROR(INDEX('Crafting recipes'!$D$6:$D$1005,MATCH(B1281,'Crafting recipes'!$A$6:$A$1005,0)),"MISSING ID")</x:f>
        <x:v>Proposal</x:v>
      </x:c>
      <x:c r="L1281" s="4" t="str">
        <x:f>IFERROR(INDEX('Items'!$AD$6:$AD$1005,MATCH(D1281,'Items'!$A$6:$A$1005,0)),"MISSING ID")</x:f>
        <x:v>Proposal</x:v>
      </x:c>
      <x:c r="M1281" s="4" t="str">
        <x:f>IFERROR(INDEX('Crafting recipes'!$E$6:$E$1005,MATCH(B1281,'Crafting recipes'!$A$6:$A$1005,0)),"MISSING ID")</x:f>
        <x:v>Partial proposal</x:v>
      </x:c>
      <x:c r="N1281" s="4" t="str">
        <x:v>Candidate source or part only. Quantity, grade and method remain open.</x:v>
      </x:c>
      <x:c r="O1281" s="4" t="str">
        <x:v>Collection expansion, October 15, 2026. New game proposal.</x:v>
      </x:c>
      <x:c r="P1281" s="4" t="n">
        <x:f>IF(OR(C1281="Ingredient candidate",C1281="Consumed input",C1281="Contained input",C1281="Transform input"),IF(F1281="T0",0,IF(F1281="T1",1,IF(F1281="T2",2,IF(F1281="T3",3,IF(F1281="T4",4,-1))))),-1)</x:f>
        <x:v>-1</x:v>
      </x:c>
      <x:c r="Q1281" s="4" t="n">
        <x:f>IF(AND(OR(C1281="Ingredient candidate",C1281="Consumed input",C1281="Contained input",C1281="Transform input"),P1281=-1),1,0)</x:f>
        <x:v>0</x:v>
      </x:c>
    </x:row>
    <x:row r="1282" ht="64" customHeight="1">
      <x:c r="A1282" s="4"/>
      <x:c r="B1282" s="4"/>
      <x:c r="C1282" s="4"/>
      <x:c r="D1282" s="4"/>
      <x:c r="E1282" s="4"/>
      <x:c r="F1282" s="4"/>
      <x:c r="G1282" s="4"/>
      <x:c r="H1282" s="4"/>
      <x:c r="I1282" s="4"/>
      <x:c r="K1282" s="4"/>
      <x:c r="L1282" s="4"/>
      <x:c r="M1282" s="4"/>
      <x:c r="N1282" s="4"/>
      <x:c r="O1282" s="4"/>
      <x:c r="P1282" s="4"/>
      <x:c r="Q1282" s="4"/>
    </x:row>
    <x:row r="1283" ht="64" customHeight="1">
      <x:c r="A1283" s="4"/>
      <x:c r="B1283" s="4"/>
      <x:c r="C1283" s="4"/>
      <x:c r="D1283" s="4"/>
      <x:c r="E1283" s="4"/>
      <x:c r="F1283" s="4"/>
      <x:c r="G1283" s="4"/>
      <x:c r="H1283" s="4"/>
      <x:c r="I1283" s="4"/>
      <x:c r="K1283" s="4"/>
      <x:c r="L1283" s="4"/>
      <x:c r="M1283" s="4"/>
      <x:c r="N1283" s="4"/>
      <x:c r="O1283" s="4"/>
      <x:c r="P1283" s="4"/>
      <x:c r="Q1283" s="4"/>
    </x:row>
    <x:row r="1284" ht="64" customHeight="1">
      <x:c r="A1284" s="4" t="str">
        <x:v>design.collection.elbow_strapped_work_shield.in.1</x:v>
      </x:c>
      <x:c r="B1284" s="4" t="str">
        <x:v>design.collection.elbow_strapped_work_shield</x:v>
      </x:c>
      <x:c r="C1284" s="4" t="str">
        <x:v>Ingredient candidate</x:v>
      </x:c>
      <x:c r="D1284" s="4" t="str">
        <x:v>proposal.collection.annealed_iron_sheet_stock</x:v>
      </x:c>
      <x:c r="E1284" s="4" t="str">
        <x:f>IFERROR(INDEX('Items'!$B$6:$B$1005,MATCH(D1284,'Items'!$A$6:$A$1005,0)),"MISSING ID")</x:f>
        <x:v>Annealed iron sheet stock</x:v>
      </x:c>
      <x:c r="F1284" s="4" t="str">
        <x:f>IFERROR(INDEX('Items'!$C$6:$C$1005,MATCH(D1284,'Items'!$A$6:$A$1005,0)),"MISSING ID")</x:f>
        <x:v>T3</x:v>
      </x:c>
      <x:c r="G1284" s="4" t="str">
        <x:f>IFERROR(INDEX('Items'!$D$6:$D$1005,MATCH(D1284,'Items'!$A$6:$A$1005,0)),"MISSING ID")</x:f>
        <x:v>Manufactured stock</x:v>
      </x:c>
      <x:c r="H1284" s="4" t="str">
        <x:f>IFERROR(INDEX('Items'!$X$6:$X$1005,MATCH(D1284,'Items'!$A$6:$A$1005,0)),"MISSING ID")</x:f>
        <x:v>Processed material</x:v>
      </x:c>
      <x:c r="I1284" s="4"/>
      <x:c r="J1284" s="4" t="str">
        <x:v>Unspecified</x:v>
      </x:c>
      <x:c r="K1284" s="4" t="str">
        <x:f>IFERROR(INDEX('Crafting recipes'!$D$6:$D$1005,MATCH(B1284,'Crafting recipes'!$A$6:$A$1005,0)),"MISSING ID")</x:f>
        <x:v>Proposal</x:v>
      </x:c>
      <x:c r="L1284" s="4" t="str">
        <x:f>IFERROR(INDEX('Items'!$AD$6:$AD$1005,MATCH(D1284,'Items'!$A$6:$A$1005,0)),"MISSING ID")</x:f>
        <x:v>Proposal</x:v>
      </x:c>
      <x:c r="M1284" s="4" t="str">
        <x:f>IFERROR(INDEX('Crafting recipes'!$E$6:$E$1005,MATCH(B1284,'Crafting recipes'!$A$6:$A$1005,0)),"MISSING ID")</x:f>
        <x:v>Partial proposal</x:v>
      </x:c>
      <x:c r="N1284" s="4" t="str">
        <x:v>Candidate source or part only. Quantity, grade and method remain open.</x:v>
      </x:c>
      <x:c r="O1284" s="4" t="str">
        <x:v>Collection expansion, October 15, 2026. New game proposal.</x:v>
      </x:c>
      <x:c r="P1284" s="4" t="n">
        <x:f>IF(OR(C1284="Ingredient candidate",C1284="Consumed input",C1284="Contained input",C1284="Transform input"),IF(F1284="T0",0,IF(F1284="T1",1,IF(F1284="T2",2,IF(F1284="T3",3,IF(F1284="T4",4,-1))))),-1)</x:f>
        <x:v>3</x:v>
      </x:c>
      <x:c r="Q1284" s="4" t="n">
        <x:f>IF(AND(OR(C1284="Ingredient candidate",C1284="Consumed input",C1284="Contained input",C1284="Transform input"),P1284=-1),1,0)</x:f>
        <x:v>0</x:v>
      </x:c>
    </x:row>
    <x:row r="1285" ht="64" customHeight="1">
      <x:c r="A1285" s="4" t="str">
        <x:v>design.collection.elbow_strapped_work_shield.in.2</x:v>
      </x:c>
      <x:c r="B1285" s="4" t="str">
        <x:v>design.collection.elbow_strapped_work_shield</x:v>
      </x:c>
      <x:c r="C1285" s="4" t="str">
        <x:v>Ingredient candidate</x:v>
      </x:c>
      <x:c r="D1285" s="4" t="str">
        <x:v>proposal.bio.hide_material</x:v>
      </x:c>
      <x:c r="E1285" s="4" t="str">
        <x:f>IFERROR(INDEX('Items'!$B$6:$B$1005,MATCH(D1285,'Items'!$A$6:$A$1005,0)),"MISSING ID")</x:f>
        <x:v>Processed hide material</x:v>
      </x:c>
      <x:c r="F1285" s="4" t="str">
        <x:f>IFERROR(INDEX('Items'!$C$6:$C$1005,MATCH(D1285,'Items'!$A$6:$A$1005,0)),"MISSING ID")</x:f>
        <x:v>T1</x:v>
      </x:c>
      <x:c r="G1285" s="4" t="str">
        <x:f>IFERROR(INDEX('Items'!$D$6:$D$1005,MATCH(D1285,'Items'!$A$6:$A$1005,0)),"MISSING ID")</x:f>
        <x:v>Crafting components</x:v>
      </x:c>
      <x:c r="H1285" s="4" t="str">
        <x:f>IFERROR(INDEX('Items'!$X$6:$X$1005,MATCH(D1285,'Items'!$A$6:$A$1005,0)),"MISSING ID")</x:f>
        <x:v>Processed material</x:v>
      </x:c>
      <x:c r="I1285" s="4"/>
      <x:c r="J1285" s="4" t="str">
        <x:v>Unspecified</x:v>
      </x:c>
      <x:c r="K1285" s="4" t="str">
        <x:f>IFERROR(INDEX('Crafting recipes'!$D$6:$D$1005,MATCH(B1285,'Crafting recipes'!$A$6:$A$1005,0)),"MISSING ID")</x:f>
        <x:v>Proposal</x:v>
      </x:c>
      <x:c r="L1285" s="4" t="str">
        <x:f>IFERROR(INDEX('Items'!$AD$6:$AD$1005,MATCH(D1285,'Items'!$A$6:$A$1005,0)),"MISSING ID")</x:f>
        <x:v>Author direction</x:v>
      </x:c>
      <x:c r="M1285" s="4" t="str">
        <x:f>IFERROR(INDEX('Crafting recipes'!$E$6:$E$1005,MATCH(B1285,'Crafting recipes'!$A$6:$A$1005,0)),"MISSING ID")</x:f>
        <x:v>Partial proposal</x:v>
      </x:c>
      <x:c r="N1285" s="4" t="str">
        <x:v>Candidate source or part only. Quantity, grade and method remain open.</x:v>
      </x:c>
      <x:c r="O1285" s="4" t="str">
        <x:v>Collection expansion, October 15, 2026. New game proposal.</x:v>
      </x:c>
      <x:c r="P1285" s="4" t="n">
        <x:f>IF(OR(C1285="Ingredient candidate",C1285="Consumed input",C1285="Contained input",C1285="Transform input"),IF(F1285="T0",0,IF(F1285="T1",1,IF(F1285="T2",2,IF(F1285="T3",3,IF(F1285="T4",4,-1))))),-1)</x:f>
        <x:v>1</x:v>
      </x:c>
      <x:c r="Q1285" s="4" t="n">
        <x:f>IF(AND(OR(C1285="Ingredient candidate",C1285="Consumed input",C1285="Contained input",C1285="Transform input"),P1285=-1),1,0)</x:f>
        <x:v>0</x:v>
      </x:c>
    </x:row>
    <x:row r="1286" ht="64" customHeight="1">
      <x:c r="A1286" s="4" t="str">
        <x:v>design.collection.elbow_strapped_work_shield.out</x:v>
      </x:c>
      <x:c r="B1286" s="4" t="str">
        <x:v>design.collection.elbow_strapped_work_shield</x:v>
      </x:c>
      <x:c r="C1286" s="4" t="str">
        <x:v>Output</x:v>
      </x:c>
      <x:c r="D1286" s="4" t="str">
        <x:v>proposal.collection.elbow_strapped_work_shield</x:v>
      </x:c>
      <x:c r="E1286" s="4" t="str">
        <x:f>IFERROR(INDEX('Items'!$B$6:$B$1005,MATCH(D1286,'Items'!$A$6:$A$1005,0)),"MISSING ID")</x:f>
        <x:v>Elbow-strapped work shield</x:v>
      </x:c>
      <x:c r="F1286" s="4" t="str">
        <x:f>IFERROR(INDEX('Items'!$C$6:$C$1005,MATCH(D1286,'Items'!$A$6:$A$1005,0)),"MISSING ID")</x:f>
        <x:v>Not applicable</x:v>
      </x:c>
      <x:c r="G1286" s="4" t="str">
        <x:f>IFERROR(INDEX('Items'!$D$6:$D$1005,MATCH(D1286,'Items'!$A$6:$A$1005,0)),"MISSING ID")</x:f>
        <x:v>Armor</x:v>
      </x:c>
      <x:c r="H1286" s="4" t="str">
        <x:f>IFERROR(INDEX('Items'!$X$6:$X$1005,MATCH(D1286,'Items'!$A$6:$A$1005,0)),"MISSING ID")</x:f>
        <x:v>Shield</x:v>
      </x:c>
      <x:c r="I1286" s="4"/>
      <x:c r="J1286" s="4" t="str">
        <x:v>Unspecified</x:v>
      </x:c>
      <x:c r="K1286" s="4" t="str">
        <x:f>IFERROR(INDEX('Crafting recipes'!$D$6:$D$1005,MATCH(B1286,'Crafting recipes'!$A$6:$A$1005,0)),"MISSING ID")</x:f>
        <x:v>Proposal</x:v>
      </x:c>
      <x:c r="L1286" s="4" t="str">
        <x:f>IFERROR(INDEX('Items'!$AD$6:$AD$1005,MATCH(D1286,'Items'!$A$6:$A$1005,0)),"MISSING ID")</x:f>
        <x:v>Proposal</x:v>
      </x:c>
      <x:c r="M1286" s="4" t="str">
        <x:f>IFERROR(INDEX('Crafting recipes'!$E$6:$E$1005,MATCH(B1286,'Crafting recipes'!$A$6:$A$1005,0)),"MISSING ID")</x:f>
        <x:v>Partial proposal</x:v>
      </x:c>
      <x:c r="N1286" s="4" t="str">
        <x:v>Candidate source or part only. Quantity, grade and method remain open.</x:v>
      </x:c>
      <x:c r="O1286" s="4" t="str">
        <x:v>Collection expansion, October 15, 2026. New game proposal.</x:v>
      </x:c>
      <x:c r="P1286" s="4" t="n">
        <x:f>IF(OR(C1286="Ingredient candidate",C1286="Consumed input",C1286="Contained input",C1286="Transform input"),IF(F1286="T0",0,IF(F1286="T1",1,IF(F1286="T2",2,IF(F1286="T3",3,IF(F1286="T4",4,-1))))),-1)</x:f>
        <x:v>-1</x:v>
      </x:c>
      <x:c r="Q1286" s="4" t="n">
        <x:f>IF(AND(OR(C1286="Ingredient candidate",C1286="Consumed input",C1286="Contained input",C1286="Transform input"),P1286=-1),1,0)</x:f>
        <x:v>0</x:v>
      </x:c>
    </x:row>
    <x:row r="1287" ht="64" customHeight="1">
      <x:c r="A1287" s="4" t="str">
        <x:v>design.collection.knee_braced_ground_shield.in.1</x:v>
      </x:c>
      <x:c r="B1287" s="4" t="str">
        <x:v>design.collection.knee_braced_ground_shield</x:v>
      </x:c>
      <x:c r="C1287" s="4" t="str">
        <x:v>Ingredient candidate</x:v>
      </x:c>
      <x:c r="D1287" s="4" t="str">
        <x:v>author.metallurgy.steel_stock</x:v>
      </x:c>
      <x:c r="E1287" s="4" t="str">
        <x:f>IFERROR(INDEX('Items'!$B$6:$B$1005,MATCH(D1287,'Items'!$A$6:$A$1005,0)),"MISSING ID")</x:f>
        <x:v>Steel stock</x:v>
      </x:c>
      <x:c r="F1287" s="4" t="str">
        <x:f>IFERROR(INDEX('Items'!$C$6:$C$1005,MATCH(D1287,'Items'!$A$6:$A$1005,0)),"MISSING ID")</x:f>
        <x:v>T2</x:v>
      </x:c>
      <x:c r="G1287" s="4" t="str">
        <x:f>IFERROR(INDEX('Items'!$D$6:$D$1005,MATCH(D1287,'Items'!$A$6:$A$1005,0)),"MISSING ID")</x:f>
        <x:v>Manufactured stock</x:v>
      </x:c>
      <x:c r="H1287" s="4" t="str">
        <x:f>IFERROR(INDEX('Items'!$X$6:$X$1005,MATCH(D1287,'Items'!$A$6:$A$1005,0)),"MISSING ID")</x:f>
        <x:v>Processed material</x:v>
      </x:c>
      <x:c r="I1287" s="4"/>
      <x:c r="J1287" s="4" t="str">
        <x:v>Unspecified</x:v>
      </x:c>
      <x:c r="K1287" s="4" t="str">
        <x:f>IFERROR(INDEX('Crafting recipes'!$D$6:$D$1005,MATCH(B1287,'Crafting recipes'!$A$6:$A$1005,0)),"MISSING ID")</x:f>
        <x:v>Proposal</x:v>
      </x:c>
      <x:c r="L1287" s="4" t="str">
        <x:f>IFERROR(INDEX('Items'!$AD$6:$AD$1005,MATCH(D1287,'Items'!$A$6:$A$1005,0)),"MISSING ID")</x:f>
        <x:v>Author direction</x:v>
      </x:c>
      <x:c r="M1287" s="4" t="str">
        <x:f>IFERROR(INDEX('Crafting recipes'!$E$6:$E$1005,MATCH(B1287,'Crafting recipes'!$A$6:$A$1005,0)),"MISSING ID")</x:f>
        <x:v>Partial proposal</x:v>
      </x:c>
      <x:c r="N1287" s="4" t="str">
        <x:v>Candidate source or part only. Quantity, grade and method remain open.</x:v>
      </x:c>
      <x:c r="O1287" s="4" t="str">
        <x:v>Collection expansion, October 15, 2026. New game proposal.</x:v>
      </x:c>
      <x:c r="P1287" s="4" t="n">
        <x:f>IF(OR(C1287="Ingredient candidate",C1287="Consumed input",C1287="Contained input",C1287="Transform input"),IF(F1287="T0",0,IF(F1287="T1",1,IF(F1287="T2",2,IF(F1287="T3",3,IF(F1287="T4",4,-1))))),-1)</x:f>
        <x:v>2</x:v>
      </x:c>
      <x:c r="Q1287" s="4" t="n">
        <x:f>IF(AND(OR(C1287="Ingredient candidate",C1287="Consumed input",C1287="Contained input",C1287="Transform input"),P1287=-1),1,0)</x:f>
        <x:v>0</x:v>
      </x:c>
    </x:row>
    <x:row r="1288" ht="64" customHeight="1">
      <x:c r="A1288" s="4" t="str">
        <x:v>design.collection.knee_braced_ground_shield.in.2</x:v>
      </x:c>
      <x:c r="B1288" s="4" t="str">
        <x:v>design.collection.knee_braced_ground_shield</x:v>
      </x:c>
      <x:c r="C1288" s="4" t="str">
        <x:v>Ingredient candidate</x:v>
      </x:c>
      <x:c r="D1288" s="4" t="str">
        <x:v>proposal.legger.joint_pin</x:v>
      </x:c>
      <x:c r="E1288" s="4" t="str">
        <x:f>IFERROR(INDEX('Items'!$B$6:$B$1005,MATCH(D1288,'Items'!$A$6:$A$1005,0)),"MISSING ID")</x:f>
        <x:v>Replaceable joint pin</x:v>
      </x:c>
      <x:c r="F1288" s="4" t="str">
        <x:f>IFERROR(INDEX('Items'!$C$6:$C$1005,MATCH(D1288,'Items'!$A$6:$A$1005,0)),"MISSING ID")</x:f>
        <x:v>T3</x:v>
      </x:c>
      <x:c r="G1288" s="4" t="str">
        <x:f>IFERROR(INDEX('Items'!$D$6:$D$1005,MATCH(D1288,'Items'!$A$6:$A$1005,0)),"MISSING ID")</x:f>
        <x:v>Crafting components</x:v>
      </x:c>
      <x:c r="H1288" s="4" t="str">
        <x:f>IFERROR(INDEX('Items'!$X$6:$X$1005,MATCH(D1288,'Items'!$A$6:$A$1005,0)),"MISSING ID")</x:f>
        <x:v>Crafting component</x:v>
      </x:c>
      <x:c r="I1288" s="4"/>
      <x:c r="J1288" s="4" t="str">
        <x:v>Unspecified</x:v>
      </x:c>
      <x:c r="K1288" s="4" t="str">
        <x:f>IFERROR(INDEX('Crafting recipes'!$D$6:$D$1005,MATCH(B1288,'Crafting recipes'!$A$6:$A$1005,0)),"MISSING ID")</x:f>
        <x:v>Proposal</x:v>
      </x:c>
      <x:c r="L1288" s="4" t="str">
        <x:f>IFERROR(INDEX('Items'!$AD$6:$AD$1005,MATCH(D1288,'Items'!$A$6:$A$1005,0)),"MISSING ID")</x:f>
        <x:v>Proposal</x:v>
      </x:c>
      <x:c r="M1288" s="4" t="str">
        <x:f>IFERROR(INDEX('Crafting recipes'!$E$6:$E$1005,MATCH(B1288,'Crafting recipes'!$A$6:$A$1005,0)),"MISSING ID")</x:f>
        <x:v>Partial proposal</x:v>
      </x:c>
      <x:c r="N1288" s="4" t="str">
        <x:v>Candidate source or part only. Quantity, grade and method remain open.</x:v>
      </x:c>
      <x:c r="O1288" s="4" t="str">
        <x:v>Collection expansion, October 15, 2026. New game proposal.</x:v>
      </x:c>
      <x:c r="P1288" s="4" t="n">
        <x:f>IF(OR(C1288="Ingredient candidate",C1288="Consumed input",C1288="Contained input",C1288="Transform input"),IF(F1288="T0",0,IF(F1288="T1",1,IF(F1288="T2",2,IF(F1288="T3",3,IF(F1288="T4",4,-1))))),-1)</x:f>
        <x:v>3</x:v>
      </x:c>
      <x:c r="Q1288" s="4" t="n">
        <x:f>IF(AND(OR(C1288="Ingredient candidate",C1288="Consumed input",C1288="Contained input",C1288="Transform input"),P1288=-1),1,0)</x:f>
        <x:v>0</x:v>
      </x:c>
    </x:row>
    <x:row r="1289" ht="64" customHeight="1">
      <x:c r="A1289" s="4" t="str">
        <x:v>design.collection.knee_braced_ground_shield.out</x:v>
      </x:c>
      <x:c r="B1289" s="4" t="str">
        <x:v>design.collection.knee_braced_ground_shield</x:v>
      </x:c>
      <x:c r="C1289" s="4" t="str">
        <x:v>Output</x:v>
      </x:c>
      <x:c r="D1289" s="4" t="str">
        <x:v>proposal.collection.knee_braced_ground_shield</x:v>
      </x:c>
      <x:c r="E1289" s="4" t="str">
        <x:f>IFERROR(INDEX('Items'!$B$6:$B$1005,MATCH(D1289,'Items'!$A$6:$A$1005,0)),"MISSING ID")</x:f>
        <x:v>Knee-braced ground shield</x:v>
      </x:c>
      <x:c r="F1289" s="4" t="str">
        <x:f>IFERROR(INDEX('Items'!$C$6:$C$1005,MATCH(D1289,'Items'!$A$6:$A$1005,0)),"MISSING ID")</x:f>
        <x:v>Not applicable</x:v>
      </x:c>
      <x:c r="G1289" s="4" t="str">
        <x:f>IFERROR(INDEX('Items'!$D$6:$D$1005,MATCH(D1289,'Items'!$A$6:$A$1005,0)),"MISSING ID")</x:f>
        <x:v>Armor</x:v>
      </x:c>
      <x:c r="H1289" s="4" t="str">
        <x:f>IFERROR(INDEX('Items'!$X$6:$X$1005,MATCH(D1289,'Items'!$A$6:$A$1005,0)),"MISSING ID")</x:f>
        <x:v>Shield</x:v>
      </x:c>
      <x:c r="I1289" s="4"/>
      <x:c r="J1289" s="4" t="str">
        <x:v>Unspecified</x:v>
      </x:c>
      <x:c r="K1289" s="4" t="str">
        <x:f>IFERROR(INDEX('Crafting recipes'!$D$6:$D$1005,MATCH(B1289,'Crafting recipes'!$A$6:$A$1005,0)),"MISSING ID")</x:f>
        <x:v>Proposal</x:v>
      </x:c>
      <x:c r="L1289" s="4" t="str">
        <x:f>IFERROR(INDEX('Items'!$AD$6:$AD$1005,MATCH(D1289,'Items'!$A$6:$A$1005,0)),"MISSING ID")</x:f>
        <x:v>Proposal</x:v>
      </x:c>
      <x:c r="M1289" s="4" t="str">
        <x:f>IFERROR(INDEX('Crafting recipes'!$E$6:$E$1005,MATCH(B1289,'Crafting recipes'!$A$6:$A$1005,0)),"MISSING ID")</x:f>
        <x:v>Partial proposal</x:v>
      </x:c>
      <x:c r="N1289" s="4" t="str">
        <x:v>Candidate source or part only. Quantity, grade and method remain open.</x:v>
      </x:c>
      <x:c r="O1289" s="4" t="str">
        <x:v>Collection expansion, October 15, 2026. New game proposal.</x:v>
      </x:c>
      <x:c r="P1289" s="4" t="n">
        <x:f>IF(OR(C1289="Ingredient candidate",C1289="Consumed input",C1289="Contained input",C1289="Transform input"),IF(F1289="T0",0,IF(F1289="T1",1,IF(F1289="T2",2,IF(F1289="T3",3,IF(F1289="T4",4,-1))))),-1)</x:f>
        <x:v>-1</x:v>
      </x:c>
      <x:c r="Q1289" s="4" t="n">
        <x:f>IF(AND(OR(C1289="Ingredient candidate",C1289="Consumed input",C1289="Contained input",C1289="Transform input"),P1289=-1),1,0)</x:f>
        <x:v>0</x:v>
      </x:c>
    </x:row>
    <x:row r="1290" ht="64" customHeight="1">
      <x:c r="A1290" s="4" t="str">
        <x:v>design.collection.segmented_tower_shield.in.1</x:v>
      </x:c>
      <x:c r="B1290" s="4" t="str">
        <x:v>design.collection.segmented_tower_shield</x:v>
      </x:c>
      <x:c r="C1290" s="4" t="str">
        <x:v>Ingredient candidate</x:v>
      </x:c>
      <x:c r="D1290" s="4" t="str">
        <x:v>proposal.collection.annealed_iron_sheet_stock</x:v>
      </x:c>
      <x:c r="E1290" s="4" t="str">
        <x:f>IFERROR(INDEX('Items'!$B$6:$B$1005,MATCH(D1290,'Items'!$A$6:$A$1005,0)),"MISSING ID")</x:f>
        <x:v>Annealed iron sheet stock</x:v>
      </x:c>
      <x:c r="F1290" s="4" t="str">
        <x:f>IFERROR(INDEX('Items'!$C$6:$C$1005,MATCH(D1290,'Items'!$A$6:$A$1005,0)),"MISSING ID")</x:f>
        <x:v>T3</x:v>
      </x:c>
      <x:c r="G1290" s="4" t="str">
        <x:f>IFERROR(INDEX('Items'!$D$6:$D$1005,MATCH(D1290,'Items'!$A$6:$A$1005,0)),"MISSING ID")</x:f>
        <x:v>Manufactured stock</x:v>
      </x:c>
      <x:c r="H1290" s="4" t="str">
        <x:f>IFERROR(INDEX('Items'!$X$6:$X$1005,MATCH(D1290,'Items'!$A$6:$A$1005,0)),"MISSING ID")</x:f>
        <x:v>Processed material</x:v>
      </x:c>
      <x:c r="I1290" s="4"/>
      <x:c r="J1290" s="4" t="str">
        <x:v>Unspecified</x:v>
      </x:c>
      <x:c r="K1290" s="4" t="str">
        <x:f>IFERROR(INDEX('Crafting recipes'!$D$6:$D$1005,MATCH(B1290,'Crafting recipes'!$A$6:$A$1005,0)),"MISSING ID")</x:f>
        <x:v>Proposal</x:v>
      </x:c>
      <x:c r="L1290" s="4" t="str">
        <x:f>IFERROR(INDEX('Items'!$AD$6:$AD$1005,MATCH(D1290,'Items'!$A$6:$A$1005,0)),"MISSING ID")</x:f>
        <x:v>Proposal</x:v>
      </x:c>
      <x:c r="M1290" s="4" t="str">
        <x:f>IFERROR(INDEX('Crafting recipes'!$E$6:$E$1005,MATCH(B1290,'Crafting recipes'!$A$6:$A$1005,0)),"MISSING ID")</x:f>
        <x:v>Partial proposal</x:v>
      </x:c>
      <x:c r="N1290" s="4" t="str">
        <x:v>Candidate source or part only. Quantity, grade and method remain open.</x:v>
      </x:c>
      <x:c r="O1290" s="4" t="str">
        <x:v>Collection expansion, October 15, 2026. New game proposal.</x:v>
      </x:c>
      <x:c r="P1290" s="4" t="n">
        <x:f>IF(OR(C1290="Ingredient candidate",C1290="Consumed input",C1290="Contained input",C1290="Transform input"),IF(F1290="T0",0,IF(F1290="T1",1,IF(F1290="T2",2,IF(F1290="T3",3,IF(F1290="T4",4,-1))))),-1)</x:f>
        <x:v>3</x:v>
      </x:c>
      <x:c r="Q1290" s="4" t="n">
        <x:f>IF(AND(OR(C1290="Ingredient candidate",C1290="Consumed input",C1290="Contained input",C1290="Transform input"),P1290=-1),1,0)</x:f>
        <x:v>0</x:v>
      </x:c>
    </x:row>
    <x:row r="1291" ht="64" customHeight="1">
      <x:c r="A1291" s="4" t="str">
        <x:v>design.collection.segmented_tower_shield.in.2</x:v>
      </x:c>
      <x:c r="B1291" s="4" t="str">
        <x:v>design.collection.segmented_tower_shield</x:v>
      </x:c>
      <x:c r="C1291" s="4" t="str">
        <x:v>Ingredient candidate</x:v>
      </x:c>
      <x:c r="D1291" s="4" t="str">
        <x:v>proposal.t3.hinged_shell</x:v>
      </x:c>
      <x:c r="E1291" s="4" t="str">
        <x:f>IFERROR(INDEX('Items'!$B$6:$B$1005,MATCH(D1291,'Items'!$A$6:$A$1005,0)),"MISSING ID")</x:f>
        <x:v>Hinged shell-panel sets</x:v>
      </x:c>
      <x:c r="F1291" s="4" t="str">
        <x:f>IFERROR(INDEX('Items'!$C$6:$C$1005,MATCH(D1291,'Items'!$A$6:$A$1005,0)),"MISSING ID")</x:f>
        <x:v>T3</x:v>
      </x:c>
      <x:c r="G1291" s="4" t="str">
        <x:f>IFERROR(INDEX('Items'!$D$6:$D$1005,MATCH(D1291,'Items'!$A$6:$A$1005,0)),"MISSING ID")</x:f>
        <x:v>Crafting components</x:v>
      </x:c>
      <x:c r="H1291" s="4" t="str">
        <x:f>IFERROR(INDEX('Items'!$X$6:$X$1005,MATCH(D1291,'Items'!$A$6:$A$1005,0)),"MISSING ID")</x:f>
        <x:v>Crafting component</x:v>
      </x:c>
      <x:c r="I1291" s="4"/>
      <x:c r="J1291" s="4" t="str">
        <x:v>Unspecified</x:v>
      </x:c>
      <x:c r="K1291" s="4" t="str">
        <x:f>IFERROR(INDEX('Crafting recipes'!$D$6:$D$1005,MATCH(B1291,'Crafting recipes'!$A$6:$A$1005,0)),"MISSING ID")</x:f>
        <x:v>Proposal</x:v>
      </x:c>
      <x:c r="L1291" s="4" t="str">
        <x:f>IFERROR(INDEX('Items'!$AD$6:$AD$1005,MATCH(D1291,'Items'!$A$6:$A$1005,0)),"MISSING ID")</x:f>
        <x:v>Proposal</x:v>
      </x:c>
      <x:c r="M1291" s="4" t="str">
        <x:f>IFERROR(INDEX('Crafting recipes'!$E$6:$E$1005,MATCH(B1291,'Crafting recipes'!$A$6:$A$1005,0)),"MISSING ID")</x:f>
        <x:v>Partial proposal</x:v>
      </x:c>
      <x:c r="N1291" s="4" t="str">
        <x:v>Candidate source or part only. Quantity, grade and method remain open.</x:v>
      </x:c>
      <x:c r="O1291" s="4" t="str">
        <x:v>Collection expansion, October 15, 2026. New game proposal.</x:v>
      </x:c>
      <x:c r="P1291" s="4" t="n">
        <x:f>IF(OR(C1291="Ingredient candidate",C1291="Consumed input",C1291="Contained input",C1291="Transform input"),IF(F1291="T0",0,IF(F1291="T1",1,IF(F1291="T2",2,IF(F1291="T3",3,IF(F1291="T4",4,-1))))),-1)</x:f>
        <x:v>3</x:v>
      </x:c>
      <x:c r="Q1291" s="4" t="n">
        <x:f>IF(AND(OR(C1291="Ingredient candidate",C1291="Consumed input",C1291="Contained input",C1291="Transform input"),P1291=-1),1,0)</x:f>
        <x:v>0</x:v>
      </x:c>
    </x:row>
    <x:row r="1292" ht="64" customHeight="1">
      <x:c r="A1292" s="4" t="str">
        <x:v>design.collection.segmented_tower_shield.out</x:v>
      </x:c>
      <x:c r="B1292" s="4" t="str">
        <x:v>design.collection.segmented_tower_shield</x:v>
      </x:c>
      <x:c r="C1292" s="4" t="str">
        <x:v>Output</x:v>
      </x:c>
      <x:c r="D1292" s="4" t="str">
        <x:v>proposal.collection.segmented_tower_shield</x:v>
      </x:c>
      <x:c r="E1292" s="4" t="str">
        <x:f>IFERROR(INDEX('Items'!$B$6:$B$1005,MATCH(D1292,'Items'!$A$6:$A$1005,0)),"MISSING ID")</x:f>
        <x:v>Segmented tower shield</x:v>
      </x:c>
      <x:c r="F1292" s="4" t="str">
        <x:f>IFERROR(INDEX('Items'!$C$6:$C$1005,MATCH(D1292,'Items'!$A$6:$A$1005,0)),"MISSING ID")</x:f>
        <x:v>Not applicable</x:v>
      </x:c>
      <x:c r="G1292" s="4" t="str">
        <x:f>IFERROR(INDEX('Items'!$D$6:$D$1005,MATCH(D1292,'Items'!$A$6:$A$1005,0)),"MISSING ID")</x:f>
        <x:v>Armor</x:v>
      </x:c>
      <x:c r="H1292" s="4" t="str">
        <x:f>IFERROR(INDEX('Items'!$X$6:$X$1005,MATCH(D1292,'Items'!$A$6:$A$1005,0)),"MISSING ID")</x:f>
        <x:v>Shield</x:v>
      </x:c>
      <x:c r="I1292" s="4"/>
      <x:c r="J1292" s="4" t="str">
        <x:v>Unspecified</x:v>
      </x:c>
      <x:c r="K1292" s="4" t="str">
        <x:f>IFERROR(INDEX('Crafting recipes'!$D$6:$D$1005,MATCH(B1292,'Crafting recipes'!$A$6:$A$1005,0)),"MISSING ID")</x:f>
        <x:v>Proposal</x:v>
      </x:c>
      <x:c r="L1292" s="4" t="str">
        <x:f>IFERROR(INDEX('Items'!$AD$6:$AD$1005,MATCH(D1292,'Items'!$A$6:$A$1005,0)),"MISSING ID")</x:f>
        <x:v>Proposal</x:v>
      </x:c>
      <x:c r="M1292" s="4" t="str">
        <x:f>IFERROR(INDEX('Crafting recipes'!$E$6:$E$1005,MATCH(B1292,'Crafting recipes'!$A$6:$A$1005,0)),"MISSING ID")</x:f>
        <x:v>Partial proposal</x:v>
      </x:c>
      <x:c r="N1292" s="4" t="str">
        <x:v>Candidate source or part only. Quantity, grade and method remain open.</x:v>
      </x:c>
      <x:c r="O1292" s="4" t="str">
        <x:v>Collection expansion, October 15, 2026. New game proposal.</x:v>
      </x:c>
      <x:c r="P1292" s="4" t="n">
        <x:f>IF(OR(C1292="Ingredient candidate",C1292="Consumed input",C1292="Contained input",C1292="Transform input"),IF(F1292="T0",0,IF(F1292="T1",1,IF(F1292="T2",2,IF(F1292="T3",3,IF(F1292="T4",4,-1))))),-1)</x:f>
        <x:v>-1</x:v>
      </x:c>
      <x:c r="Q1292" s="4" t="n">
        <x:f>IF(AND(OR(C1292="Ingredient candidate",C1292="Consumed input",C1292="Contained input",C1292="Transform input"),P1292=-1),1,0)</x:f>
        <x:v>0</x:v>
      </x:c>
    </x:row>
    <x:row r="1293" ht="64" customHeight="1">
      <x:c r="A1293" s="4"/>
      <x:c r="B1293" s="4"/>
      <x:c r="C1293" s="4"/>
      <x:c r="D1293" s="4"/>
      <x:c r="E1293" s="4"/>
      <x:c r="F1293" s="4"/>
      <x:c r="G1293" s="4"/>
      <x:c r="H1293" s="4"/>
      <x:c r="I1293" s="4"/>
      <x:c r="J1293" s="4"/>
      <x:c r="K1293" s="4"/>
      <x:c r="L1293" s="4"/>
      <x:c r="M1293" s="4"/>
      <x:c r="N1293" s="4"/>
      <x:c r="O1293" s="4"/>
      <x:c r="P1293" s="4"/>
      <x:c r="Q1293" s="4"/>
    </x:row>
    <x:row r="1294" ht="64" customHeight="1">
      <x:c r="A1294" s="4"/>
      <x:c r="B1294" s="4"/>
      <x:c r="C1294" s="4"/>
      <x:c r="D1294" s="4"/>
      <x:c r="E1294" s="4"/>
      <x:c r="F1294" s="4"/>
      <x:c r="G1294" s="4"/>
      <x:c r="H1294" s="4"/>
      <x:c r="I1294" s="4"/>
      <x:c r="J1294" s="4"/>
      <x:c r="K1294" s="4"/>
      <x:c r="L1294" s="4"/>
      <x:c r="M1294" s="4"/>
      <x:c r="N1294" s="4"/>
      <x:c r="O1294" s="4"/>
      <x:c r="P1294" s="4"/>
      <x:c r="Q1294" s="4"/>
    </x:row>
    <x:row r="1295" ht="64" customHeight="1">
      <x:c r="A1295" s="4"/>
      <x:c r="B1295" s="4"/>
      <x:c r="C1295" s="4"/>
      <x:c r="D1295" s="4"/>
      <x:c r="E1295" s="4"/>
      <x:c r="F1295" s="4"/>
      <x:c r="G1295" s="4"/>
      <x:c r="H1295" s="4"/>
      <x:c r="I1295" s="4"/>
      <x:c r="J1295" s="4"/>
      <x:c r="K1295" s="4"/>
      <x:c r="L1295" s="4"/>
      <x:c r="M1295" s="4"/>
      <x:c r="N1295" s="4"/>
      <x:c r="O1295" s="4"/>
      <x:c r="P1295" s="4"/>
      <x:c r="Q1295" s="4"/>
    </x:row>
    <x:row r="1296" ht="64" customHeight="1">
      <x:c r="A1296" s="4"/>
      <x:c r="B1296" s="4"/>
      <x:c r="C1296" s="4"/>
      <x:c r="D1296" s="4"/>
      <x:c r="E1296" s="4"/>
      <x:c r="F1296" s="4"/>
      <x:c r="G1296" s="4"/>
      <x:c r="H1296" s="4"/>
      <x:c r="I1296" s="4"/>
      <x:c r="J1296" s="4"/>
      <x:c r="K1296" s="4"/>
      <x:c r="L1296" s="4"/>
      <x:c r="M1296" s="4"/>
      <x:c r="N1296" s="4"/>
      <x:c r="O1296" s="4"/>
      <x:c r="P1296" s="4"/>
      <x:c r="Q1296" s="4"/>
    </x:row>
    <x:row r="1297" ht="64" customHeight="1">
      <x:c r="A1297" s="4"/>
      <x:c r="B1297" s="4"/>
      <x:c r="C1297" s="4"/>
      <x:c r="D1297" s="4"/>
      <x:c r="E1297" s="4"/>
      <x:c r="F1297" s="4"/>
      <x:c r="G1297" s="4"/>
      <x:c r="H1297" s="4"/>
      <x:c r="I1297" s="4"/>
      <x:c r="J1297" s="4"/>
      <x:c r="K1297" s="4"/>
      <x:c r="L1297" s="4"/>
      <x:c r="M1297" s="4"/>
      <x:c r="N1297" s="4"/>
      <x:c r="O1297" s="4"/>
      <x:c r="P1297" s="4"/>
      <x:c r="Q1297" s="4"/>
    </x:row>
    <x:row r="1298" ht="64" customHeight="1">
      <x:c r="A1298" s="4"/>
      <x:c r="B1298" s="4"/>
      <x:c r="C1298" s="4"/>
      <x:c r="D1298" s="4"/>
      <x:c r="E1298" s="4"/>
      <x:c r="F1298" s="4"/>
      <x:c r="G1298" s="4"/>
      <x:c r="H1298" s="4"/>
      <x:c r="I1298" s="4"/>
      <x:c r="J1298" s="4"/>
      <x:c r="K1298" s="4"/>
      <x:c r="L1298" s="4"/>
      <x:c r="M1298" s="4"/>
      <x:c r="N1298" s="4"/>
      <x:c r="O1298" s="4"/>
      <x:c r="P1298" s="4"/>
      <x:c r="Q1298" s="4"/>
    </x:row>
    <x:row r="1299" ht="64" customHeight="1">
      <x:c r="A1299" s="4" t="str">
        <x:v>design.collection.insulated_handle_shield.in.1</x:v>
      </x:c>
      <x:c r="B1299" s="4" t="str">
        <x:v>design.collection.insulated_handle_shield</x:v>
      </x:c>
      <x:c r="C1299" s="4" t="str">
        <x:v>Ingredient candidate</x:v>
      </x:c>
      <x:c r="D1299" s="4" t="str">
        <x:v>proposal.collection.annealed_iron_sheet_stock</x:v>
      </x:c>
      <x:c r="E1299" s="4" t="str">
        <x:f>IFERROR(INDEX('Items'!$B$6:$B$1005,MATCH(D1299,'Items'!$A$6:$A$1005,0)),"MISSING ID")</x:f>
        <x:v>Annealed iron sheet stock</x:v>
      </x:c>
      <x:c r="F1299" s="4" t="str">
        <x:f>IFERROR(INDEX('Items'!$C$6:$C$1005,MATCH(D1299,'Items'!$A$6:$A$1005,0)),"MISSING ID")</x:f>
        <x:v>T3</x:v>
      </x:c>
      <x:c r="G1299" s="4" t="str">
        <x:f>IFERROR(INDEX('Items'!$D$6:$D$1005,MATCH(D1299,'Items'!$A$6:$A$1005,0)),"MISSING ID")</x:f>
        <x:v>Manufactured stock</x:v>
      </x:c>
      <x:c r="H1299" s="4" t="str">
        <x:f>IFERROR(INDEX('Items'!$X$6:$X$1005,MATCH(D1299,'Items'!$A$6:$A$1005,0)),"MISSING ID")</x:f>
        <x:v>Processed material</x:v>
      </x:c>
      <x:c r="I1299" s="4"/>
      <x:c r="J1299" s="4" t="str">
        <x:v>Unspecified</x:v>
      </x:c>
      <x:c r="K1299" s="4" t="str">
        <x:f>IFERROR(INDEX('Crafting recipes'!$D$6:$D$1005,MATCH(B1299,'Crafting recipes'!$A$6:$A$1005,0)),"MISSING ID")</x:f>
        <x:v>Proposal</x:v>
      </x:c>
      <x:c r="L1299" s="4" t="str">
        <x:f>IFERROR(INDEX('Items'!$AD$6:$AD$1005,MATCH(D1299,'Items'!$A$6:$A$1005,0)),"MISSING ID")</x:f>
        <x:v>Proposal</x:v>
      </x:c>
      <x:c r="M1299" s="4" t="str">
        <x:f>IFERROR(INDEX('Crafting recipes'!$E$6:$E$1005,MATCH(B1299,'Crafting recipes'!$A$6:$A$1005,0)),"MISSING ID")</x:f>
        <x:v>Partial proposal</x:v>
      </x:c>
      <x:c r="N1299" s="4" t="str">
        <x:v>Candidate source or part only. Quantity, grade and method remain open.</x:v>
      </x:c>
      <x:c r="O1299" s="4" t="str">
        <x:v>Collection expansion, October 15, 2026. New game proposal.</x:v>
      </x:c>
      <x:c r="P1299" s="4" t="n">
        <x:f>IF(OR(C1299="Ingredient candidate",C1299="Consumed input",C1299="Contained input",C1299="Transform input"),IF(F1299="T0",0,IF(F1299="T1",1,IF(F1299="T2",2,IF(F1299="T3",3,IF(F1299="T4",4,-1))))),-1)</x:f>
        <x:v>3</x:v>
      </x:c>
      <x:c r="Q1299" s="4" t="n">
        <x:f>IF(AND(OR(C1299="Ingredient candidate",C1299="Consumed input",C1299="Contained input",C1299="Transform input"),P1299=-1),1,0)</x:f>
        <x:v>0</x:v>
      </x:c>
    </x:row>
    <x:row r="1300" ht="64" customHeight="1">
      <x:c r="A1300" s="4" t="str">
        <x:v>design.collection.insulated_handle_shield.in.2</x:v>
      </x:c>
      <x:c r="B1300" s="4" t="str">
        <x:v>design.collection.insulated_handle_shield</x:v>
      </x:c>
      <x:c r="C1300" s="4" t="str">
        <x:v>Ingredient candidate</x:v>
      </x:c>
      <x:c r="D1300" s="4" t="str">
        <x:v>author.electrical.insulation_stock</x:v>
      </x:c>
      <x:c r="E1300" s="4" t="str">
        <x:f>IFERROR(INDEX('Items'!$B$6:$B$1005,MATCH(D1300,'Items'!$A$6:$A$1005,0)),"MISSING ID")</x:f>
        <x:v>Prepared electrical insulation stock</x:v>
      </x:c>
      <x:c r="F1300" s="4" t="str">
        <x:f>IFERROR(INDEX('Items'!$C$6:$C$1005,MATCH(D1300,'Items'!$A$6:$A$1005,0)),"MISSING ID")</x:f>
        <x:v>T3</x:v>
      </x:c>
      <x:c r="G1300" s="4" t="str">
        <x:f>IFERROR(INDEX('Items'!$D$6:$D$1005,MATCH(D1300,'Items'!$A$6:$A$1005,0)),"MISSING ID")</x:f>
        <x:v>Manufactured stock</x:v>
      </x:c>
      <x:c r="H1300" s="4" t="str">
        <x:f>IFERROR(INDEX('Items'!$X$6:$X$1005,MATCH(D1300,'Items'!$A$6:$A$1005,0)),"MISSING ID")</x:f>
        <x:v>Processed material</x:v>
      </x:c>
      <x:c r="I1300" s="4"/>
      <x:c r="J1300" s="4" t="str">
        <x:v>Unspecified</x:v>
      </x:c>
      <x:c r="K1300" s="4" t="str">
        <x:f>IFERROR(INDEX('Crafting recipes'!$D$6:$D$1005,MATCH(B1300,'Crafting recipes'!$A$6:$A$1005,0)),"MISSING ID")</x:f>
        <x:v>Proposal</x:v>
      </x:c>
      <x:c r="L1300" s="4" t="str">
        <x:f>IFERROR(INDEX('Items'!$AD$6:$AD$1005,MATCH(D1300,'Items'!$A$6:$A$1005,0)),"MISSING ID")</x:f>
        <x:v>Author direction</x:v>
      </x:c>
      <x:c r="M1300" s="4" t="str">
        <x:f>IFERROR(INDEX('Crafting recipes'!$E$6:$E$1005,MATCH(B1300,'Crafting recipes'!$A$6:$A$1005,0)),"MISSING ID")</x:f>
        <x:v>Partial proposal</x:v>
      </x:c>
      <x:c r="N1300" s="4" t="str">
        <x:v>Candidate source or part only. Quantity, grade and method remain open.</x:v>
      </x:c>
      <x:c r="O1300" s="4" t="str">
        <x:v>Collection expansion, October 15, 2026. New game proposal.</x:v>
      </x:c>
      <x:c r="P1300" s="4" t="n">
        <x:f>IF(OR(C1300="Ingredient candidate",C1300="Consumed input",C1300="Contained input",C1300="Transform input"),IF(F1300="T0",0,IF(F1300="T1",1,IF(F1300="T2",2,IF(F1300="T3",3,IF(F1300="T4",4,-1))))),-1)</x:f>
        <x:v>3</x:v>
      </x:c>
      <x:c r="Q1300" s="4" t="n">
        <x:f>IF(AND(OR(C1300="Ingredient candidate",C1300="Consumed input",C1300="Contained input",C1300="Transform input"),P1300=-1),1,0)</x:f>
        <x:v>0</x:v>
      </x:c>
    </x:row>
    <x:row r="1301" ht="64" customHeight="1">
      <x:c r="A1301" s="4" t="str">
        <x:v>design.collection.insulated_handle_shield.out</x:v>
      </x:c>
      <x:c r="B1301" s="4" t="str">
        <x:v>design.collection.insulated_handle_shield</x:v>
      </x:c>
      <x:c r="C1301" s="4" t="str">
        <x:v>Output</x:v>
      </x:c>
      <x:c r="D1301" s="4" t="str">
        <x:v>proposal.collection.insulated_handle_shield</x:v>
      </x:c>
      <x:c r="E1301" s="4" t="str">
        <x:f>IFERROR(INDEX('Items'!$B$6:$B$1005,MATCH(D1301,'Items'!$A$6:$A$1005,0)),"MISSING ID")</x:f>
        <x:v>Insulated-handle shield</x:v>
      </x:c>
      <x:c r="F1301" s="4" t="str">
        <x:f>IFERROR(INDEX('Items'!$C$6:$C$1005,MATCH(D1301,'Items'!$A$6:$A$1005,0)),"MISSING ID")</x:f>
        <x:v>Not applicable</x:v>
      </x:c>
      <x:c r="G1301" s="4" t="str">
        <x:f>IFERROR(INDEX('Items'!$D$6:$D$1005,MATCH(D1301,'Items'!$A$6:$A$1005,0)),"MISSING ID")</x:f>
        <x:v>Armor</x:v>
      </x:c>
      <x:c r="H1301" s="4" t="str">
        <x:f>IFERROR(INDEX('Items'!$X$6:$X$1005,MATCH(D1301,'Items'!$A$6:$A$1005,0)),"MISSING ID")</x:f>
        <x:v>Shield</x:v>
      </x:c>
      <x:c r="I1301" s="4"/>
      <x:c r="J1301" s="4" t="str">
        <x:v>Unspecified</x:v>
      </x:c>
      <x:c r="K1301" s="4" t="str">
        <x:f>IFERROR(INDEX('Crafting recipes'!$D$6:$D$1005,MATCH(B1301,'Crafting recipes'!$A$6:$A$1005,0)),"MISSING ID")</x:f>
        <x:v>Proposal</x:v>
      </x:c>
      <x:c r="L1301" s="4" t="str">
        <x:f>IFERROR(INDEX('Items'!$AD$6:$AD$1005,MATCH(D1301,'Items'!$A$6:$A$1005,0)),"MISSING ID")</x:f>
        <x:v>Proposal</x:v>
      </x:c>
      <x:c r="M1301" s="4" t="str">
        <x:f>IFERROR(INDEX('Crafting recipes'!$E$6:$E$1005,MATCH(B1301,'Crafting recipes'!$A$6:$A$1005,0)),"MISSING ID")</x:f>
        <x:v>Partial proposal</x:v>
      </x:c>
      <x:c r="N1301" s="4" t="str">
        <x:v>Candidate source or part only. Quantity, grade and method remain open.</x:v>
      </x:c>
      <x:c r="O1301" s="4" t="str">
        <x:v>Collection expansion, October 15, 2026. New game proposal.</x:v>
      </x:c>
      <x:c r="P1301" s="4" t="n">
        <x:f>IF(OR(C1301="Ingredient candidate",C1301="Consumed input",C1301="Contained input",C1301="Transform input"),IF(F1301="T0",0,IF(F1301="T1",1,IF(F1301="T2",2,IF(F1301="T3",3,IF(F1301="T4",4,-1))))),-1)</x:f>
        <x:v>-1</x:v>
      </x:c>
      <x:c r="Q1301" s="4" t="n">
        <x:f>IF(AND(OR(C1301="Ingredient candidate",C1301="Consumed input",C1301="Contained input",C1301="Transform input"),P1301=-1),1,0)</x:f>
        <x:v>0</x:v>
      </x:c>
    </x:row>
    <x:row r="1302" ht="64" customHeight="1">
      <x:c r="A1302" s="4"/>
      <x:c r="B1302" s="4"/>
      <x:c r="C1302" s="4"/>
      <x:c r="D1302" s="4"/>
      <x:c r="E1302" s="4"/>
      <x:c r="F1302" s="4"/>
      <x:c r="G1302" s="4"/>
      <x:c r="H1302" s="4"/>
      <x:c r="I1302" s="4"/>
      <x:c r="K1302" s="4"/>
      <x:c r="L1302" s="4"/>
      <x:c r="M1302" s="4"/>
      <x:c r="N1302" s="4"/>
      <x:c r="O1302" s="4"/>
      <x:c r="P1302" s="4"/>
      <x:c r="Q1302" s="4"/>
    </x:row>
    <x:row r="1303" ht="64" customHeight="1">
      <x:c r="A1303" s="4"/>
      <x:c r="B1303" s="4"/>
      <x:c r="C1303" s="4"/>
      <x:c r="D1303" s="4"/>
      <x:c r="E1303" s="4"/>
      <x:c r="F1303" s="4"/>
      <x:c r="G1303" s="4"/>
      <x:c r="H1303" s="4"/>
      <x:c r="I1303" s="4"/>
      <x:c r="K1303" s="4"/>
      <x:c r="L1303" s="4"/>
      <x:c r="M1303" s="4"/>
      <x:c r="N1303" s="4"/>
      <x:c r="O1303" s="4"/>
      <x:c r="P1303" s="4"/>
      <x:c r="Q1303" s="4"/>
    </x:row>
    <x:row r="1304" ht="64" customHeight="1">
      <x:c r="A1304" s="4"/>
      <x:c r="B1304" s="4"/>
      <x:c r="C1304" s="4"/>
      <x:c r="D1304" s="4"/>
      <x:c r="E1304" s="4"/>
      <x:c r="F1304" s="4"/>
      <x:c r="G1304" s="4"/>
      <x:c r="H1304" s="4"/>
      <x:c r="I1304" s="4"/>
      <x:c r="K1304" s="4"/>
      <x:c r="L1304" s="4"/>
      <x:c r="M1304" s="4"/>
      <x:c r="N1304" s="4"/>
      <x:c r="O1304" s="4"/>
      <x:c r="P1304" s="4"/>
      <x:c r="Q1304" s="4"/>
    </x:row>
    <x:row r="1305" ht="64" customHeight="1">
      <x:c r="A1305" s="4" t="str">
        <x:v>design.collection.magnet_clamp_utility_shield.in.1</x:v>
      </x:c>
      <x:c r="B1305" s="4" t="str">
        <x:v>design.collection.magnet_clamp_utility_shield</x:v>
      </x:c>
      <x:c r="C1305" s="4" t="str">
        <x:v>Ingredient candidate</x:v>
      </x:c>
      <x:c r="D1305" s="4" t="str">
        <x:v>proposal.collection.annealed_iron_sheet_stock</x:v>
      </x:c>
      <x:c r="E1305" s="4" t="str">
        <x:f>IFERROR(INDEX('Items'!$B$6:$B$1005,MATCH(D1305,'Items'!$A$6:$A$1005,0)),"MISSING ID")</x:f>
        <x:v>Annealed iron sheet stock</x:v>
      </x:c>
      <x:c r="F1305" s="4" t="str">
        <x:f>IFERROR(INDEX('Items'!$C$6:$C$1005,MATCH(D1305,'Items'!$A$6:$A$1005,0)),"MISSING ID")</x:f>
        <x:v>T3</x:v>
      </x:c>
      <x:c r="G1305" s="4" t="str">
        <x:f>IFERROR(INDEX('Items'!$D$6:$D$1005,MATCH(D1305,'Items'!$A$6:$A$1005,0)),"MISSING ID")</x:f>
        <x:v>Manufactured stock</x:v>
      </x:c>
      <x:c r="H1305" s="4" t="str">
        <x:f>IFERROR(INDEX('Items'!$X$6:$X$1005,MATCH(D1305,'Items'!$A$6:$A$1005,0)),"MISSING ID")</x:f>
        <x:v>Processed material</x:v>
      </x:c>
      <x:c r="I1305" s="4"/>
      <x:c r="J1305" s="4" t="str">
        <x:v>Unspecified</x:v>
      </x:c>
      <x:c r="K1305" s="4" t="str">
        <x:f>IFERROR(INDEX('Crafting recipes'!$D$6:$D$1005,MATCH(B1305,'Crafting recipes'!$A$6:$A$1005,0)),"MISSING ID")</x:f>
        <x:v>Proposal</x:v>
      </x:c>
      <x:c r="L1305" s="4" t="str">
        <x:f>IFERROR(INDEX('Items'!$AD$6:$AD$1005,MATCH(D1305,'Items'!$A$6:$A$1005,0)),"MISSING ID")</x:f>
        <x:v>Proposal</x:v>
      </x:c>
      <x:c r="M1305" s="4" t="str">
        <x:f>IFERROR(INDEX('Crafting recipes'!$E$6:$E$1005,MATCH(B1305,'Crafting recipes'!$A$6:$A$1005,0)),"MISSING ID")</x:f>
        <x:v>Partial proposal</x:v>
      </x:c>
      <x:c r="N1305" s="4" t="str">
        <x:v>Candidate source or part only. Quantity, grade and method remain open.</x:v>
      </x:c>
      <x:c r="O1305" s="4" t="str">
        <x:v>Collection expansion, October 15, 2026. New game proposal.</x:v>
      </x:c>
      <x:c r="P1305" s="4" t="n">
        <x:f>IF(OR(C1305="Ingredient candidate",C1305="Consumed input",C1305="Contained input",C1305="Transform input"),IF(F1305="T0",0,IF(F1305="T1",1,IF(F1305="T2",2,IF(F1305="T3",3,IF(F1305="T4",4,-1))))),-1)</x:f>
        <x:v>3</x:v>
      </x:c>
      <x:c r="Q1305" s="4" t="n">
        <x:f>IF(AND(OR(C1305="Ingredient candidate",C1305="Consumed input",C1305="Contained input",C1305="Transform input"),P1305=-1),1,0)</x:f>
        <x:v>0</x:v>
      </x:c>
    </x:row>
    <x:row r="1306" ht="64" customHeight="1">
      <x:c r="A1306" s="4" t="str">
        <x:v>design.collection.magnet_clamp_utility_shield.in.2</x:v>
      </x:c>
      <x:c r="B1306" s="4" t="str">
        <x:v>design.collection.magnet_clamp_utility_shield</x:v>
      </x:c>
      <x:c r="C1306" s="4" t="str">
        <x:v>Ingredient candidate</x:v>
      </x:c>
      <x:c r="D1306" s="4" t="str">
        <x:v>proposal.gear.magnets</x:v>
      </x:c>
      <x:c r="E1306" s="4" t="str">
        <x:f>IFERROR(INDEX('Items'!$B$6:$B$1005,MATCH(D1306,'Items'!$A$6:$A$1005,0)),"MISSING ID")</x:f>
        <x:v>Field magnets</x:v>
      </x:c>
      <x:c r="F1306" s="4" t="str">
        <x:f>IFERROR(INDEX('Items'!$C$6:$C$1005,MATCH(D1306,'Items'!$A$6:$A$1005,0)),"MISSING ID")</x:f>
        <x:v>Not applicable</x:v>
      </x:c>
      <x:c r="G1306" s="4" t="str">
        <x:f>IFERROR(INDEX('Items'!$D$6:$D$1005,MATCH(D1306,'Items'!$A$6:$A$1005,0)),"MISSING ID")</x:f>
        <x:v>Tools</x:v>
      </x:c>
      <x:c r="H1306" s="4" t="str">
        <x:f>IFERROR(INDEX('Items'!$X$6:$X$1005,MATCH(D1306,'Items'!$A$6:$A$1005,0)),"MISSING ID")</x:f>
        <x:v>Tool</x:v>
      </x:c>
      <x:c r="I1306" s="4"/>
      <x:c r="J1306" s="4" t="str">
        <x:v>Unspecified</x:v>
      </x:c>
      <x:c r="K1306" s="4" t="str">
        <x:f>IFERROR(INDEX('Crafting recipes'!$D$6:$D$1005,MATCH(B1306,'Crafting recipes'!$A$6:$A$1005,0)),"MISSING ID")</x:f>
        <x:v>Proposal</x:v>
      </x:c>
      <x:c r="L1306" s="4" t="str">
        <x:f>IFERROR(INDEX('Items'!$AD$6:$AD$1005,MATCH(D1306,'Items'!$A$6:$A$1005,0)),"MISSING ID")</x:f>
        <x:v>Author direction</x:v>
      </x:c>
      <x:c r="M1306" s="4" t="str">
        <x:f>IFERROR(INDEX('Crafting recipes'!$E$6:$E$1005,MATCH(B1306,'Crafting recipes'!$A$6:$A$1005,0)),"MISSING ID")</x:f>
        <x:v>Partial proposal</x:v>
      </x:c>
      <x:c r="N1306" s="4" t="str">
        <x:v>Candidate source or part only. Quantity, grade and method remain open.</x:v>
      </x:c>
      <x:c r="O1306" s="4" t="str">
        <x:v>Collection expansion, October 15, 2026. New game proposal.</x:v>
      </x:c>
      <x:c r="P1306" s="4" t="n">
        <x:f>IF(OR(C1306="Ingredient candidate",C1306="Consumed input",C1306="Contained input",C1306="Transform input"),IF(F1306="T0",0,IF(F1306="T1",1,IF(F1306="T2",2,IF(F1306="T3",3,IF(F1306="T4",4,-1))))),-1)</x:f>
        <x:v>-1</x:v>
      </x:c>
      <x:c r="Q1306" s="4" t="n">
        <x:f>IF(AND(OR(C1306="Ingredient candidate",C1306="Consumed input",C1306="Contained input",C1306="Transform input"),P1306=-1),1,0)</x:f>
        <x:v>1</x:v>
      </x:c>
    </x:row>
    <x:row r="1307" ht="64" customHeight="1">
      <x:c r="A1307" s="4" t="str">
        <x:v>design.collection.magnet_clamp_utility_shield.out</x:v>
      </x:c>
      <x:c r="B1307" s="4" t="str">
        <x:v>design.collection.magnet_clamp_utility_shield</x:v>
      </x:c>
      <x:c r="C1307" s="4" t="str">
        <x:v>Output</x:v>
      </x:c>
      <x:c r="D1307" s="4" t="str">
        <x:v>proposal.collection.magnet_clamp_utility_shield</x:v>
      </x:c>
      <x:c r="E1307" s="4" t="str">
        <x:f>IFERROR(INDEX('Items'!$B$6:$B$1005,MATCH(D1307,'Items'!$A$6:$A$1005,0)),"MISSING ID")</x:f>
        <x:v>Magnet-clamp utility shield</x:v>
      </x:c>
      <x:c r="F1307" s="4" t="str">
        <x:f>IFERROR(INDEX('Items'!$C$6:$C$1005,MATCH(D1307,'Items'!$A$6:$A$1005,0)),"MISSING ID")</x:f>
        <x:v>Not applicable</x:v>
      </x:c>
      <x:c r="G1307" s="4" t="str">
        <x:f>IFERROR(INDEX('Items'!$D$6:$D$1005,MATCH(D1307,'Items'!$A$6:$A$1005,0)),"MISSING ID")</x:f>
        <x:v>Armor</x:v>
      </x:c>
      <x:c r="H1307" s="4" t="str">
        <x:f>IFERROR(INDEX('Items'!$X$6:$X$1005,MATCH(D1307,'Items'!$A$6:$A$1005,0)),"MISSING ID")</x:f>
        <x:v>Shield</x:v>
      </x:c>
      <x:c r="I1307" s="4"/>
      <x:c r="J1307" s="4" t="str">
        <x:v>Unspecified</x:v>
      </x:c>
      <x:c r="K1307" s="4" t="str">
        <x:f>IFERROR(INDEX('Crafting recipes'!$D$6:$D$1005,MATCH(B1307,'Crafting recipes'!$A$6:$A$1005,0)),"MISSING ID")</x:f>
        <x:v>Proposal</x:v>
      </x:c>
      <x:c r="L1307" s="4" t="str">
        <x:f>IFERROR(INDEX('Items'!$AD$6:$AD$1005,MATCH(D1307,'Items'!$A$6:$A$1005,0)),"MISSING ID")</x:f>
        <x:v>Proposal</x:v>
      </x:c>
      <x:c r="M1307" s="4" t="str">
        <x:f>IFERROR(INDEX('Crafting recipes'!$E$6:$E$1005,MATCH(B1307,'Crafting recipes'!$A$6:$A$1005,0)),"MISSING ID")</x:f>
        <x:v>Partial proposal</x:v>
      </x:c>
      <x:c r="N1307" s="4" t="str">
        <x:v>Candidate source or part only. Quantity, grade and method remain open.</x:v>
      </x:c>
      <x:c r="O1307" s="4" t="str">
        <x:v>Collection expansion, October 15, 2026. New game proposal.</x:v>
      </x:c>
      <x:c r="P1307" s="4" t="n">
        <x:f>IF(OR(C1307="Ingredient candidate",C1307="Consumed input",C1307="Contained input",C1307="Transform input"),IF(F1307="T0",0,IF(F1307="T1",1,IF(F1307="T2",2,IF(F1307="T3",3,IF(F1307="T4",4,-1))))),-1)</x:f>
        <x:v>-1</x:v>
      </x:c>
      <x:c r="Q1307" s="4" t="n">
        <x:f>IF(AND(OR(C1307="Ingredient candidate",C1307="Consumed input",C1307="Contained input",C1307="Transform input"),P1307=-1),1,0)</x:f>
        <x:v>0</x:v>
      </x:c>
    </x:row>
    <x:row r="1308" ht="64" customHeight="1">
      <x:c r="A1308" s="4" t="str">
        <x:v>design.collection.replaceable_scale_shield.in.1</x:v>
      </x:c>
      <x:c r="B1308" s="4" t="str">
        <x:v>design.collection.replaceable_scale_shield</x:v>
      </x:c>
      <x:c r="C1308" s="4" t="str">
        <x:v>Ingredient candidate</x:v>
      </x:c>
      <x:c r="D1308" s="4" t="str">
        <x:v>proposal.t1.shell_lamina</x:v>
      </x:c>
      <x:c r="E1308" s="4" t="str">
        <x:f>IFERROR(INDEX('Items'!$B$6:$B$1005,MATCH(D1308,'Items'!$A$6:$A$1005,0)),"MISSING ID")</x:f>
        <x:v>Separated shell lamina stock</x:v>
      </x:c>
      <x:c r="F1308" s="4" t="str">
        <x:f>IFERROR(INDEX('Items'!$C$6:$C$1005,MATCH(D1308,'Items'!$A$6:$A$1005,0)),"MISSING ID")</x:f>
        <x:v>T1</x:v>
      </x:c>
      <x:c r="G1308" s="4" t="str">
        <x:f>IFERROR(INDEX('Items'!$D$6:$D$1005,MATCH(D1308,'Items'!$A$6:$A$1005,0)),"MISSING ID")</x:f>
        <x:v>Manufactured stock</x:v>
      </x:c>
      <x:c r="H1308" s="4" t="str">
        <x:f>IFERROR(INDEX('Items'!$X$6:$X$1005,MATCH(D1308,'Items'!$A$6:$A$1005,0)),"MISSING ID")</x:f>
        <x:v>Processed material</x:v>
      </x:c>
      <x:c r="I1308" s="4"/>
      <x:c r="J1308" s="4" t="str">
        <x:v>Unspecified</x:v>
      </x:c>
      <x:c r="K1308" s="4" t="str">
        <x:f>IFERROR(INDEX('Crafting recipes'!$D$6:$D$1005,MATCH(B1308,'Crafting recipes'!$A$6:$A$1005,0)),"MISSING ID")</x:f>
        <x:v>Proposal</x:v>
      </x:c>
      <x:c r="L1308" s="4" t="str">
        <x:f>IFERROR(INDEX('Items'!$AD$6:$AD$1005,MATCH(D1308,'Items'!$A$6:$A$1005,0)),"MISSING ID")</x:f>
        <x:v>Proposal</x:v>
      </x:c>
      <x:c r="M1308" s="4" t="str">
        <x:f>IFERROR(INDEX('Crafting recipes'!$E$6:$E$1005,MATCH(B1308,'Crafting recipes'!$A$6:$A$1005,0)),"MISSING ID")</x:f>
        <x:v>Partial proposal</x:v>
      </x:c>
      <x:c r="N1308" s="4" t="str">
        <x:v>Candidate source or part only. Quantity, grade and method remain open.</x:v>
      </x:c>
      <x:c r="O1308" s="4" t="str">
        <x:v>Collection expansion, October 15, 2026. New game proposal.</x:v>
      </x:c>
      <x:c r="P1308" s="4" t="n">
        <x:f>IF(OR(C1308="Ingredient candidate",C1308="Consumed input",C1308="Contained input",C1308="Transform input"),IF(F1308="T0",0,IF(F1308="T1",1,IF(F1308="T2",2,IF(F1308="T3",3,IF(F1308="T4",4,-1))))),-1)</x:f>
        <x:v>1</x:v>
      </x:c>
      <x:c r="Q1308" s="4" t="n">
        <x:f>IF(AND(OR(C1308="Ingredient candidate",C1308="Consumed input",C1308="Contained input",C1308="Transform input"),P1308=-1),1,0)</x:f>
        <x:v>0</x:v>
      </x:c>
    </x:row>
    <x:row r="1309" ht="64" customHeight="1">
      <x:c r="A1309" s="4" t="str">
        <x:v>design.collection.replaceable_scale_shield.in.2</x:v>
      </x:c>
      <x:c r="B1309" s="4" t="str">
        <x:v>design.collection.replaceable_scale_shield</x:v>
      </x:c>
      <x:c r="C1309" s="4" t="str">
        <x:v>Ingredient candidate</x:v>
      </x:c>
      <x:c r="D1309" s="4" t="str">
        <x:v>proposal.lore.fastener_set</x:v>
      </x:c>
      <x:c r="E1309" s="4" t="str">
        <x:f>IFERROR(INDEX('Items'!$B$6:$B$1005,MATCH(D1309,'Items'!$A$6:$A$1005,0)),"MISSING ID")</x:f>
        <x:v>Matched metal fastener set</x:v>
      </x:c>
      <x:c r="F1309" s="4" t="str">
        <x:f>IFERROR(INDEX('Items'!$C$6:$C$1005,MATCH(D1309,'Items'!$A$6:$A$1005,0)),"MISSING ID")</x:f>
        <x:v>T3</x:v>
      </x:c>
      <x:c r="G1309" s="4" t="str">
        <x:f>IFERROR(INDEX('Items'!$D$6:$D$1005,MATCH(D1309,'Items'!$A$6:$A$1005,0)),"MISSING ID")</x:f>
        <x:v>Crafting components</x:v>
      </x:c>
      <x:c r="H1309" s="4" t="str">
        <x:f>IFERROR(INDEX('Items'!$X$6:$X$1005,MATCH(D1309,'Items'!$A$6:$A$1005,0)),"MISSING ID")</x:f>
        <x:v>Crafting component</x:v>
      </x:c>
      <x:c r="I1309" s="4"/>
      <x:c r="J1309" s="4" t="str">
        <x:v>Unspecified</x:v>
      </x:c>
      <x:c r="K1309" s="4" t="str">
        <x:f>IFERROR(INDEX('Crafting recipes'!$D$6:$D$1005,MATCH(B1309,'Crafting recipes'!$A$6:$A$1005,0)),"MISSING ID")</x:f>
        <x:v>Proposal</x:v>
      </x:c>
      <x:c r="L1309" s="4" t="str">
        <x:f>IFERROR(INDEX('Items'!$AD$6:$AD$1005,MATCH(D1309,'Items'!$A$6:$A$1005,0)),"MISSING ID")</x:f>
        <x:v>Proposal</x:v>
      </x:c>
      <x:c r="M1309" s="4" t="str">
        <x:f>IFERROR(INDEX('Crafting recipes'!$E$6:$E$1005,MATCH(B1309,'Crafting recipes'!$A$6:$A$1005,0)),"MISSING ID")</x:f>
        <x:v>Partial proposal</x:v>
      </x:c>
      <x:c r="N1309" s="4" t="str">
        <x:v>Candidate source or part only. Quantity, grade and method remain open.</x:v>
      </x:c>
      <x:c r="O1309" s="4" t="str">
        <x:v>Collection expansion, October 15, 2026. New game proposal.</x:v>
      </x:c>
      <x:c r="P1309" s="4" t="n">
        <x:f>IF(OR(C1309="Ingredient candidate",C1309="Consumed input",C1309="Contained input",C1309="Transform input"),IF(F1309="T0",0,IF(F1309="T1",1,IF(F1309="T2",2,IF(F1309="T3",3,IF(F1309="T4",4,-1))))),-1)</x:f>
        <x:v>3</x:v>
      </x:c>
      <x:c r="Q1309" s="4" t="n">
        <x:f>IF(AND(OR(C1309="Ingredient candidate",C1309="Consumed input",C1309="Contained input",C1309="Transform input"),P1309=-1),1,0)</x:f>
        <x:v>0</x:v>
      </x:c>
    </x:row>
    <x:row r="1310" ht="64" customHeight="1">
      <x:c r="A1310" s="4" t="str">
        <x:v>design.collection.replaceable_scale_shield.out</x:v>
      </x:c>
      <x:c r="B1310" s="4" t="str">
        <x:v>design.collection.replaceable_scale_shield</x:v>
      </x:c>
      <x:c r="C1310" s="4" t="str">
        <x:v>Output</x:v>
      </x:c>
      <x:c r="D1310" s="4" t="str">
        <x:v>proposal.collection.replaceable_scale_shield</x:v>
      </x:c>
      <x:c r="E1310" s="4" t="str">
        <x:f>IFERROR(INDEX('Items'!$B$6:$B$1005,MATCH(D1310,'Items'!$A$6:$A$1005,0)),"MISSING ID")</x:f>
        <x:v>Replaceable-scale shield</x:v>
      </x:c>
      <x:c r="F1310" s="4" t="str">
        <x:f>IFERROR(INDEX('Items'!$C$6:$C$1005,MATCH(D1310,'Items'!$A$6:$A$1005,0)),"MISSING ID")</x:f>
        <x:v>Not applicable</x:v>
      </x:c>
      <x:c r="G1310" s="4" t="str">
        <x:f>IFERROR(INDEX('Items'!$D$6:$D$1005,MATCH(D1310,'Items'!$A$6:$A$1005,0)),"MISSING ID")</x:f>
        <x:v>Armor</x:v>
      </x:c>
      <x:c r="H1310" s="4" t="str">
        <x:f>IFERROR(INDEX('Items'!$X$6:$X$1005,MATCH(D1310,'Items'!$A$6:$A$1005,0)),"MISSING ID")</x:f>
        <x:v>Shield</x:v>
      </x:c>
      <x:c r="I1310" s="4"/>
      <x:c r="J1310" s="4" t="str">
        <x:v>Unspecified</x:v>
      </x:c>
      <x:c r="K1310" s="4" t="str">
        <x:f>IFERROR(INDEX('Crafting recipes'!$D$6:$D$1005,MATCH(B1310,'Crafting recipes'!$A$6:$A$1005,0)),"MISSING ID")</x:f>
        <x:v>Proposal</x:v>
      </x:c>
      <x:c r="L1310" s="4" t="str">
        <x:f>IFERROR(INDEX('Items'!$AD$6:$AD$1005,MATCH(D1310,'Items'!$A$6:$A$1005,0)),"MISSING ID")</x:f>
        <x:v>Proposal</x:v>
      </x:c>
      <x:c r="M1310" s="4" t="str">
        <x:f>IFERROR(INDEX('Crafting recipes'!$E$6:$E$1005,MATCH(B1310,'Crafting recipes'!$A$6:$A$1005,0)),"MISSING ID")</x:f>
        <x:v>Partial proposal</x:v>
      </x:c>
      <x:c r="N1310" s="4" t="str">
        <x:v>Candidate source or part only. Quantity, grade and method remain open.</x:v>
      </x:c>
      <x:c r="O1310" s="4" t="str">
        <x:v>Collection expansion, October 15, 2026. New game proposal.</x:v>
      </x:c>
      <x:c r="P1310" s="4" t="n">
        <x:f>IF(OR(C1310="Ingredient candidate",C1310="Consumed input",C1310="Contained input",C1310="Transform input"),IF(F1310="T0",0,IF(F1310="T1",1,IF(F1310="T2",2,IF(F1310="T3",3,IF(F1310="T4",4,-1))))),-1)</x:f>
        <x:v>-1</x:v>
      </x:c>
      <x:c r="Q1310" s="4" t="n">
        <x:f>IF(AND(OR(C1310="Ingredient candidate",C1310="Consumed input",C1310="Contained input",C1310="Transform input"),P1310=-1),1,0)</x:f>
        <x:v>0</x:v>
      </x:c>
    </x:row>
    <x:row r="1311" ht="64" customHeight="1">
      <x:c r="A1311" s="4" t="str">
        <x:v>design.collection.tendon_ankle_tripline.in.1</x:v>
      </x:c>
      <x:c r="B1311" s="4" t="str">
        <x:v>design.collection.tendon_ankle_tripline</x:v>
      </x:c>
      <x:c r="C1311" s="4" t="str">
        <x:v>Ingredient candidate</x:v>
      </x:c>
      <x:c r="D1311" s="4" t="str">
        <x:v>proposal.bio.cord</x:v>
      </x:c>
      <x:c r="E1311" s="4" t="str">
        <x:f>IFERROR(INDEX('Items'!$B$6:$B$1005,MATCH(D1311,'Items'!$A$6:$A$1005,0)),"MISSING ID")</x:f>
        <x:v>Tendon cord</x:v>
      </x:c>
      <x:c r="F1311" s="4" t="str">
        <x:f>IFERROR(INDEX('Items'!$C$6:$C$1005,MATCH(D1311,'Items'!$A$6:$A$1005,0)),"MISSING ID")</x:f>
        <x:v>T1</x:v>
      </x:c>
      <x:c r="G1311" s="4" t="str">
        <x:f>IFERROR(INDEX('Items'!$D$6:$D$1005,MATCH(D1311,'Items'!$A$6:$A$1005,0)),"MISSING ID")</x:f>
        <x:v>Crafting components</x:v>
      </x:c>
      <x:c r="H1311" s="4" t="str">
        <x:f>IFERROR(INDEX('Items'!$X$6:$X$1005,MATCH(D1311,'Items'!$A$6:$A$1005,0)),"MISSING ID")</x:f>
        <x:v>Crafting component</x:v>
      </x:c>
      <x:c r="I1311" s="4"/>
      <x:c r="J1311" s="4" t="str">
        <x:v>Unspecified</x:v>
      </x:c>
      <x:c r="K1311" s="4" t="str">
        <x:f>IFERROR(INDEX('Crafting recipes'!$D$6:$D$1005,MATCH(B1311,'Crafting recipes'!$A$6:$A$1005,0)),"MISSING ID")</x:f>
        <x:v>Proposal</x:v>
      </x:c>
      <x:c r="L1311" s="4" t="str">
        <x:f>IFERROR(INDEX('Items'!$AD$6:$AD$1005,MATCH(D1311,'Items'!$A$6:$A$1005,0)),"MISSING ID")</x:f>
        <x:v>Proposal</x:v>
      </x:c>
      <x:c r="M1311" s="4" t="str">
        <x:f>IFERROR(INDEX('Crafting recipes'!$E$6:$E$1005,MATCH(B1311,'Crafting recipes'!$A$6:$A$1005,0)),"MISSING ID")</x:f>
        <x:v>Partial proposal</x:v>
      </x:c>
      <x:c r="N1311" s="4" t="str">
        <x:v>Candidate source or part only. Quantity, grade and method remain open.</x:v>
      </x:c>
      <x:c r="O1311" s="4" t="str">
        <x:v>Collection expansion, October 15, 2026. New game proposal.</x:v>
      </x:c>
      <x:c r="P1311" s="4" t="n">
        <x:f>IF(OR(C1311="Ingredient candidate",C1311="Consumed input",C1311="Contained input",C1311="Transform input"),IF(F1311="T0",0,IF(F1311="T1",1,IF(F1311="T2",2,IF(F1311="T3",3,IF(F1311="T4",4,-1))))),-1)</x:f>
        <x:v>1</x:v>
      </x:c>
      <x:c r="Q1311" s="4" t="n">
        <x:f>IF(AND(OR(C1311="Ingredient candidate",C1311="Consumed input",C1311="Contained input",C1311="Transform input"),P1311=-1),1,0)</x:f>
        <x:v>0</x:v>
      </x:c>
    </x:row>
    <x:row r="1312" ht="64" customHeight="1">
      <x:c r="A1312" s="4" t="str">
        <x:v>design.collection.tendon_ankle_tripline.in.2</x:v>
      </x:c>
      <x:c r="B1312" s="4" t="str">
        <x:v>design.collection.tendon_ankle_tripline</x:v>
      </x:c>
      <x:c r="C1312" s="4" t="str">
        <x:v>Ingredient candidate</x:v>
      </x:c>
      <x:c r="D1312" s="4" t="str">
        <x:v>proposal.collection.ground_anchor_stake_set</x:v>
      </x:c>
      <x:c r="E1312" s="4" t="str">
        <x:f>IFERROR(INDEX('Items'!$B$6:$B$1005,MATCH(D1312,'Items'!$A$6:$A$1005,0)),"MISSING ID")</x:f>
        <x:v>Ground-anchor stake set</x:v>
      </x:c>
      <x:c r="F1312" s="4" t="str">
        <x:f>IFERROR(INDEX('Items'!$C$6:$C$1005,MATCH(D1312,'Items'!$A$6:$A$1005,0)),"MISSING ID")</x:f>
        <x:v>Not applicable</x:v>
      </x:c>
      <x:c r="G1312" s="4" t="str">
        <x:f>IFERROR(INDEX('Items'!$D$6:$D$1005,MATCH(D1312,'Items'!$A$6:$A$1005,0)),"MISSING ID")</x:f>
        <x:v>Salvage</x:v>
      </x:c>
      <x:c r="H1312" s="4" t="str">
        <x:f>IFERROR(INDEX('Items'!$X$6:$X$1005,MATCH(D1312,'Items'!$A$6:$A$1005,0)),"MISSING ID")</x:f>
        <x:v>Shelter item</x:v>
      </x:c>
      <x:c r="I1312" s="4"/>
      <x:c r="J1312" s="4" t="str">
        <x:v>Unspecified</x:v>
      </x:c>
      <x:c r="K1312" s="4" t="str">
        <x:f>IFERROR(INDEX('Crafting recipes'!$D$6:$D$1005,MATCH(B1312,'Crafting recipes'!$A$6:$A$1005,0)),"MISSING ID")</x:f>
        <x:v>Proposal</x:v>
      </x:c>
      <x:c r="L1312" s="4" t="str">
        <x:f>IFERROR(INDEX('Items'!$AD$6:$AD$1005,MATCH(D1312,'Items'!$A$6:$A$1005,0)),"MISSING ID")</x:f>
        <x:v>Proposal</x:v>
      </x:c>
      <x:c r="M1312" s="4" t="str">
        <x:f>IFERROR(INDEX('Crafting recipes'!$E$6:$E$1005,MATCH(B1312,'Crafting recipes'!$A$6:$A$1005,0)),"MISSING ID")</x:f>
        <x:v>Partial proposal</x:v>
      </x:c>
      <x:c r="N1312" s="4" t="str">
        <x:v>Candidate source or part only. Quantity, grade and method remain open.</x:v>
      </x:c>
      <x:c r="O1312" s="4" t="str">
        <x:v>Collection expansion, October 15, 2026. New game proposal.</x:v>
      </x:c>
      <x:c r="P1312" s="4" t="n">
        <x:f>IF(OR(C1312="Ingredient candidate",C1312="Consumed input",C1312="Contained input",C1312="Transform input"),IF(F1312="T0",0,IF(F1312="T1",1,IF(F1312="T2",2,IF(F1312="T3",3,IF(F1312="T4",4,-1))))),-1)</x:f>
        <x:v>-1</x:v>
      </x:c>
      <x:c r="Q1312" s="4" t="n">
        <x:f>IF(AND(OR(C1312="Ingredient candidate",C1312="Consumed input",C1312="Contained input",C1312="Transform input"),P1312=-1),1,0)</x:f>
        <x:v>1</x:v>
      </x:c>
    </x:row>
    <x:row r="1313" ht="64" customHeight="1">
      <x:c r="A1313" s="4" t="str">
        <x:v>design.collection.tendon_ankle_tripline.out</x:v>
      </x:c>
      <x:c r="B1313" s="4" t="str">
        <x:v>design.collection.tendon_ankle_tripline</x:v>
      </x:c>
      <x:c r="C1313" s="4" t="str">
        <x:v>Output</x:v>
      </x:c>
      <x:c r="D1313" s="4" t="str">
        <x:v>proposal.collection.tendon_ankle_tripline</x:v>
      </x:c>
      <x:c r="E1313" s="4" t="str">
        <x:f>IFERROR(INDEX('Items'!$B$6:$B$1005,MATCH(D1313,'Items'!$A$6:$A$1005,0)),"MISSING ID")</x:f>
        <x:v>Tendon ankle tripline</x:v>
      </x:c>
      <x:c r="F1313" s="4" t="str">
        <x:f>IFERROR(INDEX('Items'!$C$6:$C$1005,MATCH(D1313,'Items'!$A$6:$A$1005,0)),"MISSING ID")</x:f>
        <x:v>Not applicable</x:v>
      </x:c>
      <x:c r="G1313" s="4" t="str">
        <x:f>IFERROR(INDEX('Items'!$D$6:$D$1005,MATCH(D1313,'Items'!$A$6:$A$1005,0)),"MISSING ID")</x:f>
        <x:v>Weapons</x:v>
      </x:c>
      <x:c r="H1313" s="4" t="str">
        <x:f>IFERROR(INDEX('Items'!$X$6:$X$1005,MATCH(D1313,'Items'!$A$6:$A$1005,0)),"MISSING ID")</x:f>
        <x:v>Trap</x:v>
      </x:c>
      <x:c r="I1313" s="4"/>
      <x:c r="J1313" s="4" t="str">
        <x:v>Unspecified</x:v>
      </x:c>
      <x:c r="K1313" s="4" t="str">
        <x:f>IFERROR(INDEX('Crafting recipes'!$D$6:$D$1005,MATCH(B1313,'Crafting recipes'!$A$6:$A$1005,0)),"MISSING ID")</x:f>
        <x:v>Proposal</x:v>
      </x:c>
      <x:c r="L1313" s="4" t="str">
        <x:f>IFERROR(INDEX('Items'!$AD$6:$AD$1005,MATCH(D1313,'Items'!$A$6:$A$1005,0)),"MISSING ID")</x:f>
        <x:v>Proposal</x:v>
      </x:c>
      <x:c r="M1313" s="4" t="str">
        <x:f>IFERROR(INDEX('Crafting recipes'!$E$6:$E$1005,MATCH(B1313,'Crafting recipes'!$A$6:$A$1005,0)),"MISSING ID")</x:f>
        <x:v>Partial proposal</x:v>
      </x:c>
      <x:c r="N1313" s="4" t="str">
        <x:v>Candidate source or part only. Quantity, grade and method remain open.</x:v>
      </x:c>
      <x:c r="O1313" s="4" t="str">
        <x:v>Collection expansion, October 15, 2026. New game proposal.</x:v>
      </x:c>
      <x:c r="P1313" s="4" t="n">
        <x:f>IF(OR(C1313="Ingredient candidate",C1313="Consumed input",C1313="Contained input",C1313="Transform input"),IF(F1313="T0",0,IF(F1313="T1",1,IF(F1313="T2",2,IF(F1313="T3",3,IF(F1313="T4",4,-1))))),-1)</x:f>
        <x:v>-1</x:v>
      </x:c>
      <x:c r="Q1313" s="4" t="n">
        <x:f>IF(AND(OR(C1313="Ingredient candidate",C1313="Consumed input",C1313="Contained input",C1313="Transform input"),P1313=-1),1,0)</x:f>
        <x:v>0</x:v>
      </x:c>
    </x:row>
    <x:row r="1314" ht="64" customHeight="1">
      <x:c r="A1314" s="4" t="str">
        <x:v>design.collection.rattle_alarm_tripline.in.1</x:v>
      </x:c>
      <x:c r="B1314" s="4" t="str">
        <x:v>design.collection.rattle_alarm_tripline</x:v>
      </x:c>
      <x:c r="C1314" s="4" t="str">
        <x:v>Ingredient candidate</x:v>
      </x:c>
      <x:c r="D1314" s="4" t="str">
        <x:v>proposal.bio.cord</x:v>
      </x:c>
      <x:c r="E1314" s="4" t="str">
        <x:f>IFERROR(INDEX('Items'!$B$6:$B$1005,MATCH(D1314,'Items'!$A$6:$A$1005,0)),"MISSING ID")</x:f>
        <x:v>Tendon cord</x:v>
      </x:c>
      <x:c r="F1314" s="4" t="str">
        <x:f>IFERROR(INDEX('Items'!$C$6:$C$1005,MATCH(D1314,'Items'!$A$6:$A$1005,0)),"MISSING ID")</x:f>
        <x:v>T1</x:v>
      </x:c>
      <x:c r="G1314" s="4" t="str">
        <x:f>IFERROR(INDEX('Items'!$D$6:$D$1005,MATCH(D1314,'Items'!$A$6:$A$1005,0)),"MISSING ID")</x:f>
        <x:v>Crafting components</x:v>
      </x:c>
      <x:c r="H1314" s="4" t="str">
        <x:f>IFERROR(INDEX('Items'!$X$6:$X$1005,MATCH(D1314,'Items'!$A$6:$A$1005,0)),"MISSING ID")</x:f>
        <x:v>Crafting component</x:v>
      </x:c>
      <x:c r="I1314" s="4"/>
      <x:c r="J1314" s="4" t="str">
        <x:v>Unspecified</x:v>
      </x:c>
      <x:c r="K1314" s="4" t="str">
        <x:f>IFERROR(INDEX('Crafting recipes'!$D$6:$D$1005,MATCH(B1314,'Crafting recipes'!$A$6:$A$1005,0)),"MISSING ID")</x:f>
        <x:v>Proposal</x:v>
      </x:c>
      <x:c r="L1314" s="4" t="str">
        <x:f>IFERROR(INDEX('Items'!$AD$6:$AD$1005,MATCH(D1314,'Items'!$A$6:$A$1005,0)),"MISSING ID")</x:f>
        <x:v>Proposal</x:v>
      </x:c>
      <x:c r="M1314" s="4" t="str">
        <x:f>IFERROR(INDEX('Crafting recipes'!$E$6:$E$1005,MATCH(B1314,'Crafting recipes'!$A$6:$A$1005,0)),"MISSING ID")</x:f>
        <x:v>Partial proposal</x:v>
      </x:c>
      <x:c r="N1314" s="4" t="str">
        <x:v>Candidate source or part only. Quantity, grade and method remain open.</x:v>
      </x:c>
      <x:c r="O1314" s="4" t="str">
        <x:v>Collection expansion, October 15, 2026. New game proposal.</x:v>
      </x:c>
      <x:c r="P1314" s="4" t="n">
        <x:f>IF(OR(C1314="Ingredient candidate",C1314="Consumed input",C1314="Contained input",C1314="Transform input"),IF(F1314="T0",0,IF(F1314="T1",1,IF(F1314="T2",2,IF(F1314="T3",3,IF(F1314="T4",4,-1))))),-1)</x:f>
        <x:v>1</x:v>
      </x:c>
      <x:c r="Q1314" s="4" t="n">
        <x:f>IF(AND(OR(C1314="Ingredient candidate",C1314="Consumed input",C1314="Contained input",C1314="Transform input"),P1314=-1),1,0)</x:f>
        <x:v>0</x:v>
      </x:c>
    </x:row>
    <x:row r="1315" ht="64" customHeight="1">
      <x:c r="A1315" s="4" t="str">
        <x:v>design.collection.rattle_alarm_tripline.in.2</x:v>
      </x:c>
      <x:c r="B1315" s="4" t="str">
        <x:v>design.collection.rattle_alarm_tripline</x:v>
      </x:c>
      <x:c r="C1315" s="4" t="str">
        <x:v>Ingredient candidate</x:v>
      </x:c>
      <x:c r="D1315" s="4" t="str">
        <x:v>proposal.collection.shell_clapper_pair</x:v>
      </x:c>
      <x:c r="E1315" s="4" t="str">
        <x:f>IFERROR(INDEX('Items'!$B$6:$B$1005,MATCH(D1315,'Items'!$A$6:$A$1005,0)),"MISSING ID")</x:f>
        <x:v>Shell-clapper pair</x:v>
      </x:c>
      <x:c r="F1315" s="4" t="str">
        <x:f>IFERROR(INDEX('Items'!$C$6:$C$1005,MATCH(D1315,'Items'!$A$6:$A$1005,0)),"MISSING ID")</x:f>
        <x:v>Not applicable</x:v>
      </x:c>
      <x:c r="G1315" s="4" t="str">
        <x:f>IFERROR(INDEX('Items'!$D$6:$D$1005,MATCH(D1315,'Items'!$A$6:$A$1005,0)),"MISSING ID")</x:f>
        <x:v>Salvage</x:v>
      </x:c>
      <x:c r="H1315" s="4" t="str">
        <x:f>IFERROR(INDEX('Items'!$X$6:$X$1005,MATCH(D1315,'Items'!$A$6:$A$1005,0)),"MISSING ID")</x:f>
        <x:v>Musical instrument</x:v>
      </x:c>
      <x:c r="I1315" s="4"/>
      <x:c r="J1315" s="4" t="str">
        <x:v>Unspecified</x:v>
      </x:c>
      <x:c r="K1315" s="4" t="str">
        <x:f>IFERROR(INDEX('Crafting recipes'!$D$6:$D$1005,MATCH(B1315,'Crafting recipes'!$A$6:$A$1005,0)),"MISSING ID")</x:f>
        <x:v>Proposal</x:v>
      </x:c>
      <x:c r="L1315" s="4" t="str">
        <x:f>IFERROR(INDEX('Items'!$AD$6:$AD$1005,MATCH(D1315,'Items'!$A$6:$A$1005,0)),"MISSING ID")</x:f>
        <x:v>Proposal</x:v>
      </x:c>
      <x:c r="M1315" s="4" t="str">
        <x:f>IFERROR(INDEX('Crafting recipes'!$E$6:$E$1005,MATCH(B1315,'Crafting recipes'!$A$6:$A$1005,0)),"MISSING ID")</x:f>
        <x:v>Partial proposal</x:v>
      </x:c>
      <x:c r="N1315" s="4" t="str">
        <x:v>Candidate source or part only. Quantity, grade and method remain open.</x:v>
      </x:c>
      <x:c r="O1315" s="4" t="str">
        <x:v>Collection expansion, October 15, 2026. New game proposal.</x:v>
      </x:c>
      <x:c r="P1315" s="4" t="n">
        <x:f>IF(OR(C1315="Ingredient candidate",C1315="Consumed input",C1315="Contained input",C1315="Transform input"),IF(F1315="T0",0,IF(F1315="T1",1,IF(F1315="T2",2,IF(F1315="T3",3,IF(F1315="T4",4,-1))))),-1)</x:f>
        <x:v>-1</x:v>
      </x:c>
      <x:c r="Q1315" s="4" t="n">
        <x:f>IF(AND(OR(C1315="Ingredient candidate",C1315="Consumed input",C1315="Contained input",C1315="Transform input"),P1315=-1),1,0)</x:f>
        <x:v>1</x:v>
      </x:c>
    </x:row>
    <x:row r="1316" ht="64" customHeight="1">
      <x:c r="A1316" s="4" t="str">
        <x:v>design.collection.rattle_alarm_tripline.out</x:v>
      </x:c>
      <x:c r="B1316" s="4" t="str">
        <x:v>design.collection.rattle_alarm_tripline</x:v>
      </x:c>
      <x:c r="C1316" s="4" t="str">
        <x:v>Output</x:v>
      </x:c>
      <x:c r="D1316" s="4" t="str">
        <x:v>proposal.collection.rattle_alarm_tripline</x:v>
      </x:c>
      <x:c r="E1316" s="4" t="str">
        <x:f>IFERROR(INDEX('Items'!$B$6:$B$1005,MATCH(D1316,'Items'!$A$6:$A$1005,0)),"MISSING ID")</x:f>
        <x:v>Rattle alarm tripline</x:v>
      </x:c>
      <x:c r="F1316" s="4" t="str">
        <x:f>IFERROR(INDEX('Items'!$C$6:$C$1005,MATCH(D1316,'Items'!$A$6:$A$1005,0)),"MISSING ID")</x:f>
        <x:v>Not applicable</x:v>
      </x:c>
      <x:c r="G1316" s="4" t="str">
        <x:f>IFERROR(INDEX('Items'!$D$6:$D$1005,MATCH(D1316,'Items'!$A$6:$A$1005,0)),"MISSING ID")</x:f>
        <x:v>Weapons</x:v>
      </x:c>
      <x:c r="H1316" s="4" t="str">
        <x:f>IFERROR(INDEX('Items'!$X$6:$X$1005,MATCH(D1316,'Items'!$A$6:$A$1005,0)),"MISSING ID")</x:f>
        <x:v>Trap</x:v>
      </x:c>
      <x:c r="I1316" s="4"/>
      <x:c r="J1316" s="4" t="str">
        <x:v>Unspecified</x:v>
      </x:c>
      <x:c r="K1316" s="4" t="str">
        <x:f>IFERROR(INDEX('Crafting recipes'!$D$6:$D$1005,MATCH(B1316,'Crafting recipes'!$A$6:$A$1005,0)),"MISSING ID")</x:f>
        <x:v>Proposal</x:v>
      </x:c>
      <x:c r="L1316" s="4" t="str">
        <x:f>IFERROR(INDEX('Items'!$AD$6:$AD$1005,MATCH(D1316,'Items'!$A$6:$A$1005,0)),"MISSING ID")</x:f>
        <x:v>Proposal</x:v>
      </x:c>
      <x:c r="M1316" s="4" t="str">
        <x:f>IFERROR(INDEX('Crafting recipes'!$E$6:$E$1005,MATCH(B1316,'Crafting recipes'!$A$6:$A$1005,0)),"MISSING ID")</x:f>
        <x:v>Partial proposal</x:v>
      </x:c>
      <x:c r="N1316" s="4" t="str">
        <x:v>Candidate source or part only. Quantity, grade and method remain open.</x:v>
      </x:c>
      <x:c r="O1316" s="4" t="str">
        <x:v>Collection expansion, October 15, 2026. New game proposal.</x:v>
      </x:c>
      <x:c r="P1316" s="4" t="n">
        <x:f>IF(OR(C1316="Ingredient candidate",C1316="Consumed input",C1316="Contained input",C1316="Transform input"),IF(F1316="T0",0,IF(F1316="T1",1,IF(F1316="T2",2,IF(F1316="T3",3,IF(F1316="T4",4,-1))))),-1)</x:f>
        <x:v>-1</x:v>
      </x:c>
      <x:c r="Q1316" s="4" t="n">
        <x:f>IF(AND(OR(C1316="Ingredient candidate",C1316="Consumed input",C1316="Contained input",C1316="Transform input"),P1316=-1),1,0)</x:f>
        <x:v>0</x:v>
      </x:c>
    </x:row>
    <x:row r="1317" ht="64" customHeight="1">
      <x:c r="A1317" s="4" t="str">
        <x:v>design.collection.metal_bell_alarm_tether.in.1</x:v>
      </x:c>
      <x:c r="B1317" s="4" t="str">
        <x:v>design.collection.metal_bell_alarm_tether</x:v>
      </x:c>
      <x:c r="C1317" s="4" t="str">
        <x:v>Ingredient candidate</x:v>
      </x:c>
      <x:c r="D1317" s="4" t="str">
        <x:v>proposal.bio.cord</x:v>
      </x:c>
      <x:c r="E1317" s="4" t="str">
        <x:f>IFERROR(INDEX('Items'!$B$6:$B$1005,MATCH(D1317,'Items'!$A$6:$A$1005,0)),"MISSING ID")</x:f>
        <x:v>Tendon cord</x:v>
      </x:c>
      <x:c r="F1317" s="4" t="str">
        <x:f>IFERROR(INDEX('Items'!$C$6:$C$1005,MATCH(D1317,'Items'!$A$6:$A$1005,0)),"MISSING ID")</x:f>
        <x:v>T1</x:v>
      </x:c>
      <x:c r="G1317" s="4" t="str">
        <x:f>IFERROR(INDEX('Items'!$D$6:$D$1005,MATCH(D1317,'Items'!$A$6:$A$1005,0)),"MISSING ID")</x:f>
        <x:v>Crafting components</x:v>
      </x:c>
      <x:c r="H1317" s="4" t="str">
        <x:f>IFERROR(INDEX('Items'!$X$6:$X$1005,MATCH(D1317,'Items'!$A$6:$A$1005,0)),"MISSING ID")</x:f>
        <x:v>Crafting component</x:v>
      </x:c>
      <x:c r="I1317" s="4"/>
      <x:c r="J1317" s="4" t="str">
        <x:v>Unspecified</x:v>
      </x:c>
      <x:c r="K1317" s="4" t="str">
        <x:f>IFERROR(INDEX('Crafting recipes'!$D$6:$D$1005,MATCH(B1317,'Crafting recipes'!$A$6:$A$1005,0)),"MISSING ID")</x:f>
        <x:v>Proposal</x:v>
      </x:c>
      <x:c r="L1317" s="4" t="str">
        <x:f>IFERROR(INDEX('Items'!$AD$6:$AD$1005,MATCH(D1317,'Items'!$A$6:$A$1005,0)),"MISSING ID")</x:f>
        <x:v>Proposal</x:v>
      </x:c>
      <x:c r="M1317" s="4" t="str">
        <x:f>IFERROR(INDEX('Crafting recipes'!$E$6:$E$1005,MATCH(B1317,'Crafting recipes'!$A$6:$A$1005,0)),"MISSING ID")</x:f>
        <x:v>Partial proposal</x:v>
      </x:c>
      <x:c r="N1317" s="4" t="str">
        <x:v>Candidate source or part only. Quantity, grade and method remain open.</x:v>
      </x:c>
      <x:c r="O1317" s="4" t="str">
        <x:v>Collection expansion, October 15, 2026. New game proposal.</x:v>
      </x:c>
      <x:c r="P1317" s="4" t="n">
        <x:f>IF(OR(C1317="Ingredient candidate",C1317="Consumed input",C1317="Contained input",C1317="Transform input"),IF(F1317="T0",0,IF(F1317="T1",1,IF(F1317="T2",2,IF(F1317="T3",3,IF(F1317="T4",4,-1))))),-1)</x:f>
        <x:v>1</x:v>
      </x:c>
      <x:c r="Q1317" s="4" t="n">
        <x:f>IF(AND(OR(C1317="Ingredient candidate",C1317="Consumed input",C1317="Contained input",C1317="Transform input"),P1317=-1),1,0)</x:f>
        <x:v>0</x:v>
      </x:c>
    </x:row>
    <x:row r="1318" ht="64" customHeight="1">
      <x:c r="A1318" s="4" t="str">
        <x:v>design.collection.metal_bell_alarm_tether.in.2</x:v>
      </x:c>
      <x:c r="B1318" s="4" t="str">
        <x:v>design.collection.metal_bell_alarm_tether</x:v>
      </x:c>
      <x:c r="C1318" s="4" t="str">
        <x:v>Ingredient candidate</x:v>
      </x:c>
      <x:c r="D1318" s="4" t="str">
        <x:v>proposal.collection.bronze_hand_bell</x:v>
      </x:c>
      <x:c r="E1318" s="4" t="str">
        <x:f>IFERROR(INDEX('Items'!$B$6:$B$1005,MATCH(D1318,'Items'!$A$6:$A$1005,0)),"MISSING ID")</x:f>
        <x:v>Bronze hand bell</x:v>
      </x:c>
      <x:c r="F1318" s="4" t="str">
        <x:f>IFERROR(INDEX('Items'!$C$6:$C$1005,MATCH(D1318,'Items'!$A$6:$A$1005,0)),"MISSING ID")</x:f>
        <x:v>Not applicable</x:v>
      </x:c>
      <x:c r="G1318" s="4" t="str">
        <x:f>IFERROR(INDEX('Items'!$D$6:$D$1005,MATCH(D1318,'Items'!$A$6:$A$1005,0)),"MISSING ID")</x:f>
        <x:v>Salvage</x:v>
      </x:c>
      <x:c r="H1318" s="4" t="str">
        <x:f>IFERROR(INDEX('Items'!$X$6:$X$1005,MATCH(D1318,'Items'!$A$6:$A$1005,0)),"MISSING ID")</x:f>
        <x:v>Musical instrument</x:v>
      </x:c>
      <x:c r="I1318" s="4"/>
      <x:c r="J1318" s="4" t="str">
        <x:v>Unspecified</x:v>
      </x:c>
      <x:c r="K1318" s="4" t="str">
        <x:f>IFERROR(INDEX('Crafting recipes'!$D$6:$D$1005,MATCH(B1318,'Crafting recipes'!$A$6:$A$1005,0)),"MISSING ID")</x:f>
        <x:v>Proposal</x:v>
      </x:c>
      <x:c r="L1318" s="4" t="str">
        <x:f>IFERROR(INDEX('Items'!$AD$6:$AD$1005,MATCH(D1318,'Items'!$A$6:$A$1005,0)),"MISSING ID")</x:f>
        <x:v>Proposal</x:v>
      </x:c>
      <x:c r="M1318" s="4" t="str">
        <x:f>IFERROR(INDEX('Crafting recipes'!$E$6:$E$1005,MATCH(B1318,'Crafting recipes'!$A$6:$A$1005,0)),"MISSING ID")</x:f>
        <x:v>Partial proposal</x:v>
      </x:c>
      <x:c r="N1318" s="4" t="str">
        <x:v>Candidate source or part only. Quantity, grade and method remain open.</x:v>
      </x:c>
      <x:c r="O1318" s="4" t="str">
        <x:v>Collection expansion, October 15, 2026. New game proposal.</x:v>
      </x:c>
      <x:c r="P1318" s="4" t="n">
        <x:f>IF(OR(C1318="Ingredient candidate",C1318="Consumed input",C1318="Contained input",C1318="Transform input"),IF(F1318="T0",0,IF(F1318="T1",1,IF(F1318="T2",2,IF(F1318="T3",3,IF(F1318="T4",4,-1))))),-1)</x:f>
        <x:v>-1</x:v>
      </x:c>
      <x:c r="Q1318" s="4" t="n">
        <x:f>IF(AND(OR(C1318="Ingredient candidate",C1318="Consumed input",C1318="Contained input",C1318="Transform input"),P1318=-1),1,0)</x:f>
        <x:v>1</x:v>
      </x:c>
    </x:row>
    <x:row r="1319" ht="64" customHeight="1">
      <x:c r="A1319" s="4" t="str">
        <x:v>design.collection.metal_bell_alarm_tether.out</x:v>
      </x:c>
      <x:c r="B1319" s="4" t="str">
        <x:v>design.collection.metal_bell_alarm_tether</x:v>
      </x:c>
      <x:c r="C1319" s="4" t="str">
        <x:v>Output</x:v>
      </x:c>
      <x:c r="D1319" s="4" t="str">
        <x:v>proposal.collection.metal_bell_alarm_tether</x:v>
      </x:c>
      <x:c r="E1319" s="4" t="str">
        <x:f>IFERROR(INDEX('Items'!$B$6:$B$1005,MATCH(D1319,'Items'!$A$6:$A$1005,0)),"MISSING ID")</x:f>
        <x:v>Metal bell alarm tether</x:v>
      </x:c>
      <x:c r="F1319" s="4" t="str">
        <x:f>IFERROR(INDEX('Items'!$C$6:$C$1005,MATCH(D1319,'Items'!$A$6:$A$1005,0)),"MISSING ID")</x:f>
        <x:v>Not applicable</x:v>
      </x:c>
      <x:c r="G1319" s="4" t="str">
        <x:f>IFERROR(INDEX('Items'!$D$6:$D$1005,MATCH(D1319,'Items'!$A$6:$A$1005,0)),"MISSING ID")</x:f>
        <x:v>Weapons</x:v>
      </x:c>
      <x:c r="H1319" s="4" t="str">
        <x:f>IFERROR(INDEX('Items'!$X$6:$X$1005,MATCH(D1319,'Items'!$A$6:$A$1005,0)),"MISSING ID")</x:f>
        <x:v>Trap</x:v>
      </x:c>
      <x:c r="I1319" s="4"/>
      <x:c r="J1319" s="4" t="str">
        <x:v>Unspecified</x:v>
      </x:c>
      <x:c r="K1319" s="4" t="str">
        <x:f>IFERROR(INDEX('Crafting recipes'!$D$6:$D$1005,MATCH(B1319,'Crafting recipes'!$A$6:$A$1005,0)),"MISSING ID")</x:f>
        <x:v>Proposal</x:v>
      </x:c>
      <x:c r="L1319" s="4" t="str">
        <x:f>IFERROR(INDEX('Items'!$AD$6:$AD$1005,MATCH(D1319,'Items'!$A$6:$A$1005,0)),"MISSING ID")</x:f>
        <x:v>Proposal</x:v>
      </x:c>
      <x:c r="M1319" s="4" t="str">
        <x:f>IFERROR(INDEX('Crafting recipes'!$E$6:$E$1005,MATCH(B1319,'Crafting recipes'!$A$6:$A$1005,0)),"MISSING ID")</x:f>
        <x:v>Partial proposal</x:v>
      </x:c>
      <x:c r="N1319" s="4" t="str">
        <x:v>Candidate source or part only. Quantity, grade and method remain open.</x:v>
      </x:c>
      <x:c r="O1319" s="4" t="str">
        <x:v>Collection expansion, October 15, 2026. New game proposal.</x:v>
      </x:c>
      <x:c r="P1319" s="4" t="n">
        <x:f>IF(OR(C1319="Ingredient candidate",C1319="Consumed input",C1319="Contained input",C1319="Transform input"),IF(F1319="T0",0,IF(F1319="T1",1,IF(F1319="T2",2,IF(F1319="T3",3,IF(F1319="T4",4,-1))))),-1)</x:f>
        <x:v>-1</x:v>
      </x:c>
      <x:c r="Q1319" s="4" t="n">
        <x:f>IF(AND(OR(C1319="Ingredient candidate",C1319="Consumed input",C1319="Contained input",C1319="Transform input"),P1319=-1),1,0)</x:f>
        <x:v>0</x:v>
      </x:c>
    </x:row>
    <x:row r="1320" ht="64" customHeight="1">
      <x:c r="A1320" s="4" t="str">
        <x:v>design.collection.folding_hooked_trip_frame.in.1</x:v>
      </x:c>
      <x:c r="B1320" s="4" t="str">
        <x:v>design.collection.folding_hooked_trip_frame</x:v>
      </x:c>
      <x:c r="C1320" s="4" t="str">
        <x:v>Ingredient candidate</x:v>
      </x:c>
      <x:c r="D1320" s="4" t="str">
        <x:v>author.metallurgy.steel_stock</x:v>
      </x:c>
      <x:c r="E1320" s="4" t="str">
        <x:f>IFERROR(INDEX('Items'!$B$6:$B$1005,MATCH(D1320,'Items'!$A$6:$A$1005,0)),"MISSING ID")</x:f>
        <x:v>Steel stock</x:v>
      </x:c>
      <x:c r="F1320" s="4" t="str">
        <x:f>IFERROR(INDEX('Items'!$C$6:$C$1005,MATCH(D1320,'Items'!$A$6:$A$1005,0)),"MISSING ID")</x:f>
        <x:v>T2</x:v>
      </x:c>
      <x:c r="G1320" s="4" t="str">
        <x:f>IFERROR(INDEX('Items'!$D$6:$D$1005,MATCH(D1320,'Items'!$A$6:$A$1005,0)),"MISSING ID")</x:f>
        <x:v>Manufactured stock</x:v>
      </x:c>
      <x:c r="H1320" s="4" t="str">
        <x:f>IFERROR(INDEX('Items'!$X$6:$X$1005,MATCH(D1320,'Items'!$A$6:$A$1005,0)),"MISSING ID")</x:f>
        <x:v>Processed material</x:v>
      </x:c>
      <x:c r="I1320" s="4"/>
      <x:c r="J1320" s="4" t="str">
        <x:v>Unspecified</x:v>
      </x:c>
      <x:c r="K1320" s="4" t="str">
        <x:f>IFERROR(INDEX('Crafting recipes'!$D$6:$D$1005,MATCH(B1320,'Crafting recipes'!$A$6:$A$1005,0)),"MISSING ID")</x:f>
        <x:v>Proposal</x:v>
      </x:c>
      <x:c r="L1320" s="4" t="str">
        <x:f>IFERROR(INDEX('Items'!$AD$6:$AD$1005,MATCH(D1320,'Items'!$A$6:$A$1005,0)),"MISSING ID")</x:f>
        <x:v>Author direction</x:v>
      </x:c>
      <x:c r="M1320" s="4" t="str">
        <x:f>IFERROR(INDEX('Crafting recipes'!$E$6:$E$1005,MATCH(B1320,'Crafting recipes'!$A$6:$A$1005,0)),"MISSING ID")</x:f>
        <x:v>Partial proposal</x:v>
      </x:c>
      <x:c r="N1320" s="4" t="str">
        <x:v>Candidate source or part only. Quantity, grade and method remain open.</x:v>
      </x:c>
      <x:c r="O1320" s="4" t="str">
        <x:v>Collection expansion, October 15, 2026. New game proposal.</x:v>
      </x:c>
      <x:c r="P1320" s="4" t="n">
        <x:f>IF(OR(C1320="Ingredient candidate",C1320="Consumed input",C1320="Contained input",C1320="Transform input"),IF(F1320="T0",0,IF(F1320="T1",1,IF(F1320="T2",2,IF(F1320="T3",3,IF(F1320="T4",4,-1))))),-1)</x:f>
        <x:v>2</x:v>
      </x:c>
      <x:c r="Q1320" s="4" t="n">
        <x:f>IF(AND(OR(C1320="Ingredient candidate",C1320="Consumed input",C1320="Contained input",C1320="Transform input"),P1320=-1),1,0)</x:f>
        <x:v>0</x:v>
      </x:c>
    </x:row>
    <x:row r="1321" ht="64" customHeight="1">
      <x:c r="A1321" s="4" t="str">
        <x:v>design.collection.folding_hooked_trip_frame.in.2</x:v>
      </x:c>
      <x:c r="B1321" s="4" t="str">
        <x:v>design.collection.folding_hooked_trip_frame</x:v>
      </x:c>
      <x:c r="C1321" s="4" t="str">
        <x:v>Ingredient candidate</x:v>
      </x:c>
      <x:c r="D1321" s="4" t="str">
        <x:v>proposal.legger.joint_pin</x:v>
      </x:c>
      <x:c r="E1321" s="4" t="str">
        <x:f>IFERROR(INDEX('Items'!$B$6:$B$1005,MATCH(D1321,'Items'!$A$6:$A$1005,0)),"MISSING ID")</x:f>
        <x:v>Replaceable joint pin</x:v>
      </x:c>
      <x:c r="F1321" s="4" t="str">
        <x:f>IFERROR(INDEX('Items'!$C$6:$C$1005,MATCH(D1321,'Items'!$A$6:$A$1005,0)),"MISSING ID")</x:f>
        <x:v>T3</x:v>
      </x:c>
      <x:c r="G1321" s="4" t="str">
        <x:f>IFERROR(INDEX('Items'!$D$6:$D$1005,MATCH(D1321,'Items'!$A$6:$A$1005,0)),"MISSING ID")</x:f>
        <x:v>Crafting components</x:v>
      </x:c>
      <x:c r="H1321" s="4" t="str">
        <x:f>IFERROR(INDEX('Items'!$X$6:$X$1005,MATCH(D1321,'Items'!$A$6:$A$1005,0)),"MISSING ID")</x:f>
        <x:v>Crafting component</x:v>
      </x:c>
      <x:c r="I1321" s="4"/>
      <x:c r="J1321" s="4" t="str">
        <x:v>Unspecified</x:v>
      </x:c>
      <x:c r="K1321" s="4" t="str">
        <x:f>IFERROR(INDEX('Crafting recipes'!$D$6:$D$1005,MATCH(B1321,'Crafting recipes'!$A$6:$A$1005,0)),"MISSING ID")</x:f>
        <x:v>Proposal</x:v>
      </x:c>
      <x:c r="L1321" s="4" t="str">
        <x:f>IFERROR(INDEX('Items'!$AD$6:$AD$1005,MATCH(D1321,'Items'!$A$6:$A$1005,0)),"MISSING ID")</x:f>
        <x:v>Proposal</x:v>
      </x:c>
      <x:c r="M1321" s="4" t="str">
        <x:f>IFERROR(INDEX('Crafting recipes'!$E$6:$E$1005,MATCH(B1321,'Crafting recipes'!$A$6:$A$1005,0)),"MISSING ID")</x:f>
        <x:v>Partial proposal</x:v>
      </x:c>
      <x:c r="N1321" s="4" t="str">
        <x:v>Candidate source or part only. Quantity, grade and method remain open.</x:v>
      </x:c>
      <x:c r="O1321" s="4" t="str">
        <x:v>Collection expansion, October 15, 2026. New game proposal.</x:v>
      </x:c>
      <x:c r="P1321" s="4" t="n">
        <x:f>IF(OR(C1321="Ingredient candidate",C1321="Consumed input",C1321="Contained input",C1321="Transform input"),IF(F1321="T0",0,IF(F1321="T1",1,IF(F1321="T2",2,IF(F1321="T3",3,IF(F1321="T4",4,-1))))),-1)</x:f>
        <x:v>3</x:v>
      </x:c>
      <x:c r="Q1321" s="4" t="n">
        <x:f>IF(AND(OR(C1321="Ingredient candidate",C1321="Consumed input",C1321="Contained input",C1321="Transform input"),P1321=-1),1,0)</x:f>
        <x:v>0</x:v>
      </x:c>
    </x:row>
    <x:row r="1322" ht="64" customHeight="1">
      <x:c r="A1322" s="4" t="str">
        <x:v>design.collection.folding_hooked_trip_frame.out</x:v>
      </x:c>
      <x:c r="B1322" s="4" t="str">
        <x:v>design.collection.folding_hooked_trip_frame</x:v>
      </x:c>
      <x:c r="C1322" s="4" t="str">
        <x:v>Output</x:v>
      </x:c>
      <x:c r="D1322" s="4" t="str">
        <x:v>proposal.collection.folding_hooked_trip_frame</x:v>
      </x:c>
      <x:c r="E1322" s="4" t="str">
        <x:f>IFERROR(INDEX('Items'!$B$6:$B$1005,MATCH(D1322,'Items'!$A$6:$A$1005,0)),"MISSING ID")</x:f>
        <x:v>Folding hooked trip frame</x:v>
      </x:c>
      <x:c r="F1322" s="4" t="str">
        <x:f>IFERROR(INDEX('Items'!$C$6:$C$1005,MATCH(D1322,'Items'!$A$6:$A$1005,0)),"MISSING ID")</x:f>
        <x:v>Not applicable</x:v>
      </x:c>
      <x:c r="G1322" s="4" t="str">
        <x:f>IFERROR(INDEX('Items'!$D$6:$D$1005,MATCH(D1322,'Items'!$A$6:$A$1005,0)),"MISSING ID")</x:f>
        <x:v>Weapons</x:v>
      </x:c>
      <x:c r="H1322" s="4" t="str">
        <x:f>IFERROR(INDEX('Items'!$X$6:$X$1005,MATCH(D1322,'Items'!$A$6:$A$1005,0)),"MISSING ID")</x:f>
        <x:v>Trap</x:v>
      </x:c>
      <x:c r="I1322" s="4"/>
      <x:c r="J1322" s="4" t="str">
        <x:v>Unspecified</x:v>
      </x:c>
      <x:c r="K1322" s="4" t="str">
        <x:f>IFERROR(INDEX('Crafting recipes'!$D$6:$D$1005,MATCH(B1322,'Crafting recipes'!$A$6:$A$1005,0)),"MISSING ID")</x:f>
        <x:v>Proposal</x:v>
      </x:c>
      <x:c r="L1322" s="4" t="str">
        <x:f>IFERROR(INDEX('Items'!$AD$6:$AD$1005,MATCH(D1322,'Items'!$A$6:$A$1005,0)),"MISSING ID")</x:f>
        <x:v>Proposal</x:v>
      </x:c>
      <x:c r="M1322" s="4" t="str">
        <x:f>IFERROR(INDEX('Crafting recipes'!$E$6:$E$1005,MATCH(B1322,'Crafting recipes'!$A$6:$A$1005,0)),"MISSING ID")</x:f>
        <x:v>Partial proposal</x:v>
      </x:c>
      <x:c r="N1322" s="4" t="str">
        <x:v>Candidate source or part only. Quantity, grade and method remain open.</x:v>
      </x:c>
      <x:c r="O1322" s="4" t="str">
        <x:v>Collection expansion, October 15, 2026. New game proposal.</x:v>
      </x:c>
      <x:c r="P1322" s="4" t="n">
        <x:f>IF(OR(C1322="Ingredient candidate",C1322="Consumed input",C1322="Contained input",C1322="Transform input"),IF(F1322="T0",0,IF(F1322="T1",1,IF(F1322="T2",2,IF(F1322="T3",3,IF(F1322="T4",4,-1))))),-1)</x:f>
        <x:v>-1</x:v>
      </x:c>
      <x:c r="Q1322" s="4" t="n">
        <x:f>IF(AND(OR(C1322="Ingredient candidate",C1322="Consumed input",C1322="Contained input",C1322="Transform input"),P1322=-1),1,0)</x:f>
        <x:v>0</x:v>
      </x:c>
    </x:row>
    <x:row r="1323" ht="64" customHeight="1">
      <x:c r="A1323" s="4"/>
      <x:c r="B1323" s="4"/>
      <x:c r="C1323" s="4"/>
      <x:c r="D1323" s="4"/>
      <x:c r="E1323" s="4"/>
      <x:c r="F1323" s="4"/>
      <x:c r="G1323" s="4"/>
      <x:c r="H1323" s="4"/>
      <x:c r="I1323" s="4"/>
      <x:c r="J1323" s="4"/>
      <x:c r="K1323" s="4"/>
      <x:c r="L1323" s="4"/>
      <x:c r="M1323" s="4"/>
      <x:c r="N1323" s="4"/>
      <x:c r="O1323" s="4"/>
      <x:c r="P1323" s="4"/>
      <x:c r="Q1323" s="4"/>
    </x:row>
    <x:row r="1324" ht="64" customHeight="1">
      <x:c r="A1324" s="4"/>
      <x:c r="B1324" s="4"/>
      <x:c r="C1324" s="4"/>
      <x:c r="D1324" s="4"/>
      <x:c r="E1324" s="4"/>
      <x:c r="F1324" s="4"/>
      <x:c r="G1324" s="4"/>
      <x:c r="H1324" s="4"/>
      <x:c r="I1324" s="4"/>
      <x:c r="J1324" s="4"/>
      <x:c r="K1324" s="4"/>
      <x:c r="L1324" s="4"/>
      <x:c r="M1324" s="4"/>
      <x:c r="N1324" s="4"/>
      <x:c r="O1324" s="4"/>
      <x:c r="P1324" s="4"/>
      <x:c r="Q1324" s="4"/>
    </x:row>
    <x:row r="1325" ht="64" customHeight="1">
      <x:c r="A1325" s="4"/>
      <x:c r="B1325" s="4"/>
      <x:c r="C1325" s="4"/>
      <x:c r="D1325" s="4"/>
      <x:c r="E1325" s="4"/>
      <x:c r="F1325" s="4"/>
      <x:c r="G1325" s="4"/>
      <x:c r="H1325" s="4"/>
      <x:c r="I1325" s="4"/>
      <x:c r="J1325" s="4"/>
      <x:c r="K1325" s="4"/>
      <x:c r="L1325" s="4"/>
      <x:c r="M1325" s="4"/>
      <x:c r="N1325" s="4"/>
      <x:c r="O1325" s="4"/>
      <x:c r="P1325" s="4"/>
      <x:c r="Q1325" s="4"/>
    </x:row>
    <x:row r="1326" ht="64" customHeight="1">
      <x:c r="A1326" s="4"/>
      <x:c r="B1326" s="4"/>
      <x:c r="C1326" s="4"/>
      <x:c r="D1326" s="4"/>
      <x:c r="E1326" s="4"/>
      <x:c r="F1326" s="4"/>
      <x:c r="G1326" s="4"/>
      <x:c r="H1326" s="4"/>
      <x:c r="I1326" s="4"/>
      <x:c r="J1326" s="4"/>
      <x:c r="K1326" s="4"/>
      <x:c r="L1326" s="4"/>
      <x:c r="M1326" s="4"/>
      <x:c r="N1326" s="4"/>
      <x:c r="O1326" s="4"/>
      <x:c r="P1326" s="4"/>
      <x:c r="Q1326" s="4"/>
    </x:row>
    <x:row r="1327" ht="64" customHeight="1">
      <x:c r="A1327" s="4"/>
      <x:c r="B1327" s="4"/>
      <x:c r="C1327" s="4"/>
      <x:c r="D1327" s="4"/>
      <x:c r="E1327" s="4"/>
      <x:c r="F1327" s="4"/>
      <x:c r="G1327" s="4"/>
      <x:c r="H1327" s="4"/>
      <x:c r="I1327" s="4"/>
      <x:c r="J1327" s="4"/>
      <x:c r="K1327" s="4"/>
      <x:c r="L1327" s="4"/>
      <x:c r="M1327" s="4"/>
      <x:c r="N1327" s="4"/>
      <x:c r="O1327" s="4"/>
      <x:c r="P1327" s="4"/>
      <x:c r="Q1327" s="4"/>
    </x:row>
    <x:row r="1328" ht="64" customHeight="1">
      <x:c r="A1328" s="4" t="str">
        <x:v>design.collection.shell_spine_scatter_mat.in.1</x:v>
      </x:c>
      <x:c r="B1328" s="4" t="str">
        <x:v>design.collection.shell_spine_scatter_mat</x:v>
      </x:c>
      <x:c r="C1328" s="4" t="str">
        <x:v>Ingredient candidate</x:v>
      </x:c>
      <x:c r="D1328" s="4" t="str">
        <x:v>proposal.raw.spines</x:v>
      </x:c>
      <x:c r="E1328" s="4" t="str">
        <x:f>IFERROR(INDEX('Items'!$B$6:$B$1005,MATCH(D1328,'Items'!$A$6:$A$1005,0)),"MISSING ID")</x:f>
        <x:v>Loose fauna spines</x:v>
      </x:c>
      <x:c r="F1328" s="4" t="str">
        <x:f>IFERROR(INDEX('Items'!$C$6:$C$1005,MATCH(D1328,'Items'!$A$6:$A$1005,0)),"MISSING ID")</x:f>
        <x:v>T0</x:v>
      </x:c>
      <x:c r="G1328" s="4" t="str">
        <x:f>IFERROR(INDEX('Items'!$D$6:$D$1005,MATCH(D1328,'Items'!$A$6:$A$1005,0)),"MISSING ID")</x:f>
        <x:v>Biological resources</x:v>
      </x:c>
      <x:c r="H1328" s="4" t="str">
        <x:f>IFERROR(INDEX('Items'!$X$6:$X$1005,MATCH(D1328,'Items'!$A$6:$A$1005,0)),"MISSING ID")</x:f>
        <x:v>Raw material</x:v>
      </x:c>
      <x:c r="I1328" s="4"/>
      <x:c r="J1328" s="4" t="str">
        <x:v>Unspecified</x:v>
      </x:c>
      <x:c r="K1328" s="4" t="str">
        <x:f>IFERROR(INDEX('Crafting recipes'!$D$6:$D$1005,MATCH(B1328,'Crafting recipes'!$A$6:$A$1005,0)),"MISSING ID")</x:f>
        <x:v>Proposal</x:v>
      </x:c>
      <x:c r="L1328" s="4" t="str">
        <x:f>IFERROR(INDEX('Items'!$AD$6:$AD$1005,MATCH(D1328,'Items'!$A$6:$A$1005,0)),"MISSING ID")</x:f>
        <x:v>Proposal</x:v>
      </x:c>
      <x:c r="M1328" s="4" t="str">
        <x:f>IFERROR(INDEX('Crafting recipes'!$E$6:$E$1005,MATCH(B1328,'Crafting recipes'!$A$6:$A$1005,0)),"MISSING ID")</x:f>
        <x:v>Partial proposal</x:v>
      </x:c>
      <x:c r="N1328" s="4" t="str">
        <x:v>Candidate source or part only. Quantity, grade and method remain open.</x:v>
      </x:c>
      <x:c r="O1328" s="4" t="str">
        <x:v>Collection expansion, October 15, 2026. New game proposal.</x:v>
      </x:c>
      <x:c r="P1328" s="4" t="n">
        <x:f>IF(OR(C1328="Ingredient candidate",C1328="Consumed input",C1328="Contained input",C1328="Transform input"),IF(F1328="T0",0,IF(F1328="T1",1,IF(F1328="T2",2,IF(F1328="T3",3,IF(F1328="T4",4,-1))))),-1)</x:f>
        <x:v>0</x:v>
      </x:c>
      <x:c r="Q1328" s="4" t="n">
        <x:f>IF(AND(OR(C1328="Ingredient candidate",C1328="Consumed input",C1328="Contained input",C1328="Transform input"),P1328=-1),1,0)</x:f>
        <x:v>0</x:v>
      </x:c>
    </x:row>
    <x:row r="1329" ht="64" customHeight="1">
      <x:c r="A1329" s="4" t="str">
        <x:v>design.collection.shell_spine_scatter_mat.in.2</x:v>
      </x:c>
      <x:c r="B1329" s="4" t="str">
        <x:v>design.collection.shell_spine_scatter_mat</x:v>
      </x:c>
      <x:c r="C1329" s="4" t="str">
        <x:v>Ingredient candidate</x:v>
      </x:c>
      <x:c r="D1329" s="4" t="str">
        <x:v>proposal.branch.husk_sheet</x:v>
      </x:c>
      <x:c r="E1329" s="4" t="str">
        <x:f>IFERROR(INDEX('Items'!$B$6:$B$1005,MATCH(D1329,'Items'!$A$6:$A$1005,0)),"MISSING ID")</x:f>
        <x:v>Bonded husk sheet</x:v>
      </x:c>
      <x:c r="F1329" s="4" t="str">
        <x:f>IFERROR(INDEX('Items'!$C$6:$C$1005,MATCH(D1329,'Items'!$A$6:$A$1005,0)),"MISSING ID")</x:f>
        <x:v>T2</x:v>
      </x:c>
      <x:c r="G1329" s="4" t="str">
        <x:f>IFERROR(INDEX('Items'!$D$6:$D$1005,MATCH(D1329,'Items'!$A$6:$A$1005,0)),"MISSING ID")</x:f>
        <x:v>Manufactured stock</x:v>
      </x:c>
      <x:c r="H1329" s="4" t="str">
        <x:f>IFERROR(INDEX('Items'!$X$6:$X$1005,MATCH(D1329,'Items'!$A$6:$A$1005,0)),"MISSING ID")</x:f>
        <x:v>Processed material</x:v>
      </x:c>
      <x:c r="I1329" s="4"/>
      <x:c r="J1329" s="4" t="str">
        <x:v>Unspecified</x:v>
      </x:c>
      <x:c r="K1329" s="4" t="str">
        <x:f>IFERROR(INDEX('Crafting recipes'!$D$6:$D$1005,MATCH(B1329,'Crafting recipes'!$A$6:$A$1005,0)),"MISSING ID")</x:f>
        <x:v>Proposal</x:v>
      </x:c>
      <x:c r="L1329" s="4" t="str">
        <x:f>IFERROR(INDEX('Items'!$AD$6:$AD$1005,MATCH(D1329,'Items'!$A$6:$A$1005,0)),"MISSING ID")</x:f>
        <x:v>Proposal</x:v>
      </x:c>
      <x:c r="M1329" s="4" t="str">
        <x:f>IFERROR(INDEX('Crafting recipes'!$E$6:$E$1005,MATCH(B1329,'Crafting recipes'!$A$6:$A$1005,0)),"MISSING ID")</x:f>
        <x:v>Partial proposal</x:v>
      </x:c>
      <x:c r="N1329" s="4" t="str">
        <x:v>Candidate source or part only. Quantity, grade and method remain open.</x:v>
      </x:c>
      <x:c r="O1329" s="4" t="str">
        <x:v>Collection expansion, October 15, 2026. New game proposal.</x:v>
      </x:c>
      <x:c r="P1329" s="4" t="n">
        <x:f>IF(OR(C1329="Ingredient candidate",C1329="Consumed input",C1329="Contained input",C1329="Transform input"),IF(F1329="T0",0,IF(F1329="T1",1,IF(F1329="T2",2,IF(F1329="T3",3,IF(F1329="T4",4,-1))))),-1)</x:f>
        <x:v>2</x:v>
      </x:c>
      <x:c r="Q1329" s="4" t="n">
        <x:f>IF(AND(OR(C1329="Ingredient candidate",C1329="Consumed input",C1329="Contained input",C1329="Transform input"),P1329=-1),1,0)</x:f>
        <x:v>0</x:v>
      </x:c>
    </x:row>
    <x:row r="1330" ht="64" customHeight="1">
      <x:c r="A1330" s="4" t="str">
        <x:v>design.collection.shell_spine_scatter_mat.out</x:v>
      </x:c>
      <x:c r="B1330" s="4" t="str">
        <x:v>design.collection.shell_spine_scatter_mat</x:v>
      </x:c>
      <x:c r="C1330" s="4" t="str">
        <x:v>Output</x:v>
      </x:c>
      <x:c r="D1330" s="4" t="str">
        <x:v>proposal.collection.shell_spine_scatter_mat</x:v>
      </x:c>
      <x:c r="E1330" s="4" t="str">
        <x:f>IFERROR(INDEX('Items'!$B$6:$B$1005,MATCH(D1330,'Items'!$A$6:$A$1005,0)),"MISSING ID")</x:f>
        <x:v>Shell-spine scatter mat</x:v>
      </x:c>
      <x:c r="F1330" s="4" t="str">
        <x:f>IFERROR(INDEX('Items'!$C$6:$C$1005,MATCH(D1330,'Items'!$A$6:$A$1005,0)),"MISSING ID")</x:f>
        <x:v>Not applicable</x:v>
      </x:c>
      <x:c r="G1330" s="4" t="str">
        <x:f>IFERROR(INDEX('Items'!$D$6:$D$1005,MATCH(D1330,'Items'!$A$6:$A$1005,0)),"MISSING ID")</x:f>
        <x:v>Weapons</x:v>
      </x:c>
      <x:c r="H1330" s="4" t="str">
        <x:f>IFERROR(INDEX('Items'!$X$6:$X$1005,MATCH(D1330,'Items'!$A$6:$A$1005,0)),"MISSING ID")</x:f>
        <x:v>Trap</x:v>
      </x:c>
      <x:c r="I1330" s="4"/>
      <x:c r="J1330" s="4" t="str">
        <x:v>Unspecified</x:v>
      </x:c>
      <x:c r="K1330" s="4" t="str">
        <x:f>IFERROR(INDEX('Crafting recipes'!$D$6:$D$1005,MATCH(B1330,'Crafting recipes'!$A$6:$A$1005,0)),"MISSING ID")</x:f>
        <x:v>Proposal</x:v>
      </x:c>
      <x:c r="L1330" s="4" t="str">
        <x:f>IFERROR(INDEX('Items'!$AD$6:$AD$1005,MATCH(D1330,'Items'!$A$6:$A$1005,0)),"MISSING ID")</x:f>
        <x:v>Proposal</x:v>
      </x:c>
      <x:c r="M1330" s="4" t="str">
        <x:f>IFERROR(INDEX('Crafting recipes'!$E$6:$E$1005,MATCH(B1330,'Crafting recipes'!$A$6:$A$1005,0)),"MISSING ID")</x:f>
        <x:v>Partial proposal</x:v>
      </x:c>
      <x:c r="N1330" s="4" t="str">
        <x:v>Candidate source or part only. Quantity, grade and method remain open.</x:v>
      </x:c>
      <x:c r="O1330" s="4" t="str">
        <x:v>Collection expansion, October 15, 2026. New game proposal.</x:v>
      </x:c>
      <x:c r="P1330" s="4" t="n">
        <x:f>IF(OR(C1330="Ingredient candidate",C1330="Consumed input",C1330="Contained input",C1330="Transform input"),IF(F1330="T0",0,IF(F1330="T1",1,IF(F1330="T2",2,IF(F1330="T3",3,IF(F1330="T4",4,-1))))),-1)</x:f>
        <x:v>-1</x:v>
      </x:c>
      <x:c r="Q1330" s="4" t="n">
        <x:f>IF(AND(OR(C1330="Ingredient candidate",C1330="Consumed input",C1330="Contained input",C1330="Transform input"),P1330=-1),1,0)</x:f>
        <x:v>0</x:v>
      </x:c>
    </x:row>
    <x:row r="1331" ht="64" customHeight="1">
      <x:c r="A1331" s="4" t="str">
        <x:v>design.collection.collapsible_wheel_chock.in.1</x:v>
      </x:c>
      <x:c r="B1331" s="4" t="str">
        <x:v>design.collection.collapsible_wheel_chock</x:v>
      </x:c>
      <x:c r="C1331" s="4" t="str">
        <x:v>Ingredient candidate</x:v>
      </x:c>
      <x:c r="D1331" s="4" t="str">
        <x:v>author.metallurgy.steel_stock</x:v>
      </x:c>
      <x:c r="E1331" s="4" t="str">
        <x:f>IFERROR(INDEX('Items'!$B$6:$B$1005,MATCH(D1331,'Items'!$A$6:$A$1005,0)),"MISSING ID")</x:f>
        <x:v>Steel stock</x:v>
      </x:c>
      <x:c r="F1331" s="4" t="str">
        <x:f>IFERROR(INDEX('Items'!$C$6:$C$1005,MATCH(D1331,'Items'!$A$6:$A$1005,0)),"MISSING ID")</x:f>
        <x:v>T2</x:v>
      </x:c>
      <x:c r="G1331" s="4" t="str">
        <x:f>IFERROR(INDEX('Items'!$D$6:$D$1005,MATCH(D1331,'Items'!$A$6:$A$1005,0)),"MISSING ID")</x:f>
        <x:v>Manufactured stock</x:v>
      </x:c>
      <x:c r="H1331" s="4" t="str">
        <x:f>IFERROR(INDEX('Items'!$X$6:$X$1005,MATCH(D1331,'Items'!$A$6:$A$1005,0)),"MISSING ID")</x:f>
        <x:v>Processed material</x:v>
      </x:c>
      <x:c r="I1331" s="4"/>
      <x:c r="J1331" s="4" t="str">
        <x:v>Unspecified</x:v>
      </x:c>
      <x:c r="K1331" s="4" t="str">
        <x:f>IFERROR(INDEX('Crafting recipes'!$D$6:$D$1005,MATCH(B1331,'Crafting recipes'!$A$6:$A$1005,0)),"MISSING ID")</x:f>
        <x:v>Proposal</x:v>
      </x:c>
      <x:c r="L1331" s="4" t="str">
        <x:f>IFERROR(INDEX('Items'!$AD$6:$AD$1005,MATCH(D1331,'Items'!$A$6:$A$1005,0)),"MISSING ID")</x:f>
        <x:v>Author direction</x:v>
      </x:c>
      <x:c r="M1331" s="4" t="str">
        <x:f>IFERROR(INDEX('Crafting recipes'!$E$6:$E$1005,MATCH(B1331,'Crafting recipes'!$A$6:$A$1005,0)),"MISSING ID")</x:f>
        <x:v>Partial proposal</x:v>
      </x:c>
      <x:c r="N1331" s="4" t="str">
        <x:v>Candidate source or part only. Quantity, grade and method remain open.</x:v>
      </x:c>
      <x:c r="O1331" s="4" t="str">
        <x:v>Collection expansion, October 15, 2026. New game proposal.</x:v>
      </x:c>
      <x:c r="P1331" s="4" t="n">
        <x:f>IF(OR(C1331="Ingredient candidate",C1331="Consumed input",C1331="Contained input",C1331="Transform input"),IF(F1331="T0",0,IF(F1331="T1",1,IF(F1331="T2",2,IF(F1331="T3",3,IF(F1331="T4",4,-1))))),-1)</x:f>
        <x:v>2</x:v>
      </x:c>
      <x:c r="Q1331" s="4" t="n">
        <x:f>IF(AND(OR(C1331="Ingredient candidate",C1331="Consumed input",C1331="Contained input",C1331="Transform input"),P1331=-1),1,0)</x:f>
        <x:v>0</x:v>
      </x:c>
    </x:row>
    <x:row r="1332" ht="64" customHeight="1">
      <x:c r="A1332" s="4" t="str">
        <x:v>design.collection.collapsible_wheel_chock.in.2</x:v>
      </x:c>
      <x:c r="B1332" s="4" t="str">
        <x:v>design.collection.collapsible_wheel_chock</x:v>
      </x:c>
      <x:c r="C1332" s="4" t="str">
        <x:v>Ingredient candidate</x:v>
      </x:c>
      <x:c r="D1332" s="4" t="str">
        <x:v>proposal.legger.joint_pin</x:v>
      </x:c>
      <x:c r="E1332" s="4" t="str">
        <x:f>IFERROR(INDEX('Items'!$B$6:$B$1005,MATCH(D1332,'Items'!$A$6:$A$1005,0)),"MISSING ID")</x:f>
        <x:v>Replaceable joint pin</x:v>
      </x:c>
      <x:c r="F1332" s="4" t="str">
        <x:f>IFERROR(INDEX('Items'!$C$6:$C$1005,MATCH(D1332,'Items'!$A$6:$A$1005,0)),"MISSING ID")</x:f>
        <x:v>T3</x:v>
      </x:c>
      <x:c r="G1332" s="4" t="str">
        <x:f>IFERROR(INDEX('Items'!$D$6:$D$1005,MATCH(D1332,'Items'!$A$6:$A$1005,0)),"MISSING ID")</x:f>
        <x:v>Crafting components</x:v>
      </x:c>
      <x:c r="H1332" s="4" t="str">
        <x:f>IFERROR(INDEX('Items'!$X$6:$X$1005,MATCH(D1332,'Items'!$A$6:$A$1005,0)),"MISSING ID")</x:f>
        <x:v>Crafting component</x:v>
      </x:c>
      <x:c r="I1332" s="4"/>
      <x:c r="J1332" s="4" t="str">
        <x:v>Unspecified</x:v>
      </x:c>
      <x:c r="K1332" s="4" t="str">
        <x:f>IFERROR(INDEX('Crafting recipes'!$D$6:$D$1005,MATCH(B1332,'Crafting recipes'!$A$6:$A$1005,0)),"MISSING ID")</x:f>
        <x:v>Proposal</x:v>
      </x:c>
      <x:c r="L1332" s="4" t="str">
        <x:f>IFERROR(INDEX('Items'!$AD$6:$AD$1005,MATCH(D1332,'Items'!$A$6:$A$1005,0)),"MISSING ID")</x:f>
        <x:v>Proposal</x:v>
      </x:c>
      <x:c r="M1332" s="4" t="str">
        <x:f>IFERROR(INDEX('Crafting recipes'!$E$6:$E$1005,MATCH(B1332,'Crafting recipes'!$A$6:$A$1005,0)),"MISSING ID")</x:f>
        <x:v>Partial proposal</x:v>
      </x:c>
      <x:c r="N1332" s="4" t="str">
        <x:v>Candidate source or part only. Quantity, grade and method remain open.</x:v>
      </x:c>
      <x:c r="O1332" s="4" t="str">
        <x:v>Collection expansion, October 15, 2026. New game proposal.</x:v>
      </x:c>
      <x:c r="P1332" s="4" t="n">
        <x:f>IF(OR(C1332="Ingredient candidate",C1332="Consumed input",C1332="Contained input",C1332="Transform input"),IF(F1332="T0",0,IF(F1332="T1",1,IF(F1332="T2",2,IF(F1332="T3",3,IF(F1332="T4",4,-1))))),-1)</x:f>
        <x:v>3</x:v>
      </x:c>
      <x:c r="Q1332" s="4" t="n">
        <x:f>IF(AND(OR(C1332="Ingredient candidate",C1332="Consumed input",C1332="Contained input",C1332="Transform input"),P1332=-1),1,0)</x:f>
        <x:v>0</x:v>
      </x:c>
    </x:row>
    <x:row r="1333" ht="64" customHeight="1">
      <x:c r="A1333" s="4" t="str">
        <x:v>design.collection.collapsible_wheel_chock.out</x:v>
      </x:c>
      <x:c r="B1333" s="4" t="str">
        <x:v>design.collection.collapsible_wheel_chock</x:v>
      </x:c>
      <x:c r="C1333" s="4" t="str">
        <x:v>Output</x:v>
      </x:c>
      <x:c r="D1333" s="4" t="str">
        <x:v>proposal.collection.collapsible_wheel_chock</x:v>
      </x:c>
      <x:c r="E1333" s="4" t="str">
        <x:f>IFERROR(INDEX('Items'!$B$6:$B$1005,MATCH(D1333,'Items'!$A$6:$A$1005,0)),"MISSING ID")</x:f>
        <x:v>Collapsible wheel chock</x:v>
      </x:c>
      <x:c r="F1333" s="4" t="str">
        <x:f>IFERROR(INDEX('Items'!$C$6:$C$1005,MATCH(D1333,'Items'!$A$6:$A$1005,0)),"MISSING ID")</x:f>
        <x:v>Not applicable</x:v>
      </x:c>
      <x:c r="G1333" s="4" t="str">
        <x:f>IFERROR(INDEX('Items'!$D$6:$D$1005,MATCH(D1333,'Items'!$A$6:$A$1005,0)),"MISSING ID")</x:f>
        <x:v>Weapons</x:v>
      </x:c>
      <x:c r="H1333" s="4" t="str">
        <x:f>IFERROR(INDEX('Items'!$X$6:$X$1005,MATCH(D1333,'Items'!$A$6:$A$1005,0)),"MISSING ID")</x:f>
        <x:v>Trap</x:v>
      </x:c>
      <x:c r="I1333" s="4"/>
      <x:c r="J1333" s="4" t="str">
        <x:v>Unspecified</x:v>
      </x:c>
      <x:c r="K1333" s="4" t="str">
        <x:f>IFERROR(INDEX('Crafting recipes'!$D$6:$D$1005,MATCH(B1333,'Crafting recipes'!$A$6:$A$1005,0)),"MISSING ID")</x:f>
        <x:v>Proposal</x:v>
      </x:c>
      <x:c r="L1333" s="4" t="str">
        <x:f>IFERROR(INDEX('Items'!$AD$6:$AD$1005,MATCH(D1333,'Items'!$A$6:$A$1005,0)),"MISSING ID")</x:f>
        <x:v>Proposal</x:v>
      </x:c>
      <x:c r="M1333" s="4" t="str">
        <x:f>IFERROR(INDEX('Crafting recipes'!$E$6:$E$1005,MATCH(B1333,'Crafting recipes'!$A$6:$A$1005,0)),"MISSING ID")</x:f>
        <x:v>Partial proposal</x:v>
      </x:c>
      <x:c r="N1333" s="4" t="str">
        <x:v>Candidate source or part only. Quantity, grade and method remain open.</x:v>
      </x:c>
      <x:c r="O1333" s="4" t="str">
        <x:v>Collection expansion, October 15, 2026. New game proposal.</x:v>
      </x:c>
      <x:c r="P1333" s="4" t="n">
        <x:f>IF(OR(C1333="Ingredient candidate",C1333="Consumed input",C1333="Contained input",C1333="Transform input"),IF(F1333="T0",0,IF(F1333="T1",1,IF(F1333="T2",2,IF(F1333="T3",3,IF(F1333="T4",4,-1))))),-1)</x:f>
        <x:v>-1</x:v>
      </x:c>
      <x:c r="Q1333" s="4" t="n">
        <x:f>IF(AND(OR(C1333="Ingredient candidate",C1333="Consumed input",C1333="Contained input",C1333="Transform input"),P1333=-1),1,0)</x:f>
        <x:v>0</x:v>
      </x:c>
    </x:row>
    <x:row r="1334" ht="64" customHeight="1">
      <x:c r="A1334" s="4" t="str">
        <x:v>design.collection.cable_snag_hoop.in.1</x:v>
      </x:c>
      <x:c r="B1334" s="4" t="str">
        <x:v>design.collection.cable_snag_hoop</x:v>
      </x:c>
      <x:c r="C1334" s="4" t="str">
        <x:v>Ingredient candidate</x:v>
      </x:c>
      <x:c r="D1334" s="4" t="str">
        <x:v>proposal.raw.metal_cable</x:v>
      </x:c>
      <x:c r="E1334" s="4" t="str">
        <x:f>IFERROR(INDEX('Items'!$B$6:$B$1005,MATCH(D1334,'Items'!$A$6:$A$1005,0)),"MISSING ID")</x:f>
        <x:v>Salvaged metal cable</x:v>
      </x:c>
      <x:c r="F1334" s="4" t="str">
        <x:f>IFERROR(INDEX('Items'!$C$6:$C$1005,MATCH(D1334,'Items'!$A$6:$A$1005,0)),"MISSING ID")</x:f>
        <x:v>T0</x:v>
      </x:c>
      <x:c r="G1334" s="4" t="str">
        <x:f>IFERROR(INDEX('Items'!$D$6:$D$1005,MATCH(D1334,'Items'!$A$6:$A$1005,0)),"MISSING ID")</x:f>
        <x:v>Salvage</x:v>
      </x:c>
      <x:c r="H1334" s="4" t="str">
        <x:f>IFERROR(INDEX('Items'!$X$6:$X$1005,MATCH(D1334,'Items'!$A$6:$A$1005,0)),"MISSING ID")</x:f>
        <x:v>Raw material</x:v>
      </x:c>
      <x:c r="I1334" s="4"/>
      <x:c r="J1334" s="4" t="str">
        <x:v>Unspecified</x:v>
      </x:c>
      <x:c r="K1334" s="4" t="str">
        <x:f>IFERROR(INDEX('Crafting recipes'!$D$6:$D$1005,MATCH(B1334,'Crafting recipes'!$A$6:$A$1005,0)),"MISSING ID")</x:f>
        <x:v>Proposal</x:v>
      </x:c>
      <x:c r="L1334" s="4" t="str">
        <x:f>IFERROR(INDEX('Items'!$AD$6:$AD$1005,MATCH(D1334,'Items'!$A$6:$A$1005,0)),"MISSING ID")</x:f>
        <x:v>Proposal</x:v>
      </x:c>
      <x:c r="M1334" s="4" t="str">
        <x:f>IFERROR(INDEX('Crafting recipes'!$E$6:$E$1005,MATCH(B1334,'Crafting recipes'!$A$6:$A$1005,0)),"MISSING ID")</x:f>
        <x:v>Partial proposal</x:v>
      </x:c>
      <x:c r="N1334" s="4" t="str">
        <x:v>Candidate source or part only. Quantity, grade and method remain open.</x:v>
      </x:c>
      <x:c r="O1334" s="4" t="str">
        <x:v>Collection expansion, October 15, 2026. New game proposal.</x:v>
      </x:c>
      <x:c r="P1334" s="4" t="n">
        <x:f>IF(OR(C1334="Ingredient candidate",C1334="Consumed input",C1334="Contained input",C1334="Transform input"),IF(F1334="T0",0,IF(F1334="T1",1,IF(F1334="T2",2,IF(F1334="T3",3,IF(F1334="T4",4,-1))))),-1)</x:f>
        <x:v>0</x:v>
      </x:c>
      <x:c r="Q1334" s="4" t="n">
        <x:f>IF(AND(OR(C1334="Ingredient candidate",C1334="Consumed input",C1334="Contained input",C1334="Transform input"),P1334=-1),1,0)</x:f>
        <x:v>0</x:v>
      </x:c>
    </x:row>
    <x:row r="1335" ht="64" customHeight="1">
      <x:c r="A1335" s="4" t="str">
        <x:v>design.collection.cable_snag_hoop.in.2</x:v>
      </x:c>
      <x:c r="B1335" s="4" t="str">
        <x:v>design.collection.cable_snag_hoop</x:v>
      </x:c>
      <x:c r="C1335" s="4" t="str">
        <x:v>Ingredient candidate</x:v>
      </x:c>
      <x:c r="D1335" s="4" t="str">
        <x:v>proposal.natural.iron_stock</x:v>
      </x:c>
      <x:c r="E1335" s="4" t="str">
        <x:f>IFERROR(INDEX('Items'!$B$6:$B$1005,MATCH(D1335,'Items'!$A$6:$A$1005,0)),"MISSING ID")</x:f>
        <x:v>Worked iron stock</x:v>
      </x:c>
      <x:c r="F1335" s="4" t="str">
        <x:f>IFERROR(INDEX('Items'!$C$6:$C$1005,MATCH(D1335,'Items'!$A$6:$A$1005,0)),"MISSING ID")</x:f>
        <x:v>T2</x:v>
      </x:c>
      <x:c r="G1335" s="4" t="str">
        <x:f>IFERROR(INDEX('Items'!$D$6:$D$1005,MATCH(D1335,'Items'!$A$6:$A$1005,0)),"MISSING ID")</x:f>
        <x:v>Manufactured stock</x:v>
      </x:c>
      <x:c r="H1335" s="4" t="str">
        <x:f>IFERROR(INDEX('Items'!$X$6:$X$1005,MATCH(D1335,'Items'!$A$6:$A$1005,0)),"MISSING ID")</x:f>
        <x:v>Processed material</x:v>
      </x:c>
      <x:c r="I1335" s="4"/>
      <x:c r="J1335" s="4" t="str">
        <x:v>Unspecified</x:v>
      </x:c>
      <x:c r="K1335" s="4" t="str">
        <x:f>IFERROR(INDEX('Crafting recipes'!$D$6:$D$1005,MATCH(B1335,'Crafting recipes'!$A$6:$A$1005,0)),"MISSING ID")</x:f>
        <x:v>Proposal</x:v>
      </x:c>
      <x:c r="L1335" s="4" t="str">
        <x:f>IFERROR(INDEX('Items'!$AD$6:$AD$1005,MATCH(D1335,'Items'!$A$6:$A$1005,0)),"MISSING ID")</x:f>
        <x:v>Proposal</x:v>
      </x:c>
      <x:c r="M1335" s="4" t="str">
        <x:f>IFERROR(INDEX('Crafting recipes'!$E$6:$E$1005,MATCH(B1335,'Crafting recipes'!$A$6:$A$1005,0)),"MISSING ID")</x:f>
        <x:v>Partial proposal</x:v>
      </x:c>
      <x:c r="N1335" s="4" t="str">
        <x:v>Candidate source or part only. Quantity, grade and method remain open.</x:v>
      </x:c>
      <x:c r="O1335" s="4" t="str">
        <x:v>Collection expansion, October 15, 2026. New game proposal.</x:v>
      </x:c>
      <x:c r="P1335" s="4" t="n">
        <x:f>IF(OR(C1335="Ingredient candidate",C1335="Consumed input",C1335="Contained input",C1335="Transform input"),IF(F1335="T0",0,IF(F1335="T1",1,IF(F1335="T2",2,IF(F1335="T3",3,IF(F1335="T4",4,-1))))),-1)</x:f>
        <x:v>2</x:v>
      </x:c>
      <x:c r="Q1335" s="4" t="n">
        <x:f>IF(AND(OR(C1335="Ingredient candidate",C1335="Consumed input",C1335="Contained input",C1335="Transform input"),P1335=-1),1,0)</x:f>
        <x:v>0</x:v>
      </x:c>
    </x:row>
    <x:row r="1336" ht="64" customHeight="1">
      <x:c r="A1336" s="4" t="str">
        <x:v>design.collection.cable_snag_hoop.out</x:v>
      </x:c>
      <x:c r="B1336" s="4" t="str">
        <x:v>design.collection.cable_snag_hoop</x:v>
      </x:c>
      <x:c r="C1336" s="4" t="str">
        <x:v>Output</x:v>
      </x:c>
      <x:c r="D1336" s="4" t="str">
        <x:v>proposal.collection.cable_snag_hoop</x:v>
      </x:c>
      <x:c r="E1336" s="4" t="str">
        <x:f>IFERROR(INDEX('Items'!$B$6:$B$1005,MATCH(D1336,'Items'!$A$6:$A$1005,0)),"MISSING ID")</x:f>
        <x:v>Cable snag hoop</x:v>
      </x:c>
      <x:c r="F1336" s="4" t="str">
        <x:f>IFERROR(INDEX('Items'!$C$6:$C$1005,MATCH(D1336,'Items'!$A$6:$A$1005,0)),"MISSING ID")</x:f>
        <x:v>Not applicable</x:v>
      </x:c>
      <x:c r="G1336" s="4" t="str">
        <x:f>IFERROR(INDEX('Items'!$D$6:$D$1005,MATCH(D1336,'Items'!$A$6:$A$1005,0)),"MISSING ID")</x:f>
        <x:v>Weapons</x:v>
      </x:c>
      <x:c r="H1336" s="4" t="str">
        <x:f>IFERROR(INDEX('Items'!$X$6:$X$1005,MATCH(D1336,'Items'!$A$6:$A$1005,0)),"MISSING ID")</x:f>
        <x:v>Trap</x:v>
      </x:c>
      <x:c r="I1336" s="4"/>
      <x:c r="J1336" s="4" t="str">
        <x:v>Unspecified</x:v>
      </x:c>
      <x:c r="K1336" s="4" t="str">
        <x:f>IFERROR(INDEX('Crafting recipes'!$D$6:$D$1005,MATCH(B1336,'Crafting recipes'!$A$6:$A$1005,0)),"MISSING ID")</x:f>
        <x:v>Proposal</x:v>
      </x:c>
      <x:c r="L1336" s="4" t="str">
        <x:f>IFERROR(INDEX('Items'!$AD$6:$AD$1005,MATCH(D1336,'Items'!$A$6:$A$1005,0)),"MISSING ID")</x:f>
        <x:v>Proposal</x:v>
      </x:c>
      <x:c r="M1336" s="4" t="str">
        <x:f>IFERROR(INDEX('Crafting recipes'!$E$6:$E$1005,MATCH(B1336,'Crafting recipes'!$A$6:$A$1005,0)),"MISSING ID")</x:f>
        <x:v>Partial proposal</x:v>
      </x:c>
      <x:c r="N1336" s="4" t="str">
        <x:v>Candidate source or part only. Quantity, grade and method remain open.</x:v>
      </x:c>
      <x:c r="O1336" s="4" t="str">
        <x:v>Collection expansion, October 15, 2026. New game proposal.</x:v>
      </x:c>
      <x:c r="P1336" s="4" t="n">
        <x:f>IF(OR(C1336="Ingredient candidate",C1336="Consumed input",C1336="Contained input",C1336="Transform input"),IF(F1336="T0",0,IF(F1336="T1",1,IF(F1336="T2",2,IF(F1336="T3",3,IF(F1336="T4",4,-1))))),-1)</x:f>
        <x:v>-1</x:v>
      </x:c>
      <x:c r="Q1336" s="4" t="n">
        <x:f>IF(AND(OR(C1336="Ingredient candidate",C1336="Consumed input",C1336="Contained input",C1336="Transform input"),P1336=-1),1,0)</x:f>
        <x:v>0</x:v>
      </x:c>
    </x:row>
    <x:row r="1337" ht="64" customHeight="1">
      <x:c r="A1337" s="4"/>
      <x:c r="B1337" s="4"/>
      <x:c r="C1337" s="4"/>
      <x:c r="D1337" s="4"/>
      <x:c r="E1337" s="4"/>
      <x:c r="F1337" s="4"/>
      <x:c r="G1337" s="4"/>
      <x:c r="H1337" s="4"/>
      <x:c r="I1337" s="4"/>
      <x:c r="J1337" s="4"/>
      <x:c r="K1337" s="4"/>
      <x:c r="L1337" s="4"/>
      <x:c r="M1337" s="4"/>
      <x:c r="N1337" s="4"/>
      <x:c r="O1337" s="4"/>
      <x:c r="P1337" s="4"/>
      <x:c r="Q1337" s="4"/>
    </x:row>
    <x:row r="1338" ht="64" customHeight="1">
      <x:c r="A1338" s="4"/>
      <x:c r="B1338" s="4"/>
      <x:c r="C1338" s="4"/>
      <x:c r="D1338" s="4"/>
      <x:c r="E1338" s="4"/>
      <x:c r="F1338" s="4"/>
      <x:c r="G1338" s="4"/>
      <x:c r="H1338" s="4"/>
      <x:c r="I1338" s="4"/>
      <x:c r="J1338" s="4"/>
      <x:c r="K1338" s="4"/>
      <x:c r="L1338" s="4"/>
      <x:c r="M1338" s="4"/>
      <x:c r="N1338" s="4"/>
      <x:c r="O1338" s="4"/>
      <x:c r="P1338" s="4"/>
      <x:c r="Q1338" s="4"/>
    </x:row>
    <x:row r="1339" ht="64" customHeight="1">
      <x:c r="A1339" s="4"/>
      <x:c r="B1339" s="4"/>
      <x:c r="C1339" s="4"/>
      <x:c r="D1339" s="4"/>
      <x:c r="E1339" s="4"/>
      <x:c r="F1339" s="4"/>
      <x:c r="G1339" s="4"/>
      <x:c r="H1339" s="4"/>
      <x:c r="I1339" s="4"/>
      <x:c r="J1339" s="4"/>
      <x:c r="K1339" s="4"/>
      <x:c r="L1339" s="4"/>
      <x:c r="M1339" s="4"/>
      <x:c r="N1339" s="4"/>
      <x:c r="O1339" s="4"/>
      <x:c r="P1339" s="4"/>
      <x:c r="Q1339" s="4"/>
    </x:row>
    <x:row r="1340" ht="64" customHeight="1">
      <x:c r="A1340" s="4"/>
      <x:c r="B1340" s="4"/>
      <x:c r="C1340" s="4"/>
      <x:c r="D1340" s="4"/>
      <x:c r="E1340" s="4"/>
      <x:c r="F1340" s="4"/>
      <x:c r="G1340" s="4"/>
      <x:c r="H1340" s="4"/>
      <x:c r="I1340" s="4"/>
      <x:c r="J1340" s="4"/>
      <x:c r="K1340" s="4"/>
      <x:c r="L1340" s="4"/>
      <x:c r="M1340" s="4"/>
      <x:c r="N1340" s="4"/>
      <x:c r="O1340" s="4"/>
      <x:c r="P1340" s="4"/>
      <x:c r="Q1340" s="4"/>
    </x:row>
    <x:row r="1341" ht="64" customHeight="1">
      <x:c r="A1341" s="4"/>
      <x:c r="B1341" s="4"/>
      <x:c r="C1341" s="4"/>
      <x:c r="D1341" s="4"/>
      <x:c r="E1341" s="4"/>
      <x:c r="F1341" s="4"/>
      <x:c r="G1341" s="4"/>
      <x:c r="H1341" s="4"/>
      <x:c r="I1341" s="4"/>
      <x:c r="J1341" s="4"/>
      <x:c r="K1341" s="4"/>
      <x:c r="L1341" s="4"/>
      <x:c r="M1341" s="4"/>
      <x:c r="N1341" s="4"/>
      <x:c r="O1341" s="4"/>
      <x:c r="P1341" s="4"/>
      <x:c r="Q1341" s="4"/>
    </x:row>
    <x:row r="1342" ht="64" customHeight="1">
      <x:c r="A1342" s="4"/>
      <x:c r="B1342" s="4"/>
      <x:c r="C1342" s="4"/>
      <x:c r="D1342" s="4"/>
      <x:c r="E1342" s="4"/>
      <x:c r="F1342" s="4"/>
      <x:c r="G1342" s="4"/>
      <x:c r="H1342" s="4"/>
      <x:c r="I1342" s="4"/>
      <x:c r="J1342" s="4"/>
      <x:c r="K1342" s="4"/>
      <x:c r="L1342" s="4"/>
      <x:c r="M1342" s="4"/>
      <x:c r="N1342" s="4"/>
      <x:c r="O1342" s="4"/>
      <x:c r="P1342" s="4"/>
      <x:c r="Q1342" s="4"/>
    </x:row>
    <x:row r="1343" ht="64" customHeight="1">
      <x:c r="A1343" s="4"/>
      <x:c r="B1343" s="4"/>
      <x:c r="C1343" s="4"/>
      <x:c r="D1343" s="4"/>
      <x:c r="E1343" s="4"/>
      <x:c r="F1343" s="4"/>
      <x:c r="G1343" s="4"/>
      <x:c r="H1343" s="4"/>
      <x:c r="I1343" s="4"/>
      <x:c r="K1343" s="4"/>
      <x:c r="L1343" s="4"/>
      <x:c r="M1343" s="4"/>
      <x:c r="N1343" s="4"/>
      <x:c r="O1343" s="4"/>
      <x:c r="P1343" s="4"/>
      <x:c r="Q1343" s="4"/>
    </x:row>
    <x:row r="1344" ht="64" customHeight="1">
      <x:c r="A1344" s="4"/>
      <x:c r="B1344" s="4"/>
      <x:c r="C1344" s="4"/>
      <x:c r="D1344" s="4"/>
      <x:c r="E1344" s="4"/>
      <x:c r="F1344" s="4"/>
      <x:c r="G1344" s="4"/>
      <x:c r="H1344" s="4"/>
      <x:c r="I1344" s="4"/>
      <x:c r="K1344" s="4"/>
      <x:c r="L1344" s="4"/>
      <x:c r="M1344" s="4"/>
      <x:c r="N1344" s="4"/>
      <x:c r="O1344" s="4"/>
      <x:c r="P1344" s="4"/>
      <x:c r="Q1344" s="4"/>
    </x:row>
    <x:row r="1345" ht="64" customHeight="1">
      <x:c r="A1345" s="4"/>
      <x:c r="B1345" s="4"/>
      <x:c r="C1345" s="4"/>
      <x:c r="D1345" s="4"/>
      <x:c r="E1345" s="4"/>
      <x:c r="F1345" s="4"/>
      <x:c r="G1345" s="4"/>
      <x:c r="H1345" s="4"/>
      <x:c r="I1345" s="4"/>
      <x:c r="K1345" s="4"/>
      <x:c r="L1345" s="4"/>
      <x:c r="M1345" s="4"/>
      <x:c r="N1345" s="4"/>
      <x:c r="O1345" s="4"/>
      <x:c r="P1345" s="4"/>
      <x:c r="Q1345" s="4"/>
    </x:row>
    <x:row r="1346" ht="64" customHeight="1">
      <x:c r="A1346" s="4"/>
      <x:c r="B1346" s="4"/>
      <x:c r="C1346" s="4"/>
      <x:c r="D1346" s="4"/>
      <x:c r="E1346" s="4"/>
      <x:c r="F1346" s="4"/>
      <x:c r="G1346" s="4"/>
      <x:c r="H1346" s="4"/>
      <x:c r="I1346" s="4"/>
      <x:c r="K1346" s="4"/>
      <x:c r="L1346" s="4"/>
      <x:c r="M1346" s="4"/>
      <x:c r="N1346" s="4"/>
      <x:c r="O1346" s="4"/>
      <x:c r="P1346" s="4"/>
      <x:c r="Q1346" s="4"/>
    </x:row>
    <x:row r="1347" ht="64" customHeight="1">
      <x:c r="A1347" s="4" t="str">
        <x:v>design.collection.pressure_plate_shell_clacker.in.1</x:v>
      </x:c>
      <x:c r="B1347" s="4" t="str">
        <x:v>design.collection.pressure_plate_shell_clacker</x:v>
      </x:c>
      <x:c r="C1347" s="4" t="str">
        <x:v>Ingredient candidate</x:v>
      </x:c>
      <x:c r="D1347" s="4" t="str">
        <x:v>proposal.collection.annealed_iron_sheet_stock</x:v>
      </x:c>
      <x:c r="E1347" s="4" t="str">
        <x:f>IFERROR(INDEX('Items'!$B$6:$B$1005,MATCH(D1347,'Items'!$A$6:$A$1005,0)),"MISSING ID")</x:f>
        <x:v>Annealed iron sheet stock</x:v>
      </x:c>
      <x:c r="F1347" s="4" t="str">
        <x:f>IFERROR(INDEX('Items'!$C$6:$C$1005,MATCH(D1347,'Items'!$A$6:$A$1005,0)),"MISSING ID")</x:f>
        <x:v>T3</x:v>
      </x:c>
      <x:c r="G1347" s="4" t="str">
        <x:f>IFERROR(INDEX('Items'!$D$6:$D$1005,MATCH(D1347,'Items'!$A$6:$A$1005,0)),"MISSING ID")</x:f>
        <x:v>Manufactured stock</x:v>
      </x:c>
      <x:c r="H1347" s="4" t="str">
        <x:f>IFERROR(INDEX('Items'!$X$6:$X$1005,MATCH(D1347,'Items'!$A$6:$A$1005,0)),"MISSING ID")</x:f>
        <x:v>Processed material</x:v>
      </x:c>
      <x:c r="I1347" s="4"/>
      <x:c r="J1347" s="4" t="str">
        <x:v>Unspecified</x:v>
      </x:c>
      <x:c r="K1347" s="4" t="str">
        <x:f>IFERROR(INDEX('Crafting recipes'!$D$6:$D$1005,MATCH(B1347,'Crafting recipes'!$A$6:$A$1005,0)),"MISSING ID")</x:f>
        <x:v>Proposal</x:v>
      </x:c>
      <x:c r="L1347" s="4" t="str">
        <x:f>IFERROR(INDEX('Items'!$AD$6:$AD$1005,MATCH(D1347,'Items'!$A$6:$A$1005,0)),"MISSING ID")</x:f>
        <x:v>Proposal</x:v>
      </x:c>
      <x:c r="M1347" s="4" t="str">
        <x:f>IFERROR(INDEX('Crafting recipes'!$E$6:$E$1005,MATCH(B1347,'Crafting recipes'!$A$6:$A$1005,0)),"MISSING ID")</x:f>
        <x:v>Partial proposal</x:v>
      </x:c>
      <x:c r="N1347" s="4" t="str">
        <x:v>Candidate source or part only. Quantity, grade and method remain open.</x:v>
      </x:c>
      <x:c r="O1347" s="4" t="str">
        <x:v>Collection expansion, October 15, 2026. New game proposal.</x:v>
      </x:c>
      <x:c r="P1347" s="4" t="n">
        <x:f>IF(OR(C1347="Ingredient candidate",C1347="Consumed input",C1347="Contained input",C1347="Transform input"),IF(F1347="T0",0,IF(F1347="T1",1,IF(F1347="T2",2,IF(F1347="T3",3,IF(F1347="T4",4,-1))))),-1)</x:f>
        <x:v>3</x:v>
      </x:c>
      <x:c r="Q1347" s="4" t="n">
        <x:f>IF(AND(OR(C1347="Ingredient candidate",C1347="Consumed input",C1347="Contained input",C1347="Transform input"),P1347=-1),1,0)</x:f>
        <x:v>0</x:v>
      </x:c>
    </x:row>
    <x:row r="1348" ht="64" customHeight="1">
      <x:c r="A1348" s="4" t="str">
        <x:v>design.collection.pressure_plate_shell_clacker.in.2</x:v>
      </x:c>
      <x:c r="B1348" s="4" t="str">
        <x:v>design.collection.pressure_plate_shell_clacker</x:v>
      </x:c>
      <x:c r="C1348" s="4" t="str">
        <x:v>Ingredient candidate</x:v>
      </x:c>
      <x:c r="D1348" s="4" t="str">
        <x:v>proposal.collection.shell_clapper_pair</x:v>
      </x:c>
      <x:c r="E1348" s="4" t="str">
        <x:f>IFERROR(INDEX('Items'!$B$6:$B$1005,MATCH(D1348,'Items'!$A$6:$A$1005,0)),"MISSING ID")</x:f>
        <x:v>Shell-clapper pair</x:v>
      </x:c>
      <x:c r="F1348" s="4" t="str">
        <x:f>IFERROR(INDEX('Items'!$C$6:$C$1005,MATCH(D1348,'Items'!$A$6:$A$1005,0)),"MISSING ID")</x:f>
        <x:v>Not applicable</x:v>
      </x:c>
      <x:c r="G1348" s="4" t="str">
        <x:f>IFERROR(INDEX('Items'!$D$6:$D$1005,MATCH(D1348,'Items'!$A$6:$A$1005,0)),"MISSING ID")</x:f>
        <x:v>Salvage</x:v>
      </x:c>
      <x:c r="H1348" s="4" t="str">
        <x:f>IFERROR(INDEX('Items'!$X$6:$X$1005,MATCH(D1348,'Items'!$A$6:$A$1005,0)),"MISSING ID")</x:f>
        <x:v>Musical instrument</x:v>
      </x:c>
      <x:c r="I1348" s="4"/>
      <x:c r="J1348" s="4" t="str">
        <x:v>Unspecified</x:v>
      </x:c>
      <x:c r="K1348" s="4" t="str">
        <x:f>IFERROR(INDEX('Crafting recipes'!$D$6:$D$1005,MATCH(B1348,'Crafting recipes'!$A$6:$A$1005,0)),"MISSING ID")</x:f>
        <x:v>Proposal</x:v>
      </x:c>
      <x:c r="L1348" s="4" t="str">
        <x:f>IFERROR(INDEX('Items'!$AD$6:$AD$1005,MATCH(D1348,'Items'!$A$6:$A$1005,0)),"MISSING ID")</x:f>
        <x:v>Proposal</x:v>
      </x:c>
      <x:c r="M1348" s="4" t="str">
        <x:f>IFERROR(INDEX('Crafting recipes'!$E$6:$E$1005,MATCH(B1348,'Crafting recipes'!$A$6:$A$1005,0)),"MISSING ID")</x:f>
        <x:v>Partial proposal</x:v>
      </x:c>
      <x:c r="N1348" s="4" t="str">
        <x:v>Candidate source or part only. Quantity, grade and method remain open.</x:v>
      </x:c>
      <x:c r="O1348" s="4" t="str">
        <x:v>Collection expansion, October 15, 2026. New game proposal.</x:v>
      </x:c>
      <x:c r="P1348" s="4" t="n">
        <x:f>IF(OR(C1348="Ingredient candidate",C1348="Consumed input",C1348="Contained input",C1348="Transform input"),IF(F1348="T0",0,IF(F1348="T1",1,IF(F1348="T2",2,IF(F1348="T3",3,IF(F1348="T4",4,-1))))),-1)</x:f>
        <x:v>-1</x:v>
      </x:c>
      <x:c r="Q1348" s="4" t="n">
        <x:f>IF(AND(OR(C1348="Ingredient candidate",C1348="Consumed input",C1348="Contained input",C1348="Transform input"),P1348=-1),1,0)</x:f>
        <x:v>1</x:v>
      </x:c>
    </x:row>
    <x:row r="1349" ht="64" customHeight="1">
      <x:c r="A1349" s="4" t="str">
        <x:v>design.collection.pressure_plate_shell_clacker.out</x:v>
      </x:c>
      <x:c r="B1349" s="4" t="str">
        <x:v>design.collection.pressure_plate_shell_clacker</x:v>
      </x:c>
      <x:c r="C1349" s="4" t="str">
        <x:v>Output</x:v>
      </x:c>
      <x:c r="D1349" s="4" t="str">
        <x:v>proposal.collection.pressure_plate_shell_clacker</x:v>
      </x:c>
      <x:c r="E1349" s="4" t="str">
        <x:f>IFERROR(INDEX('Items'!$B$6:$B$1005,MATCH(D1349,'Items'!$A$6:$A$1005,0)),"MISSING ID")</x:f>
        <x:v>Pressure-plate shell clacker</x:v>
      </x:c>
      <x:c r="F1349" s="4" t="str">
        <x:f>IFERROR(INDEX('Items'!$C$6:$C$1005,MATCH(D1349,'Items'!$A$6:$A$1005,0)),"MISSING ID")</x:f>
        <x:v>Not applicable</x:v>
      </x:c>
      <x:c r="G1349" s="4" t="str">
        <x:f>IFERROR(INDEX('Items'!$D$6:$D$1005,MATCH(D1349,'Items'!$A$6:$A$1005,0)),"MISSING ID")</x:f>
        <x:v>Weapons</x:v>
      </x:c>
      <x:c r="H1349" s="4" t="str">
        <x:f>IFERROR(INDEX('Items'!$X$6:$X$1005,MATCH(D1349,'Items'!$A$6:$A$1005,0)),"MISSING ID")</x:f>
        <x:v>Trap</x:v>
      </x:c>
      <x:c r="I1349" s="4"/>
      <x:c r="J1349" s="4" t="str">
        <x:v>Unspecified</x:v>
      </x:c>
      <x:c r="K1349" s="4" t="str">
        <x:f>IFERROR(INDEX('Crafting recipes'!$D$6:$D$1005,MATCH(B1349,'Crafting recipes'!$A$6:$A$1005,0)),"MISSING ID")</x:f>
        <x:v>Proposal</x:v>
      </x:c>
      <x:c r="L1349" s="4" t="str">
        <x:f>IFERROR(INDEX('Items'!$AD$6:$AD$1005,MATCH(D1349,'Items'!$A$6:$A$1005,0)),"MISSING ID")</x:f>
        <x:v>Proposal</x:v>
      </x:c>
      <x:c r="M1349" s="4" t="str">
        <x:f>IFERROR(INDEX('Crafting recipes'!$E$6:$E$1005,MATCH(B1349,'Crafting recipes'!$A$6:$A$1005,0)),"MISSING ID")</x:f>
        <x:v>Partial proposal</x:v>
      </x:c>
      <x:c r="N1349" s="4" t="str">
        <x:v>Candidate source or part only. Quantity, grade and method remain open.</x:v>
      </x:c>
      <x:c r="O1349" s="4" t="str">
        <x:v>Collection expansion, October 15, 2026. New game proposal.</x:v>
      </x:c>
      <x:c r="P1349" s="4" t="n">
        <x:f>IF(OR(C1349="Ingredient candidate",C1349="Consumed input",C1349="Contained input",C1349="Transform input"),IF(F1349="T0",0,IF(F1349="T1",1,IF(F1349="T2",2,IF(F1349="T3",3,IF(F1349="T4",4,-1))))),-1)</x:f>
        <x:v>-1</x:v>
      </x:c>
      <x:c r="Q1349" s="4" t="n">
        <x:f>IF(AND(OR(C1349="Ingredient candidate",C1349="Consumed input",C1349="Contained input",C1349="Transform input"),P1349=-1),1,0)</x:f>
        <x:v>0</x:v>
      </x:c>
    </x:row>
    <x:row r="1350" ht="64" customHeight="1">
      <x:c r="A1350" s="4"/>
      <x:c r="B1350" s="4"/>
      <x:c r="C1350" s="4"/>
      <x:c r="D1350" s="4"/>
      <x:c r="E1350" s="4"/>
      <x:c r="F1350" s="4"/>
      <x:c r="G1350" s="4"/>
      <x:c r="H1350" s="4"/>
      <x:c r="I1350" s="4"/>
      <x:c r="J1350" s="4"/>
      <x:c r="K1350" s="4"/>
      <x:c r="L1350" s="4"/>
      <x:c r="M1350" s="4"/>
      <x:c r="N1350" s="4"/>
      <x:c r="O1350" s="4"/>
      <x:c r="P1350" s="4"/>
      <x:c r="Q1350" s="4"/>
    </x:row>
    <x:row r="1351" ht="64" customHeight="1">
      <x:c r="A1351" s="4"/>
      <x:c r="B1351" s="4"/>
      <x:c r="C1351" s="4"/>
      <x:c r="D1351" s="4"/>
      <x:c r="E1351" s="4"/>
      <x:c r="F1351" s="4"/>
      <x:c r="G1351" s="4"/>
      <x:c r="H1351" s="4"/>
      <x:c r="I1351" s="4"/>
      <x:c r="J1351" s="4"/>
      <x:c r="K1351" s="4"/>
      <x:c r="L1351" s="4"/>
      <x:c r="M1351" s="4"/>
      <x:c r="N1351" s="4"/>
      <x:c r="O1351" s="4"/>
      <x:c r="P1351" s="4"/>
      <x:c r="Q1351" s="4"/>
    </x:row>
    <x:row r="1352" ht="64" customHeight="1">
      <x:c r="A1352" s="4"/>
      <x:c r="B1352" s="4"/>
      <x:c r="C1352" s="4"/>
      <x:c r="D1352" s="4"/>
      <x:c r="E1352" s="4"/>
      <x:c r="F1352" s="4"/>
      <x:c r="G1352" s="4"/>
      <x:c r="H1352" s="4"/>
      <x:c r="I1352" s="4"/>
      <x:c r="J1352" s="4"/>
      <x:c r="K1352" s="4"/>
      <x:c r="L1352" s="4"/>
      <x:c r="M1352" s="4"/>
      <x:c r="N1352" s="4"/>
      <x:c r="O1352" s="4"/>
      <x:c r="P1352" s="4"/>
      <x:c r="Q1352" s="4"/>
    </x:row>
    <x:row r="1353" ht="64" customHeight="1">
      <x:c r="A1353" s="4" t="str">
        <x:v>design.collection.fauna_scent_lure_station.in.1</x:v>
      </x:c>
      <x:c r="B1353" s="4" t="str">
        <x:v>design.collection.fauna_scent_lure_station</x:v>
      </x:c>
      <x:c r="C1353" s="4" t="str">
        <x:v>Ingredient candidate</x:v>
      </x:c>
      <x:c r="D1353" s="4" t="str">
        <x:v>proposal.chemical.scent_marker</x:v>
      </x:c>
      <x:c r="E1353" s="4" t="str">
        <x:f>IFERROR(INDEX('Items'!$B$6:$B$1005,MATCH(D1353,'Items'!$A$6:$A$1005,0)),"MISSING ID")</x:f>
        <x:v>Chemical scent marker</x:v>
      </x:c>
      <x:c r="F1353" s="4" t="str">
        <x:f>IFERROR(INDEX('Items'!$C$6:$C$1005,MATCH(D1353,'Items'!$A$6:$A$1005,0)),"MISSING ID")</x:f>
        <x:v>T0</x:v>
      </x:c>
      <x:c r="G1353" s="4" t="str">
        <x:f>IFERROR(INDEX('Items'!$D$6:$D$1005,MATCH(D1353,'Items'!$A$6:$A$1005,0)),"MISSING ID")</x:f>
        <x:v>Biological resources</x:v>
      </x:c>
      <x:c r="H1353" s="4" t="str">
        <x:f>IFERROR(INDEX('Items'!$X$6:$X$1005,MATCH(D1353,'Items'!$A$6:$A$1005,0)),"MISSING ID")</x:f>
        <x:v>Chemical material</x:v>
      </x:c>
      <x:c r="I1353" s="4"/>
      <x:c r="J1353" s="4" t="str">
        <x:v>Unspecified</x:v>
      </x:c>
      <x:c r="K1353" s="4" t="str">
        <x:f>IFERROR(INDEX('Crafting recipes'!$D$6:$D$1005,MATCH(B1353,'Crafting recipes'!$A$6:$A$1005,0)),"MISSING ID")</x:f>
        <x:v>Proposal</x:v>
      </x:c>
      <x:c r="L1353" s="4" t="str">
        <x:f>IFERROR(INDEX('Items'!$AD$6:$AD$1005,MATCH(D1353,'Items'!$A$6:$A$1005,0)),"MISSING ID")</x:f>
        <x:v>Proposal</x:v>
      </x:c>
      <x:c r="M1353" s="4" t="str">
        <x:f>IFERROR(INDEX('Crafting recipes'!$E$6:$E$1005,MATCH(B1353,'Crafting recipes'!$A$6:$A$1005,0)),"MISSING ID")</x:f>
        <x:v>Partial proposal</x:v>
      </x:c>
      <x:c r="N1353" s="4" t="str">
        <x:v>Candidate source or part only. Quantity, grade and method remain open.</x:v>
      </x:c>
      <x:c r="O1353" s="4" t="str">
        <x:v>Collection expansion, October 15, 2026. New game proposal.</x:v>
      </x:c>
      <x:c r="P1353" s="4" t="n">
        <x:f>IF(OR(C1353="Ingredient candidate",C1353="Consumed input",C1353="Contained input",C1353="Transform input"),IF(F1353="T0",0,IF(F1353="T1",1,IF(F1353="T2",2,IF(F1353="T3",3,IF(F1353="T4",4,-1))))),-1)</x:f>
        <x:v>0</x:v>
      </x:c>
      <x:c r="Q1353" s="4" t="n">
        <x:f>IF(AND(OR(C1353="Ingredient candidate",C1353="Consumed input",C1353="Contained input",C1353="Transform input"),P1353=-1),1,0)</x:f>
        <x:v>0</x:v>
      </x:c>
    </x:row>
    <x:row r="1354" ht="64" customHeight="1">
      <x:c r="A1354" s="4" t="str">
        <x:v>design.collection.fauna_scent_lure_station.in.2</x:v>
      </x:c>
      <x:c r="B1354" s="4" t="str">
        <x:v>design.collection.fauna_scent_lure_station</x:v>
      </x:c>
      <x:c r="C1354" s="4" t="str">
        <x:v>Ingredient candidate</x:v>
      </x:c>
      <x:c r="D1354" s="4" t="str">
        <x:v>proposal.container.ceramic_jar</x:v>
      </x:c>
      <x:c r="E1354" s="4" t="str">
        <x:f>IFERROR(INDEX('Items'!$B$6:$B$1005,MATCH(D1354,'Items'!$A$6:$A$1005,0)),"MISSING ID")</x:f>
        <x:v>Glazed ceramic reagent jar</x:v>
      </x:c>
      <x:c r="F1354" s="4" t="str">
        <x:f>IFERROR(INDEX('Items'!$C$6:$C$1005,MATCH(D1354,'Items'!$A$6:$A$1005,0)),"MISSING ID")</x:f>
        <x:v>Not applicable</x:v>
      </x:c>
      <x:c r="G1354" s="4" t="str">
        <x:f>IFERROR(INDEX('Items'!$D$6:$D$1005,MATCH(D1354,'Items'!$A$6:$A$1005,0)),"MISSING ID")</x:f>
        <x:v>Salvage</x:v>
      </x:c>
      <x:c r="H1354" s="4" t="inlineStr">
        <x:is>
          <x:t xml:space="preserve">Salvage</x:t>
        </x:is>
      </x:c>
      <x:c r="I1354" s="4"/>
      <x:c r="J1354" s="4" t="str">
        <x:v>Unspecified</x:v>
      </x:c>
      <x:c r="K1354" s="4" t="str">
        <x:f>IFERROR(INDEX('Crafting recipes'!$D$6:$D$1005,MATCH(B1354,'Crafting recipes'!$A$6:$A$1005,0)),"MISSING ID")</x:f>
        <x:v>Proposal</x:v>
      </x:c>
      <x:c r="L1354" s="4" t="str">
        <x:f>IFERROR(INDEX('Items'!$AD$6:$AD$1005,MATCH(D1354,'Items'!$A$6:$A$1005,0)),"MISSING ID")</x:f>
        <x:v>Proposal</x:v>
      </x:c>
      <x:c r="M1354" s="4" t="str">
        <x:f>IFERROR(INDEX('Crafting recipes'!$E$6:$E$1005,MATCH(B1354,'Crafting recipes'!$A$6:$A$1005,0)),"MISSING ID")</x:f>
        <x:v>Partial proposal</x:v>
      </x:c>
      <x:c r="N1354" s="4" t="str">
        <x:v>Candidate source or part only. Quantity, grade and method remain open.</x:v>
      </x:c>
      <x:c r="O1354" s="4" t="str">
        <x:v>Collection expansion, October 15, 2026. New game proposal.</x:v>
      </x:c>
      <x:c r="P1354" s="4" t="n">
        <x:f>IF(OR(C1354="Ingredient candidate",C1354="Consumed input",C1354="Contained input",C1354="Transform input"),IF(F1354="T0",0,IF(F1354="T1",1,IF(F1354="T2",2,IF(F1354="T3",3,IF(F1354="T4",4,-1))))),-1)</x:f>
        <x:v>-1</x:v>
      </x:c>
      <x:c r="Q1354" s="4" t="n">
        <x:f>IF(AND(OR(C1354="Ingredient candidate",C1354="Consumed input",C1354="Contained input",C1354="Transform input"),P1354=-1),1,0)</x:f>
        <x:v>1</x:v>
      </x:c>
    </x:row>
    <x:row r="1355" ht="64" customHeight="1">
      <x:c r="A1355" s="4" t="str">
        <x:v>design.collection.fauna_scent_lure_station.out</x:v>
      </x:c>
      <x:c r="B1355" s="4" t="str">
        <x:v>design.collection.fauna_scent_lure_station</x:v>
      </x:c>
      <x:c r="C1355" s="4" t="str">
        <x:v>Output</x:v>
      </x:c>
      <x:c r="D1355" s="4" t="str">
        <x:v>proposal.collection.fauna_scent_lure_station</x:v>
      </x:c>
      <x:c r="E1355" s="4" t="str">
        <x:f>IFERROR(INDEX('Items'!$B$6:$B$1005,MATCH(D1355,'Items'!$A$6:$A$1005,0)),"MISSING ID")</x:f>
        <x:v>Fauna scent lure station</x:v>
      </x:c>
      <x:c r="F1355" s="4" t="str">
        <x:f>IFERROR(INDEX('Items'!$C$6:$C$1005,MATCH(D1355,'Items'!$A$6:$A$1005,0)),"MISSING ID")</x:f>
        <x:v>Not applicable</x:v>
      </x:c>
      <x:c r="G1355" s="4" t="str">
        <x:f>IFERROR(INDEX('Items'!$D$6:$D$1005,MATCH(D1355,'Items'!$A$6:$A$1005,0)),"MISSING ID")</x:f>
        <x:v>Weapons</x:v>
      </x:c>
      <x:c r="H1355" s="4" t="str">
        <x:f>IFERROR(INDEX('Items'!$X$6:$X$1005,MATCH(D1355,'Items'!$A$6:$A$1005,0)),"MISSING ID")</x:f>
        <x:v>Trap</x:v>
      </x:c>
      <x:c r="I1355" s="4"/>
      <x:c r="J1355" s="4" t="str">
        <x:v>Unspecified</x:v>
      </x:c>
      <x:c r="K1355" s="4" t="str">
        <x:f>IFERROR(INDEX('Crafting recipes'!$D$6:$D$1005,MATCH(B1355,'Crafting recipes'!$A$6:$A$1005,0)),"MISSING ID")</x:f>
        <x:v>Proposal</x:v>
      </x:c>
      <x:c r="L1355" s="4" t="str">
        <x:f>IFERROR(INDEX('Items'!$AD$6:$AD$1005,MATCH(D1355,'Items'!$A$6:$A$1005,0)),"MISSING ID")</x:f>
        <x:v>Proposal</x:v>
      </x:c>
      <x:c r="M1355" s="4" t="str">
        <x:f>IFERROR(INDEX('Crafting recipes'!$E$6:$E$1005,MATCH(B1355,'Crafting recipes'!$A$6:$A$1005,0)),"MISSING ID")</x:f>
        <x:v>Partial proposal</x:v>
      </x:c>
      <x:c r="N1355" s="4" t="str">
        <x:v>Candidate source or part only. Quantity, grade and method remain open.</x:v>
      </x:c>
      <x:c r="O1355" s="4" t="str">
        <x:v>Collection expansion, October 15, 2026. New game proposal.</x:v>
      </x:c>
      <x:c r="P1355" s="4" t="n">
        <x:f>IF(OR(C1355="Ingredient candidate",C1355="Consumed input",C1355="Contained input",C1355="Transform input"),IF(F1355="T0",0,IF(F1355="T1",1,IF(F1355="T2",2,IF(F1355="T3",3,IF(F1355="T4",4,-1))))),-1)</x:f>
        <x:v>-1</x:v>
      </x:c>
      <x:c r="Q1355" s="4" t="n">
        <x:f>IF(AND(OR(C1355="Ingredient candidate",C1355="Consumed input",C1355="Contained input",C1355="Transform input"),P1355=-1),1,0)</x:f>
        <x:v>0</x:v>
      </x:c>
    </x:row>
    <x:row r="1356" ht="64" customHeight="1">
      <x:c r="A1356" s="4" t="str">
        <x:v>design.collection.magnetic_salvage_catch_plate.in.1</x:v>
      </x:c>
      <x:c r="B1356" s="4" t="str">
        <x:v>design.collection.magnetic_salvage_catch_plate</x:v>
      </x:c>
      <x:c r="C1356" s="4" t="str">
        <x:v>Ingredient candidate</x:v>
      </x:c>
      <x:c r="D1356" s="4" t="str">
        <x:v>proposal.gear.magnets</x:v>
      </x:c>
      <x:c r="E1356" s="4" t="str">
        <x:f>IFERROR(INDEX('Items'!$B$6:$B$1005,MATCH(D1356,'Items'!$A$6:$A$1005,0)),"MISSING ID")</x:f>
        <x:v>Field magnets</x:v>
      </x:c>
      <x:c r="F1356" s="4" t="str">
        <x:f>IFERROR(INDEX('Items'!$C$6:$C$1005,MATCH(D1356,'Items'!$A$6:$A$1005,0)),"MISSING ID")</x:f>
        <x:v>Not applicable</x:v>
      </x:c>
      <x:c r="G1356" s="4" t="str">
        <x:f>IFERROR(INDEX('Items'!$D$6:$D$1005,MATCH(D1356,'Items'!$A$6:$A$1005,0)),"MISSING ID")</x:f>
        <x:v>Tools</x:v>
      </x:c>
      <x:c r="H1356" s="4" t="str">
        <x:f>IFERROR(INDEX('Items'!$X$6:$X$1005,MATCH(D1356,'Items'!$A$6:$A$1005,0)),"MISSING ID")</x:f>
        <x:v>Tool</x:v>
      </x:c>
      <x:c r="I1356" s="4"/>
      <x:c r="J1356" s="4" t="str">
        <x:v>Unspecified</x:v>
      </x:c>
      <x:c r="K1356" s="4" t="str">
        <x:f>IFERROR(INDEX('Crafting recipes'!$D$6:$D$1005,MATCH(B1356,'Crafting recipes'!$A$6:$A$1005,0)),"MISSING ID")</x:f>
        <x:v>Proposal</x:v>
      </x:c>
      <x:c r="L1356" s="4" t="str">
        <x:f>IFERROR(INDEX('Items'!$AD$6:$AD$1005,MATCH(D1356,'Items'!$A$6:$A$1005,0)),"MISSING ID")</x:f>
        <x:v>Author direction</x:v>
      </x:c>
      <x:c r="M1356" s="4" t="str">
        <x:f>IFERROR(INDEX('Crafting recipes'!$E$6:$E$1005,MATCH(B1356,'Crafting recipes'!$A$6:$A$1005,0)),"MISSING ID")</x:f>
        <x:v>Partial proposal</x:v>
      </x:c>
      <x:c r="N1356" s="4" t="str">
        <x:v>Candidate source or part only. Quantity, grade and method remain open.</x:v>
      </x:c>
      <x:c r="O1356" s="4" t="str">
        <x:v>Collection expansion, October 15, 2026. New game proposal.</x:v>
      </x:c>
      <x:c r="P1356" s="4" t="n">
        <x:f>IF(OR(C1356="Ingredient candidate",C1356="Consumed input",C1356="Contained input",C1356="Transform input"),IF(F1356="T0",0,IF(F1356="T1",1,IF(F1356="T2",2,IF(F1356="T3",3,IF(F1356="T4",4,-1))))),-1)</x:f>
        <x:v>-1</x:v>
      </x:c>
      <x:c r="Q1356" s="4" t="n">
        <x:f>IF(AND(OR(C1356="Ingredient candidate",C1356="Consumed input",C1356="Contained input",C1356="Transform input"),P1356=-1),1,0)</x:f>
        <x:v>1</x:v>
      </x:c>
    </x:row>
    <x:row r="1357" ht="64" customHeight="1">
      <x:c r="A1357" s="4" t="str">
        <x:v>design.collection.magnetic_salvage_catch_plate.in.2</x:v>
      </x:c>
      <x:c r="B1357" s="4" t="str">
        <x:v>design.collection.magnetic_salvage_catch_plate</x:v>
      </x:c>
      <x:c r="C1357" s="4" t="str">
        <x:v>Ingredient candidate</x:v>
      </x:c>
      <x:c r="D1357" s="4" t="str">
        <x:v>proposal.collection.annealed_iron_sheet_stock</x:v>
      </x:c>
      <x:c r="E1357" s="4" t="str">
        <x:f>IFERROR(INDEX('Items'!$B$6:$B$1005,MATCH(D1357,'Items'!$A$6:$A$1005,0)),"MISSING ID")</x:f>
        <x:v>Annealed iron sheet stock</x:v>
      </x:c>
      <x:c r="F1357" s="4" t="str">
        <x:f>IFERROR(INDEX('Items'!$C$6:$C$1005,MATCH(D1357,'Items'!$A$6:$A$1005,0)),"MISSING ID")</x:f>
        <x:v>T3</x:v>
      </x:c>
      <x:c r="G1357" s="4" t="str">
        <x:f>IFERROR(INDEX('Items'!$D$6:$D$1005,MATCH(D1357,'Items'!$A$6:$A$1005,0)),"MISSING ID")</x:f>
        <x:v>Manufactured stock</x:v>
      </x:c>
      <x:c r="H1357" s="4" t="str">
        <x:f>IFERROR(INDEX('Items'!$X$6:$X$1005,MATCH(D1357,'Items'!$A$6:$A$1005,0)),"MISSING ID")</x:f>
        <x:v>Processed material</x:v>
      </x:c>
      <x:c r="I1357" s="4"/>
      <x:c r="J1357" s="4" t="str">
        <x:v>Unspecified</x:v>
      </x:c>
      <x:c r="K1357" s="4" t="str">
        <x:f>IFERROR(INDEX('Crafting recipes'!$D$6:$D$1005,MATCH(B1357,'Crafting recipes'!$A$6:$A$1005,0)),"MISSING ID")</x:f>
        <x:v>Proposal</x:v>
      </x:c>
      <x:c r="L1357" s="4" t="str">
        <x:f>IFERROR(INDEX('Items'!$AD$6:$AD$1005,MATCH(D1357,'Items'!$A$6:$A$1005,0)),"MISSING ID")</x:f>
        <x:v>Proposal</x:v>
      </x:c>
      <x:c r="M1357" s="4" t="str">
        <x:f>IFERROR(INDEX('Crafting recipes'!$E$6:$E$1005,MATCH(B1357,'Crafting recipes'!$A$6:$A$1005,0)),"MISSING ID")</x:f>
        <x:v>Partial proposal</x:v>
      </x:c>
      <x:c r="N1357" s="4" t="str">
        <x:v>Candidate source or part only. Quantity, grade and method remain open.</x:v>
      </x:c>
      <x:c r="O1357" s="4" t="str">
        <x:v>Collection expansion, October 15, 2026. New game proposal.</x:v>
      </x:c>
      <x:c r="P1357" s="4" t="n">
        <x:f>IF(OR(C1357="Ingredient candidate",C1357="Consumed input",C1357="Contained input",C1357="Transform input"),IF(F1357="T0",0,IF(F1357="T1",1,IF(F1357="T2",2,IF(F1357="T3",3,IF(F1357="T4",4,-1))))),-1)</x:f>
        <x:v>3</x:v>
      </x:c>
      <x:c r="Q1357" s="4" t="n">
        <x:f>IF(AND(OR(C1357="Ingredient candidate",C1357="Consumed input",C1357="Contained input",C1357="Transform input"),P1357=-1),1,0)</x:f>
        <x:v>0</x:v>
      </x:c>
    </x:row>
    <x:row r="1358" ht="64" customHeight="1">
      <x:c r="A1358" s="4" t="str">
        <x:v>design.collection.magnetic_salvage_catch_plate.out</x:v>
      </x:c>
      <x:c r="B1358" s="4" t="str">
        <x:v>design.collection.magnetic_salvage_catch_plate</x:v>
      </x:c>
      <x:c r="C1358" s="4" t="str">
        <x:v>Output</x:v>
      </x:c>
      <x:c r="D1358" s="4" t="str">
        <x:v>proposal.collection.magnetic_salvage_catch_plate</x:v>
      </x:c>
      <x:c r="E1358" s="4" t="str">
        <x:f>IFERROR(INDEX('Items'!$B$6:$B$1005,MATCH(D1358,'Items'!$A$6:$A$1005,0)),"MISSING ID")</x:f>
        <x:v>Magnetic salvage catch plate</x:v>
      </x:c>
      <x:c r="F1358" s="4" t="str">
        <x:f>IFERROR(INDEX('Items'!$C$6:$C$1005,MATCH(D1358,'Items'!$A$6:$A$1005,0)),"MISSING ID")</x:f>
        <x:v>Not applicable</x:v>
      </x:c>
      <x:c r="G1358" s="4" t="str">
        <x:f>IFERROR(INDEX('Items'!$D$6:$D$1005,MATCH(D1358,'Items'!$A$6:$A$1005,0)),"MISSING ID")</x:f>
        <x:v>Crafting components</x:v>
      </x:c>
      <x:c r="H1358" s="4" t="str">
        <x:f>IFERROR(INDEX('Items'!$X$6:$X$1005,MATCH(D1358,'Items'!$A$6:$A$1005,0)),"MISSING ID")</x:f>
        <x:v>Trap</x:v>
      </x:c>
      <x:c r="I1358" s="4"/>
      <x:c r="J1358" s="4" t="str">
        <x:v>Unspecified</x:v>
      </x:c>
      <x:c r="K1358" s="4" t="str">
        <x:f>IFERROR(INDEX('Crafting recipes'!$D$6:$D$1005,MATCH(B1358,'Crafting recipes'!$A$6:$A$1005,0)),"MISSING ID")</x:f>
        <x:v>Proposal</x:v>
      </x:c>
      <x:c r="L1358" s="4" t="str">
        <x:f>IFERROR(INDEX('Items'!$AD$6:$AD$1005,MATCH(D1358,'Items'!$A$6:$A$1005,0)),"MISSING ID")</x:f>
        <x:v>Proposal</x:v>
      </x:c>
      <x:c r="M1358" s="4" t="str">
        <x:f>IFERROR(INDEX('Crafting recipes'!$E$6:$E$1005,MATCH(B1358,'Crafting recipes'!$A$6:$A$1005,0)),"MISSING ID")</x:f>
        <x:v>Partial proposal</x:v>
      </x:c>
      <x:c r="N1358" s="4" t="str">
        <x:v>Candidate source or part only. Quantity, grade and method remain open.</x:v>
      </x:c>
      <x:c r="O1358" s="4" t="str">
        <x:v>Collection expansion, October 15, 2026. New game proposal.</x:v>
      </x:c>
      <x:c r="P1358" s="4" t="n">
        <x:f>IF(OR(C1358="Ingredient candidate",C1358="Consumed input",C1358="Contained input",C1358="Transform input"),IF(F1358="T0",0,IF(F1358="T1",1,IF(F1358="T2",2,IF(F1358="T3",3,IF(F1358="T4",4,-1))))),-1)</x:f>
        <x:v>-1</x:v>
      </x:c>
      <x:c r="Q1358" s="4" t="n">
        <x:f>IF(AND(OR(C1358="Ingredient candidate",C1358="Consumed input",C1358="Contained input",C1358="Transform input"),P1358=-1),1,0)</x:f>
        <x:v>0</x:v>
      </x:c>
    </x:row>
    <x:row r="1359" ht="64" customHeight="1">
      <x:c r="A1359" s="4" t="str">
        <x:v>design.collection.dirtboard_lane_snag_bar.in.1</x:v>
      </x:c>
      <x:c r="B1359" s="4" t="str">
        <x:v>design.collection.dirtboard_lane_snag_bar</x:v>
      </x:c>
      <x:c r="C1359" s="4" t="str">
        <x:v>Ingredient candidate</x:v>
      </x:c>
      <x:c r="D1359" s="4" t="str">
        <x:v>author.metallurgy.steel_stock</x:v>
      </x:c>
      <x:c r="E1359" s="4" t="str">
        <x:f>IFERROR(INDEX('Items'!$B$6:$B$1005,MATCH(D1359,'Items'!$A$6:$A$1005,0)),"MISSING ID")</x:f>
        <x:v>Steel stock</x:v>
      </x:c>
      <x:c r="F1359" s="4" t="str">
        <x:f>IFERROR(INDEX('Items'!$C$6:$C$1005,MATCH(D1359,'Items'!$A$6:$A$1005,0)),"MISSING ID")</x:f>
        <x:v>T2</x:v>
      </x:c>
      <x:c r="G1359" s="4" t="str">
        <x:f>IFERROR(INDEX('Items'!$D$6:$D$1005,MATCH(D1359,'Items'!$A$6:$A$1005,0)),"MISSING ID")</x:f>
        <x:v>Manufactured stock</x:v>
      </x:c>
      <x:c r="H1359" s="4" t="str">
        <x:f>IFERROR(INDEX('Items'!$X$6:$X$1005,MATCH(D1359,'Items'!$A$6:$A$1005,0)),"MISSING ID")</x:f>
        <x:v>Processed material</x:v>
      </x:c>
      <x:c r="I1359" s="4"/>
      <x:c r="J1359" s="4" t="str">
        <x:v>Unspecified</x:v>
      </x:c>
      <x:c r="K1359" s="4" t="str">
        <x:f>IFERROR(INDEX('Crafting recipes'!$D$6:$D$1005,MATCH(B1359,'Crafting recipes'!$A$6:$A$1005,0)),"MISSING ID")</x:f>
        <x:v>Proposal</x:v>
      </x:c>
      <x:c r="L1359" s="4" t="str">
        <x:f>IFERROR(INDEX('Items'!$AD$6:$AD$1005,MATCH(D1359,'Items'!$A$6:$A$1005,0)),"MISSING ID")</x:f>
        <x:v>Author direction</x:v>
      </x:c>
      <x:c r="M1359" s="4" t="str">
        <x:f>IFERROR(INDEX('Crafting recipes'!$E$6:$E$1005,MATCH(B1359,'Crafting recipes'!$A$6:$A$1005,0)),"MISSING ID")</x:f>
        <x:v>Partial proposal</x:v>
      </x:c>
      <x:c r="N1359" s="4" t="str">
        <x:v>Candidate source or part only. Quantity, grade and method remain open.</x:v>
      </x:c>
      <x:c r="O1359" s="4" t="str">
        <x:v>Collection expansion, October 15, 2026. New game proposal.</x:v>
      </x:c>
      <x:c r="P1359" s="4" t="n">
        <x:f>IF(OR(C1359="Ingredient candidate",C1359="Consumed input",C1359="Contained input",C1359="Transform input"),IF(F1359="T0",0,IF(F1359="T1",1,IF(F1359="T2",2,IF(F1359="T3",3,IF(F1359="T4",4,-1))))),-1)</x:f>
        <x:v>2</x:v>
      </x:c>
      <x:c r="Q1359" s="4" t="n">
        <x:f>IF(AND(OR(C1359="Ingredient candidate",C1359="Consumed input",C1359="Contained input",C1359="Transform input"),P1359=-1),1,0)</x:f>
        <x:v>0</x:v>
      </x:c>
    </x:row>
    <x:row r="1360" ht="64" customHeight="1">
      <x:c r="A1360" s="4" t="str">
        <x:v>design.collection.dirtboard_lane_snag_bar.out</x:v>
      </x:c>
      <x:c r="B1360" s="4" t="str">
        <x:v>design.collection.dirtboard_lane_snag_bar</x:v>
      </x:c>
      <x:c r="C1360" s="4" t="str">
        <x:v>Output</x:v>
      </x:c>
      <x:c r="D1360" s="4" t="str">
        <x:v>proposal.collection.dirtboard_lane_snag_bar</x:v>
      </x:c>
      <x:c r="E1360" s="4" t="str">
        <x:f>IFERROR(INDEX('Items'!$B$6:$B$1005,MATCH(D1360,'Items'!$A$6:$A$1005,0)),"MISSING ID")</x:f>
        <x:v>Dirtboard lane snag bar</x:v>
      </x:c>
      <x:c r="F1360" s="4" t="str">
        <x:f>IFERROR(INDEX('Items'!$C$6:$C$1005,MATCH(D1360,'Items'!$A$6:$A$1005,0)),"MISSING ID")</x:f>
        <x:v>Not applicable</x:v>
      </x:c>
      <x:c r="G1360" s="4" t="str">
        <x:f>IFERROR(INDEX('Items'!$D$6:$D$1005,MATCH(D1360,'Items'!$A$6:$A$1005,0)),"MISSING ID")</x:f>
        <x:v>Salvage</x:v>
      </x:c>
      <x:c r="H1360" s="4" t="str">
        <x:f>IFERROR(INDEX('Items'!$X$6:$X$1005,MATCH(D1360,'Items'!$A$6:$A$1005,0)),"MISSING ID")</x:f>
        <x:v>Trap</x:v>
      </x:c>
      <x:c r="I1360" s="4"/>
      <x:c r="J1360" s="4" t="str">
        <x:v>Unspecified</x:v>
      </x:c>
      <x:c r="K1360" s="4" t="str">
        <x:f>IFERROR(INDEX('Crafting recipes'!$D$6:$D$1005,MATCH(B1360,'Crafting recipes'!$A$6:$A$1005,0)),"MISSING ID")</x:f>
        <x:v>Proposal</x:v>
      </x:c>
      <x:c r="L1360" s="4" t="str">
        <x:f>IFERROR(INDEX('Items'!$AD$6:$AD$1005,MATCH(D1360,'Items'!$A$6:$A$1005,0)),"MISSING ID")</x:f>
        <x:v>Proposal</x:v>
      </x:c>
      <x:c r="M1360" s="4" t="str">
        <x:f>IFERROR(INDEX('Crafting recipes'!$E$6:$E$1005,MATCH(B1360,'Crafting recipes'!$A$6:$A$1005,0)),"MISSING ID")</x:f>
        <x:v>Partial proposal</x:v>
      </x:c>
      <x:c r="N1360" s="4" t="str">
        <x:v>Candidate source or part only. Quantity, grade and method remain open.</x:v>
      </x:c>
      <x:c r="O1360" s="4" t="str">
        <x:v>Collection expansion, October 15, 2026. New game proposal.</x:v>
      </x:c>
      <x:c r="P1360" s="4" t="n">
        <x:f>IF(OR(C1360="Ingredient candidate",C1360="Consumed input",C1360="Contained input",C1360="Transform input"),IF(F1360="T0",0,IF(F1360="T1",1,IF(F1360="T2",2,IF(F1360="T3",3,IF(F1360="T4",4,-1))))),-1)</x:f>
        <x:v>-1</x:v>
      </x:c>
      <x:c r="Q1360" s="4" t="n">
        <x:f>IF(AND(OR(C1360="Ingredient candidate",C1360="Consumed input",C1360="Contained input",C1360="Transform input"),P1360=-1),1,0)</x:f>
        <x:v>0</x:v>
      </x:c>
    </x:row>
    <x:row r="1361" ht="64" customHeight="1">
      <x:c r="A1361" s="4"/>
      <x:c r="B1361" s="4"/>
      <x:c r="C1361" s="4"/>
      <x:c r="D1361" s="4"/>
      <x:c r="E1361" s="4"/>
      <x:c r="F1361" s="4"/>
      <x:c r="G1361" s="4"/>
      <x:c r="H1361" s="4"/>
      <x:c r="I1361" s="4"/>
      <x:c r="J1361" s="4"/>
      <x:c r="K1361" s="4"/>
      <x:c r="L1361" s="4"/>
      <x:c r="M1361" s="4"/>
      <x:c r="N1361" s="4"/>
      <x:c r="O1361" s="4"/>
      <x:c r="P1361" s="4"/>
      <x:c r="Q1361" s="4"/>
    </x:row>
    <x:row r="1362" ht="64" customHeight="1">
      <x:c r="A1362" s="4"/>
      <x:c r="B1362" s="4"/>
      <x:c r="C1362" s="4"/>
      <x:c r="D1362" s="4"/>
      <x:c r="E1362" s="4"/>
      <x:c r="F1362" s="4"/>
      <x:c r="G1362" s="4"/>
      <x:c r="H1362" s="4"/>
      <x:c r="I1362" s="4"/>
      <x:c r="J1362" s="4"/>
      <x:c r="K1362" s="4"/>
      <x:c r="L1362" s="4"/>
      <x:c r="M1362" s="4"/>
      <x:c r="N1362" s="4"/>
      <x:c r="O1362" s="4"/>
      <x:c r="P1362" s="4"/>
      <x:c r="Q1362" s="4"/>
    </x:row>
    <x:row r="1363" ht="64" customHeight="1">
      <x:c r="A1363" s="4" t="str">
        <x:v>design.collection.static_alarm_contact_line.in.1</x:v>
      </x:c>
      <x:c r="B1363" s="4" t="str">
        <x:v>design.collection.static_alarm_contact_line</x:v>
      </x:c>
      <x:c r="C1363" s="4" t="str">
        <x:v>Ingredient candidate</x:v>
      </x:c>
      <x:c r="D1363" s="4" t="str">
        <x:v>proposal.collection.braided_iron_signal_lead</x:v>
      </x:c>
      <x:c r="E1363" s="4" t="str">
        <x:f>IFERROR(INDEX('Items'!$B$6:$B$1005,MATCH(D1363,'Items'!$A$6:$A$1005,0)),"MISSING ID")</x:f>
        <x:v>Braided iron signal lead</x:v>
      </x:c>
      <x:c r="F1363" s="4" t="str">
        <x:f>IFERROR(INDEX('Items'!$C$6:$C$1005,MATCH(D1363,'Items'!$A$6:$A$1005,0)),"MISSING ID")</x:f>
        <x:v>T3</x:v>
      </x:c>
      <x:c r="G1363" s="4" t="str">
        <x:f>IFERROR(INDEX('Items'!$D$6:$D$1005,MATCH(D1363,'Items'!$A$6:$A$1005,0)),"MISSING ID")</x:f>
        <x:v>Crafting components</x:v>
      </x:c>
      <x:c r="H1363" s="4" t="str">
        <x:f>IFERROR(INDEX('Items'!$X$6:$X$1005,MATCH(D1363,'Items'!$A$6:$A$1005,0)),"MISSING ID")</x:f>
        <x:v>Machine part</x:v>
      </x:c>
      <x:c r="I1363" s="4"/>
      <x:c r="J1363" s="4" t="str">
        <x:v>Unspecified</x:v>
      </x:c>
      <x:c r="K1363" s="4" t="str">
        <x:f>IFERROR(INDEX('Crafting recipes'!$D$6:$D$1005,MATCH(B1363,'Crafting recipes'!$A$6:$A$1005,0)),"MISSING ID")</x:f>
        <x:v>Proposal</x:v>
      </x:c>
      <x:c r="L1363" s="4" t="str">
        <x:f>IFERROR(INDEX('Items'!$AD$6:$AD$1005,MATCH(D1363,'Items'!$A$6:$A$1005,0)),"MISSING ID")</x:f>
        <x:v>Proposal</x:v>
      </x:c>
      <x:c r="M1363" s="4" t="str">
        <x:f>IFERROR(INDEX('Crafting recipes'!$E$6:$E$1005,MATCH(B1363,'Crafting recipes'!$A$6:$A$1005,0)),"MISSING ID")</x:f>
        <x:v>Partial proposal</x:v>
      </x:c>
      <x:c r="N1363" s="4" t="str">
        <x:v>Candidate source or part only. Quantity, grade and method remain open.</x:v>
      </x:c>
      <x:c r="O1363" s="4" t="str">
        <x:v>Collection expansion, October 15, 2026. New game proposal.</x:v>
      </x:c>
      <x:c r="P1363" s="4" t="n">
        <x:f>IF(OR(C1363="Ingredient candidate",C1363="Consumed input",C1363="Contained input",C1363="Transform input"),IF(F1363="T0",0,IF(F1363="T1",1,IF(F1363="T2",2,IF(F1363="T3",3,IF(F1363="T4",4,-1))))),-1)</x:f>
        <x:v>3</x:v>
      </x:c>
      <x:c r="Q1363" s="4" t="n">
        <x:f>IF(AND(OR(C1363="Ingredient candidate",C1363="Consumed input",C1363="Contained input",C1363="Transform input"),P1363=-1),1,0)</x:f>
        <x:v>0</x:v>
      </x:c>
    </x:row>
    <x:row r="1364" ht="64" customHeight="1">
      <x:c r="A1364" s="4" t="str">
        <x:v>design.collection.static_alarm_contact_line.in.2</x:v>
      </x:c>
      <x:c r="B1364" s="4" t="str">
        <x:v>design.collection.static_alarm_contact_line</x:v>
      </x:c>
      <x:c r="C1364" s="4" t="str">
        <x:v>Ingredient candidate</x:v>
      </x:c>
      <x:c r="D1364" s="4" t="str">
        <x:v>proposal.collection.mica_separated_terminal_strip</x:v>
      </x:c>
      <x:c r="E1364" s="4" t="str">
        <x:f>IFERROR(INDEX('Items'!$B$6:$B$1005,MATCH(D1364,'Items'!$A$6:$A$1005,0)),"MISSING ID")</x:f>
        <x:v>Mica-separated terminal strip</x:v>
      </x:c>
      <x:c r="F1364" s="4" t="str">
        <x:f>IFERROR(INDEX('Items'!$C$6:$C$1005,MATCH(D1364,'Items'!$A$6:$A$1005,0)),"MISSING ID")</x:f>
        <x:v>T4</x:v>
      </x:c>
      <x:c r="G1364" s="4" t="str">
        <x:f>IFERROR(INDEX('Items'!$D$6:$D$1005,MATCH(D1364,'Items'!$A$6:$A$1005,0)),"MISSING ID")</x:f>
        <x:v>Crafting components</x:v>
      </x:c>
      <x:c r="H1364" s="4" t="str">
        <x:f>IFERROR(INDEX('Items'!$X$6:$X$1005,MATCH(D1364,'Items'!$A$6:$A$1005,0)),"MISSING ID")</x:f>
        <x:v>Machine part</x:v>
      </x:c>
      <x:c r="I1364" s="4"/>
      <x:c r="J1364" s="4" t="str">
        <x:v>Unspecified</x:v>
      </x:c>
      <x:c r="K1364" s="4" t="str">
        <x:f>IFERROR(INDEX('Crafting recipes'!$D$6:$D$1005,MATCH(B1364,'Crafting recipes'!$A$6:$A$1005,0)),"MISSING ID")</x:f>
        <x:v>Proposal</x:v>
      </x:c>
      <x:c r="L1364" s="4" t="str">
        <x:f>IFERROR(INDEX('Items'!$AD$6:$AD$1005,MATCH(D1364,'Items'!$A$6:$A$1005,0)),"MISSING ID")</x:f>
        <x:v>Proposal</x:v>
      </x:c>
      <x:c r="M1364" s="4" t="str">
        <x:f>IFERROR(INDEX('Crafting recipes'!$E$6:$E$1005,MATCH(B1364,'Crafting recipes'!$A$6:$A$1005,0)),"MISSING ID")</x:f>
        <x:v>Partial proposal</x:v>
      </x:c>
      <x:c r="N1364" s="4" t="str">
        <x:v>Candidate source or part only. Quantity, grade and method remain open.</x:v>
      </x:c>
      <x:c r="O1364" s="4" t="str">
        <x:v>Collection expansion, October 15, 2026. New game proposal.</x:v>
      </x:c>
      <x:c r="P1364" s="4" t="n">
        <x:f>IF(OR(C1364="Ingredient candidate",C1364="Consumed input",C1364="Contained input",C1364="Transform input"),IF(F1364="T0",0,IF(F1364="T1",1,IF(F1364="T2",2,IF(F1364="T3",3,IF(F1364="T4",4,-1))))),-1)</x:f>
        <x:v>4</x:v>
      </x:c>
      <x:c r="Q1364" s="4" t="n">
        <x:f>IF(AND(OR(C1364="Ingredient candidate",C1364="Consumed input",C1364="Contained input",C1364="Transform input"),P1364=-1),1,0)</x:f>
        <x:v>0</x:v>
      </x:c>
    </x:row>
    <x:row r="1365" ht="64" customHeight="1">
      <x:c r="A1365" s="4" t="str">
        <x:v>design.collection.static_alarm_contact_line.out</x:v>
      </x:c>
      <x:c r="B1365" s="4" t="str">
        <x:v>design.collection.static_alarm_contact_line</x:v>
      </x:c>
      <x:c r="C1365" s="4" t="str">
        <x:v>Output</x:v>
      </x:c>
      <x:c r="D1365" s="4" t="str">
        <x:v>proposal.collection.static_alarm_contact_line</x:v>
      </x:c>
      <x:c r="E1365" s="4" t="str">
        <x:f>IFERROR(INDEX('Items'!$B$6:$B$1005,MATCH(D1365,'Items'!$A$6:$A$1005,0)),"MISSING ID")</x:f>
        <x:v>Static alarm contact line</x:v>
      </x:c>
      <x:c r="F1365" s="4" t="str">
        <x:f>IFERROR(INDEX('Items'!$C$6:$C$1005,MATCH(D1365,'Items'!$A$6:$A$1005,0)),"MISSING ID")</x:f>
        <x:v>Not applicable</x:v>
      </x:c>
      <x:c r="G1365" s="4" t="str">
        <x:f>IFERROR(INDEX('Items'!$D$6:$D$1005,MATCH(D1365,'Items'!$A$6:$A$1005,0)),"MISSING ID")</x:f>
        <x:v>Weapons</x:v>
      </x:c>
      <x:c r="H1365" s="4" t="str">
        <x:f>IFERROR(INDEX('Items'!$X$6:$X$1005,MATCH(D1365,'Items'!$A$6:$A$1005,0)),"MISSING ID")</x:f>
        <x:v>Trap</x:v>
      </x:c>
      <x:c r="I1365" s="4"/>
      <x:c r="J1365" s="4" t="str">
        <x:v>Unspecified</x:v>
      </x:c>
      <x:c r="K1365" s="4" t="str">
        <x:f>IFERROR(INDEX('Crafting recipes'!$D$6:$D$1005,MATCH(B1365,'Crafting recipes'!$A$6:$A$1005,0)),"MISSING ID")</x:f>
        <x:v>Proposal</x:v>
      </x:c>
      <x:c r="L1365" s="4" t="str">
        <x:f>IFERROR(INDEX('Items'!$AD$6:$AD$1005,MATCH(D1365,'Items'!$A$6:$A$1005,0)),"MISSING ID")</x:f>
        <x:v>Proposal</x:v>
      </x:c>
      <x:c r="M1365" s="4" t="str">
        <x:f>IFERROR(INDEX('Crafting recipes'!$E$6:$E$1005,MATCH(B1365,'Crafting recipes'!$A$6:$A$1005,0)),"MISSING ID")</x:f>
        <x:v>Partial proposal</x:v>
      </x:c>
      <x:c r="N1365" s="4" t="str">
        <x:v>Candidate source or part only. Quantity, grade and method remain open.</x:v>
      </x:c>
      <x:c r="O1365" s="4" t="str">
        <x:v>Collection expansion, October 15, 2026. New game proposal.</x:v>
      </x:c>
      <x:c r="P1365" s="4" t="n">
        <x:f>IF(OR(C1365="Ingredient candidate",C1365="Consumed input",C1365="Contained input",C1365="Transform input"),IF(F1365="T0",0,IF(F1365="T1",1,IF(F1365="T2",2,IF(F1365="T3",3,IF(F1365="T4",4,-1))))),-1)</x:f>
        <x:v>-1</x:v>
      </x:c>
      <x:c r="Q1365" s="4" t="n">
        <x:f>IF(AND(OR(C1365="Ingredient candidate",C1365="Consumed input",C1365="Contained input",C1365="Transform input"),P1365=-1),1,0)</x:f>
        <x:v>0</x:v>
      </x:c>
    </x:row>
    <x:row r="1366" ht="64" customHeight="1">
      <x:c r="A1366" s="4" t="str">
        <x:v>design.collection.shaped_stone_sling_pellet.in.1</x:v>
      </x:c>
      <x:c r="B1366" s="4" t="str">
        <x:v>design.collection.shaped_stone_sling_pellet</x:v>
      </x:c>
      <x:c r="C1366" s="4" t="str">
        <x:v>Ingredient candidate</x:v>
      </x:c>
      <x:c r="D1366" s="4" t="str">
        <x:v>proposal.t1.dressed_stone</x:v>
      </x:c>
      <x:c r="E1366" s="4" t="str">
        <x:f>IFERROR(INDEX('Items'!$B$6:$B$1005,MATCH(D1366,'Items'!$A$6:$A$1005,0)),"MISSING ID")</x:f>
        <x:v>Dressed building-stone stock</x:v>
      </x:c>
      <x:c r="F1366" s="4" t="str">
        <x:f>IFERROR(INDEX('Items'!$C$6:$C$1005,MATCH(D1366,'Items'!$A$6:$A$1005,0)),"MISSING ID")</x:f>
        <x:v>T1</x:v>
      </x:c>
      <x:c r="G1366" s="4" t="str">
        <x:f>IFERROR(INDEX('Items'!$D$6:$D$1005,MATCH(D1366,'Items'!$A$6:$A$1005,0)),"MISSING ID")</x:f>
        <x:v>Manufactured stock</x:v>
      </x:c>
      <x:c r="H1366" s="4" t="str">
        <x:f>IFERROR(INDEX('Items'!$X$6:$X$1005,MATCH(D1366,'Items'!$A$6:$A$1005,0)),"MISSING ID")</x:f>
        <x:v>Processed material</x:v>
      </x:c>
      <x:c r="I1366" s="4"/>
      <x:c r="J1366" s="4" t="str">
        <x:v>Unspecified</x:v>
      </x:c>
      <x:c r="K1366" s="4" t="str">
        <x:f>IFERROR(INDEX('Crafting recipes'!$D$6:$D$1005,MATCH(B1366,'Crafting recipes'!$A$6:$A$1005,0)),"MISSING ID")</x:f>
        <x:v>Proposal</x:v>
      </x:c>
      <x:c r="L1366" s="4" t="str">
        <x:f>IFERROR(INDEX('Items'!$AD$6:$AD$1005,MATCH(D1366,'Items'!$A$6:$A$1005,0)),"MISSING ID")</x:f>
        <x:v>Proposal</x:v>
      </x:c>
      <x:c r="M1366" s="4" t="str">
        <x:f>IFERROR(INDEX('Crafting recipes'!$E$6:$E$1005,MATCH(B1366,'Crafting recipes'!$A$6:$A$1005,0)),"MISSING ID")</x:f>
        <x:v>Partial proposal</x:v>
      </x:c>
      <x:c r="N1366" s="4" t="str">
        <x:v>Candidate source or part only. Quantity, grade and method remain open.</x:v>
      </x:c>
      <x:c r="O1366" s="4" t="str">
        <x:v>Collection expansion, October 15, 2026. New game proposal.</x:v>
      </x:c>
      <x:c r="P1366" s="4" t="n">
        <x:f>IF(OR(C1366="Ingredient candidate",C1366="Consumed input",C1366="Contained input",C1366="Transform input"),IF(F1366="T0",0,IF(F1366="T1",1,IF(F1366="T2",2,IF(F1366="T3",3,IF(F1366="T4",4,-1))))),-1)</x:f>
        <x:v>1</x:v>
      </x:c>
      <x:c r="Q1366" s="4" t="n">
        <x:f>IF(AND(OR(C1366="Ingredient candidate",C1366="Consumed input",C1366="Contained input",C1366="Transform input"),P1366=-1),1,0)</x:f>
        <x:v>0</x:v>
      </x:c>
    </x:row>
    <x:row r="1367" ht="64" customHeight="1">
      <x:c r="A1367" s="4" t="str">
        <x:v>design.collection.shaped_stone_sling_pellet.out</x:v>
      </x:c>
      <x:c r="B1367" s="4" t="str">
        <x:v>design.collection.shaped_stone_sling_pellet</x:v>
      </x:c>
      <x:c r="C1367" s="4" t="str">
        <x:v>Output</x:v>
      </x:c>
      <x:c r="D1367" s="4" t="str">
        <x:v>proposal.collection.shaped_stone_sling_pellet</x:v>
      </x:c>
      <x:c r="E1367" s="4" t="str">
        <x:f>IFERROR(INDEX('Items'!$B$6:$B$1005,MATCH(D1367,'Items'!$A$6:$A$1005,0)),"MISSING ID")</x:f>
        <x:v>Shaped stone sling pellet</x:v>
      </x:c>
      <x:c r="F1367" s="4" t="str">
        <x:f>IFERROR(INDEX('Items'!$C$6:$C$1005,MATCH(D1367,'Items'!$A$6:$A$1005,0)),"MISSING ID")</x:f>
        <x:v>Not applicable</x:v>
      </x:c>
      <x:c r="G1367" s="4" t="str">
        <x:f>IFERROR(INDEX('Items'!$D$6:$D$1005,MATCH(D1367,'Items'!$A$6:$A$1005,0)),"MISSING ID")</x:f>
        <x:v>Ammunition</x:v>
      </x:c>
      <x:c r="H1367" s="4" t="str">
        <x:f>IFERROR(INDEX('Items'!$X$6:$X$1005,MATCH(D1367,'Items'!$A$6:$A$1005,0)),"MISSING ID")</x:f>
        <x:v>Ammunition</x:v>
      </x:c>
      <x:c r="I1367" s="4"/>
      <x:c r="J1367" s="4" t="str">
        <x:v>Unspecified</x:v>
      </x:c>
      <x:c r="K1367" s="4" t="str">
        <x:f>IFERROR(INDEX('Crafting recipes'!$D$6:$D$1005,MATCH(B1367,'Crafting recipes'!$A$6:$A$1005,0)),"MISSING ID")</x:f>
        <x:v>Proposal</x:v>
      </x:c>
      <x:c r="L1367" s="4" t="str">
        <x:f>IFERROR(INDEX('Items'!$AD$6:$AD$1005,MATCH(D1367,'Items'!$A$6:$A$1005,0)),"MISSING ID")</x:f>
        <x:v>Proposal</x:v>
      </x:c>
      <x:c r="M1367" s="4" t="str">
        <x:f>IFERROR(INDEX('Crafting recipes'!$E$6:$E$1005,MATCH(B1367,'Crafting recipes'!$A$6:$A$1005,0)),"MISSING ID")</x:f>
        <x:v>Partial proposal</x:v>
      </x:c>
      <x:c r="N1367" s="4" t="str">
        <x:v>Candidate source or part only. Quantity, grade and method remain open.</x:v>
      </x:c>
      <x:c r="O1367" s="4" t="str">
        <x:v>Collection expansion, October 15, 2026. New game proposal.</x:v>
      </x:c>
      <x:c r="P1367" s="4" t="n">
        <x:f>IF(OR(C1367="Ingredient candidate",C1367="Consumed input",C1367="Contained input",C1367="Transform input"),IF(F1367="T0",0,IF(F1367="T1",1,IF(F1367="T2",2,IF(F1367="T3",3,IF(F1367="T4",4,-1))))),-1)</x:f>
        <x:v>-1</x:v>
      </x:c>
      <x:c r="Q1367" s="4" t="n">
        <x:f>IF(AND(OR(C1367="Ingredient candidate",C1367="Consumed input",C1367="Contained input",C1367="Transform input"),P1367=-1),1,0)</x:f>
        <x:v>0</x:v>
      </x:c>
    </x:row>
    <x:row r="1368" ht="64" customHeight="1">
      <x:c r="A1368" s="4" t="str">
        <x:v>design.collection.steel_broadhead_bolt.in.1</x:v>
      </x:c>
      <x:c r="B1368" s="4" t="str">
        <x:v>design.collection.steel_broadhead_bolt</x:v>
      </x:c>
      <x:c r="C1368" s="4" t="str">
        <x:v>Ingredient candidate</x:v>
      </x:c>
      <x:c r="D1368" s="4" t="str">
        <x:v>author.metallurgy.steel_stock</x:v>
      </x:c>
      <x:c r="E1368" s="4" t="str">
        <x:f>IFERROR(INDEX('Items'!$B$6:$B$1005,MATCH(D1368,'Items'!$A$6:$A$1005,0)),"MISSING ID")</x:f>
        <x:v>Steel stock</x:v>
      </x:c>
      <x:c r="F1368" s="4" t="str">
        <x:f>IFERROR(INDEX('Items'!$C$6:$C$1005,MATCH(D1368,'Items'!$A$6:$A$1005,0)),"MISSING ID")</x:f>
        <x:v>T2</x:v>
      </x:c>
      <x:c r="G1368" s="4" t="str">
        <x:f>IFERROR(INDEX('Items'!$D$6:$D$1005,MATCH(D1368,'Items'!$A$6:$A$1005,0)),"MISSING ID")</x:f>
        <x:v>Manufactured stock</x:v>
      </x:c>
      <x:c r="H1368" s="4" t="str">
        <x:f>IFERROR(INDEX('Items'!$X$6:$X$1005,MATCH(D1368,'Items'!$A$6:$A$1005,0)),"MISSING ID")</x:f>
        <x:v>Processed material</x:v>
      </x:c>
      <x:c r="I1368" s="4"/>
      <x:c r="J1368" s="4" t="str">
        <x:v>Unspecified</x:v>
      </x:c>
      <x:c r="K1368" s="4" t="str">
        <x:f>IFERROR(INDEX('Crafting recipes'!$D$6:$D$1005,MATCH(B1368,'Crafting recipes'!$A$6:$A$1005,0)),"MISSING ID")</x:f>
        <x:v>Proposal</x:v>
      </x:c>
      <x:c r="L1368" s="4" t="str">
        <x:f>IFERROR(INDEX('Items'!$AD$6:$AD$1005,MATCH(D1368,'Items'!$A$6:$A$1005,0)),"MISSING ID")</x:f>
        <x:v>Author direction</x:v>
      </x:c>
      <x:c r="M1368" s="4" t="str">
        <x:f>IFERROR(INDEX('Crafting recipes'!$E$6:$E$1005,MATCH(B1368,'Crafting recipes'!$A$6:$A$1005,0)),"MISSING ID")</x:f>
        <x:v>Partial proposal</x:v>
      </x:c>
      <x:c r="N1368" s="4" t="str">
        <x:v>Candidate source or part only. Quantity, grade and method remain open.</x:v>
      </x:c>
      <x:c r="O1368" s="4" t="str">
        <x:v>Collection expansion, October 15, 2026. New game proposal.</x:v>
      </x:c>
      <x:c r="P1368" s="4" t="n">
        <x:f>IF(OR(C1368="Ingredient candidate",C1368="Consumed input",C1368="Contained input",C1368="Transform input"),IF(F1368="T0",0,IF(F1368="T1",1,IF(F1368="T2",2,IF(F1368="T3",3,IF(F1368="T4",4,-1))))),-1)</x:f>
        <x:v>2</x:v>
      </x:c>
      <x:c r="Q1368" s="4" t="n">
        <x:f>IF(AND(OR(C1368="Ingredient candidate",C1368="Consumed input",C1368="Contained input",C1368="Transform input"),P1368=-1),1,0)</x:f>
        <x:v>0</x:v>
      </x:c>
    </x:row>
    <x:row r="1369" ht="64" customHeight="1">
      <x:c r="A1369" s="4" t="str">
        <x:v>design.collection.steel_broadhead_bolt.out</x:v>
      </x:c>
      <x:c r="B1369" s="4" t="str">
        <x:v>design.collection.steel_broadhead_bolt</x:v>
      </x:c>
      <x:c r="C1369" s="4" t="str">
        <x:v>Output</x:v>
      </x:c>
      <x:c r="D1369" s="4" t="str">
        <x:v>proposal.collection.steel_broadhead_bolt</x:v>
      </x:c>
      <x:c r="E1369" s="4" t="str">
        <x:f>IFERROR(INDEX('Items'!$B$6:$B$1005,MATCH(D1369,'Items'!$A$6:$A$1005,0)),"MISSING ID")</x:f>
        <x:v>Steel broadhead bolt</x:v>
      </x:c>
      <x:c r="F1369" s="4" t="str">
        <x:f>IFERROR(INDEX('Items'!$C$6:$C$1005,MATCH(D1369,'Items'!$A$6:$A$1005,0)),"MISSING ID")</x:f>
        <x:v>Not applicable</x:v>
      </x:c>
      <x:c r="G1369" s="4" t="str">
        <x:f>IFERROR(INDEX('Items'!$D$6:$D$1005,MATCH(D1369,'Items'!$A$6:$A$1005,0)),"MISSING ID")</x:f>
        <x:v>Ammunition</x:v>
      </x:c>
      <x:c r="H1369" s="4" t="str">
        <x:f>IFERROR(INDEX('Items'!$X$6:$X$1005,MATCH(D1369,'Items'!$A$6:$A$1005,0)),"MISSING ID")</x:f>
        <x:v>Ammunition</x:v>
      </x:c>
      <x:c r="I1369" s="4"/>
      <x:c r="J1369" s="4" t="str">
        <x:v>Unspecified</x:v>
      </x:c>
      <x:c r="K1369" s="4" t="str">
        <x:f>IFERROR(INDEX('Crafting recipes'!$D$6:$D$1005,MATCH(B1369,'Crafting recipes'!$A$6:$A$1005,0)),"MISSING ID")</x:f>
        <x:v>Proposal</x:v>
      </x:c>
      <x:c r="L1369" s="4" t="str">
        <x:f>IFERROR(INDEX('Items'!$AD$6:$AD$1005,MATCH(D1369,'Items'!$A$6:$A$1005,0)),"MISSING ID")</x:f>
        <x:v>Proposal</x:v>
      </x:c>
      <x:c r="M1369" s="4" t="str">
        <x:f>IFERROR(INDEX('Crafting recipes'!$E$6:$E$1005,MATCH(B1369,'Crafting recipes'!$A$6:$A$1005,0)),"MISSING ID")</x:f>
        <x:v>Partial proposal</x:v>
      </x:c>
      <x:c r="N1369" s="4" t="str">
        <x:v>Candidate source or part only. Quantity, grade and method remain open.</x:v>
      </x:c>
      <x:c r="O1369" s="4" t="str">
        <x:v>Collection expansion, October 15, 2026. New game proposal.</x:v>
      </x:c>
      <x:c r="P1369" s="4" t="n">
        <x:f>IF(OR(C1369="Ingredient candidate",C1369="Consumed input",C1369="Contained input",C1369="Transform input"),IF(F1369="T0",0,IF(F1369="T1",1,IF(F1369="T2",2,IF(F1369="T3",3,IF(F1369="T4",4,-1))))),-1)</x:f>
        <x:v>-1</x:v>
      </x:c>
      <x:c r="Q1369" s="4" t="n">
        <x:f>IF(AND(OR(C1369="Ingredient candidate",C1369="Consumed input",C1369="Contained input",C1369="Transform input"),P1369=-1),1,0)</x:f>
        <x:v>0</x:v>
      </x:c>
    </x:row>
    <x:row r="1370" ht="64" customHeight="1">
      <x:c r="A1370" s="4" t="str">
        <x:v>design.collection.heavy_siege_bolt.in.1</x:v>
      </x:c>
      <x:c r="B1370" s="4" t="str">
        <x:v>design.collection.heavy_siege_bolt</x:v>
      </x:c>
      <x:c r="C1370" s="4" t="str">
        <x:v>Ingredient candidate</x:v>
      </x:c>
      <x:c r="D1370" s="4" t="str">
        <x:v>author.metallurgy.steel_stock</x:v>
      </x:c>
      <x:c r="E1370" s="4" t="str">
        <x:f>IFERROR(INDEX('Items'!$B$6:$B$1005,MATCH(D1370,'Items'!$A$6:$A$1005,0)),"MISSING ID")</x:f>
        <x:v>Steel stock</x:v>
      </x:c>
      <x:c r="F1370" s="4" t="str">
        <x:f>IFERROR(INDEX('Items'!$C$6:$C$1005,MATCH(D1370,'Items'!$A$6:$A$1005,0)),"MISSING ID")</x:f>
        <x:v>T2</x:v>
      </x:c>
      <x:c r="G1370" s="4" t="str">
        <x:f>IFERROR(INDEX('Items'!$D$6:$D$1005,MATCH(D1370,'Items'!$A$6:$A$1005,0)),"MISSING ID")</x:f>
        <x:v>Manufactured stock</x:v>
      </x:c>
      <x:c r="H1370" s="4" t="str">
        <x:f>IFERROR(INDEX('Items'!$X$6:$X$1005,MATCH(D1370,'Items'!$A$6:$A$1005,0)),"MISSING ID")</x:f>
        <x:v>Processed material</x:v>
      </x:c>
      <x:c r="I1370" s="4"/>
      <x:c r="J1370" s="4" t="str">
        <x:v>Unspecified</x:v>
      </x:c>
      <x:c r="K1370" s="4" t="str">
        <x:f>IFERROR(INDEX('Crafting recipes'!$D$6:$D$1005,MATCH(B1370,'Crafting recipes'!$A$6:$A$1005,0)),"MISSING ID")</x:f>
        <x:v>Proposal</x:v>
      </x:c>
      <x:c r="L1370" s="4" t="str">
        <x:f>IFERROR(INDEX('Items'!$AD$6:$AD$1005,MATCH(D1370,'Items'!$A$6:$A$1005,0)),"MISSING ID")</x:f>
        <x:v>Author direction</x:v>
      </x:c>
      <x:c r="M1370" s="4" t="str">
        <x:f>IFERROR(INDEX('Crafting recipes'!$E$6:$E$1005,MATCH(B1370,'Crafting recipes'!$A$6:$A$1005,0)),"MISSING ID")</x:f>
        <x:v>Partial proposal</x:v>
      </x:c>
      <x:c r="N1370" s="4" t="str">
        <x:v>Candidate source or part only. Quantity, grade and method remain open.</x:v>
      </x:c>
      <x:c r="O1370" s="4" t="str">
        <x:v>Collection expansion, October 15, 2026. New game proposal.</x:v>
      </x:c>
      <x:c r="P1370" s="4" t="n">
        <x:f>IF(OR(C1370="Ingredient candidate",C1370="Consumed input",C1370="Contained input",C1370="Transform input"),IF(F1370="T0",0,IF(F1370="T1",1,IF(F1370="T2",2,IF(F1370="T3",3,IF(F1370="T4",4,-1))))),-1)</x:f>
        <x:v>2</x:v>
      </x:c>
      <x:c r="Q1370" s="4" t="n">
        <x:f>IF(AND(OR(C1370="Ingredient candidate",C1370="Consumed input",C1370="Contained input",C1370="Transform input"),P1370=-1),1,0)</x:f>
        <x:v>0</x:v>
      </x:c>
    </x:row>
    <x:row r="1371" ht="64" customHeight="1">
      <x:c r="A1371" s="4" t="str">
        <x:v>design.collection.heavy_siege_bolt.in.2</x:v>
      </x:c>
      <x:c r="B1371" s="4" t="str">
        <x:v>design.collection.heavy_siege_bolt</x:v>
      </x:c>
      <x:c r="C1371" s="4" t="str">
        <x:v>Ingredient candidate</x:v>
      </x:c>
      <x:c r="D1371" s="4" t="str">
        <x:v>proposal.t3.precision_tube</x:v>
      </x:c>
      <x:c r="E1371" s="4" t="str">
        <x:f>IFERROR(INDEX('Items'!$B$6:$B$1005,MATCH(D1371,'Items'!$A$6:$A$1005,0)),"MISSING ID")</x:f>
        <x:v>Drawn steel tube stock</x:v>
      </x:c>
      <x:c r="F1371" s="4" t="str">
        <x:f>IFERROR(INDEX('Items'!$C$6:$C$1005,MATCH(D1371,'Items'!$A$6:$A$1005,0)),"MISSING ID")</x:f>
        <x:v>T3</x:v>
      </x:c>
      <x:c r="G1371" s="4" t="str">
        <x:f>IFERROR(INDEX('Items'!$D$6:$D$1005,MATCH(D1371,'Items'!$A$6:$A$1005,0)),"MISSING ID")</x:f>
        <x:v>Manufactured stock</x:v>
      </x:c>
      <x:c r="H1371" s="4" t="str">
        <x:f>IFERROR(INDEX('Items'!$X$6:$X$1005,MATCH(D1371,'Items'!$A$6:$A$1005,0)),"MISSING ID")</x:f>
        <x:v>Processed material</x:v>
      </x:c>
      <x:c r="I1371" s="4"/>
      <x:c r="J1371" s="4" t="str">
        <x:v>Unspecified</x:v>
      </x:c>
      <x:c r="K1371" s="4" t="str">
        <x:f>IFERROR(INDEX('Crafting recipes'!$D$6:$D$1005,MATCH(B1371,'Crafting recipes'!$A$6:$A$1005,0)),"MISSING ID")</x:f>
        <x:v>Proposal</x:v>
      </x:c>
      <x:c r="L1371" s="4" t="str">
        <x:f>IFERROR(INDEX('Items'!$AD$6:$AD$1005,MATCH(D1371,'Items'!$A$6:$A$1005,0)),"MISSING ID")</x:f>
        <x:v>Proposal</x:v>
      </x:c>
      <x:c r="M1371" s="4" t="str">
        <x:f>IFERROR(INDEX('Crafting recipes'!$E$6:$E$1005,MATCH(B1371,'Crafting recipes'!$A$6:$A$1005,0)),"MISSING ID")</x:f>
        <x:v>Partial proposal</x:v>
      </x:c>
      <x:c r="N1371" s="4" t="str">
        <x:v>Candidate source or part only. Quantity, grade and method remain open.</x:v>
      </x:c>
      <x:c r="O1371" s="4" t="str">
        <x:v>Collection expansion, October 15, 2026. New game proposal.</x:v>
      </x:c>
      <x:c r="P1371" s="4" t="n">
        <x:f>IF(OR(C1371="Ingredient candidate",C1371="Consumed input",C1371="Contained input",C1371="Transform input"),IF(F1371="T0",0,IF(F1371="T1",1,IF(F1371="T2",2,IF(F1371="T3",3,IF(F1371="T4",4,-1))))),-1)</x:f>
        <x:v>3</x:v>
      </x:c>
      <x:c r="Q1371" s="4" t="n">
        <x:f>IF(AND(OR(C1371="Ingredient candidate",C1371="Consumed input",C1371="Contained input",C1371="Transform input"),P1371=-1),1,0)</x:f>
        <x:v>0</x:v>
      </x:c>
    </x:row>
    <x:row r="1372" ht="64" customHeight="1">
      <x:c r="A1372" s="4" t="str">
        <x:v>design.collection.heavy_siege_bolt.out</x:v>
      </x:c>
      <x:c r="B1372" s="4" t="str">
        <x:v>design.collection.heavy_siege_bolt</x:v>
      </x:c>
      <x:c r="C1372" s="4" t="str">
        <x:v>Output</x:v>
      </x:c>
      <x:c r="D1372" s="4" t="str">
        <x:v>proposal.collection.heavy_siege_bolt</x:v>
      </x:c>
      <x:c r="E1372" s="4" t="str">
        <x:f>IFERROR(INDEX('Items'!$B$6:$B$1005,MATCH(D1372,'Items'!$A$6:$A$1005,0)),"MISSING ID")</x:f>
        <x:v>Heavy siege bolt</x:v>
      </x:c>
      <x:c r="F1372" s="4" t="str">
        <x:f>IFERROR(INDEX('Items'!$C$6:$C$1005,MATCH(D1372,'Items'!$A$6:$A$1005,0)),"MISSING ID")</x:f>
        <x:v>Not applicable</x:v>
      </x:c>
      <x:c r="G1372" s="4" t="str">
        <x:f>IFERROR(INDEX('Items'!$D$6:$D$1005,MATCH(D1372,'Items'!$A$6:$A$1005,0)),"MISSING ID")</x:f>
        <x:v>Ammunition</x:v>
      </x:c>
      <x:c r="H1372" s="4" t="str">
        <x:f>IFERROR(INDEX('Items'!$X$6:$X$1005,MATCH(D1372,'Items'!$A$6:$A$1005,0)),"MISSING ID")</x:f>
        <x:v>Ammunition</x:v>
      </x:c>
      <x:c r="I1372" s="4"/>
      <x:c r="J1372" s="4" t="str">
        <x:v>Unspecified</x:v>
      </x:c>
      <x:c r="K1372" s="4" t="str">
        <x:f>IFERROR(INDEX('Crafting recipes'!$D$6:$D$1005,MATCH(B1372,'Crafting recipes'!$A$6:$A$1005,0)),"MISSING ID")</x:f>
        <x:v>Proposal</x:v>
      </x:c>
      <x:c r="L1372" s="4" t="str">
        <x:f>IFERROR(INDEX('Items'!$AD$6:$AD$1005,MATCH(D1372,'Items'!$A$6:$A$1005,0)),"MISSING ID")</x:f>
        <x:v>Proposal</x:v>
      </x:c>
      <x:c r="M1372" s="4" t="str">
        <x:f>IFERROR(INDEX('Crafting recipes'!$E$6:$E$1005,MATCH(B1372,'Crafting recipes'!$A$6:$A$1005,0)),"MISSING ID")</x:f>
        <x:v>Partial proposal</x:v>
      </x:c>
      <x:c r="N1372" s="4" t="str">
        <x:v>Candidate source or part only. Quantity, grade and method remain open.</x:v>
      </x:c>
      <x:c r="O1372" s="4" t="str">
        <x:v>Collection expansion, October 15, 2026. New game proposal.</x:v>
      </x:c>
      <x:c r="P1372" s="4" t="n">
        <x:f>IF(OR(C1372="Ingredient candidate",C1372="Consumed input",C1372="Contained input",C1372="Transform input"),IF(F1372="T0",0,IF(F1372="T1",1,IF(F1372="T2",2,IF(F1372="T3",3,IF(F1372="T4",4,-1))))),-1)</x:f>
        <x:v>-1</x:v>
      </x:c>
      <x:c r="Q1372" s="4" t="n">
        <x:f>IF(AND(OR(C1372="Ingredient candidate",C1372="Consumed input",C1372="Contained input",C1372="Transform input"),P1372=-1),1,0)</x:f>
        <x:v>0</x:v>
      </x:c>
    </x:row>
    <x:row r="1373" ht="64" customHeight="1">
      <x:c r="A1373" s="4"/>
      <x:c r="B1373" s="4"/>
      <x:c r="C1373" s="4"/>
      <x:c r="D1373" s="4"/>
      <x:c r="E1373" s="4"/>
      <x:c r="F1373" s="4"/>
      <x:c r="G1373" s="4"/>
      <x:c r="H1373" s="4"/>
      <x:c r="I1373" s="4"/>
      <x:c r="K1373" s="4"/>
      <x:c r="L1373" s="4"/>
      <x:c r="M1373" s="4"/>
      <x:c r="N1373" s="4"/>
      <x:c r="O1373" s="4"/>
      <x:c r="P1373" s="4"/>
      <x:c r="Q1373" s="4"/>
    </x:row>
    <x:row r="1374" ht="64" customHeight="1">
      <x:c r="A1374" s="4"/>
      <x:c r="B1374" s="4"/>
      <x:c r="C1374" s="4"/>
      <x:c r="D1374" s="4"/>
      <x:c r="E1374" s="4"/>
      <x:c r="F1374" s="4"/>
      <x:c r="G1374" s="4"/>
      <x:c r="H1374" s="4"/>
      <x:c r="I1374" s="4"/>
      <x:c r="K1374" s="4"/>
      <x:c r="L1374" s="4"/>
      <x:c r="M1374" s="4"/>
      <x:c r="N1374" s="4"/>
      <x:c r="O1374" s="4"/>
      <x:c r="P1374" s="4"/>
      <x:c r="Q1374" s="4"/>
    </x:row>
    <x:row r="1375" ht="64" customHeight="1">
      <x:c r="A1375" s="4" t="str">
        <x:v>design.collection.pressure_launcher_rivet_round.in.1</x:v>
      </x:c>
      <x:c r="B1375" s="4" t="str">
        <x:v>design.collection.pressure_launcher_rivet_round</x:v>
      </x:c>
      <x:c r="C1375" s="4" t="str">
        <x:v>Ingredient candidate</x:v>
      </x:c>
      <x:c r="D1375" s="4" t="str">
        <x:v>proposal.lore.rivet_stock</x:v>
      </x:c>
      <x:c r="E1375" s="4" t="str">
        <x:f>IFERROR(INDEX('Items'!$B$6:$B$1005,MATCH(D1375,'Items'!$A$6:$A$1005,0)),"MISSING ID")</x:f>
        <x:v>Rough iron rivet stock</x:v>
      </x:c>
      <x:c r="F1375" s="4" t="str">
        <x:f>IFERROR(INDEX('Items'!$C$6:$C$1005,MATCH(D1375,'Items'!$A$6:$A$1005,0)),"MISSING ID")</x:f>
        <x:v>T2</x:v>
      </x:c>
      <x:c r="G1375" s="4" t="str">
        <x:f>IFERROR(INDEX('Items'!$D$6:$D$1005,MATCH(D1375,'Items'!$A$6:$A$1005,0)),"MISSING ID")</x:f>
        <x:v>Manufactured stock</x:v>
      </x:c>
      <x:c r="H1375" s="4" t="str">
        <x:f>IFERROR(INDEX('Items'!$X$6:$X$1005,MATCH(D1375,'Items'!$A$6:$A$1005,0)),"MISSING ID")</x:f>
        <x:v>Processed material</x:v>
      </x:c>
      <x:c r="I1375" s="4"/>
      <x:c r="J1375" s="4" t="str">
        <x:v>Unspecified</x:v>
      </x:c>
      <x:c r="K1375" s="4" t="str">
        <x:f>IFERROR(INDEX('Crafting recipes'!$D$6:$D$1005,MATCH(B1375,'Crafting recipes'!$A$6:$A$1005,0)),"MISSING ID")</x:f>
        <x:v>Proposal</x:v>
      </x:c>
      <x:c r="L1375" s="4" t="str">
        <x:f>IFERROR(INDEX('Items'!$AD$6:$AD$1005,MATCH(D1375,'Items'!$A$6:$A$1005,0)),"MISSING ID")</x:f>
        <x:v>Proposal</x:v>
      </x:c>
      <x:c r="M1375" s="4" t="str">
        <x:f>IFERROR(INDEX('Crafting recipes'!$E$6:$E$1005,MATCH(B1375,'Crafting recipes'!$A$6:$A$1005,0)),"MISSING ID")</x:f>
        <x:v>Partial proposal</x:v>
      </x:c>
      <x:c r="N1375" s="4" t="str">
        <x:v>Candidate source or part only. Quantity, grade and method remain open.</x:v>
      </x:c>
      <x:c r="O1375" s="4" t="str">
        <x:v>Collection expansion, October 15, 2026. New game proposal.</x:v>
      </x:c>
      <x:c r="P1375" s="4" t="n">
        <x:f>IF(OR(C1375="Ingredient candidate",C1375="Consumed input",C1375="Contained input",C1375="Transform input"),IF(F1375="T0",0,IF(F1375="T1",1,IF(F1375="T2",2,IF(F1375="T3",3,IF(F1375="T4",4,-1))))),-1)</x:f>
        <x:v>2</x:v>
      </x:c>
      <x:c r="Q1375" s="4" t="n">
        <x:f>IF(AND(OR(C1375="Ingredient candidate",C1375="Consumed input",C1375="Contained input",C1375="Transform input"),P1375=-1),1,0)</x:f>
        <x:v>0</x:v>
      </x:c>
    </x:row>
    <x:row r="1376" ht="64" customHeight="1">
      <x:c r="A1376" s="4" t="str">
        <x:v>design.collection.pressure_launcher_rivet_round.out</x:v>
      </x:c>
      <x:c r="B1376" s="4" t="str">
        <x:v>design.collection.pressure_launcher_rivet_round</x:v>
      </x:c>
      <x:c r="C1376" s="4" t="str">
        <x:v>Output</x:v>
      </x:c>
      <x:c r="D1376" s="4" t="str">
        <x:v>proposal.collection.pressure_launcher_rivet_round</x:v>
      </x:c>
      <x:c r="E1376" s="4" t="str">
        <x:f>IFERROR(INDEX('Items'!$B$6:$B$1005,MATCH(D1376,'Items'!$A$6:$A$1005,0)),"MISSING ID")</x:f>
        <x:v>Pressure-launcher rivet round</x:v>
      </x:c>
      <x:c r="F1376" s="4" t="str">
        <x:f>IFERROR(INDEX('Items'!$C$6:$C$1005,MATCH(D1376,'Items'!$A$6:$A$1005,0)),"MISSING ID")</x:f>
        <x:v>Not applicable</x:v>
      </x:c>
      <x:c r="G1376" s="4" t="str">
        <x:f>IFERROR(INDEX('Items'!$D$6:$D$1005,MATCH(D1376,'Items'!$A$6:$A$1005,0)),"MISSING ID")</x:f>
        <x:v>Ammunition</x:v>
      </x:c>
      <x:c r="H1376" s="4" t="str">
        <x:f>IFERROR(INDEX('Items'!$X$6:$X$1005,MATCH(D1376,'Items'!$A$6:$A$1005,0)),"MISSING ID")</x:f>
        <x:v>Ammunition</x:v>
      </x:c>
      <x:c r="I1376" s="4"/>
      <x:c r="J1376" s="4" t="str">
        <x:v>Unspecified</x:v>
      </x:c>
      <x:c r="K1376" s="4" t="str">
        <x:f>IFERROR(INDEX('Crafting recipes'!$D$6:$D$1005,MATCH(B1376,'Crafting recipes'!$A$6:$A$1005,0)),"MISSING ID")</x:f>
        <x:v>Proposal</x:v>
      </x:c>
      <x:c r="L1376" s="4" t="str">
        <x:f>IFERROR(INDEX('Items'!$AD$6:$AD$1005,MATCH(D1376,'Items'!$A$6:$A$1005,0)),"MISSING ID")</x:f>
        <x:v>Proposal</x:v>
      </x:c>
      <x:c r="M1376" s="4" t="str">
        <x:f>IFERROR(INDEX('Crafting recipes'!$E$6:$E$1005,MATCH(B1376,'Crafting recipes'!$A$6:$A$1005,0)),"MISSING ID")</x:f>
        <x:v>Partial proposal</x:v>
      </x:c>
      <x:c r="N1376" s="4" t="str">
        <x:v>Candidate source or part only. Quantity, grade and method remain open.</x:v>
      </x:c>
      <x:c r="O1376" s="4" t="str">
        <x:v>Collection expansion, October 15, 2026. New game proposal.</x:v>
      </x:c>
      <x:c r="P1376" s="4" t="n">
        <x:f>IF(OR(C1376="Ingredient candidate",C1376="Consumed input",C1376="Contained input",C1376="Transform input"),IF(F1376="T0",0,IF(F1376="T1",1,IF(F1376="T2",2,IF(F1376="T3",3,IF(F1376="T4",4,-1))))),-1)</x:f>
        <x:v>-1</x:v>
      </x:c>
      <x:c r="Q1376" s="4" t="n">
        <x:f>IF(AND(OR(C1376="Ingredient candidate",C1376="Consumed input",C1376="Contained input",C1376="Transform input"),P1376=-1),1,0)</x:f>
        <x:v>0</x:v>
      </x:c>
    </x:row>
    <x:row r="1377" ht="64" customHeight="1">
      <x:c r="A1377" s="4" t="str">
        <x:v>design.collection.magnetic_projector_dart.in.1</x:v>
      </x:c>
      <x:c r="B1377" s="4" t="str">
        <x:v>design.collection.magnetic_projector_dart</x:v>
      </x:c>
      <x:c r="C1377" s="4" t="str">
        <x:v>Ingredient candidate</x:v>
      </x:c>
      <x:c r="D1377" s="4" t="str">
        <x:v>author.metallurgy.steel_stock</x:v>
      </x:c>
      <x:c r="E1377" s="4" t="str">
        <x:f>IFERROR(INDEX('Items'!$B$6:$B$1005,MATCH(D1377,'Items'!$A$6:$A$1005,0)),"MISSING ID")</x:f>
        <x:v>Steel stock</x:v>
      </x:c>
      <x:c r="F1377" s="4" t="str">
        <x:f>IFERROR(INDEX('Items'!$C$6:$C$1005,MATCH(D1377,'Items'!$A$6:$A$1005,0)),"MISSING ID")</x:f>
        <x:v>T2</x:v>
      </x:c>
      <x:c r="G1377" s="4" t="str">
        <x:f>IFERROR(INDEX('Items'!$D$6:$D$1005,MATCH(D1377,'Items'!$A$6:$A$1005,0)),"MISSING ID")</x:f>
        <x:v>Manufactured stock</x:v>
      </x:c>
      <x:c r="H1377" s="4" t="str">
        <x:f>IFERROR(INDEX('Items'!$X$6:$X$1005,MATCH(D1377,'Items'!$A$6:$A$1005,0)),"MISSING ID")</x:f>
        <x:v>Processed material</x:v>
      </x:c>
      <x:c r="I1377" s="4"/>
      <x:c r="J1377" s="4" t="str">
        <x:v>Unspecified</x:v>
      </x:c>
      <x:c r="K1377" s="4" t="str">
        <x:f>IFERROR(INDEX('Crafting recipes'!$D$6:$D$1005,MATCH(B1377,'Crafting recipes'!$A$6:$A$1005,0)),"MISSING ID")</x:f>
        <x:v>Proposal</x:v>
      </x:c>
      <x:c r="L1377" s="4" t="str">
        <x:f>IFERROR(INDEX('Items'!$AD$6:$AD$1005,MATCH(D1377,'Items'!$A$6:$A$1005,0)),"MISSING ID")</x:f>
        <x:v>Author direction</x:v>
      </x:c>
      <x:c r="M1377" s="4" t="str">
        <x:f>IFERROR(INDEX('Crafting recipes'!$E$6:$E$1005,MATCH(B1377,'Crafting recipes'!$A$6:$A$1005,0)),"MISSING ID")</x:f>
        <x:v>Partial proposal</x:v>
      </x:c>
      <x:c r="N1377" s="4" t="str">
        <x:v>Candidate source or part only. Quantity, grade and method remain open.</x:v>
      </x:c>
      <x:c r="O1377" s="4" t="str">
        <x:v>Collection expansion, October 15, 2026. New game proposal.</x:v>
      </x:c>
      <x:c r="P1377" s="4" t="n">
        <x:f>IF(OR(C1377="Ingredient candidate",C1377="Consumed input",C1377="Contained input",C1377="Transform input"),IF(F1377="T0",0,IF(F1377="T1",1,IF(F1377="T2",2,IF(F1377="T3",3,IF(F1377="T4",4,-1))))),-1)</x:f>
        <x:v>2</x:v>
      </x:c>
      <x:c r="Q1377" s="4" t="n">
        <x:f>IF(AND(OR(C1377="Ingredient candidate",C1377="Consumed input",C1377="Contained input",C1377="Transform input"),P1377=-1),1,0)</x:f>
        <x:v>0</x:v>
      </x:c>
    </x:row>
    <x:row r="1378" ht="64" customHeight="1">
      <x:c r="A1378" s="4" t="str">
        <x:v>design.collection.magnetic_projector_dart.out</x:v>
      </x:c>
      <x:c r="B1378" s="4" t="str">
        <x:v>design.collection.magnetic_projector_dart</x:v>
      </x:c>
      <x:c r="C1378" s="4" t="str">
        <x:v>Output</x:v>
      </x:c>
      <x:c r="D1378" s="4" t="str">
        <x:v>proposal.collection.magnetic_projector_dart</x:v>
      </x:c>
      <x:c r="E1378" s="4" t="str">
        <x:f>IFERROR(INDEX('Items'!$B$6:$B$1005,MATCH(D1378,'Items'!$A$6:$A$1005,0)),"MISSING ID")</x:f>
        <x:v>Magnetic projector dart</x:v>
      </x:c>
      <x:c r="F1378" s="4" t="str">
        <x:f>IFERROR(INDEX('Items'!$C$6:$C$1005,MATCH(D1378,'Items'!$A$6:$A$1005,0)),"MISSING ID")</x:f>
        <x:v>Not applicable</x:v>
      </x:c>
      <x:c r="G1378" s="4" t="str">
        <x:f>IFERROR(INDEX('Items'!$D$6:$D$1005,MATCH(D1378,'Items'!$A$6:$A$1005,0)),"MISSING ID")</x:f>
        <x:v>Ammunition</x:v>
      </x:c>
      <x:c r="H1378" s="4" t="str">
        <x:f>IFERROR(INDEX('Items'!$X$6:$X$1005,MATCH(D1378,'Items'!$A$6:$A$1005,0)),"MISSING ID")</x:f>
        <x:v>Ammunition</x:v>
      </x:c>
      <x:c r="I1378" s="4"/>
      <x:c r="J1378" s="4" t="str">
        <x:v>Unspecified</x:v>
      </x:c>
      <x:c r="K1378" s="4" t="str">
        <x:f>IFERROR(INDEX('Crafting recipes'!$D$6:$D$1005,MATCH(B1378,'Crafting recipes'!$A$6:$A$1005,0)),"MISSING ID")</x:f>
        <x:v>Proposal</x:v>
      </x:c>
      <x:c r="L1378" s="4" t="str">
        <x:f>IFERROR(INDEX('Items'!$AD$6:$AD$1005,MATCH(D1378,'Items'!$A$6:$A$1005,0)),"MISSING ID")</x:f>
        <x:v>Proposal</x:v>
      </x:c>
      <x:c r="M1378" s="4" t="str">
        <x:f>IFERROR(INDEX('Crafting recipes'!$E$6:$E$1005,MATCH(B1378,'Crafting recipes'!$A$6:$A$1005,0)),"MISSING ID")</x:f>
        <x:v>Partial proposal</x:v>
      </x:c>
      <x:c r="N1378" s="4" t="str">
        <x:v>Candidate source or part only. Quantity, grade and method remain open.</x:v>
      </x:c>
      <x:c r="O1378" s="4" t="str">
        <x:v>Collection expansion, October 15, 2026. New game proposal.</x:v>
      </x:c>
      <x:c r="P1378" s="4" t="n">
        <x:f>IF(OR(C1378="Ingredient candidate",C1378="Consumed input",C1378="Contained input",C1378="Transform input"),IF(F1378="T0",0,IF(F1378="T1",1,IF(F1378="T2",2,IF(F1378="T3",3,IF(F1378="T4",4,-1))))),-1)</x:f>
        <x:v>-1</x:v>
      </x:c>
      <x:c r="Q1378" s="4" t="n">
        <x:f>IF(AND(OR(C1378="Ingredient candidate",C1378="Consumed input",C1378="Contained input",C1378="Transform input"),P1378=-1),1,0)</x:f>
        <x:v>0</x:v>
      </x:c>
    </x:row>
    <x:row r="1379" ht="64" customHeight="1">
      <x:c r="A1379" s="4" t="str">
        <x:v>design.collection.coil_carbine_slug.in.1</x:v>
      </x:c>
      <x:c r="B1379" s="4" t="str">
        <x:v>design.collection.coil_carbine_slug</x:v>
      </x:c>
      <x:c r="C1379" s="4" t="str">
        <x:v>Ingredient candidate</x:v>
      </x:c>
      <x:c r="D1379" s="4" t="str">
        <x:v>author.metallurgy.steel_stock</x:v>
      </x:c>
      <x:c r="E1379" s="4" t="str">
        <x:f>IFERROR(INDEX('Items'!$B$6:$B$1005,MATCH(D1379,'Items'!$A$6:$A$1005,0)),"MISSING ID")</x:f>
        <x:v>Steel stock</x:v>
      </x:c>
      <x:c r="F1379" s="4" t="str">
        <x:f>IFERROR(INDEX('Items'!$C$6:$C$1005,MATCH(D1379,'Items'!$A$6:$A$1005,0)),"MISSING ID")</x:f>
        <x:v>T2</x:v>
      </x:c>
      <x:c r="G1379" s="4" t="str">
        <x:f>IFERROR(INDEX('Items'!$D$6:$D$1005,MATCH(D1379,'Items'!$A$6:$A$1005,0)),"MISSING ID")</x:f>
        <x:v>Manufactured stock</x:v>
      </x:c>
      <x:c r="H1379" s="4" t="str">
        <x:f>IFERROR(INDEX('Items'!$X$6:$X$1005,MATCH(D1379,'Items'!$A$6:$A$1005,0)),"MISSING ID")</x:f>
        <x:v>Processed material</x:v>
      </x:c>
      <x:c r="I1379" s="4"/>
      <x:c r="J1379" s="4" t="str">
        <x:v>Unspecified</x:v>
      </x:c>
      <x:c r="K1379" s="4" t="str">
        <x:f>IFERROR(INDEX('Crafting recipes'!$D$6:$D$1005,MATCH(B1379,'Crafting recipes'!$A$6:$A$1005,0)),"MISSING ID")</x:f>
        <x:v>Proposal</x:v>
      </x:c>
      <x:c r="L1379" s="4" t="str">
        <x:f>IFERROR(INDEX('Items'!$AD$6:$AD$1005,MATCH(D1379,'Items'!$A$6:$A$1005,0)),"MISSING ID")</x:f>
        <x:v>Author direction</x:v>
      </x:c>
      <x:c r="M1379" s="4" t="str">
        <x:f>IFERROR(INDEX('Crafting recipes'!$E$6:$E$1005,MATCH(B1379,'Crafting recipes'!$A$6:$A$1005,0)),"MISSING ID")</x:f>
        <x:v>Partial proposal</x:v>
      </x:c>
      <x:c r="N1379" s="4" t="str">
        <x:v>Candidate source or part only. Quantity, grade and method remain open.</x:v>
      </x:c>
      <x:c r="O1379" s="4" t="str">
        <x:v>Collection expansion, October 15, 2026. New game proposal.</x:v>
      </x:c>
      <x:c r="P1379" s="4" t="n">
        <x:f>IF(OR(C1379="Ingredient candidate",C1379="Consumed input",C1379="Contained input",C1379="Transform input"),IF(F1379="T0",0,IF(F1379="T1",1,IF(F1379="T2",2,IF(F1379="T3",3,IF(F1379="T4",4,-1))))),-1)</x:f>
        <x:v>2</x:v>
      </x:c>
      <x:c r="Q1379" s="4" t="n">
        <x:f>IF(AND(OR(C1379="Ingredient candidate",C1379="Consumed input",C1379="Contained input",C1379="Transform input"),P1379=-1),1,0)</x:f>
        <x:v>0</x:v>
      </x:c>
    </x:row>
    <x:row r="1380" ht="64" customHeight="1">
      <x:c r="A1380" s="4" t="str">
        <x:v>design.collection.coil_carbine_slug.out</x:v>
      </x:c>
      <x:c r="B1380" s="4" t="str">
        <x:v>design.collection.coil_carbine_slug</x:v>
      </x:c>
      <x:c r="C1380" s="4" t="str">
        <x:v>Output</x:v>
      </x:c>
      <x:c r="D1380" s="4" t="str">
        <x:v>proposal.collection.coil_carbine_slug</x:v>
      </x:c>
      <x:c r="E1380" s="4" t="str">
        <x:f>IFERROR(INDEX('Items'!$B$6:$B$1005,MATCH(D1380,'Items'!$A$6:$A$1005,0)),"MISSING ID")</x:f>
        <x:v>Coil-carbine slug</x:v>
      </x:c>
      <x:c r="F1380" s="4" t="str">
        <x:f>IFERROR(INDEX('Items'!$C$6:$C$1005,MATCH(D1380,'Items'!$A$6:$A$1005,0)),"MISSING ID")</x:f>
        <x:v>Not applicable</x:v>
      </x:c>
      <x:c r="G1380" s="4" t="str">
        <x:f>IFERROR(INDEX('Items'!$D$6:$D$1005,MATCH(D1380,'Items'!$A$6:$A$1005,0)),"MISSING ID")</x:f>
        <x:v>Ammunition</x:v>
      </x:c>
      <x:c r="H1380" s="4" t="str">
        <x:f>IFERROR(INDEX('Items'!$X$6:$X$1005,MATCH(D1380,'Items'!$A$6:$A$1005,0)),"MISSING ID")</x:f>
        <x:v>Ammunition</x:v>
      </x:c>
      <x:c r="I1380" s="4"/>
      <x:c r="J1380" s="4" t="str">
        <x:v>Unspecified</x:v>
      </x:c>
      <x:c r="K1380" s="4" t="str">
        <x:f>IFERROR(INDEX('Crafting recipes'!$D$6:$D$1005,MATCH(B1380,'Crafting recipes'!$A$6:$A$1005,0)),"MISSING ID")</x:f>
        <x:v>Proposal</x:v>
      </x:c>
      <x:c r="L1380" s="4" t="str">
        <x:f>IFERROR(INDEX('Items'!$AD$6:$AD$1005,MATCH(D1380,'Items'!$A$6:$A$1005,0)),"MISSING ID")</x:f>
        <x:v>Proposal</x:v>
      </x:c>
      <x:c r="M1380" s="4" t="str">
        <x:f>IFERROR(INDEX('Crafting recipes'!$E$6:$E$1005,MATCH(B1380,'Crafting recipes'!$A$6:$A$1005,0)),"MISSING ID")</x:f>
        <x:v>Partial proposal</x:v>
      </x:c>
      <x:c r="N1380" s="4" t="str">
        <x:v>Candidate source or part only. Quantity, grade and method remain open.</x:v>
      </x:c>
      <x:c r="O1380" s="4" t="str">
        <x:v>Collection expansion, October 15, 2026. New game proposal.</x:v>
      </x:c>
      <x:c r="P1380" s="4" t="n">
        <x:f>IF(OR(C1380="Ingredient candidate",C1380="Consumed input",C1380="Contained input",C1380="Transform input"),IF(F1380="T0",0,IF(F1380="T1",1,IF(F1380="T2",2,IF(F1380="T3",3,IF(F1380="T4",4,-1))))),-1)</x:f>
        <x:v>-1</x:v>
      </x:c>
      <x:c r="Q1380" s="4" t="n">
        <x:f>IF(AND(OR(C1380="Ingredient candidate",C1380="Consumed input",C1380="Contained input",C1380="Transform input"),P1380=-1),1,0)</x:f>
        <x:v>0</x:v>
      </x:c>
    </x:row>
    <x:row r="1381" ht="64" customHeight="1">
      <x:c r="A1381" s="4" t="str">
        <x:v>design.collection.arc_gun_discharge_cartridge.in.1</x:v>
      </x:c>
      <x:c r="B1381" s="4" t="str">
        <x:v>design.collection.arc_gun_discharge_cartridge</x:v>
      </x:c>
      <x:c r="C1381" s="4" t="str">
        <x:v>Ingredient candidate</x:v>
      </x:c>
      <x:c r="D1381" s="4" t="str">
        <x:v>proposal.collection.ceramic_dielectric_pulse_bank</x:v>
      </x:c>
      <x:c r="E1381" s="4" t="str">
        <x:f>IFERROR(INDEX('Items'!$B$6:$B$1005,MATCH(D1381,'Items'!$A$6:$A$1005,0)),"MISSING ID")</x:f>
        <x:v>Ceramic-dielectric pulse bank</x:v>
      </x:c>
      <x:c r="F1381" s="4" t="str">
        <x:f>IFERROR(INDEX('Items'!$C$6:$C$1005,MATCH(D1381,'Items'!$A$6:$A$1005,0)),"MISSING ID")</x:f>
        <x:v>Not applicable</x:v>
      </x:c>
      <x:c r="G1381" s="4" t="str">
        <x:f>IFERROR(INDEX('Items'!$D$6:$D$1005,MATCH(D1381,'Items'!$A$6:$A$1005,0)),"MISSING ID")</x:f>
        <x:v>Crafting components</x:v>
      </x:c>
      <x:c r="H1381" s="4" t="str">
        <x:f>IFERROR(INDEX('Items'!$X$6:$X$1005,MATCH(D1381,'Items'!$A$6:$A$1005,0)),"MISSING ID")</x:f>
        <x:v>Energy storage</x:v>
      </x:c>
      <x:c r="I1381" s="4"/>
      <x:c r="J1381" s="4" t="str">
        <x:v>Unspecified</x:v>
      </x:c>
      <x:c r="K1381" s="4" t="str">
        <x:f>IFERROR(INDEX('Crafting recipes'!$D$6:$D$1005,MATCH(B1381,'Crafting recipes'!$A$6:$A$1005,0)),"MISSING ID")</x:f>
        <x:v>Proposal</x:v>
      </x:c>
      <x:c r="L1381" s="4" t="str">
        <x:f>IFERROR(INDEX('Items'!$AD$6:$AD$1005,MATCH(D1381,'Items'!$A$6:$A$1005,0)),"MISSING ID")</x:f>
        <x:v>Proposal</x:v>
      </x:c>
      <x:c r="M1381" s="4" t="str">
        <x:f>IFERROR(INDEX('Crafting recipes'!$E$6:$E$1005,MATCH(B1381,'Crafting recipes'!$A$6:$A$1005,0)),"MISSING ID")</x:f>
        <x:v>Partial proposal</x:v>
      </x:c>
      <x:c r="N1381" s="4" t="str">
        <x:v>Candidate source or part only. Quantity, grade and method remain open.</x:v>
      </x:c>
      <x:c r="O1381" s="4" t="str">
        <x:v>Collection expansion, October 15, 2026. New game proposal.</x:v>
      </x:c>
      <x:c r="P1381" s="4" t="n">
        <x:f>IF(OR(C1381="Ingredient candidate",C1381="Consumed input",C1381="Contained input",C1381="Transform input"),IF(F1381="T0",0,IF(F1381="T1",1,IF(F1381="T2",2,IF(F1381="T3",3,IF(F1381="T4",4,-1))))),-1)</x:f>
        <x:v>-1</x:v>
      </x:c>
      <x:c r="Q1381" s="4" t="n">
        <x:f>IF(AND(OR(C1381="Ingredient candidate",C1381="Consumed input",C1381="Contained input",C1381="Transform input"),P1381=-1),1,0)</x:f>
        <x:v>1</x:v>
      </x:c>
    </x:row>
    <x:row r="1382" ht="64" customHeight="1">
      <x:c r="A1382" s="4" t="str">
        <x:v>design.collection.arc_gun_discharge_cartridge.out</x:v>
      </x:c>
      <x:c r="B1382" s="4" t="str">
        <x:v>design.collection.arc_gun_discharge_cartridge</x:v>
      </x:c>
      <x:c r="C1382" s="4" t="str">
        <x:v>Output</x:v>
      </x:c>
      <x:c r="D1382" s="4" t="str">
        <x:v>proposal.collection.arc_gun_discharge_cartridge</x:v>
      </x:c>
      <x:c r="E1382" s="4" t="str">
        <x:f>IFERROR(INDEX('Items'!$B$6:$B$1005,MATCH(D1382,'Items'!$A$6:$A$1005,0)),"MISSING ID")</x:f>
        <x:v>Arc-gun discharge cartridge</x:v>
      </x:c>
      <x:c r="F1382" s="4" t="str">
        <x:f>IFERROR(INDEX('Items'!$C$6:$C$1005,MATCH(D1382,'Items'!$A$6:$A$1005,0)),"MISSING ID")</x:f>
        <x:v>Not applicable</x:v>
      </x:c>
      <x:c r="G1382" s="4" t="str">
        <x:f>IFERROR(INDEX('Items'!$D$6:$D$1005,MATCH(D1382,'Items'!$A$6:$A$1005,0)),"MISSING ID")</x:f>
        <x:v>Ammunition</x:v>
      </x:c>
      <x:c r="H1382" s="4" t="str">
        <x:f>IFERROR(INDEX('Items'!$X$6:$X$1005,MATCH(D1382,'Items'!$A$6:$A$1005,0)),"MISSING ID")</x:f>
        <x:v>Ammunition</x:v>
      </x:c>
      <x:c r="I1382" s="4"/>
      <x:c r="J1382" s="4" t="str">
        <x:v>Unspecified</x:v>
      </x:c>
      <x:c r="K1382" s="4" t="str">
        <x:f>IFERROR(INDEX('Crafting recipes'!$D$6:$D$1005,MATCH(B1382,'Crafting recipes'!$A$6:$A$1005,0)),"MISSING ID")</x:f>
        <x:v>Proposal</x:v>
      </x:c>
      <x:c r="L1382" s="4" t="str">
        <x:f>IFERROR(INDEX('Items'!$AD$6:$AD$1005,MATCH(D1382,'Items'!$A$6:$A$1005,0)),"MISSING ID")</x:f>
        <x:v>Proposal</x:v>
      </x:c>
      <x:c r="M1382" s="4" t="str">
        <x:f>IFERROR(INDEX('Crafting recipes'!$E$6:$E$1005,MATCH(B1382,'Crafting recipes'!$A$6:$A$1005,0)),"MISSING ID")</x:f>
        <x:v>Partial proposal</x:v>
      </x:c>
      <x:c r="N1382" s="4" t="str">
        <x:v>Candidate source or part only. Quantity, grade and method remain open.</x:v>
      </x:c>
      <x:c r="O1382" s="4" t="str">
        <x:v>Collection expansion, October 15, 2026. New game proposal.</x:v>
      </x:c>
      <x:c r="P1382" s="4" t="n">
        <x:f>IF(OR(C1382="Ingredient candidate",C1382="Consumed input",C1382="Contained input",C1382="Transform input"),IF(F1382="T0",0,IF(F1382="T1",1,IF(F1382="T2",2,IF(F1382="T3",3,IF(F1382="T4",4,-1))))),-1)</x:f>
        <x:v>-1</x:v>
      </x:c>
      <x:c r="Q1382" s="4" t="n">
        <x:f>IF(AND(OR(C1382="Ingredient candidate",C1382="Consumed input",C1382="Contained input",C1382="Transform input"),P1382=-1),1,0)</x:f>
        <x:v>0</x:v>
      </x:c>
    </x:row>
    <x:row r="1383" ht="64" customHeight="1">
      <x:c r="A1383" s="4" t="str">
        <x:v>design.audit.proposal_audit_screened_remanent_magnet_pieces.audit.in.1</x:v>
      </x:c>
      <x:c r="B1383" s="4" t="str">
        <x:v>design.audit.proposal_audit_screened_remanent_magnet_pieces</x:v>
      </x:c>
      <x:c r="C1383" s="4" t="str">
        <x:v>Ingredient candidate</x:v>
      </x:c>
      <x:c r="D1383" s="4" t="str">
        <x:v>proposal.raw.magnet_fragments</x:v>
      </x:c>
      <x:c r="E1383" s="4" t="str">
        <x:f>IFERROR(INDEX('Items'!$B$6:$B$1005,MATCH(D1383,'Items'!$A$6:$A$1005,0)),"MISSING ID")</x:f>
        <x:v>Broken magnet fragments</x:v>
      </x:c>
      <x:c r="F1383" s="4" t="str">
        <x:f>IFERROR(INDEX('Items'!$C$6:$C$1005,MATCH(D1383,'Items'!$A$6:$A$1005,0)),"MISSING ID")</x:f>
        <x:v>T0</x:v>
      </x:c>
      <x:c r="G1383" s="4" t="str">
        <x:f>IFERROR(INDEX('Items'!$D$6:$D$1005,MATCH(D1383,'Items'!$A$6:$A$1005,0)),"MISSING ID")</x:f>
        <x:v>Salvage</x:v>
      </x:c>
      <x:c r="H1383" s="4" t="str">
        <x:f>IFERROR(INDEX('Items'!$X$6:$X$1005,MATCH(D1383,'Items'!$A$6:$A$1005,0)),"MISSING ID")</x:f>
        <x:v>Raw material</x:v>
      </x:c>
      <x:c r="I1383" s="4"/>
      <x:c r="J1383" s="4" t="str">
        <x:v>Unspecified</x:v>
      </x:c>
      <x:c r="K1383" s="4" t="str">
        <x:f>IFERROR(INDEX('Crafting recipes'!$D$6:$D$1005,MATCH(B1383,'Crafting recipes'!$A$6:$A$1005,0)),"MISSING ID")</x:f>
        <x:v>Proposal</x:v>
      </x:c>
      <x:c r="L1383" s="4" t="str">
        <x:f>IFERROR(INDEX('Items'!$AD$6:$AD$1005,MATCH(D1383,'Items'!$A$6:$A$1005,0)),"MISSING ID")</x:f>
        <x:v>Proposal</x:v>
      </x:c>
      <x:c r="M1383" s="4" t="str">
        <x:f>IFERROR(INDEX('Crafting recipes'!$E$6:$E$1005,MATCH(B1383,'Crafting recipes'!$A$6:$A$1005,0)),"MISSING ID")</x:f>
        <x:v>Partial proposal</x:v>
      </x:c>
      <x:c r="N1383" s="4" t="str">
        <x:v>Partial audit candidate; quantity, fit and performance remain unresolved.</x:v>
      </x:c>
      <x:c r="O13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3" s="4" t="n">
        <x:f>IF(OR(C1383="Ingredient candidate",C1383="Consumed input",C1383="Contained input",C1383="Transform input"),IF(F1383="T0",0,IF(F1383="T1",1,IF(F1383="T2",2,IF(F1383="T3",3,IF(F1383="T4",4,-1))))),-1)</x:f>
        <x:v>0</x:v>
      </x:c>
      <x:c r="Q1383" s="4" t="n">
        <x:f>IF(AND(OR(C1383="Ingredient candidate",C1383="Consumed input",C1383="Contained input",C1383="Transform input"),P1383=-1),1,0)</x:f>
        <x:v>0</x:v>
      </x:c>
    </x:row>
    <x:row r="1384" ht="64" customHeight="1">
      <x:c r="A1384" s="4" t="str">
        <x:v>design.audit.proposal_audit_screened_remanent_magnet_pieces.audit.out</x:v>
      </x:c>
      <x:c r="B1384" s="4" t="str">
        <x:v>design.audit.proposal_audit_screened_remanent_magnet_pieces</x:v>
      </x:c>
      <x:c r="C1384" s="4" t="str">
        <x:v>Output</x:v>
      </x:c>
      <x:c r="D1384" s="4" t="str">
        <x:v>proposal.audit.screened_remanent_magnet_pieces</x:v>
      </x:c>
      <x:c r="E1384" s="4" t="str">
        <x:f>IFERROR(INDEX('Items'!$B$6:$B$1005,MATCH(D1384,'Items'!$A$6:$A$1005,0)),"MISSING ID")</x:f>
        <x:v>Screened remanent magnet pieces</x:v>
      </x:c>
      <x:c r="F1384" s="4" t="str">
        <x:f>IFERROR(INDEX('Items'!$C$6:$C$1005,MATCH(D1384,'Items'!$A$6:$A$1005,0)),"MISSING ID")</x:f>
        <x:v>T1</x:v>
      </x:c>
      <x:c r="G1384" s="4" t="str">
        <x:f>IFERROR(INDEX('Items'!$D$6:$D$1005,MATCH(D1384,'Items'!$A$6:$A$1005,0)),"MISSING ID")</x:f>
        <x:v>Manufactured stock</x:v>
      </x:c>
      <x:c r="H1384" s="4" t="str">
        <x:f>IFERROR(INDEX('Items'!$X$6:$X$1005,MATCH(D1384,'Items'!$A$6:$A$1005,0)),"MISSING ID")</x:f>
        <x:v>Processed material</x:v>
      </x:c>
      <x:c r="I1384" s="4"/>
      <x:c r="J1384" s="4" t="str">
        <x:v>Unspecified</x:v>
      </x:c>
      <x:c r="K1384" s="4" t="str">
        <x:f>IFERROR(INDEX('Crafting recipes'!$D$6:$D$1005,MATCH(B1384,'Crafting recipes'!$A$6:$A$1005,0)),"MISSING ID")</x:f>
        <x:v>Proposal</x:v>
      </x:c>
      <x:c r="L1384" s="4" t="str">
        <x:f>IFERROR(INDEX('Items'!$AD$6:$AD$1005,MATCH(D1384,'Items'!$A$6:$A$1005,0)),"MISSING ID")</x:f>
        <x:v>Proposal</x:v>
      </x:c>
      <x:c r="M1384" s="4" t="str">
        <x:f>IFERROR(INDEX('Crafting recipes'!$E$6:$E$1005,MATCH(B1384,'Crafting recipes'!$A$6:$A$1005,0)),"MISSING ID")</x:f>
        <x:v>Partial proposal</x:v>
      </x:c>
      <x:c r="N1384" s="4" t="str">
        <x:v>Partial audit candidate; quantity, fit and performance remain unresolved.</x:v>
      </x:c>
      <x:c r="O13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4" s="4" t="n">
        <x:f>IF(OR(C1384="Ingredient candidate",C1384="Consumed input",C1384="Contained input",C1384="Transform input"),IF(F1384="T0",0,IF(F1384="T1",1,IF(F1384="T2",2,IF(F1384="T3",3,IF(F1384="T4",4,-1))))),-1)</x:f>
        <x:v>-1</x:v>
      </x:c>
      <x:c r="Q1384" s="4" t="n">
        <x:f>IF(AND(OR(C1384="Ingredient candidate",C1384="Consumed input",C1384="Contained input",C1384="Transform input"),P1384=-1),1,0)</x:f>
        <x:v>0</x:v>
      </x:c>
    </x:row>
    <x:row r="1385" ht="64" customHeight="1">
      <x:c r="A1385" s="4" t="str">
        <x:v>design.audit.proposal_audit_pressed_hide_fastening_strips.audit.in.1</x:v>
      </x:c>
      <x:c r="B1385" s="4" t="str">
        <x:v>design.audit.proposal_audit_pressed_hide_fastening_strips</x:v>
      </x:c>
      <x:c r="C1385" s="4" t="str">
        <x:v>Ingredient candidate</x:v>
      </x:c>
      <x:c r="D1385" s="4" t="str">
        <x:v>proposal.bio.hide_material</x:v>
      </x:c>
      <x:c r="E1385" s="4" t="str">
        <x:f>IFERROR(INDEX('Items'!$B$6:$B$1005,MATCH(D1385,'Items'!$A$6:$A$1005,0)),"MISSING ID")</x:f>
        <x:v>Processed hide material</x:v>
      </x:c>
      <x:c r="F1385" s="4" t="str">
        <x:f>IFERROR(INDEX('Items'!$C$6:$C$1005,MATCH(D1385,'Items'!$A$6:$A$1005,0)),"MISSING ID")</x:f>
        <x:v>T1</x:v>
      </x:c>
      <x:c r="G1385" s="4" t="str">
        <x:f>IFERROR(INDEX('Items'!$D$6:$D$1005,MATCH(D1385,'Items'!$A$6:$A$1005,0)),"MISSING ID")</x:f>
        <x:v>Crafting components</x:v>
      </x:c>
      <x:c r="H1385" s="4" t="str">
        <x:f>IFERROR(INDEX('Items'!$X$6:$X$1005,MATCH(D1385,'Items'!$A$6:$A$1005,0)),"MISSING ID")</x:f>
        <x:v>Processed material</x:v>
      </x:c>
      <x:c r="I1385" s="4"/>
      <x:c r="J1385" s="4" t="str">
        <x:v>Unspecified</x:v>
      </x:c>
      <x:c r="K1385" s="4" t="str">
        <x:f>IFERROR(INDEX('Crafting recipes'!$D$6:$D$1005,MATCH(B1385,'Crafting recipes'!$A$6:$A$1005,0)),"MISSING ID")</x:f>
        <x:v>Proposal</x:v>
      </x:c>
      <x:c r="L1385" s="4" t="str">
        <x:f>IFERROR(INDEX('Items'!$AD$6:$AD$1005,MATCH(D1385,'Items'!$A$6:$A$1005,0)),"MISSING ID")</x:f>
        <x:v>Author direction</x:v>
      </x:c>
      <x:c r="M1385" s="4" t="str">
        <x:f>IFERROR(INDEX('Crafting recipes'!$E$6:$E$1005,MATCH(B1385,'Crafting recipes'!$A$6:$A$1005,0)),"MISSING ID")</x:f>
        <x:v>Partial proposal</x:v>
      </x:c>
      <x:c r="N1385" s="4" t="str">
        <x:v>Partial audit candidate; quantity, fit and performance remain unresolved.</x:v>
      </x:c>
      <x:c r="O13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5" s="4" t="n">
        <x:f>IF(OR(C1385="Ingredient candidate",C1385="Consumed input",C1385="Contained input",C1385="Transform input"),IF(F1385="T0",0,IF(F1385="T1",1,IF(F1385="T2",2,IF(F1385="T3",3,IF(F1385="T4",4,-1))))),-1)</x:f>
        <x:v>1</x:v>
      </x:c>
      <x:c r="Q1385" s="4" t="n">
        <x:f>IF(AND(OR(C1385="Ingredient candidate",C1385="Consumed input",C1385="Contained input",C1385="Transform input"),P1385=-1),1,0)</x:f>
        <x:v>0</x:v>
      </x:c>
    </x:row>
    <x:row r="1386" ht="64" customHeight="1">
      <x:c r="A1386" s="4" t="str">
        <x:v>design.audit.proposal_audit_pressed_hide_fastening_strips.audit.out</x:v>
      </x:c>
      <x:c r="B1386" s="4" t="str">
        <x:v>design.audit.proposal_audit_pressed_hide_fastening_strips</x:v>
      </x:c>
      <x:c r="C1386" s="4" t="str">
        <x:v>Output</x:v>
      </x:c>
      <x:c r="D1386" s="4" t="str">
        <x:v>proposal.audit.pressed_hide_fastening_strips</x:v>
      </x:c>
      <x:c r="E1386" s="4" t="str">
        <x:f>IFERROR(INDEX('Items'!$B$6:$B$1005,MATCH(D1386,'Items'!$A$6:$A$1005,0)),"MISSING ID")</x:f>
        <x:v>Pressed hide fastening strips</x:v>
      </x:c>
      <x:c r="F1386" s="4" t="str">
        <x:f>IFERROR(INDEX('Items'!$C$6:$C$1005,MATCH(D1386,'Items'!$A$6:$A$1005,0)),"MISSING ID")</x:f>
        <x:v>T2</x:v>
      </x:c>
      <x:c r="G1386" s="4" t="str">
        <x:f>IFERROR(INDEX('Items'!$D$6:$D$1005,MATCH(D1386,'Items'!$A$6:$A$1005,0)),"MISSING ID")</x:f>
        <x:v>Manufactured stock</x:v>
      </x:c>
      <x:c r="H1386" s="4" t="str">
        <x:f>IFERROR(INDEX('Items'!$X$6:$X$1005,MATCH(D1386,'Items'!$A$6:$A$1005,0)),"MISSING ID")</x:f>
        <x:v>Processed material</x:v>
      </x:c>
      <x:c r="I1386" s="4"/>
      <x:c r="J1386" s="4" t="str">
        <x:v>Unspecified</x:v>
      </x:c>
      <x:c r="K1386" s="4" t="str">
        <x:f>IFERROR(INDEX('Crafting recipes'!$D$6:$D$1005,MATCH(B1386,'Crafting recipes'!$A$6:$A$1005,0)),"MISSING ID")</x:f>
        <x:v>Proposal</x:v>
      </x:c>
      <x:c r="L1386" s="4" t="str">
        <x:f>IFERROR(INDEX('Items'!$AD$6:$AD$1005,MATCH(D1386,'Items'!$A$6:$A$1005,0)),"MISSING ID")</x:f>
        <x:v>Proposal</x:v>
      </x:c>
      <x:c r="M1386" s="4" t="str">
        <x:f>IFERROR(INDEX('Crafting recipes'!$E$6:$E$1005,MATCH(B1386,'Crafting recipes'!$A$6:$A$1005,0)),"MISSING ID")</x:f>
        <x:v>Partial proposal</x:v>
      </x:c>
      <x:c r="N1386" s="4" t="str">
        <x:v>Partial audit candidate; quantity, fit and performance remain unresolved.</x:v>
      </x:c>
      <x:c r="O13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6" s="4" t="n">
        <x:f>IF(OR(C1386="Ingredient candidate",C1386="Consumed input",C1386="Contained input",C1386="Transform input"),IF(F1386="T0",0,IF(F1386="T1",1,IF(F1386="T2",2,IF(F1386="T3",3,IF(F1386="T4",4,-1))))),-1)</x:f>
        <x:v>-1</x:v>
      </x:c>
      <x:c r="Q1386" s="4" t="n">
        <x:f>IF(AND(OR(C1386="Ingredient candidate",C1386="Consumed input",C1386="Contained input",C1386="Transform input"),P1386=-1),1,0)</x:f>
        <x:v>0</x:v>
      </x:c>
    </x:row>
    <x:row r="1387" ht="64" customHeight="1">
      <x:c r="A1387" s="4" t="str">
        <x:v>design.audit.proposal_audit_drawn_steel_music_wire_stock.audit.in.1</x:v>
      </x:c>
      <x:c r="B1387" s="4" t="str">
        <x:v>design.audit.proposal_audit_drawn_steel_music_wire_stock</x:v>
      </x:c>
      <x:c r="C1387" s="4" t="str">
        <x:v>Ingredient candidate</x:v>
      </x:c>
      <x:c r="D1387" s="4" t="str">
        <x:v>proposal.branch.spring_steel</x:v>
      </x:c>
      <x:c r="E1387" s="4" t="str">
        <x:f>IFERROR(INDEX('Items'!$B$6:$B$1005,MATCH(D1387,'Items'!$A$6:$A$1005,0)),"MISSING ID")</x:f>
        <x:v>Spring-grade steel stock</x:v>
      </x:c>
      <x:c r="F1387" s="4" t="str">
        <x:f>IFERROR(INDEX('Items'!$C$6:$C$1005,MATCH(D1387,'Items'!$A$6:$A$1005,0)),"MISSING ID")</x:f>
        <x:v>T3</x:v>
      </x:c>
      <x:c r="G1387" s="4" t="str">
        <x:f>IFERROR(INDEX('Items'!$D$6:$D$1005,MATCH(D1387,'Items'!$A$6:$A$1005,0)),"MISSING ID")</x:f>
        <x:v>Manufactured stock</x:v>
      </x:c>
      <x:c r="H1387" s="4" t="str">
        <x:f>IFERROR(INDEX('Items'!$X$6:$X$1005,MATCH(D1387,'Items'!$A$6:$A$1005,0)),"MISSING ID")</x:f>
        <x:v>Processed material</x:v>
      </x:c>
      <x:c r="I1387" s="4"/>
      <x:c r="J1387" s="4" t="str">
        <x:v>Unspecified</x:v>
      </x:c>
      <x:c r="K1387" s="4" t="str">
        <x:f>IFERROR(INDEX('Crafting recipes'!$D$6:$D$1005,MATCH(B1387,'Crafting recipes'!$A$6:$A$1005,0)),"MISSING ID")</x:f>
        <x:v>Proposal</x:v>
      </x:c>
      <x:c r="L1387" s="4" t="str">
        <x:f>IFERROR(INDEX('Items'!$AD$6:$AD$1005,MATCH(D1387,'Items'!$A$6:$A$1005,0)),"MISSING ID")</x:f>
        <x:v>Proposal</x:v>
      </x:c>
      <x:c r="M1387" s="4" t="str">
        <x:f>IFERROR(INDEX('Crafting recipes'!$E$6:$E$1005,MATCH(B1387,'Crafting recipes'!$A$6:$A$1005,0)),"MISSING ID")</x:f>
        <x:v>Partial proposal</x:v>
      </x:c>
      <x:c r="N1387" s="4" t="str">
        <x:v>Partial audit candidate; quantity, fit and performance remain unresolved.</x:v>
      </x:c>
      <x:c r="O13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7" s="4" t="n">
        <x:f>IF(OR(C1387="Ingredient candidate",C1387="Consumed input",C1387="Contained input",C1387="Transform input"),IF(F1387="T0",0,IF(F1387="T1",1,IF(F1387="T2",2,IF(F1387="T3",3,IF(F1387="T4",4,-1))))),-1)</x:f>
        <x:v>3</x:v>
      </x:c>
      <x:c r="Q1387" s="4" t="n">
        <x:f>IF(AND(OR(C1387="Ingredient candidate",C1387="Consumed input",C1387="Contained input",C1387="Transform input"),P1387=-1),1,0)</x:f>
        <x:v>0</x:v>
      </x:c>
    </x:row>
    <x:row r="1388" ht="64" customHeight="1">
      <x:c r="A1388" s="4" t="str">
        <x:v>design.audit.proposal_audit_drawn_steel_music_wire_stock.audit.out</x:v>
      </x:c>
      <x:c r="B1388" s="4" t="str">
        <x:v>design.audit.proposal_audit_drawn_steel_music_wire_stock</x:v>
      </x:c>
      <x:c r="C1388" s="4" t="str">
        <x:v>Output</x:v>
      </x:c>
      <x:c r="D1388" s="4" t="str">
        <x:v>proposal.audit.drawn_steel_music_wire_stock</x:v>
      </x:c>
      <x:c r="E1388" s="4" t="str">
        <x:f>IFERROR(INDEX('Items'!$B$6:$B$1005,MATCH(D1388,'Items'!$A$6:$A$1005,0)),"MISSING ID")</x:f>
        <x:v>Drawn steel music-wire stock</x:v>
      </x:c>
      <x:c r="F1388" s="4" t="str">
        <x:f>IFERROR(INDEX('Items'!$C$6:$C$1005,MATCH(D1388,'Items'!$A$6:$A$1005,0)),"MISSING ID")</x:f>
        <x:v>T4</x:v>
      </x:c>
      <x:c r="G1388" s="4" t="str">
        <x:f>IFERROR(INDEX('Items'!$D$6:$D$1005,MATCH(D1388,'Items'!$A$6:$A$1005,0)),"MISSING ID")</x:f>
        <x:v>Manufactured stock</x:v>
      </x:c>
      <x:c r="H1388" s="4" t="str">
        <x:f>IFERROR(INDEX('Items'!$X$6:$X$1005,MATCH(D1388,'Items'!$A$6:$A$1005,0)),"MISSING ID")</x:f>
        <x:v>Processed material</x:v>
      </x:c>
      <x:c r="I1388" s="4"/>
      <x:c r="J1388" s="4" t="str">
        <x:v>Unspecified</x:v>
      </x:c>
      <x:c r="K1388" s="4" t="str">
        <x:f>IFERROR(INDEX('Crafting recipes'!$D$6:$D$1005,MATCH(B1388,'Crafting recipes'!$A$6:$A$1005,0)),"MISSING ID")</x:f>
        <x:v>Proposal</x:v>
      </x:c>
      <x:c r="L1388" s="4" t="str">
        <x:f>IFERROR(INDEX('Items'!$AD$6:$AD$1005,MATCH(D1388,'Items'!$A$6:$A$1005,0)),"MISSING ID")</x:f>
        <x:v>Proposal</x:v>
      </x:c>
      <x:c r="M1388" s="4" t="str">
        <x:f>IFERROR(INDEX('Crafting recipes'!$E$6:$E$1005,MATCH(B1388,'Crafting recipes'!$A$6:$A$1005,0)),"MISSING ID")</x:f>
        <x:v>Partial proposal</x:v>
      </x:c>
      <x:c r="N1388" s="4" t="str">
        <x:v>Partial audit candidate; quantity, fit and performance remain unresolved.</x:v>
      </x:c>
      <x:c r="O13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8" s="4" t="n">
        <x:f>IF(OR(C1388="Ingredient candidate",C1388="Consumed input",C1388="Contained input",C1388="Transform input"),IF(F1388="T0",0,IF(F1388="T1",1,IF(F1388="T2",2,IF(F1388="T3",3,IF(F1388="T4",4,-1))))),-1)</x:f>
        <x:v>-1</x:v>
      </x:c>
      <x:c r="Q1388" s="4" t="n">
        <x:f>IF(AND(OR(C1388="Ingredient candidate",C1388="Consumed input",C1388="Contained input",C1388="Transform input"),P1388=-1),1,0)</x:f>
        <x:v>0</x:v>
      </x:c>
    </x:row>
    <x:row r="1389" ht="64" customHeight="1">
      <x:c r="A1389" s="4"/>
      <x:c r="B1389" s="4"/>
      <x:c r="C1389" s="4"/>
      <x:c r="D1389" s="4"/>
      <x:c r="E1389" s="4"/>
      <x:c r="F1389" s="4"/>
      <x:c r="G1389" s="4"/>
      <x:c r="H1389" s="4"/>
      <x:c r="I1389" s="4"/>
      <x:c r="K1389" s="4"/>
      <x:c r="L1389" s="4"/>
      <x:c r="M1389" s="4"/>
      <x:c r="N1389" s="4"/>
      <x:c r="O1389" s="4"/>
      <x:c r="P1389" s="4"/>
      <x:c r="Q1389" s="4"/>
    </x:row>
    <x:row r="1390" ht="64" customHeight="1">
      <x:c r="A1390" s="4"/>
      <x:c r="B1390" s="4"/>
      <x:c r="C1390" s="4"/>
      <x:c r="D1390" s="4"/>
      <x:c r="E1390" s="4"/>
      <x:c r="F1390" s="4"/>
      <x:c r="G1390" s="4"/>
      <x:c r="H1390" s="4"/>
      <x:c r="I1390" s="4"/>
      <x:c r="K1390" s="4"/>
      <x:c r="L1390" s="4"/>
      <x:c r="M1390" s="4"/>
      <x:c r="N1390" s="4"/>
      <x:c r="O1390" s="4"/>
      <x:c r="P1390" s="4"/>
      <x:c r="Q1390" s="4"/>
    </x:row>
    <x:row r="1391" ht="64" customHeight="1">
      <x:c r="A1391" s="4"/>
      <x:c r="B1391" s="4"/>
      <x:c r="C1391" s="4"/>
      <x:c r="D1391" s="4"/>
      <x:c r="E1391" s="4"/>
      <x:c r="F1391" s="4"/>
      <x:c r="G1391" s="4"/>
      <x:c r="H1391" s="4"/>
      <x:c r="I1391" s="4"/>
      <x:c r="K1391" s="4"/>
      <x:c r="L1391" s="4"/>
      <x:c r="M1391" s="4"/>
      <x:c r="N1391" s="4"/>
      <x:c r="O1391" s="4"/>
      <x:c r="P1391" s="4"/>
      <x:c r="Q1391" s="4"/>
    </x:row>
    <x:row r="1392" ht="64" customHeight="1">
      <x:c r="A1392" s="4" t="str">
        <x:v>design.audit.proposal_audit_graphite_electrode_plate_stock.audit.in.1</x:v>
      </x:c>
      <x:c r="B1392" s="4" t="str">
        <x:v>design.audit.proposal_audit_graphite_electrode_plate_stock</x:v>
      </x:c>
      <x:c r="C1392" s="4" t="str">
        <x:v>Ingredient candidate</x:v>
      </x:c>
      <x:c r="D1392" s="4" t="str">
        <x:v>proposal.natural.carbon</x:v>
      </x:c>
      <x:c r="E1392" s="4" t="str">
        <x:f>IFERROR(INDEX('Items'!$B$6:$B$1005,MATCH(D1392,'Items'!$A$6:$A$1005,0)),"MISSING ID")</x:f>
        <x:v>Graded graphite flakes</x:v>
      </x:c>
      <x:c r="F1392" s="4" t="str">
        <x:f>IFERROR(INDEX('Items'!$C$6:$C$1005,MATCH(D1392,'Items'!$A$6:$A$1005,0)),"MISSING ID")</x:f>
        <x:v>T1</x:v>
      </x:c>
      <x:c r="G1392" s="4" t="str">
        <x:f>IFERROR(INDEX('Items'!$D$6:$D$1005,MATCH(D1392,'Items'!$A$6:$A$1005,0)),"MISSING ID")</x:f>
        <x:v>Manufactured stock</x:v>
      </x:c>
      <x:c r="H1392" s="4" t="str">
        <x:f>IFERROR(INDEX('Items'!$X$6:$X$1005,MATCH(D1392,'Items'!$A$6:$A$1005,0)),"MISSING ID")</x:f>
        <x:v>Processed material</x:v>
      </x:c>
      <x:c r="I1392" s="4"/>
      <x:c r="J1392" s="4" t="str">
        <x:v>Unspecified</x:v>
      </x:c>
      <x:c r="K1392" s="4" t="str">
        <x:f>IFERROR(INDEX('Crafting recipes'!$D$6:$D$1005,MATCH(B1392,'Crafting recipes'!$A$6:$A$1005,0)),"MISSING ID")</x:f>
        <x:v>Proposal</x:v>
      </x:c>
      <x:c r="L1392" s="4" t="str">
        <x:f>IFERROR(INDEX('Items'!$AD$6:$AD$1005,MATCH(D1392,'Items'!$A$6:$A$1005,0)),"MISSING ID")</x:f>
        <x:v>Proposal</x:v>
      </x:c>
      <x:c r="M1392" s="4" t="str">
        <x:f>IFERROR(INDEX('Crafting recipes'!$E$6:$E$1005,MATCH(B1392,'Crafting recipes'!$A$6:$A$1005,0)),"MISSING ID")</x:f>
        <x:v>Partial proposal</x:v>
      </x:c>
      <x:c r="N1392" s="4" t="str">
        <x:v>Partial audit candidate; quantity, fit and performance remain unresolved.</x:v>
      </x:c>
      <x:c r="O13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2" s="4" t="n">
        <x:f>IF(OR(C1392="Ingredient candidate",C1392="Consumed input",C1392="Contained input",C1392="Transform input"),IF(F1392="T0",0,IF(F1392="T1",1,IF(F1392="T2",2,IF(F1392="T3",3,IF(F1392="T4",4,-1))))),-1)</x:f>
        <x:v>1</x:v>
      </x:c>
      <x:c r="Q1392" s="4" t="n">
        <x:f>IF(AND(OR(C1392="Ingredient candidate",C1392="Consumed input",C1392="Contained input",C1392="Transform input"),P1392=-1),1,0)</x:f>
        <x:v>0</x:v>
      </x:c>
    </x:row>
    <x:row r="1393" ht="64" customHeight="1">
      <x:c r="A1393" s="4" t="str">
        <x:v>design.audit.proposal_audit_graphite_electrode_plate_stock.audit.in.2</x:v>
      </x:c>
      <x:c r="B1393" s="4" t="str">
        <x:v>design.audit.proposal_audit_graphite_electrode_plate_stock</x:v>
      </x:c>
      <x:c r="C1393" s="4" t="str">
        <x:v>Ingredient candidate</x:v>
      </x:c>
      <x:c r="D1393" s="4" t="str">
        <x:v>proposal.t1.shell_adhesive</x:v>
      </x:c>
      <x:c r="E1393" s="4" t="str">
        <x:f>IFERROR(INDEX('Items'!$B$6:$B$1005,MATCH(D1393,'Items'!$A$6:$A$1005,0)),"MISSING ID")</x:f>
        <x:v>Prepared shell-binding adhesive</x:v>
      </x:c>
      <x:c r="F1393" s="4" t="str">
        <x:f>IFERROR(INDEX('Items'!$C$6:$C$1005,MATCH(D1393,'Items'!$A$6:$A$1005,0)),"MISSING ID")</x:f>
        <x:v>T1</x:v>
      </x:c>
      <x:c r="G1393" s="4" t="str">
        <x:f>IFERROR(INDEX('Items'!$D$6:$D$1005,MATCH(D1393,'Items'!$A$6:$A$1005,0)),"MISSING ID")</x:f>
        <x:v>Crafting components</x:v>
      </x:c>
      <x:c r="H1393" s="4" t="str">
        <x:f>IFERROR(INDEX('Items'!$X$6:$X$1005,MATCH(D1393,'Items'!$A$6:$A$1005,0)),"MISSING ID")</x:f>
        <x:v>Chemical material</x:v>
      </x:c>
      <x:c r="I1393" s="4"/>
      <x:c r="J1393" s="4" t="str">
        <x:v>Unspecified</x:v>
      </x:c>
      <x:c r="K1393" s="4" t="str">
        <x:f>IFERROR(INDEX('Crafting recipes'!$D$6:$D$1005,MATCH(B1393,'Crafting recipes'!$A$6:$A$1005,0)),"MISSING ID")</x:f>
        <x:v>Proposal</x:v>
      </x:c>
      <x:c r="L1393" s="4" t="str">
        <x:f>IFERROR(INDEX('Items'!$AD$6:$AD$1005,MATCH(D1393,'Items'!$A$6:$A$1005,0)),"MISSING ID")</x:f>
        <x:v>Proposal</x:v>
      </x:c>
      <x:c r="M1393" s="4" t="str">
        <x:f>IFERROR(INDEX('Crafting recipes'!$E$6:$E$1005,MATCH(B1393,'Crafting recipes'!$A$6:$A$1005,0)),"MISSING ID")</x:f>
        <x:v>Partial proposal</x:v>
      </x:c>
      <x:c r="N1393" s="4" t="str">
        <x:v>Partial audit candidate; quantity, fit and performance remain unresolved.</x:v>
      </x:c>
      <x:c r="O13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3" s="4" t="n">
        <x:f>IF(OR(C1393="Ingredient candidate",C1393="Consumed input",C1393="Contained input",C1393="Transform input"),IF(F1393="T0",0,IF(F1393="T1",1,IF(F1393="T2",2,IF(F1393="T3",3,IF(F1393="T4",4,-1))))),-1)</x:f>
        <x:v>1</x:v>
      </x:c>
      <x:c r="Q1393" s="4" t="n">
        <x:f>IF(AND(OR(C1393="Ingredient candidate",C1393="Consumed input",C1393="Contained input",C1393="Transform input"),P1393=-1),1,0)</x:f>
        <x:v>0</x:v>
      </x:c>
    </x:row>
    <x:row r="1394" ht="64" customHeight="1">
      <x:c r="A1394" s="4" t="str">
        <x:v>design.audit.proposal_audit_graphite_electrode_plate_stock.audit.out</x:v>
      </x:c>
      <x:c r="B1394" s="4" t="str">
        <x:v>design.audit.proposal_audit_graphite_electrode_plate_stock</x:v>
      </x:c>
      <x:c r="C1394" s="4" t="str">
        <x:v>Output</x:v>
      </x:c>
      <x:c r="D1394" s="4" t="str">
        <x:v>proposal.audit.graphite_electrode_plate_stock</x:v>
      </x:c>
      <x:c r="E1394" s="4" t="str">
        <x:f>IFERROR(INDEX('Items'!$B$6:$B$1005,MATCH(D1394,'Items'!$A$6:$A$1005,0)),"MISSING ID")</x:f>
        <x:v>Graphite electrode plate stock</x:v>
      </x:c>
      <x:c r="F1394" s="4" t="str">
        <x:f>IFERROR(INDEX('Items'!$C$6:$C$1005,MATCH(D1394,'Items'!$A$6:$A$1005,0)),"MISSING ID")</x:f>
        <x:v>T2</x:v>
      </x:c>
      <x:c r="G1394" s="4" t="str">
        <x:f>IFERROR(INDEX('Items'!$D$6:$D$1005,MATCH(D1394,'Items'!$A$6:$A$1005,0)),"MISSING ID")</x:f>
        <x:v>Manufactured stock</x:v>
      </x:c>
      <x:c r="H1394" s="4" t="str">
        <x:f>IFERROR(INDEX('Items'!$X$6:$X$1005,MATCH(D1394,'Items'!$A$6:$A$1005,0)),"MISSING ID")</x:f>
        <x:v>Processed material</x:v>
      </x:c>
      <x:c r="I1394" s="4"/>
      <x:c r="J1394" s="4" t="str">
        <x:v>Unspecified</x:v>
      </x:c>
      <x:c r="K1394" s="4" t="str">
        <x:f>IFERROR(INDEX('Crafting recipes'!$D$6:$D$1005,MATCH(B1394,'Crafting recipes'!$A$6:$A$1005,0)),"MISSING ID")</x:f>
        <x:v>Proposal</x:v>
      </x:c>
      <x:c r="L1394" s="4" t="str">
        <x:f>IFERROR(INDEX('Items'!$AD$6:$AD$1005,MATCH(D1394,'Items'!$A$6:$A$1005,0)),"MISSING ID")</x:f>
        <x:v>Proposal</x:v>
      </x:c>
      <x:c r="M1394" s="4" t="str">
        <x:f>IFERROR(INDEX('Crafting recipes'!$E$6:$E$1005,MATCH(B1394,'Crafting recipes'!$A$6:$A$1005,0)),"MISSING ID")</x:f>
        <x:v>Partial proposal</x:v>
      </x:c>
      <x:c r="N1394" s="4" t="str">
        <x:v>Partial audit candidate; quantity, fit and performance remain unresolved.</x:v>
      </x:c>
      <x:c r="O13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4" s="4" t="n">
        <x:f>IF(OR(C1394="Ingredient candidate",C1394="Consumed input",C1394="Contained input",C1394="Transform input"),IF(F1394="T0",0,IF(F1394="T1",1,IF(F1394="T2",2,IF(F1394="T3",3,IF(F1394="T4",4,-1))))),-1)</x:f>
        <x:v>-1</x:v>
      </x:c>
      <x:c r="Q1394" s="4" t="n">
        <x:f>IF(AND(OR(C1394="Ingredient candidate",C1394="Consumed input",C1394="Contained input",C1394="Transform input"),P1394=-1),1,0)</x:f>
        <x:v>0</x:v>
      </x:c>
    </x:row>
    <x:row r="1395" ht="64" customHeight="1">
      <x:c r="A1395" s="4"/>
      <x:c r="B1395" s="4"/>
      <x:c r="C1395" s="4"/>
      <x:c r="D1395" s="4"/>
      <x:c r="E1395" s="4"/>
      <x:c r="F1395" s="4"/>
      <x:c r="G1395" s="4"/>
      <x:c r="H1395" s="4"/>
      <x:c r="I1395" s="4"/>
      <x:c r="J1395" s="4"/>
      <x:c r="K1395" s="4"/>
      <x:c r="L1395" s="4"/>
      <x:c r="M1395" s="4"/>
      <x:c r="N1395" s="4"/>
      <x:c r="O1395" s="4"/>
      <x:c r="P1395" s="4"/>
      <x:c r="Q1395" s="4"/>
    </x:row>
    <x:row r="1396" ht="64" customHeight="1">
      <x:c r="A1396" s="4"/>
      <x:c r="B1396" s="4"/>
      <x:c r="C1396" s="4"/>
      <x:c r="D1396" s="4"/>
      <x:c r="E1396" s="4"/>
      <x:c r="F1396" s="4"/>
      <x:c r="G1396" s="4"/>
      <x:c r="H1396" s="4"/>
      <x:c r="I1396" s="4"/>
      <x:c r="J1396" s="4"/>
      <x:c r="K1396" s="4"/>
      <x:c r="L1396" s="4"/>
      <x:c r="M1396" s="4"/>
      <x:c r="N1396" s="4"/>
      <x:c r="O1396" s="4"/>
      <x:c r="P1396" s="4"/>
      <x:c r="Q1396" s="4"/>
    </x:row>
    <x:row r="1397" ht="64" customHeight="1">
      <x:c r="A1397" s="4"/>
      <x:c r="B1397" s="4"/>
      <x:c r="C1397" s="4"/>
      <x:c r="D1397" s="4"/>
      <x:c r="E1397" s="4"/>
      <x:c r="F1397" s="4"/>
      <x:c r="G1397" s="4"/>
      <x:c r="H1397" s="4"/>
      <x:c r="I1397" s="4"/>
      <x:c r="J1397" s="4"/>
      <x:c r="K1397" s="4"/>
      <x:c r="L1397" s="4"/>
      <x:c r="M1397" s="4"/>
      <x:c r="N1397" s="4"/>
      <x:c r="O1397" s="4"/>
      <x:c r="P1397" s="4"/>
      <x:c r="Q1397" s="4"/>
    </x:row>
    <x:row r="1398" ht="64" customHeight="1">
      <x:c r="A1398" s="4" t="str">
        <x:v>design.audit.proposal_audit_shaped_metal_grip_blank.audit.in.1</x:v>
      </x:c>
      <x:c r="B1398" s="4" t="str">
        <x:v>design.audit.proposal_audit_shaped_metal_grip_blank</x:v>
      </x:c>
      <x:c r="C1398" s="4" t="str">
        <x:v>Ingredient candidate</x:v>
      </x:c>
      <x:c r="D1398" s="4" t="str">
        <x:v>proposal.natural.iron_stock</x:v>
      </x:c>
      <x:c r="E1398" s="4" t="str">
        <x:f>IFERROR(INDEX('Items'!$B$6:$B$1005,MATCH(D1398,'Items'!$A$6:$A$1005,0)),"MISSING ID")</x:f>
        <x:v>Worked iron stock</x:v>
      </x:c>
      <x:c r="F1398" s="4" t="str">
        <x:f>IFERROR(INDEX('Items'!$C$6:$C$1005,MATCH(D1398,'Items'!$A$6:$A$1005,0)),"MISSING ID")</x:f>
        <x:v>T2</x:v>
      </x:c>
      <x:c r="G1398" s="4" t="str">
        <x:f>IFERROR(INDEX('Items'!$D$6:$D$1005,MATCH(D1398,'Items'!$A$6:$A$1005,0)),"MISSING ID")</x:f>
        <x:v>Manufactured stock</x:v>
      </x:c>
      <x:c r="H1398" s="4" t="str">
        <x:f>IFERROR(INDEX('Items'!$X$6:$X$1005,MATCH(D1398,'Items'!$A$6:$A$1005,0)),"MISSING ID")</x:f>
        <x:v>Processed material</x:v>
      </x:c>
      <x:c r="I1398" s="4"/>
      <x:c r="J1398" s="4" t="str">
        <x:v>Unspecified</x:v>
      </x:c>
      <x:c r="K1398" s="4" t="str">
        <x:f>IFERROR(INDEX('Crafting recipes'!$D$6:$D$1005,MATCH(B1398,'Crafting recipes'!$A$6:$A$1005,0)),"MISSING ID")</x:f>
        <x:v>Proposal</x:v>
      </x:c>
      <x:c r="L1398" s="4" t="str">
        <x:f>IFERROR(INDEX('Items'!$AD$6:$AD$1005,MATCH(D1398,'Items'!$A$6:$A$1005,0)),"MISSING ID")</x:f>
        <x:v>Proposal</x:v>
      </x:c>
      <x:c r="M1398" s="4" t="str">
        <x:f>IFERROR(INDEX('Crafting recipes'!$E$6:$E$1005,MATCH(B1398,'Crafting recipes'!$A$6:$A$1005,0)),"MISSING ID")</x:f>
        <x:v>Partial proposal</x:v>
      </x:c>
      <x:c r="N1398" s="4" t="str">
        <x:v>Partial audit candidate; quantity, fit and performance remain unresolved.</x:v>
      </x:c>
      <x:c r="O13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8" s="4" t="n">
        <x:f>IF(OR(C1398="Ingredient candidate",C1398="Consumed input",C1398="Contained input",C1398="Transform input"),IF(F1398="T0",0,IF(F1398="T1",1,IF(F1398="T2",2,IF(F1398="T3",3,IF(F1398="T4",4,-1))))),-1)</x:f>
        <x:v>2</x:v>
      </x:c>
      <x:c r="Q1398" s="4" t="n">
        <x:f>IF(AND(OR(C1398="Ingredient candidate",C1398="Consumed input",C1398="Contained input",C1398="Transform input"),P1398=-1),1,0)</x:f>
        <x:v>0</x:v>
      </x:c>
    </x:row>
    <x:row r="1399" ht="64" customHeight="1">
      <x:c r="A1399" s="4" t="str">
        <x:v>design.audit.proposal_audit_shaped_metal_grip_blank.audit.out</x:v>
      </x:c>
      <x:c r="B1399" s="4" t="str">
        <x:v>design.audit.proposal_audit_shaped_metal_grip_blank</x:v>
      </x:c>
      <x:c r="C1399" s="4" t="str">
        <x:v>Output</x:v>
      </x:c>
      <x:c r="D1399" s="4" t="str">
        <x:v>proposal.audit.shaped_metal_grip_blank</x:v>
      </x:c>
      <x:c r="E1399" s="4" t="str">
        <x:f>IFERROR(INDEX('Items'!$B$6:$B$1005,MATCH(D1399,'Items'!$A$6:$A$1005,0)),"MISSING ID")</x:f>
        <x:v>Shaped metal grip blank</x:v>
      </x:c>
      <x:c r="F1399" s="4" t="str">
        <x:f>IFERROR(INDEX('Items'!$C$6:$C$1005,MATCH(D1399,'Items'!$A$6:$A$1005,0)),"MISSING ID")</x:f>
        <x:v>T3</x:v>
      </x:c>
      <x:c r="G1399" s="4" t="str">
        <x:f>IFERROR(INDEX('Items'!$D$6:$D$1005,MATCH(D1399,'Items'!$A$6:$A$1005,0)),"MISSING ID")</x:f>
        <x:v>Crafting components</x:v>
      </x:c>
      <x:c r="H1399" s="4" t="str">
        <x:f>IFERROR(INDEX('Items'!$X$6:$X$1005,MATCH(D1399,'Items'!$A$6:$A$1005,0)),"MISSING ID")</x:f>
        <x:v>Crafting component</x:v>
      </x:c>
      <x:c r="I1399" s="4"/>
      <x:c r="J1399" s="4" t="str">
        <x:v>Unspecified</x:v>
      </x:c>
      <x:c r="K1399" s="4" t="str">
        <x:f>IFERROR(INDEX('Crafting recipes'!$D$6:$D$1005,MATCH(B1399,'Crafting recipes'!$A$6:$A$1005,0)),"MISSING ID")</x:f>
        <x:v>Proposal</x:v>
      </x:c>
      <x:c r="L1399" s="4" t="str">
        <x:f>IFERROR(INDEX('Items'!$AD$6:$AD$1005,MATCH(D1399,'Items'!$A$6:$A$1005,0)),"MISSING ID")</x:f>
        <x:v>Proposal</x:v>
      </x:c>
      <x:c r="M1399" s="4" t="str">
        <x:f>IFERROR(INDEX('Crafting recipes'!$E$6:$E$1005,MATCH(B1399,'Crafting recipes'!$A$6:$A$1005,0)),"MISSING ID")</x:f>
        <x:v>Partial proposal</x:v>
      </x:c>
      <x:c r="N1399" s="4" t="str">
        <x:v>Partial audit candidate; quantity, fit and performance remain unresolved.</x:v>
      </x:c>
      <x:c r="O13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9" s="4" t="n">
        <x:f>IF(OR(C1399="Ingredient candidate",C1399="Consumed input",C1399="Contained input",C1399="Transform input"),IF(F1399="T0",0,IF(F1399="T1",1,IF(F1399="T2",2,IF(F1399="T3",3,IF(F1399="T4",4,-1))))),-1)</x:f>
        <x:v>-1</x:v>
      </x:c>
      <x:c r="Q1399" s="4" t="n">
        <x:f>IF(AND(OR(C1399="Ingredient candidate",C1399="Consumed input",C1399="Contained input",C1399="Transform input"),P1399=-1),1,0)</x:f>
        <x:v>0</x:v>
      </x:c>
    </x:row>
    <x:row r="1400" ht="64" customHeight="1">
      <x:c r="A1400" s="4" t="str">
        <x:v>design.audit.proposal_audit_linked_steel_mail_rings.audit.in.1</x:v>
      </x:c>
      <x:c r="B1400" s="4" t="str">
        <x:v>design.audit.proposal_audit_linked_steel_mail_rings</x:v>
      </x:c>
      <x:c r="C1400" s="4" t="str">
        <x:v>Ingredient candidate</x:v>
      </x:c>
      <x:c r="D1400" s="4" t="str">
        <x:v>proposal.branch.spring_steel</x:v>
      </x:c>
      <x:c r="E1400" s="4" t="str">
        <x:f>IFERROR(INDEX('Items'!$B$6:$B$1005,MATCH(D1400,'Items'!$A$6:$A$1005,0)),"MISSING ID")</x:f>
        <x:v>Spring-grade steel stock</x:v>
      </x:c>
      <x:c r="F1400" s="4" t="str">
        <x:f>IFERROR(INDEX('Items'!$C$6:$C$1005,MATCH(D1400,'Items'!$A$6:$A$1005,0)),"MISSING ID")</x:f>
        <x:v>T3</x:v>
      </x:c>
      <x:c r="G1400" s="4" t="str">
        <x:f>IFERROR(INDEX('Items'!$D$6:$D$1005,MATCH(D1400,'Items'!$A$6:$A$1005,0)),"MISSING ID")</x:f>
        <x:v>Manufactured stock</x:v>
      </x:c>
      <x:c r="H1400" s="4" t="str">
        <x:f>IFERROR(INDEX('Items'!$X$6:$X$1005,MATCH(D1400,'Items'!$A$6:$A$1005,0)),"MISSING ID")</x:f>
        <x:v>Processed material</x:v>
      </x:c>
      <x:c r="I1400" s="4"/>
      <x:c r="J1400" s="4" t="str">
        <x:v>Unspecified</x:v>
      </x:c>
      <x:c r="K1400" s="4" t="str">
        <x:f>IFERROR(INDEX('Crafting recipes'!$D$6:$D$1005,MATCH(B1400,'Crafting recipes'!$A$6:$A$1005,0)),"MISSING ID")</x:f>
        <x:v>Proposal</x:v>
      </x:c>
      <x:c r="L1400" s="4" t="str">
        <x:f>IFERROR(INDEX('Items'!$AD$6:$AD$1005,MATCH(D1400,'Items'!$A$6:$A$1005,0)),"MISSING ID")</x:f>
        <x:v>Proposal</x:v>
      </x:c>
      <x:c r="M1400" s="4" t="str">
        <x:f>IFERROR(INDEX('Crafting recipes'!$E$6:$E$1005,MATCH(B1400,'Crafting recipes'!$A$6:$A$1005,0)),"MISSING ID")</x:f>
        <x:v>Partial proposal</x:v>
      </x:c>
      <x:c r="N1400" s="4" t="str">
        <x:v>Partial audit candidate; quantity, fit and performance remain unresolved.</x:v>
      </x:c>
      <x:c r="O14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0" s="4" t="n">
        <x:f>IF(OR(C1400="Ingredient candidate",C1400="Consumed input",C1400="Contained input",C1400="Transform input"),IF(F1400="T0",0,IF(F1400="T1",1,IF(F1400="T2",2,IF(F1400="T3",3,IF(F1400="T4",4,-1))))),-1)</x:f>
        <x:v>3</x:v>
      </x:c>
      <x:c r="Q1400" s="4" t="n">
        <x:f>IF(AND(OR(C1400="Ingredient candidate",C1400="Consumed input",C1400="Contained input",C1400="Transform input"),P1400=-1),1,0)</x:f>
        <x:v>0</x:v>
      </x:c>
    </x:row>
    <x:row r="1401" ht="64" customHeight="1">
      <x:c r="A1401" s="4" t="str">
        <x:v>design.audit.proposal_audit_linked_steel_mail_rings.audit.out</x:v>
      </x:c>
      <x:c r="B1401" s="4" t="str">
        <x:v>design.audit.proposal_audit_linked_steel_mail_rings</x:v>
      </x:c>
      <x:c r="C1401" s="4" t="str">
        <x:v>Output</x:v>
      </x:c>
      <x:c r="D1401" s="4" t="str">
        <x:v>proposal.audit.linked_steel_mail_rings</x:v>
      </x:c>
      <x:c r="E1401" s="4" t="str">
        <x:f>IFERROR(INDEX('Items'!$B$6:$B$1005,MATCH(D1401,'Items'!$A$6:$A$1005,0)),"MISSING ID")</x:f>
        <x:v>Linked steel mail rings</x:v>
      </x:c>
      <x:c r="F1401" s="4" t="str">
        <x:f>IFERROR(INDEX('Items'!$C$6:$C$1005,MATCH(D1401,'Items'!$A$6:$A$1005,0)),"MISSING ID")</x:f>
        <x:v>T4</x:v>
      </x:c>
      <x:c r="G1401" s="4" t="str">
        <x:f>IFERROR(INDEX('Items'!$D$6:$D$1005,MATCH(D1401,'Items'!$A$6:$A$1005,0)),"MISSING ID")</x:f>
        <x:v>Crafting components</x:v>
      </x:c>
      <x:c r="H1401" s="4" t="str">
        <x:f>IFERROR(INDEX('Items'!$X$6:$X$1005,MATCH(D1401,'Items'!$A$6:$A$1005,0)),"MISSING ID")</x:f>
        <x:v>Crafting component</x:v>
      </x:c>
      <x:c r="I1401" s="4"/>
      <x:c r="J1401" s="4" t="str">
        <x:v>Unspecified</x:v>
      </x:c>
      <x:c r="K1401" s="4" t="str">
        <x:f>IFERROR(INDEX('Crafting recipes'!$D$6:$D$1005,MATCH(B1401,'Crafting recipes'!$A$6:$A$1005,0)),"MISSING ID")</x:f>
        <x:v>Proposal</x:v>
      </x:c>
      <x:c r="L1401" s="4" t="str">
        <x:f>IFERROR(INDEX('Items'!$AD$6:$AD$1005,MATCH(D1401,'Items'!$A$6:$A$1005,0)),"MISSING ID")</x:f>
        <x:v>Proposal</x:v>
      </x:c>
      <x:c r="M1401" s="4" t="str">
        <x:f>IFERROR(INDEX('Crafting recipes'!$E$6:$E$1005,MATCH(B1401,'Crafting recipes'!$A$6:$A$1005,0)),"MISSING ID")</x:f>
        <x:v>Partial proposal</x:v>
      </x:c>
      <x:c r="N1401" s="4" t="str">
        <x:v>Partial audit candidate; quantity, fit and performance remain unresolved.</x:v>
      </x:c>
      <x:c r="O14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1" s="4" t="n">
        <x:f>IF(OR(C1401="Ingredient candidate",C1401="Consumed input",C1401="Contained input",C1401="Transform input"),IF(F1401="T0",0,IF(F1401="T1",1,IF(F1401="T2",2,IF(F1401="T3",3,IF(F1401="T4",4,-1))))),-1)</x:f>
        <x:v>-1</x:v>
      </x:c>
      <x:c r="Q1401" s="4" t="n">
        <x:f>IF(AND(OR(C1401="Ingredient candidate",C1401="Consumed input",C1401="Contained input",C1401="Transform input"),P1401=-1),1,0)</x:f>
        <x:v>0</x:v>
      </x:c>
    </x:row>
    <x:row r="1402" ht="64" customHeight="1">
      <x:c r="A1402" s="4" t="str">
        <x:v>design.audit.proposal_audit_small_metal_hinge_pair.audit.in.1</x:v>
      </x:c>
      <x:c r="B1402" s="4" t="str">
        <x:v>design.audit.proposal_audit_small_metal_hinge_pair</x:v>
      </x:c>
      <x:c r="C1402" s="4" t="str">
        <x:v>Ingredient candidate</x:v>
      </x:c>
      <x:c r="D1402" s="4" t="str">
        <x:v>author.metallurgy.steel_stock</x:v>
      </x:c>
      <x:c r="E1402" s="4" t="str">
        <x:f>IFERROR(INDEX('Items'!$B$6:$B$1005,MATCH(D1402,'Items'!$A$6:$A$1005,0)),"MISSING ID")</x:f>
        <x:v>Steel stock</x:v>
      </x:c>
      <x:c r="F1402" s="4" t="str">
        <x:f>IFERROR(INDEX('Items'!$C$6:$C$1005,MATCH(D1402,'Items'!$A$6:$A$1005,0)),"MISSING ID")</x:f>
        <x:v>T2</x:v>
      </x:c>
      <x:c r="G1402" s="4" t="str">
        <x:f>IFERROR(INDEX('Items'!$D$6:$D$1005,MATCH(D1402,'Items'!$A$6:$A$1005,0)),"MISSING ID")</x:f>
        <x:v>Manufactured stock</x:v>
      </x:c>
      <x:c r="H1402" s="4" t="str">
        <x:f>IFERROR(INDEX('Items'!$X$6:$X$1005,MATCH(D1402,'Items'!$A$6:$A$1005,0)),"MISSING ID")</x:f>
        <x:v>Processed material</x:v>
      </x:c>
      <x:c r="I1402" s="4"/>
      <x:c r="J1402" s="4" t="str">
        <x:v>Unspecified</x:v>
      </x:c>
      <x:c r="K1402" s="4" t="str">
        <x:f>IFERROR(INDEX('Crafting recipes'!$D$6:$D$1005,MATCH(B1402,'Crafting recipes'!$A$6:$A$1005,0)),"MISSING ID")</x:f>
        <x:v>Proposal</x:v>
      </x:c>
      <x:c r="L1402" s="4" t="str">
        <x:f>IFERROR(INDEX('Items'!$AD$6:$AD$1005,MATCH(D1402,'Items'!$A$6:$A$1005,0)),"MISSING ID")</x:f>
        <x:v>Author direction</x:v>
      </x:c>
      <x:c r="M1402" s="4" t="str">
        <x:f>IFERROR(INDEX('Crafting recipes'!$E$6:$E$1005,MATCH(B1402,'Crafting recipes'!$A$6:$A$1005,0)),"MISSING ID")</x:f>
        <x:v>Partial proposal</x:v>
      </x:c>
      <x:c r="N1402" s="4" t="str">
        <x:v>Partial audit candidate; quantity, fit and performance remain unresolved.</x:v>
      </x:c>
      <x:c r="O14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2" s="4" t="n">
        <x:f>IF(OR(C1402="Ingredient candidate",C1402="Consumed input",C1402="Contained input",C1402="Transform input"),IF(F1402="T0",0,IF(F1402="T1",1,IF(F1402="T2",2,IF(F1402="T3",3,IF(F1402="T4",4,-1))))),-1)</x:f>
        <x:v>2</x:v>
      </x:c>
      <x:c r="Q1402" s="4" t="n">
        <x:f>IF(AND(OR(C1402="Ingredient candidate",C1402="Consumed input",C1402="Contained input",C1402="Transform input"),P1402=-1),1,0)</x:f>
        <x:v>0</x:v>
      </x:c>
    </x:row>
    <x:row r="1403" ht="64" customHeight="1">
      <x:c r="A1403" s="4" t="str">
        <x:v>design.audit.proposal_audit_small_metal_hinge_pair.audit.in.2</x:v>
      </x:c>
      <x:c r="B1403" s="4" t="str">
        <x:v>design.audit.proposal_audit_small_metal_hinge_pair</x:v>
      </x:c>
      <x:c r="C1403" s="4" t="str">
        <x:v>Ingredient candidate</x:v>
      </x:c>
      <x:c r="D1403" s="4" t="str">
        <x:v>proposal.natural.iron_stock</x:v>
      </x:c>
      <x:c r="E1403" s="4" t="str">
        <x:f>IFERROR(INDEX('Items'!$B$6:$B$1005,MATCH(D1403,'Items'!$A$6:$A$1005,0)),"MISSING ID")</x:f>
        <x:v>Worked iron stock</x:v>
      </x:c>
      <x:c r="F1403" s="4" t="str">
        <x:f>IFERROR(INDEX('Items'!$C$6:$C$1005,MATCH(D1403,'Items'!$A$6:$A$1005,0)),"MISSING ID")</x:f>
        <x:v>T2</x:v>
      </x:c>
      <x:c r="G1403" s="4" t="str">
        <x:f>IFERROR(INDEX('Items'!$D$6:$D$1005,MATCH(D1403,'Items'!$A$6:$A$1005,0)),"MISSING ID")</x:f>
        <x:v>Manufactured stock</x:v>
      </x:c>
      <x:c r="H1403" s="4" t="str">
        <x:f>IFERROR(INDEX('Items'!$X$6:$X$1005,MATCH(D1403,'Items'!$A$6:$A$1005,0)),"MISSING ID")</x:f>
        <x:v>Processed material</x:v>
      </x:c>
      <x:c r="I1403" s="4"/>
      <x:c r="J1403" s="4" t="str">
        <x:v>Unspecified</x:v>
      </x:c>
      <x:c r="K1403" s="4" t="str">
        <x:f>IFERROR(INDEX('Crafting recipes'!$D$6:$D$1005,MATCH(B1403,'Crafting recipes'!$A$6:$A$1005,0)),"MISSING ID")</x:f>
        <x:v>Proposal</x:v>
      </x:c>
      <x:c r="L1403" s="4" t="str">
        <x:f>IFERROR(INDEX('Items'!$AD$6:$AD$1005,MATCH(D1403,'Items'!$A$6:$A$1005,0)),"MISSING ID")</x:f>
        <x:v>Proposal</x:v>
      </x:c>
      <x:c r="M1403" s="4" t="str">
        <x:f>IFERROR(INDEX('Crafting recipes'!$E$6:$E$1005,MATCH(B1403,'Crafting recipes'!$A$6:$A$1005,0)),"MISSING ID")</x:f>
        <x:v>Partial proposal</x:v>
      </x:c>
      <x:c r="N1403" s="4" t="str">
        <x:v>Partial audit candidate; quantity, fit and performance remain unresolved.</x:v>
      </x:c>
      <x:c r="O14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3" s="4" t="n">
        <x:f>IF(OR(C1403="Ingredient candidate",C1403="Consumed input",C1403="Contained input",C1403="Transform input"),IF(F1403="T0",0,IF(F1403="T1",1,IF(F1403="T2",2,IF(F1403="T3",3,IF(F1403="T4",4,-1))))),-1)</x:f>
        <x:v>2</x:v>
      </x:c>
      <x:c r="Q1403" s="4" t="n">
        <x:f>IF(AND(OR(C1403="Ingredient candidate",C1403="Consumed input",C1403="Contained input",C1403="Transform input"),P1403=-1),1,0)</x:f>
        <x:v>0</x:v>
      </x:c>
    </x:row>
    <x:row r="1404" ht="64" customHeight="1">
      <x:c r="A1404" s="4" t="str">
        <x:v>design.audit.proposal_audit_small_metal_hinge_pair.audit.out</x:v>
      </x:c>
      <x:c r="B1404" s="4" t="str">
        <x:v>design.audit.proposal_audit_small_metal_hinge_pair</x:v>
      </x:c>
      <x:c r="C1404" s="4" t="str">
        <x:v>Output</x:v>
      </x:c>
      <x:c r="D1404" s="4" t="str">
        <x:v>proposal.audit.small_metal_hinge_pair</x:v>
      </x:c>
      <x:c r="E1404" s="4" t="str">
        <x:f>IFERROR(INDEX('Items'!$B$6:$B$1005,MATCH(D1404,'Items'!$A$6:$A$1005,0)),"MISSING ID")</x:f>
        <x:v>Small metal hinge pair</x:v>
      </x:c>
      <x:c r="F1404" s="4" t="str">
        <x:f>IFERROR(INDEX('Items'!$C$6:$C$1005,MATCH(D1404,'Items'!$A$6:$A$1005,0)),"MISSING ID")</x:f>
        <x:v>T3</x:v>
      </x:c>
      <x:c r="G1404" s="4" t="str">
        <x:f>IFERROR(INDEX('Items'!$D$6:$D$1005,MATCH(D1404,'Items'!$A$6:$A$1005,0)),"MISSING ID")</x:f>
        <x:v>Crafting components</x:v>
      </x:c>
      <x:c r="H1404" s="4" t="str">
        <x:f>IFERROR(INDEX('Items'!$X$6:$X$1005,MATCH(D1404,'Items'!$A$6:$A$1005,0)),"MISSING ID")</x:f>
        <x:v>Crafting component</x:v>
      </x:c>
      <x:c r="I1404" s="4"/>
      <x:c r="J1404" s="4" t="str">
        <x:v>Unspecified</x:v>
      </x:c>
      <x:c r="K1404" s="4" t="str">
        <x:f>IFERROR(INDEX('Crafting recipes'!$D$6:$D$1005,MATCH(B1404,'Crafting recipes'!$A$6:$A$1005,0)),"MISSING ID")</x:f>
        <x:v>Proposal</x:v>
      </x:c>
      <x:c r="L1404" s="4" t="str">
        <x:f>IFERROR(INDEX('Items'!$AD$6:$AD$1005,MATCH(D1404,'Items'!$A$6:$A$1005,0)),"MISSING ID")</x:f>
        <x:v>Proposal</x:v>
      </x:c>
      <x:c r="M1404" s="4" t="str">
        <x:f>IFERROR(INDEX('Crafting recipes'!$E$6:$E$1005,MATCH(B1404,'Crafting recipes'!$A$6:$A$1005,0)),"MISSING ID")</x:f>
        <x:v>Partial proposal</x:v>
      </x:c>
      <x:c r="N1404" s="4" t="str">
        <x:v>Partial audit candidate; quantity, fit and performance remain unresolved.</x:v>
      </x:c>
      <x:c r="O14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4" s="4" t="n">
        <x:f>IF(OR(C1404="Ingredient candidate",C1404="Consumed input",C1404="Contained input",C1404="Transform input"),IF(F1404="T0",0,IF(F1404="T1",1,IF(F1404="T2",2,IF(F1404="T3",3,IF(F1404="T4",4,-1))))),-1)</x:f>
        <x:v>-1</x:v>
      </x:c>
      <x:c r="Q1404" s="4" t="n">
        <x:f>IF(AND(OR(C1404="Ingredient candidate",C1404="Consumed input",C1404="Contained input",C1404="Transform input"),P1404=-1),1,0)</x:f>
        <x:v>0</x:v>
      </x:c>
    </x:row>
    <x:row r="1405" ht="64" customHeight="1">
      <x:c r="A1405" s="4" t="str">
        <x:v>design.audit.proposal_audit_bent_wire_spectacle_frame.audit.in.1</x:v>
      </x:c>
      <x:c r="B1405" s="4" t="str">
        <x:v>design.audit.proposal_audit_bent_wire_spectacle_frame</x:v>
      </x:c>
      <x:c r="C1405" s="4" t="str">
        <x:v>Ingredient candidate</x:v>
      </x:c>
      <x:c r="D1405" s="4" t="str">
        <x:v>proposal.lore.iron_conductor</x:v>
      </x:c>
      <x:c r="E1405" s="4" t="str">
        <x:f>IFERROR(INDEX('Items'!$B$6:$B$1005,MATCH(D1405,'Items'!$A$6:$A$1005,0)),"MISSING ID")</x:f>
        <x:v>Drawn iron conductor stock</x:v>
      </x:c>
      <x:c r="F1405" s="4" t="str">
        <x:f>IFERROR(INDEX('Items'!$C$6:$C$1005,MATCH(D1405,'Items'!$A$6:$A$1005,0)),"MISSING ID")</x:f>
        <x:v>T2</x:v>
      </x:c>
      <x:c r="G1405" s="4" t="str">
        <x:f>IFERROR(INDEX('Items'!$D$6:$D$1005,MATCH(D1405,'Items'!$A$6:$A$1005,0)),"MISSING ID")</x:f>
        <x:v>Manufactured stock</x:v>
      </x:c>
      <x:c r="H1405" s="4" t="str">
        <x:f>IFERROR(INDEX('Items'!$X$6:$X$1005,MATCH(D1405,'Items'!$A$6:$A$1005,0)),"MISSING ID")</x:f>
        <x:v>Processed material</x:v>
      </x:c>
      <x:c r="I1405" s="4"/>
      <x:c r="J1405" s="4" t="str">
        <x:v>Unspecified</x:v>
      </x:c>
      <x:c r="K1405" s="4" t="str">
        <x:f>IFERROR(INDEX('Crafting recipes'!$D$6:$D$1005,MATCH(B1405,'Crafting recipes'!$A$6:$A$1005,0)),"MISSING ID")</x:f>
        <x:v>Proposal</x:v>
      </x:c>
      <x:c r="L1405" s="4" t="str">
        <x:f>IFERROR(INDEX('Items'!$AD$6:$AD$1005,MATCH(D1405,'Items'!$A$6:$A$1005,0)),"MISSING ID")</x:f>
        <x:v>Proposal</x:v>
      </x:c>
      <x:c r="M1405" s="4" t="str">
        <x:f>IFERROR(INDEX('Crafting recipes'!$E$6:$E$1005,MATCH(B1405,'Crafting recipes'!$A$6:$A$1005,0)),"MISSING ID")</x:f>
        <x:v>Partial proposal</x:v>
      </x:c>
      <x:c r="N1405" s="4" t="str">
        <x:v>Partial audit candidate; quantity, fit and performance remain unresolved.</x:v>
      </x:c>
      <x:c r="O14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5" s="4" t="n">
        <x:f>IF(OR(C1405="Ingredient candidate",C1405="Consumed input",C1405="Contained input",C1405="Transform input"),IF(F1405="T0",0,IF(F1405="T1",1,IF(F1405="T2",2,IF(F1405="T3",3,IF(F1405="T4",4,-1))))),-1)</x:f>
        <x:v>2</x:v>
      </x:c>
      <x:c r="Q1405" s="4" t="n">
        <x:f>IF(AND(OR(C1405="Ingredient candidate",C1405="Consumed input",C1405="Contained input",C1405="Transform input"),P1405=-1),1,0)</x:f>
        <x:v>0</x:v>
      </x:c>
    </x:row>
    <x:row r="1406" ht="64" customHeight="1">
      <x:c r="A1406" s="4" t="str">
        <x:v>design.audit.proposal_audit_bent_wire_spectacle_frame.audit.out</x:v>
      </x:c>
      <x:c r="B1406" s="4" t="str">
        <x:v>design.audit.proposal_audit_bent_wire_spectacle_frame</x:v>
      </x:c>
      <x:c r="C1406" s="4" t="str">
        <x:v>Output</x:v>
      </x:c>
      <x:c r="D1406" s="4" t="str">
        <x:v>proposal.audit.bent_wire_spectacle_frame</x:v>
      </x:c>
      <x:c r="E1406" s="4" t="str">
        <x:f>IFERROR(INDEX('Items'!$B$6:$B$1005,MATCH(D1406,'Items'!$A$6:$A$1005,0)),"MISSING ID")</x:f>
        <x:v>Bent-wire spectacle frame</x:v>
      </x:c>
      <x:c r="F1406" s="4" t="str">
        <x:f>IFERROR(INDEX('Items'!$C$6:$C$1005,MATCH(D1406,'Items'!$A$6:$A$1005,0)),"MISSING ID")</x:f>
        <x:v>T3</x:v>
      </x:c>
      <x:c r="G1406" s="4" t="str">
        <x:f>IFERROR(INDEX('Items'!$D$6:$D$1005,MATCH(D1406,'Items'!$A$6:$A$1005,0)),"MISSING ID")</x:f>
        <x:v>Crafting components</x:v>
      </x:c>
      <x:c r="H1406" s="4" t="str">
        <x:f>IFERROR(INDEX('Items'!$X$6:$X$1005,MATCH(D1406,'Items'!$A$6:$A$1005,0)),"MISSING ID")</x:f>
        <x:v>Crafting component</x:v>
      </x:c>
      <x:c r="I1406" s="4"/>
      <x:c r="J1406" s="4" t="str">
        <x:v>Unspecified</x:v>
      </x:c>
      <x:c r="K1406" s="4" t="str">
        <x:f>IFERROR(INDEX('Crafting recipes'!$D$6:$D$1005,MATCH(B1406,'Crafting recipes'!$A$6:$A$1005,0)),"MISSING ID")</x:f>
        <x:v>Proposal</x:v>
      </x:c>
      <x:c r="L1406" s="4" t="str">
        <x:f>IFERROR(INDEX('Items'!$AD$6:$AD$1005,MATCH(D1406,'Items'!$A$6:$A$1005,0)),"MISSING ID")</x:f>
        <x:v>Proposal</x:v>
      </x:c>
      <x:c r="M1406" s="4" t="str">
        <x:f>IFERROR(INDEX('Crafting recipes'!$E$6:$E$1005,MATCH(B1406,'Crafting recipes'!$A$6:$A$1005,0)),"MISSING ID")</x:f>
        <x:v>Partial proposal</x:v>
      </x:c>
      <x:c r="N1406" s="4" t="str">
        <x:v>Partial audit candidate; quantity, fit and performance remain unresolved.</x:v>
      </x:c>
      <x:c r="O14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6" s="4" t="n">
        <x:f>IF(OR(C1406="Ingredient candidate",C1406="Consumed input",C1406="Contained input",C1406="Transform input"),IF(F1406="T0",0,IF(F1406="T1",1,IF(F1406="T2",2,IF(F1406="T3",3,IF(F1406="T4",4,-1))))),-1)</x:f>
        <x:v>-1</x:v>
      </x:c>
      <x:c r="Q1406" s="4" t="n">
        <x:f>IF(AND(OR(C1406="Ingredient candidate",C1406="Consumed input",C1406="Contained input",C1406="Transform input"),P1406=-1),1,0)</x:f>
        <x:v>0</x:v>
      </x:c>
    </x:row>
    <x:row r="1407" ht="64" customHeight="1">
      <x:c r="A1407" s="4"/>
      <x:c r="B1407" s="4"/>
      <x:c r="C1407" s="4"/>
      <x:c r="D1407" s="4"/>
      <x:c r="E1407" s="4"/>
      <x:c r="F1407" s="4"/>
      <x:c r="G1407" s="4"/>
      <x:c r="H1407" s="4"/>
      <x:c r="I1407" s="4"/>
      <x:c r="K1407" s="4"/>
      <x:c r="L1407" s="4"/>
      <x:c r="M1407" s="4"/>
      <x:c r="N1407" s="4"/>
      <x:c r="O1407" s="4"/>
      <x:c r="P1407" s="4"/>
      <x:c r="Q1407" s="4"/>
    </x:row>
    <x:row r="1408" ht="64" customHeight="1">
      <x:c r="A1408" s="4"/>
      <x:c r="B1408" s="4"/>
      <x:c r="C1408" s="4"/>
      <x:c r="D1408" s="4"/>
      <x:c r="E1408" s="4"/>
      <x:c r="F1408" s="4"/>
      <x:c r="G1408" s="4"/>
      <x:c r="H1408" s="4"/>
      <x:c r="I1408" s="4"/>
      <x:c r="K1408" s="4"/>
      <x:c r="L1408" s="4"/>
      <x:c r="M1408" s="4"/>
      <x:c r="N1408" s="4"/>
      <x:c r="O1408" s="4"/>
      <x:c r="P1408" s="4"/>
      <x:c r="Q1408" s="4"/>
    </x:row>
    <x:row r="1409" ht="64" customHeight="1">
      <x:c r="A1409" s="4" t="str">
        <x:v>design.audit.proposal_audit_fired_ceramic_vessel_blank.audit.in.1</x:v>
      </x:c>
      <x:c r="B1409" s="4" t="str">
        <x:v>design.audit.proposal_audit_fired_ceramic_vessel_blank</x:v>
      </x:c>
      <x:c r="C1409" s="4" t="str">
        <x:v>Ingredient candidate</x:v>
      </x:c>
      <x:c r="D1409" s="4" t="str">
        <x:v>proposal.ceramic.body_feed</x:v>
      </x:c>
      <x:c r="E1409" s="4" t="str">
        <x:f>IFERROR(INDEX('Items'!$B$6:$B$1005,MATCH(D1409,'Items'!$A$6:$A$1005,0)),"MISSING ID")</x:f>
        <x:v>Prepared ceramic body feed</x:v>
      </x:c>
      <x:c r="F1409" s="4" t="str">
        <x:f>IFERROR(INDEX('Items'!$C$6:$C$1005,MATCH(D1409,'Items'!$A$6:$A$1005,0)),"MISSING ID")</x:f>
        <x:v>T1</x:v>
      </x:c>
      <x:c r="G1409" s="4" t="str">
        <x:f>IFERROR(INDEX('Items'!$D$6:$D$1005,MATCH(D1409,'Items'!$A$6:$A$1005,0)),"MISSING ID")</x:f>
        <x:v>Manufactured stock</x:v>
      </x:c>
      <x:c r="H1409" s="4" t="str">
        <x:f>IFERROR(INDEX('Items'!$X$6:$X$1005,MATCH(D1409,'Items'!$A$6:$A$1005,0)),"MISSING ID")</x:f>
        <x:v>Processed material</x:v>
      </x:c>
      <x:c r="I1409" s="4"/>
      <x:c r="J1409" s="4" t="str">
        <x:v>Unspecified</x:v>
      </x:c>
      <x:c r="K1409" s="4" t="str">
        <x:f>IFERROR(INDEX('Crafting recipes'!$D$6:$D$1005,MATCH(B1409,'Crafting recipes'!$A$6:$A$1005,0)),"MISSING ID")</x:f>
        <x:v>Proposal</x:v>
      </x:c>
      <x:c r="L1409" s="4" t="str">
        <x:f>IFERROR(INDEX('Items'!$AD$6:$AD$1005,MATCH(D1409,'Items'!$A$6:$A$1005,0)),"MISSING ID")</x:f>
        <x:v>Proposal</x:v>
      </x:c>
      <x:c r="M1409" s="4" t="str">
        <x:f>IFERROR(INDEX('Crafting recipes'!$E$6:$E$1005,MATCH(B1409,'Crafting recipes'!$A$6:$A$1005,0)),"MISSING ID")</x:f>
        <x:v>Partial proposal</x:v>
      </x:c>
      <x:c r="N1409" s="4" t="str">
        <x:v>Partial audit candidate; quantity, fit and performance remain unresolved.</x:v>
      </x:c>
      <x:c r="O14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9" s="4" t="n">
        <x:f>IF(OR(C1409="Ingredient candidate",C1409="Consumed input",C1409="Contained input",C1409="Transform input"),IF(F1409="T0",0,IF(F1409="T1",1,IF(F1409="T2",2,IF(F1409="T3",3,IF(F1409="T4",4,-1))))),-1)</x:f>
        <x:v>1</x:v>
      </x:c>
      <x:c r="Q1409" s="4" t="n">
        <x:f>IF(AND(OR(C1409="Ingredient candidate",C1409="Consumed input",C1409="Contained input",C1409="Transform input"),P1409=-1),1,0)</x:f>
        <x:v>0</x:v>
      </x:c>
    </x:row>
    <x:row r="1410" ht="64" customHeight="1">
      <x:c r="A1410" s="4" t="str">
        <x:v>design.audit.proposal_audit_fired_ceramic_vessel_blank.audit.out</x:v>
      </x:c>
      <x:c r="B1410" s="4" t="str">
        <x:v>design.audit.proposal_audit_fired_ceramic_vessel_blank</x:v>
      </x:c>
      <x:c r="C1410" s="4" t="str">
        <x:v>Output</x:v>
      </x:c>
      <x:c r="D1410" s="4" t="str">
        <x:v>proposal.audit.fired_ceramic_vessel_blank</x:v>
      </x:c>
      <x:c r="E1410" s="4" t="str">
        <x:f>IFERROR(INDEX('Items'!$B$6:$B$1005,MATCH(D1410,'Items'!$A$6:$A$1005,0)),"MISSING ID")</x:f>
        <x:v>Fired ceramic vessel blank</x:v>
      </x:c>
      <x:c r="F1410" s="4" t="str">
        <x:f>IFERROR(INDEX('Items'!$C$6:$C$1005,MATCH(D1410,'Items'!$A$6:$A$1005,0)),"MISSING ID")</x:f>
        <x:v>T2</x:v>
      </x:c>
      <x:c r="G1410" s="4" t="str">
        <x:f>IFERROR(INDEX('Items'!$D$6:$D$1005,MATCH(D1410,'Items'!$A$6:$A$1005,0)),"MISSING ID")</x:f>
        <x:v>Crafting components</x:v>
      </x:c>
      <x:c r="H1410" s="4" t="str">
        <x:f>IFERROR(INDEX('Items'!$X$6:$X$1005,MATCH(D1410,'Items'!$A$6:$A$1005,0)),"MISSING ID")</x:f>
        <x:v>Crafting component</x:v>
      </x:c>
      <x:c r="I1410" s="4"/>
      <x:c r="J1410" s="4" t="str">
        <x:v>Unspecified</x:v>
      </x:c>
      <x:c r="K1410" s="4" t="str">
        <x:f>IFERROR(INDEX('Crafting recipes'!$D$6:$D$1005,MATCH(B1410,'Crafting recipes'!$A$6:$A$1005,0)),"MISSING ID")</x:f>
        <x:v>Proposal</x:v>
      </x:c>
      <x:c r="L1410" s="4" t="str">
        <x:f>IFERROR(INDEX('Items'!$AD$6:$AD$1005,MATCH(D1410,'Items'!$A$6:$A$1005,0)),"MISSING ID")</x:f>
        <x:v>Proposal</x:v>
      </x:c>
      <x:c r="M1410" s="4" t="str">
        <x:f>IFERROR(INDEX('Crafting recipes'!$E$6:$E$1005,MATCH(B1410,'Crafting recipes'!$A$6:$A$1005,0)),"MISSING ID")</x:f>
        <x:v>Partial proposal</x:v>
      </x:c>
      <x:c r="N1410" s="4" t="str">
        <x:v>Partial audit candidate; quantity, fit and performance remain unresolved.</x:v>
      </x:c>
      <x:c r="O14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0" s="4" t="n">
        <x:f>IF(OR(C1410="Ingredient candidate",C1410="Consumed input",C1410="Contained input",C1410="Transform input"),IF(F1410="T0",0,IF(F1410="T1",1,IF(F1410="T2",2,IF(F1410="T3",3,IF(F1410="T4",4,-1))))),-1)</x:f>
        <x:v>-1</x:v>
      </x:c>
      <x:c r="Q1410" s="4" t="n">
        <x:f>IF(AND(OR(C1410="Ingredient candidate",C1410="Consumed input",C1410="Contained input",C1410="Transform input"),P1410=-1),1,0)</x:f>
        <x:v>0</x:v>
      </x:c>
    </x:row>
    <x:row r="1411" ht="64" customHeight="1">
      <x:c r="A1411" s="4" t="str">
        <x:v>design.audit.proposal_audit_membrane_tension_hoop.audit.in.1</x:v>
      </x:c>
      <x:c r="B1411" s="4" t="str">
        <x:v>design.audit.proposal_audit_membrane_tension_hoop</x:v>
      </x:c>
      <x:c r="C1411" s="4" t="str">
        <x:v>Ingredient candidate</x:v>
      </x:c>
      <x:c r="D1411" s="4" t="str">
        <x:v>proposal.natural.iron_stock</x:v>
      </x:c>
      <x:c r="E1411" s="4" t="str">
        <x:f>IFERROR(INDEX('Items'!$B$6:$B$1005,MATCH(D1411,'Items'!$A$6:$A$1005,0)),"MISSING ID")</x:f>
        <x:v>Worked iron stock</x:v>
      </x:c>
      <x:c r="F1411" s="4" t="str">
        <x:f>IFERROR(INDEX('Items'!$C$6:$C$1005,MATCH(D1411,'Items'!$A$6:$A$1005,0)),"MISSING ID")</x:f>
        <x:v>T2</x:v>
      </x:c>
      <x:c r="G1411" s="4" t="str">
        <x:f>IFERROR(INDEX('Items'!$D$6:$D$1005,MATCH(D1411,'Items'!$A$6:$A$1005,0)),"MISSING ID")</x:f>
        <x:v>Manufactured stock</x:v>
      </x:c>
      <x:c r="H1411" s="4" t="str">
        <x:f>IFERROR(INDEX('Items'!$X$6:$X$1005,MATCH(D1411,'Items'!$A$6:$A$1005,0)),"MISSING ID")</x:f>
        <x:v>Processed material</x:v>
      </x:c>
      <x:c r="I1411" s="4"/>
      <x:c r="J1411" s="4" t="str">
        <x:v>Unspecified</x:v>
      </x:c>
      <x:c r="K1411" s="4" t="str">
        <x:f>IFERROR(INDEX('Crafting recipes'!$D$6:$D$1005,MATCH(B1411,'Crafting recipes'!$A$6:$A$1005,0)),"MISSING ID")</x:f>
        <x:v>Proposal</x:v>
      </x:c>
      <x:c r="L1411" s="4" t="str">
        <x:f>IFERROR(INDEX('Items'!$AD$6:$AD$1005,MATCH(D1411,'Items'!$A$6:$A$1005,0)),"MISSING ID")</x:f>
        <x:v>Proposal</x:v>
      </x:c>
      <x:c r="M1411" s="4" t="str">
        <x:f>IFERROR(INDEX('Crafting recipes'!$E$6:$E$1005,MATCH(B1411,'Crafting recipes'!$A$6:$A$1005,0)),"MISSING ID")</x:f>
        <x:v>Partial proposal</x:v>
      </x:c>
      <x:c r="N1411" s="4" t="str">
        <x:v>Partial audit candidate; quantity, fit and performance remain unresolved.</x:v>
      </x:c>
      <x:c r="O14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1" s="4" t="n">
        <x:f>IF(OR(C1411="Ingredient candidate",C1411="Consumed input",C1411="Contained input",C1411="Transform input"),IF(F1411="T0",0,IF(F1411="T1",1,IF(F1411="T2",2,IF(F1411="T3",3,IF(F1411="T4",4,-1))))),-1)</x:f>
        <x:v>2</x:v>
      </x:c>
      <x:c r="Q1411" s="4" t="n">
        <x:f>IF(AND(OR(C1411="Ingredient candidate",C1411="Consumed input",C1411="Contained input",C1411="Transform input"),P1411=-1),1,0)</x:f>
        <x:v>0</x:v>
      </x:c>
    </x:row>
    <x:row r="1412" ht="64" customHeight="1">
      <x:c r="A1412" s="4" t="str">
        <x:v>design.audit.proposal_audit_membrane_tension_hoop.audit.in.2</x:v>
      </x:c>
      <x:c r="B1412" s="4" t="str">
        <x:v>design.audit.proposal_audit_membrane_tension_hoop</x:v>
      </x:c>
      <x:c r="C1412" s="4" t="str">
        <x:v>Ingredient candidate</x:v>
      </x:c>
      <x:c r="D1412" s="4" t="str">
        <x:v>proposal.bio.cord</x:v>
      </x:c>
      <x:c r="E1412" s="4" t="str">
        <x:f>IFERROR(INDEX('Items'!$B$6:$B$1005,MATCH(D1412,'Items'!$A$6:$A$1005,0)),"MISSING ID")</x:f>
        <x:v>Tendon cord</x:v>
      </x:c>
      <x:c r="F1412" s="4" t="str">
        <x:f>IFERROR(INDEX('Items'!$C$6:$C$1005,MATCH(D1412,'Items'!$A$6:$A$1005,0)),"MISSING ID")</x:f>
        <x:v>T1</x:v>
      </x:c>
      <x:c r="G1412" s="4" t="str">
        <x:f>IFERROR(INDEX('Items'!$D$6:$D$1005,MATCH(D1412,'Items'!$A$6:$A$1005,0)),"MISSING ID")</x:f>
        <x:v>Crafting components</x:v>
      </x:c>
      <x:c r="H1412" s="4" t="str">
        <x:f>IFERROR(INDEX('Items'!$X$6:$X$1005,MATCH(D1412,'Items'!$A$6:$A$1005,0)),"MISSING ID")</x:f>
        <x:v>Crafting component</x:v>
      </x:c>
      <x:c r="I1412" s="4"/>
      <x:c r="J1412" s="4" t="str">
        <x:v>Unspecified</x:v>
      </x:c>
      <x:c r="K1412" s="4" t="str">
        <x:f>IFERROR(INDEX('Crafting recipes'!$D$6:$D$1005,MATCH(B1412,'Crafting recipes'!$A$6:$A$1005,0)),"MISSING ID")</x:f>
        <x:v>Proposal</x:v>
      </x:c>
      <x:c r="L1412" s="4" t="str">
        <x:f>IFERROR(INDEX('Items'!$AD$6:$AD$1005,MATCH(D1412,'Items'!$A$6:$A$1005,0)),"MISSING ID")</x:f>
        <x:v>Proposal</x:v>
      </x:c>
      <x:c r="M1412" s="4" t="str">
        <x:f>IFERROR(INDEX('Crafting recipes'!$E$6:$E$1005,MATCH(B1412,'Crafting recipes'!$A$6:$A$1005,0)),"MISSING ID")</x:f>
        <x:v>Partial proposal</x:v>
      </x:c>
      <x:c r="N1412" s="4" t="str">
        <x:v>Partial audit candidate; quantity, fit and performance remain unresolved.</x:v>
      </x:c>
      <x:c r="O14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2" s="4" t="n">
        <x:f>IF(OR(C1412="Ingredient candidate",C1412="Consumed input",C1412="Contained input",C1412="Transform input"),IF(F1412="T0",0,IF(F1412="T1",1,IF(F1412="T2",2,IF(F1412="T3",3,IF(F1412="T4",4,-1))))),-1)</x:f>
        <x:v>1</x:v>
      </x:c>
      <x:c r="Q1412" s="4" t="n">
        <x:f>IF(AND(OR(C1412="Ingredient candidate",C1412="Consumed input",C1412="Contained input",C1412="Transform input"),P1412=-1),1,0)</x:f>
        <x:v>0</x:v>
      </x:c>
    </x:row>
    <x:row r="1413" ht="64" customHeight="1">
      <x:c r="A1413" s="4" t="str">
        <x:v>design.audit.proposal_audit_membrane_tension_hoop.audit.out</x:v>
      </x:c>
      <x:c r="B1413" s="4" t="str">
        <x:v>design.audit.proposal_audit_membrane_tension_hoop</x:v>
      </x:c>
      <x:c r="C1413" s="4" t="str">
        <x:v>Output</x:v>
      </x:c>
      <x:c r="D1413" s="4" t="str">
        <x:v>proposal.audit.membrane_tension_hoop</x:v>
      </x:c>
      <x:c r="E1413" s="4" t="str">
        <x:f>IFERROR(INDEX('Items'!$B$6:$B$1005,MATCH(D1413,'Items'!$A$6:$A$1005,0)),"MISSING ID")</x:f>
        <x:v>Membrane tension hoop</x:v>
      </x:c>
      <x:c r="F1413" s="4" t="str">
        <x:f>IFERROR(INDEX('Items'!$C$6:$C$1005,MATCH(D1413,'Items'!$A$6:$A$1005,0)),"MISSING ID")</x:f>
        <x:v>T3</x:v>
      </x:c>
      <x:c r="G1413" s="4" t="str">
        <x:f>IFERROR(INDEX('Items'!$D$6:$D$1005,MATCH(D1413,'Items'!$A$6:$A$1005,0)),"MISSING ID")</x:f>
        <x:v>Crafting components</x:v>
      </x:c>
      <x:c r="H1413" s="4" t="str">
        <x:f>IFERROR(INDEX('Items'!$X$6:$X$1005,MATCH(D1413,'Items'!$A$6:$A$1005,0)),"MISSING ID")</x:f>
        <x:v>Crafting component</x:v>
      </x:c>
      <x:c r="I1413" s="4"/>
      <x:c r="J1413" s="4" t="str">
        <x:v>Unspecified</x:v>
      </x:c>
      <x:c r="K1413" s="4" t="str">
        <x:f>IFERROR(INDEX('Crafting recipes'!$D$6:$D$1005,MATCH(B1413,'Crafting recipes'!$A$6:$A$1005,0)),"MISSING ID")</x:f>
        <x:v>Proposal</x:v>
      </x:c>
      <x:c r="L1413" s="4" t="str">
        <x:f>IFERROR(INDEX('Items'!$AD$6:$AD$1005,MATCH(D1413,'Items'!$A$6:$A$1005,0)),"MISSING ID")</x:f>
        <x:v>Proposal</x:v>
      </x:c>
      <x:c r="M1413" s="4" t="str">
        <x:f>IFERROR(INDEX('Crafting recipes'!$E$6:$E$1005,MATCH(B1413,'Crafting recipes'!$A$6:$A$1005,0)),"MISSING ID")</x:f>
        <x:v>Partial proposal</x:v>
      </x:c>
      <x:c r="N1413" s="4" t="str">
        <x:v>Partial audit candidate; quantity, fit and performance remain unresolved.</x:v>
      </x:c>
      <x:c r="O14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3" s="4" t="n">
        <x:f>IF(OR(C1413="Ingredient candidate",C1413="Consumed input",C1413="Contained input",C1413="Transform input"),IF(F1413="T0",0,IF(F1413="T1",1,IF(F1413="T2",2,IF(F1413="T3",3,IF(F1413="T4",4,-1))))),-1)</x:f>
        <x:v>-1</x:v>
      </x:c>
      <x:c r="Q1413" s="4" t="n">
        <x:f>IF(AND(OR(C1413="Ingredient candidate",C1413="Consumed input",C1413="Contained input",C1413="Transform input"),P1413=-1),1,0)</x:f>
        <x:v>0</x:v>
      </x:c>
    </x:row>
    <x:row r="1414" ht="64" customHeight="1">
      <x:c r="A1414" s="4"/>
      <x:c r="B1414" s="4"/>
      <x:c r="C1414" s="4"/>
      <x:c r="D1414" s="4"/>
      <x:c r="E1414" s="4"/>
      <x:c r="F1414" s="4"/>
      <x:c r="G1414" s="4"/>
      <x:c r="H1414" s="4"/>
      <x:c r="I1414" s="4"/>
      <x:c r="J1414" s="4"/>
      <x:c r="K1414" s="4"/>
      <x:c r="L1414" s="4"/>
      <x:c r="M1414" s="4"/>
      <x:c r="N1414" s="4"/>
      <x:c r="O1414" s="4"/>
      <x:c r="P1414" s="4"/>
      <x:c r="Q1414" s="4"/>
    </x:row>
    <x:row r="1415" ht="64" customHeight="1">
      <x:c r="A1415" s="4"/>
      <x:c r="B1415" s="4"/>
      <x:c r="C1415" s="4"/>
      <x:c r="D1415" s="4"/>
      <x:c r="E1415" s="4"/>
      <x:c r="F1415" s="4"/>
      <x:c r="G1415" s="4"/>
      <x:c r="H1415" s="4"/>
      <x:c r="I1415" s="4"/>
      <x:c r="J1415" s="4"/>
      <x:c r="K1415" s="4"/>
      <x:c r="L1415" s="4"/>
      <x:c r="M1415" s="4"/>
      <x:c r="N1415" s="4"/>
      <x:c r="O1415" s="4"/>
      <x:c r="P1415" s="4"/>
      <x:c r="Q1415" s="4"/>
    </x:row>
    <x:row r="1416" ht="64" customHeight="1">
      <x:c r="A1416" s="4"/>
      <x:c r="B1416" s="4"/>
      <x:c r="C1416" s="4"/>
      <x:c r="D1416" s="4"/>
      <x:c r="E1416" s="4"/>
      <x:c r="F1416" s="4"/>
      <x:c r="G1416" s="4"/>
      <x:c r="H1416" s="4"/>
      <x:c r="I1416" s="4"/>
      <x:c r="J1416" s="4"/>
      <x:c r="K1416" s="4"/>
      <x:c r="L1416" s="4"/>
      <x:c r="M1416" s="4"/>
      <x:c r="N1416" s="4"/>
      <x:c r="O1416" s="4"/>
      <x:c r="P1416" s="4"/>
      <x:c r="Q1416" s="4"/>
    </x:row>
    <x:row r="1417" ht="64" customHeight="1">
      <x:c r="A1417" s="4"/>
      <x:c r="B1417" s="4"/>
      <x:c r="C1417" s="4"/>
      <x:c r="D1417" s="4"/>
      <x:c r="E1417" s="4"/>
      <x:c r="F1417" s="4"/>
      <x:c r="G1417" s="4"/>
      <x:c r="H1417" s="4"/>
      <x:c r="I1417" s="4"/>
      <x:c r="J1417" s="4"/>
      <x:c r="K1417" s="4"/>
      <x:c r="L1417" s="4"/>
      <x:c r="M1417" s="4"/>
      <x:c r="N1417" s="4"/>
      <x:c r="O1417" s="4"/>
      <x:c r="P1417" s="4"/>
      <x:c r="Q1417" s="4"/>
    </x:row>
    <x:row r="1418" ht="64" customHeight="1">
      <x:c r="A1418" s="4" t="str">
        <x:v>design.audit.proposal_audit_cut_metal_reed_set.audit.in.1</x:v>
      </x:c>
      <x:c r="B1418" s="4" t="str">
        <x:v>design.audit.proposal_audit_cut_metal_reed_set</x:v>
      </x:c>
      <x:c r="C1418" s="4" t="str">
        <x:v>Ingredient candidate</x:v>
      </x:c>
      <x:c r="D1418" s="4" t="str">
        <x:v>proposal.branch.spring_steel</x:v>
      </x:c>
      <x:c r="E1418" s="4" t="str">
        <x:f>IFERROR(INDEX('Items'!$B$6:$B$1005,MATCH(D1418,'Items'!$A$6:$A$1005,0)),"MISSING ID")</x:f>
        <x:v>Spring-grade steel stock</x:v>
      </x:c>
      <x:c r="F1418" s="4" t="str">
        <x:f>IFERROR(INDEX('Items'!$C$6:$C$1005,MATCH(D1418,'Items'!$A$6:$A$1005,0)),"MISSING ID")</x:f>
        <x:v>T3</x:v>
      </x:c>
      <x:c r="G1418" s="4" t="str">
        <x:f>IFERROR(INDEX('Items'!$D$6:$D$1005,MATCH(D1418,'Items'!$A$6:$A$1005,0)),"MISSING ID")</x:f>
        <x:v>Manufactured stock</x:v>
      </x:c>
      <x:c r="H1418" s="4" t="str">
        <x:f>IFERROR(INDEX('Items'!$X$6:$X$1005,MATCH(D1418,'Items'!$A$6:$A$1005,0)),"MISSING ID")</x:f>
        <x:v>Processed material</x:v>
      </x:c>
      <x:c r="I1418" s="4"/>
      <x:c r="J1418" s="4" t="str">
        <x:v>Unspecified</x:v>
      </x:c>
      <x:c r="K1418" s="4" t="str">
        <x:f>IFERROR(INDEX('Crafting recipes'!$D$6:$D$1005,MATCH(B1418,'Crafting recipes'!$A$6:$A$1005,0)),"MISSING ID")</x:f>
        <x:v>Proposal</x:v>
      </x:c>
      <x:c r="L1418" s="4" t="str">
        <x:f>IFERROR(INDEX('Items'!$AD$6:$AD$1005,MATCH(D1418,'Items'!$A$6:$A$1005,0)),"MISSING ID")</x:f>
        <x:v>Proposal</x:v>
      </x:c>
      <x:c r="M1418" s="4" t="str">
        <x:f>IFERROR(INDEX('Crafting recipes'!$E$6:$E$1005,MATCH(B1418,'Crafting recipes'!$A$6:$A$1005,0)),"MISSING ID")</x:f>
        <x:v>Partial proposal</x:v>
      </x:c>
      <x:c r="N1418" s="4" t="str">
        <x:v>Partial audit candidate; quantity, fit and performance remain unresolved.</x:v>
      </x:c>
      <x:c r="O14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8" s="4" t="n">
        <x:f>IF(OR(C1418="Ingredient candidate",C1418="Consumed input",C1418="Contained input",C1418="Transform input"),IF(F1418="T0",0,IF(F1418="T1",1,IF(F1418="T2",2,IF(F1418="T3",3,IF(F1418="T4",4,-1))))),-1)</x:f>
        <x:v>3</x:v>
      </x:c>
      <x:c r="Q1418" s="4" t="n">
        <x:f>IF(AND(OR(C1418="Ingredient candidate",C1418="Consumed input",C1418="Contained input",C1418="Transform input"),P1418=-1),1,0)</x:f>
        <x:v>0</x:v>
      </x:c>
    </x:row>
    <x:row r="1419" ht="64" customHeight="1">
      <x:c r="A1419" s="4" t="str">
        <x:v>design.audit.proposal_audit_cut_metal_reed_set.audit.out</x:v>
      </x:c>
      <x:c r="B1419" s="4" t="str">
        <x:v>design.audit.proposal_audit_cut_metal_reed_set</x:v>
      </x:c>
      <x:c r="C1419" s="4" t="str">
        <x:v>Output</x:v>
      </x:c>
      <x:c r="D1419" s="4" t="str">
        <x:v>proposal.audit.cut_metal_reed_set</x:v>
      </x:c>
      <x:c r="E1419" s="4" t="str">
        <x:f>IFERROR(INDEX('Items'!$B$6:$B$1005,MATCH(D1419,'Items'!$A$6:$A$1005,0)),"MISSING ID")</x:f>
        <x:v>Cut metal reed set</x:v>
      </x:c>
      <x:c r="F1419" s="4" t="str">
        <x:f>IFERROR(INDEX('Items'!$C$6:$C$1005,MATCH(D1419,'Items'!$A$6:$A$1005,0)),"MISSING ID")</x:f>
        <x:v>T4</x:v>
      </x:c>
      <x:c r="G1419" s="4" t="str">
        <x:f>IFERROR(INDEX('Items'!$D$6:$D$1005,MATCH(D1419,'Items'!$A$6:$A$1005,0)),"MISSING ID")</x:f>
        <x:v>Crafting components</x:v>
      </x:c>
      <x:c r="H1419" s="4" t="str">
        <x:f>IFERROR(INDEX('Items'!$X$6:$X$1005,MATCH(D1419,'Items'!$A$6:$A$1005,0)),"MISSING ID")</x:f>
        <x:v>Crafting component</x:v>
      </x:c>
      <x:c r="I1419" s="4"/>
      <x:c r="J1419" s="4" t="str">
        <x:v>Unspecified</x:v>
      </x:c>
      <x:c r="K1419" s="4" t="str">
        <x:f>IFERROR(INDEX('Crafting recipes'!$D$6:$D$1005,MATCH(B1419,'Crafting recipes'!$A$6:$A$1005,0)),"MISSING ID")</x:f>
        <x:v>Proposal</x:v>
      </x:c>
      <x:c r="L1419" s="4" t="str">
        <x:f>IFERROR(INDEX('Items'!$AD$6:$AD$1005,MATCH(D1419,'Items'!$A$6:$A$1005,0)),"MISSING ID")</x:f>
        <x:v>Proposal</x:v>
      </x:c>
      <x:c r="M1419" s="4" t="str">
        <x:f>IFERROR(INDEX('Crafting recipes'!$E$6:$E$1005,MATCH(B1419,'Crafting recipes'!$A$6:$A$1005,0)),"MISSING ID")</x:f>
        <x:v>Partial proposal</x:v>
      </x:c>
      <x:c r="N1419" s="4" t="str">
        <x:v>Partial audit candidate; quantity, fit and performance remain unresolved.</x:v>
      </x:c>
      <x:c r="O14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9" s="4" t="n">
        <x:f>IF(OR(C1419="Ingredient candidate",C1419="Consumed input",C1419="Contained input",C1419="Transform input"),IF(F1419="T0",0,IF(F1419="T1",1,IF(F1419="T2",2,IF(F1419="T3",3,IF(F1419="T4",4,-1))))),-1)</x:f>
        <x:v>-1</x:v>
      </x:c>
      <x:c r="Q1419" s="4" t="n">
        <x:f>IF(AND(OR(C1419="Ingredient candidate",C1419="Consumed input",C1419="Contained input",C1419="Transform input"),P1419=-1),1,0)</x:f>
        <x:v>0</x:v>
      </x:c>
    </x:row>
    <x:row r="1420" ht="64" customHeight="1">
      <x:c r="A1420" s="4" t="str">
        <x:v>design.audit.proposal_audit_ceramic_whistle_mouthpiece.audit.in.1</x:v>
      </x:c>
      <x:c r="B1420" s="4" t="str">
        <x:v>design.audit.proposal_audit_ceramic_whistle_mouthpiece</x:v>
      </x:c>
      <x:c r="C1420" s="4" t="str">
        <x:v>Ingredient candidate</x:v>
      </x:c>
      <x:c r="D1420" s="4" t="str">
        <x:v>proposal.ceramic.body_feed</x:v>
      </x:c>
      <x:c r="E1420" s="4" t="str">
        <x:f>IFERROR(INDEX('Items'!$B$6:$B$1005,MATCH(D1420,'Items'!$A$6:$A$1005,0)),"MISSING ID")</x:f>
        <x:v>Prepared ceramic body feed</x:v>
      </x:c>
      <x:c r="F1420" s="4" t="str">
        <x:f>IFERROR(INDEX('Items'!$C$6:$C$1005,MATCH(D1420,'Items'!$A$6:$A$1005,0)),"MISSING ID")</x:f>
        <x:v>T1</x:v>
      </x:c>
      <x:c r="G1420" s="4" t="str">
        <x:f>IFERROR(INDEX('Items'!$D$6:$D$1005,MATCH(D1420,'Items'!$A$6:$A$1005,0)),"MISSING ID")</x:f>
        <x:v>Manufactured stock</x:v>
      </x:c>
      <x:c r="H1420" s="4" t="str">
        <x:f>IFERROR(INDEX('Items'!$X$6:$X$1005,MATCH(D1420,'Items'!$A$6:$A$1005,0)),"MISSING ID")</x:f>
        <x:v>Processed material</x:v>
      </x:c>
      <x:c r="I1420" s="4"/>
      <x:c r="J1420" s="4" t="str">
        <x:v>Unspecified</x:v>
      </x:c>
      <x:c r="K1420" s="4" t="str">
        <x:f>IFERROR(INDEX('Crafting recipes'!$D$6:$D$1005,MATCH(B1420,'Crafting recipes'!$A$6:$A$1005,0)),"MISSING ID")</x:f>
        <x:v>Proposal</x:v>
      </x:c>
      <x:c r="L1420" s="4" t="str">
        <x:f>IFERROR(INDEX('Items'!$AD$6:$AD$1005,MATCH(D1420,'Items'!$A$6:$A$1005,0)),"MISSING ID")</x:f>
        <x:v>Proposal</x:v>
      </x:c>
      <x:c r="M1420" s="4" t="str">
        <x:f>IFERROR(INDEX('Crafting recipes'!$E$6:$E$1005,MATCH(B1420,'Crafting recipes'!$A$6:$A$1005,0)),"MISSING ID")</x:f>
        <x:v>Partial proposal</x:v>
      </x:c>
      <x:c r="N1420" s="4" t="str">
        <x:v>Partial audit candidate; quantity, fit and performance remain unresolved.</x:v>
      </x:c>
      <x:c r="O14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0" s="4" t="n">
        <x:f>IF(OR(C1420="Ingredient candidate",C1420="Consumed input",C1420="Contained input",C1420="Transform input"),IF(F1420="T0",0,IF(F1420="T1",1,IF(F1420="T2",2,IF(F1420="T3",3,IF(F1420="T4",4,-1))))),-1)</x:f>
        <x:v>1</x:v>
      </x:c>
      <x:c r="Q1420" s="4" t="n">
        <x:f>IF(AND(OR(C1420="Ingredient candidate",C1420="Consumed input",C1420="Contained input",C1420="Transform input"),P1420=-1),1,0)</x:f>
        <x:v>0</x:v>
      </x:c>
    </x:row>
    <x:row r="1421" ht="64" customHeight="1">
      <x:c r="A1421" s="4" t="str">
        <x:v>design.audit.proposal_audit_ceramic_whistle_mouthpiece.audit.out</x:v>
      </x:c>
      <x:c r="B1421" s="4" t="str">
        <x:v>design.audit.proposal_audit_ceramic_whistle_mouthpiece</x:v>
      </x:c>
      <x:c r="C1421" s="4" t="str">
        <x:v>Output</x:v>
      </x:c>
      <x:c r="D1421" s="4" t="str">
        <x:v>proposal.audit.ceramic_whistle_mouthpiece</x:v>
      </x:c>
      <x:c r="E1421" s="4" t="str">
        <x:f>IFERROR(INDEX('Items'!$B$6:$B$1005,MATCH(D1421,'Items'!$A$6:$A$1005,0)),"MISSING ID")</x:f>
        <x:v>Ceramic whistle mouthpiece</x:v>
      </x:c>
      <x:c r="F1421" s="4" t="str">
        <x:f>IFERROR(INDEX('Items'!$C$6:$C$1005,MATCH(D1421,'Items'!$A$6:$A$1005,0)),"MISSING ID")</x:f>
        <x:v>T2</x:v>
      </x:c>
      <x:c r="G1421" s="4" t="str">
        <x:f>IFERROR(INDEX('Items'!$D$6:$D$1005,MATCH(D1421,'Items'!$A$6:$A$1005,0)),"MISSING ID")</x:f>
        <x:v>Crafting components</x:v>
      </x:c>
      <x:c r="H1421" s="4" t="str">
        <x:f>IFERROR(INDEX('Items'!$X$6:$X$1005,MATCH(D1421,'Items'!$A$6:$A$1005,0)),"MISSING ID")</x:f>
        <x:v>Crafting component</x:v>
      </x:c>
      <x:c r="I1421" s="4"/>
      <x:c r="J1421" s="4" t="str">
        <x:v>Unspecified</x:v>
      </x:c>
      <x:c r="K1421" s="4" t="str">
        <x:f>IFERROR(INDEX('Crafting recipes'!$D$6:$D$1005,MATCH(B1421,'Crafting recipes'!$A$6:$A$1005,0)),"MISSING ID")</x:f>
        <x:v>Proposal</x:v>
      </x:c>
      <x:c r="L1421" s="4" t="str">
        <x:f>IFERROR(INDEX('Items'!$AD$6:$AD$1005,MATCH(D1421,'Items'!$A$6:$A$1005,0)),"MISSING ID")</x:f>
        <x:v>Proposal</x:v>
      </x:c>
      <x:c r="M1421" s="4" t="str">
        <x:f>IFERROR(INDEX('Crafting recipes'!$E$6:$E$1005,MATCH(B1421,'Crafting recipes'!$A$6:$A$1005,0)),"MISSING ID")</x:f>
        <x:v>Partial proposal</x:v>
      </x:c>
      <x:c r="N1421" s="4" t="str">
        <x:v>Partial audit candidate; quantity, fit and performance remain unresolved.</x:v>
      </x:c>
      <x:c r="O14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1" s="4" t="n">
        <x:f>IF(OR(C1421="Ingredient candidate",C1421="Consumed input",C1421="Contained input",C1421="Transform input"),IF(F1421="T0",0,IF(F1421="T1",1,IF(F1421="T2",2,IF(F1421="T3",3,IF(F1421="T4",4,-1))))),-1)</x:f>
        <x:v>-1</x:v>
      </x:c>
      <x:c r="Q1421" s="4" t="n">
        <x:f>IF(AND(OR(C1421="Ingredient candidate",C1421="Consumed input",C1421="Contained input",C1421="Transform input"),P1421=-1),1,0)</x:f>
        <x:v>0</x:v>
      </x:c>
    </x:row>
    <x:row r="1422" ht="64" customHeight="1">
      <x:c r="A1422" s="4" t="str">
        <x:v>design.audit.proposal_audit_threaded_drive_screw.audit.in.1</x:v>
      </x:c>
      <x:c r="B1422" s="4" t="str">
        <x:v>design.audit.proposal_audit_threaded_drive_screw</x:v>
      </x:c>
      <x:c r="C1422" s="4" t="str">
        <x:v>Ingredient candidate</x:v>
      </x:c>
      <x:c r="D1422" s="4" t="str">
        <x:v>author.metallurgy.steel_stock</x:v>
      </x:c>
      <x:c r="E1422" s="4" t="str">
        <x:f>IFERROR(INDEX('Items'!$B$6:$B$1005,MATCH(D1422,'Items'!$A$6:$A$1005,0)),"MISSING ID")</x:f>
        <x:v>Steel stock</x:v>
      </x:c>
      <x:c r="F1422" s="4" t="str">
        <x:f>IFERROR(INDEX('Items'!$C$6:$C$1005,MATCH(D1422,'Items'!$A$6:$A$1005,0)),"MISSING ID")</x:f>
        <x:v>T2</x:v>
      </x:c>
      <x:c r="G1422" s="4" t="str">
        <x:f>IFERROR(INDEX('Items'!$D$6:$D$1005,MATCH(D1422,'Items'!$A$6:$A$1005,0)),"MISSING ID")</x:f>
        <x:v>Manufactured stock</x:v>
      </x:c>
      <x:c r="H1422" s="4" t="str">
        <x:f>IFERROR(INDEX('Items'!$X$6:$X$1005,MATCH(D1422,'Items'!$A$6:$A$1005,0)),"MISSING ID")</x:f>
        <x:v>Processed material</x:v>
      </x:c>
      <x:c r="I1422" s="4"/>
      <x:c r="J1422" s="4" t="str">
        <x:v>Unspecified</x:v>
      </x:c>
      <x:c r="K1422" s="4" t="str">
        <x:f>IFERROR(INDEX('Crafting recipes'!$D$6:$D$1005,MATCH(B1422,'Crafting recipes'!$A$6:$A$1005,0)),"MISSING ID")</x:f>
        <x:v>Proposal</x:v>
      </x:c>
      <x:c r="L1422" s="4" t="str">
        <x:f>IFERROR(INDEX('Items'!$AD$6:$AD$1005,MATCH(D1422,'Items'!$A$6:$A$1005,0)),"MISSING ID")</x:f>
        <x:v>Author direction</x:v>
      </x:c>
      <x:c r="M1422" s="4" t="str">
        <x:f>IFERROR(INDEX('Crafting recipes'!$E$6:$E$1005,MATCH(B1422,'Crafting recipes'!$A$6:$A$1005,0)),"MISSING ID")</x:f>
        <x:v>Partial proposal</x:v>
      </x:c>
      <x:c r="N1422" s="4" t="str">
        <x:v>Partial audit candidate; quantity, fit and performance remain unresolved.</x:v>
      </x:c>
      <x:c r="O14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2" s="4" t="n">
        <x:f>IF(OR(C1422="Ingredient candidate",C1422="Consumed input",C1422="Contained input",C1422="Transform input"),IF(F1422="T0",0,IF(F1422="T1",1,IF(F1422="T2",2,IF(F1422="T3",3,IF(F1422="T4",4,-1))))),-1)</x:f>
        <x:v>2</x:v>
      </x:c>
      <x:c r="Q1422" s="4" t="n">
        <x:f>IF(AND(OR(C1422="Ingredient candidate",C1422="Consumed input",C1422="Contained input",C1422="Transform input"),P1422=-1),1,0)</x:f>
        <x:v>0</x:v>
      </x:c>
    </x:row>
    <x:row r="1423" ht="64" customHeight="1">
      <x:c r="A1423" s="4" t="str">
        <x:v>design.audit.proposal_audit_threaded_drive_screw.audit.out</x:v>
      </x:c>
      <x:c r="B1423" s="4" t="str">
        <x:v>design.audit.proposal_audit_threaded_drive_screw</x:v>
      </x:c>
      <x:c r="C1423" s="4" t="str">
        <x:v>Output</x:v>
      </x:c>
      <x:c r="D1423" s="4" t="str">
        <x:v>proposal.audit.threaded_drive_screw</x:v>
      </x:c>
      <x:c r="E1423" s="4" t="str">
        <x:f>IFERROR(INDEX('Items'!$B$6:$B$1005,MATCH(D1423,'Items'!$A$6:$A$1005,0)),"MISSING ID")</x:f>
        <x:v>Threaded drive screw</x:v>
      </x:c>
      <x:c r="F1423" s="4" t="str">
        <x:f>IFERROR(INDEX('Items'!$C$6:$C$1005,MATCH(D1423,'Items'!$A$6:$A$1005,0)),"MISSING ID")</x:f>
        <x:v>T3</x:v>
      </x:c>
      <x:c r="G1423" s="4" t="str">
        <x:f>IFERROR(INDEX('Items'!$D$6:$D$1005,MATCH(D1423,'Items'!$A$6:$A$1005,0)),"MISSING ID")</x:f>
        <x:v>Crafting components</x:v>
      </x:c>
      <x:c r="H1423" s="4" t="str">
        <x:f>IFERROR(INDEX('Items'!$X$6:$X$1005,MATCH(D1423,'Items'!$A$6:$A$1005,0)),"MISSING ID")</x:f>
        <x:v>Machine part</x:v>
      </x:c>
      <x:c r="I1423" s="4"/>
      <x:c r="J1423" s="4" t="str">
        <x:v>Unspecified</x:v>
      </x:c>
      <x:c r="K1423" s="4" t="str">
        <x:f>IFERROR(INDEX('Crafting recipes'!$D$6:$D$1005,MATCH(B1423,'Crafting recipes'!$A$6:$A$1005,0)),"MISSING ID")</x:f>
        <x:v>Proposal</x:v>
      </x:c>
      <x:c r="L1423" s="4" t="str">
        <x:f>IFERROR(INDEX('Items'!$AD$6:$AD$1005,MATCH(D1423,'Items'!$A$6:$A$1005,0)),"MISSING ID")</x:f>
        <x:v>Proposal</x:v>
      </x:c>
      <x:c r="M1423" s="4" t="str">
        <x:f>IFERROR(INDEX('Crafting recipes'!$E$6:$E$1005,MATCH(B1423,'Crafting recipes'!$A$6:$A$1005,0)),"MISSING ID")</x:f>
        <x:v>Partial proposal</x:v>
      </x:c>
      <x:c r="N1423" s="4" t="str">
        <x:v>Partial audit candidate; quantity, fit and performance remain unresolved.</x:v>
      </x:c>
      <x:c r="O14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3" s="4" t="n">
        <x:f>IF(OR(C1423="Ingredient candidate",C1423="Consumed input",C1423="Contained input",C1423="Transform input"),IF(F1423="T0",0,IF(F1423="T1",1,IF(F1423="T2",2,IF(F1423="T3",3,IF(F1423="T4",4,-1))))),-1)</x:f>
        <x:v>-1</x:v>
      </x:c>
      <x:c r="Q1423" s="4" t="n">
        <x:f>IF(AND(OR(C1423="Ingredient candidate",C1423="Consumed input",C1423="Contained input",C1423="Transform input"),P1423=-1),1,0)</x:f>
        <x:v>0</x:v>
      </x:c>
    </x:row>
    <x:row r="1424" ht="64" customHeight="1">
      <x:c r="A1424" s="4" t="str">
        <x:v>design.audit.proposal_audit_hand_drill_spindle.audit.in.1</x:v>
      </x:c>
      <x:c r="B1424" s="4" t="str">
        <x:v>design.audit.proposal_audit_hand_drill_spindle</x:v>
      </x:c>
      <x:c r="C1424" s="4" t="str">
        <x:v>Ingredient candidate</x:v>
      </x:c>
      <x:c r="D1424" s="4" t="str">
        <x:v>author.metallurgy.steel_stock</x:v>
      </x:c>
      <x:c r="E1424" s="4" t="str">
        <x:f>IFERROR(INDEX('Items'!$B$6:$B$1005,MATCH(D1424,'Items'!$A$6:$A$1005,0)),"MISSING ID")</x:f>
        <x:v>Steel stock</x:v>
      </x:c>
      <x:c r="F1424" s="4" t="str">
        <x:f>IFERROR(INDEX('Items'!$C$6:$C$1005,MATCH(D1424,'Items'!$A$6:$A$1005,0)),"MISSING ID")</x:f>
        <x:v>T2</x:v>
      </x:c>
      <x:c r="G1424" s="4" t="str">
        <x:f>IFERROR(INDEX('Items'!$D$6:$D$1005,MATCH(D1424,'Items'!$A$6:$A$1005,0)),"MISSING ID")</x:f>
        <x:v>Manufactured stock</x:v>
      </x:c>
      <x:c r="H1424" s="4" t="str">
        <x:f>IFERROR(INDEX('Items'!$X$6:$X$1005,MATCH(D1424,'Items'!$A$6:$A$1005,0)),"MISSING ID")</x:f>
        <x:v>Processed material</x:v>
      </x:c>
      <x:c r="I1424" s="4"/>
      <x:c r="J1424" s="4" t="str">
        <x:v>Unspecified</x:v>
      </x:c>
      <x:c r="K1424" s="4" t="str">
        <x:f>IFERROR(INDEX('Crafting recipes'!$D$6:$D$1005,MATCH(B1424,'Crafting recipes'!$A$6:$A$1005,0)),"MISSING ID")</x:f>
        <x:v>Proposal</x:v>
      </x:c>
      <x:c r="L1424" s="4" t="str">
        <x:f>IFERROR(INDEX('Items'!$AD$6:$AD$1005,MATCH(D1424,'Items'!$A$6:$A$1005,0)),"MISSING ID")</x:f>
        <x:v>Author direction</x:v>
      </x:c>
      <x:c r="M1424" s="4" t="str">
        <x:f>IFERROR(INDEX('Crafting recipes'!$E$6:$E$1005,MATCH(B1424,'Crafting recipes'!$A$6:$A$1005,0)),"MISSING ID")</x:f>
        <x:v>Partial proposal</x:v>
      </x:c>
      <x:c r="N1424" s="4" t="str">
        <x:v>Partial audit candidate; quantity, fit and performance remain unresolved.</x:v>
      </x:c>
      <x:c r="O14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4" s="4" t="n">
        <x:f>IF(OR(C1424="Ingredient candidate",C1424="Consumed input",C1424="Contained input",C1424="Transform input"),IF(F1424="T0",0,IF(F1424="T1",1,IF(F1424="T2",2,IF(F1424="T3",3,IF(F1424="T4",4,-1))))),-1)</x:f>
        <x:v>2</x:v>
      </x:c>
      <x:c r="Q1424" s="4" t="n">
        <x:f>IF(AND(OR(C1424="Ingredient candidate",C1424="Consumed input",C1424="Contained input",C1424="Transform input"),P1424=-1),1,0)</x:f>
        <x:v>0</x:v>
      </x:c>
    </x:row>
    <x:row r="1425" ht="64" customHeight="1">
      <x:c r="A1425" s="4" t="str">
        <x:v>design.audit.proposal_audit_hand_drill_spindle.audit.out</x:v>
      </x:c>
      <x:c r="B1425" s="4" t="str">
        <x:v>design.audit.proposal_audit_hand_drill_spindle</x:v>
      </x:c>
      <x:c r="C1425" s="4" t="str">
        <x:v>Output</x:v>
      </x:c>
      <x:c r="D1425" s="4" t="str">
        <x:v>proposal.audit.hand_drill_spindle</x:v>
      </x:c>
      <x:c r="E1425" s="4" t="str">
        <x:f>IFERROR(INDEX('Items'!$B$6:$B$1005,MATCH(D1425,'Items'!$A$6:$A$1005,0)),"MISSING ID")</x:f>
        <x:v>Hand-drill spindle</x:v>
      </x:c>
      <x:c r="F1425" s="4" t="str">
        <x:f>IFERROR(INDEX('Items'!$C$6:$C$1005,MATCH(D1425,'Items'!$A$6:$A$1005,0)),"MISSING ID")</x:f>
        <x:v>T3</x:v>
      </x:c>
      <x:c r="G1425" s="4" t="str">
        <x:f>IFERROR(INDEX('Items'!$D$6:$D$1005,MATCH(D1425,'Items'!$A$6:$A$1005,0)),"MISSING ID")</x:f>
        <x:v>Crafting components</x:v>
      </x:c>
      <x:c r="H1425" s="4" t="str">
        <x:f>IFERROR(INDEX('Items'!$X$6:$X$1005,MATCH(D1425,'Items'!$A$6:$A$1005,0)),"MISSING ID")</x:f>
        <x:v>Machine part</x:v>
      </x:c>
      <x:c r="I1425" s="4"/>
      <x:c r="J1425" s="4" t="str">
        <x:v>Unspecified</x:v>
      </x:c>
      <x:c r="K1425" s="4" t="str">
        <x:f>IFERROR(INDEX('Crafting recipes'!$D$6:$D$1005,MATCH(B1425,'Crafting recipes'!$A$6:$A$1005,0)),"MISSING ID")</x:f>
        <x:v>Proposal</x:v>
      </x:c>
      <x:c r="L1425" s="4" t="str">
        <x:f>IFERROR(INDEX('Items'!$AD$6:$AD$1005,MATCH(D1425,'Items'!$A$6:$A$1005,0)),"MISSING ID")</x:f>
        <x:v>Proposal</x:v>
      </x:c>
      <x:c r="M1425" s="4" t="str">
        <x:f>IFERROR(INDEX('Crafting recipes'!$E$6:$E$1005,MATCH(B1425,'Crafting recipes'!$A$6:$A$1005,0)),"MISSING ID")</x:f>
        <x:v>Partial proposal</x:v>
      </x:c>
      <x:c r="N1425" s="4" t="str">
        <x:v>Partial audit candidate; quantity, fit and performance remain unresolved.</x:v>
      </x:c>
      <x:c r="O14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5" s="4" t="n">
        <x:f>IF(OR(C1425="Ingredient candidate",C1425="Consumed input",C1425="Contained input",C1425="Transform input"),IF(F1425="T0",0,IF(F1425="T1",1,IF(F1425="T2",2,IF(F1425="T3",3,IF(F1425="T4",4,-1))))),-1)</x:f>
        <x:v>-1</x:v>
      </x:c>
      <x:c r="Q1425" s="4" t="n">
        <x:f>IF(AND(OR(C1425="Ingredient candidate",C1425="Consumed input",C1425="Contained input",C1425="Transform input"),P1425=-1),1,0)</x:f>
        <x:v>0</x:v>
      </x:c>
    </x:row>
    <x:row r="1426" ht="64" customHeight="1">
      <x:c r="A1426" s="4" t="str">
        <x:v>design.audit.proposal_audit_replaceable_drill_bit_insert.audit.in.1</x:v>
      </x:c>
      <x:c r="B1426" s="4" t="str">
        <x:v>design.audit.proposal_audit_replaceable_drill_bit_insert</x:v>
      </x:c>
      <x:c r="C1426" s="4" t="str">
        <x:v>Ingredient candidate</x:v>
      </x:c>
      <x:c r="D1426" s="4" t="str">
        <x:v>author.metallurgy.steel_stock</x:v>
      </x:c>
      <x:c r="E1426" s="4" t="str">
        <x:f>IFERROR(INDEX('Items'!$B$6:$B$1005,MATCH(D1426,'Items'!$A$6:$A$1005,0)),"MISSING ID")</x:f>
        <x:v>Steel stock</x:v>
      </x:c>
      <x:c r="F1426" s="4" t="str">
        <x:f>IFERROR(INDEX('Items'!$C$6:$C$1005,MATCH(D1426,'Items'!$A$6:$A$1005,0)),"MISSING ID")</x:f>
        <x:v>T2</x:v>
      </x:c>
      <x:c r="G1426" s="4" t="str">
        <x:f>IFERROR(INDEX('Items'!$D$6:$D$1005,MATCH(D1426,'Items'!$A$6:$A$1005,0)),"MISSING ID")</x:f>
        <x:v>Manufactured stock</x:v>
      </x:c>
      <x:c r="H1426" s="4" t="str">
        <x:f>IFERROR(INDEX('Items'!$X$6:$X$1005,MATCH(D1426,'Items'!$A$6:$A$1005,0)),"MISSING ID")</x:f>
        <x:v>Processed material</x:v>
      </x:c>
      <x:c r="I1426" s="4"/>
      <x:c r="J1426" s="4" t="str">
        <x:v>Unspecified</x:v>
      </x:c>
      <x:c r="K1426" s="4" t="str">
        <x:f>IFERROR(INDEX('Crafting recipes'!$D$6:$D$1005,MATCH(B1426,'Crafting recipes'!$A$6:$A$1005,0)),"MISSING ID")</x:f>
        <x:v>Proposal</x:v>
      </x:c>
      <x:c r="L1426" s="4" t="str">
        <x:f>IFERROR(INDEX('Items'!$AD$6:$AD$1005,MATCH(D1426,'Items'!$A$6:$A$1005,0)),"MISSING ID")</x:f>
        <x:v>Author direction</x:v>
      </x:c>
      <x:c r="M1426" s="4" t="str">
        <x:f>IFERROR(INDEX('Crafting recipes'!$E$6:$E$1005,MATCH(B1426,'Crafting recipes'!$A$6:$A$1005,0)),"MISSING ID")</x:f>
        <x:v>Partial proposal</x:v>
      </x:c>
      <x:c r="N1426" s="4" t="str">
        <x:v>Partial audit candidate; quantity, fit and performance remain unresolved.</x:v>
      </x:c>
      <x:c r="O14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6" s="4" t="n">
        <x:f>IF(OR(C1426="Ingredient candidate",C1426="Consumed input",C1426="Contained input",C1426="Transform input"),IF(F1426="T0",0,IF(F1426="T1",1,IF(F1426="T2",2,IF(F1426="T3",3,IF(F1426="T4",4,-1))))),-1)</x:f>
        <x:v>2</x:v>
      </x:c>
      <x:c r="Q1426" s="4" t="n">
        <x:f>IF(AND(OR(C1426="Ingredient candidate",C1426="Consumed input",C1426="Contained input",C1426="Transform input"),P1426=-1),1,0)</x:f>
        <x:v>0</x:v>
      </x:c>
    </x:row>
    <x:row r="1427" ht="64" customHeight="1">
      <x:c r="A1427" s="4" t="str">
        <x:v>design.audit.proposal_audit_replaceable_drill_bit_insert.audit.out</x:v>
      </x:c>
      <x:c r="B1427" s="4" t="str">
        <x:v>design.audit.proposal_audit_replaceable_drill_bit_insert</x:v>
      </x:c>
      <x:c r="C1427" s="4" t="str">
        <x:v>Output</x:v>
      </x:c>
      <x:c r="D1427" s="4" t="str">
        <x:v>proposal.audit.replaceable_drill_bit_insert</x:v>
      </x:c>
      <x:c r="E1427" s="4" t="str">
        <x:f>IFERROR(INDEX('Items'!$B$6:$B$1005,MATCH(D1427,'Items'!$A$6:$A$1005,0)),"MISSING ID")</x:f>
        <x:v>Replaceable drill-bit insert</x:v>
      </x:c>
      <x:c r="F1427" s="4" t="str">
        <x:f>IFERROR(INDEX('Items'!$C$6:$C$1005,MATCH(D1427,'Items'!$A$6:$A$1005,0)),"MISSING ID")</x:f>
        <x:v>T3</x:v>
      </x:c>
      <x:c r="G1427" s="4" t="str">
        <x:f>IFERROR(INDEX('Items'!$D$6:$D$1005,MATCH(D1427,'Items'!$A$6:$A$1005,0)),"MISSING ID")</x:f>
        <x:v>Crafting components</x:v>
      </x:c>
      <x:c r="H1427" s="4" t="str">
        <x:f>IFERROR(INDEX('Items'!$X$6:$X$1005,MATCH(D1427,'Items'!$A$6:$A$1005,0)),"MISSING ID")</x:f>
        <x:v>Machine part</x:v>
      </x:c>
      <x:c r="I1427" s="4"/>
      <x:c r="J1427" s="4" t="str">
        <x:v>Unspecified</x:v>
      </x:c>
      <x:c r="K1427" s="4" t="str">
        <x:f>IFERROR(INDEX('Crafting recipes'!$D$6:$D$1005,MATCH(B1427,'Crafting recipes'!$A$6:$A$1005,0)),"MISSING ID")</x:f>
        <x:v>Proposal</x:v>
      </x:c>
      <x:c r="L1427" s="4" t="str">
        <x:f>IFERROR(INDEX('Items'!$AD$6:$AD$1005,MATCH(D1427,'Items'!$A$6:$A$1005,0)),"MISSING ID")</x:f>
        <x:v>Proposal</x:v>
      </x:c>
      <x:c r="M1427" s="4" t="str">
        <x:f>IFERROR(INDEX('Crafting recipes'!$E$6:$E$1005,MATCH(B1427,'Crafting recipes'!$A$6:$A$1005,0)),"MISSING ID")</x:f>
        <x:v>Partial proposal</x:v>
      </x:c>
      <x:c r="N1427" s="4" t="str">
        <x:v>Partial audit candidate; quantity, fit and performance remain unresolved.</x:v>
      </x:c>
      <x:c r="O14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7" s="4" t="n">
        <x:f>IF(OR(C1427="Ingredient candidate",C1427="Consumed input",C1427="Contained input",C1427="Transform input"),IF(F1427="T0",0,IF(F1427="T1",1,IF(F1427="T2",2,IF(F1427="T3",3,IF(F1427="T4",4,-1))))),-1)</x:f>
        <x:v>-1</x:v>
      </x:c>
      <x:c r="Q1427" s="4" t="n">
        <x:f>IF(AND(OR(C1427="Ingredient candidate",C1427="Consumed input",C1427="Contained input",C1427="Transform input"),P1427=-1),1,0)</x:f>
        <x:v>0</x:v>
      </x:c>
    </x:row>
    <x:row r="1428" ht="64" customHeight="1">
      <x:c r="A1428" s="4" t="str">
        <x:v>design.audit.proposal_audit_compact_latch_and_trigger_pack.audit.in.1</x:v>
      </x:c>
      <x:c r="B1428" s="4" t="str">
        <x:v>design.audit.proposal_audit_compact_latch_and_trigger_pack</x:v>
      </x:c>
      <x:c r="C1428" s="4" t="str">
        <x:v>Ingredient candidate</x:v>
      </x:c>
      <x:c r="D1428" s="4" t="str">
        <x:v>proposal.branch.spring_steel</x:v>
      </x:c>
      <x:c r="E1428" s="4" t="str">
        <x:f>IFERROR(INDEX('Items'!$B$6:$B$1005,MATCH(D1428,'Items'!$A$6:$A$1005,0)),"MISSING ID")</x:f>
        <x:v>Spring-grade steel stock</x:v>
      </x:c>
      <x:c r="F1428" s="4" t="str">
        <x:f>IFERROR(INDEX('Items'!$C$6:$C$1005,MATCH(D1428,'Items'!$A$6:$A$1005,0)),"MISSING ID")</x:f>
        <x:v>T3</x:v>
      </x:c>
      <x:c r="G1428" s="4" t="str">
        <x:f>IFERROR(INDEX('Items'!$D$6:$D$1005,MATCH(D1428,'Items'!$A$6:$A$1005,0)),"MISSING ID")</x:f>
        <x:v>Manufactured stock</x:v>
      </x:c>
      <x:c r="H1428" s="4" t="str">
        <x:f>IFERROR(INDEX('Items'!$X$6:$X$1005,MATCH(D1428,'Items'!$A$6:$A$1005,0)),"MISSING ID")</x:f>
        <x:v>Processed material</x:v>
      </x:c>
      <x:c r="I1428" s="4"/>
      <x:c r="J1428" s="4" t="str">
        <x:v>Unspecified</x:v>
      </x:c>
      <x:c r="K1428" s="4" t="str">
        <x:f>IFERROR(INDEX('Crafting recipes'!$D$6:$D$1005,MATCH(B1428,'Crafting recipes'!$A$6:$A$1005,0)),"MISSING ID")</x:f>
        <x:v>Proposal</x:v>
      </x:c>
      <x:c r="L1428" s="4" t="str">
        <x:f>IFERROR(INDEX('Items'!$AD$6:$AD$1005,MATCH(D1428,'Items'!$A$6:$A$1005,0)),"MISSING ID")</x:f>
        <x:v>Proposal</x:v>
      </x:c>
      <x:c r="M1428" s="4" t="str">
        <x:f>IFERROR(INDEX('Crafting recipes'!$E$6:$E$1005,MATCH(B1428,'Crafting recipes'!$A$6:$A$1005,0)),"MISSING ID")</x:f>
        <x:v>Partial proposal</x:v>
      </x:c>
      <x:c r="N1428" s="4" t="str">
        <x:v>Partial audit candidate; quantity, fit and performance remain unresolved.</x:v>
      </x:c>
      <x:c r="O14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8" s="4" t="n">
        <x:f>IF(OR(C1428="Ingredient candidate",C1428="Consumed input",C1428="Contained input",C1428="Transform input"),IF(F1428="T0",0,IF(F1428="T1",1,IF(F1428="T2",2,IF(F1428="T3",3,IF(F1428="T4",4,-1))))),-1)</x:f>
        <x:v>3</x:v>
      </x:c>
      <x:c r="Q1428" s="4" t="n">
        <x:f>IF(AND(OR(C1428="Ingredient candidate",C1428="Consumed input",C1428="Contained input",C1428="Transform input"),P1428=-1),1,0)</x:f>
        <x:v>0</x:v>
      </x:c>
    </x:row>
    <x:row r="1429" ht="64" customHeight="1">
      <x:c r="A1429" s="4" t="str">
        <x:v>design.audit.proposal_audit_compact_latch_and_trigger_pack.audit.in.2</x:v>
      </x:c>
      <x:c r="B1429" s="4" t="str">
        <x:v>design.audit.proposal_audit_compact_latch_and_trigger_pack</x:v>
      </x:c>
      <x:c r="C1429" s="4" t="str">
        <x:v>Ingredient candidate</x:v>
      </x:c>
      <x:c r="D1429" s="4" t="str">
        <x:v>proposal.natural.iron_stock</x:v>
      </x:c>
      <x:c r="E1429" s="4" t="str">
        <x:f>IFERROR(INDEX('Items'!$B$6:$B$1005,MATCH(D1429,'Items'!$A$6:$A$1005,0)),"MISSING ID")</x:f>
        <x:v>Worked iron stock</x:v>
      </x:c>
      <x:c r="F1429" s="4" t="str">
        <x:f>IFERROR(INDEX('Items'!$C$6:$C$1005,MATCH(D1429,'Items'!$A$6:$A$1005,0)),"MISSING ID")</x:f>
        <x:v>T2</x:v>
      </x:c>
      <x:c r="G1429" s="4" t="str">
        <x:f>IFERROR(INDEX('Items'!$D$6:$D$1005,MATCH(D1429,'Items'!$A$6:$A$1005,0)),"MISSING ID")</x:f>
        <x:v>Manufactured stock</x:v>
      </x:c>
      <x:c r="H1429" s="4" t="str">
        <x:f>IFERROR(INDEX('Items'!$X$6:$X$1005,MATCH(D1429,'Items'!$A$6:$A$1005,0)),"MISSING ID")</x:f>
        <x:v>Processed material</x:v>
      </x:c>
      <x:c r="I1429" s="4"/>
      <x:c r="J1429" s="4" t="str">
        <x:v>Unspecified</x:v>
      </x:c>
      <x:c r="K1429" s="4" t="str">
        <x:f>IFERROR(INDEX('Crafting recipes'!$D$6:$D$1005,MATCH(B1429,'Crafting recipes'!$A$6:$A$1005,0)),"MISSING ID")</x:f>
        <x:v>Proposal</x:v>
      </x:c>
      <x:c r="L1429" s="4" t="str">
        <x:f>IFERROR(INDEX('Items'!$AD$6:$AD$1005,MATCH(D1429,'Items'!$A$6:$A$1005,0)),"MISSING ID")</x:f>
        <x:v>Proposal</x:v>
      </x:c>
      <x:c r="M1429" s="4" t="str">
        <x:f>IFERROR(INDEX('Crafting recipes'!$E$6:$E$1005,MATCH(B1429,'Crafting recipes'!$A$6:$A$1005,0)),"MISSING ID")</x:f>
        <x:v>Partial proposal</x:v>
      </x:c>
      <x:c r="N1429" s="4" t="str">
        <x:v>Partial audit candidate; quantity, fit and performance remain unresolved.</x:v>
      </x:c>
      <x:c r="O14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9" s="4" t="n">
        <x:f>IF(OR(C1429="Ingredient candidate",C1429="Consumed input",C1429="Contained input",C1429="Transform input"),IF(F1429="T0",0,IF(F1429="T1",1,IF(F1429="T2",2,IF(F1429="T3",3,IF(F1429="T4",4,-1))))),-1)</x:f>
        <x:v>2</x:v>
      </x:c>
      <x:c r="Q1429" s="4" t="n">
        <x:f>IF(AND(OR(C1429="Ingredient candidate",C1429="Consumed input",C1429="Contained input",C1429="Transform input"),P1429=-1),1,0)</x:f>
        <x:v>0</x:v>
      </x:c>
    </x:row>
    <x:row r="1430" ht="64" customHeight="1">
      <x:c r="A1430" s="4" t="str">
        <x:v>design.audit.proposal_audit_compact_latch_and_trigger_pack.audit.out</x:v>
      </x:c>
      <x:c r="B1430" s="4" t="str">
        <x:v>design.audit.proposal_audit_compact_latch_and_trigger_pack</x:v>
      </x:c>
      <x:c r="C1430" s="4" t="str">
        <x:v>Output</x:v>
      </x:c>
      <x:c r="D1430" s="4" t="str">
        <x:v>proposal.audit.compact_latch_and_trigger_pack</x:v>
      </x:c>
      <x:c r="E1430" s="4" t="str">
        <x:f>IFERROR(INDEX('Items'!$B$6:$B$1005,MATCH(D1430,'Items'!$A$6:$A$1005,0)),"MISSING ID")</x:f>
        <x:v>Compact latch and trigger pack</x:v>
      </x:c>
      <x:c r="F1430" s="4" t="str">
        <x:f>IFERROR(INDEX('Items'!$C$6:$C$1005,MATCH(D1430,'Items'!$A$6:$A$1005,0)),"MISSING ID")</x:f>
        <x:v>T4</x:v>
      </x:c>
      <x:c r="G1430" s="4" t="str">
        <x:f>IFERROR(INDEX('Items'!$D$6:$D$1005,MATCH(D1430,'Items'!$A$6:$A$1005,0)),"MISSING ID")</x:f>
        <x:v>Crafting components</x:v>
      </x:c>
      <x:c r="H1430" s="4" t="str">
        <x:f>IFERROR(INDEX('Items'!$X$6:$X$1005,MATCH(D1430,'Items'!$A$6:$A$1005,0)),"MISSING ID")</x:f>
        <x:v>Crafting component</x:v>
      </x:c>
      <x:c r="I1430" s="4"/>
      <x:c r="J1430" s="4" t="str">
        <x:v>Unspecified</x:v>
      </x:c>
      <x:c r="K1430" s="4" t="str">
        <x:f>IFERROR(INDEX('Crafting recipes'!$D$6:$D$1005,MATCH(B1430,'Crafting recipes'!$A$6:$A$1005,0)),"MISSING ID")</x:f>
        <x:v>Proposal</x:v>
      </x:c>
      <x:c r="L1430" s="4" t="str">
        <x:f>IFERROR(INDEX('Items'!$AD$6:$AD$1005,MATCH(D1430,'Items'!$A$6:$A$1005,0)),"MISSING ID")</x:f>
        <x:v>Proposal</x:v>
      </x:c>
      <x:c r="M1430" s="4" t="str">
        <x:f>IFERROR(INDEX('Crafting recipes'!$E$6:$E$1005,MATCH(B1430,'Crafting recipes'!$A$6:$A$1005,0)),"MISSING ID")</x:f>
        <x:v>Partial proposal</x:v>
      </x:c>
      <x:c r="N1430" s="4" t="str">
        <x:v>Partial audit candidate; quantity, fit and performance remain unresolved.</x:v>
      </x:c>
      <x:c r="O14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0" s="4" t="n">
        <x:f>IF(OR(C1430="Ingredient candidate",C1430="Consumed input",C1430="Contained input",C1430="Transform input"),IF(F1430="T0",0,IF(F1430="T1",1,IF(F1430="T2",2,IF(F1430="T3",3,IF(F1430="T4",4,-1))))),-1)</x:f>
        <x:v>-1</x:v>
      </x:c>
      <x:c r="Q1430" s="4" t="n">
        <x:f>IF(AND(OR(C1430="Ingredient candidate",C1430="Consumed input",C1430="Contained input",C1430="Transform input"),P1430=-1),1,0)</x:f>
        <x:v>0</x:v>
      </x:c>
    </x:row>
    <x:row r="1431" ht="64" customHeight="1">
      <x:c r="A1431" s="4" t="str">
        <x:v>design.audit.proposal_audit_valve_poppet_blank.audit.in.1</x:v>
      </x:c>
      <x:c r="B1431" s="4" t="str">
        <x:v>design.audit.proposal_audit_valve_poppet_blank</x:v>
      </x:c>
      <x:c r="C1431" s="4" t="str">
        <x:v>Ingredient candidate</x:v>
      </x:c>
      <x:c r="D1431" s="4" t="str">
        <x:v>author.metallurgy.steel_stock</x:v>
      </x:c>
      <x:c r="E1431" s="4" t="str">
        <x:f>IFERROR(INDEX('Items'!$B$6:$B$1005,MATCH(D1431,'Items'!$A$6:$A$1005,0)),"MISSING ID")</x:f>
        <x:v>Steel stock</x:v>
      </x:c>
      <x:c r="F1431" s="4" t="str">
        <x:f>IFERROR(INDEX('Items'!$C$6:$C$1005,MATCH(D1431,'Items'!$A$6:$A$1005,0)),"MISSING ID")</x:f>
        <x:v>T2</x:v>
      </x:c>
      <x:c r="G1431" s="4" t="str">
        <x:f>IFERROR(INDEX('Items'!$D$6:$D$1005,MATCH(D1431,'Items'!$A$6:$A$1005,0)),"MISSING ID")</x:f>
        <x:v>Manufactured stock</x:v>
      </x:c>
      <x:c r="H1431" s="4" t="str">
        <x:f>IFERROR(INDEX('Items'!$X$6:$X$1005,MATCH(D1431,'Items'!$A$6:$A$1005,0)),"MISSING ID")</x:f>
        <x:v>Processed material</x:v>
      </x:c>
      <x:c r="I1431" s="4"/>
      <x:c r="J1431" s="4" t="str">
        <x:v>Unspecified</x:v>
      </x:c>
      <x:c r="K1431" s="4" t="str">
        <x:f>IFERROR(INDEX('Crafting recipes'!$D$6:$D$1005,MATCH(B1431,'Crafting recipes'!$A$6:$A$1005,0)),"MISSING ID")</x:f>
        <x:v>Proposal</x:v>
      </x:c>
      <x:c r="L1431" s="4" t="str">
        <x:f>IFERROR(INDEX('Items'!$AD$6:$AD$1005,MATCH(D1431,'Items'!$A$6:$A$1005,0)),"MISSING ID")</x:f>
        <x:v>Author direction</x:v>
      </x:c>
      <x:c r="M1431" s="4" t="str">
        <x:f>IFERROR(INDEX('Crafting recipes'!$E$6:$E$1005,MATCH(B1431,'Crafting recipes'!$A$6:$A$1005,0)),"MISSING ID")</x:f>
        <x:v>Partial proposal</x:v>
      </x:c>
      <x:c r="N1431" s="4" t="str">
        <x:v>Partial audit candidate; quantity, fit and performance remain unresolved.</x:v>
      </x:c>
      <x:c r="O14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1" s="4" t="n">
        <x:f>IF(OR(C1431="Ingredient candidate",C1431="Consumed input",C1431="Contained input",C1431="Transform input"),IF(F1431="T0",0,IF(F1431="T1",1,IF(F1431="T2",2,IF(F1431="T3",3,IF(F1431="T4",4,-1))))),-1)</x:f>
        <x:v>2</x:v>
      </x:c>
      <x:c r="Q1431" s="4" t="n">
        <x:f>IF(AND(OR(C1431="Ingredient candidate",C1431="Consumed input",C1431="Contained input",C1431="Transform input"),P1431=-1),1,0)</x:f>
        <x:v>0</x:v>
      </x:c>
    </x:row>
    <x:row r="1432" ht="64" customHeight="1">
      <x:c r="A1432" s="4" t="str">
        <x:v>design.audit.proposal_audit_valve_poppet_blank.audit.out</x:v>
      </x:c>
      <x:c r="B1432" s="4" t="str">
        <x:v>design.audit.proposal_audit_valve_poppet_blank</x:v>
      </x:c>
      <x:c r="C1432" s="4" t="str">
        <x:v>Output</x:v>
      </x:c>
      <x:c r="D1432" s="4" t="str">
        <x:v>proposal.audit.valve_poppet_blank</x:v>
      </x:c>
      <x:c r="E1432" s="4" t="str">
        <x:f>IFERROR(INDEX('Items'!$B$6:$B$1005,MATCH(D1432,'Items'!$A$6:$A$1005,0)),"MISSING ID")</x:f>
        <x:v>Valve poppet blank</x:v>
      </x:c>
      <x:c r="F1432" s="4" t="str">
        <x:f>IFERROR(INDEX('Items'!$C$6:$C$1005,MATCH(D1432,'Items'!$A$6:$A$1005,0)),"MISSING ID")</x:f>
        <x:v>T3</x:v>
      </x:c>
      <x:c r="G1432" s="4" t="str">
        <x:f>IFERROR(INDEX('Items'!$D$6:$D$1005,MATCH(D1432,'Items'!$A$6:$A$1005,0)),"MISSING ID")</x:f>
        <x:v>Crafting components</x:v>
      </x:c>
      <x:c r="H1432" s="4" t="str">
        <x:f>IFERROR(INDEX('Items'!$X$6:$X$1005,MATCH(D1432,'Items'!$A$6:$A$1005,0)),"MISSING ID")</x:f>
        <x:v>Machine part</x:v>
      </x:c>
      <x:c r="I1432" s="4"/>
      <x:c r="J1432" s="4" t="str">
        <x:v>Unspecified</x:v>
      </x:c>
      <x:c r="K1432" s="4" t="str">
        <x:f>IFERROR(INDEX('Crafting recipes'!$D$6:$D$1005,MATCH(B1432,'Crafting recipes'!$A$6:$A$1005,0)),"MISSING ID")</x:f>
        <x:v>Proposal</x:v>
      </x:c>
      <x:c r="L1432" s="4" t="str">
        <x:f>IFERROR(INDEX('Items'!$AD$6:$AD$1005,MATCH(D1432,'Items'!$A$6:$A$1005,0)),"MISSING ID")</x:f>
        <x:v>Proposal</x:v>
      </x:c>
      <x:c r="M1432" s="4" t="str">
        <x:f>IFERROR(INDEX('Crafting recipes'!$E$6:$E$1005,MATCH(B1432,'Crafting recipes'!$A$6:$A$1005,0)),"MISSING ID")</x:f>
        <x:v>Partial proposal</x:v>
      </x:c>
      <x:c r="N1432" s="4" t="str">
        <x:v>Partial audit candidate; quantity, fit and performance remain unresolved.</x:v>
      </x:c>
      <x:c r="O14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2" s="4" t="n">
        <x:f>IF(OR(C1432="Ingredient candidate",C1432="Consumed input",C1432="Contained input",C1432="Transform input"),IF(F1432="T0",0,IF(F1432="T1",1,IF(F1432="T2",2,IF(F1432="T3",3,IF(F1432="T4",4,-1))))),-1)</x:f>
        <x:v>-1</x:v>
      </x:c>
      <x:c r="Q1432" s="4" t="n">
        <x:f>IF(AND(OR(C1432="Ingredient candidate",C1432="Consumed input",C1432="Contained input",C1432="Transform input"),P1432=-1),1,0)</x:f>
        <x:v>0</x:v>
      </x:c>
    </x:row>
    <x:row r="1433" ht="64" customHeight="1">
      <x:c r="A1433" s="4" t="str">
        <x:v>design.audit.proposal_audit_fitted_pressure_barrel_module.audit.in.1</x:v>
      </x:c>
      <x:c r="B1433" s="4" t="str">
        <x:v>design.audit.proposal_audit_fitted_pressure_barrel_module</x:v>
      </x:c>
      <x:c r="C1433" s="4" t="str">
        <x:v>Ingredient candidate</x:v>
      </x:c>
      <x:c r="D1433" s="4" t="str">
        <x:v>proposal.t3.precision_tube</x:v>
      </x:c>
      <x:c r="E1433" s="4" t="str">
        <x:f>IFERROR(INDEX('Items'!$B$6:$B$1005,MATCH(D1433,'Items'!$A$6:$A$1005,0)),"MISSING ID")</x:f>
        <x:v>Drawn steel tube stock</x:v>
      </x:c>
      <x:c r="F1433" s="4" t="str">
        <x:f>IFERROR(INDEX('Items'!$C$6:$C$1005,MATCH(D1433,'Items'!$A$6:$A$1005,0)),"MISSING ID")</x:f>
        <x:v>T3</x:v>
      </x:c>
      <x:c r="G1433" s="4" t="str">
        <x:f>IFERROR(INDEX('Items'!$D$6:$D$1005,MATCH(D1433,'Items'!$A$6:$A$1005,0)),"MISSING ID")</x:f>
        <x:v>Manufactured stock</x:v>
      </x:c>
      <x:c r="H1433" s="4" t="str">
        <x:f>IFERROR(INDEX('Items'!$X$6:$X$1005,MATCH(D1433,'Items'!$A$6:$A$1005,0)),"MISSING ID")</x:f>
        <x:v>Processed material</x:v>
      </x:c>
      <x:c r="I1433" s="4"/>
      <x:c r="J1433" s="4" t="str">
        <x:v>Unspecified</x:v>
      </x:c>
      <x:c r="K1433" s="4" t="str">
        <x:f>IFERROR(INDEX('Crafting recipes'!$D$6:$D$1005,MATCH(B1433,'Crafting recipes'!$A$6:$A$1005,0)),"MISSING ID")</x:f>
        <x:v>Proposal</x:v>
      </x:c>
      <x:c r="L1433" s="4" t="str">
        <x:f>IFERROR(INDEX('Items'!$AD$6:$AD$1005,MATCH(D1433,'Items'!$A$6:$A$1005,0)),"MISSING ID")</x:f>
        <x:v>Proposal</x:v>
      </x:c>
      <x:c r="M1433" s="4" t="str">
        <x:f>IFERROR(INDEX('Crafting recipes'!$E$6:$E$1005,MATCH(B1433,'Crafting recipes'!$A$6:$A$1005,0)),"MISSING ID")</x:f>
        <x:v>Partial proposal</x:v>
      </x:c>
      <x:c r="N1433" s="4" t="str">
        <x:v>Partial audit candidate; quantity, fit and performance remain unresolved.</x:v>
      </x:c>
      <x:c r="O14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3" s="4" t="n">
        <x:f>IF(OR(C1433="Ingredient candidate",C1433="Consumed input",C1433="Contained input",C1433="Transform input"),IF(F1433="T0",0,IF(F1433="T1",1,IF(F1433="T2",2,IF(F1433="T3",3,IF(F1433="T4",4,-1))))),-1)</x:f>
        <x:v>3</x:v>
      </x:c>
      <x:c r="Q1433" s="4" t="n">
        <x:f>IF(AND(OR(C1433="Ingredient candidate",C1433="Consumed input",C1433="Contained input",C1433="Transform input"),P1433=-1),1,0)</x:f>
        <x:v>0</x:v>
      </x:c>
    </x:row>
    <x:row r="1434" ht="64" customHeight="1">
      <x:c r="A1434" s="4" t="str">
        <x:v>design.audit.proposal_audit_fitted_pressure_barrel_module.audit.in.2</x:v>
      </x:c>
      <x:c r="B1434" s="4" t="str">
        <x:v>design.audit.proposal_audit_fitted_pressure_barrel_module</x:v>
      </x:c>
      <x:c r="C1434" s="4" t="str">
        <x:v>Ingredient candidate</x:v>
      </x:c>
      <x:c r="D1434" s="4" t="str">
        <x:v>proposal.branch.sealing_sheet</x:v>
      </x:c>
      <x:c r="E1434" s="4" t="str">
        <x:f>IFERROR(INDEX('Items'!$B$6:$B$1005,MATCH(D1434,'Items'!$A$6:$A$1005,0)),"MISSING ID")</x:f>
        <x:v>Reinforced sealing sheet</x:v>
      </x:c>
      <x:c r="F1434" s="4" t="str">
        <x:f>IFERROR(INDEX('Items'!$C$6:$C$1005,MATCH(D1434,'Items'!$A$6:$A$1005,0)),"MISSING ID")</x:f>
        <x:v>T3</x:v>
      </x:c>
      <x:c r="G1434" s="4" t="str">
        <x:f>IFERROR(INDEX('Items'!$D$6:$D$1005,MATCH(D1434,'Items'!$A$6:$A$1005,0)),"MISSING ID")</x:f>
        <x:v>Manufactured stock</x:v>
      </x:c>
      <x:c r="H1434" s="4" t="str">
        <x:f>IFERROR(INDEX('Items'!$X$6:$X$1005,MATCH(D1434,'Items'!$A$6:$A$1005,0)),"MISSING ID")</x:f>
        <x:v>Processed material</x:v>
      </x:c>
      <x:c r="I1434" s="4"/>
      <x:c r="J1434" s="4" t="str">
        <x:v>Unspecified</x:v>
      </x:c>
      <x:c r="K1434" s="4" t="str">
        <x:f>IFERROR(INDEX('Crafting recipes'!$D$6:$D$1005,MATCH(B1434,'Crafting recipes'!$A$6:$A$1005,0)),"MISSING ID")</x:f>
        <x:v>Proposal</x:v>
      </x:c>
      <x:c r="L1434" s="4" t="str">
        <x:f>IFERROR(INDEX('Items'!$AD$6:$AD$1005,MATCH(D1434,'Items'!$A$6:$A$1005,0)),"MISSING ID")</x:f>
        <x:v>Proposal</x:v>
      </x:c>
      <x:c r="M1434" s="4" t="str">
        <x:f>IFERROR(INDEX('Crafting recipes'!$E$6:$E$1005,MATCH(B1434,'Crafting recipes'!$A$6:$A$1005,0)),"MISSING ID")</x:f>
        <x:v>Partial proposal</x:v>
      </x:c>
      <x:c r="N1434" s="4" t="str">
        <x:v>Partial audit candidate; quantity, fit and performance remain unresolved.</x:v>
      </x:c>
      <x:c r="O14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4" s="4" t="n">
        <x:f>IF(OR(C1434="Ingredient candidate",C1434="Consumed input",C1434="Contained input",C1434="Transform input"),IF(F1434="T0",0,IF(F1434="T1",1,IF(F1434="T2",2,IF(F1434="T3",3,IF(F1434="T4",4,-1))))),-1)</x:f>
        <x:v>3</x:v>
      </x:c>
      <x:c r="Q1434" s="4" t="n">
        <x:f>IF(AND(OR(C1434="Ingredient candidate",C1434="Consumed input",C1434="Contained input",C1434="Transform input"),P1434=-1),1,0)</x:f>
        <x:v>0</x:v>
      </x:c>
    </x:row>
    <x:row r="1435" ht="64" customHeight="1">
      <x:c r="A1435" s="4" t="str">
        <x:v>design.audit.proposal_audit_fitted_pressure_barrel_module.audit.out</x:v>
      </x:c>
      <x:c r="B1435" s="4" t="str">
        <x:v>design.audit.proposal_audit_fitted_pressure_barrel_module</x:v>
      </x:c>
      <x:c r="C1435" s="4" t="str">
        <x:v>Output</x:v>
      </x:c>
      <x:c r="D1435" s="4" t="str">
        <x:v>proposal.audit.fitted_pressure_barrel_module</x:v>
      </x:c>
      <x:c r="E1435" s="4" t="str">
        <x:f>IFERROR(INDEX('Items'!$B$6:$B$1005,MATCH(D1435,'Items'!$A$6:$A$1005,0)),"MISSING ID")</x:f>
        <x:v>Fitted pressure-barrel module</x:v>
      </x:c>
      <x:c r="F1435" s="4" t="str">
        <x:f>IFERROR(INDEX('Items'!$C$6:$C$1005,MATCH(D1435,'Items'!$A$6:$A$1005,0)),"MISSING ID")</x:f>
        <x:v>T4</x:v>
      </x:c>
      <x:c r="G1435" s="4" t="str">
        <x:f>IFERROR(INDEX('Items'!$D$6:$D$1005,MATCH(D1435,'Items'!$A$6:$A$1005,0)),"MISSING ID")</x:f>
        <x:v>Crafting components</x:v>
      </x:c>
      <x:c r="H1435" s="4" t="str">
        <x:f>IFERROR(INDEX('Items'!$X$6:$X$1005,MATCH(D1435,'Items'!$A$6:$A$1005,0)),"MISSING ID")</x:f>
        <x:v>Crafting component</x:v>
      </x:c>
      <x:c r="I1435" s="4"/>
      <x:c r="J1435" s="4" t="str">
        <x:v>Unspecified</x:v>
      </x:c>
      <x:c r="K1435" s="4" t="str">
        <x:f>IFERROR(INDEX('Crafting recipes'!$D$6:$D$1005,MATCH(B1435,'Crafting recipes'!$A$6:$A$1005,0)),"MISSING ID")</x:f>
        <x:v>Proposal</x:v>
      </x:c>
      <x:c r="L1435" s="4" t="str">
        <x:f>IFERROR(INDEX('Items'!$AD$6:$AD$1005,MATCH(D1435,'Items'!$A$6:$A$1005,0)),"MISSING ID")</x:f>
        <x:v>Proposal</x:v>
      </x:c>
      <x:c r="M1435" s="4" t="str">
        <x:f>IFERROR(INDEX('Crafting recipes'!$E$6:$E$1005,MATCH(B1435,'Crafting recipes'!$A$6:$A$1005,0)),"MISSING ID")</x:f>
        <x:v>Partial proposal</x:v>
      </x:c>
      <x:c r="N1435" s="4" t="str">
        <x:v>Partial audit candidate; quantity, fit and performance remain unresolved.</x:v>
      </x:c>
      <x:c r="O14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5" s="4" t="n">
        <x:f>IF(OR(C1435="Ingredient candidate",C1435="Consumed input",C1435="Contained input",C1435="Transform input"),IF(F1435="T0",0,IF(F1435="T1",1,IF(F1435="T2",2,IF(F1435="T3",3,IF(F1435="T4",4,-1))))),-1)</x:f>
        <x:v>-1</x:v>
      </x:c>
      <x:c r="Q1435" s="4" t="n">
        <x:f>IF(AND(OR(C1435="Ingredient candidate",C1435="Consumed input",C1435="Contained input",C1435="Transform input"),P1435=-1),1,0)</x:f>
        <x:v>0</x:v>
      </x:c>
    </x:row>
    <x:row r="1436" ht="64" customHeight="1">
      <x:c r="A1436" s="4" t="str">
        <x:v>design.audit.proposal_audit_ceramic_backed_control_switch.audit.in.1</x:v>
      </x:c>
      <x:c r="B1436" s="4" t="str">
        <x:v>design.audit.proposal_audit_ceramic_backed_control_switch</x:v>
      </x:c>
      <x:c r="C1436" s="4" t="str">
        <x:v>Ingredient candidate</x:v>
      </x:c>
      <x:c r="D1436" s="4" t="str">
        <x:v>proposal.branch.refractory_ceramic</x:v>
      </x:c>
      <x:c r="E1436" s="4" t="str">
        <x:f>IFERROR(INDEX('Items'!$B$6:$B$1005,MATCH(D1436,'Items'!$A$6:$A$1005,0)),"MISSING ID")</x:f>
        <x:v>Refractory ceramic stock</x:v>
      </x:c>
      <x:c r="F1436" s="4" t="str">
        <x:f>IFERROR(INDEX('Items'!$C$6:$C$1005,MATCH(D1436,'Items'!$A$6:$A$1005,0)),"MISSING ID")</x:f>
        <x:v>T2</x:v>
      </x:c>
      <x:c r="G1436" s="4" t="str">
        <x:f>IFERROR(INDEX('Items'!$D$6:$D$1005,MATCH(D1436,'Items'!$A$6:$A$1005,0)),"MISSING ID")</x:f>
        <x:v>Manufactured stock</x:v>
      </x:c>
      <x:c r="H1436" s="4" t="str">
        <x:f>IFERROR(INDEX('Items'!$X$6:$X$1005,MATCH(D1436,'Items'!$A$6:$A$1005,0)),"MISSING ID")</x:f>
        <x:v>Processed material</x:v>
      </x:c>
      <x:c r="I1436" s="4"/>
      <x:c r="J1436" s="4" t="str">
        <x:v>Unspecified</x:v>
      </x:c>
      <x:c r="K1436" s="4" t="str">
        <x:f>IFERROR(INDEX('Crafting recipes'!$D$6:$D$1005,MATCH(B1436,'Crafting recipes'!$A$6:$A$1005,0)),"MISSING ID")</x:f>
        <x:v>Proposal</x:v>
      </x:c>
      <x:c r="L1436" s="4" t="str">
        <x:f>IFERROR(INDEX('Items'!$AD$6:$AD$1005,MATCH(D1436,'Items'!$A$6:$A$1005,0)),"MISSING ID")</x:f>
        <x:v>Proposal</x:v>
      </x:c>
      <x:c r="M1436" s="4" t="str">
        <x:f>IFERROR(INDEX('Crafting recipes'!$E$6:$E$1005,MATCH(B1436,'Crafting recipes'!$A$6:$A$1005,0)),"MISSING ID")</x:f>
        <x:v>Partial proposal</x:v>
      </x:c>
      <x:c r="N1436" s="4" t="str">
        <x:v>Partial audit candidate; quantity, fit and performance remain unresolved.</x:v>
      </x:c>
      <x:c r="O14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6" s="4" t="n">
        <x:f>IF(OR(C1436="Ingredient candidate",C1436="Consumed input",C1436="Contained input",C1436="Transform input"),IF(F1436="T0",0,IF(F1436="T1",1,IF(F1436="T2",2,IF(F1436="T3",3,IF(F1436="T4",4,-1))))),-1)</x:f>
        <x:v>2</x:v>
      </x:c>
      <x:c r="Q1436" s="4" t="n">
        <x:f>IF(AND(OR(C1436="Ingredient candidate",C1436="Consumed input",C1436="Contained input",C1436="Transform input"),P1436=-1),1,0)</x:f>
        <x:v>0</x:v>
      </x:c>
    </x:row>
    <x:row r="1437" ht="64" customHeight="1">
      <x:c r="A1437" s="4" t="str">
        <x:v>design.audit.proposal_audit_ceramic_backed_control_switch.audit.in.2</x:v>
      </x:c>
      <x:c r="B1437" s="4" t="str">
        <x:v>design.audit.proposal_audit_ceramic_backed_control_switch</x:v>
      </x:c>
      <x:c r="C1437" s="4" t="str">
        <x:v>Ingredient candidate</x:v>
      </x:c>
      <x:c r="D1437" s="4" t="str">
        <x:v>proposal.branch.drawn_copper</x:v>
      </x:c>
      <x:c r="E1437" s="4" t="str">
        <x:f>IFERROR(INDEX('Items'!$B$6:$B$1005,MATCH(D1437,'Items'!$A$6:$A$1005,0)),"MISSING ID")</x:f>
        <x:v>Drawn copper stock</x:v>
      </x:c>
      <x:c r="F1437" s="4" t="str">
        <x:f>IFERROR(INDEX('Items'!$C$6:$C$1005,MATCH(D1437,'Items'!$A$6:$A$1005,0)),"MISSING ID")</x:f>
        <x:v>T2</x:v>
      </x:c>
      <x:c r="G1437" s="4" t="str">
        <x:f>IFERROR(INDEX('Items'!$D$6:$D$1005,MATCH(D1437,'Items'!$A$6:$A$1005,0)),"MISSING ID")</x:f>
        <x:v>Manufactured stock</x:v>
      </x:c>
      <x:c r="H1437" s="4" t="str">
        <x:f>IFERROR(INDEX('Items'!$X$6:$X$1005,MATCH(D1437,'Items'!$A$6:$A$1005,0)),"MISSING ID")</x:f>
        <x:v>Processed material</x:v>
      </x:c>
      <x:c r="I1437" s="4"/>
      <x:c r="J1437" s="4" t="str">
        <x:v>Unspecified</x:v>
      </x:c>
      <x:c r="K1437" s="4" t="str">
        <x:f>IFERROR(INDEX('Crafting recipes'!$D$6:$D$1005,MATCH(B1437,'Crafting recipes'!$A$6:$A$1005,0)),"MISSING ID")</x:f>
        <x:v>Proposal</x:v>
      </x:c>
      <x:c r="L1437" s="4" t="str">
        <x:f>IFERROR(INDEX('Items'!$AD$6:$AD$1005,MATCH(D1437,'Items'!$A$6:$A$1005,0)),"MISSING ID")</x:f>
        <x:v>Proposal</x:v>
      </x:c>
      <x:c r="M1437" s="4" t="str">
        <x:f>IFERROR(INDEX('Crafting recipes'!$E$6:$E$1005,MATCH(B1437,'Crafting recipes'!$A$6:$A$1005,0)),"MISSING ID")</x:f>
        <x:v>Partial proposal</x:v>
      </x:c>
      <x:c r="N1437" s="4" t="str">
        <x:v>Partial audit candidate; quantity, fit and performance remain unresolved.</x:v>
      </x:c>
      <x:c r="O14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7" s="4" t="n">
        <x:f>IF(OR(C1437="Ingredient candidate",C1437="Consumed input",C1437="Contained input",C1437="Transform input"),IF(F1437="T0",0,IF(F1437="T1",1,IF(F1437="T2",2,IF(F1437="T3",3,IF(F1437="T4",4,-1))))),-1)</x:f>
        <x:v>2</x:v>
      </x:c>
      <x:c r="Q1437" s="4" t="n">
        <x:f>IF(AND(OR(C1437="Ingredient candidate",C1437="Consumed input",C1437="Contained input",C1437="Transform input"),P1437=-1),1,0)</x:f>
        <x:v>0</x:v>
      </x:c>
    </x:row>
    <x:row r="1438" ht="64" customHeight="1">
      <x:c r="A1438" s="4" t="str">
        <x:v>design.audit.proposal_audit_ceramic_backed_control_switch.audit.in.3</x:v>
      </x:c>
      <x:c r="B1438" s="4" t="str">
        <x:v>design.audit.proposal_audit_ceramic_backed_control_switch</x:v>
      </x:c>
      <x:c r="C1438" s="4" t="str">
        <x:v>Ingredient candidate</x:v>
      </x:c>
      <x:c r="D1438" s="4" t="str">
        <x:v>proposal.branch.spring_steel</x:v>
      </x:c>
      <x:c r="E1438" s="4" t="str">
        <x:f>IFERROR(INDEX('Items'!$B$6:$B$1005,MATCH(D1438,'Items'!$A$6:$A$1005,0)),"MISSING ID")</x:f>
        <x:v>Spring-grade steel stock</x:v>
      </x:c>
      <x:c r="F1438" s="4" t="str">
        <x:f>IFERROR(INDEX('Items'!$C$6:$C$1005,MATCH(D1438,'Items'!$A$6:$A$1005,0)),"MISSING ID")</x:f>
        <x:v>T3</x:v>
      </x:c>
      <x:c r="G1438" s="4" t="str">
        <x:f>IFERROR(INDEX('Items'!$D$6:$D$1005,MATCH(D1438,'Items'!$A$6:$A$1005,0)),"MISSING ID")</x:f>
        <x:v>Manufactured stock</x:v>
      </x:c>
      <x:c r="H1438" s="4" t="str">
        <x:f>IFERROR(INDEX('Items'!$X$6:$X$1005,MATCH(D1438,'Items'!$A$6:$A$1005,0)),"MISSING ID")</x:f>
        <x:v>Processed material</x:v>
      </x:c>
      <x:c r="I1438" s="4"/>
      <x:c r="J1438" s="4" t="str">
        <x:v>Unspecified</x:v>
      </x:c>
      <x:c r="K1438" s="4" t="str">
        <x:f>IFERROR(INDEX('Crafting recipes'!$D$6:$D$1005,MATCH(B1438,'Crafting recipes'!$A$6:$A$1005,0)),"MISSING ID")</x:f>
        <x:v>Proposal</x:v>
      </x:c>
      <x:c r="L1438" s="4" t="str">
        <x:f>IFERROR(INDEX('Items'!$AD$6:$AD$1005,MATCH(D1438,'Items'!$A$6:$A$1005,0)),"MISSING ID")</x:f>
        <x:v>Proposal</x:v>
      </x:c>
      <x:c r="M1438" s="4" t="str">
        <x:f>IFERROR(INDEX('Crafting recipes'!$E$6:$E$1005,MATCH(B1438,'Crafting recipes'!$A$6:$A$1005,0)),"MISSING ID")</x:f>
        <x:v>Partial proposal</x:v>
      </x:c>
      <x:c r="N1438" s="4" t="str">
        <x:v>Partial audit candidate; quantity, fit and performance remain unresolved.</x:v>
      </x:c>
      <x:c r="O14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8" s="4" t="n">
        <x:f>IF(OR(C1438="Ingredient candidate",C1438="Consumed input",C1438="Contained input",C1438="Transform input"),IF(F1438="T0",0,IF(F1438="T1",1,IF(F1438="T2",2,IF(F1438="T3",3,IF(F1438="T4",4,-1))))),-1)</x:f>
        <x:v>3</x:v>
      </x:c>
      <x:c r="Q1438" s="4" t="n">
        <x:f>IF(AND(OR(C1438="Ingredient candidate",C1438="Consumed input",C1438="Contained input",C1438="Transform input"),P1438=-1),1,0)</x:f>
        <x:v>0</x:v>
      </x:c>
    </x:row>
    <x:row r="1439" ht="64" customHeight="1">
      <x:c r="A1439" s="4" t="str">
        <x:v>design.audit.proposal_audit_ceramic_backed_control_switch.audit.out</x:v>
      </x:c>
      <x:c r="B1439" s="4" t="str">
        <x:v>design.audit.proposal_audit_ceramic_backed_control_switch</x:v>
      </x:c>
      <x:c r="C1439" s="4" t="str">
        <x:v>Output</x:v>
      </x:c>
      <x:c r="D1439" s="4" t="str">
        <x:v>proposal.audit.ceramic_backed_control_switch</x:v>
      </x:c>
      <x:c r="E1439" s="4" t="str">
        <x:f>IFERROR(INDEX('Items'!$B$6:$B$1005,MATCH(D1439,'Items'!$A$6:$A$1005,0)),"MISSING ID")</x:f>
        <x:v>Ceramic-backed control switch</x:v>
      </x:c>
      <x:c r="F1439" s="4" t="str">
        <x:f>IFERROR(INDEX('Items'!$C$6:$C$1005,MATCH(D1439,'Items'!$A$6:$A$1005,0)),"MISSING ID")</x:f>
        <x:v>T4</x:v>
      </x:c>
      <x:c r="G1439" s="4" t="str">
        <x:f>IFERROR(INDEX('Items'!$D$6:$D$1005,MATCH(D1439,'Items'!$A$6:$A$1005,0)),"MISSING ID")</x:f>
        <x:v>Crafting components</x:v>
      </x:c>
      <x:c r="H1439" s="4" t="str">
        <x:f>IFERROR(INDEX('Items'!$X$6:$X$1005,MATCH(D1439,'Items'!$A$6:$A$1005,0)),"MISSING ID")</x:f>
        <x:v>Crafting component</x:v>
      </x:c>
      <x:c r="I1439" s="4"/>
      <x:c r="J1439" s="4" t="str">
        <x:v>Unspecified</x:v>
      </x:c>
      <x:c r="K1439" s="4" t="str">
        <x:f>IFERROR(INDEX('Crafting recipes'!$D$6:$D$1005,MATCH(B1439,'Crafting recipes'!$A$6:$A$1005,0)),"MISSING ID")</x:f>
        <x:v>Proposal</x:v>
      </x:c>
      <x:c r="L1439" s="4" t="str">
        <x:f>IFERROR(INDEX('Items'!$AD$6:$AD$1005,MATCH(D1439,'Items'!$A$6:$A$1005,0)),"MISSING ID")</x:f>
        <x:v>Proposal</x:v>
      </x:c>
      <x:c r="M1439" s="4" t="str">
        <x:f>IFERROR(INDEX('Crafting recipes'!$E$6:$E$1005,MATCH(B1439,'Crafting recipes'!$A$6:$A$1005,0)),"MISSING ID")</x:f>
        <x:v>Partial proposal</x:v>
      </x:c>
      <x:c r="N1439" s="4" t="str">
        <x:v>Partial audit candidate; quantity, fit and performance remain unresolved.</x:v>
      </x:c>
      <x:c r="O14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9" s="4" t="n">
        <x:f>IF(OR(C1439="Ingredient candidate",C1439="Consumed input",C1439="Contained input",C1439="Transform input"),IF(F1439="T0",0,IF(F1439="T1",1,IF(F1439="T2",2,IF(F1439="T3",3,IF(F1439="T4",4,-1))))),-1)</x:f>
        <x:v>-1</x:v>
      </x:c>
      <x:c r="Q1439" s="4" t="n">
        <x:f>IF(AND(OR(C1439="Ingredient candidate",C1439="Consumed input",C1439="Contained input",C1439="Transform input"),P1439=-1),1,0)</x:f>
        <x:v>0</x:v>
      </x:c>
    </x:row>
    <x:row r="1440" ht="64" customHeight="1">
      <x:c r="A1440" s="4" t="str">
        <x:v>design.audit.proposal_audit_fitted_machine_casing.audit.in.1</x:v>
      </x:c>
      <x:c r="B1440" s="4" t="str">
        <x:v>design.audit.proposal_audit_fitted_machine_casing</x:v>
      </x:c>
      <x:c r="C1440" s="4" t="str">
        <x:v>Ingredient candidate</x:v>
      </x:c>
      <x:c r="D1440" s="4" t="str">
        <x:v>proposal.natural.iron_stock</x:v>
      </x:c>
      <x:c r="E1440" s="4" t="str">
        <x:f>IFERROR(INDEX('Items'!$B$6:$B$1005,MATCH(D1440,'Items'!$A$6:$A$1005,0)),"MISSING ID")</x:f>
        <x:v>Worked iron stock</x:v>
      </x:c>
      <x:c r="F1440" s="4" t="str">
        <x:f>IFERROR(INDEX('Items'!$C$6:$C$1005,MATCH(D1440,'Items'!$A$6:$A$1005,0)),"MISSING ID")</x:f>
        <x:v>T2</x:v>
      </x:c>
      <x:c r="G1440" s="4" t="str">
        <x:f>IFERROR(INDEX('Items'!$D$6:$D$1005,MATCH(D1440,'Items'!$A$6:$A$1005,0)),"MISSING ID")</x:f>
        <x:v>Manufactured stock</x:v>
      </x:c>
      <x:c r="H1440" s="4" t="str">
        <x:f>IFERROR(INDEX('Items'!$X$6:$X$1005,MATCH(D1440,'Items'!$A$6:$A$1005,0)),"MISSING ID")</x:f>
        <x:v>Processed material</x:v>
      </x:c>
      <x:c r="I1440" s="4"/>
      <x:c r="J1440" s="4" t="str">
        <x:v>Unspecified</x:v>
      </x:c>
      <x:c r="K1440" s="4" t="str">
        <x:f>IFERROR(INDEX('Crafting recipes'!$D$6:$D$1005,MATCH(B1440,'Crafting recipes'!$A$6:$A$1005,0)),"MISSING ID")</x:f>
        <x:v>Proposal</x:v>
      </x:c>
      <x:c r="L1440" s="4" t="str">
        <x:f>IFERROR(INDEX('Items'!$AD$6:$AD$1005,MATCH(D1440,'Items'!$A$6:$A$1005,0)),"MISSING ID")</x:f>
        <x:v>Proposal</x:v>
      </x:c>
      <x:c r="M1440" s="4" t="str">
        <x:f>IFERROR(INDEX('Crafting recipes'!$E$6:$E$1005,MATCH(B1440,'Crafting recipes'!$A$6:$A$1005,0)),"MISSING ID")</x:f>
        <x:v>Partial proposal</x:v>
      </x:c>
      <x:c r="N1440" s="4" t="str">
        <x:v>Partial audit candidate; quantity, fit and performance remain unresolved.</x:v>
      </x:c>
      <x:c r="O14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0" s="4" t="n">
        <x:f>IF(OR(C1440="Ingredient candidate",C1440="Consumed input",C1440="Contained input",C1440="Transform input"),IF(F1440="T0",0,IF(F1440="T1",1,IF(F1440="T2",2,IF(F1440="T3",3,IF(F1440="T4",4,-1))))),-1)</x:f>
        <x:v>2</x:v>
      </x:c>
      <x:c r="Q1440" s="4" t="n">
        <x:f>IF(AND(OR(C1440="Ingredient candidate",C1440="Consumed input",C1440="Contained input",C1440="Transform input"),P1440=-1),1,0)</x:f>
        <x:v>0</x:v>
      </x:c>
    </x:row>
    <x:row r="1441" ht="64" customHeight="1">
      <x:c r="A1441" s="4" t="str">
        <x:v>design.audit.proposal_audit_fitted_machine_casing.audit.out</x:v>
      </x:c>
      <x:c r="B1441" s="4" t="str">
        <x:v>design.audit.proposal_audit_fitted_machine_casing</x:v>
      </x:c>
      <x:c r="C1441" s="4" t="str">
        <x:v>Output</x:v>
      </x:c>
      <x:c r="D1441" s="4" t="str">
        <x:v>proposal.audit.fitted_machine_casing</x:v>
      </x:c>
      <x:c r="E1441" s="4" t="str">
        <x:f>IFERROR(INDEX('Items'!$B$6:$B$1005,MATCH(D1441,'Items'!$A$6:$A$1005,0)),"MISSING ID")</x:f>
        <x:v>Fitted machine casing</x:v>
      </x:c>
      <x:c r="F1441" s="4" t="str">
        <x:f>IFERROR(INDEX('Items'!$C$6:$C$1005,MATCH(D1441,'Items'!$A$6:$A$1005,0)),"MISSING ID")</x:f>
        <x:v>T3</x:v>
      </x:c>
      <x:c r="G1441" s="4" t="str">
        <x:f>IFERROR(INDEX('Items'!$D$6:$D$1005,MATCH(D1441,'Items'!$A$6:$A$1005,0)),"MISSING ID")</x:f>
        <x:v>Crafting components</x:v>
      </x:c>
      <x:c r="H1441" s="4" t="str">
        <x:f>IFERROR(INDEX('Items'!$X$6:$X$1005,MATCH(D1441,'Items'!$A$6:$A$1005,0)),"MISSING ID")</x:f>
        <x:v>Crafting component</x:v>
      </x:c>
      <x:c r="I1441" s="4"/>
      <x:c r="J1441" s="4" t="str">
        <x:v>Unspecified</x:v>
      </x:c>
      <x:c r="K1441" s="4" t="str">
        <x:f>IFERROR(INDEX('Crafting recipes'!$D$6:$D$1005,MATCH(B1441,'Crafting recipes'!$A$6:$A$1005,0)),"MISSING ID")</x:f>
        <x:v>Proposal</x:v>
      </x:c>
      <x:c r="L1441" s="4" t="str">
        <x:f>IFERROR(INDEX('Items'!$AD$6:$AD$1005,MATCH(D1441,'Items'!$A$6:$A$1005,0)),"MISSING ID")</x:f>
        <x:v>Proposal</x:v>
      </x:c>
      <x:c r="M1441" s="4" t="str">
        <x:f>IFERROR(INDEX('Crafting recipes'!$E$6:$E$1005,MATCH(B1441,'Crafting recipes'!$A$6:$A$1005,0)),"MISSING ID")</x:f>
        <x:v>Partial proposal</x:v>
      </x:c>
      <x:c r="N1441" s="4" t="str">
        <x:v>Partial audit candidate; quantity, fit and performance remain unresolved.</x:v>
      </x:c>
      <x:c r="O14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1" s="4" t="n">
        <x:f>IF(OR(C1441="Ingredient candidate",C1441="Consumed input",C1441="Contained input",C1441="Transform input"),IF(F1441="T0",0,IF(F1441="T1",1,IF(F1441="T2",2,IF(F1441="T3",3,IF(F1441="T4",4,-1))))),-1)</x:f>
        <x:v>-1</x:v>
      </x:c>
      <x:c r="Q1441" s="4" t="n">
        <x:f>IF(AND(OR(C1441="Ingredient candidate",C1441="Consumed input",C1441="Contained input",C1441="Transform input"),P1441=-1),1,0)</x:f>
        <x:v>0</x:v>
      </x:c>
    </x:row>
    <x:row r="1442" ht="64" customHeight="1">
      <x:c r="A1442" s="4" t="str">
        <x:v>design.audit.proposal_audit_supported_iron_heating_element.audit.in.1</x:v>
      </x:c>
      <x:c r="B1442" s="4" t="str">
        <x:v>design.audit.proposal_audit_supported_iron_heating_element</x:v>
      </x:c>
      <x:c r="C1442" s="4" t="str">
        <x:v>Ingredient candidate</x:v>
      </x:c>
      <x:c r="D1442" s="4" t="str">
        <x:v>proposal.lore.iron_conductor</x:v>
      </x:c>
      <x:c r="E1442" s="4" t="str">
        <x:f>IFERROR(INDEX('Items'!$B$6:$B$1005,MATCH(D1442,'Items'!$A$6:$A$1005,0)),"MISSING ID")</x:f>
        <x:v>Drawn iron conductor stock</x:v>
      </x:c>
      <x:c r="F1442" s="4" t="str">
        <x:f>IFERROR(INDEX('Items'!$C$6:$C$1005,MATCH(D1442,'Items'!$A$6:$A$1005,0)),"MISSING ID")</x:f>
        <x:v>T2</x:v>
      </x:c>
      <x:c r="G1442" s="4" t="str">
        <x:f>IFERROR(INDEX('Items'!$D$6:$D$1005,MATCH(D1442,'Items'!$A$6:$A$1005,0)),"MISSING ID")</x:f>
        <x:v>Manufactured stock</x:v>
      </x:c>
      <x:c r="H1442" s="4" t="str">
        <x:f>IFERROR(INDEX('Items'!$X$6:$X$1005,MATCH(D1442,'Items'!$A$6:$A$1005,0)),"MISSING ID")</x:f>
        <x:v>Processed material</x:v>
      </x:c>
      <x:c r="I1442" s="4"/>
      <x:c r="J1442" s="4" t="str">
        <x:v>Unspecified</x:v>
      </x:c>
      <x:c r="K1442" s="4" t="str">
        <x:f>IFERROR(INDEX('Crafting recipes'!$D$6:$D$1005,MATCH(B1442,'Crafting recipes'!$A$6:$A$1005,0)),"MISSING ID")</x:f>
        <x:v>Proposal</x:v>
      </x:c>
      <x:c r="L1442" s="4" t="str">
        <x:f>IFERROR(INDEX('Items'!$AD$6:$AD$1005,MATCH(D1442,'Items'!$A$6:$A$1005,0)),"MISSING ID")</x:f>
        <x:v>Proposal</x:v>
      </x:c>
      <x:c r="M1442" s="4" t="str">
        <x:f>IFERROR(INDEX('Crafting recipes'!$E$6:$E$1005,MATCH(B1442,'Crafting recipes'!$A$6:$A$1005,0)),"MISSING ID")</x:f>
        <x:v>Partial proposal</x:v>
      </x:c>
      <x:c r="N1442" s="4" t="str">
        <x:v>Partial audit candidate; quantity, fit and performance remain unresolved.</x:v>
      </x:c>
      <x:c r="O14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2" s="4" t="n">
        <x:f>IF(OR(C1442="Ingredient candidate",C1442="Consumed input",C1442="Contained input",C1442="Transform input"),IF(F1442="T0",0,IF(F1442="T1",1,IF(F1442="T2",2,IF(F1442="T3",3,IF(F1442="T4",4,-1))))),-1)</x:f>
        <x:v>2</x:v>
      </x:c>
      <x:c r="Q1442" s="4" t="n">
        <x:f>IF(AND(OR(C1442="Ingredient candidate",C1442="Consumed input",C1442="Contained input",C1442="Transform input"),P1442=-1),1,0)</x:f>
        <x:v>0</x:v>
      </x:c>
    </x:row>
    <x:row r="1443" ht="64" customHeight="1">
      <x:c r="A1443" s="4" t="str">
        <x:v>design.audit.proposal_audit_supported_iron_heating_element.audit.in.2</x:v>
      </x:c>
      <x:c r="B1443" s="4" t="str">
        <x:v>design.audit.proposal_audit_supported_iron_heating_element</x:v>
      </x:c>
      <x:c r="C1443" s="4" t="str">
        <x:v>Ingredient candidate</x:v>
      </x:c>
      <x:c r="D1443" s="4" t="str">
        <x:v>proposal.branch.refractory_ceramic</x:v>
      </x:c>
      <x:c r="E1443" s="4" t="str">
        <x:f>IFERROR(INDEX('Items'!$B$6:$B$1005,MATCH(D1443,'Items'!$A$6:$A$1005,0)),"MISSING ID")</x:f>
        <x:v>Refractory ceramic stock</x:v>
      </x:c>
      <x:c r="F1443" s="4" t="str">
        <x:f>IFERROR(INDEX('Items'!$C$6:$C$1005,MATCH(D1443,'Items'!$A$6:$A$1005,0)),"MISSING ID")</x:f>
        <x:v>T2</x:v>
      </x:c>
      <x:c r="G1443" s="4" t="str">
        <x:f>IFERROR(INDEX('Items'!$D$6:$D$1005,MATCH(D1443,'Items'!$A$6:$A$1005,0)),"MISSING ID")</x:f>
        <x:v>Manufactured stock</x:v>
      </x:c>
      <x:c r="H1443" s="4" t="str">
        <x:f>IFERROR(INDEX('Items'!$X$6:$X$1005,MATCH(D1443,'Items'!$A$6:$A$1005,0)),"MISSING ID")</x:f>
        <x:v>Processed material</x:v>
      </x:c>
      <x:c r="I1443" s="4"/>
      <x:c r="J1443" s="4" t="str">
        <x:v>Unspecified</x:v>
      </x:c>
      <x:c r="K1443" s="4" t="str">
        <x:f>IFERROR(INDEX('Crafting recipes'!$D$6:$D$1005,MATCH(B1443,'Crafting recipes'!$A$6:$A$1005,0)),"MISSING ID")</x:f>
        <x:v>Proposal</x:v>
      </x:c>
      <x:c r="L1443" s="4" t="str">
        <x:f>IFERROR(INDEX('Items'!$AD$6:$AD$1005,MATCH(D1443,'Items'!$A$6:$A$1005,0)),"MISSING ID")</x:f>
        <x:v>Proposal</x:v>
      </x:c>
      <x:c r="M1443" s="4" t="str">
        <x:f>IFERROR(INDEX('Crafting recipes'!$E$6:$E$1005,MATCH(B1443,'Crafting recipes'!$A$6:$A$1005,0)),"MISSING ID")</x:f>
        <x:v>Partial proposal</x:v>
      </x:c>
      <x:c r="N1443" s="4" t="str">
        <x:v>Partial audit candidate; quantity, fit and performance remain unresolved.</x:v>
      </x:c>
      <x:c r="O14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3" s="4" t="n">
        <x:f>IF(OR(C1443="Ingredient candidate",C1443="Consumed input",C1443="Contained input",C1443="Transform input"),IF(F1443="T0",0,IF(F1443="T1",1,IF(F1443="T2",2,IF(F1443="T3",3,IF(F1443="T4",4,-1))))),-1)</x:f>
        <x:v>2</x:v>
      </x:c>
      <x:c r="Q1443" s="4" t="n">
        <x:f>IF(AND(OR(C1443="Ingredient candidate",C1443="Consumed input",C1443="Contained input",C1443="Transform input"),P1443=-1),1,0)</x:f>
        <x:v>0</x:v>
      </x:c>
    </x:row>
    <x:row r="1444" ht="64" customHeight="1">
      <x:c r="A1444" s="4" t="str">
        <x:v>design.audit.proposal_audit_supported_iron_heating_element.audit.out</x:v>
      </x:c>
      <x:c r="B1444" s="4" t="str">
        <x:v>design.audit.proposal_audit_supported_iron_heating_element</x:v>
      </x:c>
      <x:c r="C1444" s="4" t="str">
        <x:v>Output</x:v>
      </x:c>
      <x:c r="D1444" s="4" t="str">
        <x:v>proposal.audit.supported_iron_heating_element</x:v>
      </x:c>
      <x:c r="E1444" s="4" t="str">
        <x:f>IFERROR(INDEX('Items'!$B$6:$B$1005,MATCH(D1444,'Items'!$A$6:$A$1005,0)),"MISSING ID")</x:f>
        <x:v>Supported iron heating element</x:v>
      </x:c>
      <x:c r="F1444" s="4" t="str">
        <x:f>IFERROR(INDEX('Items'!$C$6:$C$1005,MATCH(D1444,'Items'!$A$6:$A$1005,0)),"MISSING ID")</x:f>
        <x:v>T3</x:v>
      </x:c>
      <x:c r="G1444" s="4" t="str">
        <x:f>IFERROR(INDEX('Items'!$D$6:$D$1005,MATCH(D1444,'Items'!$A$6:$A$1005,0)),"MISSING ID")</x:f>
        <x:v>Crafting components</x:v>
      </x:c>
      <x:c r="H1444" s="4" t="str">
        <x:f>IFERROR(INDEX('Items'!$X$6:$X$1005,MATCH(D1444,'Items'!$A$6:$A$1005,0)),"MISSING ID")</x:f>
        <x:v>Machine part</x:v>
      </x:c>
      <x:c r="I1444" s="4"/>
      <x:c r="J1444" s="4" t="str">
        <x:v>Unspecified</x:v>
      </x:c>
      <x:c r="K1444" s="4" t="str">
        <x:f>IFERROR(INDEX('Crafting recipes'!$D$6:$D$1005,MATCH(B1444,'Crafting recipes'!$A$6:$A$1005,0)),"MISSING ID")</x:f>
        <x:v>Proposal</x:v>
      </x:c>
      <x:c r="L1444" s="4" t="str">
        <x:f>IFERROR(INDEX('Items'!$AD$6:$AD$1005,MATCH(D1444,'Items'!$A$6:$A$1005,0)),"MISSING ID")</x:f>
        <x:v>Proposal</x:v>
      </x:c>
      <x:c r="M1444" s="4" t="str">
        <x:f>IFERROR(INDEX('Crafting recipes'!$E$6:$E$1005,MATCH(B1444,'Crafting recipes'!$A$6:$A$1005,0)),"MISSING ID")</x:f>
        <x:v>Partial proposal</x:v>
      </x:c>
      <x:c r="N1444" s="4" t="str">
        <x:v>Partial audit candidate; quantity, fit and performance remain unresolved.</x:v>
      </x:c>
      <x:c r="O14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4" s="4" t="n">
        <x:f>IF(OR(C1444="Ingredient candidate",C1444="Consumed input",C1444="Contained input",C1444="Transform input"),IF(F1444="T0",0,IF(F1444="T1",1,IF(F1444="T2",2,IF(F1444="T3",3,IF(F1444="T4",4,-1))))),-1)</x:f>
        <x:v>-1</x:v>
      </x:c>
      <x:c r="Q1444" s="4" t="n">
        <x:f>IF(AND(OR(C1444="Ingredient candidate",C1444="Consumed input",C1444="Contained input",C1444="Transform input"),P1444=-1),1,0)</x:f>
        <x:v>0</x:v>
      </x:c>
    </x:row>
    <x:row r="1445" ht="64" customHeight="1">
      <x:c r="A1445" s="4" t="str">
        <x:v>design.audit.proposal_audit_controlled_heating_firing_kiln.audit.in.1</x:v>
      </x:c>
      <x:c r="B1445" s="4" t="str">
        <x:v>design.audit.proposal_audit_controlled_heating_firing_kiln</x:v>
      </x:c>
      <x:c r="C1445" s="4" t="str">
        <x:v>Ingredient candidate</x:v>
      </x:c>
      <x:c r="D1445" s="4" t="str">
        <x:v>proposal.ceramic.refractory_brick</x:v>
      </x:c>
      <x:c r="E1445" s="4" t="str">
        <x:f>IFERROR(INDEX('Items'!$B$6:$B$1005,MATCH(D1445,'Items'!$A$6:$A$1005,0)),"MISSING ID")</x:f>
        <x:v>Refractory ceramic brick</x:v>
      </x:c>
      <x:c r="F1445" s="4" t="str">
        <x:f>IFERROR(INDEX('Items'!$C$6:$C$1005,MATCH(D1445,'Items'!$A$6:$A$1005,0)),"MISSING ID")</x:f>
        <x:v>T3</x:v>
      </x:c>
      <x:c r="G1445" s="4" t="str">
        <x:f>IFERROR(INDEX('Items'!$D$6:$D$1005,MATCH(D1445,'Items'!$A$6:$A$1005,0)),"MISSING ID")</x:f>
        <x:v>Crafting components</x:v>
      </x:c>
      <x:c r="H1445" s="4" t="str">
        <x:f>IFERROR(INDEX('Items'!$X$6:$X$1005,MATCH(D1445,'Items'!$A$6:$A$1005,0)),"MISSING ID")</x:f>
        <x:v>Crafting component</x:v>
      </x:c>
      <x:c r="I1445" s="4"/>
      <x:c r="J1445" s="4" t="str">
        <x:v>Unspecified</x:v>
      </x:c>
      <x:c r="K1445" s="4" t="str">
        <x:f>IFERROR(INDEX('Crafting recipes'!$D$6:$D$1005,MATCH(B1445,'Crafting recipes'!$A$6:$A$1005,0)),"MISSING ID")</x:f>
        <x:v>Proposal</x:v>
      </x:c>
      <x:c r="L1445" s="4" t="str">
        <x:f>IFERROR(INDEX('Items'!$AD$6:$AD$1005,MATCH(D1445,'Items'!$A$6:$A$1005,0)),"MISSING ID")</x:f>
        <x:v>Proposal</x:v>
      </x:c>
      <x:c r="M1445" s="4" t="str">
        <x:f>IFERROR(INDEX('Crafting recipes'!$E$6:$E$1005,MATCH(B1445,'Crafting recipes'!$A$6:$A$1005,0)),"MISSING ID")</x:f>
        <x:v>Partial proposal</x:v>
      </x:c>
      <x:c r="N1445" s="4" t="str">
        <x:v>Partial audit candidate; quantity, fit and performance remain unresolved.</x:v>
      </x:c>
      <x:c r="O14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5" s="4" t="n">
        <x:f>IF(OR(C1445="Ingredient candidate",C1445="Consumed input",C1445="Contained input",C1445="Transform input"),IF(F1445="T0",0,IF(F1445="T1",1,IF(F1445="T2",2,IF(F1445="T3",3,IF(F1445="T4",4,-1))))),-1)</x:f>
        <x:v>3</x:v>
      </x:c>
      <x:c r="Q1445" s="4" t="n">
        <x:f>IF(AND(OR(C1445="Ingredient candidate",C1445="Consumed input",C1445="Contained input",C1445="Transform input"),P1445=-1),1,0)</x:f>
        <x:v>0</x:v>
      </x:c>
    </x:row>
    <x:row r="1446" ht="64" customHeight="1">
      <x:c r="A1446" s="4" t="str">
        <x:v>design.audit.proposal_audit_controlled_heating_firing_kiln.audit.in.2</x:v>
      </x:c>
      <x:c r="B1446" s="4" t="str">
        <x:v>design.audit.proposal_audit_controlled_heating_firing_kiln</x:v>
      </x:c>
      <x:c r="C1446" s="4" t="str">
        <x:v>Ingredient candidate</x:v>
      </x:c>
      <x:c r="D1446" s="4" t="str">
        <x:v>proposal.ceramic.kiln_liner</x:v>
      </x:c>
      <x:c r="E1446" s="4" t="str">
        <x:f>IFERROR(INDEX('Items'!$B$6:$B$1005,MATCH(D1446,'Items'!$A$6:$A$1005,0)),"MISSING ID")</x:f>
        <x:v>Ceramic kiln lining panel</x:v>
      </x:c>
      <x:c r="F1446" s="4" t="str">
        <x:f>IFERROR(INDEX('Items'!$C$6:$C$1005,MATCH(D1446,'Items'!$A$6:$A$1005,0)),"MISSING ID")</x:f>
        <x:v>T3</x:v>
      </x:c>
      <x:c r="G1446" s="4" t="str">
        <x:f>IFERROR(INDEX('Items'!$D$6:$D$1005,MATCH(D1446,'Items'!$A$6:$A$1005,0)),"MISSING ID")</x:f>
        <x:v>Crafting components</x:v>
      </x:c>
      <x:c r="H1446" s="4" t="str">
        <x:f>IFERROR(INDEX('Items'!$X$6:$X$1005,MATCH(D1446,'Items'!$A$6:$A$1005,0)),"MISSING ID")</x:f>
        <x:v>Crafting component</x:v>
      </x:c>
      <x:c r="I1446" s="4"/>
      <x:c r="J1446" s="4" t="str">
        <x:v>Unspecified</x:v>
      </x:c>
      <x:c r="K1446" s="4" t="str">
        <x:f>IFERROR(INDEX('Crafting recipes'!$D$6:$D$1005,MATCH(B1446,'Crafting recipes'!$A$6:$A$1005,0)),"MISSING ID")</x:f>
        <x:v>Proposal</x:v>
      </x:c>
      <x:c r="L1446" s="4" t="str">
        <x:f>IFERROR(INDEX('Items'!$AD$6:$AD$1005,MATCH(D1446,'Items'!$A$6:$A$1005,0)),"MISSING ID")</x:f>
        <x:v>Proposal</x:v>
      </x:c>
      <x:c r="M1446" s="4" t="str">
        <x:f>IFERROR(INDEX('Crafting recipes'!$E$6:$E$1005,MATCH(B1446,'Crafting recipes'!$A$6:$A$1005,0)),"MISSING ID")</x:f>
        <x:v>Partial proposal</x:v>
      </x:c>
      <x:c r="N1446" s="4" t="str">
        <x:v>Partial audit candidate; quantity, fit and performance remain unresolved.</x:v>
      </x:c>
      <x:c r="O14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6" s="4" t="n">
        <x:f>IF(OR(C1446="Ingredient candidate",C1446="Consumed input",C1446="Contained input",C1446="Transform input"),IF(F1446="T0",0,IF(F1446="T1",1,IF(F1446="T2",2,IF(F1446="T3",3,IF(F1446="T4",4,-1))))),-1)</x:f>
        <x:v>3</x:v>
      </x:c>
      <x:c r="Q1446" s="4" t="n">
        <x:f>IF(AND(OR(C1446="Ingredient candidate",C1446="Consumed input",C1446="Contained input",C1446="Transform input"),P1446=-1),1,0)</x:f>
        <x:v>0</x:v>
      </x:c>
    </x:row>
    <x:row r="1447" ht="64" customHeight="1">
      <x:c r="A1447" s="4" t="str">
        <x:v>design.audit.proposal_audit_controlled_heating_firing_kiln.audit.in.3</x:v>
      </x:c>
      <x:c r="B1447" s="4" t="str">
        <x:v>design.audit.proposal_audit_controlled_heating_firing_kiln</x:v>
      </x:c>
      <x:c r="C1447" s="4" t="str">
        <x:v>Ingredient candidate</x:v>
      </x:c>
      <x:c r="D1447" s="4" t="str">
        <x:v>proposal.audit.supported_iron_heating_element</x:v>
      </x:c>
      <x:c r="E1447" s="4" t="str">
        <x:f>IFERROR(INDEX('Items'!$B$6:$B$1005,MATCH(D1447,'Items'!$A$6:$A$1005,0)),"MISSING ID")</x:f>
        <x:v>Supported iron heating element</x:v>
      </x:c>
      <x:c r="F1447" s="4" t="str">
        <x:f>IFERROR(INDEX('Items'!$C$6:$C$1005,MATCH(D1447,'Items'!$A$6:$A$1005,0)),"MISSING ID")</x:f>
        <x:v>T3</x:v>
      </x:c>
      <x:c r="G1447" s="4" t="str">
        <x:f>IFERROR(INDEX('Items'!$D$6:$D$1005,MATCH(D1447,'Items'!$A$6:$A$1005,0)),"MISSING ID")</x:f>
        <x:v>Crafting components</x:v>
      </x:c>
      <x:c r="H1447" s="4" t="str">
        <x:f>IFERROR(INDEX('Items'!$X$6:$X$1005,MATCH(D1447,'Items'!$A$6:$A$1005,0)),"MISSING ID")</x:f>
        <x:v>Machine part</x:v>
      </x:c>
      <x:c r="I1447" s="4"/>
      <x:c r="J1447" s="4" t="str">
        <x:v>Unspecified</x:v>
      </x:c>
      <x:c r="K1447" s="4" t="str">
        <x:f>IFERROR(INDEX('Crafting recipes'!$D$6:$D$1005,MATCH(B1447,'Crafting recipes'!$A$6:$A$1005,0)),"MISSING ID")</x:f>
        <x:v>Proposal</x:v>
      </x:c>
      <x:c r="L1447" s="4" t="str">
        <x:f>IFERROR(INDEX('Items'!$AD$6:$AD$1005,MATCH(D1447,'Items'!$A$6:$A$1005,0)),"MISSING ID")</x:f>
        <x:v>Proposal</x:v>
      </x:c>
      <x:c r="M1447" s="4" t="str">
        <x:f>IFERROR(INDEX('Crafting recipes'!$E$6:$E$1005,MATCH(B1447,'Crafting recipes'!$A$6:$A$1005,0)),"MISSING ID")</x:f>
        <x:v>Partial proposal</x:v>
      </x:c>
      <x:c r="N1447" s="4" t="str">
        <x:v>Partial audit candidate; quantity, fit and performance remain unresolved.</x:v>
      </x:c>
      <x:c r="O14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7" s="4" t="n">
        <x:f>IF(OR(C1447="Ingredient candidate",C1447="Consumed input",C1447="Contained input",C1447="Transform input"),IF(F1447="T0",0,IF(F1447="T1",1,IF(F1447="T2",2,IF(F1447="T3",3,IF(F1447="T4",4,-1))))),-1)</x:f>
        <x:v>3</x:v>
      </x:c>
      <x:c r="Q1447" s="4" t="n">
        <x:f>IF(AND(OR(C1447="Ingredient candidate",C1447="Consumed input",C1447="Contained input",C1447="Transform input"),P1447=-1),1,0)</x:f>
        <x:v>0</x:v>
      </x:c>
    </x:row>
    <x:row r="1448" ht="64" customHeight="1">
      <x:c r="A1448" s="4" t="str">
        <x:v>design.audit.proposal_audit_controlled_heating_firing_kiln.audit.in.4</x:v>
      </x:c>
      <x:c r="B1448" s="4" t="str">
        <x:v>design.audit.proposal_audit_controlled_heating_firing_kiln</x:v>
      </x:c>
      <x:c r="C1448" s="4" t="str">
        <x:v>Ingredient candidate</x:v>
      </x:c>
      <x:c r="D1448" s="4" t="str">
        <x:v>proposal.t4.contact_block</x:v>
      </x:c>
      <x:c r="E1448" s="4" t="str">
        <x:f>IFERROR(INDEX('Items'!$B$6:$B$1005,MATCH(D1448,'Items'!$A$6:$A$1005,0)),"MISSING ID")</x:f>
        <x:v>Serviceable insulated contact block</x:v>
      </x:c>
      <x:c r="F1448" s="4" t="str">
        <x:f>IFERROR(INDEX('Items'!$C$6:$C$1005,MATCH(D1448,'Items'!$A$6:$A$1005,0)),"MISSING ID")</x:f>
        <x:v>T4</x:v>
      </x:c>
      <x:c r="G1448" s="4" t="str">
        <x:f>IFERROR(INDEX('Items'!$D$6:$D$1005,MATCH(D1448,'Items'!$A$6:$A$1005,0)),"MISSING ID")</x:f>
        <x:v>Crafting components</x:v>
      </x:c>
      <x:c r="H1448" s="4" t="str">
        <x:f>IFERROR(INDEX('Items'!$X$6:$X$1005,MATCH(D1448,'Items'!$A$6:$A$1005,0)),"MISSING ID")</x:f>
        <x:v>Crafting component</x:v>
      </x:c>
      <x:c r="I1448" s="4"/>
      <x:c r="J1448" s="4" t="str">
        <x:v>Unspecified</x:v>
      </x:c>
      <x:c r="K1448" s="4" t="str">
        <x:f>IFERROR(INDEX('Crafting recipes'!$D$6:$D$1005,MATCH(B1448,'Crafting recipes'!$A$6:$A$1005,0)),"MISSING ID")</x:f>
        <x:v>Proposal</x:v>
      </x:c>
      <x:c r="L1448" s="4" t="str">
        <x:f>IFERROR(INDEX('Items'!$AD$6:$AD$1005,MATCH(D1448,'Items'!$A$6:$A$1005,0)),"MISSING ID")</x:f>
        <x:v>Proposal</x:v>
      </x:c>
      <x:c r="M1448" s="4" t="str">
        <x:f>IFERROR(INDEX('Crafting recipes'!$E$6:$E$1005,MATCH(B1448,'Crafting recipes'!$A$6:$A$1005,0)),"MISSING ID")</x:f>
        <x:v>Partial proposal</x:v>
      </x:c>
      <x:c r="N1448" s="4" t="str">
        <x:v>Partial audit candidate; quantity, fit and performance remain unresolved.</x:v>
      </x:c>
      <x:c r="O14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8" s="4" t="n">
        <x:f>IF(OR(C1448="Ingredient candidate",C1448="Consumed input",C1448="Contained input",C1448="Transform input"),IF(F1448="T0",0,IF(F1448="T1",1,IF(F1448="T2",2,IF(F1448="T3",3,IF(F1448="T4",4,-1))))),-1)</x:f>
        <x:v>4</x:v>
      </x:c>
      <x:c r="Q1448" s="4" t="n">
        <x:f>IF(AND(OR(C1448="Ingredient candidate",C1448="Consumed input",C1448="Contained input",C1448="Transform input"),P1448=-1),1,0)</x:f>
        <x:v>0</x:v>
      </x:c>
    </x:row>
    <x:row r="1449" ht="64" customHeight="1">
      <x:c r="A1449" s="4" t="str">
        <x:v>design.audit.proposal_audit_controlled_heating_firing_kiln.audit.out</x:v>
      </x:c>
      <x:c r="B1449" s="4" t="str">
        <x:v>design.audit.proposal_audit_controlled_heating_firing_kiln</x:v>
      </x:c>
      <x:c r="C1449" s="4" t="str">
        <x:v>Output</x:v>
      </x:c>
      <x:c r="D1449" s="4" t="str">
        <x:v>proposal.audit.controlled_heating_firing_kiln</x:v>
      </x:c>
      <x:c r="E1449" s="4" t="str">
        <x:f>IFERROR(INDEX('Items'!$B$6:$B$1005,MATCH(D1449,'Items'!$A$6:$A$1005,0)),"MISSING ID")</x:f>
        <x:v>Controlled-heating firing kiln</x:v>
      </x:c>
      <x:c r="F1449" s="4" t="str">
        <x:f>IFERROR(INDEX('Items'!$C$6:$C$1005,MATCH(D1449,'Items'!$A$6:$A$1005,0)),"MISSING ID")</x:f>
        <x:v>Not applicable</x:v>
      </x:c>
      <x:c r="G1449" s="4" t="str">
        <x:f>IFERROR(INDEX('Items'!$D$6:$D$1005,MATCH(D1449,'Items'!$A$6:$A$1005,0)),"MISSING ID")</x:f>
        <x:v>Crafting stations</x:v>
      </x:c>
      <x:c r="H1449" s="4" t="str">
        <x:f>IFERROR(INDEX('Items'!$X$6:$X$1005,MATCH(D1449,'Items'!$A$6:$A$1005,0)),"MISSING ID")</x:f>
        <x:v>Machine</x:v>
      </x:c>
      <x:c r="I1449" s="4"/>
      <x:c r="J1449" s="4" t="str">
        <x:v>Unspecified</x:v>
      </x:c>
      <x:c r="K1449" s="4" t="str">
        <x:f>IFERROR(INDEX('Crafting recipes'!$D$6:$D$1005,MATCH(B1449,'Crafting recipes'!$A$6:$A$1005,0)),"MISSING ID")</x:f>
        <x:v>Proposal</x:v>
      </x:c>
      <x:c r="L1449" s="4" t="str">
        <x:f>IFERROR(INDEX('Items'!$AD$6:$AD$1005,MATCH(D1449,'Items'!$A$6:$A$1005,0)),"MISSING ID")</x:f>
        <x:v>Proposal</x:v>
      </x:c>
      <x:c r="M1449" s="4" t="str">
        <x:f>IFERROR(INDEX('Crafting recipes'!$E$6:$E$1005,MATCH(B1449,'Crafting recipes'!$A$6:$A$1005,0)),"MISSING ID")</x:f>
        <x:v>Partial proposal</x:v>
      </x:c>
      <x:c r="N1449" s="4" t="str">
        <x:v>Partial audit candidate; quantity, fit and performance remain unresolved.</x:v>
      </x:c>
      <x:c r="O14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9" s="4" t="n">
        <x:f>IF(OR(C1449="Ingredient candidate",C1449="Consumed input",C1449="Contained input",C1449="Transform input"),IF(F1449="T0",0,IF(F1449="T1",1,IF(F1449="T2",2,IF(F1449="T3",3,IF(F1449="T4",4,-1))))),-1)</x:f>
        <x:v>-1</x:v>
      </x:c>
      <x:c r="Q1449" s="4" t="n">
        <x:f>IF(AND(OR(C1449="Ingredient candidate",C1449="Consumed input",C1449="Contained input",C1449="Transform input"),P1449=-1),1,0)</x:f>
        <x:v>0</x:v>
      </x:c>
    </x:row>
    <x:row r="1450" ht="64" customHeight="1">
      <x:c r="A1450" s="4" t="str">
        <x:v>design.audit.proposal_audit_metalworking_hand_saw.audit.in.1</x:v>
      </x:c>
      <x:c r="B1450" s="4" t="str">
        <x:v>design.audit.proposal_audit_metalworking_hand_saw</x:v>
      </x:c>
      <x:c r="C1450" s="4" t="str">
        <x:v>Ingredient candidate</x:v>
      </x:c>
      <x:c r="D1450" s="4" t="str">
        <x:v>author.metallurgy.steel_stock</x:v>
      </x:c>
      <x:c r="E1450" s="4" t="str">
        <x:f>IFERROR(INDEX('Items'!$B$6:$B$1005,MATCH(D1450,'Items'!$A$6:$A$1005,0)),"MISSING ID")</x:f>
        <x:v>Steel stock</x:v>
      </x:c>
      <x:c r="F1450" s="4" t="str">
        <x:f>IFERROR(INDEX('Items'!$C$6:$C$1005,MATCH(D1450,'Items'!$A$6:$A$1005,0)),"MISSING ID")</x:f>
        <x:v>T2</x:v>
      </x:c>
      <x:c r="G1450" s="4" t="str">
        <x:f>IFERROR(INDEX('Items'!$D$6:$D$1005,MATCH(D1450,'Items'!$A$6:$A$1005,0)),"MISSING ID")</x:f>
        <x:v>Manufactured stock</x:v>
      </x:c>
      <x:c r="H1450" s="4" t="str">
        <x:f>IFERROR(INDEX('Items'!$X$6:$X$1005,MATCH(D1450,'Items'!$A$6:$A$1005,0)),"MISSING ID")</x:f>
        <x:v>Processed material</x:v>
      </x:c>
      <x:c r="I1450" s="4"/>
      <x:c r="J1450" s="4" t="str">
        <x:v>Unspecified</x:v>
      </x:c>
      <x:c r="K1450" s="4" t="str">
        <x:f>IFERROR(INDEX('Crafting recipes'!$D$6:$D$1005,MATCH(B1450,'Crafting recipes'!$A$6:$A$1005,0)),"MISSING ID")</x:f>
        <x:v>Proposal</x:v>
      </x:c>
      <x:c r="L1450" s="4" t="str">
        <x:f>IFERROR(INDEX('Items'!$AD$6:$AD$1005,MATCH(D1450,'Items'!$A$6:$A$1005,0)),"MISSING ID")</x:f>
        <x:v>Author direction</x:v>
      </x:c>
      <x:c r="M1450" s="4" t="str">
        <x:f>IFERROR(INDEX('Crafting recipes'!$E$6:$E$1005,MATCH(B1450,'Crafting recipes'!$A$6:$A$1005,0)),"MISSING ID")</x:f>
        <x:v>Partial proposal</x:v>
      </x:c>
      <x:c r="N1450" s="4" t="str">
        <x:v>Partial audit candidate; quantity, fit and performance remain unresolved.</x:v>
      </x:c>
      <x:c r="O14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0" s="4" t="n">
        <x:f>IF(OR(C1450="Ingredient candidate",C1450="Consumed input",C1450="Contained input",C1450="Transform input"),IF(F1450="T0",0,IF(F1450="T1",1,IF(F1450="T2",2,IF(F1450="T3",3,IF(F1450="T4",4,-1))))),-1)</x:f>
        <x:v>2</x:v>
      </x:c>
      <x:c r="Q1450" s="4" t="n">
        <x:f>IF(AND(OR(C1450="Ingredient candidate",C1450="Consumed input",C1450="Contained input",C1450="Transform input"),P1450=-1),1,0)</x:f>
        <x:v>0</x:v>
      </x:c>
    </x:row>
    <x:row r="1451" ht="64" customHeight="1">
      <x:c r="A1451" s="4" t="str">
        <x:v>design.audit.proposal_audit_metalworking_hand_saw.audit.in.2</x:v>
      </x:c>
      <x:c r="B1451" s="4" t="str">
        <x:v>design.audit.proposal_audit_metalworking_hand_saw</x:v>
      </x:c>
      <x:c r="C1451" s="4" t="str">
        <x:v>Ingredient candidate</x:v>
      </x:c>
      <x:c r="D1451" s="4" t="str">
        <x:v>proposal.audit.shaped_metal_grip_blank</x:v>
      </x:c>
      <x:c r="E1451" s="4" t="str">
        <x:f>IFERROR(INDEX('Items'!$B$6:$B$1005,MATCH(D1451,'Items'!$A$6:$A$1005,0)),"MISSING ID")</x:f>
        <x:v>Shaped metal grip blank</x:v>
      </x:c>
      <x:c r="F1451" s="4" t="str">
        <x:f>IFERROR(INDEX('Items'!$C$6:$C$1005,MATCH(D1451,'Items'!$A$6:$A$1005,0)),"MISSING ID")</x:f>
        <x:v>T3</x:v>
      </x:c>
      <x:c r="G1451" s="4" t="str">
        <x:f>IFERROR(INDEX('Items'!$D$6:$D$1005,MATCH(D1451,'Items'!$A$6:$A$1005,0)),"MISSING ID")</x:f>
        <x:v>Crafting components</x:v>
      </x:c>
      <x:c r="H1451" s="4" t="str">
        <x:f>IFERROR(INDEX('Items'!$X$6:$X$1005,MATCH(D1451,'Items'!$A$6:$A$1005,0)),"MISSING ID")</x:f>
        <x:v>Crafting component</x:v>
      </x:c>
      <x:c r="I1451" s="4"/>
      <x:c r="J1451" s="4" t="str">
        <x:v>Unspecified</x:v>
      </x:c>
      <x:c r="K1451" s="4" t="str">
        <x:f>IFERROR(INDEX('Crafting recipes'!$D$6:$D$1005,MATCH(B1451,'Crafting recipes'!$A$6:$A$1005,0)),"MISSING ID")</x:f>
        <x:v>Proposal</x:v>
      </x:c>
      <x:c r="L1451" s="4" t="str">
        <x:f>IFERROR(INDEX('Items'!$AD$6:$AD$1005,MATCH(D1451,'Items'!$A$6:$A$1005,0)),"MISSING ID")</x:f>
        <x:v>Proposal</x:v>
      </x:c>
      <x:c r="M1451" s="4" t="str">
        <x:f>IFERROR(INDEX('Crafting recipes'!$E$6:$E$1005,MATCH(B1451,'Crafting recipes'!$A$6:$A$1005,0)),"MISSING ID")</x:f>
        <x:v>Partial proposal</x:v>
      </x:c>
      <x:c r="N1451" s="4" t="str">
        <x:v>Partial audit candidate; quantity, fit and performance remain unresolved.</x:v>
      </x:c>
      <x:c r="O14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1" s="4" t="n">
        <x:f>IF(OR(C1451="Ingredient candidate",C1451="Consumed input",C1451="Contained input",C1451="Transform input"),IF(F1451="T0",0,IF(F1451="T1",1,IF(F1451="T2",2,IF(F1451="T3",3,IF(F1451="T4",4,-1))))),-1)</x:f>
        <x:v>3</x:v>
      </x:c>
      <x:c r="Q1451" s="4" t="n">
        <x:f>IF(AND(OR(C1451="Ingredient candidate",C1451="Consumed input",C1451="Contained input",C1451="Transform input"),P1451=-1),1,0)</x:f>
        <x:v>0</x:v>
      </x:c>
    </x:row>
    <x:row r="1452" ht="64" customHeight="1">
      <x:c r="A1452" s="4" t="str">
        <x:v>design.audit.proposal_audit_metalworking_hand_saw.audit.out</x:v>
      </x:c>
      <x:c r="B1452" s="4" t="str">
        <x:v>design.audit.proposal_audit_metalworking_hand_saw</x:v>
      </x:c>
      <x:c r="C1452" s="4" t="str">
        <x:v>Output</x:v>
      </x:c>
      <x:c r="D1452" s="4" t="str">
        <x:v>proposal.audit.metalworking_hand_saw</x:v>
      </x:c>
      <x:c r="E1452" s="4" t="str">
        <x:f>IFERROR(INDEX('Items'!$B$6:$B$1005,MATCH(D1452,'Items'!$A$6:$A$1005,0)),"MISSING ID")</x:f>
        <x:v>Metalworking hand saw</x:v>
      </x:c>
      <x:c r="F1452" s="4" t="str">
        <x:f>IFERROR(INDEX('Items'!$C$6:$C$1005,MATCH(D1452,'Items'!$A$6:$A$1005,0)),"MISSING ID")</x:f>
        <x:v>Not applicable</x:v>
      </x:c>
      <x:c r="G1452" s="4" t="str">
        <x:f>IFERROR(INDEX('Items'!$D$6:$D$1005,MATCH(D1452,'Items'!$A$6:$A$1005,0)),"MISSING ID")</x:f>
        <x:v>Salvage</x:v>
      </x:c>
      <x:c r="H1452" s="4" t="str">
        <x:f>IFERROR(INDEX('Items'!$X$6:$X$1005,MATCH(D1452,'Items'!$A$6:$A$1005,0)),"MISSING ID")</x:f>
        <x:v>Tool</x:v>
      </x:c>
      <x:c r="I1452" s="4"/>
      <x:c r="J1452" s="4" t="str">
        <x:v>Unspecified</x:v>
      </x:c>
      <x:c r="K1452" s="4" t="str">
        <x:f>IFERROR(INDEX('Crafting recipes'!$D$6:$D$1005,MATCH(B1452,'Crafting recipes'!$A$6:$A$1005,0)),"MISSING ID")</x:f>
        <x:v>Proposal</x:v>
      </x:c>
      <x:c r="L1452" s="4" t="str">
        <x:f>IFERROR(INDEX('Items'!$AD$6:$AD$1005,MATCH(D1452,'Items'!$A$6:$A$1005,0)),"MISSING ID")</x:f>
        <x:v>Proposal</x:v>
      </x:c>
      <x:c r="M1452" s="4" t="str">
        <x:f>IFERROR(INDEX('Crafting recipes'!$E$6:$E$1005,MATCH(B1452,'Crafting recipes'!$A$6:$A$1005,0)),"MISSING ID")</x:f>
        <x:v>Partial proposal</x:v>
      </x:c>
      <x:c r="N1452" s="4" t="str">
        <x:v>Partial audit candidate; quantity, fit and performance remain unresolved.</x:v>
      </x:c>
      <x:c r="O14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2" s="4" t="n">
        <x:f>IF(OR(C1452="Ingredient candidate",C1452="Consumed input",C1452="Contained input",C1452="Transform input"),IF(F1452="T0",0,IF(F1452="T1",1,IF(F1452="T2",2,IF(F1452="T3",3,IF(F1452="T4",4,-1))))),-1)</x:f>
        <x:v>-1</x:v>
      </x:c>
      <x:c r="Q1452" s="4" t="n">
        <x:f>IF(AND(OR(C1452="Ingredient candidate",C1452="Consumed input",C1452="Contained input",C1452="Transform input"),P1452=-1),1,0)</x:f>
        <x:v>0</x:v>
      </x:c>
    </x:row>
    <x:row r="1453" ht="64" customHeight="1">
      <x:c r="A1453" s="4" t="str">
        <x:v>design.audit.proposal_audit_workshop_winding_mandrel.audit.in.1</x:v>
      </x:c>
      <x:c r="B1453" s="4" t="str">
        <x:v>design.audit.proposal_audit_workshop_winding_mandrel</x:v>
      </x:c>
      <x:c r="C1453" s="4" t="str">
        <x:v>Ingredient candidate</x:v>
      </x:c>
      <x:c r="D1453" s="4" t="str">
        <x:v>author.metallurgy.steel_stock</x:v>
      </x:c>
      <x:c r="E1453" s="4" t="str">
        <x:f>IFERROR(INDEX('Items'!$B$6:$B$1005,MATCH(D1453,'Items'!$A$6:$A$1005,0)),"MISSING ID")</x:f>
        <x:v>Steel stock</x:v>
      </x:c>
      <x:c r="F1453" s="4" t="str">
        <x:f>IFERROR(INDEX('Items'!$C$6:$C$1005,MATCH(D1453,'Items'!$A$6:$A$1005,0)),"MISSING ID")</x:f>
        <x:v>T2</x:v>
      </x:c>
      <x:c r="G1453" s="4" t="str">
        <x:f>IFERROR(INDEX('Items'!$D$6:$D$1005,MATCH(D1453,'Items'!$A$6:$A$1005,0)),"MISSING ID")</x:f>
        <x:v>Manufactured stock</x:v>
      </x:c>
      <x:c r="H1453" s="4" t="str">
        <x:f>IFERROR(INDEX('Items'!$X$6:$X$1005,MATCH(D1453,'Items'!$A$6:$A$1005,0)),"MISSING ID")</x:f>
        <x:v>Processed material</x:v>
      </x:c>
      <x:c r="I1453" s="4"/>
      <x:c r="J1453" s="4" t="str">
        <x:v>Unspecified</x:v>
      </x:c>
      <x:c r="K1453" s="4" t="str">
        <x:f>IFERROR(INDEX('Crafting recipes'!$D$6:$D$1005,MATCH(B1453,'Crafting recipes'!$A$6:$A$1005,0)),"MISSING ID")</x:f>
        <x:v>Proposal</x:v>
      </x:c>
      <x:c r="L1453" s="4" t="str">
        <x:f>IFERROR(INDEX('Items'!$AD$6:$AD$1005,MATCH(D1453,'Items'!$A$6:$A$1005,0)),"MISSING ID")</x:f>
        <x:v>Author direction</x:v>
      </x:c>
      <x:c r="M1453" s="4" t="str">
        <x:f>IFERROR(INDEX('Crafting recipes'!$E$6:$E$1005,MATCH(B1453,'Crafting recipes'!$A$6:$A$1005,0)),"MISSING ID")</x:f>
        <x:v>Partial proposal</x:v>
      </x:c>
      <x:c r="N1453" s="4" t="str">
        <x:v>Partial audit candidate; quantity, fit and performance remain unresolved.</x:v>
      </x:c>
      <x:c r="O14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3" s="4" t="n">
        <x:f>IF(OR(C1453="Ingredient candidate",C1453="Consumed input",C1453="Contained input",C1453="Transform input"),IF(F1453="T0",0,IF(F1453="T1",1,IF(F1453="T2",2,IF(F1453="T3",3,IF(F1453="T4",4,-1))))),-1)</x:f>
        <x:v>2</x:v>
      </x:c>
      <x:c r="Q1453" s="4" t="n">
        <x:f>IF(AND(OR(C1453="Ingredient candidate",C1453="Consumed input",C1453="Contained input",C1453="Transform input"),P1453=-1),1,0)</x:f>
        <x:v>0</x:v>
      </x:c>
    </x:row>
    <x:row r="1454" ht="64" customHeight="1">
      <x:c r="A1454" s="4" t="str">
        <x:v>design.audit.proposal_audit_workshop_winding_mandrel.audit.out</x:v>
      </x:c>
      <x:c r="B1454" s="4" t="str">
        <x:v>design.audit.proposal_audit_workshop_winding_mandrel</x:v>
      </x:c>
      <x:c r="C1454" s="4" t="str">
        <x:v>Output</x:v>
      </x:c>
      <x:c r="D1454" s="4" t="str">
        <x:v>proposal.audit.workshop_winding_mandrel</x:v>
      </x:c>
      <x:c r="E1454" s="4" t="str">
        <x:f>IFERROR(INDEX('Items'!$B$6:$B$1005,MATCH(D1454,'Items'!$A$6:$A$1005,0)),"MISSING ID")</x:f>
        <x:v>Workshop winding mandrel</x:v>
      </x:c>
      <x:c r="F1454" s="4" t="str">
        <x:f>IFERROR(INDEX('Items'!$C$6:$C$1005,MATCH(D1454,'Items'!$A$6:$A$1005,0)),"MISSING ID")</x:f>
        <x:v>Not applicable</x:v>
      </x:c>
      <x:c r="G1454" s="4" t="str">
        <x:f>IFERROR(INDEX('Items'!$D$6:$D$1005,MATCH(D1454,'Items'!$A$6:$A$1005,0)),"MISSING ID")</x:f>
        <x:v>Salvage</x:v>
      </x:c>
      <x:c r="H1454" s="4" t="str">
        <x:f>IFERROR(INDEX('Items'!$X$6:$X$1005,MATCH(D1454,'Items'!$A$6:$A$1005,0)),"MISSING ID")</x:f>
        <x:v>Tool</x:v>
      </x:c>
      <x:c r="I1454" s="4"/>
      <x:c r="J1454" s="4" t="str">
        <x:v>Unspecified</x:v>
      </x:c>
      <x:c r="K1454" s="4" t="str">
        <x:f>IFERROR(INDEX('Crafting recipes'!$D$6:$D$1005,MATCH(B1454,'Crafting recipes'!$A$6:$A$1005,0)),"MISSING ID")</x:f>
        <x:v>Proposal</x:v>
      </x:c>
      <x:c r="L1454" s="4" t="str">
        <x:f>IFERROR(INDEX('Items'!$AD$6:$AD$1005,MATCH(D1454,'Items'!$A$6:$A$1005,0)),"MISSING ID")</x:f>
        <x:v>Proposal</x:v>
      </x:c>
      <x:c r="M1454" s="4" t="str">
        <x:f>IFERROR(INDEX('Crafting recipes'!$E$6:$E$1005,MATCH(B1454,'Crafting recipes'!$A$6:$A$1005,0)),"MISSING ID")</x:f>
        <x:v>Partial proposal</x:v>
      </x:c>
      <x:c r="N1454" s="4" t="str">
        <x:v>Partial audit candidate; quantity, fit and performance remain unresolved.</x:v>
      </x:c>
      <x:c r="O14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4" s="4" t="n">
        <x:f>IF(OR(C1454="Ingredient candidate",C1454="Consumed input",C1454="Contained input",C1454="Transform input"),IF(F1454="T0",0,IF(F1454="T1",1,IF(F1454="T2",2,IF(F1454="T3",3,IF(F1454="T4",4,-1))))),-1)</x:f>
        <x:v>-1</x:v>
      </x:c>
      <x:c r="Q1454" s="4" t="n">
        <x:f>IF(AND(OR(C1454="Ingredient candidate",C1454="Consumed input",C1454="Contained input",C1454="Transform input"),P1454=-1),1,0)</x:f>
        <x:v>0</x:v>
      </x:c>
    </x:row>
    <x:row r="1455" ht="64" customHeight="1">
      <x:c r="A1455" s="4" t="str">
        <x:v>design.audit.proposal_audit_food_preparation_screen.audit.in.1</x:v>
      </x:c>
      <x:c r="B1455" s="4" t="str">
        <x:v>design.audit.proposal_audit_food_preparation_screen</x:v>
      </x:c>
      <x:c r="C1455" s="4" t="str">
        <x:v>Ingredient candidate</x:v>
      </x:c>
      <x:c r="D1455" s="4" t="str">
        <x:v>proposal.bio.cord</x:v>
      </x:c>
      <x:c r="E1455" s="4" t="str">
        <x:f>IFERROR(INDEX('Items'!$B$6:$B$1005,MATCH(D1455,'Items'!$A$6:$A$1005,0)),"MISSING ID")</x:f>
        <x:v>Tendon cord</x:v>
      </x:c>
      <x:c r="F1455" s="4" t="str">
        <x:f>IFERROR(INDEX('Items'!$C$6:$C$1005,MATCH(D1455,'Items'!$A$6:$A$1005,0)),"MISSING ID")</x:f>
        <x:v>T1</x:v>
      </x:c>
      <x:c r="G1455" s="4" t="str">
        <x:f>IFERROR(INDEX('Items'!$D$6:$D$1005,MATCH(D1455,'Items'!$A$6:$A$1005,0)),"MISSING ID")</x:f>
        <x:v>Crafting components</x:v>
      </x:c>
      <x:c r="H1455" s="4" t="str">
        <x:f>IFERROR(INDEX('Items'!$X$6:$X$1005,MATCH(D1455,'Items'!$A$6:$A$1005,0)),"MISSING ID")</x:f>
        <x:v>Crafting component</x:v>
      </x:c>
      <x:c r="I1455" s="4"/>
      <x:c r="J1455" s="4" t="str">
        <x:v>Unspecified</x:v>
      </x:c>
      <x:c r="K1455" s="4" t="str">
        <x:f>IFERROR(INDEX('Crafting recipes'!$D$6:$D$1005,MATCH(B1455,'Crafting recipes'!$A$6:$A$1005,0)),"MISSING ID")</x:f>
        <x:v>Proposal</x:v>
      </x:c>
      <x:c r="L1455" s="4" t="str">
        <x:f>IFERROR(INDEX('Items'!$AD$6:$AD$1005,MATCH(D1455,'Items'!$A$6:$A$1005,0)),"MISSING ID")</x:f>
        <x:v>Proposal</x:v>
      </x:c>
      <x:c r="M1455" s="4" t="str">
        <x:f>IFERROR(INDEX('Crafting recipes'!$E$6:$E$1005,MATCH(B1455,'Crafting recipes'!$A$6:$A$1005,0)),"MISSING ID")</x:f>
        <x:v>Partial proposal</x:v>
      </x:c>
      <x:c r="N1455" s="4" t="str">
        <x:v>Partial audit candidate; quantity, fit and performance remain unresolved.</x:v>
      </x:c>
      <x:c r="O14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5" s="4" t="n">
        <x:f>IF(OR(C1455="Ingredient candidate",C1455="Consumed input",C1455="Contained input",C1455="Transform input"),IF(F1455="T0",0,IF(F1455="T1",1,IF(F1455="T2",2,IF(F1455="T3",3,IF(F1455="T4",4,-1))))),-1)</x:f>
        <x:v>1</x:v>
      </x:c>
      <x:c r="Q1455" s="4" t="n">
        <x:f>IF(AND(OR(C1455="Ingredient candidate",C1455="Consumed input",C1455="Contained input",C1455="Transform input"),P1455=-1),1,0)</x:f>
        <x:v>0</x:v>
      </x:c>
    </x:row>
    <x:row r="1456" ht="64" customHeight="1">
      <x:c r="A1456" s="4" t="str">
        <x:v>design.audit.proposal_audit_food_preparation_screen.audit.in.2</x:v>
      </x:c>
      <x:c r="B1456" s="4" t="str">
        <x:v>design.audit.proposal_audit_food_preparation_screen</x:v>
      </x:c>
      <x:c r="C1456" s="4" t="str">
        <x:v>Ingredient candidate</x:v>
      </x:c>
      <x:c r="D1456" s="4" t="str">
        <x:v>proposal.t1.shell_lamina</x:v>
      </x:c>
      <x:c r="E1456" s="4" t="str">
        <x:f>IFERROR(INDEX('Items'!$B$6:$B$1005,MATCH(D1456,'Items'!$A$6:$A$1005,0)),"MISSING ID")</x:f>
        <x:v>Separated shell lamina stock</x:v>
      </x:c>
      <x:c r="F1456" s="4" t="str">
        <x:f>IFERROR(INDEX('Items'!$C$6:$C$1005,MATCH(D1456,'Items'!$A$6:$A$1005,0)),"MISSING ID")</x:f>
        <x:v>T1</x:v>
      </x:c>
      <x:c r="G1456" s="4" t="str">
        <x:f>IFERROR(INDEX('Items'!$D$6:$D$1005,MATCH(D1456,'Items'!$A$6:$A$1005,0)),"MISSING ID")</x:f>
        <x:v>Manufactured stock</x:v>
      </x:c>
      <x:c r="H1456" s="4" t="str">
        <x:f>IFERROR(INDEX('Items'!$X$6:$X$1005,MATCH(D1456,'Items'!$A$6:$A$1005,0)),"MISSING ID")</x:f>
        <x:v>Processed material</x:v>
      </x:c>
      <x:c r="I1456" s="4"/>
      <x:c r="J1456" s="4" t="str">
        <x:v>Unspecified</x:v>
      </x:c>
      <x:c r="K1456" s="4" t="str">
        <x:f>IFERROR(INDEX('Crafting recipes'!$D$6:$D$1005,MATCH(B1456,'Crafting recipes'!$A$6:$A$1005,0)),"MISSING ID")</x:f>
        <x:v>Proposal</x:v>
      </x:c>
      <x:c r="L1456" s="4" t="str">
        <x:f>IFERROR(INDEX('Items'!$AD$6:$AD$1005,MATCH(D1456,'Items'!$A$6:$A$1005,0)),"MISSING ID")</x:f>
        <x:v>Proposal</x:v>
      </x:c>
      <x:c r="M1456" s="4" t="str">
        <x:f>IFERROR(INDEX('Crafting recipes'!$E$6:$E$1005,MATCH(B1456,'Crafting recipes'!$A$6:$A$1005,0)),"MISSING ID")</x:f>
        <x:v>Partial proposal</x:v>
      </x:c>
      <x:c r="N1456" s="4" t="str">
        <x:v>Partial audit candidate; quantity, fit and performance remain unresolved.</x:v>
      </x:c>
      <x:c r="O14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6" s="4" t="n">
        <x:f>IF(OR(C1456="Ingredient candidate",C1456="Consumed input",C1456="Contained input",C1456="Transform input"),IF(F1456="T0",0,IF(F1456="T1",1,IF(F1456="T2",2,IF(F1456="T3",3,IF(F1456="T4",4,-1))))),-1)</x:f>
        <x:v>1</x:v>
      </x:c>
      <x:c r="Q1456" s="4" t="n">
        <x:f>IF(AND(OR(C1456="Ingredient candidate",C1456="Consumed input",C1456="Contained input",C1456="Transform input"),P1456=-1),1,0)</x:f>
        <x:v>0</x:v>
      </x:c>
    </x:row>
    <x:row r="1457" ht="64" customHeight="1">
      <x:c r="A1457" s="4" t="str">
        <x:v>design.audit.proposal_audit_food_preparation_screen.audit.out</x:v>
      </x:c>
      <x:c r="B1457" s="4" t="str">
        <x:v>design.audit.proposal_audit_food_preparation_screen</x:v>
      </x:c>
      <x:c r="C1457" s="4" t="str">
        <x:v>Output</x:v>
      </x:c>
      <x:c r="D1457" s="4" t="str">
        <x:v>proposal.audit.food_preparation_screen</x:v>
      </x:c>
      <x:c r="E1457" s="4" t="str">
        <x:f>IFERROR(INDEX('Items'!$B$6:$B$1005,MATCH(D1457,'Items'!$A$6:$A$1005,0)),"MISSING ID")</x:f>
        <x:v>Food preparation screen</x:v>
      </x:c>
      <x:c r="F1457" s="4" t="str">
        <x:f>IFERROR(INDEX('Items'!$C$6:$C$1005,MATCH(D1457,'Items'!$A$6:$A$1005,0)),"MISSING ID")</x:f>
        <x:v>Not applicable</x:v>
      </x:c>
      <x:c r="G1457" s="4" t="str">
        <x:f>IFERROR(INDEX('Items'!$D$6:$D$1005,MATCH(D1457,'Items'!$A$6:$A$1005,0)),"MISSING ID")</x:f>
        <x:v>Salvage</x:v>
      </x:c>
      <x:c r="H1457" s="4" t="str">
        <x:f>IFERROR(INDEX('Items'!$X$6:$X$1005,MATCH(D1457,'Items'!$A$6:$A$1005,0)),"MISSING ID")</x:f>
        <x:v>Tool</x:v>
      </x:c>
      <x:c r="I1457" s="4"/>
      <x:c r="J1457" s="4" t="str">
        <x:v>Unspecified</x:v>
      </x:c>
      <x:c r="K1457" s="4" t="str">
        <x:f>IFERROR(INDEX('Crafting recipes'!$D$6:$D$1005,MATCH(B1457,'Crafting recipes'!$A$6:$A$1005,0)),"MISSING ID")</x:f>
        <x:v>Proposal</x:v>
      </x:c>
      <x:c r="L1457" s="4" t="str">
        <x:f>IFERROR(INDEX('Items'!$AD$6:$AD$1005,MATCH(D1457,'Items'!$A$6:$A$1005,0)),"MISSING ID")</x:f>
        <x:v>Proposal</x:v>
      </x:c>
      <x:c r="M1457" s="4" t="str">
        <x:f>IFERROR(INDEX('Crafting recipes'!$E$6:$E$1005,MATCH(B1457,'Crafting recipes'!$A$6:$A$1005,0)),"MISSING ID")</x:f>
        <x:v>Partial proposal</x:v>
      </x:c>
      <x:c r="N1457" s="4" t="str">
        <x:v>Partial audit candidate; quantity, fit and performance remain unresolved.</x:v>
      </x:c>
      <x:c r="O14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7" s="4" t="n">
        <x:f>IF(OR(C1457="Ingredient candidate",C1457="Consumed input",C1457="Contained input",C1457="Transform input"),IF(F1457="T0",0,IF(F1457="T1",1,IF(F1457="T2",2,IF(F1457="T3",3,IF(F1457="T4",4,-1))))),-1)</x:f>
        <x:v>-1</x:v>
      </x:c>
      <x:c r="Q1457" s="4" t="n">
        <x:f>IF(AND(OR(C1457="Ingredient candidate",C1457="Consumed input",C1457="Contained input",C1457="Transform input"),P1457=-1),1,0)</x:f>
        <x:v>0</x:v>
      </x:c>
    </x:row>
    <x:row r="1458" ht="64" customHeight="1">
      <x:c r="A1458" s="4" t="str">
        <x:v>design.audit.proposal_audit_metal_glassworking_blowpipe.audit.in.1</x:v>
      </x:c>
      <x:c r="B1458" s="4" t="str">
        <x:v>design.audit.proposal_audit_metal_glassworking_blowpipe</x:v>
      </x:c>
      <x:c r="C1458" s="4" t="str">
        <x:v>Ingredient candidate</x:v>
      </x:c>
      <x:c r="D1458" s="4" t="str">
        <x:v>proposal.t3.precision_tube</x:v>
      </x:c>
      <x:c r="E1458" s="4" t="str">
        <x:f>IFERROR(INDEX('Items'!$B$6:$B$1005,MATCH(D1458,'Items'!$A$6:$A$1005,0)),"MISSING ID")</x:f>
        <x:v>Drawn steel tube stock</x:v>
      </x:c>
      <x:c r="F1458" s="4" t="str">
        <x:f>IFERROR(INDEX('Items'!$C$6:$C$1005,MATCH(D1458,'Items'!$A$6:$A$1005,0)),"MISSING ID")</x:f>
        <x:v>T3</x:v>
      </x:c>
      <x:c r="G1458" s="4" t="str">
        <x:f>IFERROR(INDEX('Items'!$D$6:$D$1005,MATCH(D1458,'Items'!$A$6:$A$1005,0)),"MISSING ID")</x:f>
        <x:v>Manufactured stock</x:v>
      </x:c>
      <x:c r="H1458" s="4" t="str">
        <x:f>IFERROR(INDEX('Items'!$X$6:$X$1005,MATCH(D1458,'Items'!$A$6:$A$1005,0)),"MISSING ID")</x:f>
        <x:v>Processed material</x:v>
      </x:c>
      <x:c r="I1458" s="4"/>
      <x:c r="J1458" s="4" t="str">
        <x:v>Unspecified</x:v>
      </x:c>
      <x:c r="K1458" s="4" t="str">
        <x:f>IFERROR(INDEX('Crafting recipes'!$D$6:$D$1005,MATCH(B1458,'Crafting recipes'!$A$6:$A$1005,0)),"MISSING ID")</x:f>
        <x:v>Proposal</x:v>
      </x:c>
      <x:c r="L1458" s="4" t="str">
        <x:f>IFERROR(INDEX('Items'!$AD$6:$AD$1005,MATCH(D1458,'Items'!$A$6:$A$1005,0)),"MISSING ID")</x:f>
        <x:v>Proposal</x:v>
      </x:c>
      <x:c r="M1458" s="4" t="str">
        <x:f>IFERROR(INDEX('Crafting recipes'!$E$6:$E$1005,MATCH(B1458,'Crafting recipes'!$A$6:$A$1005,0)),"MISSING ID")</x:f>
        <x:v>Partial proposal</x:v>
      </x:c>
      <x:c r="N1458" s="4" t="str">
        <x:v>Partial audit candidate; quantity, fit and performance remain unresolved.</x:v>
      </x:c>
      <x:c r="O14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8" s="4" t="n">
        <x:f>IF(OR(C1458="Ingredient candidate",C1458="Consumed input",C1458="Contained input",C1458="Transform input"),IF(F1458="T0",0,IF(F1458="T1",1,IF(F1458="T2",2,IF(F1458="T3",3,IF(F1458="T4",4,-1))))),-1)</x:f>
        <x:v>3</x:v>
      </x:c>
      <x:c r="Q1458" s="4" t="n">
        <x:f>IF(AND(OR(C1458="Ingredient candidate",C1458="Consumed input",C1458="Contained input",C1458="Transform input"),P1458=-1),1,0)</x:f>
        <x:v>0</x:v>
      </x:c>
    </x:row>
    <x:row r="1459" ht="64" customHeight="1">
      <x:c r="A1459" s="4" t="str">
        <x:v>design.audit.proposal_audit_metal_glassworking_blowpipe.audit.in.2</x:v>
      </x:c>
      <x:c r="B1459" s="4" t="str">
        <x:v>design.audit.proposal_audit_metal_glassworking_blowpipe</x:v>
      </x:c>
      <x:c r="C1459" s="4" t="str">
        <x:v>Ingredient candidate</x:v>
      </x:c>
      <x:c r="D1459" s="4" t="str">
        <x:v>proposal.audit.shaped_metal_grip_blank</x:v>
      </x:c>
      <x:c r="E1459" s="4" t="str">
        <x:f>IFERROR(INDEX('Items'!$B$6:$B$1005,MATCH(D1459,'Items'!$A$6:$A$1005,0)),"MISSING ID")</x:f>
        <x:v>Shaped metal grip blank</x:v>
      </x:c>
      <x:c r="F1459" s="4" t="str">
        <x:f>IFERROR(INDEX('Items'!$C$6:$C$1005,MATCH(D1459,'Items'!$A$6:$A$1005,0)),"MISSING ID")</x:f>
        <x:v>T3</x:v>
      </x:c>
      <x:c r="G1459" s="4" t="str">
        <x:f>IFERROR(INDEX('Items'!$D$6:$D$1005,MATCH(D1459,'Items'!$A$6:$A$1005,0)),"MISSING ID")</x:f>
        <x:v>Crafting components</x:v>
      </x:c>
      <x:c r="H1459" s="4" t="str">
        <x:f>IFERROR(INDEX('Items'!$X$6:$X$1005,MATCH(D1459,'Items'!$A$6:$A$1005,0)),"MISSING ID")</x:f>
        <x:v>Crafting component</x:v>
      </x:c>
      <x:c r="I1459" s="4"/>
      <x:c r="J1459" s="4" t="str">
        <x:v>Unspecified</x:v>
      </x:c>
      <x:c r="K1459" s="4" t="str">
        <x:f>IFERROR(INDEX('Crafting recipes'!$D$6:$D$1005,MATCH(B1459,'Crafting recipes'!$A$6:$A$1005,0)),"MISSING ID")</x:f>
        <x:v>Proposal</x:v>
      </x:c>
      <x:c r="L1459" s="4" t="str">
        <x:f>IFERROR(INDEX('Items'!$AD$6:$AD$1005,MATCH(D1459,'Items'!$A$6:$A$1005,0)),"MISSING ID")</x:f>
        <x:v>Proposal</x:v>
      </x:c>
      <x:c r="M1459" s="4" t="str">
        <x:f>IFERROR(INDEX('Crafting recipes'!$E$6:$E$1005,MATCH(B1459,'Crafting recipes'!$A$6:$A$1005,0)),"MISSING ID")</x:f>
        <x:v>Partial proposal</x:v>
      </x:c>
      <x:c r="N1459" s="4" t="str">
        <x:v>Partial audit candidate; quantity, fit and performance remain unresolved.</x:v>
      </x:c>
      <x:c r="O14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9" s="4" t="n">
        <x:f>IF(OR(C1459="Ingredient candidate",C1459="Consumed input",C1459="Contained input",C1459="Transform input"),IF(F1459="T0",0,IF(F1459="T1",1,IF(F1459="T2",2,IF(F1459="T3",3,IF(F1459="T4",4,-1))))),-1)</x:f>
        <x:v>3</x:v>
      </x:c>
      <x:c r="Q1459" s="4" t="n">
        <x:f>IF(AND(OR(C1459="Ingredient candidate",C1459="Consumed input",C1459="Contained input",C1459="Transform input"),P1459=-1),1,0)</x:f>
        <x:v>0</x:v>
      </x:c>
    </x:row>
    <x:row r="1460" ht="64" customHeight="1">
      <x:c r="A1460" s="4" t="str">
        <x:v>design.audit.proposal_audit_metal_glassworking_blowpipe.audit.out</x:v>
      </x:c>
      <x:c r="B1460" s="4" t="str">
        <x:v>design.audit.proposal_audit_metal_glassworking_blowpipe</x:v>
      </x:c>
      <x:c r="C1460" s="4" t="str">
        <x:v>Output</x:v>
      </x:c>
      <x:c r="D1460" s="4" t="str">
        <x:v>proposal.audit.metal_glassworking_blowpipe</x:v>
      </x:c>
      <x:c r="E1460" s="4" t="str">
        <x:f>IFERROR(INDEX('Items'!$B$6:$B$1005,MATCH(D1460,'Items'!$A$6:$A$1005,0)),"MISSING ID")</x:f>
        <x:v>Metal glassworking blowpipe</x:v>
      </x:c>
      <x:c r="F1460" s="4" t="str">
        <x:f>IFERROR(INDEX('Items'!$C$6:$C$1005,MATCH(D1460,'Items'!$A$6:$A$1005,0)),"MISSING ID")</x:f>
        <x:v>Not applicable</x:v>
      </x:c>
      <x:c r="G1460" s="4" t="str">
        <x:f>IFERROR(INDEX('Items'!$D$6:$D$1005,MATCH(D1460,'Items'!$A$6:$A$1005,0)),"MISSING ID")</x:f>
        <x:v>Salvage</x:v>
      </x:c>
      <x:c r="H1460" s="4" t="str">
        <x:f>IFERROR(INDEX('Items'!$X$6:$X$1005,MATCH(D1460,'Items'!$A$6:$A$1005,0)),"MISSING ID")</x:f>
        <x:v>Tool</x:v>
      </x:c>
      <x:c r="I1460" s="4"/>
      <x:c r="J1460" s="4" t="str">
        <x:v>Unspecified</x:v>
      </x:c>
      <x:c r="K1460" s="4" t="str">
        <x:f>IFERROR(INDEX('Crafting recipes'!$D$6:$D$1005,MATCH(B1460,'Crafting recipes'!$A$6:$A$1005,0)),"MISSING ID")</x:f>
        <x:v>Proposal</x:v>
      </x:c>
      <x:c r="L1460" s="4" t="str">
        <x:f>IFERROR(INDEX('Items'!$AD$6:$AD$1005,MATCH(D1460,'Items'!$A$6:$A$1005,0)),"MISSING ID")</x:f>
        <x:v>Proposal</x:v>
      </x:c>
      <x:c r="M1460" s="4" t="str">
        <x:f>IFERROR(INDEX('Crafting recipes'!$E$6:$E$1005,MATCH(B1460,'Crafting recipes'!$A$6:$A$1005,0)),"MISSING ID")</x:f>
        <x:v>Partial proposal</x:v>
      </x:c>
      <x:c r="N1460" s="4" t="str">
        <x:v>Partial audit candidate; quantity, fit and performance remain unresolved.</x:v>
      </x:c>
      <x:c r="O14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0" s="4" t="n">
        <x:f>IF(OR(C1460="Ingredient candidate",C1460="Consumed input",C1460="Contained input",C1460="Transform input"),IF(F1460="T0",0,IF(F1460="T1",1,IF(F1460="T2",2,IF(F1460="T3",3,IF(F1460="T4",4,-1))))),-1)</x:f>
        <x:v>-1</x:v>
      </x:c>
      <x:c r="Q1460" s="4" t="n">
        <x:f>IF(AND(OR(C1460="Ingredient candidate",C1460="Consumed input",C1460="Contained input",C1460="Transform input"),P1460=-1),1,0)</x:f>
        <x:v>0</x:v>
      </x:c>
    </x:row>
    <x:row r="1461" ht="64" customHeight="1">
      <x:c r="A1461" s="4" t="str">
        <x:v>design.audit.proposal_wind_turbine.audit.in.1</x:v>
      </x:c>
      <x:c r="B1461" s="4" t="str">
        <x:v>design.audit.proposal_wind_turbine</x:v>
      </x:c>
      <x:c r="C1461" s="4" t="str">
        <x:v>Ingredient candidate</x:v>
      </x:c>
      <x:c r="D1461" s="4" t="str">
        <x:v>proposal.wind.rotor</x:v>
      </x:c>
      <x:c r="E1461" s="4" t="str">
        <x:f>IFERROR(INDEX('Items'!$B$6:$B$1005,MATCH(D1461,'Items'!$A$6:$A$1005,0)),"MISSING ID")</x:f>
        <x:v>Salvaged turbine rotor assembly</x:v>
      </x:c>
      <x:c r="F1461" s="4" t="str">
        <x:f>IFERROR(INDEX('Items'!$C$6:$C$1005,MATCH(D1461,'Items'!$A$6:$A$1005,0)),"MISSING ID")</x:f>
        <x:v>Not applicable</x:v>
      </x:c>
      <x:c r="G1461" s="4" t="str">
        <x:f>IFERROR(INDEX('Items'!$D$6:$D$1005,MATCH(D1461,'Items'!$A$6:$A$1005,0)),"MISSING ID")</x:f>
        <x:v>Salvage</x:v>
      </x:c>
      <x:c r="H1461" s="4" t="str">
        <x:f>IFERROR(INDEX('Items'!$X$6:$X$1005,MATCH(D1461,'Items'!$A$6:$A$1005,0)),"MISSING ID")</x:f>
        <x:v>Crafting component</x:v>
      </x:c>
      <x:c r="I1461" s="4"/>
      <x:c r="J1461" s="4" t="str">
        <x:v>Unspecified</x:v>
      </x:c>
      <x:c r="K1461" s="4" t="str">
        <x:f>IFERROR(INDEX('Crafting recipes'!$D$6:$D$1005,MATCH(B1461,'Crafting recipes'!$A$6:$A$1005,0)),"MISSING ID")</x:f>
        <x:v>Proposal</x:v>
      </x:c>
      <x:c r="L1461" s="4" t="str">
        <x:f>IFERROR(INDEX('Items'!$AD$6:$AD$1005,MATCH(D1461,'Items'!$A$6:$A$1005,0)),"MISSING ID")</x:f>
        <x:v>Proposal</x:v>
      </x:c>
      <x:c r="M1461" s="4" t="str">
        <x:f>IFERROR(INDEX('Crafting recipes'!$E$6:$E$1005,MATCH(B1461,'Crafting recipes'!$A$6:$A$1005,0)),"MISSING ID")</x:f>
        <x:v>Partial proposal</x:v>
      </x:c>
      <x:c r="N1461" s="4" t="str">
        <x:v>Partial audit candidate; quantity, fit and performance remain unresolved.</x:v>
      </x:c>
      <x:c r="O14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1" s="4" t="n">
        <x:f>IF(OR(C1461="Ingredient candidate",C1461="Consumed input",C1461="Contained input",C1461="Transform input"),IF(F1461="T0",0,IF(F1461="T1",1,IF(F1461="T2",2,IF(F1461="T3",3,IF(F1461="T4",4,-1))))),-1)</x:f>
        <x:v>-1</x:v>
      </x:c>
      <x:c r="Q1461" s="4" t="n">
        <x:f>IF(AND(OR(C1461="Ingredient candidate",C1461="Consumed input",C1461="Contained input",C1461="Transform input"),P1461=-1),1,0)</x:f>
        <x:v>1</x:v>
      </x:c>
    </x:row>
    <x:row r="1462" ht="64" customHeight="1">
      <x:c r="A1462" s="4" t="str">
        <x:v>design.audit.proposal_wind_turbine.audit.in.2</x:v>
      </x:c>
      <x:c r="B1462" s="4" t="str">
        <x:v>design.audit.proposal_wind_turbine</x:v>
      </x:c>
      <x:c r="C1462" s="4" t="str">
        <x:v>Ingredient candidate</x:v>
      </x:c>
      <x:c r="D1462" s="4" t="str">
        <x:v>proposal.wind.generator</x:v>
      </x:c>
      <x:c r="E1462" s="4" t="str">
        <x:f>IFERROR(INDEX('Items'!$B$6:$B$1005,MATCH(D1462,'Items'!$A$6:$A$1005,0)),"MISSING ID")</x:f>
        <x:v>Salvaged generator assembly</x:v>
      </x:c>
      <x:c r="F1462" s="4" t="str">
        <x:f>IFERROR(INDEX('Items'!$C$6:$C$1005,MATCH(D1462,'Items'!$A$6:$A$1005,0)),"MISSING ID")</x:f>
        <x:v>Not applicable</x:v>
      </x:c>
      <x:c r="G1462" s="4" t="str">
        <x:f>IFERROR(INDEX('Items'!$D$6:$D$1005,MATCH(D1462,'Items'!$A$6:$A$1005,0)),"MISSING ID")</x:f>
        <x:v>Salvage</x:v>
      </x:c>
      <x:c r="H1462" s="4" t="str">
        <x:f>IFERROR(INDEX('Items'!$X$6:$X$1005,MATCH(D1462,'Items'!$A$6:$A$1005,0)),"MISSING ID")</x:f>
        <x:v>Crafting component</x:v>
      </x:c>
      <x:c r="I1462" s="4"/>
      <x:c r="J1462" s="4" t="str">
        <x:v>Unspecified</x:v>
      </x:c>
      <x:c r="K1462" s="4" t="str">
        <x:f>IFERROR(INDEX('Crafting recipes'!$D$6:$D$1005,MATCH(B1462,'Crafting recipes'!$A$6:$A$1005,0)),"MISSING ID")</x:f>
        <x:v>Proposal</x:v>
      </x:c>
      <x:c r="L1462" s="4" t="str">
        <x:f>IFERROR(INDEX('Items'!$AD$6:$AD$1005,MATCH(D1462,'Items'!$A$6:$A$1005,0)),"MISSING ID")</x:f>
        <x:v>Proposal</x:v>
      </x:c>
      <x:c r="M1462" s="4" t="str">
        <x:f>IFERROR(INDEX('Crafting recipes'!$E$6:$E$1005,MATCH(B1462,'Crafting recipes'!$A$6:$A$1005,0)),"MISSING ID")</x:f>
        <x:v>Partial proposal</x:v>
      </x:c>
      <x:c r="N1462" s="4" t="str">
        <x:v>Partial audit candidate; quantity, fit and performance remain unresolved.</x:v>
      </x:c>
      <x:c r="O14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2" s="4" t="n">
        <x:f>IF(OR(C1462="Ingredient candidate",C1462="Consumed input",C1462="Contained input",C1462="Transform input"),IF(F1462="T0",0,IF(F1462="T1",1,IF(F1462="T2",2,IF(F1462="T3",3,IF(F1462="T4",4,-1))))),-1)</x:f>
        <x:v>-1</x:v>
      </x:c>
      <x:c r="Q1462" s="4" t="n">
        <x:f>IF(AND(OR(C1462="Ingredient candidate",C1462="Consumed input",C1462="Contained input",C1462="Transform input"),P1462=-1),1,0)</x:f>
        <x:v>1</x:v>
      </x:c>
    </x:row>
    <x:row r="1463" ht="64" customHeight="1">
      <x:c r="A1463" s="4" t="str">
        <x:v>design.audit.proposal_wind_turbine.audit.in.3</x:v>
      </x:c>
      <x:c r="B1463" s="4" t="str">
        <x:v>design.audit.proposal_wind_turbine</x:v>
      </x:c>
      <x:c r="C1463" s="4" t="str">
        <x:v>Ingredient candidate</x:v>
      </x:c>
      <x:c r="D1463" s="4" t="str">
        <x:v>proposal.t4.turbine_hub</x:v>
      </x:c>
      <x:c r="E1463" s="4" t="str">
        <x:f>IFERROR(INDEX('Items'!$B$6:$B$1005,MATCH(D1463,'Items'!$A$6:$A$1005,0)),"MISSING ID")</x:f>
        <x:v>Matched wind-turbine hub core</x:v>
      </x:c>
      <x:c r="F1463" s="4" t="str">
        <x:f>IFERROR(INDEX('Items'!$C$6:$C$1005,MATCH(D1463,'Items'!$A$6:$A$1005,0)),"MISSING ID")</x:f>
        <x:v>T4</x:v>
      </x:c>
      <x:c r="G1463" s="4" t="str">
        <x:f>IFERROR(INDEX('Items'!$D$6:$D$1005,MATCH(D1463,'Items'!$A$6:$A$1005,0)),"MISSING ID")</x:f>
        <x:v>Crafting components</x:v>
      </x:c>
      <x:c r="H1463" s="4" t="str">
        <x:f>IFERROR(INDEX('Items'!$X$6:$X$1005,MATCH(D1463,'Items'!$A$6:$A$1005,0)),"MISSING ID")</x:f>
        <x:v>Crafting component</x:v>
      </x:c>
      <x:c r="I1463" s="4"/>
      <x:c r="J1463" s="4" t="str">
        <x:v>Unspecified</x:v>
      </x:c>
      <x:c r="K1463" s="4" t="str">
        <x:f>IFERROR(INDEX('Crafting recipes'!$D$6:$D$1005,MATCH(B1463,'Crafting recipes'!$A$6:$A$1005,0)),"MISSING ID")</x:f>
        <x:v>Proposal</x:v>
      </x:c>
      <x:c r="L1463" s="4" t="str">
        <x:f>IFERROR(INDEX('Items'!$AD$6:$AD$1005,MATCH(D1463,'Items'!$A$6:$A$1005,0)),"MISSING ID")</x:f>
        <x:v>Proposal</x:v>
      </x:c>
      <x:c r="M1463" s="4" t="str">
        <x:f>IFERROR(INDEX('Crafting recipes'!$E$6:$E$1005,MATCH(B1463,'Crafting recipes'!$A$6:$A$1005,0)),"MISSING ID")</x:f>
        <x:v>Partial proposal</x:v>
      </x:c>
      <x:c r="N1463" s="4" t="str">
        <x:v>Partial audit candidate; quantity, fit and performance remain unresolved.</x:v>
      </x:c>
      <x:c r="O14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3" s="4" t="n">
        <x:f>IF(OR(C1463="Ingredient candidate",C1463="Consumed input",C1463="Contained input",C1463="Transform input"),IF(F1463="T0",0,IF(F1463="T1",1,IF(F1463="T2",2,IF(F1463="T3",3,IF(F1463="T4",4,-1))))),-1)</x:f>
        <x:v>4</x:v>
      </x:c>
      <x:c r="Q1463" s="4" t="n">
        <x:f>IF(AND(OR(C1463="Ingredient candidate",C1463="Consumed input",C1463="Contained input",C1463="Transform input"),P1463=-1),1,0)</x:f>
        <x:v>0</x:v>
      </x:c>
    </x:row>
    <x:row r="1464" ht="64" customHeight="1">
      <x:c r="A1464" s="4" t="str">
        <x:v>design.audit.proposal_wind_turbine.audit.in.4</x:v>
      </x:c>
      <x:c r="B1464" s="4" t="str">
        <x:v>design.audit.proposal_wind_turbine</x:v>
      </x:c>
      <x:c r="C1464" s="4" t="str">
        <x:v>Ingredient candidate</x:v>
      </x:c>
      <x:c r="D1464" s="4" t="str">
        <x:v>proposal.legger.iron_rib</x:v>
      </x:c>
      <x:c r="E1464" s="4" t="str">
        <x:f>IFERROR(INDEX('Items'!$B$6:$B$1005,MATCH(D1464,'Items'!$A$6:$A$1005,0)),"MISSING ID")</x:f>
        <x:v>Iron chassis replacement rib</x:v>
      </x:c>
      <x:c r="F1464" s="4" t="str">
        <x:f>IFERROR(INDEX('Items'!$C$6:$C$1005,MATCH(D1464,'Items'!$A$6:$A$1005,0)),"MISSING ID")</x:f>
        <x:v>T3</x:v>
      </x:c>
      <x:c r="G1464" s="4" t="str">
        <x:f>IFERROR(INDEX('Items'!$D$6:$D$1005,MATCH(D1464,'Items'!$A$6:$A$1005,0)),"MISSING ID")</x:f>
        <x:v>Crafting components</x:v>
      </x:c>
      <x:c r="H1464" s="4" t="str">
        <x:f>IFERROR(INDEX('Items'!$X$6:$X$1005,MATCH(D1464,'Items'!$A$6:$A$1005,0)),"MISSING ID")</x:f>
        <x:v>Crafting component</x:v>
      </x:c>
      <x:c r="I1464" s="4"/>
      <x:c r="J1464" s="4" t="str">
        <x:v>Unspecified</x:v>
      </x:c>
      <x:c r="K1464" s="4" t="str">
        <x:f>IFERROR(INDEX('Crafting recipes'!$D$6:$D$1005,MATCH(B1464,'Crafting recipes'!$A$6:$A$1005,0)),"MISSING ID")</x:f>
        <x:v>Proposal</x:v>
      </x:c>
      <x:c r="L1464" s="4" t="str">
        <x:f>IFERROR(INDEX('Items'!$AD$6:$AD$1005,MATCH(D1464,'Items'!$A$6:$A$1005,0)),"MISSING ID")</x:f>
        <x:v>Proposal</x:v>
      </x:c>
      <x:c r="M1464" s="4" t="str">
        <x:f>IFERROR(INDEX('Crafting recipes'!$E$6:$E$1005,MATCH(B1464,'Crafting recipes'!$A$6:$A$1005,0)),"MISSING ID")</x:f>
        <x:v>Partial proposal</x:v>
      </x:c>
      <x:c r="N1464" s="4" t="str">
        <x:v>Partial audit candidate; quantity, fit and performance remain unresolved.</x:v>
      </x:c>
      <x:c r="O14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4" s="4" t="n">
        <x:f>IF(OR(C1464="Ingredient candidate",C1464="Consumed input",C1464="Contained input",C1464="Transform input"),IF(F1464="T0",0,IF(F1464="T1",1,IF(F1464="T2",2,IF(F1464="T3",3,IF(F1464="T4",4,-1))))),-1)</x:f>
        <x:v>3</x:v>
      </x:c>
      <x:c r="Q1464" s="4" t="n">
        <x:f>IF(AND(OR(C1464="Ingredient candidate",C1464="Consumed input",C1464="Contained input",C1464="Transform input"),P1464=-1),1,0)</x:f>
        <x:v>0</x:v>
      </x:c>
    </x:row>
    <x:row r="1465" ht="64" customHeight="1">
      <x:c r="A1465" s="4" t="str">
        <x:v>design.audit.proposal_wind_turbine.audit.out</x:v>
      </x:c>
      <x:c r="B1465" s="4" t="str">
        <x:v>design.audit.proposal_wind_turbine</x:v>
      </x:c>
      <x:c r="C1465" s="4" t="str">
        <x:v>Output</x:v>
      </x:c>
      <x:c r="D1465" s="4" t="str">
        <x:v>proposal.wind.turbine</x:v>
      </x:c>
      <x:c r="E1465" s="4" t="str">
        <x:f>IFERROR(INDEX('Items'!$B$6:$B$1005,MATCH(D1465,'Items'!$A$6:$A$1005,0)),"MISSING ID")</x:f>
        <x:v>Salvaged wind turbine</x:v>
      </x:c>
      <x:c r="F1465" s="4" t="str">
        <x:f>IFERROR(INDEX('Items'!$C$6:$C$1005,MATCH(D1465,'Items'!$A$6:$A$1005,0)),"MISSING ID")</x:f>
        <x:v>Not applicable</x:v>
      </x:c>
      <x:c r="G1465" s="4" t="str">
        <x:f>IFERROR(INDEX('Items'!$D$6:$D$1005,MATCH(D1465,'Items'!$A$6:$A$1005,0)),"MISSING ID")</x:f>
        <x:v>Salvage</x:v>
      </x:c>
      <x:c r="H1465" s="4" t="str">
        <x:f>IFERROR(INDEX('Items'!$X$6:$X$1005,MATCH(D1465,'Items'!$A$6:$A$1005,0)),"MISSING ID")</x:f>
        <x:v>Machine</x:v>
      </x:c>
      <x:c r="I1465" s="4"/>
      <x:c r="J1465" s="4" t="str">
        <x:v>Unspecified</x:v>
      </x:c>
      <x:c r="K1465" s="4" t="str">
        <x:f>IFERROR(INDEX('Crafting recipes'!$D$6:$D$1005,MATCH(B1465,'Crafting recipes'!$A$6:$A$1005,0)),"MISSING ID")</x:f>
        <x:v>Proposal</x:v>
      </x:c>
      <x:c r="L1465" s="4" t="str">
        <x:f>IFERROR(INDEX('Items'!$AD$6:$AD$1005,MATCH(D1465,'Items'!$A$6:$A$1005,0)),"MISSING ID")</x:f>
        <x:v>Author direction</x:v>
      </x:c>
      <x:c r="M1465" s="4" t="str">
        <x:f>IFERROR(INDEX('Crafting recipes'!$E$6:$E$1005,MATCH(B1465,'Crafting recipes'!$A$6:$A$1005,0)),"MISSING ID")</x:f>
        <x:v>Partial proposal</x:v>
      </x:c>
      <x:c r="N1465" s="4" t="str">
        <x:v>Partial audit candidate; quantity, fit and performance remain unresolved.</x:v>
      </x:c>
      <x:c r="O14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5" s="4" t="n">
        <x:f>IF(OR(C1465="Ingredient candidate",C1465="Consumed input",C1465="Contained input",C1465="Transform input"),IF(F1465="T0",0,IF(F1465="T1",1,IF(F1465="T2",2,IF(F1465="T3",3,IF(F1465="T4",4,-1))))),-1)</x:f>
        <x:v>-1</x:v>
      </x:c>
      <x:c r="Q1465" s="4" t="n">
        <x:f>IF(AND(OR(C1465="Ingredient candidate",C1465="Consumed input",C1465="Contained input",C1465="Transform input"),P1465=-1),1,0)</x:f>
        <x:v>0</x:v>
      </x:c>
    </x:row>
    <x:row r="1466" ht="64" customHeight="1">
      <x:c r="A1466" s="4"/>
      <x:c r="B1466" s="4"/>
      <x:c r="C1466" s="4"/>
      <x:c r="D1466" s="4"/>
      <x:c r="E1466" s="4"/>
      <x:c r="F1466" s="4"/>
      <x:c r="G1466" s="4"/>
      <x:c r="H1466" s="4"/>
      <x:c r="I1466" s="4"/>
      <x:c r="J1466" s="4"/>
      <x:c r="K1466" s="4"/>
      <x:c r="L1466" s="4"/>
      <x:c r="M1466" s="4"/>
      <x:c r="N1466" s="4"/>
      <x:c r="O1466" s="4"/>
      <x:c r="P1466" s="4"/>
      <x:c r="Q1466" s="4"/>
    </x:row>
    <x:row r="1467" ht="64" customHeight="1">
      <x:c r="A1467" s="4"/>
      <x:c r="B1467" s="4"/>
      <x:c r="C1467" s="4"/>
      <x:c r="D1467" s="4"/>
      <x:c r="E1467" s="4"/>
      <x:c r="F1467" s="4"/>
      <x:c r="G1467" s="4"/>
      <x:c r="H1467" s="4"/>
      <x:c r="I1467" s="4"/>
      <x:c r="J1467" s="4"/>
      <x:c r="K1467" s="4"/>
      <x:c r="L1467" s="4"/>
      <x:c r="M1467" s="4"/>
      <x:c r="N1467" s="4"/>
      <x:c r="O1467" s="4"/>
      <x:c r="P1467" s="4"/>
      <x:c r="Q1467" s="4"/>
    </x:row>
    <x:row r="1468" ht="64" customHeight="1">
      <x:c r="A1468" s="4"/>
      <x:c r="B1468" s="4"/>
      <x:c r="C1468" s="4"/>
      <x:c r="D1468" s="4"/>
      <x:c r="E1468" s="4"/>
      <x:c r="F1468" s="4"/>
      <x:c r="G1468" s="4"/>
      <x:c r="H1468" s="4"/>
      <x:c r="I1468" s="4"/>
      <x:c r="J1468" s="4"/>
      <x:c r="K1468" s="4"/>
      <x:c r="L1468" s="4"/>
      <x:c r="M1468" s="4"/>
      <x:c r="N1468" s="4"/>
      <x:c r="O1468" s="4"/>
      <x:c r="P1468" s="4"/>
      <x:c r="Q1468" s="4"/>
    </x:row>
    <x:row r="1469" ht="64" customHeight="1">
      <x:c r="A1469" s="4"/>
      <x:c r="B1469" s="4"/>
      <x:c r="C1469" s="4"/>
      <x:c r="D1469" s="4"/>
      <x:c r="E1469" s="4"/>
      <x:c r="F1469" s="4"/>
      <x:c r="G1469" s="4"/>
      <x:c r="H1469" s="4"/>
      <x:c r="I1469" s="4"/>
      <x:c r="J1469" s="4"/>
      <x:c r="K1469" s="4"/>
      <x:c r="L1469" s="4"/>
      <x:c r="M1469" s="4"/>
      <x:c r="N1469" s="4"/>
      <x:c r="O1469" s="4"/>
      <x:c r="P1469" s="4"/>
      <x:c r="Q1469" s="4"/>
    </x:row>
    <x:row r="1470" ht="64" customHeight="1">
      <x:c r="A1470" s="4"/>
      <x:c r="B1470" s="4"/>
      <x:c r="C1470" s="4"/>
      <x:c r="D1470" s="4"/>
      <x:c r="E1470" s="4"/>
      <x:c r="F1470" s="4"/>
      <x:c r="G1470" s="4"/>
      <x:c r="H1470" s="4"/>
      <x:c r="I1470" s="4"/>
      <x:c r="J1470" s="4"/>
      <x:c r="K1470" s="4"/>
      <x:c r="L1470" s="4"/>
      <x:c r="M1470" s="4"/>
      <x:c r="N1470" s="4"/>
      <x:c r="O1470" s="4"/>
      <x:c r="P1470" s="4"/>
      <x:c r="Q1470" s="4"/>
    </x:row>
    <x:row r="1471" ht="64" customHeight="1">
      <x:c r="A1471" s="4" t="str">
        <x:v>design.audit.equipment_cloak.audit.in.1</x:v>
      </x:c>
      <x:c r="B1471" s="4" t="str">
        <x:v>design.audit.equipment_cloak</x:v>
      </x:c>
      <x:c r="C1471" s="4" t="str">
        <x:v>Ingredient candidate</x:v>
      </x:c>
      <x:c r="D1471" s="4" t="str">
        <x:v>proposal.branch.husk_composite</x:v>
      </x:c>
      <x:c r="E1471" s="4" t="str">
        <x:f>IFERROR(INDEX('Items'!$B$6:$B$1005,MATCH(D1471,'Items'!$A$6:$A$1005,0)),"MISSING ID")</x:f>
        <x:v>Layered husk composite stock</x:v>
      </x:c>
      <x:c r="F1471" s="4" t="str">
        <x:f>IFERROR(INDEX('Items'!$C$6:$C$1005,MATCH(D1471,'Items'!$A$6:$A$1005,0)),"MISSING ID")</x:f>
        <x:v>T3</x:v>
      </x:c>
      <x:c r="G1471" s="4" t="str">
        <x:f>IFERROR(INDEX('Items'!$D$6:$D$1005,MATCH(D1471,'Items'!$A$6:$A$1005,0)),"MISSING ID")</x:f>
        <x:v>Manufactured stock</x:v>
      </x:c>
      <x:c r="H1471" s="4" t="str">
        <x:f>IFERROR(INDEX('Items'!$X$6:$X$1005,MATCH(D1471,'Items'!$A$6:$A$1005,0)),"MISSING ID")</x:f>
        <x:v>Processed material</x:v>
      </x:c>
      <x:c r="I1471" s="4"/>
      <x:c r="J1471" s="4" t="str">
        <x:v>Unspecified</x:v>
      </x:c>
      <x:c r="K1471" s="4" t="str">
        <x:f>IFERROR(INDEX('Crafting recipes'!$D$6:$D$1005,MATCH(B1471,'Crafting recipes'!$A$6:$A$1005,0)),"MISSING ID")</x:f>
        <x:v>Proposal</x:v>
      </x:c>
      <x:c r="L1471" s="4" t="str">
        <x:f>IFERROR(INDEX('Items'!$AD$6:$AD$1005,MATCH(D1471,'Items'!$A$6:$A$1005,0)),"MISSING ID")</x:f>
        <x:v>Proposal</x:v>
      </x:c>
      <x:c r="M1471" s="4" t="str">
        <x:f>IFERROR(INDEX('Crafting recipes'!$E$6:$E$1005,MATCH(B1471,'Crafting recipes'!$A$6:$A$1005,0)),"MISSING ID")</x:f>
        <x:v>Partial proposal</x:v>
      </x:c>
      <x:c r="N1471" s="4" t="str">
        <x:v>Partial audit candidate; quantity, fit and performance remain unresolved.</x:v>
      </x:c>
      <x:c r="O14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1" s="4" t="n">
        <x:f>IF(OR(C1471="Ingredient candidate",C1471="Consumed input",C1471="Contained input",C1471="Transform input"),IF(F1471="T0",0,IF(F1471="T1",1,IF(F1471="T2",2,IF(F1471="T3",3,IF(F1471="T4",4,-1))))),-1)</x:f>
        <x:v>3</x:v>
      </x:c>
      <x:c r="Q1471" s="4" t="n">
        <x:f>IF(AND(OR(C1471="Ingredient candidate",C1471="Consumed input",C1471="Contained input",C1471="Transform input"),P1471=-1),1,0)</x:f>
        <x:v>0</x:v>
      </x:c>
    </x:row>
    <x:row r="1472" ht="64" customHeight="1">
      <x:c r="A1472" s="4" t="str">
        <x:v>design.audit.equipment_cloak.audit.in.2</x:v>
      </x:c>
      <x:c r="B1472" s="4" t="str">
        <x:v>design.audit.equipment_cloak</x:v>
      </x:c>
      <x:c r="C1472" s="4" t="str">
        <x:v>Ingredient candidate</x:v>
      </x:c>
      <x:c r="D1472" s="4" t="str">
        <x:v>proposal.audit.pressed_hide_fastening_strips</x:v>
      </x:c>
      <x:c r="E1472" s="4" t="str">
        <x:f>IFERROR(INDEX('Items'!$B$6:$B$1005,MATCH(D1472,'Items'!$A$6:$A$1005,0)),"MISSING ID")</x:f>
        <x:v>Pressed hide fastening strips</x:v>
      </x:c>
      <x:c r="F1472" s="4" t="str">
        <x:f>IFERROR(INDEX('Items'!$C$6:$C$1005,MATCH(D1472,'Items'!$A$6:$A$1005,0)),"MISSING ID")</x:f>
        <x:v>T2</x:v>
      </x:c>
      <x:c r="G1472" s="4" t="str">
        <x:f>IFERROR(INDEX('Items'!$D$6:$D$1005,MATCH(D1472,'Items'!$A$6:$A$1005,0)),"MISSING ID")</x:f>
        <x:v>Manufactured stock</x:v>
      </x:c>
      <x:c r="H1472" s="4" t="str">
        <x:f>IFERROR(INDEX('Items'!$X$6:$X$1005,MATCH(D1472,'Items'!$A$6:$A$1005,0)),"MISSING ID")</x:f>
        <x:v>Processed material</x:v>
      </x:c>
      <x:c r="I1472" s="4"/>
      <x:c r="J1472" s="4" t="str">
        <x:v>Unspecified</x:v>
      </x:c>
      <x:c r="K1472" s="4" t="str">
        <x:f>IFERROR(INDEX('Crafting recipes'!$D$6:$D$1005,MATCH(B1472,'Crafting recipes'!$A$6:$A$1005,0)),"MISSING ID")</x:f>
        <x:v>Proposal</x:v>
      </x:c>
      <x:c r="L1472" s="4" t="str">
        <x:f>IFERROR(INDEX('Items'!$AD$6:$AD$1005,MATCH(D1472,'Items'!$A$6:$A$1005,0)),"MISSING ID")</x:f>
        <x:v>Proposal</x:v>
      </x:c>
      <x:c r="M1472" s="4" t="str">
        <x:f>IFERROR(INDEX('Crafting recipes'!$E$6:$E$1005,MATCH(B1472,'Crafting recipes'!$A$6:$A$1005,0)),"MISSING ID")</x:f>
        <x:v>Partial proposal</x:v>
      </x:c>
      <x:c r="N1472" s="4" t="str">
        <x:v>Partial audit candidate; quantity, fit and performance remain unresolved.</x:v>
      </x:c>
      <x:c r="O14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2" s="4" t="n">
        <x:f>IF(OR(C1472="Ingredient candidate",C1472="Consumed input",C1472="Contained input",C1472="Transform input"),IF(F1472="T0",0,IF(F1472="T1",1,IF(F1472="T2",2,IF(F1472="T3",3,IF(F1472="T4",4,-1))))),-1)</x:f>
        <x:v>2</x:v>
      </x:c>
      <x:c r="Q1472" s="4" t="n">
        <x:f>IF(AND(OR(C1472="Ingredient candidate",C1472="Consumed input",C1472="Contained input",C1472="Transform input"),P1472=-1),1,0)</x:f>
        <x:v>0</x:v>
      </x:c>
    </x:row>
    <x:row r="1473" ht="64" customHeight="1">
      <x:c r="A1473" s="4" t="str">
        <x:v>design.audit.equipment_cloak.audit.in.3</x:v>
      </x:c>
      <x:c r="B1473" s="4" t="str">
        <x:v>design.audit.equipment_cloak</x:v>
      </x:c>
      <x:c r="C1473" s="4" t="str">
        <x:v>Ingredient candidate</x:v>
      </x:c>
      <x:c r="D1473" s="4" t="str">
        <x:v>proposal.ceramic.fastener</x:v>
      </x:c>
      <x:c r="E1473" s="4" t="str">
        <x:f>IFERROR(INDEX('Items'!$B$6:$B$1005,MATCH(D1473,'Items'!$A$6:$A$1005,0)),"MISSING ID")</x:f>
        <x:v>Ceramic toggle fastener</x:v>
      </x:c>
      <x:c r="F1473" s="4" t="str">
        <x:f>IFERROR(INDEX('Items'!$C$6:$C$1005,MATCH(D1473,'Items'!$A$6:$A$1005,0)),"MISSING ID")</x:f>
        <x:v>T3</x:v>
      </x:c>
      <x:c r="G1473" s="4" t="str">
        <x:f>IFERROR(INDEX('Items'!$D$6:$D$1005,MATCH(D1473,'Items'!$A$6:$A$1005,0)),"MISSING ID")</x:f>
        <x:v>Crafting components</x:v>
      </x:c>
      <x:c r="H1473" s="4" t="str">
        <x:f>IFERROR(INDEX('Items'!$X$6:$X$1005,MATCH(D1473,'Items'!$A$6:$A$1005,0)),"MISSING ID")</x:f>
        <x:v>Crafting component</x:v>
      </x:c>
      <x:c r="I1473" s="4"/>
      <x:c r="J1473" s="4" t="str">
        <x:v>Unspecified</x:v>
      </x:c>
      <x:c r="K1473" s="4" t="str">
        <x:f>IFERROR(INDEX('Crafting recipes'!$D$6:$D$1005,MATCH(B1473,'Crafting recipes'!$A$6:$A$1005,0)),"MISSING ID")</x:f>
        <x:v>Proposal</x:v>
      </x:c>
      <x:c r="L1473" s="4" t="str">
        <x:f>IFERROR(INDEX('Items'!$AD$6:$AD$1005,MATCH(D1473,'Items'!$A$6:$A$1005,0)),"MISSING ID")</x:f>
        <x:v>Proposal</x:v>
      </x:c>
      <x:c r="M1473" s="4" t="str">
        <x:f>IFERROR(INDEX('Crafting recipes'!$E$6:$E$1005,MATCH(B1473,'Crafting recipes'!$A$6:$A$1005,0)),"MISSING ID")</x:f>
        <x:v>Partial proposal</x:v>
      </x:c>
      <x:c r="N1473" s="4" t="str">
        <x:v>Partial audit candidate; quantity, fit and performance remain unresolved.</x:v>
      </x:c>
      <x:c r="O14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3" s="4" t="n">
        <x:f>IF(OR(C1473="Ingredient candidate",C1473="Consumed input",C1473="Contained input",C1473="Transform input"),IF(F1473="T0",0,IF(F1473="T1",1,IF(F1473="T2",2,IF(F1473="T3",3,IF(F1473="T4",4,-1))))),-1)</x:f>
        <x:v>3</x:v>
      </x:c>
      <x:c r="Q1473" s="4" t="n">
        <x:f>IF(AND(OR(C1473="Ingredient candidate",C1473="Consumed input",C1473="Contained input",C1473="Transform input"),P1473=-1),1,0)</x:f>
        <x:v>0</x:v>
      </x:c>
    </x:row>
    <x:row r="1474" ht="64" customHeight="1">
      <x:c r="A1474" s="4" t="str">
        <x:v>design.audit.equipment_cloak.audit.out</x:v>
      </x:c>
      <x:c r="B1474" s="4" t="str">
        <x:v>design.audit.equipment_cloak</x:v>
      </x:c>
      <x:c r="C1474" s="4" t="str">
        <x:v>Output</x:v>
      </x:c>
      <x:c r="D1474" s="4" t="str">
        <x:v>equipment.cloak</x:v>
      </x:c>
      <x:c r="E1474" s="4" t="str">
        <x:f>IFERROR(INDEX('Items'!$B$6:$B$1005,MATCH(D1474,'Items'!$A$6:$A$1005,0)),"MISSING ID")</x:f>
        <x:v>Cloak</x:v>
      </x:c>
      <x:c r="F1474" s="4" t="str">
        <x:f>IFERROR(INDEX('Items'!$C$6:$C$1005,MATCH(D1474,'Items'!$A$6:$A$1005,0)),"MISSING ID")</x:f>
        <x:v>Not applicable</x:v>
      </x:c>
      <x:c r="G1474" s="4" t="str">
        <x:f>IFERROR(INDEX('Items'!$D$6:$D$1005,MATCH(D1474,'Items'!$A$6:$A$1005,0)),"MISSING ID")</x:f>
        <x:v>Tools</x:v>
      </x:c>
      <x:c r="H1474" s="4" t="str">
        <x:f>IFERROR(INDEX('Items'!$X$6:$X$1005,MATCH(D1474,'Items'!$A$6:$A$1005,0)),"MISSING ID")</x:f>
        <x:v>Wearable</x:v>
      </x:c>
      <x:c r="I1474" s="4"/>
      <x:c r="J1474" s="4" t="str">
        <x:v>Unspecified</x:v>
      </x:c>
      <x:c r="K1474" s="4" t="str">
        <x:f>IFERROR(INDEX('Crafting recipes'!$D$6:$D$1005,MATCH(B1474,'Crafting recipes'!$A$6:$A$1005,0)),"MISSING ID")</x:f>
        <x:v>Proposal</x:v>
      </x:c>
      <x:c r="L1474" s="4" t="str">
        <x:f>IFERROR(INDEX('Items'!$AD$6:$AD$1005,MATCH(D1474,'Items'!$A$6:$A$1005,0)),"MISSING ID")</x:f>
        <x:v>Existing definition</x:v>
      </x:c>
      <x:c r="M1474" s="4" t="str">
        <x:f>IFERROR(INDEX('Crafting recipes'!$E$6:$E$1005,MATCH(B1474,'Crafting recipes'!$A$6:$A$1005,0)),"MISSING ID")</x:f>
        <x:v>Partial proposal</x:v>
      </x:c>
      <x:c r="N1474" s="4" t="str">
        <x:v>Partial audit candidate; quantity, fit and performance remain unresolved.</x:v>
      </x:c>
      <x:c r="O14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4" s="4" t="n">
        <x:f>IF(OR(C1474="Ingredient candidate",C1474="Consumed input",C1474="Contained input",C1474="Transform input"),IF(F1474="T0",0,IF(F1474="T1",1,IF(F1474="T2",2,IF(F1474="T3",3,IF(F1474="T4",4,-1))))),-1)</x:f>
        <x:v>-1</x:v>
      </x:c>
      <x:c r="Q1474" s="4" t="n">
        <x:f>IF(AND(OR(C1474="Ingredient candidate",C1474="Consumed input",C1474="Contained input",C1474="Transform input"),P1474=-1),1,0)</x:f>
        <x:v>0</x:v>
      </x:c>
    </x:row>
    <x:row r="1475" ht="64" customHeight="1">
      <x:c r="A1475" s="4" t="str">
        <x:v>design.audit.equipment_digging_tool.audit.in.1</x:v>
      </x:c>
      <x:c r="B1475" s="4" t="str">
        <x:v>design.audit.equipment_digging_tool</x:v>
      </x:c>
      <x:c r="C1475" s="4" t="str">
        <x:v>Ingredient candidate</x:v>
      </x:c>
      <x:c r="D1475" s="4" t="str">
        <x:v>author.metallurgy.steel_stock</x:v>
      </x:c>
      <x:c r="E1475" s="4" t="str">
        <x:f>IFERROR(INDEX('Items'!$B$6:$B$1005,MATCH(D1475,'Items'!$A$6:$A$1005,0)),"MISSING ID")</x:f>
        <x:v>Steel stock</x:v>
      </x:c>
      <x:c r="F1475" s="4" t="str">
        <x:f>IFERROR(INDEX('Items'!$C$6:$C$1005,MATCH(D1475,'Items'!$A$6:$A$1005,0)),"MISSING ID")</x:f>
        <x:v>T2</x:v>
      </x:c>
      <x:c r="G1475" s="4" t="str">
        <x:f>IFERROR(INDEX('Items'!$D$6:$D$1005,MATCH(D1475,'Items'!$A$6:$A$1005,0)),"MISSING ID")</x:f>
        <x:v>Manufactured stock</x:v>
      </x:c>
      <x:c r="H1475" s="4" t="str">
        <x:f>IFERROR(INDEX('Items'!$X$6:$X$1005,MATCH(D1475,'Items'!$A$6:$A$1005,0)),"MISSING ID")</x:f>
        <x:v>Processed material</x:v>
      </x:c>
      <x:c r="I1475" s="4"/>
      <x:c r="J1475" s="4" t="str">
        <x:v>Unspecified</x:v>
      </x:c>
      <x:c r="K1475" s="4" t="str">
        <x:f>IFERROR(INDEX('Crafting recipes'!$D$6:$D$1005,MATCH(B1475,'Crafting recipes'!$A$6:$A$1005,0)),"MISSING ID")</x:f>
        <x:v>Proposal</x:v>
      </x:c>
      <x:c r="L1475" s="4" t="str">
        <x:f>IFERROR(INDEX('Items'!$AD$6:$AD$1005,MATCH(D1475,'Items'!$A$6:$A$1005,0)),"MISSING ID")</x:f>
        <x:v>Author direction</x:v>
      </x:c>
      <x:c r="M1475" s="4" t="str">
        <x:f>IFERROR(INDEX('Crafting recipes'!$E$6:$E$1005,MATCH(B1475,'Crafting recipes'!$A$6:$A$1005,0)),"MISSING ID")</x:f>
        <x:v>Partial proposal</x:v>
      </x:c>
      <x:c r="N1475" s="4" t="str">
        <x:v>Partial audit candidate; quantity, fit and performance remain unresolved.</x:v>
      </x:c>
      <x:c r="O14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5" s="4" t="n">
        <x:f>IF(OR(C1475="Ingredient candidate",C1475="Consumed input",C1475="Contained input",C1475="Transform input"),IF(F1475="T0",0,IF(F1475="T1",1,IF(F1475="T2",2,IF(F1475="T3",3,IF(F1475="T4",4,-1))))),-1)</x:f>
        <x:v>2</x:v>
      </x:c>
      <x:c r="Q1475" s="4" t="n">
        <x:f>IF(AND(OR(C1475="Ingredient candidate",C1475="Consumed input",C1475="Contained input",C1475="Transform input"),P1475=-1),1,0)</x:f>
        <x:v>0</x:v>
      </x:c>
    </x:row>
    <x:row r="1476" ht="64" customHeight="1">
      <x:c r="A1476" s="4" t="str">
        <x:v>design.audit.equipment_digging_tool.audit.in.2</x:v>
      </x:c>
      <x:c r="B1476" s="4" t="str">
        <x:v>design.audit.equipment_digging_tool</x:v>
      </x:c>
      <x:c r="C1476" s="4" t="str">
        <x:v>Ingredient candidate</x:v>
      </x:c>
      <x:c r="D1476" s="4" t="str">
        <x:v>proposal.audit.shaped_metal_grip_blank</x:v>
      </x:c>
      <x:c r="E1476" s="4" t="str">
        <x:f>IFERROR(INDEX('Items'!$B$6:$B$1005,MATCH(D1476,'Items'!$A$6:$A$1005,0)),"MISSING ID")</x:f>
        <x:v>Shaped metal grip blank</x:v>
      </x:c>
      <x:c r="F1476" s="4" t="str">
        <x:f>IFERROR(INDEX('Items'!$C$6:$C$1005,MATCH(D1476,'Items'!$A$6:$A$1005,0)),"MISSING ID")</x:f>
        <x:v>T3</x:v>
      </x:c>
      <x:c r="G1476" s="4" t="str">
        <x:f>IFERROR(INDEX('Items'!$D$6:$D$1005,MATCH(D1476,'Items'!$A$6:$A$1005,0)),"MISSING ID")</x:f>
        <x:v>Crafting components</x:v>
      </x:c>
      <x:c r="H1476" s="4" t="str">
        <x:f>IFERROR(INDEX('Items'!$X$6:$X$1005,MATCH(D1476,'Items'!$A$6:$A$1005,0)),"MISSING ID")</x:f>
        <x:v>Crafting component</x:v>
      </x:c>
      <x:c r="I1476" s="4"/>
      <x:c r="J1476" s="4" t="str">
        <x:v>Unspecified</x:v>
      </x:c>
      <x:c r="K1476" s="4" t="str">
        <x:f>IFERROR(INDEX('Crafting recipes'!$D$6:$D$1005,MATCH(B1476,'Crafting recipes'!$A$6:$A$1005,0)),"MISSING ID")</x:f>
        <x:v>Proposal</x:v>
      </x:c>
      <x:c r="L1476" s="4" t="str">
        <x:f>IFERROR(INDEX('Items'!$AD$6:$AD$1005,MATCH(D1476,'Items'!$A$6:$A$1005,0)),"MISSING ID")</x:f>
        <x:v>Proposal</x:v>
      </x:c>
      <x:c r="M1476" s="4" t="str">
        <x:f>IFERROR(INDEX('Crafting recipes'!$E$6:$E$1005,MATCH(B1476,'Crafting recipes'!$A$6:$A$1005,0)),"MISSING ID")</x:f>
        <x:v>Partial proposal</x:v>
      </x:c>
      <x:c r="N1476" s="4" t="str">
        <x:v>Partial audit candidate; quantity, fit and performance remain unresolved.</x:v>
      </x:c>
      <x:c r="O14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6" s="4" t="n">
        <x:f>IF(OR(C1476="Ingredient candidate",C1476="Consumed input",C1476="Contained input",C1476="Transform input"),IF(F1476="T0",0,IF(F1476="T1",1,IF(F1476="T2",2,IF(F1476="T3",3,IF(F1476="T4",4,-1))))),-1)</x:f>
        <x:v>3</x:v>
      </x:c>
      <x:c r="Q1476" s="4" t="n">
        <x:f>IF(AND(OR(C1476="Ingredient candidate",C1476="Consumed input",C1476="Contained input",C1476="Transform input"),P1476=-1),1,0)</x:f>
        <x:v>0</x:v>
      </x:c>
    </x:row>
    <x:row r="1477" ht="64" customHeight="1">
      <x:c r="A1477" s="4" t="str">
        <x:v>design.audit.equipment_digging_tool.audit.in.3</x:v>
      </x:c>
      <x:c r="B1477" s="4" t="str">
        <x:v>design.audit.equipment_digging_tool</x:v>
      </x:c>
      <x:c r="C1477" s="4" t="str">
        <x:v>Ingredient candidate</x:v>
      </x:c>
      <x:c r="D1477" s="4" t="str">
        <x:v>proposal.lore.fastener_set</x:v>
      </x:c>
      <x:c r="E1477" s="4" t="str">
        <x:f>IFERROR(INDEX('Items'!$B$6:$B$1005,MATCH(D1477,'Items'!$A$6:$A$1005,0)),"MISSING ID")</x:f>
        <x:v>Matched metal fastener set</x:v>
      </x:c>
      <x:c r="F1477" s="4" t="str">
        <x:f>IFERROR(INDEX('Items'!$C$6:$C$1005,MATCH(D1477,'Items'!$A$6:$A$1005,0)),"MISSING ID")</x:f>
        <x:v>T3</x:v>
      </x:c>
      <x:c r="G1477" s="4" t="str">
        <x:f>IFERROR(INDEX('Items'!$D$6:$D$1005,MATCH(D1477,'Items'!$A$6:$A$1005,0)),"MISSING ID")</x:f>
        <x:v>Crafting components</x:v>
      </x:c>
      <x:c r="H1477" s="4" t="str">
        <x:f>IFERROR(INDEX('Items'!$X$6:$X$1005,MATCH(D1477,'Items'!$A$6:$A$1005,0)),"MISSING ID")</x:f>
        <x:v>Crafting component</x:v>
      </x:c>
      <x:c r="I1477" s="4"/>
      <x:c r="J1477" s="4" t="str">
        <x:v>Unspecified</x:v>
      </x:c>
      <x:c r="K1477" s="4" t="str">
        <x:f>IFERROR(INDEX('Crafting recipes'!$D$6:$D$1005,MATCH(B1477,'Crafting recipes'!$A$6:$A$1005,0)),"MISSING ID")</x:f>
        <x:v>Proposal</x:v>
      </x:c>
      <x:c r="L1477" s="4" t="str">
        <x:f>IFERROR(INDEX('Items'!$AD$6:$AD$1005,MATCH(D1477,'Items'!$A$6:$A$1005,0)),"MISSING ID")</x:f>
        <x:v>Proposal</x:v>
      </x:c>
      <x:c r="M1477" s="4" t="str">
        <x:f>IFERROR(INDEX('Crafting recipes'!$E$6:$E$1005,MATCH(B1477,'Crafting recipes'!$A$6:$A$1005,0)),"MISSING ID")</x:f>
        <x:v>Partial proposal</x:v>
      </x:c>
      <x:c r="N1477" s="4" t="str">
        <x:v>Partial audit candidate; quantity, fit and performance remain unresolved.</x:v>
      </x:c>
      <x:c r="O14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7" s="4" t="n">
        <x:f>IF(OR(C1477="Ingredient candidate",C1477="Consumed input",C1477="Contained input",C1477="Transform input"),IF(F1477="T0",0,IF(F1477="T1",1,IF(F1477="T2",2,IF(F1477="T3",3,IF(F1477="T4",4,-1))))),-1)</x:f>
        <x:v>3</x:v>
      </x:c>
      <x:c r="Q1477" s="4" t="n">
        <x:f>IF(AND(OR(C1477="Ingredient candidate",C1477="Consumed input",C1477="Contained input",C1477="Transform input"),P1477=-1),1,0)</x:f>
        <x:v>0</x:v>
      </x:c>
    </x:row>
    <x:row r="1478" ht="64" customHeight="1">
      <x:c r="A1478" s="4" t="str">
        <x:v>design.audit.equipment_digging_tool.audit.out</x:v>
      </x:c>
      <x:c r="B1478" s="4" t="str">
        <x:v>design.audit.equipment_digging_tool</x:v>
      </x:c>
      <x:c r="C1478" s="4" t="str">
        <x:v>Output</x:v>
      </x:c>
      <x:c r="D1478" s="4" t="str">
        <x:v>equipment.digging_tool</x:v>
      </x:c>
      <x:c r="E1478" s="4" t="str">
        <x:f>IFERROR(INDEX('Items'!$B$6:$B$1005,MATCH(D1478,'Items'!$A$6:$A$1005,0)),"MISSING ID")</x:f>
        <x:v>Digging shovel axe</x:v>
      </x:c>
      <x:c r="F1478" s="4" t="str">
        <x:f>IFERROR(INDEX('Items'!$C$6:$C$1005,MATCH(D1478,'Items'!$A$6:$A$1005,0)),"MISSING ID")</x:f>
        <x:v>Not applicable</x:v>
      </x:c>
      <x:c r="G1478" s="4" t="str">
        <x:f>IFERROR(INDEX('Items'!$D$6:$D$1005,MATCH(D1478,'Items'!$A$6:$A$1005,0)),"MISSING ID")</x:f>
        <x:v>Tools</x:v>
      </x:c>
      <x:c r="H1478" s="4" t="str">
        <x:f>IFERROR(INDEX('Items'!$X$6:$X$1005,MATCH(D1478,'Items'!$A$6:$A$1005,0)),"MISSING ID")</x:f>
        <x:v>Tool</x:v>
      </x:c>
      <x:c r="I1478" s="4"/>
      <x:c r="J1478" s="4" t="str">
        <x:v>Unspecified</x:v>
      </x:c>
      <x:c r="K1478" s="4" t="str">
        <x:f>IFERROR(INDEX('Crafting recipes'!$D$6:$D$1005,MATCH(B1478,'Crafting recipes'!$A$6:$A$1005,0)),"MISSING ID")</x:f>
        <x:v>Proposal</x:v>
      </x:c>
      <x:c r="L1478" s="4" t="str">
        <x:f>IFERROR(INDEX('Items'!$AD$6:$AD$1005,MATCH(D1478,'Items'!$A$6:$A$1005,0)),"MISSING ID")</x:f>
        <x:v>Existing definition</x:v>
      </x:c>
      <x:c r="M1478" s="4" t="str">
        <x:f>IFERROR(INDEX('Crafting recipes'!$E$6:$E$1005,MATCH(B1478,'Crafting recipes'!$A$6:$A$1005,0)),"MISSING ID")</x:f>
        <x:v>Partial proposal</x:v>
      </x:c>
      <x:c r="N1478" s="4" t="str">
        <x:v>Partial audit candidate; quantity, fit and performance remain unresolved.</x:v>
      </x:c>
      <x:c r="O14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8" s="4" t="n">
        <x:f>IF(OR(C1478="Ingredient candidate",C1478="Consumed input",C1478="Contained input",C1478="Transform input"),IF(F1478="T0",0,IF(F1478="T1",1,IF(F1478="T2",2,IF(F1478="T3",3,IF(F1478="T4",4,-1))))),-1)</x:f>
        <x:v>-1</x:v>
      </x:c>
      <x:c r="Q1478" s="4" t="n">
        <x:f>IF(AND(OR(C1478="Ingredient candidate",C1478="Consumed input",C1478="Contained input",C1478="Transform input"),P1478=-1),1,0)</x:f>
        <x:v>0</x:v>
      </x:c>
    </x:row>
    <x:row r="1479" ht="64" customHeight="1">
      <x:c r="A1479" s="4" t="str">
        <x:v>design.audit.tool_micro_dust_harvester.audit.in.1</x:v>
      </x:c>
      <x:c r="B1479" s="4" t="str">
        <x:v>design.audit.tool_micro_dust_harvester</x:v>
      </x:c>
      <x:c r="C1479" s="4" t="str">
        <x:v>Ingredient candidate</x:v>
      </x:c>
      <x:c r="D1479" s="4" t="str">
        <x:v>proposal.canister.body_blank</x:v>
      </x:c>
      <x:c r="E1479" s="4" t="str">
        <x:f>IFERROR(INDEX('Items'!$B$6:$B$1005,MATCH(D1479,'Items'!$A$6:$A$1005,0)),"MISSING ID")</x:f>
        <x:v>Canister body blank</x:v>
      </x:c>
      <x:c r="F1479" s="4" t="str">
        <x:f>IFERROR(INDEX('Items'!$C$6:$C$1005,MATCH(D1479,'Items'!$A$6:$A$1005,0)),"MISSING ID")</x:f>
        <x:v>T3</x:v>
      </x:c>
      <x:c r="G1479" s="4" t="str">
        <x:f>IFERROR(INDEX('Items'!$D$6:$D$1005,MATCH(D1479,'Items'!$A$6:$A$1005,0)),"MISSING ID")</x:f>
        <x:v>Crafting components</x:v>
      </x:c>
      <x:c r="H1479" s="4" t="str">
        <x:f>IFERROR(INDEX('Items'!$X$6:$X$1005,MATCH(D1479,'Items'!$A$6:$A$1005,0)),"MISSING ID")</x:f>
        <x:v>Container part</x:v>
      </x:c>
      <x:c r="I1479" s="4"/>
      <x:c r="J1479" s="4" t="str">
        <x:v>Unspecified</x:v>
      </x:c>
      <x:c r="K1479" s="4" t="str">
        <x:f>IFERROR(INDEX('Crafting recipes'!$D$6:$D$1005,MATCH(B1479,'Crafting recipes'!$A$6:$A$1005,0)),"MISSING ID")</x:f>
        <x:v>Proposal</x:v>
      </x:c>
      <x:c r="L1479" s="4" t="str">
        <x:f>IFERROR(INDEX('Items'!$AD$6:$AD$1005,MATCH(D1479,'Items'!$A$6:$A$1005,0)),"MISSING ID")</x:f>
        <x:v>Proposal</x:v>
      </x:c>
      <x:c r="M1479" s="4" t="str">
        <x:f>IFERROR(INDEX('Crafting recipes'!$E$6:$E$1005,MATCH(B1479,'Crafting recipes'!$A$6:$A$1005,0)),"MISSING ID")</x:f>
        <x:v>Partial proposal</x:v>
      </x:c>
      <x:c r="N1479" s="4" t="str">
        <x:v>Partial audit candidate; quantity, fit and performance remain unresolved.</x:v>
      </x:c>
      <x:c r="O14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9" s="4" t="n">
        <x:f>IF(OR(C1479="Ingredient candidate",C1479="Consumed input",C1479="Contained input",C1479="Transform input"),IF(F1479="T0",0,IF(F1479="T1",1,IF(F1479="T2",2,IF(F1479="T3",3,IF(F1479="T4",4,-1))))),-1)</x:f>
        <x:v>3</x:v>
      </x:c>
      <x:c r="Q1479" s="4" t="n">
        <x:f>IF(AND(OR(C1479="Ingredient candidate",C1479="Consumed input",C1479="Contained input",C1479="Transform input"),P1479=-1),1,0)</x:f>
        <x:v>0</x:v>
      </x:c>
    </x:row>
    <x:row r="1480" ht="64" customHeight="1">
      <x:c r="A1480" s="4" t="str">
        <x:v>design.audit.tool_micro_dust_harvester.audit.in.2</x:v>
      </x:c>
      <x:c r="B1480" s="4" t="str">
        <x:v>design.audit.tool_micro_dust_harvester</x:v>
      </x:c>
      <x:c r="C1480" s="4" t="str">
        <x:v>Ingredient candidate</x:v>
      </x:c>
      <x:c r="D1480" s="4" t="str">
        <x:v>proposal.collection.ceramic_vent_labyrinth_insert</x:v>
      </x:c>
      <x:c r="E1480" s="4" t="str">
        <x:f>IFERROR(INDEX('Items'!$B$6:$B$1005,MATCH(D1480,'Items'!$A$6:$A$1005,0)),"MISSING ID")</x:f>
        <x:v>Ceramic vent labyrinth insert</x:v>
      </x:c>
      <x:c r="F1480" s="4" t="str">
        <x:f>IFERROR(INDEX('Items'!$C$6:$C$1005,MATCH(D1480,'Items'!$A$6:$A$1005,0)),"MISSING ID")</x:f>
        <x:v>T3</x:v>
      </x:c>
      <x:c r="G1480" s="4" t="str">
        <x:f>IFERROR(INDEX('Items'!$D$6:$D$1005,MATCH(D1480,'Items'!$A$6:$A$1005,0)),"MISSING ID")</x:f>
        <x:v>Crafting components</x:v>
      </x:c>
      <x:c r="H1480" s="4" t="str">
        <x:f>IFERROR(INDEX('Items'!$X$6:$X$1005,MATCH(D1480,'Items'!$A$6:$A$1005,0)),"MISSING ID")</x:f>
        <x:v>Container part</x:v>
      </x:c>
      <x:c r="I1480" s="4"/>
      <x:c r="J1480" s="4" t="str">
        <x:v>Unspecified</x:v>
      </x:c>
      <x:c r="K1480" s="4" t="str">
        <x:f>IFERROR(INDEX('Crafting recipes'!$D$6:$D$1005,MATCH(B1480,'Crafting recipes'!$A$6:$A$1005,0)),"MISSING ID")</x:f>
        <x:v>Proposal</x:v>
      </x:c>
      <x:c r="L1480" s="4" t="str">
        <x:f>IFERROR(INDEX('Items'!$AD$6:$AD$1005,MATCH(D1480,'Items'!$A$6:$A$1005,0)),"MISSING ID")</x:f>
        <x:v>Proposal</x:v>
      </x:c>
      <x:c r="M1480" s="4" t="str">
        <x:f>IFERROR(INDEX('Crafting recipes'!$E$6:$E$1005,MATCH(B1480,'Crafting recipes'!$A$6:$A$1005,0)),"MISSING ID")</x:f>
        <x:v>Partial proposal</x:v>
      </x:c>
      <x:c r="N1480" s="4" t="str">
        <x:v>Partial audit candidate; quantity, fit and performance remain unresolved.</x:v>
      </x:c>
      <x:c r="O14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0" s="4" t="n">
        <x:f>IF(OR(C1480="Ingredient candidate",C1480="Consumed input",C1480="Contained input",C1480="Transform input"),IF(F1480="T0",0,IF(F1480="T1",1,IF(F1480="T2",2,IF(F1480="T3",3,IF(F1480="T4",4,-1))))),-1)</x:f>
        <x:v>3</x:v>
      </x:c>
      <x:c r="Q1480" s="4" t="n">
        <x:f>IF(AND(OR(C1480="Ingredient candidate",C1480="Consumed input",C1480="Contained input",C1480="Transform input"),P1480=-1),1,0)</x:f>
        <x:v>0</x:v>
      </x:c>
    </x:row>
    <x:row r="1481" ht="64" customHeight="1">
      <x:c r="A1481" s="4" t="str">
        <x:v>design.audit.tool_micro_dust_harvester.audit.in.3</x:v>
      </x:c>
      <x:c r="B1481" s="4" t="str">
        <x:v>design.audit.tool_micro_dust_harvester</x:v>
      </x:c>
      <x:c r="C1481" s="4" t="str">
        <x:v>Ingredient candidate</x:v>
      </x:c>
      <x:c r="D1481" s="4" t="str">
        <x:v>proposal.canister.endcap</x:v>
      </x:c>
      <x:c r="E1481" s="4" t="str">
        <x:f>IFERROR(INDEX('Items'!$B$6:$B$1005,MATCH(D1481,'Items'!$A$6:$A$1005,0)),"MISSING ID")</x:f>
        <x:v>Canister protective endcap</x:v>
      </x:c>
      <x:c r="F1481" s="4" t="str">
        <x:f>IFERROR(INDEX('Items'!$C$6:$C$1005,MATCH(D1481,'Items'!$A$6:$A$1005,0)),"MISSING ID")</x:f>
        <x:v>T3</x:v>
      </x:c>
      <x:c r="G1481" s="4" t="str">
        <x:f>IFERROR(INDEX('Items'!$D$6:$D$1005,MATCH(D1481,'Items'!$A$6:$A$1005,0)),"MISSING ID")</x:f>
        <x:v>Crafting components</x:v>
      </x:c>
      <x:c r="H1481" s="4" t="str">
        <x:f>IFERROR(INDEX('Items'!$X$6:$X$1005,MATCH(D1481,'Items'!$A$6:$A$1005,0)),"MISSING ID")</x:f>
        <x:v>Container part</x:v>
      </x:c>
      <x:c r="I1481" s="4"/>
      <x:c r="J1481" s="4" t="str">
        <x:v>Unspecified</x:v>
      </x:c>
      <x:c r="K1481" s="4" t="str">
        <x:f>IFERROR(INDEX('Crafting recipes'!$D$6:$D$1005,MATCH(B1481,'Crafting recipes'!$A$6:$A$1005,0)),"MISSING ID")</x:f>
        <x:v>Proposal</x:v>
      </x:c>
      <x:c r="L1481" s="4" t="str">
        <x:f>IFERROR(INDEX('Items'!$AD$6:$AD$1005,MATCH(D1481,'Items'!$A$6:$A$1005,0)),"MISSING ID")</x:f>
        <x:v>Proposal</x:v>
      </x:c>
      <x:c r="M1481" s="4" t="str">
        <x:f>IFERROR(INDEX('Crafting recipes'!$E$6:$E$1005,MATCH(B1481,'Crafting recipes'!$A$6:$A$1005,0)),"MISSING ID")</x:f>
        <x:v>Partial proposal</x:v>
      </x:c>
      <x:c r="N1481" s="4" t="str">
        <x:v>Partial audit candidate; quantity, fit and performance remain unresolved.</x:v>
      </x:c>
      <x:c r="O14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1" s="4" t="n">
        <x:f>IF(OR(C1481="Ingredient candidate",C1481="Consumed input",C1481="Contained input",C1481="Transform input"),IF(F1481="T0",0,IF(F1481="T1",1,IF(F1481="T2",2,IF(F1481="T3",3,IF(F1481="T4",4,-1))))),-1)</x:f>
        <x:v>3</x:v>
      </x:c>
      <x:c r="Q1481" s="4" t="n">
        <x:f>IF(AND(OR(C1481="Ingredient candidate",C1481="Consumed input",C1481="Contained input",C1481="Transform input"),P1481=-1),1,0)</x:f>
        <x:v>0</x:v>
      </x:c>
    </x:row>
    <x:row r="1482" ht="64" customHeight="1">
      <x:c r="A1482" s="4" t="str">
        <x:v>design.audit.tool_micro_dust_harvester.audit.in.4</x:v>
      </x:c>
      <x:c r="B1482" s="4" t="str">
        <x:v>design.audit.tool_micro_dust_harvester</x:v>
      </x:c>
      <x:c r="C1482" s="4" t="str">
        <x:v>Ingredient candidate</x:v>
      </x:c>
      <x:c r="D1482" s="4" t="str">
        <x:v>proposal.canister.mount</x:v>
      </x:c>
      <x:c r="E1482" s="4" t="str">
        <x:f>IFERROR(INDEX('Items'!$B$6:$B$1005,MATCH(D1482,'Items'!$A$6:$A$1005,0)),"MISSING ID")</x:f>
        <x:v>Canister mounting bracket</x:v>
      </x:c>
      <x:c r="F1482" s="4" t="str">
        <x:f>IFERROR(INDEX('Items'!$C$6:$C$1005,MATCH(D1482,'Items'!$A$6:$A$1005,0)),"MISSING ID")</x:f>
        <x:v>T3</x:v>
      </x:c>
      <x:c r="G1482" s="4" t="str">
        <x:f>IFERROR(INDEX('Items'!$D$6:$D$1005,MATCH(D1482,'Items'!$A$6:$A$1005,0)),"MISSING ID")</x:f>
        <x:v>Crafting components</x:v>
      </x:c>
      <x:c r="H1482" s="4" t="str">
        <x:f>IFERROR(INDEX('Items'!$X$6:$X$1005,MATCH(D1482,'Items'!$A$6:$A$1005,0)),"MISSING ID")</x:f>
        <x:v>Container part</x:v>
      </x:c>
      <x:c r="I1482" s="4"/>
      <x:c r="J1482" s="4" t="str">
        <x:v>Unspecified</x:v>
      </x:c>
      <x:c r="K1482" s="4" t="str">
        <x:f>IFERROR(INDEX('Crafting recipes'!$D$6:$D$1005,MATCH(B1482,'Crafting recipes'!$A$6:$A$1005,0)),"MISSING ID")</x:f>
        <x:v>Proposal</x:v>
      </x:c>
      <x:c r="L1482" s="4" t="str">
        <x:f>IFERROR(INDEX('Items'!$AD$6:$AD$1005,MATCH(D1482,'Items'!$A$6:$A$1005,0)),"MISSING ID")</x:f>
        <x:v>Proposal</x:v>
      </x:c>
      <x:c r="M1482" s="4" t="str">
        <x:f>IFERROR(INDEX('Crafting recipes'!$E$6:$E$1005,MATCH(B1482,'Crafting recipes'!$A$6:$A$1005,0)),"MISSING ID")</x:f>
        <x:v>Partial proposal</x:v>
      </x:c>
      <x:c r="N1482" s="4" t="str">
        <x:v>Partial audit candidate; quantity, fit and performance remain unresolved.</x:v>
      </x:c>
      <x:c r="O14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2" s="4" t="n">
        <x:f>IF(OR(C1482="Ingredient candidate",C1482="Consumed input",C1482="Contained input",C1482="Transform input"),IF(F1482="T0",0,IF(F1482="T1",1,IF(F1482="T2",2,IF(F1482="T3",3,IF(F1482="T4",4,-1))))),-1)</x:f>
        <x:v>3</x:v>
      </x:c>
      <x:c r="Q1482" s="4" t="n">
        <x:f>IF(AND(OR(C1482="Ingredient candidate",C1482="Consumed input",C1482="Contained input",C1482="Transform input"),P1482=-1),1,0)</x:f>
        <x:v>0</x:v>
      </x:c>
    </x:row>
    <x:row r="1483" ht="64" customHeight="1">
      <x:c r="A1483" s="4" t="str">
        <x:v>design.audit.tool_micro_dust_harvester.audit.out</x:v>
      </x:c>
      <x:c r="B1483" s="4" t="str">
        <x:v>design.audit.tool_micro_dust_harvester</x:v>
      </x:c>
      <x:c r="C1483" s="4" t="str">
        <x:v>Output</x:v>
      </x:c>
      <x:c r="D1483" s="4" t="str">
        <x:v>tool.micro_dust_harvester</x:v>
      </x:c>
      <x:c r="E1483" s="4" t="str">
        <x:f>IFERROR(INDEX('Items'!$B$6:$B$1005,MATCH(D1483,'Items'!$A$6:$A$1005,0)),"MISSING ID")</x:f>
        <x:v>Dust canister</x:v>
      </x:c>
      <x:c r="F1483" s="4" t="str">
        <x:f>IFERROR(INDEX('Items'!$C$6:$C$1005,MATCH(D1483,'Items'!$A$6:$A$1005,0)),"MISSING ID")</x:f>
        <x:v>Not applicable</x:v>
      </x:c>
      <x:c r="G1483" s="4" t="str">
        <x:f>IFERROR(INDEX('Items'!$D$6:$D$1005,MATCH(D1483,'Items'!$A$6:$A$1005,0)),"MISSING ID")</x:f>
        <x:v>Tools</x:v>
      </x:c>
      <x:c r="H1483" s="4" t="str">
        <x:f>IFERROR(INDEX('Items'!$X$6:$X$1005,MATCH(D1483,'Items'!$A$6:$A$1005,0)),"MISSING ID")</x:f>
        <x:v>Tool</x:v>
      </x:c>
      <x:c r="I1483" s="4"/>
      <x:c r="J1483" s="4" t="str">
        <x:v>Unspecified</x:v>
      </x:c>
      <x:c r="K1483" s="4" t="str">
        <x:f>IFERROR(INDEX('Crafting recipes'!$D$6:$D$1005,MATCH(B1483,'Crafting recipes'!$A$6:$A$1005,0)),"MISSING ID")</x:f>
        <x:v>Proposal</x:v>
      </x:c>
      <x:c r="L1483" s="4" t="str">
        <x:f>IFERROR(INDEX('Items'!$AD$6:$AD$1005,MATCH(D1483,'Items'!$A$6:$A$1005,0)),"MISSING ID")</x:f>
        <x:v>Existing definition</x:v>
      </x:c>
      <x:c r="M1483" s="4" t="str">
        <x:f>IFERROR(INDEX('Crafting recipes'!$E$6:$E$1005,MATCH(B1483,'Crafting recipes'!$A$6:$A$1005,0)),"MISSING ID")</x:f>
        <x:v>Partial proposal</x:v>
      </x:c>
      <x:c r="N1483" s="4" t="str">
        <x:v>Partial audit candidate; quantity, fit and performance remain unresolved.</x:v>
      </x:c>
      <x:c r="O14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3" s="4" t="n">
        <x:f>IF(OR(C1483="Ingredient candidate",C1483="Consumed input",C1483="Contained input",C1483="Transform input"),IF(F1483="T0",0,IF(F1483="T1",1,IF(F1483="T2",2,IF(F1483="T3",3,IF(F1483="T4",4,-1))))),-1)</x:f>
        <x:v>-1</x:v>
      </x:c>
      <x:c r="Q1483" s="4" t="n">
        <x:f>IF(AND(OR(C1483="Ingredient candidate",C1483="Consumed input",C1483="Contained input",C1483="Transform input"),P1483=-1),1,0)</x:f>
        <x:v>0</x:v>
      </x:c>
    </x:row>
    <x:row r="1484" ht="64" customHeight="1">
      <x:c r="A1484" s="4" t="str">
        <x:v>design.audit.equipment_grappling_hook.audit.in.1</x:v>
      </x:c>
      <x:c r="B1484" s="4" t="str">
        <x:v>design.audit.equipment_grappling_hook</x:v>
      </x:c>
      <x:c r="C1484" s="4" t="str">
        <x:v>Ingredient candidate</x:v>
      </x:c>
      <x:c r="D1484" s="4" t="str">
        <x:v>author.metallurgy.steel_stock</x:v>
      </x:c>
      <x:c r="E1484" s="4" t="str">
        <x:f>IFERROR(INDEX('Items'!$B$6:$B$1005,MATCH(D1484,'Items'!$A$6:$A$1005,0)),"MISSING ID")</x:f>
        <x:v>Steel stock</x:v>
      </x:c>
      <x:c r="F1484" s="4" t="str">
        <x:f>IFERROR(INDEX('Items'!$C$6:$C$1005,MATCH(D1484,'Items'!$A$6:$A$1005,0)),"MISSING ID")</x:f>
        <x:v>T2</x:v>
      </x:c>
      <x:c r="G1484" s="4" t="str">
        <x:f>IFERROR(INDEX('Items'!$D$6:$D$1005,MATCH(D1484,'Items'!$A$6:$A$1005,0)),"MISSING ID")</x:f>
        <x:v>Manufactured stock</x:v>
      </x:c>
      <x:c r="H1484" s="4" t="str">
        <x:f>IFERROR(INDEX('Items'!$X$6:$X$1005,MATCH(D1484,'Items'!$A$6:$A$1005,0)),"MISSING ID")</x:f>
        <x:v>Processed material</x:v>
      </x:c>
      <x:c r="I1484" s="4"/>
      <x:c r="J1484" s="4" t="str">
        <x:v>Unspecified</x:v>
      </x:c>
      <x:c r="K1484" s="4" t="str">
        <x:f>IFERROR(INDEX('Crafting recipes'!$D$6:$D$1005,MATCH(B1484,'Crafting recipes'!$A$6:$A$1005,0)),"MISSING ID")</x:f>
        <x:v>Proposal</x:v>
      </x:c>
      <x:c r="L1484" s="4" t="str">
        <x:f>IFERROR(INDEX('Items'!$AD$6:$AD$1005,MATCH(D1484,'Items'!$A$6:$A$1005,0)),"MISSING ID")</x:f>
        <x:v>Author direction</x:v>
      </x:c>
      <x:c r="M1484" s="4" t="str">
        <x:f>IFERROR(INDEX('Crafting recipes'!$E$6:$E$1005,MATCH(B1484,'Crafting recipes'!$A$6:$A$1005,0)),"MISSING ID")</x:f>
        <x:v>Partial proposal</x:v>
      </x:c>
      <x:c r="N1484" s="4" t="str">
        <x:v>Partial audit candidate; quantity, fit and performance remain unresolved.</x:v>
      </x:c>
      <x:c r="O14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4" s="4" t="n">
        <x:f>IF(OR(C1484="Ingredient candidate",C1484="Consumed input",C1484="Contained input",C1484="Transform input"),IF(F1484="T0",0,IF(F1484="T1",1,IF(F1484="T2",2,IF(F1484="T3",3,IF(F1484="T4",4,-1))))),-1)</x:f>
        <x:v>2</x:v>
      </x:c>
      <x:c r="Q1484" s="4" t="n">
        <x:f>IF(AND(OR(C1484="Ingredient candidate",C1484="Consumed input",C1484="Contained input",C1484="Transform input"),P1484=-1),1,0)</x:f>
        <x:v>0</x:v>
      </x:c>
    </x:row>
    <x:row r="1485" ht="64" customHeight="1">
      <x:c r="A1485" s="4" t="str">
        <x:v>design.audit.equipment_grappling_hook.audit.in.2</x:v>
      </x:c>
      <x:c r="B1485" s="4" t="str">
        <x:v>design.audit.equipment_grappling_hook</x:v>
      </x:c>
      <x:c r="C1485" s="4" t="str">
        <x:v>Ingredient candidate</x:v>
      </x:c>
      <x:c r="D1485" s="4" t="str">
        <x:v>proposal.bio.cord</x:v>
      </x:c>
      <x:c r="E1485" s="4" t="str">
        <x:f>IFERROR(INDEX('Items'!$B$6:$B$1005,MATCH(D1485,'Items'!$A$6:$A$1005,0)),"MISSING ID")</x:f>
        <x:v>Tendon cord</x:v>
      </x:c>
      <x:c r="F1485" s="4" t="str">
        <x:f>IFERROR(INDEX('Items'!$C$6:$C$1005,MATCH(D1485,'Items'!$A$6:$A$1005,0)),"MISSING ID")</x:f>
        <x:v>T1</x:v>
      </x:c>
      <x:c r="G1485" s="4" t="str">
        <x:f>IFERROR(INDEX('Items'!$D$6:$D$1005,MATCH(D1485,'Items'!$A$6:$A$1005,0)),"MISSING ID")</x:f>
        <x:v>Crafting components</x:v>
      </x:c>
      <x:c r="H1485" s="4" t="str">
        <x:f>IFERROR(INDEX('Items'!$X$6:$X$1005,MATCH(D1485,'Items'!$A$6:$A$1005,0)),"MISSING ID")</x:f>
        <x:v>Crafting component</x:v>
      </x:c>
      <x:c r="I1485" s="4"/>
      <x:c r="J1485" s="4" t="str">
        <x:v>Unspecified</x:v>
      </x:c>
      <x:c r="K1485" s="4" t="str">
        <x:f>IFERROR(INDEX('Crafting recipes'!$D$6:$D$1005,MATCH(B1485,'Crafting recipes'!$A$6:$A$1005,0)),"MISSING ID")</x:f>
        <x:v>Proposal</x:v>
      </x:c>
      <x:c r="L1485" s="4" t="str">
        <x:f>IFERROR(INDEX('Items'!$AD$6:$AD$1005,MATCH(D1485,'Items'!$A$6:$A$1005,0)),"MISSING ID")</x:f>
        <x:v>Proposal</x:v>
      </x:c>
      <x:c r="M1485" s="4" t="str">
        <x:f>IFERROR(INDEX('Crafting recipes'!$E$6:$E$1005,MATCH(B1485,'Crafting recipes'!$A$6:$A$1005,0)),"MISSING ID")</x:f>
        <x:v>Partial proposal</x:v>
      </x:c>
      <x:c r="N1485" s="4" t="str">
        <x:v>Partial audit candidate; quantity, fit and performance remain unresolved.</x:v>
      </x:c>
      <x:c r="O14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5" s="4" t="n">
        <x:f>IF(OR(C1485="Ingredient candidate",C1485="Consumed input",C1485="Contained input",C1485="Transform input"),IF(F1485="T0",0,IF(F1485="T1",1,IF(F1485="T2",2,IF(F1485="T3",3,IF(F1485="T4",4,-1))))),-1)</x:f>
        <x:v>1</x:v>
      </x:c>
      <x:c r="Q1485" s="4" t="n">
        <x:f>IF(AND(OR(C1485="Ingredient candidate",C1485="Consumed input",C1485="Contained input",C1485="Transform input"),P1485=-1),1,0)</x:f>
        <x:v>0</x:v>
      </x:c>
    </x:row>
    <x:row r="1486" ht="64" customHeight="1">
      <x:c r="A1486" s="4" t="str">
        <x:v>design.audit.equipment_grappling_hook.audit.out</x:v>
      </x:c>
      <x:c r="B1486" s="4" t="str">
        <x:v>design.audit.equipment_grappling_hook</x:v>
      </x:c>
      <x:c r="C1486" s="4" t="str">
        <x:v>Output</x:v>
      </x:c>
      <x:c r="D1486" s="4" t="str">
        <x:v>equipment.grappling_hook</x:v>
      </x:c>
      <x:c r="E1486" s="4" t="str">
        <x:f>IFERROR(INDEX('Items'!$B$6:$B$1005,MATCH(D1486,'Items'!$A$6:$A$1005,0)),"MISSING ID")</x:f>
        <x:v>Grappling hook</x:v>
      </x:c>
      <x:c r="F1486" s="4" t="str">
        <x:f>IFERROR(INDEX('Items'!$C$6:$C$1005,MATCH(D1486,'Items'!$A$6:$A$1005,0)),"MISSING ID")</x:f>
        <x:v>Not applicable</x:v>
      </x:c>
      <x:c r="G1486" s="4" t="str">
        <x:f>IFERROR(INDEX('Items'!$D$6:$D$1005,MATCH(D1486,'Items'!$A$6:$A$1005,0)),"MISSING ID")</x:f>
        <x:v>Tools</x:v>
      </x:c>
      <x:c r="H1486" s="4" t="str">
        <x:f>IFERROR(INDEX('Items'!$X$6:$X$1005,MATCH(D1486,'Items'!$A$6:$A$1005,0)),"MISSING ID")</x:f>
        <x:v>Tool</x:v>
      </x:c>
      <x:c r="I1486" s="4"/>
      <x:c r="J1486" s="4" t="str">
        <x:v>Unspecified</x:v>
      </x:c>
      <x:c r="K1486" s="4" t="str">
        <x:f>IFERROR(INDEX('Crafting recipes'!$D$6:$D$1005,MATCH(B1486,'Crafting recipes'!$A$6:$A$1005,0)),"MISSING ID")</x:f>
        <x:v>Proposal</x:v>
      </x:c>
      <x:c r="L1486" s="4" t="str">
        <x:f>IFERROR(INDEX('Items'!$AD$6:$AD$1005,MATCH(D1486,'Items'!$A$6:$A$1005,0)),"MISSING ID")</x:f>
        <x:v>Existing definition</x:v>
      </x:c>
      <x:c r="M1486" s="4" t="str">
        <x:f>IFERROR(INDEX('Crafting recipes'!$E$6:$E$1005,MATCH(B1486,'Crafting recipes'!$A$6:$A$1005,0)),"MISSING ID")</x:f>
        <x:v>Partial proposal</x:v>
      </x:c>
      <x:c r="N1486" s="4" t="str">
        <x:v>Partial audit candidate; quantity, fit and performance remain unresolved.</x:v>
      </x:c>
      <x:c r="O14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6" s="4" t="n">
        <x:f>IF(OR(C1486="Ingredient candidate",C1486="Consumed input",C1486="Contained input",C1486="Transform input"),IF(F1486="T0",0,IF(F1486="T1",1,IF(F1486="T2",2,IF(F1486="T3",3,IF(F1486="T4",4,-1))))),-1)</x:f>
        <x:v>-1</x:v>
      </x:c>
      <x:c r="Q1486" s="4" t="n">
        <x:f>IF(AND(OR(C1486="Ingredient candidate",C1486="Consumed input",C1486="Contained input",C1486="Transform input"),P1486=-1),1,0)</x:f>
        <x:v>0</x:v>
      </x:c>
    </x:row>
    <x:row r="1487" ht="64" customHeight="1">
      <x:c r="A1487" s="4"/>
      <x:c r="B1487" s="4"/>
      <x:c r="C1487" s="4"/>
      <x:c r="D1487" s="4"/>
      <x:c r="E1487" s="4"/>
      <x:c r="F1487" s="4"/>
      <x:c r="G1487" s="4"/>
      <x:c r="H1487" s="4"/>
      <x:c r="I1487" s="4"/>
      <x:c r="J1487" s="4"/>
      <x:c r="K1487" s="4"/>
      <x:c r="L1487" s="4"/>
      <x:c r="M1487" s="4"/>
      <x:c r="N1487" s="4"/>
      <x:c r="O1487" s="4"/>
      <x:c r="P1487" s="4"/>
      <x:c r="Q1487" s="4"/>
    </x:row>
    <x:row r="1488" ht="64" customHeight="1">
      <x:c r="A1488" s="4"/>
      <x:c r="B1488" s="4"/>
      <x:c r="C1488" s="4"/>
      <x:c r="D1488" s="4"/>
      <x:c r="E1488" s="4"/>
      <x:c r="F1488" s="4"/>
      <x:c r="G1488" s="4"/>
      <x:c r="H1488" s="4"/>
      <x:c r="I1488" s="4"/>
      <x:c r="J1488" s="4"/>
      <x:c r="K1488" s="4"/>
      <x:c r="L1488" s="4"/>
      <x:c r="M1488" s="4"/>
      <x:c r="N1488" s="4"/>
      <x:c r="O1488" s="4"/>
      <x:c r="P1488" s="4"/>
      <x:c r="Q1488" s="4"/>
    </x:row>
    <x:row r="1489" ht="64" customHeight="1">
      <x:c r="A1489" s="4"/>
      <x:c r="B1489" s="4"/>
      <x:c r="C1489" s="4"/>
      <x:c r="D1489" s="4"/>
      <x:c r="E1489" s="4"/>
      <x:c r="F1489" s="4"/>
      <x:c r="G1489" s="4"/>
      <x:c r="H1489" s="4"/>
      <x:c r="I1489" s="4"/>
      <x:c r="J1489" s="4"/>
      <x:c r="K1489" s="4"/>
      <x:c r="L1489" s="4"/>
      <x:c r="M1489" s="4"/>
      <x:c r="N1489" s="4"/>
      <x:c r="O1489" s="4"/>
      <x:c r="P1489" s="4"/>
      <x:c r="Q1489" s="4"/>
    </x:row>
    <x:row r="1490" ht="64" customHeight="1">
      <x:c r="A1490" s="4"/>
      <x:c r="B1490" s="4"/>
      <x:c r="C1490" s="4"/>
      <x:c r="D1490" s="4"/>
      <x:c r="E1490" s="4"/>
      <x:c r="F1490" s="4"/>
      <x:c r="G1490" s="4"/>
      <x:c r="H1490" s="4"/>
      <x:c r="I1490" s="4"/>
      <x:c r="J1490" s="4"/>
      <x:c r="K1490" s="4"/>
      <x:c r="L1490" s="4"/>
      <x:c r="M1490" s="4"/>
      <x:c r="N1490" s="4"/>
      <x:c r="O1490" s="4"/>
      <x:c r="P1490" s="4"/>
      <x:c r="Q1490" s="4"/>
    </x:row>
    <x:row r="1491" ht="64" customHeight="1">
      <x:c r="A1491" s="4" t="str">
        <x:v>design.audit.tool_popup_camp.audit.in.1</x:v>
      </x:c>
      <x:c r="B1491" s="4" t="str">
        <x:v>design.audit.tool_popup_camp</x:v>
      </x:c>
      <x:c r="C1491" s="4" t="str">
        <x:v>Ingredient candidate</x:v>
      </x:c>
      <x:c r="D1491" s="4" t="str">
        <x:v>proposal.collection.folding_vertical_wing_shade</x:v>
      </x:c>
      <x:c r="E1491" s="4" t="str">
        <x:f>IFERROR(INDEX('Items'!$B$6:$B$1005,MATCH(D1491,'Items'!$A$6:$A$1005,0)),"MISSING ID")</x:f>
        <x:v>Folding vertical wing shade</x:v>
      </x:c>
      <x:c r="F1491" s="4" t="str">
        <x:f>IFERROR(INDEX('Items'!$C$6:$C$1005,MATCH(D1491,'Items'!$A$6:$A$1005,0)),"MISSING ID")</x:f>
        <x:v>Not applicable</x:v>
      </x:c>
      <x:c r="G1491" s="4" t="str">
        <x:f>IFERROR(INDEX('Items'!$D$6:$D$1005,MATCH(D1491,'Items'!$A$6:$A$1005,0)),"MISSING ID")</x:f>
        <x:v>Salvage</x:v>
      </x:c>
      <x:c r="H1491" s="4" t="str">
        <x:f>IFERROR(INDEX('Items'!$X$6:$X$1005,MATCH(D1491,'Items'!$A$6:$A$1005,0)),"MISSING ID")</x:f>
        <x:v>Shelter item</x:v>
      </x:c>
      <x:c r="I1491" s="4"/>
      <x:c r="J1491" s="4" t="str">
        <x:v>Unspecified</x:v>
      </x:c>
      <x:c r="K1491" s="4" t="str">
        <x:f>IFERROR(INDEX('Crafting recipes'!$D$6:$D$1005,MATCH(B1491,'Crafting recipes'!$A$6:$A$1005,0)),"MISSING ID")</x:f>
        <x:v>Proposal</x:v>
      </x:c>
      <x:c r="L1491" s="4" t="str">
        <x:f>IFERROR(INDEX('Items'!$AD$6:$AD$1005,MATCH(D1491,'Items'!$A$6:$A$1005,0)),"MISSING ID")</x:f>
        <x:v>Proposal</x:v>
      </x:c>
      <x:c r="M1491" s="4" t="str">
        <x:f>IFERROR(INDEX('Crafting recipes'!$E$6:$E$1005,MATCH(B1491,'Crafting recipes'!$A$6:$A$1005,0)),"MISSING ID")</x:f>
        <x:v>Partial proposal</x:v>
      </x:c>
      <x:c r="N1491" s="4" t="str">
        <x:v>Partial audit candidate; quantity, fit and performance remain unresolved.</x:v>
      </x:c>
      <x:c r="O1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1" s="4" t="n">
        <x:f>IF(OR(C1491="Ingredient candidate",C1491="Consumed input",C1491="Contained input",C1491="Transform input"),IF(F1491="T0",0,IF(F1491="T1",1,IF(F1491="T2",2,IF(F1491="T3",3,IF(F1491="T4",4,-1))))),-1)</x:f>
        <x:v>-1</x:v>
      </x:c>
      <x:c r="Q1491" s="4" t="n">
        <x:f>IF(AND(OR(C1491="Ingredient candidate",C1491="Consumed input",C1491="Contained input",C1491="Transform input"),P1491=-1),1,0)</x:f>
        <x:v>1</x:v>
      </x:c>
    </x:row>
    <x:row r="1492" ht="64" customHeight="1">
      <x:c r="A1492" s="4" t="str">
        <x:v>design.audit.tool_popup_camp.audit.in.2</x:v>
      </x:c>
      <x:c r="B1492" s="4" t="str">
        <x:v>design.audit.tool_popup_camp</x:v>
      </x:c>
      <x:c r="C1492" s="4" t="str">
        <x:v>Ingredient candidate</x:v>
      </x:c>
      <x:c r="D1492" s="4" t="str">
        <x:v>proposal.collection.low_wing_roof_panel</x:v>
      </x:c>
      <x:c r="E1492" s="4" t="str">
        <x:f>IFERROR(INDEX('Items'!$B$6:$B$1005,MATCH(D1492,'Items'!$A$6:$A$1005,0)),"MISSING ID")</x:f>
        <x:v>Low wing-roof panel</x:v>
      </x:c>
      <x:c r="F1492" s="4" t="str">
        <x:f>IFERROR(INDEX('Items'!$C$6:$C$1005,MATCH(D1492,'Items'!$A$6:$A$1005,0)),"MISSING ID")</x:f>
        <x:v>Not applicable</x:v>
      </x:c>
      <x:c r="G1492" s="4" t="str">
        <x:f>IFERROR(INDEX('Items'!$D$6:$D$1005,MATCH(D1492,'Items'!$A$6:$A$1005,0)),"MISSING ID")</x:f>
        <x:v>Salvage</x:v>
      </x:c>
      <x:c r="H1492" s="4" t="str">
        <x:f>IFERROR(INDEX('Items'!$X$6:$X$1005,MATCH(D1492,'Items'!$A$6:$A$1005,0)),"MISSING ID")</x:f>
        <x:v>Shelter item</x:v>
      </x:c>
      <x:c r="I1492" s="4"/>
      <x:c r="J1492" s="4" t="str">
        <x:v>Unspecified</x:v>
      </x:c>
      <x:c r="K1492" s="4" t="str">
        <x:f>IFERROR(INDEX('Crafting recipes'!$D$6:$D$1005,MATCH(B1492,'Crafting recipes'!$A$6:$A$1005,0)),"MISSING ID")</x:f>
        <x:v>Proposal</x:v>
      </x:c>
      <x:c r="L1492" s="4" t="str">
        <x:f>IFERROR(INDEX('Items'!$AD$6:$AD$1005,MATCH(D1492,'Items'!$A$6:$A$1005,0)),"MISSING ID")</x:f>
        <x:v>Proposal</x:v>
      </x:c>
      <x:c r="M1492" s="4" t="str">
        <x:f>IFERROR(INDEX('Crafting recipes'!$E$6:$E$1005,MATCH(B1492,'Crafting recipes'!$A$6:$A$1005,0)),"MISSING ID")</x:f>
        <x:v>Partial proposal</x:v>
      </x:c>
      <x:c r="N1492" s="4" t="str">
        <x:v>Partial audit candidate; quantity, fit and performance remain unresolved.</x:v>
      </x:c>
      <x:c r="O1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2" s="4" t="n">
        <x:f>IF(OR(C1492="Ingredient candidate",C1492="Consumed input",C1492="Contained input",C1492="Transform input"),IF(F1492="T0",0,IF(F1492="T1",1,IF(F1492="T2",2,IF(F1492="T3",3,IF(F1492="T4",4,-1))))),-1)</x:f>
        <x:v>-1</x:v>
      </x:c>
      <x:c r="Q1492" s="4" t="n">
        <x:f>IF(AND(OR(C1492="Ingredient candidate",C1492="Consumed input",C1492="Contained input",C1492="Transform input"),P1492=-1),1,0)</x:f>
        <x:v>1</x:v>
      </x:c>
    </x:row>
    <x:row r="1493" ht="64" customHeight="1">
      <x:c r="A1493" s="4" t="str">
        <x:v>design.audit.tool_popup_camp.audit.in.3</x:v>
      </x:c>
      <x:c r="B1493" s="4" t="str">
        <x:v>design.audit.tool_popup_camp</x:v>
      </x:c>
      <x:c r="C1493" s="4" t="str">
        <x:v>Ingredient candidate</x:v>
      </x:c>
      <x:c r="D1493" s="4" t="str">
        <x:v>proposal.collection.segmented_shelter_pole_set</x:v>
      </x:c>
      <x:c r="E1493" s="4" t="str">
        <x:f>IFERROR(INDEX('Items'!$B$6:$B$1005,MATCH(D1493,'Items'!$A$6:$A$1005,0)),"MISSING ID")</x:f>
        <x:v>Segmented shelter pole set</x:v>
      </x:c>
      <x:c r="F1493" s="4" t="str">
        <x:f>IFERROR(INDEX('Items'!$C$6:$C$1005,MATCH(D1493,'Items'!$A$6:$A$1005,0)),"MISSING ID")</x:f>
        <x:v>Not applicable</x:v>
      </x:c>
      <x:c r="G1493" s="4" t="str">
        <x:f>IFERROR(INDEX('Items'!$D$6:$D$1005,MATCH(D1493,'Items'!$A$6:$A$1005,0)),"MISSING ID")</x:f>
        <x:v>Salvage</x:v>
      </x:c>
      <x:c r="H1493" s="4" t="str">
        <x:f>IFERROR(INDEX('Items'!$X$6:$X$1005,MATCH(D1493,'Items'!$A$6:$A$1005,0)),"MISSING ID")</x:f>
        <x:v>Shelter item</x:v>
      </x:c>
      <x:c r="I1493" s="4"/>
      <x:c r="J1493" s="4" t="str">
        <x:v>Unspecified</x:v>
      </x:c>
      <x:c r="K1493" s="4" t="str">
        <x:f>IFERROR(INDEX('Crafting recipes'!$D$6:$D$1005,MATCH(B1493,'Crafting recipes'!$A$6:$A$1005,0)),"MISSING ID")</x:f>
        <x:v>Proposal</x:v>
      </x:c>
      <x:c r="L1493" s="4" t="str">
        <x:f>IFERROR(INDEX('Items'!$AD$6:$AD$1005,MATCH(D1493,'Items'!$A$6:$A$1005,0)),"MISSING ID")</x:f>
        <x:v>Proposal</x:v>
      </x:c>
      <x:c r="M1493" s="4" t="str">
        <x:f>IFERROR(INDEX('Crafting recipes'!$E$6:$E$1005,MATCH(B1493,'Crafting recipes'!$A$6:$A$1005,0)),"MISSING ID")</x:f>
        <x:v>Partial proposal</x:v>
      </x:c>
      <x:c r="N1493" s="4" t="str">
        <x:v>Partial audit candidate; quantity, fit and performance remain unresolved.</x:v>
      </x:c>
      <x:c r="O1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3" s="4" t="n">
        <x:f>IF(OR(C1493="Ingredient candidate",C1493="Consumed input",C1493="Contained input",C1493="Transform input"),IF(F1493="T0",0,IF(F1493="T1",1,IF(F1493="T2",2,IF(F1493="T3",3,IF(F1493="T4",4,-1))))),-1)</x:f>
        <x:v>-1</x:v>
      </x:c>
      <x:c r="Q1493" s="4" t="n">
        <x:f>IF(AND(OR(C1493="Ingredient candidate",C1493="Consumed input",C1493="Contained input",C1493="Transform input"),P1493=-1),1,0)</x:f>
        <x:v>1</x:v>
      </x:c>
    </x:row>
    <x:row r="1494" ht="64" customHeight="1">
      <x:c r="A1494" s="4" t="str">
        <x:v>design.audit.tool_popup_camp.audit.in.4</x:v>
      </x:c>
      <x:c r="B1494" s="4" t="str">
        <x:v>design.audit.tool_popup_camp</x:v>
      </x:c>
      <x:c r="C1494" s="4" t="str">
        <x:v>Ingredient candidate</x:v>
      </x:c>
      <x:c r="D1494" s="4" t="str">
        <x:v>proposal.collection.ground_anchor_stake_set</x:v>
      </x:c>
      <x:c r="E1494" s="4" t="str">
        <x:f>IFERROR(INDEX('Items'!$B$6:$B$1005,MATCH(D1494,'Items'!$A$6:$A$1005,0)),"MISSING ID")</x:f>
        <x:v>Ground-anchor stake set</x:v>
      </x:c>
      <x:c r="F1494" s="4" t="str">
        <x:f>IFERROR(INDEX('Items'!$C$6:$C$1005,MATCH(D1494,'Items'!$A$6:$A$1005,0)),"MISSING ID")</x:f>
        <x:v>Not applicable</x:v>
      </x:c>
      <x:c r="G1494" s="4" t="str">
        <x:f>IFERROR(INDEX('Items'!$D$6:$D$1005,MATCH(D1494,'Items'!$A$6:$A$1005,0)),"MISSING ID")</x:f>
        <x:v>Salvage</x:v>
      </x:c>
      <x:c r="H1494" s="4" t="str">
        <x:f>IFERROR(INDEX('Items'!$X$6:$X$1005,MATCH(D1494,'Items'!$A$6:$A$1005,0)),"MISSING ID")</x:f>
        <x:v>Shelter item</x:v>
      </x:c>
      <x:c r="I1494" s="4"/>
      <x:c r="J1494" s="4" t="str">
        <x:v>Unspecified</x:v>
      </x:c>
      <x:c r="K1494" s="4" t="str">
        <x:f>IFERROR(INDEX('Crafting recipes'!$D$6:$D$1005,MATCH(B1494,'Crafting recipes'!$A$6:$A$1005,0)),"MISSING ID")</x:f>
        <x:v>Proposal</x:v>
      </x:c>
      <x:c r="L1494" s="4" t="str">
        <x:f>IFERROR(INDEX('Items'!$AD$6:$AD$1005,MATCH(D1494,'Items'!$A$6:$A$1005,0)),"MISSING ID")</x:f>
        <x:v>Proposal</x:v>
      </x:c>
      <x:c r="M1494" s="4" t="str">
        <x:f>IFERROR(INDEX('Crafting recipes'!$E$6:$E$1005,MATCH(B1494,'Crafting recipes'!$A$6:$A$1005,0)),"MISSING ID")</x:f>
        <x:v>Partial proposal</x:v>
      </x:c>
      <x:c r="N1494" s="4" t="str">
        <x:v>Partial audit candidate; quantity, fit and performance remain unresolved.</x:v>
      </x:c>
      <x:c r="O1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4" s="4" t="n">
        <x:f>IF(OR(C1494="Ingredient candidate",C1494="Consumed input",C1494="Contained input",C1494="Transform input"),IF(F1494="T0",0,IF(F1494="T1",1,IF(F1494="T2",2,IF(F1494="T3",3,IF(F1494="T4",4,-1))))),-1)</x:f>
        <x:v>-1</x:v>
      </x:c>
      <x:c r="Q1494" s="4" t="n">
        <x:f>IF(AND(OR(C1494="Ingredient candidate",C1494="Consumed input",C1494="Contained input",C1494="Transform input"),P1494=-1),1,0)</x:f>
        <x:v>1</x:v>
      </x:c>
    </x:row>
    <x:row r="1495" ht="64" customHeight="1">
      <x:c r="A1495" s="4" t="str">
        <x:v>design.audit.tool_popup_camp.audit.in.5</x:v>
      </x:c>
      <x:c r="B1495" s="4" t="str">
        <x:v>design.audit.tool_popup_camp</x:v>
      </x:c>
      <x:c r="C1495" s="4" t="str">
        <x:v>Ingredient candidate</x:v>
      </x:c>
      <x:c r="D1495" s="4" t="str">
        <x:v>proposal.collection.tendon_guyline_bundle</x:v>
      </x:c>
      <x:c r="E1495" s="4" t="str">
        <x:f>IFERROR(INDEX('Items'!$B$6:$B$1005,MATCH(D1495,'Items'!$A$6:$A$1005,0)),"MISSING ID")</x:f>
        <x:v>Tendon guyline bundle</x:v>
      </x:c>
      <x:c r="F1495" s="4" t="str">
        <x:f>IFERROR(INDEX('Items'!$C$6:$C$1005,MATCH(D1495,'Items'!$A$6:$A$1005,0)),"MISSING ID")</x:f>
        <x:v>Not applicable</x:v>
      </x:c>
      <x:c r="G1495" s="4" t="str">
        <x:f>IFERROR(INDEX('Items'!$D$6:$D$1005,MATCH(D1495,'Items'!$A$6:$A$1005,0)),"MISSING ID")</x:f>
        <x:v>Salvage</x:v>
      </x:c>
      <x:c r="H1495" s="4" t="str">
        <x:f>IFERROR(INDEX('Items'!$X$6:$X$1005,MATCH(D1495,'Items'!$A$6:$A$1005,0)),"MISSING ID")</x:f>
        <x:v>Shelter item</x:v>
      </x:c>
      <x:c r="I1495" s="4"/>
      <x:c r="J1495" s="4" t="str">
        <x:v>Unspecified</x:v>
      </x:c>
      <x:c r="K1495" s="4" t="str">
        <x:f>IFERROR(INDEX('Crafting recipes'!$D$6:$D$1005,MATCH(B1495,'Crafting recipes'!$A$6:$A$1005,0)),"MISSING ID")</x:f>
        <x:v>Proposal</x:v>
      </x:c>
      <x:c r="L1495" s="4" t="str">
        <x:f>IFERROR(INDEX('Items'!$AD$6:$AD$1005,MATCH(D1495,'Items'!$A$6:$A$1005,0)),"MISSING ID")</x:f>
        <x:v>Proposal</x:v>
      </x:c>
      <x:c r="M1495" s="4" t="str">
        <x:f>IFERROR(INDEX('Crafting recipes'!$E$6:$E$1005,MATCH(B1495,'Crafting recipes'!$A$6:$A$1005,0)),"MISSING ID")</x:f>
        <x:v>Partial proposal</x:v>
      </x:c>
      <x:c r="N1495" s="4" t="str">
        <x:v>Partial audit candidate; quantity, fit and performance remain unresolved.</x:v>
      </x:c>
      <x:c r="O1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5" s="4" t="n">
        <x:f>IF(OR(C1495="Ingredient candidate",C1495="Consumed input",C1495="Contained input",C1495="Transform input"),IF(F1495="T0",0,IF(F1495="T1",1,IF(F1495="T2",2,IF(F1495="T3",3,IF(F1495="T4",4,-1))))),-1)</x:f>
        <x:v>-1</x:v>
      </x:c>
      <x:c r="Q1495" s="4" t="n">
        <x:f>IF(AND(OR(C1495="Ingredient candidate",C1495="Consumed input",C1495="Contained input",C1495="Transform input"),P1495=-1),1,0)</x:f>
        <x:v>1</x:v>
      </x:c>
    </x:row>
    <x:row r="1496" ht="64" customHeight="1">
      <x:c r="A1496" s="4" t="str">
        <x:v>design.audit.tool_popup_camp.audit.in.6</x:v>
      </x:c>
      <x:c r="B1496" s="4" t="str">
        <x:v>design.audit.tool_popup_camp</x:v>
      </x:c>
      <x:c r="C1496" s="4" t="str">
        <x:v>Ingredient candidate</x:v>
      </x:c>
      <x:c r="D1496" s="4" t="str">
        <x:v>proposal.collection.husk_sheet_grit_screen</x:v>
      </x:c>
      <x:c r="E1496" s="4" t="str">
        <x:f>IFERROR(INDEX('Items'!$B$6:$B$1005,MATCH(D1496,'Items'!$A$6:$A$1005,0)),"MISSING ID")</x:f>
        <x:v>Husk-sheet grit screen</x:v>
      </x:c>
      <x:c r="F1496" s="4" t="str">
        <x:f>IFERROR(INDEX('Items'!$C$6:$C$1005,MATCH(D1496,'Items'!$A$6:$A$1005,0)),"MISSING ID")</x:f>
        <x:v>Not applicable</x:v>
      </x:c>
      <x:c r="G1496" s="4" t="str">
        <x:f>IFERROR(INDEX('Items'!$D$6:$D$1005,MATCH(D1496,'Items'!$A$6:$A$1005,0)),"MISSING ID")</x:f>
        <x:v>Salvage</x:v>
      </x:c>
      <x:c r="H1496" s="4" t="str">
        <x:f>IFERROR(INDEX('Items'!$X$6:$X$1005,MATCH(D1496,'Items'!$A$6:$A$1005,0)),"MISSING ID")</x:f>
        <x:v>Shelter item</x:v>
      </x:c>
      <x:c r="I1496" s="4"/>
      <x:c r="J1496" s="4" t="str">
        <x:v>Unspecified</x:v>
      </x:c>
      <x:c r="K1496" s="4" t="str">
        <x:f>IFERROR(INDEX('Crafting recipes'!$D$6:$D$1005,MATCH(B1496,'Crafting recipes'!$A$6:$A$1005,0)),"MISSING ID")</x:f>
        <x:v>Proposal</x:v>
      </x:c>
      <x:c r="L1496" s="4" t="str">
        <x:f>IFERROR(INDEX('Items'!$AD$6:$AD$1005,MATCH(D1496,'Items'!$A$6:$A$1005,0)),"MISSING ID")</x:f>
        <x:v>Proposal</x:v>
      </x:c>
      <x:c r="M1496" s="4" t="str">
        <x:f>IFERROR(INDEX('Crafting recipes'!$E$6:$E$1005,MATCH(B1496,'Crafting recipes'!$A$6:$A$1005,0)),"MISSING ID")</x:f>
        <x:v>Partial proposal</x:v>
      </x:c>
      <x:c r="N1496" s="4" t="str">
        <x:v>Partial audit candidate; quantity, fit and performance remain unresolved.</x:v>
      </x:c>
      <x:c r="O1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6" s="4" t="n">
        <x:f>IF(OR(C1496="Ingredient candidate",C1496="Consumed input",C1496="Contained input",C1496="Transform input"),IF(F1496="T0",0,IF(F1496="T1",1,IF(F1496="T2",2,IF(F1496="T3",3,IF(F1496="T4",4,-1))))),-1)</x:f>
        <x:v>-1</x:v>
      </x:c>
      <x:c r="Q1496" s="4" t="n">
        <x:f>IF(AND(OR(C1496="Ingredient candidate",C1496="Consumed input",C1496="Contained input",C1496="Transform input"),P1496=-1),1,0)</x:f>
        <x:v>1</x:v>
      </x:c>
    </x:row>
    <x:row r="1497" ht="64" customHeight="1">
      <x:c r="A1497" s="4" t="str">
        <x:v>design.audit.tool_popup_camp.audit.in.7</x:v>
      </x:c>
      <x:c r="B1497" s="4" t="str">
        <x:v>design.audit.tool_popup_camp</x:v>
      </x:c>
      <x:c r="C1497" s="4" t="str">
        <x:v>Ingredient candidate</x:v>
      </x:c>
      <x:c r="D1497" s="4" t="str">
        <x:v>proposal.collection.shell_ground_rest_panel</x:v>
      </x:c>
      <x:c r="E1497" s="4" t="str">
        <x:f>IFERROR(INDEX('Items'!$B$6:$B$1005,MATCH(D1497,'Items'!$A$6:$A$1005,0)),"MISSING ID")</x:f>
        <x:v>Shell ground-rest panel</x:v>
      </x:c>
      <x:c r="F1497" s="4" t="str">
        <x:f>IFERROR(INDEX('Items'!$C$6:$C$1005,MATCH(D1497,'Items'!$A$6:$A$1005,0)),"MISSING ID")</x:f>
        <x:v>Not applicable</x:v>
      </x:c>
      <x:c r="G1497" s="4" t="str">
        <x:f>IFERROR(INDEX('Items'!$D$6:$D$1005,MATCH(D1497,'Items'!$A$6:$A$1005,0)),"MISSING ID")</x:f>
        <x:v>Salvage</x:v>
      </x:c>
      <x:c r="H1497" s="4" t="str">
        <x:f>IFERROR(INDEX('Items'!$X$6:$X$1005,MATCH(D1497,'Items'!$A$6:$A$1005,0)),"MISSING ID")</x:f>
        <x:v>Shelter item</x:v>
      </x:c>
      <x:c r="I1497" s="4"/>
      <x:c r="J1497" s="4" t="str">
        <x:v>Unspecified</x:v>
      </x:c>
      <x:c r="K1497" s="4" t="str">
        <x:f>IFERROR(INDEX('Crafting recipes'!$D$6:$D$1005,MATCH(B1497,'Crafting recipes'!$A$6:$A$1005,0)),"MISSING ID")</x:f>
        <x:v>Proposal</x:v>
      </x:c>
      <x:c r="L1497" s="4" t="str">
        <x:f>IFERROR(INDEX('Items'!$AD$6:$AD$1005,MATCH(D1497,'Items'!$A$6:$A$1005,0)),"MISSING ID")</x:f>
        <x:v>Proposal</x:v>
      </x:c>
      <x:c r="M1497" s="4" t="str">
        <x:f>IFERROR(INDEX('Crafting recipes'!$E$6:$E$1005,MATCH(B1497,'Crafting recipes'!$A$6:$A$1005,0)),"MISSING ID")</x:f>
        <x:v>Partial proposal</x:v>
      </x:c>
      <x:c r="N1497" s="4" t="str">
        <x:v>Partial audit candidate; quantity, fit and performance remain unresolved.</x:v>
      </x:c>
      <x:c r="O14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7" s="4" t="n">
        <x:f>IF(OR(C1497="Ingredient candidate",C1497="Consumed input",C1497="Contained input",C1497="Transform input"),IF(F1497="T0",0,IF(F1497="T1",1,IF(F1497="T2",2,IF(F1497="T3",3,IF(F1497="T4",4,-1))))),-1)</x:f>
        <x:v>-1</x:v>
      </x:c>
      <x:c r="Q1497" s="4" t="n">
        <x:f>IF(AND(OR(C1497="Ingredient candidate",C1497="Consumed input",C1497="Contained input",C1497="Transform input"),P1497=-1),1,0)</x:f>
        <x:v>1</x:v>
      </x:c>
    </x:row>
    <x:row r="1498" ht="64" customHeight="1">
      <x:c r="A1498" s="4" t="str">
        <x:v>design.audit.tool_popup_camp.audit.in.8</x:v>
      </x:c>
      <x:c r="B1498" s="4" t="str">
        <x:v>design.audit.tool_popup_camp</x:v>
      </x:c>
      <x:c r="C1498" s="4" t="str">
        <x:v>Ingredient candidate</x:v>
      </x:c>
      <x:c r="D1498" s="4" t="str">
        <x:v>proposal.collection.folding_privacy_partition</x:v>
      </x:c>
      <x:c r="E1498" s="4" t="str">
        <x:f>IFERROR(INDEX('Items'!$B$6:$B$1005,MATCH(D1498,'Items'!$A$6:$A$1005,0)),"MISSING ID")</x:f>
        <x:v>Folding privacy partition</x:v>
      </x:c>
      <x:c r="F1498" s="4" t="str">
        <x:f>IFERROR(INDEX('Items'!$C$6:$C$1005,MATCH(D1498,'Items'!$A$6:$A$1005,0)),"MISSING ID")</x:f>
        <x:v>Not applicable</x:v>
      </x:c>
      <x:c r="G1498" s="4" t="str">
        <x:f>IFERROR(INDEX('Items'!$D$6:$D$1005,MATCH(D1498,'Items'!$A$6:$A$1005,0)),"MISSING ID")</x:f>
        <x:v>Salvage</x:v>
      </x:c>
      <x:c r="H1498" s="4" t="str">
        <x:f>IFERROR(INDEX('Items'!$X$6:$X$1005,MATCH(D1498,'Items'!$A$6:$A$1005,0)),"MISSING ID")</x:f>
        <x:v>Shelter item</x:v>
      </x:c>
      <x:c r="I1498" s="4"/>
      <x:c r="J1498" s="4" t="str">
        <x:v>Unspecified</x:v>
      </x:c>
      <x:c r="K1498" s="4" t="str">
        <x:f>IFERROR(INDEX('Crafting recipes'!$D$6:$D$1005,MATCH(B1498,'Crafting recipes'!$A$6:$A$1005,0)),"MISSING ID")</x:f>
        <x:v>Proposal</x:v>
      </x:c>
      <x:c r="L1498" s="4" t="str">
        <x:f>IFERROR(INDEX('Items'!$AD$6:$AD$1005,MATCH(D1498,'Items'!$A$6:$A$1005,0)),"MISSING ID")</x:f>
        <x:v>Proposal</x:v>
      </x:c>
      <x:c r="M1498" s="4" t="str">
        <x:f>IFERROR(INDEX('Crafting recipes'!$E$6:$E$1005,MATCH(B1498,'Crafting recipes'!$A$6:$A$1005,0)),"MISSING ID")</x:f>
        <x:v>Partial proposal</x:v>
      </x:c>
      <x:c r="N1498" s="4" t="str">
        <x:v>Partial audit candidate; quantity, fit and performance remain unresolved.</x:v>
      </x:c>
      <x:c r="O1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8" s="4" t="n">
        <x:f>IF(OR(C1498="Ingredient candidate",C1498="Consumed input",C1498="Contained input",C1498="Transform input"),IF(F1498="T0",0,IF(F1498="T1",1,IF(F1498="T2",2,IF(F1498="T3",3,IF(F1498="T4",4,-1))))),-1)</x:f>
        <x:v>-1</x:v>
      </x:c>
      <x:c r="Q1498" s="4" t="n">
        <x:f>IF(AND(OR(C1498="Ingredient candidate",C1498="Consumed input",C1498="Contained input",C1498="Transform input"),P1498=-1),1,0)</x:f>
        <x:v>1</x:v>
      </x:c>
    </x:row>
    <x:row r="1499" ht="64" customHeight="1">
      <x:c r="A1499" s="4" t="str">
        <x:v>design.audit.tool_popup_camp.audit.in.9</x:v>
      </x:c>
      <x:c r="B1499" s="4" t="str">
        <x:v>design.audit.tool_popup_camp</x:v>
      </x:c>
      <x:c r="C1499" s="4" t="str">
        <x:v>Ingredient candidate</x:v>
      </x:c>
      <x:c r="D1499" s="4" t="str">
        <x:v>proposal.collection.canister_shelter_docking_stand</x:v>
      </x:c>
      <x:c r="E1499" s="4" t="str">
        <x:f>IFERROR(INDEX('Items'!$B$6:$B$1005,MATCH(D1499,'Items'!$A$6:$A$1005,0)),"MISSING ID")</x:f>
        <x:v>Canister shelter docking stand</x:v>
      </x:c>
      <x:c r="F1499" s="4" t="str">
        <x:f>IFERROR(INDEX('Items'!$C$6:$C$1005,MATCH(D1499,'Items'!$A$6:$A$1005,0)),"MISSING ID")</x:f>
        <x:v>Not applicable</x:v>
      </x:c>
      <x:c r="G1499" s="4" t="str">
        <x:f>IFERROR(INDEX('Items'!$D$6:$D$1005,MATCH(D1499,'Items'!$A$6:$A$1005,0)),"MISSING ID")</x:f>
        <x:v>Salvage</x:v>
      </x:c>
      <x:c r="H1499" s="4" t="str">
        <x:f>IFERROR(INDEX('Items'!$X$6:$X$1005,MATCH(D1499,'Items'!$A$6:$A$1005,0)),"MISSING ID")</x:f>
        <x:v>Shelter item</x:v>
      </x:c>
      <x:c r="I1499" s="4"/>
      <x:c r="J1499" s="4" t="str">
        <x:v>Unspecified</x:v>
      </x:c>
      <x:c r="K1499" s="4" t="str">
        <x:f>IFERROR(INDEX('Crafting recipes'!$D$6:$D$1005,MATCH(B1499,'Crafting recipes'!$A$6:$A$1005,0)),"MISSING ID")</x:f>
        <x:v>Proposal</x:v>
      </x:c>
      <x:c r="L1499" s="4" t="str">
        <x:f>IFERROR(INDEX('Items'!$AD$6:$AD$1005,MATCH(D1499,'Items'!$A$6:$A$1005,0)),"MISSING ID")</x:f>
        <x:v>Proposal</x:v>
      </x:c>
      <x:c r="M1499" s="4" t="str">
        <x:f>IFERROR(INDEX('Crafting recipes'!$E$6:$E$1005,MATCH(B1499,'Crafting recipes'!$A$6:$A$1005,0)),"MISSING ID")</x:f>
        <x:v>Partial proposal</x:v>
      </x:c>
      <x:c r="N1499" s="4" t="str">
        <x:v>Partial audit candidate; quantity, fit and performance remain unresolved.</x:v>
      </x:c>
      <x:c r="O1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9" s="4" t="n">
        <x:f>IF(OR(C1499="Ingredient candidate",C1499="Consumed input",C1499="Contained input",C1499="Transform input"),IF(F1499="T0",0,IF(F1499="T1",1,IF(F1499="T2",2,IF(F1499="T3",3,IF(F1499="T4",4,-1))))),-1)</x:f>
        <x:v>-1</x:v>
      </x:c>
      <x:c r="Q1499" s="4" t="n">
        <x:f>IF(AND(OR(C1499="Ingredient candidate",C1499="Consumed input",C1499="Contained input",C1499="Transform input"),P1499=-1),1,0)</x:f>
        <x:v>1</x:v>
      </x:c>
    </x:row>
    <x:row r="1500" ht="64" customHeight="1">
      <x:c r="A1500" s="4" t="str">
        <x:v>design.audit.tool_popup_camp.audit.in.10</x:v>
      </x:c>
      <x:c r="B1500" s="4" t="str">
        <x:v>design.audit.tool_popup_camp</x:v>
      </x:c>
      <x:c r="C1500" s="4" t="str">
        <x:v>Ingredient candidate</x:v>
      </x:c>
      <x:c r="D1500" s="4" t="str">
        <x:v>proposal.collection.shelter_repair_patch_roll</x:v>
      </x:c>
      <x:c r="E1500" s="4" t="str">
        <x:f>IFERROR(INDEX('Items'!$B$6:$B$1005,MATCH(D1500,'Items'!$A$6:$A$1005,0)),"MISSING ID")</x:f>
        <x:v>Shelter repair patch roll</x:v>
      </x:c>
      <x:c r="F1500" s="4" t="str">
        <x:f>IFERROR(INDEX('Items'!$C$6:$C$1005,MATCH(D1500,'Items'!$A$6:$A$1005,0)),"MISSING ID")</x:f>
        <x:v>Not applicable</x:v>
      </x:c>
      <x:c r="G1500" s="4" t="str">
        <x:f>IFERROR(INDEX('Items'!$D$6:$D$1005,MATCH(D1500,'Items'!$A$6:$A$1005,0)),"MISSING ID")</x:f>
        <x:v>Salvage</x:v>
      </x:c>
      <x:c r="H1500" s="4" t="str">
        <x:f>IFERROR(INDEX('Items'!$X$6:$X$1005,MATCH(D1500,'Items'!$A$6:$A$1005,0)),"MISSING ID")</x:f>
        <x:v>Shelter item</x:v>
      </x:c>
      <x:c r="I1500" s="4"/>
      <x:c r="J1500" s="4" t="str">
        <x:v>Unspecified</x:v>
      </x:c>
      <x:c r="K1500" s="4" t="str">
        <x:f>IFERROR(INDEX('Crafting recipes'!$D$6:$D$1005,MATCH(B1500,'Crafting recipes'!$A$6:$A$1005,0)),"MISSING ID")</x:f>
        <x:v>Proposal</x:v>
      </x:c>
      <x:c r="L1500" s="4" t="str">
        <x:f>IFERROR(INDEX('Items'!$AD$6:$AD$1005,MATCH(D1500,'Items'!$A$6:$A$1005,0)),"MISSING ID")</x:f>
        <x:v>Proposal</x:v>
      </x:c>
      <x:c r="M1500" s="4" t="str">
        <x:f>IFERROR(INDEX('Crafting recipes'!$E$6:$E$1005,MATCH(B1500,'Crafting recipes'!$A$6:$A$1005,0)),"MISSING ID")</x:f>
        <x:v>Partial proposal</x:v>
      </x:c>
      <x:c r="N1500" s="4" t="str">
        <x:v>Partial audit candidate; quantity, fit and performance remain unresolved.</x:v>
      </x:c>
      <x:c r="O1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0" s="4" t="n">
        <x:f>IF(OR(C1500="Ingredient candidate",C1500="Consumed input",C1500="Contained input",C1500="Transform input"),IF(F1500="T0",0,IF(F1500="T1",1,IF(F1500="T2",2,IF(F1500="T3",3,IF(F1500="T4",4,-1))))),-1)</x:f>
        <x:v>-1</x:v>
      </x:c>
      <x:c r="Q1500" s="4" t="n">
        <x:f>IF(AND(OR(C1500="Ingredient candidate",C1500="Consumed input",C1500="Contained input",C1500="Transform input"),P1500=-1),1,0)</x:f>
        <x:v>1</x:v>
      </x:c>
    </x:row>
    <x:row r="1501" ht="64" customHeight="1">
      <x:c r="A1501" s="4" t="str">
        <x:v>design.audit.tool_popup_camp.audit.out</x:v>
      </x:c>
      <x:c r="B1501" s="4" t="str">
        <x:v>design.audit.tool_popup_camp</x:v>
      </x:c>
      <x:c r="C1501" s="4" t="str">
        <x:v>Output</x:v>
      </x:c>
      <x:c r="D1501" s="4" t="str">
        <x:v>tool.popup_camp</x:v>
      </x:c>
      <x:c r="E1501" s="4" t="str">
        <x:f>IFERROR(INDEX('Items'!$B$6:$B$1005,MATCH(D1501,'Items'!$A$6:$A$1005,0)),"MISSING ID")</x:f>
        <x:v>Pop-up camp</x:v>
      </x:c>
      <x:c r="F1501" s="4" t="str">
        <x:f>IFERROR(INDEX('Items'!$C$6:$C$1005,MATCH(D1501,'Items'!$A$6:$A$1005,0)),"MISSING ID")</x:f>
        <x:v>Not applicable</x:v>
      </x:c>
      <x:c r="G1501" s="4" t="str">
        <x:f>IFERROR(INDEX('Items'!$D$6:$D$1005,MATCH(D1501,'Items'!$A$6:$A$1005,0)),"MISSING ID")</x:f>
        <x:v>Salvage</x:v>
      </x:c>
      <x:c r="H1501" s="4" t="str">
        <x:f>IFERROR(INDEX('Items'!$X$6:$X$1005,MATCH(D1501,'Items'!$A$6:$A$1005,0)),"MISSING ID")</x:f>
        <x:v>Shelter item</x:v>
      </x:c>
      <x:c r="I1501" s="4"/>
      <x:c r="J1501" s="4" t="str">
        <x:v>Unspecified</x:v>
      </x:c>
      <x:c r="K1501" s="4" t="str">
        <x:f>IFERROR(INDEX('Crafting recipes'!$D$6:$D$1005,MATCH(B1501,'Crafting recipes'!$A$6:$A$1005,0)),"MISSING ID")</x:f>
        <x:v>Proposal</x:v>
      </x:c>
      <x:c r="L1501" s="4" t="str">
        <x:f>IFERROR(INDEX('Items'!$AD$6:$AD$1005,MATCH(D1501,'Items'!$A$6:$A$1005,0)),"MISSING ID")</x:f>
        <x:v>Existing definition</x:v>
      </x:c>
      <x:c r="M1501" s="4" t="str">
        <x:f>IFERROR(INDEX('Crafting recipes'!$E$6:$E$1005,MATCH(B1501,'Crafting recipes'!$A$6:$A$1005,0)),"MISSING ID")</x:f>
        <x:v>Partial proposal</x:v>
      </x:c>
      <x:c r="N1501" s="4" t="str">
        <x:v>Partial audit candidate; quantity, fit and performance remain unresolved.</x:v>
      </x:c>
      <x:c r="O1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1" s="4" t="n">
        <x:f>IF(OR(C1501="Ingredient candidate",C1501="Consumed input",C1501="Contained input",C1501="Transform input"),IF(F1501="T0",0,IF(F1501="T1",1,IF(F1501="T2",2,IF(F1501="T3",3,IF(F1501="T4",4,-1))))),-1)</x:f>
        <x:v>-1</x:v>
      </x:c>
      <x:c r="Q1501" s="4" t="n">
        <x:f>IF(AND(OR(C1501="Ingredient candidate",C1501="Consumed input",C1501="Contained input",C1501="Transform input"),P1501=-1),1,0)</x:f>
        <x:v>0</x:v>
      </x:c>
    </x:row>
    <x:row r="1502" ht="64" customHeight="1">
      <x:c r="A1502" s="4" t="str">
        <x:v>design.audit.proposal_gear_magnets.audit.in.1</x:v>
      </x:c>
      <x:c r="B1502" s="4" t="str">
        <x:v>design.audit.proposal_gear_magnets</x:v>
      </x:c>
      <x:c r="C1502" s="4" t="str">
        <x:v>Ingredient candidate</x:v>
      </x:c>
      <x:c r="D1502" s="4" t="str">
        <x:v>proposal.audit.screened_remanent_magnet_pieces</x:v>
      </x:c>
      <x:c r="E1502" s="4" t="str">
        <x:f>IFERROR(INDEX('Items'!$B$6:$B$1005,MATCH(D1502,'Items'!$A$6:$A$1005,0)),"MISSING ID")</x:f>
        <x:v>Screened remanent magnet pieces</x:v>
      </x:c>
      <x:c r="F1502" s="4" t="str">
        <x:f>IFERROR(INDEX('Items'!$C$6:$C$1005,MATCH(D1502,'Items'!$A$6:$A$1005,0)),"MISSING ID")</x:f>
        <x:v>T1</x:v>
      </x:c>
      <x:c r="G1502" s="4" t="str">
        <x:f>IFERROR(INDEX('Items'!$D$6:$D$1005,MATCH(D1502,'Items'!$A$6:$A$1005,0)),"MISSING ID")</x:f>
        <x:v>Manufactured stock</x:v>
      </x:c>
      <x:c r="H1502" s="4" t="str">
        <x:f>IFERROR(INDEX('Items'!$X$6:$X$1005,MATCH(D1502,'Items'!$A$6:$A$1005,0)),"MISSING ID")</x:f>
        <x:v>Processed material</x:v>
      </x:c>
      <x:c r="I1502" s="4"/>
      <x:c r="J1502" s="4" t="str">
        <x:v>Unspecified</x:v>
      </x:c>
      <x:c r="K1502" s="4" t="str">
        <x:f>IFERROR(INDEX('Crafting recipes'!$D$6:$D$1005,MATCH(B1502,'Crafting recipes'!$A$6:$A$1005,0)),"MISSING ID")</x:f>
        <x:v>Proposal</x:v>
      </x:c>
      <x:c r="L1502" s="4" t="str">
        <x:f>IFERROR(INDEX('Items'!$AD$6:$AD$1005,MATCH(D1502,'Items'!$A$6:$A$1005,0)),"MISSING ID")</x:f>
        <x:v>Proposal</x:v>
      </x:c>
      <x:c r="M1502" s="4" t="str">
        <x:f>IFERROR(INDEX('Crafting recipes'!$E$6:$E$1005,MATCH(B1502,'Crafting recipes'!$A$6:$A$1005,0)),"MISSING ID")</x:f>
        <x:v>Partial proposal</x:v>
      </x:c>
      <x:c r="N1502" s="4" t="str">
        <x:v>Partial audit candidate; quantity, fit and performance remain unresolved.</x:v>
      </x:c>
      <x:c r="O1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2" s="4" t="n">
        <x:f>IF(OR(C1502="Ingredient candidate",C1502="Consumed input",C1502="Contained input",C1502="Transform input"),IF(F1502="T0",0,IF(F1502="T1",1,IF(F1502="T2",2,IF(F1502="T3",3,IF(F1502="T4",4,-1))))),-1)</x:f>
        <x:v>1</x:v>
      </x:c>
      <x:c r="Q1502" s="4" t="n">
        <x:f>IF(AND(OR(C1502="Ingredient candidate",C1502="Consumed input",C1502="Contained input",C1502="Transform input"),P1502=-1),1,0)</x:f>
        <x:v>0</x:v>
      </x:c>
    </x:row>
    <x:row r="1503" ht="64" customHeight="1">
      <x:c r="A1503" s="4" t="str">
        <x:v>design.audit.proposal_gear_magnets.audit.in.2</x:v>
      </x:c>
      <x:c r="B1503" s="4" t="str">
        <x:v>design.audit.proposal_gear_magnets</x:v>
      </x:c>
      <x:c r="C1503" s="4" t="str">
        <x:v>Ingredient candidate</x:v>
      </x:c>
      <x:c r="D1503" s="4" t="str">
        <x:v>proposal.audit.shaped_metal_grip_blank</x:v>
      </x:c>
      <x:c r="E1503" s="4" t="str">
        <x:f>IFERROR(INDEX('Items'!$B$6:$B$1005,MATCH(D1503,'Items'!$A$6:$A$1005,0)),"MISSING ID")</x:f>
        <x:v>Shaped metal grip blank</x:v>
      </x:c>
      <x:c r="F1503" s="4" t="str">
        <x:f>IFERROR(INDEX('Items'!$C$6:$C$1005,MATCH(D1503,'Items'!$A$6:$A$1005,0)),"MISSING ID")</x:f>
        <x:v>T3</x:v>
      </x:c>
      <x:c r="G1503" s="4" t="str">
        <x:f>IFERROR(INDEX('Items'!$D$6:$D$1005,MATCH(D1503,'Items'!$A$6:$A$1005,0)),"MISSING ID")</x:f>
        <x:v>Crafting components</x:v>
      </x:c>
      <x:c r="H1503" s="4" t="str">
        <x:f>IFERROR(INDEX('Items'!$X$6:$X$1005,MATCH(D1503,'Items'!$A$6:$A$1005,0)),"MISSING ID")</x:f>
        <x:v>Crafting component</x:v>
      </x:c>
      <x:c r="I1503" s="4"/>
      <x:c r="J1503" s="4" t="str">
        <x:v>Unspecified</x:v>
      </x:c>
      <x:c r="K1503" s="4" t="str">
        <x:f>IFERROR(INDEX('Crafting recipes'!$D$6:$D$1005,MATCH(B1503,'Crafting recipes'!$A$6:$A$1005,0)),"MISSING ID")</x:f>
        <x:v>Proposal</x:v>
      </x:c>
      <x:c r="L1503" s="4" t="str">
        <x:f>IFERROR(INDEX('Items'!$AD$6:$AD$1005,MATCH(D1503,'Items'!$A$6:$A$1005,0)),"MISSING ID")</x:f>
        <x:v>Proposal</x:v>
      </x:c>
      <x:c r="M1503" s="4" t="str">
        <x:f>IFERROR(INDEX('Crafting recipes'!$E$6:$E$1005,MATCH(B1503,'Crafting recipes'!$A$6:$A$1005,0)),"MISSING ID")</x:f>
        <x:v>Partial proposal</x:v>
      </x:c>
      <x:c r="N1503" s="4" t="str">
        <x:v>Partial audit candidate; quantity, fit and performance remain unresolved.</x:v>
      </x:c>
      <x:c r="O1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3" s="4" t="n">
        <x:f>IF(OR(C1503="Ingredient candidate",C1503="Consumed input",C1503="Contained input",C1503="Transform input"),IF(F1503="T0",0,IF(F1503="T1",1,IF(F1503="T2",2,IF(F1503="T3",3,IF(F1503="T4",4,-1))))),-1)</x:f>
        <x:v>3</x:v>
      </x:c>
      <x:c r="Q1503" s="4" t="n">
        <x:f>IF(AND(OR(C1503="Ingredient candidate",C1503="Consumed input",C1503="Contained input",C1503="Transform input"),P1503=-1),1,0)</x:f>
        <x:v>0</x:v>
      </x:c>
    </x:row>
    <x:row r="1504" ht="64" customHeight="1">
      <x:c r="A1504" s="4" t="str">
        <x:v>design.audit.proposal_gear_magnets.audit.out</x:v>
      </x:c>
      <x:c r="B1504" s="4" t="str">
        <x:v>design.audit.proposal_gear_magnets</x:v>
      </x:c>
      <x:c r="C1504" s="4" t="str">
        <x:v>Output</x:v>
      </x:c>
      <x:c r="D1504" s="4" t="str">
        <x:v>proposal.gear.magnets</x:v>
      </x:c>
      <x:c r="E1504" s="4" t="str">
        <x:f>IFERROR(INDEX('Items'!$B$6:$B$1005,MATCH(D1504,'Items'!$A$6:$A$1005,0)),"MISSING ID")</x:f>
        <x:v>Field magnets</x:v>
      </x:c>
      <x:c r="F1504" s="4" t="str">
        <x:f>IFERROR(INDEX('Items'!$C$6:$C$1005,MATCH(D1504,'Items'!$A$6:$A$1005,0)),"MISSING ID")</x:f>
        <x:v>Not applicable</x:v>
      </x:c>
      <x:c r="G1504" s="4" t="str">
        <x:f>IFERROR(INDEX('Items'!$D$6:$D$1005,MATCH(D1504,'Items'!$A$6:$A$1005,0)),"MISSING ID")</x:f>
        <x:v>Tools</x:v>
      </x:c>
      <x:c r="H1504" s="4" t="str">
        <x:f>IFERROR(INDEX('Items'!$X$6:$X$1005,MATCH(D1504,'Items'!$A$6:$A$1005,0)),"MISSING ID")</x:f>
        <x:v>Tool</x:v>
      </x:c>
      <x:c r="I1504" s="4"/>
      <x:c r="J1504" s="4" t="str">
        <x:v>Unspecified</x:v>
      </x:c>
      <x:c r="K1504" s="4" t="str">
        <x:f>IFERROR(INDEX('Crafting recipes'!$D$6:$D$1005,MATCH(B1504,'Crafting recipes'!$A$6:$A$1005,0)),"MISSING ID")</x:f>
        <x:v>Proposal</x:v>
      </x:c>
      <x:c r="L1504" s="4" t="str">
        <x:f>IFERROR(INDEX('Items'!$AD$6:$AD$1005,MATCH(D1504,'Items'!$A$6:$A$1005,0)),"MISSING ID")</x:f>
        <x:v>Author direction</x:v>
      </x:c>
      <x:c r="M1504" s="4" t="str">
        <x:f>IFERROR(INDEX('Crafting recipes'!$E$6:$E$1005,MATCH(B1504,'Crafting recipes'!$A$6:$A$1005,0)),"MISSING ID")</x:f>
        <x:v>Partial proposal</x:v>
      </x:c>
      <x:c r="N1504" s="4" t="str">
        <x:v>Partial audit candidate; quantity, fit and performance remain unresolved.</x:v>
      </x:c>
      <x:c r="O1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4" s="4" t="n">
        <x:f>IF(OR(C1504="Ingredient candidate",C1504="Consumed input",C1504="Contained input",C1504="Transform input"),IF(F1504="T0",0,IF(F1504="T1",1,IF(F1504="T2",2,IF(F1504="T3",3,IF(F1504="T4",4,-1))))),-1)</x:f>
        <x:v>-1</x:v>
      </x:c>
      <x:c r="Q1504" s="4" t="n">
        <x:f>IF(AND(OR(C1504="Ingredient candidate",C1504="Consumed input",C1504="Contained input",C1504="Transform input"),P1504=-1),1,0)</x:f>
        <x:v>0</x:v>
      </x:c>
    </x:row>
    <x:row r="1505" ht="64" customHeight="1">
      <x:c r="A1505" s="4"/>
      <x:c r="B1505" s="4"/>
      <x:c r="C1505" s="4"/>
      <x:c r="D1505" s="4"/>
      <x:c r="E1505" s="4"/>
      <x:c r="F1505" s="4"/>
      <x:c r="G1505" s="4"/>
      <x:c r="H1505" s="4"/>
      <x:c r="I1505" s="4"/>
      <x:c r="J1505" s="4"/>
      <x:c r="K1505" s="4"/>
      <x:c r="L1505" s="4"/>
      <x:c r="M1505" s="4"/>
      <x:c r="N1505" s="4"/>
      <x:c r="O1505" s="4"/>
      <x:c r="P1505" s="4"/>
      <x:c r="Q1505" s="4"/>
    </x:row>
    <x:row r="1506" ht="64" customHeight="1">
      <x:c r="A1506" s="4"/>
      <x:c r="B1506" s="4"/>
      <x:c r="C1506" s="4"/>
      <x:c r="D1506" s="4"/>
      <x:c r="E1506" s="4"/>
      <x:c r="F1506" s="4"/>
      <x:c r="G1506" s="4"/>
      <x:c r="H1506" s="4"/>
      <x:c r="I1506" s="4"/>
      <x:c r="J1506" s="4"/>
      <x:c r="K1506" s="4"/>
      <x:c r="L1506" s="4"/>
      <x:c r="M1506" s="4"/>
      <x:c r="N1506" s="4"/>
      <x:c r="O1506" s="4"/>
      <x:c r="P1506" s="4"/>
      <x:c r="Q1506" s="4"/>
    </x:row>
    <x:row r="1507" ht="64" customHeight="1">
      <x:c r="A1507" s="4"/>
      <x:c r="B1507" s="4"/>
      <x:c r="C1507" s="4"/>
      <x:c r="D1507" s="4"/>
      <x:c r="E1507" s="4"/>
      <x:c r="F1507" s="4"/>
      <x:c r="G1507" s="4"/>
      <x:c r="H1507" s="4"/>
      <x:c r="I1507" s="4"/>
      <x:c r="J1507" s="4"/>
      <x:c r="K1507" s="4"/>
      <x:c r="L1507" s="4"/>
      <x:c r="M1507" s="4"/>
      <x:c r="N1507" s="4"/>
      <x:c r="O1507" s="4"/>
      <x:c r="P1507" s="4"/>
      <x:c r="Q1507" s="4"/>
    </x:row>
    <x:row r="1508" ht="64" customHeight="1">
      <x:c r="A1508" s="4"/>
      <x:c r="B1508" s="4"/>
      <x:c r="C1508" s="4"/>
      <x:c r="D1508" s="4"/>
      <x:c r="E1508" s="4"/>
      <x:c r="F1508" s="4"/>
      <x:c r="G1508" s="4"/>
      <x:c r="H1508" s="4"/>
      <x:c r="I1508" s="4"/>
      <x:c r="J1508" s="4"/>
      <x:c r="K1508" s="4"/>
      <x:c r="L1508" s="4"/>
      <x:c r="M1508" s="4"/>
      <x:c r="N1508" s="4"/>
      <x:c r="O1508" s="4"/>
      <x:c r="P1508" s="4"/>
      <x:c r="Q1508" s="4"/>
    </x:row>
    <x:row r="1509" ht="64" customHeight="1">
      <x:c r="A1509" s="4"/>
      <x:c r="B1509" s="4"/>
      <x:c r="C1509" s="4"/>
      <x:c r="D1509" s="4"/>
      <x:c r="E1509" s="4"/>
      <x:c r="F1509" s="4"/>
      <x:c r="G1509" s="4"/>
      <x:c r="H1509" s="4"/>
      <x:c r="I1509" s="4"/>
      <x:c r="K1509" s="4"/>
      <x:c r="L1509" s="4"/>
      <x:c r="M1509" s="4"/>
      <x:c r="N1509" s="4"/>
      <x:c r="O1509" s="4"/>
      <x:c r="P1509" s="4"/>
      <x:c r="Q1509" s="4"/>
    </x:row>
    <x:row r="1510" ht="64" customHeight="1">
      <x:c r="A1510" s="4"/>
      <x:c r="B1510" s="4"/>
      <x:c r="C1510" s="4"/>
      <x:c r="D1510" s="4"/>
      <x:c r="E1510" s="4"/>
      <x:c r="F1510" s="4"/>
      <x:c r="G1510" s="4"/>
      <x:c r="H1510" s="4"/>
      <x:c r="I1510" s="4"/>
      <x:c r="K1510" s="4"/>
      <x:c r="L1510" s="4"/>
      <x:c r="M1510" s="4"/>
      <x:c r="N1510" s="4"/>
      <x:c r="O1510" s="4"/>
      <x:c r="P1510" s="4"/>
      <x:c r="Q1510" s="4"/>
    </x:row>
    <x:row r="1511" ht="64" customHeight="1">
      <x:c r="A1511" s="4"/>
      <x:c r="B1511" s="4"/>
      <x:c r="C1511" s="4"/>
      <x:c r="D1511" s="4"/>
      <x:c r="E1511" s="4"/>
      <x:c r="F1511" s="4"/>
      <x:c r="G1511" s="4"/>
      <x:c r="H1511" s="4"/>
      <x:c r="I1511" s="4"/>
      <x:c r="K1511" s="4"/>
      <x:c r="L1511" s="4"/>
      <x:c r="M1511" s="4"/>
      <x:c r="N1511" s="4"/>
      <x:c r="O1511" s="4"/>
      <x:c r="P1511" s="4"/>
      <x:c r="Q1511" s="4"/>
    </x:row>
    <x:row r="1512" ht="64" customHeight="1">
      <x:c r="A1512" s="4" t="str">
        <x:v>design.audit.proposal_container_reagent_bottle.audit.in.1</x:v>
      </x:c>
      <x:c r="B1512" s="4" t="str">
        <x:v>design.audit.proposal_container_reagent_bottle</x:v>
      </x:c>
      <x:c r="C1512" s="4" t="str">
        <x:v>Ingredient candidate</x:v>
      </x:c>
      <x:c r="D1512" s="4" t="str">
        <x:v>proposal.t1.opaque_glass</x:v>
      </x:c>
      <x:c r="E1512" s="4" t="str">
        <x:f>IFERROR(INDEX('Items'!$B$6:$B$1005,MATCH(D1512,'Items'!$A$6:$A$1005,0)),"MISSING ID")</x:f>
        <x:v>Opaque mineral-glass stock</x:v>
      </x:c>
      <x:c r="F1512" s="4" t="str">
        <x:f>IFERROR(INDEX('Items'!$C$6:$C$1005,MATCH(D1512,'Items'!$A$6:$A$1005,0)),"MISSING ID")</x:f>
        <x:v>T1</x:v>
      </x:c>
      <x:c r="G1512" s="4" t="str">
        <x:f>IFERROR(INDEX('Items'!$D$6:$D$1005,MATCH(D1512,'Items'!$A$6:$A$1005,0)),"MISSING ID")</x:f>
        <x:v>Manufactured stock</x:v>
      </x:c>
      <x:c r="H1512" s="4" t="str">
        <x:f>IFERROR(INDEX('Items'!$X$6:$X$1005,MATCH(D1512,'Items'!$A$6:$A$1005,0)),"MISSING ID")</x:f>
        <x:v>Processed material</x:v>
      </x:c>
      <x:c r="I1512" s="4"/>
      <x:c r="J1512" s="4" t="str">
        <x:v>Unspecified</x:v>
      </x:c>
      <x:c r="K1512" s="4" t="inlineStr">
        <x:is>
          <x:t xml:space="preserve">Retired</x:t>
        </x:is>
      </x:c>
      <x:c r="L1512" s="4" t="str">
        <x:f>IFERROR(INDEX('Items'!$AD$6:$AD$1005,MATCH(D1512,'Items'!$A$6:$A$1005,0)),"MISSING ID")</x:f>
        <x:v>Proposal</x:v>
      </x:c>
      <x:c r="M1512" s="4" t="inlineStr">
        <x:is>
          <x:t xml:space="preserve">Withdrawn container proposal</x:t>
        </x:is>
      </x:c>
      <x:c r="N151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2" s="4" t="n">
        <x:f>IF(OR(C1512="Ingredient candidate",C1512="Consumed input",C1512="Contained input",C1512="Transform input"),IF(F1512="T0",0,IF(F1512="T1",1,IF(F1512="T2",2,IF(F1512="T3",3,IF(F1512="T4",4,-1))))),-1)</x:f>
        <x:v>1</x:v>
      </x:c>
      <x:c r="Q1512" s="4" t="n">
        <x:f>IF(AND(OR(C1512="Ingredient candidate",C1512="Consumed input",C1512="Contained input",C1512="Transform input"),P1512=-1),1,0)</x:f>
        <x:v>0</x:v>
      </x:c>
    </x:row>
    <x:row r="1513" ht="64" customHeight="1">
      <x:c r="A1513" s="4" t="str">
        <x:v>design.audit.proposal_container_reagent_bottle.audit.in.2</x:v>
      </x:c>
      <x:c r="B1513" s="4" t="str">
        <x:v>design.audit.proposal_container_reagent_bottle</x:v>
      </x:c>
      <x:c r="C1513" s="4" t="str">
        <x:v>Ingredient candidate</x:v>
      </x:c>
      <x:c r="D1513" s="4" t="str">
        <x:v>proposal.container.glass_stopper</x:v>
      </x:c>
      <x:c r="E1513" s="4" t="str">
        <x:f>IFERROR(INDEX('Items'!$B$6:$B$1005,MATCH(D1513,'Items'!$A$6:$A$1005,0)),"MISSING ID")</x:f>
        <x:v>Matched glass stopper</x:v>
      </x:c>
      <x:c r="F1513" s="4" t="str">
        <x:f>IFERROR(INDEX('Items'!$C$6:$C$1005,MATCH(D1513,'Items'!$A$6:$A$1005,0)),"MISSING ID")</x:f>
        <x:v>T2</x:v>
      </x:c>
      <x:c r="G1513" s="4" t="str">
        <x:f>IFERROR(INDEX('Items'!$D$6:$D$1005,MATCH(D1513,'Items'!$A$6:$A$1005,0)),"MISSING ID")</x:f>
        <x:v>Salvage</x:v>
      </x:c>
      <x:c r="H1513" s="4" t="inlineStr">
        <x:is>
          <x:t xml:space="preserve">Salvage</x:t>
        </x:is>
      </x:c>
      <x:c r="I1513" s="4"/>
      <x:c r="J1513" s="4" t="str">
        <x:v>Unspecified</x:v>
      </x:c>
      <x:c r="K1513" s="4" t="inlineStr">
        <x:is>
          <x:t xml:space="preserve">Retired</x:t>
        </x:is>
      </x:c>
      <x:c r="L1513" s="4" t="str">
        <x:f>IFERROR(INDEX('Items'!$AD$6:$AD$1005,MATCH(D1513,'Items'!$A$6:$A$1005,0)),"MISSING ID")</x:f>
        <x:v>Proposal</x:v>
      </x:c>
      <x:c r="M1513" s="4" t="inlineStr">
        <x:is>
          <x:t xml:space="preserve">Withdrawn container proposal</x:t>
        </x:is>
      </x:c>
      <x:c r="N151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3" s="4" t="n">
        <x:f>IF(OR(C1513="Ingredient candidate",C1513="Consumed input",C1513="Contained input",C1513="Transform input"),IF(F1513="T0",0,IF(F1513="T1",1,IF(F1513="T2",2,IF(F1513="T3",3,IF(F1513="T4",4,-1))))),-1)</x:f>
        <x:v>2</x:v>
      </x:c>
      <x:c r="Q1513" s="4" t="n">
        <x:f>IF(AND(OR(C1513="Ingredient candidate",C1513="Consumed input",C1513="Contained input",C1513="Transform input"),P1513=-1),1,0)</x:f>
        <x:v>0</x:v>
      </x:c>
    </x:row>
    <x:row r="1514" ht="64" customHeight="1">
      <x:c r="A1514" s="4" t="str">
        <x:v>design.audit.proposal_container_reagent_bottle.audit.out</x:v>
      </x:c>
      <x:c r="B1514" s="4" t="str">
        <x:v>design.audit.proposal_container_reagent_bottle</x:v>
      </x:c>
      <x:c r="C1514" s="4" t="str">
        <x:v>Output</x:v>
      </x:c>
      <x:c r="D1514" s="4" t="str">
        <x:v>proposal.container.reagent_bottle</x:v>
      </x:c>
      <x:c r="E1514" s="4" t="str">
        <x:f>IFERROR(INDEX('Items'!$B$6:$B$1005,MATCH(D1514,'Items'!$A$6:$A$1005,0)),"MISSING ID")</x:f>
        <x:v>Opaque reagent bottle</x:v>
      </x:c>
      <x:c r="F1514" s="4" t="str">
        <x:f>IFERROR(INDEX('Items'!$C$6:$C$1005,MATCH(D1514,'Items'!$A$6:$A$1005,0)),"MISSING ID")</x:f>
        <x:v>Not applicable</x:v>
      </x:c>
      <x:c r="G1514" s="4" t="str">
        <x:f>IFERROR(INDEX('Items'!$D$6:$D$1005,MATCH(D1514,'Items'!$A$6:$A$1005,0)),"MISSING ID")</x:f>
        <x:v>Salvage</x:v>
      </x:c>
      <x:c r="H1514" s="4" t="inlineStr">
        <x:is>
          <x:t xml:space="preserve">Salvage</x:t>
        </x:is>
      </x:c>
      <x:c r="I1514" s="4"/>
      <x:c r="J1514" s="4" t="str">
        <x:v>Unspecified</x:v>
      </x:c>
      <x:c r="K1514" s="4" t="inlineStr">
        <x:is>
          <x:t xml:space="preserve">Retired</x:t>
        </x:is>
      </x:c>
      <x:c r="L1514" s="4" t="str">
        <x:f>IFERROR(INDEX('Items'!$AD$6:$AD$1005,MATCH(D1514,'Items'!$A$6:$A$1005,0)),"MISSING ID")</x:f>
        <x:v>Proposal</x:v>
      </x:c>
      <x:c r="M1514" s="4" t="inlineStr">
        <x:is>
          <x:t xml:space="preserve">Withdrawn container proposal</x:t>
        </x:is>
      </x:c>
      <x:c r="N151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4" s="4" t="n">
        <x:f>IF(OR(C1514="Ingredient candidate",C1514="Consumed input",C1514="Contained input",C1514="Transform input"),IF(F1514="T0",0,IF(F1514="T1",1,IF(F1514="T2",2,IF(F1514="T3",3,IF(F1514="T4",4,-1))))),-1)</x:f>
        <x:v>-1</x:v>
      </x:c>
      <x:c r="Q1514" s="4" t="n">
        <x:f>IF(AND(OR(C1514="Ingredient candidate",C1514="Consumed input",C1514="Contained input",C1514="Transform input"),P1514=-1),1,0)</x:f>
        <x:v>0</x:v>
      </x:c>
    </x:row>
    <x:row r="1515" ht="64" customHeight="1">
      <x:c r="A1515" s="4"/>
      <x:c r="B1515" s="4"/>
      <x:c r="C1515" s="4"/>
      <x:c r="D1515" s="4"/>
      <x:c r="E1515" s="4"/>
      <x:c r="F1515" s="4"/>
      <x:c r="G1515" s="4"/>
      <x:c r="H1515" s="4"/>
      <x:c r="I1515" s="4"/>
      <x:c r="K1515" s="4"/>
      <x:c r="L1515" s="4"/>
      <x:c r="M1515" s="4"/>
      <x:c r="N1515" s="4"/>
      <x:c r="O1515" s="4"/>
      <x:c r="P1515" s="4"/>
      <x:c r="Q1515" s="4"/>
    </x:row>
    <x:row r="1516" ht="64" customHeight="1">
      <x:c r="A1516" s="4"/>
      <x:c r="B1516" s="4"/>
      <x:c r="C1516" s="4"/>
      <x:c r="D1516" s="4"/>
      <x:c r="E1516" s="4"/>
      <x:c r="F1516" s="4"/>
      <x:c r="G1516" s="4"/>
      <x:c r="H1516" s="4"/>
      <x:c r="I1516" s="4"/>
      <x:c r="K1516" s="4"/>
      <x:c r="L1516" s="4"/>
      <x:c r="M1516" s="4"/>
      <x:c r="N1516" s="4"/>
      <x:c r="O1516" s="4"/>
      <x:c r="P1516" s="4"/>
      <x:c r="Q1516" s="4"/>
    </x:row>
    <x:row r="1517" ht="64" customHeight="1">
      <x:c r="A1517" s="4"/>
      <x:c r="B1517" s="4"/>
      <x:c r="C1517" s="4"/>
      <x:c r="D1517" s="4"/>
      <x:c r="E1517" s="4"/>
      <x:c r="F1517" s="4"/>
      <x:c r="G1517" s="4"/>
      <x:c r="H1517" s="4"/>
      <x:c r="I1517" s="4"/>
      <x:c r="K1517" s="4"/>
      <x:c r="L1517" s="4"/>
      <x:c r="M1517" s="4"/>
      <x:c r="N1517" s="4"/>
      <x:c r="O1517" s="4"/>
      <x:c r="P1517" s="4"/>
      <x:c r="Q1517" s="4"/>
    </x:row>
    <x:row r="1518" ht="64" customHeight="1">
      <x:c r="A1518" s="4"/>
      <x:c r="B1518" s="4"/>
      <x:c r="C1518" s="4"/>
      <x:c r="D1518" s="4"/>
      <x:c r="E1518" s="4"/>
      <x:c r="F1518" s="4"/>
      <x:c r="G1518" s="4"/>
      <x:c r="H1518" s="4"/>
      <x:c r="I1518" s="4"/>
      <x:c r="K1518" s="4"/>
      <x:c r="L1518" s="4"/>
      <x:c r="M1518" s="4"/>
      <x:c r="N1518" s="4"/>
      <x:c r="O1518" s="4"/>
      <x:c r="P1518" s="4"/>
      <x:c r="Q1518" s="4"/>
    </x:row>
    <x:row r="1519" ht="64" customHeight="1">
      <x:c r="A1519" s="4"/>
      <x:c r="B1519" s="4"/>
      <x:c r="C1519" s="4"/>
      <x:c r="D1519" s="4"/>
      <x:c r="E1519" s="4"/>
      <x:c r="F1519" s="4"/>
      <x:c r="G1519" s="4"/>
      <x:c r="H1519" s="4"/>
      <x:c r="I1519" s="4"/>
      <x:c r="K1519" s="4"/>
      <x:c r="L1519" s="4"/>
      <x:c r="M1519" s="4"/>
      <x:c r="N1519" s="4"/>
      <x:c r="O1519" s="4"/>
      <x:c r="P1519" s="4"/>
      <x:c r="Q1519" s="4"/>
    </x:row>
    <x:row r="1520" ht="64" customHeight="1">
      <x:c r="A1520" s="4"/>
      <x:c r="B1520" s="4"/>
      <x:c r="C1520" s="4"/>
      <x:c r="D1520" s="4"/>
      <x:c r="E1520" s="4"/>
      <x:c r="F1520" s="4"/>
      <x:c r="G1520" s="4"/>
      <x:c r="H1520" s="4"/>
      <x:c r="I1520" s="4"/>
      <x:c r="K1520" s="4"/>
      <x:c r="L1520" s="4"/>
      <x:c r="M1520" s="4"/>
      <x:c r="N1520" s="4"/>
      <x:c r="O1520" s="4"/>
      <x:c r="P1520" s="4"/>
      <x:c r="Q1520" s="4"/>
    </x:row>
    <x:row r="1521" ht="64" customHeight="1">
      <x:c r="A1521" s="4"/>
      <x:c r="B1521" s="4"/>
      <x:c r="C1521" s="4"/>
      <x:c r="D1521" s="4"/>
      <x:c r="E1521" s="4"/>
      <x:c r="F1521" s="4"/>
      <x:c r="G1521" s="4"/>
      <x:c r="H1521" s="4"/>
      <x:c r="I1521" s="4"/>
      <x:c r="K1521" s="4"/>
      <x:c r="L1521" s="4"/>
      <x:c r="M1521" s="4"/>
      <x:c r="N1521" s="4"/>
      <x:c r="O1521" s="4"/>
      <x:c r="P1521" s="4"/>
      <x:c r="Q1521" s="4"/>
    </x:row>
    <x:row r="1522" ht="64" customHeight="1">
      <x:c r="A1522" s="4"/>
      <x:c r="B1522" s="4"/>
      <x:c r="C1522" s="4"/>
      <x:c r="D1522" s="4"/>
      <x:c r="E1522" s="4"/>
      <x:c r="F1522" s="4"/>
      <x:c r="G1522" s="4"/>
      <x:c r="H1522" s="4"/>
      <x:c r="I1522" s="4"/>
      <x:c r="K1522" s="4"/>
      <x:c r="L1522" s="4"/>
      <x:c r="M1522" s="4"/>
      <x:c r="N1522" s="4"/>
      <x:c r="O1522" s="4"/>
      <x:c r="P1522" s="4"/>
      <x:c r="Q1522" s="4"/>
    </x:row>
    <x:row r="1523" ht="64" customHeight="1">
      <x:c r="A1523" s="4"/>
      <x:c r="B1523" s="4"/>
      <x:c r="C1523" s="4"/>
      <x:c r="D1523" s="4"/>
      <x:c r="E1523" s="4"/>
      <x:c r="F1523" s="4"/>
      <x:c r="G1523" s="4"/>
      <x:c r="H1523" s="4"/>
      <x:c r="I1523" s="4"/>
      <x:c r="K1523" s="4"/>
      <x:c r="L1523" s="4"/>
      <x:c r="M1523" s="4"/>
      <x:c r="N1523" s="4"/>
      <x:c r="O1523" s="4"/>
      <x:c r="P1523" s="4"/>
      <x:c r="Q1523" s="4"/>
    </x:row>
    <x:row r="1524" ht="64" customHeight="1">
      <x:c r="A1524" s="4"/>
      <x:c r="B1524" s="4"/>
      <x:c r="C1524" s="4"/>
      <x:c r="D1524" s="4"/>
      <x:c r="E1524" s="4"/>
      <x:c r="F1524" s="4"/>
      <x:c r="G1524" s="4"/>
      <x:c r="H1524" s="4"/>
      <x:c r="I1524" s="4"/>
      <x:c r="K1524" s="4"/>
      <x:c r="L1524" s="4"/>
      <x:c r="M1524" s="4"/>
      <x:c r="N1524" s="4"/>
      <x:c r="O1524" s="4"/>
      <x:c r="P1524" s="4"/>
      <x:c r="Q1524" s="4"/>
    </x:row>
    <x:row r="1525" ht="64" customHeight="1">
      <x:c r="A1525" s="4"/>
      <x:c r="B1525" s="4"/>
      <x:c r="C1525" s="4"/>
      <x:c r="D1525" s="4"/>
      <x:c r="E1525" s="4"/>
      <x:c r="F1525" s="4"/>
      <x:c r="G1525" s="4"/>
      <x:c r="H1525" s="4"/>
      <x:c r="I1525" s="4"/>
      <x:c r="K1525" s="4"/>
      <x:c r="L1525" s="4"/>
      <x:c r="M1525" s="4"/>
      <x:c r="N1525" s="4"/>
      <x:c r="O1525" s="4"/>
      <x:c r="P1525" s="4"/>
      <x:c r="Q1525" s="4"/>
    </x:row>
    <x:row r="1526" ht="64" customHeight="1">
      <x:c r="A1526" s="4"/>
      <x:c r="B1526" s="4"/>
      <x:c r="C1526" s="4"/>
      <x:c r="D1526" s="4"/>
      <x:c r="E1526" s="4"/>
      <x:c r="F1526" s="4"/>
      <x:c r="G1526" s="4"/>
      <x:c r="H1526" s="4"/>
      <x:c r="I1526" s="4"/>
      <x:c r="K1526" s="4"/>
      <x:c r="L1526" s="4"/>
      <x:c r="M1526" s="4"/>
      <x:c r="N1526" s="4"/>
      <x:c r="O1526" s="4"/>
      <x:c r="P1526" s="4"/>
      <x:c r="Q1526" s="4"/>
    </x:row>
    <x:row r="1527" ht="64" customHeight="1">
      <x:c r="A1527" s="4"/>
      <x:c r="B1527" s="4"/>
      <x:c r="C1527" s="4"/>
      <x:c r="D1527" s="4"/>
      <x:c r="E1527" s="4"/>
      <x:c r="F1527" s="4"/>
      <x:c r="G1527" s="4"/>
      <x:c r="H1527" s="4"/>
      <x:c r="I1527" s="4"/>
      <x:c r="K1527" s="4"/>
      <x:c r="L1527" s="4"/>
      <x:c r="M1527" s="4"/>
      <x:c r="N1527" s="4"/>
      <x:c r="O1527" s="4"/>
      <x:c r="P1527" s="4"/>
      <x:c r="Q1527" s="4"/>
    </x:row>
    <x:row r="1528" ht="64" customHeight="1">
      <x:c r="A1528" s="4"/>
      <x:c r="B1528" s="4"/>
      <x:c r="C1528" s="4"/>
      <x:c r="D1528" s="4"/>
      <x:c r="E1528" s="4"/>
      <x:c r="F1528" s="4"/>
      <x:c r="G1528" s="4"/>
      <x:c r="H1528" s="4"/>
      <x:c r="I1528" s="4"/>
      <x:c r="K1528" s="4"/>
      <x:c r="L1528" s="4"/>
      <x:c r="M1528" s="4"/>
      <x:c r="N1528" s="4"/>
      <x:c r="O1528" s="4"/>
      <x:c r="P1528" s="4"/>
      <x:c r="Q1528" s="4"/>
    </x:row>
    <x:row r="1529" ht="64" customHeight="1">
      <x:c r="A1529" s="4" t="str">
        <x:v>design.audit.proposal_container_lined_canister.audit.in.1</x:v>
      </x:c>
      <x:c r="B1529" s="4" t="str">
        <x:v>design.audit.proposal_container_lined_canister</x:v>
      </x:c>
      <x:c r="C1529" s="4" t="str">
        <x:v>Ingredient candidate</x:v>
      </x:c>
      <x:c r="D1529" s="4" t="str">
        <x:v>proposal.canister.body_blank</x:v>
      </x:c>
      <x:c r="E1529" s="4" t="str">
        <x:f>IFERROR(INDEX('Items'!$B$6:$B$1005,MATCH(D1529,'Items'!$A$6:$A$1005,0)),"MISSING ID")</x:f>
        <x:v>Canister body blank</x:v>
      </x:c>
      <x:c r="F1529" s="4" t="str">
        <x:f>IFERROR(INDEX('Items'!$C$6:$C$1005,MATCH(D1529,'Items'!$A$6:$A$1005,0)),"MISSING ID")</x:f>
        <x:v>T3</x:v>
      </x:c>
      <x:c r="G1529" s="4" t="str">
        <x:f>IFERROR(INDEX('Items'!$D$6:$D$1005,MATCH(D1529,'Items'!$A$6:$A$1005,0)),"MISSING ID")</x:f>
        <x:v>Crafting components</x:v>
      </x:c>
      <x:c r="H1529" s="4" t="str">
        <x:f>IFERROR(INDEX('Items'!$X$6:$X$1005,MATCH(D1529,'Items'!$A$6:$A$1005,0)),"MISSING ID")</x:f>
        <x:v>Container part</x:v>
      </x:c>
      <x:c r="I1529" s="4"/>
      <x:c r="J1529" s="4" t="str">
        <x:v>Unspecified</x:v>
      </x:c>
      <x:c r="K1529" s="4" t="inlineStr">
        <x:is>
          <x:t xml:space="preserve">Retired</x:t>
        </x:is>
      </x:c>
      <x:c r="L1529" s="4" t="str">
        <x:f>IFERROR(INDEX('Items'!$AD$6:$AD$1005,MATCH(D1529,'Items'!$A$6:$A$1005,0)),"MISSING ID")</x:f>
        <x:v>Proposal</x:v>
      </x:c>
      <x:c r="M1529" s="4" t="inlineStr">
        <x:is>
          <x:t xml:space="preserve">Withdrawn container proposal</x:t>
        </x:is>
      </x:c>
      <x:c r="N152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9" s="4" t="n">
        <x:f>IF(OR(C1529="Ingredient candidate",C1529="Consumed input",C1529="Contained input",C1529="Transform input"),IF(F1529="T0",0,IF(F1529="T1",1,IF(F1529="T2",2,IF(F1529="T3",3,IF(F1529="T4",4,-1))))),-1)</x:f>
        <x:v>3</x:v>
      </x:c>
      <x:c r="Q1529" s="4" t="n">
        <x:f>IF(AND(OR(C1529="Ingredient candidate",C1529="Consumed input",C1529="Contained input",C1529="Transform input"),P1529=-1),1,0)</x:f>
        <x:v>0</x:v>
      </x:c>
    </x:row>
    <x:row r="1530" ht="64" customHeight="1">
      <x:c r="A1530" s="4" t="str">
        <x:v>design.audit.proposal_container_lined_canister.audit.in.2</x:v>
      </x:c>
      <x:c r="B1530" s="4" t="str">
        <x:v>design.audit.proposal_container_lined_canister</x:v>
      </x:c>
      <x:c r="C1530" s="4" t="str">
        <x:v>Ingredient candidate</x:v>
      </x:c>
      <x:c r="D1530" s="4" t="str">
        <x:v>proposal.t4.vessel_liner</x:v>
      </x:c>
      <x:c r="E1530" s="4" t="str">
        <x:f>IFERROR(INDEX('Items'!$B$6:$B$1005,MATCH(D1530,'Items'!$A$6:$A$1005,0)),"MISSING ID")</x:f>
        <x:v>Fitted chemical-vessel liner insert</x:v>
      </x:c>
      <x:c r="F1530" s="4" t="str">
        <x:f>IFERROR(INDEX('Items'!$C$6:$C$1005,MATCH(D1530,'Items'!$A$6:$A$1005,0)),"MISSING ID")</x:f>
        <x:v>T4</x:v>
      </x:c>
      <x:c r="G1530" s="4" t="str">
        <x:f>IFERROR(INDEX('Items'!$D$6:$D$1005,MATCH(D1530,'Items'!$A$6:$A$1005,0)),"MISSING ID")</x:f>
        <x:v>Crafting components</x:v>
      </x:c>
      <x:c r="H1530" s="4" t="str">
        <x:f>IFERROR(INDEX('Items'!$X$6:$X$1005,MATCH(D1530,'Items'!$A$6:$A$1005,0)),"MISSING ID")</x:f>
        <x:v>Crafting component</x:v>
      </x:c>
      <x:c r="I1530" s="4"/>
      <x:c r="J1530" s="4" t="str">
        <x:v>Unspecified</x:v>
      </x:c>
      <x:c r="K1530" s="4" t="inlineStr">
        <x:is>
          <x:t xml:space="preserve">Retired</x:t>
        </x:is>
      </x:c>
      <x:c r="L1530" s="4" t="str">
        <x:f>IFERROR(INDEX('Items'!$AD$6:$AD$1005,MATCH(D1530,'Items'!$A$6:$A$1005,0)),"MISSING ID")</x:f>
        <x:v>Proposal</x:v>
      </x:c>
      <x:c r="M1530" s="4" t="inlineStr">
        <x:is>
          <x:t xml:space="preserve">Withdrawn container proposal</x:t>
        </x:is>
      </x:c>
      <x:c r="N153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0" s="4" t="n">
        <x:f>IF(OR(C1530="Ingredient candidate",C1530="Consumed input",C1530="Contained input",C1530="Transform input"),IF(F1530="T0",0,IF(F1530="T1",1,IF(F1530="T2",2,IF(F1530="T3",3,IF(F1530="T4",4,-1))))),-1)</x:f>
        <x:v>4</x:v>
      </x:c>
      <x:c r="Q1530" s="4" t="n">
        <x:f>IF(AND(OR(C1530="Ingredient candidate",C1530="Consumed input",C1530="Contained input",C1530="Transform input"),P1530=-1),1,0)</x:f>
        <x:v>0</x:v>
      </x:c>
    </x:row>
    <x:row r="1531" ht="64" customHeight="1">
      <x:c r="A1531" s="4" t="str">
        <x:v>design.audit.proposal_container_lined_canister.audit.in.3</x:v>
      </x:c>
      <x:c r="B1531" s="4" t="str">
        <x:v>design.audit.proposal_container_lined_canister</x:v>
      </x:c>
      <x:c r="C1531" s="4" t="str">
        <x:v>Ingredient candidate</x:v>
      </x:c>
      <x:c r="D1531" s="4" t="str">
        <x:v>proposal.canister.seal_ring</x:v>
      </x:c>
      <x:c r="E1531" s="4" t="str">
        <x:f>IFERROR(INDEX('Items'!$B$6:$B$1005,MATCH(D1531,'Items'!$A$6:$A$1005,0)),"MISSING ID")</x:f>
        <x:v>Replacement seal ring</x:v>
      </x:c>
      <x:c r="F1531" s="4" t="str">
        <x:f>IFERROR(INDEX('Items'!$C$6:$C$1005,MATCH(D1531,'Items'!$A$6:$A$1005,0)),"MISSING ID")</x:f>
        <x:v>T3</x:v>
      </x:c>
      <x:c r="G1531" s="4" t="str">
        <x:f>IFERROR(INDEX('Items'!$D$6:$D$1005,MATCH(D1531,'Items'!$A$6:$A$1005,0)),"MISSING ID")</x:f>
        <x:v>Crafting components</x:v>
      </x:c>
      <x:c r="H1531" s="4" t="str">
        <x:f>IFERROR(INDEX('Items'!$X$6:$X$1005,MATCH(D1531,'Items'!$A$6:$A$1005,0)),"MISSING ID")</x:f>
        <x:v>Container part</x:v>
      </x:c>
      <x:c r="I1531" s="4"/>
      <x:c r="J1531" s="4" t="str">
        <x:v>Unspecified</x:v>
      </x:c>
      <x:c r="K1531" s="4" t="inlineStr">
        <x:is>
          <x:t xml:space="preserve">Retired</x:t>
        </x:is>
      </x:c>
      <x:c r="L1531" s="4" t="str">
        <x:f>IFERROR(INDEX('Items'!$AD$6:$AD$1005,MATCH(D1531,'Items'!$A$6:$A$1005,0)),"MISSING ID")</x:f>
        <x:v>Proposal</x:v>
      </x:c>
      <x:c r="M1531" s="4" t="inlineStr">
        <x:is>
          <x:t xml:space="preserve">Withdrawn container proposal</x:t>
        </x:is>
      </x:c>
      <x:c r="N153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1" s="4" t="n">
        <x:f>IF(OR(C1531="Ingredient candidate",C1531="Consumed input",C1531="Contained input",C1531="Transform input"),IF(F1531="T0",0,IF(F1531="T1",1,IF(F1531="T2",2,IF(F1531="T3",3,IF(F1531="T4",4,-1))))),-1)</x:f>
        <x:v>3</x:v>
      </x:c>
      <x:c r="Q1531" s="4" t="n">
        <x:f>IF(AND(OR(C1531="Ingredient candidate",C1531="Consumed input",C1531="Contained input",C1531="Transform input"),P1531=-1),1,0)</x:f>
        <x:v>0</x:v>
      </x:c>
    </x:row>
    <x:row r="1532" ht="64" customHeight="1">
      <x:c r="A1532" s="4" t="str">
        <x:v>design.audit.proposal_container_lined_canister.audit.in.4</x:v>
      </x:c>
      <x:c r="B1532" s="4" t="str">
        <x:v>design.audit.proposal_container_lined_canister</x:v>
      </x:c>
      <x:c r="C1532" s="4" t="str">
        <x:v>Ingredient candidate</x:v>
      </x:c>
      <x:c r="D1532" s="4" t="str">
        <x:v>proposal.canister.endcap</x:v>
      </x:c>
      <x:c r="E1532" s="4" t="str">
        <x:f>IFERROR(INDEX('Items'!$B$6:$B$1005,MATCH(D1532,'Items'!$A$6:$A$1005,0)),"MISSING ID")</x:f>
        <x:v>Canister protective endcap</x:v>
      </x:c>
      <x:c r="F1532" s="4" t="str">
        <x:f>IFERROR(INDEX('Items'!$C$6:$C$1005,MATCH(D1532,'Items'!$A$6:$A$1005,0)),"MISSING ID")</x:f>
        <x:v>T3</x:v>
      </x:c>
      <x:c r="G1532" s="4" t="str">
        <x:f>IFERROR(INDEX('Items'!$D$6:$D$1005,MATCH(D1532,'Items'!$A$6:$A$1005,0)),"MISSING ID")</x:f>
        <x:v>Crafting components</x:v>
      </x:c>
      <x:c r="H1532" s="4" t="str">
        <x:f>IFERROR(INDEX('Items'!$X$6:$X$1005,MATCH(D1532,'Items'!$A$6:$A$1005,0)),"MISSING ID")</x:f>
        <x:v>Container part</x:v>
      </x:c>
      <x:c r="I1532" s="4"/>
      <x:c r="J1532" s="4" t="str">
        <x:v>Unspecified</x:v>
      </x:c>
      <x:c r="K1532" s="4" t="inlineStr">
        <x:is>
          <x:t xml:space="preserve">Retired</x:t>
        </x:is>
      </x:c>
      <x:c r="L1532" s="4" t="str">
        <x:f>IFERROR(INDEX('Items'!$AD$6:$AD$1005,MATCH(D1532,'Items'!$A$6:$A$1005,0)),"MISSING ID")</x:f>
        <x:v>Proposal</x:v>
      </x:c>
      <x:c r="M1532" s="4" t="inlineStr">
        <x:is>
          <x:t xml:space="preserve">Withdrawn container proposal</x:t>
        </x:is>
      </x:c>
      <x:c r="N153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2" s="4" t="n">
        <x:f>IF(OR(C1532="Ingredient candidate",C1532="Consumed input",C1532="Contained input",C1532="Transform input"),IF(F1532="T0",0,IF(F1532="T1",1,IF(F1532="T2",2,IF(F1532="T3",3,IF(F1532="T4",4,-1))))),-1)</x:f>
        <x:v>3</x:v>
      </x:c>
      <x:c r="Q1532" s="4" t="n">
        <x:f>IF(AND(OR(C1532="Ingredient candidate",C1532="Consumed input",C1532="Contained input",C1532="Transform input"),P1532=-1),1,0)</x:f>
        <x:v>0</x:v>
      </x:c>
    </x:row>
    <x:row r="1533" ht="64" customHeight="1">
      <x:c r="A1533" s="4" t="str">
        <x:v>design.audit.proposal_container_lined_canister.audit.out</x:v>
      </x:c>
      <x:c r="B1533" s="4" t="str">
        <x:v>design.audit.proposal_container_lined_canister</x:v>
      </x:c>
      <x:c r="C1533" s="4" t="str">
        <x:v>Output</x:v>
      </x:c>
      <x:c r="D1533" s="4" t="str">
        <x:v>proposal.container.lined_canister</x:v>
      </x:c>
      <x:c r="E1533" s="4" t="str">
        <x:f>IFERROR(INDEX('Items'!$B$6:$B$1005,MATCH(D1533,'Items'!$A$6:$A$1005,0)),"MISSING ID")</x:f>
        <x:v>Glass-lined haul canister</x:v>
      </x:c>
      <x:c r="F1533" s="4" t="str">
        <x:f>IFERROR(INDEX('Items'!$C$6:$C$1005,MATCH(D1533,'Items'!$A$6:$A$1005,0)),"MISSING ID")</x:f>
        <x:v>Not applicable</x:v>
      </x:c>
      <x:c r="G1533" s="4" t="str">
        <x:f>IFERROR(INDEX('Items'!$D$6:$D$1005,MATCH(D1533,'Items'!$A$6:$A$1005,0)),"MISSING ID")</x:f>
        <x:v>Salvage</x:v>
      </x:c>
      <x:c r="H1533" s="4" t="inlineStr">
        <x:is>
          <x:t xml:space="preserve">Salvage</x:t>
        </x:is>
      </x:c>
      <x:c r="I1533" s="4"/>
      <x:c r="J1533" s="4" t="str">
        <x:v>Unspecified</x:v>
      </x:c>
      <x:c r="K1533" s="4" t="inlineStr">
        <x:is>
          <x:t xml:space="preserve">Retired</x:t>
        </x:is>
      </x:c>
      <x:c r="L1533" s="4" t="str">
        <x:f>IFERROR(INDEX('Items'!$AD$6:$AD$1005,MATCH(D1533,'Items'!$A$6:$A$1005,0)),"MISSING ID")</x:f>
        <x:v>Proposal</x:v>
      </x:c>
      <x:c r="M1533" s="4" t="inlineStr">
        <x:is>
          <x:t xml:space="preserve">Withdrawn container proposal</x:t>
        </x:is>
      </x:c>
      <x:c r="N153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3" s="4" t="n">
        <x:f>IF(OR(C1533="Ingredient candidate",C1533="Consumed input",C1533="Contained input",C1533="Transform input"),IF(F1533="T0",0,IF(F1533="T1",1,IF(F1533="T2",2,IF(F1533="T3",3,IF(F1533="T4",4,-1))))),-1)</x:f>
        <x:v>-1</x:v>
      </x:c>
      <x:c r="Q1533" s="4" t="n">
        <x:f>IF(AND(OR(C1533="Ingredient candidate",C1533="Consumed input",C1533="Contained input",C1533="Transform input"),P1533=-1),1,0)</x:f>
        <x:v>0</x:v>
      </x:c>
    </x:row>
    <x:row r="1534" ht="64" customHeight="1">
      <x:c r="A1534" s="4" t="str">
        <x:v>design.audit.proposal_container_ceramic_jar.audit.in.1</x:v>
      </x:c>
      <x:c r="B1534" s="4" t="str">
        <x:v>design.audit.proposal_container_ceramic_jar</x:v>
      </x:c>
      <x:c r="C1534" s="4" t="str">
        <x:v>Ingredient candidate</x:v>
      </x:c>
      <x:c r="D1534" s="4" t="str">
        <x:v>proposal.audit.fired_ceramic_vessel_blank</x:v>
      </x:c>
      <x:c r="E1534" s="4" t="str">
        <x:f>IFERROR(INDEX('Items'!$B$6:$B$1005,MATCH(D1534,'Items'!$A$6:$A$1005,0)),"MISSING ID")</x:f>
        <x:v>Fired ceramic vessel blank</x:v>
      </x:c>
      <x:c r="F1534" s="4" t="str">
        <x:f>IFERROR(INDEX('Items'!$C$6:$C$1005,MATCH(D1534,'Items'!$A$6:$A$1005,0)),"MISSING ID")</x:f>
        <x:v>T2</x:v>
      </x:c>
      <x:c r="G1534" s="4" t="str">
        <x:f>IFERROR(INDEX('Items'!$D$6:$D$1005,MATCH(D1534,'Items'!$A$6:$A$1005,0)),"MISSING ID")</x:f>
        <x:v>Crafting components</x:v>
      </x:c>
      <x:c r="H1534" s="4" t="str">
        <x:f>IFERROR(INDEX('Items'!$X$6:$X$1005,MATCH(D1534,'Items'!$A$6:$A$1005,0)),"MISSING ID")</x:f>
        <x:v>Crafting component</x:v>
      </x:c>
      <x:c r="I1534" s="4"/>
      <x:c r="J1534" s="4" t="str">
        <x:v>Unspecified</x:v>
      </x:c>
      <x:c r="K1534" s="4" t="inlineStr">
        <x:is>
          <x:t xml:space="preserve">Retired</x:t>
        </x:is>
      </x:c>
      <x:c r="L1534" s="4" t="str">
        <x:f>IFERROR(INDEX('Items'!$AD$6:$AD$1005,MATCH(D1534,'Items'!$A$6:$A$1005,0)),"MISSING ID")</x:f>
        <x:v>Proposal</x:v>
      </x:c>
      <x:c r="M1534" s="4" t="inlineStr">
        <x:is>
          <x:t xml:space="preserve">Withdrawn container proposal</x:t>
        </x:is>
      </x:c>
      <x:c r="N153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4" s="4" t="n">
        <x:f>IF(OR(C1534="Ingredient candidate",C1534="Consumed input",C1534="Contained input",C1534="Transform input"),IF(F1534="T0",0,IF(F1534="T1",1,IF(F1534="T2",2,IF(F1534="T3",3,IF(F1534="T4",4,-1))))),-1)</x:f>
        <x:v>2</x:v>
      </x:c>
      <x:c r="Q1534" s="4" t="n">
        <x:f>IF(AND(OR(C1534="Ingredient candidate",C1534="Consumed input",C1534="Contained input",C1534="Transform input"),P1534=-1),1,0)</x:f>
        <x:v>0</x:v>
      </x:c>
    </x:row>
    <x:row r="1535" ht="64" customHeight="1">
      <x:c r="A1535" s="4" t="str">
        <x:v>design.audit.proposal_container_ceramic_jar.audit.in.2</x:v>
      </x:c>
      <x:c r="B1535" s="4" t="str">
        <x:v>design.audit.proposal_container_ceramic_jar</x:v>
      </x:c>
      <x:c r="C1535" s="4" t="str">
        <x:v>Ingredient candidate</x:v>
      </x:c>
      <x:c r="D1535" s="4" t="str">
        <x:v>proposal.ceramic.glaze_feed</x:v>
      </x:c>
      <x:c r="E1535" s="4" t="str">
        <x:f>IFERROR(INDEX('Items'!$B$6:$B$1005,MATCH(D1535,'Items'!$A$6:$A$1005,0)),"MISSING ID")</x:f>
        <x:v>Prepared glaze feed</x:v>
      </x:c>
      <x:c r="F1535" s="4" t="str">
        <x:f>IFERROR(INDEX('Items'!$C$6:$C$1005,MATCH(D1535,'Items'!$A$6:$A$1005,0)),"MISSING ID")</x:f>
        <x:v>T1</x:v>
      </x:c>
      <x:c r="G1535" s="4" t="str">
        <x:f>IFERROR(INDEX('Items'!$D$6:$D$1005,MATCH(D1535,'Items'!$A$6:$A$1005,0)),"MISSING ID")</x:f>
        <x:v>Manufactured stock</x:v>
      </x:c>
      <x:c r="H1535" s="4" t="str">
        <x:f>IFERROR(INDEX('Items'!$X$6:$X$1005,MATCH(D1535,'Items'!$A$6:$A$1005,0)),"MISSING ID")</x:f>
        <x:v>Processed material</x:v>
      </x:c>
      <x:c r="I1535" s="4"/>
      <x:c r="J1535" s="4" t="str">
        <x:v>Unspecified</x:v>
      </x:c>
      <x:c r="K1535" s="4" t="inlineStr">
        <x:is>
          <x:t xml:space="preserve">Retired</x:t>
        </x:is>
      </x:c>
      <x:c r="L1535" s="4" t="str">
        <x:f>IFERROR(INDEX('Items'!$AD$6:$AD$1005,MATCH(D1535,'Items'!$A$6:$A$1005,0)),"MISSING ID")</x:f>
        <x:v>Proposal</x:v>
      </x:c>
      <x:c r="M1535" s="4" t="inlineStr">
        <x:is>
          <x:t xml:space="preserve">Withdrawn container proposal</x:t>
        </x:is>
      </x:c>
      <x:c r="N15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5" s="4" t="n">
        <x:f>IF(OR(C1535="Ingredient candidate",C1535="Consumed input",C1535="Contained input",C1535="Transform input"),IF(F1535="T0",0,IF(F1535="T1",1,IF(F1535="T2",2,IF(F1535="T3",3,IF(F1535="T4",4,-1))))),-1)</x:f>
        <x:v>1</x:v>
      </x:c>
      <x:c r="Q1535" s="4" t="n">
        <x:f>IF(AND(OR(C1535="Ingredient candidate",C1535="Consumed input",C1535="Contained input",C1535="Transform input"),P1535=-1),1,0)</x:f>
        <x:v>0</x:v>
      </x:c>
    </x:row>
    <x:row r="1536" ht="64" customHeight="1">
      <x:c r="A1536" s="4" t="str">
        <x:v>design.audit.proposal_container_ceramic_jar.audit.in.3</x:v>
      </x:c>
      <x:c r="B1536" s="4" t="str">
        <x:v>design.audit.proposal_container_ceramic_jar</x:v>
      </x:c>
      <x:c r="C1536" s="4" t="str">
        <x:v>Ingredient candidate</x:v>
      </x:c>
      <x:c r="D1536" s="4" t="str">
        <x:v>proposal.ceramic.stopper</x:v>
      </x:c>
      <x:c r="E1536" s="4" t="str">
        <x:f>IFERROR(INDEX('Items'!$B$6:$B$1005,MATCH(D1536,'Items'!$A$6:$A$1005,0)),"MISSING ID")</x:f>
        <x:v>Fitted ceramic stopper</x:v>
      </x:c>
      <x:c r="F1536" s="4" t="str">
        <x:f>IFERROR(INDEX('Items'!$C$6:$C$1005,MATCH(D1536,'Items'!$A$6:$A$1005,0)),"MISSING ID")</x:f>
        <x:v>T3</x:v>
      </x:c>
      <x:c r="G1536" s="4" t="str">
        <x:f>IFERROR(INDEX('Items'!$D$6:$D$1005,MATCH(D1536,'Items'!$A$6:$A$1005,0)),"MISSING ID")</x:f>
        <x:v>Crafting components</x:v>
      </x:c>
      <x:c r="H1536" s="4" t="str">
        <x:f>IFERROR(INDEX('Items'!$X$6:$X$1005,MATCH(D1536,'Items'!$A$6:$A$1005,0)),"MISSING ID")</x:f>
        <x:v>Container part</x:v>
      </x:c>
      <x:c r="I1536" s="4"/>
      <x:c r="J1536" s="4" t="str">
        <x:v>Unspecified</x:v>
      </x:c>
      <x:c r="K1536" s="4" t="inlineStr">
        <x:is>
          <x:t xml:space="preserve">Retired</x:t>
        </x:is>
      </x:c>
      <x:c r="L1536" s="4" t="str">
        <x:f>IFERROR(INDEX('Items'!$AD$6:$AD$1005,MATCH(D1536,'Items'!$A$6:$A$1005,0)),"MISSING ID")</x:f>
        <x:v>Proposal</x:v>
      </x:c>
      <x:c r="M1536" s="4" t="inlineStr">
        <x:is>
          <x:t xml:space="preserve">Withdrawn container proposal</x:t>
        </x:is>
      </x:c>
      <x:c r="N153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6" s="4" t="n">
        <x:f>IF(OR(C1536="Ingredient candidate",C1536="Consumed input",C1536="Contained input",C1536="Transform input"),IF(F1536="T0",0,IF(F1536="T1",1,IF(F1536="T2",2,IF(F1536="T3",3,IF(F1536="T4",4,-1))))),-1)</x:f>
        <x:v>3</x:v>
      </x:c>
      <x:c r="Q1536" s="4" t="n">
        <x:f>IF(AND(OR(C1536="Ingredient candidate",C1536="Consumed input",C1536="Contained input",C1536="Transform input"),P1536=-1),1,0)</x:f>
        <x:v>0</x:v>
      </x:c>
    </x:row>
    <x:row r="1537" ht="64" customHeight="1">
      <x:c r="A1537" s="4" t="str">
        <x:v>design.audit.proposal_container_ceramic_jar.audit.out</x:v>
      </x:c>
      <x:c r="B1537" s="4" t="str">
        <x:v>design.audit.proposal_container_ceramic_jar</x:v>
      </x:c>
      <x:c r="C1537" s="4" t="str">
        <x:v>Output</x:v>
      </x:c>
      <x:c r="D1537" s="4" t="str">
        <x:v>proposal.container.ceramic_jar</x:v>
      </x:c>
      <x:c r="E1537" s="4" t="str">
        <x:f>IFERROR(INDEX('Items'!$B$6:$B$1005,MATCH(D1537,'Items'!$A$6:$A$1005,0)),"MISSING ID")</x:f>
        <x:v>Glazed ceramic reagent jar</x:v>
      </x:c>
      <x:c r="F1537" s="4" t="str">
        <x:f>IFERROR(INDEX('Items'!$C$6:$C$1005,MATCH(D1537,'Items'!$A$6:$A$1005,0)),"MISSING ID")</x:f>
        <x:v>Not applicable</x:v>
      </x:c>
      <x:c r="G1537" s="4" t="str">
        <x:f>IFERROR(INDEX('Items'!$D$6:$D$1005,MATCH(D1537,'Items'!$A$6:$A$1005,0)),"MISSING ID")</x:f>
        <x:v>Salvage</x:v>
      </x:c>
      <x:c r="H1537" s="4" t="inlineStr">
        <x:is>
          <x:t xml:space="preserve">Salvage</x:t>
        </x:is>
      </x:c>
      <x:c r="I1537" s="4"/>
      <x:c r="J1537" s="4" t="str">
        <x:v>Unspecified</x:v>
      </x:c>
      <x:c r="K1537" s="4" t="inlineStr">
        <x:is>
          <x:t xml:space="preserve">Retired</x:t>
        </x:is>
      </x:c>
      <x:c r="L1537" s="4" t="str">
        <x:f>IFERROR(INDEX('Items'!$AD$6:$AD$1005,MATCH(D1537,'Items'!$A$6:$A$1005,0)),"MISSING ID")</x:f>
        <x:v>Proposal</x:v>
      </x:c>
      <x:c r="M1537" s="4" t="inlineStr">
        <x:is>
          <x:t xml:space="preserve">Withdrawn container proposal</x:t>
        </x:is>
      </x:c>
      <x:c r="N153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7" s="4" t="n">
        <x:f>IF(OR(C1537="Ingredient candidate",C1537="Consumed input",C1537="Contained input",C1537="Transform input"),IF(F1537="T0",0,IF(F1537="T1",1,IF(F1537="T2",2,IF(F1537="T3",3,IF(F1537="T4",4,-1))))),-1)</x:f>
        <x:v>-1</x:v>
      </x:c>
      <x:c r="Q1537" s="4" t="n">
        <x:f>IF(AND(OR(C1537="Ingredient candidate",C1537="Consumed input",C1537="Contained input",C1537="Transform input"),P1537=-1),1,0)</x:f>
        <x:v>0</x:v>
      </x:c>
    </x:row>
    <x:row r="1538" ht="64" customHeight="1">
      <x:c r="A1538" s="4" t="str">
        <x:v>design.audit.proposal_container_bulk_ichor.audit.in.1</x:v>
      </x:c>
      <x:c r="B1538" s="4" t="str">
        <x:v>design.audit.proposal_container_bulk_ichor</x:v>
      </x:c>
      <x:c r="C1538" s="4" t="str">
        <x:v>Ingredient candidate</x:v>
      </x:c>
      <x:c r="D1538" s="4" t="str">
        <x:v>proposal.canister.body_blank</x:v>
      </x:c>
      <x:c r="E1538" s="4" t="str">
        <x:f>IFERROR(INDEX('Items'!$B$6:$B$1005,MATCH(D1538,'Items'!$A$6:$A$1005,0)),"MISSING ID")</x:f>
        <x:v>Canister body blank</x:v>
      </x:c>
      <x:c r="F1538" s="4" t="str">
        <x:f>IFERROR(INDEX('Items'!$C$6:$C$1005,MATCH(D1538,'Items'!$A$6:$A$1005,0)),"MISSING ID")</x:f>
        <x:v>T3</x:v>
      </x:c>
      <x:c r="G1538" s="4" t="str">
        <x:f>IFERROR(INDEX('Items'!$D$6:$D$1005,MATCH(D1538,'Items'!$A$6:$A$1005,0)),"MISSING ID")</x:f>
        <x:v>Crafting components</x:v>
      </x:c>
      <x:c r="H1538" s="4" t="str">
        <x:f>IFERROR(INDEX('Items'!$X$6:$X$1005,MATCH(D1538,'Items'!$A$6:$A$1005,0)),"MISSING ID")</x:f>
        <x:v>Container part</x:v>
      </x:c>
      <x:c r="I1538" s="4"/>
      <x:c r="J1538" s="4" t="str">
        <x:v>Unspecified</x:v>
      </x:c>
      <x:c r="K1538" s="4" t="str">
        <x:f>IFERROR(INDEX('Crafting recipes'!$D$6:$D$1005,MATCH(B1538,'Crafting recipes'!$A$6:$A$1005,0)),"MISSING ID")</x:f>
        <x:v>Proposal</x:v>
      </x:c>
      <x:c r="L1538" s="4" t="str">
        <x:f>IFERROR(INDEX('Items'!$AD$6:$AD$1005,MATCH(D1538,'Items'!$A$6:$A$1005,0)),"MISSING ID")</x:f>
        <x:v>Proposal</x:v>
      </x:c>
      <x:c r="M1538" s="4" t="str">
        <x:f>IFERROR(INDEX('Crafting recipes'!$E$6:$E$1005,MATCH(B1538,'Crafting recipes'!$A$6:$A$1005,0)),"MISSING ID")</x:f>
        <x:v>Partial proposal</x:v>
      </x:c>
      <x:c r="N1538" s="4" t="str">
        <x:v>Partial audit candidate; quantity, fit and performance remain unresolved.</x:v>
      </x:c>
      <x:c r="O15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8" s="4" t="n">
        <x:f>IF(OR(C1538="Ingredient candidate",C1538="Consumed input",C1538="Contained input",C1538="Transform input"),IF(F1538="T0",0,IF(F1538="T1",1,IF(F1538="T2",2,IF(F1538="T3",3,IF(F1538="T4",4,-1))))),-1)</x:f>
        <x:v>3</x:v>
      </x:c>
      <x:c r="Q1538" s="4" t="n">
        <x:f>IF(AND(OR(C1538="Ingredient candidate",C1538="Consumed input",C1538="Contained input",C1538="Transform input"),P1538=-1),1,0)</x:f>
        <x:v>0</x:v>
      </x:c>
    </x:row>
    <x:row r="1539" ht="64" customHeight="1">
      <x:c r="A1539" s="4" t="str">
        <x:v>design.audit.proposal_container_bulk_ichor.audit.in.2</x:v>
      </x:c>
      <x:c r="B1539" s="4" t="str">
        <x:v>design.audit.proposal_container_bulk_ichor</x:v>
      </x:c>
      <x:c r="C1539" s="4" t="str">
        <x:v>Ingredient candidate</x:v>
      </x:c>
      <x:c r="D1539" s="4" t="str">
        <x:v>proposal.t4.vessel_liner</x:v>
      </x:c>
      <x:c r="E1539" s="4" t="str">
        <x:f>IFERROR(INDEX('Items'!$B$6:$B$1005,MATCH(D1539,'Items'!$A$6:$A$1005,0)),"MISSING ID")</x:f>
        <x:v>Fitted chemical-vessel liner insert</x:v>
      </x:c>
      <x:c r="F1539" s="4" t="str">
        <x:f>IFERROR(INDEX('Items'!$C$6:$C$1005,MATCH(D1539,'Items'!$A$6:$A$1005,0)),"MISSING ID")</x:f>
        <x:v>T4</x:v>
      </x:c>
      <x:c r="G1539" s="4" t="str">
        <x:f>IFERROR(INDEX('Items'!$D$6:$D$1005,MATCH(D1539,'Items'!$A$6:$A$1005,0)),"MISSING ID")</x:f>
        <x:v>Crafting components</x:v>
      </x:c>
      <x:c r="H1539" s="4" t="str">
        <x:f>IFERROR(INDEX('Items'!$X$6:$X$1005,MATCH(D1539,'Items'!$A$6:$A$1005,0)),"MISSING ID")</x:f>
        <x:v>Crafting component</x:v>
      </x:c>
      <x:c r="I1539" s="4"/>
      <x:c r="J1539" s="4" t="str">
        <x:v>Unspecified</x:v>
      </x:c>
      <x:c r="K1539" s="4" t="str">
        <x:f>IFERROR(INDEX('Crafting recipes'!$D$6:$D$1005,MATCH(B1539,'Crafting recipes'!$A$6:$A$1005,0)),"MISSING ID")</x:f>
        <x:v>Proposal</x:v>
      </x:c>
      <x:c r="L1539" s="4" t="str">
        <x:f>IFERROR(INDEX('Items'!$AD$6:$AD$1005,MATCH(D1539,'Items'!$A$6:$A$1005,0)),"MISSING ID")</x:f>
        <x:v>Proposal</x:v>
      </x:c>
      <x:c r="M1539" s="4" t="str">
        <x:f>IFERROR(INDEX('Crafting recipes'!$E$6:$E$1005,MATCH(B1539,'Crafting recipes'!$A$6:$A$1005,0)),"MISSING ID")</x:f>
        <x:v>Partial proposal</x:v>
      </x:c>
      <x:c r="N1539" s="4" t="str">
        <x:v>Partial audit candidate; quantity, fit and performance remain unresolved.</x:v>
      </x:c>
      <x:c r="O1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9" s="4" t="n">
        <x:f>IF(OR(C1539="Ingredient candidate",C1539="Consumed input",C1539="Contained input",C1539="Transform input"),IF(F1539="T0",0,IF(F1539="T1",1,IF(F1539="T2",2,IF(F1539="T3",3,IF(F1539="T4",4,-1))))),-1)</x:f>
        <x:v>4</x:v>
      </x:c>
      <x:c r="Q1539" s="4" t="n">
        <x:f>IF(AND(OR(C1539="Ingredient candidate",C1539="Consumed input",C1539="Contained input",C1539="Transform input"),P1539=-1),1,0)</x:f>
        <x:v>0</x:v>
      </x:c>
    </x:row>
    <x:row r="1540" ht="64" customHeight="1">
      <x:c r="A1540" s="4" t="str">
        <x:v>design.audit.proposal_container_bulk_ichor.audit.in.3</x:v>
      </x:c>
      <x:c r="B1540" s="4" t="str">
        <x:v>design.audit.proposal_container_bulk_ichor</x:v>
      </x:c>
      <x:c r="C1540" s="4" t="str">
        <x:v>Ingredient candidate</x:v>
      </x:c>
      <x:c r="D1540" s="4" t="str">
        <x:v>proposal.canister.coupling</x:v>
      </x:c>
      <x:c r="E1540" s="4" t="str">
        <x:f>IFERROR(INDEX('Items'!$B$6:$B$1005,MATCH(D1540,'Items'!$A$6:$A$1005,0)),"MISSING ID")</x:f>
        <x:v>Feed-line coupling</x:v>
      </x:c>
      <x:c r="F1540" s="4" t="str">
        <x:f>IFERROR(INDEX('Items'!$C$6:$C$1005,MATCH(D1540,'Items'!$A$6:$A$1005,0)),"MISSING ID")</x:f>
        <x:v>T4</x:v>
      </x:c>
      <x:c r="G1540" s="4" t="str">
        <x:f>IFERROR(INDEX('Items'!$D$6:$D$1005,MATCH(D1540,'Items'!$A$6:$A$1005,0)),"MISSING ID")</x:f>
        <x:v>Crafting components</x:v>
      </x:c>
      <x:c r="H1540" s="4" t="str">
        <x:f>IFERROR(INDEX('Items'!$X$6:$X$1005,MATCH(D1540,'Items'!$A$6:$A$1005,0)),"MISSING ID")</x:f>
        <x:v>Container part</x:v>
      </x:c>
      <x:c r="I1540" s="4"/>
      <x:c r="J1540" s="4" t="str">
        <x:v>Unspecified</x:v>
      </x:c>
      <x:c r="K1540" s="4" t="str">
        <x:f>IFERROR(INDEX('Crafting recipes'!$D$6:$D$1005,MATCH(B1540,'Crafting recipes'!$A$6:$A$1005,0)),"MISSING ID")</x:f>
        <x:v>Proposal</x:v>
      </x:c>
      <x:c r="L1540" s="4" t="str">
        <x:f>IFERROR(INDEX('Items'!$AD$6:$AD$1005,MATCH(D1540,'Items'!$A$6:$A$1005,0)),"MISSING ID")</x:f>
        <x:v>Proposal</x:v>
      </x:c>
      <x:c r="M1540" s="4" t="str">
        <x:f>IFERROR(INDEX('Crafting recipes'!$E$6:$E$1005,MATCH(B1540,'Crafting recipes'!$A$6:$A$1005,0)),"MISSING ID")</x:f>
        <x:v>Partial proposal</x:v>
      </x:c>
      <x:c r="N1540" s="4" t="str">
        <x:v>Partial audit candidate; quantity, fit and performance remain unresolved.</x:v>
      </x:c>
      <x:c r="O15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0" s="4" t="n">
        <x:f>IF(OR(C1540="Ingredient candidate",C1540="Consumed input",C1540="Contained input",C1540="Transform input"),IF(F1540="T0",0,IF(F1540="T1",1,IF(F1540="T2",2,IF(F1540="T3",3,IF(F1540="T4",4,-1))))),-1)</x:f>
        <x:v>4</x:v>
      </x:c>
      <x:c r="Q1540" s="4" t="n">
        <x:f>IF(AND(OR(C1540="Ingredient candidate",C1540="Consumed input",C1540="Contained input",C1540="Transform input"),P1540=-1),1,0)</x:f>
        <x:v>0</x:v>
      </x:c>
    </x:row>
    <x:row r="1541" ht="64" customHeight="1">
      <x:c r="A1541" s="4" t="str">
        <x:v>design.audit.proposal_container_bulk_ichor.audit.in.4</x:v>
      </x:c>
      <x:c r="B1541" s="4" t="str">
        <x:v>design.audit.proposal_container_bulk_ichor</x:v>
      </x:c>
      <x:c r="C1541" s="4" t="str">
        <x:v>Ingredient candidate</x:v>
      </x:c>
      <x:c r="D1541" s="4" t="str">
        <x:v>proposal.canister.seal_ring</x:v>
      </x:c>
      <x:c r="E1541" s="4" t="str">
        <x:f>IFERROR(INDEX('Items'!$B$6:$B$1005,MATCH(D1541,'Items'!$A$6:$A$1005,0)),"MISSING ID")</x:f>
        <x:v>Replacement seal ring</x:v>
      </x:c>
      <x:c r="F1541" s="4" t="str">
        <x:f>IFERROR(INDEX('Items'!$C$6:$C$1005,MATCH(D1541,'Items'!$A$6:$A$1005,0)),"MISSING ID")</x:f>
        <x:v>T3</x:v>
      </x:c>
      <x:c r="G1541" s="4" t="str">
        <x:f>IFERROR(INDEX('Items'!$D$6:$D$1005,MATCH(D1541,'Items'!$A$6:$A$1005,0)),"MISSING ID")</x:f>
        <x:v>Crafting components</x:v>
      </x:c>
      <x:c r="H1541" s="4" t="str">
        <x:f>IFERROR(INDEX('Items'!$X$6:$X$1005,MATCH(D1541,'Items'!$A$6:$A$1005,0)),"MISSING ID")</x:f>
        <x:v>Container part</x:v>
      </x:c>
      <x:c r="I1541" s="4"/>
      <x:c r="J1541" s="4" t="str">
        <x:v>Unspecified</x:v>
      </x:c>
      <x:c r="K1541" s="4" t="str">
        <x:f>IFERROR(INDEX('Crafting recipes'!$D$6:$D$1005,MATCH(B1541,'Crafting recipes'!$A$6:$A$1005,0)),"MISSING ID")</x:f>
        <x:v>Proposal</x:v>
      </x:c>
      <x:c r="L1541" s="4" t="str">
        <x:f>IFERROR(INDEX('Items'!$AD$6:$AD$1005,MATCH(D1541,'Items'!$A$6:$A$1005,0)),"MISSING ID")</x:f>
        <x:v>Proposal</x:v>
      </x:c>
      <x:c r="M1541" s="4" t="str">
        <x:f>IFERROR(INDEX('Crafting recipes'!$E$6:$E$1005,MATCH(B1541,'Crafting recipes'!$A$6:$A$1005,0)),"MISSING ID")</x:f>
        <x:v>Partial proposal</x:v>
      </x:c>
      <x:c r="N1541" s="4" t="str">
        <x:v>Partial audit candidate; quantity, fit and performance remain unresolved.</x:v>
      </x:c>
      <x:c r="O1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1" s="4" t="n">
        <x:f>IF(OR(C1541="Ingredient candidate",C1541="Consumed input",C1541="Contained input",C1541="Transform input"),IF(F1541="T0",0,IF(F1541="T1",1,IF(F1541="T2",2,IF(F1541="T3",3,IF(F1541="T4",4,-1))))),-1)</x:f>
        <x:v>3</x:v>
      </x:c>
      <x:c r="Q1541" s="4" t="n">
        <x:f>IF(AND(OR(C1541="Ingredient candidate",C1541="Consumed input",C1541="Contained input",C1541="Transform input"),P1541=-1),1,0)</x:f>
        <x:v>0</x:v>
      </x:c>
    </x:row>
    <x:row r="1542" ht="64" customHeight="1">
      <x:c r="A1542" s="4" t="str">
        <x:v>design.audit.proposal_container_bulk_ichor.audit.out</x:v>
      </x:c>
      <x:c r="B1542" s="4" t="str">
        <x:v>design.audit.proposal_container_bulk_ichor</x:v>
      </x:c>
      <x:c r="C1542" s="4" t="str">
        <x:v>Output</x:v>
      </x:c>
      <x:c r="D1542" s="4" t="str">
        <x:v>proposal.container.bulk_ichor</x:v>
      </x:c>
      <x:c r="E1542" s="4" t="str">
        <x:f>IFERROR(INDEX('Items'!$B$6:$B$1005,MATCH(D1542,'Items'!$A$6:$A$1005,0)),"MISSING ID")</x:f>
        <x:v>Bulk ichor vessel</x:v>
      </x:c>
      <x:c r="F1542" s="4" t="str">
        <x:f>IFERROR(INDEX('Items'!$C$6:$C$1005,MATCH(D1542,'Items'!$A$6:$A$1005,0)),"MISSING ID")</x:f>
        <x:v>Not applicable</x:v>
      </x:c>
      <x:c r="G1542" s="4" t="str">
        <x:f>IFERROR(INDEX('Items'!$D$6:$D$1005,MATCH(D1542,'Items'!$A$6:$A$1005,0)),"MISSING ID")</x:f>
        <x:v>Tools</x:v>
      </x:c>
      <x:c r="H1542" s="4" t="str">
        <x:f>IFERROR(INDEX('Items'!$X$6:$X$1005,MATCH(D1542,'Items'!$A$6:$A$1005,0)),"MISSING ID")</x:f>
        <x:v>Container</x:v>
      </x:c>
      <x:c r="I1542" s="4"/>
      <x:c r="J1542" s="4" t="str">
        <x:v>Unspecified</x:v>
      </x:c>
      <x:c r="K1542" s="4" t="str">
        <x:f>IFERROR(INDEX('Crafting recipes'!$D$6:$D$1005,MATCH(B1542,'Crafting recipes'!$A$6:$A$1005,0)),"MISSING ID")</x:f>
        <x:v>Proposal</x:v>
      </x:c>
      <x:c r="L1542" s="4" t="str">
        <x:f>IFERROR(INDEX('Items'!$AD$6:$AD$1005,MATCH(D1542,'Items'!$A$6:$A$1005,0)),"MISSING ID")</x:f>
        <x:v>Proposal</x:v>
      </x:c>
      <x:c r="M1542" s="4" t="str">
        <x:f>IFERROR(INDEX('Crafting recipes'!$E$6:$E$1005,MATCH(B1542,'Crafting recipes'!$A$6:$A$1005,0)),"MISSING ID")</x:f>
        <x:v>Partial proposal</x:v>
      </x:c>
      <x:c r="N1542" s="4" t="str">
        <x:v>Partial audit candidate; quantity, fit and performance remain unresolved.</x:v>
      </x:c>
      <x:c r="O15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2" s="4" t="n">
        <x:f>IF(OR(C1542="Ingredient candidate",C1542="Consumed input",C1542="Contained input",C1542="Transform input"),IF(F1542="T0",0,IF(F1542="T1",1,IF(F1542="T2",2,IF(F1542="T3",3,IF(F1542="T4",4,-1))))),-1)</x:f>
        <x:v>-1</x:v>
      </x:c>
      <x:c r="Q1542" s="4" t="n">
        <x:f>IF(AND(OR(C1542="Ingredient candidate",C1542="Consumed input",C1542="Contained input",C1542="Transform input"),P1542=-1),1,0)</x:f>
        <x:v>0</x:v>
      </x:c>
    </x:row>
    <x:row r="1543" ht="64" customHeight="1">
      <x:c r="A1543" s="4"/>
      <x:c r="B1543" s="4"/>
      <x:c r="C1543" s="4"/>
      <x:c r="D1543" s="4"/>
      <x:c r="E1543" s="4"/>
      <x:c r="F1543" s="4"/>
      <x:c r="G1543" s="4"/>
      <x:c r="H1543" s="4"/>
      <x:c r="I1543" s="4"/>
      <x:c r="K1543" s="4"/>
      <x:c r="L1543" s="4"/>
      <x:c r="M1543" s="4"/>
      <x:c r="N1543" s="4"/>
      <x:c r="O1543" s="4"/>
      <x:c r="P1543" s="4"/>
      <x:c r="Q1543" s="4"/>
    </x:row>
    <x:row r="1544" ht="64" customHeight="1">
      <x:c r="A1544" s="4"/>
      <x:c r="B1544" s="4"/>
      <x:c r="C1544" s="4"/>
      <x:c r="D1544" s="4"/>
      <x:c r="E1544" s="4"/>
      <x:c r="F1544" s="4"/>
      <x:c r="G1544" s="4"/>
      <x:c r="H1544" s="4"/>
      <x:c r="I1544" s="4"/>
      <x:c r="K1544" s="4"/>
      <x:c r="L1544" s="4"/>
      <x:c r="M1544" s="4"/>
      <x:c r="N1544" s="4"/>
      <x:c r="O1544" s="4"/>
      <x:c r="P1544" s="4"/>
      <x:c r="Q1544" s="4"/>
    </x:row>
    <x:row r="1545" ht="64" customHeight="1">
      <x:c r="A1545" s="4"/>
      <x:c r="B1545" s="4"/>
      <x:c r="C1545" s="4"/>
      <x:c r="D1545" s="4"/>
      <x:c r="E1545" s="4"/>
      <x:c r="F1545" s="4"/>
      <x:c r="G1545" s="4"/>
      <x:c r="H1545" s="4"/>
      <x:c r="I1545" s="4"/>
      <x:c r="K1545" s="4"/>
      <x:c r="L1545" s="4"/>
      <x:c r="M1545" s="4"/>
      <x:c r="N1545" s="4"/>
      <x:c r="O1545" s="4"/>
      <x:c r="P1545" s="4"/>
      <x:c r="Q1545" s="4"/>
    </x:row>
    <x:row r="1546" ht="64" customHeight="1">
      <x:c r="A1546" s="4"/>
      <x:c r="B1546" s="4"/>
      <x:c r="C1546" s="4"/>
      <x:c r="D1546" s="4"/>
      <x:c r="E1546" s="4"/>
      <x:c r="F1546" s="4"/>
      <x:c r="G1546" s="4"/>
      <x:c r="H1546" s="4"/>
      <x:c r="I1546" s="4"/>
      <x:c r="K1546" s="4"/>
      <x:c r="L1546" s="4"/>
      <x:c r="M1546" s="4"/>
      <x:c r="N1546" s="4"/>
      <x:c r="O1546" s="4"/>
      <x:c r="P1546" s="4"/>
      <x:c r="Q1546" s="4"/>
    </x:row>
    <x:row r="1547" ht="64" customHeight="1">
      <x:c r="A1547" s="4"/>
      <x:c r="B1547" s="4"/>
      <x:c r="C1547" s="4"/>
      <x:c r="D1547" s="4"/>
      <x:c r="E1547" s="4"/>
      <x:c r="F1547" s="4"/>
      <x:c r="G1547" s="4"/>
      <x:c r="H1547" s="4"/>
      <x:c r="I1547" s="4"/>
      <x:c r="K1547" s="4"/>
      <x:c r="L1547" s="4"/>
      <x:c r="M1547" s="4"/>
      <x:c r="N1547" s="4"/>
      <x:c r="O1547" s="4"/>
      <x:c r="P1547" s="4"/>
      <x:c r="Q1547" s="4"/>
    </x:row>
    <x:row r="1548" ht="64" customHeight="1">
      <x:c r="A1548" s="4"/>
      <x:c r="B1548" s="4"/>
      <x:c r="C1548" s="4"/>
      <x:c r="D1548" s="4"/>
      <x:c r="E1548" s="4"/>
      <x:c r="F1548" s="4"/>
      <x:c r="G1548" s="4"/>
      <x:c r="H1548" s="4"/>
      <x:c r="I1548" s="4"/>
      <x:c r="K1548" s="4"/>
      <x:c r="L1548" s="4"/>
      <x:c r="M1548" s="4"/>
      <x:c r="N1548" s="4"/>
      <x:c r="O1548" s="4"/>
      <x:c r="P1548" s="4"/>
      <x:c r="Q1548" s="4"/>
    </x:row>
    <x:row r="1549" ht="64" customHeight="1">
      <x:c r="A1549" s="4"/>
      <x:c r="B1549" s="4"/>
      <x:c r="C1549" s="4"/>
      <x:c r="D1549" s="4"/>
      <x:c r="E1549" s="4"/>
      <x:c r="F1549" s="4"/>
      <x:c r="G1549" s="4"/>
      <x:c r="H1549" s="4"/>
      <x:c r="I1549" s="4"/>
      <x:c r="K1549" s="4"/>
      <x:c r="L1549" s="4"/>
      <x:c r="M1549" s="4"/>
      <x:c r="N1549" s="4"/>
      <x:c r="O1549" s="4"/>
      <x:c r="P1549" s="4"/>
      <x:c r="Q1549" s="4"/>
    </x:row>
    <x:row r="1550" ht="64" customHeight="1">
      <x:c r="A1550" s="4"/>
      <x:c r="B1550" s="4"/>
      <x:c r="C1550" s="4"/>
      <x:c r="D1550" s="4"/>
      <x:c r="E1550" s="4"/>
      <x:c r="F1550" s="4"/>
      <x:c r="G1550" s="4"/>
      <x:c r="H1550" s="4"/>
      <x:c r="I1550" s="4"/>
      <x:c r="K1550" s="4"/>
      <x:c r="L1550" s="4"/>
      <x:c r="M1550" s="4"/>
      <x:c r="N1550" s="4"/>
      <x:c r="O1550" s="4"/>
      <x:c r="P1550" s="4"/>
      <x:c r="Q1550" s="4"/>
    </x:row>
    <x:row r="1551" ht="64" customHeight="1">
      <x:c r="A1551" s="4"/>
      <x:c r="B1551" s="4"/>
      <x:c r="C1551" s="4"/>
      <x:c r="D1551" s="4"/>
      <x:c r="E1551" s="4"/>
      <x:c r="F1551" s="4"/>
      <x:c r="G1551" s="4"/>
      <x:c r="H1551" s="4"/>
      <x:c r="I1551" s="4"/>
      <x:c r="K1551" s="4"/>
      <x:c r="L1551" s="4"/>
      <x:c r="M1551" s="4"/>
      <x:c r="N1551" s="4"/>
      <x:c r="O1551" s="4"/>
      <x:c r="P1551" s="4"/>
      <x:c r="Q1551" s="4"/>
    </x:row>
    <x:row r="1552" ht="64" customHeight="1">
      <x:c r="A1552" s="4" t="str">
        <x:v>design.audit.proposal_container_field_chest.audit.in.1</x:v>
      </x:c>
      <x:c r="B1552" s="4" t="str">
        <x:v>design.audit.proposal_container_field_chest</x:v>
      </x:c>
      <x:c r="C1552" s="4" t="str">
        <x:v>Ingredient candidate</x:v>
      </x:c>
      <x:c r="D1552" s="4" t="str">
        <x:v>proposal.collection.annealed_iron_sheet_stock</x:v>
      </x:c>
      <x:c r="E1552" s="4" t="str">
        <x:f>IFERROR(INDEX('Items'!$B$6:$B$1005,MATCH(D1552,'Items'!$A$6:$A$1005,0)),"MISSING ID")</x:f>
        <x:v>Annealed iron sheet stock</x:v>
      </x:c>
      <x:c r="F1552" s="4" t="str">
        <x:f>IFERROR(INDEX('Items'!$C$6:$C$1005,MATCH(D1552,'Items'!$A$6:$A$1005,0)),"MISSING ID")</x:f>
        <x:v>T3</x:v>
      </x:c>
      <x:c r="G1552" s="4" t="str">
        <x:f>IFERROR(INDEX('Items'!$D$6:$D$1005,MATCH(D1552,'Items'!$A$6:$A$1005,0)),"MISSING ID")</x:f>
        <x:v>Manufactured stock</x:v>
      </x:c>
      <x:c r="H1552" s="4" t="str">
        <x:f>IFERROR(INDEX('Items'!$X$6:$X$1005,MATCH(D1552,'Items'!$A$6:$A$1005,0)),"MISSING ID")</x:f>
        <x:v>Processed material</x:v>
      </x:c>
      <x:c r="I1552" s="4"/>
      <x:c r="J1552" s="4" t="str">
        <x:v>Unspecified</x:v>
      </x:c>
      <x:c r="K1552" s="4" t="str">
        <x:f>IFERROR(INDEX('Crafting recipes'!$D$6:$D$1005,MATCH(B1552,'Crafting recipes'!$A$6:$A$1005,0)),"MISSING ID")</x:f>
        <x:v>Proposal</x:v>
      </x:c>
      <x:c r="L1552" s="4" t="str">
        <x:f>IFERROR(INDEX('Items'!$AD$6:$AD$1005,MATCH(D1552,'Items'!$A$6:$A$1005,0)),"MISSING ID")</x:f>
        <x:v>Proposal</x:v>
      </x:c>
      <x:c r="M1552" s="4" t="str">
        <x:f>IFERROR(INDEX('Crafting recipes'!$E$6:$E$1005,MATCH(B1552,'Crafting recipes'!$A$6:$A$1005,0)),"MISSING ID")</x:f>
        <x:v>Partial proposal</x:v>
      </x:c>
      <x:c r="N1552" s="4" t="str">
        <x:v>Partial audit candidate; quantity, fit and performance remain unresolved.</x:v>
      </x:c>
      <x:c r="O1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2" s="4" t="n">
        <x:f>IF(OR(C1552="Ingredient candidate",C1552="Consumed input",C1552="Contained input",C1552="Transform input"),IF(F1552="T0",0,IF(F1552="T1",1,IF(F1552="T2",2,IF(F1552="T3",3,IF(F1552="T4",4,-1))))),-1)</x:f>
        <x:v>3</x:v>
      </x:c>
      <x:c r="Q1552" s="4" t="n">
        <x:f>IF(AND(OR(C1552="Ingredient candidate",C1552="Consumed input",C1552="Contained input",C1552="Transform input"),P1552=-1),1,0)</x:f>
        <x:v>0</x:v>
      </x:c>
    </x:row>
    <x:row r="1553" ht="64" customHeight="1">
      <x:c r="A1553" s="4" t="str">
        <x:v>design.audit.proposal_container_field_chest.audit.in.2</x:v>
      </x:c>
      <x:c r="B1553" s="4" t="str">
        <x:v>design.audit.proposal_container_field_chest</x:v>
      </x:c>
      <x:c r="C1553" s="4" t="str">
        <x:v>Ingredient candidate</x:v>
      </x:c>
      <x:c r="D1553" s="4" t="str">
        <x:v>proposal.audit.small_metal_hinge_pair</x:v>
      </x:c>
      <x:c r="E1553" s="4" t="str">
        <x:f>IFERROR(INDEX('Items'!$B$6:$B$1005,MATCH(D1553,'Items'!$A$6:$A$1005,0)),"MISSING ID")</x:f>
        <x:v>Small metal hinge pair</x:v>
      </x:c>
      <x:c r="F1553" s="4" t="str">
        <x:f>IFERROR(INDEX('Items'!$C$6:$C$1005,MATCH(D1553,'Items'!$A$6:$A$1005,0)),"MISSING ID")</x:f>
        <x:v>T3</x:v>
      </x:c>
      <x:c r="G1553" s="4" t="str">
        <x:f>IFERROR(INDEX('Items'!$D$6:$D$1005,MATCH(D1553,'Items'!$A$6:$A$1005,0)),"MISSING ID")</x:f>
        <x:v>Crafting components</x:v>
      </x:c>
      <x:c r="H1553" s="4" t="str">
        <x:f>IFERROR(INDEX('Items'!$X$6:$X$1005,MATCH(D1553,'Items'!$A$6:$A$1005,0)),"MISSING ID")</x:f>
        <x:v>Crafting component</x:v>
      </x:c>
      <x:c r="I1553" s="4"/>
      <x:c r="J1553" s="4" t="str">
        <x:v>Unspecified</x:v>
      </x:c>
      <x:c r="K1553" s="4" t="str">
        <x:f>IFERROR(INDEX('Crafting recipes'!$D$6:$D$1005,MATCH(B1553,'Crafting recipes'!$A$6:$A$1005,0)),"MISSING ID")</x:f>
        <x:v>Proposal</x:v>
      </x:c>
      <x:c r="L1553" s="4" t="str">
        <x:f>IFERROR(INDEX('Items'!$AD$6:$AD$1005,MATCH(D1553,'Items'!$A$6:$A$1005,0)),"MISSING ID")</x:f>
        <x:v>Proposal</x:v>
      </x:c>
      <x:c r="M1553" s="4" t="str">
        <x:f>IFERROR(INDEX('Crafting recipes'!$E$6:$E$1005,MATCH(B1553,'Crafting recipes'!$A$6:$A$1005,0)),"MISSING ID")</x:f>
        <x:v>Partial proposal</x:v>
      </x:c>
      <x:c r="N1553" s="4" t="str">
        <x:v>Partial audit candidate; quantity, fit and performance remain unresolved.</x:v>
      </x:c>
      <x:c r="O1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3" s="4" t="n">
        <x:f>IF(OR(C1553="Ingredient candidate",C1553="Consumed input",C1553="Contained input",C1553="Transform input"),IF(F1553="T0",0,IF(F1553="T1",1,IF(F1553="T2",2,IF(F1553="T3",3,IF(F1553="T4",4,-1))))),-1)</x:f>
        <x:v>3</x:v>
      </x:c>
      <x:c r="Q1553" s="4" t="n">
        <x:f>IF(AND(OR(C1553="Ingredient candidate",C1553="Consumed input",C1553="Contained input",C1553="Transform input"),P1553=-1),1,0)</x:f>
        <x:v>0</x:v>
      </x:c>
    </x:row>
    <x:row r="1554" ht="64" customHeight="1">
      <x:c r="A1554" s="4" t="str">
        <x:v>design.audit.proposal_container_field_chest.audit.in.3</x:v>
      </x:c>
      <x:c r="B1554" s="4" t="str">
        <x:v>design.audit.proposal_container_field_chest</x:v>
      </x:c>
      <x:c r="C1554" s="4" t="str">
        <x:v>Ingredient candidate</x:v>
      </x:c>
      <x:c r="D1554" s="4" t="str">
        <x:v>proposal.audit.compact_latch_and_trigger_pack</x:v>
      </x:c>
      <x:c r="E1554" s="4" t="str">
        <x:f>IFERROR(INDEX('Items'!$B$6:$B$1005,MATCH(D1554,'Items'!$A$6:$A$1005,0)),"MISSING ID")</x:f>
        <x:v>Compact latch and trigger pack</x:v>
      </x:c>
      <x:c r="F1554" s="4" t="str">
        <x:f>IFERROR(INDEX('Items'!$C$6:$C$1005,MATCH(D1554,'Items'!$A$6:$A$1005,0)),"MISSING ID")</x:f>
        <x:v>T4</x:v>
      </x:c>
      <x:c r="G1554" s="4" t="str">
        <x:f>IFERROR(INDEX('Items'!$D$6:$D$1005,MATCH(D1554,'Items'!$A$6:$A$1005,0)),"MISSING ID")</x:f>
        <x:v>Crafting components</x:v>
      </x:c>
      <x:c r="H1554" s="4" t="str">
        <x:f>IFERROR(INDEX('Items'!$X$6:$X$1005,MATCH(D1554,'Items'!$A$6:$A$1005,0)),"MISSING ID")</x:f>
        <x:v>Crafting component</x:v>
      </x:c>
      <x:c r="I1554" s="4"/>
      <x:c r="J1554" s="4" t="str">
        <x:v>Unspecified</x:v>
      </x:c>
      <x:c r="K1554" s="4" t="str">
        <x:f>IFERROR(INDEX('Crafting recipes'!$D$6:$D$1005,MATCH(B1554,'Crafting recipes'!$A$6:$A$1005,0)),"MISSING ID")</x:f>
        <x:v>Proposal</x:v>
      </x:c>
      <x:c r="L1554" s="4" t="str">
        <x:f>IFERROR(INDEX('Items'!$AD$6:$AD$1005,MATCH(D1554,'Items'!$A$6:$A$1005,0)),"MISSING ID")</x:f>
        <x:v>Proposal</x:v>
      </x:c>
      <x:c r="M1554" s="4" t="str">
        <x:f>IFERROR(INDEX('Crafting recipes'!$E$6:$E$1005,MATCH(B1554,'Crafting recipes'!$A$6:$A$1005,0)),"MISSING ID")</x:f>
        <x:v>Partial proposal</x:v>
      </x:c>
      <x:c r="N1554" s="4" t="str">
        <x:v>Partial audit candidate; quantity, fit and performance remain unresolved.</x:v>
      </x:c>
      <x:c r="O1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4" s="4" t="n">
        <x:f>IF(OR(C1554="Ingredient candidate",C1554="Consumed input",C1554="Contained input",C1554="Transform input"),IF(F1554="T0",0,IF(F1554="T1",1,IF(F1554="T2",2,IF(F1554="T3",3,IF(F1554="T4",4,-1))))),-1)</x:f>
        <x:v>4</x:v>
      </x:c>
      <x:c r="Q1554" s="4" t="n">
        <x:f>IF(AND(OR(C1554="Ingredient candidate",C1554="Consumed input",C1554="Contained input",C1554="Transform input"),P1554=-1),1,0)</x:f>
        <x:v>0</x:v>
      </x:c>
    </x:row>
    <x:row r="1555" ht="64" customHeight="1">
      <x:c r="A1555" s="4" t="str">
        <x:v>design.audit.proposal_container_field_chest.audit.out</x:v>
      </x:c>
      <x:c r="B1555" s="4" t="str">
        <x:v>design.audit.proposal_container_field_chest</x:v>
      </x:c>
      <x:c r="C1555" s="4" t="str">
        <x:v>Output</x:v>
      </x:c>
      <x:c r="D1555" s="4" t="str">
        <x:v>proposal.container.field_chest</x:v>
      </x:c>
      <x:c r="E1555" s="4" t="str">
        <x:f>IFERROR(INDEX('Items'!$B$6:$B$1005,MATCH(D1555,'Items'!$A$6:$A$1005,0)),"MISSING ID")</x:f>
        <x:v>Locking field chest</x:v>
      </x:c>
      <x:c r="F1555" s="4" t="str">
        <x:f>IFERROR(INDEX('Items'!$C$6:$C$1005,MATCH(D1555,'Items'!$A$6:$A$1005,0)),"MISSING ID")</x:f>
        <x:v>Not applicable</x:v>
      </x:c>
      <x:c r="G1555" s="4" t="str">
        <x:f>IFERROR(INDEX('Items'!$D$6:$D$1005,MATCH(D1555,'Items'!$A$6:$A$1005,0)),"MISSING ID")</x:f>
        <x:v>Salvage</x:v>
      </x:c>
      <x:c r="H1555" s="4" t="str">
        <x:f>IFERROR(INDEX('Items'!$X$6:$X$1005,MATCH(D1555,'Items'!$A$6:$A$1005,0)),"MISSING ID")</x:f>
        <x:v>Container</x:v>
      </x:c>
      <x:c r="I1555" s="4"/>
      <x:c r="J1555" s="4" t="str">
        <x:v>Unspecified</x:v>
      </x:c>
      <x:c r="K1555" s="4" t="str">
        <x:f>IFERROR(INDEX('Crafting recipes'!$D$6:$D$1005,MATCH(B1555,'Crafting recipes'!$A$6:$A$1005,0)),"MISSING ID")</x:f>
        <x:v>Proposal</x:v>
      </x:c>
      <x:c r="L1555" s="4" t="str">
        <x:f>IFERROR(INDEX('Items'!$AD$6:$AD$1005,MATCH(D1555,'Items'!$A$6:$A$1005,0)),"MISSING ID")</x:f>
        <x:v>Proposal</x:v>
      </x:c>
      <x:c r="M1555" s="4" t="str">
        <x:f>IFERROR(INDEX('Crafting recipes'!$E$6:$E$1005,MATCH(B1555,'Crafting recipes'!$A$6:$A$1005,0)),"MISSING ID")</x:f>
        <x:v>Partial proposal</x:v>
      </x:c>
      <x:c r="N1555" s="4" t="str">
        <x:v>Partial audit candidate; quantity, fit and performance remain unresolved.</x:v>
      </x:c>
      <x:c r="O1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5" s="4" t="n">
        <x:f>IF(OR(C1555="Ingredient candidate",C1555="Consumed input",C1555="Contained input",C1555="Transform input"),IF(F1555="T0",0,IF(F1555="T1",1,IF(F1555="T2",2,IF(F1555="T3",3,IF(F1555="T4",4,-1))))),-1)</x:f>
        <x:v>-1</x:v>
      </x:c>
      <x:c r="Q1555" s="4" t="n">
        <x:f>IF(AND(OR(C1555="Ingredient candidate",C1555="Consumed input",C1555="Contained input",C1555="Transform input"),P1555=-1),1,0)</x:f>
        <x:v>0</x:v>
      </x:c>
    </x:row>
    <x:row r="1556" ht="64" customHeight="1">
      <x:c r="A1556" s="4"/>
      <x:c r="B1556" s="4"/>
      <x:c r="C1556" s="4"/>
      <x:c r="D1556" s="4"/>
      <x:c r="E1556" s="4"/>
      <x:c r="F1556" s="4"/>
      <x:c r="G1556" s="4"/>
      <x:c r="H1556" s="4"/>
      <x:c r="I1556" s="4"/>
      <x:c r="K1556" s="4"/>
      <x:c r="L1556" s="4"/>
      <x:c r="M1556" s="4"/>
      <x:c r="N1556" s="4"/>
      <x:c r="O1556" s="4"/>
      <x:c r="P1556" s="4"/>
      <x:c r="Q1556" s="4"/>
    </x:row>
    <x:row r="1557" ht="64" customHeight="1">
      <x:c r="A1557" s="4"/>
      <x:c r="B1557" s="4"/>
      <x:c r="C1557" s="4"/>
      <x:c r="D1557" s="4"/>
      <x:c r="E1557" s="4"/>
      <x:c r="F1557" s="4"/>
      <x:c r="G1557" s="4"/>
      <x:c r="H1557" s="4"/>
      <x:c r="I1557" s="4"/>
      <x:c r="K1557" s="4"/>
      <x:c r="L1557" s="4"/>
      <x:c r="M1557" s="4"/>
      <x:c r="N1557" s="4"/>
      <x:c r="O1557" s="4"/>
      <x:c r="P1557" s="4"/>
      <x:c r="Q1557" s="4"/>
    </x:row>
    <x:row r="1558" ht="64" customHeight="1">
      <x:c r="A1558" s="4" t="str">
        <x:v>design.audit.proposal_container_draw_tube.audit.in.1</x:v>
      </x:c>
      <x:c r="B1558" s="4" t="str">
        <x:v>design.audit.proposal_container_draw_tube</x:v>
      </x:c>
      <x:c r="C1558" s="4" t="str">
        <x:v>Ingredient candidate</x:v>
      </x:c>
      <x:c r="D1558" s="4" t="str">
        <x:v>proposal.t1.clear_glass_blank</x:v>
      </x:c>
      <x:c r="E1558" s="4" t="str">
        <x:f>IFERROR(INDEX('Items'!$B$6:$B$1005,MATCH(D1558,'Items'!$A$6:$A$1005,0)),"MISSING ID")</x:f>
        <x:v>Rough clear-glass blank</x:v>
      </x:c>
      <x:c r="F1558" s="4" t="str">
        <x:f>IFERROR(INDEX('Items'!$C$6:$C$1005,MATCH(D1558,'Items'!$A$6:$A$1005,0)),"MISSING ID")</x:f>
        <x:v>T1</x:v>
      </x:c>
      <x:c r="G1558" s="4" t="str">
        <x:f>IFERROR(INDEX('Items'!$D$6:$D$1005,MATCH(D1558,'Items'!$A$6:$A$1005,0)),"MISSING ID")</x:f>
        <x:v>Manufactured stock</x:v>
      </x:c>
      <x:c r="H1558" s="4" t="str">
        <x:f>IFERROR(INDEX('Items'!$X$6:$X$1005,MATCH(D1558,'Items'!$A$6:$A$1005,0)),"MISSING ID")</x:f>
        <x:v>Processed material</x:v>
      </x:c>
      <x:c r="I1558" s="4"/>
      <x:c r="J1558" s="4" t="str">
        <x:v>Unspecified</x:v>
      </x:c>
      <x:c r="K1558" s="4" t="inlineStr">
        <x:is>
          <x:t xml:space="preserve">Retired</x:t>
        </x:is>
      </x:c>
      <x:c r="L1558" s="4" t="str">
        <x:f>IFERROR(INDEX('Items'!$AD$6:$AD$1005,MATCH(D1558,'Items'!$A$6:$A$1005,0)),"MISSING ID")</x:f>
        <x:v>Proposal</x:v>
      </x:c>
      <x:c r="M1558" s="4" t="inlineStr">
        <x:is>
          <x:t xml:space="preserve">Withdrawn container proposal</x:t>
        </x:is>
      </x:c>
      <x:c r="N155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8" s="4" t="n">
        <x:f>IF(OR(C1558="Ingredient candidate",C1558="Consumed input",C1558="Contained input",C1558="Transform input"),IF(F1558="T0",0,IF(F1558="T1",1,IF(F1558="T2",2,IF(F1558="T3",3,IF(F1558="T4",4,-1))))),-1)</x:f>
        <x:v>1</x:v>
      </x:c>
      <x:c r="Q1558" s="4" t="n">
        <x:f>IF(AND(OR(C1558="Ingredient candidate",C1558="Consumed input",C1558="Contained input",C1558="Transform input"),P1558=-1),1,0)</x:f>
        <x:v>0</x:v>
      </x:c>
    </x:row>
    <x:row r="1559" ht="64" customHeight="1">
      <x:c r="A1559" s="4" t="str">
        <x:v>design.audit.proposal_container_draw_tube.audit.out</x:v>
      </x:c>
      <x:c r="B1559" s="4" t="str">
        <x:v>design.audit.proposal_container_draw_tube</x:v>
      </x:c>
      <x:c r="C1559" s="4" t="str">
        <x:v>Output</x:v>
      </x:c>
      <x:c r="D1559" s="4" t="str">
        <x:v>proposal.container.draw_tube</x:v>
      </x:c>
      <x:c r="E1559" s="4" t="str">
        <x:f>IFERROR(INDEX('Items'!$B$6:$B$1005,MATCH(D1559,'Items'!$A$6:$A$1005,0)),"MISSING ID")</x:f>
        <x:v>Glass draw tube</x:v>
      </x:c>
      <x:c r="F1559" s="4" t="str">
        <x:f>IFERROR(INDEX('Items'!$C$6:$C$1005,MATCH(D1559,'Items'!$A$6:$A$1005,0)),"MISSING ID")</x:f>
        <x:v>Not applicable</x:v>
      </x:c>
      <x:c r="G1559" s="4" t="str">
        <x:f>IFERROR(INDEX('Items'!$D$6:$D$1005,MATCH(D1559,'Items'!$A$6:$A$1005,0)),"MISSING ID")</x:f>
        <x:v>Salvage</x:v>
      </x:c>
      <x:c r="H1559" s="4" t="inlineStr">
        <x:is>
          <x:t xml:space="preserve">Salvage</x:t>
        </x:is>
      </x:c>
      <x:c r="I1559" s="4"/>
      <x:c r="J1559" s="4" t="str">
        <x:v>Unspecified</x:v>
      </x:c>
      <x:c r="K1559" s="4" t="inlineStr">
        <x:is>
          <x:t xml:space="preserve">Retired</x:t>
        </x:is>
      </x:c>
      <x:c r="L1559" s="4" t="str">
        <x:f>IFERROR(INDEX('Items'!$AD$6:$AD$1005,MATCH(D1559,'Items'!$A$6:$A$1005,0)),"MISSING ID")</x:f>
        <x:v>Proposal</x:v>
      </x:c>
      <x:c r="M1559" s="4" t="inlineStr">
        <x:is>
          <x:t xml:space="preserve">Withdrawn container proposal</x:t>
        </x:is>
      </x:c>
      <x:c r="N155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9" s="4" t="n">
        <x:f>IF(OR(C1559="Ingredient candidate",C1559="Consumed input",C1559="Contained input",C1559="Transform input"),IF(F1559="T0",0,IF(F1559="T1",1,IF(F1559="T2",2,IF(F1559="T3",3,IF(F1559="T4",4,-1))))),-1)</x:f>
        <x:v>-1</x:v>
      </x:c>
      <x:c r="Q1559" s="4" t="n">
        <x:f>IF(AND(OR(C1559="Ingredient candidate",C1559="Consumed input",C1559="Contained input",C1559="Transform input"),P1559=-1),1,0)</x:f>
        <x:v>0</x:v>
      </x:c>
    </x:row>
    <x:row r="1560" ht="64" customHeight="1">
      <x:c r="A1560" s="4"/>
      <x:c r="B1560" s="4"/>
      <x:c r="C1560" s="4"/>
      <x:c r="D1560" s="4"/>
      <x:c r="E1560" s="4"/>
      <x:c r="F1560" s="4"/>
      <x:c r="G1560" s="4"/>
      <x:c r="H1560" s="4"/>
      <x:c r="I1560" s="4"/>
      <x:c r="K1560" s="4"/>
      <x:c r="L1560" s="4"/>
      <x:c r="M1560" s="4"/>
      <x:c r="N1560" s="4"/>
      <x:c r="O1560" s="4"/>
      <x:c r="P1560" s="4"/>
      <x:c r="Q1560" s="4"/>
    </x:row>
    <x:row r="1561" ht="64" customHeight="1">
      <x:c r="A1561" s="4"/>
      <x:c r="B1561" s="4"/>
      <x:c r="C1561" s="4"/>
      <x:c r="D1561" s="4"/>
      <x:c r="E1561" s="4"/>
      <x:c r="F1561" s="4"/>
      <x:c r="G1561" s="4"/>
      <x:c r="H1561" s="4"/>
      <x:c r="I1561" s="4"/>
      <x:c r="K1561" s="4"/>
      <x:c r="L1561" s="4"/>
      <x:c r="M1561" s="4"/>
      <x:c r="N1561" s="4"/>
      <x:c r="O1561" s="4"/>
      <x:c r="P1561" s="4"/>
      <x:c r="Q1561" s="4"/>
    </x:row>
    <x:row r="1562" ht="64" customHeight="1">
      <x:c r="A1562" s="4"/>
      <x:c r="B1562" s="4"/>
      <x:c r="C1562" s="4"/>
      <x:c r="D1562" s="4"/>
      <x:c r="E1562" s="4"/>
      <x:c r="F1562" s="4"/>
      <x:c r="G1562" s="4"/>
      <x:c r="H1562" s="4"/>
      <x:c r="I1562" s="4"/>
      <x:c r="K1562" s="4"/>
      <x:c r="L1562" s="4"/>
      <x:c r="M1562" s="4"/>
      <x:c r="N1562" s="4"/>
      <x:c r="O1562" s="4"/>
      <x:c r="P1562" s="4"/>
      <x:c r="Q1562" s="4"/>
    </x:row>
    <x:row r="1563" ht="64" customHeight="1">
      <x:c r="A1563" s="4"/>
      <x:c r="B1563" s="4"/>
      <x:c r="C1563" s="4"/>
      <x:c r="D1563" s="4"/>
      <x:c r="E1563" s="4"/>
      <x:c r="F1563" s="4"/>
      <x:c r="G1563" s="4"/>
      <x:c r="H1563" s="4"/>
      <x:c r="I1563" s="4"/>
      <x:c r="J1563" s="4"/>
      <x:c r="K1563" s="4"/>
      <x:c r="L1563" s="4"/>
      <x:c r="M1563" s="4"/>
      <x:c r="N1563" s="4"/>
      <x:c r="O1563" s="4"/>
      <x:c r="P1563" s="4"/>
      <x:c r="Q1563" s="4"/>
    </x:row>
    <x:row r="1564" ht="64" customHeight="1">
      <x:c r="A1564" s="4"/>
      <x:c r="B1564" s="4"/>
      <x:c r="C1564" s="4"/>
      <x:c r="D1564" s="4"/>
      <x:c r="E1564" s="4"/>
      <x:c r="F1564" s="4"/>
      <x:c r="G1564" s="4"/>
      <x:c r="H1564" s="4"/>
      <x:c r="I1564" s="4"/>
      <x:c r="J1564" s="4"/>
      <x:c r="K1564" s="4"/>
      <x:c r="L1564" s="4"/>
      <x:c r="M1564" s="4"/>
      <x:c r="N1564" s="4"/>
      <x:c r="O1564" s="4"/>
      <x:c r="P1564" s="4"/>
      <x:c r="Q1564" s="4"/>
    </x:row>
    <x:row r="1565" ht="64" customHeight="1">
      <x:c r="A1565" s="4"/>
      <x:c r="B1565" s="4"/>
      <x:c r="C1565" s="4"/>
      <x:c r="D1565" s="4"/>
      <x:c r="E1565" s="4"/>
      <x:c r="F1565" s="4"/>
      <x:c r="G1565" s="4"/>
      <x:c r="H1565" s="4"/>
      <x:c r="I1565" s="4"/>
      <x:c r="J1565" s="4"/>
      <x:c r="K1565" s="4"/>
      <x:c r="L1565" s="4"/>
      <x:c r="M1565" s="4"/>
      <x:c r="N1565" s="4"/>
      <x:c r="O1565" s="4"/>
      <x:c r="P1565" s="4"/>
      <x:c r="Q1565" s="4"/>
    </x:row>
    <x:row r="1566" ht="64" customHeight="1">
      <x:c r="A1566" s="4"/>
      <x:c r="B1566" s="4"/>
      <x:c r="C1566" s="4"/>
      <x:c r="D1566" s="4"/>
      <x:c r="E1566" s="4"/>
      <x:c r="F1566" s="4"/>
      <x:c r="G1566" s="4"/>
      <x:c r="H1566" s="4"/>
      <x:c r="I1566" s="4"/>
      <x:c r="J1566" s="4"/>
      <x:c r="K1566" s="4"/>
      <x:c r="L1566" s="4"/>
      <x:c r="M1566" s="4"/>
      <x:c r="N1566" s="4"/>
      <x:c r="O1566" s="4"/>
      <x:c r="P1566" s="4"/>
      <x:c r="Q1566" s="4"/>
    </x:row>
    <x:row r="1567" ht="64" customHeight="1">
      <x:c r="A1567" s="4"/>
      <x:c r="B1567" s="4"/>
      <x:c r="C1567" s="4"/>
      <x:c r="D1567" s="4"/>
      <x:c r="E1567" s="4"/>
      <x:c r="F1567" s="4"/>
      <x:c r="G1567" s="4"/>
      <x:c r="H1567" s="4"/>
      <x:c r="I1567" s="4"/>
      <x:c r="J1567" s="4"/>
      <x:c r="K1567" s="4"/>
      <x:c r="L1567" s="4"/>
      <x:c r="M1567" s="4"/>
      <x:c r="N1567" s="4"/>
      <x:c r="O1567" s="4"/>
      <x:c r="P1567" s="4"/>
      <x:c r="Q1567" s="4"/>
    </x:row>
    <x:row r="1568" ht="64" customHeight="1">
      <x:c r="A1568" s="4" t="str">
        <x:v>design.audit.proposal_gear_helmet.audit.in.1</x:v>
      </x:c>
      <x:c r="B1568" s="4" t="str">
        <x:v>design.audit.proposal_gear_helmet</x:v>
      </x:c>
      <x:c r="C1568" s="4" t="str">
        <x:v>Ingredient candidate</x:v>
      </x:c>
      <x:c r="D1568" s="4" t="str">
        <x:v>author.metallurgy.steel_stock</x:v>
      </x:c>
      <x:c r="E1568" s="4" t="str">
        <x:f>IFERROR(INDEX('Items'!$B$6:$B$1005,MATCH(D1568,'Items'!$A$6:$A$1005,0)),"MISSING ID")</x:f>
        <x:v>Steel stock</x:v>
      </x:c>
      <x:c r="F1568" s="4" t="str">
        <x:f>IFERROR(INDEX('Items'!$C$6:$C$1005,MATCH(D1568,'Items'!$A$6:$A$1005,0)),"MISSING ID")</x:f>
        <x:v>T2</x:v>
      </x:c>
      <x:c r="G1568" s="4" t="str">
        <x:f>IFERROR(INDEX('Items'!$D$6:$D$1005,MATCH(D1568,'Items'!$A$6:$A$1005,0)),"MISSING ID")</x:f>
        <x:v>Manufactured stock</x:v>
      </x:c>
      <x:c r="H1568" s="4" t="str">
        <x:f>IFERROR(INDEX('Items'!$X$6:$X$1005,MATCH(D1568,'Items'!$A$6:$A$1005,0)),"MISSING ID")</x:f>
        <x:v>Processed material</x:v>
      </x:c>
      <x:c r="I1568" s="4"/>
      <x:c r="J1568" s="4" t="str">
        <x:v>Unspecified</x:v>
      </x:c>
      <x:c r="K1568" s="4" t="str">
        <x:f>IFERROR(INDEX('Crafting recipes'!$D$6:$D$1005,MATCH(B1568,'Crafting recipes'!$A$6:$A$1005,0)),"MISSING ID")</x:f>
        <x:v>Proposal</x:v>
      </x:c>
      <x:c r="L1568" s="4" t="str">
        <x:f>IFERROR(INDEX('Items'!$AD$6:$AD$1005,MATCH(D1568,'Items'!$A$6:$A$1005,0)),"MISSING ID")</x:f>
        <x:v>Author direction</x:v>
      </x:c>
      <x:c r="M1568" s="4" t="str">
        <x:f>IFERROR(INDEX('Crafting recipes'!$E$6:$E$1005,MATCH(B1568,'Crafting recipes'!$A$6:$A$1005,0)),"MISSING ID")</x:f>
        <x:v>Partial proposal</x:v>
      </x:c>
      <x:c r="N1568" s="4" t="str">
        <x:v>Partial audit candidate; quantity, fit and performance remain unresolved.</x:v>
      </x:c>
      <x:c r="O1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8" s="4" t="n">
        <x:f>IF(OR(C1568="Ingredient candidate",C1568="Consumed input",C1568="Contained input",C1568="Transform input"),IF(F1568="T0",0,IF(F1568="T1",1,IF(F1568="T2",2,IF(F1568="T3",3,IF(F1568="T4",4,-1))))),-1)</x:f>
        <x:v>2</x:v>
      </x:c>
      <x:c r="Q1568" s="4" t="n">
        <x:f>IF(AND(OR(C1568="Ingredient candidate",C1568="Consumed input",C1568="Contained input",C1568="Transform input"),P1568=-1),1,0)</x:f>
        <x:v>0</x:v>
      </x:c>
    </x:row>
    <x:row r="1569" ht="64" customHeight="1">
      <x:c r="A1569" s="4" t="str">
        <x:v>design.audit.proposal_gear_helmet.audit.in.2</x:v>
      </x:c>
      <x:c r="B1569" s="4" t="str">
        <x:v>design.audit.proposal_gear_helmet</x:v>
      </x:c>
      <x:c r="C1569" s="4" t="str">
        <x:v>Ingredient candidate</x:v>
      </x:c>
      <x:c r="D1569" s="4" t="str">
        <x:v>proposal.t3.packing_stock</x:v>
      </x:c>
      <x:c r="E1569" s="4" t="str">
        <x:f>IFERROR(INDEX('Items'!$B$6:$B$1005,MATCH(D1569,'Items'!$A$6:$A$1005,0)),"MISSING ID")</x:f>
        <x:v>Husk-reinforced packing stock</x:v>
      </x:c>
      <x:c r="F1569" s="4" t="str">
        <x:f>IFERROR(INDEX('Items'!$C$6:$C$1005,MATCH(D1569,'Items'!$A$6:$A$1005,0)),"MISSING ID")</x:f>
        <x:v>T3</x:v>
      </x:c>
      <x:c r="G1569" s="4" t="str">
        <x:f>IFERROR(INDEX('Items'!$D$6:$D$1005,MATCH(D1569,'Items'!$A$6:$A$1005,0)),"MISSING ID")</x:f>
        <x:v>Manufactured stock</x:v>
      </x:c>
      <x:c r="H1569" s="4" t="str">
        <x:f>IFERROR(INDEX('Items'!$X$6:$X$1005,MATCH(D1569,'Items'!$A$6:$A$1005,0)),"MISSING ID")</x:f>
        <x:v>Processed material</x:v>
      </x:c>
      <x:c r="I1569" s="4"/>
      <x:c r="J1569" s="4" t="str">
        <x:v>Unspecified</x:v>
      </x:c>
      <x:c r="K1569" s="4" t="str">
        <x:f>IFERROR(INDEX('Crafting recipes'!$D$6:$D$1005,MATCH(B1569,'Crafting recipes'!$A$6:$A$1005,0)),"MISSING ID")</x:f>
        <x:v>Proposal</x:v>
      </x:c>
      <x:c r="L1569" s="4" t="str">
        <x:f>IFERROR(INDEX('Items'!$AD$6:$AD$1005,MATCH(D1569,'Items'!$A$6:$A$1005,0)),"MISSING ID")</x:f>
        <x:v>Proposal</x:v>
      </x:c>
      <x:c r="M1569" s="4" t="str">
        <x:f>IFERROR(INDEX('Crafting recipes'!$E$6:$E$1005,MATCH(B1569,'Crafting recipes'!$A$6:$A$1005,0)),"MISSING ID")</x:f>
        <x:v>Partial proposal</x:v>
      </x:c>
      <x:c r="N1569" s="4" t="str">
        <x:v>Partial audit candidate; quantity, fit and performance remain unresolved.</x:v>
      </x:c>
      <x:c r="O1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9" s="4" t="n">
        <x:f>IF(OR(C1569="Ingredient candidate",C1569="Consumed input",C1569="Contained input",C1569="Transform input"),IF(F1569="T0",0,IF(F1569="T1",1,IF(F1569="T2",2,IF(F1569="T3",3,IF(F1569="T4",4,-1))))),-1)</x:f>
        <x:v>3</x:v>
      </x:c>
      <x:c r="Q1569" s="4" t="n">
        <x:f>IF(AND(OR(C1569="Ingredient candidate",C1569="Consumed input",C1569="Contained input",C1569="Transform input"),P1569=-1),1,0)</x:f>
        <x:v>0</x:v>
      </x:c>
    </x:row>
    <x:row r="1570" ht="64" customHeight="1">
      <x:c r="A1570" s="4" t="str">
        <x:v>design.audit.proposal_gear_helmet.audit.out</x:v>
      </x:c>
      <x:c r="B1570" s="4" t="str">
        <x:v>design.audit.proposal_gear_helmet</x:v>
      </x:c>
      <x:c r="C1570" s="4" t="str">
        <x:v>Output</x:v>
      </x:c>
      <x:c r="D1570" s="4" t="str">
        <x:v>proposal.gear.helmet</x:v>
      </x:c>
      <x:c r="E1570" s="4" t="str">
        <x:f>IFERROR(INDEX('Items'!$B$6:$B$1005,MATCH(D1570,'Items'!$A$6:$A$1005,0)),"MISSING ID")</x:f>
        <x:v>Iron helmet</x:v>
      </x:c>
      <x:c r="F1570" s="4" t="str">
        <x:f>IFERROR(INDEX('Items'!$C$6:$C$1005,MATCH(D1570,'Items'!$A$6:$A$1005,0)),"MISSING ID")</x:f>
        <x:v>Not applicable</x:v>
      </x:c>
      <x:c r="G1570" s="4" t="str">
        <x:f>IFERROR(INDEX('Items'!$D$6:$D$1005,MATCH(D1570,'Items'!$A$6:$A$1005,0)),"MISSING ID")</x:f>
        <x:v>Armor</x:v>
      </x:c>
      <x:c r="H1570" s="4" t="str">
        <x:f>IFERROR(INDEX('Items'!$X$6:$X$1005,MATCH(D1570,'Items'!$A$6:$A$1005,0)),"MISSING ID")</x:f>
        <x:v>Armor</x:v>
      </x:c>
      <x:c r="I1570" s="4"/>
      <x:c r="J1570" s="4" t="str">
        <x:v>Unspecified</x:v>
      </x:c>
      <x:c r="K1570" s="4" t="str">
        <x:f>IFERROR(INDEX('Crafting recipes'!$D$6:$D$1005,MATCH(B1570,'Crafting recipes'!$A$6:$A$1005,0)),"MISSING ID")</x:f>
        <x:v>Proposal</x:v>
      </x:c>
      <x:c r="L1570" s="4" t="str">
        <x:f>IFERROR(INDEX('Items'!$AD$6:$AD$1005,MATCH(D1570,'Items'!$A$6:$A$1005,0)),"MISSING ID")</x:f>
        <x:v>Author direction</x:v>
      </x:c>
      <x:c r="M1570" s="4" t="str">
        <x:f>IFERROR(INDEX('Crafting recipes'!$E$6:$E$1005,MATCH(B1570,'Crafting recipes'!$A$6:$A$1005,0)),"MISSING ID")</x:f>
        <x:v>Partial proposal</x:v>
      </x:c>
      <x:c r="N1570" s="4" t="str">
        <x:v>Partial audit candidate; quantity, fit and performance remain unresolved.</x:v>
      </x:c>
      <x:c r="O1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0" s="4" t="n">
        <x:f>IF(OR(C1570="Ingredient candidate",C1570="Consumed input",C1570="Contained input",C1570="Transform input"),IF(F1570="T0",0,IF(F1570="T1",1,IF(F1570="T2",2,IF(F1570="T3",3,IF(F1570="T4",4,-1))))),-1)</x:f>
        <x:v>-1</x:v>
      </x:c>
      <x:c r="Q1570" s="4" t="n">
        <x:f>IF(AND(OR(C1570="Ingredient candidate",C1570="Consumed input",C1570="Contained input",C1570="Transform input"),P1570=-1),1,0)</x:f>
        <x:v>0</x:v>
      </x:c>
    </x:row>
    <x:row r="1571" ht="64" customHeight="1">
      <x:c r="A1571" s="4" t="str">
        <x:v>design.audit.proposal_gear_leg_armor.audit.in.1</x:v>
      </x:c>
      <x:c r="B1571" s="4" t="str">
        <x:v>design.audit.proposal_gear_leg_armor</x:v>
      </x:c>
      <x:c r="C1571" s="4" t="str">
        <x:v>Ingredient candidate</x:v>
      </x:c>
      <x:c r="D1571" s="4" t="str">
        <x:v>author.metallurgy.steel_stock</x:v>
      </x:c>
      <x:c r="E1571" s="4" t="str">
        <x:f>IFERROR(INDEX('Items'!$B$6:$B$1005,MATCH(D1571,'Items'!$A$6:$A$1005,0)),"MISSING ID")</x:f>
        <x:v>Steel stock</x:v>
      </x:c>
      <x:c r="F1571" s="4" t="str">
        <x:f>IFERROR(INDEX('Items'!$C$6:$C$1005,MATCH(D1571,'Items'!$A$6:$A$1005,0)),"MISSING ID")</x:f>
        <x:v>T2</x:v>
      </x:c>
      <x:c r="G1571" s="4" t="str">
        <x:f>IFERROR(INDEX('Items'!$D$6:$D$1005,MATCH(D1571,'Items'!$A$6:$A$1005,0)),"MISSING ID")</x:f>
        <x:v>Manufactured stock</x:v>
      </x:c>
      <x:c r="H1571" s="4" t="str">
        <x:f>IFERROR(INDEX('Items'!$X$6:$X$1005,MATCH(D1571,'Items'!$A$6:$A$1005,0)),"MISSING ID")</x:f>
        <x:v>Processed material</x:v>
      </x:c>
      <x:c r="I1571" s="4"/>
      <x:c r="J1571" s="4" t="str">
        <x:v>Unspecified</x:v>
      </x:c>
      <x:c r="K1571" s="4" t="str">
        <x:f>IFERROR(INDEX('Crafting recipes'!$D$6:$D$1005,MATCH(B1571,'Crafting recipes'!$A$6:$A$1005,0)),"MISSING ID")</x:f>
        <x:v>Proposal</x:v>
      </x:c>
      <x:c r="L1571" s="4" t="str">
        <x:f>IFERROR(INDEX('Items'!$AD$6:$AD$1005,MATCH(D1571,'Items'!$A$6:$A$1005,0)),"MISSING ID")</x:f>
        <x:v>Author direction</x:v>
      </x:c>
      <x:c r="M1571" s="4" t="str">
        <x:f>IFERROR(INDEX('Crafting recipes'!$E$6:$E$1005,MATCH(B1571,'Crafting recipes'!$A$6:$A$1005,0)),"MISSING ID")</x:f>
        <x:v>Partial proposal</x:v>
      </x:c>
      <x:c r="N1571" s="4" t="str">
        <x:v>Partial audit candidate; quantity, fit and performance remain unresolved.</x:v>
      </x:c>
      <x:c r="O1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1" s="4" t="n">
        <x:f>IF(OR(C1571="Ingredient candidate",C1571="Consumed input",C1571="Contained input",C1571="Transform input"),IF(F1571="T0",0,IF(F1571="T1",1,IF(F1571="T2",2,IF(F1571="T3",3,IF(F1571="T4",4,-1))))),-1)</x:f>
        <x:v>2</x:v>
      </x:c>
      <x:c r="Q1571" s="4" t="n">
        <x:f>IF(AND(OR(C1571="Ingredient candidate",C1571="Consumed input",C1571="Contained input",C1571="Transform input"),P1571=-1),1,0)</x:f>
        <x:v>0</x:v>
      </x:c>
    </x:row>
    <x:row r="1572" ht="64" customHeight="1">
      <x:c r="A1572" s="4" t="str">
        <x:v>design.audit.proposal_gear_leg_armor.audit.in.2</x:v>
      </x:c>
      <x:c r="B1572" s="4" t="str">
        <x:v>design.audit.proposal_gear_leg_armor</x:v>
      </x:c>
      <x:c r="C1572" s="4" t="str">
        <x:v>Ingredient candidate</x:v>
      </x:c>
      <x:c r="D1572" s="4" t="str">
        <x:v>proposal.audit.small_metal_hinge_pair</x:v>
      </x:c>
      <x:c r="E1572" s="4" t="str">
        <x:f>IFERROR(INDEX('Items'!$B$6:$B$1005,MATCH(D1572,'Items'!$A$6:$A$1005,0)),"MISSING ID")</x:f>
        <x:v>Small metal hinge pair</x:v>
      </x:c>
      <x:c r="F1572" s="4" t="str">
        <x:f>IFERROR(INDEX('Items'!$C$6:$C$1005,MATCH(D1572,'Items'!$A$6:$A$1005,0)),"MISSING ID")</x:f>
        <x:v>T3</x:v>
      </x:c>
      <x:c r="G1572" s="4" t="str">
        <x:f>IFERROR(INDEX('Items'!$D$6:$D$1005,MATCH(D1572,'Items'!$A$6:$A$1005,0)),"MISSING ID")</x:f>
        <x:v>Crafting components</x:v>
      </x:c>
      <x:c r="H1572" s="4" t="str">
        <x:f>IFERROR(INDEX('Items'!$X$6:$X$1005,MATCH(D1572,'Items'!$A$6:$A$1005,0)),"MISSING ID")</x:f>
        <x:v>Crafting component</x:v>
      </x:c>
      <x:c r="I1572" s="4"/>
      <x:c r="J1572" s="4" t="str">
        <x:v>Unspecified</x:v>
      </x:c>
      <x:c r="K1572" s="4" t="str">
        <x:f>IFERROR(INDEX('Crafting recipes'!$D$6:$D$1005,MATCH(B1572,'Crafting recipes'!$A$6:$A$1005,0)),"MISSING ID")</x:f>
        <x:v>Proposal</x:v>
      </x:c>
      <x:c r="L1572" s="4" t="str">
        <x:f>IFERROR(INDEX('Items'!$AD$6:$AD$1005,MATCH(D1572,'Items'!$A$6:$A$1005,0)),"MISSING ID")</x:f>
        <x:v>Proposal</x:v>
      </x:c>
      <x:c r="M1572" s="4" t="str">
        <x:f>IFERROR(INDEX('Crafting recipes'!$E$6:$E$1005,MATCH(B1572,'Crafting recipes'!$A$6:$A$1005,0)),"MISSING ID")</x:f>
        <x:v>Partial proposal</x:v>
      </x:c>
      <x:c r="N1572" s="4" t="str">
        <x:v>Partial audit candidate; quantity, fit and performance remain unresolved.</x:v>
      </x:c>
      <x:c r="O1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2" s="4" t="n">
        <x:f>IF(OR(C1572="Ingredient candidate",C1572="Consumed input",C1572="Contained input",C1572="Transform input"),IF(F1572="T0",0,IF(F1572="T1",1,IF(F1572="T2",2,IF(F1572="T3",3,IF(F1572="T4",4,-1))))),-1)</x:f>
        <x:v>3</x:v>
      </x:c>
      <x:c r="Q1572" s="4" t="n">
        <x:f>IF(AND(OR(C1572="Ingredient candidate",C1572="Consumed input",C1572="Contained input",C1572="Transform input"),P1572=-1),1,0)</x:f>
        <x:v>0</x:v>
      </x:c>
    </x:row>
    <x:row r="1573" ht="64" customHeight="1">
      <x:c r="A1573" s="4" t="str">
        <x:v>design.audit.proposal_gear_leg_armor.audit.in.3</x:v>
      </x:c>
      <x:c r="B1573" s="4" t="str">
        <x:v>design.audit.proposal_gear_leg_armor</x:v>
      </x:c>
      <x:c r="C1573" s="4" t="str">
        <x:v>Ingredient candidate</x:v>
      </x:c>
      <x:c r="D1573" s="4" t="str">
        <x:v>proposal.audit.pressed_hide_fastening_strips</x:v>
      </x:c>
      <x:c r="E1573" s="4" t="str">
        <x:f>IFERROR(INDEX('Items'!$B$6:$B$1005,MATCH(D1573,'Items'!$A$6:$A$1005,0)),"MISSING ID")</x:f>
        <x:v>Pressed hide fastening strips</x:v>
      </x:c>
      <x:c r="F1573" s="4" t="str">
        <x:f>IFERROR(INDEX('Items'!$C$6:$C$1005,MATCH(D1573,'Items'!$A$6:$A$1005,0)),"MISSING ID")</x:f>
        <x:v>T2</x:v>
      </x:c>
      <x:c r="G1573" s="4" t="str">
        <x:f>IFERROR(INDEX('Items'!$D$6:$D$1005,MATCH(D1573,'Items'!$A$6:$A$1005,0)),"MISSING ID")</x:f>
        <x:v>Manufactured stock</x:v>
      </x:c>
      <x:c r="H1573" s="4" t="str">
        <x:f>IFERROR(INDEX('Items'!$X$6:$X$1005,MATCH(D1573,'Items'!$A$6:$A$1005,0)),"MISSING ID")</x:f>
        <x:v>Processed material</x:v>
      </x:c>
      <x:c r="I1573" s="4"/>
      <x:c r="J1573" s="4" t="str">
        <x:v>Unspecified</x:v>
      </x:c>
      <x:c r="K1573" s="4" t="str">
        <x:f>IFERROR(INDEX('Crafting recipes'!$D$6:$D$1005,MATCH(B1573,'Crafting recipes'!$A$6:$A$1005,0)),"MISSING ID")</x:f>
        <x:v>Proposal</x:v>
      </x:c>
      <x:c r="L1573" s="4" t="str">
        <x:f>IFERROR(INDEX('Items'!$AD$6:$AD$1005,MATCH(D1573,'Items'!$A$6:$A$1005,0)),"MISSING ID")</x:f>
        <x:v>Proposal</x:v>
      </x:c>
      <x:c r="M1573" s="4" t="str">
        <x:f>IFERROR(INDEX('Crafting recipes'!$E$6:$E$1005,MATCH(B1573,'Crafting recipes'!$A$6:$A$1005,0)),"MISSING ID")</x:f>
        <x:v>Partial proposal</x:v>
      </x:c>
      <x:c r="N1573" s="4" t="str">
        <x:v>Partial audit candidate; quantity, fit and performance remain unresolved.</x:v>
      </x:c>
      <x:c r="O1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3" s="4" t="n">
        <x:f>IF(OR(C1573="Ingredient candidate",C1573="Consumed input",C1573="Contained input",C1573="Transform input"),IF(F1573="T0",0,IF(F1573="T1",1,IF(F1573="T2",2,IF(F1573="T3",3,IF(F1573="T4",4,-1))))),-1)</x:f>
        <x:v>2</x:v>
      </x:c>
      <x:c r="Q1573" s="4" t="n">
        <x:f>IF(AND(OR(C1573="Ingredient candidate",C1573="Consumed input",C1573="Contained input",C1573="Transform input"),P1573=-1),1,0)</x:f>
        <x:v>0</x:v>
      </x:c>
    </x:row>
    <x:row r="1574" ht="64" customHeight="1">
      <x:c r="A1574" s="4" t="str">
        <x:v>design.audit.proposal_gear_leg_armor.audit.out</x:v>
      </x:c>
      <x:c r="B1574" s="4" t="str">
        <x:v>design.audit.proposal_gear_leg_armor</x:v>
      </x:c>
      <x:c r="C1574" s="4" t="str">
        <x:v>Output</x:v>
      </x:c>
      <x:c r="D1574" s="4" t="str">
        <x:v>proposal.gear.leg_armor</x:v>
      </x:c>
      <x:c r="E1574" s="4" t="str">
        <x:f>IFERROR(INDEX('Items'!$B$6:$B$1005,MATCH(D1574,'Items'!$A$6:$A$1005,0)),"MISSING ID")</x:f>
        <x:v>Iron leg guards</x:v>
      </x:c>
      <x:c r="F1574" s="4" t="str">
        <x:f>IFERROR(INDEX('Items'!$C$6:$C$1005,MATCH(D1574,'Items'!$A$6:$A$1005,0)),"MISSING ID")</x:f>
        <x:v>Not applicable</x:v>
      </x:c>
      <x:c r="G1574" s="4" t="str">
        <x:f>IFERROR(INDEX('Items'!$D$6:$D$1005,MATCH(D1574,'Items'!$A$6:$A$1005,0)),"MISSING ID")</x:f>
        <x:v>Armor</x:v>
      </x:c>
      <x:c r="H1574" s="4" t="str">
        <x:f>IFERROR(INDEX('Items'!$X$6:$X$1005,MATCH(D1574,'Items'!$A$6:$A$1005,0)),"MISSING ID")</x:f>
        <x:v>Armor</x:v>
      </x:c>
      <x:c r="I1574" s="4"/>
      <x:c r="J1574" s="4" t="str">
        <x:v>Unspecified</x:v>
      </x:c>
      <x:c r="K1574" s="4" t="str">
        <x:f>IFERROR(INDEX('Crafting recipes'!$D$6:$D$1005,MATCH(B1574,'Crafting recipes'!$A$6:$A$1005,0)),"MISSING ID")</x:f>
        <x:v>Proposal</x:v>
      </x:c>
      <x:c r="L1574" s="4" t="str">
        <x:f>IFERROR(INDEX('Items'!$AD$6:$AD$1005,MATCH(D1574,'Items'!$A$6:$A$1005,0)),"MISSING ID")</x:f>
        <x:v>Author direction</x:v>
      </x:c>
      <x:c r="M1574" s="4" t="str">
        <x:f>IFERROR(INDEX('Crafting recipes'!$E$6:$E$1005,MATCH(B1574,'Crafting recipes'!$A$6:$A$1005,0)),"MISSING ID")</x:f>
        <x:v>Partial proposal</x:v>
      </x:c>
      <x:c r="N1574" s="4" t="str">
        <x:v>Partial audit candidate; quantity, fit and performance remain unresolved.</x:v>
      </x:c>
      <x:c r="O1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4" s="4" t="n">
        <x:f>IF(OR(C1574="Ingredient candidate",C1574="Consumed input",C1574="Contained input",C1574="Transform input"),IF(F1574="T0",0,IF(F1574="T1",1,IF(F1574="T2",2,IF(F1574="T3",3,IF(F1574="T4",4,-1))))),-1)</x:f>
        <x:v>-1</x:v>
      </x:c>
      <x:c r="Q1574" s="4" t="n">
        <x:f>IF(AND(OR(C1574="Ingredient candidate",C1574="Consumed input",C1574="Contained input",C1574="Transform input"),P1574=-1),1,0)</x:f>
        <x:v>0</x:v>
      </x:c>
    </x:row>
    <x:row r="1575" ht="64" customHeight="1">
      <x:c r="A1575" s="4"/>
      <x:c r="B1575" s="4"/>
      <x:c r="C1575" s="4"/>
      <x:c r="D1575" s="4"/>
      <x:c r="E1575" s="4"/>
      <x:c r="F1575" s="4"/>
      <x:c r="G1575" s="4"/>
      <x:c r="H1575" s="4"/>
      <x:c r="I1575" s="4"/>
      <x:c r="J1575" s="4"/>
      <x:c r="K1575" s="4"/>
      <x:c r="L1575" s="4"/>
      <x:c r="M1575" s="4"/>
      <x:c r="N1575" s="4"/>
      <x:c r="O1575" s="4"/>
      <x:c r="P1575" s="4"/>
      <x:c r="Q1575" s="4"/>
    </x:row>
    <x:row r="1576" ht="64" customHeight="1">
      <x:c r="A1576" s="4"/>
      <x:c r="B1576" s="4"/>
      <x:c r="C1576" s="4"/>
      <x:c r="D1576" s="4"/>
      <x:c r="E1576" s="4"/>
      <x:c r="F1576" s="4"/>
      <x:c r="G1576" s="4"/>
      <x:c r="H1576" s="4"/>
      <x:c r="I1576" s="4"/>
      <x:c r="J1576" s="4"/>
      <x:c r="K1576" s="4"/>
      <x:c r="L1576" s="4"/>
      <x:c r="M1576" s="4"/>
      <x:c r="N1576" s="4"/>
      <x:c r="O1576" s="4"/>
      <x:c r="P1576" s="4"/>
      <x:c r="Q1576" s="4"/>
    </x:row>
    <x:row r="1577" ht="64" customHeight="1">
      <x:c r="A1577" s="4"/>
      <x:c r="B1577" s="4"/>
      <x:c r="C1577" s="4"/>
      <x:c r="D1577" s="4"/>
      <x:c r="E1577" s="4"/>
      <x:c r="F1577" s="4"/>
      <x:c r="G1577" s="4"/>
      <x:c r="H1577" s="4"/>
      <x:c r="I1577" s="4"/>
      <x:c r="J1577" s="4"/>
      <x:c r="K1577" s="4"/>
      <x:c r="L1577" s="4"/>
      <x:c r="M1577" s="4"/>
      <x:c r="N1577" s="4"/>
      <x:c r="O1577" s="4"/>
      <x:c r="P1577" s="4"/>
      <x:c r="Q1577" s="4"/>
    </x:row>
    <x:row r="1578" ht="64" customHeight="1">
      <x:c r="A1578" s="4"/>
      <x:c r="B1578" s="4"/>
      <x:c r="C1578" s="4"/>
      <x:c r="D1578" s="4"/>
      <x:c r="E1578" s="4"/>
      <x:c r="F1578" s="4"/>
      <x:c r="G1578" s="4"/>
      <x:c r="H1578" s="4"/>
      <x:c r="I1578" s="4"/>
      <x:c r="J1578" s="4"/>
      <x:c r="K1578" s="4"/>
      <x:c r="L1578" s="4"/>
      <x:c r="M1578" s="4"/>
      <x:c r="N1578" s="4"/>
      <x:c r="O1578" s="4"/>
      <x:c r="P1578" s="4"/>
      <x:c r="Q1578" s="4"/>
    </x:row>
    <x:row r="1579" ht="64" customHeight="1">
      <x:c r="A1579" s="4"/>
      <x:c r="B1579" s="4"/>
      <x:c r="C1579" s="4"/>
      <x:c r="D1579" s="4"/>
      <x:c r="E1579" s="4"/>
      <x:c r="F1579" s="4"/>
      <x:c r="G1579" s="4"/>
      <x:c r="H1579" s="4"/>
      <x:c r="I1579" s="4"/>
      <x:c r="J1579" s="4"/>
      <x:c r="K1579" s="4"/>
      <x:c r="L1579" s="4"/>
      <x:c r="M1579" s="4"/>
      <x:c r="N1579" s="4"/>
      <x:c r="O1579" s="4"/>
      <x:c r="P1579" s="4"/>
      <x:c r="Q1579" s="4"/>
    </x:row>
    <x:row r="1580" ht="64" customHeight="1">
      <x:c r="A1580" s="4"/>
      <x:c r="B1580" s="4"/>
      <x:c r="C1580" s="4"/>
      <x:c r="D1580" s="4"/>
      <x:c r="E1580" s="4"/>
      <x:c r="F1580" s="4"/>
      <x:c r="G1580" s="4"/>
      <x:c r="H1580" s="4"/>
      <x:c r="I1580" s="4"/>
      <x:c r="J1580" s="4"/>
      <x:c r="K1580" s="4"/>
      <x:c r="L1580" s="4"/>
      <x:c r="M1580" s="4"/>
      <x:c r="N1580" s="4"/>
      <x:c r="O1580" s="4"/>
      <x:c r="P1580" s="4"/>
      <x:c r="Q1580" s="4"/>
    </x:row>
    <x:row r="1581" ht="64" customHeight="1">
      <x:c r="A1581" s="4"/>
      <x:c r="B1581" s="4"/>
      <x:c r="C1581" s="4"/>
      <x:c r="D1581" s="4"/>
      <x:c r="E1581" s="4"/>
      <x:c r="F1581" s="4"/>
      <x:c r="G1581" s="4"/>
      <x:c r="H1581" s="4"/>
      <x:c r="I1581" s="4"/>
      <x:c r="J1581" s="4"/>
      <x:c r="K1581" s="4"/>
      <x:c r="L1581" s="4"/>
      <x:c r="M1581" s="4"/>
      <x:c r="N1581" s="4"/>
      <x:c r="O1581" s="4"/>
      <x:c r="P1581" s="4"/>
      <x:c r="Q1581" s="4"/>
    </x:row>
    <x:row r="1582" ht="64" customHeight="1">
      <x:c r="A1582" s="4" t="str">
        <x:v>design.audit.proposal_gear_backpack.audit.in.1</x:v>
      </x:c>
      <x:c r="B1582" s="4" t="str">
        <x:v>design.audit.proposal_gear_backpack</x:v>
      </x:c>
      <x:c r="C1582" s="4" t="str">
        <x:v>Ingredient candidate</x:v>
      </x:c>
      <x:c r="D1582" s="4" t="str">
        <x:v>proposal.branch.husk_composite</x:v>
      </x:c>
      <x:c r="E1582" s="4" t="str">
        <x:f>IFERROR(INDEX('Items'!$B$6:$B$1005,MATCH(D1582,'Items'!$A$6:$A$1005,0)),"MISSING ID")</x:f>
        <x:v>Layered husk composite stock</x:v>
      </x:c>
      <x:c r="F1582" s="4" t="str">
        <x:f>IFERROR(INDEX('Items'!$C$6:$C$1005,MATCH(D1582,'Items'!$A$6:$A$1005,0)),"MISSING ID")</x:f>
        <x:v>T3</x:v>
      </x:c>
      <x:c r="G1582" s="4" t="str">
        <x:f>IFERROR(INDEX('Items'!$D$6:$D$1005,MATCH(D1582,'Items'!$A$6:$A$1005,0)),"MISSING ID")</x:f>
        <x:v>Manufactured stock</x:v>
      </x:c>
      <x:c r="H1582" s="4" t="str">
        <x:f>IFERROR(INDEX('Items'!$X$6:$X$1005,MATCH(D1582,'Items'!$A$6:$A$1005,0)),"MISSING ID")</x:f>
        <x:v>Processed material</x:v>
      </x:c>
      <x:c r="I1582" s="4"/>
      <x:c r="J1582" s="4" t="str">
        <x:v>Unspecified</x:v>
      </x:c>
      <x:c r="K1582" s="4" t="str">
        <x:f>IFERROR(INDEX('Crafting recipes'!$D$6:$D$1005,MATCH(B1582,'Crafting recipes'!$A$6:$A$1005,0)),"MISSING ID")</x:f>
        <x:v>Proposal</x:v>
      </x:c>
      <x:c r="L1582" s="4" t="str">
        <x:f>IFERROR(INDEX('Items'!$AD$6:$AD$1005,MATCH(D1582,'Items'!$A$6:$A$1005,0)),"MISSING ID")</x:f>
        <x:v>Proposal</x:v>
      </x:c>
      <x:c r="M1582" s="4" t="str">
        <x:f>IFERROR(INDEX('Crafting recipes'!$E$6:$E$1005,MATCH(B1582,'Crafting recipes'!$A$6:$A$1005,0)),"MISSING ID")</x:f>
        <x:v>Partial proposal</x:v>
      </x:c>
      <x:c r="N1582" s="4" t="str">
        <x:v>Partial audit candidate; quantity, fit and performance remain unresolved.</x:v>
      </x:c>
      <x:c r="O1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2" s="4" t="n">
        <x:f>IF(OR(C1582="Ingredient candidate",C1582="Consumed input",C1582="Contained input",C1582="Transform input"),IF(F1582="T0",0,IF(F1582="T1",1,IF(F1582="T2",2,IF(F1582="T3",3,IF(F1582="T4",4,-1))))),-1)</x:f>
        <x:v>3</x:v>
      </x:c>
      <x:c r="Q1582" s="4" t="n">
        <x:f>IF(AND(OR(C1582="Ingredient candidate",C1582="Consumed input",C1582="Contained input",C1582="Transform input"),P1582=-1),1,0)</x:f>
        <x:v>0</x:v>
      </x:c>
    </x:row>
    <x:row r="1583" ht="64" customHeight="1">
      <x:c r="A1583" s="4" t="str">
        <x:v>design.audit.proposal_gear_backpack.audit.in.2</x:v>
      </x:c>
      <x:c r="B1583" s="4" t="str">
        <x:v>design.audit.proposal_gear_backpack</x:v>
      </x:c>
      <x:c r="C1583" s="4" t="str">
        <x:v>Ingredient candidate</x:v>
      </x:c>
      <x:c r="D1583" s="4" t="str">
        <x:v>proposal.audit.pressed_hide_fastening_strips</x:v>
      </x:c>
      <x:c r="E1583" s="4" t="str">
        <x:f>IFERROR(INDEX('Items'!$B$6:$B$1005,MATCH(D1583,'Items'!$A$6:$A$1005,0)),"MISSING ID")</x:f>
        <x:v>Pressed hide fastening strips</x:v>
      </x:c>
      <x:c r="F1583" s="4" t="str">
        <x:f>IFERROR(INDEX('Items'!$C$6:$C$1005,MATCH(D1583,'Items'!$A$6:$A$1005,0)),"MISSING ID")</x:f>
        <x:v>T2</x:v>
      </x:c>
      <x:c r="G1583" s="4" t="str">
        <x:f>IFERROR(INDEX('Items'!$D$6:$D$1005,MATCH(D1583,'Items'!$A$6:$A$1005,0)),"MISSING ID")</x:f>
        <x:v>Manufactured stock</x:v>
      </x:c>
      <x:c r="H1583" s="4" t="str">
        <x:f>IFERROR(INDEX('Items'!$X$6:$X$1005,MATCH(D1583,'Items'!$A$6:$A$1005,0)),"MISSING ID")</x:f>
        <x:v>Processed material</x:v>
      </x:c>
      <x:c r="I1583" s="4"/>
      <x:c r="J1583" s="4" t="str">
        <x:v>Unspecified</x:v>
      </x:c>
      <x:c r="K1583" s="4" t="str">
        <x:f>IFERROR(INDEX('Crafting recipes'!$D$6:$D$1005,MATCH(B1583,'Crafting recipes'!$A$6:$A$1005,0)),"MISSING ID")</x:f>
        <x:v>Proposal</x:v>
      </x:c>
      <x:c r="L1583" s="4" t="str">
        <x:f>IFERROR(INDEX('Items'!$AD$6:$AD$1005,MATCH(D1583,'Items'!$A$6:$A$1005,0)),"MISSING ID")</x:f>
        <x:v>Proposal</x:v>
      </x:c>
      <x:c r="M1583" s="4" t="str">
        <x:f>IFERROR(INDEX('Crafting recipes'!$E$6:$E$1005,MATCH(B1583,'Crafting recipes'!$A$6:$A$1005,0)),"MISSING ID")</x:f>
        <x:v>Partial proposal</x:v>
      </x:c>
      <x:c r="N1583" s="4" t="str">
        <x:v>Partial audit candidate; quantity, fit and performance remain unresolved.</x:v>
      </x:c>
      <x:c r="O1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3" s="4" t="n">
        <x:f>IF(OR(C1583="Ingredient candidate",C1583="Consumed input",C1583="Contained input",C1583="Transform input"),IF(F1583="T0",0,IF(F1583="T1",1,IF(F1583="T2",2,IF(F1583="T3",3,IF(F1583="T4",4,-1))))),-1)</x:f>
        <x:v>2</x:v>
      </x:c>
      <x:c r="Q1583" s="4" t="n">
        <x:f>IF(AND(OR(C1583="Ingredient candidate",C1583="Consumed input",C1583="Contained input",C1583="Transform input"),P1583=-1),1,0)</x:f>
        <x:v>0</x:v>
      </x:c>
    </x:row>
    <x:row r="1584" ht="64" customHeight="1">
      <x:c r="A1584" s="4" t="str">
        <x:v>design.audit.proposal_gear_backpack.audit.in.3</x:v>
      </x:c>
      <x:c r="B1584" s="4" t="str">
        <x:v>design.audit.proposal_gear_backpack</x:v>
      </x:c>
      <x:c r="C1584" s="4" t="str">
        <x:v>Ingredient candidate</x:v>
      </x:c>
      <x:c r="D1584" s="4" t="str">
        <x:v>proposal.lore.fastener_set</x:v>
      </x:c>
      <x:c r="E1584" s="4" t="str">
        <x:f>IFERROR(INDEX('Items'!$B$6:$B$1005,MATCH(D1584,'Items'!$A$6:$A$1005,0)),"MISSING ID")</x:f>
        <x:v>Matched metal fastener set</x:v>
      </x:c>
      <x:c r="F1584" s="4" t="str">
        <x:f>IFERROR(INDEX('Items'!$C$6:$C$1005,MATCH(D1584,'Items'!$A$6:$A$1005,0)),"MISSING ID")</x:f>
        <x:v>T3</x:v>
      </x:c>
      <x:c r="G1584" s="4" t="str">
        <x:f>IFERROR(INDEX('Items'!$D$6:$D$1005,MATCH(D1584,'Items'!$A$6:$A$1005,0)),"MISSING ID")</x:f>
        <x:v>Crafting components</x:v>
      </x:c>
      <x:c r="H1584" s="4" t="str">
        <x:f>IFERROR(INDEX('Items'!$X$6:$X$1005,MATCH(D1584,'Items'!$A$6:$A$1005,0)),"MISSING ID")</x:f>
        <x:v>Crafting component</x:v>
      </x:c>
      <x:c r="I1584" s="4"/>
      <x:c r="J1584" s="4" t="str">
        <x:v>Unspecified</x:v>
      </x:c>
      <x:c r="K1584" s="4" t="str">
        <x:f>IFERROR(INDEX('Crafting recipes'!$D$6:$D$1005,MATCH(B1584,'Crafting recipes'!$A$6:$A$1005,0)),"MISSING ID")</x:f>
        <x:v>Proposal</x:v>
      </x:c>
      <x:c r="L1584" s="4" t="str">
        <x:f>IFERROR(INDEX('Items'!$AD$6:$AD$1005,MATCH(D1584,'Items'!$A$6:$A$1005,0)),"MISSING ID")</x:f>
        <x:v>Proposal</x:v>
      </x:c>
      <x:c r="M1584" s="4" t="str">
        <x:f>IFERROR(INDEX('Crafting recipes'!$E$6:$E$1005,MATCH(B1584,'Crafting recipes'!$A$6:$A$1005,0)),"MISSING ID")</x:f>
        <x:v>Partial proposal</x:v>
      </x:c>
      <x:c r="N1584" s="4" t="str">
        <x:v>Partial audit candidate; quantity, fit and performance remain unresolved.</x:v>
      </x:c>
      <x:c r="O1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4" s="4" t="n">
        <x:f>IF(OR(C1584="Ingredient candidate",C1584="Consumed input",C1584="Contained input",C1584="Transform input"),IF(F1584="T0",0,IF(F1584="T1",1,IF(F1584="T2",2,IF(F1584="T3",3,IF(F1584="T4",4,-1))))),-1)</x:f>
        <x:v>3</x:v>
      </x:c>
      <x:c r="Q1584" s="4" t="n">
        <x:f>IF(AND(OR(C1584="Ingredient candidate",C1584="Consumed input",C1584="Contained input",C1584="Transform input"),P1584=-1),1,0)</x:f>
        <x:v>0</x:v>
      </x:c>
    </x:row>
    <x:row r="1585" ht="64" customHeight="1">
      <x:c r="A1585" s="4" t="str">
        <x:v>design.audit.proposal_gear_backpack.audit.out</x:v>
      </x:c>
      <x:c r="B1585" s="4" t="str">
        <x:v>design.audit.proposal_gear_backpack</x:v>
      </x:c>
      <x:c r="C1585" s="4" t="str">
        <x:v>Output</x:v>
      </x:c>
      <x:c r="D1585" s="4" t="str">
        <x:v>proposal.gear.backpack</x:v>
      </x:c>
      <x:c r="E1585" s="4" t="str">
        <x:f>IFERROR(INDEX('Items'!$B$6:$B$1005,MATCH(D1585,'Items'!$A$6:$A$1005,0)),"MISSING ID")</x:f>
        <x:v>Backpack</x:v>
      </x:c>
      <x:c r="F1585" s="4" t="str">
        <x:f>IFERROR(INDEX('Items'!$C$6:$C$1005,MATCH(D1585,'Items'!$A$6:$A$1005,0)),"MISSING ID")</x:f>
        <x:v>Not applicable</x:v>
      </x:c>
      <x:c r="G1585" s="4" t="str">
        <x:f>IFERROR(INDEX('Items'!$D$6:$D$1005,MATCH(D1585,'Items'!$A$6:$A$1005,0)),"MISSING ID")</x:f>
        <x:v>Tools</x:v>
      </x:c>
      <x:c r="H1585" s="4" t="str">
        <x:f>IFERROR(INDEX('Items'!$X$6:$X$1005,MATCH(D1585,'Items'!$A$6:$A$1005,0)),"MISSING ID")</x:f>
        <x:v>Carrier</x:v>
      </x:c>
      <x:c r="I1585" s="4"/>
      <x:c r="J1585" s="4" t="str">
        <x:v>Unspecified</x:v>
      </x:c>
      <x:c r="K1585" s="4" t="str">
        <x:f>IFERROR(INDEX('Crafting recipes'!$D$6:$D$1005,MATCH(B1585,'Crafting recipes'!$A$6:$A$1005,0)),"MISSING ID")</x:f>
        <x:v>Proposal</x:v>
      </x:c>
      <x:c r="L1585" s="4" t="str">
        <x:f>IFERROR(INDEX('Items'!$AD$6:$AD$1005,MATCH(D1585,'Items'!$A$6:$A$1005,0)),"MISSING ID")</x:f>
        <x:v>Author direction</x:v>
      </x:c>
      <x:c r="M1585" s="4" t="str">
        <x:f>IFERROR(INDEX('Crafting recipes'!$E$6:$E$1005,MATCH(B1585,'Crafting recipes'!$A$6:$A$1005,0)),"MISSING ID")</x:f>
        <x:v>Partial proposal</x:v>
      </x:c>
      <x:c r="N1585" s="4" t="str">
        <x:v>Partial audit candidate; quantity, fit and performance remain unresolved.</x:v>
      </x:c>
      <x:c r="O1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5" s="4" t="n">
        <x:f>IF(OR(C1585="Ingredient candidate",C1585="Consumed input",C1585="Contained input",C1585="Transform input"),IF(F1585="T0",0,IF(F1585="T1",1,IF(F1585="T2",2,IF(F1585="T3",3,IF(F1585="T4",4,-1))))),-1)</x:f>
        <x:v>-1</x:v>
      </x:c>
      <x:c r="Q1585" s="4" t="n">
        <x:f>IF(AND(OR(C1585="Ingredient candidate",C1585="Consumed input",C1585="Contained input",C1585="Transform input"),P1585=-1),1,0)</x:f>
        <x:v>0</x:v>
      </x:c>
    </x:row>
    <x:row r="1586" ht="64" customHeight="1">
      <x:c r="A1586" s="4" t="str">
        <x:v>design.audit.proposal_gear_special_plates.audit.in.1</x:v>
      </x:c>
      <x:c r="B1586" s="4" t="str">
        <x:v>design.audit.proposal_gear_special_plates</x:v>
      </x:c>
      <x:c r="C1586" s="4" t="str">
        <x:v>Ingredient candidate</x:v>
      </x:c>
      <x:c r="D1586" s="4" t="str">
        <x:v>proposal.branch.protective_stock</x:v>
      </x:c>
      <x:c r="E1586" s="4" t="str">
        <x:f>IFERROR(INDEX('Items'!$B$6:$B$1005,MATCH(D1586,'Items'!$A$6:$A$1005,0)),"MISSING ID")</x:f>
        <x:v>Layered protective composite stock</x:v>
      </x:c>
      <x:c r="F1586" s="4" t="str">
        <x:f>IFERROR(INDEX('Items'!$C$6:$C$1005,MATCH(D1586,'Items'!$A$6:$A$1005,0)),"MISSING ID")</x:f>
        <x:v>T4</x:v>
      </x:c>
      <x:c r="G1586" s="4" t="str">
        <x:f>IFERROR(INDEX('Items'!$D$6:$D$1005,MATCH(D1586,'Items'!$A$6:$A$1005,0)),"MISSING ID")</x:f>
        <x:v>Manufactured stock</x:v>
      </x:c>
      <x:c r="H1586" s="4" t="str">
        <x:f>IFERROR(INDEX('Items'!$X$6:$X$1005,MATCH(D1586,'Items'!$A$6:$A$1005,0)),"MISSING ID")</x:f>
        <x:v>Processed material</x:v>
      </x:c>
      <x:c r="I1586" s="4"/>
      <x:c r="J1586" s="4" t="str">
        <x:v>Unspecified</x:v>
      </x:c>
      <x:c r="K1586" s="4" t="str">
        <x:f>IFERROR(INDEX('Crafting recipes'!$D$6:$D$1005,MATCH(B1586,'Crafting recipes'!$A$6:$A$1005,0)),"MISSING ID")</x:f>
        <x:v>Proposal</x:v>
      </x:c>
      <x:c r="L1586" s="4" t="str">
        <x:f>IFERROR(INDEX('Items'!$AD$6:$AD$1005,MATCH(D1586,'Items'!$A$6:$A$1005,0)),"MISSING ID")</x:f>
        <x:v>Proposal</x:v>
      </x:c>
      <x:c r="M1586" s="4" t="str">
        <x:f>IFERROR(INDEX('Crafting recipes'!$E$6:$E$1005,MATCH(B1586,'Crafting recipes'!$A$6:$A$1005,0)),"MISSING ID")</x:f>
        <x:v>Partial proposal</x:v>
      </x:c>
      <x:c r="N1586" s="4" t="str">
        <x:v>Partial audit candidate; quantity, fit and performance remain unresolved.</x:v>
      </x:c>
      <x:c r="O1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6" s="4" t="n">
        <x:f>IF(OR(C1586="Ingredient candidate",C1586="Consumed input",C1586="Contained input",C1586="Transform input"),IF(F1586="T0",0,IF(F1586="T1",1,IF(F1586="T2",2,IF(F1586="T3",3,IF(F1586="T4",4,-1))))),-1)</x:f>
        <x:v>4</x:v>
      </x:c>
      <x:c r="Q1586" s="4" t="n">
        <x:f>IF(AND(OR(C1586="Ingredient candidate",C1586="Consumed input",C1586="Contained input",C1586="Transform input"),P1586=-1),1,0)</x:f>
        <x:v>0</x:v>
      </x:c>
    </x:row>
    <x:row r="1587" ht="64" customHeight="1">
      <x:c r="A1587" s="4" t="str">
        <x:v>design.audit.proposal_gear_special_plates.audit.in.2</x:v>
      </x:c>
      <x:c r="B1587" s="4" t="str">
        <x:v>design.audit.proposal_gear_special_plates</x:v>
      </x:c>
      <x:c r="C1587" s="4" t="str">
        <x:v>Ingredient candidate</x:v>
      </x:c>
      <x:c r="D1587" s="4" t="str">
        <x:v>proposal.lore.fastener_set</x:v>
      </x:c>
      <x:c r="E1587" s="4" t="str">
        <x:f>IFERROR(INDEX('Items'!$B$6:$B$1005,MATCH(D1587,'Items'!$A$6:$A$1005,0)),"MISSING ID")</x:f>
        <x:v>Matched metal fastener set</x:v>
      </x:c>
      <x:c r="F1587" s="4" t="str">
        <x:f>IFERROR(INDEX('Items'!$C$6:$C$1005,MATCH(D1587,'Items'!$A$6:$A$1005,0)),"MISSING ID")</x:f>
        <x:v>T3</x:v>
      </x:c>
      <x:c r="G1587" s="4" t="str">
        <x:f>IFERROR(INDEX('Items'!$D$6:$D$1005,MATCH(D1587,'Items'!$A$6:$A$1005,0)),"MISSING ID")</x:f>
        <x:v>Crafting components</x:v>
      </x:c>
      <x:c r="H1587" s="4" t="str">
        <x:f>IFERROR(INDEX('Items'!$X$6:$X$1005,MATCH(D1587,'Items'!$A$6:$A$1005,0)),"MISSING ID")</x:f>
        <x:v>Crafting component</x:v>
      </x:c>
      <x:c r="I1587" s="4"/>
      <x:c r="J1587" s="4" t="str">
        <x:v>Unspecified</x:v>
      </x:c>
      <x:c r="K1587" s="4" t="str">
        <x:f>IFERROR(INDEX('Crafting recipes'!$D$6:$D$1005,MATCH(B1587,'Crafting recipes'!$A$6:$A$1005,0)),"MISSING ID")</x:f>
        <x:v>Proposal</x:v>
      </x:c>
      <x:c r="L1587" s="4" t="str">
        <x:f>IFERROR(INDEX('Items'!$AD$6:$AD$1005,MATCH(D1587,'Items'!$A$6:$A$1005,0)),"MISSING ID")</x:f>
        <x:v>Proposal</x:v>
      </x:c>
      <x:c r="M1587" s="4" t="str">
        <x:f>IFERROR(INDEX('Crafting recipes'!$E$6:$E$1005,MATCH(B1587,'Crafting recipes'!$A$6:$A$1005,0)),"MISSING ID")</x:f>
        <x:v>Partial proposal</x:v>
      </x:c>
      <x:c r="N1587" s="4" t="str">
        <x:v>Partial audit candidate; quantity, fit and performance remain unresolved.</x:v>
      </x:c>
      <x:c r="O1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7" s="4" t="n">
        <x:f>IF(OR(C1587="Ingredient candidate",C1587="Consumed input",C1587="Contained input",C1587="Transform input"),IF(F1587="T0",0,IF(F1587="T1",1,IF(F1587="T2",2,IF(F1587="T3",3,IF(F1587="T4",4,-1))))),-1)</x:f>
        <x:v>3</x:v>
      </x:c>
      <x:c r="Q1587" s="4" t="n">
        <x:f>IF(AND(OR(C1587="Ingredient candidate",C1587="Consumed input",C1587="Contained input",C1587="Transform input"),P1587=-1),1,0)</x:f>
        <x:v>0</x:v>
      </x:c>
    </x:row>
    <x:row r="1588" ht="64" customHeight="1">
      <x:c r="A1588" s="4" t="str">
        <x:v>design.audit.proposal_gear_special_plates.audit.out</x:v>
      </x:c>
      <x:c r="B1588" s="4" t="str">
        <x:v>design.audit.proposal_gear_special_plates</x:v>
      </x:c>
      <x:c r="C1588" s="4" t="str">
        <x:v>Output</x:v>
      </x:c>
      <x:c r="D1588" s="4" t="str">
        <x:v>proposal.gear.special_plates</x:v>
      </x:c>
      <x:c r="E1588" s="4" t="str">
        <x:f>IFERROR(INDEX('Items'!$B$6:$B$1005,MATCH(D1588,'Items'!$A$6:$A$1005,0)),"MISSING ID")</x:f>
        <x:v>Specialized armor plates</x:v>
      </x:c>
      <x:c r="F1588" s="4" t="str">
        <x:f>IFERROR(INDEX('Items'!$C$6:$C$1005,MATCH(D1588,'Items'!$A$6:$A$1005,0)),"MISSING ID")</x:f>
        <x:v>Not applicable</x:v>
      </x:c>
      <x:c r="G1588" s="4" t="str">
        <x:f>IFERROR(INDEX('Items'!$D$6:$D$1005,MATCH(D1588,'Items'!$A$6:$A$1005,0)),"MISSING ID")</x:f>
        <x:v>Armor</x:v>
      </x:c>
      <x:c r="H1588" s="4" t="str">
        <x:f>IFERROR(INDEX('Items'!$X$6:$X$1005,MATCH(D1588,'Items'!$A$6:$A$1005,0)),"MISSING ID")</x:f>
        <x:v>Armor</x:v>
      </x:c>
      <x:c r="I1588" s="4"/>
      <x:c r="J1588" s="4" t="str">
        <x:v>Unspecified</x:v>
      </x:c>
      <x:c r="K1588" s="4" t="str">
        <x:f>IFERROR(INDEX('Crafting recipes'!$D$6:$D$1005,MATCH(B1588,'Crafting recipes'!$A$6:$A$1005,0)),"MISSING ID")</x:f>
        <x:v>Proposal</x:v>
      </x:c>
      <x:c r="L1588" s="4" t="str">
        <x:f>IFERROR(INDEX('Items'!$AD$6:$AD$1005,MATCH(D1588,'Items'!$A$6:$A$1005,0)),"MISSING ID")</x:f>
        <x:v>Author direction</x:v>
      </x:c>
      <x:c r="M1588" s="4" t="str">
        <x:f>IFERROR(INDEX('Crafting recipes'!$E$6:$E$1005,MATCH(B1588,'Crafting recipes'!$A$6:$A$1005,0)),"MISSING ID")</x:f>
        <x:v>Partial proposal</x:v>
      </x:c>
      <x:c r="N1588" s="4" t="str">
        <x:v>Partial audit candidate; quantity, fit and performance remain unresolved.</x:v>
      </x:c>
      <x:c r="O1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8" s="4" t="n">
        <x:f>IF(OR(C1588="Ingredient candidate",C1588="Consumed input",C1588="Contained input",C1588="Transform input"),IF(F1588="T0",0,IF(F1588="T1",1,IF(F1588="T2",2,IF(F1588="T3",3,IF(F1588="T4",4,-1))))),-1)</x:f>
        <x:v>-1</x:v>
      </x:c>
      <x:c r="Q1588" s="4" t="n">
        <x:f>IF(AND(OR(C1588="Ingredient candidate",C1588="Consumed input",C1588="Contained input",C1588="Transform input"),P1588=-1),1,0)</x:f>
        <x:v>0</x:v>
      </x:c>
    </x:row>
    <x:row r="1589" ht="64" customHeight="1">
      <x:c r="A1589" s="4"/>
      <x:c r="B1589" s="4"/>
      <x:c r="C1589" s="4"/>
      <x:c r="D1589" s="4"/>
      <x:c r="E1589" s="4"/>
      <x:c r="F1589" s="4"/>
      <x:c r="G1589" s="4"/>
      <x:c r="H1589" s="4"/>
      <x:c r="I1589" s="4"/>
      <x:c r="K1589" s="4"/>
      <x:c r="L1589" s="4"/>
      <x:c r="M1589" s="4"/>
      <x:c r="N1589" s="4"/>
      <x:c r="O1589" s="4"/>
      <x:c r="P1589" s="4"/>
      <x:c r="Q1589" s="4"/>
    </x:row>
    <x:row r="1590" ht="64" customHeight="1">
      <x:c r="A1590" s="4"/>
      <x:c r="B1590" s="4"/>
      <x:c r="C1590" s="4"/>
      <x:c r="D1590" s="4"/>
      <x:c r="E1590" s="4"/>
      <x:c r="F1590" s="4"/>
      <x:c r="G1590" s="4"/>
      <x:c r="H1590" s="4"/>
      <x:c r="I1590" s="4"/>
      <x:c r="K1590" s="4"/>
      <x:c r="L1590" s="4"/>
      <x:c r="M1590" s="4"/>
      <x:c r="N1590" s="4"/>
      <x:c r="O1590" s="4"/>
      <x:c r="P1590" s="4"/>
      <x:c r="Q1590" s="4"/>
    </x:row>
    <x:row r="1591" ht="64" customHeight="1">
      <x:c r="A1591" s="4" t="str">
        <x:v>design.audit.proposal_weapon_caltrops.audit.in.1</x:v>
      </x:c>
      <x:c r="B1591" s="4" t="str">
        <x:v>design.audit.proposal_weapon_caltrops</x:v>
      </x:c>
      <x:c r="C1591" s="4" t="str">
        <x:v>Ingredient candidate</x:v>
      </x:c>
      <x:c r="D1591" s="4" t="str">
        <x:v>author.metallurgy.steel_stock</x:v>
      </x:c>
      <x:c r="E1591" s="4" t="str">
        <x:f>IFERROR(INDEX('Items'!$B$6:$B$1005,MATCH(D1591,'Items'!$A$6:$A$1005,0)),"MISSING ID")</x:f>
        <x:v>Steel stock</x:v>
      </x:c>
      <x:c r="F1591" s="4" t="str">
        <x:f>IFERROR(INDEX('Items'!$C$6:$C$1005,MATCH(D1591,'Items'!$A$6:$A$1005,0)),"MISSING ID")</x:f>
        <x:v>T2</x:v>
      </x:c>
      <x:c r="G1591" s="4" t="str">
        <x:f>IFERROR(INDEX('Items'!$D$6:$D$1005,MATCH(D1591,'Items'!$A$6:$A$1005,0)),"MISSING ID")</x:f>
        <x:v>Manufactured stock</x:v>
      </x:c>
      <x:c r="H1591" s="4" t="str">
        <x:f>IFERROR(INDEX('Items'!$X$6:$X$1005,MATCH(D1591,'Items'!$A$6:$A$1005,0)),"MISSING ID")</x:f>
        <x:v>Processed material</x:v>
      </x:c>
      <x:c r="I1591" s="4"/>
      <x:c r="J1591" s="4" t="str">
        <x:v>Unspecified</x:v>
      </x:c>
      <x:c r="K1591" s="4" t="str">
        <x:f>IFERROR(INDEX('Crafting recipes'!$D$6:$D$1005,MATCH(B1591,'Crafting recipes'!$A$6:$A$1005,0)),"MISSING ID")</x:f>
        <x:v>Proposal</x:v>
      </x:c>
      <x:c r="L1591" s="4" t="str">
        <x:f>IFERROR(INDEX('Items'!$AD$6:$AD$1005,MATCH(D1591,'Items'!$A$6:$A$1005,0)),"MISSING ID")</x:f>
        <x:v>Author direction</x:v>
      </x:c>
      <x:c r="M1591" s="4" t="str">
        <x:f>IFERROR(INDEX('Crafting recipes'!$E$6:$E$1005,MATCH(B1591,'Crafting recipes'!$A$6:$A$1005,0)),"MISSING ID")</x:f>
        <x:v>Partial proposal</x:v>
      </x:c>
      <x:c r="N1591" s="4" t="str">
        <x:v>Partial audit candidate; quantity, fit and performance remain unresolved.</x:v>
      </x:c>
      <x:c r="O1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1" s="4" t="n">
        <x:f>IF(OR(C1591="Ingredient candidate",C1591="Consumed input",C1591="Contained input",C1591="Transform input"),IF(F1591="T0",0,IF(F1591="T1",1,IF(F1591="T2",2,IF(F1591="T3",3,IF(F1591="T4",4,-1))))),-1)</x:f>
        <x:v>2</x:v>
      </x:c>
      <x:c r="Q1591" s="4" t="n">
        <x:f>IF(AND(OR(C1591="Ingredient candidate",C1591="Consumed input",C1591="Contained input",C1591="Transform input"),P1591=-1),1,0)</x:f>
        <x:v>0</x:v>
      </x:c>
    </x:row>
    <x:row r="1592" ht="64" customHeight="1">
      <x:c r="A1592" s="4" t="str">
        <x:v>design.audit.proposal_weapon_caltrops.audit.out</x:v>
      </x:c>
      <x:c r="B1592" s="4" t="str">
        <x:v>design.audit.proposal_weapon_caltrops</x:v>
      </x:c>
      <x:c r="C1592" s="4" t="str">
        <x:v>Output</x:v>
      </x:c>
      <x:c r="D1592" s="4" t="str">
        <x:v>proposal.weapon.caltrops</x:v>
      </x:c>
      <x:c r="E1592" s="4" t="str">
        <x:f>IFERROR(INDEX('Items'!$B$6:$B$1005,MATCH(D1592,'Items'!$A$6:$A$1005,0)),"MISSING ID")</x:f>
        <x:v>Caltrops</x:v>
      </x:c>
      <x:c r="F1592" s="4" t="str">
        <x:f>IFERROR(INDEX('Items'!$C$6:$C$1005,MATCH(D1592,'Items'!$A$6:$A$1005,0)),"MISSING ID")</x:f>
        <x:v>Not applicable</x:v>
      </x:c>
      <x:c r="G1592" s="4" t="str">
        <x:f>IFERROR(INDEX('Items'!$D$6:$D$1005,MATCH(D1592,'Items'!$A$6:$A$1005,0)),"MISSING ID")</x:f>
        <x:v>Weapons</x:v>
      </x:c>
      <x:c r="H1592" s="4" t="str">
        <x:f>IFERROR(INDEX('Items'!$X$6:$X$1005,MATCH(D1592,'Items'!$A$6:$A$1005,0)),"MISSING ID")</x:f>
        <x:v>Trip hazard</x:v>
      </x:c>
      <x:c r="I1592" s="4"/>
      <x:c r="J1592" s="4" t="str">
        <x:v>Unspecified</x:v>
      </x:c>
      <x:c r="K1592" s="4" t="str">
        <x:f>IFERROR(INDEX('Crafting recipes'!$D$6:$D$1005,MATCH(B1592,'Crafting recipes'!$A$6:$A$1005,0)),"MISSING ID")</x:f>
        <x:v>Proposal</x:v>
      </x:c>
      <x:c r="L1592" s="4" t="str">
        <x:f>IFERROR(INDEX('Items'!$AD$6:$AD$1005,MATCH(D1592,'Items'!$A$6:$A$1005,0)),"MISSING ID")</x:f>
        <x:v>Author direction</x:v>
      </x:c>
      <x:c r="M1592" s="4" t="str">
        <x:f>IFERROR(INDEX('Crafting recipes'!$E$6:$E$1005,MATCH(B1592,'Crafting recipes'!$A$6:$A$1005,0)),"MISSING ID")</x:f>
        <x:v>Partial proposal</x:v>
      </x:c>
      <x:c r="N1592" s="4" t="str">
        <x:v>Partial audit candidate; quantity, fit and performance remain unresolved.</x:v>
      </x:c>
      <x:c r="O1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2" s="4" t="n">
        <x:f>IF(OR(C1592="Ingredient candidate",C1592="Consumed input",C1592="Contained input",C1592="Transform input"),IF(F1592="T0",0,IF(F1592="T1",1,IF(F1592="T2",2,IF(F1592="T3",3,IF(F1592="T4",4,-1))))),-1)</x:f>
        <x:v>-1</x:v>
      </x:c>
      <x:c r="Q1592" s="4" t="n">
        <x:f>IF(AND(OR(C1592="Ingredient candidate",C1592="Consumed input",C1592="Contained input",C1592="Transform input"),P1592=-1),1,0)</x:f>
        <x:v>0</x:v>
      </x:c>
    </x:row>
    <x:row r="1593" ht="64" customHeight="1">
      <x:c r="A1593" s="4" t="str">
        <x:v>design.audit.proposal_fashion_special_spectacles.audit.in.1</x:v>
      </x:c>
      <x:c r="B1593" s="4" t="str">
        <x:v>design.audit.proposal_fashion_special_spectacles</x:v>
      </x:c>
      <x:c r="C1593" s="4" t="str">
        <x:v>Ingredient candidate</x:v>
      </x:c>
      <x:c r="D1593" s="4" t="str">
        <x:v>proposal.branch.optical_glass</x:v>
      </x:c>
      <x:c r="E1593" s="4" t="str">
        <x:f>IFERROR(INDEX('Items'!$B$6:$B$1005,MATCH(D1593,'Items'!$A$6:$A$1005,0)),"MISSING ID")</x:f>
        <x:v>Ground optical glass stock</x:v>
      </x:c>
      <x:c r="F1593" s="4" t="str">
        <x:f>IFERROR(INDEX('Items'!$C$6:$C$1005,MATCH(D1593,'Items'!$A$6:$A$1005,0)),"MISSING ID")</x:f>
        <x:v>T3</x:v>
      </x:c>
      <x:c r="G1593" s="4" t="str">
        <x:f>IFERROR(INDEX('Items'!$D$6:$D$1005,MATCH(D1593,'Items'!$A$6:$A$1005,0)),"MISSING ID")</x:f>
        <x:v>Manufactured stock</x:v>
      </x:c>
      <x:c r="H1593" s="4" t="str">
        <x:f>IFERROR(INDEX('Items'!$X$6:$X$1005,MATCH(D1593,'Items'!$A$6:$A$1005,0)),"MISSING ID")</x:f>
        <x:v>Processed material</x:v>
      </x:c>
      <x:c r="I1593" s="4"/>
      <x:c r="J1593" s="4" t="str">
        <x:v>Unspecified</x:v>
      </x:c>
      <x:c r="K1593" s="4" t="str">
        <x:f>IFERROR(INDEX('Crafting recipes'!$D$6:$D$1005,MATCH(B1593,'Crafting recipes'!$A$6:$A$1005,0)),"MISSING ID")</x:f>
        <x:v>Proposal</x:v>
      </x:c>
      <x:c r="L1593" s="4" t="str">
        <x:f>IFERROR(INDEX('Items'!$AD$6:$AD$1005,MATCH(D1593,'Items'!$A$6:$A$1005,0)),"MISSING ID")</x:f>
        <x:v>Proposal</x:v>
      </x:c>
      <x:c r="M1593" s="4" t="str">
        <x:f>IFERROR(INDEX('Crafting recipes'!$E$6:$E$1005,MATCH(B1593,'Crafting recipes'!$A$6:$A$1005,0)),"MISSING ID")</x:f>
        <x:v>Partial proposal</x:v>
      </x:c>
      <x:c r="N1593" s="4" t="str">
        <x:v>Partial audit candidate; quantity, fit and performance remain unresolved.</x:v>
      </x:c>
      <x:c r="O1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3" s="4" t="n">
        <x:f>IF(OR(C1593="Ingredient candidate",C1593="Consumed input",C1593="Contained input",C1593="Transform input"),IF(F1593="T0",0,IF(F1593="T1",1,IF(F1593="T2",2,IF(F1593="T3",3,IF(F1593="T4",4,-1))))),-1)</x:f>
        <x:v>3</x:v>
      </x:c>
      <x:c r="Q1593" s="4" t="n">
        <x:f>IF(AND(OR(C1593="Ingredient candidate",C1593="Consumed input",C1593="Contained input",C1593="Transform input"),P1593=-1),1,0)</x:f>
        <x:v>0</x:v>
      </x:c>
    </x:row>
    <x:row r="1594" ht="64" customHeight="1">
      <x:c r="A1594" s="4" t="str">
        <x:v>design.audit.proposal_fashion_special_spectacles.audit.in.2</x:v>
      </x:c>
      <x:c r="B1594" s="4" t="str">
        <x:v>design.audit.proposal_fashion_special_spectacles</x:v>
      </x:c>
      <x:c r="C1594" s="4" t="str">
        <x:v>Ingredient candidate</x:v>
      </x:c>
      <x:c r="D1594" s="4" t="str">
        <x:v>proposal.audit.bent_wire_spectacle_frame</x:v>
      </x:c>
      <x:c r="E1594" s="4" t="str">
        <x:f>IFERROR(INDEX('Items'!$B$6:$B$1005,MATCH(D1594,'Items'!$A$6:$A$1005,0)),"MISSING ID")</x:f>
        <x:v>Bent-wire spectacle frame</x:v>
      </x:c>
      <x:c r="F1594" s="4" t="str">
        <x:f>IFERROR(INDEX('Items'!$C$6:$C$1005,MATCH(D1594,'Items'!$A$6:$A$1005,0)),"MISSING ID")</x:f>
        <x:v>T3</x:v>
      </x:c>
      <x:c r="G1594" s="4" t="str">
        <x:f>IFERROR(INDEX('Items'!$D$6:$D$1005,MATCH(D1594,'Items'!$A$6:$A$1005,0)),"MISSING ID")</x:f>
        <x:v>Crafting components</x:v>
      </x:c>
      <x:c r="H1594" s="4" t="str">
        <x:f>IFERROR(INDEX('Items'!$X$6:$X$1005,MATCH(D1594,'Items'!$A$6:$A$1005,0)),"MISSING ID")</x:f>
        <x:v>Crafting component</x:v>
      </x:c>
      <x:c r="I1594" s="4"/>
      <x:c r="J1594" s="4" t="str">
        <x:v>Unspecified</x:v>
      </x:c>
      <x:c r="K1594" s="4" t="str">
        <x:f>IFERROR(INDEX('Crafting recipes'!$D$6:$D$1005,MATCH(B1594,'Crafting recipes'!$A$6:$A$1005,0)),"MISSING ID")</x:f>
        <x:v>Proposal</x:v>
      </x:c>
      <x:c r="L1594" s="4" t="str">
        <x:f>IFERROR(INDEX('Items'!$AD$6:$AD$1005,MATCH(D1594,'Items'!$A$6:$A$1005,0)),"MISSING ID")</x:f>
        <x:v>Proposal</x:v>
      </x:c>
      <x:c r="M1594" s="4" t="str">
        <x:f>IFERROR(INDEX('Crafting recipes'!$E$6:$E$1005,MATCH(B1594,'Crafting recipes'!$A$6:$A$1005,0)),"MISSING ID")</x:f>
        <x:v>Partial proposal</x:v>
      </x:c>
      <x:c r="N1594" s="4" t="str">
        <x:v>Partial audit candidate; quantity, fit and performance remain unresolved.</x:v>
      </x:c>
      <x:c r="O1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4" s="4" t="n">
        <x:f>IF(OR(C1594="Ingredient candidate",C1594="Consumed input",C1594="Contained input",C1594="Transform input"),IF(F1594="T0",0,IF(F1594="T1",1,IF(F1594="T2",2,IF(F1594="T3",3,IF(F1594="T4",4,-1))))),-1)</x:f>
        <x:v>3</x:v>
      </x:c>
      <x:c r="Q1594" s="4" t="n">
        <x:f>IF(AND(OR(C1594="Ingredient candidate",C1594="Consumed input",C1594="Contained input",C1594="Transform input"),P1594=-1),1,0)</x:f>
        <x:v>0</x:v>
      </x:c>
    </x:row>
    <x:row r="1595" ht="64" customHeight="1">
      <x:c r="A1595" s="4" t="str">
        <x:v>design.audit.proposal_fashion_special_spectacles.audit.in.3</x:v>
      </x:c>
      <x:c r="B1595" s="4" t="str">
        <x:v>design.audit.proposal_fashion_special_spectacles</x:v>
      </x:c>
      <x:c r="C1595" s="4" t="str">
        <x:v>Ingredient candidate</x:v>
      </x:c>
      <x:c r="D1595" s="4" t="str">
        <x:v>proposal.audit.small_metal_hinge_pair</x:v>
      </x:c>
      <x:c r="E1595" s="4" t="str">
        <x:f>IFERROR(INDEX('Items'!$B$6:$B$1005,MATCH(D1595,'Items'!$A$6:$A$1005,0)),"MISSING ID")</x:f>
        <x:v>Small metal hinge pair</x:v>
      </x:c>
      <x:c r="F1595" s="4" t="str">
        <x:f>IFERROR(INDEX('Items'!$C$6:$C$1005,MATCH(D1595,'Items'!$A$6:$A$1005,0)),"MISSING ID")</x:f>
        <x:v>T3</x:v>
      </x:c>
      <x:c r="G1595" s="4" t="str">
        <x:f>IFERROR(INDEX('Items'!$D$6:$D$1005,MATCH(D1595,'Items'!$A$6:$A$1005,0)),"MISSING ID")</x:f>
        <x:v>Crafting components</x:v>
      </x:c>
      <x:c r="H1595" s="4" t="str">
        <x:f>IFERROR(INDEX('Items'!$X$6:$X$1005,MATCH(D1595,'Items'!$A$6:$A$1005,0)),"MISSING ID")</x:f>
        <x:v>Crafting component</x:v>
      </x:c>
      <x:c r="I1595" s="4"/>
      <x:c r="J1595" s="4" t="str">
        <x:v>Unspecified</x:v>
      </x:c>
      <x:c r="K1595" s="4" t="str">
        <x:f>IFERROR(INDEX('Crafting recipes'!$D$6:$D$1005,MATCH(B1595,'Crafting recipes'!$A$6:$A$1005,0)),"MISSING ID")</x:f>
        <x:v>Proposal</x:v>
      </x:c>
      <x:c r="L1595" s="4" t="str">
        <x:f>IFERROR(INDEX('Items'!$AD$6:$AD$1005,MATCH(D1595,'Items'!$A$6:$A$1005,0)),"MISSING ID")</x:f>
        <x:v>Proposal</x:v>
      </x:c>
      <x:c r="M1595" s="4" t="str">
        <x:f>IFERROR(INDEX('Crafting recipes'!$E$6:$E$1005,MATCH(B1595,'Crafting recipes'!$A$6:$A$1005,0)),"MISSING ID")</x:f>
        <x:v>Partial proposal</x:v>
      </x:c>
      <x:c r="N1595" s="4" t="str">
        <x:v>Partial audit candidate; quantity, fit and performance remain unresolved.</x:v>
      </x:c>
      <x:c r="O1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5" s="4" t="n">
        <x:f>IF(OR(C1595="Ingredient candidate",C1595="Consumed input",C1595="Contained input",C1595="Transform input"),IF(F1595="T0",0,IF(F1595="T1",1,IF(F1595="T2",2,IF(F1595="T3",3,IF(F1595="T4",4,-1))))),-1)</x:f>
        <x:v>3</x:v>
      </x:c>
      <x:c r="Q1595" s="4" t="n">
        <x:f>IF(AND(OR(C1595="Ingredient candidate",C1595="Consumed input",C1595="Contained input",C1595="Transform input"),P1595=-1),1,0)</x:f>
        <x:v>0</x:v>
      </x:c>
    </x:row>
    <x:row r="1596" ht="64" customHeight="1">
      <x:c r="A1596" s="4" t="str">
        <x:v>design.audit.proposal_fashion_special_spectacles.audit.out</x:v>
      </x:c>
      <x:c r="B1596" s="4" t="str">
        <x:v>design.audit.proposal_fashion_special_spectacles</x:v>
      </x:c>
      <x:c r="C1596" s="4" t="str">
        <x:v>Output</x:v>
      </x:c>
      <x:c r="D1596" s="4" t="str">
        <x:v>proposal.fashion.special_spectacles</x:v>
      </x:c>
      <x:c r="E1596" s="4" t="str">
        <x:f>IFERROR(INDEX('Items'!$B$6:$B$1005,MATCH(D1596,'Items'!$A$6:$A$1005,0)),"MISSING ID")</x:f>
        <x:v>Specialized spectacles</x:v>
      </x:c>
      <x:c r="F1596" s="4" t="str">
        <x:f>IFERROR(INDEX('Items'!$C$6:$C$1005,MATCH(D1596,'Items'!$A$6:$A$1005,0)),"MISSING ID")</x:f>
        <x:v>Not applicable</x:v>
      </x:c>
      <x:c r="G1596" s="4" t="str">
        <x:f>IFERROR(INDEX('Items'!$D$6:$D$1005,MATCH(D1596,'Items'!$A$6:$A$1005,0)),"MISSING ID")</x:f>
        <x:v>Salvage</x:v>
      </x:c>
      <x:c r="H1596" s="4" t="str">
        <x:f>IFERROR(INDEX('Items'!$X$6:$X$1005,MATCH(D1596,'Items'!$A$6:$A$1005,0)),"MISSING ID")</x:f>
        <x:v>Wearable</x:v>
      </x:c>
      <x:c r="I1596" s="4"/>
      <x:c r="J1596" s="4" t="str">
        <x:v>Unspecified</x:v>
      </x:c>
      <x:c r="K1596" s="4" t="str">
        <x:f>IFERROR(INDEX('Crafting recipes'!$D$6:$D$1005,MATCH(B1596,'Crafting recipes'!$A$6:$A$1005,0)),"MISSING ID")</x:f>
        <x:v>Proposal</x:v>
      </x:c>
      <x:c r="L1596" s="4" t="str">
        <x:f>IFERROR(INDEX('Items'!$AD$6:$AD$1005,MATCH(D1596,'Items'!$A$6:$A$1005,0)),"MISSING ID")</x:f>
        <x:v>Author direction</x:v>
      </x:c>
      <x:c r="M1596" s="4" t="str">
        <x:f>IFERROR(INDEX('Crafting recipes'!$E$6:$E$1005,MATCH(B1596,'Crafting recipes'!$A$6:$A$1005,0)),"MISSING ID")</x:f>
        <x:v>Partial proposal</x:v>
      </x:c>
      <x:c r="N1596" s="4" t="str">
        <x:v>Partial audit candidate; quantity, fit and performance remain unresolved.</x:v>
      </x:c>
      <x:c r="O1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6" s="4" t="n">
        <x:f>IF(OR(C1596="Ingredient candidate",C1596="Consumed input",C1596="Contained input",C1596="Transform input"),IF(F1596="T0",0,IF(F1596="T1",1,IF(F1596="T2",2,IF(F1596="T3",3,IF(F1596="T4",4,-1))))),-1)</x:f>
        <x:v>-1</x:v>
      </x:c>
      <x:c r="Q1596" s="4" t="n">
        <x:f>IF(AND(OR(C1596="Ingredient candidate",C1596="Consumed input",C1596="Contained input",C1596="Transform input"),P1596=-1),1,0)</x:f>
        <x:v>0</x:v>
      </x:c>
    </x:row>
    <x:row r="1597" ht="64" customHeight="1">
      <x:c r="A1597" s="4" t="str">
        <x:v>design.audit.proposal_fashion_eyeglasses.audit.in.1</x:v>
      </x:c>
      <x:c r="B1597" s="4" t="str">
        <x:v>design.audit.proposal_fashion_eyeglasses</x:v>
      </x:c>
      <x:c r="C1597" s="4" t="str">
        <x:v>Ingredient candidate</x:v>
      </x:c>
      <x:c r="D1597" s="4" t="str">
        <x:v>proposal.branch.optical_glass</x:v>
      </x:c>
      <x:c r="E1597" s="4" t="str">
        <x:f>IFERROR(INDEX('Items'!$B$6:$B$1005,MATCH(D1597,'Items'!$A$6:$A$1005,0)),"MISSING ID")</x:f>
        <x:v>Ground optical glass stock</x:v>
      </x:c>
      <x:c r="F1597" s="4" t="str">
        <x:f>IFERROR(INDEX('Items'!$C$6:$C$1005,MATCH(D1597,'Items'!$A$6:$A$1005,0)),"MISSING ID")</x:f>
        <x:v>T3</x:v>
      </x:c>
      <x:c r="G1597" s="4" t="str">
        <x:f>IFERROR(INDEX('Items'!$D$6:$D$1005,MATCH(D1597,'Items'!$A$6:$A$1005,0)),"MISSING ID")</x:f>
        <x:v>Manufactured stock</x:v>
      </x:c>
      <x:c r="H1597" s="4" t="str">
        <x:f>IFERROR(INDEX('Items'!$X$6:$X$1005,MATCH(D1597,'Items'!$A$6:$A$1005,0)),"MISSING ID")</x:f>
        <x:v>Processed material</x:v>
      </x:c>
      <x:c r="I1597" s="4"/>
      <x:c r="J1597" s="4" t="str">
        <x:v>Unspecified</x:v>
      </x:c>
      <x:c r="K1597" s="4" t="str">
        <x:f>IFERROR(INDEX('Crafting recipes'!$D$6:$D$1005,MATCH(B1597,'Crafting recipes'!$A$6:$A$1005,0)),"MISSING ID")</x:f>
        <x:v>Proposal</x:v>
      </x:c>
      <x:c r="L1597" s="4" t="str">
        <x:f>IFERROR(INDEX('Items'!$AD$6:$AD$1005,MATCH(D1597,'Items'!$A$6:$A$1005,0)),"MISSING ID")</x:f>
        <x:v>Proposal</x:v>
      </x:c>
      <x:c r="M1597" s="4" t="str">
        <x:f>IFERROR(INDEX('Crafting recipes'!$E$6:$E$1005,MATCH(B1597,'Crafting recipes'!$A$6:$A$1005,0)),"MISSING ID")</x:f>
        <x:v>Partial proposal</x:v>
      </x:c>
      <x:c r="N1597" s="4" t="str">
        <x:v>Partial audit candidate; quantity, fit and performance remain unresolved.</x:v>
      </x:c>
      <x:c r="O1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7" s="4" t="n">
        <x:f>IF(OR(C1597="Ingredient candidate",C1597="Consumed input",C1597="Contained input",C1597="Transform input"),IF(F1597="T0",0,IF(F1597="T1",1,IF(F1597="T2",2,IF(F1597="T3",3,IF(F1597="T4",4,-1))))),-1)</x:f>
        <x:v>3</x:v>
      </x:c>
      <x:c r="Q1597" s="4" t="n">
        <x:f>IF(AND(OR(C1597="Ingredient candidate",C1597="Consumed input",C1597="Contained input",C1597="Transform input"),P1597=-1),1,0)</x:f>
        <x:v>0</x:v>
      </x:c>
    </x:row>
    <x:row r="1598" ht="64" customHeight="1">
      <x:c r="A1598" s="4" t="str">
        <x:v>design.audit.proposal_fashion_eyeglasses.audit.in.2</x:v>
      </x:c>
      <x:c r="B1598" s="4" t="str">
        <x:v>design.audit.proposal_fashion_eyeglasses</x:v>
      </x:c>
      <x:c r="C1598" s="4" t="str">
        <x:v>Ingredient candidate</x:v>
      </x:c>
      <x:c r="D1598" s="4" t="str">
        <x:v>proposal.audit.bent_wire_spectacle_frame</x:v>
      </x:c>
      <x:c r="E1598" s="4" t="str">
        <x:f>IFERROR(INDEX('Items'!$B$6:$B$1005,MATCH(D1598,'Items'!$A$6:$A$1005,0)),"MISSING ID")</x:f>
        <x:v>Bent-wire spectacle frame</x:v>
      </x:c>
      <x:c r="F1598" s="4" t="str">
        <x:f>IFERROR(INDEX('Items'!$C$6:$C$1005,MATCH(D1598,'Items'!$A$6:$A$1005,0)),"MISSING ID")</x:f>
        <x:v>T3</x:v>
      </x:c>
      <x:c r="G1598" s="4" t="str">
        <x:f>IFERROR(INDEX('Items'!$D$6:$D$1005,MATCH(D1598,'Items'!$A$6:$A$1005,0)),"MISSING ID")</x:f>
        <x:v>Crafting components</x:v>
      </x:c>
      <x:c r="H1598" s="4" t="str">
        <x:f>IFERROR(INDEX('Items'!$X$6:$X$1005,MATCH(D1598,'Items'!$A$6:$A$1005,0)),"MISSING ID")</x:f>
        <x:v>Crafting component</x:v>
      </x:c>
      <x:c r="I1598" s="4"/>
      <x:c r="J1598" s="4" t="str">
        <x:v>Unspecified</x:v>
      </x:c>
      <x:c r="K1598" s="4" t="str">
        <x:f>IFERROR(INDEX('Crafting recipes'!$D$6:$D$1005,MATCH(B1598,'Crafting recipes'!$A$6:$A$1005,0)),"MISSING ID")</x:f>
        <x:v>Proposal</x:v>
      </x:c>
      <x:c r="L1598" s="4" t="str">
        <x:f>IFERROR(INDEX('Items'!$AD$6:$AD$1005,MATCH(D1598,'Items'!$A$6:$A$1005,0)),"MISSING ID")</x:f>
        <x:v>Proposal</x:v>
      </x:c>
      <x:c r="M1598" s="4" t="str">
        <x:f>IFERROR(INDEX('Crafting recipes'!$E$6:$E$1005,MATCH(B1598,'Crafting recipes'!$A$6:$A$1005,0)),"MISSING ID")</x:f>
        <x:v>Partial proposal</x:v>
      </x:c>
      <x:c r="N1598" s="4" t="str">
        <x:v>Partial audit candidate; quantity, fit and performance remain unresolved.</x:v>
      </x:c>
      <x:c r="O1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8" s="4" t="n">
        <x:f>IF(OR(C1598="Ingredient candidate",C1598="Consumed input",C1598="Contained input",C1598="Transform input"),IF(F1598="T0",0,IF(F1598="T1",1,IF(F1598="T2",2,IF(F1598="T3",3,IF(F1598="T4",4,-1))))),-1)</x:f>
        <x:v>3</x:v>
      </x:c>
      <x:c r="Q1598" s="4" t="n">
        <x:f>IF(AND(OR(C1598="Ingredient candidate",C1598="Consumed input",C1598="Contained input",C1598="Transform input"),P1598=-1),1,0)</x:f>
        <x:v>0</x:v>
      </x:c>
    </x:row>
    <x:row r="1599" ht="64" customHeight="1">
      <x:c r="A1599" s="4" t="str">
        <x:v>design.audit.proposal_fashion_eyeglasses.audit.in.3</x:v>
      </x:c>
      <x:c r="B1599" s="4" t="str">
        <x:v>design.audit.proposal_fashion_eyeglasses</x:v>
      </x:c>
      <x:c r="C1599" s="4" t="str">
        <x:v>Ingredient candidate</x:v>
      </x:c>
      <x:c r="D1599" s="4" t="str">
        <x:v>proposal.audit.small_metal_hinge_pair</x:v>
      </x:c>
      <x:c r="E1599" s="4" t="str">
        <x:f>IFERROR(INDEX('Items'!$B$6:$B$1005,MATCH(D1599,'Items'!$A$6:$A$1005,0)),"MISSING ID")</x:f>
        <x:v>Small metal hinge pair</x:v>
      </x:c>
      <x:c r="F1599" s="4" t="str">
        <x:f>IFERROR(INDEX('Items'!$C$6:$C$1005,MATCH(D1599,'Items'!$A$6:$A$1005,0)),"MISSING ID")</x:f>
        <x:v>T3</x:v>
      </x:c>
      <x:c r="G1599" s="4" t="str">
        <x:f>IFERROR(INDEX('Items'!$D$6:$D$1005,MATCH(D1599,'Items'!$A$6:$A$1005,0)),"MISSING ID")</x:f>
        <x:v>Crafting components</x:v>
      </x:c>
      <x:c r="H1599" s="4" t="str">
        <x:f>IFERROR(INDEX('Items'!$X$6:$X$1005,MATCH(D1599,'Items'!$A$6:$A$1005,0)),"MISSING ID")</x:f>
        <x:v>Crafting component</x:v>
      </x:c>
      <x:c r="I1599" s="4"/>
      <x:c r="J1599" s="4" t="str">
        <x:v>Unspecified</x:v>
      </x:c>
      <x:c r="K1599" s="4" t="str">
        <x:f>IFERROR(INDEX('Crafting recipes'!$D$6:$D$1005,MATCH(B1599,'Crafting recipes'!$A$6:$A$1005,0)),"MISSING ID")</x:f>
        <x:v>Proposal</x:v>
      </x:c>
      <x:c r="L1599" s="4" t="str">
        <x:f>IFERROR(INDEX('Items'!$AD$6:$AD$1005,MATCH(D1599,'Items'!$A$6:$A$1005,0)),"MISSING ID")</x:f>
        <x:v>Proposal</x:v>
      </x:c>
      <x:c r="M1599" s="4" t="str">
        <x:f>IFERROR(INDEX('Crafting recipes'!$E$6:$E$1005,MATCH(B1599,'Crafting recipes'!$A$6:$A$1005,0)),"MISSING ID")</x:f>
        <x:v>Partial proposal</x:v>
      </x:c>
      <x:c r="N1599" s="4" t="str">
        <x:v>Partial audit candidate; quantity, fit and performance remain unresolved.</x:v>
      </x:c>
      <x:c r="O15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9" s="4" t="n">
        <x:f>IF(OR(C1599="Ingredient candidate",C1599="Consumed input",C1599="Contained input",C1599="Transform input"),IF(F1599="T0",0,IF(F1599="T1",1,IF(F1599="T2",2,IF(F1599="T3",3,IF(F1599="T4",4,-1))))),-1)</x:f>
        <x:v>3</x:v>
      </x:c>
      <x:c r="Q1599" s="4" t="n">
        <x:f>IF(AND(OR(C1599="Ingredient candidate",C1599="Consumed input",C1599="Contained input",C1599="Transform input"),P1599=-1),1,0)</x:f>
        <x:v>0</x:v>
      </x:c>
    </x:row>
    <x:row r="1600" ht="64" customHeight="1">
      <x:c r="A1600" s="4" t="str">
        <x:v>design.audit.proposal_fashion_eyeglasses.audit.out</x:v>
      </x:c>
      <x:c r="B1600" s="4" t="str">
        <x:v>design.audit.proposal_fashion_eyeglasses</x:v>
      </x:c>
      <x:c r="C1600" s="4" t="str">
        <x:v>Output</x:v>
      </x:c>
      <x:c r="D1600" s="4" t="str">
        <x:v>proposal.fashion.eyeglasses</x:v>
      </x:c>
      <x:c r="E1600" s="4" t="str">
        <x:f>IFERROR(INDEX('Items'!$B$6:$B$1005,MATCH(D1600,'Items'!$A$6:$A$1005,0)),"MISSING ID")</x:f>
        <x:v>Eyeglasses</x:v>
      </x:c>
      <x:c r="F1600" s="4" t="str">
        <x:f>IFERROR(INDEX('Items'!$C$6:$C$1005,MATCH(D1600,'Items'!$A$6:$A$1005,0)),"MISSING ID")</x:f>
        <x:v>Not applicable</x:v>
      </x:c>
      <x:c r="G1600" s="4" t="str">
        <x:f>IFERROR(INDEX('Items'!$D$6:$D$1005,MATCH(D1600,'Items'!$A$6:$A$1005,0)),"MISSING ID")</x:f>
        <x:v>Salvage</x:v>
      </x:c>
      <x:c r="H1600" s="4" t="str">
        <x:f>IFERROR(INDEX('Items'!$X$6:$X$1005,MATCH(D1600,'Items'!$A$6:$A$1005,0)),"MISSING ID")</x:f>
        <x:v>Wearable</x:v>
      </x:c>
      <x:c r="I1600" s="4"/>
      <x:c r="J1600" s="4" t="str">
        <x:v>Unspecified</x:v>
      </x:c>
      <x:c r="K1600" s="4" t="str">
        <x:f>IFERROR(INDEX('Crafting recipes'!$D$6:$D$1005,MATCH(B1600,'Crafting recipes'!$A$6:$A$1005,0)),"MISSING ID")</x:f>
        <x:v>Proposal</x:v>
      </x:c>
      <x:c r="L1600" s="4" t="str">
        <x:f>IFERROR(INDEX('Items'!$AD$6:$AD$1005,MATCH(D1600,'Items'!$A$6:$A$1005,0)),"MISSING ID")</x:f>
        <x:v>Author direction</x:v>
      </x:c>
      <x:c r="M1600" s="4" t="str">
        <x:f>IFERROR(INDEX('Crafting recipes'!$E$6:$E$1005,MATCH(B1600,'Crafting recipes'!$A$6:$A$1005,0)),"MISSING ID")</x:f>
        <x:v>Partial proposal</x:v>
      </x:c>
      <x:c r="N1600" s="4" t="str">
        <x:v>Partial audit candidate; quantity, fit and performance remain unresolved.</x:v>
      </x:c>
      <x:c r="O1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0" s="4" t="n">
        <x:f>IF(OR(C1600="Ingredient candidate",C1600="Consumed input",C1600="Contained input",C1600="Transform input"),IF(F1600="T0",0,IF(F1600="T1",1,IF(F1600="T2",2,IF(F1600="T3",3,IF(F1600="T4",4,-1))))),-1)</x:f>
        <x:v>-1</x:v>
      </x:c>
      <x:c r="Q1600" s="4" t="n">
        <x:f>IF(AND(OR(C1600="Ingredient candidate",C1600="Consumed input",C1600="Contained input",C1600="Transform input"),P1600=-1),1,0)</x:f>
        <x:v>0</x:v>
      </x:c>
    </x:row>
    <x:row r="1601" ht="64" customHeight="1">
      <x:c r="A1601" s="4"/>
      <x:c r="B1601" s="4"/>
      <x:c r="C1601" s="4"/>
      <x:c r="D1601" s="4"/>
      <x:c r="E1601" s="4"/>
      <x:c r="F1601" s="4"/>
      <x:c r="G1601" s="4"/>
      <x:c r="H1601" s="4"/>
      <x:c r="I1601" s="4"/>
      <x:c r="J1601" s="4"/>
      <x:c r="K1601" s="4"/>
      <x:c r="L1601" s="4"/>
      <x:c r="M1601" s="4"/>
      <x:c r="N1601" s="4"/>
      <x:c r="O1601" s="4"/>
      <x:c r="P1601" s="4"/>
      <x:c r="Q1601" s="4"/>
    </x:row>
    <x:row r="1602" ht="64" customHeight="1">
      <x:c r="A1602" s="4"/>
      <x:c r="B1602" s="4"/>
      <x:c r="C1602" s="4"/>
      <x:c r="D1602" s="4"/>
      <x:c r="E1602" s="4"/>
      <x:c r="F1602" s="4"/>
      <x:c r="G1602" s="4"/>
      <x:c r="H1602" s="4"/>
      <x:c r="I1602" s="4"/>
      <x:c r="J1602" s="4"/>
      <x:c r="K1602" s="4"/>
      <x:c r="L1602" s="4"/>
      <x:c r="M1602" s="4"/>
      <x:c r="N1602" s="4"/>
      <x:c r="O1602" s="4"/>
      <x:c r="P1602" s="4"/>
      <x:c r="Q1602" s="4"/>
    </x:row>
    <x:row r="1603" ht="64" customHeight="1">
      <x:c r="A1603" s="4"/>
      <x:c r="B1603" s="4"/>
      <x:c r="C1603" s="4"/>
      <x:c r="D1603" s="4"/>
      <x:c r="E1603" s="4"/>
      <x:c r="F1603" s="4"/>
      <x:c r="G1603" s="4"/>
      <x:c r="H1603" s="4"/>
      <x:c r="I1603" s="4"/>
      <x:c r="J1603" s="4"/>
      <x:c r="K1603" s="4"/>
      <x:c r="L1603" s="4"/>
      <x:c r="M1603" s="4"/>
      <x:c r="N1603" s="4"/>
      <x:c r="O1603" s="4"/>
      <x:c r="P1603" s="4"/>
      <x:c r="Q1603" s="4"/>
    </x:row>
    <x:row r="1604" ht="64" customHeight="1">
      <x:c r="A1604" s="4" t="str">
        <x:v>design.audit.proposal_fashion_husk_garment.audit.in.1</x:v>
      </x:c>
      <x:c r="B1604" s="4" t="str">
        <x:v>design.audit.proposal_fashion_husk_garment</x:v>
      </x:c>
      <x:c r="C1604" s="4" t="str">
        <x:v>Ingredient candidate</x:v>
      </x:c>
      <x:c r="D1604" s="4" t="str">
        <x:v>proposal.branch.decorative_husk</x:v>
      </x:c>
      <x:c r="E1604" s="4" t="str">
        <x:f>IFERROR(INDEX('Items'!$B$6:$B$1005,MATCH(D1604,'Items'!$A$6:$A$1005,0)),"MISSING ID")</x:f>
        <x:v>Finished decorative husk stock</x:v>
      </x:c>
      <x:c r="F1604" s="4" t="str">
        <x:f>IFERROR(INDEX('Items'!$C$6:$C$1005,MATCH(D1604,'Items'!$A$6:$A$1005,0)),"MISSING ID")</x:f>
        <x:v>T3</x:v>
      </x:c>
      <x:c r="G1604" s="4" t="str">
        <x:f>IFERROR(INDEX('Items'!$D$6:$D$1005,MATCH(D1604,'Items'!$A$6:$A$1005,0)),"MISSING ID")</x:f>
        <x:v>Manufactured stock</x:v>
      </x:c>
      <x:c r="H1604" s="4" t="str">
        <x:f>IFERROR(INDEX('Items'!$X$6:$X$1005,MATCH(D1604,'Items'!$A$6:$A$1005,0)),"MISSING ID")</x:f>
        <x:v>Processed material</x:v>
      </x:c>
      <x:c r="I1604" s="4"/>
      <x:c r="J1604" s="4" t="str">
        <x:v>Unspecified</x:v>
      </x:c>
      <x:c r="K1604" s="4" t="str">
        <x:f>IFERROR(INDEX('Crafting recipes'!$D$6:$D$1005,MATCH(B1604,'Crafting recipes'!$A$6:$A$1005,0)),"MISSING ID")</x:f>
        <x:v>Proposal</x:v>
      </x:c>
      <x:c r="L1604" s="4" t="str">
        <x:f>IFERROR(INDEX('Items'!$AD$6:$AD$1005,MATCH(D1604,'Items'!$A$6:$A$1005,0)),"MISSING ID")</x:f>
        <x:v>Proposal</x:v>
      </x:c>
      <x:c r="M1604" s="4" t="str">
        <x:f>IFERROR(INDEX('Crafting recipes'!$E$6:$E$1005,MATCH(B1604,'Crafting recipes'!$A$6:$A$1005,0)),"MISSING ID")</x:f>
        <x:v>Partial proposal</x:v>
      </x:c>
      <x:c r="N1604" s="4" t="str">
        <x:v>Partial audit candidate; quantity, fit and performance remain unresolved.</x:v>
      </x:c>
      <x:c r="O16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4" s="4" t="n">
        <x:f>IF(OR(C1604="Ingredient candidate",C1604="Consumed input",C1604="Contained input",C1604="Transform input"),IF(F1604="T0",0,IF(F1604="T1",1,IF(F1604="T2",2,IF(F1604="T3",3,IF(F1604="T4",4,-1))))),-1)</x:f>
        <x:v>3</x:v>
      </x:c>
      <x:c r="Q1604" s="4" t="n">
        <x:f>IF(AND(OR(C1604="Ingredient candidate",C1604="Consumed input",C1604="Contained input",C1604="Transform input"),P1604=-1),1,0)</x:f>
        <x:v>0</x:v>
      </x:c>
    </x:row>
    <x:row r="1605" ht="64" customHeight="1">
      <x:c r="A1605" s="4" t="str">
        <x:v>design.audit.proposal_fashion_husk_garment.audit.in.2</x:v>
      </x:c>
      <x:c r="B1605" s="4" t="str">
        <x:v>design.audit.proposal_fashion_husk_garment</x:v>
      </x:c>
      <x:c r="C1605" s="4" t="str">
        <x:v>Ingredient candidate</x:v>
      </x:c>
      <x:c r="D1605" s="4" t="str">
        <x:v>proposal.audit.pressed_hide_fastening_strips</x:v>
      </x:c>
      <x:c r="E1605" s="4" t="str">
        <x:f>IFERROR(INDEX('Items'!$B$6:$B$1005,MATCH(D1605,'Items'!$A$6:$A$1005,0)),"MISSING ID")</x:f>
        <x:v>Pressed hide fastening strips</x:v>
      </x:c>
      <x:c r="F1605" s="4" t="str">
        <x:f>IFERROR(INDEX('Items'!$C$6:$C$1005,MATCH(D1605,'Items'!$A$6:$A$1005,0)),"MISSING ID")</x:f>
        <x:v>T2</x:v>
      </x:c>
      <x:c r="G1605" s="4" t="str">
        <x:f>IFERROR(INDEX('Items'!$D$6:$D$1005,MATCH(D1605,'Items'!$A$6:$A$1005,0)),"MISSING ID")</x:f>
        <x:v>Manufactured stock</x:v>
      </x:c>
      <x:c r="H1605" s="4" t="str">
        <x:f>IFERROR(INDEX('Items'!$X$6:$X$1005,MATCH(D1605,'Items'!$A$6:$A$1005,0)),"MISSING ID")</x:f>
        <x:v>Processed material</x:v>
      </x:c>
      <x:c r="I1605" s="4"/>
      <x:c r="J1605" s="4" t="str">
        <x:v>Unspecified</x:v>
      </x:c>
      <x:c r="K1605" s="4" t="str">
        <x:f>IFERROR(INDEX('Crafting recipes'!$D$6:$D$1005,MATCH(B1605,'Crafting recipes'!$A$6:$A$1005,0)),"MISSING ID")</x:f>
        <x:v>Proposal</x:v>
      </x:c>
      <x:c r="L1605" s="4" t="str">
        <x:f>IFERROR(INDEX('Items'!$AD$6:$AD$1005,MATCH(D1605,'Items'!$A$6:$A$1005,0)),"MISSING ID")</x:f>
        <x:v>Proposal</x:v>
      </x:c>
      <x:c r="M1605" s="4" t="str">
        <x:f>IFERROR(INDEX('Crafting recipes'!$E$6:$E$1005,MATCH(B1605,'Crafting recipes'!$A$6:$A$1005,0)),"MISSING ID")</x:f>
        <x:v>Partial proposal</x:v>
      </x:c>
      <x:c r="N1605" s="4" t="str">
        <x:v>Partial audit candidate; quantity, fit and performance remain unresolved.</x:v>
      </x:c>
      <x:c r="O1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5" s="4" t="n">
        <x:f>IF(OR(C1605="Ingredient candidate",C1605="Consumed input",C1605="Contained input",C1605="Transform input"),IF(F1605="T0",0,IF(F1605="T1",1,IF(F1605="T2",2,IF(F1605="T3",3,IF(F1605="T4",4,-1))))),-1)</x:f>
        <x:v>2</x:v>
      </x:c>
      <x:c r="Q1605" s="4" t="n">
        <x:f>IF(AND(OR(C1605="Ingredient candidate",C1605="Consumed input",C1605="Contained input",C1605="Transform input"),P1605=-1),1,0)</x:f>
        <x:v>0</x:v>
      </x:c>
    </x:row>
    <x:row r="1606" ht="64" customHeight="1">
      <x:c r="A1606" s="4" t="str">
        <x:v>design.audit.proposal_fashion_husk_garment.audit.in.3</x:v>
      </x:c>
      <x:c r="B1606" s="4" t="str">
        <x:v>design.audit.proposal_fashion_husk_garment</x:v>
      </x:c>
      <x:c r="C1606" s="4" t="str">
        <x:v>Ingredient candidate</x:v>
      </x:c>
      <x:c r="D1606" s="4" t="str">
        <x:v>proposal.branch.polished_gem</x:v>
      </x:c>
      <x:c r="E1606" s="4" t="str">
        <x:f>IFERROR(INDEX('Items'!$B$6:$B$1005,MATCH(D1606,'Items'!$A$6:$A$1005,0)),"MISSING ID")</x:f>
        <x:v>Polished gemstone blanks</x:v>
      </x:c>
      <x:c r="F1606" s="4" t="str">
        <x:f>IFERROR(INDEX('Items'!$C$6:$C$1005,MATCH(D1606,'Items'!$A$6:$A$1005,0)),"MISSING ID")</x:f>
        <x:v>T2</x:v>
      </x:c>
      <x:c r="G1606" s="4" t="str">
        <x:f>IFERROR(INDEX('Items'!$D$6:$D$1005,MATCH(D1606,'Items'!$A$6:$A$1005,0)),"MISSING ID")</x:f>
        <x:v>Manufactured stock</x:v>
      </x:c>
      <x:c r="H1606" s="4" t="str">
        <x:f>IFERROR(INDEX('Items'!$X$6:$X$1005,MATCH(D1606,'Items'!$A$6:$A$1005,0)),"MISSING ID")</x:f>
        <x:v>Processed material</x:v>
      </x:c>
      <x:c r="I1606" s="4"/>
      <x:c r="J1606" s="4" t="str">
        <x:v>Unspecified</x:v>
      </x:c>
      <x:c r="K1606" s="4" t="str">
        <x:f>IFERROR(INDEX('Crafting recipes'!$D$6:$D$1005,MATCH(B1606,'Crafting recipes'!$A$6:$A$1005,0)),"MISSING ID")</x:f>
        <x:v>Proposal</x:v>
      </x:c>
      <x:c r="L1606" s="4" t="str">
        <x:f>IFERROR(INDEX('Items'!$AD$6:$AD$1005,MATCH(D1606,'Items'!$A$6:$A$1005,0)),"MISSING ID")</x:f>
        <x:v>Proposal</x:v>
      </x:c>
      <x:c r="M1606" s="4" t="str">
        <x:f>IFERROR(INDEX('Crafting recipes'!$E$6:$E$1005,MATCH(B1606,'Crafting recipes'!$A$6:$A$1005,0)),"MISSING ID")</x:f>
        <x:v>Partial proposal</x:v>
      </x:c>
      <x:c r="N1606" s="4" t="str">
        <x:v>Partial audit candidate; quantity, fit and performance remain unresolved.</x:v>
      </x:c>
      <x:c r="O1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6" s="4" t="n">
        <x:f>IF(OR(C1606="Ingredient candidate",C1606="Consumed input",C1606="Contained input",C1606="Transform input"),IF(F1606="T0",0,IF(F1606="T1",1,IF(F1606="T2",2,IF(F1606="T3",3,IF(F1606="T4",4,-1))))),-1)</x:f>
        <x:v>2</x:v>
      </x:c>
      <x:c r="Q1606" s="4" t="n">
        <x:f>IF(AND(OR(C1606="Ingredient candidate",C1606="Consumed input",C1606="Contained input",C1606="Transform input"),P1606=-1),1,0)</x:f>
        <x:v>0</x:v>
      </x:c>
    </x:row>
    <x:row r="1607" ht="64" customHeight="1">
      <x:c r="A1607" s="4" t="str">
        <x:v>design.audit.proposal_fashion_husk_garment.audit.out</x:v>
      </x:c>
      <x:c r="B1607" s="4" t="str">
        <x:v>design.audit.proposal_fashion_husk_garment</x:v>
      </x:c>
      <x:c r="C1607" s="4" t="str">
        <x:v>Output</x:v>
      </x:c>
      <x:c r="D1607" s="4" t="str">
        <x:v>proposal.fashion.husk_garment</x:v>
      </x:c>
      <x:c r="E1607" s="4" t="str">
        <x:f>IFERROR(INDEX('Items'!$B$6:$B$1005,MATCH(D1607,'Items'!$A$6:$A$1005,0)),"MISSING ID")</x:f>
        <x:v>Pleated husk-fiber dress coat</x:v>
      </x:c>
      <x:c r="F1607" s="4" t="str">
        <x:f>IFERROR(INDEX('Items'!$C$6:$C$1005,MATCH(D1607,'Items'!$A$6:$A$1005,0)),"MISSING ID")</x:f>
        <x:v>Not applicable</x:v>
      </x:c>
      <x:c r="G1607" s="4" t="str">
        <x:f>IFERROR(INDEX('Items'!$D$6:$D$1005,MATCH(D1607,'Items'!$A$6:$A$1005,0)),"MISSING ID")</x:f>
        <x:v>Clothing</x:v>
      </x:c>
      <x:c r="H1607" s="4" t="str">
        <x:f>IFERROR(INDEX('Items'!$X$6:$X$1005,MATCH(D1607,'Items'!$A$6:$A$1005,0)),"MISSING ID")</x:f>
        <x:v>Wearable</x:v>
      </x:c>
      <x:c r="I1607" s="4"/>
      <x:c r="J1607" s="4" t="str">
        <x:v>Unspecified</x:v>
      </x:c>
      <x:c r="K1607" s="4" t="str">
        <x:f>IFERROR(INDEX('Crafting recipes'!$D$6:$D$1005,MATCH(B1607,'Crafting recipes'!$A$6:$A$1005,0)),"MISSING ID")</x:f>
        <x:v>Proposal</x:v>
      </x:c>
      <x:c r="L1607" s="4" t="str">
        <x:f>IFERROR(INDEX('Items'!$AD$6:$AD$1005,MATCH(D1607,'Items'!$A$6:$A$1005,0)),"MISSING ID")</x:f>
        <x:v>Author direction</x:v>
      </x:c>
      <x:c r="M1607" s="4" t="str">
        <x:f>IFERROR(INDEX('Crafting recipes'!$E$6:$E$1005,MATCH(B1607,'Crafting recipes'!$A$6:$A$1005,0)),"MISSING ID")</x:f>
        <x:v>Partial proposal</x:v>
      </x:c>
      <x:c r="N1607" s="4" t="str">
        <x:v>Partial audit candidate; quantity, fit and performance remain unresolved.</x:v>
      </x:c>
      <x:c r="O1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7" s="4" t="n">
        <x:f>IF(OR(C1607="Ingredient candidate",C1607="Consumed input",C1607="Contained input",C1607="Transform input"),IF(F1607="T0",0,IF(F1607="T1",1,IF(F1607="T2",2,IF(F1607="T3",3,IF(F1607="T4",4,-1))))),-1)</x:f>
        <x:v>-1</x:v>
      </x:c>
      <x:c r="Q1607" s="4" t="n">
        <x:f>IF(AND(OR(C1607="Ingredient candidate",C1607="Consumed input",C1607="Contained input",C1607="Transform input"),P1607=-1),1,0)</x:f>
        <x:v>0</x:v>
      </x:c>
    </x:row>
    <x:row r="1608" ht="64" customHeight="1">
      <x:c r="A1608" s="4" t="str">
        <x:v>design.audit.proposal_fashion_fur_garment.audit.in.1</x:v>
      </x:c>
      <x:c r="B1608" s="4" t="str">
        <x:v>design.audit.proposal_fashion_fur_garment</x:v>
      </x:c>
      <x:c r="C1608" s="4" t="str">
        <x:v>Ingredient candidate</x:v>
      </x:c>
      <x:c r="D1608" s="4" t="str">
        <x:v>proposal.bio.liner</x:v>
      </x:c>
      <x:c r="E1608" s="4" t="str">
        <x:f>IFERROR(INDEX('Items'!$B$6:$B$1005,MATCH(D1608,'Items'!$A$6:$A$1005,0)),"MISSING ID")</x:f>
        <x:v>Pressed fur-fiber material</x:v>
      </x:c>
      <x:c r="F1608" s="4" t="str">
        <x:f>IFERROR(INDEX('Items'!$C$6:$C$1005,MATCH(D1608,'Items'!$A$6:$A$1005,0)),"MISSING ID")</x:f>
        <x:v>T1</x:v>
      </x:c>
      <x:c r="G1608" s="4" t="str">
        <x:f>IFERROR(INDEX('Items'!$D$6:$D$1005,MATCH(D1608,'Items'!$A$6:$A$1005,0)),"MISSING ID")</x:f>
        <x:v>Crafting components</x:v>
      </x:c>
      <x:c r="H1608" s="4" t="str">
        <x:f>IFERROR(INDEX('Items'!$X$6:$X$1005,MATCH(D1608,'Items'!$A$6:$A$1005,0)),"MISSING ID")</x:f>
        <x:v>Processed material</x:v>
      </x:c>
      <x:c r="I1608" s="4"/>
      <x:c r="J1608" s="4" t="str">
        <x:v>Unspecified</x:v>
      </x:c>
      <x:c r="K1608" s="4" t="str">
        <x:f>IFERROR(INDEX('Crafting recipes'!$D$6:$D$1005,MATCH(B1608,'Crafting recipes'!$A$6:$A$1005,0)),"MISSING ID")</x:f>
        <x:v>Proposal</x:v>
      </x:c>
      <x:c r="L1608" s="4" t="str">
        <x:f>IFERROR(INDEX('Items'!$AD$6:$AD$1005,MATCH(D1608,'Items'!$A$6:$A$1005,0)),"MISSING ID")</x:f>
        <x:v>Proposal</x:v>
      </x:c>
      <x:c r="M1608" s="4" t="str">
        <x:f>IFERROR(INDEX('Crafting recipes'!$E$6:$E$1005,MATCH(B1608,'Crafting recipes'!$A$6:$A$1005,0)),"MISSING ID")</x:f>
        <x:v>Partial proposal</x:v>
      </x:c>
      <x:c r="N1608" s="4" t="str">
        <x:v>Partial audit candidate; quantity, fit and performance remain unresolved.</x:v>
      </x:c>
      <x:c r="O1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8" s="4" t="n">
        <x:f>IF(OR(C1608="Ingredient candidate",C1608="Consumed input",C1608="Contained input",C1608="Transform input"),IF(F1608="T0",0,IF(F1608="T1",1,IF(F1608="T2",2,IF(F1608="T3",3,IF(F1608="T4",4,-1))))),-1)</x:f>
        <x:v>1</x:v>
      </x:c>
      <x:c r="Q1608" s="4" t="n">
        <x:f>IF(AND(OR(C1608="Ingredient candidate",C1608="Consumed input",C1608="Contained input",C1608="Transform input"),P1608=-1),1,0)</x:f>
        <x:v>0</x:v>
      </x:c>
    </x:row>
    <x:row r="1609" ht="64" customHeight="1">
      <x:c r="A1609" s="4" t="str">
        <x:v>design.audit.proposal_fashion_fur_garment.audit.in.2</x:v>
      </x:c>
      <x:c r="B1609" s="4" t="str">
        <x:v>design.audit.proposal_fashion_fur_garment</x:v>
      </x:c>
      <x:c r="C1609" s="4" t="str">
        <x:v>Ingredient candidate</x:v>
      </x:c>
      <x:c r="D1609" s="4" t="str">
        <x:v>proposal.audit.pressed_hide_fastening_strips</x:v>
      </x:c>
      <x:c r="E1609" s="4" t="str">
        <x:f>IFERROR(INDEX('Items'!$B$6:$B$1005,MATCH(D1609,'Items'!$A$6:$A$1005,0)),"MISSING ID")</x:f>
        <x:v>Pressed hide fastening strips</x:v>
      </x:c>
      <x:c r="F1609" s="4" t="str">
        <x:f>IFERROR(INDEX('Items'!$C$6:$C$1005,MATCH(D1609,'Items'!$A$6:$A$1005,0)),"MISSING ID")</x:f>
        <x:v>T2</x:v>
      </x:c>
      <x:c r="G1609" s="4" t="str">
        <x:f>IFERROR(INDEX('Items'!$D$6:$D$1005,MATCH(D1609,'Items'!$A$6:$A$1005,0)),"MISSING ID")</x:f>
        <x:v>Manufactured stock</x:v>
      </x:c>
      <x:c r="H1609" s="4" t="str">
        <x:f>IFERROR(INDEX('Items'!$X$6:$X$1005,MATCH(D1609,'Items'!$A$6:$A$1005,0)),"MISSING ID")</x:f>
        <x:v>Processed material</x:v>
      </x:c>
      <x:c r="I1609" s="4"/>
      <x:c r="J1609" s="4" t="str">
        <x:v>Unspecified</x:v>
      </x:c>
      <x:c r="K1609" s="4" t="str">
        <x:f>IFERROR(INDEX('Crafting recipes'!$D$6:$D$1005,MATCH(B1609,'Crafting recipes'!$A$6:$A$1005,0)),"MISSING ID")</x:f>
        <x:v>Proposal</x:v>
      </x:c>
      <x:c r="L1609" s="4" t="str">
        <x:f>IFERROR(INDEX('Items'!$AD$6:$AD$1005,MATCH(D1609,'Items'!$A$6:$A$1005,0)),"MISSING ID")</x:f>
        <x:v>Proposal</x:v>
      </x:c>
      <x:c r="M1609" s="4" t="str">
        <x:f>IFERROR(INDEX('Crafting recipes'!$E$6:$E$1005,MATCH(B1609,'Crafting recipes'!$A$6:$A$1005,0)),"MISSING ID")</x:f>
        <x:v>Partial proposal</x:v>
      </x:c>
      <x:c r="N1609" s="4" t="str">
        <x:v>Partial audit candidate; quantity, fit and performance remain unresolved.</x:v>
      </x:c>
      <x:c r="O1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9" s="4" t="n">
        <x:f>IF(OR(C1609="Ingredient candidate",C1609="Consumed input",C1609="Contained input",C1609="Transform input"),IF(F1609="T0",0,IF(F1609="T1",1,IF(F1609="T2",2,IF(F1609="T3",3,IF(F1609="T4",4,-1))))),-1)</x:f>
        <x:v>2</x:v>
      </x:c>
      <x:c r="Q1609" s="4" t="n">
        <x:f>IF(AND(OR(C1609="Ingredient candidate",C1609="Consumed input",C1609="Contained input",C1609="Transform input"),P1609=-1),1,0)</x:f>
        <x:v>0</x:v>
      </x:c>
    </x:row>
    <x:row r="1610" ht="64" customHeight="1">
      <x:c r="A1610" s="4" t="str">
        <x:v>design.audit.proposal_fashion_fur_garment.audit.in.3</x:v>
      </x:c>
      <x:c r="B1610" s="4" t="str">
        <x:v>design.audit.proposal_fashion_fur_garment</x:v>
      </x:c>
      <x:c r="C1610" s="4" t="str">
        <x:v>Ingredient candidate</x:v>
      </x:c>
      <x:c r="D1610" s="4" t="str">
        <x:v>proposal.t4.decorative_veneer</x:v>
      </x:c>
      <x:c r="E1610" s="4" t="str">
        <x:f>IFERROR(INDEX('Items'!$B$6:$B$1005,MATCH(D1610,'Items'!$A$6:$A$1005,0)),"MISSING ID")</x:f>
        <x:v>Layered ceremonial inlay stock</x:v>
      </x:c>
      <x:c r="F1610" s="4" t="str">
        <x:f>IFERROR(INDEX('Items'!$C$6:$C$1005,MATCH(D1610,'Items'!$A$6:$A$1005,0)),"MISSING ID")</x:f>
        <x:v>T4</x:v>
      </x:c>
      <x:c r="G1610" s="4" t="str">
        <x:f>IFERROR(INDEX('Items'!$D$6:$D$1005,MATCH(D1610,'Items'!$A$6:$A$1005,0)),"MISSING ID")</x:f>
        <x:v>Manufactured stock</x:v>
      </x:c>
      <x:c r="H1610" s="4" t="str">
        <x:f>IFERROR(INDEX('Items'!$X$6:$X$1005,MATCH(D1610,'Items'!$A$6:$A$1005,0)),"MISSING ID")</x:f>
        <x:v>Processed material</x:v>
      </x:c>
      <x:c r="I1610" s="4"/>
      <x:c r="J1610" s="4" t="str">
        <x:v>Unspecified</x:v>
      </x:c>
      <x:c r="K1610" s="4" t="str">
        <x:f>IFERROR(INDEX('Crafting recipes'!$D$6:$D$1005,MATCH(B1610,'Crafting recipes'!$A$6:$A$1005,0)),"MISSING ID")</x:f>
        <x:v>Proposal</x:v>
      </x:c>
      <x:c r="L1610" s="4" t="str">
        <x:f>IFERROR(INDEX('Items'!$AD$6:$AD$1005,MATCH(D1610,'Items'!$A$6:$A$1005,0)),"MISSING ID")</x:f>
        <x:v>Proposal</x:v>
      </x:c>
      <x:c r="M1610" s="4" t="str">
        <x:f>IFERROR(INDEX('Crafting recipes'!$E$6:$E$1005,MATCH(B1610,'Crafting recipes'!$A$6:$A$1005,0)),"MISSING ID")</x:f>
        <x:v>Partial proposal</x:v>
      </x:c>
      <x:c r="N1610" s="4" t="str">
        <x:v>Partial audit candidate; quantity, fit and performance remain unresolved.</x:v>
      </x:c>
      <x:c r="O1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0" s="4" t="n">
        <x:f>IF(OR(C1610="Ingredient candidate",C1610="Consumed input",C1610="Contained input",C1610="Transform input"),IF(F1610="T0",0,IF(F1610="T1",1,IF(F1610="T2",2,IF(F1610="T3",3,IF(F1610="T4",4,-1))))),-1)</x:f>
        <x:v>4</x:v>
      </x:c>
      <x:c r="Q1610" s="4" t="n">
        <x:f>IF(AND(OR(C1610="Ingredient candidate",C1610="Consumed input",C1610="Contained input",C1610="Transform input"),P1610=-1),1,0)</x:f>
        <x:v>0</x:v>
      </x:c>
    </x:row>
    <x:row r="1611" ht="64" customHeight="1">
      <x:c r="A1611" s="4" t="str">
        <x:v>design.audit.proposal_fashion_fur_garment.audit.out</x:v>
      </x:c>
      <x:c r="B1611" s="4" t="str">
        <x:v>design.audit.proposal_fashion_fur_garment</x:v>
      </x:c>
      <x:c r="C1611" s="4" t="str">
        <x:v>Output</x:v>
      </x:c>
      <x:c r="D1611" s="4" t="str">
        <x:v>proposal.fashion.fur_garment</x:v>
      </x:c>
      <x:c r="E1611" s="4" t="str">
        <x:f>IFERROR(INDEX('Items'!$B$6:$B$1005,MATCH(D1611,'Items'!$A$6:$A$1005,0)),"MISSING ID")</x:f>
        <x:v>Elaborate fur wear</x:v>
      </x:c>
      <x:c r="F1611" s="4" t="str">
        <x:f>IFERROR(INDEX('Items'!$C$6:$C$1005,MATCH(D1611,'Items'!$A$6:$A$1005,0)),"MISSING ID")</x:f>
        <x:v>Not applicable</x:v>
      </x:c>
      <x:c r="G1611" s="4" t="str">
        <x:f>IFERROR(INDEX('Items'!$D$6:$D$1005,MATCH(D1611,'Items'!$A$6:$A$1005,0)),"MISSING ID")</x:f>
        <x:v>Clothing</x:v>
      </x:c>
      <x:c r="H1611" s="4" t="str">
        <x:f>IFERROR(INDEX('Items'!$X$6:$X$1005,MATCH(D1611,'Items'!$A$6:$A$1005,0)),"MISSING ID")</x:f>
        <x:v>Wearable</x:v>
      </x:c>
      <x:c r="I1611" s="4"/>
      <x:c r="J1611" s="4" t="str">
        <x:v>Unspecified</x:v>
      </x:c>
      <x:c r="K1611" s="4" t="str">
        <x:f>IFERROR(INDEX('Crafting recipes'!$D$6:$D$1005,MATCH(B1611,'Crafting recipes'!$A$6:$A$1005,0)),"MISSING ID")</x:f>
        <x:v>Proposal</x:v>
      </x:c>
      <x:c r="L1611" s="4" t="str">
        <x:f>IFERROR(INDEX('Items'!$AD$6:$AD$1005,MATCH(D1611,'Items'!$A$6:$A$1005,0)),"MISSING ID")</x:f>
        <x:v>Author direction</x:v>
      </x:c>
      <x:c r="M1611" s="4" t="str">
        <x:f>IFERROR(INDEX('Crafting recipes'!$E$6:$E$1005,MATCH(B1611,'Crafting recipes'!$A$6:$A$1005,0)),"MISSING ID")</x:f>
        <x:v>Partial proposal</x:v>
      </x:c>
      <x:c r="N1611" s="4" t="str">
        <x:v>Partial audit candidate; quantity, fit and performance remain unresolved.</x:v>
      </x:c>
      <x:c r="O1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1" s="4" t="n">
        <x:f>IF(OR(C1611="Ingredient candidate",C1611="Consumed input",C1611="Contained input",C1611="Transform input"),IF(F1611="T0",0,IF(F1611="T1",1,IF(F1611="T2",2,IF(F1611="T3",3,IF(F1611="T4",4,-1))))),-1)</x:f>
        <x:v>-1</x:v>
      </x:c>
      <x:c r="Q1611" s="4" t="n">
        <x:f>IF(AND(OR(C1611="Ingredient candidate",C1611="Consumed input",C1611="Contained input",C1611="Transform input"),P1611=-1),1,0)</x:f>
        <x:v>0</x:v>
      </x:c>
    </x:row>
    <x:row r="1612" ht="64" customHeight="1">
      <x:c r="A1612" s="4" t="str">
        <x:v>design.audit.proposal_fashion_hide_garment.audit.in.1</x:v>
      </x:c>
      <x:c r="B1612" s="4" t="str">
        <x:v>design.audit.proposal_fashion_hide_garment</x:v>
      </x:c>
      <x:c r="C1612" s="4" t="str">
        <x:v>Ingredient candidate</x:v>
      </x:c>
      <x:c r="D1612" s="4" t="str">
        <x:v>proposal.bio.hide_material</x:v>
      </x:c>
      <x:c r="E1612" s="4" t="str">
        <x:f>IFERROR(INDEX('Items'!$B$6:$B$1005,MATCH(D1612,'Items'!$A$6:$A$1005,0)),"MISSING ID")</x:f>
        <x:v>Processed hide material</x:v>
      </x:c>
      <x:c r="F1612" s="4" t="str">
        <x:f>IFERROR(INDEX('Items'!$C$6:$C$1005,MATCH(D1612,'Items'!$A$6:$A$1005,0)),"MISSING ID")</x:f>
        <x:v>T1</x:v>
      </x:c>
      <x:c r="G1612" s="4" t="str">
        <x:f>IFERROR(INDEX('Items'!$D$6:$D$1005,MATCH(D1612,'Items'!$A$6:$A$1005,0)),"MISSING ID")</x:f>
        <x:v>Crafting components</x:v>
      </x:c>
      <x:c r="H1612" s="4" t="str">
        <x:f>IFERROR(INDEX('Items'!$X$6:$X$1005,MATCH(D1612,'Items'!$A$6:$A$1005,0)),"MISSING ID")</x:f>
        <x:v>Processed material</x:v>
      </x:c>
      <x:c r="I1612" s="4"/>
      <x:c r="J1612" s="4" t="str">
        <x:v>Unspecified</x:v>
      </x:c>
      <x:c r="K1612" s="4" t="str">
        <x:f>IFERROR(INDEX('Crafting recipes'!$D$6:$D$1005,MATCH(B1612,'Crafting recipes'!$A$6:$A$1005,0)),"MISSING ID")</x:f>
        <x:v>Proposal</x:v>
      </x:c>
      <x:c r="L1612" s="4" t="str">
        <x:f>IFERROR(INDEX('Items'!$AD$6:$AD$1005,MATCH(D1612,'Items'!$A$6:$A$1005,0)),"MISSING ID")</x:f>
        <x:v>Author direction</x:v>
      </x:c>
      <x:c r="M1612" s="4" t="str">
        <x:f>IFERROR(INDEX('Crafting recipes'!$E$6:$E$1005,MATCH(B1612,'Crafting recipes'!$A$6:$A$1005,0)),"MISSING ID")</x:f>
        <x:v>Partial proposal</x:v>
      </x:c>
      <x:c r="N1612" s="4" t="str">
        <x:v>Partial audit candidate; quantity, fit and performance remain unresolved.</x:v>
      </x:c>
      <x:c r="O1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2" s="4" t="n">
        <x:f>IF(OR(C1612="Ingredient candidate",C1612="Consumed input",C1612="Contained input",C1612="Transform input"),IF(F1612="T0",0,IF(F1612="T1",1,IF(F1612="T2",2,IF(F1612="T3",3,IF(F1612="T4",4,-1))))),-1)</x:f>
        <x:v>1</x:v>
      </x:c>
      <x:c r="Q1612" s="4" t="n">
        <x:f>IF(AND(OR(C1612="Ingredient candidate",C1612="Consumed input",C1612="Contained input",C1612="Transform input"),P1612=-1),1,0)</x:f>
        <x:v>0</x:v>
      </x:c>
    </x:row>
    <x:row r="1613" ht="64" customHeight="1">
      <x:c r="A1613" s="4" t="str">
        <x:v>design.audit.proposal_fashion_hide_garment.audit.in.2</x:v>
      </x:c>
      <x:c r="B1613" s="4" t="str">
        <x:v>design.audit.proposal_fashion_hide_garment</x:v>
      </x:c>
      <x:c r="C1613" s="4" t="str">
        <x:v>Ingredient candidate</x:v>
      </x:c>
      <x:c r="D1613" s="4" t="str">
        <x:v>proposal.audit.pressed_hide_fastening_strips</x:v>
      </x:c>
      <x:c r="E1613" s="4" t="str">
        <x:f>IFERROR(INDEX('Items'!$B$6:$B$1005,MATCH(D1613,'Items'!$A$6:$A$1005,0)),"MISSING ID")</x:f>
        <x:v>Pressed hide fastening strips</x:v>
      </x:c>
      <x:c r="F1613" s="4" t="str">
        <x:f>IFERROR(INDEX('Items'!$C$6:$C$1005,MATCH(D1613,'Items'!$A$6:$A$1005,0)),"MISSING ID")</x:f>
        <x:v>T2</x:v>
      </x:c>
      <x:c r="G1613" s="4" t="str">
        <x:f>IFERROR(INDEX('Items'!$D$6:$D$1005,MATCH(D1613,'Items'!$A$6:$A$1005,0)),"MISSING ID")</x:f>
        <x:v>Manufactured stock</x:v>
      </x:c>
      <x:c r="H1613" s="4" t="str">
        <x:f>IFERROR(INDEX('Items'!$X$6:$X$1005,MATCH(D1613,'Items'!$A$6:$A$1005,0)),"MISSING ID")</x:f>
        <x:v>Processed material</x:v>
      </x:c>
      <x:c r="I1613" s="4"/>
      <x:c r="J1613" s="4" t="str">
        <x:v>Unspecified</x:v>
      </x:c>
      <x:c r="K1613" s="4" t="str">
        <x:f>IFERROR(INDEX('Crafting recipes'!$D$6:$D$1005,MATCH(B1613,'Crafting recipes'!$A$6:$A$1005,0)),"MISSING ID")</x:f>
        <x:v>Proposal</x:v>
      </x:c>
      <x:c r="L1613" s="4" t="str">
        <x:f>IFERROR(INDEX('Items'!$AD$6:$AD$1005,MATCH(D1613,'Items'!$A$6:$A$1005,0)),"MISSING ID")</x:f>
        <x:v>Proposal</x:v>
      </x:c>
      <x:c r="M1613" s="4" t="str">
        <x:f>IFERROR(INDEX('Crafting recipes'!$E$6:$E$1005,MATCH(B1613,'Crafting recipes'!$A$6:$A$1005,0)),"MISSING ID")</x:f>
        <x:v>Partial proposal</x:v>
      </x:c>
      <x:c r="N1613" s="4" t="str">
        <x:v>Partial audit candidate; quantity, fit and performance remain unresolved.</x:v>
      </x:c>
      <x:c r="O16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3" s="4" t="n">
        <x:f>IF(OR(C1613="Ingredient candidate",C1613="Consumed input",C1613="Contained input",C1613="Transform input"),IF(F1613="T0",0,IF(F1613="T1",1,IF(F1613="T2",2,IF(F1613="T3",3,IF(F1613="T4",4,-1))))),-1)</x:f>
        <x:v>2</x:v>
      </x:c>
      <x:c r="Q1613" s="4" t="n">
        <x:f>IF(AND(OR(C1613="Ingredient candidate",C1613="Consumed input",C1613="Contained input",C1613="Transform input"),P1613=-1),1,0)</x:f>
        <x:v>0</x:v>
      </x:c>
    </x:row>
    <x:row r="1614" ht="64" customHeight="1">
      <x:c r="A1614" s="4" t="str">
        <x:v>design.audit.proposal_fashion_hide_garment.audit.in.3</x:v>
      </x:c>
      <x:c r="B1614" s="4" t="str">
        <x:v>design.audit.proposal_fashion_hide_garment</x:v>
      </x:c>
      <x:c r="C1614" s="4" t="str">
        <x:v>Ingredient candidate</x:v>
      </x:c>
      <x:c r="D1614" s="4" t="str">
        <x:v>proposal.t4.decorative_veneer</x:v>
      </x:c>
      <x:c r="E1614" s="4" t="str">
        <x:f>IFERROR(INDEX('Items'!$B$6:$B$1005,MATCH(D1614,'Items'!$A$6:$A$1005,0)),"MISSING ID")</x:f>
        <x:v>Layered ceremonial inlay stock</x:v>
      </x:c>
      <x:c r="F1614" s="4" t="str">
        <x:f>IFERROR(INDEX('Items'!$C$6:$C$1005,MATCH(D1614,'Items'!$A$6:$A$1005,0)),"MISSING ID")</x:f>
        <x:v>T4</x:v>
      </x:c>
      <x:c r="G1614" s="4" t="str">
        <x:f>IFERROR(INDEX('Items'!$D$6:$D$1005,MATCH(D1614,'Items'!$A$6:$A$1005,0)),"MISSING ID")</x:f>
        <x:v>Manufactured stock</x:v>
      </x:c>
      <x:c r="H1614" s="4" t="str">
        <x:f>IFERROR(INDEX('Items'!$X$6:$X$1005,MATCH(D1614,'Items'!$A$6:$A$1005,0)),"MISSING ID")</x:f>
        <x:v>Processed material</x:v>
      </x:c>
      <x:c r="I1614" s="4"/>
      <x:c r="J1614" s="4" t="str">
        <x:v>Unspecified</x:v>
      </x:c>
      <x:c r="K1614" s="4" t="str">
        <x:f>IFERROR(INDEX('Crafting recipes'!$D$6:$D$1005,MATCH(B1614,'Crafting recipes'!$A$6:$A$1005,0)),"MISSING ID")</x:f>
        <x:v>Proposal</x:v>
      </x:c>
      <x:c r="L1614" s="4" t="str">
        <x:f>IFERROR(INDEX('Items'!$AD$6:$AD$1005,MATCH(D1614,'Items'!$A$6:$A$1005,0)),"MISSING ID")</x:f>
        <x:v>Proposal</x:v>
      </x:c>
      <x:c r="M1614" s="4" t="str">
        <x:f>IFERROR(INDEX('Crafting recipes'!$E$6:$E$1005,MATCH(B1614,'Crafting recipes'!$A$6:$A$1005,0)),"MISSING ID")</x:f>
        <x:v>Partial proposal</x:v>
      </x:c>
      <x:c r="N1614" s="4" t="str">
        <x:v>Partial audit candidate; quantity, fit and performance remain unresolved.</x:v>
      </x:c>
      <x:c r="O1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4" s="4" t="n">
        <x:f>IF(OR(C1614="Ingredient candidate",C1614="Consumed input",C1614="Contained input",C1614="Transform input"),IF(F1614="T0",0,IF(F1614="T1",1,IF(F1614="T2",2,IF(F1614="T3",3,IF(F1614="T4",4,-1))))),-1)</x:f>
        <x:v>4</x:v>
      </x:c>
      <x:c r="Q1614" s="4" t="n">
        <x:f>IF(AND(OR(C1614="Ingredient candidate",C1614="Consumed input",C1614="Contained input",C1614="Transform input"),P1614=-1),1,0)</x:f>
        <x:v>0</x:v>
      </x:c>
    </x:row>
    <x:row r="1615" ht="64" customHeight="1">
      <x:c r="A1615" s="4" t="str">
        <x:v>design.audit.proposal_fashion_hide_garment.audit.out</x:v>
      </x:c>
      <x:c r="B1615" s="4" t="str">
        <x:v>design.audit.proposal_fashion_hide_garment</x:v>
      </x:c>
      <x:c r="C1615" s="4" t="str">
        <x:v>Output</x:v>
      </x:c>
      <x:c r="D1615" s="4" t="str">
        <x:v>proposal.fashion.hide_garment</x:v>
      </x:c>
      <x:c r="E1615" s="4" t="str">
        <x:f>IFERROR(INDEX('Items'!$B$6:$B$1005,MATCH(D1615,'Items'!$A$6:$A$1005,0)),"MISSING ID")</x:f>
        <x:v>Elaborate hide wear</x:v>
      </x:c>
      <x:c r="F1615" s="4" t="str">
        <x:f>IFERROR(INDEX('Items'!$C$6:$C$1005,MATCH(D1615,'Items'!$A$6:$A$1005,0)),"MISSING ID")</x:f>
        <x:v>Not applicable</x:v>
      </x:c>
      <x:c r="G1615" s="4" t="str">
        <x:f>IFERROR(INDEX('Items'!$D$6:$D$1005,MATCH(D1615,'Items'!$A$6:$A$1005,0)),"MISSING ID")</x:f>
        <x:v>Clothing</x:v>
      </x:c>
      <x:c r="H1615" s="4" t="str">
        <x:f>IFERROR(INDEX('Items'!$X$6:$X$1005,MATCH(D1615,'Items'!$A$6:$A$1005,0)),"MISSING ID")</x:f>
        <x:v>Wearable</x:v>
      </x:c>
      <x:c r="I1615" s="4"/>
      <x:c r="J1615" s="4" t="str">
        <x:v>Unspecified</x:v>
      </x:c>
      <x:c r="K1615" s="4" t="str">
        <x:f>IFERROR(INDEX('Crafting recipes'!$D$6:$D$1005,MATCH(B1615,'Crafting recipes'!$A$6:$A$1005,0)),"MISSING ID")</x:f>
        <x:v>Proposal</x:v>
      </x:c>
      <x:c r="L1615" s="4" t="str">
        <x:f>IFERROR(INDEX('Items'!$AD$6:$AD$1005,MATCH(D1615,'Items'!$A$6:$A$1005,0)),"MISSING ID")</x:f>
        <x:v>Author direction</x:v>
      </x:c>
      <x:c r="M1615" s="4" t="str">
        <x:f>IFERROR(INDEX('Crafting recipes'!$E$6:$E$1005,MATCH(B1615,'Crafting recipes'!$A$6:$A$1005,0)),"MISSING ID")</x:f>
        <x:v>Partial proposal</x:v>
      </x:c>
      <x:c r="N1615" s="4" t="str">
        <x:v>Partial audit candidate; quantity, fit and performance remain unresolved.</x:v>
      </x:c>
      <x:c r="O16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5" s="4" t="n">
        <x:f>IF(OR(C1615="Ingredient candidate",C1615="Consumed input",C1615="Contained input",C1615="Transform input"),IF(F1615="T0",0,IF(F1615="T1",1,IF(F1615="T2",2,IF(F1615="T3",3,IF(F1615="T4",4,-1))))),-1)</x:f>
        <x:v>-1</x:v>
      </x:c>
      <x:c r="Q1615" s="4" t="n">
        <x:f>IF(AND(OR(C1615="Ingredient candidate",C1615="Consumed input",C1615="Contained input",C1615="Transform input"),P1615=-1),1,0)</x:f>
        <x:v>0</x:v>
      </x:c>
    </x:row>
    <x:row r="1616" ht="64" customHeight="1">
      <x:c r="A1616" s="4" t="str">
        <x:v>design.audit.proposal_gear_simple_wraps.audit.in.1</x:v>
      </x:c>
      <x:c r="B1616" s="4" t="str">
        <x:v>design.audit.proposal_gear_simple_wraps</x:v>
      </x:c>
      <x:c r="C1616" s="4" t="str">
        <x:v>Ingredient candidate</x:v>
      </x:c>
      <x:c r="D1616" s="4" t="str">
        <x:v>proposal.bio.pressed_husk</x:v>
      </x:c>
      <x:c r="E1616" s="4" t="str">
        <x:f>IFERROR(INDEX('Items'!$B$6:$B$1005,MATCH(D1616,'Items'!$A$6:$A$1005,0)),"MISSING ID")</x:f>
        <x:v>Pressed husk-fiber textile material</x:v>
      </x:c>
      <x:c r="F1616" s="4" t="str">
        <x:f>IFERROR(INDEX('Items'!$C$6:$C$1005,MATCH(D1616,'Items'!$A$6:$A$1005,0)),"MISSING ID")</x:f>
        <x:v>T1</x:v>
      </x:c>
      <x:c r="G1616" s="4" t="str">
        <x:f>IFERROR(INDEX('Items'!$D$6:$D$1005,MATCH(D1616,'Items'!$A$6:$A$1005,0)),"MISSING ID")</x:f>
        <x:v>Crafting components</x:v>
      </x:c>
      <x:c r="H1616" s="4" t="str">
        <x:f>IFERROR(INDEX('Items'!$X$6:$X$1005,MATCH(D1616,'Items'!$A$6:$A$1005,0)),"MISSING ID")</x:f>
        <x:v>Processed material</x:v>
      </x:c>
      <x:c r="I1616" s="4"/>
      <x:c r="J1616" s="4" t="str">
        <x:v>Unspecified</x:v>
      </x:c>
      <x:c r="K1616" s="4" t="str">
        <x:f>IFERROR(INDEX('Crafting recipes'!$D$6:$D$1005,MATCH(B1616,'Crafting recipes'!$A$6:$A$1005,0)),"MISSING ID")</x:f>
        <x:v>Proposal</x:v>
      </x:c>
      <x:c r="L1616" s="4" t="str">
        <x:f>IFERROR(INDEX('Items'!$AD$6:$AD$1005,MATCH(D1616,'Items'!$A$6:$A$1005,0)),"MISSING ID")</x:f>
        <x:v>Author direction</x:v>
      </x:c>
      <x:c r="M1616" s="4" t="str">
        <x:f>IFERROR(INDEX('Crafting recipes'!$E$6:$E$1005,MATCH(B1616,'Crafting recipes'!$A$6:$A$1005,0)),"MISSING ID")</x:f>
        <x:v>Partial proposal</x:v>
      </x:c>
      <x:c r="N1616" s="4" t="str">
        <x:v>Partial audit candidate; quantity, fit and performance remain unresolved.</x:v>
      </x:c>
      <x:c r="O16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6" s="4" t="n">
        <x:f>IF(OR(C1616="Ingredient candidate",C1616="Consumed input",C1616="Contained input",C1616="Transform input"),IF(F1616="T0",0,IF(F1616="T1",1,IF(F1616="T2",2,IF(F1616="T3",3,IF(F1616="T4",4,-1))))),-1)</x:f>
        <x:v>1</x:v>
      </x:c>
      <x:c r="Q1616" s="4" t="n">
        <x:f>IF(AND(OR(C1616="Ingredient candidate",C1616="Consumed input",C1616="Contained input",C1616="Transform input"),P1616=-1),1,0)</x:f>
        <x:v>0</x:v>
      </x:c>
    </x:row>
    <x:row r="1617" ht="64" customHeight="1">
      <x:c r="A1617" s="4" t="str">
        <x:v>design.audit.proposal_gear_simple_wraps.audit.in.2</x:v>
      </x:c>
      <x:c r="B1617" s="4" t="str">
        <x:v>design.audit.proposal_gear_simple_wraps</x:v>
      </x:c>
      <x:c r="C1617" s="4" t="str">
        <x:v>Ingredient candidate</x:v>
      </x:c>
      <x:c r="D1617" s="4" t="str">
        <x:v>proposal.ceramic.fastener</x:v>
      </x:c>
      <x:c r="E1617" s="4" t="str">
        <x:f>IFERROR(INDEX('Items'!$B$6:$B$1005,MATCH(D1617,'Items'!$A$6:$A$1005,0)),"MISSING ID")</x:f>
        <x:v>Ceramic toggle fastener</x:v>
      </x:c>
      <x:c r="F1617" s="4" t="str">
        <x:f>IFERROR(INDEX('Items'!$C$6:$C$1005,MATCH(D1617,'Items'!$A$6:$A$1005,0)),"MISSING ID")</x:f>
        <x:v>T3</x:v>
      </x:c>
      <x:c r="G1617" s="4" t="str">
        <x:f>IFERROR(INDEX('Items'!$D$6:$D$1005,MATCH(D1617,'Items'!$A$6:$A$1005,0)),"MISSING ID")</x:f>
        <x:v>Crafting components</x:v>
      </x:c>
      <x:c r="H1617" s="4" t="str">
        <x:f>IFERROR(INDEX('Items'!$X$6:$X$1005,MATCH(D1617,'Items'!$A$6:$A$1005,0)),"MISSING ID")</x:f>
        <x:v>Crafting component</x:v>
      </x:c>
      <x:c r="I1617" s="4"/>
      <x:c r="J1617" s="4" t="str">
        <x:v>Unspecified</x:v>
      </x:c>
      <x:c r="K1617" s="4" t="str">
        <x:f>IFERROR(INDEX('Crafting recipes'!$D$6:$D$1005,MATCH(B1617,'Crafting recipes'!$A$6:$A$1005,0)),"MISSING ID")</x:f>
        <x:v>Proposal</x:v>
      </x:c>
      <x:c r="L1617" s="4" t="str">
        <x:f>IFERROR(INDEX('Items'!$AD$6:$AD$1005,MATCH(D1617,'Items'!$A$6:$A$1005,0)),"MISSING ID")</x:f>
        <x:v>Proposal</x:v>
      </x:c>
      <x:c r="M1617" s="4" t="str">
        <x:f>IFERROR(INDEX('Crafting recipes'!$E$6:$E$1005,MATCH(B1617,'Crafting recipes'!$A$6:$A$1005,0)),"MISSING ID")</x:f>
        <x:v>Partial proposal</x:v>
      </x:c>
      <x:c r="N1617" s="4" t="str">
        <x:v>Partial audit candidate; quantity, fit and performance remain unresolved.</x:v>
      </x:c>
      <x:c r="O16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7" s="4" t="n">
        <x:f>IF(OR(C1617="Ingredient candidate",C1617="Consumed input",C1617="Contained input",C1617="Transform input"),IF(F1617="T0",0,IF(F1617="T1",1,IF(F1617="T2",2,IF(F1617="T3",3,IF(F1617="T4",4,-1))))),-1)</x:f>
        <x:v>3</x:v>
      </x:c>
      <x:c r="Q1617" s="4" t="n">
        <x:f>IF(AND(OR(C1617="Ingredient candidate",C1617="Consumed input",C1617="Contained input",C1617="Transform input"),P1617=-1),1,0)</x:f>
        <x:v>0</x:v>
      </x:c>
    </x:row>
    <x:row r="1618" ht="64" customHeight="1">
      <x:c r="A1618" s="4" t="str">
        <x:v>design.audit.proposal_gear_simple_wraps.audit.out</x:v>
      </x:c>
      <x:c r="B1618" s="4" t="str">
        <x:v>design.audit.proposal_gear_simple_wraps</x:v>
      </x:c>
      <x:c r="C1618" s="4" t="str">
        <x:v>Output</x:v>
      </x:c>
      <x:c r="D1618" s="4" t="str">
        <x:v>proposal.gear.simple_wraps</x:v>
      </x:c>
      <x:c r="E1618" s="4" t="str">
        <x:f>IFERROR(INDEX('Items'!$B$6:$B$1005,MATCH(D1618,'Items'!$A$6:$A$1005,0)),"MISSING ID")</x:f>
        <x:v>Everyday torso wrap</x:v>
      </x:c>
      <x:c r="F1618" s="4" t="str">
        <x:f>IFERROR(INDEX('Items'!$C$6:$C$1005,MATCH(D1618,'Items'!$A$6:$A$1005,0)),"MISSING ID")</x:f>
        <x:v>Not applicable</x:v>
      </x:c>
      <x:c r="G1618" s="4" t="str">
        <x:f>IFERROR(INDEX('Items'!$D$6:$D$1005,MATCH(D1618,'Items'!$A$6:$A$1005,0)),"MISSING ID")</x:f>
        <x:v>Clothing</x:v>
      </x:c>
      <x:c r="H1618" s="4" t="str">
        <x:f>IFERROR(INDEX('Items'!$X$6:$X$1005,MATCH(D1618,'Items'!$A$6:$A$1005,0)),"MISSING ID")</x:f>
        <x:v>Wearable</x:v>
      </x:c>
      <x:c r="I1618" s="4"/>
      <x:c r="J1618" s="4" t="str">
        <x:v>Unspecified</x:v>
      </x:c>
      <x:c r="K1618" s="4" t="str">
        <x:f>IFERROR(INDEX('Crafting recipes'!$D$6:$D$1005,MATCH(B1618,'Crafting recipes'!$A$6:$A$1005,0)),"MISSING ID")</x:f>
        <x:v>Proposal</x:v>
      </x:c>
      <x:c r="L1618" s="4" t="str">
        <x:f>IFERROR(INDEX('Items'!$AD$6:$AD$1005,MATCH(D1618,'Items'!$A$6:$A$1005,0)),"MISSING ID")</x:f>
        <x:v>Author direction</x:v>
      </x:c>
      <x:c r="M1618" s="4" t="str">
        <x:f>IFERROR(INDEX('Crafting recipes'!$E$6:$E$1005,MATCH(B1618,'Crafting recipes'!$A$6:$A$1005,0)),"MISSING ID")</x:f>
        <x:v>Partial proposal</x:v>
      </x:c>
      <x:c r="N1618" s="4" t="str">
        <x:v>Partial audit candidate; quantity, fit and performance remain unresolved.</x:v>
      </x:c>
      <x:c r="O1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8" s="4" t="n">
        <x:f>IF(OR(C1618="Ingredient candidate",C1618="Consumed input",C1618="Contained input",C1618="Transform input"),IF(F1618="T0",0,IF(F1618="T1",1,IF(F1618="T2",2,IF(F1618="T3",3,IF(F1618="T4",4,-1))))),-1)</x:f>
        <x:v>-1</x:v>
      </x:c>
      <x:c r="Q1618" s="4" t="n">
        <x:f>IF(AND(OR(C1618="Ingredient candidate",C1618="Consumed input",C1618="Contained input",C1618="Transform input"),P1618=-1),1,0)</x:f>
        <x:v>0</x:v>
      </x:c>
    </x:row>
    <x:row r="1619" ht="64" customHeight="1">
      <x:c r="A1619" s="4" t="str">
        <x:v>design.audit.proposal_canister_harness.audit.in.1</x:v>
      </x:c>
      <x:c r="B1619" s="4" t="str">
        <x:v>design.audit.proposal_canister_harness</x:v>
      </x:c>
      <x:c r="C1619" s="4" t="str">
        <x:v>Ingredient candidate</x:v>
      </x:c>
      <x:c r="D1619" s="4" t="str">
        <x:v>proposal.audit.pressed_hide_fastening_strips</x:v>
      </x:c>
      <x:c r="E1619" s="4" t="str">
        <x:f>IFERROR(INDEX('Items'!$B$6:$B$1005,MATCH(D1619,'Items'!$A$6:$A$1005,0)),"MISSING ID")</x:f>
        <x:v>Pressed hide fastening strips</x:v>
      </x:c>
      <x:c r="F1619" s="4" t="str">
        <x:f>IFERROR(INDEX('Items'!$C$6:$C$1005,MATCH(D1619,'Items'!$A$6:$A$1005,0)),"MISSING ID")</x:f>
        <x:v>T2</x:v>
      </x:c>
      <x:c r="G1619" s="4" t="str">
        <x:f>IFERROR(INDEX('Items'!$D$6:$D$1005,MATCH(D1619,'Items'!$A$6:$A$1005,0)),"MISSING ID")</x:f>
        <x:v>Manufactured stock</x:v>
      </x:c>
      <x:c r="H1619" s="4" t="str">
        <x:f>IFERROR(INDEX('Items'!$X$6:$X$1005,MATCH(D1619,'Items'!$A$6:$A$1005,0)),"MISSING ID")</x:f>
        <x:v>Processed material</x:v>
      </x:c>
      <x:c r="I1619" s="4"/>
      <x:c r="J1619" s="4" t="str">
        <x:v>Unspecified</x:v>
      </x:c>
      <x:c r="K1619" s="4" t="str">
        <x:f>IFERROR(INDEX('Crafting recipes'!$D$6:$D$1005,MATCH(B1619,'Crafting recipes'!$A$6:$A$1005,0)),"MISSING ID")</x:f>
        <x:v>Proposal</x:v>
      </x:c>
      <x:c r="L1619" s="4" t="str">
        <x:f>IFERROR(INDEX('Items'!$AD$6:$AD$1005,MATCH(D1619,'Items'!$A$6:$A$1005,0)),"MISSING ID")</x:f>
        <x:v>Proposal</x:v>
      </x:c>
      <x:c r="M1619" s="4" t="str">
        <x:f>IFERROR(INDEX('Crafting recipes'!$E$6:$E$1005,MATCH(B1619,'Crafting recipes'!$A$6:$A$1005,0)),"MISSING ID")</x:f>
        <x:v>Partial proposal</x:v>
      </x:c>
      <x:c r="N1619" s="4" t="str">
        <x:v>Partial audit candidate; quantity, fit and performance remain unresolved.</x:v>
      </x:c>
      <x:c r="O1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9" s="4" t="n">
        <x:f>IF(OR(C1619="Ingredient candidate",C1619="Consumed input",C1619="Contained input",C1619="Transform input"),IF(F1619="T0",0,IF(F1619="T1",1,IF(F1619="T2",2,IF(F1619="T3",3,IF(F1619="T4",4,-1))))),-1)</x:f>
        <x:v>2</x:v>
      </x:c>
      <x:c r="Q1619" s="4" t="n">
        <x:f>IF(AND(OR(C1619="Ingredient candidate",C1619="Consumed input",C1619="Contained input",C1619="Transform input"),P1619=-1),1,0)</x:f>
        <x:v>0</x:v>
      </x:c>
    </x:row>
    <x:row r="1620" ht="64" customHeight="1">
      <x:c r="A1620" s="4" t="str">
        <x:v>design.audit.proposal_canister_harness.audit.in.2</x:v>
      </x:c>
      <x:c r="B1620" s="4" t="str">
        <x:v>design.audit.proposal_canister_harness</x:v>
      </x:c>
      <x:c r="C1620" s="4" t="str">
        <x:v>Ingredient candidate</x:v>
      </x:c>
      <x:c r="D1620" s="4" t="str">
        <x:v>author.metallurgy.steel_stock</x:v>
      </x:c>
      <x:c r="E1620" s="4" t="str">
        <x:f>IFERROR(INDEX('Items'!$B$6:$B$1005,MATCH(D1620,'Items'!$A$6:$A$1005,0)),"MISSING ID")</x:f>
        <x:v>Steel stock</x:v>
      </x:c>
      <x:c r="F1620" s="4" t="str">
        <x:f>IFERROR(INDEX('Items'!$C$6:$C$1005,MATCH(D1620,'Items'!$A$6:$A$1005,0)),"MISSING ID")</x:f>
        <x:v>T2</x:v>
      </x:c>
      <x:c r="G1620" s="4" t="str">
        <x:f>IFERROR(INDEX('Items'!$D$6:$D$1005,MATCH(D1620,'Items'!$A$6:$A$1005,0)),"MISSING ID")</x:f>
        <x:v>Manufactured stock</x:v>
      </x:c>
      <x:c r="H1620" s="4" t="str">
        <x:f>IFERROR(INDEX('Items'!$X$6:$X$1005,MATCH(D1620,'Items'!$A$6:$A$1005,0)),"MISSING ID")</x:f>
        <x:v>Processed material</x:v>
      </x:c>
      <x:c r="I1620" s="4"/>
      <x:c r="J1620" s="4" t="str">
        <x:v>Unspecified</x:v>
      </x:c>
      <x:c r="K1620" s="4" t="str">
        <x:f>IFERROR(INDEX('Crafting recipes'!$D$6:$D$1005,MATCH(B1620,'Crafting recipes'!$A$6:$A$1005,0)),"MISSING ID")</x:f>
        <x:v>Proposal</x:v>
      </x:c>
      <x:c r="L1620" s="4" t="str">
        <x:f>IFERROR(INDEX('Items'!$AD$6:$AD$1005,MATCH(D1620,'Items'!$A$6:$A$1005,0)),"MISSING ID")</x:f>
        <x:v>Author direction</x:v>
      </x:c>
      <x:c r="M1620" s="4" t="str">
        <x:f>IFERROR(INDEX('Crafting recipes'!$E$6:$E$1005,MATCH(B1620,'Crafting recipes'!$A$6:$A$1005,0)),"MISSING ID")</x:f>
        <x:v>Partial proposal</x:v>
      </x:c>
      <x:c r="N1620" s="4" t="str">
        <x:v>Partial audit candidate; quantity, fit and performance remain unresolved.</x:v>
      </x:c>
      <x:c r="O1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0" s="4" t="n">
        <x:f>IF(OR(C1620="Ingredient candidate",C1620="Consumed input",C1620="Contained input",C1620="Transform input"),IF(F1620="T0",0,IF(F1620="T1",1,IF(F1620="T2",2,IF(F1620="T3",3,IF(F1620="T4",4,-1))))),-1)</x:f>
        <x:v>2</x:v>
      </x:c>
      <x:c r="Q1620" s="4" t="n">
        <x:f>IF(AND(OR(C1620="Ingredient candidate",C1620="Consumed input",C1620="Contained input",C1620="Transform input"),P1620=-1),1,0)</x:f>
        <x:v>0</x:v>
      </x:c>
    </x:row>
    <x:row r="1621" ht="64" customHeight="1">
      <x:c r="A1621" s="4" t="str">
        <x:v>design.audit.proposal_canister_harness.audit.in.3</x:v>
      </x:c>
      <x:c r="B1621" s="4" t="str">
        <x:v>design.audit.proposal_canister_harness</x:v>
      </x:c>
      <x:c r="C1621" s="4" t="str">
        <x:v>Ingredient candidate</x:v>
      </x:c>
      <x:c r="D1621" s="4" t="str">
        <x:v>proposal.t3.packing_stock</x:v>
      </x:c>
      <x:c r="E1621" s="4" t="str">
        <x:f>IFERROR(INDEX('Items'!$B$6:$B$1005,MATCH(D1621,'Items'!$A$6:$A$1005,0)),"MISSING ID")</x:f>
        <x:v>Husk-reinforced packing stock</x:v>
      </x:c>
      <x:c r="F1621" s="4" t="str">
        <x:f>IFERROR(INDEX('Items'!$C$6:$C$1005,MATCH(D1621,'Items'!$A$6:$A$1005,0)),"MISSING ID")</x:f>
        <x:v>T3</x:v>
      </x:c>
      <x:c r="G1621" s="4" t="str">
        <x:f>IFERROR(INDEX('Items'!$D$6:$D$1005,MATCH(D1621,'Items'!$A$6:$A$1005,0)),"MISSING ID")</x:f>
        <x:v>Manufactured stock</x:v>
      </x:c>
      <x:c r="H1621" s="4" t="str">
        <x:f>IFERROR(INDEX('Items'!$X$6:$X$1005,MATCH(D1621,'Items'!$A$6:$A$1005,0)),"MISSING ID")</x:f>
        <x:v>Processed material</x:v>
      </x:c>
      <x:c r="I1621" s="4"/>
      <x:c r="J1621" s="4" t="str">
        <x:v>Unspecified</x:v>
      </x:c>
      <x:c r="K1621" s="4" t="str">
        <x:f>IFERROR(INDEX('Crafting recipes'!$D$6:$D$1005,MATCH(B1621,'Crafting recipes'!$A$6:$A$1005,0)),"MISSING ID")</x:f>
        <x:v>Proposal</x:v>
      </x:c>
      <x:c r="L1621" s="4" t="str">
        <x:f>IFERROR(INDEX('Items'!$AD$6:$AD$1005,MATCH(D1621,'Items'!$A$6:$A$1005,0)),"MISSING ID")</x:f>
        <x:v>Proposal</x:v>
      </x:c>
      <x:c r="M1621" s="4" t="str">
        <x:f>IFERROR(INDEX('Crafting recipes'!$E$6:$E$1005,MATCH(B1621,'Crafting recipes'!$A$6:$A$1005,0)),"MISSING ID")</x:f>
        <x:v>Partial proposal</x:v>
      </x:c>
      <x:c r="N1621" s="4" t="str">
        <x:v>Partial audit candidate; quantity, fit and performance remain unresolved.</x:v>
      </x:c>
      <x:c r="O1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1" s="4" t="n">
        <x:f>IF(OR(C1621="Ingredient candidate",C1621="Consumed input",C1621="Contained input",C1621="Transform input"),IF(F1621="T0",0,IF(F1621="T1",1,IF(F1621="T2",2,IF(F1621="T3",3,IF(F1621="T4",4,-1))))),-1)</x:f>
        <x:v>3</x:v>
      </x:c>
      <x:c r="Q1621" s="4" t="n">
        <x:f>IF(AND(OR(C1621="Ingredient candidate",C1621="Consumed input",C1621="Contained input",C1621="Transform input"),P1621=-1),1,0)</x:f>
        <x:v>0</x:v>
      </x:c>
    </x:row>
    <x:row r="1622" ht="64" customHeight="1">
      <x:c r="A1622" s="4" t="str">
        <x:v>design.audit.proposal_canister_harness.audit.out</x:v>
      </x:c>
      <x:c r="B1622" s="4" t="str">
        <x:v>design.audit.proposal_canister_harness</x:v>
      </x:c>
      <x:c r="C1622" s="4" t="str">
        <x:v>Output</x:v>
      </x:c>
      <x:c r="D1622" s="4" t="str">
        <x:v>proposal.canister.harness</x:v>
      </x:c>
      <x:c r="E1622" s="4" t="str">
        <x:f>IFERROR(INDEX('Items'!$B$6:$B$1005,MATCH(D1622,'Items'!$A$6:$A$1005,0)),"MISSING ID")</x:f>
        <x:v>Fitted canister harness</x:v>
      </x:c>
      <x:c r="F1622" s="4" t="str">
        <x:f>IFERROR(INDEX('Items'!$C$6:$C$1005,MATCH(D1622,'Items'!$A$6:$A$1005,0)),"MISSING ID")</x:f>
        <x:v>Not applicable</x:v>
      </x:c>
      <x:c r="G1622" s="4" t="str">
        <x:f>IFERROR(INDEX('Items'!$D$6:$D$1005,MATCH(D1622,'Items'!$A$6:$A$1005,0)),"MISSING ID")</x:f>
        <x:v>Armor</x:v>
      </x:c>
      <x:c r="H1622" s="4" t="str">
        <x:f>IFERROR(INDEX('Items'!$X$6:$X$1005,MATCH(D1622,'Items'!$A$6:$A$1005,0)),"MISSING ID")</x:f>
        <x:v>Carrier</x:v>
      </x:c>
      <x:c r="I1622" s="4"/>
      <x:c r="J1622" s="4" t="str">
        <x:v>Unspecified</x:v>
      </x:c>
      <x:c r="K1622" s="4" t="str">
        <x:f>IFERROR(INDEX('Crafting recipes'!$D$6:$D$1005,MATCH(B1622,'Crafting recipes'!$A$6:$A$1005,0)),"MISSING ID")</x:f>
        <x:v>Proposal</x:v>
      </x:c>
      <x:c r="L1622" s="4" t="str">
        <x:f>IFERROR(INDEX('Items'!$AD$6:$AD$1005,MATCH(D1622,'Items'!$A$6:$A$1005,0)),"MISSING ID")</x:f>
        <x:v>Proposal</x:v>
      </x:c>
      <x:c r="M1622" s="4" t="str">
        <x:f>IFERROR(INDEX('Crafting recipes'!$E$6:$E$1005,MATCH(B1622,'Crafting recipes'!$A$6:$A$1005,0)),"MISSING ID")</x:f>
        <x:v>Partial proposal</x:v>
      </x:c>
      <x:c r="N1622" s="4" t="str">
        <x:v>Partial audit candidate; quantity, fit and performance remain unresolved.</x:v>
      </x:c>
      <x:c r="O1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2" s="4" t="n">
        <x:f>IF(OR(C1622="Ingredient candidate",C1622="Consumed input",C1622="Contained input",C1622="Transform input"),IF(F1622="T0",0,IF(F1622="T1",1,IF(F1622="T2",2,IF(F1622="T3",3,IF(F1622="T4",4,-1))))),-1)</x:f>
        <x:v>-1</x:v>
      </x:c>
      <x:c r="Q1622" s="4" t="n">
        <x:f>IF(AND(OR(C1622="Ingredient candidate",C1622="Consumed input",C1622="Contained input",C1622="Transform input"),P1622=-1),1,0)</x:f>
        <x:v>0</x:v>
      </x:c>
    </x:row>
    <x:row r="1623" ht="64" customHeight="1">
      <x:c r="A1623" s="4" t="str">
        <x:v>design.audit.proposal_canister_inspection_gauge.audit.in.1</x:v>
      </x:c>
      <x:c r="B1623" s="4" t="str">
        <x:v>design.audit.proposal_canister_inspection_gauge</x:v>
      </x:c>
      <x:c r="C1623" s="4" t="str">
        <x:v>Ingredient candidate</x:v>
      </x:c>
      <x:c r="D1623" s="4" t="str">
        <x:v>author.metallurgy.steel_stock</x:v>
      </x:c>
      <x:c r="E1623" s="4" t="str">
        <x:f>IFERROR(INDEX('Items'!$B$6:$B$1005,MATCH(D1623,'Items'!$A$6:$A$1005,0)),"MISSING ID")</x:f>
        <x:v>Steel stock</x:v>
      </x:c>
      <x:c r="F1623" s="4" t="str">
        <x:f>IFERROR(INDEX('Items'!$C$6:$C$1005,MATCH(D1623,'Items'!$A$6:$A$1005,0)),"MISSING ID")</x:f>
        <x:v>T2</x:v>
      </x:c>
      <x:c r="G1623" s="4" t="str">
        <x:f>IFERROR(INDEX('Items'!$D$6:$D$1005,MATCH(D1623,'Items'!$A$6:$A$1005,0)),"MISSING ID")</x:f>
        <x:v>Manufactured stock</x:v>
      </x:c>
      <x:c r="H1623" s="4" t="str">
        <x:f>IFERROR(INDEX('Items'!$X$6:$X$1005,MATCH(D1623,'Items'!$A$6:$A$1005,0)),"MISSING ID")</x:f>
        <x:v>Processed material</x:v>
      </x:c>
      <x:c r="I1623" s="4"/>
      <x:c r="J1623" s="4" t="str">
        <x:v>Unspecified</x:v>
      </x:c>
      <x:c r="K1623" s="4" t="str">
        <x:f>IFERROR(INDEX('Crafting recipes'!$D$6:$D$1005,MATCH(B1623,'Crafting recipes'!$A$6:$A$1005,0)),"MISSING ID")</x:f>
        <x:v>Proposal</x:v>
      </x:c>
      <x:c r="L1623" s="4" t="str">
        <x:f>IFERROR(INDEX('Items'!$AD$6:$AD$1005,MATCH(D1623,'Items'!$A$6:$A$1005,0)),"MISSING ID")</x:f>
        <x:v>Author direction</x:v>
      </x:c>
      <x:c r="M1623" s="4" t="str">
        <x:f>IFERROR(INDEX('Crafting recipes'!$E$6:$E$1005,MATCH(B1623,'Crafting recipes'!$A$6:$A$1005,0)),"MISSING ID")</x:f>
        <x:v>Partial proposal</x:v>
      </x:c>
      <x:c r="N1623" s="4" t="str">
        <x:v>Partial audit candidate; quantity, fit and performance remain unresolved.</x:v>
      </x:c>
      <x:c r="O16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3" s="4" t="n">
        <x:f>IF(OR(C1623="Ingredient candidate",C1623="Consumed input",C1623="Contained input",C1623="Transform input"),IF(F1623="T0",0,IF(F1623="T1",1,IF(F1623="T2",2,IF(F1623="T3",3,IF(F1623="T4",4,-1))))),-1)</x:f>
        <x:v>2</x:v>
      </x:c>
      <x:c r="Q1623" s="4" t="n">
        <x:f>IF(AND(OR(C1623="Ingredient candidate",C1623="Consumed input",C1623="Contained input",C1623="Transform input"),P1623=-1),1,0)</x:f>
        <x:v>0</x:v>
      </x:c>
    </x:row>
    <x:row r="1624" ht="64" customHeight="1">
      <x:c r="A1624" s="4" t="str">
        <x:v>design.audit.proposal_canister_inspection_gauge.audit.in.2</x:v>
      </x:c>
      <x:c r="B1624" s="4" t="str">
        <x:v>design.audit.proposal_canister_inspection_gauge</x:v>
      </x:c>
      <x:c r="C1624" s="4" t="str">
        <x:v>Ingredient candidate</x:v>
      </x:c>
      <x:c r="D1624" s="4" t="str">
        <x:v>proposal.branch.viewing_glass</x:v>
      </x:c>
      <x:c r="E1624" s="4" t="str">
        <x:f>IFERROR(INDEX('Items'!$B$6:$B$1005,MATCH(D1624,'Items'!$A$6:$A$1005,0)),"MISSING ID")</x:f>
        <x:v>Selected viewing-glass stock</x:v>
      </x:c>
      <x:c r="F1624" s="4" t="str">
        <x:f>IFERROR(INDEX('Items'!$C$6:$C$1005,MATCH(D1624,'Items'!$A$6:$A$1005,0)),"MISSING ID")</x:f>
        <x:v>T2</x:v>
      </x:c>
      <x:c r="G1624" s="4" t="str">
        <x:f>IFERROR(INDEX('Items'!$D$6:$D$1005,MATCH(D1624,'Items'!$A$6:$A$1005,0)),"MISSING ID")</x:f>
        <x:v>Manufactured stock</x:v>
      </x:c>
      <x:c r="H1624" s="4" t="str">
        <x:f>IFERROR(INDEX('Items'!$X$6:$X$1005,MATCH(D1624,'Items'!$A$6:$A$1005,0)),"MISSING ID")</x:f>
        <x:v>Processed material</x:v>
      </x:c>
      <x:c r="I1624" s="4"/>
      <x:c r="J1624" s="4" t="str">
        <x:v>Unspecified</x:v>
      </x:c>
      <x:c r="K1624" s="4" t="str">
        <x:f>IFERROR(INDEX('Crafting recipes'!$D$6:$D$1005,MATCH(B1624,'Crafting recipes'!$A$6:$A$1005,0)),"MISSING ID")</x:f>
        <x:v>Proposal</x:v>
      </x:c>
      <x:c r="L1624" s="4" t="str">
        <x:f>IFERROR(INDEX('Items'!$AD$6:$AD$1005,MATCH(D1624,'Items'!$A$6:$A$1005,0)),"MISSING ID")</x:f>
        <x:v>Proposal</x:v>
      </x:c>
      <x:c r="M1624" s="4" t="str">
        <x:f>IFERROR(INDEX('Crafting recipes'!$E$6:$E$1005,MATCH(B1624,'Crafting recipes'!$A$6:$A$1005,0)),"MISSING ID")</x:f>
        <x:v>Partial proposal</x:v>
      </x:c>
      <x:c r="N1624" s="4" t="str">
        <x:v>Partial audit candidate; quantity, fit and performance remain unresolved.</x:v>
      </x:c>
      <x:c r="O1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4" s="4" t="n">
        <x:f>IF(OR(C1624="Ingredient candidate",C1624="Consumed input",C1624="Contained input",C1624="Transform input"),IF(F1624="T0",0,IF(F1624="T1",1,IF(F1624="T2",2,IF(F1624="T3",3,IF(F1624="T4",4,-1))))),-1)</x:f>
        <x:v>2</x:v>
      </x:c>
      <x:c r="Q1624" s="4" t="n">
        <x:f>IF(AND(OR(C1624="Ingredient candidate",C1624="Consumed input",C1624="Contained input",C1624="Transform input"),P1624=-1),1,0)</x:f>
        <x:v>0</x:v>
      </x:c>
    </x:row>
    <x:row r="1625" ht="64" customHeight="1">
      <x:c r="A1625" s="4" t="str">
        <x:v>design.audit.proposal_canister_inspection_gauge.audit.out</x:v>
      </x:c>
      <x:c r="B1625" s="4" t="str">
        <x:v>design.audit.proposal_canister_inspection_gauge</x:v>
      </x:c>
      <x:c r="C1625" s="4" t="str">
        <x:v>Output</x:v>
      </x:c>
      <x:c r="D1625" s="4" t="str">
        <x:v>proposal.canister.inspection_gauge</x:v>
      </x:c>
      <x:c r="E1625" s="4" t="str">
        <x:f>IFERROR(INDEX('Items'!$B$6:$B$1005,MATCH(D1625,'Items'!$A$6:$A$1005,0)),"MISSING ID")</x:f>
        <x:v>Seal inspection gauge</x:v>
      </x:c>
      <x:c r="F1625" s="4" t="str">
        <x:f>IFERROR(INDEX('Items'!$C$6:$C$1005,MATCH(D1625,'Items'!$A$6:$A$1005,0)),"MISSING ID")</x:f>
        <x:v>Not applicable</x:v>
      </x:c>
      <x:c r="G1625" s="4" t="str">
        <x:f>IFERROR(INDEX('Items'!$D$6:$D$1005,MATCH(D1625,'Items'!$A$6:$A$1005,0)),"MISSING ID")</x:f>
        <x:v>Salvage</x:v>
      </x:c>
      <x:c r="H1625" s="4" t="str">
        <x:f>IFERROR(INDEX('Items'!$X$6:$X$1005,MATCH(D1625,'Items'!$A$6:$A$1005,0)),"MISSING ID")</x:f>
        <x:v>Tool</x:v>
      </x:c>
      <x:c r="I1625" s="4"/>
      <x:c r="J1625" s="4" t="str">
        <x:v>Unspecified</x:v>
      </x:c>
      <x:c r="K1625" s="4" t="str">
        <x:f>IFERROR(INDEX('Crafting recipes'!$D$6:$D$1005,MATCH(B1625,'Crafting recipes'!$A$6:$A$1005,0)),"MISSING ID")</x:f>
        <x:v>Proposal</x:v>
      </x:c>
      <x:c r="L1625" s="4" t="str">
        <x:f>IFERROR(INDEX('Items'!$AD$6:$AD$1005,MATCH(D1625,'Items'!$A$6:$A$1005,0)),"MISSING ID")</x:f>
        <x:v>Proposal</x:v>
      </x:c>
      <x:c r="M1625" s="4" t="str">
        <x:f>IFERROR(INDEX('Crafting recipes'!$E$6:$E$1005,MATCH(B1625,'Crafting recipes'!$A$6:$A$1005,0)),"MISSING ID")</x:f>
        <x:v>Partial proposal</x:v>
      </x:c>
      <x:c r="N1625" s="4" t="str">
        <x:v>Partial audit candidate; quantity, fit and performance remain unresolved.</x:v>
      </x:c>
      <x:c r="O1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5" s="4" t="n">
        <x:f>IF(OR(C1625="Ingredient candidate",C1625="Consumed input",C1625="Contained input",C1625="Transform input"),IF(F1625="T0",0,IF(F1625="T1",1,IF(F1625="T2",2,IF(F1625="T3",3,IF(F1625="T4",4,-1))))),-1)</x:f>
        <x:v>-1</x:v>
      </x:c>
      <x:c r="Q1625" s="4" t="n">
        <x:f>IF(AND(OR(C1625="Ingredient candidate",C1625="Consumed input",C1625="Contained input",C1625="Transform input"),P1625=-1),1,0)</x:f>
        <x:v>0</x:v>
      </x:c>
    </x:row>
    <x:row r="1626" ht="64" customHeight="1">
      <x:c r="A1626" s="4" t="str">
        <x:v>design.audit.proposal_canister_service_kit.audit.in.1</x:v>
      </x:c>
      <x:c r="B1626" s="4" t="str">
        <x:v>design.audit.proposal_canister_service_kit</x:v>
      </x:c>
      <x:c r="C1626" s="4" t="str">
        <x:v>Ingredient candidate</x:v>
      </x:c>
      <x:c r="D1626" s="4" t="str">
        <x:v>proposal.canister.seal_ring</x:v>
      </x:c>
      <x:c r="E1626" s="4" t="str">
        <x:f>IFERROR(INDEX('Items'!$B$6:$B$1005,MATCH(D1626,'Items'!$A$6:$A$1005,0)),"MISSING ID")</x:f>
        <x:v>Replacement seal ring</x:v>
      </x:c>
      <x:c r="F1626" s="4" t="str">
        <x:f>IFERROR(INDEX('Items'!$C$6:$C$1005,MATCH(D1626,'Items'!$A$6:$A$1005,0)),"MISSING ID")</x:f>
        <x:v>T3</x:v>
      </x:c>
      <x:c r="G1626" s="4" t="str">
        <x:f>IFERROR(INDEX('Items'!$D$6:$D$1005,MATCH(D1626,'Items'!$A$6:$A$1005,0)),"MISSING ID")</x:f>
        <x:v>Crafting components</x:v>
      </x:c>
      <x:c r="H1626" s="4" t="str">
        <x:f>IFERROR(INDEX('Items'!$X$6:$X$1005,MATCH(D1626,'Items'!$A$6:$A$1005,0)),"MISSING ID")</x:f>
        <x:v>Container part</x:v>
      </x:c>
      <x:c r="I1626" s="4"/>
      <x:c r="J1626" s="4" t="str">
        <x:v>Unspecified</x:v>
      </x:c>
      <x:c r="K1626" s="4" t="str">
        <x:f>IFERROR(INDEX('Crafting recipes'!$D$6:$D$1005,MATCH(B1626,'Crafting recipes'!$A$6:$A$1005,0)),"MISSING ID")</x:f>
        <x:v>Proposal</x:v>
      </x:c>
      <x:c r="L1626" s="4" t="str">
        <x:f>IFERROR(INDEX('Items'!$AD$6:$AD$1005,MATCH(D1626,'Items'!$A$6:$A$1005,0)),"MISSING ID")</x:f>
        <x:v>Proposal</x:v>
      </x:c>
      <x:c r="M1626" s="4" t="str">
        <x:f>IFERROR(INDEX('Crafting recipes'!$E$6:$E$1005,MATCH(B1626,'Crafting recipes'!$A$6:$A$1005,0)),"MISSING ID")</x:f>
        <x:v>Partial proposal</x:v>
      </x:c>
      <x:c r="N1626" s="4" t="str">
        <x:v>Partial audit candidate; quantity, fit and performance remain unresolved.</x:v>
      </x:c>
      <x:c r="O1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6" s="4" t="n">
        <x:f>IF(OR(C1626="Ingredient candidate",C1626="Consumed input",C1626="Contained input",C1626="Transform input"),IF(F1626="T0",0,IF(F1626="T1",1,IF(F1626="T2",2,IF(F1626="T3",3,IF(F1626="T4",4,-1))))),-1)</x:f>
        <x:v>3</x:v>
      </x:c>
      <x:c r="Q1626" s="4" t="n">
        <x:f>IF(AND(OR(C1626="Ingredient candidate",C1626="Consumed input",C1626="Contained input",C1626="Transform input"),P1626=-1),1,0)</x:f>
        <x:v>0</x:v>
      </x:c>
    </x:row>
    <x:row r="1627" ht="64" customHeight="1">
      <x:c r="A1627" s="4" t="str">
        <x:v>design.audit.proposal_canister_service_kit.audit.in.2</x:v>
      </x:c>
      <x:c r="B1627" s="4" t="str">
        <x:v>design.audit.proposal_canister_service_kit</x:v>
      </x:c>
      <x:c r="C1627" s="4" t="str">
        <x:v>Ingredient candidate</x:v>
      </x:c>
      <x:c r="D1627" s="4" t="str">
        <x:v>proposal.canister.sealant</x:v>
      </x:c>
      <x:c r="E1627" s="4" t="str">
        <x:f>IFERROR(INDEX('Items'!$B$6:$B$1005,MATCH(D1627,'Items'!$A$6:$A$1005,0)),"MISSING ID")</x:f>
        <x:v>Canister joint sealant</x:v>
      </x:c>
      <x:c r="F1627" s="4" t="str">
        <x:f>IFERROR(INDEX('Items'!$C$6:$C$1005,MATCH(D1627,'Items'!$A$6:$A$1005,0)),"MISSING ID")</x:f>
        <x:v>T3</x:v>
      </x:c>
      <x:c r="G1627" s="4" t="str">
        <x:f>IFERROR(INDEX('Items'!$D$6:$D$1005,MATCH(D1627,'Items'!$A$6:$A$1005,0)),"MISSING ID")</x:f>
        <x:v>Crafting components</x:v>
      </x:c>
      <x:c r="H1627" s="4" t="str">
        <x:f>IFERROR(INDEX('Items'!$X$6:$X$1005,MATCH(D1627,'Items'!$A$6:$A$1005,0)),"MISSING ID")</x:f>
        <x:v>Chemical material</x:v>
      </x:c>
      <x:c r="I1627" s="4"/>
      <x:c r="J1627" s="4" t="str">
        <x:v>Unspecified</x:v>
      </x:c>
      <x:c r="K1627" s="4" t="str">
        <x:f>IFERROR(INDEX('Crafting recipes'!$D$6:$D$1005,MATCH(B1627,'Crafting recipes'!$A$6:$A$1005,0)),"MISSING ID")</x:f>
        <x:v>Proposal</x:v>
      </x:c>
      <x:c r="L1627" s="4" t="str">
        <x:f>IFERROR(INDEX('Items'!$AD$6:$AD$1005,MATCH(D1627,'Items'!$A$6:$A$1005,0)),"MISSING ID")</x:f>
        <x:v>Proposal</x:v>
      </x:c>
      <x:c r="M1627" s="4" t="str">
        <x:f>IFERROR(INDEX('Crafting recipes'!$E$6:$E$1005,MATCH(B1627,'Crafting recipes'!$A$6:$A$1005,0)),"MISSING ID")</x:f>
        <x:v>Partial proposal</x:v>
      </x:c>
      <x:c r="N1627" s="4" t="str">
        <x:v>Partial audit candidate; quantity, fit and performance remain unresolved.</x:v>
      </x:c>
      <x:c r="O1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7" s="4" t="n">
        <x:f>IF(OR(C1627="Ingredient candidate",C1627="Consumed input",C1627="Contained input",C1627="Transform input"),IF(F1627="T0",0,IF(F1627="T1",1,IF(F1627="T2",2,IF(F1627="T3",3,IF(F1627="T4",4,-1))))),-1)</x:f>
        <x:v>3</x:v>
      </x:c>
      <x:c r="Q1627" s="4" t="n">
        <x:f>IF(AND(OR(C1627="Ingredient candidate",C1627="Consumed input",C1627="Contained input",C1627="Transform input"),P1627=-1),1,0)</x:f>
        <x:v>0</x:v>
      </x:c>
    </x:row>
    <x:row r="1628" ht="64" customHeight="1">
      <x:c r="A1628" s="4" t="str">
        <x:v>design.audit.proposal_canister_service_kit.audit.in.3</x:v>
      </x:c>
      <x:c r="B1628" s="4" t="str">
        <x:v>design.audit.proposal_canister_service_kit</x:v>
      </x:c>
      <x:c r="C1628" s="4" t="str">
        <x:v>Ingredient candidate</x:v>
      </x:c>
      <x:c r="D1628" s="4" t="str">
        <x:v>proposal.canister.inspection_gauge</x:v>
      </x:c>
      <x:c r="E1628" s="4" t="str">
        <x:f>IFERROR(INDEX('Items'!$B$6:$B$1005,MATCH(D1628,'Items'!$A$6:$A$1005,0)),"MISSING ID")</x:f>
        <x:v>Seal inspection gauge</x:v>
      </x:c>
      <x:c r="F1628" s="4" t="str">
        <x:f>IFERROR(INDEX('Items'!$C$6:$C$1005,MATCH(D1628,'Items'!$A$6:$A$1005,0)),"MISSING ID")</x:f>
        <x:v>Not applicable</x:v>
      </x:c>
      <x:c r="G1628" s="4" t="str">
        <x:f>IFERROR(INDEX('Items'!$D$6:$D$1005,MATCH(D1628,'Items'!$A$6:$A$1005,0)),"MISSING ID")</x:f>
        <x:v>Salvage</x:v>
      </x:c>
      <x:c r="H1628" s="4" t="str">
        <x:f>IFERROR(INDEX('Items'!$X$6:$X$1005,MATCH(D1628,'Items'!$A$6:$A$1005,0)),"MISSING ID")</x:f>
        <x:v>Tool</x:v>
      </x:c>
      <x:c r="I1628" s="4"/>
      <x:c r="J1628" s="4" t="str">
        <x:v>Unspecified</x:v>
      </x:c>
      <x:c r="K1628" s="4" t="str">
        <x:f>IFERROR(INDEX('Crafting recipes'!$D$6:$D$1005,MATCH(B1628,'Crafting recipes'!$A$6:$A$1005,0)),"MISSING ID")</x:f>
        <x:v>Proposal</x:v>
      </x:c>
      <x:c r="L1628" s="4" t="str">
        <x:f>IFERROR(INDEX('Items'!$AD$6:$AD$1005,MATCH(D1628,'Items'!$A$6:$A$1005,0)),"MISSING ID")</x:f>
        <x:v>Proposal</x:v>
      </x:c>
      <x:c r="M1628" s="4" t="str">
        <x:f>IFERROR(INDEX('Crafting recipes'!$E$6:$E$1005,MATCH(B1628,'Crafting recipes'!$A$6:$A$1005,0)),"MISSING ID")</x:f>
        <x:v>Partial proposal</x:v>
      </x:c>
      <x:c r="N1628" s="4" t="str">
        <x:v>Partial audit candidate; quantity, fit and performance remain unresolved.</x:v>
      </x:c>
      <x:c r="O1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8" s="4" t="n">
        <x:f>IF(OR(C1628="Ingredient candidate",C1628="Consumed input",C1628="Contained input",C1628="Transform input"),IF(F1628="T0",0,IF(F1628="T1",1,IF(F1628="T2",2,IF(F1628="T3",3,IF(F1628="T4",4,-1))))),-1)</x:f>
        <x:v>-1</x:v>
      </x:c>
      <x:c r="Q1628" s="4" t="n">
        <x:f>IF(AND(OR(C1628="Ingredient candidate",C1628="Consumed input",C1628="Contained input",C1628="Transform input"),P1628=-1),1,0)</x:f>
        <x:v>1</x:v>
      </x:c>
    </x:row>
    <x:row r="1629" ht="64" customHeight="1">
      <x:c r="A1629" s="4" t="str">
        <x:v>design.audit.proposal_canister_service_kit.audit.in.4</x:v>
      </x:c>
      <x:c r="B1629" s="4" t="str">
        <x:v>design.audit.proposal_canister_service_kit</x:v>
      </x:c>
      <x:c r="C1629" s="4" t="str">
        <x:v>Ingredient candidate</x:v>
      </x:c>
      <x:c r="D1629" s="4" t="str">
        <x:v>proposal.legger.service_pick</x:v>
      </x:c>
      <x:c r="E1629" s="4" t="str">
        <x:f>IFERROR(INDEX('Items'!$B$6:$B$1005,MATCH(D1629,'Items'!$A$6:$A$1005,0)),"MISSING ID")</x:f>
        <x:v>Joint-service cleaning pick</x:v>
      </x:c>
      <x:c r="F1629" s="4" t="str">
        <x:f>IFERROR(INDEX('Items'!$C$6:$C$1005,MATCH(D1629,'Items'!$A$6:$A$1005,0)),"MISSING ID")</x:f>
        <x:v>Not applicable</x:v>
      </x:c>
      <x:c r="G1629" s="4" t="str">
        <x:f>IFERROR(INDEX('Items'!$D$6:$D$1005,MATCH(D1629,'Items'!$A$6:$A$1005,0)),"MISSING ID")</x:f>
        <x:v>Salvage</x:v>
      </x:c>
      <x:c r="H1629" s="4" t="str">
        <x:f>IFERROR(INDEX('Items'!$X$6:$X$1005,MATCH(D1629,'Items'!$A$6:$A$1005,0)),"MISSING ID")</x:f>
        <x:v>Tool</x:v>
      </x:c>
      <x:c r="I1629" s="4"/>
      <x:c r="J1629" s="4" t="str">
        <x:v>Unspecified</x:v>
      </x:c>
      <x:c r="K1629" s="4" t="str">
        <x:f>IFERROR(INDEX('Crafting recipes'!$D$6:$D$1005,MATCH(B1629,'Crafting recipes'!$A$6:$A$1005,0)),"MISSING ID")</x:f>
        <x:v>Proposal</x:v>
      </x:c>
      <x:c r="L1629" s="4" t="str">
        <x:f>IFERROR(INDEX('Items'!$AD$6:$AD$1005,MATCH(D1629,'Items'!$A$6:$A$1005,0)),"MISSING ID")</x:f>
        <x:v>Proposal</x:v>
      </x:c>
      <x:c r="M1629" s="4" t="str">
        <x:f>IFERROR(INDEX('Crafting recipes'!$E$6:$E$1005,MATCH(B1629,'Crafting recipes'!$A$6:$A$1005,0)),"MISSING ID")</x:f>
        <x:v>Partial proposal</x:v>
      </x:c>
      <x:c r="N1629" s="4" t="str">
        <x:v>Partial audit candidate; quantity, fit and performance remain unresolved.</x:v>
      </x:c>
      <x:c r="O16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9" s="4" t="n">
        <x:f>IF(OR(C1629="Ingredient candidate",C1629="Consumed input",C1629="Contained input",C1629="Transform input"),IF(F1629="T0",0,IF(F1629="T1",1,IF(F1629="T2",2,IF(F1629="T3",3,IF(F1629="T4",4,-1))))),-1)</x:f>
        <x:v>-1</x:v>
      </x:c>
      <x:c r="Q1629" s="4" t="n">
        <x:f>IF(AND(OR(C1629="Ingredient candidate",C1629="Consumed input",C1629="Contained input",C1629="Transform input"),P1629=-1),1,0)</x:f>
        <x:v>1</x:v>
      </x:c>
    </x:row>
    <x:row r="1630" ht="64" customHeight="1">
      <x:c r="A1630" s="4" t="str">
        <x:v>design.audit.proposal_canister_service_kit.audit.out</x:v>
      </x:c>
      <x:c r="B1630" s="4" t="str">
        <x:v>design.audit.proposal_canister_service_kit</x:v>
      </x:c>
      <x:c r="C1630" s="4" t="str">
        <x:v>Output</x:v>
      </x:c>
      <x:c r="D1630" s="4" t="str">
        <x:v>proposal.canister.service_kit</x:v>
      </x:c>
      <x:c r="E1630" s="4" t="str">
        <x:f>IFERROR(INDEX('Items'!$B$6:$B$1005,MATCH(D1630,'Items'!$A$6:$A$1005,0)),"MISSING ID")</x:f>
        <x:v>Canister service kit</x:v>
      </x:c>
      <x:c r="F1630" s="4" t="str">
        <x:f>IFERROR(INDEX('Items'!$C$6:$C$1005,MATCH(D1630,'Items'!$A$6:$A$1005,0)),"MISSING ID")</x:f>
        <x:v>Not applicable</x:v>
      </x:c>
      <x:c r="G1630" s="4" t="str">
        <x:f>IFERROR(INDEX('Items'!$D$6:$D$1005,MATCH(D1630,'Items'!$A$6:$A$1005,0)),"MISSING ID")</x:f>
        <x:v>Salvage</x:v>
      </x:c>
      <x:c r="H1630" s="4" t="str">
        <x:f>IFERROR(INDEX('Items'!$X$6:$X$1005,MATCH(D1630,'Items'!$A$6:$A$1005,0)),"MISSING ID")</x:f>
        <x:v>Service kit</x:v>
      </x:c>
      <x:c r="I1630" s="4"/>
      <x:c r="J1630" s="4" t="str">
        <x:v>Unspecified</x:v>
      </x:c>
      <x:c r="K1630" s="4" t="str">
        <x:f>IFERROR(INDEX('Crafting recipes'!$D$6:$D$1005,MATCH(B1630,'Crafting recipes'!$A$6:$A$1005,0)),"MISSING ID")</x:f>
        <x:v>Proposal</x:v>
      </x:c>
      <x:c r="L1630" s="4" t="str">
        <x:f>IFERROR(INDEX('Items'!$AD$6:$AD$1005,MATCH(D1630,'Items'!$A$6:$A$1005,0)),"MISSING ID")</x:f>
        <x:v>Proposal</x:v>
      </x:c>
      <x:c r="M1630" s="4" t="str">
        <x:f>IFERROR(INDEX('Crafting recipes'!$E$6:$E$1005,MATCH(B1630,'Crafting recipes'!$A$6:$A$1005,0)),"MISSING ID")</x:f>
        <x:v>Partial proposal</x:v>
      </x:c>
      <x:c r="N1630" s="4" t="str">
        <x:v>Partial audit candidate; quantity, fit and performance remain unresolved.</x:v>
      </x:c>
      <x:c r="O1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0" s="4" t="n">
        <x:f>IF(OR(C1630="Ingredient candidate",C1630="Consumed input",C1630="Contained input",C1630="Transform input"),IF(F1630="T0",0,IF(F1630="T1",1,IF(F1630="T2",2,IF(F1630="T3",3,IF(F1630="T4",4,-1))))),-1)</x:f>
        <x:v>-1</x:v>
      </x:c>
      <x:c r="Q1630" s="4" t="n">
        <x:f>IF(AND(OR(C1630="Ingredient candidate",C1630="Consumed input",C1630="Contained input",C1630="Transform input"),P1630=-1),1,0)</x:f>
        <x:v>0</x:v>
      </x:c>
    </x:row>
    <x:row r="1631" ht="64" customHeight="1">
      <x:c r="A1631" s="4" t="str">
        <x:v>design.audit.proposal_culture_icon.audit.in.1</x:v>
      </x:c>
      <x:c r="B1631" s="4" t="str">
        <x:v>design.audit.proposal_culture_icon</x:v>
      </x:c>
      <x:c r="C1631" s="4" t="str">
        <x:v>Ingredient candidate</x:v>
      </x:c>
      <x:c r="D1631" s="4" t="str">
        <x:v>proposal.t1.hardpart_blank</x:v>
      </x:c>
      <x:c r="E1631" s="4" t="str">
        <x:f>IFERROR(INDEX('Items'!$B$6:$B$1005,MATCH(D1631,'Items'!$A$6:$A$1005,0)),"MISSING ID")</x:f>
        <x:v>Shaped fauna hard-part blanks</x:v>
      </x:c>
      <x:c r="F1631" s="4" t="str">
        <x:f>IFERROR(INDEX('Items'!$C$6:$C$1005,MATCH(D1631,'Items'!$A$6:$A$1005,0)),"MISSING ID")</x:f>
        <x:v>T1</x:v>
      </x:c>
      <x:c r="G1631" s="4" t="str">
        <x:f>IFERROR(INDEX('Items'!$D$6:$D$1005,MATCH(D1631,'Items'!$A$6:$A$1005,0)),"MISSING ID")</x:f>
        <x:v>Manufactured stock</x:v>
      </x:c>
      <x:c r="H1631" s="4" t="str">
        <x:f>IFERROR(INDEX('Items'!$X$6:$X$1005,MATCH(D1631,'Items'!$A$6:$A$1005,0)),"MISSING ID")</x:f>
        <x:v>Processed material</x:v>
      </x:c>
      <x:c r="I1631" s="4"/>
      <x:c r="J1631" s="4" t="str">
        <x:v>Unspecified</x:v>
      </x:c>
      <x:c r="K1631" s="4" t="str">
        <x:f>IFERROR(INDEX('Crafting recipes'!$D$6:$D$1005,MATCH(B1631,'Crafting recipes'!$A$6:$A$1005,0)),"MISSING ID")</x:f>
        <x:v>Proposal</x:v>
      </x:c>
      <x:c r="L1631" s="4" t="str">
        <x:f>IFERROR(INDEX('Items'!$AD$6:$AD$1005,MATCH(D1631,'Items'!$A$6:$A$1005,0)),"MISSING ID")</x:f>
        <x:v>Proposal</x:v>
      </x:c>
      <x:c r="M1631" s="4" t="str">
        <x:f>IFERROR(INDEX('Crafting recipes'!$E$6:$E$1005,MATCH(B1631,'Crafting recipes'!$A$6:$A$1005,0)),"MISSING ID")</x:f>
        <x:v>Partial proposal</x:v>
      </x:c>
      <x:c r="N1631" s="4" t="str">
        <x:v>Partial audit candidate; quantity, fit and performance remain unresolved.</x:v>
      </x:c>
      <x:c r="O1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1" s="4" t="n">
        <x:f>IF(OR(C1631="Ingredient candidate",C1631="Consumed input",C1631="Contained input",C1631="Transform input"),IF(F1631="T0",0,IF(F1631="T1",1,IF(F1631="T2",2,IF(F1631="T3",3,IF(F1631="T4",4,-1))))),-1)</x:f>
        <x:v>1</x:v>
      </x:c>
      <x:c r="Q1631" s="4" t="n">
        <x:f>IF(AND(OR(C1631="Ingredient candidate",C1631="Consumed input",C1631="Contained input",C1631="Transform input"),P1631=-1),1,0)</x:f>
        <x:v>0</x:v>
      </x:c>
    </x:row>
    <x:row r="1632" ht="64" customHeight="1">
      <x:c r="A1632" s="4" t="str">
        <x:v>design.audit.proposal_culture_icon.audit.in.2</x:v>
      </x:c>
      <x:c r="B1632" s="4" t="str">
        <x:v>design.audit.proposal_culture_icon</x:v>
      </x:c>
      <x:c r="C1632" s="4" t="str">
        <x:v>Ingredient candidate</x:v>
      </x:c>
      <x:c r="D1632" s="4" t="str">
        <x:v>proposal.collection.drawn_bronze_strip_stock</x:v>
      </x:c>
      <x:c r="E1632" s="4" t="str">
        <x:f>IFERROR(INDEX('Items'!$B$6:$B$1005,MATCH(D1632,'Items'!$A$6:$A$1005,0)),"MISSING ID")</x:f>
        <x:v>Drawn bronze strip stock</x:v>
      </x:c>
      <x:c r="F1632" s="4" t="str">
        <x:f>IFERROR(INDEX('Items'!$C$6:$C$1005,MATCH(D1632,'Items'!$A$6:$A$1005,0)),"MISSING ID")</x:f>
        <x:v>T2</x:v>
      </x:c>
      <x:c r="G1632" s="4" t="str">
        <x:f>IFERROR(INDEX('Items'!$D$6:$D$1005,MATCH(D1632,'Items'!$A$6:$A$1005,0)),"MISSING ID")</x:f>
        <x:v>Manufactured stock</x:v>
      </x:c>
      <x:c r="H1632" s="4" t="str">
        <x:f>IFERROR(INDEX('Items'!$X$6:$X$1005,MATCH(D1632,'Items'!$A$6:$A$1005,0)),"MISSING ID")</x:f>
        <x:v>Processed material</x:v>
      </x:c>
      <x:c r="I1632" s="4"/>
      <x:c r="J1632" s="4" t="str">
        <x:v>Unspecified</x:v>
      </x:c>
      <x:c r="K1632" s="4" t="str">
        <x:f>IFERROR(INDEX('Crafting recipes'!$D$6:$D$1005,MATCH(B1632,'Crafting recipes'!$A$6:$A$1005,0)),"MISSING ID")</x:f>
        <x:v>Proposal</x:v>
      </x:c>
      <x:c r="L1632" s="4" t="str">
        <x:f>IFERROR(INDEX('Items'!$AD$6:$AD$1005,MATCH(D1632,'Items'!$A$6:$A$1005,0)),"MISSING ID")</x:f>
        <x:v>Proposal</x:v>
      </x:c>
      <x:c r="M1632" s="4" t="str">
        <x:f>IFERROR(INDEX('Crafting recipes'!$E$6:$E$1005,MATCH(B1632,'Crafting recipes'!$A$6:$A$1005,0)),"MISSING ID")</x:f>
        <x:v>Partial proposal</x:v>
      </x:c>
      <x:c r="N1632" s="4" t="str">
        <x:v>Partial audit candidate; quantity, fit and performance remain unresolved.</x:v>
      </x:c>
      <x:c r="O1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2" s="4" t="n">
        <x:f>IF(OR(C1632="Ingredient candidate",C1632="Consumed input",C1632="Contained input",C1632="Transform input"),IF(F1632="T0",0,IF(F1632="T1",1,IF(F1632="T2",2,IF(F1632="T3",3,IF(F1632="T4",4,-1))))),-1)</x:f>
        <x:v>2</x:v>
      </x:c>
      <x:c r="Q1632" s="4" t="n">
        <x:f>IF(AND(OR(C1632="Ingredient candidate",C1632="Consumed input",C1632="Contained input",C1632="Transform input"),P1632=-1),1,0)</x:f>
        <x:v>0</x:v>
      </x:c>
    </x:row>
    <x:row r="1633" ht="64" customHeight="1">
      <x:c r="A1633" s="4" t="str">
        <x:v>design.audit.proposal_culture_icon.audit.in.3</x:v>
      </x:c>
      <x:c r="B1633" s="4" t="str">
        <x:v>design.audit.proposal_culture_icon</x:v>
      </x:c>
      <x:c r="C1633" s="4" t="str">
        <x:v>Ingredient candidate</x:v>
      </x:c>
      <x:c r="D1633" s="4" t="str">
        <x:v>proposal.t1.pigment_powder</x:v>
      </x:c>
      <x:c r="E1633" s="4" t="str">
        <x:f>IFERROR(INDEX('Items'!$B$6:$B$1005,MATCH(D1633,'Items'!$A$6:$A$1005,0)),"MISSING ID")</x:f>
        <x:v>Prepared mineral pigment powder</x:v>
      </x:c>
      <x:c r="F1633" s="4" t="str">
        <x:f>IFERROR(INDEX('Items'!$C$6:$C$1005,MATCH(D1633,'Items'!$A$6:$A$1005,0)),"MISSING ID")</x:f>
        <x:v>T1</x:v>
      </x:c>
      <x:c r="G1633" s="4" t="str">
        <x:f>IFERROR(INDEX('Items'!$D$6:$D$1005,MATCH(D1633,'Items'!$A$6:$A$1005,0)),"MISSING ID")</x:f>
        <x:v>Manufactured stock</x:v>
      </x:c>
      <x:c r="H1633" s="4" t="str">
        <x:f>IFERROR(INDEX('Items'!$X$6:$X$1005,MATCH(D1633,'Items'!$A$6:$A$1005,0)),"MISSING ID")</x:f>
        <x:v>Processed material</x:v>
      </x:c>
      <x:c r="I1633" s="4"/>
      <x:c r="J1633" s="4" t="str">
        <x:v>Unspecified</x:v>
      </x:c>
      <x:c r="K1633" s="4" t="str">
        <x:f>IFERROR(INDEX('Crafting recipes'!$D$6:$D$1005,MATCH(B1633,'Crafting recipes'!$A$6:$A$1005,0)),"MISSING ID")</x:f>
        <x:v>Proposal</x:v>
      </x:c>
      <x:c r="L1633" s="4" t="str">
        <x:f>IFERROR(INDEX('Items'!$AD$6:$AD$1005,MATCH(D1633,'Items'!$A$6:$A$1005,0)),"MISSING ID")</x:f>
        <x:v>Proposal</x:v>
      </x:c>
      <x:c r="M1633" s="4" t="str">
        <x:f>IFERROR(INDEX('Crafting recipes'!$E$6:$E$1005,MATCH(B1633,'Crafting recipes'!$A$6:$A$1005,0)),"MISSING ID")</x:f>
        <x:v>Partial proposal</x:v>
      </x:c>
      <x:c r="N1633" s="4" t="str">
        <x:v>Partial audit candidate; quantity, fit and performance remain unresolved.</x:v>
      </x:c>
      <x:c r="O1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3" s="4" t="n">
        <x:f>IF(OR(C1633="Ingredient candidate",C1633="Consumed input",C1633="Contained input",C1633="Transform input"),IF(F1633="T0",0,IF(F1633="T1",1,IF(F1633="T2",2,IF(F1633="T3",3,IF(F1633="T4",4,-1))))),-1)</x:f>
        <x:v>1</x:v>
      </x:c>
      <x:c r="Q1633" s="4" t="n">
        <x:f>IF(AND(OR(C1633="Ingredient candidate",C1633="Consumed input",C1633="Contained input",C1633="Transform input"),P1633=-1),1,0)</x:f>
        <x:v>0</x:v>
      </x:c>
    </x:row>
    <x:row r="1634" ht="64" customHeight="1">
      <x:c r="A1634" s="4" t="str">
        <x:v>design.audit.proposal_culture_icon.audit.out</x:v>
      </x:c>
      <x:c r="B1634" s="4" t="str">
        <x:v>design.audit.proposal_culture_icon</x:v>
      </x:c>
      <x:c r="C1634" s="4" t="str">
        <x:v>Output</x:v>
      </x:c>
      <x:c r="D1634" s="4" t="str">
        <x:v>proposal.culture.icon</x:v>
      </x:c>
      <x:c r="E1634" s="4" t="str">
        <x:f>IFERROR(INDEX('Items'!$B$6:$B$1005,MATCH(D1634,'Items'!$A$6:$A$1005,0)),"MISSING ID")</x:f>
        <x:v>Preserver icon token</x:v>
      </x:c>
      <x:c r="F1634" s="4" t="str">
        <x:f>IFERROR(INDEX('Items'!$C$6:$C$1005,MATCH(D1634,'Items'!$A$6:$A$1005,0)),"MISSING ID")</x:f>
        <x:v>Not applicable</x:v>
      </x:c>
      <x:c r="G1634" s="4" t="str">
        <x:f>IFERROR(INDEX('Items'!$D$6:$D$1005,MATCH(D1634,'Items'!$A$6:$A$1005,0)),"MISSING ID")</x:f>
        <x:v>Salvage</x:v>
      </x:c>
      <x:c r="H1634" s="4" t="str">
        <x:f>IFERROR(INDEX('Items'!$X$6:$X$1005,MATCH(D1634,'Items'!$A$6:$A$1005,0)),"MISSING ID")</x:f>
        <x:v>Cultural object</x:v>
      </x:c>
      <x:c r="I1634" s="4"/>
      <x:c r="J1634" s="4" t="str">
        <x:v>Unspecified</x:v>
      </x:c>
      <x:c r="K1634" s="4" t="str">
        <x:f>IFERROR(INDEX('Crafting recipes'!$D$6:$D$1005,MATCH(B1634,'Crafting recipes'!$A$6:$A$1005,0)),"MISSING ID")</x:f>
        <x:v>Proposal</x:v>
      </x:c>
      <x:c r="L1634" s="4" t="str">
        <x:f>IFERROR(INDEX('Items'!$AD$6:$AD$1005,MATCH(D1634,'Items'!$A$6:$A$1005,0)),"MISSING ID")</x:f>
        <x:v>Proposal</x:v>
      </x:c>
      <x:c r="M1634" s="4" t="str">
        <x:f>IFERROR(INDEX('Crafting recipes'!$E$6:$E$1005,MATCH(B1634,'Crafting recipes'!$A$6:$A$1005,0)),"MISSING ID")</x:f>
        <x:v>Partial proposal</x:v>
      </x:c>
      <x:c r="N1634" s="4" t="str">
        <x:v>Partial audit candidate; quantity, fit and performance remain unresolved.</x:v>
      </x:c>
      <x:c r="O16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4" s="4" t="n">
        <x:f>IF(OR(C1634="Ingredient candidate",C1634="Consumed input",C1634="Contained input",C1634="Transform input"),IF(F1634="T0",0,IF(F1634="T1",1,IF(F1634="T2",2,IF(F1634="T3",3,IF(F1634="T4",4,-1))))),-1)</x:f>
        <x:v>-1</x:v>
      </x:c>
      <x:c r="Q1634" s="4" t="n">
        <x:f>IF(AND(OR(C1634="Ingredient candidate",C1634="Consumed input",C1634="Contained input",C1634="Transform input"),P1634=-1),1,0)</x:f>
        <x:v>0</x:v>
      </x:c>
    </x:row>
    <x:row r="1635" ht="64" customHeight="1">
      <x:c r="A1635" s="4" t="str">
        <x:v>design.audit.proposal_culture_shrine.audit.in.1</x:v>
      </x:c>
      <x:c r="B1635" s="4" t="str">
        <x:v>design.audit.proposal_culture_shrine</x:v>
      </x:c>
      <x:c r="C1635" s="4" t="str">
        <x:v>Ingredient candidate</x:v>
      </x:c>
      <x:c r="D1635" s="4" t="str">
        <x:v>proposal.t1.hardpart_blank</x:v>
      </x:c>
      <x:c r="E1635" s="4" t="str">
        <x:f>IFERROR(INDEX('Items'!$B$6:$B$1005,MATCH(D1635,'Items'!$A$6:$A$1005,0)),"MISSING ID")</x:f>
        <x:v>Shaped fauna hard-part blanks</x:v>
      </x:c>
      <x:c r="F1635" s="4" t="str">
        <x:f>IFERROR(INDEX('Items'!$C$6:$C$1005,MATCH(D1635,'Items'!$A$6:$A$1005,0)),"MISSING ID")</x:f>
        <x:v>T1</x:v>
      </x:c>
      <x:c r="G1635" s="4" t="str">
        <x:f>IFERROR(INDEX('Items'!$D$6:$D$1005,MATCH(D1635,'Items'!$A$6:$A$1005,0)),"MISSING ID")</x:f>
        <x:v>Manufactured stock</x:v>
      </x:c>
      <x:c r="H1635" s="4" t="str">
        <x:f>IFERROR(INDEX('Items'!$X$6:$X$1005,MATCH(D1635,'Items'!$A$6:$A$1005,0)),"MISSING ID")</x:f>
        <x:v>Processed material</x:v>
      </x:c>
      <x:c r="I1635" s="4"/>
      <x:c r="J1635" s="4" t="str">
        <x:v>Unspecified</x:v>
      </x:c>
      <x:c r="K1635" s="4" t="str">
        <x:f>IFERROR(INDEX('Crafting recipes'!$D$6:$D$1005,MATCH(B1635,'Crafting recipes'!$A$6:$A$1005,0)),"MISSING ID")</x:f>
        <x:v>Proposal</x:v>
      </x:c>
      <x:c r="L1635" s="4" t="str">
        <x:f>IFERROR(INDEX('Items'!$AD$6:$AD$1005,MATCH(D1635,'Items'!$A$6:$A$1005,0)),"MISSING ID")</x:f>
        <x:v>Proposal</x:v>
      </x:c>
      <x:c r="M1635" s="4" t="str">
        <x:f>IFERROR(INDEX('Crafting recipes'!$E$6:$E$1005,MATCH(B1635,'Crafting recipes'!$A$6:$A$1005,0)),"MISSING ID")</x:f>
        <x:v>Partial proposal</x:v>
      </x:c>
      <x:c r="N1635" s="4" t="str">
        <x:v>Partial audit candidate; quantity, fit and performance remain unresolved.</x:v>
      </x:c>
      <x:c r="O1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5" s="4" t="n">
        <x:f>IF(OR(C1635="Ingredient candidate",C1635="Consumed input",C1635="Contained input",C1635="Transform input"),IF(F1635="T0",0,IF(F1635="T1",1,IF(F1635="T2",2,IF(F1635="T3",3,IF(F1635="T4",4,-1))))),-1)</x:f>
        <x:v>1</x:v>
      </x:c>
      <x:c r="Q1635" s="4" t="n">
        <x:f>IF(AND(OR(C1635="Ingredient candidate",C1635="Consumed input",C1635="Contained input",C1635="Transform input"),P1635=-1),1,0)</x:f>
        <x:v>0</x:v>
      </x:c>
    </x:row>
    <x:row r="1636" ht="64" customHeight="1">
      <x:c r="A1636" s="4" t="str">
        <x:v>design.audit.proposal_culture_shrine.audit.in.2</x:v>
      </x:c>
      <x:c r="B1636" s="4" t="str">
        <x:v>design.audit.proposal_culture_shrine</x:v>
      </x:c>
      <x:c r="C1636" s="4" t="str">
        <x:v>Ingredient candidate</x:v>
      </x:c>
      <x:c r="D1636" s="4" t="str">
        <x:v>proposal.collection.drawn_bronze_strip_stock</x:v>
      </x:c>
      <x:c r="E1636" s="4" t="str">
        <x:f>IFERROR(INDEX('Items'!$B$6:$B$1005,MATCH(D1636,'Items'!$A$6:$A$1005,0)),"MISSING ID")</x:f>
        <x:v>Drawn bronze strip stock</x:v>
      </x:c>
      <x:c r="F1636" s="4" t="str">
        <x:f>IFERROR(INDEX('Items'!$C$6:$C$1005,MATCH(D1636,'Items'!$A$6:$A$1005,0)),"MISSING ID")</x:f>
        <x:v>T2</x:v>
      </x:c>
      <x:c r="G1636" s="4" t="str">
        <x:f>IFERROR(INDEX('Items'!$D$6:$D$1005,MATCH(D1636,'Items'!$A$6:$A$1005,0)),"MISSING ID")</x:f>
        <x:v>Manufactured stock</x:v>
      </x:c>
      <x:c r="H1636" s="4" t="str">
        <x:f>IFERROR(INDEX('Items'!$X$6:$X$1005,MATCH(D1636,'Items'!$A$6:$A$1005,0)),"MISSING ID")</x:f>
        <x:v>Processed material</x:v>
      </x:c>
      <x:c r="I1636" s="4"/>
      <x:c r="J1636" s="4" t="str">
        <x:v>Unspecified</x:v>
      </x:c>
      <x:c r="K1636" s="4" t="str">
        <x:f>IFERROR(INDEX('Crafting recipes'!$D$6:$D$1005,MATCH(B1636,'Crafting recipes'!$A$6:$A$1005,0)),"MISSING ID")</x:f>
        <x:v>Proposal</x:v>
      </x:c>
      <x:c r="L1636" s="4" t="str">
        <x:f>IFERROR(INDEX('Items'!$AD$6:$AD$1005,MATCH(D1636,'Items'!$A$6:$A$1005,0)),"MISSING ID")</x:f>
        <x:v>Proposal</x:v>
      </x:c>
      <x:c r="M1636" s="4" t="str">
        <x:f>IFERROR(INDEX('Crafting recipes'!$E$6:$E$1005,MATCH(B1636,'Crafting recipes'!$A$6:$A$1005,0)),"MISSING ID")</x:f>
        <x:v>Partial proposal</x:v>
      </x:c>
      <x:c r="N1636" s="4" t="str">
        <x:v>Partial audit candidate; quantity, fit and performance remain unresolved.</x:v>
      </x:c>
      <x:c r="O1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6" s="4" t="n">
        <x:f>IF(OR(C1636="Ingredient candidate",C1636="Consumed input",C1636="Contained input",C1636="Transform input"),IF(F1636="T0",0,IF(F1636="T1",1,IF(F1636="T2",2,IF(F1636="T3",3,IF(F1636="T4",4,-1))))),-1)</x:f>
        <x:v>2</x:v>
      </x:c>
      <x:c r="Q1636" s="4" t="n">
        <x:f>IF(AND(OR(C1636="Ingredient candidate",C1636="Consumed input",C1636="Contained input",C1636="Transform input"),P1636=-1),1,0)</x:f>
        <x:v>0</x:v>
      </x:c>
    </x:row>
    <x:row r="1637" ht="64" customHeight="1">
      <x:c r="A1637" s="4" t="str">
        <x:v>design.audit.proposal_culture_shrine.audit.in.3</x:v>
      </x:c>
      <x:c r="B1637" s="4" t="str">
        <x:v>design.audit.proposal_culture_shrine</x:v>
      </x:c>
      <x:c r="C1637" s="4" t="str">
        <x:v>Ingredient candidate</x:v>
      </x:c>
      <x:c r="D1637" s="4" t="str">
        <x:v>proposal.t1.pigment_powder</x:v>
      </x:c>
      <x:c r="E1637" s="4" t="str">
        <x:f>IFERROR(INDEX('Items'!$B$6:$B$1005,MATCH(D1637,'Items'!$A$6:$A$1005,0)),"MISSING ID")</x:f>
        <x:v>Prepared mineral pigment powder</x:v>
      </x:c>
      <x:c r="F1637" s="4" t="str">
        <x:f>IFERROR(INDEX('Items'!$C$6:$C$1005,MATCH(D1637,'Items'!$A$6:$A$1005,0)),"MISSING ID")</x:f>
        <x:v>T1</x:v>
      </x:c>
      <x:c r="G1637" s="4" t="str">
        <x:f>IFERROR(INDEX('Items'!$D$6:$D$1005,MATCH(D1637,'Items'!$A$6:$A$1005,0)),"MISSING ID")</x:f>
        <x:v>Manufactured stock</x:v>
      </x:c>
      <x:c r="H1637" s="4" t="str">
        <x:f>IFERROR(INDEX('Items'!$X$6:$X$1005,MATCH(D1637,'Items'!$A$6:$A$1005,0)),"MISSING ID")</x:f>
        <x:v>Processed material</x:v>
      </x:c>
      <x:c r="I1637" s="4"/>
      <x:c r="J1637" s="4" t="str">
        <x:v>Unspecified</x:v>
      </x:c>
      <x:c r="K1637" s="4" t="str">
        <x:f>IFERROR(INDEX('Crafting recipes'!$D$6:$D$1005,MATCH(B1637,'Crafting recipes'!$A$6:$A$1005,0)),"MISSING ID")</x:f>
        <x:v>Proposal</x:v>
      </x:c>
      <x:c r="L1637" s="4" t="str">
        <x:f>IFERROR(INDEX('Items'!$AD$6:$AD$1005,MATCH(D1637,'Items'!$A$6:$A$1005,0)),"MISSING ID")</x:f>
        <x:v>Proposal</x:v>
      </x:c>
      <x:c r="M1637" s="4" t="str">
        <x:f>IFERROR(INDEX('Crafting recipes'!$E$6:$E$1005,MATCH(B1637,'Crafting recipes'!$A$6:$A$1005,0)),"MISSING ID")</x:f>
        <x:v>Partial proposal</x:v>
      </x:c>
      <x:c r="N1637" s="4" t="str">
        <x:v>Partial audit candidate; quantity, fit and performance remain unresolved.</x:v>
      </x:c>
      <x:c r="O1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7" s="4" t="n">
        <x:f>IF(OR(C1637="Ingredient candidate",C1637="Consumed input",C1637="Contained input",C1637="Transform input"),IF(F1637="T0",0,IF(F1637="T1",1,IF(F1637="T2",2,IF(F1637="T3",3,IF(F1637="T4",4,-1))))),-1)</x:f>
        <x:v>1</x:v>
      </x:c>
      <x:c r="Q1637" s="4" t="n">
        <x:f>IF(AND(OR(C1637="Ingredient candidate",C1637="Consumed input",C1637="Contained input",C1637="Transform input"),P1637=-1),1,0)</x:f>
        <x:v>0</x:v>
      </x:c>
    </x:row>
    <x:row r="1638" ht="64" customHeight="1">
      <x:c r="A1638" s="4" t="str">
        <x:v>design.audit.proposal_culture_shrine.audit.out</x:v>
      </x:c>
      <x:c r="B1638" s="4" t="str">
        <x:v>design.audit.proposal_culture_shrine</x:v>
      </x:c>
      <x:c r="C1638" s="4" t="str">
        <x:v>Output</x:v>
      </x:c>
      <x:c r="D1638" s="4" t="str">
        <x:v>proposal.culture.shrine</x:v>
      </x:c>
      <x:c r="E1638" s="4" t="str">
        <x:f>IFERROR(INDEX('Items'!$B$6:$B$1005,MATCH(D1638,'Items'!$A$6:$A$1005,0)),"MISSING ID")</x:f>
        <x:v>Household shrine plaque</x:v>
      </x:c>
      <x:c r="F1638" s="4" t="str">
        <x:f>IFERROR(INDEX('Items'!$C$6:$C$1005,MATCH(D1638,'Items'!$A$6:$A$1005,0)),"MISSING ID")</x:f>
        <x:v>Not applicable</x:v>
      </x:c>
      <x:c r="G1638" s="4" t="str">
        <x:f>IFERROR(INDEX('Items'!$D$6:$D$1005,MATCH(D1638,'Items'!$A$6:$A$1005,0)),"MISSING ID")</x:f>
        <x:v>Salvage</x:v>
      </x:c>
      <x:c r="H1638" s="4" t="str">
        <x:f>IFERROR(INDEX('Items'!$X$6:$X$1005,MATCH(D1638,'Items'!$A$6:$A$1005,0)),"MISSING ID")</x:f>
        <x:v>Cultural object</x:v>
      </x:c>
      <x:c r="I1638" s="4"/>
      <x:c r="J1638" s="4" t="str">
        <x:v>Unspecified</x:v>
      </x:c>
      <x:c r="K1638" s="4" t="str">
        <x:f>IFERROR(INDEX('Crafting recipes'!$D$6:$D$1005,MATCH(B1638,'Crafting recipes'!$A$6:$A$1005,0)),"MISSING ID")</x:f>
        <x:v>Proposal</x:v>
      </x:c>
      <x:c r="L1638" s="4" t="str">
        <x:f>IFERROR(INDEX('Items'!$AD$6:$AD$1005,MATCH(D1638,'Items'!$A$6:$A$1005,0)),"MISSING ID")</x:f>
        <x:v>Proposal</x:v>
      </x:c>
      <x:c r="M1638" s="4" t="str">
        <x:f>IFERROR(INDEX('Crafting recipes'!$E$6:$E$1005,MATCH(B1638,'Crafting recipes'!$A$6:$A$1005,0)),"MISSING ID")</x:f>
        <x:v>Partial proposal</x:v>
      </x:c>
      <x:c r="N1638" s="4" t="str">
        <x:v>Partial audit candidate; quantity, fit and performance remain unresolved.</x:v>
      </x:c>
      <x:c r="O1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8" s="4" t="n">
        <x:f>IF(OR(C1638="Ingredient candidate",C1638="Consumed input",C1638="Contained input",C1638="Transform input"),IF(F1638="T0",0,IF(F1638="T1",1,IF(F1638="T2",2,IF(F1638="T3",3,IF(F1638="T4",4,-1))))),-1)</x:f>
        <x:v>-1</x:v>
      </x:c>
      <x:c r="Q1638" s="4" t="n">
        <x:f>IF(AND(OR(C1638="Ingredient candidate",C1638="Consumed input",C1638="Contained input",C1638="Transform input"),P1638=-1),1,0)</x:f>
        <x:v>0</x:v>
      </x:c>
    </x:row>
    <x:row r="1639" ht="64" customHeight="1">
      <x:c r="A1639" s="4"/>
      <x:c r="B1639" s="4"/>
      <x:c r="C1639" s="4"/>
      <x:c r="D1639" s="4"/>
      <x:c r="E1639" s="4"/>
      <x:c r="F1639" s="4"/>
      <x:c r="G1639" s="4"/>
      <x:c r="H1639" s="4"/>
      <x:c r="I1639" s="4"/>
      <x:c r="K1639" s="4"/>
      <x:c r="L1639" s="4"/>
      <x:c r="M1639" s="4"/>
      <x:c r="N1639" s="4"/>
      <x:c r="O1639" s="4"/>
      <x:c r="P1639" s="4"/>
      <x:c r="Q1639" s="4"/>
    </x:row>
    <x:row r="1640" ht="64" customHeight="1">
      <x:c r="A1640" s="4"/>
      <x:c r="B1640" s="4"/>
      <x:c r="C1640" s="4"/>
      <x:c r="D1640" s="4"/>
      <x:c r="E1640" s="4"/>
      <x:c r="F1640" s="4"/>
      <x:c r="G1640" s="4"/>
      <x:c r="H1640" s="4"/>
      <x:c r="I1640" s="4"/>
      <x:c r="K1640" s="4"/>
      <x:c r="L1640" s="4"/>
      <x:c r="M1640" s="4"/>
      <x:c r="N1640" s="4"/>
      <x:c r="O1640" s="4"/>
      <x:c r="P1640" s="4"/>
      <x:c r="Q1640" s="4"/>
    </x:row>
    <x:row r="1641" ht="64" customHeight="1">
      <x:c r="A1641" s="4"/>
      <x:c r="B1641" s="4"/>
      <x:c r="C1641" s="4"/>
      <x:c r="D1641" s="4"/>
      <x:c r="E1641" s="4"/>
      <x:c r="F1641" s="4"/>
      <x:c r="G1641" s="4"/>
      <x:c r="H1641" s="4"/>
      <x:c r="I1641" s="4"/>
      <x:c r="K1641" s="4"/>
      <x:c r="L1641" s="4"/>
      <x:c r="M1641" s="4"/>
      <x:c r="N1641" s="4"/>
      <x:c r="O1641" s="4"/>
      <x:c r="P1641" s="4"/>
      <x:c r="Q1641" s="4"/>
    </x:row>
    <x:row r="1642" ht="64" customHeight="1">
      <x:c r="A1642" s="4"/>
      <x:c r="B1642" s="4"/>
      <x:c r="C1642" s="4"/>
      <x:c r="D1642" s="4"/>
      <x:c r="E1642" s="4"/>
      <x:c r="F1642" s="4"/>
      <x:c r="G1642" s="4"/>
      <x:c r="H1642" s="4"/>
      <x:c r="I1642" s="4"/>
      <x:c r="K1642" s="4"/>
      <x:c r="L1642" s="4"/>
      <x:c r="M1642" s="4"/>
      <x:c r="N1642" s="4"/>
      <x:c r="O1642" s="4"/>
      <x:c r="P1642" s="4"/>
      <x:c r="Q1642" s="4"/>
    </x:row>
    <x:row r="1643" ht="64" customHeight="1">
      <x:c r="A1643" s="4" t="str">
        <x:v>design.audit.proposal_culture_reliquary.audit.in.1</x:v>
      </x:c>
      <x:c r="B1643" s="4" t="str">
        <x:v>design.audit.proposal_culture_reliquary</x:v>
      </x:c>
      <x:c r="C1643" s="4" t="str">
        <x:v>Ingredient candidate</x:v>
      </x:c>
      <x:c r="D1643" s="4" t="str">
        <x:v>proposal.branch.husk_composite</x:v>
      </x:c>
      <x:c r="E1643" s="4" t="str">
        <x:f>IFERROR(INDEX('Items'!$B$6:$B$1005,MATCH(D1643,'Items'!$A$6:$A$1005,0)),"MISSING ID")</x:f>
        <x:v>Layered husk composite stock</x:v>
      </x:c>
      <x:c r="F1643" s="4" t="str">
        <x:f>IFERROR(INDEX('Items'!$C$6:$C$1005,MATCH(D1643,'Items'!$A$6:$A$1005,0)),"MISSING ID")</x:f>
        <x:v>T3</x:v>
      </x:c>
      <x:c r="G1643" s="4" t="str">
        <x:f>IFERROR(INDEX('Items'!$D$6:$D$1005,MATCH(D1643,'Items'!$A$6:$A$1005,0)),"MISSING ID")</x:f>
        <x:v>Manufactured stock</x:v>
      </x:c>
      <x:c r="H1643" s="4" t="str">
        <x:f>IFERROR(INDEX('Items'!$X$6:$X$1005,MATCH(D1643,'Items'!$A$6:$A$1005,0)),"MISSING ID")</x:f>
        <x:v>Processed material</x:v>
      </x:c>
      <x:c r="I1643" s="4"/>
      <x:c r="J1643" s="4" t="str">
        <x:v>Unspecified</x:v>
      </x:c>
      <x:c r="K1643" s="4" t="str">
        <x:f>IFERROR(INDEX('Crafting recipes'!$D$6:$D$1005,MATCH(B1643,'Crafting recipes'!$A$6:$A$1005,0)),"MISSING ID")</x:f>
        <x:v>Proposal</x:v>
      </x:c>
      <x:c r="L1643" s="4" t="str">
        <x:f>IFERROR(INDEX('Items'!$AD$6:$AD$1005,MATCH(D1643,'Items'!$A$6:$A$1005,0)),"MISSING ID")</x:f>
        <x:v>Proposal</x:v>
      </x:c>
      <x:c r="M1643" s="4" t="str">
        <x:f>IFERROR(INDEX('Crafting recipes'!$E$6:$E$1005,MATCH(B1643,'Crafting recipes'!$A$6:$A$1005,0)),"MISSING ID")</x:f>
        <x:v>Partial proposal</x:v>
      </x:c>
      <x:c r="N1643" s="4" t="str">
        <x:v>Partial audit candidate; quantity, fit and performance remain unresolved.</x:v>
      </x:c>
      <x:c r="O1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3" s="4" t="n">
        <x:f>IF(OR(C1643="Ingredient candidate",C1643="Consumed input",C1643="Contained input",C1643="Transform input"),IF(F1643="T0",0,IF(F1643="T1",1,IF(F1643="T2",2,IF(F1643="T3",3,IF(F1643="T4",4,-1))))),-1)</x:f>
        <x:v>3</x:v>
      </x:c>
      <x:c r="Q1643" s="4" t="n">
        <x:f>IF(AND(OR(C1643="Ingredient candidate",C1643="Consumed input",C1643="Contained input",C1643="Transform input"),P1643=-1),1,0)</x:f>
        <x:v>0</x:v>
      </x:c>
    </x:row>
    <x:row r="1644" ht="64" customHeight="1">
      <x:c r="A1644" s="4" t="str">
        <x:v>design.audit.proposal_culture_reliquary.audit.in.2</x:v>
      </x:c>
      <x:c r="B1644" s="4" t="str">
        <x:v>design.audit.proposal_culture_reliquary</x:v>
      </x:c>
      <x:c r="C1644" s="4" t="str">
        <x:v>Ingredient candidate</x:v>
      </x:c>
      <x:c r="D1644" s="4" t="str">
        <x:v>proposal.audit.small_metal_hinge_pair</x:v>
      </x:c>
      <x:c r="E1644" s="4" t="str">
        <x:f>IFERROR(INDEX('Items'!$B$6:$B$1005,MATCH(D1644,'Items'!$A$6:$A$1005,0)),"MISSING ID")</x:f>
        <x:v>Small metal hinge pair</x:v>
      </x:c>
      <x:c r="F1644" s="4" t="str">
        <x:f>IFERROR(INDEX('Items'!$C$6:$C$1005,MATCH(D1644,'Items'!$A$6:$A$1005,0)),"MISSING ID")</x:f>
        <x:v>T3</x:v>
      </x:c>
      <x:c r="G1644" s="4" t="str">
        <x:f>IFERROR(INDEX('Items'!$D$6:$D$1005,MATCH(D1644,'Items'!$A$6:$A$1005,0)),"MISSING ID")</x:f>
        <x:v>Crafting components</x:v>
      </x:c>
      <x:c r="H1644" s="4" t="str">
        <x:f>IFERROR(INDEX('Items'!$X$6:$X$1005,MATCH(D1644,'Items'!$A$6:$A$1005,0)),"MISSING ID")</x:f>
        <x:v>Crafting component</x:v>
      </x:c>
      <x:c r="I1644" s="4"/>
      <x:c r="J1644" s="4" t="str">
        <x:v>Unspecified</x:v>
      </x:c>
      <x:c r="K1644" s="4" t="str">
        <x:f>IFERROR(INDEX('Crafting recipes'!$D$6:$D$1005,MATCH(B1644,'Crafting recipes'!$A$6:$A$1005,0)),"MISSING ID")</x:f>
        <x:v>Proposal</x:v>
      </x:c>
      <x:c r="L1644" s="4" t="str">
        <x:f>IFERROR(INDEX('Items'!$AD$6:$AD$1005,MATCH(D1644,'Items'!$A$6:$A$1005,0)),"MISSING ID")</x:f>
        <x:v>Proposal</x:v>
      </x:c>
      <x:c r="M1644" s="4" t="str">
        <x:f>IFERROR(INDEX('Crafting recipes'!$E$6:$E$1005,MATCH(B1644,'Crafting recipes'!$A$6:$A$1005,0)),"MISSING ID")</x:f>
        <x:v>Partial proposal</x:v>
      </x:c>
      <x:c r="N1644" s="4" t="str">
        <x:v>Partial audit candidate; quantity, fit and performance remain unresolved.</x:v>
      </x:c>
      <x:c r="O1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4" s="4" t="n">
        <x:f>IF(OR(C1644="Ingredient candidate",C1644="Consumed input",C1644="Contained input",C1644="Transform input"),IF(F1644="T0",0,IF(F1644="T1",1,IF(F1644="T2",2,IF(F1644="T3",3,IF(F1644="T4",4,-1))))),-1)</x:f>
        <x:v>3</x:v>
      </x:c>
      <x:c r="Q1644" s="4" t="n">
        <x:f>IF(AND(OR(C1644="Ingredient candidate",C1644="Consumed input",C1644="Contained input",C1644="Transform input"),P1644=-1),1,0)</x:f>
        <x:v>0</x:v>
      </x:c>
    </x:row>
    <x:row r="1645" ht="64" customHeight="1">
      <x:c r="A1645" s="4" t="str">
        <x:v>design.audit.proposal_culture_reliquary.audit.in.3</x:v>
      </x:c>
      <x:c r="B1645" s="4" t="str">
        <x:v>design.audit.proposal_culture_reliquary</x:v>
      </x:c>
      <x:c r="C1645" s="4" t="str">
        <x:v>Ingredient candidate</x:v>
      </x:c>
      <x:c r="D1645" s="4" t="str">
        <x:v>proposal.t3.packing_stock</x:v>
      </x:c>
      <x:c r="E1645" s="4" t="str">
        <x:f>IFERROR(INDEX('Items'!$B$6:$B$1005,MATCH(D1645,'Items'!$A$6:$A$1005,0)),"MISSING ID")</x:f>
        <x:v>Husk-reinforced packing stock</x:v>
      </x:c>
      <x:c r="F1645" s="4" t="str">
        <x:f>IFERROR(INDEX('Items'!$C$6:$C$1005,MATCH(D1645,'Items'!$A$6:$A$1005,0)),"MISSING ID")</x:f>
        <x:v>T3</x:v>
      </x:c>
      <x:c r="G1645" s="4" t="str">
        <x:f>IFERROR(INDEX('Items'!$D$6:$D$1005,MATCH(D1645,'Items'!$A$6:$A$1005,0)),"MISSING ID")</x:f>
        <x:v>Manufactured stock</x:v>
      </x:c>
      <x:c r="H1645" s="4" t="str">
        <x:f>IFERROR(INDEX('Items'!$X$6:$X$1005,MATCH(D1645,'Items'!$A$6:$A$1005,0)),"MISSING ID")</x:f>
        <x:v>Processed material</x:v>
      </x:c>
      <x:c r="I1645" s="4"/>
      <x:c r="J1645" s="4" t="str">
        <x:v>Unspecified</x:v>
      </x:c>
      <x:c r="K1645" s="4" t="str">
        <x:f>IFERROR(INDEX('Crafting recipes'!$D$6:$D$1005,MATCH(B1645,'Crafting recipes'!$A$6:$A$1005,0)),"MISSING ID")</x:f>
        <x:v>Proposal</x:v>
      </x:c>
      <x:c r="L1645" s="4" t="str">
        <x:f>IFERROR(INDEX('Items'!$AD$6:$AD$1005,MATCH(D1645,'Items'!$A$6:$A$1005,0)),"MISSING ID")</x:f>
        <x:v>Proposal</x:v>
      </x:c>
      <x:c r="M1645" s="4" t="str">
        <x:f>IFERROR(INDEX('Crafting recipes'!$E$6:$E$1005,MATCH(B1645,'Crafting recipes'!$A$6:$A$1005,0)),"MISSING ID")</x:f>
        <x:v>Partial proposal</x:v>
      </x:c>
      <x:c r="N1645" s="4" t="str">
        <x:v>Partial audit candidate; quantity, fit and performance remain unresolved.</x:v>
      </x:c>
      <x:c r="O1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5" s="4" t="n">
        <x:f>IF(OR(C1645="Ingredient candidate",C1645="Consumed input",C1645="Contained input",C1645="Transform input"),IF(F1645="T0",0,IF(F1645="T1",1,IF(F1645="T2",2,IF(F1645="T3",3,IF(F1645="T4",4,-1))))),-1)</x:f>
        <x:v>3</x:v>
      </x:c>
      <x:c r="Q1645" s="4" t="n">
        <x:f>IF(AND(OR(C1645="Ingredient candidate",C1645="Consumed input",C1645="Contained input",C1645="Transform input"),P1645=-1),1,0)</x:f>
        <x:v>0</x:v>
      </x:c>
    </x:row>
    <x:row r="1646" ht="64" customHeight="1">
      <x:c r="A1646" s="4" t="str">
        <x:v>design.audit.proposal_culture_reliquary.audit.out</x:v>
      </x:c>
      <x:c r="B1646" s="4" t="str">
        <x:v>design.audit.proposal_culture_reliquary</x:v>
      </x:c>
      <x:c r="C1646" s="4" t="str">
        <x:v>Output</x:v>
      </x:c>
      <x:c r="D1646" s="4" t="str">
        <x:v>proposal.culture.reliquary</x:v>
      </x:c>
      <x:c r="E1646" s="4" t="str">
        <x:f>IFERROR(INDEX('Items'!$B$6:$B$1005,MATCH(D1646,'Items'!$A$6:$A$1005,0)),"MISSING ID")</x:f>
        <x:v>Relic case</x:v>
      </x:c>
      <x:c r="F1646" s="4" t="str">
        <x:f>IFERROR(INDEX('Items'!$C$6:$C$1005,MATCH(D1646,'Items'!$A$6:$A$1005,0)),"MISSING ID")</x:f>
        <x:v>Not applicable</x:v>
      </x:c>
      <x:c r="G1646" s="4" t="str">
        <x:f>IFERROR(INDEX('Items'!$D$6:$D$1005,MATCH(D1646,'Items'!$A$6:$A$1005,0)),"MISSING ID")</x:f>
        <x:v>Salvage</x:v>
      </x:c>
      <x:c r="H1646" s="4" t="str">
        <x:f>IFERROR(INDEX('Items'!$X$6:$X$1005,MATCH(D1646,'Items'!$A$6:$A$1005,0)),"MISSING ID")</x:f>
        <x:v>Container</x:v>
      </x:c>
      <x:c r="I1646" s="4"/>
      <x:c r="J1646" s="4" t="str">
        <x:v>Unspecified</x:v>
      </x:c>
      <x:c r="K1646" s="4" t="str">
        <x:f>IFERROR(INDEX('Crafting recipes'!$D$6:$D$1005,MATCH(B1646,'Crafting recipes'!$A$6:$A$1005,0)),"MISSING ID")</x:f>
        <x:v>Proposal</x:v>
      </x:c>
      <x:c r="L1646" s="4" t="str">
        <x:f>IFERROR(INDEX('Items'!$AD$6:$AD$1005,MATCH(D1646,'Items'!$A$6:$A$1005,0)),"MISSING ID")</x:f>
        <x:v>Proposal</x:v>
      </x:c>
      <x:c r="M1646" s="4" t="str">
        <x:f>IFERROR(INDEX('Crafting recipes'!$E$6:$E$1005,MATCH(B1646,'Crafting recipes'!$A$6:$A$1005,0)),"MISSING ID")</x:f>
        <x:v>Partial proposal</x:v>
      </x:c>
      <x:c r="N1646" s="4" t="str">
        <x:v>Partial audit candidate; quantity, fit and performance remain unresolved.</x:v>
      </x:c>
      <x:c r="O1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6" s="4" t="n">
        <x:f>IF(OR(C1646="Ingredient candidate",C1646="Consumed input",C1646="Contained input",C1646="Transform input"),IF(F1646="T0",0,IF(F1646="T1",1,IF(F1646="T2",2,IF(F1646="T3",3,IF(F1646="T4",4,-1))))),-1)</x:f>
        <x:v>-1</x:v>
      </x:c>
      <x:c r="Q1646" s="4" t="n">
        <x:f>IF(AND(OR(C1646="Ingredient candidate",C1646="Consumed input",C1646="Contained input",C1646="Transform input"),P1646=-1),1,0)</x:f>
        <x:v>0</x:v>
      </x:c>
    </x:row>
    <x:row r="1647" ht="64" customHeight="1">
      <x:c r="A1647" s="4" t="str">
        <x:v>design.audit.proposal_culture_offering.audit.in.1</x:v>
      </x:c>
      <x:c r="B1647" s="4" t="str">
        <x:v>design.audit.proposal_culture_offering</x:v>
      </x:c>
      <x:c r="C1647" s="4" t="str">
        <x:v>Ingredient candidate</x:v>
      </x:c>
      <x:c r="D1647" s="4" t="str">
        <x:v>proposal.t1.hardpart_blank</x:v>
      </x:c>
      <x:c r="E1647" s="4" t="str">
        <x:f>IFERROR(INDEX('Items'!$B$6:$B$1005,MATCH(D1647,'Items'!$A$6:$A$1005,0)),"MISSING ID")</x:f>
        <x:v>Shaped fauna hard-part blanks</x:v>
      </x:c>
      <x:c r="F1647" s="4" t="str">
        <x:f>IFERROR(INDEX('Items'!$C$6:$C$1005,MATCH(D1647,'Items'!$A$6:$A$1005,0)),"MISSING ID")</x:f>
        <x:v>T1</x:v>
      </x:c>
      <x:c r="G1647" s="4" t="str">
        <x:f>IFERROR(INDEX('Items'!$D$6:$D$1005,MATCH(D1647,'Items'!$A$6:$A$1005,0)),"MISSING ID")</x:f>
        <x:v>Manufactured stock</x:v>
      </x:c>
      <x:c r="H1647" s="4" t="str">
        <x:f>IFERROR(INDEX('Items'!$X$6:$X$1005,MATCH(D1647,'Items'!$A$6:$A$1005,0)),"MISSING ID")</x:f>
        <x:v>Processed material</x:v>
      </x:c>
      <x:c r="I1647" s="4"/>
      <x:c r="J1647" s="4" t="str">
        <x:v>Unspecified</x:v>
      </x:c>
      <x:c r="K1647" s="4" t="str">
        <x:f>IFERROR(INDEX('Crafting recipes'!$D$6:$D$1005,MATCH(B1647,'Crafting recipes'!$A$6:$A$1005,0)),"MISSING ID")</x:f>
        <x:v>Proposal</x:v>
      </x:c>
      <x:c r="L1647" s="4" t="str">
        <x:f>IFERROR(INDEX('Items'!$AD$6:$AD$1005,MATCH(D1647,'Items'!$A$6:$A$1005,0)),"MISSING ID")</x:f>
        <x:v>Proposal</x:v>
      </x:c>
      <x:c r="M1647" s="4" t="str">
        <x:f>IFERROR(INDEX('Crafting recipes'!$E$6:$E$1005,MATCH(B1647,'Crafting recipes'!$A$6:$A$1005,0)),"MISSING ID")</x:f>
        <x:v>Partial proposal</x:v>
      </x:c>
      <x:c r="N1647" s="4" t="str">
        <x:v>Partial audit candidate; quantity, fit and performance remain unresolved.</x:v>
      </x:c>
      <x:c r="O1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7" s="4" t="n">
        <x:f>IF(OR(C1647="Ingredient candidate",C1647="Consumed input",C1647="Contained input",C1647="Transform input"),IF(F1647="T0",0,IF(F1647="T1",1,IF(F1647="T2",2,IF(F1647="T3",3,IF(F1647="T4",4,-1))))),-1)</x:f>
        <x:v>1</x:v>
      </x:c>
      <x:c r="Q1647" s="4" t="n">
        <x:f>IF(AND(OR(C1647="Ingredient candidate",C1647="Consumed input",C1647="Contained input",C1647="Transform input"),P1647=-1),1,0)</x:f>
        <x:v>0</x:v>
      </x:c>
    </x:row>
    <x:row r="1648" ht="64" customHeight="1">
      <x:c r="A1648" s="4" t="str">
        <x:v>design.audit.proposal_culture_offering.audit.in.2</x:v>
      </x:c>
      <x:c r="B1648" s="4" t="str">
        <x:v>design.audit.proposal_culture_offering</x:v>
      </x:c>
      <x:c r="C1648" s="4" t="str">
        <x:v>Ingredient candidate</x:v>
      </x:c>
      <x:c r="D1648" s="4" t="str">
        <x:v>proposal.collection.drawn_bronze_strip_stock</x:v>
      </x:c>
      <x:c r="E1648" s="4" t="str">
        <x:f>IFERROR(INDEX('Items'!$B$6:$B$1005,MATCH(D1648,'Items'!$A$6:$A$1005,0)),"MISSING ID")</x:f>
        <x:v>Drawn bronze strip stock</x:v>
      </x:c>
      <x:c r="F1648" s="4" t="str">
        <x:f>IFERROR(INDEX('Items'!$C$6:$C$1005,MATCH(D1648,'Items'!$A$6:$A$1005,0)),"MISSING ID")</x:f>
        <x:v>T2</x:v>
      </x:c>
      <x:c r="G1648" s="4" t="str">
        <x:f>IFERROR(INDEX('Items'!$D$6:$D$1005,MATCH(D1648,'Items'!$A$6:$A$1005,0)),"MISSING ID")</x:f>
        <x:v>Manufactured stock</x:v>
      </x:c>
      <x:c r="H1648" s="4" t="str">
        <x:f>IFERROR(INDEX('Items'!$X$6:$X$1005,MATCH(D1648,'Items'!$A$6:$A$1005,0)),"MISSING ID")</x:f>
        <x:v>Processed material</x:v>
      </x:c>
      <x:c r="I1648" s="4"/>
      <x:c r="J1648" s="4" t="str">
        <x:v>Unspecified</x:v>
      </x:c>
      <x:c r="K1648" s="4" t="str">
        <x:f>IFERROR(INDEX('Crafting recipes'!$D$6:$D$1005,MATCH(B1648,'Crafting recipes'!$A$6:$A$1005,0)),"MISSING ID")</x:f>
        <x:v>Proposal</x:v>
      </x:c>
      <x:c r="L1648" s="4" t="str">
        <x:f>IFERROR(INDEX('Items'!$AD$6:$AD$1005,MATCH(D1648,'Items'!$A$6:$A$1005,0)),"MISSING ID")</x:f>
        <x:v>Proposal</x:v>
      </x:c>
      <x:c r="M1648" s="4" t="str">
        <x:f>IFERROR(INDEX('Crafting recipes'!$E$6:$E$1005,MATCH(B1648,'Crafting recipes'!$A$6:$A$1005,0)),"MISSING ID")</x:f>
        <x:v>Partial proposal</x:v>
      </x:c>
      <x:c r="N1648" s="4" t="str">
        <x:v>Partial audit candidate; quantity, fit and performance remain unresolved.</x:v>
      </x:c>
      <x:c r="O1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8" s="4" t="n">
        <x:f>IF(OR(C1648="Ingredient candidate",C1648="Consumed input",C1648="Contained input",C1648="Transform input"),IF(F1648="T0",0,IF(F1648="T1",1,IF(F1648="T2",2,IF(F1648="T3",3,IF(F1648="T4",4,-1))))),-1)</x:f>
        <x:v>2</x:v>
      </x:c>
      <x:c r="Q1648" s="4" t="n">
        <x:f>IF(AND(OR(C1648="Ingredient candidate",C1648="Consumed input",C1648="Contained input",C1648="Transform input"),P1648=-1),1,0)</x:f>
        <x:v>0</x:v>
      </x:c>
    </x:row>
    <x:row r="1649" ht="64" customHeight="1">
      <x:c r="A1649" s="4" t="str">
        <x:v>design.audit.proposal_culture_offering.audit.in.3</x:v>
      </x:c>
      <x:c r="B1649" s="4" t="str">
        <x:v>design.audit.proposal_culture_offering</x:v>
      </x:c>
      <x:c r="C1649" s="4" t="str">
        <x:v>Ingredient candidate</x:v>
      </x:c>
      <x:c r="D1649" s="4" t="str">
        <x:v>proposal.t1.pigment_powder</x:v>
      </x:c>
      <x:c r="E1649" s="4" t="str">
        <x:f>IFERROR(INDEX('Items'!$B$6:$B$1005,MATCH(D1649,'Items'!$A$6:$A$1005,0)),"MISSING ID")</x:f>
        <x:v>Prepared mineral pigment powder</x:v>
      </x:c>
      <x:c r="F1649" s="4" t="str">
        <x:f>IFERROR(INDEX('Items'!$C$6:$C$1005,MATCH(D1649,'Items'!$A$6:$A$1005,0)),"MISSING ID")</x:f>
        <x:v>T1</x:v>
      </x:c>
      <x:c r="G1649" s="4" t="str">
        <x:f>IFERROR(INDEX('Items'!$D$6:$D$1005,MATCH(D1649,'Items'!$A$6:$A$1005,0)),"MISSING ID")</x:f>
        <x:v>Manufactured stock</x:v>
      </x:c>
      <x:c r="H1649" s="4" t="str">
        <x:f>IFERROR(INDEX('Items'!$X$6:$X$1005,MATCH(D1649,'Items'!$A$6:$A$1005,0)),"MISSING ID")</x:f>
        <x:v>Processed material</x:v>
      </x:c>
      <x:c r="I1649" s="4"/>
      <x:c r="J1649" s="4" t="str">
        <x:v>Unspecified</x:v>
      </x:c>
      <x:c r="K1649" s="4" t="str">
        <x:f>IFERROR(INDEX('Crafting recipes'!$D$6:$D$1005,MATCH(B1649,'Crafting recipes'!$A$6:$A$1005,0)),"MISSING ID")</x:f>
        <x:v>Proposal</x:v>
      </x:c>
      <x:c r="L1649" s="4" t="str">
        <x:f>IFERROR(INDEX('Items'!$AD$6:$AD$1005,MATCH(D1649,'Items'!$A$6:$A$1005,0)),"MISSING ID")</x:f>
        <x:v>Proposal</x:v>
      </x:c>
      <x:c r="M1649" s="4" t="str">
        <x:f>IFERROR(INDEX('Crafting recipes'!$E$6:$E$1005,MATCH(B1649,'Crafting recipes'!$A$6:$A$1005,0)),"MISSING ID")</x:f>
        <x:v>Partial proposal</x:v>
      </x:c>
      <x:c r="N1649" s="4" t="str">
        <x:v>Partial audit candidate; quantity, fit and performance remain unresolved.</x:v>
      </x:c>
      <x:c r="O1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9" s="4" t="n">
        <x:f>IF(OR(C1649="Ingredient candidate",C1649="Consumed input",C1649="Contained input",C1649="Transform input"),IF(F1649="T0",0,IF(F1649="T1",1,IF(F1649="T2",2,IF(F1649="T3",3,IF(F1649="T4",4,-1))))),-1)</x:f>
        <x:v>1</x:v>
      </x:c>
      <x:c r="Q1649" s="4" t="n">
        <x:f>IF(AND(OR(C1649="Ingredient candidate",C1649="Consumed input",C1649="Contained input",C1649="Transform input"),P1649=-1),1,0)</x:f>
        <x:v>0</x:v>
      </x:c>
    </x:row>
    <x:row r="1650" ht="64" customHeight="1">
      <x:c r="A1650" s="4" t="str">
        <x:v>design.audit.proposal_culture_offering.audit.out</x:v>
      </x:c>
      <x:c r="B1650" s="4" t="str">
        <x:v>design.audit.proposal_culture_offering</x:v>
      </x:c>
      <x:c r="C1650" s="4" t="str">
        <x:v>Output</x:v>
      </x:c>
      <x:c r="D1650" s="4" t="str">
        <x:v>proposal.culture.offering</x:v>
      </x:c>
      <x:c r="E1650" s="4" t="str">
        <x:f>IFERROR(INDEX('Items'!$B$6:$B$1005,MATCH(D1650,'Items'!$A$6:$A$1005,0)),"MISSING ID")</x:f>
        <x:v>Votive shell token</x:v>
      </x:c>
      <x:c r="F1650" s="4" t="str">
        <x:f>IFERROR(INDEX('Items'!$C$6:$C$1005,MATCH(D1650,'Items'!$A$6:$A$1005,0)),"MISSING ID")</x:f>
        <x:v>Not applicable</x:v>
      </x:c>
      <x:c r="G1650" s="4" t="str">
        <x:f>IFERROR(INDEX('Items'!$D$6:$D$1005,MATCH(D1650,'Items'!$A$6:$A$1005,0)),"MISSING ID")</x:f>
        <x:v>Salvage</x:v>
      </x:c>
      <x:c r="H1650" s="4" t="str">
        <x:f>IFERROR(INDEX('Items'!$X$6:$X$1005,MATCH(D1650,'Items'!$A$6:$A$1005,0)),"MISSING ID")</x:f>
        <x:v>Cultural object</x:v>
      </x:c>
      <x:c r="I1650" s="4"/>
      <x:c r="J1650" s="4" t="str">
        <x:v>Unspecified</x:v>
      </x:c>
      <x:c r="K1650" s="4" t="str">
        <x:f>IFERROR(INDEX('Crafting recipes'!$D$6:$D$1005,MATCH(B1650,'Crafting recipes'!$A$6:$A$1005,0)),"MISSING ID")</x:f>
        <x:v>Proposal</x:v>
      </x:c>
      <x:c r="L1650" s="4" t="str">
        <x:f>IFERROR(INDEX('Items'!$AD$6:$AD$1005,MATCH(D1650,'Items'!$A$6:$A$1005,0)),"MISSING ID")</x:f>
        <x:v>Proposal</x:v>
      </x:c>
      <x:c r="M1650" s="4" t="str">
        <x:f>IFERROR(INDEX('Crafting recipes'!$E$6:$E$1005,MATCH(B1650,'Crafting recipes'!$A$6:$A$1005,0)),"MISSING ID")</x:f>
        <x:v>Partial proposal</x:v>
      </x:c>
      <x:c r="N1650" s="4" t="str">
        <x:v>Partial audit candidate; quantity, fit and performance remain unresolved.</x:v>
      </x:c>
      <x:c r="O16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0" s="4" t="n">
        <x:f>IF(OR(C1650="Ingredient candidate",C1650="Consumed input",C1650="Contained input",C1650="Transform input"),IF(F1650="T0",0,IF(F1650="T1",1,IF(F1650="T2",2,IF(F1650="T3",3,IF(F1650="T4",4,-1))))),-1)</x:f>
        <x:v>-1</x:v>
      </x:c>
      <x:c r="Q1650" s="4" t="n">
        <x:f>IF(AND(OR(C1650="Ingredient candidate",C1650="Consumed input",C1650="Contained input",C1650="Transform input"),P1650=-1),1,0)</x:f>
        <x:v>0</x:v>
      </x:c>
    </x:row>
    <x:row r="1651" ht="64" customHeight="1">
      <x:c r="A1651" s="4" t="str">
        <x:v>design.audit.proposal_culture_badge.audit.in.1</x:v>
      </x:c>
      <x:c r="B1651" s="4" t="str">
        <x:v>design.audit.proposal_culture_badge</x:v>
      </x:c>
      <x:c r="C1651" s="4" t="str">
        <x:v>Ingredient candidate</x:v>
      </x:c>
      <x:c r="D1651" s="4" t="str">
        <x:v>proposal.t1.hardpart_blank</x:v>
      </x:c>
      <x:c r="E1651" s="4" t="str">
        <x:f>IFERROR(INDEX('Items'!$B$6:$B$1005,MATCH(D1651,'Items'!$A$6:$A$1005,0)),"MISSING ID")</x:f>
        <x:v>Shaped fauna hard-part blanks</x:v>
      </x:c>
      <x:c r="F1651" s="4" t="str">
        <x:f>IFERROR(INDEX('Items'!$C$6:$C$1005,MATCH(D1651,'Items'!$A$6:$A$1005,0)),"MISSING ID")</x:f>
        <x:v>T1</x:v>
      </x:c>
      <x:c r="G1651" s="4" t="str">
        <x:f>IFERROR(INDEX('Items'!$D$6:$D$1005,MATCH(D1651,'Items'!$A$6:$A$1005,0)),"MISSING ID")</x:f>
        <x:v>Manufactured stock</x:v>
      </x:c>
      <x:c r="H1651" s="4" t="str">
        <x:f>IFERROR(INDEX('Items'!$X$6:$X$1005,MATCH(D1651,'Items'!$A$6:$A$1005,0)),"MISSING ID")</x:f>
        <x:v>Processed material</x:v>
      </x:c>
      <x:c r="I1651" s="4"/>
      <x:c r="J1651" s="4" t="str">
        <x:v>Unspecified</x:v>
      </x:c>
      <x:c r="K1651" s="4" t="str">
        <x:f>IFERROR(INDEX('Crafting recipes'!$D$6:$D$1005,MATCH(B1651,'Crafting recipes'!$A$6:$A$1005,0)),"MISSING ID")</x:f>
        <x:v>Proposal</x:v>
      </x:c>
      <x:c r="L1651" s="4" t="str">
        <x:f>IFERROR(INDEX('Items'!$AD$6:$AD$1005,MATCH(D1651,'Items'!$A$6:$A$1005,0)),"MISSING ID")</x:f>
        <x:v>Proposal</x:v>
      </x:c>
      <x:c r="M1651" s="4" t="str">
        <x:f>IFERROR(INDEX('Crafting recipes'!$E$6:$E$1005,MATCH(B1651,'Crafting recipes'!$A$6:$A$1005,0)),"MISSING ID")</x:f>
        <x:v>Partial proposal</x:v>
      </x:c>
      <x:c r="N1651" s="4" t="str">
        <x:v>Partial audit candidate; quantity, fit and performance remain unresolved.</x:v>
      </x:c>
      <x:c r="O1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1" s="4" t="n">
        <x:f>IF(OR(C1651="Ingredient candidate",C1651="Consumed input",C1651="Contained input",C1651="Transform input"),IF(F1651="T0",0,IF(F1651="T1",1,IF(F1651="T2",2,IF(F1651="T3",3,IF(F1651="T4",4,-1))))),-1)</x:f>
        <x:v>1</x:v>
      </x:c>
      <x:c r="Q1651" s="4" t="n">
        <x:f>IF(AND(OR(C1651="Ingredient candidate",C1651="Consumed input",C1651="Contained input",C1651="Transform input"),P1651=-1),1,0)</x:f>
        <x:v>0</x:v>
      </x:c>
    </x:row>
    <x:row r="1652" ht="64" customHeight="1">
      <x:c r="A1652" s="4" t="str">
        <x:v>design.audit.proposal_culture_badge.audit.in.2</x:v>
      </x:c>
      <x:c r="B1652" s="4" t="str">
        <x:v>design.audit.proposal_culture_badge</x:v>
      </x:c>
      <x:c r="C1652" s="4" t="str">
        <x:v>Ingredient candidate</x:v>
      </x:c>
      <x:c r="D1652" s="4" t="str">
        <x:v>proposal.collection.drawn_bronze_strip_stock</x:v>
      </x:c>
      <x:c r="E1652" s="4" t="str">
        <x:f>IFERROR(INDEX('Items'!$B$6:$B$1005,MATCH(D1652,'Items'!$A$6:$A$1005,0)),"MISSING ID")</x:f>
        <x:v>Drawn bronze strip stock</x:v>
      </x:c>
      <x:c r="F1652" s="4" t="str">
        <x:f>IFERROR(INDEX('Items'!$C$6:$C$1005,MATCH(D1652,'Items'!$A$6:$A$1005,0)),"MISSING ID")</x:f>
        <x:v>T2</x:v>
      </x:c>
      <x:c r="G1652" s="4" t="str">
        <x:f>IFERROR(INDEX('Items'!$D$6:$D$1005,MATCH(D1652,'Items'!$A$6:$A$1005,0)),"MISSING ID")</x:f>
        <x:v>Manufactured stock</x:v>
      </x:c>
      <x:c r="H1652" s="4" t="str">
        <x:f>IFERROR(INDEX('Items'!$X$6:$X$1005,MATCH(D1652,'Items'!$A$6:$A$1005,0)),"MISSING ID")</x:f>
        <x:v>Processed material</x:v>
      </x:c>
      <x:c r="I1652" s="4"/>
      <x:c r="J1652" s="4" t="str">
        <x:v>Unspecified</x:v>
      </x:c>
      <x:c r="K1652" s="4" t="str">
        <x:f>IFERROR(INDEX('Crafting recipes'!$D$6:$D$1005,MATCH(B1652,'Crafting recipes'!$A$6:$A$1005,0)),"MISSING ID")</x:f>
        <x:v>Proposal</x:v>
      </x:c>
      <x:c r="L1652" s="4" t="str">
        <x:f>IFERROR(INDEX('Items'!$AD$6:$AD$1005,MATCH(D1652,'Items'!$A$6:$A$1005,0)),"MISSING ID")</x:f>
        <x:v>Proposal</x:v>
      </x:c>
      <x:c r="M1652" s="4" t="str">
        <x:f>IFERROR(INDEX('Crafting recipes'!$E$6:$E$1005,MATCH(B1652,'Crafting recipes'!$A$6:$A$1005,0)),"MISSING ID")</x:f>
        <x:v>Partial proposal</x:v>
      </x:c>
      <x:c r="N1652" s="4" t="str">
        <x:v>Partial audit candidate; quantity, fit and performance remain unresolved.</x:v>
      </x:c>
      <x:c r="O1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2" s="4" t="n">
        <x:f>IF(OR(C1652="Ingredient candidate",C1652="Consumed input",C1652="Contained input",C1652="Transform input"),IF(F1652="T0",0,IF(F1652="T1",1,IF(F1652="T2",2,IF(F1652="T3",3,IF(F1652="T4",4,-1))))),-1)</x:f>
        <x:v>2</x:v>
      </x:c>
      <x:c r="Q1652" s="4" t="n">
        <x:f>IF(AND(OR(C1652="Ingredient candidate",C1652="Consumed input",C1652="Contained input",C1652="Transform input"),P1652=-1),1,0)</x:f>
        <x:v>0</x:v>
      </x:c>
    </x:row>
    <x:row r="1653" ht="64" customHeight="1">
      <x:c r="A1653" s="4" t="str">
        <x:v>design.audit.proposal_culture_badge.audit.in.3</x:v>
      </x:c>
      <x:c r="B1653" s="4" t="str">
        <x:v>design.audit.proposal_culture_badge</x:v>
      </x:c>
      <x:c r="C1653" s="4" t="str">
        <x:v>Ingredient candidate</x:v>
      </x:c>
      <x:c r="D1653" s="4" t="str">
        <x:v>proposal.t1.pigment_powder</x:v>
      </x:c>
      <x:c r="E1653" s="4" t="str">
        <x:f>IFERROR(INDEX('Items'!$B$6:$B$1005,MATCH(D1653,'Items'!$A$6:$A$1005,0)),"MISSING ID")</x:f>
        <x:v>Prepared mineral pigment powder</x:v>
      </x:c>
      <x:c r="F1653" s="4" t="str">
        <x:f>IFERROR(INDEX('Items'!$C$6:$C$1005,MATCH(D1653,'Items'!$A$6:$A$1005,0)),"MISSING ID")</x:f>
        <x:v>T1</x:v>
      </x:c>
      <x:c r="G1653" s="4" t="str">
        <x:f>IFERROR(INDEX('Items'!$D$6:$D$1005,MATCH(D1653,'Items'!$A$6:$A$1005,0)),"MISSING ID")</x:f>
        <x:v>Manufactured stock</x:v>
      </x:c>
      <x:c r="H1653" s="4" t="str">
        <x:f>IFERROR(INDEX('Items'!$X$6:$X$1005,MATCH(D1653,'Items'!$A$6:$A$1005,0)),"MISSING ID")</x:f>
        <x:v>Processed material</x:v>
      </x:c>
      <x:c r="I1653" s="4"/>
      <x:c r="J1653" s="4" t="str">
        <x:v>Unspecified</x:v>
      </x:c>
      <x:c r="K1653" s="4" t="str">
        <x:f>IFERROR(INDEX('Crafting recipes'!$D$6:$D$1005,MATCH(B1653,'Crafting recipes'!$A$6:$A$1005,0)),"MISSING ID")</x:f>
        <x:v>Proposal</x:v>
      </x:c>
      <x:c r="L1653" s="4" t="str">
        <x:f>IFERROR(INDEX('Items'!$AD$6:$AD$1005,MATCH(D1653,'Items'!$A$6:$A$1005,0)),"MISSING ID")</x:f>
        <x:v>Proposal</x:v>
      </x:c>
      <x:c r="M1653" s="4" t="str">
        <x:f>IFERROR(INDEX('Crafting recipes'!$E$6:$E$1005,MATCH(B1653,'Crafting recipes'!$A$6:$A$1005,0)),"MISSING ID")</x:f>
        <x:v>Partial proposal</x:v>
      </x:c>
      <x:c r="N1653" s="4" t="str">
        <x:v>Partial audit candidate; quantity, fit and performance remain unresolved.</x:v>
      </x:c>
      <x:c r="O1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3" s="4" t="n">
        <x:f>IF(OR(C1653="Ingredient candidate",C1653="Consumed input",C1653="Contained input",C1653="Transform input"),IF(F1653="T0",0,IF(F1653="T1",1,IF(F1653="T2",2,IF(F1653="T3",3,IF(F1653="T4",4,-1))))),-1)</x:f>
        <x:v>1</x:v>
      </x:c>
      <x:c r="Q1653" s="4" t="n">
        <x:f>IF(AND(OR(C1653="Ingredient candidate",C1653="Consumed input",C1653="Contained input",C1653="Transform input"),P1653=-1),1,0)</x:f>
        <x:v>0</x:v>
      </x:c>
    </x:row>
    <x:row r="1654" ht="64" customHeight="1">
      <x:c r="A1654" s="4" t="str">
        <x:v>design.audit.proposal_culture_badge.audit.out</x:v>
      </x:c>
      <x:c r="B1654" s="4" t="str">
        <x:v>design.audit.proposal_culture_badge</x:v>
      </x:c>
      <x:c r="C1654" s="4" t="str">
        <x:v>Output</x:v>
      </x:c>
      <x:c r="D1654" s="4" t="str">
        <x:v>proposal.culture.badge</x:v>
      </x:c>
      <x:c r="E1654" s="4" t="str">
        <x:f>IFERROR(INDEX('Items'!$B$6:$B$1005,MATCH(D1654,'Items'!$A$6:$A$1005,0)),"MISSING ID")</x:f>
        <x:v>Civic office badge</x:v>
      </x:c>
      <x:c r="F1654" s="4" t="str">
        <x:f>IFERROR(INDEX('Items'!$C$6:$C$1005,MATCH(D1654,'Items'!$A$6:$A$1005,0)),"MISSING ID")</x:f>
        <x:v>Not applicable</x:v>
      </x:c>
      <x:c r="G1654" s="4" t="str">
        <x:f>IFERROR(INDEX('Items'!$D$6:$D$1005,MATCH(D1654,'Items'!$A$6:$A$1005,0)),"MISSING ID")</x:f>
        <x:v>Salvage</x:v>
      </x:c>
      <x:c r="H1654" s="4" t="str">
        <x:f>IFERROR(INDEX('Items'!$X$6:$X$1005,MATCH(D1654,'Items'!$A$6:$A$1005,0)),"MISSING ID")</x:f>
        <x:v>Cultural object</x:v>
      </x:c>
      <x:c r="I1654" s="4"/>
      <x:c r="J1654" s="4" t="str">
        <x:v>Unspecified</x:v>
      </x:c>
      <x:c r="K1654" s="4" t="str">
        <x:f>IFERROR(INDEX('Crafting recipes'!$D$6:$D$1005,MATCH(B1654,'Crafting recipes'!$A$6:$A$1005,0)),"MISSING ID")</x:f>
        <x:v>Proposal</x:v>
      </x:c>
      <x:c r="L1654" s="4" t="str">
        <x:f>IFERROR(INDEX('Items'!$AD$6:$AD$1005,MATCH(D1654,'Items'!$A$6:$A$1005,0)),"MISSING ID")</x:f>
        <x:v>Proposal</x:v>
      </x:c>
      <x:c r="M1654" s="4" t="str">
        <x:f>IFERROR(INDEX('Crafting recipes'!$E$6:$E$1005,MATCH(B1654,'Crafting recipes'!$A$6:$A$1005,0)),"MISSING ID")</x:f>
        <x:v>Partial proposal</x:v>
      </x:c>
      <x:c r="N1654" s="4" t="str">
        <x:v>Partial audit candidate; quantity, fit and performance remain unresolved.</x:v>
      </x:c>
      <x:c r="O1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4" s="4" t="n">
        <x:f>IF(OR(C1654="Ingredient candidate",C1654="Consumed input",C1654="Contained input",C1654="Transform input"),IF(F1654="T0",0,IF(F1654="T1",1,IF(F1654="T2",2,IF(F1654="T3",3,IF(F1654="T4",4,-1))))),-1)</x:f>
        <x:v>-1</x:v>
      </x:c>
      <x:c r="Q1654" s="4" t="n">
        <x:f>IF(AND(OR(C1654="Ingredient candidate",C1654="Consumed input",C1654="Contained input",C1654="Transform input"),P1654=-1),1,0)</x:f>
        <x:v>0</x:v>
      </x:c>
    </x:row>
    <x:row r="1655" ht="64" customHeight="1">
      <x:c r="A1655" s="4" t="str">
        <x:v>design.audit.proposal_culture_stamp.audit.in.1</x:v>
      </x:c>
      <x:c r="B1655" s="4" t="str">
        <x:v>design.audit.proposal_culture_stamp</x:v>
      </x:c>
      <x:c r="C1655" s="4" t="str">
        <x:v>Ingredient candidate</x:v>
      </x:c>
      <x:c r="D1655" s="4" t="str">
        <x:v>author.metallurgy.steel_stock</x:v>
      </x:c>
      <x:c r="E1655" s="4" t="str">
        <x:f>IFERROR(INDEX('Items'!$B$6:$B$1005,MATCH(D1655,'Items'!$A$6:$A$1005,0)),"MISSING ID")</x:f>
        <x:v>Steel stock</x:v>
      </x:c>
      <x:c r="F1655" s="4" t="str">
        <x:f>IFERROR(INDEX('Items'!$C$6:$C$1005,MATCH(D1655,'Items'!$A$6:$A$1005,0)),"MISSING ID")</x:f>
        <x:v>T2</x:v>
      </x:c>
      <x:c r="G1655" s="4" t="str">
        <x:f>IFERROR(INDEX('Items'!$D$6:$D$1005,MATCH(D1655,'Items'!$A$6:$A$1005,0)),"MISSING ID")</x:f>
        <x:v>Manufactured stock</x:v>
      </x:c>
      <x:c r="H1655" s="4" t="str">
        <x:f>IFERROR(INDEX('Items'!$X$6:$X$1005,MATCH(D1655,'Items'!$A$6:$A$1005,0)),"MISSING ID")</x:f>
        <x:v>Processed material</x:v>
      </x:c>
      <x:c r="I1655" s="4"/>
      <x:c r="J1655" s="4" t="str">
        <x:v>Unspecified</x:v>
      </x:c>
      <x:c r="K1655" s="4" t="str">
        <x:f>IFERROR(INDEX('Crafting recipes'!$D$6:$D$1005,MATCH(B1655,'Crafting recipes'!$A$6:$A$1005,0)),"MISSING ID")</x:f>
        <x:v>Proposal</x:v>
      </x:c>
      <x:c r="L1655" s="4" t="str">
        <x:f>IFERROR(INDEX('Items'!$AD$6:$AD$1005,MATCH(D1655,'Items'!$A$6:$A$1005,0)),"MISSING ID")</x:f>
        <x:v>Author direction</x:v>
      </x:c>
      <x:c r="M1655" s="4" t="str">
        <x:f>IFERROR(INDEX('Crafting recipes'!$E$6:$E$1005,MATCH(B1655,'Crafting recipes'!$A$6:$A$1005,0)),"MISSING ID")</x:f>
        <x:v>Partial proposal</x:v>
      </x:c>
      <x:c r="N1655" s="4" t="str">
        <x:v>Partial audit candidate; quantity, fit and performance remain unresolved.</x:v>
      </x:c>
      <x:c r="O1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5" s="4" t="n">
        <x:f>IF(OR(C1655="Ingredient candidate",C1655="Consumed input",C1655="Contained input",C1655="Transform input"),IF(F1655="T0",0,IF(F1655="T1",1,IF(F1655="T2",2,IF(F1655="T3",3,IF(F1655="T4",4,-1))))),-1)</x:f>
        <x:v>2</x:v>
      </x:c>
      <x:c r="Q1655" s="4" t="n">
        <x:f>IF(AND(OR(C1655="Ingredient candidate",C1655="Consumed input",C1655="Contained input",C1655="Transform input"),P1655=-1),1,0)</x:f>
        <x:v>0</x:v>
      </x:c>
    </x:row>
    <x:row r="1656" ht="64" customHeight="1">
      <x:c r="A1656" s="4" t="str">
        <x:v>design.audit.proposal_culture_stamp.audit.in.2</x:v>
      </x:c>
      <x:c r="B1656" s="4" t="str">
        <x:v>design.audit.proposal_culture_stamp</x:v>
      </x:c>
      <x:c r="C1656" s="4" t="str">
        <x:v>Ingredient candidate</x:v>
      </x:c>
      <x:c r="D1656" s="4" t="str">
        <x:v>proposal.audit.shaped_metal_grip_blank</x:v>
      </x:c>
      <x:c r="E1656" s="4" t="str">
        <x:f>IFERROR(INDEX('Items'!$B$6:$B$1005,MATCH(D1656,'Items'!$A$6:$A$1005,0)),"MISSING ID")</x:f>
        <x:v>Shaped metal grip blank</x:v>
      </x:c>
      <x:c r="F1656" s="4" t="str">
        <x:f>IFERROR(INDEX('Items'!$C$6:$C$1005,MATCH(D1656,'Items'!$A$6:$A$1005,0)),"MISSING ID")</x:f>
        <x:v>T3</x:v>
      </x:c>
      <x:c r="G1656" s="4" t="str">
        <x:f>IFERROR(INDEX('Items'!$D$6:$D$1005,MATCH(D1656,'Items'!$A$6:$A$1005,0)),"MISSING ID")</x:f>
        <x:v>Crafting components</x:v>
      </x:c>
      <x:c r="H1656" s="4" t="str">
        <x:f>IFERROR(INDEX('Items'!$X$6:$X$1005,MATCH(D1656,'Items'!$A$6:$A$1005,0)),"MISSING ID")</x:f>
        <x:v>Crafting component</x:v>
      </x:c>
      <x:c r="I1656" s="4"/>
      <x:c r="J1656" s="4" t="str">
        <x:v>Unspecified</x:v>
      </x:c>
      <x:c r="K1656" s="4" t="str">
        <x:f>IFERROR(INDEX('Crafting recipes'!$D$6:$D$1005,MATCH(B1656,'Crafting recipes'!$A$6:$A$1005,0)),"MISSING ID")</x:f>
        <x:v>Proposal</x:v>
      </x:c>
      <x:c r="L1656" s="4" t="str">
        <x:f>IFERROR(INDEX('Items'!$AD$6:$AD$1005,MATCH(D1656,'Items'!$A$6:$A$1005,0)),"MISSING ID")</x:f>
        <x:v>Proposal</x:v>
      </x:c>
      <x:c r="M1656" s="4" t="str">
        <x:f>IFERROR(INDEX('Crafting recipes'!$E$6:$E$1005,MATCH(B1656,'Crafting recipes'!$A$6:$A$1005,0)),"MISSING ID")</x:f>
        <x:v>Partial proposal</x:v>
      </x:c>
      <x:c r="N1656" s="4" t="str">
        <x:v>Partial audit candidate; quantity, fit and performance remain unresolved.</x:v>
      </x:c>
      <x:c r="O1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6" s="4" t="n">
        <x:f>IF(OR(C1656="Ingredient candidate",C1656="Consumed input",C1656="Contained input",C1656="Transform input"),IF(F1656="T0",0,IF(F1656="T1",1,IF(F1656="T2",2,IF(F1656="T3",3,IF(F1656="T4",4,-1))))),-1)</x:f>
        <x:v>3</x:v>
      </x:c>
      <x:c r="Q1656" s="4" t="n">
        <x:f>IF(AND(OR(C1656="Ingredient candidate",C1656="Consumed input",C1656="Contained input",C1656="Transform input"),P1656=-1),1,0)</x:f>
        <x:v>0</x:v>
      </x:c>
    </x:row>
    <x:row r="1657" ht="64" customHeight="1">
      <x:c r="A1657" s="4" t="str">
        <x:v>design.audit.proposal_culture_stamp.audit.out</x:v>
      </x:c>
      <x:c r="B1657" s="4" t="str">
        <x:v>design.audit.proposal_culture_stamp</x:v>
      </x:c>
      <x:c r="C1657" s="4" t="str">
        <x:v>Output</x:v>
      </x:c>
      <x:c r="D1657" s="4" t="str">
        <x:v>proposal.culture.stamp</x:v>
      </x:c>
      <x:c r="E1657" s="4" t="str">
        <x:f>IFERROR(INDEX('Items'!$B$6:$B$1005,MATCH(D1657,'Items'!$A$6:$A$1005,0)),"MISSING ID")</x:f>
        <x:v>Official seal stamp</x:v>
      </x:c>
      <x:c r="F1657" s="4" t="str">
        <x:f>IFERROR(INDEX('Items'!$C$6:$C$1005,MATCH(D1657,'Items'!$A$6:$A$1005,0)),"MISSING ID")</x:f>
        <x:v>Not applicable</x:v>
      </x:c>
      <x:c r="G1657" s="4" t="str">
        <x:f>IFERROR(INDEX('Items'!$D$6:$D$1005,MATCH(D1657,'Items'!$A$6:$A$1005,0)),"MISSING ID")</x:f>
        <x:v>Salvage</x:v>
      </x:c>
      <x:c r="H1657" s="4" t="str">
        <x:f>IFERROR(INDEX('Items'!$X$6:$X$1005,MATCH(D1657,'Items'!$A$6:$A$1005,0)),"MISSING ID")</x:f>
        <x:v>Tool</x:v>
      </x:c>
      <x:c r="I1657" s="4"/>
      <x:c r="J1657" s="4" t="str">
        <x:v>Unspecified</x:v>
      </x:c>
      <x:c r="K1657" s="4" t="str">
        <x:f>IFERROR(INDEX('Crafting recipes'!$D$6:$D$1005,MATCH(B1657,'Crafting recipes'!$A$6:$A$1005,0)),"MISSING ID")</x:f>
        <x:v>Proposal</x:v>
      </x:c>
      <x:c r="L1657" s="4" t="str">
        <x:f>IFERROR(INDEX('Items'!$AD$6:$AD$1005,MATCH(D1657,'Items'!$A$6:$A$1005,0)),"MISSING ID")</x:f>
        <x:v>Proposal</x:v>
      </x:c>
      <x:c r="M1657" s="4" t="str">
        <x:f>IFERROR(INDEX('Crafting recipes'!$E$6:$E$1005,MATCH(B1657,'Crafting recipes'!$A$6:$A$1005,0)),"MISSING ID")</x:f>
        <x:v>Partial proposal</x:v>
      </x:c>
      <x:c r="N1657" s="4" t="str">
        <x:v>Partial audit candidate; quantity, fit and performance remain unresolved.</x:v>
      </x:c>
      <x:c r="O1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7" s="4" t="n">
        <x:f>IF(OR(C1657="Ingredient candidate",C1657="Consumed input",C1657="Contained input",C1657="Transform input"),IF(F1657="T0",0,IF(F1657="T1",1,IF(F1657="T2",2,IF(F1657="T3",3,IF(F1657="T4",4,-1))))),-1)</x:f>
        <x:v>-1</x:v>
      </x:c>
      <x:c r="Q1657" s="4" t="n">
        <x:f>IF(AND(OR(C1657="Ingredient candidate",C1657="Consumed input",C1657="Contained input",C1657="Transform input"),P1657=-1),1,0)</x:f>
        <x:v>0</x:v>
      </x:c>
    </x:row>
    <x:row r="1658" ht="64" customHeight="1">
      <x:c r="A1658" s="4"/>
      <x:c r="B1658" s="4"/>
      <x:c r="C1658" s="4"/>
      <x:c r="D1658" s="4"/>
      <x:c r="E1658" s="4"/>
      <x:c r="F1658" s="4"/>
      <x:c r="G1658" s="4"/>
      <x:c r="H1658" s="4"/>
      <x:c r="I1658" s="4"/>
      <x:c r="J1658" s="4"/>
      <x:c r="K1658" s="4"/>
      <x:c r="L1658" s="4"/>
      <x:c r="M1658" s="4"/>
      <x:c r="N1658" s="4"/>
      <x:c r="O1658" s="4"/>
      <x:c r="P1658" s="4"/>
      <x:c r="Q1658" s="4"/>
    </x:row>
    <x:row r="1659" ht="64" customHeight="1">
      <x:c r="A1659" s="4"/>
      <x:c r="B1659" s="4"/>
      <x:c r="C1659" s="4"/>
      <x:c r="D1659" s="4"/>
      <x:c r="E1659" s="4"/>
      <x:c r="F1659" s="4"/>
      <x:c r="G1659" s="4"/>
      <x:c r="H1659" s="4"/>
      <x:c r="I1659" s="4"/>
      <x:c r="J1659" s="4"/>
      <x:c r="K1659" s="4"/>
      <x:c r="L1659" s="4"/>
      <x:c r="M1659" s="4"/>
      <x:c r="N1659" s="4"/>
      <x:c r="O1659" s="4"/>
      <x:c r="P1659" s="4"/>
      <x:c r="Q1659" s="4"/>
    </x:row>
    <x:row r="1660" ht="64" customHeight="1">
      <x:c r="A1660" s="4"/>
      <x:c r="B1660" s="4"/>
      <x:c r="C1660" s="4"/>
      <x:c r="D1660" s="4"/>
      <x:c r="E1660" s="4"/>
      <x:c r="F1660" s="4"/>
      <x:c r="G1660" s="4"/>
      <x:c r="H1660" s="4"/>
      <x:c r="I1660" s="4"/>
      <x:c r="J1660" s="4"/>
      <x:c r="K1660" s="4"/>
      <x:c r="L1660" s="4"/>
      <x:c r="M1660" s="4"/>
      <x:c r="N1660" s="4"/>
      <x:c r="O1660" s="4"/>
      <x:c r="P1660" s="4"/>
      <x:c r="Q1660" s="4"/>
    </x:row>
    <x:row r="1661" ht="64" customHeight="1">
      <x:c r="A1661" s="4"/>
      <x:c r="B1661" s="4"/>
      <x:c r="C1661" s="4"/>
      <x:c r="D1661" s="4"/>
      <x:c r="E1661" s="4"/>
      <x:c r="F1661" s="4"/>
      <x:c r="G1661" s="4"/>
      <x:c r="H1661" s="4"/>
      <x:c r="I1661" s="4"/>
      <x:c r="J1661" s="4"/>
      <x:c r="K1661" s="4"/>
      <x:c r="L1661" s="4"/>
      <x:c r="M1661" s="4"/>
      <x:c r="N1661" s="4"/>
      <x:c r="O1661" s="4"/>
      <x:c r="P1661" s="4"/>
      <x:c r="Q1661" s="4"/>
    </x:row>
    <x:row r="1662" ht="64" customHeight="1">
      <x:c r="A1662" s="4"/>
      <x:c r="B1662" s="4"/>
      <x:c r="C1662" s="4"/>
      <x:c r="D1662" s="4"/>
      <x:c r="E1662" s="4"/>
      <x:c r="F1662" s="4"/>
      <x:c r="G1662" s="4"/>
      <x:c r="H1662" s="4"/>
      <x:c r="I1662" s="4"/>
      <x:c r="J1662" s="4"/>
      <x:c r="K1662" s="4"/>
      <x:c r="L1662" s="4"/>
      <x:c r="M1662" s="4"/>
      <x:c r="N1662" s="4"/>
      <x:c r="O1662" s="4"/>
      <x:c r="P1662" s="4"/>
      <x:c r="Q1662" s="4"/>
    </x:row>
    <x:row r="1663" ht="64" customHeight="1">
      <x:c r="A1663" s="4"/>
      <x:c r="B1663" s="4"/>
      <x:c r="C1663" s="4"/>
      <x:c r="D1663" s="4"/>
      <x:c r="E1663" s="4"/>
      <x:c r="F1663" s="4"/>
      <x:c r="G1663" s="4"/>
      <x:c r="H1663" s="4"/>
      <x:c r="I1663" s="4"/>
      <x:c r="J1663" s="4"/>
      <x:c r="K1663" s="4"/>
      <x:c r="L1663" s="4"/>
      <x:c r="M1663" s="4"/>
      <x:c r="N1663" s="4"/>
      <x:c r="O1663" s="4"/>
      <x:c r="P1663" s="4"/>
      <x:c r="Q1663" s="4"/>
    </x:row>
    <x:row r="1664" ht="64" customHeight="1">
      <x:c r="A1664" s="4"/>
      <x:c r="B1664" s="4"/>
      <x:c r="C1664" s="4"/>
      <x:c r="D1664" s="4"/>
      <x:c r="E1664" s="4"/>
      <x:c r="F1664" s="4"/>
      <x:c r="G1664" s="4"/>
      <x:c r="H1664" s="4"/>
      <x:c r="I1664" s="4"/>
      <x:c r="J1664" s="4"/>
      <x:c r="K1664" s="4"/>
      <x:c r="L1664" s="4"/>
      <x:c r="M1664" s="4"/>
      <x:c r="N1664" s="4"/>
      <x:c r="O1664" s="4"/>
      <x:c r="P1664" s="4"/>
      <x:c r="Q1664" s="4"/>
    </x:row>
    <x:row r="1665" ht="64" customHeight="1">
      <x:c r="A1665" s="4"/>
      <x:c r="B1665" s="4"/>
      <x:c r="C1665" s="4"/>
      <x:c r="D1665" s="4"/>
      <x:c r="E1665" s="4"/>
      <x:c r="F1665" s="4"/>
      <x:c r="G1665" s="4"/>
      <x:c r="H1665" s="4"/>
      <x:c r="I1665" s="4"/>
      <x:c r="J1665" s="4"/>
      <x:c r="K1665" s="4"/>
      <x:c r="L1665" s="4"/>
      <x:c r="M1665" s="4"/>
      <x:c r="N1665" s="4"/>
      <x:c r="O1665" s="4"/>
      <x:c r="P1665" s="4"/>
      <x:c r="Q1665" s="4"/>
    </x:row>
    <x:row r="1666" ht="64" customHeight="1">
      <x:c r="A1666" s="4"/>
      <x:c r="B1666" s="4"/>
      <x:c r="C1666" s="4"/>
      <x:c r="D1666" s="4"/>
      <x:c r="E1666" s="4"/>
      <x:c r="F1666" s="4"/>
      <x:c r="G1666" s="4"/>
      <x:c r="H1666" s="4"/>
      <x:c r="I1666" s="4"/>
      <x:c r="J1666" s="4"/>
      <x:c r="K1666" s="4"/>
      <x:c r="L1666" s="4"/>
      <x:c r="M1666" s="4"/>
      <x:c r="N1666" s="4"/>
      <x:c r="O1666" s="4"/>
      <x:c r="P1666" s="4"/>
      <x:c r="Q1666" s="4"/>
    </x:row>
    <x:row r="1667" ht="64" customHeight="1">
      <x:c r="A1667" s="4"/>
      <x:c r="B1667" s="4"/>
      <x:c r="C1667" s="4"/>
      <x:c r="D1667" s="4"/>
      <x:c r="E1667" s="4"/>
      <x:c r="F1667" s="4"/>
      <x:c r="G1667" s="4"/>
      <x:c r="H1667" s="4"/>
      <x:c r="I1667" s="4"/>
      <x:c r="J1667" s="4"/>
      <x:c r="K1667" s="4"/>
      <x:c r="L1667" s="4"/>
      <x:c r="M1667" s="4"/>
      <x:c r="N1667" s="4"/>
      <x:c r="O1667" s="4"/>
      <x:c r="P1667" s="4"/>
      <x:c r="Q1667" s="4"/>
    </x:row>
    <x:row r="1668" ht="64" customHeight="1">
      <x:c r="A1668" s="4"/>
      <x:c r="B1668" s="4"/>
      <x:c r="C1668" s="4"/>
      <x:c r="D1668" s="4"/>
      <x:c r="E1668" s="4"/>
      <x:c r="F1668" s="4"/>
      <x:c r="G1668" s="4"/>
      <x:c r="H1668" s="4"/>
      <x:c r="I1668" s="4"/>
      <x:c r="J1668" s="4"/>
      <x:c r="K1668" s="4"/>
      <x:c r="L1668" s="4"/>
      <x:c r="M1668" s="4"/>
      <x:c r="N1668" s="4"/>
      <x:c r="O1668" s="4"/>
      <x:c r="P1668" s="4"/>
      <x:c r="Q1668" s="4"/>
    </x:row>
    <x:row r="1669" ht="64" customHeight="1">
      <x:c r="A1669" s="4"/>
      <x:c r="B1669" s="4"/>
      <x:c r="C1669" s="4"/>
      <x:c r="D1669" s="4"/>
      <x:c r="E1669" s="4"/>
      <x:c r="F1669" s="4"/>
      <x:c r="G1669" s="4"/>
      <x:c r="H1669" s="4"/>
      <x:c r="I1669" s="4"/>
      <x:c r="J1669" s="4"/>
      <x:c r="K1669" s="4"/>
      <x:c r="L1669" s="4"/>
      <x:c r="M1669" s="4"/>
      <x:c r="N1669" s="4"/>
      <x:c r="O1669" s="4"/>
      <x:c r="P1669" s="4"/>
      <x:c r="Q1669" s="4"/>
    </x:row>
    <x:row r="1670" ht="64" customHeight="1">
      <x:c r="A1670" s="4"/>
      <x:c r="B1670" s="4"/>
      <x:c r="C1670" s="4"/>
      <x:c r="D1670" s="4"/>
      <x:c r="E1670" s="4"/>
      <x:c r="F1670" s="4"/>
      <x:c r="G1670" s="4"/>
      <x:c r="H1670" s="4"/>
      <x:c r="I1670" s="4"/>
      <x:c r="J1670" s="4"/>
      <x:c r="K1670" s="4"/>
      <x:c r="L1670" s="4"/>
      <x:c r="M1670" s="4"/>
      <x:c r="N1670" s="4"/>
      <x:c r="O1670" s="4"/>
      <x:c r="P1670" s="4"/>
      <x:c r="Q1670" s="4"/>
    </x:row>
    <x:row r="1671" ht="64" customHeight="1">
      <x:c r="A1671" s="4" t="str">
        <x:v>design.audit.proposal_culture_pilgrim_die.audit.in.1</x:v>
      </x:c>
      <x:c r="B1671" s="4" t="str">
        <x:v>design.audit.proposal_culture_pilgrim_die</x:v>
      </x:c>
      <x:c r="C1671" s="4" t="str">
        <x:v>Ingredient candidate</x:v>
      </x:c>
      <x:c r="D1671" s="4" t="str">
        <x:v>author.metallurgy.steel_stock</x:v>
      </x:c>
      <x:c r="E1671" s="4" t="str">
        <x:f>IFERROR(INDEX('Items'!$B$6:$B$1005,MATCH(D1671,'Items'!$A$6:$A$1005,0)),"MISSING ID")</x:f>
        <x:v>Steel stock</x:v>
      </x:c>
      <x:c r="F1671" s="4" t="str">
        <x:f>IFERROR(INDEX('Items'!$C$6:$C$1005,MATCH(D1671,'Items'!$A$6:$A$1005,0)),"MISSING ID")</x:f>
        <x:v>T2</x:v>
      </x:c>
      <x:c r="G1671" s="4" t="str">
        <x:f>IFERROR(INDEX('Items'!$D$6:$D$1005,MATCH(D1671,'Items'!$A$6:$A$1005,0)),"MISSING ID")</x:f>
        <x:v>Manufactured stock</x:v>
      </x:c>
      <x:c r="H1671" s="4" t="str">
        <x:f>IFERROR(INDEX('Items'!$X$6:$X$1005,MATCH(D1671,'Items'!$A$6:$A$1005,0)),"MISSING ID")</x:f>
        <x:v>Processed material</x:v>
      </x:c>
      <x:c r="I1671" s="4"/>
      <x:c r="J1671" s="4" t="str">
        <x:v>Unspecified</x:v>
      </x:c>
      <x:c r="K1671" s="4" t="str">
        <x:f>IFERROR(INDEX('Crafting recipes'!$D$6:$D$1005,MATCH(B1671,'Crafting recipes'!$A$6:$A$1005,0)),"MISSING ID")</x:f>
        <x:v>Proposal</x:v>
      </x:c>
      <x:c r="L1671" s="4" t="str">
        <x:f>IFERROR(INDEX('Items'!$AD$6:$AD$1005,MATCH(D1671,'Items'!$A$6:$A$1005,0)),"MISSING ID")</x:f>
        <x:v>Author direction</x:v>
      </x:c>
      <x:c r="M1671" s="4" t="str">
        <x:f>IFERROR(INDEX('Crafting recipes'!$E$6:$E$1005,MATCH(B1671,'Crafting recipes'!$A$6:$A$1005,0)),"MISSING ID")</x:f>
        <x:v>Partial proposal</x:v>
      </x:c>
      <x:c r="N1671" s="4" t="str">
        <x:v>Partial audit candidate; quantity, fit and performance remain unresolved.</x:v>
      </x:c>
      <x:c r="O16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1" s="4" t="n">
        <x:f>IF(OR(C1671="Ingredient candidate",C1671="Consumed input",C1671="Contained input",C1671="Transform input"),IF(F1671="T0",0,IF(F1671="T1",1,IF(F1671="T2",2,IF(F1671="T3",3,IF(F1671="T4",4,-1))))),-1)</x:f>
        <x:v>2</x:v>
      </x:c>
      <x:c r="Q1671" s="4" t="n">
        <x:f>IF(AND(OR(C1671="Ingredient candidate",C1671="Consumed input",C1671="Contained input",C1671="Transform input"),P1671=-1),1,0)</x:f>
        <x:v>0</x:v>
      </x:c>
    </x:row>
    <x:row r="1672" ht="64" customHeight="1">
      <x:c r="A1672" s="4" t="str">
        <x:v>design.audit.proposal_culture_pilgrim_die.audit.out</x:v>
      </x:c>
      <x:c r="B1672" s="4" t="str">
        <x:v>design.audit.proposal_culture_pilgrim_die</x:v>
      </x:c>
      <x:c r="C1672" s="4" t="str">
        <x:v>Output</x:v>
      </x:c>
      <x:c r="D1672" s="4" t="str">
        <x:v>proposal.culture.pilgrim_die</x:v>
      </x:c>
      <x:c r="E1672" s="4" t="str">
        <x:f>IFERROR(INDEX('Items'!$B$6:$B$1005,MATCH(D1672,'Items'!$A$6:$A$1005,0)),"MISSING ID")</x:f>
        <x:v>Pilgrimage marking die</x:v>
      </x:c>
      <x:c r="F1672" s="4" t="str">
        <x:f>IFERROR(INDEX('Items'!$C$6:$C$1005,MATCH(D1672,'Items'!$A$6:$A$1005,0)),"MISSING ID")</x:f>
        <x:v>Not applicable</x:v>
      </x:c>
      <x:c r="G1672" s="4" t="str">
        <x:f>IFERROR(INDEX('Items'!$D$6:$D$1005,MATCH(D1672,'Items'!$A$6:$A$1005,0)),"MISSING ID")</x:f>
        <x:v>Salvage</x:v>
      </x:c>
      <x:c r="H1672" s="4" t="str">
        <x:f>IFERROR(INDEX('Items'!$X$6:$X$1005,MATCH(D1672,'Items'!$A$6:$A$1005,0)),"MISSING ID")</x:f>
        <x:v>Tool</x:v>
      </x:c>
      <x:c r="I1672" s="4"/>
      <x:c r="J1672" s="4" t="str">
        <x:v>Unspecified</x:v>
      </x:c>
      <x:c r="K1672" s="4" t="str">
        <x:f>IFERROR(INDEX('Crafting recipes'!$D$6:$D$1005,MATCH(B1672,'Crafting recipes'!$A$6:$A$1005,0)),"MISSING ID")</x:f>
        <x:v>Proposal</x:v>
      </x:c>
      <x:c r="L1672" s="4" t="str">
        <x:f>IFERROR(INDEX('Items'!$AD$6:$AD$1005,MATCH(D1672,'Items'!$A$6:$A$1005,0)),"MISSING ID")</x:f>
        <x:v>Proposal</x:v>
      </x:c>
      <x:c r="M1672" s="4" t="str">
        <x:f>IFERROR(INDEX('Crafting recipes'!$E$6:$E$1005,MATCH(B1672,'Crafting recipes'!$A$6:$A$1005,0)),"MISSING ID")</x:f>
        <x:v>Partial proposal</x:v>
      </x:c>
      <x:c r="N1672" s="4" t="str">
        <x:v>Partial audit candidate; quantity, fit and performance remain unresolved.</x:v>
      </x:c>
      <x:c r="O16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2" s="4" t="n">
        <x:f>IF(OR(C1672="Ingredient candidate",C1672="Consumed input",C1672="Contained input",C1672="Transform input"),IF(F1672="T0",0,IF(F1672="T1",1,IF(F1672="T2",2,IF(F1672="T3",3,IF(F1672="T4",4,-1))))),-1)</x:f>
        <x:v>-1</x:v>
      </x:c>
      <x:c r="Q1672" s="4" t="n">
        <x:f>IF(AND(OR(C1672="Ingredient candidate",C1672="Consumed input",C1672="Contained input",C1672="Transform input"),P1672=-1),1,0)</x:f>
        <x:v>0</x:v>
      </x:c>
    </x:row>
    <x:row r="1673" ht="64" customHeight="1">
      <x:c r="A1673" s="4" t="str">
        <x:v>design.audit.proposal_culture_memorial.audit.in.1</x:v>
      </x:c>
      <x:c r="B1673" s="4" t="str">
        <x:v>design.audit.proposal_culture_memorial</x:v>
      </x:c>
      <x:c r="C1673" s="4" t="str">
        <x:v>Ingredient candidate</x:v>
      </x:c>
      <x:c r="D1673" s="4" t="str">
        <x:v>proposal.t1.hardpart_blank</x:v>
      </x:c>
      <x:c r="E1673" s="4" t="str">
        <x:f>IFERROR(INDEX('Items'!$B$6:$B$1005,MATCH(D1673,'Items'!$A$6:$A$1005,0)),"MISSING ID")</x:f>
        <x:v>Shaped fauna hard-part blanks</x:v>
      </x:c>
      <x:c r="F1673" s="4" t="str">
        <x:f>IFERROR(INDEX('Items'!$C$6:$C$1005,MATCH(D1673,'Items'!$A$6:$A$1005,0)),"MISSING ID")</x:f>
        <x:v>T1</x:v>
      </x:c>
      <x:c r="G1673" s="4" t="str">
        <x:f>IFERROR(INDEX('Items'!$D$6:$D$1005,MATCH(D1673,'Items'!$A$6:$A$1005,0)),"MISSING ID")</x:f>
        <x:v>Manufactured stock</x:v>
      </x:c>
      <x:c r="H1673" s="4" t="str">
        <x:f>IFERROR(INDEX('Items'!$X$6:$X$1005,MATCH(D1673,'Items'!$A$6:$A$1005,0)),"MISSING ID")</x:f>
        <x:v>Processed material</x:v>
      </x:c>
      <x:c r="I1673" s="4"/>
      <x:c r="J1673" s="4" t="str">
        <x:v>Unspecified</x:v>
      </x:c>
      <x:c r="K1673" s="4" t="str">
        <x:f>IFERROR(INDEX('Crafting recipes'!$D$6:$D$1005,MATCH(B1673,'Crafting recipes'!$A$6:$A$1005,0)),"MISSING ID")</x:f>
        <x:v>Proposal</x:v>
      </x:c>
      <x:c r="L1673" s="4" t="str">
        <x:f>IFERROR(INDEX('Items'!$AD$6:$AD$1005,MATCH(D1673,'Items'!$A$6:$A$1005,0)),"MISSING ID")</x:f>
        <x:v>Proposal</x:v>
      </x:c>
      <x:c r="M1673" s="4" t="str">
        <x:f>IFERROR(INDEX('Crafting recipes'!$E$6:$E$1005,MATCH(B1673,'Crafting recipes'!$A$6:$A$1005,0)),"MISSING ID")</x:f>
        <x:v>Partial proposal</x:v>
      </x:c>
      <x:c r="N1673" s="4" t="str">
        <x:v>Partial audit candidate; quantity, fit and performance remain unresolved.</x:v>
      </x:c>
      <x:c r="O16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3" s="4" t="n">
        <x:f>IF(OR(C1673="Ingredient candidate",C1673="Consumed input",C1673="Contained input",C1673="Transform input"),IF(F1673="T0",0,IF(F1673="T1",1,IF(F1673="T2",2,IF(F1673="T3",3,IF(F1673="T4",4,-1))))),-1)</x:f>
        <x:v>1</x:v>
      </x:c>
      <x:c r="Q1673" s="4" t="n">
        <x:f>IF(AND(OR(C1673="Ingredient candidate",C1673="Consumed input",C1673="Contained input",C1673="Transform input"),P1673=-1),1,0)</x:f>
        <x:v>0</x:v>
      </x:c>
    </x:row>
    <x:row r="1674" ht="64" customHeight="1">
      <x:c r="A1674" s="4" t="str">
        <x:v>design.audit.proposal_culture_memorial.audit.in.2</x:v>
      </x:c>
      <x:c r="B1674" s="4" t="str">
        <x:v>design.audit.proposal_culture_memorial</x:v>
      </x:c>
      <x:c r="C1674" s="4" t="str">
        <x:v>Ingredient candidate</x:v>
      </x:c>
      <x:c r="D1674" s="4" t="str">
        <x:v>proposal.collection.drawn_bronze_strip_stock</x:v>
      </x:c>
      <x:c r="E1674" s="4" t="str">
        <x:f>IFERROR(INDEX('Items'!$B$6:$B$1005,MATCH(D1674,'Items'!$A$6:$A$1005,0)),"MISSING ID")</x:f>
        <x:v>Drawn bronze strip stock</x:v>
      </x:c>
      <x:c r="F1674" s="4" t="str">
        <x:f>IFERROR(INDEX('Items'!$C$6:$C$1005,MATCH(D1674,'Items'!$A$6:$A$1005,0)),"MISSING ID")</x:f>
        <x:v>T2</x:v>
      </x:c>
      <x:c r="G1674" s="4" t="str">
        <x:f>IFERROR(INDEX('Items'!$D$6:$D$1005,MATCH(D1674,'Items'!$A$6:$A$1005,0)),"MISSING ID")</x:f>
        <x:v>Manufactured stock</x:v>
      </x:c>
      <x:c r="H1674" s="4" t="str">
        <x:f>IFERROR(INDEX('Items'!$X$6:$X$1005,MATCH(D1674,'Items'!$A$6:$A$1005,0)),"MISSING ID")</x:f>
        <x:v>Processed material</x:v>
      </x:c>
      <x:c r="I1674" s="4"/>
      <x:c r="J1674" s="4" t="str">
        <x:v>Unspecified</x:v>
      </x:c>
      <x:c r="K1674" s="4" t="str">
        <x:f>IFERROR(INDEX('Crafting recipes'!$D$6:$D$1005,MATCH(B1674,'Crafting recipes'!$A$6:$A$1005,0)),"MISSING ID")</x:f>
        <x:v>Proposal</x:v>
      </x:c>
      <x:c r="L1674" s="4" t="str">
        <x:f>IFERROR(INDEX('Items'!$AD$6:$AD$1005,MATCH(D1674,'Items'!$A$6:$A$1005,0)),"MISSING ID")</x:f>
        <x:v>Proposal</x:v>
      </x:c>
      <x:c r="M1674" s="4" t="str">
        <x:f>IFERROR(INDEX('Crafting recipes'!$E$6:$E$1005,MATCH(B1674,'Crafting recipes'!$A$6:$A$1005,0)),"MISSING ID")</x:f>
        <x:v>Partial proposal</x:v>
      </x:c>
      <x:c r="N1674" s="4" t="str">
        <x:v>Partial audit candidate; quantity, fit and performance remain unresolved.</x:v>
      </x:c>
      <x:c r="O16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4" s="4" t="n">
        <x:f>IF(OR(C1674="Ingredient candidate",C1674="Consumed input",C1674="Contained input",C1674="Transform input"),IF(F1674="T0",0,IF(F1674="T1",1,IF(F1674="T2",2,IF(F1674="T3",3,IF(F1674="T4",4,-1))))),-1)</x:f>
        <x:v>2</x:v>
      </x:c>
      <x:c r="Q1674" s="4" t="n">
        <x:f>IF(AND(OR(C1674="Ingredient candidate",C1674="Consumed input",C1674="Contained input",C1674="Transform input"),P1674=-1),1,0)</x:f>
        <x:v>0</x:v>
      </x:c>
    </x:row>
    <x:row r="1675" ht="64" customHeight="1">
      <x:c r="A1675" s="4" t="str">
        <x:v>design.audit.proposal_culture_memorial.audit.in.3</x:v>
      </x:c>
      <x:c r="B1675" s="4" t="str">
        <x:v>design.audit.proposal_culture_memorial</x:v>
      </x:c>
      <x:c r="C1675" s="4" t="str">
        <x:v>Ingredient candidate</x:v>
      </x:c>
      <x:c r="D1675" s="4" t="str">
        <x:v>proposal.t1.pigment_powder</x:v>
      </x:c>
      <x:c r="E1675" s="4" t="str">
        <x:f>IFERROR(INDEX('Items'!$B$6:$B$1005,MATCH(D1675,'Items'!$A$6:$A$1005,0)),"MISSING ID")</x:f>
        <x:v>Prepared mineral pigment powder</x:v>
      </x:c>
      <x:c r="F1675" s="4" t="str">
        <x:f>IFERROR(INDEX('Items'!$C$6:$C$1005,MATCH(D1675,'Items'!$A$6:$A$1005,0)),"MISSING ID")</x:f>
        <x:v>T1</x:v>
      </x:c>
      <x:c r="G1675" s="4" t="str">
        <x:f>IFERROR(INDEX('Items'!$D$6:$D$1005,MATCH(D1675,'Items'!$A$6:$A$1005,0)),"MISSING ID")</x:f>
        <x:v>Manufactured stock</x:v>
      </x:c>
      <x:c r="H1675" s="4" t="str">
        <x:f>IFERROR(INDEX('Items'!$X$6:$X$1005,MATCH(D1675,'Items'!$A$6:$A$1005,0)),"MISSING ID")</x:f>
        <x:v>Processed material</x:v>
      </x:c>
      <x:c r="I1675" s="4"/>
      <x:c r="J1675" s="4" t="str">
        <x:v>Unspecified</x:v>
      </x:c>
      <x:c r="K1675" s="4" t="str">
        <x:f>IFERROR(INDEX('Crafting recipes'!$D$6:$D$1005,MATCH(B1675,'Crafting recipes'!$A$6:$A$1005,0)),"MISSING ID")</x:f>
        <x:v>Proposal</x:v>
      </x:c>
      <x:c r="L1675" s="4" t="str">
        <x:f>IFERROR(INDEX('Items'!$AD$6:$AD$1005,MATCH(D1675,'Items'!$A$6:$A$1005,0)),"MISSING ID")</x:f>
        <x:v>Proposal</x:v>
      </x:c>
      <x:c r="M1675" s="4" t="str">
        <x:f>IFERROR(INDEX('Crafting recipes'!$E$6:$E$1005,MATCH(B1675,'Crafting recipes'!$A$6:$A$1005,0)),"MISSING ID")</x:f>
        <x:v>Partial proposal</x:v>
      </x:c>
      <x:c r="N1675" s="4" t="str">
        <x:v>Partial audit candidate; quantity, fit and performance remain unresolved.</x:v>
      </x:c>
      <x:c r="O16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5" s="4" t="n">
        <x:f>IF(OR(C1675="Ingredient candidate",C1675="Consumed input",C1675="Contained input",C1675="Transform input"),IF(F1675="T0",0,IF(F1675="T1",1,IF(F1675="T2",2,IF(F1675="T3",3,IF(F1675="T4",4,-1))))),-1)</x:f>
        <x:v>1</x:v>
      </x:c>
      <x:c r="Q1675" s="4" t="n">
        <x:f>IF(AND(OR(C1675="Ingredient candidate",C1675="Consumed input",C1675="Contained input",C1675="Transform input"),P1675=-1),1,0)</x:f>
        <x:v>0</x:v>
      </x:c>
    </x:row>
    <x:row r="1676" ht="64" customHeight="1">
      <x:c r="A1676" s="4" t="str">
        <x:v>design.audit.proposal_culture_memorial.audit.out</x:v>
      </x:c>
      <x:c r="B1676" s="4" t="str">
        <x:v>design.audit.proposal_culture_memorial</x:v>
      </x:c>
      <x:c r="C1676" s="4" t="str">
        <x:v>Output</x:v>
      </x:c>
      <x:c r="D1676" s="4" t="str">
        <x:v>proposal.culture.memorial</x:v>
      </x:c>
      <x:c r="E1676" s="4" t="str">
        <x:f>IFERROR(INDEX('Items'!$B$6:$B$1005,MATCH(D1676,'Items'!$A$6:$A$1005,0)),"MISSING ID")</x:f>
        <x:v>Memorial name plate</x:v>
      </x:c>
      <x:c r="F1676" s="4" t="str">
        <x:f>IFERROR(INDEX('Items'!$C$6:$C$1005,MATCH(D1676,'Items'!$A$6:$A$1005,0)),"MISSING ID")</x:f>
        <x:v>Not applicable</x:v>
      </x:c>
      <x:c r="G1676" s="4" t="str">
        <x:f>IFERROR(INDEX('Items'!$D$6:$D$1005,MATCH(D1676,'Items'!$A$6:$A$1005,0)),"MISSING ID")</x:f>
        <x:v>Salvage</x:v>
      </x:c>
      <x:c r="H1676" s="4" t="str">
        <x:f>IFERROR(INDEX('Items'!$X$6:$X$1005,MATCH(D1676,'Items'!$A$6:$A$1005,0)),"MISSING ID")</x:f>
        <x:v>Cultural object</x:v>
      </x:c>
      <x:c r="I1676" s="4"/>
      <x:c r="J1676" s="4" t="str">
        <x:v>Unspecified</x:v>
      </x:c>
      <x:c r="K1676" s="4" t="str">
        <x:f>IFERROR(INDEX('Crafting recipes'!$D$6:$D$1005,MATCH(B1676,'Crafting recipes'!$A$6:$A$1005,0)),"MISSING ID")</x:f>
        <x:v>Proposal</x:v>
      </x:c>
      <x:c r="L1676" s="4" t="str">
        <x:f>IFERROR(INDEX('Items'!$AD$6:$AD$1005,MATCH(D1676,'Items'!$A$6:$A$1005,0)),"MISSING ID")</x:f>
        <x:v>Proposal</x:v>
      </x:c>
      <x:c r="M1676" s="4" t="str">
        <x:f>IFERROR(INDEX('Crafting recipes'!$E$6:$E$1005,MATCH(B1676,'Crafting recipes'!$A$6:$A$1005,0)),"MISSING ID")</x:f>
        <x:v>Partial proposal</x:v>
      </x:c>
      <x:c r="N1676" s="4" t="str">
        <x:v>Partial audit candidate; quantity, fit and performance remain unresolved.</x:v>
      </x:c>
      <x:c r="O16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6" s="4" t="n">
        <x:f>IF(OR(C1676="Ingredient candidate",C1676="Consumed input",C1676="Contained input",C1676="Transform input"),IF(F1676="T0",0,IF(F1676="T1",1,IF(F1676="T2",2,IF(F1676="T3",3,IF(F1676="T4",4,-1))))),-1)</x:f>
        <x:v>-1</x:v>
      </x:c>
      <x:c r="Q1676" s="4" t="n">
        <x:f>IF(AND(OR(C1676="Ingredient candidate",C1676="Consumed input",C1676="Contained input",C1676="Transform input"),P1676=-1),1,0)</x:f>
        <x:v>0</x:v>
      </x:c>
    </x:row>
    <x:row r="1677" ht="64" customHeight="1">
      <x:c r="A1677" s="4" t="str">
        <x:v>design.audit.proposal_culture_oath_ring.audit.in.1</x:v>
      </x:c>
      <x:c r="B1677" s="4" t="str">
        <x:v>design.audit.proposal_culture_oath_ring</x:v>
      </x:c>
      <x:c r="C1677" s="4" t="str">
        <x:v>Ingredient candidate</x:v>
      </x:c>
      <x:c r="D1677" s="4" t="str">
        <x:v>proposal.t1.hardpart_blank</x:v>
      </x:c>
      <x:c r="E1677" s="4" t="str">
        <x:f>IFERROR(INDEX('Items'!$B$6:$B$1005,MATCH(D1677,'Items'!$A$6:$A$1005,0)),"MISSING ID")</x:f>
        <x:v>Shaped fauna hard-part blanks</x:v>
      </x:c>
      <x:c r="F1677" s="4" t="str">
        <x:f>IFERROR(INDEX('Items'!$C$6:$C$1005,MATCH(D1677,'Items'!$A$6:$A$1005,0)),"MISSING ID")</x:f>
        <x:v>T1</x:v>
      </x:c>
      <x:c r="G1677" s="4" t="str">
        <x:f>IFERROR(INDEX('Items'!$D$6:$D$1005,MATCH(D1677,'Items'!$A$6:$A$1005,0)),"MISSING ID")</x:f>
        <x:v>Manufactured stock</x:v>
      </x:c>
      <x:c r="H1677" s="4" t="str">
        <x:f>IFERROR(INDEX('Items'!$X$6:$X$1005,MATCH(D1677,'Items'!$A$6:$A$1005,0)),"MISSING ID")</x:f>
        <x:v>Processed material</x:v>
      </x:c>
      <x:c r="I1677" s="4"/>
      <x:c r="J1677" s="4" t="str">
        <x:v>Unspecified</x:v>
      </x:c>
      <x:c r="K1677" s="4" t="str">
        <x:f>IFERROR(INDEX('Crafting recipes'!$D$6:$D$1005,MATCH(B1677,'Crafting recipes'!$A$6:$A$1005,0)),"MISSING ID")</x:f>
        <x:v>Proposal</x:v>
      </x:c>
      <x:c r="L1677" s="4" t="str">
        <x:f>IFERROR(INDEX('Items'!$AD$6:$AD$1005,MATCH(D1677,'Items'!$A$6:$A$1005,0)),"MISSING ID")</x:f>
        <x:v>Proposal</x:v>
      </x:c>
      <x:c r="M1677" s="4" t="str">
        <x:f>IFERROR(INDEX('Crafting recipes'!$E$6:$E$1005,MATCH(B1677,'Crafting recipes'!$A$6:$A$1005,0)),"MISSING ID")</x:f>
        <x:v>Partial proposal</x:v>
      </x:c>
      <x:c r="N1677" s="4" t="str">
        <x:v>Partial audit candidate; quantity, fit and performance remain unresolved.</x:v>
      </x:c>
      <x:c r="O16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7" s="4" t="n">
        <x:f>IF(OR(C1677="Ingredient candidate",C1677="Consumed input",C1677="Contained input",C1677="Transform input"),IF(F1677="T0",0,IF(F1677="T1",1,IF(F1677="T2",2,IF(F1677="T3",3,IF(F1677="T4",4,-1))))),-1)</x:f>
        <x:v>1</x:v>
      </x:c>
      <x:c r="Q1677" s="4" t="n">
        <x:f>IF(AND(OR(C1677="Ingredient candidate",C1677="Consumed input",C1677="Contained input",C1677="Transform input"),P1677=-1),1,0)</x:f>
        <x:v>0</x:v>
      </x:c>
    </x:row>
    <x:row r="1678" ht="64" customHeight="1">
      <x:c r="A1678" s="4" t="str">
        <x:v>design.audit.proposal_culture_oath_ring.audit.in.2</x:v>
      </x:c>
      <x:c r="B1678" s="4" t="str">
        <x:v>design.audit.proposal_culture_oath_ring</x:v>
      </x:c>
      <x:c r="C1678" s="4" t="str">
        <x:v>Ingredient candidate</x:v>
      </x:c>
      <x:c r="D1678" s="4" t="str">
        <x:v>proposal.collection.drawn_bronze_strip_stock</x:v>
      </x:c>
      <x:c r="E1678" s="4" t="str">
        <x:f>IFERROR(INDEX('Items'!$B$6:$B$1005,MATCH(D1678,'Items'!$A$6:$A$1005,0)),"MISSING ID")</x:f>
        <x:v>Drawn bronze strip stock</x:v>
      </x:c>
      <x:c r="F1678" s="4" t="str">
        <x:f>IFERROR(INDEX('Items'!$C$6:$C$1005,MATCH(D1678,'Items'!$A$6:$A$1005,0)),"MISSING ID")</x:f>
        <x:v>T2</x:v>
      </x:c>
      <x:c r="G1678" s="4" t="str">
        <x:f>IFERROR(INDEX('Items'!$D$6:$D$1005,MATCH(D1678,'Items'!$A$6:$A$1005,0)),"MISSING ID")</x:f>
        <x:v>Manufactured stock</x:v>
      </x:c>
      <x:c r="H1678" s="4" t="str">
        <x:f>IFERROR(INDEX('Items'!$X$6:$X$1005,MATCH(D1678,'Items'!$A$6:$A$1005,0)),"MISSING ID")</x:f>
        <x:v>Processed material</x:v>
      </x:c>
      <x:c r="I1678" s="4"/>
      <x:c r="J1678" s="4" t="str">
        <x:v>Unspecified</x:v>
      </x:c>
      <x:c r="K1678" s="4" t="str">
        <x:f>IFERROR(INDEX('Crafting recipes'!$D$6:$D$1005,MATCH(B1678,'Crafting recipes'!$A$6:$A$1005,0)),"MISSING ID")</x:f>
        <x:v>Proposal</x:v>
      </x:c>
      <x:c r="L1678" s="4" t="str">
        <x:f>IFERROR(INDEX('Items'!$AD$6:$AD$1005,MATCH(D1678,'Items'!$A$6:$A$1005,0)),"MISSING ID")</x:f>
        <x:v>Proposal</x:v>
      </x:c>
      <x:c r="M1678" s="4" t="str">
        <x:f>IFERROR(INDEX('Crafting recipes'!$E$6:$E$1005,MATCH(B1678,'Crafting recipes'!$A$6:$A$1005,0)),"MISSING ID")</x:f>
        <x:v>Partial proposal</x:v>
      </x:c>
      <x:c r="N1678" s="4" t="str">
        <x:v>Partial audit candidate; quantity, fit and performance remain unresolved.</x:v>
      </x:c>
      <x:c r="O16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8" s="4" t="n">
        <x:f>IF(OR(C1678="Ingredient candidate",C1678="Consumed input",C1678="Contained input",C1678="Transform input"),IF(F1678="T0",0,IF(F1678="T1",1,IF(F1678="T2",2,IF(F1678="T3",3,IF(F1678="T4",4,-1))))),-1)</x:f>
        <x:v>2</x:v>
      </x:c>
      <x:c r="Q1678" s="4" t="n">
        <x:f>IF(AND(OR(C1678="Ingredient candidate",C1678="Consumed input",C1678="Contained input",C1678="Transform input"),P1678=-1),1,0)</x:f>
        <x:v>0</x:v>
      </x:c>
    </x:row>
    <x:row r="1679" ht="64" customHeight="1">
      <x:c r="A1679" s="4" t="str">
        <x:v>design.audit.proposal_culture_oath_ring.audit.in.3</x:v>
      </x:c>
      <x:c r="B1679" s="4" t="str">
        <x:v>design.audit.proposal_culture_oath_ring</x:v>
      </x:c>
      <x:c r="C1679" s="4" t="str">
        <x:v>Ingredient candidate</x:v>
      </x:c>
      <x:c r="D1679" s="4" t="str">
        <x:v>proposal.t1.pigment_powder</x:v>
      </x:c>
      <x:c r="E1679" s="4" t="str">
        <x:f>IFERROR(INDEX('Items'!$B$6:$B$1005,MATCH(D1679,'Items'!$A$6:$A$1005,0)),"MISSING ID")</x:f>
        <x:v>Prepared mineral pigment powder</x:v>
      </x:c>
      <x:c r="F1679" s="4" t="str">
        <x:f>IFERROR(INDEX('Items'!$C$6:$C$1005,MATCH(D1679,'Items'!$A$6:$A$1005,0)),"MISSING ID")</x:f>
        <x:v>T1</x:v>
      </x:c>
      <x:c r="G1679" s="4" t="str">
        <x:f>IFERROR(INDEX('Items'!$D$6:$D$1005,MATCH(D1679,'Items'!$A$6:$A$1005,0)),"MISSING ID")</x:f>
        <x:v>Manufactured stock</x:v>
      </x:c>
      <x:c r="H1679" s="4" t="str">
        <x:f>IFERROR(INDEX('Items'!$X$6:$X$1005,MATCH(D1679,'Items'!$A$6:$A$1005,0)),"MISSING ID")</x:f>
        <x:v>Processed material</x:v>
      </x:c>
      <x:c r="I1679" s="4"/>
      <x:c r="J1679" s="4" t="str">
        <x:v>Unspecified</x:v>
      </x:c>
      <x:c r="K1679" s="4" t="str">
        <x:f>IFERROR(INDEX('Crafting recipes'!$D$6:$D$1005,MATCH(B1679,'Crafting recipes'!$A$6:$A$1005,0)),"MISSING ID")</x:f>
        <x:v>Proposal</x:v>
      </x:c>
      <x:c r="L1679" s="4" t="str">
        <x:f>IFERROR(INDEX('Items'!$AD$6:$AD$1005,MATCH(D1679,'Items'!$A$6:$A$1005,0)),"MISSING ID")</x:f>
        <x:v>Proposal</x:v>
      </x:c>
      <x:c r="M1679" s="4" t="str">
        <x:f>IFERROR(INDEX('Crafting recipes'!$E$6:$E$1005,MATCH(B1679,'Crafting recipes'!$A$6:$A$1005,0)),"MISSING ID")</x:f>
        <x:v>Partial proposal</x:v>
      </x:c>
      <x:c r="N1679" s="4" t="str">
        <x:v>Partial audit candidate; quantity, fit and performance remain unresolved.</x:v>
      </x:c>
      <x:c r="O16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9" s="4" t="n">
        <x:f>IF(OR(C1679="Ingredient candidate",C1679="Consumed input",C1679="Contained input",C1679="Transform input"),IF(F1679="T0",0,IF(F1679="T1",1,IF(F1679="T2",2,IF(F1679="T3",3,IF(F1679="T4",4,-1))))),-1)</x:f>
        <x:v>1</x:v>
      </x:c>
      <x:c r="Q1679" s="4" t="n">
        <x:f>IF(AND(OR(C1679="Ingredient candidate",C1679="Consumed input",C1679="Contained input",C1679="Transform input"),P1679=-1),1,0)</x:f>
        <x:v>0</x:v>
      </x:c>
    </x:row>
    <x:row r="1680" ht="64" customHeight="1">
      <x:c r="A1680" s="4" t="str">
        <x:v>design.audit.proposal_culture_oath_ring.audit.out</x:v>
      </x:c>
      <x:c r="B1680" s="4" t="str">
        <x:v>design.audit.proposal_culture_oath_ring</x:v>
      </x:c>
      <x:c r="C1680" s="4" t="str">
        <x:v>Output</x:v>
      </x:c>
      <x:c r="D1680" s="4" t="str">
        <x:v>proposal.culture.oath_ring</x:v>
      </x:c>
      <x:c r="E1680" s="4" t="str">
        <x:f>IFERROR(INDEX('Items'!$B$6:$B$1005,MATCH(D1680,'Items'!$A$6:$A$1005,0)),"MISSING ID")</x:f>
        <x:v>Oath exchange ring</x:v>
      </x:c>
      <x:c r="F1680" s="4" t="str">
        <x:f>IFERROR(INDEX('Items'!$C$6:$C$1005,MATCH(D1680,'Items'!$A$6:$A$1005,0)),"MISSING ID")</x:f>
        <x:v>Not applicable</x:v>
      </x:c>
      <x:c r="G1680" s="4" t="str">
        <x:f>IFERROR(INDEX('Items'!$D$6:$D$1005,MATCH(D1680,'Items'!$A$6:$A$1005,0)),"MISSING ID")</x:f>
        <x:v>Salvage</x:v>
      </x:c>
      <x:c r="H1680" s="4" t="str">
        <x:f>IFERROR(INDEX('Items'!$X$6:$X$1005,MATCH(D1680,'Items'!$A$6:$A$1005,0)),"MISSING ID")</x:f>
        <x:v>Cultural object</x:v>
      </x:c>
      <x:c r="I1680" s="4"/>
      <x:c r="J1680" s="4" t="str">
        <x:v>Unspecified</x:v>
      </x:c>
      <x:c r="K1680" s="4" t="str">
        <x:f>IFERROR(INDEX('Crafting recipes'!$D$6:$D$1005,MATCH(B1680,'Crafting recipes'!$A$6:$A$1005,0)),"MISSING ID")</x:f>
        <x:v>Proposal</x:v>
      </x:c>
      <x:c r="L1680" s="4" t="str">
        <x:f>IFERROR(INDEX('Items'!$AD$6:$AD$1005,MATCH(D1680,'Items'!$A$6:$A$1005,0)),"MISSING ID")</x:f>
        <x:v>Proposal</x:v>
      </x:c>
      <x:c r="M1680" s="4" t="str">
        <x:f>IFERROR(INDEX('Crafting recipes'!$E$6:$E$1005,MATCH(B1680,'Crafting recipes'!$A$6:$A$1005,0)),"MISSING ID")</x:f>
        <x:v>Partial proposal</x:v>
      </x:c>
      <x:c r="N1680" s="4" t="str">
        <x:v>Partial audit candidate; quantity, fit and performance remain unresolved.</x:v>
      </x:c>
      <x:c r="O16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0" s="4" t="n">
        <x:f>IF(OR(C1680="Ingredient candidate",C1680="Consumed input",C1680="Contained input",C1680="Transform input"),IF(F1680="T0",0,IF(F1680="T1",1,IF(F1680="T2",2,IF(F1680="T3",3,IF(F1680="T4",4,-1))))),-1)</x:f>
        <x:v>-1</x:v>
      </x:c>
      <x:c r="Q1680" s="4" t="n">
        <x:f>IF(AND(OR(C1680="Ingredient candidate",C1680="Consumed input",C1680="Contained input",C1680="Transform input"),P1680=-1),1,0)</x:f>
        <x:v>0</x:v>
      </x:c>
    </x:row>
    <x:row r="1681" ht="64" customHeight="1">
      <x:c r="A1681" s="4" t="str">
        <x:v>design.audit.proposal_culture_milestone.audit.in.1</x:v>
      </x:c>
      <x:c r="B1681" s="4" t="str">
        <x:v>design.audit.proposal_culture_milestone</x:v>
      </x:c>
      <x:c r="C1681" s="4" t="str">
        <x:v>Ingredient candidate</x:v>
      </x:c>
      <x:c r="D1681" s="4" t="str">
        <x:v>proposal.t1.hardpart_blank</x:v>
      </x:c>
      <x:c r="E1681" s="4" t="str">
        <x:f>IFERROR(INDEX('Items'!$B$6:$B$1005,MATCH(D1681,'Items'!$A$6:$A$1005,0)),"MISSING ID")</x:f>
        <x:v>Shaped fauna hard-part blanks</x:v>
      </x:c>
      <x:c r="F1681" s="4" t="str">
        <x:f>IFERROR(INDEX('Items'!$C$6:$C$1005,MATCH(D1681,'Items'!$A$6:$A$1005,0)),"MISSING ID")</x:f>
        <x:v>T1</x:v>
      </x:c>
      <x:c r="G1681" s="4" t="str">
        <x:f>IFERROR(INDEX('Items'!$D$6:$D$1005,MATCH(D1681,'Items'!$A$6:$A$1005,0)),"MISSING ID")</x:f>
        <x:v>Manufactured stock</x:v>
      </x:c>
      <x:c r="H1681" s="4" t="str">
        <x:f>IFERROR(INDEX('Items'!$X$6:$X$1005,MATCH(D1681,'Items'!$A$6:$A$1005,0)),"MISSING ID")</x:f>
        <x:v>Processed material</x:v>
      </x:c>
      <x:c r="I1681" s="4"/>
      <x:c r="J1681" s="4" t="str">
        <x:v>Unspecified</x:v>
      </x:c>
      <x:c r="K1681" s="4" t="str">
        <x:f>IFERROR(INDEX('Crafting recipes'!$D$6:$D$1005,MATCH(B1681,'Crafting recipes'!$A$6:$A$1005,0)),"MISSING ID")</x:f>
        <x:v>Proposal</x:v>
      </x:c>
      <x:c r="L1681" s="4" t="str">
        <x:f>IFERROR(INDEX('Items'!$AD$6:$AD$1005,MATCH(D1681,'Items'!$A$6:$A$1005,0)),"MISSING ID")</x:f>
        <x:v>Proposal</x:v>
      </x:c>
      <x:c r="M1681" s="4" t="str">
        <x:f>IFERROR(INDEX('Crafting recipes'!$E$6:$E$1005,MATCH(B1681,'Crafting recipes'!$A$6:$A$1005,0)),"MISSING ID")</x:f>
        <x:v>Partial proposal</x:v>
      </x:c>
      <x:c r="N1681" s="4" t="str">
        <x:v>Partial audit candidate; quantity, fit and performance remain unresolved.</x:v>
      </x:c>
      <x:c r="O16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1" s="4" t="n">
        <x:f>IF(OR(C1681="Ingredient candidate",C1681="Consumed input",C1681="Contained input",C1681="Transform input"),IF(F1681="T0",0,IF(F1681="T1",1,IF(F1681="T2",2,IF(F1681="T3",3,IF(F1681="T4",4,-1))))),-1)</x:f>
        <x:v>1</x:v>
      </x:c>
      <x:c r="Q1681" s="4" t="n">
        <x:f>IF(AND(OR(C1681="Ingredient candidate",C1681="Consumed input",C1681="Contained input",C1681="Transform input"),P1681=-1),1,0)</x:f>
        <x:v>0</x:v>
      </x:c>
    </x:row>
    <x:row r="1682" ht="64" customHeight="1">
      <x:c r="A1682" s="4" t="str">
        <x:v>design.audit.proposal_culture_milestone.audit.in.2</x:v>
      </x:c>
      <x:c r="B1682" s="4" t="str">
        <x:v>design.audit.proposal_culture_milestone</x:v>
      </x:c>
      <x:c r="C1682" s="4" t="str">
        <x:v>Ingredient candidate</x:v>
      </x:c>
      <x:c r="D1682" s="4" t="str">
        <x:v>proposal.collection.drawn_bronze_strip_stock</x:v>
      </x:c>
      <x:c r="E1682" s="4" t="str">
        <x:f>IFERROR(INDEX('Items'!$B$6:$B$1005,MATCH(D1682,'Items'!$A$6:$A$1005,0)),"MISSING ID")</x:f>
        <x:v>Drawn bronze strip stock</x:v>
      </x:c>
      <x:c r="F1682" s="4" t="str">
        <x:f>IFERROR(INDEX('Items'!$C$6:$C$1005,MATCH(D1682,'Items'!$A$6:$A$1005,0)),"MISSING ID")</x:f>
        <x:v>T2</x:v>
      </x:c>
      <x:c r="G1682" s="4" t="str">
        <x:f>IFERROR(INDEX('Items'!$D$6:$D$1005,MATCH(D1682,'Items'!$A$6:$A$1005,0)),"MISSING ID")</x:f>
        <x:v>Manufactured stock</x:v>
      </x:c>
      <x:c r="H1682" s="4" t="str">
        <x:f>IFERROR(INDEX('Items'!$X$6:$X$1005,MATCH(D1682,'Items'!$A$6:$A$1005,0)),"MISSING ID")</x:f>
        <x:v>Processed material</x:v>
      </x:c>
      <x:c r="I1682" s="4"/>
      <x:c r="J1682" s="4" t="str">
        <x:v>Unspecified</x:v>
      </x:c>
      <x:c r="K1682" s="4" t="str">
        <x:f>IFERROR(INDEX('Crafting recipes'!$D$6:$D$1005,MATCH(B1682,'Crafting recipes'!$A$6:$A$1005,0)),"MISSING ID")</x:f>
        <x:v>Proposal</x:v>
      </x:c>
      <x:c r="L1682" s="4" t="str">
        <x:f>IFERROR(INDEX('Items'!$AD$6:$AD$1005,MATCH(D1682,'Items'!$A$6:$A$1005,0)),"MISSING ID")</x:f>
        <x:v>Proposal</x:v>
      </x:c>
      <x:c r="M1682" s="4" t="str">
        <x:f>IFERROR(INDEX('Crafting recipes'!$E$6:$E$1005,MATCH(B1682,'Crafting recipes'!$A$6:$A$1005,0)),"MISSING ID")</x:f>
        <x:v>Partial proposal</x:v>
      </x:c>
      <x:c r="N1682" s="4" t="str">
        <x:v>Partial audit candidate; quantity, fit and performance remain unresolved.</x:v>
      </x:c>
      <x:c r="O16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2" s="4" t="n">
        <x:f>IF(OR(C1682="Ingredient candidate",C1682="Consumed input",C1682="Contained input",C1682="Transform input"),IF(F1682="T0",0,IF(F1682="T1",1,IF(F1682="T2",2,IF(F1682="T3",3,IF(F1682="T4",4,-1))))),-1)</x:f>
        <x:v>2</x:v>
      </x:c>
      <x:c r="Q1682" s="4" t="n">
        <x:f>IF(AND(OR(C1682="Ingredient candidate",C1682="Consumed input",C1682="Contained input",C1682="Transform input"),P1682=-1),1,0)</x:f>
        <x:v>0</x:v>
      </x:c>
    </x:row>
    <x:row r="1683" ht="64" customHeight="1">
      <x:c r="A1683" s="4" t="str">
        <x:v>design.audit.proposal_culture_milestone.audit.in.3</x:v>
      </x:c>
      <x:c r="B1683" s="4" t="str">
        <x:v>design.audit.proposal_culture_milestone</x:v>
      </x:c>
      <x:c r="C1683" s="4" t="str">
        <x:v>Ingredient candidate</x:v>
      </x:c>
      <x:c r="D1683" s="4" t="str">
        <x:v>proposal.t1.pigment_powder</x:v>
      </x:c>
      <x:c r="E1683" s="4" t="str">
        <x:f>IFERROR(INDEX('Items'!$B$6:$B$1005,MATCH(D1683,'Items'!$A$6:$A$1005,0)),"MISSING ID")</x:f>
        <x:v>Prepared mineral pigment powder</x:v>
      </x:c>
      <x:c r="F1683" s="4" t="str">
        <x:f>IFERROR(INDEX('Items'!$C$6:$C$1005,MATCH(D1683,'Items'!$A$6:$A$1005,0)),"MISSING ID")</x:f>
        <x:v>T1</x:v>
      </x:c>
      <x:c r="G1683" s="4" t="str">
        <x:f>IFERROR(INDEX('Items'!$D$6:$D$1005,MATCH(D1683,'Items'!$A$6:$A$1005,0)),"MISSING ID")</x:f>
        <x:v>Manufactured stock</x:v>
      </x:c>
      <x:c r="H1683" s="4" t="str">
        <x:f>IFERROR(INDEX('Items'!$X$6:$X$1005,MATCH(D1683,'Items'!$A$6:$A$1005,0)),"MISSING ID")</x:f>
        <x:v>Processed material</x:v>
      </x:c>
      <x:c r="I1683" s="4"/>
      <x:c r="J1683" s="4" t="str">
        <x:v>Unspecified</x:v>
      </x:c>
      <x:c r="K1683" s="4" t="str">
        <x:f>IFERROR(INDEX('Crafting recipes'!$D$6:$D$1005,MATCH(B1683,'Crafting recipes'!$A$6:$A$1005,0)),"MISSING ID")</x:f>
        <x:v>Proposal</x:v>
      </x:c>
      <x:c r="L1683" s="4" t="str">
        <x:f>IFERROR(INDEX('Items'!$AD$6:$AD$1005,MATCH(D1683,'Items'!$A$6:$A$1005,0)),"MISSING ID")</x:f>
        <x:v>Proposal</x:v>
      </x:c>
      <x:c r="M1683" s="4" t="str">
        <x:f>IFERROR(INDEX('Crafting recipes'!$E$6:$E$1005,MATCH(B1683,'Crafting recipes'!$A$6:$A$1005,0)),"MISSING ID")</x:f>
        <x:v>Partial proposal</x:v>
      </x:c>
      <x:c r="N1683" s="4" t="str">
        <x:v>Partial audit candidate; quantity, fit and performance remain unresolved.</x:v>
      </x:c>
      <x:c r="O16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3" s="4" t="n">
        <x:f>IF(OR(C1683="Ingredient candidate",C1683="Consumed input",C1683="Contained input",C1683="Transform input"),IF(F1683="T0",0,IF(F1683="T1",1,IF(F1683="T2",2,IF(F1683="T3",3,IF(F1683="T4",4,-1))))),-1)</x:f>
        <x:v>1</x:v>
      </x:c>
      <x:c r="Q1683" s="4" t="n">
        <x:f>IF(AND(OR(C1683="Ingredient candidate",C1683="Consumed input",C1683="Contained input",C1683="Transform input"),P1683=-1),1,0)</x:f>
        <x:v>0</x:v>
      </x:c>
    </x:row>
    <x:row r="1684" ht="64" customHeight="1">
      <x:c r="A1684" s="4" t="str">
        <x:v>design.audit.proposal_culture_milestone.audit.out</x:v>
      </x:c>
      <x:c r="B1684" s="4" t="str">
        <x:v>design.audit.proposal_culture_milestone</x:v>
      </x:c>
      <x:c r="C1684" s="4" t="str">
        <x:v>Output</x:v>
      </x:c>
      <x:c r="D1684" s="4" t="str">
        <x:v>proposal.culture.milestone</x:v>
      </x:c>
      <x:c r="E1684" s="4" t="str">
        <x:f>IFERROR(INDEX('Items'!$B$6:$B$1005,MATCH(D1684,'Items'!$A$6:$A$1005,0)),"MISSING ID")</x:f>
        <x:v>Life-event charm</x:v>
      </x:c>
      <x:c r="F1684" s="4" t="str">
        <x:f>IFERROR(INDEX('Items'!$C$6:$C$1005,MATCH(D1684,'Items'!$A$6:$A$1005,0)),"MISSING ID")</x:f>
        <x:v>Not applicable</x:v>
      </x:c>
      <x:c r="G1684" s="4" t="str">
        <x:f>IFERROR(INDEX('Items'!$D$6:$D$1005,MATCH(D1684,'Items'!$A$6:$A$1005,0)),"MISSING ID")</x:f>
        <x:v>Salvage</x:v>
      </x:c>
      <x:c r="H1684" s="4" t="str">
        <x:f>IFERROR(INDEX('Items'!$X$6:$X$1005,MATCH(D1684,'Items'!$A$6:$A$1005,0)),"MISSING ID")</x:f>
        <x:v>Cultural object</x:v>
      </x:c>
      <x:c r="I1684" s="4"/>
      <x:c r="J1684" s="4" t="str">
        <x:v>Unspecified</x:v>
      </x:c>
      <x:c r="K1684" s="4" t="str">
        <x:f>IFERROR(INDEX('Crafting recipes'!$D$6:$D$1005,MATCH(B1684,'Crafting recipes'!$A$6:$A$1005,0)),"MISSING ID")</x:f>
        <x:v>Proposal</x:v>
      </x:c>
      <x:c r="L1684" s="4" t="str">
        <x:f>IFERROR(INDEX('Items'!$AD$6:$AD$1005,MATCH(D1684,'Items'!$A$6:$A$1005,0)),"MISSING ID")</x:f>
        <x:v>Proposal</x:v>
      </x:c>
      <x:c r="M1684" s="4" t="str">
        <x:f>IFERROR(INDEX('Crafting recipes'!$E$6:$E$1005,MATCH(B1684,'Crafting recipes'!$A$6:$A$1005,0)),"MISSING ID")</x:f>
        <x:v>Partial proposal</x:v>
      </x:c>
      <x:c r="N1684" s="4" t="str">
        <x:v>Partial audit candidate; quantity, fit and performance remain unresolved.</x:v>
      </x:c>
      <x:c r="O16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4" s="4" t="n">
        <x:f>IF(OR(C1684="Ingredient candidate",C1684="Consumed input",C1684="Contained input",C1684="Transform input"),IF(F1684="T0",0,IF(F1684="T1",1,IF(F1684="T2",2,IF(F1684="T3",3,IF(F1684="T4",4,-1))))),-1)</x:f>
        <x:v>-1</x:v>
      </x:c>
      <x:c r="Q1684" s="4" t="n">
        <x:f>IF(AND(OR(C1684="Ingredient candidate",C1684="Consumed input",C1684="Contained input",C1684="Transform input"),P1684=-1),1,0)</x:f>
        <x:v>0</x:v>
      </x:c>
    </x:row>
    <x:row r="1685" ht="64" customHeight="1">
      <x:c r="A1685" s="4" t="str">
        <x:v>design.audit.proposal_culture_rattle.audit.in.1</x:v>
      </x:c>
      <x:c r="B1685" s="4" t="str">
        <x:v>design.audit.proposal_culture_rattle</x:v>
      </x:c>
      <x:c r="C1685" s="4" t="str">
        <x:v>Ingredient candidate</x:v>
      </x:c>
      <x:c r="D1685" s="4" t="str">
        <x:v>proposal.raw.brood_casing</x:v>
      </x:c>
      <x:c r="E1685" s="4" t="str">
        <x:f>IFERROR(INDEX('Items'!$B$6:$B$1005,MATCH(D1685,'Items'!$A$6:$A$1005,0)),"MISSING ID")</x:f>
        <x:v>Empty brood casings</x:v>
      </x:c>
      <x:c r="F1685" s="4" t="str">
        <x:f>IFERROR(INDEX('Items'!$C$6:$C$1005,MATCH(D1685,'Items'!$A$6:$A$1005,0)),"MISSING ID")</x:f>
        <x:v>T0</x:v>
      </x:c>
      <x:c r="G1685" s="4" t="str">
        <x:f>IFERROR(INDEX('Items'!$D$6:$D$1005,MATCH(D1685,'Items'!$A$6:$A$1005,0)),"MISSING ID")</x:f>
        <x:v>Biological resources</x:v>
      </x:c>
      <x:c r="H1685" s="4" t="str">
        <x:f>IFERROR(INDEX('Items'!$X$6:$X$1005,MATCH(D1685,'Items'!$A$6:$A$1005,0)),"MISSING ID")</x:f>
        <x:v>Raw material</x:v>
      </x:c>
      <x:c r="I1685" s="4"/>
      <x:c r="J1685" s="4" t="str">
        <x:v>Unspecified</x:v>
      </x:c>
      <x:c r="K1685" s="4" t="str">
        <x:f>IFERROR(INDEX('Crafting recipes'!$D$6:$D$1005,MATCH(B1685,'Crafting recipes'!$A$6:$A$1005,0)),"MISSING ID")</x:f>
        <x:v>Proposal</x:v>
      </x:c>
      <x:c r="L1685" s="4" t="str">
        <x:f>IFERROR(INDEX('Items'!$AD$6:$AD$1005,MATCH(D1685,'Items'!$A$6:$A$1005,0)),"MISSING ID")</x:f>
        <x:v>Proposal</x:v>
      </x:c>
      <x:c r="M1685" s="4" t="str">
        <x:f>IFERROR(INDEX('Crafting recipes'!$E$6:$E$1005,MATCH(B1685,'Crafting recipes'!$A$6:$A$1005,0)),"MISSING ID")</x:f>
        <x:v>Partial proposal</x:v>
      </x:c>
      <x:c r="N1685" s="4" t="str">
        <x:v>Partial audit candidate; quantity, fit and performance remain unresolved.</x:v>
      </x:c>
      <x:c r="O16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5" s="4" t="n">
        <x:f>IF(OR(C1685="Ingredient candidate",C1685="Consumed input",C1685="Contained input",C1685="Transform input"),IF(F1685="T0",0,IF(F1685="T1",1,IF(F1685="T2",2,IF(F1685="T3",3,IF(F1685="T4",4,-1))))),-1)</x:f>
        <x:v>0</x:v>
      </x:c>
      <x:c r="Q1685" s="4" t="n">
        <x:f>IF(AND(OR(C1685="Ingredient candidate",C1685="Consumed input",C1685="Contained input",C1685="Transform input"),P1685=-1),1,0)</x:f>
        <x:v>0</x:v>
      </x:c>
    </x:row>
    <x:row r="1686" ht="64" customHeight="1">
      <x:c r="A1686" s="4" t="str">
        <x:v>design.audit.proposal_culture_rattle.audit.in.2</x:v>
      </x:c>
      <x:c r="B1686" s="4" t="str">
        <x:v>design.audit.proposal_culture_rattle</x:v>
      </x:c>
      <x:c r="C1686" s="4" t="str">
        <x:v>Ingredient candidate</x:v>
      </x:c>
      <x:c r="D1686" s="4" t="str">
        <x:v>proposal.t1.gem_chips</x:v>
      </x:c>
      <x:c r="E1686" s="4" t="str">
        <x:f>IFERROR(INDEX('Items'!$B$6:$B$1005,MATCH(D1686,'Items'!$A$6:$A$1005,0)),"MISSING ID")</x:f>
        <x:v>Graded stone inlay chips</x:v>
      </x:c>
      <x:c r="F1686" s="4" t="str">
        <x:f>IFERROR(INDEX('Items'!$C$6:$C$1005,MATCH(D1686,'Items'!$A$6:$A$1005,0)),"MISSING ID")</x:f>
        <x:v>T1</x:v>
      </x:c>
      <x:c r="G1686" s="4" t="str">
        <x:f>IFERROR(INDEX('Items'!$D$6:$D$1005,MATCH(D1686,'Items'!$A$6:$A$1005,0)),"MISSING ID")</x:f>
        <x:v>Manufactured stock</x:v>
      </x:c>
      <x:c r="H1686" s="4" t="str">
        <x:f>IFERROR(INDEX('Items'!$X$6:$X$1005,MATCH(D1686,'Items'!$A$6:$A$1005,0)),"MISSING ID")</x:f>
        <x:v>Processed material</x:v>
      </x:c>
      <x:c r="I1686" s="4"/>
      <x:c r="J1686" s="4" t="str">
        <x:v>Unspecified</x:v>
      </x:c>
      <x:c r="K1686" s="4" t="str">
        <x:f>IFERROR(INDEX('Crafting recipes'!$D$6:$D$1005,MATCH(B1686,'Crafting recipes'!$A$6:$A$1005,0)),"MISSING ID")</x:f>
        <x:v>Proposal</x:v>
      </x:c>
      <x:c r="L1686" s="4" t="str">
        <x:f>IFERROR(INDEX('Items'!$AD$6:$AD$1005,MATCH(D1686,'Items'!$A$6:$A$1005,0)),"MISSING ID")</x:f>
        <x:v>Proposal</x:v>
      </x:c>
      <x:c r="M1686" s="4" t="str">
        <x:f>IFERROR(INDEX('Crafting recipes'!$E$6:$E$1005,MATCH(B1686,'Crafting recipes'!$A$6:$A$1005,0)),"MISSING ID")</x:f>
        <x:v>Partial proposal</x:v>
      </x:c>
      <x:c r="N1686" s="4" t="str">
        <x:v>Partial audit candidate; quantity, fit and performance remain unresolved.</x:v>
      </x:c>
      <x:c r="O16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6" s="4" t="n">
        <x:f>IF(OR(C1686="Ingredient candidate",C1686="Consumed input",C1686="Contained input",C1686="Transform input"),IF(F1686="T0",0,IF(F1686="T1",1,IF(F1686="T2",2,IF(F1686="T3",3,IF(F1686="T4",4,-1))))),-1)</x:f>
        <x:v>1</x:v>
      </x:c>
      <x:c r="Q1686" s="4" t="n">
        <x:f>IF(AND(OR(C1686="Ingredient candidate",C1686="Consumed input",C1686="Contained input",C1686="Transform input"),P1686=-1),1,0)</x:f>
        <x:v>0</x:v>
      </x:c>
    </x:row>
    <x:row r="1687" ht="64" customHeight="1">
      <x:c r="A1687" s="4" t="str">
        <x:v>design.audit.proposal_culture_rattle.audit.in.3</x:v>
      </x:c>
      <x:c r="B1687" s="4" t="str">
        <x:v>design.audit.proposal_culture_rattle</x:v>
      </x:c>
      <x:c r="C1687" s="4" t="str">
        <x:v>Ingredient candidate</x:v>
      </x:c>
      <x:c r="D1687" s="4" t="str">
        <x:v>proposal.bio.cord</x:v>
      </x:c>
      <x:c r="E1687" s="4" t="str">
        <x:f>IFERROR(INDEX('Items'!$B$6:$B$1005,MATCH(D1687,'Items'!$A$6:$A$1005,0)),"MISSING ID")</x:f>
        <x:v>Tendon cord</x:v>
      </x:c>
      <x:c r="F1687" s="4" t="str">
        <x:f>IFERROR(INDEX('Items'!$C$6:$C$1005,MATCH(D1687,'Items'!$A$6:$A$1005,0)),"MISSING ID")</x:f>
        <x:v>T1</x:v>
      </x:c>
      <x:c r="G1687" s="4" t="str">
        <x:f>IFERROR(INDEX('Items'!$D$6:$D$1005,MATCH(D1687,'Items'!$A$6:$A$1005,0)),"MISSING ID")</x:f>
        <x:v>Crafting components</x:v>
      </x:c>
      <x:c r="H1687" s="4" t="str">
        <x:f>IFERROR(INDEX('Items'!$X$6:$X$1005,MATCH(D1687,'Items'!$A$6:$A$1005,0)),"MISSING ID")</x:f>
        <x:v>Crafting component</x:v>
      </x:c>
      <x:c r="I1687" s="4"/>
      <x:c r="J1687" s="4" t="str">
        <x:v>Unspecified</x:v>
      </x:c>
      <x:c r="K1687" s="4" t="str">
        <x:f>IFERROR(INDEX('Crafting recipes'!$D$6:$D$1005,MATCH(B1687,'Crafting recipes'!$A$6:$A$1005,0)),"MISSING ID")</x:f>
        <x:v>Proposal</x:v>
      </x:c>
      <x:c r="L1687" s="4" t="str">
        <x:f>IFERROR(INDEX('Items'!$AD$6:$AD$1005,MATCH(D1687,'Items'!$A$6:$A$1005,0)),"MISSING ID")</x:f>
        <x:v>Proposal</x:v>
      </x:c>
      <x:c r="M1687" s="4" t="str">
        <x:f>IFERROR(INDEX('Crafting recipes'!$E$6:$E$1005,MATCH(B1687,'Crafting recipes'!$A$6:$A$1005,0)),"MISSING ID")</x:f>
        <x:v>Partial proposal</x:v>
      </x:c>
      <x:c r="N1687" s="4" t="str">
        <x:v>Partial audit candidate; quantity, fit and performance remain unresolved.</x:v>
      </x:c>
      <x:c r="O16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7" s="4" t="n">
        <x:f>IF(OR(C1687="Ingredient candidate",C1687="Consumed input",C1687="Contained input",C1687="Transform input"),IF(F1687="T0",0,IF(F1687="T1",1,IF(F1687="T2",2,IF(F1687="T3",3,IF(F1687="T4",4,-1))))),-1)</x:f>
        <x:v>1</x:v>
      </x:c>
      <x:c r="Q1687" s="4" t="n">
        <x:f>IF(AND(OR(C1687="Ingredient candidate",C1687="Consumed input",C1687="Contained input",C1687="Transform input"),P1687=-1),1,0)</x:f>
        <x:v>0</x:v>
      </x:c>
    </x:row>
    <x:row r="1688" ht="64" customHeight="1">
      <x:c r="A1688" s="4" t="str">
        <x:v>design.audit.proposal_culture_rattle.audit.out</x:v>
      </x:c>
      <x:c r="B1688" s="4" t="str">
        <x:v>design.audit.proposal_culture_rattle</x:v>
      </x:c>
      <x:c r="C1688" s="4" t="str">
        <x:v>Output</x:v>
      </x:c>
      <x:c r="D1688" s="4" t="str">
        <x:v>proposal.culture.rattle</x:v>
      </x:c>
      <x:c r="E1688" s="4" t="str">
        <x:f>IFERROR(INDEX('Items'!$B$6:$B$1005,MATCH(D1688,'Items'!$A$6:$A$1005,0)),"MISSING ID")</x:f>
        <x:v>Ceremonial shell rattle</x:v>
      </x:c>
      <x:c r="F1688" s="4" t="str">
        <x:f>IFERROR(INDEX('Items'!$C$6:$C$1005,MATCH(D1688,'Items'!$A$6:$A$1005,0)),"MISSING ID")</x:f>
        <x:v>Not applicable</x:v>
      </x:c>
      <x:c r="G1688" s="4" t="str">
        <x:f>IFERROR(INDEX('Items'!$D$6:$D$1005,MATCH(D1688,'Items'!$A$6:$A$1005,0)),"MISSING ID")</x:f>
        <x:v>Salvage</x:v>
      </x:c>
      <x:c r="H1688" s="4" t="str">
        <x:f>IFERROR(INDEX('Items'!$X$6:$X$1005,MATCH(D1688,'Items'!$A$6:$A$1005,0)),"MISSING ID")</x:f>
        <x:v>Musical instrument</x:v>
      </x:c>
      <x:c r="I1688" s="4"/>
      <x:c r="J1688" s="4" t="str">
        <x:v>Unspecified</x:v>
      </x:c>
      <x:c r="K1688" s="4" t="str">
        <x:f>IFERROR(INDEX('Crafting recipes'!$D$6:$D$1005,MATCH(B1688,'Crafting recipes'!$A$6:$A$1005,0)),"MISSING ID")</x:f>
        <x:v>Proposal</x:v>
      </x:c>
      <x:c r="L1688" s="4" t="str">
        <x:f>IFERROR(INDEX('Items'!$AD$6:$AD$1005,MATCH(D1688,'Items'!$A$6:$A$1005,0)),"MISSING ID")</x:f>
        <x:v>Proposal</x:v>
      </x:c>
      <x:c r="M1688" s="4" t="str">
        <x:f>IFERROR(INDEX('Crafting recipes'!$E$6:$E$1005,MATCH(B1688,'Crafting recipes'!$A$6:$A$1005,0)),"MISSING ID")</x:f>
        <x:v>Partial proposal</x:v>
      </x:c>
      <x:c r="N1688" s="4" t="str">
        <x:v>Partial audit candidate; quantity, fit and performance remain unresolved.</x:v>
      </x:c>
      <x:c r="O16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8" s="4" t="n">
        <x:f>IF(OR(C1688="Ingredient candidate",C1688="Consumed input",C1688="Contained input",C1688="Transform input"),IF(F1688="T0",0,IF(F1688="T1",1,IF(F1688="T2",2,IF(F1688="T3",3,IF(F1688="T4",4,-1))))),-1)</x:f>
        <x:v>-1</x:v>
      </x:c>
      <x:c r="Q1688" s="4" t="n">
        <x:f>IF(AND(OR(C1688="Ingredient candidate",C1688="Consumed input",C1688="Contained input",C1688="Transform input"),P1688=-1),1,0)</x:f>
        <x:v>0</x:v>
      </x:c>
    </x:row>
    <x:row r="1689" ht="64" customHeight="1">
      <x:c r="A1689" s="4" t="str">
        <x:v>design.audit.proposal_culture_gift_case.audit.in.1</x:v>
      </x:c>
      <x:c r="B1689" s="4" t="str">
        <x:v>design.audit.proposal_culture_gift_case</x:v>
      </x:c>
      <x:c r="C1689" s="4" t="str">
        <x:v>Ingredient candidate</x:v>
      </x:c>
      <x:c r="D1689" s="4" t="str">
        <x:v>proposal.branch.decorative_husk</x:v>
      </x:c>
      <x:c r="E1689" s="4" t="str">
        <x:f>IFERROR(INDEX('Items'!$B$6:$B$1005,MATCH(D1689,'Items'!$A$6:$A$1005,0)),"MISSING ID")</x:f>
        <x:v>Finished decorative husk stock</x:v>
      </x:c>
      <x:c r="F1689" s="4" t="str">
        <x:f>IFERROR(INDEX('Items'!$C$6:$C$1005,MATCH(D1689,'Items'!$A$6:$A$1005,0)),"MISSING ID")</x:f>
        <x:v>T3</x:v>
      </x:c>
      <x:c r="G1689" s="4" t="str">
        <x:f>IFERROR(INDEX('Items'!$D$6:$D$1005,MATCH(D1689,'Items'!$A$6:$A$1005,0)),"MISSING ID")</x:f>
        <x:v>Manufactured stock</x:v>
      </x:c>
      <x:c r="H1689" s="4" t="str">
        <x:f>IFERROR(INDEX('Items'!$X$6:$X$1005,MATCH(D1689,'Items'!$A$6:$A$1005,0)),"MISSING ID")</x:f>
        <x:v>Processed material</x:v>
      </x:c>
      <x:c r="I1689" s="4"/>
      <x:c r="J1689" s="4" t="str">
        <x:v>Unspecified</x:v>
      </x:c>
      <x:c r="K1689" s="4" t="str">
        <x:f>IFERROR(INDEX('Crafting recipes'!$D$6:$D$1005,MATCH(B1689,'Crafting recipes'!$A$6:$A$1005,0)),"MISSING ID")</x:f>
        <x:v>Proposal</x:v>
      </x:c>
      <x:c r="L1689" s="4" t="str">
        <x:f>IFERROR(INDEX('Items'!$AD$6:$AD$1005,MATCH(D1689,'Items'!$A$6:$A$1005,0)),"MISSING ID")</x:f>
        <x:v>Proposal</x:v>
      </x:c>
      <x:c r="M1689" s="4" t="str">
        <x:f>IFERROR(INDEX('Crafting recipes'!$E$6:$E$1005,MATCH(B1689,'Crafting recipes'!$A$6:$A$1005,0)),"MISSING ID")</x:f>
        <x:v>Partial proposal</x:v>
      </x:c>
      <x:c r="N1689" s="4" t="str">
        <x:v>Partial audit candidate; quantity, fit and performance remain unresolved.</x:v>
      </x:c>
      <x:c r="O16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9" s="4" t="n">
        <x:f>IF(OR(C1689="Ingredient candidate",C1689="Consumed input",C1689="Contained input",C1689="Transform input"),IF(F1689="T0",0,IF(F1689="T1",1,IF(F1689="T2",2,IF(F1689="T3",3,IF(F1689="T4",4,-1))))),-1)</x:f>
        <x:v>3</x:v>
      </x:c>
      <x:c r="Q1689" s="4" t="n">
        <x:f>IF(AND(OR(C1689="Ingredient candidate",C1689="Consumed input",C1689="Contained input",C1689="Transform input"),P1689=-1),1,0)</x:f>
        <x:v>0</x:v>
      </x:c>
    </x:row>
    <x:row r="1690" ht="64" customHeight="1">
      <x:c r="A1690" s="4" t="str">
        <x:v>design.audit.proposal_culture_gift_case.audit.in.2</x:v>
      </x:c>
      <x:c r="B1690" s="4" t="str">
        <x:v>design.audit.proposal_culture_gift_case</x:v>
      </x:c>
      <x:c r="C1690" s="4" t="str">
        <x:v>Ingredient candidate</x:v>
      </x:c>
      <x:c r="D1690" s="4" t="str">
        <x:v>proposal.t1.shell_inlay</x:v>
      </x:c>
      <x:c r="E1690" s="4" t="str">
        <x:f>IFERROR(INDEX('Items'!$B$6:$B$1005,MATCH(D1690,'Items'!$A$6:$A$1005,0)),"MISSING ID")</x:f>
        <x:v>Burnished shell inlay scales</x:v>
      </x:c>
      <x:c r="F1690" s="4" t="str">
        <x:f>IFERROR(INDEX('Items'!$C$6:$C$1005,MATCH(D1690,'Items'!$A$6:$A$1005,0)),"MISSING ID")</x:f>
        <x:v>T1</x:v>
      </x:c>
      <x:c r="G1690" s="4" t="str">
        <x:f>IFERROR(INDEX('Items'!$D$6:$D$1005,MATCH(D1690,'Items'!$A$6:$A$1005,0)),"MISSING ID")</x:f>
        <x:v>Manufactured stock</x:v>
      </x:c>
      <x:c r="H1690" s="4" t="str">
        <x:f>IFERROR(INDEX('Items'!$X$6:$X$1005,MATCH(D1690,'Items'!$A$6:$A$1005,0)),"MISSING ID")</x:f>
        <x:v>Processed material</x:v>
      </x:c>
      <x:c r="I1690" s="4"/>
      <x:c r="J1690" s="4" t="str">
        <x:v>Unspecified</x:v>
      </x:c>
      <x:c r="K1690" s="4" t="str">
        <x:f>IFERROR(INDEX('Crafting recipes'!$D$6:$D$1005,MATCH(B1690,'Crafting recipes'!$A$6:$A$1005,0)),"MISSING ID")</x:f>
        <x:v>Proposal</x:v>
      </x:c>
      <x:c r="L1690" s="4" t="str">
        <x:f>IFERROR(INDEX('Items'!$AD$6:$AD$1005,MATCH(D1690,'Items'!$A$6:$A$1005,0)),"MISSING ID")</x:f>
        <x:v>Proposal</x:v>
      </x:c>
      <x:c r="M1690" s="4" t="str">
        <x:f>IFERROR(INDEX('Crafting recipes'!$E$6:$E$1005,MATCH(B1690,'Crafting recipes'!$A$6:$A$1005,0)),"MISSING ID")</x:f>
        <x:v>Partial proposal</x:v>
      </x:c>
      <x:c r="N1690" s="4" t="str">
        <x:v>Partial audit candidate; quantity, fit and performance remain unresolved.</x:v>
      </x:c>
      <x:c r="O16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0" s="4" t="n">
        <x:f>IF(OR(C1690="Ingredient candidate",C1690="Consumed input",C1690="Contained input",C1690="Transform input"),IF(F1690="T0",0,IF(F1690="T1",1,IF(F1690="T2",2,IF(F1690="T3",3,IF(F1690="T4",4,-1))))),-1)</x:f>
        <x:v>1</x:v>
      </x:c>
      <x:c r="Q1690" s="4" t="n">
        <x:f>IF(AND(OR(C1690="Ingredient candidate",C1690="Consumed input",C1690="Contained input",C1690="Transform input"),P1690=-1),1,0)</x:f>
        <x:v>0</x:v>
      </x:c>
    </x:row>
    <x:row r="1691" ht="64" customHeight="1">
      <x:c r="A1691" s="4" t="str">
        <x:v>design.audit.proposal_culture_gift_case.audit.in.3</x:v>
      </x:c>
      <x:c r="B1691" s="4" t="str">
        <x:v>design.audit.proposal_culture_gift_case</x:v>
      </x:c>
      <x:c r="C1691" s="4" t="str">
        <x:v>Ingredient candidate</x:v>
      </x:c>
      <x:c r="D1691" s="4" t="str">
        <x:v>proposal.ceramic.fastener</x:v>
      </x:c>
      <x:c r="E1691" s="4" t="str">
        <x:f>IFERROR(INDEX('Items'!$B$6:$B$1005,MATCH(D1691,'Items'!$A$6:$A$1005,0)),"MISSING ID")</x:f>
        <x:v>Ceramic toggle fastener</x:v>
      </x:c>
      <x:c r="F1691" s="4" t="str">
        <x:f>IFERROR(INDEX('Items'!$C$6:$C$1005,MATCH(D1691,'Items'!$A$6:$A$1005,0)),"MISSING ID")</x:f>
        <x:v>T3</x:v>
      </x:c>
      <x:c r="G1691" s="4" t="str">
        <x:f>IFERROR(INDEX('Items'!$D$6:$D$1005,MATCH(D1691,'Items'!$A$6:$A$1005,0)),"MISSING ID")</x:f>
        <x:v>Crafting components</x:v>
      </x:c>
      <x:c r="H1691" s="4" t="str">
        <x:f>IFERROR(INDEX('Items'!$X$6:$X$1005,MATCH(D1691,'Items'!$A$6:$A$1005,0)),"MISSING ID")</x:f>
        <x:v>Crafting component</x:v>
      </x:c>
      <x:c r="I1691" s="4"/>
      <x:c r="J1691" s="4" t="str">
        <x:v>Unspecified</x:v>
      </x:c>
      <x:c r="K1691" s="4" t="str">
        <x:f>IFERROR(INDEX('Crafting recipes'!$D$6:$D$1005,MATCH(B1691,'Crafting recipes'!$A$6:$A$1005,0)),"MISSING ID")</x:f>
        <x:v>Proposal</x:v>
      </x:c>
      <x:c r="L1691" s="4" t="str">
        <x:f>IFERROR(INDEX('Items'!$AD$6:$AD$1005,MATCH(D1691,'Items'!$A$6:$A$1005,0)),"MISSING ID")</x:f>
        <x:v>Proposal</x:v>
      </x:c>
      <x:c r="M1691" s="4" t="str">
        <x:f>IFERROR(INDEX('Crafting recipes'!$E$6:$E$1005,MATCH(B1691,'Crafting recipes'!$A$6:$A$1005,0)),"MISSING ID")</x:f>
        <x:v>Partial proposal</x:v>
      </x:c>
      <x:c r="N1691" s="4" t="str">
        <x:v>Partial audit candidate; quantity, fit and performance remain unresolved.</x:v>
      </x:c>
      <x:c r="O16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1" s="4" t="n">
        <x:f>IF(OR(C1691="Ingredient candidate",C1691="Consumed input",C1691="Contained input",C1691="Transform input"),IF(F1691="T0",0,IF(F1691="T1",1,IF(F1691="T2",2,IF(F1691="T3",3,IF(F1691="T4",4,-1))))),-1)</x:f>
        <x:v>3</x:v>
      </x:c>
      <x:c r="Q1691" s="4" t="n">
        <x:f>IF(AND(OR(C1691="Ingredient candidate",C1691="Consumed input",C1691="Contained input",C1691="Transform input"),P1691=-1),1,0)</x:f>
        <x:v>0</x:v>
      </x:c>
    </x:row>
    <x:row r="1692" ht="64" customHeight="1">
      <x:c r="A1692" s="4" t="str">
        <x:v>design.audit.proposal_culture_gift_case.audit.out</x:v>
      </x:c>
      <x:c r="B1692" s="4" t="str">
        <x:v>design.audit.proposal_culture_gift_case</x:v>
      </x:c>
      <x:c r="C1692" s="4" t="str">
        <x:v>Output</x:v>
      </x:c>
      <x:c r="D1692" s="4" t="str">
        <x:v>proposal.culture.gift_case</x:v>
      </x:c>
      <x:c r="E1692" s="4" t="str">
        <x:f>IFERROR(INDEX('Items'!$B$6:$B$1005,MATCH(D1692,'Items'!$A$6:$A$1005,0)),"MISSING ID")</x:f>
        <x:v>Ceremonial gift case</x:v>
      </x:c>
      <x:c r="F1692" s="4" t="str">
        <x:f>IFERROR(INDEX('Items'!$C$6:$C$1005,MATCH(D1692,'Items'!$A$6:$A$1005,0)),"MISSING ID")</x:f>
        <x:v>Not applicable</x:v>
      </x:c>
      <x:c r="G1692" s="4" t="str">
        <x:f>IFERROR(INDEX('Items'!$D$6:$D$1005,MATCH(D1692,'Items'!$A$6:$A$1005,0)),"MISSING ID")</x:f>
        <x:v>Salvage</x:v>
      </x:c>
      <x:c r="H1692" s="4" t="str">
        <x:f>IFERROR(INDEX('Items'!$X$6:$X$1005,MATCH(D1692,'Items'!$A$6:$A$1005,0)),"MISSING ID")</x:f>
        <x:v>Container</x:v>
      </x:c>
      <x:c r="I1692" s="4"/>
      <x:c r="J1692" s="4" t="str">
        <x:v>Unspecified</x:v>
      </x:c>
      <x:c r="K1692" s="4" t="str">
        <x:f>IFERROR(INDEX('Crafting recipes'!$D$6:$D$1005,MATCH(B1692,'Crafting recipes'!$A$6:$A$1005,0)),"MISSING ID")</x:f>
        <x:v>Proposal</x:v>
      </x:c>
      <x:c r="L1692" s="4" t="str">
        <x:f>IFERROR(INDEX('Items'!$AD$6:$AD$1005,MATCH(D1692,'Items'!$A$6:$A$1005,0)),"MISSING ID")</x:f>
        <x:v>Proposal</x:v>
      </x:c>
      <x:c r="M1692" s="4" t="str">
        <x:f>IFERROR(INDEX('Crafting recipes'!$E$6:$E$1005,MATCH(B1692,'Crafting recipes'!$A$6:$A$1005,0)),"MISSING ID")</x:f>
        <x:v>Partial proposal</x:v>
      </x:c>
      <x:c r="N1692" s="4" t="str">
        <x:v>Partial audit candidate; quantity, fit and performance remain unresolved.</x:v>
      </x:c>
      <x:c r="O16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2" s="4" t="n">
        <x:f>IF(OR(C1692="Ingredient candidate",C1692="Consumed input",C1692="Contained input",C1692="Transform input"),IF(F1692="T0",0,IF(F1692="T1",1,IF(F1692="T2",2,IF(F1692="T3",3,IF(F1692="T4",4,-1))))),-1)</x:f>
        <x:v>-1</x:v>
      </x:c>
      <x:c r="Q1692" s="4" t="n">
        <x:f>IF(AND(OR(C1692="Ingredient candidate",C1692="Consumed input",C1692="Contained input",C1692="Transform input"),P1692=-1),1,0)</x:f>
        <x:v>0</x:v>
      </x:c>
    </x:row>
    <x:row r="1693" ht="64" customHeight="1">
      <x:c r="A1693" s="4" t="str">
        <x:v>design.audit.proposal_culture_bowl.audit.in.1</x:v>
      </x:c>
      <x:c r="B1693" s="4" t="str">
        <x:v>design.audit.proposal_culture_bowl</x:v>
      </x:c>
      <x:c r="C1693" s="4" t="str">
        <x:v>Ingredient candidate</x:v>
      </x:c>
      <x:c r="D1693" s="4" t="str">
        <x:v>proposal.t1.hardpart_blank</x:v>
      </x:c>
      <x:c r="E1693" s="4" t="str">
        <x:f>IFERROR(INDEX('Items'!$B$6:$B$1005,MATCH(D1693,'Items'!$A$6:$A$1005,0)),"MISSING ID")</x:f>
        <x:v>Shaped fauna hard-part blanks</x:v>
      </x:c>
      <x:c r="F1693" s="4" t="str">
        <x:f>IFERROR(INDEX('Items'!$C$6:$C$1005,MATCH(D1693,'Items'!$A$6:$A$1005,0)),"MISSING ID")</x:f>
        <x:v>T1</x:v>
      </x:c>
      <x:c r="G1693" s="4" t="str">
        <x:f>IFERROR(INDEX('Items'!$D$6:$D$1005,MATCH(D1693,'Items'!$A$6:$A$1005,0)),"MISSING ID")</x:f>
        <x:v>Manufactured stock</x:v>
      </x:c>
      <x:c r="H1693" s="4" t="str">
        <x:f>IFERROR(INDEX('Items'!$X$6:$X$1005,MATCH(D1693,'Items'!$A$6:$A$1005,0)),"MISSING ID")</x:f>
        <x:v>Processed material</x:v>
      </x:c>
      <x:c r="I1693" s="4"/>
      <x:c r="J1693" s="4" t="str">
        <x:v>Unspecified</x:v>
      </x:c>
      <x:c r="K1693" s="4" t="str">
        <x:f>IFERROR(INDEX('Crafting recipes'!$D$6:$D$1005,MATCH(B1693,'Crafting recipes'!$A$6:$A$1005,0)),"MISSING ID")</x:f>
        <x:v>Proposal</x:v>
      </x:c>
      <x:c r="L1693" s="4" t="str">
        <x:f>IFERROR(INDEX('Items'!$AD$6:$AD$1005,MATCH(D1693,'Items'!$A$6:$A$1005,0)),"MISSING ID")</x:f>
        <x:v>Proposal</x:v>
      </x:c>
      <x:c r="M1693" s="4" t="str">
        <x:f>IFERROR(INDEX('Crafting recipes'!$E$6:$E$1005,MATCH(B1693,'Crafting recipes'!$A$6:$A$1005,0)),"MISSING ID")</x:f>
        <x:v>Partial proposal</x:v>
      </x:c>
      <x:c r="N1693" s="4" t="str">
        <x:v>Partial audit candidate; quantity, fit and performance remain unresolved.</x:v>
      </x:c>
      <x:c r="O16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3" s="4" t="n">
        <x:f>IF(OR(C1693="Ingredient candidate",C1693="Consumed input",C1693="Contained input",C1693="Transform input"),IF(F1693="T0",0,IF(F1693="T1",1,IF(F1693="T2",2,IF(F1693="T3",3,IF(F1693="T4",4,-1))))),-1)</x:f>
        <x:v>1</x:v>
      </x:c>
      <x:c r="Q1693" s="4" t="n">
        <x:f>IF(AND(OR(C1693="Ingredient candidate",C1693="Consumed input",C1693="Contained input",C1693="Transform input"),P1693=-1),1,0)</x:f>
        <x:v>0</x:v>
      </x:c>
    </x:row>
    <x:row r="1694" ht="64" customHeight="1">
      <x:c r="A1694" s="4" t="str">
        <x:v>design.audit.proposal_culture_bowl.audit.out</x:v>
      </x:c>
      <x:c r="B1694" s="4" t="str">
        <x:v>design.audit.proposal_culture_bowl</x:v>
      </x:c>
      <x:c r="C1694" s="4" t="str">
        <x:v>Output</x:v>
      </x:c>
      <x:c r="D1694" s="4" t="str">
        <x:v>proposal.culture.bowl</x:v>
      </x:c>
      <x:c r="E1694" s="4" t="str">
        <x:f>IFERROR(INDEX('Items'!$B$6:$B$1005,MATCH(D1694,'Items'!$A$6:$A$1005,0)),"MISSING ID")</x:f>
        <x:v>Everyday shell bowl</x:v>
      </x:c>
      <x:c r="F1694" s="4" t="str">
        <x:f>IFERROR(INDEX('Items'!$C$6:$C$1005,MATCH(D1694,'Items'!$A$6:$A$1005,0)),"MISSING ID")</x:f>
        <x:v>Not applicable</x:v>
      </x:c>
      <x:c r="G1694" s="4" t="str">
        <x:f>IFERROR(INDEX('Items'!$D$6:$D$1005,MATCH(D1694,'Items'!$A$6:$A$1005,0)),"MISSING ID")</x:f>
        <x:v>Salvage</x:v>
      </x:c>
      <x:c r="H1694" s="4" t="str">
        <x:f>IFERROR(INDEX('Items'!$X$6:$X$1005,MATCH(D1694,'Items'!$A$6:$A$1005,0)),"MISSING ID")</x:f>
        <x:v>Household utensil</x:v>
      </x:c>
      <x:c r="I1694" s="4"/>
      <x:c r="J1694" s="4" t="str">
        <x:v>Unspecified</x:v>
      </x:c>
      <x:c r="K1694" s="4" t="str">
        <x:f>IFERROR(INDEX('Crafting recipes'!$D$6:$D$1005,MATCH(B1694,'Crafting recipes'!$A$6:$A$1005,0)),"MISSING ID")</x:f>
        <x:v>Proposal</x:v>
      </x:c>
      <x:c r="L1694" s="4" t="str">
        <x:f>IFERROR(INDEX('Items'!$AD$6:$AD$1005,MATCH(D1694,'Items'!$A$6:$A$1005,0)),"MISSING ID")</x:f>
        <x:v>Proposal</x:v>
      </x:c>
      <x:c r="M1694" s="4" t="str">
        <x:f>IFERROR(INDEX('Crafting recipes'!$E$6:$E$1005,MATCH(B1694,'Crafting recipes'!$A$6:$A$1005,0)),"MISSING ID")</x:f>
        <x:v>Partial proposal</x:v>
      </x:c>
      <x:c r="N1694" s="4" t="str">
        <x:v>Partial audit candidate; quantity, fit and performance remain unresolved.</x:v>
      </x:c>
      <x:c r="O16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4" s="4" t="n">
        <x:f>IF(OR(C1694="Ingredient candidate",C1694="Consumed input",C1694="Contained input",C1694="Transform input"),IF(F1694="T0",0,IF(F1694="T1",1,IF(F1694="T2",2,IF(F1694="T3",3,IF(F1694="T4",4,-1))))),-1)</x:f>
        <x:v>-1</x:v>
      </x:c>
      <x:c r="Q1694" s="4" t="n">
        <x:f>IF(AND(OR(C1694="Ingredient candidate",C1694="Consumed input",C1694="Contained input",C1694="Transform input"),P1694=-1),1,0)</x:f>
        <x:v>0</x:v>
      </x:c>
    </x:row>
    <x:row r="1695" ht="64" customHeight="1">
      <x:c r="A1695" s="4" t="str">
        <x:v>design.audit.proposal_culture_spoon.audit.in.1</x:v>
      </x:c>
      <x:c r="B1695" s="4" t="str">
        <x:v>design.audit.proposal_culture_spoon</x:v>
      </x:c>
      <x:c r="C1695" s="4" t="str">
        <x:v>Ingredient candidate</x:v>
      </x:c>
      <x:c r="D1695" s="4" t="str">
        <x:v>proposal.t1.hardpart_blank</x:v>
      </x:c>
      <x:c r="E1695" s="4" t="str">
        <x:f>IFERROR(INDEX('Items'!$B$6:$B$1005,MATCH(D1695,'Items'!$A$6:$A$1005,0)),"MISSING ID")</x:f>
        <x:v>Shaped fauna hard-part blanks</x:v>
      </x:c>
      <x:c r="F1695" s="4" t="str">
        <x:f>IFERROR(INDEX('Items'!$C$6:$C$1005,MATCH(D1695,'Items'!$A$6:$A$1005,0)),"MISSING ID")</x:f>
        <x:v>T1</x:v>
      </x:c>
      <x:c r="G1695" s="4" t="str">
        <x:f>IFERROR(INDEX('Items'!$D$6:$D$1005,MATCH(D1695,'Items'!$A$6:$A$1005,0)),"MISSING ID")</x:f>
        <x:v>Manufactured stock</x:v>
      </x:c>
      <x:c r="H1695" s="4" t="str">
        <x:f>IFERROR(INDEX('Items'!$X$6:$X$1005,MATCH(D1695,'Items'!$A$6:$A$1005,0)),"MISSING ID")</x:f>
        <x:v>Processed material</x:v>
      </x:c>
      <x:c r="I1695" s="4"/>
      <x:c r="J1695" s="4" t="str">
        <x:v>Unspecified</x:v>
      </x:c>
      <x:c r="K1695" s="4" t="str">
        <x:f>IFERROR(INDEX('Crafting recipes'!$D$6:$D$1005,MATCH(B1695,'Crafting recipes'!$A$6:$A$1005,0)),"MISSING ID")</x:f>
        <x:v>Proposal</x:v>
      </x:c>
      <x:c r="L1695" s="4" t="str">
        <x:f>IFERROR(INDEX('Items'!$AD$6:$AD$1005,MATCH(D1695,'Items'!$A$6:$A$1005,0)),"MISSING ID")</x:f>
        <x:v>Proposal</x:v>
      </x:c>
      <x:c r="M1695" s="4" t="str">
        <x:f>IFERROR(INDEX('Crafting recipes'!$E$6:$E$1005,MATCH(B1695,'Crafting recipes'!$A$6:$A$1005,0)),"MISSING ID")</x:f>
        <x:v>Partial proposal</x:v>
      </x:c>
      <x:c r="N1695" s="4" t="str">
        <x:v>Partial audit candidate; quantity, fit and performance remain unresolved.</x:v>
      </x:c>
      <x:c r="O16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5" s="4" t="n">
        <x:f>IF(OR(C1695="Ingredient candidate",C1695="Consumed input",C1695="Contained input",C1695="Transform input"),IF(F1695="T0",0,IF(F1695="T1",1,IF(F1695="T2",2,IF(F1695="T3",3,IF(F1695="T4",4,-1))))),-1)</x:f>
        <x:v>1</x:v>
      </x:c>
      <x:c r="Q1695" s="4" t="n">
        <x:f>IF(AND(OR(C1695="Ingredient candidate",C1695="Consumed input",C1695="Contained input",C1695="Transform input"),P1695=-1),1,0)</x:f>
        <x:v>0</x:v>
      </x:c>
    </x:row>
    <x:row r="1696" ht="64" customHeight="1">
      <x:c r="A1696" s="4" t="str">
        <x:v>design.audit.proposal_culture_spoon.audit.out</x:v>
      </x:c>
      <x:c r="B1696" s="4" t="str">
        <x:v>design.audit.proposal_culture_spoon</x:v>
      </x:c>
      <x:c r="C1696" s="4" t="str">
        <x:v>Output</x:v>
      </x:c>
      <x:c r="D1696" s="4" t="str">
        <x:v>proposal.culture.spoon</x:v>
      </x:c>
      <x:c r="E1696" s="4" t="str">
        <x:f>IFERROR(INDEX('Items'!$B$6:$B$1005,MATCH(D1696,'Items'!$A$6:$A$1005,0)),"MISSING ID")</x:f>
        <x:v>Algae spoon / scraper</x:v>
      </x:c>
      <x:c r="F1696" s="4" t="str">
        <x:f>IFERROR(INDEX('Items'!$C$6:$C$1005,MATCH(D1696,'Items'!$A$6:$A$1005,0)),"MISSING ID")</x:f>
        <x:v>Not applicable</x:v>
      </x:c>
      <x:c r="G1696" s="4" t="str">
        <x:f>IFERROR(INDEX('Items'!$D$6:$D$1005,MATCH(D1696,'Items'!$A$6:$A$1005,0)),"MISSING ID")</x:f>
        <x:v>Salvage</x:v>
      </x:c>
      <x:c r="H1696" s="4" t="str">
        <x:f>IFERROR(INDEX('Items'!$X$6:$X$1005,MATCH(D1696,'Items'!$A$6:$A$1005,0)),"MISSING ID")</x:f>
        <x:v>Household utensil</x:v>
      </x:c>
      <x:c r="I1696" s="4"/>
      <x:c r="J1696" s="4" t="str">
        <x:v>Unspecified</x:v>
      </x:c>
      <x:c r="K1696" s="4" t="str">
        <x:f>IFERROR(INDEX('Crafting recipes'!$D$6:$D$1005,MATCH(B1696,'Crafting recipes'!$A$6:$A$1005,0)),"MISSING ID")</x:f>
        <x:v>Proposal</x:v>
      </x:c>
      <x:c r="L1696" s="4" t="str">
        <x:f>IFERROR(INDEX('Items'!$AD$6:$AD$1005,MATCH(D1696,'Items'!$A$6:$A$1005,0)),"MISSING ID")</x:f>
        <x:v>Proposal</x:v>
      </x:c>
      <x:c r="M1696" s="4" t="str">
        <x:f>IFERROR(INDEX('Crafting recipes'!$E$6:$E$1005,MATCH(B1696,'Crafting recipes'!$A$6:$A$1005,0)),"MISSING ID")</x:f>
        <x:v>Partial proposal</x:v>
      </x:c>
      <x:c r="N1696" s="4" t="str">
        <x:v>Partial audit candidate; quantity, fit and performance remain unresolved.</x:v>
      </x:c>
      <x:c r="O16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6" s="4" t="n">
        <x:f>IF(OR(C1696="Ingredient candidate",C1696="Consumed input",C1696="Contained input",C1696="Transform input"),IF(F1696="T0",0,IF(F1696="T1",1,IF(F1696="T2",2,IF(F1696="T3",3,IF(F1696="T4",4,-1))))),-1)</x:f>
        <x:v>-1</x:v>
      </x:c>
      <x:c r="Q1696" s="4" t="n">
        <x:f>IF(AND(OR(C1696="Ingredient candidate",C1696="Consumed input",C1696="Contained input",C1696="Transform input"),P1696=-1),1,0)</x:f>
        <x:v>0</x:v>
      </x:c>
    </x:row>
    <x:row r="1697" ht="64" customHeight="1">
      <x:c r="A1697" s="4" t="str">
        <x:v>design.audit.proposal_culture_brush.audit.in.1</x:v>
      </x:c>
      <x:c r="B1697" s="4" t="str">
        <x:v>design.audit.proposal_culture_brush</x:v>
      </x:c>
      <x:c r="C1697" s="4" t="str">
        <x:v>Ingredient candidate</x:v>
      </x:c>
      <x:c r="D1697" s="4" t="str">
        <x:v>proposal.bio.brush</x:v>
      </x:c>
      <x:c r="E1697" s="4" t="str">
        <x:f>IFERROR(INDEX('Items'!$B$6:$B$1005,MATCH(D1697,'Items'!$A$6:$A$1005,0)),"MISSING ID")</x:f>
        <x:v>Bristle brush strips</x:v>
      </x:c>
      <x:c r="F1697" s="4" t="str">
        <x:f>IFERROR(INDEX('Items'!$C$6:$C$1005,MATCH(D1697,'Items'!$A$6:$A$1005,0)),"MISSING ID")</x:f>
        <x:v>T2</x:v>
      </x:c>
      <x:c r="G1697" s="4" t="str">
        <x:f>IFERROR(INDEX('Items'!$D$6:$D$1005,MATCH(D1697,'Items'!$A$6:$A$1005,0)),"MISSING ID")</x:f>
        <x:v>Crafting components</x:v>
      </x:c>
      <x:c r="H1697" s="4" t="str">
        <x:f>IFERROR(INDEX('Items'!$X$6:$X$1005,MATCH(D1697,'Items'!$A$6:$A$1005,0)),"MISSING ID")</x:f>
        <x:v>Crafting component</x:v>
      </x:c>
      <x:c r="I1697" s="4"/>
      <x:c r="J1697" s="4" t="str">
        <x:v>Unspecified</x:v>
      </x:c>
      <x:c r="K1697" s="4" t="str">
        <x:f>IFERROR(INDEX('Crafting recipes'!$D$6:$D$1005,MATCH(B1697,'Crafting recipes'!$A$6:$A$1005,0)),"MISSING ID")</x:f>
        <x:v>Proposal</x:v>
      </x:c>
      <x:c r="L1697" s="4" t="str">
        <x:f>IFERROR(INDEX('Items'!$AD$6:$AD$1005,MATCH(D1697,'Items'!$A$6:$A$1005,0)),"MISSING ID")</x:f>
        <x:v>Proposal</x:v>
      </x:c>
      <x:c r="M1697" s="4" t="str">
        <x:f>IFERROR(INDEX('Crafting recipes'!$E$6:$E$1005,MATCH(B1697,'Crafting recipes'!$A$6:$A$1005,0)),"MISSING ID")</x:f>
        <x:v>Partial proposal</x:v>
      </x:c>
      <x:c r="N1697" s="4" t="str">
        <x:v>Partial audit candidate; quantity, fit and performance remain unresolved.</x:v>
      </x:c>
      <x:c r="O16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7" s="4" t="n">
        <x:f>IF(OR(C1697="Ingredient candidate",C1697="Consumed input",C1697="Contained input",C1697="Transform input"),IF(F1697="T0",0,IF(F1697="T1",1,IF(F1697="T2",2,IF(F1697="T3",3,IF(F1697="T4",4,-1))))),-1)</x:f>
        <x:v>2</x:v>
      </x:c>
      <x:c r="Q1697" s="4" t="n">
        <x:f>IF(AND(OR(C1697="Ingredient candidate",C1697="Consumed input",C1697="Contained input",C1697="Transform input"),P1697=-1),1,0)</x:f>
        <x:v>0</x:v>
      </x:c>
    </x:row>
    <x:row r="1698" ht="64" customHeight="1">
      <x:c r="A1698" s="4" t="str">
        <x:v>design.audit.proposal_culture_brush.audit.in.2</x:v>
      </x:c>
      <x:c r="B1698" s="4" t="str">
        <x:v>design.audit.proposal_culture_brush</x:v>
      </x:c>
      <x:c r="C1698" s="4" t="str">
        <x:v>Ingredient candidate</x:v>
      </x:c>
      <x:c r="D1698" s="4" t="str">
        <x:v>proposal.audit.shaped_metal_grip_blank</x:v>
      </x:c>
      <x:c r="E1698" s="4" t="str">
        <x:f>IFERROR(INDEX('Items'!$B$6:$B$1005,MATCH(D1698,'Items'!$A$6:$A$1005,0)),"MISSING ID")</x:f>
        <x:v>Shaped metal grip blank</x:v>
      </x:c>
      <x:c r="F1698" s="4" t="str">
        <x:f>IFERROR(INDEX('Items'!$C$6:$C$1005,MATCH(D1698,'Items'!$A$6:$A$1005,0)),"MISSING ID")</x:f>
        <x:v>T3</x:v>
      </x:c>
      <x:c r="G1698" s="4" t="str">
        <x:f>IFERROR(INDEX('Items'!$D$6:$D$1005,MATCH(D1698,'Items'!$A$6:$A$1005,0)),"MISSING ID")</x:f>
        <x:v>Crafting components</x:v>
      </x:c>
      <x:c r="H1698" s="4" t="str">
        <x:f>IFERROR(INDEX('Items'!$X$6:$X$1005,MATCH(D1698,'Items'!$A$6:$A$1005,0)),"MISSING ID")</x:f>
        <x:v>Crafting component</x:v>
      </x:c>
      <x:c r="I1698" s="4"/>
      <x:c r="J1698" s="4" t="str">
        <x:v>Unspecified</x:v>
      </x:c>
      <x:c r="K1698" s="4" t="str">
        <x:f>IFERROR(INDEX('Crafting recipes'!$D$6:$D$1005,MATCH(B1698,'Crafting recipes'!$A$6:$A$1005,0)),"MISSING ID")</x:f>
        <x:v>Proposal</x:v>
      </x:c>
      <x:c r="L1698" s="4" t="str">
        <x:f>IFERROR(INDEX('Items'!$AD$6:$AD$1005,MATCH(D1698,'Items'!$A$6:$A$1005,0)),"MISSING ID")</x:f>
        <x:v>Proposal</x:v>
      </x:c>
      <x:c r="M1698" s="4" t="str">
        <x:f>IFERROR(INDEX('Crafting recipes'!$E$6:$E$1005,MATCH(B1698,'Crafting recipes'!$A$6:$A$1005,0)),"MISSING ID")</x:f>
        <x:v>Partial proposal</x:v>
      </x:c>
      <x:c r="N1698" s="4" t="str">
        <x:v>Partial audit candidate; quantity, fit and performance remain unresolved.</x:v>
      </x:c>
      <x:c r="O16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8" s="4" t="n">
        <x:f>IF(OR(C1698="Ingredient candidate",C1698="Consumed input",C1698="Contained input",C1698="Transform input"),IF(F1698="T0",0,IF(F1698="T1",1,IF(F1698="T2",2,IF(F1698="T3",3,IF(F1698="T4",4,-1))))),-1)</x:f>
        <x:v>3</x:v>
      </x:c>
      <x:c r="Q1698" s="4" t="n">
        <x:f>IF(AND(OR(C1698="Ingredient candidate",C1698="Consumed input",C1698="Contained input",C1698="Transform input"),P1698=-1),1,0)</x:f>
        <x:v>0</x:v>
      </x:c>
    </x:row>
    <x:row r="1699" ht="64" customHeight="1">
      <x:c r="A1699" s="4" t="str">
        <x:v>design.audit.proposal_culture_brush.audit.out</x:v>
      </x:c>
      <x:c r="B1699" s="4" t="str">
        <x:v>design.audit.proposal_culture_brush</x:v>
      </x:c>
      <x:c r="C1699" s="4" t="str">
        <x:v>Output</x:v>
      </x:c>
      <x:c r="D1699" s="4" t="str">
        <x:v>proposal.culture.brush</x:v>
      </x:c>
      <x:c r="E1699" s="4" t="str">
        <x:f>IFERROR(INDEX('Items'!$B$6:$B$1005,MATCH(D1699,'Items'!$A$6:$A$1005,0)),"MISSING ID")</x:f>
        <x:v>Dust brush</x:v>
      </x:c>
      <x:c r="F1699" s="4" t="str">
        <x:f>IFERROR(INDEX('Items'!$C$6:$C$1005,MATCH(D1699,'Items'!$A$6:$A$1005,0)),"MISSING ID")</x:f>
        <x:v>Not applicable</x:v>
      </x:c>
      <x:c r="G1699" s="4" t="str">
        <x:f>IFERROR(INDEX('Items'!$D$6:$D$1005,MATCH(D1699,'Items'!$A$6:$A$1005,0)),"MISSING ID")</x:f>
        <x:v>Salvage</x:v>
      </x:c>
      <x:c r="H1699" s="4" t="str">
        <x:f>IFERROR(INDEX('Items'!$X$6:$X$1005,MATCH(D1699,'Items'!$A$6:$A$1005,0)),"MISSING ID")</x:f>
        <x:v>Tool</x:v>
      </x:c>
      <x:c r="I1699" s="4"/>
      <x:c r="J1699" s="4" t="str">
        <x:v>Unspecified</x:v>
      </x:c>
      <x:c r="K1699" s="4" t="str">
        <x:f>IFERROR(INDEX('Crafting recipes'!$D$6:$D$1005,MATCH(B1699,'Crafting recipes'!$A$6:$A$1005,0)),"MISSING ID")</x:f>
        <x:v>Proposal</x:v>
      </x:c>
      <x:c r="L1699" s="4" t="str">
        <x:f>IFERROR(INDEX('Items'!$AD$6:$AD$1005,MATCH(D1699,'Items'!$A$6:$A$1005,0)),"MISSING ID")</x:f>
        <x:v>Proposal</x:v>
      </x:c>
      <x:c r="M1699" s="4" t="str">
        <x:f>IFERROR(INDEX('Crafting recipes'!$E$6:$E$1005,MATCH(B1699,'Crafting recipes'!$A$6:$A$1005,0)),"MISSING ID")</x:f>
        <x:v>Partial proposal</x:v>
      </x:c>
      <x:c r="N1699" s="4" t="str">
        <x:v>Partial audit candidate; quantity, fit and performance remain unresolved.</x:v>
      </x:c>
      <x:c r="O16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9" s="4" t="n">
        <x:f>IF(OR(C1699="Ingredient candidate",C1699="Consumed input",C1699="Contained input",C1699="Transform input"),IF(F1699="T0",0,IF(F1699="T1",1,IF(F1699="T2",2,IF(F1699="T3",3,IF(F1699="T4",4,-1))))),-1)</x:f>
        <x:v>-1</x:v>
      </x:c>
      <x:c r="Q1699" s="4" t="n">
        <x:f>IF(AND(OR(C1699="Ingredient candidate",C1699="Consumed input",C1699="Contained input",C1699="Transform input"),P1699=-1),1,0)</x:f>
        <x:v>0</x:v>
      </x:c>
    </x:row>
    <x:row r="1700" ht="64" customHeight="1">
      <x:c r="A1700" s="4" t="str">
        <x:v>design.audit.proposal_culture_comb.audit.in.1</x:v>
      </x:c>
      <x:c r="B1700" s="4" t="str">
        <x:v>design.audit.proposal_culture_comb</x:v>
      </x:c>
      <x:c r="C1700" s="4" t="str">
        <x:v>Ingredient candidate</x:v>
      </x:c>
      <x:c r="D1700" s="4" t="str">
        <x:v>proposal.t1.hardpart_blank</x:v>
      </x:c>
      <x:c r="E1700" s="4" t="str">
        <x:f>IFERROR(INDEX('Items'!$B$6:$B$1005,MATCH(D1700,'Items'!$A$6:$A$1005,0)),"MISSING ID")</x:f>
        <x:v>Shaped fauna hard-part blanks</x:v>
      </x:c>
      <x:c r="F1700" s="4" t="str">
        <x:f>IFERROR(INDEX('Items'!$C$6:$C$1005,MATCH(D1700,'Items'!$A$6:$A$1005,0)),"MISSING ID")</x:f>
        <x:v>T1</x:v>
      </x:c>
      <x:c r="G1700" s="4" t="str">
        <x:f>IFERROR(INDEX('Items'!$D$6:$D$1005,MATCH(D1700,'Items'!$A$6:$A$1005,0)),"MISSING ID")</x:f>
        <x:v>Manufactured stock</x:v>
      </x:c>
      <x:c r="H1700" s="4" t="str">
        <x:f>IFERROR(INDEX('Items'!$X$6:$X$1005,MATCH(D1700,'Items'!$A$6:$A$1005,0)),"MISSING ID")</x:f>
        <x:v>Processed material</x:v>
      </x:c>
      <x:c r="I1700" s="4"/>
      <x:c r="J1700" s="4" t="str">
        <x:v>Unspecified</x:v>
      </x:c>
      <x:c r="K1700" s="4" t="str">
        <x:f>IFERROR(INDEX('Crafting recipes'!$D$6:$D$1005,MATCH(B1700,'Crafting recipes'!$A$6:$A$1005,0)),"MISSING ID")</x:f>
        <x:v>Proposal</x:v>
      </x:c>
      <x:c r="L1700" s="4" t="str">
        <x:f>IFERROR(INDEX('Items'!$AD$6:$AD$1005,MATCH(D1700,'Items'!$A$6:$A$1005,0)),"MISSING ID")</x:f>
        <x:v>Proposal</x:v>
      </x:c>
      <x:c r="M1700" s="4" t="str">
        <x:f>IFERROR(INDEX('Crafting recipes'!$E$6:$E$1005,MATCH(B1700,'Crafting recipes'!$A$6:$A$1005,0)),"MISSING ID")</x:f>
        <x:v>Partial proposal</x:v>
      </x:c>
      <x:c r="N1700" s="4" t="str">
        <x:v>Partial audit candidate; quantity, fit and performance remain unresolved.</x:v>
      </x:c>
      <x:c r="O17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0" s="4" t="n">
        <x:f>IF(OR(C1700="Ingredient candidate",C1700="Consumed input",C1700="Contained input",C1700="Transform input"),IF(F1700="T0",0,IF(F1700="T1",1,IF(F1700="T2",2,IF(F1700="T3",3,IF(F1700="T4",4,-1))))),-1)</x:f>
        <x:v>1</x:v>
      </x:c>
      <x:c r="Q1700" s="4" t="n">
        <x:f>IF(AND(OR(C1700="Ingredient candidate",C1700="Consumed input",C1700="Contained input",C1700="Transform input"),P1700=-1),1,0)</x:f>
        <x:v>0</x:v>
      </x:c>
    </x:row>
    <x:row r="1701" ht="64" customHeight="1">
      <x:c r="A1701" s="4" t="str">
        <x:v>design.audit.proposal_culture_comb.audit.out</x:v>
      </x:c>
      <x:c r="B1701" s="4" t="str">
        <x:v>design.audit.proposal_culture_comb</x:v>
      </x:c>
      <x:c r="C1701" s="4" t="str">
        <x:v>Output</x:v>
      </x:c>
      <x:c r="D1701" s="4" t="str">
        <x:v>proposal.culture.comb</x:v>
      </x:c>
      <x:c r="E1701" s="4" t="str">
        <x:f>IFERROR(INDEX('Items'!$B$6:$B$1005,MATCH(D1701,'Items'!$A$6:$A$1005,0)),"MISSING ID")</x:f>
        <x:v>Shell comb</x:v>
      </x:c>
      <x:c r="F1701" s="4" t="str">
        <x:f>IFERROR(INDEX('Items'!$C$6:$C$1005,MATCH(D1701,'Items'!$A$6:$A$1005,0)),"MISSING ID")</x:f>
        <x:v>Not applicable</x:v>
      </x:c>
      <x:c r="G1701" s="4" t="str">
        <x:f>IFERROR(INDEX('Items'!$D$6:$D$1005,MATCH(D1701,'Items'!$A$6:$A$1005,0)),"MISSING ID")</x:f>
        <x:v>Salvage</x:v>
      </x:c>
      <x:c r="H1701" s="4" t="str">
        <x:f>IFERROR(INDEX('Items'!$X$6:$X$1005,MATCH(D1701,'Items'!$A$6:$A$1005,0)),"MISSING ID")</x:f>
        <x:v>Household utensil</x:v>
      </x:c>
      <x:c r="I1701" s="4"/>
      <x:c r="J1701" s="4" t="str">
        <x:v>Unspecified</x:v>
      </x:c>
      <x:c r="K1701" s="4" t="str">
        <x:f>IFERROR(INDEX('Crafting recipes'!$D$6:$D$1005,MATCH(B1701,'Crafting recipes'!$A$6:$A$1005,0)),"MISSING ID")</x:f>
        <x:v>Proposal</x:v>
      </x:c>
      <x:c r="L1701" s="4" t="str">
        <x:f>IFERROR(INDEX('Items'!$AD$6:$AD$1005,MATCH(D1701,'Items'!$A$6:$A$1005,0)),"MISSING ID")</x:f>
        <x:v>Proposal</x:v>
      </x:c>
      <x:c r="M1701" s="4" t="str">
        <x:f>IFERROR(INDEX('Crafting recipes'!$E$6:$E$1005,MATCH(B1701,'Crafting recipes'!$A$6:$A$1005,0)),"MISSING ID")</x:f>
        <x:v>Partial proposal</x:v>
      </x:c>
      <x:c r="N1701" s="4" t="str">
        <x:v>Partial audit candidate; quantity, fit and performance remain unresolved.</x:v>
      </x:c>
      <x:c r="O17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1" s="4" t="n">
        <x:f>IF(OR(C1701="Ingredient candidate",C1701="Consumed input",C1701="Contained input",C1701="Transform input"),IF(F1701="T0",0,IF(F1701="T1",1,IF(F1701="T2",2,IF(F1701="T3",3,IF(F1701="T4",4,-1))))),-1)</x:f>
        <x:v>-1</x:v>
      </x:c>
      <x:c r="Q1701" s="4" t="n">
        <x:f>IF(AND(OR(C1701="Ingredient candidate",C1701="Consumed input",C1701="Contained input",C1701="Transform input"),P1701=-1),1,0)</x:f>
        <x:v>0</x:v>
      </x:c>
    </x:row>
    <x:row r="1702" ht="64" customHeight="1">
      <x:c r="A1702" s="4"/>
      <x:c r="B1702" s="4"/>
      <x:c r="C1702" s="4"/>
      <x:c r="D1702" s="4"/>
      <x:c r="E1702" s="4"/>
      <x:c r="F1702" s="4"/>
      <x:c r="G1702" s="4"/>
      <x:c r="H1702" s="4"/>
      <x:c r="I1702" s="4"/>
      <x:c r="J1702" s="4"/>
      <x:c r="K1702" s="4"/>
      <x:c r="L1702" s="4"/>
      <x:c r="M1702" s="4"/>
      <x:c r="N1702" s="4"/>
      <x:c r="O1702" s="4"/>
      <x:c r="P1702" s="4"/>
      <x:c r="Q1702" s="4"/>
    </x:row>
    <x:row r="1703" ht="64" customHeight="1">
      <x:c r="A1703" s="4"/>
      <x:c r="B1703" s="4"/>
      <x:c r="C1703" s="4"/>
      <x:c r="D1703" s="4"/>
      <x:c r="E1703" s="4"/>
      <x:c r="F1703" s="4"/>
      <x:c r="G1703" s="4"/>
      <x:c r="H1703" s="4"/>
      <x:c r="I1703" s="4"/>
      <x:c r="J1703" s="4"/>
      <x:c r="K1703" s="4"/>
      <x:c r="L1703" s="4"/>
      <x:c r="M1703" s="4"/>
      <x:c r="N1703" s="4"/>
      <x:c r="O1703" s="4"/>
      <x:c r="P1703" s="4"/>
      <x:c r="Q1703" s="4"/>
    </x:row>
    <x:row r="1704" ht="64" customHeight="1">
      <x:c r="A1704" s="4" t="str">
        <x:v>design.audit.proposal_culture_stylus.audit.in.1</x:v>
      </x:c>
      <x:c r="B1704" s="4" t="str">
        <x:v>design.audit.proposal_culture_stylus</x:v>
      </x:c>
      <x:c r="C1704" s="4" t="str">
        <x:v>Ingredient candidate</x:v>
      </x:c>
      <x:c r="D1704" s="4" t="str">
        <x:v>author.metallurgy.steel_stock</x:v>
      </x:c>
      <x:c r="E1704" s="4" t="str">
        <x:f>IFERROR(INDEX('Items'!$B$6:$B$1005,MATCH(D1704,'Items'!$A$6:$A$1005,0)),"MISSING ID")</x:f>
        <x:v>Steel stock</x:v>
      </x:c>
      <x:c r="F1704" s="4" t="str">
        <x:f>IFERROR(INDEX('Items'!$C$6:$C$1005,MATCH(D1704,'Items'!$A$6:$A$1005,0)),"MISSING ID")</x:f>
        <x:v>T2</x:v>
      </x:c>
      <x:c r="G1704" s="4" t="str">
        <x:f>IFERROR(INDEX('Items'!$D$6:$D$1005,MATCH(D1704,'Items'!$A$6:$A$1005,0)),"MISSING ID")</x:f>
        <x:v>Manufactured stock</x:v>
      </x:c>
      <x:c r="H1704" s="4" t="str">
        <x:f>IFERROR(INDEX('Items'!$X$6:$X$1005,MATCH(D1704,'Items'!$A$6:$A$1005,0)),"MISSING ID")</x:f>
        <x:v>Processed material</x:v>
      </x:c>
      <x:c r="I1704" s="4"/>
      <x:c r="J1704" s="4" t="str">
        <x:v>Unspecified</x:v>
      </x:c>
      <x:c r="K1704" s="4" t="str">
        <x:f>IFERROR(INDEX('Crafting recipes'!$D$6:$D$1005,MATCH(B1704,'Crafting recipes'!$A$6:$A$1005,0)),"MISSING ID")</x:f>
        <x:v>Proposal</x:v>
      </x:c>
      <x:c r="L1704" s="4" t="str">
        <x:f>IFERROR(INDEX('Items'!$AD$6:$AD$1005,MATCH(D1704,'Items'!$A$6:$A$1005,0)),"MISSING ID")</x:f>
        <x:v>Author direction</x:v>
      </x:c>
      <x:c r="M1704" s="4" t="str">
        <x:f>IFERROR(INDEX('Crafting recipes'!$E$6:$E$1005,MATCH(B1704,'Crafting recipes'!$A$6:$A$1005,0)),"MISSING ID")</x:f>
        <x:v>Partial proposal</x:v>
      </x:c>
      <x:c r="N1704" s="4" t="str">
        <x:v>Partial audit candidate; quantity, fit and performance remain unresolved.</x:v>
      </x:c>
      <x:c r="O17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4" s="4" t="n">
        <x:f>IF(OR(C1704="Ingredient candidate",C1704="Consumed input",C1704="Contained input",C1704="Transform input"),IF(F1704="T0",0,IF(F1704="T1",1,IF(F1704="T2",2,IF(F1704="T3",3,IF(F1704="T4",4,-1))))),-1)</x:f>
        <x:v>2</x:v>
      </x:c>
      <x:c r="Q1704" s="4" t="n">
        <x:f>IF(AND(OR(C1704="Ingredient candidate",C1704="Consumed input",C1704="Contained input",C1704="Transform input"),P1704=-1),1,0)</x:f>
        <x:v>0</x:v>
      </x:c>
    </x:row>
    <x:row r="1705" ht="64" customHeight="1">
      <x:c r="A1705" s="4" t="str">
        <x:v>design.audit.proposal_culture_stylus.audit.out</x:v>
      </x:c>
      <x:c r="B1705" s="4" t="str">
        <x:v>design.audit.proposal_culture_stylus</x:v>
      </x:c>
      <x:c r="C1705" s="4" t="str">
        <x:v>Output</x:v>
      </x:c>
      <x:c r="D1705" s="4" t="str">
        <x:v>proposal.culture.stylus</x:v>
      </x:c>
      <x:c r="E1705" s="4" t="str">
        <x:f>IFERROR(INDEX('Items'!$B$6:$B$1005,MATCH(D1705,'Items'!$A$6:$A$1005,0)),"MISSING ID")</x:f>
        <x:v>Marking stylus</x:v>
      </x:c>
      <x:c r="F1705" s="4" t="str">
        <x:f>IFERROR(INDEX('Items'!$C$6:$C$1005,MATCH(D1705,'Items'!$A$6:$A$1005,0)),"MISSING ID")</x:f>
        <x:v>Not applicable</x:v>
      </x:c>
      <x:c r="G1705" s="4" t="str">
        <x:f>IFERROR(INDEX('Items'!$D$6:$D$1005,MATCH(D1705,'Items'!$A$6:$A$1005,0)),"MISSING ID")</x:f>
        <x:v>Salvage</x:v>
      </x:c>
      <x:c r="H1705" s="4" t="str">
        <x:f>IFERROR(INDEX('Items'!$X$6:$X$1005,MATCH(D1705,'Items'!$A$6:$A$1005,0)),"MISSING ID")</x:f>
        <x:v>Tool</x:v>
      </x:c>
      <x:c r="I1705" s="4"/>
      <x:c r="J1705" s="4" t="str">
        <x:v>Unspecified</x:v>
      </x:c>
      <x:c r="K1705" s="4" t="str">
        <x:f>IFERROR(INDEX('Crafting recipes'!$D$6:$D$1005,MATCH(B1705,'Crafting recipes'!$A$6:$A$1005,0)),"MISSING ID")</x:f>
        <x:v>Proposal</x:v>
      </x:c>
      <x:c r="L1705" s="4" t="str">
        <x:f>IFERROR(INDEX('Items'!$AD$6:$AD$1005,MATCH(D1705,'Items'!$A$6:$A$1005,0)),"MISSING ID")</x:f>
        <x:v>Proposal</x:v>
      </x:c>
      <x:c r="M1705" s="4" t="str">
        <x:f>IFERROR(INDEX('Crafting recipes'!$E$6:$E$1005,MATCH(B1705,'Crafting recipes'!$A$6:$A$1005,0)),"MISSING ID")</x:f>
        <x:v>Partial proposal</x:v>
      </x:c>
      <x:c r="N1705" s="4" t="str">
        <x:v>Partial audit candidate; quantity, fit and performance remain unresolved.</x:v>
      </x:c>
      <x:c r="O17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5" s="4" t="n">
        <x:f>IF(OR(C1705="Ingredient candidate",C1705="Consumed input",C1705="Contained input",C1705="Transform input"),IF(F1705="T0",0,IF(F1705="T1",1,IF(F1705="T2",2,IF(F1705="T3",3,IF(F1705="T4",4,-1))))),-1)</x:f>
        <x:v>-1</x:v>
      </x:c>
      <x:c r="Q1705" s="4" t="n">
        <x:f>IF(AND(OR(C1705="Ingredient candidate",C1705="Consumed input",C1705="Contained input",C1705="Transform input"),P1705=-1),1,0)</x:f>
        <x:v>0</x:v>
      </x:c>
    </x:row>
    <x:row r="1706" ht="64" customHeight="1">
      <x:c r="A1706" s="4" t="str">
        <x:v>design.audit.proposal_ceramic_cup.audit.in.1</x:v>
      </x:c>
      <x:c r="B1706" s="4" t="str">
        <x:v>design.audit.proposal_ceramic_cup</x:v>
      </x:c>
      <x:c r="C1706" s="4" t="str">
        <x:v>Ingredient candidate</x:v>
      </x:c>
      <x:c r="D1706" s="4" t="str">
        <x:v>proposal.ceramic.body_feed</x:v>
      </x:c>
      <x:c r="E1706" s="4" t="str">
        <x:f>IFERROR(INDEX('Items'!$B$6:$B$1005,MATCH(D1706,'Items'!$A$6:$A$1005,0)),"MISSING ID")</x:f>
        <x:v>Prepared ceramic body feed</x:v>
      </x:c>
      <x:c r="F1706" s="4" t="str">
        <x:f>IFERROR(INDEX('Items'!$C$6:$C$1005,MATCH(D1706,'Items'!$A$6:$A$1005,0)),"MISSING ID")</x:f>
        <x:v>T1</x:v>
      </x:c>
      <x:c r="G1706" s="4" t="str">
        <x:f>IFERROR(INDEX('Items'!$D$6:$D$1005,MATCH(D1706,'Items'!$A$6:$A$1005,0)),"MISSING ID")</x:f>
        <x:v>Manufactured stock</x:v>
      </x:c>
      <x:c r="H1706" s="4" t="str">
        <x:f>IFERROR(INDEX('Items'!$X$6:$X$1005,MATCH(D1706,'Items'!$A$6:$A$1005,0)),"MISSING ID")</x:f>
        <x:v>Processed material</x:v>
      </x:c>
      <x:c r="I1706" s="4"/>
      <x:c r="J1706" s="4" t="str">
        <x:v>Unspecified</x:v>
      </x:c>
      <x:c r="K1706" s="4" t="str">
        <x:f>IFERROR(INDEX('Crafting recipes'!$D$6:$D$1005,MATCH(B1706,'Crafting recipes'!$A$6:$A$1005,0)),"MISSING ID")</x:f>
        <x:v>Proposal</x:v>
      </x:c>
      <x:c r="L1706" s="4" t="str">
        <x:f>IFERROR(INDEX('Items'!$AD$6:$AD$1005,MATCH(D1706,'Items'!$A$6:$A$1005,0)),"MISSING ID")</x:f>
        <x:v>Proposal</x:v>
      </x:c>
      <x:c r="M1706" s="4" t="str">
        <x:f>IFERROR(INDEX('Crafting recipes'!$E$6:$E$1005,MATCH(B1706,'Crafting recipes'!$A$6:$A$1005,0)),"MISSING ID")</x:f>
        <x:v>Partial proposal</x:v>
      </x:c>
      <x:c r="N1706" s="4" t="str">
        <x:v>Partial audit candidate; quantity, fit and performance remain unresolved.</x:v>
      </x:c>
      <x:c r="O17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6" s="4" t="n">
        <x:f>IF(OR(C1706="Ingredient candidate",C1706="Consumed input",C1706="Contained input",C1706="Transform input"),IF(F1706="T0",0,IF(F1706="T1",1,IF(F1706="T2",2,IF(F1706="T3",3,IF(F1706="T4",4,-1))))),-1)</x:f>
        <x:v>1</x:v>
      </x:c>
      <x:c r="Q1706" s="4" t="n">
        <x:f>IF(AND(OR(C1706="Ingredient candidate",C1706="Consumed input",C1706="Contained input",C1706="Transform input"),P1706=-1),1,0)</x:f>
        <x:v>0</x:v>
      </x:c>
    </x:row>
    <x:row r="1707" ht="64" customHeight="1">
      <x:c r="A1707" s="4" t="str">
        <x:v>design.audit.proposal_ceramic_cup.audit.in.2</x:v>
      </x:c>
      <x:c r="B1707" s="4" t="str">
        <x:v>design.audit.proposal_ceramic_cup</x:v>
      </x:c>
      <x:c r="C1707" s="4" t="str">
        <x:v>Ingredient candidate</x:v>
      </x:c>
      <x:c r="D1707" s="4" t="str">
        <x:v>proposal.t1.pigment_powder</x:v>
      </x:c>
      <x:c r="E1707" s="4" t="str">
        <x:f>IFERROR(INDEX('Items'!$B$6:$B$1005,MATCH(D1707,'Items'!$A$6:$A$1005,0)),"MISSING ID")</x:f>
        <x:v>Prepared mineral pigment powder</x:v>
      </x:c>
      <x:c r="F1707" s="4" t="str">
        <x:f>IFERROR(INDEX('Items'!$C$6:$C$1005,MATCH(D1707,'Items'!$A$6:$A$1005,0)),"MISSING ID")</x:f>
        <x:v>T1</x:v>
      </x:c>
      <x:c r="G1707" s="4" t="str">
        <x:f>IFERROR(INDEX('Items'!$D$6:$D$1005,MATCH(D1707,'Items'!$A$6:$A$1005,0)),"MISSING ID")</x:f>
        <x:v>Manufactured stock</x:v>
      </x:c>
      <x:c r="H1707" s="4" t="str">
        <x:f>IFERROR(INDEX('Items'!$X$6:$X$1005,MATCH(D1707,'Items'!$A$6:$A$1005,0)),"MISSING ID")</x:f>
        <x:v>Processed material</x:v>
      </x:c>
      <x:c r="I1707" s="4"/>
      <x:c r="J1707" s="4" t="str">
        <x:v>Unspecified</x:v>
      </x:c>
      <x:c r="K1707" s="4" t="str">
        <x:f>IFERROR(INDEX('Crafting recipes'!$D$6:$D$1005,MATCH(B1707,'Crafting recipes'!$A$6:$A$1005,0)),"MISSING ID")</x:f>
        <x:v>Proposal</x:v>
      </x:c>
      <x:c r="L1707" s="4" t="str">
        <x:f>IFERROR(INDEX('Items'!$AD$6:$AD$1005,MATCH(D1707,'Items'!$A$6:$A$1005,0)),"MISSING ID")</x:f>
        <x:v>Proposal</x:v>
      </x:c>
      <x:c r="M1707" s="4" t="str">
        <x:f>IFERROR(INDEX('Crafting recipes'!$E$6:$E$1005,MATCH(B1707,'Crafting recipes'!$A$6:$A$1005,0)),"MISSING ID")</x:f>
        <x:v>Partial proposal</x:v>
      </x:c>
      <x:c r="N1707" s="4" t="str">
        <x:v>Partial audit candidate; quantity, fit and performance remain unresolved.</x:v>
      </x:c>
      <x:c r="O17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7" s="4" t="n">
        <x:f>IF(OR(C1707="Ingredient candidate",C1707="Consumed input",C1707="Contained input",C1707="Transform input"),IF(F1707="T0",0,IF(F1707="T1",1,IF(F1707="T2",2,IF(F1707="T3",3,IF(F1707="T4",4,-1))))),-1)</x:f>
        <x:v>1</x:v>
      </x:c>
      <x:c r="Q1707" s="4" t="n">
        <x:f>IF(AND(OR(C1707="Ingredient candidate",C1707="Consumed input",C1707="Contained input",C1707="Transform input"),P1707=-1),1,0)</x:f>
        <x:v>0</x:v>
      </x:c>
    </x:row>
    <x:row r="1708" ht="64" customHeight="1">
      <x:c r="A1708" s="4" t="str">
        <x:v>design.audit.proposal_ceramic_cup.audit.out</x:v>
      </x:c>
      <x:c r="B1708" s="4" t="str">
        <x:v>design.audit.proposal_ceramic_cup</x:v>
      </x:c>
      <x:c r="C1708" s="4" t="str">
        <x:v>Output</x:v>
      </x:c>
      <x:c r="D1708" s="4" t="str">
        <x:v>proposal.ceramic.cup</x:v>
      </x:c>
      <x:c r="E1708" s="4" t="str">
        <x:f>IFERROR(INDEX('Items'!$B$6:$B$1005,MATCH(D1708,'Items'!$A$6:$A$1005,0)),"MISSING ID")</x:f>
        <x:v>Small ceramic cup</x:v>
      </x:c>
      <x:c r="F1708" s="4" t="str">
        <x:f>IFERROR(INDEX('Items'!$C$6:$C$1005,MATCH(D1708,'Items'!$A$6:$A$1005,0)),"MISSING ID")</x:f>
        <x:v>Not applicable</x:v>
      </x:c>
      <x:c r="G1708" s="4" t="str">
        <x:f>IFERROR(INDEX('Items'!$D$6:$D$1005,MATCH(D1708,'Items'!$A$6:$A$1005,0)),"MISSING ID")</x:f>
        <x:v>Salvage</x:v>
      </x:c>
      <x:c r="H1708" s="4" t="str">
        <x:f>IFERROR(INDEX('Items'!$X$6:$X$1005,MATCH(D1708,'Items'!$A$6:$A$1005,0)),"MISSING ID")</x:f>
        <x:v>Household utensil</x:v>
      </x:c>
      <x:c r="I1708" s="4"/>
      <x:c r="J1708" s="4" t="str">
        <x:v>Unspecified</x:v>
      </x:c>
      <x:c r="K1708" s="4" t="str">
        <x:f>IFERROR(INDEX('Crafting recipes'!$D$6:$D$1005,MATCH(B1708,'Crafting recipes'!$A$6:$A$1005,0)),"MISSING ID")</x:f>
        <x:v>Proposal</x:v>
      </x:c>
      <x:c r="L1708" s="4" t="str">
        <x:f>IFERROR(INDEX('Items'!$AD$6:$AD$1005,MATCH(D1708,'Items'!$A$6:$A$1005,0)),"MISSING ID")</x:f>
        <x:v>Proposal</x:v>
      </x:c>
      <x:c r="M1708" s="4" t="str">
        <x:f>IFERROR(INDEX('Crafting recipes'!$E$6:$E$1005,MATCH(B1708,'Crafting recipes'!$A$6:$A$1005,0)),"MISSING ID")</x:f>
        <x:v>Partial proposal</x:v>
      </x:c>
      <x:c r="N1708" s="4" t="str">
        <x:v>Partial audit candidate; quantity, fit and performance remain unresolved.</x:v>
      </x:c>
      <x:c r="O17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8" s="4" t="n">
        <x:f>IF(OR(C1708="Ingredient candidate",C1708="Consumed input",C1708="Contained input",C1708="Transform input"),IF(F1708="T0",0,IF(F1708="T1",1,IF(F1708="T2",2,IF(F1708="T3",3,IF(F1708="T4",4,-1))))),-1)</x:f>
        <x:v>-1</x:v>
      </x:c>
      <x:c r="Q1708" s="4" t="n">
        <x:f>IF(AND(OR(C1708="Ingredient candidate",C1708="Consumed input",C1708="Contained input",C1708="Transform input"),P1708=-1),1,0)</x:f>
        <x:v>0</x:v>
      </x:c>
    </x:row>
    <x:row r="1709" ht="64" customHeight="1">
      <x:c r="A1709" s="4" t="str">
        <x:v>design.audit.proposal_ceramic_plate.audit.in.1</x:v>
      </x:c>
      <x:c r="B1709" s="4" t="str">
        <x:v>design.audit.proposal_ceramic_plate</x:v>
      </x:c>
      <x:c r="C1709" s="4" t="str">
        <x:v>Ingredient candidate</x:v>
      </x:c>
      <x:c r="D1709" s="4" t="str">
        <x:v>proposal.ceramic.body_feed</x:v>
      </x:c>
      <x:c r="E1709" s="4" t="str">
        <x:f>IFERROR(INDEX('Items'!$B$6:$B$1005,MATCH(D1709,'Items'!$A$6:$A$1005,0)),"MISSING ID")</x:f>
        <x:v>Prepared ceramic body feed</x:v>
      </x:c>
      <x:c r="F1709" s="4" t="str">
        <x:f>IFERROR(INDEX('Items'!$C$6:$C$1005,MATCH(D1709,'Items'!$A$6:$A$1005,0)),"MISSING ID")</x:f>
        <x:v>T1</x:v>
      </x:c>
      <x:c r="G1709" s="4" t="str">
        <x:f>IFERROR(INDEX('Items'!$D$6:$D$1005,MATCH(D1709,'Items'!$A$6:$A$1005,0)),"MISSING ID")</x:f>
        <x:v>Manufactured stock</x:v>
      </x:c>
      <x:c r="H1709" s="4" t="str">
        <x:f>IFERROR(INDEX('Items'!$X$6:$X$1005,MATCH(D1709,'Items'!$A$6:$A$1005,0)),"MISSING ID")</x:f>
        <x:v>Processed material</x:v>
      </x:c>
      <x:c r="I1709" s="4"/>
      <x:c r="J1709" s="4" t="str">
        <x:v>Unspecified</x:v>
      </x:c>
      <x:c r="K1709" s="4" t="str">
        <x:f>IFERROR(INDEX('Crafting recipes'!$D$6:$D$1005,MATCH(B1709,'Crafting recipes'!$A$6:$A$1005,0)),"MISSING ID")</x:f>
        <x:v>Proposal</x:v>
      </x:c>
      <x:c r="L1709" s="4" t="str">
        <x:f>IFERROR(INDEX('Items'!$AD$6:$AD$1005,MATCH(D1709,'Items'!$A$6:$A$1005,0)),"MISSING ID")</x:f>
        <x:v>Proposal</x:v>
      </x:c>
      <x:c r="M1709" s="4" t="str">
        <x:f>IFERROR(INDEX('Crafting recipes'!$E$6:$E$1005,MATCH(B1709,'Crafting recipes'!$A$6:$A$1005,0)),"MISSING ID")</x:f>
        <x:v>Partial proposal</x:v>
      </x:c>
      <x:c r="N1709" s="4" t="str">
        <x:v>Partial audit candidate; quantity, fit and performance remain unresolved.</x:v>
      </x:c>
      <x:c r="O17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9" s="4" t="n">
        <x:f>IF(OR(C1709="Ingredient candidate",C1709="Consumed input",C1709="Contained input",C1709="Transform input"),IF(F1709="T0",0,IF(F1709="T1",1,IF(F1709="T2",2,IF(F1709="T3",3,IF(F1709="T4",4,-1))))),-1)</x:f>
        <x:v>1</x:v>
      </x:c>
      <x:c r="Q1709" s="4" t="n">
        <x:f>IF(AND(OR(C1709="Ingredient candidate",C1709="Consumed input",C1709="Contained input",C1709="Transform input"),P1709=-1),1,0)</x:f>
        <x:v>0</x:v>
      </x:c>
    </x:row>
    <x:row r="1710" ht="64" customHeight="1">
      <x:c r="A1710" s="4" t="str">
        <x:v>design.audit.proposal_ceramic_plate.audit.in.2</x:v>
      </x:c>
      <x:c r="B1710" s="4" t="str">
        <x:v>design.audit.proposal_ceramic_plate</x:v>
      </x:c>
      <x:c r="C1710" s="4" t="str">
        <x:v>Ingredient candidate</x:v>
      </x:c>
      <x:c r="D1710" s="4" t="str">
        <x:v>proposal.t1.pigment_powder</x:v>
      </x:c>
      <x:c r="E1710" s="4" t="str">
        <x:f>IFERROR(INDEX('Items'!$B$6:$B$1005,MATCH(D1710,'Items'!$A$6:$A$1005,0)),"MISSING ID")</x:f>
        <x:v>Prepared mineral pigment powder</x:v>
      </x:c>
      <x:c r="F1710" s="4" t="str">
        <x:f>IFERROR(INDEX('Items'!$C$6:$C$1005,MATCH(D1710,'Items'!$A$6:$A$1005,0)),"MISSING ID")</x:f>
        <x:v>T1</x:v>
      </x:c>
      <x:c r="G1710" s="4" t="str">
        <x:f>IFERROR(INDEX('Items'!$D$6:$D$1005,MATCH(D1710,'Items'!$A$6:$A$1005,0)),"MISSING ID")</x:f>
        <x:v>Manufactured stock</x:v>
      </x:c>
      <x:c r="H1710" s="4" t="str">
        <x:f>IFERROR(INDEX('Items'!$X$6:$X$1005,MATCH(D1710,'Items'!$A$6:$A$1005,0)),"MISSING ID")</x:f>
        <x:v>Processed material</x:v>
      </x:c>
      <x:c r="I1710" s="4"/>
      <x:c r="J1710" s="4" t="str">
        <x:v>Unspecified</x:v>
      </x:c>
      <x:c r="K1710" s="4" t="str">
        <x:f>IFERROR(INDEX('Crafting recipes'!$D$6:$D$1005,MATCH(B1710,'Crafting recipes'!$A$6:$A$1005,0)),"MISSING ID")</x:f>
        <x:v>Proposal</x:v>
      </x:c>
      <x:c r="L1710" s="4" t="str">
        <x:f>IFERROR(INDEX('Items'!$AD$6:$AD$1005,MATCH(D1710,'Items'!$A$6:$A$1005,0)),"MISSING ID")</x:f>
        <x:v>Proposal</x:v>
      </x:c>
      <x:c r="M1710" s="4" t="str">
        <x:f>IFERROR(INDEX('Crafting recipes'!$E$6:$E$1005,MATCH(B1710,'Crafting recipes'!$A$6:$A$1005,0)),"MISSING ID")</x:f>
        <x:v>Partial proposal</x:v>
      </x:c>
      <x:c r="N1710" s="4" t="str">
        <x:v>Partial audit candidate; quantity, fit and performance remain unresolved.</x:v>
      </x:c>
      <x:c r="O17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0" s="4" t="n">
        <x:f>IF(OR(C1710="Ingredient candidate",C1710="Consumed input",C1710="Contained input",C1710="Transform input"),IF(F1710="T0",0,IF(F1710="T1",1,IF(F1710="T2",2,IF(F1710="T3",3,IF(F1710="T4",4,-1))))),-1)</x:f>
        <x:v>1</x:v>
      </x:c>
      <x:c r="Q1710" s="4" t="n">
        <x:f>IF(AND(OR(C1710="Ingredient candidate",C1710="Consumed input",C1710="Contained input",C1710="Transform input"),P1710=-1),1,0)</x:f>
        <x:v>0</x:v>
      </x:c>
    </x:row>
    <x:row r="1711" ht="64" customHeight="1">
      <x:c r="A1711" s="4" t="str">
        <x:v>design.audit.proposal_ceramic_plate.audit.out</x:v>
      </x:c>
      <x:c r="B1711" s="4" t="str">
        <x:v>design.audit.proposal_ceramic_plate</x:v>
      </x:c>
      <x:c r="C1711" s="4" t="str">
        <x:v>Output</x:v>
      </x:c>
      <x:c r="D1711" s="4" t="str">
        <x:v>proposal.ceramic.plate</x:v>
      </x:c>
      <x:c r="E1711" s="4" t="str">
        <x:f>IFERROR(INDEX('Items'!$B$6:$B$1005,MATCH(D1711,'Items'!$A$6:$A$1005,0)),"MISSING ID")</x:f>
        <x:v>Ceramic serving plate</x:v>
      </x:c>
      <x:c r="F1711" s="4" t="str">
        <x:f>IFERROR(INDEX('Items'!$C$6:$C$1005,MATCH(D1711,'Items'!$A$6:$A$1005,0)),"MISSING ID")</x:f>
        <x:v>Not applicable</x:v>
      </x:c>
      <x:c r="G1711" s="4" t="str">
        <x:f>IFERROR(INDEX('Items'!$D$6:$D$1005,MATCH(D1711,'Items'!$A$6:$A$1005,0)),"MISSING ID")</x:f>
        <x:v>Salvage</x:v>
      </x:c>
      <x:c r="H1711" s="4" t="str">
        <x:f>IFERROR(INDEX('Items'!$X$6:$X$1005,MATCH(D1711,'Items'!$A$6:$A$1005,0)),"MISSING ID")</x:f>
        <x:v>Household utensil</x:v>
      </x:c>
      <x:c r="I1711" s="4"/>
      <x:c r="J1711" s="4" t="str">
        <x:v>Unspecified</x:v>
      </x:c>
      <x:c r="K1711" s="4" t="str">
        <x:f>IFERROR(INDEX('Crafting recipes'!$D$6:$D$1005,MATCH(B1711,'Crafting recipes'!$A$6:$A$1005,0)),"MISSING ID")</x:f>
        <x:v>Proposal</x:v>
      </x:c>
      <x:c r="L1711" s="4" t="str">
        <x:f>IFERROR(INDEX('Items'!$AD$6:$AD$1005,MATCH(D1711,'Items'!$A$6:$A$1005,0)),"MISSING ID")</x:f>
        <x:v>Proposal</x:v>
      </x:c>
      <x:c r="M1711" s="4" t="str">
        <x:f>IFERROR(INDEX('Crafting recipes'!$E$6:$E$1005,MATCH(B1711,'Crafting recipes'!$A$6:$A$1005,0)),"MISSING ID")</x:f>
        <x:v>Partial proposal</x:v>
      </x:c>
      <x:c r="N1711" s="4" t="str">
        <x:v>Partial audit candidate; quantity, fit and performance remain unresolved.</x:v>
      </x:c>
      <x:c r="O17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1" s="4" t="n">
        <x:f>IF(OR(C1711="Ingredient candidate",C1711="Consumed input",C1711="Contained input",C1711="Transform input"),IF(F1711="T0",0,IF(F1711="T1",1,IF(F1711="T2",2,IF(F1711="T3",3,IF(F1711="T4",4,-1))))),-1)</x:f>
        <x:v>-1</x:v>
      </x:c>
      <x:c r="Q1711" s="4" t="n">
        <x:f>IF(AND(OR(C1711="Ingredient candidate",C1711="Consumed input",C1711="Contained input",C1711="Transform input"),P1711=-1),1,0)</x:f>
        <x:v>0</x:v>
      </x:c>
    </x:row>
    <x:row r="1712" ht="64" customHeight="1">
      <x:c r="A1712" s="4" t="str">
        <x:v>design.audit.proposal_ceramic_storage_crock.audit.in.1</x:v>
      </x:c>
      <x:c r="B1712" s="4" t="str">
        <x:v>design.audit.proposal_ceramic_storage_crock</x:v>
      </x:c>
      <x:c r="C1712" s="4" t="str">
        <x:v>Ingredient candidate</x:v>
      </x:c>
      <x:c r="D1712" s="4" t="str">
        <x:v>proposal.audit.fired_ceramic_vessel_blank</x:v>
      </x:c>
      <x:c r="E1712" s="4" t="str">
        <x:f>IFERROR(INDEX('Items'!$B$6:$B$1005,MATCH(D1712,'Items'!$A$6:$A$1005,0)),"MISSING ID")</x:f>
        <x:v>Fired ceramic vessel blank</x:v>
      </x:c>
      <x:c r="F1712" s="4" t="str">
        <x:f>IFERROR(INDEX('Items'!$C$6:$C$1005,MATCH(D1712,'Items'!$A$6:$A$1005,0)),"MISSING ID")</x:f>
        <x:v>T2</x:v>
      </x:c>
      <x:c r="G1712" s="4" t="str">
        <x:f>IFERROR(INDEX('Items'!$D$6:$D$1005,MATCH(D1712,'Items'!$A$6:$A$1005,0)),"MISSING ID")</x:f>
        <x:v>Crafting components</x:v>
      </x:c>
      <x:c r="H1712" s="4" t="str">
        <x:f>IFERROR(INDEX('Items'!$X$6:$X$1005,MATCH(D1712,'Items'!$A$6:$A$1005,0)),"MISSING ID")</x:f>
        <x:v>Crafting component</x:v>
      </x:c>
      <x:c r="I1712" s="4"/>
      <x:c r="J1712" s="4" t="str">
        <x:v>Unspecified</x:v>
      </x:c>
      <x:c r="K1712" s="4" t="str">
        <x:f>IFERROR(INDEX('Crafting recipes'!$D$6:$D$1005,MATCH(B1712,'Crafting recipes'!$A$6:$A$1005,0)),"MISSING ID")</x:f>
        <x:v>Proposal</x:v>
      </x:c>
      <x:c r="L1712" s="4" t="str">
        <x:f>IFERROR(INDEX('Items'!$AD$6:$AD$1005,MATCH(D1712,'Items'!$A$6:$A$1005,0)),"MISSING ID")</x:f>
        <x:v>Proposal</x:v>
      </x:c>
      <x:c r="M1712" s="4" t="str">
        <x:f>IFERROR(INDEX('Crafting recipes'!$E$6:$E$1005,MATCH(B1712,'Crafting recipes'!$A$6:$A$1005,0)),"MISSING ID")</x:f>
        <x:v>Partial proposal</x:v>
      </x:c>
      <x:c r="N1712" s="4" t="str">
        <x:v>Partial audit candidate; quantity, fit and performance remain unresolved.</x:v>
      </x:c>
      <x:c r="O17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2" s="4" t="n">
        <x:f>IF(OR(C1712="Ingredient candidate",C1712="Consumed input",C1712="Contained input",C1712="Transform input"),IF(F1712="T0",0,IF(F1712="T1",1,IF(F1712="T2",2,IF(F1712="T3",3,IF(F1712="T4",4,-1))))),-1)</x:f>
        <x:v>2</x:v>
      </x:c>
      <x:c r="Q1712" s="4" t="n">
        <x:f>IF(AND(OR(C1712="Ingredient candidate",C1712="Consumed input",C1712="Contained input",C1712="Transform input"),P1712=-1),1,0)</x:f>
        <x:v>0</x:v>
      </x:c>
    </x:row>
    <x:row r="1713" ht="64" customHeight="1">
      <x:c r="A1713" s="4" t="str">
        <x:v>design.audit.proposal_ceramic_storage_crock.audit.in.2</x:v>
      </x:c>
      <x:c r="B1713" s="4" t="str">
        <x:v>design.audit.proposal_ceramic_storage_crock</x:v>
      </x:c>
      <x:c r="C1713" s="4" t="str">
        <x:v>Ingredient candidate</x:v>
      </x:c>
      <x:c r="D1713" s="4" t="str">
        <x:v>proposal.ceramic.lid</x:v>
      </x:c>
      <x:c r="E1713" s="4" t="str">
        <x:f>IFERROR(INDEX('Items'!$B$6:$B$1005,MATCH(D1713,'Items'!$A$6:$A$1005,0)),"MISSING ID")</x:f>
        <x:v>Ceramic vessel lid</x:v>
      </x:c>
      <x:c r="F1713" s="4" t="str">
        <x:f>IFERROR(INDEX('Items'!$C$6:$C$1005,MATCH(D1713,'Items'!$A$6:$A$1005,0)),"MISSING ID")</x:f>
        <x:v>T3</x:v>
      </x:c>
      <x:c r="G1713" s="4" t="str">
        <x:f>IFERROR(INDEX('Items'!$D$6:$D$1005,MATCH(D1713,'Items'!$A$6:$A$1005,0)),"MISSING ID")</x:f>
        <x:v>Crafting components</x:v>
      </x:c>
      <x:c r="H1713" s="4" t="str">
        <x:f>IFERROR(INDEX('Items'!$X$6:$X$1005,MATCH(D1713,'Items'!$A$6:$A$1005,0)),"MISSING ID")</x:f>
        <x:v>Container part</x:v>
      </x:c>
      <x:c r="I1713" s="4"/>
      <x:c r="J1713" s="4" t="str">
        <x:v>Unspecified</x:v>
      </x:c>
      <x:c r="K1713" s="4" t="str">
        <x:f>IFERROR(INDEX('Crafting recipes'!$D$6:$D$1005,MATCH(B1713,'Crafting recipes'!$A$6:$A$1005,0)),"MISSING ID")</x:f>
        <x:v>Proposal</x:v>
      </x:c>
      <x:c r="L1713" s="4" t="str">
        <x:f>IFERROR(INDEX('Items'!$AD$6:$AD$1005,MATCH(D1713,'Items'!$A$6:$A$1005,0)),"MISSING ID")</x:f>
        <x:v>Proposal</x:v>
      </x:c>
      <x:c r="M1713" s="4" t="str">
        <x:f>IFERROR(INDEX('Crafting recipes'!$E$6:$E$1005,MATCH(B1713,'Crafting recipes'!$A$6:$A$1005,0)),"MISSING ID")</x:f>
        <x:v>Partial proposal</x:v>
      </x:c>
      <x:c r="N1713" s="4" t="str">
        <x:v>Partial audit candidate; quantity, fit and performance remain unresolved.</x:v>
      </x:c>
      <x:c r="O17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3" s="4" t="n">
        <x:f>IF(OR(C1713="Ingredient candidate",C1713="Consumed input",C1713="Contained input",C1713="Transform input"),IF(F1713="T0",0,IF(F1713="T1",1,IF(F1713="T2",2,IF(F1713="T3",3,IF(F1713="T4",4,-1))))),-1)</x:f>
        <x:v>3</x:v>
      </x:c>
      <x:c r="Q1713" s="4" t="n">
        <x:f>IF(AND(OR(C1713="Ingredient candidate",C1713="Consumed input",C1713="Contained input",C1713="Transform input"),P1713=-1),1,0)</x:f>
        <x:v>0</x:v>
      </x:c>
    </x:row>
    <x:row r="1714" ht="64" customHeight="1">
      <x:c r="A1714" s="4" t="str">
        <x:v>design.audit.proposal_ceramic_storage_crock.audit.out</x:v>
      </x:c>
      <x:c r="B1714" s="4" t="str">
        <x:v>design.audit.proposal_ceramic_storage_crock</x:v>
      </x:c>
      <x:c r="C1714" s="4" t="str">
        <x:v>Output</x:v>
      </x:c>
      <x:c r="D1714" s="4" t="str">
        <x:v>proposal.ceramic.storage_crock</x:v>
      </x:c>
      <x:c r="E1714" s="4" t="str">
        <x:f>IFERROR(INDEX('Items'!$B$6:$B$1005,MATCH(D1714,'Items'!$A$6:$A$1005,0)),"MISSING ID")</x:f>
        <x:v>Ceramic dry-storage crock</x:v>
      </x:c>
      <x:c r="F1714" s="4" t="str">
        <x:f>IFERROR(INDEX('Items'!$C$6:$C$1005,MATCH(D1714,'Items'!$A$6:$A$1005,0)),"MISSING ID")</x:f>
        <x:v>Not applicable</x:v>
      </x:c>
      <x:c r="G1714" s="4" t="str">
        <x:f>IFERROR(INDEX('Items'!$D$6:$D$1005,MATCH(D1714,'Items'!$A$6:$A$1005,0)),"MISSING ID")</x:f>
        <x:v>Salvage</x:v>
      </x:c>
      <x:c r="H1714" s="4" t="str">
        <x:f>IFERROR(INDEX('Items'!$X$6:$X$1005,MATCH(D1714,'Items'!$A$6:$A$1005,0)),"MISSING ID")</x:f>
        <x:v>Container</x:v>
      </x:c>
      <x:c r="I1714" s="4"/>
      <x:c r="J1714" s="4" t="str">
        <x:v>Unspecified</x:v>
      </x:c>
      <x:c r="K1714" s="4" t="str">
        <x:f>IFERROR(INDEX('Crafting recipes'!$D$6:$D$1005,MATCH(B1714,'Crafting recipes'!$A$6:$A$1005,0)),"MISSING ID")</x:f>
        <x:v>Proposal</x:v>
      </x:c>
      <x:c r="L1714" s="4" t="str">
        <x:f>IFERROR(INDEX('Items'!$AD$6:$AD$1005,MATCH(D1714,'Items'!$A$6:$A$1005,0)),"MISSING ID")</x:f>
        <x:v>Proposal</x:v>
      </x:c>
      <x:c r="M1714" s="4" t="str">
        <x:f>IFERROR(INDEX('Crafting recipes'!$E$6:$E$1005,MATCH(B1714,'Crafting recipes'!$A$6:$A$1005,0)),"MISSING ID")</x:f>
        <x:v>Partial proposal</x:v>
      </x:c>
      <x:c r="N1714" s="4" t="str">
        <x:v>Partial audit candidate; quantity, fit and performance remain unresolved.</x:v>
      </x:c>
      <x:c r="O17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4" s="4" t="n">
        <x:f>IF(OR(C1714="Ingredient candidate",C1714="Consumed input",C1714="Contained input",C1714="Transform input"),IF(F1714="T0",0,IF(F1714="T1",1,IF(F1714="T2",2,IF(F1714="T3",3,IF(F1714="T4",4,-1))))),-1)</x:f>
        <x:v>-1</x:v>
      </x:c>
      <x:c r="Q1714" s="4" t="n">
        <x:f>IF(AND(OR(C1714="Ingredient candidate",C1714="Consumed input",C1714="Contained input",C1714="Transform input"),P1714=-1),1,0)</x:f>
        <x:v>0</x:v>
      </x:c>
    </x:row>
    <x:row r="1715" ht="64" customHeight="1">
      <x:c r="A1715" s="4" t="str">
        <x:v>design.audit.proposal_ceramic_casting_mold.audit.in.1</x:v>
      </x:c>
      <x:c r="B1715" s="4" t="str">
        <x:v>design.audit.proposal_ceramic_casting_mold</x:v>
      </x:c>
      <x:c r="C1715" s="4" t="str">
        <x:v>Ingredient candidate</x:v>
      </x:c>
      <x:c r="D1715" s="4" t="str">
        <x:v>proposal.ceramic.body_feed</x:v>
      </x:c>
      <x:c r="E1715" s="4" t="str">
        <x:f>IFERROR(INDEX('Items'!$B$6:$B$1005,MATCH(D1715,'Items'!$A$6:$A$1005,0)),"MISSING ID")</x:f>
        <x:v>Prepared ceramic body feed</x:v>
      </x:c>
      <x:c r="F1715" s="4" t="str">
        <x:f>IFERROR(INDEX('Items'!$C$6:$C$1005,MATCH(D1715,'Items'!$A$6:$A$1005,0)),"MISSING ID")</x:f>
        <x:v>T1</x:v>
      </x:c>
      <x:c r="G1715" s="4" t="str">
        <x:f>IFERROR(INDEX('Items'!$D$6:$D$1005,MATCH(D1715,'Items'!$A$6:$A$1005,0)),"MISSING ID")</x:f>
        <x:v>Manufactured stock</x:v>
      </x:c>
      <x:c r="H1715" s="4" t="str">
        <x:f>IFERROR(INDEX('Items'!$X$6:$X$1005,MATCH(D1715,'Items'!$A$6:$A$1005,0)),"MISSING ID")</x:f>
        <x:v>Processed material</x:v>
      </x:c>
      <x:c r="I1715" s="4"/>
      <x:c r="J1715" s="4" t="str">
        <x:v>Unspecified</x:v>
      </x:c>
      <x:c r="K1715" s="4" t="str">
        <x:f>IFERROR(INDEX('Crafting recipes'!$D$6:$D$1005,MATCH(B1715,'Crafting recipes'!$A$6:$A$1005,0)),"MISSING ID")</x:f>
        <x:v>Proposal</x:v>
      </x:c>
      <x:c r="L1715" s="4" t="str">
        <x:f>IFERROR(INDEX('Items'!$AD$6:$AD$1005,MATCH(D1715,'Items'!$A$6:$A$1005,0)),"MISSING ID")</x:f>
        <x:v>Proposal</x:v>
      </x:c>
      <x:c r="M1715" s="4" t="str">
        <x:f>IFERROR(INDEX('Crafting recipes'!$E$6:$E$1005,MATCH(B1715,'Crafting recipes'!$A$6:$A$1005,0)),"MISSING ID")</x:f>
        <x:v>Partial proposal</x:v>
      </x:c>
      <x:c r="N1715" s="4" t="str">
        <x:v>Partial audit candidate; quantity, fit and performance remain unresolved.</x:v>
      </x:c>
      <x:c r="O17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5" s="4" t="n">
        <x:f>IF(OR(C1715="Ingredient candidate",C1715="Consumed input",C1715="Contained input",C1715="Transform input"),IF(F1715="T0",0,IF(F1715="T1",1,IF(F1715="T2",2,IF(F1715="T3",3,IF(F1715="T4",4,-1))))),-1)</x:f>
        <x:v>1</x:v>
      </x:c>
      <x:c r="Q1715" s="4" t="n">
        <x:f>IF(AND(OR(C1715="Ingredient candidate",C1715="Consumed input",C1715="Contained input",C1715="Transform input"),P1715=-1),1,0)</x:f>
        <x:v>0</x:v>
      </x:c>
    </x:row>
    <x:row r="1716" ht="64" customHeight="1">
      <x:c r="A1716" s="4" t="str">
        <x:v>design.audit.proposal_ceramic_casting_mold.audit.in.2</x:v>
      </x:c>
      <x:c r="B1716" s="4" t="str">
        <x:v>design.audit.proposal_ceramic_casting_mold</x:v>
      </x:c>
      <x:c r="C1716" s="4" t="str">
        <x:v>Ingredient candidate</x:v>
      </x:c>
      <x:c r="D1716" s="4" t="str">
        <x:v>proposal.t1.pigment_powder</x:v>
      </x:c>
      <x:c r="E1716" s="4" t="str">
        <x:f>IFERROR(INDEX('Items'!$B$6:$B$1005,MATCH(D1716,'Items'!$A$6:$A$1005,0)),"MISSING ID")</x:f>
        <x:v>Prepared mineral pigment powder</x:v>
      </x:c>
      <x:c r="F1716" s="4" t="str">
        <x:f>IFERROR(INDEX('Items'!$C$6:$C$1005,MATCH(D1716,'Items'!$A$6:$A$1005,0)),"MISSING ID")</x:f>
        <x:v>T1</x:v>
      </x:c>
      <x:c r="G1716" s="4" t="str">
        <x:f>IFERROR(INDEX('Items'!$D$6:$D$1005,MATCH(D1716,'Items'!$A$6:$A$1005,0)),"MISSING ID")</x:f>
        <x:v>Manufactured stock</x:v>
      </x:c>
      <x:c r="H1716" s="4" t="str">
        <x:f>IFERROR(INDEX('Items'!$X$6:$X$1005,MATCH(D1716,'Items'!$A$6:$A$1005,0)),"MISSING ID")</x:f>
        <x:v>Processed material</x:v>
      </x:c>
      <x:c r="I1716" s="4"/>
      <x:c r="J1716" s="4" t="str">
        <x:v>Unspecified</x:v>
      </x:c>
      <x:c r="K1716" s="4" t="str">
        <x:f>IFERROR(INDEX('Crafting recipes'!$D$6:$D$1005,MATCH(B1716,'Crafting recipes'!$A$6:$A$1005,0)),"MISSING ID")</x:f>
        <x:v>Proposal</x:v>
      </x:c>
      <x:c r="L1716" s="4" t="str">
        <x:f>IFERROR(INDEX('Items'!$AD$6:$AD$1005,MATCH(D1716,'Items'!$A$6:$A$1005,0)),"MISSING ID")</x:f>
        <x:v>Proposal</x:v>
      </x:c>
      <x:c r="M1716" s="4" t="str">
        <x:f>IFERROR(INDEX('Crafting recipes'!$E$6:$E$1005,MATCH(B1716,'Crafting recipes'!$A$6:$A$1005,0)),"MISSING ID")</x:f>
        <x:v>Partial proposal</x:v>
      </x:c>
      <x:c r="N1716" s="4" t="str">
        <x:v>Partial audit candidate; quantity, fit and performance remain unresolved.</x:v>
      </x:c>
      <x:c r="O17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6" s="4" t="n">
        <x:f>IF(OR(C1716="Ingredient candidate",C1716="Consumed input",C1716="Contained input",C1716="Transform input"),IF(F1716="T0",0,IF(F1716="T1",1,IF(F1716="T2",2,IF(F1716="T3",3,IF(F1716="T4",4,-1))))),-1)</x:f>
        <x:v>1</x:v>
      </x:c>
      <x:c r="Q1716" s="4" t="n">
        <x:f>IF(AND(OR(C1716="Ingredient candidate",C1716="Consumed input",C1716="Contained input",C1716="Transform input"),P1716=-1),1,0)</x:f>
        <x:v>0</x:v>
      </x:c>
    </x:row>
    <x:row r="1717" ht="64" customHeight="1">
      <x:c r="A1717" s="4" t="str">
        <x:v>design.audit.proposal_ceramic_casting_mold.audit.out</x:v>
      </x:c>
      <x:c r="B1717" s="4" t="str">
        <x:v>design.audit.proposal_ceramic_casting_mold</x:v>
      </x:c>
      <x:c r="C1717" s="4" t="str">
        <x:v>Output</x:v>
      </x:c>
      <x:c r="D1717" s="4" t="str">
        <x:v>proposal.ceramic.casting_mold</x:v>
      </x:c>
      <x:c r="E1717" s="4" t="str">
        <x:f>IFERROR(INDEX('Items'!$B$6:$B$1005,MATCH(D1717,'Items'!$A$6:$A$1005,0)),"MISSING ID")</x:f>
        <x:v>Ceramic casting mold</x:v>
      </x:c>
      <x:c r="F1717" s="4" t="str">
        <x:f>IFERROR(INDEX('Items'!$C$6:$C$1005,MATCH(D1717,'Items'!$A$6:$A$1005,0)),"MISSING ID")</x:f>
        <x:v>Not applicable</x:v>
      </x:c>
      <x:c r="G1717" s="4" t="str">
        <x:f>IFERROR(INDEX('Items'!$D$6:$D$1005,MATCH(D1717,'Items'!$A$6:$A$1005,0)),"MISSING ID")</x:f>
        <x:v>Salvage</x:v>
      </x:c>
      <x:c r="H1717" s="4" t="str">
        <x:f>IFERROR(INDEX('Items'!$X$6:$X$1005,MATCH(D1717,'Items'!$A$6:$A$1005,0)),"MISSING ID")</x:f>
        <x:v>Tool</x:v>
      </x:c>
      <x:c r="I1717" s="4"/>
      <x:c r="J1717" s="4" t="str">
        <x:v>Unspecified</x:v>
      </x:c>
      <x:c r="K1717" s="4" t="str">
        <x:f>IFERROR(INDEX('Crafting recipes'!$D$6:$D$1005,MATCH(B1717,'Crafting recipes'!$A$6:$A$1005,0)),"MISSING ID")</x:f>
        <x:v>Proposal</x:v>
      </x:c>
      <x:c r="L1717" s="4" t="str">
        <x:f>IFERROR(INDEX('Items'!$AD$6:$AD$1005,MATCH(D1717,'Items'!$A$6:$A$1005,0)),"MISSING ID")</x:f>
        <x:v>Proposal</x:v>
      </x:c>
      <x:c r="M1717" s="4" t="str">
        <x:f>IFERROR(INDEX('Crafting recipes'!$E$6:$E$1005,MATCH(B1717,'Crafting recipes'!$A$6:$A$1005,0)),"MISSING ID")</x:f>
        <x:v>Partial proposal</x:v>
      </x:c>
      <x:c r="N1717" s="4" t="str">
        <x:v>Partial audit candidate; quantity, fit and performance remain unresolved.</x:v>
      </x:c>
      <x:c r="O17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7" s="4" t="n">
        <x:f>IF(OR(C1717="Ingredient candidate",C1717="Consumed input",C1717="Contained input",C1717="Transform input"),IF(F1717="T0",0,IF(F1717="T1",1,IF(F1717="T2",2,IF(F1717="T3",3,IF(F1717="T4",4,-1))))),-1)</x:f>
        <x:v>-1</x:v>
      </x:c>
      <x:c r="Q1717" s="4" t="n">
        <x:f>IF(AND(OR(C1717="Ingredient candidate",C1717="Consumed input",C1717="Contained input",C1717="Transform input"),P1717=-1),1,0)</x:f>
        <x:v>0</x:v>
      </x:c>
    </x:row>
    <x:row r="1718" ht="64" customHeight="1">
      <x:c r="A1718" s="4" t="str">
        <x:v>design.audit.proposal_ceramic_mortar.audit.in.1</x:v>
      </x:c>
      <x:c r="B1718" s="4" t="str">
        <x:v>design.audit.proposal_ceramic_mortar</x:v>
      </x:c>
      <x:c r="C1718" s="4" t="str">
        <x:v>Ingredient candidate</x:v>
      </x:c>
      <x:c r="D1718" s="4" t="str">
        <x:v>proposal.ceramic.body_feed</x:v>
      </x:c>
      <x:c r="E1718" s="4" t="str">
        <x:f>IFERROR(INDEX('Items'!$B$6:$B$1005,MATCH(D1718,'Items'!$A$6:$A$1005,0)),"MISSING ID")</x:f>
        <x:v>Prepared ceramic body feed</x:v>
      </x:c>
      <x:c r="F1718" s="4" t="str">
        <x:f>IFERROR(INDEX('Items'!$C$6:$C$1005,MATCH(D1718,'Items'!$A$6:$A$1005,0)),"MISSING ID")</x:f>
        <x:v>T1</x:v>
      </x:c>
      <x:c r="G1718" s="4" t="str">
        <x:f>IFERROR(INDEX('Items'!$D$6:$D$1005,MATCH(D1718,'Items'!$A$6:$A$1005,0)),"MISSING ID")</x:f>
        <x:v>Manufactured stock</x:v>
      </x:c>
      <x:c r="H1718" s="4" t="str">
        <x:f>IFERROR(INDEX('Items'!$X$6:$X$1005,MATCH(D1718,'Items'!$A$6:$A$1005,0)),"MISSING ID")</x:f>
        <x:v>Processed material</x:v>
      </x:c>
      <x:c r="I1718" s="4"/>
      <x:c r="J1718" s="4" t="str">
        <x:v>Unspecified</x:v>
      </x:c>
      <x:c r="K1718" s="4" t="str">
        <x:f>IFERROR(INDEX('Crafting recipes'!$D$6:$D$1005,MATCH(B1718,'Crafting recipes'!$A$6:$A$1005,0)),"MISSING ID")</x:f>
        <x:v>Proposal</x:v>
      </x:c>
      <x:c r="L1718" s="4" t="str">
        <x:f>IFERROR(INDEX('Items'!$AD$6:$AD$1005,MATCH(D1718,'Items'!$A$6:$A$1005,0)),"MISSING ID")</x:f>
        <x:v>Proposal</x:v>
      </x:c>
      <x:c r="M1718" s="4" t="str">
        <x:f>IFERROR(INDEX('Crafting recipes'!$E$6:$E$1005,MATCH(B1718,'Crafting recipes'!$A$6:$A$1005,0)),"MISSING ID")</x:f>
        <x:v>Partial proposal</x:v>
      </x:c>
      <x:c r="N1718" s="4" t="str">
        <x:v>Partial audit candidate; quantity, fit and performance remain unresolved.</x:v>
      </x:c>
      <x:c r="O17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8" s="4" t="n">
        <x:f>IF(OR(C1718="Ingredient candidate",C1718="Consumed input",C1718="Contained input",C1718="Transform input"),IF(F1718="T0",0,IF(F1718="T1",1,IF(F1718="T2",2,IF(F1718="T3",3,IF(F1718="T4",4,-1))))),-1)</x:f>
        <x:v>1</x:v>
      </x:c>
      <x:c r="Q1718" s="4" t="n">
        <x:f>IF(AND(OR(C1718="Ingredient candidate",C1718="Consumed input",C1718="Contained input",C1718="Transform input"),P1718=-1),1,0)</x:f>
        <x:v>0</x:v>
      </x:c>
    </x:row>
    <x:row r="1719" ht="64" customHeight="1">
      <x:c r="A1719" s="4" t="str">
        <x:v>design.audit.proposal_ceramic_mortar.audit.in.2</x:v>
      </x:c>
      <x:c r="B1719" s="4" t="str">
        <x:v>design.audit.proposal_ceramic_mortar</x:v>
      </x:c>
      <x:c r="C1719" s="4" t="str">
        <x:v>Ingredient candidate</x:v>
      </x:c>
      <x:c r="D1719" s="4" t="str">
        <x:v>proposal.t1.pigment_powder</x:v>
      </x:c>
      <x:c r="E1719" s="4" t="str">
        <x:f>IFERROR(INDEX('Items'!$B$6:$B$1005,MATCH(D1719,'Items'!$A$6:$A$1005,0)),"MISSING ID")</x:f>
        <x:v>Prepared mineral pigment powder</x:v>
      </x:c>
      <x:c r="F1719" s="4" t="str">
        <x:f>IFERROR(INDEX('Items'!$C$6:$C$1005,MATCH(D1719,'Items'!$A$6:$A$1005,0)),"MISSING ID")</x:f>
        <x:v>T1</x:v>
      </x:c>
      <x:c r="G1719" s="4" t="str">
        <x:f>IFERROR(INDEX('Items'!$D$6:$D$1005,MATCH(D1719,'Items'!$A$6:$A$1005,0)),"MISSING ID")</x:f>
        <x:v>Manufactured stock</x:v>
      </x:c>
      <x:c r="H1719" s="4" t="str">
        <x:f>IFERROR(INDEX('Items'!$X$6:$X$1005,MATCH(D1719,'Items'!$A$6:$A$1005,0)),"MISSING ID")</x:f>
        <x:v>Processed material</x:v>
      </x:c>
      <x:c r="I1719" s="4"/>
      <x:c r="J1719" s="4" t="str">
        <x:v>Unspecified</x:v>
      </x:c>
      <x:c r="K1719" s="4" t="str">
        <x:f>IFERROR(INDEX('Crafting recipes'!$D$6:$D$1005,MATCH(B1719,'Crafting recipes'!$A$6:$A$1005,0)),"MISSING ID")</x:f>
        <x:v>Proposal</x:v>
      </x:c>
      <x:c r="L1719" s="4" t="str">
        <x:f>IFERROR(INDEX('Items'!$AD$6:$AD$1005,MATCH(D1719,'Items'!$A$6:$A$1005,0)),"MISSING ID")</x:f>
        <x:v>Proposal</x:v>
      </x:c>
      <x:c r="M1719" s="4" t="str">
        <x:f>IFERROR(INDEX('Crafting recipes'!$E$6:$E$1005,MATCH(B1719,'Crafting recipes'!$A$6:$A$1005,0)),"MISSING ID")</x:f>
        <x:v>Partial proposal</x:v>
      </x:c>
      <x:c r="N1719" s="4" t="str">
        <x:v>Partial audit candidate; quantity, fit and performance remain unresolved.</x:v>
      </x:c>
      <x:c r="O17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9" s="4" t="n">
        <x:f>IF(OR(C1719="Ingredient candidate",C1719="Consumed input",C1719="Contained input",C1719="Transform input"),IF(F1719="T0",0,IF(F1719="T1",1,IF(F1719="T2",2,IF(F1719="T3",3,IF(F1719="T4",4,-1))))),-1)</x:f>
        <x:v>1</x:v>
      </x:c>
      <x:c r="Q1719" s="4" t="n">
        <x:f>IF(AND(OR(C1719="Ingredient candidate",C1719="Consumed input",C1719="Contained input",C1719="Transform input"),P1719=-1),1,0)</x:f>
        <x:v>0</x:v>
      </x:c>
    </x:row>
    <x:row r="1720" ht="64" customHeight="1">
      <x:c r="A1720" s="4" t="str">
        <x:v>design.audit.proposal_ceramic_mortar.audit.out</x:v>
      </x:c>
      <x:c r="B1720" s="4" t="str">
        <x:v>design.audit.proposal_ceramic_mortar</x:v>
      </x:c>
      <x:c r="C1720" s="4" t="str">
        <x:v>Output</x:v>
      </x:c>
      <x:c r="D1720" s="4" t="str">
        <x:v>proposal.ceramic.mortar</x:v>
      </x:c>
      <x:c r="E1720" s="4" t="str">
        <x:f>IFERROR(INDEX('Items'!$B$6:$B$1005,MATCH(D1720,'Items'!$A$6:$A$1005,0)),"MISSING ID")</x:f>
        <x:v>Ceramic grinding mortar</x:v>
      </x:c>
      <x:c r="F1720" s="4" t="str">
        <x:f>IFERROR(INDEX('Items'!$C$6:$C$1005,MATCH(D1720,'Items'!$A$6:$A$1005,0)),"MISSING ID")</x:f>
        <x:v>Not applicable</x:v>
      </x:c>
      <x:c r="G1720" s="4" t="str">
        <x:f>IFERROR(INDEX('Items'!$D$6:$D$1005,MATCH(D1720,'Items'!$A$6:$A$1005,0)),"MISSING ID")</x:f>
        <x:v>Salvage</x:v>
      </x:c>
      <x:c r="H1720" s="4" t="str">
        <x:f>IFERROR(INDEX('Items'!$X$6:$X$1005,MATCH(D1720,'Items'!$A$6:$A$1005,0)),"MISSING ID")</x:f>
        <x:v>Tool</x:v>
      </x:c>
      <x:c r="I1720" s="4"/>
      <x:c r="J1720" s="4" t="str">
        <x:v>Unspecified</x:v>
      </x:c>
      <x:c r="K1720" s="4" t="str">
        <x:f>IFERROR(INDEX('Crafting recipes'!$D$6:$D$1005,MATCH(B1720,'Crafting recipes'!$A$6:$A$1005,0)),"MISSING ID")</x:f>
        <x:v>Proposal</x:v>
      </x:c>
      <x:c r="L1720" s="4" t="str">
        <x:f>IFERROR(INDEX('Items'!$AD$6:$AD$1005,MATCH(D1720,'Items'!$A$6:$A$1005,0)),"MISSING ID")</x:f>
        <x:v>Proposal</x:v>
      </x:c>
      <x:c r="M1720" s="4" t="str">
        <x:f>IFERROR(INDEX('Crafting recipes'!$E$6:$E$1005,MATCH(B1720,'Crafting recipes'!$A$6:$A$1005,0)),"MISSING ID")</x:f>
        <x:v>Partial proposal</x:v>
      </x:c>
      <x:c r="N1720" s="4" t="str">
        <x:v>Partial audit candidate; quantity, fit and performance remain unresolved.</x:v>
      </x:c>
      <x:c r="O17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0" s="4" t="n">
        <x:f>IF(OR(C1720="Ingredient candidate",C1720="Consumed input",C1720="Contained input",C1720="Transform input"),IF(F1720="T0",0,IF(F1720="T1",1,IF(F1720="T2",2,IF(F1720="T3",3,IF(F1720="T4",4,-1))))),-1)</x:f>
        <x:v>-1</x:v>
      </x:c>
      <x:c r="Q1720" s="4" t="n">
        <x:f>IF(AND(OR(C1720="Ingredient candidate",C1720="Consumed input",C1720="Contained input",C1720="Transform input"),P1720=-1),1,0)</x:f>
        <x:v>0</x:v>
      </x:c>
    </x:row>
    <x:row r="1721" ht="64" customHeight="1">
      <x:c r="A1721" s="4" t="str">
        <x:v>design.audit.proposal_ceramic_pestle.audit.in.1</x:v>
      </x:c>
      <x:c r="B1721" s="4" t="str">
        <x:v>design.audit.proposal_ceramic_pestle</x:v>
      </x:c>
      <x:c r="C1721" s="4" t="str">
        <x:v>Ingredient candidate</x:v>
      </x:c>
      <x:c r="D1721" s="4" t="str">
        <x:v>proposal.ceramic.body_feed</x:v>
      </x:c>
      <x:c r="E1721" s="4" t="str">
        <x:f>IFERROR(INDEX('Items'!$B$6:$B$1005,MATCH(D1721,'Items'!$A$6:$A$1005,0)),"MISSING ID")</x:f>
        <x:v>Prepared ceramic body feed</x:v>
      </x:c>
      <x:c r="F1721" s="4" t="str">
        <x:f>IFERROR(INDEX('Items'!$C$6:$C$1005,MATCH(D1721,'Items'!$A$6:$A$1005,0)),"MISSING ID")</x:f>
        <x:v>T1</x:v>
      </x:c>
      <x:c r="G1721" s="4" t="str">
        <x:f>IFERROR(INDEX('Items'!$D$6:$D$1005,MATCH(D1721,'Items'!$A$6:$A$1005,0)),"MISSING ID")</x:f>
        <x:v>Manufactured stock</x:v>
      </x:c>
      <x:c r="H1721" s="4" t="str">
        <x:f>IFERROR(INDEX('Items'!$X$6:$X$1005,MATCH(D1721,'Items'!$A$6:$A$1005,0)),"MISSING ID")</x:f>
        <x:v>Processed material</x:v>
      </x:c>
      <x:c r="I1721" s="4"/>
      <x:c r="J1721" s="4" t="str">
        <x:v>Unspecified</x:v>
      </x:c>
      <x:c r="K1721" s="4" t="str">
        <x:f>IFERROR(INDEX('Crafting recipes'!$D$6:$D$1005,MATCH(B1721,'Crafting recipes'!$A$6:$A$1005,0)),"MISSING ID")</x:f>
        <x:v>Proposal</x:v>
      </x:c>
      <x:c r="L1721" s="4" t="str">
        <x:f>IFERROR(INDEX('Items'!$AD$6:$AD$1005,MATCH(D1721,'Items'!$A$6:$A$1005,0)),"MISSING ID")</x:f>
        <x:v>Proposal</x:v>
      </x:c>
      <x:c r="M1721" s="4" t="str">
        <x:f>IFERROR(INDEX('Crafting recipes'!$E$6:$E$1005,MATCH(B1721,'Crafting recipes'!$A$6:$A$1005,0)),"MISSING ID")</x:f>
        <x:v>Partial proposal</x:v>
      </x:c>
      <x:c r="N1721" s="4" t="str">
        <x:v>Partial audit candidate; quantity, fit and performance remain unresolved.</x:v>
      </x:c>
      <x:c r="O17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1" s="4" t="n">
        <x:f>IF(OR(C1721="Ingredient candidate",C1721="Consumed input",C1721="Contained input",C1721="Transform input"),IF(F1721="T0",0,IF(F1721="T1",1,IF(F1721="T2",2,IF(F1721="T3",3,IF(F1721="T4",4,-1))))),-1)</x:f>
        <x:v>1</x:v>
      </x:c>
      <x:c r="Q1721" s="4" t="n">
        <x:f>IF(AND(OR(C1721="Ingredient candidate",C1721="Consumed input",C1721="Contained input",C1721="Transform input"),P1721=-1),1,0)</x:f>
        <x:v>0</x:v>
      </x:c>
    </x:row>
    <x:row r="1722" ht="64" customHeight="1">
      <x:c r="A1722" s="4" t="str">
        <x:v>design.audit.proposal_ceramic_pestle.audit.in.2</x:v>
      </x:c>
      <x:c r="B1722" s="4" t="str">
        <x:v>design.audit.proposal_ceramic_pestle</x:v>
      </x:c>
      <x:c r="C1722" s="4" t="str">
        <x:v>Ingredient candidate</x:v>
      </x:c>
      <x:c r="D1722" s="4" t="str">
        <x:v>proposal.t1.pigment_powder</x:v>
      </x:c>
      <x:c r="E1722" s="4" t="str">
        <x:f>IFERROR(INDEX('Items'!$B$6:$B$1005,MATCH(D1722,'Items'!$A$6:$A$1005,0)),"MISSING ID")</x:f>
        <x:v>Prepared mineral pigment powder</x:v>
      </x:c>
      <x:c r="F1722" s="4" t="str">
        <x:f>IFERROR(INDEX('Items'!$C$6:$C$1005,MATCH(D1722,'Items'!$A$6:$A$1005,0)),"MISSING ID")</x:f>
        <x:v>T1</x:v>
      </x:c>
      <x:c r="G1722" s="4" t="str">
        <x:f>IFERROR(INDEX('Items'!$D$6:$D$1005,MATCH(D1722,'Items'!$A$6:$A$1005,0)),"MISSING ID")</x:f>
        <x:v>Manufactured stock</x:v>
      </x:c>
      <x:c r="H1722" s="4" t="str">
        <x:f>IFERROR(INDEX('Items'!$X$6:$X$1005,MATCH(D1722,'Items'!$A$6:$A$1005,0)),"MISSING ID")</x:f>
        <x:v>Processed material</x:v>
      </x:c>
      <x:c r="I1722" s="4"/>
      <x:c r="J1722" s="4" t="str">
        <x:v>Unspecified</x:v>
      </x:c>
      <x:c r="K1722" s="4" t="str">
        <x:f>IFERROR(INDEX('Crafting recipes'!$D$6:$D$1005,MATCH(B1722,'Crafting recipes'!$A$6:$A$1005,0)),"MISSING ID")</x:f>
        <x:v>Proposal</x:v>
      </x:c>
      <x:c r="L1722" s="4" t="str">
        <x:f>IFERROR(INDEX('Items'!$AD$6:$AD$1005,MATCH(D1722,'Items'!$A$6:$A$1005,0)),"MISSING ID")</x:f>
        <x:v>Proposal</x:v>
      </x:c>
      <x:c r="M1722" s="4" t="str">
        <x:f>IFERROR(INDEX('Crafting recipes'!$E$6:$E$1005,MATCH(B1722,'Crafting recipes'!$A$6:$A$1005,0)),"MISSING ID")</x:f>
        <x:v>Partial proposal</x:v>
      </x:c>
      <x:c r="N1722" s="4" t="str">
        <x:v>Partial audit candidate; quantity, fit and performance remain unresolved.</x:v>
      </x:c>
      <x:c r="O17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2" s="4" t="n">
        <x:f>IF(OR(C1722="Ingredient candidate",C1722="Consumed input",C1722="Contained input",C1722="Transform input"),IF(F1722="T0",0,IF(F1722="T1",1,IF(F1722="T2",2,IF(F1722="T3",3,IF(F1722="T4",4,-1))))),-1)</x:f>
        <x:v>1</x:v>
      </x:c>
      <x:c r="Q1722" s="4" t="n">
        <x:f>IF(AND(OR(C1722="Ingredient candidate",C1722="Consumed input",C1722="Contained input",C1722="Transform input"),P1722=-1),1,0)</x:f>
        <x:v>0</x:v>
      </x:c>
    </x:row>
    <x:row r="1723" ht="64" customHeight="1">
      <x:c r="A1723" s="4" t="str">
        <x:v>design.audit.proposal_ceramic_pestle.audit.out</x:v>
      </x:c>
      <x:c r="B1723" s="4" t="str">
        <x:v>design.audit.proposal_ceramic_pestle</x:v>
      </x:c>
      <x:c r="C1723" s="4" t="str">
        <x:v>Output</x:v>
      </x:c>
      <x:c r="D1723" s="4" t="str">
        <x:v>proposal.ceramic.pestle</x:v>
      </x:c>
      <x:c r="E1723" s="4" t="str">
        <x:f>IFERROR(INDEX('Items'!$B$6:$B$1005,MATCH(D1723,'Items'!$A$6:$A$1005,0)),"MISSING ID")</x:f>
        <x:v>Ceramic pestle</x:v>
      </x:c>
      <x:c r="F1723" s="4" t="str">
        <x:f>IFERROR(INDEX('Items'!$C$6:$C$1005,MATCH(D1723,'Items'!$A$6:$A$1005,0)),"MISSING ID")</x:f>
        <x:v>Not applicable</x:v>
      </x:c>
      <x:c r="G1723" s="4" t="str">
        <x:f>IFERROR(INDEX('Items'!$D$6:$D$1005,MATCH(D1723,'Items'!$A$6:$A$1005,0)),"MISSING ID")</x:f>
        <x:v>Salvage</x:v>
      </x:c>
      <x:c r="H1723" s="4" t="str">
        <x:f>IFERROR(INDEX('Items'!$X$6:$X$1005,MATCH(D1723,'Items'!$A$6:$A$1005,0)),"MISSING ID")</x:f>
        <x:v>Tool</x:v>
      </x:c>
      <x:c r="I1723" s="4"/>
      <x:c r="J1723" s="4" t="str">
        <x:v>Unspecified</x:v>
      </x:c>
      <x:c r="K1723" s="4" t="str">
        <x:f>IFERROR(INDEX('Crafting recipes'!$D$6:$D$1005,MATCH(B1723,'Crafting recipes'!$A$6:$A$1005,0)),"MISSING ID")</x:f>
        <x:v>Proposal</x:v>
      </x:c>
      <x:c r="L1723" s="4" t="str">
        <x:f>IFERROR(INDEX('Items'!$AD$6:$AD$1005,MATCH(D1723,'Items'!$A$6:$A$1005,0)),"MISSING ID")</x:f>
        <x:v>Proposal</x:v>
      </x:c>
      <x:c r="M1723" s="4" t="str">
        <x:f>IFERROR(INDEX('Crafting recipes'!$E$6:$E$1005,MATCH(B1723,'Crafting recipes'!$A$6:$A$1005,0)),"MISSING ID")</x:f>
        <x:v>Partial proposal</x:v>
      </x:c>
      <x:c r="N1723" s="4" t="str">
        <x:v>Partial audit candidate; quantity, fit and performance remain unresolved.</x:v>
      </x:c>
      <x:c r="O17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3" s="4" t="n">
        <x:f>IF(OR(C1723="Ingredient candidate",C1723="Consumed input",C1723="Contained input",C1723="Transform input"),IF(F1723="T0",0,IF(F1723="T1",1,IF(F1723="T2",2,IF(F1723="T3",3,IF(F1723="T4",4,-1))))),-1)</x:f>
        <x:v>-1</x:v>
      </x:c>
      <x:c r="Q1723" s="4" t="n">
        <x:f>IF(AND(OR(C1723="Ingredient candidate",C1723="Consumed input",C1723="Contained input",C1723="Transform input"),P1723=-1),1,0)</x:f>
        <x:v>0</x:v>
      </x:c>
    </x:row>
    <x:row r="1724" ht="64" customHeight="1">
      <x:c r="A1724" s="4" t="str">
        <x:v>design.audit.proposal_ceramic_firing_tray.audit.in.1</x:v>
      </x:c>
      <x:c r="B1724" s="4" t="str">
        <x:v>design.audit.proposal_ceramic_firing_tray</x:v>
      </x:c>
      <x:c r="C1724" s="4" t="str">
        <x:v>Ingredient candidate</x:v>
      </x:c>
      <x:c r="D1724" s="4" t="str">
        <x:v>proposal.ceramic.body_feed</x:v>
      </x:c>
      <x:c r="E1724" s="4" t="str">
        <x:f>IFERROR(INDEX('Items'!$B$6:$B$1005,MATCH(D1724,'Items'!$A$6:$A$1005,0)),"MISSING ID")</x:f>
        <x:v>Prepared ceramic body feed</x:v>
      </x:c>
      <x:c r="F1724" s="4" t="str">
        <x:f>IFERROR(INDEX('Items'!$C$6:$C$1005,MATCH(D1724,'Items'!$A$6:$A$1005,0)),"MISSING ID")</x:f>
        <x:v>T1</x:v>
      </x:c>
      <x:c r="G1724" s="4" t="str">
        <x:f>IFERROR(INDEX('Items'!$D$6:$D$1005,MATCH(D1724,'Items'!$A$6:$A$1005,0)),"MISSING ID")</x:f>
        <x:v>Manufactured stock</x:v>
      </x:c>
      <x:c r="H1724" s="4" t="str">
        <x:f>IFERROR(INDEX('Items'!$X$6:$X$1005,MATCH(D1724,'Items'!$A$6:$A$1005,0)),"MISSING ID")</x:f>
        <x:v>Processed material</x:v>
      </x:c>
      <x:c r="I1724" s="4"/>
      <x:c r="J1724" s="4" t="str">
        <x:v>Unspecified</x:v>
      </x:c>
      <x:c r="K1724" s="4" t="str">
        <x:f>IFERROR(INDEX('Crafting recipes'!$D$6:$D$1005,MATCH(B1724,'Crafting recipes'!$A$6:$A$1005,0)),"MISSING ID")</x:f>
        <x:v>Proposal</x:v>
      </x:c>
      <x:c r="L1724" s="4" t="str">
        <x:f>IFERROR(INDEX('Items'!$AD$6:$AD$1005,MATCH(D1724,'Items'!$A$6:$A$1005,0)),"MISSING ID")</x:f>
        <x:v>Proposal</x:v>
      </x:c>
      <x:c r="M1724" s="4" t="str">
        <x:f>IFERROR(INDEX('Crafting recipes'!$E$6:$E$1005,MATCH(B1724,'Crafting recipes'!$A$6:$A$1005,0)),"MISSING ID")</x:f>
        <x:v>Partial proposal</x:v>
      </x:c>
      <x:c r="N1724" s="4" t="str">
        <x:v>Partial audit candidate; quantity, fit and performance remain unresolved.</x:v>
      </x:c>
      <x:c r="O17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4" s="4" t="n">
        <x:f>IF(OR(C1724="Ingredient candidate",C1724="Consumed input",C1724="Contained input",C1724="Transform input"),IF(F1724="T0",0,IF(F1724="T1",1,IF(F1724="T2",2,IF(F1724="T3",3,IF(F1724="T4",4,-1))))),-1)</x:f>
        <x:v>1</x:v>
      </x:c>
      <x:c r="Q1724" s="4" t="n">
        <x:f>IF(AND(OR(C1724="Ingredient candidate",C1724="Consumed input",C1724="Contained input",C1724="Transform input"),P1724=-1),1,0)</x:f>
        <x:v>0</x:v>
      </x:c>
    </x:row>
    <x:row r="1725" ht="64" customHeight="1">
      <x:c r="A1725" s="4" t="str">
        <x:v>design.audit.proposal_ceramic_firing_tray.audit.in.2</x:v>
      </x:c>
      <x:c r="B1725" s="4" t="str">
        <x:v>design.audit.proposal_ceramic_firing_tray</x:v>
      </x:c>
      <x:c r="C1725" s="4" t="str">
        <x:v>Ingredient candidate</x:v>
      </x:c>
      <x:c r="D1725" s="4" t="str">
        <x:v>proposal.t1.pigment_powder</x:v>
      </x:c>
      <x:c r="E1725" s="4" t="str">
        <x:f>IFERROR(INDEX('Items'!$B$6:$B$1005,MATCH(D1725,'Items'!$A$6:$A$1005,0)),"MISSING ID")</x:f>
        <x:v>Prepared mineral pigment powder</x:v>
      </x:c>
      <x:c r="F1725" s="4" t="str">
        <x:f>IFERROR(INDEX('Items'!$C$6:$C$1005,MATCH(D1725,'Items'!$A$6:$A$1005,0)),"MISSING ID")</x:f>
        <x:v>T1</x:v>
      </x:c>
      <x:c r="G1725" s="4" t="str">
        <x:f>IFERROR(INDEX('Items'!$D$6:$D$1005,MATCH(D1725,'Items'!$A$6:$A$1005,0)),"MISSING ID")</x:f>
        <x:v>Manufactured stock</x:v>
      </x:c>
      <x:c r="H1725" s="4" t="str">
        <x:f>IFERROR(INDEX('Items'!$X$6:$X$1005,MATCH(D1725,'Items'!$A$6:$A$1005,0)),"MISSING ID")</x:f>
        <x:v>Processed material</x:v>
      </x:c>
      <x:c r="I1725" s="4"/>
      <x:c r="J1725" s="4" t="str">
        <x:v>Unspecified</x:v>
      </x:c>
      <x:c r="K1725" s="4" t="str">
        <x:f>IFERROR(INDEX('Crafting recipes'!$D$6:$D$1005,MATCH(B1725,'Crafting recipes'!$A$6:$A$1005,0)),"MISSING ID")</x:f>
        <x:v>Proposal</x:v>
      </x:c>
      <x:c r="L1725" s="4" t="str">
        <x:f>IFERROR(INDEX('Items'!$AD$6:$AD$1005,MATCH(D1725,'Items'!$A$6:$A$1005,0)),"MISSING ID")</x:f>
        <x:v>Proposal</x:v>
      </x:c>
      <x:c r="M1725" s="4" t="str">
        <x:f>IFERROR(INDEX('Crafting recipes'!$E$6:$E$1005,MATCH(B1725,'Crafting recipes'!$A$6:$A$1005,0)),"MISSING ID")</x:f>
        <x:v>Partial proposal</x:v>
      </x:c>
      <x:c r="N1725" s="4" t="str">
        <x:v>Partial audit candidate; quantity, fit and performance remain unresolved.</x:v>
      </x:c>
      <x:c r="O17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5" s="4" t="n">
        <x:f>IF(OR(C1725="Ingredient candidate",C1725="Consumed input",C1725="Contained input",C1725="Transform input"),IF(F1725="T0",0,IF(F1725="T1",1,IF(F1725="T2",2,IF(F1725="T3",3,IF(F1725="T4",4,-1))))),-1)</x:f>
        <x:v>1</x:v>
      </x:c>
      <x:c r="Q1725" s="4" t="n">
        <x:f>IF(AND(OR(C1725="Ingredient candidate",C1725="Consumed input",C1725="Contained input",C1725="Transform input"),P1725=-1),1,0)</x:f>
        <x:v>0</x:v>
      </x:c>
    </x:row>
    <x:row r="1726" ht="64" customHeight="1">
      <x:c r="A1726" s="4" t="str">
        <x:v>design.audit.proposal_ceramic_firing_tray.audit.out</x:v>
      </x:c>
      <x:c r="B1726" s="4" t="str">
        <x:v>design.audit.proposal_ceramic_firing_tray</x:v>
      </x:c>
      <x:c r="C1726" s="4" t="str">
        <x:v>Output</x:v>
      </x:c>
      <x:c r="D1726" s="4" t="str">
        <x:v>proposal.ceramic.firing_tray</x:v>
      </x:c>
      <x:c r="E1726" s="4" t="str">
        <x:f>IFERROR(INDEX('Items'!$B$6:$B$1005,MATCH(D1726,'Items'!$A$6:$A$1005,0)),"MISSING ID")</x:f>
        <x:v>Ceramic firing tray</x:v>
      </x:c>
      <x:c r="F1726" s="4" t="str">
        <x:f>IFERROR(INDEX('Items'!$C$6:$C$1005,MATCH(D1726,'Items'!$A$6:$A$1005,0)),"MISSING ID")</x:f>
        <x:v>Not applicable</x:v>
      </x:c>
      <x:c r="G1726" s="4" t="str">
        <x:f>IFERROR(INDEX('Items'!$D$6:$D$1005,MATCH(D1726,'Items'!$A$6:$A$1005,0)),"MISSING ID")</x:f>
        <x:v>Salvage</x:v>
      </x:c>
      <x:c r="H1726" s="4" t="str">
        <x:f>IFERROR(INDEX('Items'!$X$6:$X$1005,MATCH(D1726,'Items'!$A$6:$A$1005,0)),"MISSING ID")</x:f>
        <x:v>Tool</x:v>
      </x:c>
      <x:c r="I1726" s="4"/>
      <x:c r="J1726" s="4" t="str">
        <x:v>Unspecified</x:v>
      </x:c>
      <x:c r="K1726" s="4" t="str">
        <x:f>IFERROR(INDEX('Crafting recipes'!$D$6:$D$1005,MATCH(B1726,'Crafting recipes'!$A$6:$A$1005,0)),"MISSING ID")</x:f>
        <x:v>Proposal</x:v>
      </x:c>
      <x:c r="L1726" s="4" t="str">
        <x:f>IFERROR(INDEX('Items'!$AD$6:$AD$1005,MATCH(D1726,'Items'!$A$6:$A$1005,0)),"MISSING ID")</x:f>
        <x:v>Proposal</x:v>
      </x:c>
      <x:c r="M1726" s="4" t="str">
        <x:f>IFERROR(INDEX('Crafting recipes'!$E$6:$E$1005,MATCH(B1726,'Crafting recipes'!$A$6:$A$1005,0)),"MISSING ID")</x:f>
        <x:v>Partial proposal</x:v>
      </x:c>
      <x:c r="N1726" s="4" t="str">
        <x:v>Partial audit candidate; quantity, fit and performance remain unresolved.</x:v>
      </x:c>
      <x:c r="O17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6" s="4" t="n">
        <x:f>IF(OR(C1726="Ingredient candidate",C1726="Consumed input",C1726="Contained input",C1726="Transform input"),IF(F1726="T0",0,IF(F1726="T1",1,IF(F1726="T2",2,IF(F1726="T3",3,IF(F1726="T4",4,-1))))),-1)</x:f>
        <x:v>-1</x:v>
      </x:c>
      <x:c r="Q1726" s="4" t="n">
        <x:f>IF(AND(OR(C1726="Ingredient candidate",C1726="Consumed input",C1726="Contained input",C1726="Transform input"),P1726=-1),1,0)</x:f>
        <x:v>0</x:v>
      </x:c>
    </x:row>
    <x:row r="1727" ht="64" customHeight="1">
      <x:c r="A1727" s="4" t="str">
        <x:v>design.audit.proposal_ceramic_votive_plaque.audit.in.1</x:v>
      </x:c>
      <x:c r="B1727" s="4" t="str">
        <x:v>design.audit.proposal_ceramic_votive_plaque</x:v>
      </x:c>
      <x:c r="C1727" s="4" t="str">
        <x:v>Ingredient candidate</x:v>
      </x:c>
      <x:c r="D1727" s="4" t="str">
        <x:v>proposal.ceramic.body_feed</x:v>
      </x:c>
      <x:c r="E1727" s="4" t="str">
        <x:f>IFERROR(INDEX('Items'!$B$6:$B$1005,MATCH(D1727,'Items'!$A$6:$A$1005,0)),"MISSING ID")</x:f>
        <x:v>Prepared ceramic body feed</x:v>
      </x:c>
      <x:c r="F1727" s="4" t="str">
        <x:f>IFERROR(INDEX('Items'!$C$6:$C$1005,MATCH(D1727,'Items'!$A$6:$A$1005,0)),"MISSING ID")</x:f>
        <x:v>T1</x:v>
      </x:c>
      <x:c r="G1727" s="4" t="str">
        <x:f>IFERROR(INDEX('Items'!$D$6:$D$1005,MATCH(D1727,'Items'!$A$6:$A$1005,0)),"MISSING ID")</x:f>
        <x:v>Manufactured stock</x:v>
      </x:c>
      <x:c r="H1727" s="4" t="str">
        <x:f>IFERROR(INDEX('Items'!$X$6:$X$1005,MATCH(D1727,'Items'!$A$6:$A$1005,0)),"MISSING ID")</x:f>
        <x:v>Processed material</x:v>
      </x:c>
      <x:c r="I1727" s="4"/>
      <x:c r="J1727" s="4" t="str">
        <x:v>Unspecified</x:v>
      </x:c>
      <x:c r="K1727" s="4" t="str">
        <x:f>IFERROR(INDEX('Crafting recipes'!$D$6:$D$1005,MATCH(B1727,'Crafting recipes'!$A$6:$A$1005,0)),"MISSING ID")</x:f>
        <x:v>Proposal</x:v>
      </x:c>
      <x:c r="L1727" s="4" t="str">
        <x:f>IFERROR(INDEX('Items'!$AD$6:$AD$1005,MATCH(D1727,'Items'!$A$6:$A$1005,0)),"MISSING ID")</x:f>
        <x:v>Proposal</x:v>
      </x:c>
      <x:c r="M1727" s="4" t="str">
        <x:f>IFERROR(INDEX('Crafting recipes'!$E$6:$E$1005,MATCH(B1727,'Crafting recipes'!$A$6:$A$1005,0)),"MISSING ID")</x:f>
        <x:v>Partial proposal</x:v>
      </x:c>
      <x:c r="N1727" s="4" t="str">
        <x:v>Partial audit candidate; quantity, fit and performance remain unresolved.</x:v>
      </x:c>
      <x:c r="O17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7" s="4" t="n">
        <x:f>IF(OR(C1727="Ingredient candidate",C1727="Consumed input",C1727="Contained input",C1727="Transform input"),IF(F1727="T0",0,IF(F1727="T1",1,IF(F1727="T2",2,IF(F1727="T3",3,IF(F1727="T4",4,-1))))),-1)</x:f>
        <x:v>1</x:v>
      </x:c>
      <x:c r="Q1727" s="4" t="n">
        <x:f>IF(AND(OR(C1727="Ingredient candidate",C1727="Consumed input",C1727="Contained input",C1727="Transform input"),P1727=-1),1,0)</x:f>
        <x:v>0</x:v>
      </x:c>
    </x:row>
    <x:row r="1728" ht="64" customHeight="1">
      <x:c r="A1728" s="4" t="str">
        <x:v>design.audit.proposal_ceramic_votive_plaque.audit.in.2</x:v>
      </x:c>
      <x:c r="B1728" s="4" t="str">
        <x:v>design.audit.proposal_ceramic_votive_plaque</x:v>
      </x:c>
      <x:c r="C1728" s="4" t="str">
        <x:v>Ingredient candidate</x:v>
      </x:c>
      <x:c r="D1728" s="4" t="str">
        <x:v>proposal.t1.pigment_powder</x:v>
      </x:c>
      <x:c r="E1728" s="4" t="str">
        <x:f>IFERROR(INDEX('Items'!$B$6:$B$1005,MATCH(D1728,'Items'!$A$6:$A$1005,0)),"MISSING ID")</x:f>
        <x:v>Prepared mineral pigment powder</x:v>
      </x:c>
      <x:c r="F1728" s="4" t="str">
        <x:f>IFERROR(INDEX('Items'!$C$6:$C$1005,MATCH(D1728,'Items'!$A$6:$A$1005,0)),"MISSING ID")</x:f>
        <x:v>T1</x:v>
      </x:c>
      <x:c r="G1728" s="4" t="str">
        <x:f>IFERROR(INDEX('Items'!$D$6:$D$1005,MATCH(D1728,'Items'!$A$6:$A$1005,0)),"MISSING ID")</x:f>
        <x:v>Manufactured stock</x:v>
      </x:c>
      <x:c r="H1728" s="4" t="str">
        <x:f>IFERROR(INDEX('Items'!$X$6:$X$1005,MATCH(D1728,'Items'!$A$6:$A$1005,0)),"MISSING ID")</x:f>
        <x:v>Processed material</x:v>
      </x:c>
      <x:c r="I1728" s="4"/>
      <x:c r="J1728" s="4" t="str">
        <x:v>Unspecified</x:v>
      </x:c>
      <x:c r="K1728" s="4" t="str">
        <x:f>IFERROR(INDEX('Crafting recipes'!$D$6:$D$1005,MATCH(B1728,'Crafting recipes'!$A$6:$A$1005,0)),"MISSING ID")</x:f>
        <x:v>Proposal</x:v>
      </x:c>
      <x:c r="L1728" s="4" t="str">
        <x:f>IFERROR(INDEX('Items'!$AD$6:$AD$1005,MATCH(D1728,'Items'!$A$6:$A$1005,0)),"MISSING ID")</x:f>
        <x:v>Proposal</x:v>
      </x:c>
      <x:c r="M1728" s="4" t="str">
        <x:f>IFERROR(INDEX('Crafting recipes'!$E$6:$E$1005,MATCH(B1728,'Crafting recipes'!$A$6:$A$1005,0)),"MISSING ID")</x:f>
        <x:v>Partial proposal</x:v>
      </x:c>
      <x:c r="N1728" s="4" t="str">
        <x:v>Partial audit candidate; quantity, fit and performance remain unresolved.</x:v>
      </x:c>
      <x:c r="O17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8" s="4" t="n">
        <x:f>IF(OR(C1728="Ingredient candidate",C1728="Consumed input",C1728="Contained input",C1728="Transform input"),IF(F1728="T0",0,IF(F1728="T1",1,IF(F1728="T2",2,IF(F1728="T3",3,IF(F1728="T4",4,-1))))),-1)</x:f>
        <x:v>1</x:v>
      </x:c>
      <x:c r="Q1728" s="4" t="n">
        <x:f>IF(AND(OR(C1728="Ingredient candidate",C1728="Consumed input",C1728="Contained input",C1728="Transform input"),P1728=-1),1,0)</x:f>
        <x:v>0</x:v>
      </x:c>
    </x:row>
    <x:row r="1729" ht="64" customHeight="1">
      <x:c r="A1729" s="4" t="str">
        <x:v>design.audit.proposal_ceramic_votive_plaque.audit.out</x:v>
      </x:c>
      <x:c r="B1729" s="4" t="str">
        <x:v>design.audit.proposal_ceramic_votive_plaque</x:v>
      </x:c>
      <x:c r="C1729" s="4" t="str">
        <x:v>Output</x:v>
      </x:c>
      <x:c r="D1729" s="4" t="str">
        <x:v>proposal.ceramic.votive_plaque</x:v>
      </x:c>
      <x:c r="E1729" s="4" t="str">
        <x:f>IFERROR(INDEX('Items'!$B$6:$B$1005,MATCH(D1729,'Items'!$A$6:$A$1005,0)),"MISSING ID")</x:f>
        <x:v>Ceramic votive plaque</x:v>
      </x:c>
      <x:c r="F1729" s="4" t="str">
        <x:f>IFERROR(INDEX('Items'!$C$6:$C$1005,MATCH(D1729,'Items'!$A$6:$A$1005,0)),"MISSING ID")</x:f>
        <x:v>Not applicable</x:v>
      </x:c>
      <x:c r="G1729" s="4" t="str">
        <x:f>IFERROR(INDEX('Items'!$D$6:$D$1005,MATCH(D1729,'Items'!$A$6:$A$1005,0)),"MISSING ID")</x:f>
        <x:v>Salvage</x:v>
      </x:c>
      <x:c r="H1729" s="4" t="str">
        <x:f>IFERROR(INDEX('Items'!$X$6:$X$1005,MATCH(D1729,'Items'!$A$6:$A$1005,0)),"MISSING ID")</x:f>
        <x:v>Cultural object</x:v>
      </x:c>
      <x:c r="I1729" s="4"/>
      <x:c r="J1729" s="4" t="str">
        <x:v>Unspecified</x:v>
      </x:c>
      <x:c r="K1729" s="4" t="str">
        <x:f>IFERROR(INDEX('Crafting recipes'!$D$6:$D$1005,MATCH(B1729,'Crafting recipes'!$A$6:$A$1005,0)),"MISSING ID")</x:f>
        <x:v>Proposal</x:v>
      </x:c>
      <x:c r="L1729" s="4" t="str">
        <x:f>IFERROR(INDEX('Items'!$AD$6:$AD$1005,MATCH(D1729,'Items'!$A$6:$A$1005,0)),"MISSING ID")</x:f>
        <x:v>Proposal</x:v>
      </x:c>
      <x:c r="M1729" s="4" t="str">
        <x:f>IFERROR(INDEX('Crafting recipes'!$E$6:$E$1005,MATCH(B1729,'Crafting recipes'!$A$6:$A$1005,0)),"MISSING ID")</x:f>
        <x:v>Partial proposal</x:v>
      </x:c>
      <x:c r="N1729" s="4" t="str">
        <x:v>Partial audit candidate; quantity, fit and performance remain unresolved.</x:v>
      </x:c>
      <x:c r="O17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9" s="4" t="n">
        <x:f>IF(OR(C1729="Ingredient candidate",C1729="Consumed input",C1729="Contained input",C1729="Transform input"),IF(F1729="T0",0,IF(F1729="T1",1,IF(F1729="T2",2,IF(F1729="T3",3,IF(F1729="T4",4,-1))))),-1)</x:f>
        <x:v>-1</x:v>
      </x:c>
      <x:c r="Q1729" s="4" t="n">
        <x:f>IF(AND(OR(C1729="Ingredient candidate",C1729="Consumed input",C1729="Contained input",C1729="Transform input"),P1729=-1),1,0)</x:f>
        <x:v>0</x:v>
      </x:c>
    </x:row>
    <x:row r="1730" ht="64" customHeight="1">
      <x:c r="A1730" s="4" t="str">
        <x:v>design.audit.proposal_ceramic_figurine.audit.in.1</x:v>
      </x:c>
      <x:c r="B1730" s="4" t="str">
        <x:v>design.audit.proposal_ceramic_figurine</x:v>
      </x:c>
      <x:c r="C1730" s="4" t="str">
        <x:v>Ingredient candidate</x:v>
      </x:c>
      <x:c r="D1730" s="4" t="str">
        <x:v>proposal.ceramic.body_feed</x:v>
      </x:c>
      <x:c r="E1730" s="4" t="str">
        <x:f>IFERROR(INDEX('Items'!$B$6:$B$1005,MATCH(D1730,'Items'!$A$6:$A$1005,0)),"MISSING ID")</x:f>
        <x:v>Prepared ceramic body feed</x:v>
      </x:c>
      <x:c r="F1730" s="4" t="str">
        <x:f>IFERROR(INDEX('Items'!$C$6:$C$1005,MATCH(D1730,'Items'!$A$6:$A$1005,0)),"MISSING ID")</x:f>
        <x:v>T1</x:v>
      </x:c>
      <x:c r="G1730" s="4" t="str">
        <x:f>IFERROR(INDEX('Items'!$D$6:$D$1005,MATCH(D1730,'Items'!$A$6:$A$1005,0)),"MISSING ID")</x:f>
        <x:v>Manufactured stock</x:v>
      </x:c>
      <x:c r="H1730" s="4" t="str">
        <x:f>IFERROR(INDEX('Items'!$X$6:$X$1005,MATCH(D1730,'Items'!$A$6:$A$1005,0)),"MISSING ID")</x:f>
        <x:v>Processed material</x:v>
      </x:c>
      <x:c r="I1730" s="4"/>
      <x:c r="J1730" s="4" t="str">
        <x:v>Unspecified</x:v>
      </x:c>
      <x:c r="K1730" s="4" t="str">
        <x:f>IFERROR(INDEX('Crafting recipes'!$D$6:$D$1005,MATCH(B1730,'Crafting recipes'!$A$6:$A$1005,0)),"MISSING ID")</x:f>
        <x:v>Proposal</x:v>
      </x:c>
      <x:c r="L1730" s="4" t="str">
        <x:f>IFERROR(INDEX('Items'!$AD$6:$AD$1005,MATCH(D1730,'Items'!$A$6:$A$1005,0)),"MISSING ID")</x:f>
        <x:v>Proposal</x:v>
      </x:c>
      <x:c r="M1730" s="4" t="str">
        <x:f>IFERROR(INDEX('Crafting recipes'!$E$6:$E$1005,MATCH(B1730,'Crafting recipes'!$A$6:$A$1005,0)),"MISSING ID")</x:f>
        <x:v>Partial proposal</x:v>
      </x:c>
      <x:c r="N1730" s="4" t="str">
        <x:v>Partial audit candidate; quantity, fit and performance remain unresolved.</x:v>
      </x:c>
      <x:c r="O17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0" s="4" t="n">
        <x:f>IF(OR(C1730="Ingredient candidate",C1730="Consumed input",C1730="Contained input",C1730="Transform input"),IF(F1730="T0",0,IF(F1730="T1",1,IF(F1730="T2",2,IF(F1730="T3",3,IF(F1730="T4",4,-1))))),-1)</x:f>
        <x:v>1</x:v>
      </x:c>
      <x:c r="Q1730" s="4" t="n">
        <x:f>IF(AND(OR(C1730="Ingredient candidate",C1730="Consumed input",C1730="Contained input",C1730="Transform input"),P1730=-1),1,0)</x:f>
        <x:v>0</x:v>
      </x:c>
    </x:row>
    <x:row r="1731" ht="64" customHeight="1">
      <x:c r="A1731" s="4" t="str">
        <x:v>design.audit.proposal_ceramic_figurine.audit.in.2</x:v>
      </x:c>
      <x:c r="B1731" s="4" t="str">
        <x:v>design.audit.proposal_ceramic_figurine</x:v>
      </x:c>
      <x:c r="C1731" s="4" t="str">
        <x:v>Ingredient candidate</x:v>
      </x:c>
      <x:c r="D1731" s="4" t="str">
        <x:v>proposal.t1.pigment_powder</x:v>
      </x:c>
      <x:c r="E1731" s="4" t="str">
        <x:f>IFERROR(INDEX('Items'!$B$6:$B$1005,MATCH(D1731,'Items'!$A$6:$A$1005,0)),"MISSING ID")</x:f>
        <x:v>Prepared mineral pigment powder</x:v>
      </x:c>
      <x:c r="F1731" s="4" t="str">
        <x:f>IFERROR(INDEX('Items'!$C$6:$C$1005,MATCH(D1731,'Items'!$A$6:$A$1005,0)),"MISSING ID")</x:f>
        <x:v>T1</x:v>
      </x:c>
      <x:c r="G1731" s="4" t="str">
        <x:f>IFERROR(INDEX('Items'!$D$6:$D$1005,MATCH(D1731,'Items'!$A$6:$A$1005,0)),"MISSING ID")</x:f>
        <x:v>Manufactured stock</x:v>
      </x:c>
      <x:c r="H1731" s="4" t="str">
        <x:f>IFERROR(INDEX('Items'!$X$6:$X$1005,MATCH(D1731,'Items'!$A$6:$A$1005,0)),"MISSING ID")</x:f>
        <x:v>Processed material</x:v>
      </x:c>
      <x:c r="I1731" s="4"/>
      <x:c r="J1731" s="4" t="str">
        <x:v>Unspecified</x:v>
      </x:c>
      <x:c r="K1731" s="4" t="str">
        <x:f>IFERROR(INDEX('Crafting recipes'!$D$6:$D$1005,MATCH(B1731,'Crafting recipes'!$A$6:$A$1005,0)),"MISSING ID")</x:f>
        <x:v>Proposal</x:v>
      </x:c>
      <x:c r="L1731" s="4" t="str">
        <x:f>IFERROR(INDEX('Items'!$AD$6:$AD$1005,MATCH(D1731,'Items'!$A$6:$A$1005,0)),"MISSING ID")</x:f>
        <x:v>Proposal</x:v>
      </x:c>
      <x:c r="M1731" s="4" t="str">
        <x:f>IFERROR(INDEX('Crafting recipes'!$E$6:$E$1005,MATCH(B1731,'Crafting recipes'!$A$6:$A$1005,0)),"MISSING ID")</x:f>
        <x:v>Partial proposal</x:v>
      </x:c>
      <x:c r="N1731" s="4" t="str">
        <x:v>Partial audit candidate; quantity, fit and performance remain unresolved.</x:v>
      </x:c>
      <x:c r="O17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1" s="4" t="n">
        <x:f>IF(OR(C1731="Ingredient candidate",C1731="Consumed input",C1731="Contained input",C1731="Transform input"),IF(F1731="T0",0,IF(F1731="T1",1,IF(F1731="T2",2,IF(F1731="T3",3,IF(F1731="T4",4,-1))))),-1)</x:f>
        <x:v>1</x:v>
      </x:c>
      <x:c r="Q1731" s="4" t="n">
        <x:f>IF(AND(OR(C1731="Ingredient candidate",C1731="Consumed input",C1731="Contained input",C1731="Transform input"),P1731=-1),1,0)</x:f>
        <x:v>0</x:v>
      </x:c>
    </x:row>
    <x:row r="1732" ht="64" customHeight="1">
      <x:c r="A1732" s="4" t="str">
        <x:v>design.audit.proposal_ceramic_figurine.audit.out</x:v>
      </x:c>
      <x:c r="B1732" s="4" t="str">
        <x:v>design.audit.proposal_ceramic_figurine</x:v>
      </x:c>
      <x:c r="C1732" s="4" t="str">
        <x:v>Output</x:v>
      </x:c>
      <x:c r="D1732" s="4" t="str">
        <x:v>proposal.ceramic.figurine</x:v>
      </x:c>
      <x:c r="E1732" s="4" t="str">
        <x:f>IFERROR(INDEX('Items'!$B$6:$B$1005,MATCH(D1732,'Items'!$A$6:$A$1005,0)),"MISSING ID")</x:f>
        <x:v>Ceramic commemorative figurine</x:v>
      </x:c>
      <x:c r="F1732" s="4" t="str">
        <x:f>IFERROR(INDEX('Items'!$C$6:$C$1005,MATCH(D1732,'Items'!$A$6:$A$1005,0)),"MISSING ID")</x:f>
        <x:v>Not applicable</x:v>
      </x:c>
      <x:c r="G1732" s="4" t="str">
        <x:f>IFERROR(INDEX('Items'!$D$6:$D$1005,MATCH(D1732,'Items'!$A$6:$A$1005,0)),"MISSING ID")</x:f>
        <x:v>Salvage</x:v>
      </x:c>
      <x:c r="H1732" s="4" t="str">
        <x:f>IFERROR(INDEX('Items'!$X$6:$X$1005,MATCH(D1732,'Items'!$A$6:$A$1005,0)),"MISSING ID")</x:f>
        <x:v>Cultural object</x:v>
      </x:c>
      <x:c r="I1732" s="4"/>
      <x:c r="J1732" s="4" t="str">
        <x:v>Unspecified</x:v>
      </x:c>
      <x:c r="K1732" s="4" t="str">
        <x:f>IFERROR(INDEX('Crafting recipes'!$D$6:$D$1005,MATCH(B1732,'Crafting recipes'!$A$6:$A$1005,0)),"MISSING ID")</x:f>
        <x:v>Proposal</x:v>
      </x:c>
      <x:c r="L1732" s="4" t="str">
        <x:f>IFERROR(INDEX('Items'!$AD$6:$AD$1005,MATCH(D1732,'Items'!$A$6:$A$1005,0)),"MISSING ID")</x:f>
        <x:v>Proposal</x:v>
      </x:c>
      <x:c r="M1732" s="4" t="str">
        <x:f>IFERROR(INDEX('Crafting recipes'!$E$6:$E$1005,MATCH(B1732,'Crafting recipes'!$A$6:$A$1005,0)),"MISSING ID")</x:f>
        <x:v>Partial proposal</x:v>
      </x:c>
      <x:c r="N1732" s="4" t="str">
        <x:v>Partial audit candidate; quantity, fit and performance remain unresolved.</x:v>
      </x:c>
      <x:c r="O17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2" s="4" t="n">
        <x:f>IF(OR(C1732="Ingredient candidate",C1732="Consumed input",C1732="Contained input",C1732="Transform input"),IF(F1732="T0",0,IF(F1732="T1",1,IF(F1732="T2",2,IF(F1732="T3",3,IF(F1732="T4",4,-1))))),-1)</x:f>
        <x:v>-1</x:v>
      </x:c>
      <x:c r="Q1732" s="4" t="n">
        <x:f>IF(AND(OR(C1732="Ingredient candidate",C1732="Consumed input",C1732="Contained input",C1732="Transform input"),P1732=-1),1,0)</x:f>
        <x:v>0</x:v>
      </x:c>
    </x:row>
    <x:row r="1733" ht="64" customHeight="1">
      <x:c r="A1733" s="4" t="str">
        <x:v>design.audit.proposal_ceramic_ceremony_bowl.audit.in.1</x:v>
      </x:c>
      <x:c r="B1733" s="4" t="str">
        <x:v>design.audit.proposal_ceramic_ceremony_bowl</x:v>
      </x:c>
      <x:c r="C1733" s="4" t="str">
        <x:v>Ingredient candidate</x:v>
      </x:c>
      <x:c r="D1733" s="4" t="str">
        <x:v>proposal.ceramic.body_feed</x:v>
      </x:c>
      <x:c r="E1733" s="4" t="str">
        <x:f>IFERROR(INDEX('Items'!$B$6:$B$1005,MATCH(D1733,'Items'!$A$6:$A$1005,0)),"MISSING ID")</x:f>
        <x:v>Prepared ceramic body feed</x:v>
      </x:c>
      <x:c r="F1733" s="4" t="str">
        <x:f>IFERROR(INDEX('Items'!$C$6:$C$1005,MATCH(D1733,'Items'!$A$6:$A$1005,0)),"MISSING ID")</x:f>
        <x:v>T1</x:v>
      </x:c>
      <x:c r="G1733" s="4" t="str">
        <x:f>IFERROR(INDEX('Items'!$D$6:$D$1005,MATCH(D1733,'Items'!$A$6:$A$1005,0)),"MISSING ID")</x:f>
        <x:v>Manufactured stock</x:v>
      </x:c>
      <x:c r="H1733" s="4" t="str">
        <x:f>IFERROR(INDEX('Items'!$X$6:$X$1005,MATCH(D1733,'Items'!$A$6:$A$1005,0)),"MISSING ID")</x:f>
        <x:v>Processed material</x:v>
      </x:c>
      <x:c r="I1733" s="4"/>
      <x:c r="J1733" s="4" t="str">
        <x:v>Unspecified</x:v>
      </x:c>
      <x:c r="K1733" s="4" t="str">
        <x:f>IFERROR(INDEX('Crafting recipes'!$D$6:$D$1005,MATCH(B1733,'Crafting recipes'!$A$6:$A$1005,0)),"MISSING ID")</x:f>
        <x:v>Proposal</x:v>
      </x:c>
      <x:c r="L1733" s="4" t="str">
        <x:f>IFERROR(INDEX('Items'!$AD$6:$AD$1005,MATCH(D1733,'Items'!$A$6:$A$1005,0)),"MISSING ID")</x:f>
        <x:v>Proposal</x:v>
      </x:c>
      <x:c r="M1733" s="4" t="str">
        <x:f>IFERROR(INDEX('Crafting recipes'!$E$6:$E$1005,MATCH(B1733,'Crafting recipes'!$A$6:$A$1005,0)),"MISSING ID")</x:f>
        <x:v>Partial proposal</x:v>
      </x:c>
      <x:c r="N1733" s="4" t="str">
        <x:v>Partial audit candidate; quantity, fit and performance remain unresolved.</x:v>
      </x:c>
      <x:c r="O17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3" s="4" t="n">
        <x:f>IF(OR(C1733="Ingredient candidate",C1733="Consumed input",C1733="Contained input",C1733="Transform input"),IF(F1733="T0",0,IF(F1733="T1",1,IF(F1733="T2",2,IF(F1733="T3",3,IF(F1733="T4",4,-1))))),-1)</x:f>
        <x:v>1</x:v>
      </x:c>
      <x:c r="Q1733" s="4" t="n">
        <x:f>IF(AND(OR(C1733="Ingredient candidate",C1733="Consumed input",C1733="Contained input",C1733="Transform input"),P1733=-1),1,0)</x:f>
        <x:v>0</x:v>
      </x:c>
    </x:row>
    <x:row r="1734" ht="64" customHeight="1">
      <x:c r="A1734" s="4" t="str">
        <x:v>design.audit.proposal_ceramic_ceremony_bowl.audit.in.2</x:v>
      </x:c>
      <x:c r="B1734" s="4" t="str">
        <x:v>design.audit.proposal_ceramic_ceremony_bowl</x:v>
      </x:c>
      <x:c r="C1734" s="4" t="str">
        <x:v>Ingredient candidate</x:v>
      </x:c>
      <x:c r="D1734" s="4" t="str">
        <x:v>proposal.t1.pigment_powder</x:v>
      </x:c>
      <x:c r="E1734" s="4" t="str">
        <x:f>IFERROR(INDEX('Items'!$B$6:$B$1005,MATCH(D1734,'Items'!$A$6:$A$1005,0)),"MISSING ID")</x:f>
        <x:v>Prepared mineral pigment powder</x:v>
      </x:c>
      <x:c r="F1734" s="4" t="str">
        <x:f>IFERROR(INDEX('Items'!$C$6:$C$1005,MATCH(D1734,'Items'!$A$6:$A$1005,0)),"MISSING ID")</x:f>
        <x:v>T1</x:v>
      </x:c>
      <x:c r="G1734" s="4" t="str">
        <x:f>IFERROR(INDEX('Items'!$D$6:$D$1005,MATCH(D1734,'Items'!$A$6:$A$1005,0)),"MISSING ID")</x:f>
        <x:v>Manufactured stock</x:v>
      </x:c>
      <x:c r="H1734" s="4" t="str">
        <x:f>IFERROR(INDEX('Items'!$X$6:$X$1005,MATCH(D1734,'Items'!$A$6:$A$1005,0)),"MISSING ID")</x:f>
        <x:v>Processed material</x:v>
      </x:c>
      <x:c r="I1734" s="4"/>
      <x:c r="J1734" s="4" t="str">
        <x:v>Unspecified</x:v>
      </x:c>
      <x:c r="K1734" s="4" t="str">
        <x:f>IFERROR(INDEX('Crafting recipes'!$D$6:$D$1005,MATCH(B1734,'Crafting recipes'!$A$6:$A$1005,0)),"MISSING ID")</x:f>
        <x:v>Proposal</x:v>
      </x:c>
      <x:c r="L1734" s="4" t="str">
        <x:f>IFERROR(INDEX('Items'!$AD$6:$AD$1005,MATCH(D1734,'Items'!$A$6:$A$1005,0)),"MISSING ID")</x:f>
        <x:v>Proposal</x:v>
      </x:c>
      <x:c r="M1734" s="4" t="str">
        <x:f>IFERROR(INDEX('Crafting recipes'!$E$6:$E$1005,MATCH(B1734,'Crafting recipes'!$A$6:$A$1005,0)),"MISSING ID")</x:f>
        <x:v>Partial proposal</x:v>
      </x:c>
      <x:c r="N1734" s="4" t="str">
        <x:v>Partial audit candidate; quantity, fit and performance remain unresolved.</x:v>
      </x:c>
      <x:c r="O17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4" s="4" t="n">
        <x:f>IF(OR(C1734="Ingredient candidate",C1734="Consumed input",C1734="Contained input",C1734="Transform input"),IF(F1734="T0",0,IF(F1734="T1",1,IF(F1734="T2",2,IF(F1734="T3",3,IF(F1734="T4",4,-1))))),-1)</x:f>
        <x:v>1</x:v>
      </x:c>
      <x:c r="Q1734" s="4" t="n">
        <x:f>IF(AND(OR(C1734="Ingredient candidate",C1734="Consumed input",C1734="Contained input",C1734="Transform input"),P1734=-1),1,0)</x:f>
        <x:v>0</x:v>
      </x:c>
    </x:row>
    <x:row r="1735" ht="64" customHeight="1">
      <x:c r="A1735" s="4" t="str">
        <x:v>design.audit.proposal_ceramic_ceremony_bowl.audit.out</x:v>
      </x:c>
      <x:c r="B1735" s="4" t="str">
        <x:v>design.audit.proposal_ceramic_ceremony_bowl</x:v>
      </x:c>
      <x:c r="C1735" s="4" t="str">
        <x:v>Output</x:v>
      </x:c>
      <x:c r="D1735" s="4" t="str">
        <x:v>proposal.ceramic.ceremony_bowl</x:v>
      </x:c>
      <x:c r="E1735" s="4" t="str">
        <x:f>IFERROR(INDEX('Items'!$B$6:$B$1005,MATCH(D1735,'Items'!$A$6:$A$1005,0)),"MISSING ID")</x:f>
        <x:v>Ceremonial ceramic bowl</x:v>
      </x:c>
      <x:c r="F1735" s="4" t="str">
        <x:f>IFERROR(INDEX('Items'!$C$6:$C$1005,MATCH(D1735,'Items'!$A$6:$A$1005,0)),"MISSING ID")</x:f>
        <x:v>Not applicable</x:v>
      </x:c>
      <x:c r="G1735" s="4" t="str">
        <x:f>IFERROR(INDEX('Items'!$D$6:$D$1005,MATCH(D1735,'Items'!$A$6:$A$1005,0)),"MISSING ID")</x:f>
        <x:v>Salvage</x:v>
      </x:c>
      <x:c r="H1735" s="4" t="str">
        <x:f>IFERROR(INDEX('Items'!$X$6:$X$1005,MATCH(D1735,'Items'!$A$6:$A$1005,0)),"MISSING ID")</x:f>
        <x:v>Cultural object</x:v>
      </x:c>
      <x:c r="I1735" s="4"/>
      <x:c r="J1735" s="4" t="str">
        <x:v>Unspecified</x:v>
      </x:c>
      <x:c r="K1735" s="4" t="str">
        <x:f>IFERROR(INDEX('Crafting recipes'!$D$6:$D$1005,MATCH(B1735,'Crafting recipes'!$A$6:$A$1005,0)),"MISSING ID")</x:f>
        <x:v>Proposal</x:v>
      </x:c>
      <x:c r="L1735" s="4" t="str">
        <x:f>IFERROR(INDEX('Items'!$AD$6:$AD$1005,MATCH(D1735,'Items'!$A$6:$A$1005,0)),"MISSING ID")</x:f>
        <x:v>Proposal</x:v>
      </x:c>
      <x:c r="M1735" s="4" t="str">
        <x:f>IFERROR(INDEX('Crafting recipes'!$E$6:$E$1005,MATCH(B1735,'Crafting recipes'!$A$6:$A$1005,0)),"MISSING ID")</x:f>
        <x:v>Partial proposal</x:v>
      </x:c>
      <x:c r="N1735" s="4" t="str">
        <x:v>Partial audit candidate; quantity, fit and performance remain unresolved.</x:v>
      </x:c>
      <x:c r="O17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5" s="4" t="n">
        <x:f>IF(OR(C1735="Ingredient candidate",C1735="Consumed input",C1735="Contained input",C1735="Transform input"),IF(F1735="T0",0,IF(F1735="T1",1,IF(F1735="T2",2,IF(F1735="T3",3,IF(F1735="T4",4,-1))))),-1)</x:f>
        <x:v>-1</x:v>
      </x:c>
      <x:c r="Q1735" s="4" t="n">
        <x:f>IF(AND(OR(C1735="Ingredient candidate",C1735="Consumed input",C1735="Contained input",C1735="Transform input"),P1735=-1),1,0)</x:f>
        <x:v>0</x:v>
      </x:c>
    </x:row>
    <x:row r="1736" ht="64" customHeight="1">
      <x:c r="A1736" s="4" t="str">
        <x:v>design.audit.proposal_ceramic_armor_insert.audit.in.1</x:v>
      </x:c>
      <x:c r="B1736" s="4" t="str">
        <x:v>design.audit.proposal_ceramic_armor_insert</x:v>
      </x:c>
      <x:c r="C1736" s="4" t="str">
        <x:v>Ingredient candidate</x:v>
      </x:c>
      <x:c r="D1736" s="4" t="str">
        <x:v>proposal.branch.ceramic_shell</x:v>
      </x:c>
      <x:c r="E1736" s="4" t="str">
        <x:f>IFERROR(INDEX('Items'!$B$6:$B$1005,MATCH(D1736,'Items'!$A$6:$A$1005,0)),"MISSING ID")</x:f>
        <x:v>Bonded ceramic-shell composite</x:v>
      </x:c>
      <x:c r="F1736" s="4" t="str">
        <x:f>IFERROR(INDEX('Items'!$C$6:$C$1005,MATCH(D1736,'Items'!$A$6:$A$1005,0)),"MISSING ID")</x:f>
        <x:v>T3</x:v>
      </x:c>
      <x:c r="G1736" s="4" t="str">
        <x:f>IFERROR(INDEX('Items'!$D$6:$D$1005,MATCH(D1736,'Items'!$A$6:$A$1005,0)),"MISSING ID")</x:f>
        <x:v>Manufactured stock</x:v>
      </x:c>
      <x:c r="H1736" s="4" t="str">
        <x:f>IFERROR(INDEX('Items'!$X$6:$X$1005,MATCH(D1736,'Items'!$A$6:$A$1005,0)),"MISSING ID")</x:f>
        <x:v>Processed material</x:v>
      </x:c>
      <x:c r="I1736" s="4"/>
      <x:c r="J1736" s="4" t="str">
        <x:v>Unspecified</x:v>
      </x:c>
      <x:c r="K1736" s="4" t="str">
        <x:f>IFERROR(INDEX('Crafting recipes'!$D$6:$D$1005,MATCH(B1736,'Crafting recipes'!$A$6:$A$1005,0)),"MISSING ID")</x:f>
        <x:v>Proposal</x:v>
      </x:c>
      <x:c r="L1736" s="4" t="str">
        <x:f>IFERROR(INDEX('Items'!$AD$6:$AD$1005,MATCH(D1736,'Items'!$A$6:$A$1005,0)),"MISSING ID")</x:f>
        <x:v>Proposal</x:v>
      </x:c>
      <x:c r="M1736" s="4" t="str">
        <x:f>IFERROR(INDEX('Crafting recipes'!$E$6:$E$1005,MATCH(B1736,'Crafting recipes'!$A$6:$A$1005,0)),"MISSING ID")</x:f>
        <x:v>Partial proposal</x:v>
      </x:c>
      <x:c r="N1736" s="4" t="str">
        <x:v>Partial audit candidate; quantity, fit and performance remain unresolved.</x:v>
      </x:c>
      <x:c r="O17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6" s="4" t="n">
        <x:f>IF(OR(C1736="Ingredient candidate",C1736="Consumed input",C1736="Contained input",C1736="Transform input"),IF(F1736="T0",0,IF(F1736="T1",1,IF(F1736="T2",2,IF(F1736="T3",3,IF(F1736="T4",4,-1))))),-1)</x:f>
        <x:v>3</x:v>
      </x:c>
      <x:c r="Q1736" s="4" t="n">
        <x:f>IF(AND(OR(C1736="Ingredient candidate",C1736="Consumed input",C1736="Contained input",C1736="Transform input"),P1736=-1),1,0)</x:f>
        <x:v>0</x:v>
      </x:c>
    </x:row>
    <x:row r="1737" ht="64" customHeight="1">
      <x:c r="A1737" s="4" t="str">
        <x:v>design.audit.proposal_ceramic_armor_insert.audit.in.2</x:v>
      </x:c>
      <x:c r="B1737" s="4" t="str">
        <x:v>design.audit.proposal_ceramic_armor_insert</x:v>
      </x:c>
      <x:c r="C1737" s="4" t="str">
        <x:v>Ingredient candidate</x:v>
      </x:c>
      <x:c r="D1737" s="4" t="str">
        <x:v>proposal.lore.fastener_set</x:v>
      </x:c>
      <x:c r="E1737" s="4" t="str">
        <x:f>IFERROR(INDEX('Items'!$B$6:$B$1005,MATCH(D1737,'Items'!$A$6:$A$1005,0)),"MISSING ID")</x:f>
        <x:v>Matched metal fastener set</x:v>
      </x:c>
      <x:c r="F1737" s="4" t="str">
        <x:f>IFERROR(INDEX('Items'!$C$6:$C$1005,MATCH(D1737,'Items'!$A$6:$A$1005,0)),"MISSING ID")</x:f>
        <x:v>T3</x:v>
      </x:c>
      <x:c r="G1737" s="4" t="str">
        <x:f>IFERROR(INDEX('Items'!$D$6:$D$1005,MATCH(D1737,'Items'!$A$6:$A$1005,0)),"MISSING ID")</x:f>
        <x:v>Crafting components</x:v>
      </x:c>
      <x:c r="H1737" s="4" t="str">
        <x:f>IFERROR(INDEX('Items'!$X$6:$X$1005,MATCH(D1737,'Items'!$A$6:$A$1005,0)),"MISSING ID")</x:f>
        <x:v>Crafting component</x:v>
      </x:c>
      <x:c r="I1737" s="4"/>
      <x:c r="J1737" s="4" t="str">
        <x:v>Unspecified</x:v>
      </x:c>
      <x:c r="K1737" s="4" t="str">
        <x:f>IFERROR(INDEX('Crafting recipes'!$D$6:$D$1005,MATCH(B1737,'Crafting recipes'!$A$6:$A$1005,0)),"MISSING ID")</x:f>
        <x:v>Proposal</x:v>
      </x:c>
      <x:c r="L1737" s="4" t="str">
        <x:f>IFERROR(INDEX('Items'!$AD$6:$AD$1005,MATCH(D1737,'Items'!$A$6:$A$1005,0)),"MISSING ID")</x:f>
        <x:v>Proposal</x:v>
      </x:c>
      <x:c r="M1737" s="4" t="str">
        <x:f>IFERROR(INDEX('Crafting recipes'!$E$6:$E$1005,MATCH(B1737,'Crafting recipes'!$A$6:$A$1005,0)),"MISSING ID")</x:f>
        <x:v>Partial proposal</x:v>
      </x:c>
      <x:c r="N1737" s="4" t="str">
        <x:v>Partial audit candidate; quantity, fit and performance remain unresolved.</x:v>
      </x:c>
      <x:c r="O17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7" s="4" t="n">
        <x:f>IF(OR(C1737="Ingredient candidate",C1737="Consumed input",C1737="Contained input",C1737="Transform input"),IF(F1737="T0",0,IF(F1737="T1",1,IF(F1737="T2",2,IF(F1737="T3",3,IF(F1737="T4",4,-1))))),-1)</x:f>
        <x:v>3</x:v>
      </x:c>
      <x:c r="Q1737" s="4" t="n">
        <x:f>IF(AND(OR(C1737="Ingredient candidate",C1737="Consumed input",C1737="Contained input",C1737="Transform input"),P1737=-1),1,0)</x:f>
        <x:v>0</x:v>
      </x:c>
    </x:row>
    <x:row r="1738" ht="64" customHeight="1">
      <x:c r="A1738" s="4" t="str">
        <x:v>design.audit.proposal_ceramic_armor_insert.audit.out</x:v>
      </x:c>
      <x:c r="B1738" s="4" t="str">
        <x:v>design.audit.proposal_ceramic_armor_insert</x:v>
      </x:c>
      <x:c r="C1738" s="4" t="str">
        <x:v>Output</x:v>
      </x:c>
      <x:c r="D1738" s="4" t="str">
        <x:v>proposal.ceramic.armor_insert</x:v>
      </x:c>
      <x:c r="E1738" s="4" t="str">
        <x:f>IFERROR(INDEX('Items'!$B$6:$B$1005,MATCH(D1738,'Items'!$A$6:$A$1005,0)),"MISSING ID")</x:f>
        <x:v>Specialist ceramic armor insert</x:v>
      </x:c>
      <x:c r="F1738" s="4" t="str">
        <x:f>IFERROR(INDEX('Items'!$C$6:$C$1005,MATCH(D1738,'Items'!$A$6:$A$1005,0)),"MISSING ID")</x:f>
        <x:v>Not applicable</x:v>
      </x:c>
      <x:c r="G1738" s="4" t="str">
        <x:f>IFERROR(INDEX('Items'!$D$6:$D$1005,MATCH(D1738,'Items'!$A$6:$A$1005,0)),"MISSING ID")</x:f>
        <x:v>Armor</x:v>
      </x:c>
      <x:c r="H1738" s="4" t="str">
        <x:f>IFERROR(INDEX('Items'!$X$6:$X$1005,MATCH(D1738,'Items'!$A$6:$A$1005,0)),"MISSING ID")</x:f>
        <x:v>Armor</x:v>
      </x:c>
      <x:c r="I1738" s="4"/>
      <x:c r="J1738" s="4" t="str">
        <x:v>Unspecified</x:v>
      </x:c>
      <x:c r="K1738" s="4" t="str">
        <x:f>IFERROR(INDEX('Crafting recipes'!$D$6:$D$1005,MATCH(B1738,'Crafting recipes'!$A$6:$A$1005,0)),"MISSING ID")</x:f>
        <x:v>Proposal</x:v>
      </x:c>
      <x:c r="L1738" s="4" t="str">
        <x:f>IFERROR(INDEX('Items'!$AD$6:$AD$1005,MATCH(D1738,'Items'!$A$6:$A$1005,0)),"MISSING ID")</x:f>
        <x:v>Proposal</x:v>
      </x:c>
      <x:c r="M1738" s="4" t="str">
        <x:f>IFERROR(INDEX('Crafting recipes'!$E$6:$E$1005,MATCH(B1738,'Crafting recipes'!$A$6:$A$1005,0)),"MISSING ID")</x:f>
        <x:v>Partial proposal</x:v>
      </x:c>
      <x:c r="N1738" s="4" t="str">
        <x:v>Partial audit candidate; quantity, fit and performance remain unresolved.</x:v>
      </x:c>
      <x:c r="O17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8" s="4" t="n">
        <x:f>IF(OR(C1738="Ingredient candidate",C1738="Consumed input",C1738="Contained input",C1738="Transform input"),IF(F1738="T0",0,IF(F1738="T1",1,IF(F1738="T2",2,IF(F1738="T3",3,IF(F1738="T4",4,-1))))),-1)</x:f>
        <x:v>-1</x:v>
      </x:c>
      <x:c r="Q1738" s="4" t="n">
        <x:f>IF(AND(OR(C1738="Ingredient candidate",C1738="Consumed input",C1738="Contained input",C1738="Transform input"),P1738=-1),1,0)</x:f>
        <x:v>0</x:v>
      </x:c>
    </x:row>
    <x:row r="1739" ht="64" customHeight="1">
      <x:c r="A1739" s="4" t="str">
        <x:v>design.audit.proposal_ceramic_grinding_disc.audit.in.1</x:v>
      </x:c>
      <x:c r="B1739" s="4" t="str">
        <x:v>design.audit.proposal_ceramic_grinding_disc</x:v>
      </x:c>
      <x:c r="C1739" s="4" t="str">
        <x:v>Ingredient candidate</x:v>
      </x:c>
      <x:c r="D1739" s="4" t="str">
        <x:v>proposal.branch.refractory_ceramic</x:v>
      </x:c>
      <x:c r="E1739" s="4" t="str">
        <x:f>IFERROR(INDEX('Items'!$B$6:$B$1005,MATCH(D1739,'Items'!$A$6:$A$1005,0)),"MISSING ID")</x:f>
        <x:v>Refractory ceramic stock</x:v>
      </x:c>
      <x:c r="F1739" s="4" t="str">
        <x:f>IFERROR(INDEX('Items'!$C$6:$C$1005,MATCH(D1739,'Items'!$A$6:$A$1005,0)),"MISSING ID")</x:f>
        <x:v>T2</x:v>
      </x:c>
      <x:c r="G1739" s="4" t="str">
        <x:f>IFERROR(INDEX('Items'!$D$6:$D$1005,MATCH(D1739,'Items'!$A$6:$A$1005,0)),"MISSING ID")</x:f>
        <x:v>Manufactured stock</x:v>
      </x:c>
      <x:c r="H1739" s="4" t="str">
        <x:f>IFERROR(INDEX('Items'!$X$6:$X$1005,MATCH(D1739,'Items'!$A$6:$A$1005,0)),"MISSING ID")</x:f>
        <x:v>Processed material</x:v>
      </x:c>
      <x:c r="I1739" s="4"/>
      <x:c r="J1739" s="4" t="str">
        <x:v>Unspecified</x:v>
      </x:c>
      <x:c r="K1739" s="4" t="str">
        <x:f>IFERROR(INDEX('Crafting recipes'!$D$6:$D$1005,MATCH(B1739,'Crafting recipes'!$A$6:$A$1005,0)),"MISSING ID")</x:f>
        <x:v>Proposal</x:v>
      </x:c>
      <x:c r="L1739" s="4" t="str">
        <x:f>IFERROR(INDEX('Items'!$AD$6:$AD$1005,MATCH(D1739,'Items'!$A$6:$A$1005,0)),"MISSING ID")</x:f>
        <x:v>Proposal</x:v>
      </x:c>
      <x:c r="M1739" s="4" t="str">
        <x:f>IFERROR(INDEX('Crafting recipes'!$E$6:$E$1005,MATCH(B1739,'Crafting recipes'!$A$6:$A$1005,0)),"MISSING ID")</x:f>
        <x:v>Partial proposal</x:v>
      </x:c>
      <x:c r="N1739" s="4" t="str">
        <x:v>Partial audit candidate; quantity, fit and performance remain unresolved.</x:v>
      </x:c>
      <x:c r="O17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9" s="4" t="n">
        <x:f>IF(OR(C1739="Ingredient candidate",C1739="Consumed input",C1739="Contained input",C1739="Transform input"),IF(F1739="T0",0,IF(F1739="T1",1,IF(F1739="T2",2,IF(F1739="T3",3,IF(F1739="T4",4,-1))))),-1)</x:f>
        <x:v>2</x:v>
      </x:c>
      <x:c r="Q1739" s="4" t="n">
        <x:f>IF(AND(OR(C1739="Ingredient candidate",C1739="Consumed input",C1739="Contained input",C1739="Transform input"),P1739=-1),1,0)</x:f>
        <x:v>0</x:v>
      </x:c>
    </x:row>
    <x:row r="1740" ht="64" customHeight="1">
      <x:c r="A1740" s="4" t="str">
        <x:v>design.audit.proposal_ceramic_grinding_disc.audit.in.2</x:v>
      </x:c>
      <x:c r="B1740" s="4" t="str">
        <x:v>design.audit.proposal_ceramic_grinding_disc</x:v>
      </x:c>
      <x:c r="C1740" s="4" t="str">
        <x:v>Ingredient candidate</x:v>
      </x:c>
      <x:c r="D1740" s="4" t="str">
        <x:v>proposal.natural.abrasive</x:v>
      </x:c>
      <x:c r="E1740" s="4" t="str">
        <x:f>IFERROR(INDEX('Items'!$B$6:$B$1005,MATCH(D1740,'Items'!$A$6:$A$1005,0)),"MISSING ID")</x:f>
        <x:v>Graded abrasive grit</x:v>
      </x:c>
      <x:c r="F1740" s="4" t="str">
        <x:f>IFERROR(INDEX('Items'!$C$6:$C$1005,MATCH(D1740,'Items'!$A$6:$A$1005,0)),"MISSING ID")</x:f>
        <x:v>T1</x:v>
      </x:c>
      <x:c r="G1740" s="4" t="str">
        <x:f>IFERROR(INDEX('Items'!$D$6:$D$1005,MATCH(D1740,'Items'!$A$6:$A$1005,0)),"MISSING ID")</x:f>
        <x:v>Manufactured stock</x:v>
      </x:c>
      <x:c r="H1740" s="4" t="str">
        <x:f>IFERROR(INDEX('Items'!$X$6:$X$1005,MATCH(D1740,'Items'!$A$6:$A$1005,0)),"MISSING ID")</x:f>
        <x:v>Processed material</x:v>
      </x:c>
      <x:c r="I1740" s="4"/>
      <x:c r="J1740" s="4" t="str">
        <x:v>Unspecified</x:v>
      </x:c>
      <x:c r="K1740" s="4" t="str">
        <x:f>IFERROR(INDEX('Crafting recipes'!$D$6:$D$1005,MATCH(B1740,'Crafting recipes'!$A$6:$A$1005,0)),"MISSING ID")</x:f>
        <x:v>Proposal</x:v>
      </x:c>
      <x:c r="L1740" s="4" t="str">
        <x:f>IFERROR(INDEX('Items'!$AD$6:$AD$1005,MATCH(D1740,'Items'!$A$6:$A$1005,0)),"MISSING ID")</x:f>
        <x:v>Proposal</x:v>
      </x:c>
      <x:c r="M1740" s="4" t="str">
        <x:f>IFERROR(INDEX('Crafting recipes'!$E$6:$E$1005,MATCH(B1740,'Crafting recipes'!$A$6:$A$1005,0)),"MISSING ID")</x:f>
        <x:v>Partial proposal</x:v>
      </x:c>
      <x:c r="N1740" s="4" t="str">
        <x:v>Partial audit candidate; quantity, fit and performance remain unresolved.</x:v>
      </x:c>
      <x:c r="O17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0" s="4" t="n">
        <x:f>IF(OR(C1740="Ingredient candidate",C1740="Consumed input",C1740="Contained input",C1740="Transform input"),IF(F1740="T0",0,IF(F1740="T1",1,IF(F1740="T2",2,IF(F1740="T3",3,IF(F1740="T4",4,-1))))),-1)</x:f>
        <x:v>1</x:v>
      </x:c>
      <x:c r="Q1740" s="4" t="n">
        <x:f>IF(AND(OR(C1740="Ingredient candidate",C1740="Consumed input",C1740="Contained input",C1740="Transform input"),P1740=-1),1,0)</x:f>
        <x:v>0</x:v>
      </x:c>
    </x:row>
    <x:row r="1741" ht="64" customHeight="1">
      <x:c r="A1741" s="4" t="str">
        <x:v>design.audit.proposal_ceramic_grinding_disc.audit.out</x:v>
      </x:c>
      <x:c r="B1741" s="4" t="str">
        <x:v>design.audit.proposal_ceramic_grinding_disc</x:v>
      </x:c>
      <x:c r="C1741" s="4" t="str">
        <x:v>Output</x:v>
      </x:c>
      <x:c r="D1741" s="4" t="str">
        <x:v>proposal.ceramic.grinding_disc</x:v>
      </x:c>
      <x:c r="E1741" s="4" t="str">
        <x:f>IFERROR(INDEX('Items'!$B$6:$B$1005,MATCH(D1741,'Items'!$A$6:$A$1005,0)),"MISSING ID")</x:f>
        <x:v>Ceramic abrasive disc</x:v>
      </x:c>
      <x:c r="F1741" s="4" t="str">
        <x:f>IFERROR(INDEX('Items'!$C$6:$C$1005,MATCH(D1741,'Items'!$A$6:$A$1005,0)),"MISSING ID")</x:f>
        <x:v>Not applicable</x:v>
      </x:c>
      <x:c r="G1741" s="4" t="str">
        <x:f>IFERROR(INDEX('Items'!$D$6:$D$1005,MATCH(D1741,'Items'!$A$6:$A$1005,0)),"MISSING ID")</x:f>
        <x:v>Workshop upgrades</x:v>
      </x:c>
      <x:c r="H1741" s="4" t="str">
        <x:f>IFERROR(INDEX('Items'!$X$6:$X$1005,MATCH(D1741,'Items'!$A$6:$A$1005,0)),"MISSING ID")</x:f>
        <x:v>Tool</x:v>
      </x:c>
      <x:c r="I1741" s="4"/>
      <x:c r="J1741" s="4" t="str">
        <x:v>Unspecified</x:v>
      </x:c>
      <x:c r="K1741" s="4" t="str">
        <x:f>IFERROR(INDEX('Crafting recipes'!$D$6:$D$1005,MATCH(B1741,'Crafting recipes'!$A$6:$A$1005,0)),"MISSING ID")</x:f>
        <x:v>Proposal</x:v>
      </x:c>
      <x:c r="L1741" s="4" t="str">
        <x:f>IFERROR(INDEX('Items'!$AD$6:$AD$1005,MATCH(D1741,'Items'!$A$6:$A$1005,0)),"MISSING ID")</x:f>
        <x:v>Proposal</x:v>
      </x:c>
      <x:c r="M1741" s="4" t="str">
        <x:f>IFERROR(INDEX('Crafting recipes'!$E$6:$E$1005,MATCH(B1741,'Crafting recipes'!$A$6:$A$1005,0)),"MISSING ID")</x:f>
        <x:v>Partial proposal</x:v>
      </x:c>
      <x:c r="N1741" s="4" t="str">
        <x:v>Partial audit candidate; quantity, fit and performance remain unresolved.</x:v>
      </x:c>
      <x:c r="O17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1" s="4" t="n">
        <x:f>IF(OR(C1741="Ingredient candidate",C1741="Consumed input",C1741="Contained input",C1741="Transform input"),IF(F1741="T0",0,IF(F1741="T1",1,IF(F1741="T2",2,IF(F1741="T3",3,IF(F1741="T4",4,-1))))),-1)</x:f>
        <x:v>-1</x:v>
      </x:c>
      <x:c r="Q1741" s="4" t="n">
        <x:f>IF(AND(OR(C1741="Ingredient candidate",C1741="Consumed input",C1741="Contained input",C1741="Transform input"),P1741=-1),1,0)</x:f>
        <x:v>0</x:v>
      </x:c>
    </x:row>
    <x:row r="1742" ht="64" customHeight="1">
      <x:c r="A1742" s="4" t="str">
        <x:v>design.audit.proposal_fire_striker.audit.in.1</x:v>
      </x:c>
      <x:c r="B1742" s="4" t="str">
        <x:v>design.audit.proposal_fire_striker</x:v>
      </x:c>
      <x:c r="C1742" s="4" t="str">
        <x:v>Ingredient candidate</x:v>
      </x:c>
      <x:c r="D1742" s="4" t="str">
        <x:v>proposal.fire.flint</x:v>
      </x:c>
      <x:c r="E1742" s="4" t="str">
        <x:f>IFERROR(INDEX('Items'!$B$6:$B$1005,MATCH(D1742,'Items'!$A$6:$A$1005,0)),"MISSING ID")</x:f>
        <x:v>Flint stone</x:v>
      </x:c>
      <x:c r="F1742" s="4" t="str">
        <x:f>IFERROR(INDEX('Items'!$C$6:$C$1005,MATCH(D1742,'Items'!$A$6:$A$1005,0)),"MISSING ID")</x:f>
        <x:v>T0</x:v>
      </x:c>
      <x:c r="G1742" s="4" t="str">
        <x:f>IFERROR(INDEX('Items'!$D$6:$D$1005,MATCH(D1742,'Items'!$A$6:$A$1005,0)),"MISSING ID")</x:f>
        <x:v>Mineral resources</x:v>
      </x:c>
      <x:c r="H1742" s="4" t="str">
        <x:f>IFERROR(INDEX('Items'!$X$6:$X$1005,MATCH(D1742,'Items'!$A$6:$A$1005,0)),"MISSING ID")</x:f>
        <x:v>Raw material</x:v>
      </x:c>
      <x:c r="I1742" s="4"/>
      <x:c r="J1742" s="4" t="str">
        <x:v>Unspecified</x:v>
      </x:c>
      <x:c r="K1742" s="4" t="str">
        <x:f>IFERROR(INDEX('Crafting recipes'!$D$6:$D$1005,MATCH(B1742,'Crafting recipes'!$A$6:$A$1005,0)),"MISSING ID")</x:f>
        <x:v>Proposal</x:v>
      </x:c>
      <x:c r="L1742" s="4" t="str">
        <x:f>IFERROR(INDEX('Items'!$AD$6:$AD$1005,MATCH(D1742,'Items'!$A$6:$A$1005,0)),"MISSING ID")</x:f>
        <x:v>Author direction</x:v>
      </x:c>
      <x:c r="M1742" s="4" t="str">
        <x:f>IFERROR(INDEX('Crafting recipes'!$E$6:$E$1005,MATCH(B1742,'Crafting recipes'!$A$6:$A$1005,0)),"MISSING ID")</x:f>
        <x:v>Partial proposal</x:v>
      </x:c>
      <x:c r="N1742" s="4" t="str">
        <x:v>Partial audit candidate; quantity, fit and performance remain unresolved.</x:v>
      </x:c>
      <x:c r="O17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2" s="4" t="n">
        <x:f>IF(OR(C1742="Ingredient candidate",C1742="Consumed input",C1742="Contained input",C1742="Transform input"),IF(F1742="T0",0,IF(F1742="T1",1,IF(F1742="T2",2,IF(F1742="T3",3,IF(F1742="T4",4,-1))))),-1)</x:f>
        <x:v>0</x:v>
      </x:c>
      <x:c r="Q1742" s="4" t="n">
        <x:f>IF(AND(OR(C1742="Ingredient candidate",C1742="Consumed input",C1742="Contained input",C1742="Transform input"),P1742=-1),1,0)</x:f>
        <x:v>0</x:v>
      </x:c>
    </x:row>
    <x:row r="1743" ht="64" customHeight="1">
      <x:c r="A1743" s="4" t="str">
        <x:v>design.audit.proposal_fire_striker.audit.in.2</x:v>
      </x:c>
      <x:c r="B1743" s="4" t="str">
        <x:v>design.audit.proposal_fire_striker</x:v>
      </x:c>
      <x:c r="C1743" s="4" t="str">
        <x:v>Ingredient candidate</x:v>
      </x:c>
      <x:c r="D1743" s="4" t="str">
        <x:v>author.metallurgy.steel_stock</x:v>
      </x:c>
      <x:c r="E1743" s="4" t="str">
        <x:f>IFERROR(INDEX('Items'!$B$6:$B$1005,MATCH(D1743,'Items'!$A$6:$A$1005,0)),"MISSING ID")</x:f>
        <x:v>Steel stock</x:v>
      </x:c>
      <x:c r="F1743" s="4" t="str">
        <x:f>IFERROR(INDEX('Items'!$C$6:$C$1005,MATCH(D1743,'Items'!$A$6:$A$1005,0)),"MISSING ID")</x:f>
        <x:v>T2</x:v>
      </x:c>
      <x:c r="G1743" s="4" t="str">
        <x:f>IFERROR(INDEX('Items'!$D$6:$D$1005,MATCH(D1743,'Items'!$A$6:$A$1005,0)),"MISSING ID")</x:f>
        <x:v>Manufactured stock</x:v>
      </x:c>
      <x:c r="H1743" s="4" t="str">
        <x:f>IFERROR(INDEX('Items'!$X$6:$X$1005,MATCH(D1743,'Items'!$A$6:$A$1005,0)),"MISSING ID")</x:f>
        <x:v>Processed material</x:v>
      </x:c>
      <x:c r="I1743" s="4"/>
      <x:c r="J1743" s="4" t="str">
        <x:v>Unspecified</x:v>
      </x:c>
      <x:c r="K1743" s="4" t="str">
        <x:f>IFERROR(INDEX('Crafting recipes'!$D$6:$D$1005,MATCH(B1743,'Crafting recipes'!$A$6:$A$1005,0)),"MISSING ID")</x:f>
        <x:v>Proposal</x:v>
      </x:c>
      <x:c r="L1743" s="4" t="str">
        <x:f>IFERROR(INDEX('Items'!$AD$6:$AD$1005,MATCH(D1743,'Items'!$A$6:$A$1005,0)),"MISSING ID")</x:f>
        <x:v>Author direction</x:v>
      </x:c>
      <x:c r="M1743" s="4" t="str">
        <x:f>IFERROR(INDEX('Crafting recipes'!$E$6:$E$1005,MATCH(B1743,'Crafting recipes'!$A$6:$A$1005,0)),"MISSING ID")</x:f>
        <x:v>Partial proposal</x:v>
      </x:c>
      <x:c r="N1743" s="4" t="str">
        <x:v>Partial audit candidate; quantity, fit and performance remain unresolved.</x:v>
      </x:c>
      <x:c r="O17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3" s="4" t="n">
        <x:f>IF(OR(C1743="Ingredient candidate",C1743="Consumed input",C1743="Contained input",C1743="Transform input"),IF(F1743="T0",0,IF(F1743="T1",1,IF(F1743="T2",2,IF(F1743="T3",3,IF(F1743="T4",4,-1))))),-1)</x:f>
        <x:v>2</x:v>
      </x:c>
      <x:c r="Q1743" s="4" t="n">
        <x:f>IF(AND(OR(C1743="Ingredient candidate",C1743="Consumed input",C1743="Contained input",C1743="Transform input"),P1743=-1),1,0)</x:f>
        <x:v>0</x:v>
      </x:c>
    </x:row>
    <x:row r="1744" ht="64" customHeight="1">
      <x:c r="A1744" s="4" t="str">
        <x:v>design.audit.proposal_fire_striker.audit.out</x:v>
      </x:c>
      <x:c r="B1744" s="4" t="str">
        <x:v>design.audit.proposal_fire_striker</x:v>
      </x:c>
      <x:c r="C1744" s="4" t="str">
        <x:v>Output</x:v>
      </x:c>
      <x:c r="D1744" s="4" t="str">
        <x:v>proposal.fire.striker</x:v>
      </x:c>
      <x:c r="E1744" s="4" t="str">
        <x:f>IFERROR(INDEX('Items'!$B$6:$B$1005,MATCH(D1744,'Items'!$A$6:$A$1005,0)),"MISSING ID")</x:f>
        <x:v>Flint striking tool</x:v>
      </x:c>
      <x:c r="F1744" s="4" t="str">
        <x:f>IFERROR(INDEX('Items'!$C$6:$C$1005,MATCH(D1744,'Items'!$A$6:$A$1005,0)),"MISSING ID")</x:f>
        <x:v>Not applicable</x:v>
      </x:c>
      <x:c r="G1744" s="4" t="str">
        <x:f>IFERROR(INDEX('Items'!$D$6:$D$1005,MATCH(D1744,'Items'!$A$6:$A$1005,0)),"MISSING ID")</x:f>
        <x:v>Salvage</x:v>
      </x:c>
      <x:c r="H1744" s="4" t="str">
        <x:f>IFERROR(INDEX('Items'!$X$6:$X$1005,MATCH(D1744,'Items'!$A$6:$A$1005,0)),"MISSING ID")</x:f>
        <x:v>Tool</x:v>
      </x:c>
      <x:c r="I1744" s="4"/>
      <x:c r="J1744" s="4" t="str">
        <x:v>Unspecified</x:v>
      </x:c>
      <x:c r="K1744" s="4" t="str">
        <x:f>IFERROR(INDEX('Crafting recipes'!$D$6:$D$1005,MATCH(B1744,'Crafting recipes'!$A$6:$A$1005,0)),"MISSING ID")</x:f>
        <x:v>Proposal</x:v>
      </x:c>
      <x:c r="L1744" s="4" t="str">
        <x:f>IFERROR(INDEX('Items'!$AD$6:$AD$1005,MATCH(D1744,'Items'!$A$6:$A$1005,0)),"MISSING ID")</x:f>
        <x:v>Proposal</x:v>
      </x:c>
      <x:c r="M1744" s="4" t="str">
        <x:f>IFERROR(INDEX('Crafting recipes'!$E$6:$E$1005,MATCH(B1744,'Crafting recipes'!$A$6:$A$1005,0)),"MISSING ID")</x:f>
        <x:v>Partial proposal</x:v>
      </x:c>
      <x:c r="N1744" s="4" t="str">
        <x:v>Partial audit candidate; quantity, fit and performance remain unresolved.</x:v>
      </x:c>
      <x:c r="O17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4" s="4" t="n">
        <x:f>IF(OR(C1744="Ingredient candidate",C1744="Consumed input",C1744="Contained input",C1744="Transform input"),IF(F1744="T0",0,IF(F1744="T1",1,IF(F1744="T2",2,IF(F1744="T3",3,IF(F1744="T4",4,-1))))),-1)</x:f>
        <x:v>-1</x:v>
      </x:c>
      <x:c r="Q1744" s="4" t="n">
        <x:f>IF(AND(OR(C1744="Ingredient candidate",C1744="Consumed input",C1744="Contained input",C1744="Transform input"),P1744=-1),1,0)</x:f>
        <x:v>0</x:v>
      </x:c>
    </x:row>
    <x:row r="1745" ht="64" customHeight="1">
      <x:c r="A1745" s="4" t="str">
        <x:v>design.audit.proposal_fire_cooking_pot.audit.in.1</x:v>
      </x:c>
      <x:c r="B1745" s="4" t="str">
        <x:v>design.audit.proposal_fire_cooking_pot</x:v>
      </x:c>
      <x:c r="C1745" s="4" t="str">
        <x:v>Ingredient candidate</x:v>
      </x:c>
      <x:c r="D1745" s="4" t="str">
        <x:v>proposal.ceramic.body_feed</x:v>
      </x:c>
      <x:c r="E1745" s="4" t="str">
        <x:f>IFERROR(INDEX('Items'!$B$6:$B$1005,MATCH(D1745,'Items'!$A$6:$A$1005,0)),"MISSING ID")</x:f>
        <x:v>Prepared ceramic body feed</x:v>
      </x:c>
      <x:c r="F1745" s="4" t="str">
        <x:f>IFERROR(INDEX('Items'!$C$6:$C$1005,MATCH(D1745,'Items'!$A$6:$A$1005,0)),"MISSING ID")</x:f>
        <x:v>T1</x:v>
      </x:c>
      <x:c r="G1745" s="4" t="str">
        <x:f>IFERROR(INDEX('Items'!$D$6:$D$1005,MATCH(D1745,'Items'!$A$6:$A$1005,0)),"MISSING ID")</x:f>
        <x:v>Manufactured stock</x:v>
      </x:c>
      <x:c r="H1745" s="4" t="str">
        <x:f>IFERROR(INDEX('Items'!$X$6:$X$1005,MATCH(D1745,'Items'!$A$6:$A$1005,0)),"MISSING ID")</x:f>
        <x:v>Processed material</x:v>
      </x:c>
      <x:c r="I1745" s="4"/>
      <x:c r="J1745" s="4" t="str">
        <x:v>Unspecified</x:v>
      </x:c>
      <x:c r="K1745" s="4" t="str">
        <x:f>IFERROR(INDEX('Crafting recipes'!$D$6:$D$1005,MATCH(B1745,'Crafting recipes'!$A$6:$A$1005,0)),"MISSING ID")</x:f>
        <x:v>Proposal</x:v>
      </x:c>
      <x:c r="L1745" s="4" t="str">
        <x:f>IFERROR(INDEX('Items'!$AD$6:$AD$1005,MATCH(D1745,'Items'!$A$6:$A$1005,0)),"MISSING ID")</x:f>
        <x:v>Proposal</x:v>
      </x:c>
      <x:c r="M1745" s="4" t="str">
        <x:f>IFERROR(INDEX('Crafting recipes'!$E$6:$E$1005,MATCH(B1745,'Crafting recipes'!$A$6:$A$1005,0)),"MISSING ID")</x:f>
        <x:v>Partial proposal</x:v>
      </x:c>
      <x:c r="N1745" s="4" t="str">
        <x:v>Partial audit candidate; quantity, fit and performance remain unresolved.</x:v>
      </x:c>
      <x:c r="O17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5" s="4" t="n">
        <x:f>IF(OR(C1745="Ingredient candidate",C1745="Consumed input",C1745="Contained input",C1745="Transform input"),IF(F1745="T0",0,IF(F1745="T1",1,IF(F1745="T2",2,IF(F1745="T3",3,IF(F1745="T4",4,-1))))),-1)</x:f>
        <x:v>1</x:v>
      </x:c>
      <x:c r="Q1745" s="4" t="n">
        <x:f>IF(AND(OR(C1745="Ingredient candidate",C1745="Consumed input",C1745="Contained input",C1745="Transform input"),P1745=-1),1,0)</x:f>
        <x:v>0</x:v>
      </x:c>
    </x:row>
    <x:row r="1746" ht="64" customHeight="1">
      <x:c r="A1746" s="4" t="str">
        <x:v>design.audit.proposal_fire_cooking_pot.audit.in.2</x:v>
      </x:c>
      <x:c r="B1746" s="4" t="str">
        <x:v>design.audit.proposal_fire_cooking_pot</x:v>
      </x:c>
      <x:c r="C1746" s="4" t="str">
        <x:v>Ingredient candidate</x:v>
      </x:c>
      <x:c r="D1746" s="4" t="str">
        <x:v>proposal.t1.pigment_powder</x:v>
      </x:c>
      <x:c r="E1746" s="4" t="str">
        <x:f>IFERROR(INDEX('Items'!$B$6:$B$1005,MATCH(D1746,'Items'!$A$6:$A$1005,0)),"MISSING ID")</x:f>
        <x:v>Prepared mineral pigment powder</x:v>
      </x:c>
      <x:c r="F1746" s="4" t="str">
        <x:f>IFERROR(INDEX('Items'!$C$6:$C$1005,MATCH(D1746,'Items'!$A$6:$A$1005,0)),"MISSING ID")</x:f>
        <x:v>T1</x:v>
      </x:c>
      <x:c r="G1746" s="4" t="str">
        <x:f>IFERROR(INDEX('Items'!$D$6:$D$1005,MATCH(D1746,'Items'!$A$6:$A$1005,0)),"MISSING ID")</x:f>
        <x:v>Manufactured stock</x:v>
      </x:c>
      <x:c r="H1746" s="4" t="str">
        <x:f>IFERROR(INDEX('Items'!$X$6:$X$1005,MATCH(D1746,'Items'!$A$6:$A$1005,0)),"MISSING ID")</x:f>
        <x:v>Processed material</x:v>
      </x:c>
      <x:c r="I1746" s="4"/>
      <x:c r="J1746" s="4" t="str">
        <x:v>Unspecified</x:v>
      </x:c>
      <x:c r="K1746" s="4" t="str">
        <x:f>IFERROR(INDEX('Crafting recipes'!$D$6:$D$1005,MATCH(B1746,'Crafting recipes'!$A$6:$A$1005,0)),"MISSING ID")</x:f>
        <x:v>Proposal</x:v>
      </x:c>
      <x:c r="L1746" s="4" t="str">
        <x:f>IFERROR(INDEX('Items'!$AD$6:$AD$1005,MATCH(D1746,'Items'!$A$6:$A$1005,0)),"MISSING ID")</x:f>
        <x:v>Proposal</x:v>
      </x:c>
      <x:c r="M1746" s="4" t="str">
        <x:f>IFERROR(INDEX('Crafting recipes'!$E$6:$E$1005,MATCH(B1746,'Crafting recipes'!$A$6:$A$1005,0)),"MISSING ID")</x:f>
        <x:v>Partial proposal</x:v>
      </x:c>
      <x:c r="N1746" s="4" t="str">
        <x:v>Partial audit candidate; quantity, fit and performance remain unresolved.</x:v>
      </x:c>
      <x:c r="O17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6" s="4" t="n">
        <x:f>IF(OR(C1746="Ingredient candidate",C1746="Consumed input",C1746="Contained input",C1746="Transform input"),IF(F1746="T0",0,IF(F1746="T1",1,IF(F1746="T2",2,IF(F1746="T3",3,IF(F1746="T4",4,-1))))),-1)</x:f>
        <x:v>1</x:v>
      </x:c>
      <x:c r="Q1746" s="4" t="n">
        <x:f>IF(AND(OR(C1746="Ingredient candidate",C1746="Consumed input",C1746="Contained input",C1746="Transform input"),P1746=-1),1,0)</x:f>
        <x:v>0</x:v>
      </x:c>
    </x:row>
    <x:row r="1747" ht="64" customHeight="1">
      <x:c r="A1747" s="4" t="str">
        <x:v>design.audit.proposal_fire_cooking_pot.audit.out</x:v>
      </x:c>
      <x:c r="B1747" s="4" t="str">
        <x:v>design.audit.proposal_fire_cooking_pot</x:v>
      </x:c>
      <x:c r="C1747" s="4" t="str">
        <x:v>Output</x:v>
      </x:c>
      <x:c r="D1747" s="4" t="str">
        <x:v>proposal.fire.cooking_pot</x:v>
      </x:c>
      <x:c r="E1747" s="4" t="str">
        <x:f>IFERROR(INDEX('Items'!$B$6:$B$1005,MATCH(D1747,'Items'!$A$6:$A$1005,0)),"MISSING ID")</x:f>
        <x:v>Ceramic cooking pot</x:v>
      </x:c>
      <x:c r="F1747" s="4" t="str">
        <x:f>IFERROR(INDEX('Items'!$C$6:$C$1005,MATCH(D1747,'Items'!$A$6:$A$1005,0)),"MISSING ID")</x:f>
        <x:v>Not applicable</x:v>
      </x:c>
      <x:c r="G1747" s="4" t="str">
        <x:f>IFERROR(INDEX('Items'!$D$6:$D$1005,MATCH(D1747,'Items'!$A$6:$A$1005,0)),"MISSING ID")</x:f>
        <x:v>Salvage</x:v>
      </x:c>
      <x:c r="H1747" s="4" t="str">
        <x:f>IFERROR(INDEX('Items'!$X$6:$X$1005,MATCH(D1747,'Items'!$A$6:$A$1005,0)),"MISSING ID")</x:f>
        <x:v>Tool</x:v>
      </x:c>
      <x:c r="I1747" s="4"/>
      <x:c r="J1747" s="4" t="str">
        <x:v>Unspecified</x:v>
      </x:c>
      <x:c r="K1747" s="4" t="str">
        <x:f>IFERROR(INDEX('Crafting recipes'!$D$6:$D$1005,MATCH(B1747,'Crafting recipes'!$A$6:$A$1005,0)),"MISSING ID")</x:f>
        <x:v>Proposal</x:v>
      </x:c>
      <x:c r="L1747" s="4" t="str">
        <x:f>IFERROR(INDEX('Items'!$AD$6:$AD$1005,MATCH(D1747,'Items'!$A$6:$A$1005,0)),"MISSING ID")</x:f>
        <x:v>Proposal</x:v>
      </x:c>
      <x:c r="M1747" s="4" t="str">
        <x:f>IFERROR(INDEX('Crafting recipes'!$E$6:$E$1005,MATCH(B1747,'Crafting recipes'!$A$6:$A$1005,0)),"MISSING ID")</x:f>
        <x:v>Partial proposal</x:v>
      </x:c>
      <x:c r="N1747" s="4" t="str">
        <x:v>Partial audit candidate; quantity, fit and performance remain unresolved.</x:v>
      </x:c>
      <x:c r="O17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7" s="4" t="n">
        <x:f>IF(OR(C1747="Ingredient candidate",C1747="Consumed input",C1747="Contained input",C1747="Transform input"),IF(F1747="T0",0,IF(F1747="T1",1,IF(F1747="T2",2,IF(F1747="T3",3,IF(F1747="T4",4,-1))))),-1)</x:f>
        <x:v>-1</x:v>
      </x:c>
      <x:c r="Q1747" s="4" t="n">
        <x:f>IF(AND(OR(C1747="Ingredient candidate",C1747="Consumed input",C1747="Contained input",C1747="Transform input"),P1747=-1),1,0)</x:f>
        <x:v>0</x:v>
      </x:c>
    </x:row>
    <x:row r="1748" ht="64" customHeight="1">
      <x:c r="A1748" s="4"/>
      <x:c r="B1748" s="4"/>
      <x:c r="C1748" s="4"/>
      <x:c r="D1748" s="4"/>
      <x:c r="E1748" s="4"/>
      <x:c r="F1748" s="4"/>
      <x:c r="G1748" s="4"/>
      <x:c r="H1748" s="4"/>
      <x:c r="I1748" s="4"/>
      <x:c r="K1748" s="4"/>
      <x:c r="L1748" s="4"/>
      <x:c r="M1748" s="4"/>
      <x:c r="N1748" s="4"/>
      <x:c r="O1748" s="4"/>
      <x:c r="P1748" s="4"/>
      <x:c r="Q1748" s="4"/>
    </x:row>
    <x:row r="1749" ht="64" customHeight="1">
      <x:c r="A1749" s="4"/>
      <x:c r="B1749" s="4"/>
      <x:c r="C1749" s="4"/>
      <x:c r="D1749" s="4"/>
      <x:c r="E1749" s="4"/>
      <x:c r="F1749" s="4"/>
      <x:c r="G1749" s="4"/>
      <x:c r="H1749" s="4"/>
      <x:c r="I1749" s="4"/>
      <x:c r="K1749" s="4"/>
      <x:c r="L1749" s="4"/>
      <x:c r="M1749" s="4"/>
      <x:c r="N1749" s="4"/>
      <x:c r="O1749" s="4"/>
      <x:c r="P1749" s="4"/>
      <x:c r="Q1749" s="4"/>
    </x:row>
    <x:row r="1750" ht="64" customHeight="1">
      <x:c r="A1750" s="4" t="str">
        <x:v>design.audit.proposal_fire_lidded_pan.audit.in.1</x:v>
      </x:c>
      <x:c r="B1750" s="4" t="str">
        <x:v>design.audit.proposal_fire_lidded_pan</x:v>
      </x:c>
      <x:c r="C1750" s="4" t="str">
        <x:v>Ingredient candidate</x:v>
      </x:c>
      <x:c r="D1750" s="4" t="str">
        <x:v>proposal.collection.annealed_iron_sheet_stock</x:v>
      </x:c>
      <x:c r="E1750" s="4" t="str">
        <x:f>IFERROR(INDEX('Items'!$B$6:$B$1005,MATCH(D1750,'Items'!$A$6:$A$1005,0)),"MISSING ID")</x:f>
        <x:v>Annealed iron sheet stock</x:v>
      </x:c>
      <x:c r="F1750" s="4" t="str">
        <x:f>IFERROR(INDEX('Items'!$C$6:$C$1005,MATCH(D1750,'Items'!$A$6:$A$1005,0)),"MISSING ID")</x:f>
        <x:v>T3</x:v>
      </x:c>
      <x:c r="G1750" s="4" t="str">
        <x:f>IFERROR(INDEX('Items'!$D$6:$D$1005,MATCH(D1750,'Items'!$A$6:$A$1005,0)),"MISSING ID")</x:f>
        <x:v>Manufactured stock</x:v>
      </x:c>
      <x:c r="H1750" s="4" t="str">
        <x:f>IFERROR(INDEX('Items'!$X$6:$X$1005,MATCH(D1750,'Items'!$A$6:$A$1005,0)),"MISSING ID")</x:f>
        <x:v>Processed material</x:v>
      </x:c>
      <x:c r="I1750" s="4"/>
      <x:c r="J1750" s="4" t="str">
        <x:v>Unspecified</x:v>
      </x:c>
      <x:c r="K1750" s="4" t="str">
        <x:f>IFERROR(INDEX('Crafting recipes'!$D$6:$D$1005,MATCH(B1750,'Crafting recipes'!$A$6:$A$1005,0)),"MISSING ID")</x:f>
        <x:v>Proposal</x:v>
      </x:c>
      <x:c r="L1750" s="4" t="str">
        <x:f>IFERROR(INDEX('Items'!$AD$6:$AD$1005,MATCH(D1750,'Items'!$A$6:$A$1005,0)),"MISSING ID")</x:f>
        <x:v>Proposal</x:v>
      </x:c>
      <x:c r="M1750" s="4" t="str">
        <x:f>IFERROR(INDEX('Crafting recipes'!$E$6:$E$1005,MATCH(B1750,'Crafting recipes'!$A$6:$A$1005,0)),"MISSING ID")</x:f>
        <x:v>Partial proposal</x:v>
      </x:c>
      <x:c r="N1750" s="4" t="str">
        <x:v>Partial audit candidate; quantity, fit and performance remain unresolved.</x:v>
      </x:c>
      <x:c r="O17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0" s="4" t="n">
        <x:f>IF(OR(C1750="Ingredient candidate",C1750="Consumed input",C1750="Contained input",C1750="Transform input"),IF(F1750="T0",0,IF(F1750="T1",1,IF(F1750="T2",2,IF(F1750="T3",3,IF(F1750="T4",4,-1))))),-1)</x:f>
        <x:v>3</x:v>
      </x:c>
      <x:c r="Q1750" s="4" t="n">
        <x:f>IF(AND(OR(C1750="Ingredient candidate",C1750="Consumed input",C1750="Contained input",C1750="Transform input"),P1750=-1),1,0)</x:f>
        <x:v>0</x:v>
      </x:c>
    </x:row>
    <x:row r="1751" ht="64" customHeight="1">
      <x:c r="A1751" s="4" t="str">
        <x:v>design.audit.proposal_fire_lidded_pan.audit.in.2</x:v>
      </x:c>
      <x:c r="B1751" s="4" t="str">
        <x:v>design.audit.proposal_fire_lidded_pan</x:v>
      </x:c>
      <x:c r="C1751" s="4" t="str">
        <x:v>Ingredient candidate</x:v>
      </x:c>
      <x:c r="D1751" s="4" t="str">
        <x:v>proposal.audit.shaped_metal_grip_blank</x:v>
      </x:c>
      <x:c r="E1751" s="4" t="str">
        <x:f>IFERROR(INDEX('Items'!$B$6:$B$1005,MATCH(D1751,'Items'!$A$6:$A$1005,0)),"MISSING ID")</x:f>
        <x:v>Shaped metal grip blank</x:v>
      </x:c>
      <x:c r="F1751" s="4" t="str">
        <x:f>IFERROR(INDEX('Items'!$C$6:$C$1005,MATCH(D1751,'Items'!$A$6:$A$1005,0)),"MISSING ID")</x:f>
        <x:v>T3</x:v>
      </x:c>
      <x:c r="G1751" s="4" t="str">
        <x:f>IFERROR(INDEX('Items'!$D$6:$D$1005,MATCH(D1751,'Items'!$A$6:$A$1005,0)),"MISSING ID")</x:f>
        <x:v>Crafting components</x:v>
      </x:c>
      <x:c r="H1751" s="4" t="str">
        <x:f>IFERROR(INDEX('Items'!$X$6:$X$1005,MATCH(D1751,'Items'!$A$6:$A$1005,0)),"MISSING ID")</x:f>
        <x:v>Crafting component</x:v>
      </x:c>
      <x:c r="I1751" s="4"/>
      <x:c r="J1751" s="4" t="str">
        <x:v>Unspecified</x:v>
      </x:c>
      <x:c r="K1751" s="4" t="str">
        <x:f>IFERROR(INDEX('Crafting recipes'!$D$6:$D$1005,MATCH(B1751,'Crafting recipes'!$A$6:$A$1005,0)),"MISSING ID")</x:f>
        <x:v>Proposal</x:v>
      </x:c>
      <x:c r="L1751" s="4" t="str">
        <x:f>IFERROR(INDEX('Items'!$AD$6:$AD$1005,MATCH(D1751,'Items'!$A$6:$A$1005,0)),"MISSING ID")</x:f>
        <x:v>Proposal</x:v>
      </x:c>
      <x:c r="M1751" s="4" t="str">
        <x:f>IFERROR(INDEX('Crafting recipes'!$E$6:$E$1005,MATCH(B1751,'Crafting recipes'!$A$6:$A$1005,0)),"MISSING ID")</x:f>
        <x:v>Partial proposal</x:v>
      </x:c>
      <x:c r="N1751" s="4" t="str">
        <x:v>Partial audit candidate; quantity, fit and performance remain unresolved.</x:v>
      </x:c>
      <x:c r="O17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1" s="4" t="n">
        <x:f>IF(OR(C1751="Ingredient candidate",C1751="Consumed input",C1751="Contained input",C1751="Transform input"),IF(F1751="T0",0,IF(F1751="T1",1,IF(F1751="T2",2,IF(F1751="T3",3,IF(F1751="T4",4,-1))))),-1)</x:f>
        <x:v>3</x:v>
      </x:c>
      <x:c r="Q1751" s="4" t="n">
        <x:f>IF(AND(OR(C1751="Ingredient candidate",C1751="Consumed input",C1751="Contained input",C1751="Transform input"),P1751=-1),1,0)</x:f>
        <x:v>0</x:v>
      </x:c>
    </x:row>
    <x:row r="1752" ht="64" customHeight="1">
      <x:c r="A1752" s="4" t="str">
        <x:v>design.audit.proposal_fire_lidded_pan.audit.in.3</x:v>
      </x:c>
      <x:c r="B1752" s="4" t="str">
        <x:v>design.audit.proposal_fire_lidded_pan</x:v>
      </x:c>
      <x:c r="C1752" s="4" t="str">
        <x:v>Ingredient candidate</x:v>
      </x:c>
      <x:c r="D1752" s="4" t="str">
        <x:v>proposal.ceramic.lid</x:v>
      </x:c>
      <x:c r="E1752" s="4" t="str">
        <x:f>IFERROR(INDEX('Items'!$B$6:$B$1005,MATCH(D1752,'Items'!$A$6:$A$1005,0)),"MISSING ID")</x:f>
        <x:v>Ceramic vessel lid</x:v>
      </x:c>
      <x:c r="F1752" s="4" t="str">
        <x:f>IFERROR(INDEX('Items'!$C$6:$C$1005,MATCH(D1752,'Items'!$A$6:$A$1005,0)),"MISSING ID")</x:f>
        <x:v>T3</x:v>
      </x:c>
      <x:c r="G1752" s="4" t="str">
        <x:f>IFERROR(INDEX('Items'!$D$6:$D$1005,MATCH(D1752,'Items'!$A$6:$A$1005,0)),"MISSING ID")</x:f>
        <x:v>Crafting components</x:v>
      </x:c>
      <x:c r="H1752" s="4" t="str">
        <x:f>IFERROR(INDEX('Items'!$X$6:$X$1005,MATCH(D1752,'Items'!$A$6:$A$1005,0)),"MISSING ID")</x:f>
        <x:v>Container part</x:v>
      </x:c>
      <x:c r="I1752" s="4"/>
      <x:c r="J1752" s="4" t="str">
        <x:v>Unspecified</x:v>
      </x:c>
      <x:c r="K1752" s="4" t="str">
        <x:f>IFERROR(INDEX('Crafting recipes'!$D$6:$D$1005,MATCH(B1752,'Crafting recipes'!$A$6:$A$1005,0)),"MISSING ID")</x:f>
        <x:v>Proposal</x:v>
      </x:c>
      <x:c r="L1752" s="4" t="str">
        <x:f>IFERROR(INDEX('Items'!$AD$6:$AD$1005,MATCH(D1752,'Items'!$A$6:$A$1005,0)),"MISSING ID")</x:f>
        <x:v>Proposal</x:v>
      </x:c>
      <x:c r="M1752" s="4" t="str">
        <x:f>IFERROR(INDEX('Crafting recipes'!$E$6:$E$1005,MATCH(B1752,'Crafting recipes'!$A$6:$A$1005,0)),"MISSING ID")</x:f>
        <x:v>Partial proposal</x:v>
      </x:c>
      <x:c r="N1752" s="4" t="str">
        <x:v>Partial audit candidate; quantity, fit and performance remain unresolved.</x:v>
      </x:c>
      <x:c r="O17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2" s="4" t="n">
        <x:f>IF(OR(C1752="Ingredient candidate",C1752="Consumed input",C1752="Contained input",C1752="Transform input"),IF(F1752="T0",0,IF(F1752="T1",1,IF(F1752="T2",2,IF(F1752="T3",3,IF(F1752="T4",4,-1))))),-1)</x:f>
        <x:v>3</x:v>
      </x:c>
      <x:c r="Q1752" s="4" t="n">
        <x:f>IF(AND(OR(C1752="Ingredient candidate",C1752="Consumed input",C1752="Contained input",C1752="Transform input"),P1752=-1),1,0)</x:f>
        <x:v>0</x:v>
      </x:c>
    </x:row>
    <x:row r="1753" ht="64" customHeight="1">
      <x:c r="A1753" s="4" t="str">
        <x:v>design.audit.proposal_fire_lidded_pan.audit.out</x:v>
      </x:c>
      <x:c r="B1753" s="4" t="str">
        <x:v>design.audit.proposal_fire_lidded_pan</x:v>
      </x:c>
      <x:c r="C1753" s="4" t="str">
        <x:v>Output</x:v>
      </x:c>
      <x:c r="D1753" s="4" t="str">
        <x:v>proposal.fire.lidded_pan</x:v>
      </x:c>
      <x:c r="E1753" s="4" t="str">
        <x:f>IFERROR(INDEX('Items'!$B$6:$B$1005,MATCH(D1753,'Items'!$A$6:$A$1005,0)),"MISSING ID")</x:f>
        <x:v>Lidded cooking pan</x:v>
      </x:c>
      <x:c r="F1753" s="4" t="str">
        <x:f>IFERROR(INDEX('Items'!$C$6:$C$1005,MATCH(D1753,'Items'!$A$6:$A$1005,0)),"MISSING ID")</x:f>
        <x:v>Not applicable</x:v>
      </x:c>
      <x:c r="G1753" s="4" t="str">
        <x:f>IFERROR(INDEX('Items'!$D$6:$D$1005,MATCH(D1753,'Items'!$A$6:$A$1005,0)),"MISSING ID")</x:f>
        <x:v>Salvage</x:v>
      </x:c>
      <x:c r="H1753" s="4" t="str">
        <x:f>IFERROR(INDEX('Items'!$X$6:$X$1005,MATCH(D1753,'Items'!$A$6:$A$1005,0)),"MISSING ID")</x:f>
        <x:v>Tool</x:v>
      </x:c>
      <x:c r="I1753" s="4"/>
      <x:c r="J1753" s="4" t="str">
        <x:v>Unspecified</x:v>
      </x:c>
      <x:c r="K1753" s="4" t="str">
        <x:f>IFERROR(INDEX('Crafting recipes'!$D$6:$D$1005,MATCH(B1753,'Crafting recipes'!$A$6:$A$1005,0)),"MISSING ID")</x:f>
        <x:v>Proposal</x:v>
      </x:c>
      <x:c r="L1753" s="4" t="str">
        <x:f>IFERROR(INDEX('Items'!$AD$6:$AD$1005,MATCH(D1753,'Items'!$A$6:$A$1005,0)),"MISSING ID")</x:f>
        <x:v>Proposal</x:v>
      </x:c>
      <x:c r="M1753" s="4" t="str">
        <x:f>IFERROR(INDEX('Crafting recipes'!$E$6:$E$1005,MATCH(B1753,'Crafting recipes'!$A$6:$A$1005,0)),"MISSING ID")</x:f>
        <x:v>Partial proposal</x:v>
      </x:c>
      <x:c r="N1753" s="4" t="str">
        <x:v>Partial audit candidate; quantity, fit and performance remain unresolved.</x:v>
      </x:c>
      <x:c r="O17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3" s="4" t="n">
        <x:f>IF(OR(C1753="Ingredient candidate",C1753="Consumed input",C1753="Contained input",C1753="Transform input"),IF(F1753="T0",0,IF(F1753="T1",1,IF(F1753="T2",2,IF(F1753="T3",3,IF(F1753="T4",4,-1))))),-1)</x:f>
        <x:v>-1</x:v>
      </x:c>
      <x:c r="Q1753" s="4" t="n">
        <x:f>IF(AND(OR(C1753="Ingredient candidate",C1753="Consumed input",C1753="Contained input",C1753="Transform input"),P1753=-1),1,0)</x:f>
        <x:v>0</x:v>
      </x:c>
    </x:row>
    <x:row r="1754" ht="64" customHeight="1">
      <x:c r="A1754" s="4" t="str">
        <x:v>design.audit.proposal_fire_rack.audit.in.1</x:v>
      </x:c>
      <x:c r="B1754" s="4" t="str">
        <x:v>design.audit.proposal_fire_rack</x:v>
      </x:c>
      <x:c r="C1754" s="4" t="str">
        <x:v>Ingredient candidate</x:v>
      </x:c>
      <x:c r="D1754" s="4" t="str">
        <x:v>author.metallurgy.steel_stock</x:v>
      </x:c>
      <x:c r="E1754" s="4" t="str">
        <x:f>IFERROR(INDEX('Items'!$B$6:$B$1005,MATCH(D1754,'Items'!$A$6:$A$1005,0)),"MISSING ID")</x:f>
        <x:v>Steel stock</x:v>
      </x:c>
      <x:c r="F1754" s="4" t="str">
        <x:f>IFERROR(INDEX('Items'!$C$6:$C$1005,MATCH(D1754,'Items'!$A$6:$A$1005,0)),"MISSING ID")</x:f>
        <x:v>T2</x:v>
      </x:c>
      <x:c r="G1754" s="4" t="str">
        <x:f>IFERROR(INDEX('Items'!$D$6:$D$1005,MATCH(D1754,'Items'!$A$6:$A$1005,0)),"MISSING ID")</x:f>
        <x:v>Manufactured stock</x:v>
      </x:c>
      <x:c r="H1754" s="4" t="str">
        <x:f>IFERROR(INDEX('Items'!$X$6:$X$1005,MATCH(D1754,'Items'!$A$6:$A$1005,0)),"MISSING ID")</x:f>
        <x:v>Processed material</x:v>
      </x:c>
      <x:c r="I1754" s="4"/>
      <x:c r="J1754" s="4" t="str">
        <x:v>Unspecified</x:v>
      </x:c>
      <x:c r="K1754" s="4" t="str">
        <x:f>IFERROR(INDEX('Crafting recipes'!$D$6:$D$1005,MATCH(B1754,'Crafting recipes'!$A$6:$A$1005,0)),"MISSING ID")</x:f>
        <x:v>Proposal</x:v>
      </x:c>
      <x:c r="L1754" s="4" t="str">
        <x:f>IFERROR(INDEX('Items'!$AD$6:$AD$1005,MATCH(D1754,'Items'!$A$6:$A$1005,0)),"MISSING ID")</x:f>
        <x:v>Author direction</x:v>
      </x:c>
      <x:c r="M1754" s="4" t="str">
        <x:f>IFERROR(INDEX('Crafting recipes'!$E$6:$E$1005,MATCH(B1754,'Crafting recipes'!$A$6:$A$1005,0)),"MISSING ID")</x:f>
        <x:v>Partial proposal</x:v>
      </x:c>
      <x:c r="N1754" s="4" t="str">
        <x:v>Partial audit candidate; quantity, fit and performance remain unresolved.</x:v>
      </x:c>
      <x:c r="O17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4" s="4" t="n">
        <x:f>IF(OR(C1754="Ingredient candidate",C1754="Consumed input",C1754="Contained input",C1754="Transform input"),IF(F1754="T0",0,IF(F1754="T1",1,IF(F1754="T2",2,IF(F1754="T3",3,IF(F1754="T4",4,-1))))),-1)</x:f>
        <x:v>2</x:v>
      </x:c>
      <x:c r="Q1754" s="4" t="n">
        <x:f>IF(AND(OR(C1754="Ingredient candidate",C1754="Consumed input",C1754="Contained input",C1754="Transform input"),P1754=-1),1,0)</x:f>
        <x:v>0</x:v>
      </x:c>
    </x:row>
    <x:row r="1755" ht="64" customHeight="1">
      <x:c r="A1755" s="4" t="str">
        <x:v>design.audit.proposal_fire_rack.audit.out</x:v>
      </x:c>
      <x:c r="B1755" s="4" t="str">
        <x:v>design.audit.proposal_fire_rack</x:v>
      </x:c>
      <x:c r="C1755" s="4" t="str">
        <x:v>Output</x:v>
      </x:c>
      <x:c r="D1755" s="4" t="str">
        <x:v>proposal.fire.rack</x:v>
      </x:c>
      <x:c r="E1755" s="4" t="str">
        <x:f>IFERROR(INDEX('Items'!$B$6:$B$1005,MATCH(D1755,'Items'!$A$6:$A$1005,0)),"MISSING ID")</x:f>
        <x:v>Cooking rack</x:v>
      </x:c>
      <x:c r="F1755" s="4" t="str">
        <x:f>IFERROR(INDEX('Items'!$C$6:$C$1005,MATCH(D1755,'Items'!$A$6:$A$1005,0)),"MISSING ID")</x:f>
        <x:v>Not applicable</x:v>
      </x:c>
      <x:c r="G1755" s="4" t="str">
        <x:f>IFERROR(INDEX('Items'!$D$6:$D$1005,MATCH(D1755,'Items'!$A$6:$A$1005,0)),"MISSING ID")</x:f>
        <x:v>Salvage</x:v>
      </x:c>
      <x:c r="H1755" s="4" t="str">
        <x:f>IFERROR(INDEX('Items'!$X$6:$X$1005,MATCH(D1755,'Items'!$A$6:$A$1005,0)),"MISSING ID")</x:f>
        <x:v>Tool</x:v>
      </x:c>
      <x:c r="I1755" s="4"/>
      <x:c r="J1755" s="4" t="str">
        <x:v>Unspecified</x:v>
      </x:c>
      <x:c r="K1755" s="4" t="str">
        <x:f>IFERROR(INDEX('Crafting recipes'!$D$6:$D$1005,MATCH(B1755,'Crafting recipes'!$A$6:$A$1005,0)),"MISSING ID")</x:f>
        <x:v>Proposal</x:v>
      </x:c>
      <x:c r="L1755" s="4" t="str">
        <x:f>IFERROR(INDEX('Items'!$AD$6:$AD$1005,MATCH(D1755,'Items'!$A$6:$A$1005,0)),"MISSING ID")</x:f>
        <x:v>Proposal</x:v>
      </x:c>
      <x:c r="M1755" s="4" t="str">
        <x:f>IFERROR(INDEX('Crafting recipes'!$E$6:$E$1005,MATCH(B1755,'Crafting recipes'!$A$6:$A$1005,0)),"MISSING ID")</x:f>
        <x:v>Partial proposal</x:v>
      </x:c>
      <x:c r="N1755" s="4" t="str">
        <x:v>Partial audit candidate; quantity, fit and performance remain unresolved.</x:v>
      </x:c>
      <x:c r="O17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5" s="4" t="n">
        <x:f>IF(OR(C1755="Ingredient candidate",C1755="Consumed input",C1755="Contained input",C1755="Transform input"),IF(F1755="T0",0,IF(F1755="T1",1,IF(F1755="T2",2,IF(F1755="T3",3,IF(F1755="T4",4,-1))))),-1)</x:f>
        <x:v>-1</x:v>
      </x:c>
      <x:c r="Q1755" s="4" t="n">
        <x:f>IF(AND(OR(C1755="Ingredient candidate",C1755="Consumed input",C1755="Contained input",C1755="Transform input"),P1755=-1),1,0)</x:f>
        <x:v>0</x:v>
      </x:c>
    </x:row>
    <x:row r="1756" ht="64" customHeight="1">
      <x:c r="A1756" s="4" t="str">
        <x:v>design.audit.proposal_fire_pot_stand.audit.in.1</x:v>
      </x:c>
      <x:c r="B1756" s="4" t="str">
        <x:v>design.audit.proposal_fire_pot_stand</x:v>
      </x:c>
      <x:c r="C1756" s="4" t="str">
        <x:v>Ingredient candidate</x:v>
      </x:c>
      <x:c r="D1756" s="4" t="str">
        <x:v>proposal.natural.iron_stock</x:v>
      </x:c>
      <x:c r="E1756" s="4" t="str">
        <x:f>IFERROR(INDEX('Items'!$B$6:$B$1005,MATCH(D1756,'Items'!$A$6:$A$1005,0)),"MISSING ID")</x:f>
        <x:v>Worked iron stock</x:v>
      </x:c>
      <x:c r="F1756" s="4" t="str">
        <x:f>IFERROR(INDEX('Items'!$C$6:$C$1005,MATCH(D1756,'Items'!$A$6:$A$1005,0)),"MISSING ID")</x:f>
        <x:v>T2</x:v>
      </x:c>
      <x:c r="G1756" s="4" t="str">
        <x:f>IFERROR(INDEX('Items'!$D$6:$D$1005,MATCH(D1756,'Items'!$A$6:$A$1005,0)),"MISSING ID")</x:f>
        <x:v>Manufactured stock</x:v>
      </x:c>
      <x:c r="H1756" s="4" t="str">
        <x:f>IFERROR(INDEX('Items'!$X$6:$X$1005,MATCH(D1756,'Items'!$A$6:$A$1005,0)),"MISSING ID")</x:f>
        <x:v>Processed material</x:v>
      </x:c>
      <x:c r="I1756" s="4"/>
      <x:c r="J1756" s="4" t="str">
        <x:v>Unspecified</x:v>
      </x:c>
      <x:c r="K1756" s="4" t="str">
        <x:f>IFERROR(INDEX('Crafting recipes'!$D$6:$D$1005,MATCH(B1756,'Crafting recipes'!$A$6:$A$1005,0)),"MISSING ID")</x:f>
        <x:v>Proposal</x:v>
      </x:c>
      <x:c r="L1756" s="4" t="str">
        <x:f>IFERROR(INDEX('Items'!$AD$6:$AD$1005,MATCH(D1756,'Items'!$A$6:$A$1005,0)),"MISSING ID")</x:f>
        <x:v>Proposal</x:v>
      </x:c>
      <x:c r="M1756" s="4" t="str">
        <x:f>IFERROR(INDEX('Crafting recipes'!$E$6:$E$1005,MATCH(B1756,'Crafting recipes'!$A$6:$A$1005,0)),"MISSING ID")</x:f>
        <x:v>Partial proposal</x:v>
      </x:c>
      <x:c r="N1756" s="4" t="str">
        <x:v>Partial audit candidate; quantity, fit and performance remain unresolved.</x:v>
      </x:c>
      <x:c r="O17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6" s="4" t="n">
        <x:f>IF(OR(C1756="Ingredient candidate",C1756="Consumed input",C1756="Contained input",C1756="Transform input"),IF(F1756="T0",0,IF(F1756="T1",1,IF(F1756="T2",2,IF(F1756="T3",3,IF(F1756="T4",4,-1))))),-1)</x:f>
        <x:v>2</x:v>
      </x:c>
      <x:c r="Q1756" s="4" t="n">
        <x:f>IF(AND(OR(C1756="Ingredient candidate",C1756="Consumed input",C1756="Contained input",C1756="Transform input"),P1756=-1),1,0)</x:f>
        <x:v>0</x:v>
      </x:c>
    </x:row>
    <x:row r="1757" ht="64" customHeight="1">
      <x:c r="A1757" s="4" t="str">
        <x:v>design.audit.proposal_fire_pot_stand.audit.out</x:v>
      </x:c>
      <x:c r="B1757" s="4" t="str">
        <x:v>design.audit.proposal_fire_pot_stand</x:v>
      </x:c>
      <x:c r="C1757" s="4" t="str">
        <x:v>Output</x:v>
      </x:c>
      <x:c r="D1757" s="4" t="str">
        <x:v>proposal.fire.pot_stand</x:v>
      </x:c>
      <x:c r="E1757" s="4" t="str">
        <x:f>IFERROR(INDEX('Items'!$B$6:$B$1005,MATCH(D1757,'Items'!$A$6:$A$1005,0)),"MISSING ID")</x:f>
        <x:v>Cooking pot stand</x:v>
      </x:c>
      <x:c r="F1757" s="4" t="str">
        <x:f>IFERROR(INDEX('Items'!$C$6:$C$1005,MATCH(D1757,'Items'!$A$6:$A$1005,0)),"MISSING ID")</x:f>
        <x:v>Not applicable</x:v>
      </x:c>
      <x:c r="G1757" s="4" t="str">
        <x:f>IFERROR(INDEX('Items'!$D$6:$D$1005,MATCH(D1757,'Items'!$A$6:$A$1005,0)),"MISSING ID")</x:f>
        <x:v>Salvage</x:v>
      </x:c>
      <x:c r="H1757" s="4" t="str">
        <x:f>IFERROR(INDEX('Items'!$X$6:$X$1005,MATCH(D1757,'Items'!$A$6:$A$1005,0)),"MISSING ID")</x:f>
        <x:v>Tool</x:v>
      </x:c>
      <x:c r="I1757" s="4"/>
      <x:c r="J1757" s="4" t="str">
        <x:v>Unspecified</x:v>
      </x:c>
      <x:c r="K1757" s="4" t="str">
        <x:f>IFERROR(INDEX('Crafting recipes'!$D$6:$D$1005,MATCH(B1757,'Crafting recipes'!$A$6:$A$1005,0)),"MISSING ID")</x:f>
        <x:v>Proposal</x:v>
      </x:c>
      <x:c r="L1757" s="4" t="str">
        <x:f>IFERROR(INDEX('Items'!$AD$6:$AD$1005,MATCH(D1757,'Items'!$A$6:$A$1005,0)),"MISSING ID")</x:f>
        <x:v>Proposal</x:v>
      </x:c>
      <x:c r="M1757" s="4" t="str">
        <x:f>IFERROR(INDEX('Crafting recipes'!$E$6:$E$1005,MATCH(B1757,'Crafting recipes'!$A$6:$A$1005,0)),"MISSING ID")</x:f>
        <x:v>Partial proposal</x:v>
      </x:c>
      <x:c r="N1757" s="4" t="str">
        <x:v>Partial audit candidate; quantity, fit and performance remain unresolved.</x:v>
      </x:c>
      <x:c r="O17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7" s="4" t="n">
        <x:f>IF(OR(C1757="Ingredient candidate",C1757="Consumed input",C1757="Contained input",C1757="Transform input"),IF(F1757="T0",0,IF(F1757="T1",1,IF(F1757="T2",2,IF(F1757="T3",3,IF(F1757="T4",4,-1))))),-1)</x:f>
        <x:v>-1</x:v>
      </x:c>
      <x:c r="Q1757" s="4" t="n">
        <x:f>IF(AND(OR(C1757="Ingredient candidate",C1757="Consumed input",C1757="Contained input",C1757="Transform input"),P1757=-1),1,0)</x:f>
        <x:v>0</x:v>
      </x:c>
    </x:row>
    <x:row r="1758" ht="64" customHeight="1">
      <x:c r="A1758" s="4" t="str">
        <x:v>design.audit.proposal_fire_tongs.audit.in.1</x:v>
      </x:c>
      <x:c r="B1758" s="4" t="str">
        <x:v>design.audit.proposal_fire_tongs</x:v>
      </x:c>
      <x:c r="C1758" s="4" t="str">
        <x:v>Ingredient candidate</x:v>
      </x:c>
      <x:c r="D1758" s="4" t="str">
        <x:v>author.metallurgy.steel_stock</x:v>
      </x:c>
      <x:c r="E1758" s="4" t="str">
        <x:f>IFERROR(INDEX('Items'!$B$6:$B$1005,MATCH(D1758,'Items'!$A$6:$A$1005,0)),"MISSING ID")</x:f>
        <x:v>Steel stock</x:v>
      </x:c>
      <x:c r="F1758" s="4" t="str">
        <x:f>IFERROR(INDEX('Items'!$C$6:$C$1005,MATCH(D1758,'Items'!$A$6:$A$1005,0)),"MISSING ID")</x:f>
        <x:v>T2</x:v>
      </x:c>
      <x:c r="G1758" s="4" t="str">
        <x:f>IFERROR(INDEX('Items'!$D$6:$D$1005,MATCH(D1758,'Items'!$A$6:$A$1005,0)),"MISSING ID")</x:f>
        <x:v>Manufactured stock</x:v>
      </x:c>
      <x:c r="H1758" s="4" t="str">
        <x:f>IFERROR(INDEX('Items'!$X$6:$X$1005,MATCH(D1758,'Items'!$A$6:$A$1005,0)),"MISSING ID")</x:f>
        <x:v>Processed material</x:v>
      </x:c>
      <x:c r="I1758" s="4"/>
      <x:c r="J1758" s="4" t="str">
        <x:v>Unspecified</x:v>
      </x:c>
      <x:c r="K1758" s="4" t="str">
        <x:f>IFERROR(INDEX('Crafting recipes'!$D$6:$D$1005,MATCH(B1758,'Crafting recipes'!$A$6:$A$1005,0)),"MISSING ID")</x:f>
        <x:v>Proposal</x:v>
      </x:c>
      <x:c r="L1758" s="4" t="str">
        <x:f>IFERROR(INDEX('Items'!$AD$6:$AD$1005,MATCH(D1758,'Items'!$A$6:$A$1005,0)),"MISSING ID")</x:f>
        <x:v>Author direction</x:v>
      </x:c>
      <x:c r="M1758" s="4" t="str">
        <x:f>IFERROR(INDEX('Crafting recipes'!$E$6:$E$1005,MATCH(B1758,'Crafting recipes'!$A$6:$A$1005,0)),"MISSING ID")</x:f>
        <x:v>Partial proposal</x:v>
      </x:c>
      <x:c r="N1758" s="4" t="str">
        <x:v>Partial audit candidate; quantity, fit and performance remain unresolved.</x:v>
      </x:c>
      <x:c r="O17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8" s="4" t="n">
        <x:f>IF(OR(C1758="Ingredient candidate",C1758="Consumed input",C1758="Contained input",C1758="Transform input"),IF(F1758="T0",0,IF(F1758="T1",1,IF(F1758="T2",2,IF(F1758="T3",3,IF(F1758="T4",4,-1))))),-1)</x:f>
        <x:v>2</x:v>
      </x:c>
      <x:c r="Q1758" s="4" t="n">
        <x:f>IF(AND(OR(C1758="Ingredient candidate",C1758="Consumed input",C1758="Contained input",C1758="Transform input"),P1758=-1),1,0)</x:f>
        <x:v>0</x:v>
      </x:c>
    </x:row>
    <x:row r="1759" ht="64" customHeight="1">
      <x:c r="A1759" s="4" t="str">
        <x:v>design.audit.proposal_fire_tongs.audit.in.2</x:v>
      </x:c>
      <x:c r="B1759" s="4" t="str">
        <x:v>design.audit.proposal_fire_tongs</x:v>
      </x:c>
      <x:c r="C1759" s="4" t="str">
        <x:v>Ingredient candidate</x:v>
      </x:c>
      <x:c r="D1759" s="4" t="str">
        <x:v>proposal.legger.joint_pin</x:v>
      </x:c>
      <x:c r="E1759" s="4" t="str">
        <x:f>IFERROR(INDEX('Items'!$B$6:$B$1005,MATCH(D1759,'Items'!$A$6:$A$1005,0)),"MISSING ID")</x:f>
        <x:v>Replaceable joint pin</x:v>
      </x:c>
      <x:c r="F1759" s="4" t="str">
        <x:f>IFERROR(INDEX('Items'!$C$6:$C$1005,MATCH(D1759,'Items'!$A$6:$A$1005,0)),"MISSING ID")</x:f>
        <x:v>T3</x:v>
      </x:c>
      <x:c r="G1759" s="4" t="str">
        <x:f>IFERROR(INDEX('Items'!$D$6:$D$1005,MATCH(D1759,'Items'!$A$6:$A$1005,0)),"MISSING ID")</x:f>
        <x:v>Crafting components</x:v>
      </x:c>
      <x:c r="H1759" s="4" t="str">
        <x:f>IFERROR(INDEX('Items'!$X$6:$X$1005,MATCH(D1759,'Items'!$A$6:$A$1005,0)),"MISSING ID")</x:f>
        <x:v>Crafting component</x:v>
      </x:c>
      <x:c r="I1759" s="4"/>
      <x:c r="J1759" s="4" t="str">
        <x:v>Unspecified</x:v>
      </x:c>
      <x:c r="K1759" s="4" t="str">
        <x:f>IFERROR(INDEX('Crafting recipes'!$D$6:$D$1005,MATCH(B1759,'Crafting recipes'!$A$6:$A$1005,0)),"MISSING ID")</x:f>
        <x:v>Proposal</x:v>
      </x:c>
      <x:c r="L1759" s="4" t="str">
        <x:f>IFERROR(INDEX('Items'!$AD$6:$AD$1005,MATCH(D1759,'Items'!$A$6:$A$1005,0)),"MISSING ID")</x:f>
        <x:v>Proposal</x:v>
      </x:c>
      <x:c r="M1759" s="4" t="str">
        <x:f>IFERROR(INDEX('Crafting recipes'!$E$6:$E$1005,MATCH(B1759,'Crafting recipes'!$A$6:$A$1005,0)),"MISSING ID")</x:f>
        <x:v>Partial proposal</x:v>
      </x:c>
      <x:c r="N1759" s="4" t="str">
        <x:v>Partial audit candidate; quantity, fit and performance remain unresolved.</x:v>
      </x:c>
      <x:c r="O17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9" s="4" t="n">
        <x:f>IF(OR(C1759="Ingredient candidate",C1759="Consumed input",C1759="Contained input",C1759="Transform input"),IF(F1759="T0",0,IF(F1759="T1",1,IF(F1759="T2",2,IF(F1759="T3",3,IF(F1759="T4",4,-1))))),-1)</x:f>
        <x:v>3</x:v>
      </x:c>
      <x:c r="Q1759" s="4" t="n">
        <x:f>IF(AND(OR(C1759="Ingredient candidate",C1759="Consumed input",C1759="Contained input",C1759="Transform input"),P1759=-1),1,0)</x:f>
        <x:v>0</x:v>
      </x:c>
    </x:row>
    <x:row r="1760" ht="64" customHeight="1">
      <x:c r="A1760" s="4" t="str">
        <x:v>design.audit.proposal_fire_tongs.audit.out</x:v>
      </x:c>
      <x:c r="B1760" s="4" t="str">
        <x:v>design.audit.proposal_fire_tongs</x:v>
      </x:c>
      <x:c r="C1760" s="4" t="str">
        <x:v>Output</x:v>
      </x:c>
      <x:c r="D1760" s="4" t="str">
        <x:v>proposal.fire.tongs</x:v>
      </x:c>
      <x:c r="E1760" s="4" t="str">
        <x:f>IFERROR(INDEX('Items'!$B$6:$B$1005,MATCH(D1760,'Items'!$A$6:$A$1005,0)),"MISSING ID")</x:f>
        <x:v>Cooking tongs</x:v>
      </x:c>
      <x:c r="F1760" s="4" t="str">
        <x:f>IFERROR(INDEX('Items'!$C$6:$C$1005,MATCH(D1760,'Items'!$A$6:$A$1005,0)),"MISSING ID")</x:f>
        <x:v>Not applicable</x:v>
      </x:c>
      <x:c r="G1760" s="4" t="str">
        <x:f>IFERROR(INDEX('Items'!$D$6:$D$1005,MATCH(D1760,'Items'!$A$6:$A$1005,0)),"MISSING ID")</x:f>
        <x:v>Salvage</x:v>
      </x:c>
      <x:c r="H1760" s="4" t="str">
        <x:f>IFERROR(INDEX('Items'!$X$6:$X$1005,MATCH(D1760,'Items'!$A$6:$A$1005,0)),"MISSING ID")</x:f>
        <x:v>Tool</x:v>
      </x:c>
      <x:c r="I1760" s="4"/>
      <x:c r="J1760" s="4" t="str">
        <x:v>Unspecified</x:v>
      </x:c>
      <x:c r="K1760" s="4" t="str">
        <x:f>IFERROR(INDEX('Crafting recipes'!$D$6:$D$1005,MATCH(B1760,'Crafting recipes'!$A$6:$A$1005,0)),"MISSING ID")</x:f>
        <x:v>Proposal</x:v>
      </x:c>
      <x:c r="L1760" s="4" t="str">
        <x:f>IFERROR(INDEX('Items'!$AD$6:$AD$1005,MATCH(D1760,'Items'!$A$6:$A$1005,0)),"MISSING ID")</x:f>
        <x:v>Proposal</x:v>
      </x:c>
      <x:c r="M1760" s="4" t="str">
        <x:f>IFERROR(INDEX('Crafting recipes'!$E$6:$E$1005,MATCH(B1760,'Crafting recipes'!$A$6:$A$1005,0)),"MISSING ID")</x:f>
        <x:v>Partial proposal</x:v>
      </x:c>
      <x:c r="N1760" s="4" t="str">
        <x:v>Partial audit candidate; quantity, fit and performance remain unresolved.</x:v>
      </x:c>
      <x:c r="O17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0" s="4" t="n">
        <x:f>IF(OR(C1760="Ingredient candidate",C1760="Consumed input",C1760="Contained input",C1760="Transform input"),IF(F1760="T0",0,IF(F1760="T1",1,IF(F1760="T2",2,IF(F1760="T3",3,IF(F1760="T4",4,-1))))),-1)</x:f>
        <x:v>-1</x:v>
      </x:c>
      <x:c r="Q1760" s="4" t="n">
        <x:f>IF(AND(OR(C1760="Ingredient candidate",C1760="Consumed input",C1760="Contained input",C1760="Transform input"),P1760=-1),1,0)</x:f>
        <x:v>0</x:v>
      </x:c>
    </x:row>
    <x:row r="1761" ht="64" customHeight="1">
      <x:c r="A1761" s="4"/>
      <x:c r="B1761" s="4"/>
      <x:c r="C1761" s="4"/>
      <x:c r="D1761" s="4"/>
      <x:c r="E1761" s="4"/>
      <x:c r="F1761" s="4"/>
      <x:c r="G1761" s="4"/>
      <x:c r="H1761" s="4"/>
      <x:c r="I1761" s="4"/>
      <x:c r="K1761" s="4"/>
      <x:c r="L1761" s="4"/>
      <x:c r="M1761" s="4"/>
      <x:c r="N1761" s="4"/>
      <x:c r="O1761" s="4"/>
      <x:c r="P1761" s="4"/>
      <x:c r="Q1761" s="4"/>
    </x:row>
    <x:row r="1762" ht="64" customHeight="1">
      <x:c r="A1762" s="4"/>
      <x:c r="B1762" s="4"/>
      <x:c r="C1762" s="4"/>
      <x:c r="D1762" s="4"/>
      <x:c r="E1762" s="4"/>
      <x:c r="F1762" s="4"/>
      <x:c r="G1762" s="4"/>
      <x:c r="H1762" s="4"/>
      <x:c r="I1762" s="4"/>
      <x:c r="K1762" s="4"/>
      <x:c r="L1762" s="4"/>
      <x:c r="M1762" s="4"/>
      <x:c r="N1762" s="4"/>
      <x:c r="O1762" s="4"/>
      <x:c r="P1762" s="4"/>
      <x:c r="Q1762" s="4"/>
    </x:row>
    <x:row r="1763" ht="64" customHeight="1">
      <x:c r="A1763" s="4"/>
      <x:c r="B1763" s="4"/>
      <x:c r="C1763" s="4"/>
      <x:c r="D1763" s="4"/>
      <x:c r="E1763" s="4"/>
      <x:c r="F1763" s="4"/>
      <x:c r="G1763" s="4"/>
      <x:c r="H1763" s="4"/>
      <x:c r="I1763" s="4"/>
      <x:c r="K1763" s="4"/>
      <x:c r="L1763" s="4"/>
      <x:c r="M1763" s="4"/>
      <x:c r="N1763" s="4"/>
      <x:c r="O1763" s="4"/>
      <x:c r="P1763" s="4"/>
      <x:c r="Q1763" s="4"/>
    </x:row>
    <x:row r="1764" ht="64" customHeight="1">
      <x:c r="A1764" s="4"/>
      <x:c r="B1764" s="4"/>
      <x:c r="C1764" s="4"/>
      <x:c r="D1764" s="4"/>
      <x:c r="E1764" s="4"/>
      <x:c r="F1764" s="4"/>
      <x:c r="G1764" s="4"/>
      <x:c r="H1764" s="4"/>
      <x:c r="I1764" s="4"/>
      <x:c r="K1764" s="4"/>
      <x:c r="L1764" s="4"/>
      <x:c r="M1764" s="4"/>
      <x:c r="N1764" s="4"/>
      <x:c r="O1764" s="4"/>
      <x:c r="P1764" s="4"/>
      <x:c r="Q1764" s="4"/>
    </x:row>
    <x:row r="1765" ht="64" customHeight="1">
      <x:c r="A1765" s="4"/>
      <x:c r="B1765" s="4"/>
      <x:c r="C1765" s="4"/>
      <x:c r="D1765" s="4"/>
      <x:c r="E1765" s="4"/>
      <x:c r="F1765" s="4"/>
      <x:c r="G1765" s="4"/>
      <x:c r="H1765" s="4"/>
      <x:c r="I1765" s="4"/>
      <x:c r="K1765" s="4"/>
      <x:c r="L1765" s="4"/>
      <x:c r="M1765" s="4"/>
      <x:c r="N1765" s="4"/>
      <x:c r="O1765" s="4"/>
      <x:c r="P1765" s="4"/>
      <x:c r="Q1765" s="4"/>
    </x:row>
    <x:row r="1766" ht="64" customHeight="1">
      <x:c r="A1766" s="4" t="str">
        <x:v>design.audit.proposal_fire_glow_holder.audit.in.1</x:v>
      </x:c>
      <x:c r="B1766" s="4" t="str">
        <x:v>design.audit.proposal_fire_glow_holder</x:v>
      </x:c>
      <x:c r="C1766" s="4" t="str">
        <x:v>Ingredient candidate</x:v>
      </x:c>
      <x:c r="D1766" s="4" t="str">
        <x:v>proposal.fire.glow_stone</x:v>
      </x:c>
      <x:c r="E1766" s="4" t="str">
        <x:f>IFERROR(INDEX('Items'!$B$6:$B$1005,MATCH(D1766,'Items'!$A$6:$A$1005,0)),"MISSING ID")</x:f>
        <x:v>Glowing stone</x:v>
      </x:c>
      <x:c r="F1766" s="4" t="str">
        <x:f>IFERROR(INDEX('Items'!$C$6:$C$1005,MATCH(D1766,'Items'!$A$6:$A$1005,0)),"MISSING ID")</x:f>
        <x:v>T0</x:v>
      </x:c>
      <x:c r="G1766" s="4" t="str">
        <x:f>IFERROR(INDEX('Items'!$D$6:$D$1005,MATCH(D1766,'Items'!$A$6:$A$1005,0)),"MISSING ID")</x:f>
        <x:v>Mineral resources</x:v>
      </x:c>
      <x:c r="H1766" s="4" t="str">
        <x:f>IFERROR(INDEX('Items'!$X$6:$X$1005,MATCH(D1766,'Items'!$A$6:$A$1005,0)),"MISSING ID")</x:f>
        <x:v>Raw material</x:v>
      </x:c>
      <x:c r="I1766" s="4"/>
      <x:c r="J1766" s="4" t="str">
        <x:v>Unspecified</x:v>
      </x:c>
      <x:c r="K1766" s="4" t="str">
        <x:f>IFERROR(INDEX('Crafting recipes'!$D$6:$D$1005,MATCH(B1766,'Crafting recipes'!$A$6:$A$1005,0)),"MISSING ID")</x:f>
        <x:v>Proposal</x:v>
      </x:c>
      <x:c r="L1766" s="4" t="str">
        <x:f>IFERROR(INDEX('Items'!$AD$6:$AD$1005,MATCH(D1766,'Items'!$A$6:$A$1005,0)),"MISSING ID")</x:f>
        <x:v>Author direction</x:v>
      </x:c>
      <x:c r="M1766" s="4" t="str">
        <x:f>IFERROR(INDEX('Crafting recipes'!$E$6:$E$1005,MATCH(B1766,'Crafting recipes'!$A$6:$A$1005,0)),"MISSING ID")</x:f>
        <x:v>Partial proposal</x:v>
      </x:c>
      <x:c r="N1766" s="4" t="str">
        <x:v>Partial audit candidate; quantity, fit and performance remain unresolved.</x:v>
      </x:c>
      <x:c r="O17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6" s="4" t="n">
        <x:f>IF(OR(C1766="Ingredient candidate",C1766="Consumed input",C1766="Contained input",C1766="Transform input"),IF(F1766="T0",0,IF(F1766="T1",1,IF(F1766="T2",2,IF(F1766="T3",3,IF(F1766="T4",4,-1))))),-1)</x:f>
        <x:v>0</x:v>
      </x:c>
      <x:c r="Q1766" s="4" t="n">
        <x:f>IF(AND(OR(C1766="Ingredient candidate",C1766="Consumed input",C1766="Contained input",C1766="Transform input"),P1766=-1),1,0)</x:f>
        <x:v>0</x:v>
      </x:c>
    </x:row>
    <x:row r="1767" ht="64" customHeight="1">
      <x:c r="A1767" s="4" t="str">
        <x:v>design.audit.proposal_fire_glow_holder.audit.in.2</x:v>
      </x:c>
      <x:c r="B1767" s="4" t="str">
        <x:v>design.audit.proposal_fire_glow_holder</x:v>
      </x:c>
      <x:c r="C1767" s="4" t="str">
        <x:v>Ingredient candidate</x:v>
      </x:c>
      <x:c r="D1767" s="4" t="str">
        <x:v>proposal.audit.fitted_machine_casing</x:v>
      </x:c>
      <x:c r="E1767" s="4" t="str">
        <x:f>IFERROR(INDEX('Items'!$B$6:$B$1005,MATCH(D1767,'Items'!$A$6:$A$1005,0)),"MISSING ID")</x:f>
        <x:v>Fitted machine casing</x:v>
      </x:c>
      <x:c r="F1767" s="4" t="str">
        <x:f>IFERROR(INDEX('Items'!$C$6:$C$1005,MATCH(D1767,'Items'!$A$6:$A$1005,0)),"MISSING ID")</x:f>
        <x:v>T3</x:v>
      </x:c>
      <x:c r="G1767" s="4" t="str">
        <x:f>IFERROR(INDEX('Items'!$D$6:$D$1005,MATCH(D1767,'Items'!$A$6:$A$1005,0)),"MISSING ID")</x:f>
        <x:v>Crafting components</x:v>
      </x:c>
      <x:c r="H1767" s="4" t="str">
        <x:f>IFERROR(INDEX('Items'!$X$6:$X$1005,MATCH(D1767,'Items'!$A$6:$A$1005,0)),"MISSING ID")</x:f>
        <x:v>Crafting component</x:v>
      </x:c>
      <x:c r="I1767" s="4"/>
      <x:c r="J1767" s="4" t="str">
        <x:v>Unspecified</x:v>
      </x:c>
      <x:c r="K1767" s="4" t="str">
        <x:f>IFERROR(INDEX('Crafting recipes'!$D$6:$D$1005,MATCH(B1767,'Crafting recipes'!$A$6:$A$1005,0)),"MISSING ID")</x:f>
        <x:v>Proposal</x:v>
      </x:c>
      <x:c r="L1767" s="4" t="str">
        <x:f>IFERROR(INDEX('Items'!$AD$6:$AD$1005,MATCH(D1767,'Items'!$A$6:$A$1005,0)),"MISSING ID")</x:f>
        <x:v>Proposal</x:v>
      </x:c>
      <x:c r="M1767" s="4" t="str">
        <x:f>IFERROR(INDEX('Crafting recipes'!$E$6:$E$1005,MATCH(B1767,'Crafting recipes'!$A$6:$A$1005,0)),"MISSING ID")</x:f>
        <x:v>Partial proposal</x:v>
      </x:c>
      <x:c r="N1767" s="4" t="str">
        <x:v>Partial audit candidate; quantity, fit and performance remain unresolved.</x:v>
      </x:c>
      <x:c r="O17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7" s="4" t="n">
        <x:f>IF(OR(C1767="Ingredient candidate",C1767="Consumed input",C1767="Contained input",C1767="Transform input"),IF(F1767="T0",0,IF(F1767="T1",1,IF(F1767="T2",2,IF(F1767="T3",3,IF(F1767="T4",4,-1))))),-1)</x:f>
        <x:v>3</x:v>
      </x:c>
      <x:c r="Q1767" s="4" t="n">
        <x:f>IF(AND(OR(C1767="Ingredient candidate",C1767="Consumed input",C1767="Contained input",C1767="Transform input"),P1767=-1),1,0)</x:f>
        <x:v>0</x:v>
      </x:c>
    </x:row>
    <x:row r="1768" ht="64" customHeight="1">
      <x:c r="A1768" s="4" t="str">
        <x:v>design.audit.proposal_fire_glow_holder.audit.in.3</x:v>
      </x:c>
      <x:c r="B1768" s="4" t="str">
        <x:v>design.audit.proposal_fire_glow_holder</x:v>
      </x:c>
      <x:c r="C1768" s="4" t="str">
        <x:v>Ingredient candidate</x:v>
      </x:c>
      <x:c r="D1768" s="4" t="str">
        <x:v>proposal.audit.small_metal_hinge_pair</x:v>
      </x:c>
      <x:c r="E1768" s="4" t="str">
        <x:f>IFERROR(INDEX('Items'!$B$6:$B$1005,MATCH(D1768,'Items'!$A$6:$A$1005,0)),"MISSING ID")</x:f>
        <x:v>Small metal hinge pair</x:v>
      </x:c>
      <x:c r="F1768" s="4" t="str">
        <x:f>IFERROR(INDEX('Items'!$C$6:$C$1005,MATCH(D1768,'Items'!$A$6:$A$1005,0)),"MISSING ID")</x:f>
        <x:v>T3</x:v>
      </x:c>
      <x:c r="G1768" s="4" t="str">
        <x:f>IFERROR(INDEX('Items'!$D$6:$D$1005,MATCH(D1768,'Items'!$A$6:$A$1005,0)),"MISSING ID")</x:f>
        <x:v>Crafting components</x:v>
      </x:c>
      <x:c r="H1768" s="4" t="str">
        <x:f>IFERROR(INDEX('Items'!$X$6:$X$1005,MATCH(D1768,'Items'!$A$6:$A$1005,0)),"MISSING ID")</x:f>
        <x:v>Crafting component</x:v>
      </x:c>
      <x:c r="I1768" s="4"/>
      <x:c r="J1768" s="4" t="str">
        <x:v>Unspecified</x:v>
      </x:c>
      <x:c r="K1768" s="4" t="str">
        <x:f>IFERROR(INDEX('Crafting recipes'!$D$6:$D$1005,MATCH(B1768,'Crafting recipes'!$A$6:$A$1005,0)),"MISSING ID")</x:f>
        <x:v>Proposal</x:v>
      </x:c>
      <x:c r="L1768" s="4" t="str">
        <x:f>IFERROR(INDEX('Items'!$AD$6:$AD$1005,MATCH(D1768,'Items'!$A$6:$A$1005,0)),"MISSING ID")</x:f>
        <x:v>Proposal</x:v>
      </x:c>
      <x:c r="M1768" s="4" t="str">
        <x:f>IFERROR(INDEX('Crafting recipes'!$E$6:$E$1005,MATCH(B1768,'Crafting recipes'!$A$6:$A$1005,0)),"MISSING ID")</x:f>
        <x:v>Partial proposal</x:v>
      </x:c>
      <x:c r="N1768" s="4" t="str">
        <x:v>Partial audit candidate; quantity, fit and performance remain unresolved.</x:v>
      </x:c>
      <x:c r="O17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8" s="4" t="n">
        <x:f>IF(OR(C1768="Ingredient candidate",C1768="Consumed input",C1768="Contained input",C1768="Transform input"),IF(F1768="T0",0,IF(F1768="T1",1,IF(F1768="T2",2,IF(F1768="T3",3,IF(F1768="T4",4,-1))))),-1)</x:f>
        <x:v>3</x:v>
      </x:c>
      <x:c r="Q1768" s="4" t="n">
        <x:f>IF(AND(OR(C1768="Ingredient candidate",C1768="Consumed input",C1768="Contained input",C1768="Transform input"),P1768=-1),1,0)</x:f>
        <x:v>0</x:v>
      </x:c>
    </x:row>
    <x:row r="1769" ht="64" customHeight="1">
      <x:c r="A1769" s="4" t="str">
        <x:v>design.audit.proposal_fire_glow_holder.audit.out</x:v>
      </x:c>
      <x:c r="B1769" s="4" t="str">
        <x:v>design.audit.proposal_fire_glow_holder</x:v>
      </x:c>
      <x:c r="C1769" s="4" t="str">
        <x:v>Output</x:v>
      </x:c>
      <x:c r="D1769" s="4" t="str">
        <x:v>proposal.fire.glow_holder</x:v>
      </x:c>
      <x:c r="E1769" s="4" t="str">
        <x:f>IFERROR(INDEX('Items'!$B$6:$B$1005,MATCH(D1769,'Items'!$A$6:$A$1005,0)),"MISSING ID")</x:f>
        <x:v>Shuttered glow-stone holder</x:v>
      </x:c>
      <x:c r="F1769" s="4" t="str">
        <x:f>IFERROR(INDEX('Items'!$C$6:$C$1005,MATCH(D1769,'Items'!$A$6:$A$1005,0)),"MISSING ID")</x:f>
        <x:v>Not applicable</x:v>
      </x:c>
      <x:c r="G1769" s="4" t="str">
        <x:f>IFERROR(INDEX('Items'!$D$6:$D$1005,MATCH(D1769,'Items'!$A$6:$A$1005,0)),"MISSING ID")</x:f>
        <x:v>Salvage</x:v>
      </x:c>
      <x:c r="H1769" s="4" t="str">
        <x:f>IFERROR(INDEX('Items'!$X$6:$X$1005,MATCH(D1769,'Items'!$A$6:$A$1005,0)),"MISSING ID")</x:f>
        <x:v>Tool</x:v>
      </x:c>
      <x:c r="I1769" s="4"/>
      <x:c r="J1769" s="4" t="str">
        <x:v>Unspecified</x:v>
      </x:c>
      <x:c r="K1769" s="4" t="str">
        <x:f>IFERROR(INDEX('Crafting recipes'!$D$6:$D$1005,MATCH(B1769,'Crafting recipes'!$A$6:$A$1005,0)),"MISSING ID")</x:f>
        <x:v>Proposal</x:v>
      </x:c>
      <x:c r="L1769" s="4" t="str">
        <x:f>IFERROR(INDEX('Items'!$AD$6:$AD$1005,MATCH(D1769,'Items'!$A$6:$A$1005,0)),"MISSING ID")</x:f>
        <x:v>Proposal</x:v>
      </x:c>
      <x:c r="M1769" s="4" t="str">
        <x:f>IFERROR(INDEX('Crafting recipes'!$E$6:$E$1005,MATCH(B1769,'Crafting recipes'!$A$6:$A$1005,0)),"MISSING ID")</x:f>
        <x:v>Partial proposal</x:v>
      </x:c>
      <x:c r="N1769" s="4" t="str">
        <x:v>Partial audit candidate; quantity, fit and performance remain unresolved.</x:v>
      </x:c>
      <x:c r="O17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9" s="4" t="n">
        <x:f>IF(OR(C1769="Ingredient candidate",C1769="Consumed input",C1769="Contained input",C1769="Transform input"),IF(F1769="T0",0,IF(F1769="T1",1,IF(F1769="T2",2,IF(F1769="T3",3,IF(F1769="T4",4,-1))))),-1)</x:f>
        <x:v>-1</x:v>
      </x:c>
      <x:c r="Q1769" s="4" t="n">
        <x:f>IF(AND(OR(C1769="Ingredient candidate",C1769="Consumed input",C1769="Contained input",C1769="Transform input"),P1769=-1),1,0)</x:f>
        <x:v>0</x:v>
      </x:c>
    </x:row>
    <x:row r="1770" ht="64" customHeight="1">
      <x:c r="A1770" s="4" t="str">
        <x:v>design.audit.proposal_wind_hand_sail.audit.in.1</x:v>
      </x:c>
      <x:c r="B1770" s="4" t="str">
        <x:v>design.audit.proposal_wind_hand_sail</x:v>
      </x:c>
      <x:c r="C1770" s="4" t="str">
        <x:v>Ingredient candidate</x:v>
      </x:c>
      <x:c r="D1770" s="4" t="str">
        <x:v>proposal.wind.folding_frame</x:v>
      </x:c>
      <x:c r="E1770" s="4" t="str">
        <x:f>IFERROR(INDEX('Items'!$B$6:$B$1005,MATCH(D1770,'Items'!$A$6:$A$1005,0)),"MISSING ID")</x:f>
        <x:v>Collapsible sail frame</x:v>
      </x:c>
      <x:c r="F1770" s="4" t="str">
        <x:f>IFERROR(INDEX('Items'!$C$6:$C$1005,MATCH(D1770,'Items'!$A$6:$A$1005,0)),"MISSING ID")</x:f>
        <x:v>T4</x:v>
      </x:c>
      <x:c r="G1770" s="4" t="str">
        <x:f>IFERROR(INDEX('Items'!$D$6:$D$1005,MATCH(D1770,'Items'!$A$6:$A$1005,0)),"MISSING ID")</x:f>
        <x:v>Salvage</x:v>
      </x:c>
      <x:c r="H1770" s="4" t="str">
        <x:f>IFERROR(INDEX('Items'!$X$6:$X$1005,MATCH(D1770,'Items'!$A$6:$A$1005,0)),"MISSING ID")</x:f>
        <x:v>Crafting component</x:v>
      </x:c>
      <x:c r="I1770" s="4"/>
      <x:c r="J1770" s="4" t="str">
        <x:v>Unspecified</x:v>
      </x:c>
      <x:c r="K1770" s="4" t="str">
        <x:f>IFERROR(INDEX('Crafting recipes'!$D$6:$D$1005,MATCH(B1770,'Crafting recipes'!$A$6:$A$1005,0)),"MISSING ID")</x:f>
        <x:v>Proposal</x:v>
      </x:c>
      <x:c r="L1770" s="4" t="str">
        <x:f>IFERROR(INDEX('Items'!$AD$6:$AD$1005,MATCH(D1770,'Items'!$A$6:$A$1005,0)),"MISSING ID")</x:f>
        <x:v>Proposal</x:v>
      </x:c>
      <x:c r="M1770" s="4" t="str">
        <x:f>IFERROR(INDEX('Crafting recipes'!$E$6:$E$1005,MATCH(B1770,'Crafting recipes'!$A$6:$A$1005,0)),"MISSING ID")</x:f>
        <x:v>Partial proposal</x:v>
      </x:c>
      <x:c r="N1770" s="4" t="str">
        <x:v>Partial audit candidate; quantity, fit and performance remain unresolved.</x:v>
      </x:c>
      <x:c r="O17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0" s="4" t="n">
        <x:f>IF(OR(C1770="Ingredient candidate",C1770="Consumed input",C1770="Contained input",C1770="Transform input"),IF(F1770="T0",0,IF(F1770="T1",1,IF(F1770="T2",2,IF(F1770="T3",3,IF(F1770="T4",4,-1))))),-1)</x:f>
        <x:v>4</x:v>
      </x:c>
      <x:c r="Q1770" s="4" t="n">
        <x:f>IF(AND(OR(C1770="Ingredient candidate",C1770="Consumed input",C1770="Contained input",C1770="Transform input"),P1770=-1),1,0)</x:f>
        <x:v>0</x:v>
      </x:c>
    </x:row>
    <x:row r="1771" ht="64" customHeight="1">
      <x:c r="A1771" s="4" t="str">
        <x:v>design.audit.proposal_wind_hand_sail.audit.in.2</x:v>
      </x:c>
      <x:c r="B1771" s="4" t="str">
        <x:v>design.audit.proposal_wind_hand_sail</x:v>
      </x:c>
      <x:c r="C1771" s="4" t="str">
        <x:v>Ingredient candidate</x:v>
      </x:c>
      <x:c r="D1771" s="4" t="str">
        <x:v>proposal.t4.joined_wing_panels</x:v>
      </x:c>
      <x:c r="E1771" s="4" t="str">
        <x:f>IFERROR(INDEX('Items'!$B$6:$B$1005,MATCH(D1771,'Items'!$A$6:$A$1005,0)),"MISSING ID")</x:f>
        <x:v>Joined folding wing-panel assembly</x:v>
      </x:c>
      <x:c r="F1771" s="4" t="str">
        <x:f>IFERROR(INDEX('Items'!$C$6:$C$1005,MATCH(D1771,'Items'!$A$6:$A$1005,0)),"MISSING ID")</x:f>
        <x:v>T4</x:v>
      </x:c>
      <x:c r="G1771" s="4" t="str">
        <x:f>IFERROR(INDEX('Items'!$D$6:$D$1005,MATCH(D1771,'Items'!$A$6:$A$1005,0)),"MISSING ID")</x:f>
        <x:v>Crafting components</x:v>
      </x:c>
      <x:c r="H1771" s="4" t="str">
        <x:f>IFERROR(INDEX('Items'!$X$6:$X$1005,MATCH(D1771,'Items'!$A$6:$A$1005,0)),"MISSING ID")</x:f>
        <x:v>Crafting component</x:v>
      </x:c>
      <x:c r="I1771" s="4"/>
      <x:c r="J1771" s="4" t="str">
        <x:v>Unspecified</x:v>
      </x:c>
      <x:c r="K1771" s="4" t="str">
        <x:f>IFERROR(INDEX('Crafting recipes'!$D$6:$D$1005,MATCH(B1771,'Crafting recipes'!$A$6:$A$1005,0)),"MISSING ID")</x:f>
        <x:v>Proposal</x:v>
      </x:c>
      <x:c r="L1771" s="4" t="str">
        <x:f>IFERROR(INDEX('Items'!$AD$6:$AD$1005,MATCH(D1771,'Items'!$A$6:$A$1005,0)),"MISSING ID")</x:f>
        <x:v>Proposal</x:v>
      </x:c>
      <x:c r="M1771" s="4" t="str">
        <x:f>IFERROR(INDEX('Crafting recipes'!$E$6:$E$1005,MATCH(B1771,'Crafting recipes'!$A$6:$A$1005,0)),"MISSING ID")</x:f>
        <x:v>Partial proposal</x:v>
      </x:c>
      <x:c r="N1771" s="4" t="str">
        <x:v>Partial audit candidate; quantity, fit and performance remain unresolved.</x:v>
      </x:c>
      <x:c r="O17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1" s="4" t="n">
        <x:f>IF(OR(C1771="Ingredient candidate",C1771="Consumed input",C1771="Contained input",C1771="Transform input"),IF(F1771="T0",0,IF(F1771="T1",1,IF(F1771="T2",2,IF(F1771="T3",3,IF(F1771="T4",4,-1))))),-1)</x:f>
        <x:v>4</x:v>
      </x:c>
      <x:c r="Q1771" s="4" t="n">
        <x:f>IF(AND(OR(C1771="Ingredient candidate",C1771="Consumed input",C1771="Contained input",C1771="Transform input"),P1771=-1),1,0)</x:f>
        <x:v>0</x:v>
      </x:c>
    </x:row>
    <x:row r="1772" ht="64" customHeight="1">
      <x:c r="A1772" s="4" t="str">
        <x:v>design.audit.proposal_wind_hand_sail.audit.in.3</x:v>
      </x:c>
      <x:c r="B1772" s="4" t="str">
        <x:v>design.audit.proposal_wind_hand_sail</x:v>
      </x:c>
      <x:c r="C1772" s="4" t="str">
        <x:v>Ingredient candidate</x:v>
      </x:c>
      <x:c r="D1772" s="4" t="str">
        <x:v>proposal.wind.sail_grip</x:v>
      </x:c>
      <x:c r="E1772" s="4" t="str">
        <x:f>IFERROR(INDEX('Items'!$B$6:$B$1005,MATCH(D1772,'Items'!$A$6:$A$1005,0)),"MISSING ID")</x:f>
        <x:v>Hand-sail grip assembly</x:v>
      </x:c>
      <x:c r="F1772" s="4" t="str">
        <x:f>IFERROR(INDEX('Items'!$C$6:$C$1005,MATCH(D1772,'Items'!$A$6:$A$1005,0)),"MISSING ID")</x:f>
        <x:v>T3</x:v>
      </x:c>
      <x:c r="G1772" s="4" t="str">
        <x:f>IFERROR(INDEX('Items'!$D$6:$D$1005,MATCH(D1772,'Items'!$A$6:$A$1005,0)),"MISSING ID")</x:f>
        <x:v>Salvage</x:v>
      </x:c>
      <x:c r="H1772" s="4" t="str">
        <x:f>IFERROR(INDEX('Items'!$X$6:$X$1005,MATCH(D1772,'Items'!$A$6:$A$1005,0)),"MISSING ID")</x:f>
        <x:v>Crafting component</x:v>
      </x:c>
      <x:c r="I1772" s="4"/>
      <x:c r="J1772" s="4" t="str">
        <x:v>Unspecified</x:v>
      </x:c>
      <x:c r="K1772" s="4" t="str">
        <x:f>IFERROR(INDEX('Crafting recipes'!$D$6:$D$1005,MATCH(B1772,'Crafting recipes'!$A$6:$A$1005,0)),"MISSING ID")</x:f>
        <x:v>Proposal</x:v>
      </x:c>
      <x:c r="L1772" s="4" t="str">
        <x:f>IFERROR(INDEX('Items'!$AD$6:$AD$1005,MATCH(D1772,'Items'!$A$6:$A$1005,0)),"MISSING ID")</x:f>
        <x:v>Proposal</x:v>
      </x:c>
      <x:c r="M1772" s="4" t="str">
        <x:f>IFERROR(INDEX('Crafting recipes'!$E$6:$E$1005,MATCH(B1772,'Crafting recipes'!$A$6:$A$1005,0)),"MISSING ID")</x:f>
        <x:v>Partial proposal</x:v>
      </x:c>
      <x:c r="N1772" s="4" t="str">
        <x:v>Partial audit candidate; quantity, fit and performance remain unresolved.</x:v>
      </x:c>
      <x:c r="O17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2" s="4" t="n">
        <x:f>IF(OR(C1772="Ingredient candidate",C1772="Consumed input",C1772="Contained input",C1772="Transform input"),IF(F1772="T0",0,IF(F1772="T1",1,IF(F1772="T2",2,IF(F1772="T3",3,IF(F1772="T4",4,-1))))),-1)</x:f>
        <x:v>3</x:v>
      </x:c>
      <x:c r="Q1772" s="4" t="n">
        <x:f>IF(AND(OR(C1772="Ingredient candidate",C1772="Consumed input",C1772="Contained input",C1772="Transform input"),P1772=-1),1,0)</x:f>
        <x:v>0</x:v>
      </x:c>
    </x:row>
    <x:row r="1773" ht="64" customHeight="1">
      <x:c r="A1773" s="4" t="str">
        <x:v>design.audit.proposal_wind_hand_sail.audit.out</x:v>
      </x:c>
      <x:c r="B1773" s="4" t="str">
        <x:v>design.audit.proposal_wind_hand_sail</x:v>
      </x:c>
      <x:c r="C1773" s="4" t="str">
        <x:v>Output</x:v>
      </x:c>
      <x:c r="D1773" s="4" t="str">
        <x:v>proposal.wind.hand_sail</x:v>
      </x:c>
      <x:c r="E1773" s="4" t="str">
        <x:f>IFERROR(INDEX('Items'!$B$6:$B$1005,MATCH(D1773,'Items'!$A$6:$A$1005,0)),"MISSING ID")</x:f>
        <x:v>Collapsible handheld wind sail</x:v>
      </x:c>
      <x:c r="F1773" s="4" t="str">
        <x:f>IFERROR(INDEX('Items'!$C$6:$C$1005,MATCH(D1773,'Items'!$A$6:$A$1005,0)),"MISSING ID")</x:f>
        <x:v>Not applicable</x:v>
      </x:c>
      <x:c r="G1773" s="4" t="str">
        <x:f>IFERROR(INDEX('Items'!$D$6:$D$1005,MATCH(D1773,'Items'!$A$6:$A$1005,0)),"MISSING ID")</x:f>
        <x:v>Tools</x:v>
      </x:c>
      <x:c r="H1773" s="4" t="str">
        <x:f>IFERROR(INDEX('Items'!$X$6:$X$1005,MATCH(D1773,'Items'!$A$6:$A$1005,0)),"MISSING ID")</x:f>
        <x:v>Traversal device</x:v>
      </x:c>
      <x:c r="I1773" s="4"/>
      <x:c r="J1773" s="4" t="str">
        <x:v>Unspecified</x:v>
      </x:c>
      <x:c r="K1773" s="4" t="str">
        <x:f>IFERROR(INDEX('Crafting recipes'!$D$6:$D$1005,MATCH(B1773,'Crafting recipes'!$A$6:$A$1005,0)),"MISSING ID")</x:f>
        <x:v>Proposal</x:v>
      </x:c>
      <x:c r="L1773" s="4" t="str">
        <x:f>IFERROR(INDEX('Items'!$AD$6:$AD$1005,MATCH(D1773,'Items'!$A$6:$A$1005,0)),"MISSING ID")</x:f>
        <x:v>Author direction</x:v>
      </x:c>
      <x:c r="M1773" s="4" t="str">
        <x:f>IFERROR(INDEX('Crafting recipes'!$E$6:$E$1005,MATCH(B1773,'Crafting recipes'!$A$6:$A$1005,0)),"MISSING ID")</x:f>
        <x:v>Partial proposal</x:v>
      </x:c>
      <x:c r="N1773" s="4" t="str">
        <x:v>Partial audit candidate; quantity, fit and performance remain unresolved.</x:v>
      </x:c>
      <x:c r="O17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3" s="4" t="n">
        <x:f>IF(OR(C1773="Ingredient candidate",C1773="Consumed input",C1773="Contained input",C1773="Transform input"),IF(F1773="T0",0,IF(F1773="T1",1,IF(F1773="T2",2,IF(F1773="T3",3,IF(F1773="T4",4,-1))))),-1)</x:f>
        <x:v>-1</x:v>
      </x:c>
      <x:c r="Q1773" s="4" t="n">
        <x:f>IF(AND(OR(C1773="Ingredient candidate",C1773="Consumed input",C1773="Contained input",C1773="Transform input"),P1773=-1),1,0)</x:f>
        <x:v>0</x:v>
      </x:c>
    </x:row>
    <x:row r="1774" ht="64" customHeight="1">
      <x:c r="A1774" s="4" t="str">
        <x:v>design.audit.proposal_wind_dirtboard.audit.in.1</x:v>
      </x:c>
      <x:c r="B1774" s="4" t="str">
        <x:v>design.audit.proposal_wind_dirtboard</x:v>
      </x:c>
      <x:c r="C1774" s="4" t="str">
        <x:v>Ingredient candidate</x:v>
      </x:c>
      <x:c r="D1774" s="4" t="str">
        <x:v>proposal.wind.wheel</x:v>
      </x:c>
      <x:c r="E1774" s="4" t="str">
        <x:f>IFERROR(INDEX('Items'!$B$6:$B$1005,MATCH(D1774,'Items'!$A$6:$A$1005,0)),"MISSING ID")</x:f>
        <x:v>Dirtboard wheel assembly</x:v>
      </x:c>
      <x:c r="F1774" s="4" t="str">
        <x:f>IFERROR(INDEX('Items'!$C$6:$C$1005,MATCH(D1774,'Items'!$A$6:$A$1005,0)),"MISSING ID")</x:f>
        <x:v>T4</x:v>
      </x:c>
      <x:c r="G1774" s="4" t="str">
        <x:f>IFERROR(INDEX('Items'!$D$6:$D$1005,MATCH(D1774,'Items'!$A$6:$A$1005,0)),"MISSING ID")</x:f>
        <x:v>Salvage</x:v>
      </x:c>
      <x:c r="H1774" s="4" t="str">
        <x:f>IFERROR(INDEX('Items'!$X$6:$X$1005,MATCH(D1774,'Items'!$A$6:$A$1005,0)),"MISSING ID")</x:f>
        <x:v>Crafting component</x:v>
      </x:c>
      <x:c r="I1774" s="4"/>
      <x:c r="J1774" s="4" t="str">
        <x:v>Unspecified</x:v>
      </x:c>
      <x:c r="K1774" s="4" t="str">
        <x:f>IFERROR(INDEX('Crafting recipes'!$D$6:$D$1005,MATCH(B1774,'Crafting recipes'!$A$6:$A$1005,0)),"MISSING ID")</x:f>
        <x:v>Proposal</x:v>
      </x:c>
      <x:c r="L1774" s="4" t="str">
        <x:f>IFERROR(INDEX('Items'!$AD$6:$AD$1005,MATCH(D1774,'Items'!$A$6:$A$1005,0)),"MISSING ID")</x:f>
        <x:v>Proposal</x:v>
      </x:c>
      <x:c r="M1774" s="4" t="str">
        <x:f>IFERROR(INDEX('Crafting recipes'!$E$6:$E$1005,MATCH(B1774,'Crafting recipes'!$A$6:$A$1005,0)),"MISSING ID")</x:f>
        <x:v>Partial proposal</x:v>
      </x:c>
      <x:c r="N1774" s="4" t="str">
        <x:v>Partial audit candidate; quantity, fit and performance remain unresolved.</x:v>
      </x:c>
      <x:c r="O17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4" s="4" t="n">
        <x:f>IF(OR(C1774="Ingredient candidate",C1774="Consumed input",C1774="Contained input",C1774="Transform input"),IF(F1774="T0",0,IF(F1774="T1",1,IF(F1774="T2",2,IF(F1774="T3",3,IF(F1774="T4",4,-1))))),-1)</x:f>
        <x:v>4</x:v>
      </x:c>
      <x:c r="Q1774" s="4" t="n">
        <x:f>IF(AND(OR(C1774="Ingredient candidate",C1774="Consumed input",C1774="Contained input",C1774="Transform input"),P1774=-1),1,0)</x:f>
        <x:v>0</x:v>
      </x:c>
    </x:row>
    <x:row r="1775" ht="64" customHeight="1">
      <x:c r="A1775" s="4" t="str">
        <x:v>design.audit.proposal_wind_dirtboard.audit.in.2</x:v>
      </x:c>
      <x:c r="B1775" s="4" t="str">
        <x:v>design.audit.proposal_wind_dirtboard</x:v>
      </x:c>
      <x:c r="C1775" s="4" t="str">
        <x:v>Ingredient candidate</x:v>
      </x:c>
      <x:c r="D1775" s="4" t="str">
        <x:v>proposal.wind.truck</x:v>
      </x:c>
      <x:c r="E1775" s="4" t="str">
        <x:f>IFERROR(INDEX('Items'!$B$6:$B$1005,MATCH(D1775,'Items'!$A$6:$A$1005,0)),"MISSING ID")</x:f>
        <x:v>Dirtboard axle / steering assembly</x:v>
      </x:c>
      <x:c r="F1775" s="4" t="str">
        <x:f>IFERROR(INDEX('Items'!$C$6:$C$1005,MATCH(D1775,'Items'!$A$6:$A$1005,0)),"MISSING ID")</x:f>
        <x:v>T4</x:v>
      </x:c>
      <x:c r="G1775" s="4" t="str">
        <x:f>IFERROR(INDEX('Items'!$D$6:$D$1005,MATCH(D1775,'Items'!$A$6:$A$1005,0)),"MISSING ID")</x:f>
        <x:v>Salvage</x:v>
      </x:c>
      <x:c r="H1775" s="4" t="str">
        <x:f>IFERROR(INDEX('Items'!$X$6:$X$1005,MATCH(D1775,'Items'!$A$6:$A$1005,0)),"MISSING ID")</x:f>
        <x:v>Crafting component</x:v>
      </x:c>
      <x:c r="I1775" s="4"/>
      <x:c r="J1775" s="4" t="str">
        <x:v>Unspecified</x:v>
      </x:c>
      <x:c r="K1775" s="4" t="str">
        <x:f>IFERROR(INDEX('Crafting recipes'!$D$6:$D$1005,MATCH(B1775,'Crafting recipes'!$A$6:$A$1005,0)),"MISSING ID")</x:f>
        <x:v>Proposal</x:v>
      </x:c>
      <x:c r="L1775" s="4" t="str">
        <x:f>IFERROR(INDEX('Items'!$AD$6:$AD$1005,MATCH(D1775,'Items'!$A$6:$A$1005,0)),"MISSING ID")</x:f>
        <x:v>Proposal</x:v>
      </x:c>
      <x:c r="M1775" s="4" t="str">
        <x:f>IFERROR(INDEX('Crafting recipes'!$E$6:$E$1005,MATCH(B1775,'Crafting recipes'!$A$6:$A$1005,0)),"MISSING ID")</x:f>
        <x:v>Partial proposal</x:v>
      </x:c>
      <x:c r="N1775" s="4" t="str">
        <x:v>Partial audit candidate; quantity, fit and performance remain unresolved.</x:v>
      </x:c>
      <x:c r="O17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5" s="4" t="n">
        <x:f>IF(OR(C1775="Ingredient candidate",C1775="Consumed input",C1775="Contained input",C1775="Transform input"),IF(F1775="T0",0,IF(F1775="T1",1,IF(F1775="T2",2,IF(F1775="T3",3,IF(F1775="T4",4,-1))))),-1)</x:f>
        <x:v>4</x:v>
      </x:c>
      <x:c r="Q1775" s="4" t="n">
        <x:f>IF(AND(OR(C1775="Ingredient candidate",C1775="Consumed input",C1775="Contained input",C1775="Transform input"),P1775=-1),1,0)</x:f>
        <x:v>0</x:v>
      </x:c>
    </x:row>
    <x:row r="1776" ht="64" customHeight="1">
      <x:c r="A1776" s="4" t="str">
        <x:v>design.audit.proposal_wind_dirtboard.audit.in.3</x:v>
      </x:c>
      <x:c r="B1776" s="4" t="str">
        <x:v>design.audit.proposal_wind_dirtboard</x:v>
      </x:c>
      <x:c r="C1776" s="4" t="str">
        <x:v>Ingredient candidate</x:v>
      </x:c>
      <x:c r="D1776" s="4" t="str">
        <x:v>proposal.branch.protective_stock</x:v>
      </x:c>
      <x:c r="E1776" s="4" t="str">
        <x:f>IFERROR(INDEX('Items'!$B$6:$B$1005,MATCH(D1776,'Items'!$A$6:$A$1005,0)),"MISSING ID")</x:f>
        <x:v>Layered protective composite stock</x:v>
      </x:c>
      <x:c r="F1776" s="4" t="str">
        <x:f>IFERROR(INDEX('Items'!$C$6:$C$1005,MATCH(D1776,'Items'!$A$6:$A$1005,0)),"MISSING ID")</x:f>
        <x:v>T4</x:v>
      </x:c>
      <x:c r="G1776" s="4" t="str">
        <x:f>IFERROR(INDEX('Items'!$D$6:$D$1005,MATCH(D1776,'Items'!$A$6:$A$1005,0)),"MISSING ID")</x:f>
        <x:v>Manufactured stock</x:v>
      </x:c>
      <x:c r="H1776" s="4" t="str">
        <x:f>IFERROR(INDEX('Items'!$X$6:$X$1005,MATCH(D1776,'Items'!$A$6:$A$1005,0)),"MISSING ID")</x:f>
        <x:v>Processed material</x:v>
      </x:c>
      <x:c r="I1776" s="4"/>
      <x:c r="J1776" s="4" t="str">
        <x:v>Unspecified</x:v>
      </x:c>
      <x:c r="K1776" s="4" t="str">
        <x:f>IFERROR(INDEX('Crafting recipes'!$D$6:$D$1005,MATCH(B1776,'Crafting recipes'!$A$6:$A$1005,0)),"MISSING ID")</x:f>
        <x:v>Proposal</x:v>
      </x:c>
      <x:c r="L1776" s="4" t="str">
        <x:f>IFERROR(INDEX('Items'!$AD$6:$AD$1005,MATCH(D1776,'Items'!$A$6:$A$1005,0)),"MISSING ID")</x:f>
        <x:v>Proposal</x:v>
      </x:c>
      <x:c r="M1776" s="4" t="str">
        <x:f>IFERROR(INDEX('Crafting recipes'!$E$6:$E$1005,MATCH(B1776,'Crafting recipes'!$A$6:$A$1005,0)),"MISSING ID")</x:f>
        <x:v>Partial proposal</x:v>
      </x:c>
      <x:c r="N1776" s="4" t="str">
        <x:v>Partial audit candidate; quantity, fit and performance remain unresolved.</x:v>
      </x:c>
      <x:c r="O17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6" s="4" t="n">
        <x:f>IF(OR(C1776="Ingredient candidate",C1776="Consumed input",C1776="Contained input",C1776="Transform input"),IF(F1776="T0",0,IF(F1776="T1",1,IF(F1776="T2",2,IF(F1776="T3",3,IF(F1776="T4",4,-1))))),-1)</x:f>
        <x:v>4</x:v>
      </x:c>
      <x:c r="Q1776" s="4" t="n">
        <x:f>IF(AND(OR(C1776="Ingredient candidate",C1776="Consumed input",C1776="Contained input",C1776="Transform input"),P1776=-1),1,0)</x:f>
        <x:v>0</x:v>
      </x:c>
    </x:row>
    <x:row r="1777" ht="64" customHeight="1">
      <x:c r="A1777" s="4" t="str">
        <x:v>design.audit.proposal_wind_dirtboard.audit.in.4</x:v>
      </x:c>
      <x:c r="B1777" s="4" t="str">
        <x:v>design.audit.proposal_wind_dirtboard</x:v>
      </x:c>
      <x:c r="C1777" s="4" t="str">
        <x:v>Ingredient candidate</x:v>
      </x:c>
      <x:c r="D1777" s="4" t="str">
        <x:v>proposal.collection.brake_lining_shoe</x:v>
      </x:c>
      <x:c r="E1777" s="4" t="str">
        <x:f>IFERROR(INDEX('Items'!$B$6:$B$1005,MATCH(D1777,'Items'!$A$6:$A$1005,0)),"MISSING ID")</x:f>
        <x:v>Brake lining shoe</x:v>
      </x:c>
      <x:c r="F1777" s="4" t="str">
        <x:f>IFERROR(INDEX('Items'!$C$6:$C$1005,MATCH(D1777,'Items'!$A$6:$A$1005,0)),"MISSING ID")</x:f>
        <x:v>T3</x:v>
      </x:c>
      <x:c r="G1777" s="4" t="str">
        <x:f>IFERROR(INDEX('Items'!$D$6:$D$1005,MATCH(D1777,'Items'!$A$6:$A$1005,0)),"MISSING ID")</x:f>
        <x:v>Crafting components</x:v>
      </x:c>
      <x:c r="H1777" s="4" t="str">
        <x:f>IFERROR(INDEX('Items'!$X$6:$X$1005,MATCH(D1777,'Items'!$A$6:$A$1005,0)),"MISSING ID")</x:f>
        <x:v>Machine part</x:v>
      </x:c>
      <x:c r="I1777" s="4"/>
      <x:c r="J1777" s="4" t="str">
        <x:v>Unspecified</x:v>
      </x:c>
      <x:c r="K1777" s="4" t="str">
        <x:f>IFERROR(INDEX('Crafting recipes'!$D$6:$D$1005,MATCH(B1777,'Crafting recipes'!$A$6:$A$1005,0)),"MISSING ID")</x:f>
        <x:v>Proposal</x:v>
      </x:c>
      <x:c r="L1777" s="4" t="str">
        <x:f>IFERROR(INDEX('Items'!$AD$6:$AD$1005,MATCH(D1777,'Items'!$A$6:$A$1005,0)),"MISSING ID")</x:f>
        <x:v>Proposal</x:v>
      </x:c>
      <x:c r="M1777" s="4" t="str">
        <x:f>IFERROR(INDEX('Crafting recipes'!$E$6:$E$1005,MATCH(B1777,'Crafting recipes'!$A$6:$A$1005,0)),"MISSING ID")</x:f>
        <x:v>Partial proposal</x:v>
      </x:c>
      <x:c r="N1777" s="4" t="str">
        <x:v>Partial audit candidate; quantity, fit and performance remain unresolved.</x:v>
      </x:c>
      <x:c r="O17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7" s="4" t="n">
        <x:f>IF(OR(C1777="Ingredient candidate",C1777="Consumed input",C1777="Contained input",C1777="Transform input"),IF(F1777="T0",0,IF(F1777="T1",1,IF(F1777="T2",2,IF(F1777="T3",3,IF(F1777="T4",4,-1))))),-1)</x:f>
        <x:v>3</x:v>
      </x:c>
      <x:c r="Q1777" s="4" t="n">
        <x:f>IF(AND(OR(C1777="Ingredient candidate",C1777="Consumed input",C1777="Contained input",C1777="Transform input"),P1777=-1),1,0)</x:f>
        <x:v>0</x:v>
      </x:c>
    </x:row>
    <x:row r="1778" ht="64" customHeight="1">
      <x:c r="A1778" s="4" t="str">
        <x:v>design.audit.proposal_wind_dirtboard.audit.in.5</x:v>
      </x:c>
      <x:c r="B1778" s="4" t="str">
        <x:v>design.audit.proposal_wind_dirtboard</x:v>
      </x:c>
      <x:c r="C1778" s="4" t="str">
        <x:v>Ingredient candidate</x:v>
      </x:c>
      <x:c r="D1778" s="4" t="str">
        <x:v>proposal.audit.shaped_metal_grip_blank</x:v>
      </x:c>
      <x:c r="E1778" s="4" t="str">
        <x:f>IFERROR(INDEX('Items'!$B$6:$B$1005,MATCH(D1778,'Items'!$A$6:$A$1005,0)),"MISSING ID")</x:f>
        <x:v>Shaped metal grip blank</x:v>
      </x:c>
      <x:c r="F1778" s="4" t="str">
        <x:f>IFERROR(INDEX('Items'!$C$6:$C$1005,MATCH(D1778,'Items'!$A$6:$A$1005,0)),"MISSING ID")</x:f>
        <x:v>T3</x:v>
      </x:c>
      <x:c r="G1778" s="4" t="str">
        <x:f>IFERROR(INDEX('Items'!$D$6:$D$1005,MATCH(D1778,'Items'!$A$6:$A$1005,0)),"MISSING ID")</x:f>
        <x:v>Crafting components</x:v>
      </x:c>
      <x:c r="H1778" s="4" t="str">
        <x:f>IFERROR(INDEX('Items'!$X$6:$X$1005,MATCH(D1778,'Items'!$A$6:$A$1005,0)),"MISSING ID")</x:f>
        <x:v>Crafting component</x:v>
      </x:c>
      <x:c r="I1778" s="4"/>
      <x:c r="J1778" s="4" t="str">
        <x:v>Unspecified</x:v>
      </x:c>
      <x:c r="K1778" s="4" t="str">
        <x:f>IFERROR(INDEX('Crafting recipes'!$D$6:$D$1005,MATCH(B1778,'Crafting recipes'!$A$6:$A$1005,0)),"MISSING ID")</x:f>
        <x:v>Proposal</x:v>
      </x:c>
      <x:c r="L1778" s="4" t="str">
        <x:f>IFERROR(INDEX('Items'!$AD$6:$AD$1005,MATCH(D1778,'Items'!$A$6:$A$1005,0)),"MISSING ID")</x:f>
        <x:v>Proposal</x:v>
      </x:c>
      <x:c r="M1778" s="4" t="str">
        <x:f>IFERROR(INDEX('Crafting recipes'!$E$6:$E$1005,MATCH(B1778,'Crafting recipes'!$A$6:$A$1005,0)),"MISSING ID")</x:f>
        <x:v>Partial proposal</x:v>
      </x:c>
      <x:c r="N1778" s="4" t="str">
        <x:v>Partial audit candidate; quantity, fit and performance remain unresolved.</x:v>
      </x:c>
      <x:c r="O17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8" s="4" t="n">
        <x:f>IF(OR(C1778="Ingredient candidate",C1778="Consumed input",C1778="Contained input",C1778="Transform input"),IF(F1778="T0",0,IF(F1778="T1",1,IF(F1778="T2",2,IF(F1778="T3",3,IF(F1778="T4",4,-1))))),-1)</x:f>
        <x:v>3</x:v>
      </x:c>
      <x:c r="Q1778" s="4" t="n">
        <x:f>IF(AND(OR(C1778="Ingredient candidate",C1778="Consumed input",C1778="Contained input",C1778="Transform input"),P1778=-1),1,0)</x:f>
        <x:v>0</x:v>
      </x:c>
    </x:row>
    <x:row r="1779" ht="64" customHeight="1">
      <x:c r="A1779" s="4" t="str">
        <x:v>design.audit.proposal_wind_dirtboard.audit.out</x:v>
      </x:c>
      <x:c r="B1779" s="4" t="str">
        <x:v>design.audit.proposal_wind_dirtboard</x:v>
      </x:c>
      <x:c r="C1779" s="4" t="str">
        <x:v>Output</x:v>
      </x:c>
      <x:c r="D1779" s="4" t="str">
        <x:v>proposal.wind.dirtboard</x:v>
      </x:c>
      <x:c r="E1779" s="4" t="str">
        <x:f>IFERROR(INDEX('Items'!$B$6:$B$1005,MATCH(D1779,'Items'!$A$6:$A$1005,0)),"MISSING ID")</x:f>
        <x:v>Four-wheel all-terrain dirtboard</x:v>
      </x:c>
      <x:c r="F1779" s="4" t="str">
        <x:f>IFERROR(INDEX('Items'!$C$6:$C$1005,MATCH(D1779,'Items'!$A$6:$A$1005,0)),"MISSING ID")</x:f>
        <x:v>Not applicable</x:v>
      </x:c>
      <x:c r="G1779" s="4" t="str">
        <x:f>IFERROR(INDEX('Items'!$D$6:$D$1005,MATCH(D1779,'Items'!$A$6:$A$1005,0)),"MISSING ID")</x:f>
        <x:v>Tools</x:v>
      </x:c>
      <x:c r="H1779" s="4" t="str">
        <x:f>IFERROR(INDEX('Items'!$X$6:$X$1005,MATCH(D1779,'Items'!$A$6:$A$1005,0)),"MISSING ID")</x:f>
        <x:v>Traversal device</x:v>
      </x:c>
      <x:c r="I1779" s="4"/>
      <x:c r="J1779" s="4" t="str">
        <x:v>Unspecified</x:v>
      </x:c>
      <x:c r="K1779" s="4" t="str">
        <x:f>IFERROR(INDEX('Crafting recipes'!$D$6:$D$1005,MATCH(B1779,'Crafting recipes'!$A$6:$A$1005,0)),"MISSING ID")</x:f>
        <x:v>Proposal</x:v>
      </x:c>
      <x:c r="L1779" s="4" t="str">
        <x:f>IFERROR(INDEX('Items'!$AD$6:$AD$1005,MATCH(D1779,'Items'!$A$6:$A$1005,0)),"MISSING ID")</x:f>
        <x:v>Author direction</x:v>
      </x:c>
      <x:c r="M1779" s="4" t="str">
        <x:f>IFERROR(INDEX('Crafting recipes'!$E$6:$E$1005,MATCH(B1779,'Crafting recipes'!$A$6:$A$1005,0)),"MISSING ID")</x:f>
        <x:v>Partial proposal</x:v>
      </x:c>
      <x:c r="N1779" s="4" t="str">
        <x:v>Partial audit candidate; quantity, fit and performance remain unresolved.</x:v>
      </x:c>
      <x:c r="O17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9" s="4" t="n">
        <x:f>IF(OR(C1779="Ingredient candidate",C1779="Consumed input",C1779="Contained input",C1779="Transform input"),IF(F1779="T0",0,IF(F1779="T1",1,IF(F1779="T2",2,IF(F1779="T3",3,IF(F1779="T4",4,-1))))),-1)</x:f>
        <x:v>-1</x:v>
      </x:c>
      <x:c r="Q1779" s="4" t="n">
        <x:f>IF(AND(OR(C1779="Ingredient candidate",C1779="Consumed input",C1779="Contained input",C1779="Transform input"),P1779=-1),1,0)</x:f>
        <x:v>0</x:v>
      </x:c>
    </x:row>
    <x:row r="1780" ht="64" customHeight="1">
      <x:c r="A1780" s="4" t="str">
        <x:v>design.audit.proposal_legger_sling.audit.in.1</x:v>
      </x:c>
      <x:c r="B1780" s="4" t="str">
        <x:v>design.audit.proposal_legger_sling</x:v>
      </x:c>
      <x:c r="C1780" s="4" t="str">
        <x:v>Ingredient candidate</x:v>
      </x:c>
      <x:c r="D1780" s="4" t="str">
        <x:v>proposal.bio.cord</x:v>
      </x:c>
      <x:c r="E1780" s="4" t="str">
        <x:f>IFERROR(INDEX('Items'!$B$6:$B$1005,MATCH(D1780,'Items'!$A$6:$A$1005,0)),"MISSING ID")</x:f>
        <x:v>Tendon cord</x:v>
      </x:c>
      <x:c r="F1780" s="4" t="str">
        <x:f>IFERROR(INDEX('Items'!$C$6:$C$1005,MATCH(D1780,'Items'!$A$6:$A$1005,0)),"MISSING ID")</x:f>
        <x:v>T1</x:v>
      </x:c>
      <x:c r="G1780" s="4" t="str">
        <x:f>IFERROR(INDEX('Items'!$D$6:$D$1005,MATCH(D1780,'Items'!$A$6:$A$1005,0)),"MISSING ID")</x:f>
        <x:v>Crafting components</x:v>
      </x:c>
      <x:c r="H1780" s="4" t="str">
        <x:f>IFERROR(INDEX('Items'!$X$6:$X$1005,MATCH(D1780,'Items'!$A$6:$A$1005,0)),"MISSING ID")</x:f>
        <x:v>Crafting component</x:v>
      </x:c>
      <x:c r="I1780" s="4"/>
      <x:c r="J1780" s="4" t="str">
        <x:v>Unspecified</x:v>
      </x:c>
      <x:c r="K1780" s="4" t="str">
        <x:f>IFERROR(INDEX('Crafting recipes'!$D$6:$D$1005,MATCH(B1780,'Crafting recipes'!$A$6:$A$1005,0)),"MISSING ID")</x:f>
        <x:v>Proposal</x:v>
      </x:c>
      <x:c r="L1780" s="4" t="str">
        <x:f>IFERROR(INDEX('Items'!$AD$6:$AD$1005,MATCH(D1780,'Items'!$A$6:$A$1005,0)),"MISSING ID")</x:f>
        <x:v>Proposal</x:v>
      </x:c>
      <x:c r="M1780" s="4" t="str">
        <x:f>IFERROR(INDEX('Crafting recipes'!$E$6:$E$1005,MATCH(B1780,'Crafting recipes'!$A$6:$A$1005,0)),"MISSING ID")</x:f>
        <x:v>Partial proposal</x:v>
      </x:c>
      <x:c r="N1780" s="4" t="str">
        <x:v>Partial audit candidate; quantity, fit and performance remain unresolved.</x:v>
      </x:c>
      <x:c r="O17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0" s="4" t="n">
        <x:f>IF(OR(C1780="Ingredient candidate",C1780="Consumed input",C1780="Contained input",C1780="Transform input"),IF(F1780="T0",0,IF(F1780="T1",1,IF(F1780="T2",2,IF(F1780="T3",3,IF(F1780="T4",4,-1))))),-1)</x:f>
        <x:v>1</x:v>
      </x:c>
      <x:c r="Q1780" s="4" t="n">
        <x:f>IF(AND(OR(C1780="Ingredient candidate",C1780="Consumed input",C1780="Contained input",C1780="Transform input"),P1780=-1),1,0)</x:f>
        <x:v>0</x:v>
      </x:c>
    </x:row>
    <x:row r="1781" ht="64" customHeight="1">
      <x:c r="A1781" s="4" t="str">
        <x:v>design.audit.proposal_legger_sling.audit.in.2</x:v>
      </x:c>
      <x:c r="B1781" s="4" t="str">
        <x:v>design.audit.proposal_legger_sling</x:v>
      </x:c>
      <x:c r="C1781" s="4" t="str">
        <x:v>Ingredient candidate</x:v>
      </x:c>
      <x:c r="D1781" s="4" t="str">
        <x:v>proposal.audit.pressed_hide_fastening_strips</x:v>
      </x:c>
      <x:c r="E1781" s="4" t="str">
        <x:f>IFERROR(INDEX('Items'!$B$6:$B$1005,MATCH(D1781,'Items'!$A$6:$A$1005,0)),"MISSING ID")</x:f>
        <x:v>Pressed hide fastening strips</x:v>
      </x:c>
      <x:c r="F1781" s="4" t="str">
        <x:f>IFERROR(INDEX('Items'!$C$6:$C$1005,MATCH(D1781,'Items'!$A$6:$A$1005,0)),"MISSING ID")</x:f>
        <x:v>T2</x:v>
      </x:c>
      <x:c r="G1781" s="4" t="str">
        <x:f>IFERROR(INDEX('Items'!$D$6:$D$1005,MATCH(D1781,'Items'!$A$6:$A$1005,0)),"MISSING ID")</x:f>
        <x:v>Manufactured stock</x:v>
      </x:c>
      <x:c r="H1781" s="4" t="str">
        <x:f>IFERROR(INDEX('Items'!$X$6:$X$1005,MATCH(D1781,'Items'!$A$6:$A$1005,0)),"MISSING ID")</x:f>
        <x:v>Processed material</x:v>
      </x:c>
      <x:c r="I1781" s="4"/>
      <x:c r="J1781" s="4" t="str">
        <x:v>Unspecified</x:v>
      </x:c>
      <x:c r="K1781" s="4" t="str">
        <x:f>IFERROR(INDEX('Crafting recipes'!$D$6:$D$1005,MATCH(B1781,'Crafting recipes'!$A$6:$A$1005,0)),"MISSING ID")</x:f>
        <x:v>Proposal</x:v>
      </x:c>
      <x:c r="L1781" s="4" t="str">
        <x:f>IFERROR(INDEX('Items'!$AD$6:$AD$1005,MATCH(D1781,'Items'!$A$6:$A$1005,0)),"MISSING ID")</x:f>
        <x:v>Proposal</x:v>
      </x:c>
      <x:c r="M1781" s="4" t="str">
        <x:f>IFERROR(INDEX('Crafting recipes'!$E$6:$E$1005,MATCH(B1781,'Crafting recipes'!$A$6:$A$1005,0)),"MISSING ID")</x:f>
        <x:v>Partial proposal</x:v>
      </x:c>
      <x:c r="N1781" s="4" t="str">
        <x:v>Partial audit candidate; quantity, fit and performance remain unresolved.</x:v>
      </x:c>
      <x:c r="O17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1" s="4" t="n">
        <x:f>IF(OR(C1781="Ingredient candidate",C1781="Consumed input",C1781="Contained input",C1781="Transform input"),IF(F1781="T0",0,IF(F1781="T1",1,IF(F1781="T2",2,IF(F1781="T3",3,IF(F1781="T4",4,-1))))),-1)</x:f>
        <x:v>2</x:v>
      </x:c>
      <x:c r="Q1781" s="4" t="n">
        <x:f>IF(AND(OR(C1781="Ingredient candidate",C1781="Consumed input",C1781="Contained input",C1781="Transform input"),P1781=-1),1,0)</x:f>
        <x:v>0</x:v>
      </x:c>
    </x:row>
    <x:row r="1782" ht="64" customHeight="1">
      <x:c r="A1782" s="4" t="str">
        <x:v>design.audit.proposal_legger_sling.audit.in.3</x:v>
      </x:c>
      <x:c r="B1782" s="4" t="str">
        <x:v>design.audit.proposal_legger_sling</x:v>
      </x:c>
      <x:c r="C1782" s="4" t="str">
        <x:v>Ingredient candidate</x:v>
      </x:c>
      <x:c r="D1782" s="4" t="str">
        <x:v>proposal.legger.anchors</x:v>
      </x:c>
      <x:c r="E1782" s="4" t="str">
        <x:f>IFERROR(INDEX('Items'!$B$6:$B$1005,MATCH(D1782,'Items'!$A$6:$A$1005,0)),"MISSING ID")</x:f>
        <x:v>Legger lashing-anchor set</x:v>
      </x:c>
      <x:c r="F1782" s="4" t="str">
        <x:f>IFERROR(INDEX('Items'!$C$6:$C$1005,MATCH(D1782,'Items'!$A$6:$A$1005,0)),"MISSING ID")</x:f>
        <x:v>T3</x:v>
      </x:c>
      <x:c r="G1782" s="4" t="str">
        <x:f>IFERROR(INDEX('Items'!$D$6:$D$1005,MATCH(D1782,'Items'!$A$6:$A$1005,0)),"MISSING ID")</x:f>
        <x:v>Crafting components</x:v>
      </x:c>
      <x:c r="H1782" s="4" t="str">
        <x:f>IFERROR(INDEX('Items'!$X$6:$X$1005,MATCH(D1782,'Items'!$A$6:$A$1005,0)),"MISSING ID")</x:f>
        <x:v>Crafting component</x:v>
      </x:c>
      <x:c r="I1782" s="4"/>
      <x:c r="J1782" s="4" t="str">
        <x:v>Unspecified</x:v>
      </x:c>
      <x:c r="K1782" s="4" t="str">
        <x:f>IFERROR(INDEX('Crafting recipes'!$D$6:$D$1005,MATCH(B1782,'Crafting recipes'!$A$6:$A$1005,0)),"MISSING ID")</x:f>
        <x:v>Proposal</x:v>
      </x:c>
      <x:c r="L1782" s="4" t="str">
        <x:f>IFERROR(INDEX('Items'!$AD$6:$AD$1005,MATCH(D1782,'Items'!$A$6:$A$1005,0)),"MISSING ID")</x:f>
        <x:v>Proposal</x:v>
      </x:c>
      <x:c r="M1782" s="4" t="str">
        <x:f>IFERROR(INDEX('Crafting recipes'!$E$6:$E$1005,MATCH(B1782,'Crafting recipes'!$A$6:$A$1005,0)),"MISSING ID")</x:f>
        <x:v>Partial proposal</x:v>
      </x:c>
      <x:c r="N1782" s="4" t="str">
        <x:v>Partial audit candidate; quantity, fit and performance remain unresolved.</x:v>
      </x:c>
      <x:c r="O17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2" s="4" t="n">
        <x:f>IF(OR(C1782="Ingredient candidate",C1782="Consumed input",C1782="Contained input",C1782="Transform input"),IF(F1782="T0",0,IF(F1782="T1",1,IF(F1782="T2",2,IF(F1782="T3",3,IF(F1782="T4",4,-1))))),-1)</x:f>
        <x:v>3</x:v>
      </x:c>
      <x:c r="Q1782" s="4" t="n">
        <x:f>IF(AND(OR(C1782="Ingredient candidate",C1782="Consumed input",C1782="Contained input",C1782="Transform input"),P1782=-1),1,0)</x:f>
        <x:v>0</x:v>
      </x:c>
    </x:row>
    <x:row r="1783" ht="64" customHeight="1">
      <x:c r="A1783" s="4" t="str">
        <x:v>design.audit.proposal_legger_sling.audit.out</x:v>
      </x:c>
      <x:c r="B1783" s="4" t="str">
        <x:v>design.audit.proposal_legger_sling</x:v>
      </x:c>
      <x:c r="C1783" s="4" t="str">
        <x:v>Output</x:v>
      </x:c>
      <x:c r="D1783" s="4" t="str">
        <x:v>proposal.legger.sling</x:v>
      </x:c>
      <x:c r="E1783" s="4" t="str">
        <x:f>IFERROR(INDEX('Items'!$B$6:$B$1005,MATCH(D1783,'Items'!$A$6:$A$1005,0)),"MISSING ID")</x:f>
        <x:v>Legger cargo sling</x:v>
      </x:c>
      <x:c r="F1783" s="4" t="str">
        <x:f>IFERROR(INDEX('Items'!$C$6:$C$1005,MATCH(D1783,'Items'!$A$6:$A$1005,0)),"MISSING ID")</x:f>
        <x:v>Not applicable</x:v>
      </x:c>
      <x:c r="G1783" s="4" t="str">
        <x:f>IFERROR(INDEX('Items'!$D$6:$D$1005,MATCH(D1783,'Items'!$A$6:$A$1005,0)),"MISSING ID")</x:f>
        <x:v>Legger attachments</x:v>
      </x:c>
      <x:c r="H1783" s="4" t="str">
        <x:f>IFERROR(INDEX('Items'!$X$6:$X$1005,MATCH(D1783,'Items'!$A$6:$A$1005,0)),"MISSING ID")</x:f>
        <x:v>Carrier</x:v>
      </x:c>
      <x:c r="I1783" s="4"/>
      <x:c r="J1783" s="4" t="str">
        <x:v>Unspecified</x:v>
      </x:c>
      <x:c r="K1783" s="4" t="str">
        <x:f>IFERROR(INDEX('Crafting recipes'!$D$6:$D$1005,MATCH(B1783,'Crafting recipes'!$A$6:$A$1005,0)),"MISSING ID")</x:f>
        <x:v>Proposal</x:v>
      </x:c>
      <x:c r="L1783" s="4" t="str">
        <x:f>IFERROR(INDEX('Items'!$AD$6:$AD$1005,MATCH(D1783,'Items'!$A$6:$A$1005,0)),"MISSING ID")</x:f>
        <x:v>Proposal</x:v>
      </x:c>
      <x:c r="M1783" s="4" t="str">
        <x:f>IFERROR(INDEX('Crafting recipes'!$E$6:$E$1005,MATCH(B1783,'Crafting recipes'!$A$6:$A$1005,0)),"MISSING ID")</x:f>
        <x:v>Partial proposal</x:v>
      </x:c>
      <x:c r="N1783" s="4" t="str">
        <x:v>Partial audit candidate; quantity, fit and performance remain unresolved.</x:v>
      </x:c>
      <x:c r="O17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3" s="4" t="n">
        <x:f>IF(OR(C1783="Ingredient candidate",C1783="Consumed input",C1783="Contained input",C1783="Transform input"),IF(F1783="T0",0,IF(F1783="T1",1,IF(F1783="T2",2,IF(F1783="T3",3,IF(F1783="T4",4,-1))))),-1)</x:f>
        <x:v>-1</x:v>
      </x:c>
      <x:c r="Q1783" s="4" t="n">
        <x:f>IF(AND(OR(C1783="Ingredient candidate",C1783="Consumed input",C1783="Contained input",C1783="Transform input"),P1783=-1),1,0)</x:f>
        <x:v>0</x:v>
      </x:c>
    </x:row>
    <x:row r="1784" ht="64" customHeight="1">
      <x:c r="A1784" s="4" t="str">
        <x:v>design.audit.proposal_legger_cradle.audit.in.1</x:v>
      </x:c>
      <x:c r="B1784" s="4" t="str">
        <x:v>design.audit.proposal_legger_cradle</x:v>
      </x:c>
      <x:c r="C1784" s="4" t="str">
        <x:v>Ingredient candidate</x:v>
      </x:c>
      <x:c r="D1784" s="4" t="str">
        <x:v>proposal.legger.iron_rib</x:v>
      </x:c>
      <x:c r="E1784" s="4" t="str">
        <x:f>IFERROR(INDEX('Items'!$B$6:$B$1005,MATCH(D1784,'Items'!$A$6:$A$1005,0)),"MISSING ID")</x:f>
        <x:v>Iron chassis replacement rib</x:v>
      </x:c>
      <x:c r="F1784" s="4" t="str">
        <x:f>IFERROR(INDEX('Items'!$C$6:$C$1005,MATCH(D1784,'Items'!$A$6:$A$1005,0)),"MISSING ID")</x:f>
        <x:v>T3</x:v>
      </x:c>
      <x:c r="G1784" s="4" t="str">
        <x:f>IFERROR(INDEX('Items'!$D$6:$D$1005,MATCH(D1784,'Items'!$A$6:$A$1005,0)),"MISSING ID")</x:f>
        <x:v>Crafting components</x:v>
      </x:c>
      <x:c r="H1784" s="4" t="str">
        <x:f>IFERROR(INDEX('Items'!$X$6:$X$1005,MATCH(D1784,'Items'!$A$6:$A$1005,0)),"MISSING ID")</x:f>
        <x:v>Crafting component</x:v>
      </x:c>
      <x:c r="I1784" s="4"/>
      <x:c r="J1784" s="4" t="str">
        <x:v>Unspecified</x:v>
      </x:c>
      <x:c r="K1784" s="4" t="str">
        <x:f>IFERROR(INDEX('Crafting recipes'!$D$6:$D$1005,MATCH(B1784,'Crafting recipes'!$A$6:$A$1005,0)),"MISSING ID")</x:f>
        <x:v>Proposal</x:v>
      </x:c>
      <x:c r="L1784" s="4" t="str">
        <x:f>IFERROR(INDEX('Items'!$AD$6:$AD$1005,MATCH(D1784,'Items'!$A$6:$A$1005,0)),"MISSING ID")</x:f>
        <x:v>Proposal</x:v>
      </x:c>
      <x:c r="M1784" s="4" t="str">
        <x:f>IFERROR(INDEX('Crafting recipes'!$E$6:$E$1005,MATCH(B1784,'Crafting recipes'!$A$6:$A$1005,0)),"MISSING ID")</x:f>
        <x:v>Partial proposal</x:v>
      </x:c>
      <x:c r="N1784" s="4" t="str">
        <x:v>Partial audit candidate; quantity, fit and performance remain unresolved.</x:v>
      </x:c>
      <x:c r="O17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4" s="4" t="n">
        <x:f>IF(OR(C1784="Ingredient candidate",C1784="Consumed input",C1784="Contained input",C1784="Transform input"),IF(F1784="T0",0,IF(F1784="T1",1,IF(F1784="T2",2,IF(F1784="T3",3,IF(F1784="T4",4,-1))))),-1)</x:f>
        <x:v>3</x:v>
      </x:c>
      <x:c r="Q1784" s="4" t="n">
        <x:f>IF(AND(OR(C1784="Ingredient candidate",C1784="Consumed input",C1784="Contained input",C1784="Transform input"),P1784=-1),1,0)</x:f>
        <x:v>0</x:v>
      </x:c>
    </x:row>
    <x:row r="1785" ht="64" customHeight="1">
      <x:c r="A1785" s="4" t="str">
        <x:v>design.audit.proposal_legger_cradle.audit.in.2</x:v>
      </x:c>
      <x:c r="B1785" s="4" t="str">
        <x:v>design.audit.proposal_legger_cradle</x:v>
      </x:c>
      <x:c r="C1785" s="4" t="str">
        <x:v>Ingredient candidate</x:v>
      </x:c>
      <x:c r="D1785" s="4" t="str">
        <x:v>proposal.legger.crossbrace</x:v>
      </x:c>
      <x:c r="E1785" s="4" t="str">
        <x:f>IFERROR(INDEX('Items'!$B$6:$B$1005,MATCH(D1785,'Items'!$A$6:$A$1005,0)),"MISSING ID")</x:f>
        <x:v>Chassis crossbrace</x:v>
      </x:c>
      <x:c r="F1785" s="4" t="str">
        <x:f>IFERROR(INDEX('Items'!$C$6:$C$1005,MATCH(D1785,'Items'!$A$6:$A$1005,0)),"MISSING ID")</x:f>
        <x:v>T3</x:v>
      </x:c>
      <x:c r="G1785" s="4" t="str">
        <x:f>IFERROR(INDEX('Items'!$D$6:$D$1005,MATCH(D1785,'Items'!$A$6:$A$1005,0)),"MISSING ID")</x:f>
        <x:v>Crafting components</x:v>
      </x:c>
      <x:c r="H1785" s="4" t="str">
        <x:f>IFERROR(INDEX('Items'!$X$6:$X$1005,MATCH(D1785,'Items'!$A$6:$A$1005,0)),"MISSING ID")</x:f>
        <x:v>Crafting component</x:v>
      </x:c>
      <x:c r="I1785" s="4"/>
      <x:c r="J1785" s="4" t="str">
        <x:v>Unspecified</x:v>
      </x:c>
      <x:c r="K1785" s="4" t="str">
        <x:f>IFERROR(INDEX('Crafting recipes'!$D$6:$D$1005,MATCH(B1785,'Crafting recipes'!$A$6:$A$1005,0)),"MISSING ID")</x:f>
        <x:v>Proposal</x:v>
      </x:c>
      <x:c r="L1785" s="4" t="str">
        <x:f>IFERROR(INDEX('Items'!$AD$6:$AD$1005,MATCH(D1785,'Items'!$A$6:$A$1005,0)),"MISSING ID")</x:f>
        <x:v>Proposal</x:v>
      </x:c>
      <x:c r="M1785" s="4" t="str">
        <x:f>IFERROR(INDEX('Crafting recipes'!$E$6:$E$1005,MATCH(B1785,'Crafting recipes'!$A$6:$A$1005,0)),"MISSING ID")</x:f>
        <x:v>Partial proposal</x:v>
      </x:c>
      <x:c r="N1785" s="4" t="str">
        <x:v>Partial audit candidate; quantity, fit and performance remain unresolved.</x:v>
      </x:c>
      <x:c r="O17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5" s="4" t="n">
        <x:f>IF(OR(C1785="Ingredient candidate",C1785="Consumed input",C1785="Contained input",C1785="Transform input"),IF(F1785="T0",0,IF(F1785="T1",1,IF(F1785="T2",2,IF(F1785="T3",3,IF(F1785="T4",4,-1))))),-1)</x:f>
        <x:v>3</x:v>
      </x:c>
      <x:c r="Q1785" s="4" t="n">
        <x:f>IF(AND(OR(C1785="Ingredient candidate",C1785="Consumed input",C1785="Contained input",C1785="Transform input"),P1785=-1),1,0)</x:f>
        <x:v>0</x:v>
      </x:c>
    </x:row>
    <x:row r="1786" ht="64" customHeight="1">
      <x:c r="A1786" s="4" t="str">
        <x:v>design.audit.proposal_legger_cradle.audit.in.3</x:v>
      </x:c>
      <x:c r="B1786" s="4" t="str">
        <x:v>design.audit.proposal_legger_cradle</x:v>
      </x:c>
      <x:c r="C1786" s="4" t="str">
        <x:v>Ingredient candidate</x:v>
      </x:c>
      <x:c r="D1786" s="4" t="str">
        <x:v>proposal.legger.mount_rail</x:v>
      </x:c>
      <x:c r="E1786" s="4" t="str">
        <x:f>IFERROR(INDEX('Items'!$B$6:$B$1005,MATCH(D1786,'Items'!$A$6:$A$1005,0)),"MISSING ID")</x:f>
        <x:v>Legger attachment rail</x:v>
      </x:c>
      <x:c r="F1786" s="4" t="str">
        <x:f>IFERROR(INDEX('Items'!$C$6:$C$1005,MATCH(D1786,'Items'!$A$6:$A$1005,0)),"MISSING ID")</x:f>
        <x:v>T3</x:v>
      </x:c>
      <x:c r="G1786" s="4" t="str">
        <x:f>IFERROR(INDEX('Items'!$D$6:$D$1005,MATCH(D1786,'Items'!$A$6:$A$1005,0)),"MISSING ID")</x:f>
        <x:v>Crafting components</x:v>
      </x:c>
      <x:c r="H1786" s="4" t="str">
        <x:f>IFERROR(INDEX('Items'!$X$6:$X$1005,MATCH(D1786,'Items'!$A$6:$A$1005,0)),"MISSING ID")</x:f>
        <x:v>Crafting component</x:v>
      </x:c>
      <x:c r="I1786" s="4"/>
      <x:c r="J1786" s="4" t="str">
        <x:v>Unspecified</x:v>
      </x:c>
      <x:c r="K1786" s="4" t="str">
        <x:f>IFERROR(INDEX('Crafting recipes'!$D$6:$D$1005,MATCH(B1786,'Crafting recipes'!$A$6:$A$1005,0)),"MISSING ID")</x:f>
        <x:v>Proposal</x:v>
      </x:c>
      <x:c r="L1786" s="4" t="str">
        <x:f>IFERROR(INDEX('Items'!$AD$6:$AD$1005,MATCH(D1786,'Items'!$A$6:$A$1005,0)),"MISSING ID")</x:f>
        <x:v>Proposal</x:v>
      </x:c>
      <x:c r="M1786" s="4" t="str">
        <x:f>IFERROR(INDEX('Crafting recipes'!$E$6:$E$1005,MATCH(B1786,'Crafting recipes'!$A$6:$A$1005,0)),"MISSING ID")</x:f>
        <x:v>Partial proposal</x:v>
      </x:c>
      <x:c r="N1786" s="4" t="str">
        <x:v>Partial audit candidate; quantity, fit and performance remain unresolved.</x:v>
      </x:c>
      <x:c r="O17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6" s="4" t="n">
        <x:f>IF(OR(C1786="Ingredient candidate",C1786="Consumed input",C1786="Contained input",C1786="Transform input"),IF(F1786="T0",0,IF(F1786="T1",1,IF(F1786="T2",2,IF(F1786="T3",3,IF(F1786="T4",4,-1))))),-1)</x:f>
        <x:v>3</x:v>
      </x:c>
      <x:c r="Q1786" s="4" t="n">
        <x:f>IF(AND(OR(C1786="Ingredient candidate",C1786="Consumed input",C1786="Contained input",C1786="Transform input"),P1786=-1),1,0)</x:f>
        <x:v>0</x:v>
      </x:c>
    </x:row>
    <x:row r="1787" ht="64" customHeight="1">
      <x:c r="A1787" s="4" t="str">
        <x:v>design.audit.proposal_legger_cradle.audit.out</x:v>
      </x:c>
      <x:c r="B1787" s="4" t="str">
        <x:v>design.audit.proposal_legger_cradle</x:v>
      </x:c>
      <x:c r="C1787" s="4" t="str">
        <x:v>Output</x:v>
      </x:c>
      <x:c r="D1787" s="4" t="str">
        <x:v>proposal.legger.cradle</x:v>
      </x:c>
      <x:c r="E1787" s="4" t="str">
        <x:f>IFERROR(INDEX('Items'!$B$6:$B$1005,MATCH(D1787,'Items'!$A$6:$A$1005,0)),"MISSING ID")</x:f>
        <x:v>Legger rigid cargo cradle</x:v>
      </x:c>
      <x:c r="F1787" s="4" t="str">
        <x:f>IFERROR(INDEX('Items'!$C$6:$C$1005,MATCH(D1787,'Items'!$A$6:$A$1005,0)),"MISSING ID")</x:f>
        <x:v>Not applicable</x:v>
      </x:c>
      <x:c r="G1787" s="4" t="str">
        <x:f>IFERROR(INDEX('Items'!$D$6:$D$1005,MATCH(D1787,'Items'!$A$6:$A$1005,0)),"MISSING ID")</x:f>
        <x:v>Legger attachments</x:v>
      </x:c>
      <x:c r="H1787" s="4" t="str">
        <x:f>IFERROR(INDEX('Items'!$X$6:$X$1005,MATCH(D1787,'Items'!$A$6:$A$1005,0)),"MISSING ID")</x:f>
        <x:v>Carrier</x:v>
      </x:c>
      <x:c r="I1787" s="4"/>
      <x:c r="J1787" s="4" t="str">
        <x:v>Unspecified</x:v>
      </x:c>
      <x:c r="K1787" s="4" t="str">
        <x:f>IFERROR(INDEX('Crafting recipes'!$D$6:$D$1005,MATCH(B1787,'Crafting recipes'!$A$6:$A$1005,0)),"MISSING ID")</x:f>
        <x:v>Proposal</x:v>
      </x:c>
      <x:c r="L1787" s="4" t="str">
        <x:f>IFERROR(INDEX('Items'!$AD$6:$AD$1005,MATCH(D1787,'Items'!$A$6:$A$1005,0)),"MISSING ID")</x:f>
        <x:v>Proposal</x:v>
      </x:c>
      <x:c r="M1787" s="4" t="str">
        <x:f>IFERROR(INDEX('Crafting recipes'!$E$6:$E$1005,MATCH(B1787,'Crafting recipes'!$A$6:$A$1005,0)),"MISSING ID")</x:f>
        <x:v>Partial proposal</x:v>
      </x:c>
      <x:c r="N1787" s="4" t="str">
        <x:v>Partial audit candidate; quantity, fit and performance remain unresolved.</x:v>
      </x:c>
      <x:c r="O17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7" s="4" t="n">
        <x:f>IF(OR(C1787="Ingredient candidate",C1787="Consumed input",C1787="Contained input",C1787="Transform input"),IF(F1787="T0",0,IF(F1787="T1",1,IF(F1787="T2",2,IF(F1787="T3",3,IF(F1787="T4",4,-1))))),-1)</x:f>
        <x:v>-1</x:v>
      </x:c>
      <x:c r="Q1787" s="4" t="n">
        <x:f>IF(AND(OR(C1787="Ingredient candidate",C1787="Consumed input",C1787="Contained input",C1787="Transform input"),P1787=-1),1,0)</x:f>
        <x:v>0</x:v>
      </x:c>
    </x:row>
    <x:row r="1788" ht="64" customHeight="1">
      <x:c r="A1788" s="4" t="str">
        <x:v>design.audit.proposal_legger_belly_pan.audit.in.1</x:v>
      </x:c>
      <x:c r="B1788" s="4" t="str">
        <x:v>design.audit.proposal_legger_belly_pan</x:v>
      </x:c>
      <x:c r="C1788" s="4" t="str">
        <x:v>Ingredient candidate</x:v>
      </x:c>
      <x:c r="D1788" s="4" t="str">
        <x:v>author.metallurgy.steel_stock</x:v>
      </x:c>
      <x:c r="E1788" s="4" t="str">
        <x:f>IFERROR(INDEX('Items'!$B$6:$B$1005,MATCH(D1788,'Items'!$A$6:$A$1005,0)),"MISSING ID")</x:f>
        <x:v>Steel stock</x:v>
      </x:c>
      <x:c r="F1788" s="4" t="str">
        <x:f>IFERROR(INDEX('Items'!$C$6:$C$1005,MATCH(D1788,'Items'!$A$6:$A$1005,0)),"MISSING ID")</x:f>
        <x:v>T2</x:v>
      </x:c>
      <x:c r="G1788" s="4" t="str">
        <x:f>IFERROR(INDEX('Items'!$D$6:$D$1005,MATCH(D1788,'Items'!$A$6:$A$1005,0)),"MISSING ID")</x:f>
        <x:v>Manufactured stock</x:v>
      </x:c>
      <x:c r="H1788" s="4" t="str">
        <x:f>IFERROR(INDEX('Items'!$X$6:$X$1005,MATCH(D1788,'Items'!$A$6:$A$1005,0)),"MISSING ID")</x:f>
        <x:v>Processed material</x:v>
      </x:c>
      <x:c r="I1788" s="4"/>
      <x:c r="J1788" s="4" t="str">
        <x:v>Unspecified</x:v>
      </x:c>
      <x:c r="K1788" s="4" t="str">
        <x:f>IFERROR(INDEX('Crafting recipes'!$D$6:$D$1005,MATCH(B1788,'Crafting recipes'!$A$6:$A$1005,0)),"MISSING ID")</x:f>
        <x:v>Proposal</x:v>
      </x:c>
      <x:c r="L1788" s="4" t="str">
        <x:f>IFERROR(INDEX('Items'!$AD$6:$AD$1005,MATCH(D1788,'Items'!$A$6:$A$1005,0)),"MISSING ID")</x:f>
        <x:v>Author direction</x:v>
      </x:c>
      <x:c r="M1788" s="4" t="str">
        <x:f>IFERROR(INDEX('Crafting recipes'!$E$6:$E$1005,MATCH(B1788,'Crafting recipes'!$A$6:$A$1005,0)),"MISSING ID")</x:f>
        <x:v>Partial proposal</x:v>
      </x:c>
      <x:c r="N1788" s="4" t="str">
        <x:v>Partial audit candidate; quantity, fit and performance remain unresolved.</x:v>
      </x:c>
      <x:c r="O17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8" s="4" t="n">
        <x:f>IF(OR(C1788="Ingredient candidate",C1788="Consumed input",C1788="Contained input",C1788="Transform input"),IF(F1788="T0",0,IF(F1788="T1",1,IF(F1788="T2",2,IF(F1788="T3",3,IF(F1788="T4",4,-1))))),-1)</x:f>
        <x:v>2</x:v>
      </x:c>
      <x:c r="Q1788" s="4" t="n">
        <x:f>IF(AND(OR(C1788="Ingredient candidate",C1788="Consumed input",C1788="Contained input",C1788="Transform input"),P1788=-1),1,0)</x:f>
        <x:v>0</x:v>
      </x:c>
    </x:row>
    <x:row r="1789" ht="64" customHeight="1">
      <x:c r="A1789" s="4" t="str">
        <x:v>design.audit.proposal_legger_belly_pan.audit.in.2</x:v>
      </x:c>
      <x:c r="B1789" s="4" t="str">
        <x:v>design.audit.proposal_legger_belly_pan</x:v>
      </x:c>
      <x:c r="C1789" s="4" t="str">
        <x:v>Ingredient candidate</x:v>
      </x:c>
      <x:c r="D1789" s="4" t="str">
        <x:v>proposal.lore.fastener_set</x:v>
      </x:c>
      <x:c r="E1789" s="4" t="str">
        <x:f>IFERROR(INDEX('Items'!$B$6:$B$1005,MATCH(D1789,'Items'!$A$6:$A$1005,0)),"MISSING ID")</x:f>
        <x:v>Matched metal fastener set</x:v>
      </x:c>
      <x:c r="F1789" s="4" t="str">
        <x:f>IFERROR(INDEX('Items'!$C$6:$C$1005,MATCH(D1789,'Items'!$A$6:$A$1005,0)),"MISSING ID")</x:f>
        <x:v>T3</x:v>
      </x:c>
      <x:c r="G1789" s="4" t="str">
        <x:f>IFERROR(INDEX('Items'!$D$6:$D$1005,MATCH(D1789,'Items'!$A$6:$A$1005,0)),"MISSING ID")</x:f>
        <x:v>Crafting components</x:v>
      </x:c>
      <x:c r="H1789" s="4" t="str">
        <x:f>IFERROR(INDEX('Items'!$X$6:$X$1005,MATCH(D1789,'Items'!$A$6:$A$1005,0)),"MISSING ID")</x:f>
        <x:v>Crafting component</x:v>
      </x:c>
      <x:c r="I1789" s="4"/>
      <x:c r="J1789" s="4" t="str">
        <x:v>Unspecified</x:v>
      </x:c>
      <x:c r="K1789" s="4" t="str">
        <x:f>IFERROR(INDEX('Crafting recipes'!$D$6:$D$1005,MATCH(B1789,'Crafting recipes'!$A$6:$A$1005,0)),"MISSING ID")</x:f>
        <x:v>Proposal</x:v>
      </x:c>
      <x:c r="L1789" s="4" t="str">
        <x:f>IFERROR(INDEX('Items'!$AD$6:$AD$1005,MATCH(D1789,'Items'!$A$6:$A$1005,0)),"MISSING ID")</x:f>
        <x:v>Proposal</x:v>
      </x:c>
      <x:c r="M1789" s="4" t="str">
        <x:f>IFERROR(INDEX('Crafting recipes'!$E$6:$E$1005,MATCH(B1789,'Crafting recipes'!$A$6:$A$1005,0)),"MISSING ID")</x:f>
        <x:v>Partial proposal</x:v>
      </x:c>
      <x:c r="N1789" s="4" t="str">
        <x:v>Partial audit candidate; quantity, fit and performance remain unresolved.</x:v>
      </x:c>
      <x:c r="O17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9" s="4" t="n">
        <x:f>IF(OR(C1789="Ingredient candidate",C1789="Consumed input",C1789="Contained input",C1789="Transform input"),IF(F1789="T0",0,IF(F1789="T1",1,IF(F1789="T2",2,IF(F1789="T3",3,IF(F1789="T4",4,-1))))),-1)</x:f>
        <x:v>3</x:v>
      </x:c>
      <x:c r="Q1789" s="4" t="n">
        <x:f>IF(AND(OR(C1789="Ingredient candidate",C1789="Consumed input",C1789="Contained input",C1789="Transform input"),P1789=-1),1,0)</x:f>
        <x:v>0</x:v>
      </x:c>
    </x:row>
    <x:row r="1790" ht="64" customHeight="1">
      <x:c r="A1790" s="4" t="str">
        <x:v>design.audit.proposal_legger_belly_pan.audit.in.3</x:v>
      </x:c>
      <x:c r="B1790" s="4" t="str">
        <x:v>design.audit.proposal_legger_belly_pan</x:v>
      </x:c>
      <x:c r="C1790" s="4" t="str">
        <x:v>Ingredient candidate</x:v>
      </x:c>
      <x:c r="D1790" s="4" t="str">
        <x:v>proposal.t3.packing_stock</x:v>
      </x:c>
      <x:c r="E1790" s="4" t="str">
        <x:f>IFERROR(INDEX('Items'!$B$6:$B$1005,MATCH(D1790,'Items'!$A$6:$A$1005,0)),"MISSING ID")</x:f>
        <x:v>Husk-reinforced packing stock</x:v>
      </x:c>
      <x:c r="F1790" s="4" t="str">
        <x:f>IFERROR(INDEX('Items'!$C$6:$C$1005,MATCH(D1790,'Items'!$A$6:$A$1005,0)),"MISSING ID")</x:f>
        <x:v>T3</x:v>
      </x:c>
      <x:c r="G1790" s="4" t="str">
        <x:f>IFERROR(INDEX('Items'!$D$6:$D$1005,MATCH(D1790,'Items'!$A$6:$A$1005,0)),"MISSING ID")</x:f>
        <x:v>Manufactured stock</x:v>
      </x:c>
      <x:c r="H1790" s="4" t="str">
        <x:f>IFERROR(INDEX('Items'!$X$6:$X$1005,MATCH(D1790,'Items'!$A$6:$A$1005,0)),"MISSING ID")</x:f>
        <x:v>Processed material</x:v>
      </x:c>
      <x:c r="I1790" s="4"/>
      <x:c r="J1790" s="4" t="str">
        <x:v>Unspecified</x:v>
      </x:c>
      <x:c r="K1790" s="4" t="str">
        <x:f>IFERROR(INDEX('Crafting recipes'!$D$6:$D$1005,MATCH(B1790,'Crafting recipes'!$A$6:$A$1005,0)),"MISSING ID")</x:f>
        <x:v>Proposal</x:v>
      </x:c>
      <x:c r="L1790" s="4" t="str">
        <x:f>IFERROR(INDEX('Items'!$AD$6:$AD$1005,MATCH(D1790,'Items'!$A$6:$A$1005,0)),"MISSING ID")</x:f>
        <x:v>Proposal</x:v>
      </x:c>
      <x:c r="M1790" s="4" t="str">
        <x:f>IFERROR(INDEX('Crafting recipes'!$E$6:$E$1005,MATCH(B1790,'Crafting recipes'!$A$6:$A$1005,0)),"MISSING ID")</x:f>
        <x:v>Partial proposal</x:v>
      </x:c>
      <x:c r="N1790" s="4" t="str">
        <x:v>Partial audit candidate; quantity, fit and performance remain unresolved.</x:v>
      </x:c>
      <x:c r="O17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0" s="4" t="n">
        <x:f>IF(OR(C1790="Ingredient candidate",C1790="Consumed input",C1790="Contained input",C1790="Transform input"),IF(F1790="T0",0,IF(F1790="T1",1,IF(F1790="T2",2,IF(F1790="T3",3,IF(F1790="T4",4,-1))))),-1)</x:f>
        <x:v>3</x:v>
      </x:c>
      <x:c r="Q1790" s="4" t="n">
        <x:f>IF(AND(OR(C1790="Ingredient candidate",C1790="Consumed input",C1790="Contained input",C1790="Transform input"),P1790=-1),1,0)</x:f>
        <x:v>0</x:v>
      </x:c>
    </x:row>
    <x:row r="1791" ht="64" customHeight="1">
      <x:c r="A1791" s="4" t="str">
        <x:v>design.audit.proposal_legger_belly_pan.audit.out</x:v>
      </x:c>
      <x:c r="B1791" s="4" t="str">
        <x:v>design.audit.proposal_legger_belly_pan</x:v>
      </x:c>
      <x:c r="C1791" s="4" t="str">
        <x:v>Output</x:v>
      </x:c>
      <x:c r="D1791" s="4" t="str">
        <x:v>proposal.legger.belly_pan</x:v>
      </x:c>
      <x:c r="E1791" s="4" t="str">
        <x:f>IFERROR(INDEX('Items'!$B$6:$B$1005,MATCH(D1791,'Items'!$A$6:$A$1005,0)),"MISSING ID")</x:f>
        <x:v>Legger chassis belly pan</x:v>
      </x:c>
      <x:c r="F1791" s="4" t="str">
        <x:f>IFERROR(INDEX('Items'!$C$6:$C$1005,MATCH(D1791,'Items'!$A$6:$A$1005,0)),"MISSING ID")</x:f>
        <x:v>Not applicable</x:v>
      </x:c>
      <x:c r="G1791" s="4" t="str">
        <x:f>IFERROR(INDEX('Items'!$D$6:$D$1005,MATCH(D1791,'Items'!$A$6:$A$1005,0)),"MISSING ID")</x:f>
        <x:v>Legger armor</x:v>
      </x:c>
      <x:c r="H1791" s="4" t="str">
        <x:f>IFERROR(INDEX('Items'!$X$6:$X$1005,MATCH(D1791,'Items'!$A$6:$A$1005,0)),"MISSING ID")</x:f>
        <x:v>Armor</x:v>
      </x:c>
      <x:c r="I1791" s="4"/>
      <x:c r="J1791" s="4" t="str">
        <x:v>Unspecified</x:v>
      </x:c>
      <x:c r="K1791" s="4" t="str">
        <x:f>IFERROR(INDEX('Crafting recipes'!$D$6:$D$1005,MATCH(B1791,'Crafting recipes'!$A$6:$A$1005,0)),"MISSING ID")</x:f>
        <x:v>Proposal</x:v>
      </x:c>
      <x:c r="L1791" s="4" t="str">
        <x:f>IFERROR(INDEX('Items'!$AD$6:$AD$1005,MATCH(D1791,'Items'!$A$6:$A$1005,0)),"MISSING ID")</x:f>
        <x:v>Proposal</x:v>
      </x:c>
      <x:c r="M1791" s="4" t="str">
        <x:f>IFERROR(INDEX('Crafting recipes'!$E$6:$E$1005,MATCH(B1791,'Crafting recipes'!$A$6:$A$1005,0)),"MISSING ID")</x:f>
        <x:v>Partial proposal</x:v>
      </x:c>
      <x:c r="N1791" s="4" t="str">
        <x:v>Partial audit candidate; quantity, fit and performance remain unresolved.</x:v>
      </x:c>
      <x:c r="O17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1" s="4" t="n">
        <x:f>IF(OR(C1791="Ingredient candidate",C1791="Consumed input",C1791="Contained input",C1791="Transform input"),IF(F1791="T0",0,IF(F1791="T1",1,IF(F1791="T2",2,IF(F1791="T3",3,IF(F1791="T4",4,-1))))),-1)</x:f>
        <x:v>-1</x:v>
      </x:c>
      <x:c r="Q1791" s="4" t="n">
        <x:f>IF(AND(OR(C1791="Ingredient candidate",C1791="Consumed input",C1791="Contained input",C1791="Transform input"),P1791=-1),1,0)</x:f>
        <x:v>0</x:v>
      </x:c>
    </x:row>
    <x:row r="1792" ht="64" customHeight="1">
      <x:c r="A1792" s="4" t="str">
        <x:v>design.audit.proposal_legger_shell_guard.audit.in.1</x:v>
      </x:c>
      <x:c r="B1792" s="4" t="str">
        <x:v>design.audit.proposal_legger_shell_guard</x:v>
      </x:c>
      <x:c r="C1792" s="4" t="str">
        <x:v>Ingredient candidate</x:v>
      </x:c>
      <x:c r="D1792" s="4" t="str">
        <x:v>proposal.branch.ceramic_shell</x:v>
      </x:c>
      <x:c r="E1792" s="4" t="str">
        <x:f>IFERROR(INDEX('Items'!$B$6:$B$1005,MATCH(D1792,'Items'!$A$6:$A$1005,0)),"MISSING ID")</x:f>
        <x:v>Bonded ceramic-shell composite</x:v>
      </x:c>
      <x:c r="F1792" s="4" t="str">
        <x:f>IFERROR(INDEX('Items'!$C$6:$C$1005,MATCH(D1792,'Items'!$A$6:$A$1005,0)),"MISSING ID")</x:f>
        <x:v>T3</x:v>
      </x:c>
      <x:c r="G1792" s="4" t="str">
        <x:f>IFERROR(INDEX('Items'!$D$6:$D$1005,MATCH(D1792,'Items'!$A$6:$A$1005,0)),"MISSING ID")</x:f>
        <x:v>Manufactured stock</x:v>
      </x:c>
      <x:c r="H1792" s="4" t="str">
        <x:f>IFERROR(INDEX('Items'!$X$6:$X$1005,MATCH(D1792,'Items'!$A$6:$A$1005,0)),"MISSING ID")</x:f>
        <x:v>Processed material</x:v>
      </x:c>
      <x:c r="I1792" s="4"/>
      <x:c r="J1792" s="4" t="str">
        <x:v>Unspecified</x:v>
      </x:c>
      <x:c r="K1792" s="4" t="str">
        <x:f>IFERROR(INDEX('Crafting recipes'!$D$6:$D$1005,MATCH(B1792,'Crafting recipes'!$A$6:$A$1005,0)),"MISSING ID")</x:f>
        <x:v>Proposal</x:v>
      </x:c>
      <x:c r="L1792" s="4" t="str">
        <x:f>IFERROR(INDEX('Items'!$AD$6:$AD$1005,MATCH(D1792,'Items'!$A$6:$A$1005,0)),"MISSING ID")</x:f>
        <x:v>Proposal</x:v>
      </x:c>
      <x:c r="M1792" s="4" t="str">
        <x:f>IFERROR(INDEX('Crafting recipes'!$E$6:$E$1005,MATCH(B1792,'Crafting recipes'!$A$6:$A$1005,0)),"MISSING ID")</x:f>
        <x:v>Partial proposal</x:v>
      </x:c>
      <x:c r="N1792" s="4" t="str">
        <x:v>Partial audit candidate; quantity, fit and performance remain unresolved.</x:v>
      </x:c>
      <x:c r="O17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2" s="4" t="n">
        <x:f>IF(OR(C1792="Ingredient candidate",C1792="Consumed input",C1792="Contained input",C1792="Transform input"),IF(F1792="T0",0,IF(F1792="T1",1,IF(F1792="T2",2,IF(F1792="T3",3,IF(F1792="T4",4,-1))))),-1)</x:f>
        <x:v>3</x:v>
      </x:c>
      <x:c r="Q1792" s="4" t="n">
        <x:f>IF(AND(OR(C1792="Ingredient candidate",C1792="Consumed input",C1792="Contained input",C1792="Transform input"),P1792=-1),1,0)</x:f>
        <x:v>0</x:v>
      </x:c>
    </x:row>
    <x:row r="1793" ht="64" customHeight="1">
      <x:c r="A1793" s="4" t="str">
        <x:v>design.audit.proposal_legger_shell_guard.audit.in.2</x:v>
      </x:c>
      <x:c r="B1793" s="4" t="str">
        <x:v>design.audit.proposal_legger_shell_guard</x:v>
      </x:c>
      <x:c r="C1793" s="4" t="str">
        <x:v>Ingredient candidate</x:v>
      </x:c>
      <x:c r="D1793" s="4" t="str">
        <x:v>proposal.lore.fastener_set</x:v>
      </x:c>
      <x:c r="E1793" s="4" t="str">
        <x:f>IFERROR(INDEX('Items'!$B$6:$B$1005,MATCH(D1793,'Items'!$A$6:$A$1005,0)),"MISSING ID")</x:f>
        <x:v>Matched metal fastener set</x:v>
      </x:c>
      <x:c r="F1793" s="4" t="str">
        <x:f>IFERROR(INDEX('Items'!$C$6:$C$1005,MATCH(D1793,'Items'!$A$6:$A$1005,0)),"MISSING ID")</x:f>
        <x:v>T3</x:v>
      </x:c>
      <x:c r="G1793" s="4" t="str">
        <x:f>IFERROR(INDEX('Items'!$D$6:$D$1005,MATCH(D1793,'Items'!$A$6:$A$1005,0)),"MISSING ID")</x:f>
        <x:v>Crafting components</x:v>
      </x:c>
      <x:c r="H1793" s="4" t="str">
        <x:f>IFERROR(INDEX('Items'!$X$6:$X$1005,MATCH(D1793,'Items'!$A$6:$A$1005,0)),"MISSING ID")</x:f>
        <x:v>Crafting component</x:v>
      </x:c>
      <x:c r="I1793" s="4"/>
      <x:c r="J1793" s="4" t="str">
        <x:v>Unspecified</x:v>
      </x:c>
      <x:c r="K1793" s="4" t="str">
        <x:f>IFERROR(INDEX('Crafting recipes'!$D$6:$D$1005,MATCH(B1793,'Crafting recipes'!$A$6:$A$1005,0)),"MISSING ID")</x:f>
        <x:v>Proposal</x:v>
      </x:c>
      <x:c r="L1793" s="4" t="str">
        <x:f>IFERROR(INDEX('Items'!$AD$6:$AD$1005,MATCH(D1793,'Items'!$A$6:$A$1005,0)),"MISSING ID")</x:f>
        <x:v>Proposal</x:v>
      </x:c>
      <x:c r="M1793" s="4" t="str">
        <x:f>IFERROR(INDEX('Crafting recipes'!$E$6:$E$1005,MATCH(B1793,'Crafting recipes'!$A$6:$A$1005,0)),"MISSING ID")</x:f>
        <x:v>Partial proposal</x:v>
      </x:c>
      <x:c r="N1793" s="4" t="str">
        <x:v>Partial audit candidate; quantity, fit and performance remain unresolved.</x:v>
      </x:c>
      <x:c r="O17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3" s="4" t="n">
        <x:f>IF(OR(C1793="Ingredient candidate",C1793="Consumed input",C1793="Contained input",C1793="Transform input"),IF(F1793="T0",0,IF(F1793="T1",1,IF(F1793="T2",2,IF(F1793="T3",3,IF(F1793="T4",4,-1))))),-1)</x:f>
        <x:v>3</x:v>
      </x:c>
      <x:c r="Q1793" s="4" t="n">
        <x:f>IF(AND(OR(C1793="Ingredient candidate",C1793="Consumed input",C1793="Contained input",C1793="Transform input"),P1793=-1),1,0)</x:f>
        <x:v>0</x:v>
      </x:c>
    </x:row>
    <x:row r="1794" ht="64" customHeight="1">
      <x:c r="A1794" s="4" t="str">
        <x:v>design.audit.proposal_legger_shell_guard.audit.out</x:v>
      </x:c>
      <x:c r="B1794" s="4" t="str">
        <x:v>design.audit.proposal_legger_shell_guard</x:v>
      </x:c>
      <x:c r="C1794" s="4" t="str">
        <x:v>Output</x:v>
      </x:c>
      <x:c r="D1794" s="4" t="str">
        <x:v>proposal.legger.shell_guard</x:v>
      </x:c>
      <x:c r="E1794" s="4" t="str">
        <x:f>IFERROR(INDEX('Items'!$B$6:$B$1005,MATCH(D1794,'Items'!$A$6:$A$1005,0)),"MISSING ID")</x:f>
        <x:v>Chitin chassis guard</x:v>
      </x:c>
      <x:c r="F1794" s="4" t="str">
        <x:f>IFERROR(INDEX('Items'!$C$6:$C$1005,MATCH(D1794,'Items'!$A$6:$A$1005,0)),"MISSING ID")</x:f>
        <x:v>Not applicable</x:v>
      </x:c>
      <x:c r="G1794" s="4" t="str">
        <x:f>IFERROR(INDEX('Items'!$D$6:$D$1005,MATCH(D1794,'Items'!$A$6:$A$1005,0)),"MISSING ID")</x:f>
        <x:v>Legger armor</x:v>
      </x:c>
      <x:c r="H1794" s="4" t="str">
        <x:f>IFERROR(INDEX('Items'!$X$6:$X$1005,MATCH(D1794,'Items'!$A$6:$A$1005,0)),"MISSING ID")</x:f>
        <x:v>Armor</x:v>
      </x:c>
      <x:c r="I1794" s="4"/>
      <x:c r="J1794" s="4" t="str">
        <x:v>Unspecified</x:v>
      </x:c>
      <x:c r="K1794" s="4" t="str">
        <x:f>IFERROR(INDEX('Crafting recipes'!$D$6:$D$1005,MATCH(B1794,'Crafting recipes'!$A$6:$A$1005,0)),"MISSING ID")</x:f>
        <x:v>Proposal</x:v>
      </x:c>
      <x:c r="L1794" s="4" t="str">
        <x:f>IFERROR(INDEX('Items'!$AD$6:$AD$1005,MATCH(D1794,'Items'!$A$6:$A$1005,0)),"MISSING ID")</x:f>
        <x:v>Proposal</x:v>
      </x:c>
      <x:c r="M1794" s="4" t="str">
        <x:f>IFERROR(INDEX('Crafting recipes'!$E$6:$E$1005,MATCH(B1794,'Crafting recipes'!$A$6:$A$1005,0)),"MISSING ID")</x:f>
        <x:v>Partial proposal</x:v>
      </x:c>
      <x:c r="N1794" s="4" t="str">
        <x:v>Partial audit candidate; quantity, fit and performance remain unresolved.</x:v>
      </x:c>
      <x:c r="O17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4" s="4" t="n">
        <x:f>IF(OR(C1794="Ingredient candidate",C1794="Consumed input",C1794="Contained input",C1794="Transform input"),IF(F1794="T0",0,IF(F1794="T1",1,IF(F1794="T2",2,IF(F1794="T3",3,IF(F1794="T4",4,-1))))),-1)</x:f>
        <x:v>-1</x:v>
      </x:c>
      <x:c r="Q1794" s="4" t="n">
        <x:f>IF(AND(OR(C1794="Ingredient candidate",C1794="Consumed input",C1794="Contained input",C1794="Transform input"),P1794=-1),1,0)</x:f>
        <x:v>0</x:v>
      </x:c>
    </x:row>
    <x:row r="1795" ht="64" customHeight="1">
      <x:c r="A1795" s="4" t="str">
        <x:v>design.audit.proposal_legger_iron_guard.audit.in.1</x:v>
      </x:c>
      <x:c r="B1795" s="4" t="str">
        <x:v>design.audit.proposal_legger_iron_guard</x:v>
      </x:c>
      <x:c r="C1795" s="4" t="str">
        <x:v>Ingredient candidate</x:v>
      </x:c>
      <x:c r="D1795" s="4" t="str">
        <x:v>author.metallurgy.steel_stock</x:v>
      </x:c>
      <x:c r="E1795" s="4" t="str">
        <x:f>IFERROR(INDEX('Items'!$B$6:$B$1005,MATCH(D1795,'Items'!$A$6:$A$1005,0)),"MISSING ID")</x:f>
        <x:v>Steel stock</x:v>
      </x:c>
      <x:c r="F1795" s="4" t="str">
        <x:f>IFERROR(INDEX('Items'!$C$6:$C$1005,MATCH(D1795,'Items'!$A$6:$A$1005,0)),"MISSING ID")</x:f>
        <x:v>T2</x:v>
      </x:c>
      <x:c r="G1795" s="4" t="str">
        <x:f>IFERROR(INDEX('Items'!$D$6:$D$1005,MATCH(D1795,'Items'!$A$6:$A$1005,0)),"MISSING ID")</x:f>
        <x:v>Manufactured stock</x:v>
      </x:c>
      <x:c r="H1795" s="4" t="str">
        <x:f>IFERROR(INDEX('Items'!$X$6:$X$1005,MATCH(D1795,'Items'!$A$6:$A$1005,0)),"MISSING ID")</x:f>
        <x:v>Processed material</x:v>
      </x:c>
      <x:c r="I1795" s="4"/>
      <x:c r="J1795" s="4" t="str">
        <x:v>Unspecified</x:v>
      </x:c>
      <x:c r="K1795" s="4" t="str">
        <x:f>IFERROR(INDEX('Crafting recipes'!$D$6:$D$1005,MATCH(B1795,'Crafting recipes'!$A$6:$A$1005,0)),"MISSING ID")</x:f>
        <x:v>Proposal</x:v>
      </x:c>
      <x:c r="L1795" s="4" t="str">
        <x:f>IFERROR(INDEX('Items'!$AD$6:$AD$1005,MATCH(D1795,'Items'!$A$6:$A$1005,0)),"MISSING ID")</x:f>
        <x:v>Author direction</x:v>
      </x:c>
      <x:c r="M1795" s="4" t="str">
        <x:f>IFERROR(INDEX('Crafting recipes'!$E$6:$E$1005,MATCH(B1795,'Crafting recipes'!$A$6:$A$1005,0)),"MISSING ID")</x:f>
        <x:v>Partial proposal</x:v>
      </x:c>
      <x:c r="N1795" s="4" t="str">
        <x:v>Partial audit candidate; quantity, fit and performance remain unresolved.</x:v>
      </x:c>
      <x:c r="O17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5" s="4" t="n">
        <x:f>IF(OR(C1795="Ingredient candidate",C1795="Consumed input",C1795="Contained input",C1795="Transform input"),IF(F1795="T0",0,IF(F1795="T1",1,IF(F1795="T2",2,IF(F1795="T3",3,IF(F1795="T4",4,-1))))),-1)</x:f>
        <x:v>2</x:v>
      </x:c>
      <x:c r="Q1795" s="4" t="n">
        <x:f>IF(AND(OR(C1795="Ingredient candidate",C1795="Consumed input",C1795="Contained input",C1795="Transform input"),P1795=-1),1,0)</x:f>
        <x:v>0</x:v>
      </x:c>
    </x:row>
    <x:row r="1796" ht="64" customHeight="1">
      <x:c r="A1796" s="4" t="str">
        <x:v>design.audit.proposal_legger_iron_guard.audit.in.2</x:v>
      </x:c>
      <x:c r="B1796" s="4" t="str">
        <x:v>design.audit.proposal_legger_iron_guard</x:v>
      </x:c>
      <x:c r="C1796" s="4" t="str">
        <x:v>Ingredient candidate</x:v>
      </x:c>
      <x:c r="D1796" s="4" t="str">
        <x:v>proposal.lore.fastener_set</x:v>
      </x:c>
      <x:c r="E1796" s="4" t="str">
        <x:f>IFERROR(INDEX('Items'!$B$6:$B$1005,MATCH(D1796,'Items'!$A$6:$A$1005,0)),"MISSING ID")</x:f>
        <x:v>Matched metal fastener set</x:v>
      </x:c>
      <x:c r="F1796" s="4" t="str">
        <x:f>IFERROR(INDEX('Items'!$C$6:$C$1005,MATCH(D1796,'Items'!$A$6:$A$1005,0)),"MISSING ID")</x:f>
        <x:v>T3</x:v>
      </x:c>
      <x:c r="G1796" s="4" t="str">
        <x:f>IFERROR(INDEX('Items'!$D$6:$D$1005,MATCH(D1796,'Items'!$A$6:$A$1005,0)),"MISSING ID")</x:f>
        <x:v>Crafting components</x:v>
      </x:c>
      <x:c r="H1796" s="4" t="str">
        <x:f>IFERROR(INDEX('Items'!$X$6:$X$1005,MATCH(D1796,'Items'!$A$6:$A$1005,0)),"MISSING ID")</x:f>
        <x:v>Crafting component</x:v>
      </x:c>
      <x:c r="I1796" s="4"/>
      <x:c r="J1796" s="4" t="str">
        <x:v>Unspecified</x:v>
      </x:c>
      <x:c r="K1796" s="4" t="str">
        <x:f>IFERROR(INDEX('Crafting recipes'!$D$6:$D$1005,MATCH(B1796,'Crafting recipes'!$A$6:$A$1005,0)),"MISSING ID")</x:f>
        <x:v>Proposal</x:v>
      </x:c>
      <x:c r="L1796" s="4" t="str">
        <x:f>IFERROR(INDEX('Items'!$AD$6:$AD$1005,MATCH(D1796,'Items'!$A$6:$A$1005,0)),"MISSING ID")</x:f>
        <x:v>Proposal</x:v>
      </x:c>
      <x:c r="M1796" s="4" t="str">
        <x:f>IFERROR(INDEX('Crafting recipes'!$E$6:$E$1005,MATCH(B1796,'Crafting recipes'!$A$6:$A$1005,0)),"MISSING ID")</x:f>
        <x:v>Partial proposal</x:v>
      </x:c>
      <x:c r="N1796" s="4" t="str">
        <x:v>Partial audit candidate; quantity, fit and performance remain unresolved.</x:v>
      </x:c>
      <x:c r="O17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6" s="4" t="n">
        <x:f>IF(OR(C1796="Ingredient candidate",C1796="Consumed input",C1796="Contained input",C1796="Transform input"),IF(F1796="T0",0,IF(F1796="T1",1,IF(F1796="T2",2,IF(F1796="T3",3,IF(F1796="T4",4,-1))))),-1)</x:f>
        <x:v>3</x:v>
      </x:c>
      <x:c r="Q1796" s="4" t="n">
        <x:f>IF(AND(OR(C1796="Ingredient candidate",C1796="Consumed input",C1796="Contained input",C1796="Transform input"),P1796=-1),1,0)</x:f>
        <x:v>0</x:v>
      </x:c>
    </x:row>
    <x:row r="1797" ht="64" customHeight="1">
      <x:c r="A1797" s="4" t="str">
        <x:v>design.audit.proposal_legger_iron_guard.audit.in.3</x:v>
      </x:c>
      <x:c r="B1797" s="4" t="str">
        <x:v>design.audit.proposal_legger_iron_guard</x:v>
      </x:c>
      <x:c r="C1797" s="4" t="str">
        <x:v>Ingredient candidate</x:v>
      </x:c>
      <x:c r="D1797" s="4" t="str">
        <x:v>proposal.t3.packing_stock</x:v>
      </x:c>
      <x:c r="E1797" s="4" t="str">
        <x:f>IFERROR(INDEX('Items'!$B$6:$B$1005,MATCH(D1797,'Items'!$A$6:$A$1005,0)),"MISSING ID")</x:f>
        <x:v>Husk-reinforced packing stock</x:v>
      </x:c>
      <x:c r="F1797" s="4" t="str">
        <x:f>IFERROR(INDEX('Items'!$C$6:$C$1005,MATCH(D1797,'Items'!$A$6:$A$1005,0)),"MISSING ID")</x:f>
        <x:v>T3</x:v>
      </x:c>
      <x:c r="G1797" s="4" t="str">
        <x:f>IFERROR(INDEX('Items'!$D$6:$D$1005,MATCH(D1797,'Items'!$A$6:$A$1005,0)),"MISSING ID")</x:f>
        <x:v>Manufactured stock</x:v>
      </x:c>
      <x:c r="H1797" s="4" t="str">
        <x:f>IFERROR(INDEX('Items'!$X$6:$X$1005,MATCH(D1797,'Items'!$A$6:$A$1005,0)),"MISSING ID")</x:f>
        <x:v>Processed material</x:v>
      </x:c>
      <x:c r="I1797" s="4"/>
      <x:c r="J1797" s="4" t="str">
        <x:v>Unspecified</x:v>
      </x:c>
      <x:c r="K1797" s="4" t="str">
        <x:f>IFERROR(INDEX('Crafting recipes'!$D$6:$D$1005,MATCH(B1797,'Crafting recipes'!$A$6:$A$1005,0)),"MISSING ID")</x:f>
        <x:v>Proposal</x:v>
      </x:c>
      <x:c r="L1797" s="4" t="str">
        <x:f>IFERROR(INDEX('Items'!$AD$6:$AD$1005,MATCH(D1797,'Items'!$A$6:$A$1005,0)),"MISSING ID")</x:f>
        <x:v>Proposal</x:v>
      </x:c>
      <x:c r="M1797" s="4" t="str">
        <x:f>IFERROR(INDEX('Crafting recipes'!$E$6:$E$1005,MATCH(B1797,'Crafting recipes'!$A$6:$A$1005,0)),"MISSING ID")</x:f>
        <x:v>Partial proposal</x:v>
      </x:c>
      <x:c r="N1797" s="4" t="str">
        <x:v>Partial audit candidate; quantity, fit and performance remain unresolved.</x:v>
      </x:c>
      <x:c r="O1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7" s="4" t="n">
        <x:f>IF(OR(C1797="Ingredient candidate",C1797="Consumed input",C1797="Contained input",C1797="Transform input"),IF(F1797="T0",0,IF(F1797="T1",1,IF(F1797="T2",2,IF(F1797="T3",3,IF(F1797="T4",4,-1))))),-1)</x:f>
        <x:v>3</x:v>
      </x:c>
      <x:c r="Q1797" s="4" t="n">
        <x:f>IF(AND(OR(C1797="Ingredient candidate",C1797="Consumed input",C1797="Contained input",C1797="Transform input"),P1797=-1),1,0)</x:f>
        <x:v>0</x:v>
      </x:c>
    </x:row>
    <x:row r="1798" ht="64" customHeight="1">
      <x:c r="A1798" s="4" t="str">
        <x:v>design.audit.proposal_legger_iron_guard.audit.out</x:v>
      </x:c>
      <x:c r="B1798" s="4" t="str">
        <x:v>design.audit.proposal_legger_iron_guard</x:v>
      </x:c>
      <x:c r="C1798" s="4" t="str">
        <x:v>Output</x:v>
      </x:c>
      <x:c r="D1798" s="4" t="str">
        <x:v>proposal.legger.iron_guard</x:v>
      </x:c>
      <x:c r="E1798" s="4" t="str">
        <x:f>IFERROR(INDEX('Items'!$B$6:$B$1005,MATCH(D1798,'Items'!$A$6:$A$1005,0)),"MISSING ID")</x:f>
        <x:v>Iron chassis guard</x:v>
      </x:c>
      <x:c r="F1798" s="4" t="str">
        <x:f>IFERROR(INDEX('Items'!$C$6:$C$1005,MATCH(D1798,'Items'!$A$6:$A$1005,0)),"MISSING ID")</x:f>
        <x:v>Not applicable</x:v>
      </x:c>
      <x:c r="G1798" s="4" t="str">
        <x:f>IFERROR(INDEX('Items'!$D$6:$D$1005,MATCH(D1798,'Items'!$A$6:$A$1005,0)),"MISSING ID")</x:f>
        <x:v>Legger armor</x:v>
      </x:c>
      <x:c r="H1798" s="4" t="str">
        <x:f>IFERROR(INDEX('Items'!$X$6:$X$1005,MATCH(D1798,'Items'!$A$6:$A$1005,0)),"MISSING ID")</x:f>
        <x:v>Armor</x:v>
      </x:c>
      <x:c r="I1798" s="4"/>
      <x:c r="J1798" s="4" t="str">
        <x:v>Unspecified</x:v>
      </x:c>
      <x:c r="K1798" s="4" t="str">
        <x:f>IFERROR(INDEX('Crafting recipes'!$D$6:$D$1005,MATCH(B1798,'Crafting recipes'!$A$6:$A$1005,0)),"MISSING ID")</x:f>
        <x:v>Proposal</x:v>
      </x:c>
      <x:c r="L1798" s="4" t="str">
        <x:f>IFERROR(INDEX('Items'!$AD$6:$AD$1005,MATCH(D1798,'Items'!$A$6:$A$1005,0)),"MISSING ID")</x:f>
        <x:v>Proposal</x:v>
      </x:c>
      <x:c r="M1798" s="4" t="str">
        <x:f>IFERROR(INDEX('Crafting recipes'!$E$6:$E$1005,MATCH(B1798,'Crafting recipes'!$A$6:$A$1005,0)),"MISSING ID")</x:f>
        <x:v>Partial proposal</x:v>
      </x:c>
      <x:c r="N1798" s="4" t="str">
        <x:v>Partial audit candidate; quantity, fit and performance remain unresolved.</x:v>
      </x:c>
      <x:c r="O1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8" s="4" t="n">
        <x:f>IF(OR(C1798="Ingredient candidate",C1798="Consumed input",C1798="Contained input",C1798="Transform input"),IF(F1798="T0",0,IF(F1798="T1",1,IF(F1798="T2",2,IF(F1798="T3",3,IF(F1798="T4",4,-1))))),-1)</x:f>
        <x:v>-1</x:v>
      </x:c>
      <x:c r="Q1798" s="4" t="n">
        <x:f>IF(AND(OR(C1798="Ingredient candidate",C1798="Consumed input",C1798="Contained input",C1798="Transform input"),P1798=-1),1,0)</x:f>
        <x:v>0</x:v>
      </x:c>
    </x:row>
    <x:row r="1799" ht="64" customHeight="1">
      <x:c r="A1799" s="4"/>
      <x:c r="B1799" s="4"/>
      <x:c r="C1799" s="4"/>
      <x:c r="D1799" s="4"/>
      <x:c r="E1799" s="4"/>
      <x:c r="F1799" s="4"/>
      <x:c r="G1799" s="4"/>
      <x:c r="H1799" s="4"/>
      <x:c r="I1799" s="4"/>
      <x:c r="K1799" s="4"/>
      <x:c r="L1799" s="4"/>
      <x:c r="M1799" s="4"/>
      <x:c r="N1799" s="4"/>
      <x:c r="O1799" s="4"/>
      <x:c r="P1799" s="4"/>
      <x:c r="Q1799" s="4"/>
    </x:row>
    <x:row r="1800" ht="64" customHeight="1">
      <x:c r="A1800" s="4"/>
      <x:c r="B1800" s="4"/>
      <x:c r="C1800" s="4"/>
      <x:c r="D1800" s="4"/>
      <x:c r="E1800" s="4"/>
      <x:c r="F1800" s="4"/>
      <x:c r="G1800" s="4"/>
      <x:c r="H1800" s="4"/>
      <x:c r="I1800" s="4"/>
      <x:c r="K1800" s="4"/>
      <x:c r="L1800" s="4"/>
      <x:c r="M1800" s="4"/>
      <x:c r="N1800" s="4"/>
      <x:c r="O1800" s="4"/>
      <x:c r="P1800" s="4"/>
      <x:c r="Q1800" s="4"/>
    </x:row>
    <x:row r="1801" ht="64" customHeight="1">
      <x:c r="A1801" s="4"/>
      <x:c r="B1801" s="4"/>
      <x:c r="C1801" s="4"/>
      <x:c r="D1801" s="4"/>
      <x:c r="E1801" s="4"/>
      <x:c r="F1801" s="4"/>
      <x:c r="G1801" s="4"/>
      <x:c r="H1801" s="4"/>
      <x:c r="I1801" s="4"/>
      <x:c r="K1801" s="4"/>
      <x:c r="L1801" s="4"/>
      <x:c r="M1801" s="4"/>
      <x:c r="N1801" s="4"/>
      <x:c r="O1801" s="4"/>
      <x:c r="P1801" s="4"/>
      <x:c r="Q1801" s="4"/>
    </x:row>
    <x:row r="1802" ht="64" customHeight="1">
      <x:c r="A1802" s="4"/>
      <x:c r="B1802" s="4"/>
      <x:c r="C1802" s="4"/>
      <x:c r="D1802" s="4"/>
      <x:c r="E1802" s="4"/>
      <x:c r="F1802" s="4"/>
      <x:c r="G1802" s="4"/>
      <x:c r="H1802" s="4"/>
      <x:c r="I1802" s="4"/>
      <x:c r="K1802" s="4"/>
      <x:c r="L1802" s="4"/>
      <x:c r="M1802" s="4"/>
      <x:c r="N1802" s="4"/>
      <x:c r="O1802" s="4"/>
      <x:c r="P1802" s="4"/>
      <x:c r="Q1802" s="4"/>
    </x:row>
    <x:row r="1803" ht="64" customHeight="1">
      <x:c r="A1803" s="4" t="str">
        <x:v>design.audit.proposal_legger_ceramic_backing.audit.in.1</x:v>
      </x:c>
      <x:c r="B1803" s="4" t="str">
        <x:v>design.audit.proposal_legger_ceramic_backing</x:v>
      </x:c>
      <x:c r="C1803" s="4" t="str">
        <x:v>Ingredient candidate</x:v>
      </x:c>
      <x:c r="D1803" s="4" t="str">
        <x:v>proposal.branch.ceramic_shell</x:v>
      </x:c>
      <x:c r="E1803" s="4" t="str">
        <x:f>IFERROR(INDEX('Items'!$B$6:$B$1005,MATCH(D1803,'Items'!$A$6:$A$1005,0)),"MISSING ID")</x:f>
        <x:v>Bonded ceramic-shell composite</x:v>
      </x:c>
      <x:c r="F1803" s="4" t="str">
        <x:f>IFERROR(INDEX('Items'!$C$6:$C$1005,MATCH(D1803,'Items'!$A$6:$A$1005,0)),"MISSING ID")</x:f>
        <x:v>T3</x:v>
      </x:c>
      <x:c r="G1803" s="4" t="str">
        <x:f>IFERROR(INDEX('Items'!$D$6:$D$1005,MATCH(D1803,'Items'!$A$6:$A$1005,0)),"MISSING ID")</x:f>
        <x:v>Manufactured stock</x:v>
      </x:c>
      <x:c r="H1803" s="4" t="str">
        <x:f>IFERROR(INDEX('Items'!$X$6:$X$1005,MATCH(D1803,'Items'!$A$6:$A$1005,0)),"MISSING ID")</x:f>
        <x:v>Processed material</x:v>
      </x:c>
      <x:c r="I1803" s="4"/>
      <x:c r="J1803" s="4" t="str">
        <x:v>Unspecified</x:v>
      </x:c>
      <x:c r="K1803" s="4" t="str">
        <x:f>IFERROR(INDEX('Crafting recipes'!$D$6:$D$1005,MATCH(B1803,'Crafting recipes'!$A$6:$A$1005,0)),"MISSING ID")</x:f>
        <x:v>Proposal</x:v>
      </x:c>
      <x:c r="L1803" s="4" t="str">
        <x:f>IFERROR(INDEX('Items'!$AD$6:$AD$1005,MATCH(D1803,'Items'!$A$6:$A$1005,0)),"MISSING ID")</x:f>
        <x:v>Proposal</x:v>
      </x:c>
      <x:c r="M1803" s="4" t="str">
        <x:f>IFERROR(INDEX('Crafting recipes'!$E$6:$E$1005,MATCH(B1803,'Crafting recipes'!$A$6:$A$1005,0)),"MISSING ID")</x:f>
        <x:v>Partial proposal</x:v>
      </x:c>
      <x:c r="N1803" s="4" t="str">
        <x:v>Partial audit candidate; quantity, fit and performance remain unresolved.</x:v>
      </x:c>
      <x:c r="O1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3" s="4" t="n">
        <x:f>IF(OR(C1803="Ingredient candidate",C1803="Consumed input",C1803="Contained input",C1803="Transform input"),IF(F1803="T0",0,IF(F1803="T1",1,IF(F1803="T2",2,IF(F1803="T3",3,IF(F1803="T4",4,-1))))),-1)</x:f>
        <x:v>3</x:v>
      </x:c>
      <x:c r="Q1803" s="4" t="n">
        <x:f>IF(AND(OR(C1803="Ingredient candidate",C1803="Consumed input",C1803="Contained input",C1803="Transform input"),P1803=-1),1,0)</x:f>
        <x:v>0</x:v>
      </x:c>
    </x:row>
    <x:row r="1804" ht="64" customHeight="1">
      <x:c r="A1804" s="4" t="str">
        <x:v>design.audit.proposal_legger_ceramic_backing.audit.in.2</x:v>
      </x:c>
      <x:c r="B1804" s="4" t="str">
        <x:v>design.audit.proposal_legger_ceramic_backing</x:v>
      </x:c>
      <x:c r="C1804" s="4" t="str">
        <x:v>Ingredient candidate</x:v>
      </x:c>
      <x:c r="D1804" s="4" t="str">
        <x:v>proposal.lore.fastener_set</x:v>
      </x:c>
      <x:c r="E1804" s="4" t="str">
        <x:f>IFERROR(INDEX('Items'!$B$6:$B$1005,MATCH(D1804,'Items'!$A$6:$A$1005,0)),"MISSING ID")</x:f>
        <x:v>Matched metal fastener set</x:v>
      </x:c>
      <x:c r="F1804" s="4" t="str">
        <x:f>IFERROR(INDEX('Items'!$C$6:$C$1005,MATCH(D1804,'Items'!$A$6:$A$1005,0)),"MISSING ID")</x:f>
        <x:v>T3</x:v>
      </x:c>
      <x:c r="G1804" s="4" t="str">
        <x:f>IFERROR(INDEX('Items'!$D$6:$D$1005,MATCH(D1804,'Items'!$A$6:$A$1005,0)),"MISSING ID")</x:f>
        <x:v>Crafting components</x:v>
      </x:c>
      <x:c r="H1804" s="4" t="str">
        <x:f>IFERROR(INDEX('Items'!$X$6:$X$1005,MATCH(D1804,'Items'!$A$6:$A$1005,0)),"MISSING ID")</x:f>
        <x:v>Crafting component</x:v>
      </x:c>
      <x:c r="I1804" s="4"/>
      <x:c r="J1804" s="4" t="str">
        <x:v>Unspecified</x:v>
      </x:c>
      <x:c r="K1804" s="4" t="str">
        <x:f>IFERROR(INDEX('Crafting recipes'!$D$6:$D$1005,MATCH(B1804,'Crafting recipes'!$A$6:$A$1005,0)),"MISSING ID")</x:f>
        <x:v>Proposal</x:v>
      </x:c>
      <x:c r="L1804" s="4" t="str">
        <x:f>IFERROR(INDEX('Items'!$AD$6:$AD$1005,MATCH(D1804,'Items'!$A$6:$A$1005,0)),"MISSING ID")</x:f>
        <x:v>Proposal</x:v>
      </x:c>
      <x:c r="M1804" s="4" t="str">
        <x:f>IFERROR(INDEX('Crafting recipes'!$E$6:$E$1005,MATCH(B1804,'Crafting recipes'!$A$6:$A$1005,0)),"MISSING ID")</x:f>
        <x:v>Partial proposal</x:v>
      </x:c>
      <x:c r="N1804" s="4" t="str">
        <x:v>Partial audit candidate; quantity, fit and performance remain unresolved.</x:v>
      </x:c>
      <x:c r="O1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4" s="4" t="n">
        <x:f>IF(OR(C1804="Ingredient candidate",C1804="Consumed input",C1804="Contained input",C1804="Transform input"),IF(F1804="T0",0,IF(F1804="T1",1,IF(F1804="T2",2,IF(F1804="T3",3,IF(F1804="T4",4,-1))))),-1)</x:f>
        <x:v>3</x:v>
      </x:c>
      <x:c r="Q1804" s="4" t="n">
        <x:f>IF(AND(OR(C1804="Ingredient candidate",C1804="Consumed input",C1804="Contained input",C1804="Transform input"),P1804=-1),1,0)</x:f>
        <x:v>0</x:v>
      </x:c>
    </x:row>
    <x:row r="1805" ht="64" customHeight="1">
      <x:c r="A1805" s="4" t="str">
        <x:v>design.audit.proposal_legger_ceramic_backing.audit.out</x:v>
      </x:c>
      <x:c r="B1805" s="4" t="str">
        <x:v>design.audit.proposal_legger_ceramic_backing</x:v>
      </x:c>
      <x:c r="C1805" s="4" t="str">
        <x:v>Output</x:v>
      </x:c>
      <x:c r="D1805" s="4" t="str">
        <x:v>proposal.legger.ceramic_backing</x:v>
      </x:c>
      <x:c r="E1805" s="4" t="str">
        <x:f>IFERROR(INDEX('Items'!$B$6:$B$1005,MATCH(D1805,'Items'!$A$6:$A$1005,0)),"MISSING ID")</x:f>
        <x:v>Ceramic armor backing insert</x:v>
      </x:c>
      <x:c r="F1805" s="4" t="str">
        <x:f>IFERROR(INDEX('Items'!$C$6:$C$1005,MATCH(D1805,'Items'!$A$6:$A$1005,0)),"MISSING ID")</x:f>
        <x:v>Not applicable</x:v>
      </x:c>
      <x:c r="G1805" s="4" t="str">
        <x:f>IFERROR(INDEX('Items'!$D$6:$D$1005,MATCH(D1805,'Items'!$A$6:$A$1005,0)),"MISSING ID")</x:f>
        <x:v>Legger attachments</x:v>
      </x:c>
      <x:c r="H1805" s="4" t="str">
        <x:f>IFERROR(INDEX('Items'!$X$6:$X$1005,MATCH(D1805,'Items'!$A$6:$A$1005,0)),"MISSING ID")</x:f>
        <x:v>Armor</x:v>
      </x:c>
      <x:c r="I1805" s="4"/>
      <x:c r="J1805" s="4" t="str">
        <x:v>Unspecified</x:v>
      </x:c>
      <x:c r="K1805" s="4" t="str">
        <x:f>IFERROR(INDEX('Crafting recipes'!$D$6:$D$1005,MATCH(B1805,'Crafting recipes'!$A$6:$A$1005,0)),"MISSING ID")</x:f>
        <x:v>Proposal</x:v>
      </x:c>
      <x:c r="L1805" s="4" t="str">
        <x:f>IFERROR(INDEX('Items'!$AD$6:$AD$1005,MATCH(D1805,'Items'!$A$6:$A$1005,0)),"MISSING ID")</x:f>
        <x:v>Proposal</x:v>
      </x:c>
      <x:c r="M1805" s="4" t="str">
        <x:f>IFERROR(INDEX('Crafting recipes'!$E$6:$E$1005,MATCH(B1805,'Crafting recipes'!$A$6:$A$1005,0)),"MISSING ID")</x:f>
        <x:v>Partial proposal</x:v>
      </x:c>
      <x:c r="N1805" s="4" t="str">
        <x:v>Partial audit candidate; quantity, fit and performance remain unresolved.</x:v>
      </x:c>
      <x:c r="O1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5" s="4" t="n">
        <x:f>IF(OR(C1805="Ingredient candidate",C1805="Consumed input",C1805="Contained input",C1805="Transform input"),IF(F1805="T0",0,IF(F1805="T1",1,IF(F1805="T2",2,IF(F1805="T3",3,IF(F1805="T4",4,-1))))),-1)</x:f>
        <x:v>-1</x:v>
      </x:c>
      <x:c r="Q1805" s="4" t="n">
        <x:f>IF(AND(OR(C1805="Ingredient candidate",C1805="Consumed input",C1805="Contained input",C1805="Transform input"),P1805=-1),1,0)</x:f>
        <x:v>0</x:v>
      </x:c>
    </x:row>
    <x:row r="1806" ht="64" customHeight="1">
      <x:c r="A1806" s="4"/>
      <x:c r="B1806" s="4"/>
      <x:c r="C1806" s="4"/>
      <x:c r="D1806" s="4"/>
      <x:c r="E1806" s="4"/>
      <x:c r="F1806" s="4"/>
      <x:c r="G1806" s="4"/>
      <x:c r="H1806" s="4"/>
      <x:c r="I1806" s="4"/>
      <x:c r="K1806" s="4"/>
      <x:c r="L1806" s="4"/>
      <x:c r="M1806" s="4"/>
      <x:c r="N1806" s="4"/>
      <x:c r="O1806" s="4"/>
      <x:c r="P1806" s="4"/>
      <x:c r="Q1806" s="4"/>
    </x:row>
    <x:row r="1807" ht="64" customHeight="1">
      <x:c r="A1807" s="4"/>
      <x:c r="B1807" s="4"/>
      <x:c r="C1807" s="4"/>
      <x:c r="D1807" s="4"/>
      <x:c r="E1807" s="4"/>
      <x:c r="F1807" s="4"/>
      <x:c r="G1807" s="4"/>
      <x:c r="H1807" s="4"/>
      <x:c r="I1807" s="4"/>
      <x:c r="K1807" s="4"/>
      <x:c r="L1807" s="4"/>
      <x:c r="M1807" s="4"/>
      <x:c r="N1807" s="4"/>
      <x:c r="O1807" s="4"/>
      <x:c r="P1807" s="4"/>
      <x:c r="Q1807" s="4"/>
    </x:row>
    <x:row r="1808" ht="64" customHeight="1">
      <x:c r="A1808" s="4"/>
      <x:c r="B1808" s="4"/>
      <x:c r="C1808" s="4"/>
      <x:c r="D1808" s="4"/>
      <x:c r="E1808" s="4"/>
      <x:c r="F1808" s="4"/>
      <x:c r="G1808" s="4"/>
      <x:c r="H1808" s="4"/>
      <x:c r="I1808" s="4"/>
      <x:c r="K1808" s="4"/>
      <x:c r="L1808" s="4"/>
      <x:c r="M1808" s="4"/>
      <x:c r="N1808" s="4"/>
      <x:c r="O1808" s="4"/>
      <x:c r="P1808" s="4"/>
      <x:c r="Q1808" s="4"/>
    </x:row>
    <x:row r="1809" ht="64" customHeight="1">
      <x:c r="A1809" s="4"/>
      <x:c r="B1809" s="4"/>
      <x:c r="C1809" s="4"/>
      <x:c r="D1809" s="4"/>
      <x:c r="E1809" s="4"/>
      <x:c r="F1809" s="4"/>
      <x:c r="G1809" s="4"/>
      <x:c r="H1809" s="4"/>
      <x:c r="I1809" s="4"/>
      <x:c r="K1809" s="4"/>
      <x:c r="L1809" s="4"/>
      <x:c r="M1809" s="4"/>
      <x:c r="N1809" s="4"/>
      <x:c r="O1809" s="4"/>
      <x:c r="P1809" s="4"/>
      <x:c r="Q1809" s="4"/>
    </x:row>
    <x:row r="1810" ht="64" customHeight="1">
      <x:c r="A1810" s="4"/>
      <x:c r="B1810" s="4"/>
      <x:c r="C1810" s="4"/>
      <x:c r="D1810" s="4"/>
      <x:c r="E1810" s="4"/>
      <x:c r="F1810" s="4"/>
      <x:c r="G1810" s="4"/>
      <x:c r="H1810" s="4"/>
      <x:c r="I1810" s="4"/>
      <x:c r="K1810" s="4"/>
      <x:c r="L1810" s="4"/>
      <x:c r="M1810" s="4"/>
      <x:c r="N1810" s="4"/>
      <x:c r="O1810" s="4"/>
      <x:c r="P1810" s="4"/>
      <x:c r="Q1810" s="4"/>
    </x:row>
    <x:row r="1811" ht="64" customHeight="1">
      <x:c r="A1811" s="4"/>
      <x:c r="B1811" s="4"/>
      <x:c r="C1811" s="4"/>
      <x:c r="D1811" s="4"/>
      <x:c r="E1811" s="4"/>
      <x:c r="F1811" s="4"/>
      <x:c r="G1811" s="4"/>
      <x:c r="H1811" s="4"/>
      <x:c r="I1811" s="4"/>
      <x:c r="K1811" s="4"/>
      <x:c r="L1811" s="4"/>
      <x:c r="M1811" s="4"/>
      <x:c r="N1811" s="4"/>
      <x:c r="O1811" s="4"/>
      <x:c r="P1811" s="4"/>
      <x:c r="Q1811" s="4"/>
    </x:row>
    <x:row r="1812" ht="64" customHeight="1">
      <x:c r="A1812" s="4"/>
      <x:c r="B1812" s="4"/>
      <x:c r="C1812" s="4"/>
      <x:c r="D1812" s="4"/>
      <x:c r="E1812" s="4"/>
      <x:c r="F1812" s="4"/>
      <x:c r="G1812" s="4"/>
      <x:c r="H1812" s="4"/>
      <x:c r="I1812" s="4"/>
      <x:c r="K1812" s="4"/>
      <x:c r="L1812" s="4"/>
      <x:c r="M1812" s="4"/>
      <x:c r="N1812" s="4"/>
      <x:c r="O1812" s="4"/>
      <x:c r="P1812" s="4"/>
      <x:c r="Q1812" s="4"/>
    </x:row>
    <x:row r="1813" ht="64" customHeight="1">
      <x:c r="A1813" s="4"/>
      <x:c r="B1813" s="4"/>
      <x:c r="C1813" s="4"/>
      <x:c r="D1813" s="4"/>
      <x:c r="E1813" s="4"/>
      <x:c r="F1813" s="4"/>
      <x:c r="G1813" s="4"/>
      <x:c r="H1813" s="4"/>
      <x:c r="I1813" s="4"/>
      <x:c r="K1813" s="4"/>
      <x:c r="L1813" s="4"/>
      <x:c r="M1813" s="4"/>
      <x:c r="N1813" s="4"/>
      <x:c r="O1813" s="4"/>
      <x:c r="P1813" s="4"/>
      <x:c r="Q1813" s="4"/>
    </x:row>
    <x:row r="1814" ht="64" customHeight="1">
      <x:c r="A1814" s="4"/>
      <x:c r="B1814" s="4"/>
      <x:c r="C1814" s="4"/>
      <x:c r="D1814" s="4"/>
      <x:c r="E1814" s="4"/>
      <x:c r="F1814" s="4"/>
      <x:c r="G1814" s="4"/>
      <x:c r="H1814" s="4"/>
      <x:c r="I1814" s="4"/>
      <x:c r="K1814" s="4"/>
      <x:c r="L1814" s="4"/>
      <x:c r="M1814" s="4"/>
      <x:c r="N1814" s="4"/>
      <x:c r="O1814" s="4"/>
      <x:c r="P1814" s="4"/>
      <x:c r="Q1814" s="4"/>
    </x:row>
    <x:row r="1815" ht="64" customHeight="1">
      <x:c r="A1815" s="4"/>
      <x:c r="B1815" s="4"/>
      <x:c r="C1815" s="4"/>
      <x:c r="D1815" s="4"/>
      <x:c r="E1815" s="4"/>
      <x:c r="F1815" s="4"/>
      <x:c r="G1815" s="4"/>
      <x:c r="H1815" s="4"/>
      <x:c r="I1815" s="4"/>
      <x:c r="K1815" s="4"/>
      <x:c r="L1815" s="4"/>
      <x:c r="M1815" s="4"/>
      <x:c r="N1815" s="4"/>
      <x:c r="O1815" s="4"/>
      <x:c r="P1815" s="4"/>
      <x:c r="Q1815" s="4"/>
    </x:row>
    <x:row r="1816" ht="64" customHeight="1">
      <x:c r="A1816" s="4"/>
      <x:c r="B1816" s="4"/>
      <x:c r="C1816" s="4"/>
      <x:c r="D1816" s="4"/>
      <x:c r="E1816" s="4"/>
      <x:c r="F1816" s="4"/>
      <x:c r="G1816" s="4"/>
      <x:c r="H1816" s="4"/>
      <x:c r="I1816" s="4"/>
      <x:c r="K1816" s="4"/>
      <x:c r="L1816" s="4"/>
      <x:c r="M1816" s="4"/>
      <x:c r="N1816" s="4"/>
      <x:c r="O1816" s="4"/>
      <x:c r="P1816" s="4"/>
      <x:c r="Q1816" s="4"/>
    </x:row>
    <x:row r="1817" ht="64" customHeight="1">
      <x:c r="A1817" s="4" t="str">
        <x:v>design.audit.proposal_legger_board_bracket.audit.in.1</x:v>
      </x:c>
      <x:c r="B1817" s="4" t="str">
        <x:v>design.audit.proposal_legger_board_bracket</x:v>
      </x:c>
      <x:c r="C1817" s="4" t="str">
        <x:v>Ingredient candidate</x:v>
      </x:c>
      <x:c r="D1817" s="4" t="str">
        <x:v>proposal.legger.mount_rail</x:v>
      </x:c>
      <x:c r="E1817" s="4" t="str">
        <x:f>IFERROR(INDEX('Items'!$B$6:$B$1005,MATCH(D1817,'Items'!$A$6:$A$1005,0)),"MISSING ID")</x:f>
        <x:v>Legger attachment rail</x:v>
      </x:c>
      <x:c r="F1817" s="4" t="str">
        <x:f>IFERROR(INDEX('Items'!$C$6:$C$1005,MATCH(D1817,'Items'!$A$6:$A$1005,0)),"MISSING ID")</x:f>
        <x:v>T3</x:v>
      </x:c>
      <x:c r="G1817" s="4" t="str">
        <x:f>IFERROR(INDEX('Items'!$D$6:$D$1005,MATCH(D1817,'Items'!$A$6:$A$1005,0)),"MISSING ID")</x:f>
        <x:v>Crafting components</x:v>
      </x:c>
      <x:c r="H1817" s="4" t="str">
        <x:f>IFERROR(INDEX('Items'!$X$6:$X$1005,MATCH(D1817,'Items'!$A$6:$A$1005,0)),"MISSING ID")</x:f>
        <x:v>Crafting component</x:v>
      </x:c>
      <x:c r="I1817" s="4"/>
      <x:c r="J1817" s="4" t="str">
        <x:v>Unspecified</x:v>
      </x:c>
      <x:c r="K1817" s="4" t="str">
        <x:f>IFERROR(INDEX('Crafting recipes'!$D$6:$D$1005,MATCH(B1817,'Crafting recipes'!$A$6:$A$1005,0)),"MISSING ID")</x:f>
        <x:v>Proposal</x:v>
      </x:c>
      <x:c r="L1817" s="4" t="str">
        <x:f>IFERROR(INDEX('Items'!$AD$6:$AD$1005,MATCH(D1817,'Items'!$A$6:$A$1005,0)),"MISSING ID")</x:f>
        <x:v>Proposal</x:v>
      </x:c>
      <x:c r="M1817" s="4" t="str">
        <x:f>IFERROR(INDEX('Crafting recipes'!$E$6:$E$1005,MATCH(B1817,'Crafting recipes'!$A$6:$A$1005,0)),"MISSING ID")</x:f>
        <x:v>Partial proposal</x:v>
      </x:c>
      <x:c r="N1817" s="4" t="str">
        <x:v>Partial audit candidate; quantity, fit and performance remain unresolved.</x:v>
      </x:c>
      <x:c r="O1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7" s="4" t="n">
        <x:f>IF(OR(C1817="Ingredient candidate",C1817="Consumed input",C1817="Contained input",C1817="Transform input"),IF(F1817="T0",0,IF(F1817="T1",1,IF(F1817="T2",2,IF(F1817="T3",3,IF(F1817="T4",4,-1))))),-1)</x:f>
        <x:v>3</x:v>
      </x:c>
      <x:c r="Q1817" s="4" t="n">
        <x:f>IF(AND(OR(C1817="Ingredient candidate",C1817="Consumed input",C1817="Contained input",C1817="Transform input"),P1817=-1),1,0)</x:f>
        <x:v>0</x:v>
      </x:c>
    </x:row>
    <x:row r="1818" ht="64" customHeight="1">
      <x:c r="A1818" s="4" t="str">
        <x:v>design.audit.proposal_legger_board_bracket.audit.in.2</x:v>
      </x:c>
      <x:c r="B1818" s="4" t="str">
        <x:v>design.audit.proposal_legger_board_bracket</x:v>
      </x:c>
      <x:c r="C1818" s="4" t="str">
        <x:v>Ingredient candidate</x:v>
      </x:c>
      <x:c r="D1818" s="4" t="str">
        <x:v>proposal.legger.long_load_clamp</x:v>
      </x:c>
      <x:c r="E1818" s="4" t="str">
        <x:f>IFERROR(INDEX('Items'!$B$6:$B$1005,MATCH(D1818,'Items'!$A$6:$A$1005,0)),"MISSING ID")</x:f>
        <x:v>Legger long-load clamp</x:v>
      </x:c>
      <x:c r="F1818" s="4" t="str">
        <x:f>IFERROR(INDEX('Items'!$C$6:$C$1005,MATCH(D1818,'Items'!$A$6:$A$1005,0)),"MISSING ID")</x:f>
        <x:v>T3</x:v>
      </x:c>
      <x:c r="G1818" s="4" t="str">
        <x:f>IFERROR(INDEX('Items'!$D$6:$D$1005,MATCH(D1818,'Items'!$A$6:$A$1005,0)),"MISSING ID")</x:f>
        <x:v>Crafting components</x:v>
      </x:c>
      <x:c r="H1818" s="4" t="str">
        <x:f>IFERROR(INDEX('Items'!$X$6:$X$1005,MATCH(D1818,'Items'!$A$6:$A$1005,0)),"MISSING ID")</x:f>
        <x:v>Crafting component</x:v>
      </x:c>
      <x:c r="I1818" s="4"/>
      <x:c r="J1818" s="4" t="str">
        <x:v>Unspecified</x:v>
      </x:c>
      <x:c r="K1818" s="4" t="str">
        <x:f>IFERROR(INDEX('Crafting recipes'!$D$6:$D$1005,MATCH(B1818,'Crafting recipes'!$A$6:$A$1005,0)),"MISSING ID")</x:f>
        <x:v>Proposal</x:v>
      </x:c>
      <x:c r="L1818" s="4" t="str">
        <x:f>IFERROR(INDEX('Items'!$AD$6:$AD$1005,MATCH(D1818,'Items'!$A$6:$A$1005,0)),"MISSING ID")</x:f>
        <x:v>Proposal</x:v>
      </x:c>
      <x:c r="M1818" s="4" t="str">
        <x:f>IFERROR(INDEX('Crafting recipes'!$E$6:$E$1005,MATCH(B1818,'Crafting recipes'!$A$6:$A$1005,0)),"MISSING ID")</x:f>
        <x:v>Partial proposal</x:v>
      </x:c>
      <x:c r="N1818" s="4" t="str">
        <x:v>Partial audit candidate; quantity, fit and performance remain unresolved.</x:v>
      </x:c>
      <x:c r="O1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8" s="4" t="n">
        <x:f>IF(OR(C1818="Ingredient candidate",C1818="Consumed input",C1818="Contained input",C1818="Transform input"),IF(F1818="T0",0,IF(F1818="T1",1,IF(F1818="T2",2,IF(F1818="T3",3,IF(F1818="T4",4,-1))))),-1)</x:f>
        <x:v>3</x:v>
      </x:c>
      <x:c r="Q1818" s="4" t="n">
        <x:f>IF(AND(OR(C1818="Ingredient candidate",C1818="Consumed input",C1818="Contained input",C1818="Transform input"),P1818=-1),1,0)</x:f>
        <x:v>0</x:v>
      </x:c>
    </x:row>
    <x:row r="1819" ht="64" customHeight="1">
      <x:c r="A1819" s="4" t="str">
        <x:v>design.audit.proposal_legger_board_bracket.audit.out</x:v>
      </x:c>
      <x:c r="B1819" s="4" t="str">
        <x:v>design.audit.proposal_legger_board_bracket</x:v>
      </x:c>
      <x:c r="C1819" s="4" t="str">
        <x:v>Output</x:v>
      </x:c>
      <x:c r="D1819" s="4" t="str">
        <x:v>proposal.legger.board_bracket</x:v>
      </x:c>
      <x:c r="E1819" s="4" t="str">
        <x:f>IFERROR(INDEX('Items'!$B$6:$B$1005,MATCH(D1819,'Items'!$A$6:$A$1005,0)),"MISSING ID")</x:f>
        <x:v>Legger dirtboard carrying bracket</x:v>
      </x:c>
      <x:c r="F1819" s="4" t="str">
        <x:f>IFERROR(INDEX('Items'!$C$6:$C$1005,MATCH(D1819,'Items'!$A$6:$A$1005,0)),"MISSING ID")</x:f>
        <x:v>Not applicable</x:v>
      </x:c>
      <x:c r="G1819" s="4" t="str">
        <x:f>IFERROR(INDEX('Items'!$D$6:$D$1005,MATCH(D1819,'Items'!$A$6:$A$1005,0)),"MISSING ID")</x:f>
        <x:v>Salvage</x:v>
      </x:c>
      <x:c r="H1819" s="4" t="str">
        <x:f>IFERROR(INDEX('Items'!$X$6:$X$1005,MATCH(D1819,'Items'!$A$6:$A$1005,0)),"MISSING ID")</x:f>
        <x:v>Carrier</x:v>
      </x:c>
      <x:c r="I1819" s="4"/>
      <x:c r="J1819" s="4" t="str">
        <x:v>Unspecified</x:v>
      </x:c>
      <x:c r="K1819" s="4" t="str">
        <x:f>IFERROR(INDEX('Crafting recipes'!$D$6:$D$1005,MATCH(B1819,'Crafting recipes'!$A$6:$A$1005,0)),"MISSING ID")</x:f>
        <x:v>Proposal</x:v>
      </x:c>
      <x:c r="L1819" s="4" t="str">
        <x:f>IFERROR(INDEX('Items'!$AD$6:$AD$1005,MATCH(D1819,'Items'!$A$6:$A$1005,0)),"MISSING ID")</x:f>
        <x:v>Proposal</x:v>
      </x:c>
      <x:c r="M1819" s="4" t="str">
        <x:f>IFERROR(INDEX('Crafting recipes'!$E$6:$E$1005,MATCH(B1819,'Crafting recipes'!$A$6:$A$1005,0)),"MISSING ID")</x:f>
        <x:v>Partial proposal</x:v>
      </x:c>
      <x:c r="N1819" s="4" t="str">
        <x:v>Partial audit candidate; quantity, fit and performance remain unresolved.</x:v>
      </x:c>
      <x:c r="O1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9" s="4" t="n">
        <x:f>IF(OR(C1819="Ingredient candidate",C1819="Consumed input",C1819="Contained input",C1819="Transform input"),IF(F1819="T0",0,IF(F1819="T1",1,IF(F1819="T2",2,IF(F1819="T3",3,IF(F1819="T4",4,-1))))),-1)</x:f>
        <x:v>-1</x:v>
      </x:c>
      <x:c r="Q1819" s="4" t="n">
        <x:f>IF(AND(OR(C1819="Ingredient candidate",C1819="Consumed input",C1819="Contained input",C1819="Transform input"),P1819=-1),1,0)</x:f>
        <x:v>0</x:v>
      </x:c>
    </x:row>
    <x:row r="1820" ht="64" customHeight="1">
      <x:c r="A1820" s="4" t="str">
        <x:v>design.audit.proposal_legger_grease_applicator.audit.in.1</x:v>
      </x:c>
      <x:c r="B1820" s="4" t="str">
        <x:v>design.audit.proposal_legger_grease_applicator</x:v>
      </x:c>
      <x:c r="C1820" s="4" t="str">
        <x:v>Ingredient candidate</x:v>
      </x:c>
      <x:c r="D1820" s="4" t="str">
        <x:v>proposal.t3.precision_tube</x:v>
      </x:c>
      <x:c r="E1820" s="4" t="str">
        <x:f>IFERROR(INDEX('Items'!$B$6:$B$1005,MATCH(D1820,'Items'!$A$6:$A$1005,0)),"MISSING ID")</x:f>
        <x:v>Drawn steel tube stock</x:v>
      </x:c>
      <x:c r="F1820" s="4" t="str">
        <x:f>IFERROR(INDEX('Items'!$C$6:$C$1005,MATCH(D1820,'Items'!$A$6:$A$1005,0)),"MISSING ID")</x:f>
        <x:v>T3</x:v>
      </x:c>
      <x:c r="G1820" s="4" t="str">
        <x:f>IFERROR(INDEX('Items'!$D$6:$D$1005,MATCH(D1820,'Items'!$A$6:$A$1005,0)),"MISSING ID")</x:f>
        <x:v>Manufactured stock</x:v>
      </x:c>
      <x:c r="H1820" s="4" t="str">
        <x:f>IFERROR(INDEX('Items'!$X$6:$X$1005,MATCH(D1820,'Items'!$A$6:$A$1005,0)),"MISSING ID")</x:f>
        <x:v>Processed material</x:v>
      </x:c>
      <x:c r="I1820" s="4"/>
      <x:c r="J1820" s="4" t="str">
        <x:v>Unspecified</x:v>
      </x:c>
      <x:c r="K1820" s="4" t="str">
        <x:f>IFERROR(INDEX('Crafting recipes'!$D$6:$D$1005,MATCH(B1820,'Crafting recipes'!$A$6:$A$1005,0)),"MISSING ID")</x:f>
        <x:v>Proposal</x:v>
      </x:c>
      <x:c r="L1820" s="4" t="str">
        <x:f>IFERROR(INDEX('Items'!$AD$6:$AD$1005,MATCH(D1820,'Items'!$A$6:$A$1005,0)),"MISSING ID")</x:f>
        <x:v>Proposal</x:v>
      </x:c>
      <x:c r="M1820" s="4" t="str">
        <x:f>IFERROR(INDEX('Crafting recipes'!$E$6:$E$1005,MATCH(B1820,'Crafting recipes'!$A$6:$A$1005,0)),"MISSING ID")</x:f>
        <x:v>Partial proposal</x:v>
      </x:c>
      <x:c r="N1820" s="4" t="str">
        <x:v>Partial audit candidate; quantity, fit and performance remain unresolved.</x:v>
      </x:c>
      <x:c r="O1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0" s="4" t="n">
        <x:f>IF(OR(C1820="Ingredient candidate",C1820="Consumed input",C1820="Contained input",C1820="Transform input"),IF(F1820="T0",0,IF(F1820="T1",1,IF(F1820="T2",2,IF(F1820="T3",3,IF(F1820="T4",4,-1))))),-1)</x:f>
        <x:v>3</x:v>
      </x:c>
      <x:c r="Q1820" s="4" t="n">
        <x:f>IF(AND(OR(C1820="Ingredient candidate",C1820="Consumed input",C1820="Contained input",C1820="Transform input"),P1820=-1),1,0)</x:f>
        <x:v>0</x:v>
      </x:c>
    </x:row>
    <x:row r="1821" ht="64" customHeight="1">
      <x:c r="A1821" s="4" t="str">
        <x:v>design.audit.proposal_legger_grease_applicator.audit.in.2</x:v>
      </x:c>
      <x:c r="B1821" s="4" t="str">
        <x:v>design.audit.proposal_legger_grease_applicator</x:v>
      </x:c>
      <x:c r="C1821" s="4" t="str">
        <x:v>Ingredient candidate</x:v>
      </x:c>
      <x:c r="D1821" s="4" t="str">
        <x:v>proposal.legger.service_adapter</x:v>
      </x:c>
      <x:c r="E1821" s="4" t="str">
        <x:f>IFERROR(INDEX('Items'!$B$6:$B$1005,MATCH(D1821,'Items'!$A$6:$A$1005,0)),"MISSING ID")</x:f>
        <x:v>Lubricant service-port adapter</x:v>
      </x:c>
      <x:c r="F1821" s="4" t="str">
        <x:f>IFERROR(INDEX('Items'!$C$6:$C$1005,MATCH(D1821,'Items'!$A$6:$A$1005,0)),"MISSING ID")</x:f>
        <x:v>T4</x:v>
      </x:c>
      <x:c r="G1821" s="4" t="str">
        <x:f>IFERROR(INDEX('Items'!$D$6:$D$1005,MATCH(D1821,'Items'!$A$6:$A$1005,0)),"MISSING ID")</x:f>
        <x:v>Crafting components</x:v>
      </x:c>
      <x:c r="H1821" s="4" t="str">
        <x:f>IFERROR(INDEX('Items'!$X$6:$X$1005,MATCH(D1821,'Items'!$A$6:$A$1005,0)),"MISSING ID")</x:f>
        <x:v>Container part</x:v>
      </x:c>
      <x:c r="I1821" s="4"/>
      <x:c r="J1821" s="4" t="str">
        <x:v>Unspecified</x:v>
      </x:c>
      <x:c r="K1821" s="4" t="str">
        <x:f>IFERROR(INDEX('Crafting recipes'!$D$6:$D$1005,MATCH(B1821,'Crafting recipes'!$A$6:$A$1005,0)),"MISSING ID")</x:f>
        <x:v>Proposal</x:v>
      </x:c>
      <x:c r="L1821" s="4" t="str">
        <x:f>IFERROR(INDEX('Items'!$AD$6:$AD$1005,MATCH(D1821,'Items'!$A$6:$A$1005,0)),"MISSING ID")</x:f>
        <x:v>Proposal</x:v>
      </x:c>
      <x:c r="M1821" s="4" t="str">
        <x:f>IFERROR(INDEX('Crafting recipes'!$E$6:$E$1005,MATCH(B1821,'Crafting recipes'!$A$6:$A$1005,0)),"MISSING ID")</x:f>
        <x:v>Partial proposal</x:v>
      </x:c>
      <x:c r="N1821" s="4" t="str">
        <x:v>Partial audit candidate; quantity, fit and performance remain unresolved.</x:v>
      </x:c>
      <x:c r="O1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1" s="4" t="n">
        <x:f>IF(OR(C1821="Ingredient candidate",C1821="Consumed input",C1821="Contained input",C1821="Transform input"),IF(F1821="T0",0,IF(F1821="T1",1,IF(F1821="T2",2,IF(F1821="T3",3,IF(F1821="T4",4,-1))))),-1)</x:f>
        <x:v>4</x:v>
      </x:c>
      <x:c r="Q1821" s="4" t="n">
        <x:f>IF(AND(OR(C1821="Ingredient candidate",C1821="Consumed input",C1821="Contained input",C1821="Transform input"),P1821=-1),1,0)</x:f>
        <x:v>0</x:v>
      </x:c>
    </x:row>
    <x:row r="1822" ht="64" customHeight="1">
      <x:c r="A1822" s="4" t="str">
        <x:v>design.audit.proposal_legger_grease_applicator.audit.in.3</x:v>
      </x:c>
      <x:c r="B1822" s="4" t="str">
        <x:v>design.audit.proposal_legger_grease_applicator</x:v>
      </x:c>
      <x:c r="C1822" s="4" t="str">
        <x:v>Ingredient candidate</x:v>
      </x:c>
      <x:c r="D1822" s="4" t="str">
        <x:v>proposal.legger.grease_cup</x:v>
      </x:c>
      <x:c r="E1822" s="4" t="str">
        <x:f>IFERROR(INDEX('Items'!$B$6:$B$1005,MATCH(D1822,'Items'!$A$6:$A$1005,0)),"MISSING ID")</x:f>
        <x:v>Fitted joint lubricant cup</x:v>
      </x:c>
      <x:c r="F1822" s="4" t="str">
        <x:f>IFERROR(INDEX('Items'!$C$6:$C$1005,MATCH(D1822,'Items'!$A$6:$A$1005,0)),"MISSING ID")</x:f>
        <x:v>T3</x:v>
      </x:c>
      <x:c r="G1822" s="4" t="str">
        <x:f>IFERROR(INDEX('Items'!$D$6:$D$1005,MATCH(D1822,'Items'!$A$6:$A$1005,0)),"MISSING ID")</x:f>
        <x:v>Crafting components</x:v>
      </x:c>
      <x:c r="H1822" s="4" t="str">
        <x:f>IFERROR(INDEX('Items'!$X$6:$X$1005,MATCH(D1822,'Items'!$A$6:$A$1005,0)),"MISSING ID")</x:f>
        <x:v>Container part</x:v>
      </x:c>
      <x:c r="I1822" s="4"/>
      <x:c r="J1822" s="4" t="str">
        <x:v>Unspecified</x:v>
      </x:c>
      <x:c r="K1822" s="4" t="str">
        <x:f>IFERROR(INDEX('Crafting recipes'!$D$6:$D$1005,MATCH(B1822,'Crafting recipes'!$A$6:$A$1005,0)),"MISSING ID")</x:f>
        <x:v>Proposal</x:v>
      </x:c>
      <x:c r="L1822" s="4" t="str">
        <x:f>IFERROR(INDEX('Items'!$AD$6:$AD$1005,MATCH(D1822,'Items'!$A$6:$A$1005,0)),"MISSING ID")</x:f>
        <x:v>Proposal</x:v>
      </x:c>
      <x:c r="M1822" s="4" t="str">
        <x:f>IFERROR(INDEX('Crafting recipes'!$E$6:$E$1005,MATCH(B1822,'Crafting recipes'!$A$6:$A$1005,0)),"MISSING ID")</x:f>
        <x:v>Partial proposal</x:v>
      </x:c>
      <x:c r="N1822" s="4" t="str">
        <x:v>Partial audit candidate; quantity, fit and performance remain unresolved.</x:v>
      </x:c>
      <x:c r="O1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2" s="4" t="n">
        <x:f>IF(OR(C1822="Ingredient candidate",C1822="Consumed input",C1822="Contained input",C1822="Transform input"),IF(F1822="T0",0,IF(F1822="T1",1,IF(F1822="T2",2,IF(F1822="T3",3,IF(F1822="T4",4,-1))))),-1)</x:f>
        <x:v>3</x:v>
      </x:c>
      <x:c r="Q1822" s="4" t="n">
        <x:f>IF(AND(OR(C1822="Ingredient candidate",C1822="Consumed input",C1822="Contained input",C1822="Transform input"),P1822=-1),1,0)</x:f>
        <x:v>0</x:v>
      </x:c>
    </x:row>
    <x:row r="1823" ht="64" customHeight="1">
      <x:c r="A1823" s="4" t="str">
        <x:v>design.audit.proposal_legger_grease_applicator.audit.out</x:v>
      </x:c>
      <x:c r="B1823" s="4" t="str">
        <x:v>design.audit.proposal_legger_grease_applicator</x:v>
      </x:c>
      <x:c r="C1823" s="4" t="str">
        <x:v>Output</x:v>
      </x:c>
      <x:c r="D1823" s="4" t="str">
        <x:v>proposal.legger.grease_applicator</x:v>
      </x:c>
      <x:c r="E1823" s="4" t="str">
        <x:f>IFERROR(INDEX('Items'!$B$6:$B$1005,MATCH(D1823,'Items'!$A$6:$A$1005,0)),"MISSING ID")</x:f>
        <x:v>Joint grease applicator</x:v>
      </x:c>
      <x:c r="F1823" s="4" t="str">
        <x:f>IFERROR(INDEX('Items'!$C$6:$C$1005,MATCH(D1823,'Items'!$A$6:$A$1005,0)),"MISSING ID")</x:f>
        <x:v>Not applicable</x:v>
      </x:c>
      <x:c r="G1823" s="4" t="str">
        <x:f>IFERROR(INDEX('Items'!$D$6:$D$1005,MATCH(D1823,'Items'!$A$6:$A$1005,0)),"MISSING ID")</x:f>
        <x:v>Salvage</x:v>
      </x:c>
      <x:c r="H1823" s="4" t="str">
        <x:f>IFERROR(INDEX('Items'!$X$6:$X$1005,MATCH(D1823,'Items'!$A$6:$A$1005,0)),"MISSING ID")</x:f>
        <x:v>Tool</x:v>
      </x:c>
      <x:c r="I1823" s="4"/>
      <x:c r="J1823" s="4" t="str">
        <x:v>Unspecified</x:v>
      </x:c>
      <x:c r="K1823" s="4" t="str">
        <x:f>IFERROR(INDEX('Crafting recipes'!$D$6:$D$1005,MATCH(B1823,'Crafting recipes'!$A$6:$A$1005,0)),"MISSING ID")</x:f>
        <x:v>Proposal</x:v>
      </x:c>
      <x:c r="L1823" s="4" t="str">
        <x:f>IFERROR(INDEX('Items'!$AD$6:$AD$1005,MATCH(D1823,'Items'!$A$6:$A$1005,0)),"MISSING ID")</x:f>
        <x:v>Proposal</x:v>
      </x:c>
      <x:c r="M1823" s="4" t="str">
        <x:f>IFERROR(INDEX('Crafting recipes'!$E$6:$E$1005,MATCH(B1823,'Crafting recipes'!$A$6:$A$1005,0)),"MISSING ID")</x:f>
        <x:v>Partial proposal</x:v>
      </x:c>
      <x:c r="N1823" s="4" t="str">
        <x:v>Partial audit candidate; quantity, fit and performance remain unresolved.</x:v>
      </x:c>
      <x:c r="O1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3" s="4" t="n">
        <x:f>IF(OR(C1823="Ingredient candidate",C1823="Consumed input",C1823="Contained input",C1823="Transform input"),IF(F1823="T0",0,IF(F1823="T1",1,IF(F1823="T2",2,IF(F1823="T3",3,IF(F1823="T4",4,-1))))),-1)</x:f>
        <x:v>-1</x:v>
      </x:c>
      <x:c r="Q1823" s="4" t="n">
        <x:f>IF(AND(OR(C1823="Ingredient candidate",C1823="Consumed input",C1823="Contained input",C1823="Transform input"),P1823=-1),1,0)</x:f>
        <x:v>0</x:v>
      </x:c>
    </x:row>
    <x:row r="1824" ht="64" customHeight="1">
      <x:c r="A1824" s="4" t="str">
        <x:v>design.audit.proposal_legger_service_pick.audit.in.1</x:v>
      </x:c>
      <x:c r="B1824" s="4" t="str">
        <x:v>design.audit.proposal_legger_service_pick</x:v>
      </x:c>
      <x:c r="C1824" s="4" t="str">
        <x:v>Ingredient candidate</x:v>
      </x:c>
      <x:c r="D1824" s="4" t="str">
        <x:v>author.metallurgy.steel_stock</x:v>
      </x:c>
      <x:c r="E1824" s="4" t="str">
        <x:f>IFERROR(INDEX('Items'!$B$6:$B$1005,MATCH(D1824,'Items'!$A$6:$A$1005,0)),"MISSING ID")</x:f>
        <x:v>Steel stock</x:v>
      </x:c>
      <x:c r="F1824" s="4" t="str">
        <x:f>IFERROR(INDEX('Items'!$C$6:$C$1005,MATCH(D1824,'Items'!$A$6:$A$1005,0)),"MISSING ID")</x:f>
        <x:v>T2</x:v>
      </x:c>
      <x:c r="G1824" s="4" t="str">
        <x:f>IFERROR(INDEX('Items'!$D$6:$D$1005,MATCH(D1824,'Items'!$A$6:$A$1005,0)),"MISSING ID")</x:f>
        <x:v>Manufactured stock</x:v>
      </x:c>
      <x:c r="H1824" s="4" t="str">
        <x:f>IFERROR(INDEX('Items'!$X$6:$X$1005,MATCH(D1824,'Items'!$A$6:$A$1005,0)),"MISSING ID")</x:f>
        <x:v>Processed material</x:v>
      </x:c>
      <x:c r="I1824" s="4"/>
      <x:c r="J1824" s="4" t="str">
        <x:v>Unspecified</x:v>
      </x:c>
      <x:c r="K1824" s="4" t="str">
        <x:f>IFERROR(INDEX('Crafting recipes'!$D$6:$D$1005,MATCH(B1824,'Crafting recipes'!$A$6:$A$1005,0)),"MISSING ID")</x:f>
        <x:v>Proposal</x:v>
      </x:c>
      <x:c r="L1824" s="4" t="str">
        <x:f>IFERROR(INDEX('Items'!$AD$6:$AD$1005,MATCH(D1824,'Items'!$A$6:$A$1005,0)),"MISSING ID")</x:f>
        <x:v>Author direction</x:v>
      </x:c>
      <x:c r="M1824" s="4" t="str">
        <x:f>IFERROR(INDEX('Crafting recipes'!$E$6:$E$1005,MATCH(B1824,'Crafting recipes'!$A$6:$A$1005,0)),"MISSING ID")</x:f>
        <x:v>Partial proposal</x:v>
      </x:c>
      <x:c r="N1824" s="4" t="str">
        <x:v>Partial audit candidate; quantity, fit and performance remain unresolved.</x:v>
      </x:c>
      <x:c r="O1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4" s="4" t="n">
        <x:f>IF(OR(C1824="Ingredient candidate",C1824="Consumed input",C1824="Contained input",C1824="Transform input"),IF(F1824="T0",0,IF(F1824="T1",1,IF(F1824="T2",2,IF(F1824="T3",3,IF(F1824="T4",4,-1))))),-1)</x:f>
        <x:v>2</x:v>
      </x:c>
      <x:c r="Q1824" s="4" t="n">
        <x:f>IF(AND(OR(C1824="Ingredient candidate",C1824="Consumed input",C1824="Contained input",C1824="Transform input"),P1824=-1),1,0)</x:f>
        <x:v>0</x:v>
      </x:c>
    </x:row>
    <x:row r="1825" ht="64" customHeight="1">
      <x:c r="A1825" s="4" t="str">
        <x:v>design.audit.proposal_legger_service_pick.audit.in.2</x:v>
      </x:c>
      <x:c r="B1825" s="4" t="str">
        <x:v>design.audit.proposal_legger_service_pick</x:v>
      </x:c>
      <x:c r="C1825" s="4" t="str">
        <x:v>Ingredient candidate</x:v>
      </x:c>
      <x:c r="D1825" s="4" t="str">
        <x:v>proposal.audit.shaped_metal_grip_blank</x:v>
      </x:c>
      <x:c r="E1825" s="4" t="str">
        <x:f>IFERROR(INDEX('Items'!$B$6:$B$1005,MATCH(D1825,'Items'!$A$6:$A$1005,0)),"MISSING ID")</x:f>
        <x:v>Shaped metal grip blank</x:v>
      </x:c>
      <x:c r="F1825" s="4" t="str">
        <x:f>IFERROR(INDEX('Items'!$C$6:$C$1005,MATCH(D1825,'Items'!$A$6:$A$1005,0)),"MISSING ID")</x:f>
        <x:v>T3</x:v>
      </x:c>
      <x:c r="G1825" s="4" t="str">
        <x:f>IFERROR(INDEX('Items'!$D$6:$D$1005,MATCH(D1825,'Items'!$A$6:$A$1005,0)),"MISSING ID")</x:f>
        <x:v>Crafting components</x:v>
      </x:c>
      <x:c r="H1825" s="4" t="str">
        <x:f>IFERROR(INDEX('Items'!$X$6:$X$1005,MATCH(D1825,'Items'!$A$6:$A$1005,0)),"MISSING ID")</x:f>
        <x:v>Crafting component</x:v>
      </x:c>
      <x:c r="I1825" s="4"/>
      <x:c r="J1825" s="4" t="str">
        <x:v>Unspecified</x:v>
      </x:c>
      <x:c r="K1825" s="4" t="str">
        <x:f>IFERROR(INDEX('Crafting recipes'!$D$6:$D$1005,MATCH(B1825,'Crafting recipes'!$A$6:$A$1005,0)),"MISSING ID")</x:f>
        <x:v>Proposal</x:v>
      </x:c>
      <x:c r="L1825" s="4" t="str">
        <x:f>IFERROR(INDEX('Items'!$AD$6:$AD$1005,MATCH(D1825,'Items'!$A$6:$A$1005,0)),"MISSING ID")</x:f>
        <x:v>Proposal</x:v>
      </x:c>
      <x:c r="M1825" s="4" t="str">
        <x:f>IFERROR(INDEX('Crafting recipes'!$E$6:$E$1005,MATCH(B1825,'Crafting recipes'!$A$6:$A$1005,0)),"MISSING ID")</x:f>
        <x:v>Partial proposal</x:v>
      </x:c>
      <x:c r="N1825" s="4" t="str">
        <x:v>Partial audit candidate; quantity, fit and performance remain unresolved.</x:v>
      </x:c>
      <x:c r="O1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5" s="4" t="n">
        <x:f>IF(OR(C1825="Ingredient candidate",C1825="Consumed input",C1825="Contained input",C1825="Transform input"),IF(F1825="T0",0,IF(F1825="T1",1,IF(F1825="T2",2,IF(F1825="T3",3,IF(F1825="T4",4,-1))))),-1)</x:f>
        <x:v>3</x:v>
      </x:c>
      <x:c r="Q1825" s="4" t="n">
        <x:f>IF(AND(OR(C1825="Ingredient candidate",C1825="Consumed input",C1825="Contained input",C1825="Transform input"),P1825=-1),1,0)</x:f>
        <x:v>0</x:v>
      </x:c>
    </x:row>
    <x:row r="1826" ht="64" customHeight="1">
      <x:c r="A1826" s="4" t="str">
        <x:v>design.audit.proposal_legger_service_pick.audit.out</x:v>
      </x:c>
      <x:c r="B1826" s="4" t="str">
        <x:v>design.audit.proposal_legger_service_pick</x:v>
      </x:c>
      <x:c r="C1826" s="4" t="str">
        <x:v>Output</x:v>
      </x:c>
      <x:c r="D1826" s="4" t="str">
        <x:v>proposal.legger.service_pick</x:v>
      </x:c>
      <x:c r="E1826" s="4" t="str">
        <x:f>IFERROR(INDEX('Items'!$B$6:$B$1005,MATCH(D1826,'Items'!$A$6:$A$1005,0)),"MISSING ID")</x:f>
        <x:v>Joint-service cleaning pick</x:v>
      </x:c>
      <x:c r="F1826" s="4" t="str">
        <x:f>IFERROR(INDEX('Items'!$C$6:$C$1005,MATCH(D1826,'Items'!$A$6:$A$1005,0)),"MISSING ID")</x:f>
        <x:v>Not applicable</x:v>
      </x:c>
      <x:c r="G1826" s="4" t="str">
        <x:f>IFERROR(INDEX('Items'!$D$6:$D$1005,MATCH(D1826,'Items'!$A$6:$A$1005,0)),"MISSING ID")</x:f>
        <x:v>Salvage</x:v>
      </x:c>
      <x:c r="H1826" s="4" t="str">
        <x:f>IFERROR(INDEX('Items'!$X$6:$X$1005,MATCH(D1826,'Items'!$A$6:$A$1005,0)),"MISSING ID")</x:f>
        <x:v>Tool</x:v>
      </x:c>
      <x:c r="I1826" s="4"/>
      <x:c r="J1826" s="4" t="str">
        <x:v>Unspecified</x:v>
      </x:c>
      <x:c r="K1826" s="4" t="str">
        <x:f>IFERROR(INDEX('Crafting recipes'!$D$6:$D$1005,MATCH(B1826,'Crafting recipes'!$A$6:$A$1005,0)),"MISSING ID")</x:f>
        <x:v>Proposal</x:v>
      </x:c>
      <x:c r="L1826" s="4" t="str">
        <x:f>IFERROR(INDEX('Items'!$AD$6:$AD$1005,MATCH(D1826,'Items'!$A$6:$A$1005,0)),"MISSING ID")</x:f>
        <x:v>Proposal</x:v>
      </x:c>
      <x:c r="M1826" s="4" t="str">
        <x:f>IFERROR(INDEX('Crafting recipes'!$E$6:$E$1005,MATCH(B1826,'Crafting recipes'!$A$6:$A$1005,0)),"MISSING ID")</x:f>
        <x:v>Partial proposal</x:v>
      </x:c>
      <x:c r="N1826" s="4" t="str">
        <x:v>Partial audit candidate; quantity, fit and performance remain unresolved.</x:v>
      </x:c>
      <x:c r="O1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6" s="4" t="n">
        <x:f>IF(OR(C1826="Ingredient candidate",C1826="Consumed input",C1826="Contained input",C1826="Transform input"),IF(F1826="T0",0,IF(F1826="T1",1,IF(F1826="T2",2,IF(F1826="T3",3,IF(F1826="T4",4,-1))))),-1)</x:f>
        <x:v>-1</x:v>
      </x:c>
      <x:c r="Q1826" s="4" t="n">
        <x:f>IF(AND(OR(C1826="Ingredient candidate",C1826="Consumed input",C1826="Contained input",C1826="Transform input"),P1826=-1),1,0)</x:f>
        <x:v>0</x:v>
      </x:c>
    </x:row>
    <x:row r="1827" ht="64" customHeight="1">
      <x:c r="A1827" s="4" t="str">
        <x:v>design.audit.proposal_legger_bearing_puller.audit.in.1</x:v>
      </x:c>
      <x:c r="B1827" s="4" t="str">
        <x:v>design.audit.proposal_legger_bearing_puller</x:v>
      </x:c>
      <x:c r="C1827" s="4" t="str">
        <x:v>Ingredient candidate</x:v>
      </x:c>
      <x:c r="D1827" s="4" t="str">
        <x:v>author.metallurgy.steel_stock</x:v>
      </x:c>
      <x:c r="E1827" s="4" t="str">
        <x:f>IFERROR(INDEX('Items'!$B$6:$B$1005,MATCH(D1827,'Items'!$A$6:$A$1005,0)),"MISSING ID")</x:f>
        <x:v>Steel stock</x:v>
      </x:c>
      <x:c r="F1827" s="4" t="str">
        <x:f>IFERROR(INDEX('Items'!$C$6:$C$1005,MATCH(D1827,'Items'!$A$6:$A$1005,0)),"MISSING ID")</x:f>
        <x:v>T2</x:v>
      </x:c>
      <x:c r="G1827" s="4" t="str">
        <x:f>IFERROR(INDEX('Items'!$D$6:$D$1005,MATCH(D1827,'Items'!$A$6:$A$1005,0)),"MISSING ID")</x:f>
        <x:v>Manufactured stock</x:v>
      </x:c>
      <x:c r="H1827" s="4" t="str">
        <x:f>IFERROR(INDEX('Items'!$X$6:$X$1005,MATCH(D1827,'Items'!$A$6:$A$1005,0)),"MISSING ID")</x:f>
        <x:v>Processed material</x:v>
      </x:c>
      <x:c r="I1827" s="4"/>
      <x:c r="J1827" s="4" t="str">
        <x:v>Unspecified</x:v>
      </x:c>
      <x:c r="K1827" s="4" t="str">
        <x:f>IFERROR(INDEX('Crafting recipes'!$D$6:$D$1005,MATCH(B1827,'Crafting recipes'!$A$6:$A$1005,0)),"MISSING ID")</x:f>
        <x:v>Proposal</x:v>
      </x:c>
      <x:c r="L1827" s="4" t="str">
        <x:f>IFERROR(INDEX('Items'!$AD$6:$AD$1005,MATCH(D1827,'Items'!$A$6:$A$1005,0)),"MISSING ID")</x:f>
        <x:v>Author direction</x:v>
      </x:c>
      <x:c r="M1827" s="4" t="str">
        <x:f>IFERROR(INDEX('Crafting recipes'!$E$6:$E$1005,MATCH(B1827,'Crafting recipes'!$A$6:$A$1005,0)),"MISSING ID")</x:f>
        <x:v>Partial proposal</x:v>
      </x:c>
      <x:c r="N1827" s="4" t="str">
        <x:v>Partial audit candidate; quantity, fit and performance remain unresolved.</x:v>
      </x:c>
      <x:c r="O1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7" s="4" t="n">
        <x:f>IF(OR(C1827="Ingredient candidate",C1827="Consumed input",C1827="Contained input",C1827="Transform input"),IF(F1827="T0",0,IF(F1827="T1",1,IF(F1827="T2",2,IF(F1827="T3",3,IF(F1827="T4",4,-1))))),-1)</x:f>
        <x:v>2</x:v>
      </x:c>
      <x:c r="Q1827" s="4" t="n">
        <x:f>IF(AND(OR(C1827="Ingredient candidate",C1827="Consumed input",C1827="Contained input",C1827="Transform input"),P1827=-1),1,0)</x:f>
        <x:v>0</x:v>
      </x:c>
    </x:row>
    <x:row r="1828" ht="64" customHeight="1">
      <x:c r="A1828" s="4" t="str">
        <x:v>design.audit.proposal_legger_bearing_puller.audit.in.2</x:v>
      </x:c>
      <x:c r="B1828" s="4" t="str">
        <x:v>design.audit.proposal_legger_bearing_puller</x:v>
      </x:c>
      <x:c r="C1828" s="4" t="str">
        <x:v>Ingredient candidate</x:v>
      </x:c>
      <x:c r="D1828" s="4" t="str">
        <x:v>proposal.audit.threaded_drive_screw</x:v>
      </x:c>
      <x:c r="E1828" s="4" t="str">
        <x:f>IFERROR(INDEX('Items'!$B$6:$B$1005,MATCH(D1828,'Items'!$A$6:$A$1005,0)),"MISSING ID")</x:f>
        <x:v>Threaded drive screw</x:v>
      </x:c>
      <x:c r="F1828" s="4" t="str">
        <x:f>IFERROR(INDEX('Items'!$C$6:$C$1005,MATCH(D1828,'Items'!$A$6:$A$1005,0)),"MISSING ID")</x:f>
        <x:v>T3</x:v>
      </x:c>
      <x:c r="G1828" s="4" t="str">
        <x:f>IFERROR(INDEX('Items'!$D$6:$D$1005,MATCH(D1828,'Items'!$A$6:$A$1005,0)),"MISSING ID")</x:f>
        <x:v>Crafting components</x:v>
      </x:c>
      <x:c r="H1828" s="4" t="str">
        <x:f>IFERROR(INDEX('Items'!$X$6:$X$1005,MATCH(D1828,'Items'!$A$6:$A$1005,0)),"MISSING ID")</x:f>
        <x:v>Machine part</x:v>
      </x:c>
      <x:c r="I1828" s="4"/>
      <x:c r="J1828" s="4" t="str">
        <x:v>Unspecified</x:v>
      </x:c>
      <x:c r="K1828" s="4" t="str">
        <x:f>IFERROR(INDEX('Crafting recipes'!$D$6:$D$1005,MATCH(B1828,'Crafting recipes'!$A$6:$A$1005,0)),"MISSING ID")</x:f>
        <x:v>Proposal</x:v>
      </x:c>
      <x:c r="L1828" s="4" t="str">
        <x:f>IFERROR(INDEX('Items'!$AD$6:$AD$1005,MATCH(D1828,'Items'!$A$6:$A$1005,0)),"MISSING ID")</x:f>
        <x:v>Proposal</x:v>
      </x:c>
      <x:c r="M1828" s="4" t="str">
        <x:f>IFERROR(INDEX('Crafting recipes'!$E$6:$E$1005,MATCH(B1828,'Crafting recipes'!$A$6:$A$1005,0)),"MISSING ID")</x:f>
        <x:v>Partial proposal</x:v>
      </x:c>
      <x:c r="N1828" s="4" t="str">
        <x:v>Partial audit candidate; quantity, fit and performance remain unresolved.</x:v>
      </x:c>
      <x:c r="O1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8" s="4" t="n">
        <x:f>IF(OR(C1828="Ingredient candidate",C1828="Consumed input",C1828="Contained input",C1828="Transform input"),IF(F1828="T0",0,IF(F1828="T1",1,IF(F1828="T2",2,IF(F1828="T3",3,IF(F1828="T4",4,-1))))),-1)</x:f>
        <x:v>3</x:v>
      </x:c>
      <x:c r="Q1828" s="4" t="n">
        <x:f>IF(AND(OR(C1828="Ingredient candidate",C1828="Consumed input",C1828="Contained input",C1828="Transform input"),P1828=-1),1,0)</x:f>
        <x:v>0</x:v>
      </x:c>
    </x:row>
    <x:row r="1829" ht="64" customHeight="1">
      <x:c r="A1829" s="4" t="str">
        <x:v>design.audit.proposal_legger_bearing_puller.audit.out</x:v>
      </x:c>
      <x:c r="B1829" s="4" t="str">
        <x:v>design.audit.proposal_legger_bearing_puller</x:v>
      </x:c>
      <x:c r="C1829" s="4" t="str">
        <x:v>Output</x:v>
      </x:c>
      <x:c r="D1829" s="4" t="str">
        <x:v>proposal.legger.bearing_puller</x:v>
      </x:c>
      <x:c r="E1829" s="4" t="str">
        <x:f>IFERROR(INDEX('Items'!$B$6:$B$1005,MATCH(D1829,'Items'!$A$6:$A$1005,0)),"MISSING ID")</x:f>
        <x:v>Matched bearing-removal tool</x:v>
      </x:c>
      <x:c r="F1829" s="4" t="str">
        <x:f>IFERROR(INDEX('Items'!$C$6:$C$1005,MATCH(D1829,'Items'!$A$6:$A$1005,0)),"MISSING ID")</x:f>
        <x:v>Not applicable</x:v>
      </x:c>
      <x:c r="G1829" s="4" t="str">
        <x:f>IFERROR(INDEX('Items'!$D$6:$D$1005,MATCH(D1829,'Items'!$A$6:$A$1005,0)),"MISSING ID")</x:f>
        <x:v>Salvage</x:v>
      </x:c>
      <x:c r="H1829" s="4" t="str">
        <x:f>IFERROR(INDEX('Items'!$X$6:$X$1005,MATCH(D1829,'Items'!$A$6:$A$1005,0)),"MISSING ID")</x:f>
        <x:v>Tool</x:v>
      </x:c>
      <x:c r="I1829" s="4"/>
      <x:c r="J1829" s="4" t="str">
        <x:v>Unspecified</x:v>
      </x:c>
      <x:c r="K1829" s="4" t="str">
        <x:f>IFERROR(INDEX('Crafting recipes'!$D$6:$D$1005,MATCH(B1829,'Crafting recipes'!$A$6:$A$1005,0)),"MISSING ID")</x:f>
        <x:v>Proposal</x:v>
      </x:c>
      <x:c r="L1829" s="4" t="str">
        <x:f>IFERROR(INDEX('Items'!$AD$6:$AD$1005,MATCH(D1829,'Items'!$A$6:$A$1005,0)),"MISSING ID")</x:f>
        <x:v>Proposal</x:v>
      </x:c>
      <x:c r="M1829" s="4" t="str">
        <x:f>IFERROR(INDEX('Crafting recipes'!$E$6:$E$1005,MATCH(B1829,'Crafting recipes'!$A$6:$A$1005,0)),"MISSING ID")</x:f>
        <x:v>Partial proposal</x:v>
      </x:c>
      <x:c r="N1829" s="4" t="str">
        <x:v>Partial audit candidate; quantity, fit and performance remain unresolved.</x:v>
      </x:c>
      <x:c r="O1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9" s="4" t="n">
        <x:f>IF(OR(C1829="Ingredient candidate",C1829="Consumed input",C1829="Contained input",C1829="Transform input"),IF(F1829="T0",0,IF(F1829="T1",1,IF(F1829="T2",2,IF(F1829="T3",3,IF(F1829="T4",4,-1))))),-1)</x:f>
        <x:v>-1</x:v>
      </x:c>
      <x:c r="Q1829" s="4" t="n">
        <x:f>IF(AND(OR(C1829="Ingredient candidate",C1829="Consumed input",C1829="Contained input",C1829="Transform input"),P1829=-1),1,0)</x:f>
        <x:v>0</x:v>
      </x:c>
    </x:row>
    <x:row r="1830" ht="64" customHeight="1">
      <x:c r="A1830" s="4" t="str">
        <x:v>design.audit.proposal_legger_alignment_gauge.audit.in.1</x:v>
      </x:c>
      <x:c r="B1830" s="4" t="str">
        <x:v>design.audit.proposal_legger_alignment_gauge</x:v>
      </x:c>
      <x:c r="C1830" s="4" t="str">
        <x:v>Ingredient candidate</x:v>
      </x:c>
      <x:c r="D1830" s="4" t="str">
        <x:v>author.metallurgy.steel_stock</x:v>
      </x:c>
      <x:c r="E1830" s="4" t="str">
        <x:f>IFERROR(INDEX('Items'!$B$6:$B$1005,MATCH(D1830,'Items'!$A$6:$A$1005,0)),"MISSING ID")</x:f>
        <x:v>Steel stock</x:v>
      </x:c>
      <x:c r="F1830" s="4" t="str">
        <x:f>IFERROR(INDEX('Items'!$C$6:$C$1005,MATCH(D1830,'Items'!$A$6:$A$1005,0)),"MISSING ID")</x:f>
        <x:v>T2</x:v>
      </x:c>
      <x:c r="G1830" s="4" t="str">
        <x:f>IFERROR(INDEX('Items'!$D$6:$D$1005,MATCH(D1830,'Items'!$A$6:$A$1005,0)),"MISSING ID")</x:f>
        <x:v>Manufactured stock</x:v>
      </x:c>
      <x:c r="H1830" s="4" t="str">
        <x:f>IFERROR(INDEX('Items'!$X$6:$X$1005,MATCH(D1830,'Items'!$A$6:$A$1005,0)),"MISSING ID")</x:f>
        <x:v>Processed material</x:v>
      </x:c>
      <x:c r="I1830" s="4"/>
      <x:c r="J1830" s="4" t="str">
        <x:v>Unspecified</x:v>
      </x:c>
      <x:c r="K1830" s="4" t="str">
        <x:f>IFERROR(INDEX('Crafting recipes'!$D$6:$D$1005,MATCH(B1830,'Crafting recipes'!$A$6:$A$1005,0)),"MISSING ID")</x:f>
        <x:v>Proposal</x:v>
      </x:c>
      <x:c r="L1830" s="4" t="str">
        <x:f>IFERROR(INDEX('Items'!$AD$6:$AD$1005,MATCH(D1830,'Items'!$A$6:$A$1005,0)),"MISSING ID")</x:f>
        <x:v>Author direction</x:v>
      </x:c>
      <x:c r="M1830" s="4" t="str">
        <x:f>IFERROR(INDEX('Crafting recipes'!$E$6:$E$1005,MATCH(B1830,'Crafting recipes'!$A$6:$A$1005,0)),"MISSING ID")</x:f>
        <x:v>Partial proposal</x:v>
      </x:c>
      <x:c r="N1830" s="4" t="str">
        <x:v>Partial audit candidate; quantity, fit and performance remain unresolved.</x:v>
      </x:c>
      <x:c r="O1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0" s="4" t="n">
        <x:f>IF(OR(C1830="Ingredient candidate",C1830="Consumed input",C1830="Contained input",C1830="Transform input"),IF(F1830="T0",0,IF(F1830="T1",1,IF(F1830="T2",2,IF(F1830="T3",3,IF(F1830="T4",4,-1))))),-1)</x:f>
        <x:v>2</x:v>
      </x:c>
      <x:c r="Q1830" s="4" t="n">
        <x:f>IF(AND(OR(C1830="Ingredient candidate",C1830="Consumed input",C1830="Contained input",C1830="Transform input"),P1830=-1),1,0)</x:f>
        <x:v>0</x:v>
      </x:c>
    </x:row>
    <x:row r="1831" ht="64" customHeight="1">
      <x:c r="A1831" s="4" t="str">
        <x:v>design.audit.proposal_legger_alignment_gauge.audit.in.2</x:v>
      </x:c>
      <x:c r="B1831" s="4" t="str">
        <x:v>design.audit.proposal_legger_alignment_gauge</x:v>
      </x:c>
      <x:c r="C1831" s="4" t="str">
        <x:v>Tool candidate</x:v>
      </x:c>
      <x:c r="D1831" s="4" t="str">
        <x:v>proposal.lore.assay_packet</x:v>
      </x:c>
      <x:c r="E1831" s="4" t="str">
        <x:f>IFERROR(INDEX('Items'!$B$6:$B$1005,MATCH(D1831,'Items'!$A$6:$A$1005,0)),"MISSING ID")</x:f>
        <x:v>Growth assay reference packet</x:v>
      </x:c>
      <x:c r="F1831" s="4" t="str">
        <x:f>IFERROR(INDEX('Items'!$C$6:$C$1005,MATCH(D1831,'Items'!$A$6:$A$1005,0)),"MISSING ID")</x:f>
        <x:v>Not applicable</x:v>
      </x:c>
      <x:c r="G1831" s="4" t="str">
        <x:f>IFERROR(INDEX('Items'!$D$6:$D$1005,MATCH(D1831,'Items'!$A$6:$A$1005,0)),"MISSING ID")</x:f>
        <x:v>Crafting components</x:v>
      </x:c>
      <x:c r="H1831" s="4" t="str">
        <x:f>IFERROR(INDEX('Items'!$X$6:$X$1005,MATCH(D1831,'Items'!$A$6:$A$1005,0)),"MISSING ID")</x:f>
        <x:v>Assay sample</x:v>
      </x:c>
      <x:c r="I1831" s="4"/>
      <x:c r="J1831" s="4" t="str">
        <x:v>Unspecified</x:v>
      </x:c>
      <x:c r="K1831" s="4" t="str">
        <x:f>IFERROR(INDEX('Crafting recipes'!$D$6:$D$1005,MATCH(B1831,'Crafting recipes'!$A$6:$A$1005,0)),"MISSING ID")</x:f>
        <x:v>Proposal</x:v>
      </x:c>
      <x:c r="L1831" s="4" t="str">
        <x:f>IFERROR(INDEX('Items'!$AD$6:$AD$1005,MATCH(D1831,'Items'!$A$6:$A$1005,0)),"MISSING ID")</x:f>
        <x:v>Proposal</x:v>
      </x:c>
      <x:c r="M1831" s="4" t="str">
        <x:f>IFERROR(INDEX('Crafting recipes'!$E$6:$E$1005,MATCH(B1831,'Crafting recipes'!$A$6:$A$1005,0)),"MISSING ID")</x:f>
        <x:v>Partial proposal</x:v>
      </x:c>
      <x:c r="N1831" s="4" t="str">
        <x:v>Partial audit candidate; quantity, fit and performance remain unresolved.</x:v>
      </x:c>
      <x:c r="O1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1" s="4" t="n">
        <x:f>IF(OR(C1831="Ingredient candidate",C1831="Consumed input",C1831="Contained input",C1831="Transform input"),IF(F1831="T0",0,IF(F1831="T1",1,IF(F1831="T2",2,IF(F1831="T3",3,IF(F1831="T4",4,-1))))),-1)</x:f>
        <x:v>-1</x:v>
      </x:c>
      <x:c r="Q1831" s="4" t="n">
        <x:f>IF(AND(OR(C1831="Ingredient candidate",C1831="Consumed input",C1831="Contained input",C1831="Transform input"),P1831=-1),1,0)</x:f>
        <x:v>0</x:v>
      </x:c>
    </x:row>
    <x:row r="1832" ht="64" customHeight="1">
      <x:c r="A1832" s="4" t="str">
        <x:v>design.audit.proposal_legger_alignment_gauge.audit.out</x:v>
      </x:c>
      <x:c r="B1832" s="4" t="str">
        <x:v>design.audit.proposal_legger_alignment_gauge</x:v>
      </x:c>
      <x:c r="C1832" s="4" t="str">
        <x:v>Output</x:v>
      </x:c>
      <x:c r="D1832" s="4" t="str">
        <x:v>proposal.legger.alignment_gauge</x:v>
      </x:c>
      <x:c r="E1832" s="4" t="str">
        <x:f>IFERROR(INDEX('Items'!$B$6:$B$1005,MATCH(D1832,'Items'!$A$6:$A$1005,0)),"MISSING ID")</x:f>
        <x:v>Legger alignment gauge</x:v>
      </x:c>
      <x:c r="F1832" s="4" t="str">
        <x:f>IFERROR(INDEX('Items'!$C$6:$C$1005,MATCH(D1832,'Items'!$A$6:$A$1005,0)),"MISSING ID")</x:f>
        <x:v>Not applicable</x:v>
      </x:c>
      <x:c r="G1832" s="4" t="str">
        <x:f>IFERROR(INDEX('Items'!$D$6:$D$1005,MATCH(D1832,'Items'!$A$6:$A$1005,0)),"MISSING ID")</x:f>
        <x:v>Salvage</x:v>
      </x:c>
      <x:c r="H1832" s="4" t="str">
        <x:f>IFERROR(INDEX('Items'!$X$6:$X$1005,MATCH(D1832,'Items'!$A$6:$A$1005,0)),"MISSING ID")</x:f>
        <x:v>Tool</x:v>
      </x:c>
      <x:c r="I1832" s="4"/>
      <x:c r="J1832" s="4" t="str">
        <x:v>Unspecified</x:v>
      </x:c>
      <x:c r="K1832" s="4" t="str">
        <x:f>IFERROR(INDEX('Crafting recipes'!$D$6:$D$1005,MATCH(B1832,'Crafting recipes'!$A$6:$A$1005,0)),"MISSING ID")</x:f>
        <x:v>Proposal</x:v>
      </x:c>
      <x:c r="L1832" s="4" t="str">
        <x:f>IFERROR(INDEX('Items'!$AD$6:$AD$1005,MATCH(D1832,'Items'!$A$6:$A$1005,0)),"MISSING ID")</x:f>
        <x:v>Proposal</x:v>
      </x:c>
      <x:c r="M1832" s="4" t="str">
        <x:f>IFERROR(INDEX('Crafting recipes'!$E$6:$E$1005,MATCH(B1832,'Crafting recipes'!$A$6:$A$1005,0)),"MISSING ID")</x:f>
        <x:v>Partial proposal</x:v>
      </x:c>
      <x:c r="N1832" s="4" t="str">
        <x:v>Partial audit candidate; quantity, fit and performance remain unresolved.</x:v>
      </x:c>
      <x:c r="O1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2" s="4" t="n">
        <x:f>IF(OR(C1832="Ingredient candidate",C1832="Consumed input",C1832="Contained input",C1832="Transform input"),IF(F1832="T0",0,IF(F1832="T1",1,IF(F1832="T2",2,IF(F1832="T3",3,IF(F1832="T4",4,-1))))),-1)</x:f>
        <x:v>-1</x:v>
      </x:c>
      <x:c r="Q1832" s="4" t="n">
        <x:f>IF(AND(OR(C1832="Ingredient candidate",C1832="Consumed input",C1832="Contained input",C1832="Transform input"),P1832=-1),1,0)</x:f>
        <x:v>0</x:v>
      </x:c>
    </x:row>
    <x:row r="1833" ht="64" customHeight="1">
      <x:c r="A1833" s="4"/>
      <x:c r="B1833" s="4"/>
      <x:c r="C1833" s="4"/>
      <x:c r="D1833" s="4"/>
      <x:c r="E1833" s="4"/>
      <x:c r="F1833" s="4"/>
      <x:c r="G1833" s="4"/>
      <x:c r="H1833" s="4"/>
      <x:c r="I1833" s="4"/>
      <x:c r="K1833" s="4"/>
      <x:c r="L1833" s="4"/>
      <x:c r="M1833" s="4"/>
      <x:c r="N1833" s="4"/>
      <x:c r="O1833" s="4"/>
      <x:c r="P1833" s="4"/>
      <x:c r="Q1833" s="4"/>
    </x:row>
    <x:row r="1834" ht="64" customHeight="1">
      <x:c r="A1834" s="4"/>
      <x:c r="B1834" s="4"/>
      <x:c r="C1834" s="4"/>
      <x:c r="D1834" s="4"/>
      <x:c r="E1834" s="4"/>
      <x:c r="F1834" s="4"/>
      <x:c r="G1834" s="4"/>
      <x:c r="H1834" s="4"/>
      <x:c r="I1834" s="4"/>
      <x:c r="K1834" s="4"/>
      <x:c r="L1834" s="4"/>
      <x:c r="M1834" s="4"/>
      <x:c r="N1834" s="4"/>
      <x:c r="O1834" s="4"/>
      <x:c r="P1834" s="4"/>
      <x:c r="Q1834" s="4"/>
    </x:row>
    <x:row r="1835" ht="64" customHeight="1">
      <x:c r="A1835" s="4"/>
      <x:c r="B1835" s="4"/>
      <x:c r="C1835" s="4"/>
      <x:c r="D1835" s="4"/>
      <x:c r="E1835" s="4"/>
      <x:c r="F1835" s="4"/>
      <x:c r="G1835" s="4"/>
      <x:c r="H1835" s="4"/>
      <x:c r="I1835" s="4"/>
      <x:c r="K1835" s="4"/>
      <x:c r="L1835" s="4"/>
      <x:c r="M1835" s="4"/>
      <x:c r="N1835" s="4"/>
      <x:c r="O1835" s="4"/>
      <x:c r="P1835" s="4"/>
      <x:c r="Q1835" s="4"/>
    </x:row>
    <x:row r="1836" ht="64" customHeight="1">
      <x:c r="A1836" s="4"/>
      <x:c r="B1836" s="4"/>
      <x:c r="C1836" s="4"/>
      <x:c r="D1836" s="4"/>
      <x:c r="E1836" s="4"/>
      <x:c r="F1836" s="4"/>
      <x:c r="G1836" s="4"/>
      <x:c r="H1836" s="4"/>
      <x:c r="I1836" s="4"/>
      <x:c r="K1836" s="4"/>
      <x:c r="L1836" s="4"/>
      <x:c r="M1836" s="4"/>
      <x:c r="N1836" s="4"/>
      <x:c r="O1836" s="4"/>
      <x:c r="P1836" s="4"/>
      <x:c r="Q1836" s="4"/>
    </x:row>
    <x:row r="1837" ht="64" customHeight="1">
      <x:c r="A1837" s="4" t="str">
        <x:v>design.audit.proposal_legger_edge_guard.audit.in.1</x:v>
      </x:c>
      <x:c r="B1837" s="4" t="str">
        <x:v>design.audit.proposal_legger_edge_guard</x:v>
      </x:c>
      <x:c r="C1837" s="4" t="str">
        <x:v>Ingredient candidate</x:v>
      </x:c>
      <x:c r="D1837" s="4" t="str">
        <x:v>author.metallurgy.steel_stock</x:v>
      </x:c>
      <x:c r="E1837" s="4" t="str">
        <x:f>IFERROR(INDEX('Items'!$B$6:$B$1005,MATCH(D1837,'Items'!$A$6:$A$1005,0)),"MISSING ID")</x:f>
        <x:v>Steel stock</x:v>
      </x:c>
      <x:c r="F1837" s="4" t="str">
        <x:f>IFERROR(INDEX('Items'!$C$6:$C$1005,MATCH(D1837,'Items'!$A$6:$A$1005,0)),"MISSING ID")</x:f>
        <x:v>T2</x:v>
      </x:c>
      <x:c r="G1837" s="4" t="str">
        <x:f>IFERROR(INDEX('Items'!$D$6:$D$1005,MATCH(D1837,'Items'!$A$6:$A$1005,0)),"MISSING ID")</x:f>
        <x:v>Manufactured stock</x:v>
      </x:c>
      <x:c r="H1837" s="4" t="str">
        <x:f>IFERROR(INDEX('Items'!$X$6:$X$1005,MATCH(D1837,'Items'!$A$6:$A$1005,0)),"MISSING ID")</x:f>
        <x:v>Processed material</x:v>
      </x:c>
      <x:c r="I1837" s="4"/>
      <x:c r="J1837" s="4" t="str">
        <x:v>Unspecified</x:v>
      </x:c>
      <x:c r="K1837" s="4" t="str">
        <x:f>IFERROR(INDEX('Crafting recipes'!$D$6:$D$1005,MATCH(B1837,'Crafting recipes'!$A$6:$A$1005,0)),"MISSING ID")</x:f>
        <x:v>Proposal</x:v>
      </x:c>
      <x:c r="L1837" s="4" t="str">
        <x:f>IFERROR(INDEX('Items'!$AD$6:$AD$1005,MATCH(D1837,'Items'!$A$6:$A$1005,0)),"MISSING ID")</x:f>
        <x:v>Author direction</x:v>
      </x:c>
      <x:c r="M1837" s="4" t="str">
        <x:f>IFERROR(INDEX('Crafting recipes'!$E$6:$E$1005,MATCH(B1837,'Crafting recipes'!$A$6:$A$1005,0)),"MISSING ID")</x:f>
        <x:v>Partial proposal</x:v>
      </x:c>
      <x:c r="N1837" s="4" t="str">
        <x:v>Partial audit candidate; quantity, fit and performance remain unresolved.</x:v>
      </x:c>
      <x:c r="O18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7" s="4" t="n">
        <x:f>IF(OR(C1837="Ingredient candidate",C1837="Consumed input",C1837="Contained input",C1837="Transform input"),IF(F1837="T0",0,IF(F1837="T1",1,IF(F1837="T2",2,IF(F1837="T3",3,IF(F1837="T4",4,-1))))),-1)</x:f>
        <x:v>2</x:v>
      </x:c>
      <x:c r="Q1837" s="4" t="n">
        <x:f>IF(AND(OR(C1837="Ingredient candidate",C1837="Consumed input",C1837="Contained input",C1837="Transform input"),P1837=-1),1,0)</x:f>
        <x:v>0</x:v>
      </x:c>
    </x:row>
    <x:row r="1838" ht="64" customHeight="1">
      <x:c r="A1838" s="4" t="str">
        <x:v>design.audit.proposal_legger_edge_guard.audit.in.2</x:v>
      </x:c>
      <x:c r="B1838" s="4" t="str">
        <x:v>design.audit.proposal_legger_edge_guard</x:v>
      </x:c>
      <x:c r="C1838" s="4" t="str">
        <x:v>Ingredient candidate</x:v>
      </x:c>
      <x:c r="D1838" s="4" t="str">
        <x:v>proposal.lore.fastener_set</x:v>
      </x:c>
      <x:c r="E1838" s="4" t="str">
        <x:f>IFERROR(INDEX('Items'!$B$6:$B$1005,MATCH(D1838,'Items'!$A$6:$A$1005,0)),"MISSING ID")</x:f>
        <x:v>Matched metal fastener set</x:v>
      </x:c>
      <x:c r="F1838" s="4" t="str">
        <x:f>IFERROR(INDEX('Items'!$C$6:$C$1005,MATCH(D1838,'Items'!$A$6:$A$1005,0)),"MISSING ID")</x:f>
        <x:v>T3</x:v>
      </x:c>
      <x:c r="G1838" s="4" t="str">
        <x:f>IFERROR(INDEX('Items'!$D$6:$D$1005,MATCH(D1838,'Items'!$A$6:$A$1005,0)),"MISSING ID")</x:f>
        <x:v>Crafting components</x:v>
      </x:c>
      <x:c r="H1838" s="4" t="str">
        <x:f>IFERROR(INDEX('Items'!$X$6:$X$1005,MATCH(D1838,'Items'!$A$6:$A$1005,0)),"MISSING ID")</x:f>
        <x:v>Crafting component</x:v>
      </x:c>
      <x:c r="I1838" s="4"/>
      <x:c r="J1838" s="4" t="str">
        <x:v>Unspecified</x:v>
      </x:c>
      <x:c r="K1838" s="4" t="str">
        <x:f>IFERROR(INDEX('Crafting recipes'!$D$6:$D$1005,MATCH(B1838,'Crafting recipes'!$A$6:$A$1005,0)),"MISSING ID")</x:f>
        <x:v>Proposal</x:v>
      </x:c>
      <x:c r="L1838" s="4" t="str">
        <x:f>IFERROR(INDEX('Items'!$AD$6:$AD$1005,MATCH(D1838,'Items'!$A$6:$A$1005,0)),"MISSING ID")</x:f>
        <x:v>Proposal</x:v>
      </x:c>
      <x:c r="M1838" s="4" t="str">
        <x:f>IFERROR(INDEX('Crafting recipes'!$E$6:$E$1005,MATCH(B1838,'Crafting recipes'!$A$6:$A$1005,0)),"MISSING ID")</x:f>
        <x:v>Partial proposal</x:v>
      </x:c>
      <x:c r="N1838" s="4" t="str">
        <x:v>Partial audit candidate; quantity, fit and performance remain unresolved.</x:v>
      </x:c>
      <x:c r="O18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8" s="4" t="n">
        <x:f>IF(OR(C1838="Ingredient candidate",C1838="Consumed input",C1838="Contained input",C1838="Transform input"),IF(F1838="T0",0,IF(F1838="T1",1,IF(F1838="T2",2,IF(F1838="T3",3,IF(F1838="T4",4,-1))))),-1)</x:f>
        <x:v>3</x:v>
      </x:c>
      <x:c r="Q1838" s="4" t="n">
        <x:f>IF(AND(OR(C1838="Ingredient candidate",C1838="Consumed input",C1838="Contained input",C1838="Transform input"),P1838=-1),1,0)</x:f>
        <x:v>0</x:v>
      </x:c>
    </x:row>
    <x:row r="1839" ht="64" customHeight="1">
      <x:c r="A1839" s="4" t="str">
        <x:v>design.audit.proposal_legger_edge_guard.audit.in.3</x:v>
      </x:c>
      <x:c r="B1839" s="4" t="str">
        <x:v>design.audit.proposal_legger_edge_guard</x:v>
      </x:c>
      <x:c r="C1839" s="4" t="str">
        <x:v>Ingredient candidate</x:v>
      </x:c>
      <x:c r="D1839" s="4" t="str">
        <x:v>proposal.t3.packing_stock</x:v>
      </x:c>
      <x:c r="E1839" s="4" t="str">
        <x:f>IFERROR(INDEX('Items'!$B$6:$B$1005,MATCH(D1839,'Items'!$A$6:$A$1005,0)),"MISSING ID")</x:f>
        <x:v>Husk-reinforced packing stock</x:v>
      </x:c>
      <x:c r="F1839" s="4" t="str">
        <x:f>IFERROR(INDEX('Items'!$C$6:$C$1005,MATCH(D1839,'Items'!$A$6:$A$1005,0)),"MISSING ID")</x:f>
        <x:v>T3</x:v>
      </x:c>
      <x:c r="G1839" s="4" t="str">
        <x:f>IFERROR(INDEX('Items'!$D$6:$D$1005,MATCH(D1839,'Items'!$A$6:$A$1005,0)),"MISSING ID")</x:f>
        <x:v>Manufactured stock</x:v>
      </x:c>
      <x:c r="H1839" s="4" t="str">
        <x:f>IFERROR(INDEX('Items'!$X$6:$X$1005,MATCH(D1839,'Items'!$A$6:$A$1005,0)),"MISSING ID")</x:f>
        <x:v>Processed material</x:v>
      </x:c>
      <x:c r="I1839" s="4"/>
      <x:c r="J1839" s="4" t="str">
        <x:v>Unspecified</x:v>
      </x:c>
      <x:c r="K1839" s="4" t="str">
        <x:f>IFERROR(INDEX('Crafting recipes'!$D$6:$D$1005,MATCH(B1839,'Crafting recipes'!$A$6:$A$1005,0)),"MISSING ID")</x:f>
        <x:v>Proposal</x:v>
      </x:c>
      <x:c r="L1839" s="4" t="str">
        <x:f>IFERROR(INDEX('Items'!$AD$6:$AD$1005,MATCH(D1839,'Items'!$A$6:$A$1005,0)),"MISSING ID")</x:f>
        <x:v>Proposal</x:v>
      </x:c>
      <x:c r="M1839" s="4" t="str">
        <x:f>IFERROR(INDEX('Crafting recipes'!$E$6:$E$1005,MATCH(B1839,'Crafting recipes'!$A$6:$A$1005,0)),"MISSING ID")</x:f>
        <x:v>Partial proposal</x:v>
      </x:c>
      <x:c r="N1839" s="4" t="str">
        <x:v>Partial audit candidate; quantity, fit and performance remain unresolved.</x:v>
      </x:c>
      <x:c r="O18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9" s="4" t="n">
        <x:f>IF(OR(C1839="Ingredient candidate",C1839="Consumed input",C1839="Contained input",C1839="Transform input"),IF(F1839="T0",0,IF(F1839="T1",1,IF(F1839="T2",2,IF(F1839="T3",3,IF(F1839="T4",4,-1))))),-1)</x:f>
        <x:v>3</x:v>
      </x:c>
      <x:c r="Q1839" s="4" t="n">
        <x:f>IF(AND(OR(C1839="Ingredient candidate",C1839="Consumed input",C1839="Contained input",C1839="Transform input"),P1839=-1),1,0)</x:f>
        <x:v>0</x:v>
      </x:c>
    </x:row>
    <x:row r="1840" ht="64" customHeight="1">
      <x:c r="A1840" s="4" t="str">
        <x:v>design.audit.proposal_legger_edge_guard.audit.out</x:v>
      </x:c>
      <x:c r="B1840" s="4" t="str">
        <x:v>design.audit.proposal_legger_edge_guard</x:v>
      </x:c>
      <x:c r="C1840" s="4" t="str">
        <x:v>Output</x:v>
      </x:c>
      <x:c r="D1840" s="4" t="str">
        <x:v>proposal.legger.edge_guard</x:v>
      </x:c>
      <x:c r="E1840" s="4" t="str">
        <x:f>IFERROR(INDEX('Items'!$B$6:$B$1005,MATCH(D1840,'Items'!$A$6:$A$1005,0)),"MISSING ID")</x:f>
        <x:v>Chassis leading-edge guard</x:v>
      </x:c>
      <x:c r="F1840" s="4" t="str">
        <x:f>IFERROR(INDEX('Items'!$C$6:$C$1005,MATCH(D1840,'Items'!$A$6:$A$1005,0)),"MISSING ID")</x:f>
        <x:v>Not applicable</x:v>
      </x:c>
      <x:c r="G1840" s="4" t="str">
        <x:f>IFERROR(INDEX('Items'!$D$6:$D$1005,MATCH(D1840,'Items'!$A$6:$A$1005,0)),"MISSING ID")</x:f>
        <x:v>Legger armor</x:v>
      </x:c>
      <x:c r="H1840" s="4" t="str">
        <x:f>IFERROR(INDEX('Items'!$X$6:$X$1005,MATCH(D1840,'Items'!$A$6:$A$1005,0)),"MISSING ID")</x:f>
        <x:v>Armor</x:v>
      </x:c>
      <x:c r="I1840" s="4"/>
      <x:c r="J1840" s="4" t="str">
        <x:v>Unspecified</x:v>
      </x:c>
      <x:c r="K1840" s="4" t="str">
        <x:f>IFERROR(INDEX('Crafting recipes'!$D$6:$D$1005,MATCH(B1840,'Crafting recipes'!$A$6:$A$1005,0)),"MISSING ID")</x:f>
        <x:v>Proposal</x:v>
      </x:c>
      <x:c r="L1840" s="4" t="str">
        <x:f>IFERROR(INDEX('Items'!$AD$6:$AD$1005,MATCH(D1840,'Items'!$A$6:$A$1005,0)),"MISSING ID")</x:f>
        <x:v>Proposal</x:v>
      </x:c>
      <x:c r="M1840" s="4" t="str">
        <x:f>IFERROR(INDEX('Crafting recipes'!$E$6:$E$1005,MATCH(B1840,'Crafting recipes'!$A$6:$A$1005,0)),"MISSING ID")</x:f>
        <x:v>Partial proposal</x:v>
      </x:c>
      <x:c r="N1840" s="4" t="str">
        <x:v>Partial audit candidate; quantity, fit and performance remain unresolved.</x:v>
      </x:c>
      <x:c r="O18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0" s="4" t="n">
        <x:f>IF(OR(C1840="Ingredient candidate",C1840="Consumed input",C1840="Contained input",C1840="Transform input"),IF(F1840="T0",0,IF(F1840="T1",1,IF(F1840="T2",2,IF(F1840="T3",3,IF(F1840="T4",4,-1))))),-1)</x:f>
        <x:v>-1</x:v>
      </x:c>
      <x:c r="Q1840" s="4" t="n">
        <x:f>IF(AND(OR(C1840="Ingredient candidate",C1840="Consumed input",C1840="Contained input",C1840="Transform input"),P1840=-1),1,0)</x:f>
        <x:v>0</x:v>
      </x:c>
    </x:row>
    <x:row r="1841" ht="64" customHeight="1">
      <x:c r="A1841" s="4" t="str">
        <x:v>design.audit.proposal_legger_instrument_guard.audit.in.1</x:v>
      </x:c>
      <x:c r="B1841" s="4" t="str">
        <x:v>design.audit.proposal_legger_instrument_guard</x:v>
      </x:c>
      <x:c r="C1841" s="4" t="str">
        <x:v>Ingredient candidate</x:v>
      </x:c>
      <x:c r="D1841" s="4" t="str">
        <x:v>author.metallurgy.steel_stock</x:v>
      </x:c>
      <x:c r="E1841" s="4" t="str">
        <x:f>IFERROR(INDEX('Items'!$B$6:$B$1005,MATCH(D1841,'Items'!$A$6:$A$1005,0)),"MISSING ID")</x:f>
        <x:v>Steel stock</x:v>
      </x:c>
      <x:c r="F1841" s="4" t="str">
        <x:f>IFERROR(INDEX('Items'!$C$6:$C$1005,MATCH(D1841,'Items'!$A$6:$A$1005,0)),"MISSING ID")</x:f>
        <x:v>T2</x:v>
      </x:c>
      <x:c r="G1841" s="4" t="str">
        <x:f>IFERROR(INDEX('Items'!$D$6:$D$1005,MATCH(D1841,'Items'!$A$6:$A$1005,0)),"MISSING ID")</x:f>
        <x:v>Manufactured stock</x:v>
      </x:c>
      <x:c r="H1841" s="4" t="str">
        <x:f>IFERROR(INDEX('Items'!$X$6:$X$1005,MATCH(D1841,'Items'!$A$6:$A$1005,0)),"MISSING ID")</x:f>
        <x:v>Processed material</x:v>
      </x:c>
      <x:c r="I1841" s="4"/>
      <x:c r="J1841" s="4" t="str">
        <x:v>Unspecified</x:v>
      </x:c>
      <x:c r="K1841" s="4" t="str">
        <x:f>IFERROR(INDEX('Crafting recipes'!$D$6:$D$1005,MATCH(B1841,'Crafting recipes'!$A$6:$A$1005,0)),"MISSING ID")</x:f>
        <x:v>Proposal</x:v>
      </x:c>
      <x:c r="L1841" s="4" t="str">
        <x:f>IFERROR(INDEX('Items'!$AD$6:$AD$1005,MATCH(D1841,'Items'!$A$6:$A$1005,0)),"MISSING ID")</x:f>
        <x:v>Author direction</x:v>
      </x:c>
      <x:c r="M1841" s="4" t="str">
        <x:f>IFERROR(INDEX('Crafting recipes'!$E$6:$E$1005,MATCH(B1841,'Crafting recipes'!$A$6:$A$1005,0)),"MISSING ID")</x:f>
        <x:v>Partial proposal</x:v>
      </x:c>
      <x:c r="N1841" s="4" t="str">
        <x:v>Partial audit candidate; quantity, fit and performance remain unresolved.</x:v>
      </x:c>
      <x:c r="O18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1" s="4" t="n">
        <x:f>IF(OR(C1841="Ingredient candidate",C1841="Consumed input",C1841="Contained input",C1841="Transform input"),IF(F1841="T0",0,IF(F1841="T1",1,IF(F1841="T2",2,IF(F1841="T3",3,IF(F1841="T4",4,-1))))),-1)</x:f>
        <x:v>2</x:v>
      </x:c>
      <x:c r="Q1841" s="4" t="n">
        <x:f>IF(AND(OR(C1841="Ingredient candidate",C1841="Consumed input",C1841="Contained input",C1841="Transform input"),P1841=-1),1,0)</x:f>
        <x:v>0</x:v>
      </x:c>
    </x:row>
    <x:row r="1842" ht="64" customHeight="1">
      <x:c r="A1842" s="4" t="str">
        <x:v>design.audit.proposal_legger_instrument_guard.audit.in.2</x:v>
      </x:c>
      <x:c r="B1842" s="4" t="str">
        <x:v>design.audit.proposal_legger_instrument_guard</x:v>
      </x:c>
      <x:c r="C1842" s="4" t="str">
        <x:v>Ingredient candidate</x:v>
      </x:c>
      <x:c r="D1842" s="4" t="str">
        <x:v>proposal.lore.fastener_set</x:v>
      </x:c>
      <x:c r="E1842" s="4" t="str">
        <x:f>IFERROR(INDEX('Items'!$B$6:$B$1005,MATCH(D1842,'Items'!$A$6:$A$1005,0)),"MISSING ID")</x:f>
        <x:v>Matched metal fastener set</x:v>
      </x:c>
      <x:c r="F1842" s="4" t="str">
        <x:f>IFERROR(INDEX('Items'!$C$6:$C$1005,MATCH(D1842,'Items'!$A$6:$A$1005,0)),"MISSING ID")</x:f>
        <x:v>T3</x:v>
      </x:c>
      <x:c r="G1842" s="4" t="str">
        <x:f>IFERROR(INDEX('Items'!$D$6:$D$1005,MATCH(D1842,'Items'!$A$6:$A$1005,0)),"MISSING ID")</x:f>
        <x:v>Crafting components</x:v>
      </x:c>
      <x:c r="H1842" s="4" t="str">
        <x:f>IFERROR(INDEX('Items'!$X$6:$X$1005,MATCH(D1842,'Items'!$A$6:$A$1005,0)),"MISSING ID")</x:f>
        <x:v>Crafting component</x:v>
      </x:c>
      <x:c r="I1842" s="4"/>
      <x:c r="J1842" s="4" t="str">
        <x:v>Unspecified</x:v>
      </x:c>
      <x:c r="K1842" s="4" t="str">
        <x:f>IFERROR(INDEX('Crafting recipes'!$D$6:$D$1005,MATCH(B1842,'Crafting recipes'!$A$6:$A$1005,0)),"MISSING ID")</x:f>
        <x:v>Proposal</x:v>
      </x:c>
      <x:c r="L1842" s="4" t="str">
        <x:f>IFERROR(INDEX('Items'!$AD$6:$AD$1005,MATCH(D1842,'Items'!$A$6:$A$1005,0)),"MISSING ID")</x:f>
        <x:v>Proposal</x:v>
      </x:c>
      <x:c r="M1842" s="4" t="str">
        <x:f>IFERROR(INDEX('Crafting recipes'!$E$6:$E$1005,MATCH(B1842,'Crafting recipes'!$A$6:$A$1005,0)),"MISSING ID")</x:f>
        <x:v>Partial proposal</x:v>
      </x:c>
      <x:c r="N1842" s="4" t="str">
        <x:v>Partial audit candidate; quantity, fit and performance remain unresolved.</x:v>
      </x:c>
      <x:c r="O18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2" s="4" t="n">
        <x:f>IF(OR(C1842="Ingredient candidate",C1842="Consumed input",C1842="Contained input",C1842="Transform input"),IF(F1842="T0",0,IF(F1842="T1",1,IF(F1842="T2",2,IF(F1842="T3",3,IF(F1842="T4",4,-1))))),-1)</x:f>
        <x:v>3</x:v>
      </x:c>
      <x:c r="Q1842" s="4" t="n">
        <x:f>IF(AND(OR(C1842="Ingredient candidate",C1842="Consumed input",C1842="Contained input",C1842="Transform input"),P1842=-1),1,0)</x:f>
        <x:v>0</x:v>
      </x:c>
    </x:row>
    <x:row r="1843" ht="64" customHeight="1">
      <x:c r="A1843" s="4" t="str">
        <x:v>design.audit.proposal_legger_instrument_guard.audit.in.3</x:v>
      </x:c>
      <x:c r="B1843" s="4" t="str">
        <x:v>design.audit.proposal_legger_instrument_guard</x:v>
      </x:c>
      <x:c r="C1843" s="4" t="str">
        <x:v>Ingredient candidate</x:v>
      </x:c>
      <x:c r="D1843" s="4" t="str">
        <x:v>proposal.t3.packing_stock</x:v>
      </x:c>
      <x:c r="E1843" s="4" t="str">
        <x:f>IFERROR(INDEX('Items'!$B$6:$B$1005,MATCH(D1843,'Items'!$A$6:$A$1005,0)),"MISSING ID")</x:f>
        <x:v>Husk-reinforced packing stock</x:v>
      </x:c>
      <x:c r="F1843" s="4" t="str">
        <x:f>IFERROR(INDEX('Items'!$C$6:$C$1005,MATCH(D1843,'Items'!$A$6:$A$1005,0)),"MISSING ID")</x:f>
        <x:v>T3</x:v>
      </x:c>
      <x:c r="G1843" s="4" t="str">
        <x:f>IFERROR(INDEX('Items'!$D$6:$D$1005,MATCH(D1843,'Items'!$A$6:$A$1005,0)),"MISSING ID")</x:f>
        <x:v>Manufactured stock</x:v>
      </x:c>
      <x:c r="H1843" s="4" t="str">
        <x:f>IFERROR(INDEX('Items'!$X$6:$X$1005,MATCH(D1843,'Items'!$A$6:$A$1005,0)),"MISSING ID")</x:f>
        <x:v>Processed material</x:v>
      </x:c>
      <x:c r="I1843" s="4"/>
      <x:c r="J1843" s="4" t="str">
        <x:v>Unspecified</x:v>
      </x:c>
      <x:c r="K1843" s="4" t="str">
        <x:f>IFERROR(INDEX('Crafting recipes'!$D$6:$D$1005,MATCH(B1843,'Crafting recipes'!$A$6:$A$1005,0)),"MISSING ID")</x:f>
        <x:v>Proposal</x:v>
      </x:c>
      <x:c r="L1843" s="4" t="str">
        <x:f>IFERROR(INDEX('Items'!$AD$6:$AD$1005,MATCH(D1843,'Items'!$A$6:$A$1005,0)),"MISSING ID")</x:f>
        <x:v>Proposal</x:v>
      </x:c>
      <x:c r="M1843" s="4" t="str">
        <x:f>IFERROR(INDEX('Crafting recipes'!$E$6:$E$1005,MATCH(B1843,'Crafting recipes'!$A$6:$A$1005,0)),"MISSING ID")</x:f>
        <x:v>Partial proposal</x:v>
      </x:c>
      <x:c r="N1843" s="4" t="str">
        <x:v>Partial audit candidate; quantity, fit and performance remain unresolved.</x:v>
      </x:c>
      <x:c r="O18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3" s="4" t="n">
        <x:f>IF(OR(C1843="Ingredient candidate",C1843="Consumed input",C1843="Contained input",C1843="Transform input"),IF(F1843="T0",0,IF(F1843="T1",1,IF(F1843="T2",2,IF(F1843="T3",3,IF(F1843="T4",4,-1))))),-1)</x:f>
        <x:v>3</x:v>
      </x:c>
      <x:c r="Q1843" s="4" t="n">
        <x:f>IF(AND(OR(C1843="Ingredient candidate",C1843="Consumed input",C1843="Contained input",C1843="Transform input"),P1843=-1),1,0)</x:f>
        <x:v>0</x:v>
      </x:c>
    </x:row>
    <x:row r="1844" ht="64" customHeight="1">
      <x:c r="A1844" s="4" t="str">
        <x:v>design.audit.proposal_legger_instrument_guard.audit.out</x:v>
      </x:c>
      <x:c r="B1844" s="4" t="str">
        <x:v>design.audit.proposal_legger_instrument_guard</x:v>
      </x:c>
      <x:c r="C1844" s="4" t="str">
        <x:v>Output</x:v>
      </x:c>
      <x:c r="D1844" s="4" t="str">
        <x:v>proposal.legger.instrument_guard</x:v>
      </x:c>
      <x:c r="E1844" s="4" t="str">
        <x:f>IFERROR(INDEX('Items'!$B$6:$B$1005,MATCH(D1844,'Items'!$A$6:$A$1005,0)),"MISSING ID")</x:f>
        <x:v>Instrument-face guard</x:v>
      </x:c>
      <x:c r="F1844" s="4" t="str">
        <x:f>IFERROR(INDEX('Items'!$C$6:$C$1005,MATCH(D1844,'Items'!$A$6:$A$1005,0)),"MISSING ID")</x:f>
        <x:v>Not applicable</x:v>
      </x:c>
      <x:c r="G1844" s="4" t="str">
        <x:f>IFERROR(INDEX('Items'!$D$6:$D$1005,MATCH(D1844,'Items'!$A$6:$A$1005,0)),"MISSING ID")</x:f>
        <x:v>Legger armor</x:v>
      </x:c>
      <x:c r="H1844" s="4" t="str">
        <x:f>IFERROR(INDEX('Items'!$X$6:$X$1005,MATCH(D1844,'Items'!$A$6:$A$1005,0)),"MISSING ID")</x:f>
        <x:v>Armor</x:v>
      </x:c>
      <x:c r="I1844" s="4"/>
      <x:c r="J1844" s="4" t="str">
        <x:v>Unspecified</x:v>
      </x:c>
      <x:c r="K1844" s="4" t="str">
        <x:f>IFERROR(INDEX('Crafting recipes'!$D$6:$D$1005,MATCH(B1844,'Crafting recipes'!$A$6:$A$1005,0)),"MISSING ID")</x:f>
        <x:v>Proposal</x:v>
      </x:c>
      <x:c r="L1844" s="4" t="str">
        <x:f>IFERROR(INDEX('Items'!$AD$6:$AD$1005,MATCH(D1844,'Items'!$A$6:$A$1005,0)),"MISSING ID")</x:f>
        <x:v>Proposal</x:v>
      </x:c>
      <x:c r="M1844" s="4" t="str">
        <x:f>IFERROR(INDEX('Crafting recipes'!$E$6:$E$1005,MATCH(B1844,'Crafting recipes'!$A$6:$A$1005,0)),"MISSING ID")</x:f>
        <x:v>Partial proposal</x:v>
      </x:c>
      <x:c r="N1844" s="4" t="str">
        <x:v>Partial audit candidate; quantity, fit and performance remain unresolved.</x:v>
      </x:c>
      <x:c r="O18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4" s="4" t="n">
        <x:f>IF(OR(C1844="Ingredient candidate",C1844="Consumed input",C1844="Contained input",C1844="Transform input"),IF(F1844="T0",0,IF(F1844="T1",1,IF(F1844="T2",2,IF(F1844="T3",3,IF(F1844="T4",4,-1))))),-1)</x:f>
        <x:v>-1</x:v>
      </x:c>
      <x:c r="Q1844" s="4" t="n">
        <x:f>IF(AND(OR(C1844="Ingredient candidate",C1844="Consumed input",C1844="Contained input",C1844="Transform input"),P1844=-1),1,0)</x:f>
        <x:v>0</x:v>
      </x:c>
    </x:row>
    <x:row r="1845" ht="64" customHeight="1">
      <x:c r="A1845" s="4" t="str">
        <x:v>design.audit.proposal_legger_seam_guard.audit.in.1</x:v>
      </x:c>
      <x:c r="B1845" s="4" t="str">
        <x:v>design.audit.proposal_legger_seam_guard</x:v>
      </x:c>
      <x:c r="C1845" s="4" t="str">
        <x:v>Ingredient candidate</x:v>
      </x:c>
      <x:c r="D1845" s="4" t="str">
        <x:v>author.metallurgy.steel_stock</x:v>
      </x:c>
      <x:c r="E1845" s="4" t="str">
        <x:f>IFERROR(INDEX('Items'!$B$6:$B$1005,MATCH(D1845,'Items'!$A$6:$A$1005,0)),"MISSING ID")</x:f>
        <x:v>Steel stock</x:v>
      </x:c>
      <x:c r="F1845" s="4" t="str">
        <x:f>IFERROR(INDEX('Items'!$C$6:$C$1005,MATCH(D1845,'Items'!$A$6:$A$1005,0)),"MISSING ID")</x:f>
        <x:v>T2</x:v>
      </x:c>
      <x:c r="G1845" s="4" t="str">
        <x:f>IFERROR(INDEX('Items'!$D$6:$D$1005,MATCH(D1845,'Items'!$A$6:$A$1005,0)),"MISSING ID")</x:f>
        <x:v>Manufactured stock</x:v>
      </x:c>
      <x:c r="H1845" s="4" t="str">
        <x:f>IFERROR(INDEX('Items'!$X$6:$X$1005,MATCH(D1845,'Items'!$A$6:$A$1005,0)),"MISSING ID")</x:f>
        <x:v>Processed material</x:v>
      </x:c>
      <x:c r="I1845" s="4"/>
      <x:c r="J1845" s="4" t="str">
        <x:v>Unspecified</x:v>
      </x:c>
      <x:c r="K1845" s="4" t="str">
        <x:f>IFERROR(INDEX('Crafting recipes'!$D$6:$D$1005,MATCH(B1845,'Crafting recipes'!$A$6:$A$1005,0)),"MISSING ID")</x:f>
        <x:v>Proposal</x:v>
      </x:c>
      <x:c r="L1845" s="4" t="str">
        <x:f>IFERROR(INDEX('Items'!$AD$6:$AD$1005,MATCH(D1845,'Items'!$A$6:$A$1005,0)),"MISSING ID")</x:f>
        <x:v>Author direction</x:v>
      </x:c>
      <x:c r="M1845" s="4" t="str">
        <x:f>IFERROR(INDEX('Crafting recipes'!$E$6:$E$1005,MATCH(B1845,'Crafting recipes'!$A$6:$A$1005,0)),"MISSING ID")</x:f>
        <x:v>Partial proposal</x:v>
      </x:c>
      <x:c r="N1845" s="4" t="str">
        <x:v>Partial audit candidate; quantity, fit and performance remain unresolved.</x:v>
      </x:c>
      <x:c r="O18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5" s="4" t="n">
        <x:f>IF(OR(C1845="Ingredient candidate",C1845="Consumed input",C1845="Contained input",C1845="Transform input"),IF(F1845="T0",0,IF(F1845="T1",1,IF(F1845="T2",2,IF(F1845="T3",3,IF(F1845="T4",4,-1))))),-1)</x:f>
        <x:v>2</x:v>
      </x:c>
      <x:c r="Q1845" s="4" t="n">
        <x:f>IF(AND(OR(C1845="Ingredient candidate",C1845="Consumed input",C1845="Contained input",C1845="Transform input"),P1845=-1),1,0)</x:f>
        <x:v>0</x:v>
      </x:c>
    </x:row>
    <x:row r="1846" ht="64" customHeight="1">
      <x:c r="A1846" s="4" t="str">
        <x:v>design.audit.proposal_legger_seam_guard.audit.in.2</x:v>
      </x:c>
      <x:c r="B1846" s="4" t="str">
        <x:v>design.audit.proposal_legger_seam_guard</x:v>
      </x:c>
      <x:c r="C1846" s="4" t="str">
        <x:v>Ingredient candidate</x:v>
      </x:c>
      <x:c r="D1846" s="4" t="str">
        <x:v>proposal.lore.fastener_set</x:v>
      </x:c>
      <x:c r="E1846" s="4" t="str">
        <x:f>IFERROR(INDEX('Items'!$B$6:$B$1005,MATCH(D1846,'Items'!$A$6:$A$1005,0)),"MISSING ID")</x:f>
        <x:v>Matched metal fastener set</x:v>
      </x:c>
      <x:c r="F1846" s="4" t="str">
        <x:f>IFERROR(INDEX('Items'!$C$6:$C$1005,MATCH(D1846,'Items'!$A$6:$A$1005,0)),"MISSING ID")</x:f>
        <x:v>T3</x:v>
      </x:c>
      <x:c r="G1846" s="4" t="str">
        <x:f>IFERROR(INDEX('Items'!$D$6:$D$1005,MATCH(D1846,'Items'!$A$6:$A$1005,0)),"MISSING ID")</x:f>
        <x:v>Crafting components</x:v>
      </x:c>
      <x:c r="H1846" s="4" t="str">
        <x:f>IFERROR(INDEX('Items'!$X$6:$X$1005,MATCH(D1846,'Items'!$A$6:$A$1005,0)),"MISSING ID")</x:f>
        <x:v>Crafting component</x:v>
      </x:c>
      <x:c r="I1846" s="4"/>
      <x:c r="J1846" s="4" t="str">
        <x:v>Unspecified</x:v>
      </x:c>
      <x:c r="K1846" s="4" t="str">
        <x:f>IFERROR(INDEX('Crafting recipes'!$D$6:$D$1005,MATCH(B1846,'Crafting recipes'!$A$6:$A$1005,0)),"MISSING ID")</x:f>
        <x:v>Proposal</x:v>
      </x:c>
      <x:c r="L1846" s="4" t="str">
        <x:f>IFERROR(INDEX('Items'!$AD$6:$AD$1005,MATCH(D1846,'Items'!$A$6:$A$1005,0)),"MISSING ID")</x:f>
        <x:v>Proposal</x:v>
      </x:c>
      <x:c r="M1846" s="4" t="str">
        <x:f>IFERROR(INDEX('Crafting recipes'!$E$6:$E$1005,MATCH(B1846,'Crafting recipes'!$A$6:$A$1005,0)),"MISSING ID")</x:f>
        <x:v>Partial proposal</x:v>
      </x:c>
      <x:c r="N1846" s="4" t="str">
        <x:v>Partial audit candidate; quantity, fit and performance remain unresolved.</x:v>
      </x:c>
      <x:c r="O18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6" s="4" t="n">
        <x:f>IF(OR(C1846="Ingredient candidate",C1846="Consumed input",C1846="Contained input",C1846="Transform input"),IF(F1846="T0",0,IF(F1846="T1",1,IF(F1846="T2",2,IF(F1846="T3",3,IF(F1846="T4",4,-1))))),-1)</x:f>
        <x:v>3</x:v>
      </x:c>
      <x:c r="Q1846" s="4" t="n">
        <x:f>IF(AND(OR(C1846="Ingredient candidate",C1846="Consumed input",C1846="Contained input",C1846="Transform input"),P1846=-1),1,0)</x:f>
        <x:v>0</x:v>
      </x:c>
    </x:row>
    <x:row r="1847" ht="64" customHeight="1">
      <x:c r="A1847" s="4" t="str">
        <x:v>design.audit.proposal_legger_seam_guard.audit.in.3</x:v>
      </x:c>
      <x:c r="B1847" s="4" t="str">
        <x:v>design.audit.proposal_legger_seam_guard</x:v>
      </x:c>
      <x:c r="C1847" s="4" t="str">
        <x:v>Ingredient candidate</x:v>
      </x:c>
      <x:c r="D1847" s="4" t="str">
        <x:v>proposal.t3.packing_stock</x:v>
      </x:c>
      <x:c r="E1847" s="4" t="str">
        <x:f>IFERROR(INDEX('Items'!$B$6:$B$1005,MATCH(D1847,'Items'!$A$6:$A$1005,0)),"MISSING ID")</x:f>
        <x:v>Husk-reinforced packing stock</x:v>
      </x:c>
      <x:c r="F1847" s="4" t="str">
        <x:f>IFERROR(INDEX('Items'!$C$6:$C$1005,MATCH(D1847,'Items'!$A$6:$A$1005,0)),"MISSING ID")</x:f>
        <x:v>T3</x:v>
      </x:c>
      <x:c r="G1847" s="4" t="str">
        <x:f>IFERROR(INDEX('Items'!$D$6:$D$1005,MATCH(D1847,'Items'!$A$6:$A$1005,0)),"MISSING ID")</x:f>
        <x:v>Manufactured stock</x:v>
      </x:c>
      <x:c r="H1847" s="4" t="str">
        <x:f>IFERROR(INDEX('Items'!$X$6:$X$1005,MATCH(D1847,'Items'!$A$6:$A$1005,0)),"MISSING ID")</x:f>
        <x:v>Processed material</x:v>
      </x:c>
      <x:c r="I1847" s="4"/>
      <x:c r="J1847" s="4" t="str">
        <x:v>Unspecified</x:v>
      </x:c>
      <x:c r="K1847" s="4" t="str">
        <x:f>IFERROR(INDEX('Crafting recipes'!$D$6:$D$1005,MATCH(B1847,'Crafting recipes'!$A$6:$A$1005,0)),"MISSING ID")</x:f>
        <x:v>Proposal</x:v>
      </x:c>
      <x:c r="L1847" s="4" t="str">
        <x:f>IFERROR(INDEX('Items'!$AD$6:$AD$1005,MATCH(D1847,'Items'!$A$6:$A$1005,0)),"MISSING ID")</x:f>
        <x:v>Proposal</x:v>
      </x:c>
      <x:c r="M1847" s="4" t="str">
        <x:f>IFERROR(INDEX('Crafting recipes'!$E$6:$E$1005,MATCH(B1847,'Crafting recipes'!$A$6:$A$1005,0)),"MISSING ID")</x:f>
        <x:v>Partial proposal</x:v>
      </x:c>
      <x:c r="N1847" s="4" t="str">
        <x:v>Partial audit candidate; quantity, fit and performance remain unresolved.</x:v>
      </x:c>
      <x:c r="O18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7" s="4" t="n">
        <x:f>IF(OR(C1847="Ingredient candidate",C1847="Consumed input",C1847="Contained input",C1847="Transform input"),IF(F1847="T0",0,IF(F1847="T1",1,IF(F1847="T2",2,IF(F1847="T3",3,IF(F1847="T4",4,-1))))),-1)</x:f>
        <x:v>3</x:v>
      </x:c>
      <x:c r="Q1847" s="4" t="n">
        <x:f>IF(AND(OR(C1847="Ingredient candidate",C1847="Consumed input",C1847="Contained input",C1847="Transform input"),P1847=-1),1,0)</x:f>
        <x:v>0</x:v>
      </x:c>
    </x:row>
    <x:row r="1848" ht="64" customHeight="1">
      <x:c r="A1848" s="4" t="str">
        <x:v>design.audit.proposal_legger_seam_guard.audit.out</x:v>
      </x:c>
      <x:c r="B1848" s="4" t="str">
        <x:v>design.audit.proposal_legger_seam_guard</x:v>
      </x:c>
      <x:c r="C1848" s="4" t="str">
        <x:v>Output</x:v>
      </x:c>
      <x:c r="D1848" s="4" t="str">
        <x:v>proposal.legger.seam_guard</x:v>
      </x:c>
      <x:c r="E1848" s="4" t="str">
        <x:f>IFERROR(INDEX('Items'!$B$6:$B$1005,MATCH(D1848,'Items'!$A$6:$A$1005,0)),"MISSING ID")</x:f>
        <x:v>Armor seam-cover strip</x:v>
      </x:c>
      <x:c r="F1848" s="4" t="str">
        <x:f>IFERROR(INDEX('Items'!$C$6:$C$1005,MATCH(D1848,'Items'!$A$6:$A$1005,0)),"MISSING ID")</x:f>
        <x:v>Not applicable</x:v>
      </x:c>
      <x:c r="G1848" s="4" t="str">
        <x:f>IFERROR(INDEX('Items'!$D$6:$D$1005,MATCH(D1848,'Items'!$A$6:$A$1005,0)),"MISSING ID")</x:f>
        <x:v>Legger attachments</x:v>
      </x:c>
      <x:c r="H1848" s="4" t="str">
        <x:f>IFERROR(INDEX('Items'!$X$6:$X$1005,MATCH(D1848,'Items'!$A$6:$A$1005,0)),"MISSING ID")</x:f>
        <x:v>Armor</x:v>
      </x:c>
      <x:c r="I1848" s="4"/>
      <x:c r="J1848" s="4" t="str">
        <x:v>Unspecified</x:v>
      </x:c>
      <x:c r="K1848" s="4" t="str">
        <x:f>IFERROR(INDEX('Crafting recipes'!$D$6:$D$1005,MATCH(B1848,'Crafting recipes'!$A$6:$A$1005,0)),"MISSING ID")</x:f>
        <x:v>Proposal</x:v>
      </x:c>
      <x:c r="L1848" s="4" t="str">
        <x:f>IFERROR(INDEX('Items'!$AD$6:$AD$1005,MATCH(D1848,'Items'!$A$6:$A$1005,0)),"MISSING ID")</x:f>
        <x:v>Proposal</x:v>
      </x:c>
      <x:c r="M1848" s="4" t="str">
        <x:f>IFERROR(INDEX('Crafting recipes'!$E$6:$E$1005,MATCH(B1848,'Crafting recipes'!$A$6:$A$1005,0)),"MISSING ID")</x:f>
        <x:v>Partial proposal</x:v>
      </x:c>
      <x:c r="N1848" s="4" t="str">
        <x:v>Partial audit candidate; quantity, fit and performance remain unresolved.</x:v>
      </x:c>
      <x:c r="O18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8" s="4" t="n">
        <x:f>IF(OR(C1848="Ingredient candidate",C1848="Consumed input",C1848="Contained input",C1848="Transform input"),IF(F1848="T0",0,IF(F1848="T1",1,IF(F1848="T2",2,IF(F1848="T3",3,IF(F1848="T4",4,-1))))),-1)</x:f>
        <x:v>-1</x:v>
      </x:c>
      <x:c r="Q1848" s="4" t="n">
        <x:f>IF(AND(OR(C1848="Ingredient candidate",C1848="Consumed input",C1848="Contained input",C1848="Transform input"),P1848=-1),1,0)</x:f>
        <x:v>0</x:v>
      </x:c>
    </x:row>
    <x:row r="1849" ht="64" customHeight="1">
      <x:c r="A1849" s="4" t="str">
        <x:v>design.audit.proposal_legger_impact_cap.audit.in.1</x:v>
      </x:c>
      <x:c r="B1849" s="4" t="str">
        <x:v>design.audit.proposal_legger_impact_cap</x:v>
      </x:c>
      <x:c r="C1849" s="4" t="str">
        <x:v>Ingredient candidate</x:v>
      </x:c>
      <x:c r="D1849" s="4" t="str">
        <x:v>author.metallurgy.steel_stock</x:v>
      </x:c>
      <x:c r="E1849" s="4" t="str">
        <x:f>IFERROR(INDEX('Items'!$B$6:$B$1005,MATCH(D1849,'Items'!$A$6:$A$1005,0)),"MISSING ID")</x:f>
        <x:v>Steel stock</x:v>
      </x:c>
      <x:c r="F1849" s="4" t="str">
        <x:f>IFERROR(INDEX('Items'!$C$6:$C$1005,MATCH(D1849,'Items'!$A$6:$A$1005,0)),"MISSING ID")</x:f>
        <x:v>T2</x:v>
      </x:c>
      <x:c r="G1849" s="4" t="str">
        <x:f>IFERROR(INDEX('Items'!$D$6:$D$1005,MATCH(D1849,'Items'!$A$6:$A$1005,0)),"MISSING ID")</x:f>
        <x:v>Manufactured stock</x:v>
      </x:c>
      <x:c r="H1849" s="4" t="str">
        <x:f>IFERROR(INDEX('Items'!$X$6:$X$1005,MATCH(D1849,'Items'!$A$6:$A$1005,0)),"MISSING ID")</x:f>
        <x:v>Processed material</x:v>
      </x:c>
      <x:c r="I1849" s="4"/>
      <x:c r="J1849" s="4" t="str">
        <x:v>Unspecified</x:v>
      </x:c>
      <x:c r="K1849" s="4" t="str">
        <x:f>IFERROR(INDEX('Crafting recipes'!$D$6:$D$1005,MATCH(B1849,'Crafting recipes'!$A$6:$A$1005,0)),"MISSING ID")</x:f>
        <x:v>Proposal</x:v>
      </x:c>
      <x:c r="L1849" s="4" t="str">
        <x:f>IFERROR(INDEX('Items'!$AD$6:$AD$1005,MATCH(D1849,'Items'!$A$6:$A$1005,0)),"MISSING ID")</x:f>
        <x:v>Author direction</x:v>
      </x:c>
      <x:c r="M1849" s="4" t="str">
        <x:f>IFERROR(INDEX('Crafting recipes'!$E$6:$E$1005,MATCH(B1849,'Crafting recipes'!$A$6:$A$1005,0)),"MISSING ID")</x:f>
        <x:v>Partial proposal</x:v>
      </x:c>
      <x:c r="N1849" s="4" t="str">
        <x:v>Partial audit candidate; quantity, fit and performance remain unresolved.</x:v>
      </x:c>
      <x:c r="O18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9" s="4" t="n">
        <x:f>IF(OR(C1849="Ingredient candidate",C1849="Consumed input",C1849="Contained input",C1849="Transform input"),IF(F1849="T0",0,IF(F1849="T1",1,IF(F1849="T2",2,IF(F1849="T3",3,IF(F1849="T4",4,-1))))),-1)</x:f>
        <x:v>2</x:v>
      </x:c>
      <x:c r="Q1849" s="4" t="n">
        <x:f>IF(AND(OR(C1849="Ingredient candidate",C1849="Consumed input",C1849="Contained input",C1849="Transform input"),P1849=-1),1,0)</x:f>
        <x:v>0</x:v>
      </x:c>
    </x:row>
    <x:row r="1850" ht="64" customHeight="1">
      <x:c r="A1850" s="4" t="str">
        <x:v>design.audit.proposal_legger_impact_cap.audit.in.2</x:v>
      </x:c>
      <x:c r="B1850" s="4" t="str">
        <x:v>design.audit.proposal_legger_impact_cap</x:v>
      </x:c>
      <x:c r="C1850" s="4" t="str">
        <x:v>Ingredient candidate</x:v>
      </x:c>
      <x:c r="D1850" s="4" t="str">
        <x:v>proposal.lore.fastener_set</x:v>
      </x:c>
      <x:c r="E1850" s="4" t="str">
        <x:f>IFERROR(INDEX('Items'!$B$6:$B$1005,MATCH(D1850,'Items'!$A$6:$A$1005,0)),"MISSING ID")</x:f>
        <x:v>Matched metal fastener set</x:v>
      </x:c>
      <x:c r="F1850" s="4" t="str">
        <x:f>IFERROR(INDEX('Items'!$C$6:$C$1005,MATCH(D1850,'Items'!$A$6:$A$1005,0)),"MISSING ID")</x:f>
        <x:v>T3</x:v>
      </x:c>
      <x:c r="G1850" s="4" t="str">
        <x:f>IFERROR(INDEX('Items'!$D$6:$D$1005,MATCH(D1850,'Items'!$A$6:$A$1005,0)),"MISSING ID")</x:f>
        <x:v>Crafting components</x:v>
      </x:c>
      <x:c r="H1850" s="4" t="str">
        <x:f>IFERROR(INDEX('Items'!$X$6:$X$1005,MATCH(D1850,'Items'!$A$6:$A$1005,0)),"MISSING ID")</x:f>
        <x:v>Crafting component</x:v>
      </x:c>
      <x:c r="I1850" s="4"/>
      <x:c r="J1850" s="4" t="str">
        <x:v>Unspecified</x:v>
      </x:c>
      <x:c r="K1850" s="4" t="str">
        <x:f>IFERROR(INDEX('Crafting recipes'!$D$6:$D$1005,MATCH(B1850,'Crafting recipes'!$A$6:$A$1005,0)),"MISSING ID")</x:f>
        <x:v>Proposal</x:v>
      </x:c>
      <x:c r="L1850" s="4" t="str">
        <x:f>IFERROR(INDEX('Items'!$AD$6:$AD$1005,MATCH(D1850,'Items'!$A$6:$A$1005,0)),"MISSING ID")</x:f>
        <x:v>Proposal</x:v>
      </x:c>
      <x:c r="M1850" s="4" t="str">
        <x:f>IFERROR(INDEX('Crafting recipes'!$E$6:$E$1005,MATCH(B1850,'Crafting recipes'!$A$6:$A$1005,0)),"MISSING ID")</x:f>
        <x:v>Partial proposal</x:v>
      </x:c>
      <x:c r="N1850" s="4" t="str">
        <x:v>Partial audit candidate; quantity, fit and performance remain unresolved.</x:v>
      </x:c>
      <x:c r="O18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0" s="4" t="n">
        <x:f>IF(OR(C1850="Ingredient candidate",C1850="Consumed input",C1850="Contained input",C1850="Transform input"),IF(F1850="T0",0,IF(F1850="T1",1,IF(F1850="T2",2,IF(F1850="T3",3,IF(F1850="T4",4,-1))))),-1)</x:f>
        <x:v>3</x:v>
      </x:c>
      <x:c r="Q1850" s="4" t="n">
        <x:f>IF(AND(OR(C1850="Ingredient candidate",C1850="Consumed input",C1850="Contained input",C1850="Transform input"),P1850=-1),1,0)</x:f>
        <x:v>0</x:v>
      </x:c>
    </x:row>
    <x:row r="1851" ht="64" customHeight="1">
      <x:c r="A1851" s="4" t="str">
        <x:v>design.audit.proposal_legger_impact_cap.audit.in.3</x:v>
      </x:c>
      <x:c r="B1851" s="4" t="str">
        <x:v>design.audit.proposal_legger_impact_cap</x:v>
      </x:c>
      <x:c r="C1851" s="4" t="str">
        <x:v>Ingredient candidate</x:v>
      </x:c>
      <x:c r="D1851" s="4" t="str">
        <x:v>proposal.t3.packing_stock</x:v>
      </x:c>
      <x:c r="E1851" s="4" t="str">
        <x:f>IFERROR(INDEX('Items'!$B$6:$B$1005,MATCH(D1851,'Items'!$A$6:$A$1005,0)),"MISSING ID")</x:f>
        <x:v>Husk-reinforced packing stock</x:v>
      </x:c>
      <x:c r="F1851" s="4" t="str">
        <x:f>IFERROR(INDEX('Items'!$C$6:$C$1005,MATCH(D1851,'Items'!$A$6:$A$1005,0)),"MISSING ID")</x:f>
        <x:v>T3</x:v>
      </x:c>
      <x:c r="G1851" s="4" t="str">
        <x:f>IFERROR(INDEX('Items'!$D$6:$D$1005,MATCH(D1851,'Items'!$A$6:$A$1005,0)),"MISSING ID")</x:f>
        <x:v>Manufactured stock</x:v>
      </x:c>
      <x:c r="H1851" s="4" t="str">
        <x:f>IFERROR(INDEX('Items'!$X$6:$X$1005,MATCH(D1851,'Items'!$A$6:$A$1005,0)),"MISSING ID")</x:f>
        <x:v>Processed material</x:v>
      </x:c>
      <x:c r="I1851" s="4"/>
      <x:c r="J1851" s="4" t="str">
        <x:v>Unspecified</x:v>
      </x:c>
      <x:c r="K1851" s="4" t="str">
        <x:f>IFERROR(INDEX('Crafting recipes'!$D$6:$D$1005,MATCH(B1851,'Crafting recipes'!$A$6:$A$1005,0)),"MISSING ID")</x:f>
        <x:v>Proposal</x:v>
      </x:c>
      <x:c r="L1851" s="4" t="str">
        <x:f>IFERROR(INDEX('Items'!$AD$6:$AD$1005,MATCH(D1851,'Items'!$A$6:$A$1005,0)),"MISSING ID")</x:f>
        <x:v>Proposal</x:v>
      </x:c>
      <x:c r="M1851" s="4" t="str">
        <x:f>IFERROR(INDEX('Crafting recipes'!$E$6:$E$1005,MATCH(B1851,'Crafting recipes'!$A$6:$A$1005,0)),"MISSING ID")</x:f>
        <x:v>Partial proposal</x:v>
      </x:c>
      <x:c r="N1851" s="4" t="str">
        <x:v>Partial audit candidate; quantity, fit and performance remain unresolved.</x:v>
      </x:c>
      <x:c r="O18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1" s="4" t="n">
        <x:f>IF(OR(C1851="Ingredient candidate",C1851="Consumed input",C1851="Contained input",C1851="Transform input"),IF(F1851="T0",0,IF(F1851="T1",1,IF(F1851="T2",2,IF(F1851="T3",3,IF(F1851="T4",4,-1))))),-1)</x:f>
        <x:v>3</x:v>
      </x:c>
      <x:c r="Q1851" s="4" t="n">
        <x:f>IF(AND(OR(C1851="Ingredient candidate",C1851="Consumed input",C1851="Contained input",C1851="Transform input"),P1851=-1),1,0)</x:f>
        <x:v>0</x:v>
      </x:c>
    </x:row>
    <x:row r="1852" ht="64" customHeight="1">
      <x:c r="A1852" s="4" t="str">
        <x:v>design.audit.proposal_legger_impact_cap.audit.out</x:v>
      </x:c>
      <x:c r="B1852" s="4" t="str">
        <x:v>design.audit.proposal_legger_impact_cap</x:v>
      </x:c>
      <x:c r="C1852" s="4" t="str">
        <x:v>Output</x:v>
      </x:c>
      <x:c r="D1852" s="4" t="str">
        <x:v>proposal.legger.impact_cap</x:v>
      </x:c>
      <x:c r="E1852" s="4" t="str">
        <x:f>IFERROR(INDEX('Items'!$B$6:$B$1005,MATCH(D1852,'Items'!$A$6:$A$1005,0)),"MISSING ID")</x:f>
        <x:v>Sacrificial impact cap</x:v>
      </x:c>
      <x:c r="F1852" s="4" t="str">
        <x:f>IFERROR(INDEX('Items'!$C$6:$C$1005,MATCH(D1852,'Items'!$A$6:$A$1005,0)),"MISSING ID")</x:f>
        <x:v>Not applicable</x:v>
      </x:c>
      <x:c r="G1852" s="4" t="str">
        <x:f>IFERROR(INDEX('Items'!$D$6:$D$1005,MATCH(D1852,'Items'!$A$6:$A$1005,0)),"MISSING ID")</x:f>
        <x:v>Salvage</x:v>
      </x:c>
      <x:c r="H1852" s="4" t="str">
        <x:f>IFERROR(INDEX('Items'!$X$6:$X$1005,MATCH(D1852,'Items'!$A$6:$A$1005,0)),"MISSING ID")</x:f>
        <x:v>Armor</x:v>
      </x:c>
      <x:c r="I1852" s="4"/>
      <x:c r="J1852" s="4" t="str">
        <x:v>Unspecified</x:v>
      </x:c>
      <x:c r="K1852" s="4" t="str">
        <x:f>IFERROR(INDEX('Crafting recipes'!$D$6:$D$1005,MATCH(B1852,'Crafting recipes'!$A$6:$A$1005,0)),"MISSING ID")</x:f>
        <x:v>Proposal</x:v>
      </x:c>
      <x:c r="L1852" s="4" t="str">
        <x:f>IFERROR(INDEX('Items'!$AD$6:$AD$1005,MATCH(D1852,'Items'!$A$6:$A$1005,0)),"MISSING ID")</x:f>
        <x:v>Proposal</x:v>
      </x:c>
      <x:c r="M1852" s="4" t="str">
        <x:f>IFERROR(INDEX('Crafting recipes'!$E$6:$E$1005,MATCH(B1852,'Crafting recipes'!$A$6:$A$1005,0)),"MISSING ID")</x:f>
        <x:v>Partial proposal</x:v>
      </x:c>
      <x:c r="N1852" s="4" t="str">
        <x:v>Partial audit candidate; quantity, fit and performance remain unresolved.</x:v>
      </x:c>
      <x:c r="O18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2" s="4" t="n">
        <x:f>IF(OR(C1852="Ingredient candidate",C1852="Consumed input",C1852="Contained input",C1852="Transform input"),IF(F1852="T0",0,IF(F1852="T1",1,IF(F1852="T2",2,IF(F1852="T3",3,IF(F1852="T4",4,-1))))),-1)</x:f>
        <x:v>-1</x:v>
      </x:c>
      <x:c r="Q1852" s="4" t="n">
        <x:f>IF(AND(OR(C1852="Ingredient candidate",C1852="Consumed input",C1852="Contained input",C1852="Transform input"),P1852=-1),1,0)</x:f>
        <x:v>0</x:v>
      </x:c>
    </x:row>
    <x:row r="1853" ht="64" customHeight="1">
      <x:c r="A1853" s="4" t="str">
        <x:v>design.audit.proposal_legger_fragment_liner.audit.in.1</x:v>
      </x:c>
      <x:c r="B1853" s="4" t="str">
        <x:v>design.audit.proposal_legger_fragment_liner</x:v>
      </x:c>
      <x:c r="C1853" s="4" t="str">
        <x:v>Ingredient candidate</x:v>
      </x:c>
      <x:c r="D1853" s="4" t="str">
        <x:v>proposal.branch.husk_composite</x:v>
      </x:c>
      <x:c r="E1853" s="4" t="str">
        <x:f>IFERROR(INDEX('Items'!$B$6:$B$1005,MATCH(D1853,'Items'!$A$6:$A$1005,0)),"MISSING ID")</x:f>
        <x:v>Layered husk composite stock</x:v>
      </x:c>
      <x:c r="F1853" s="4" t="str">
        <x:f>IFERROR(INDEX('Items'!$C$6:$C$1005,MATCH(D1853,'Items'!$A$6:$A$1005,0)),"MISSING ID")</x:f>
        <x:v>T3</x:v>
      </x:c>
      <x:c r="G1853" s="4" t="str">
        <x:f>IFERROR(INDEX('Items'!$D$6:$D$1005,MATCH(D1853,'Items'!$A$6:$A$1005,0)),"MISSING ID")</x:f>
        <x:v>Manufactured stock</x:v>
      </x:c>
      <x:c r="H1853" s="4" t="str">
        <x:f>IFERROR(INDEX('Items'!$X$6:$X$1005,MATCH(D1853,'Items'!$A$6:$A$1005,0)),"MISSING ID")</x:f>
        <x:v>Processed material</x:v>
      </x:c>
      <x:c r="I1853" s="4"/>
      <x:c r="J1853" s="4" t="str">
        <x:v>Unspecified</x:v>
      </x:c>
      <x:c r="K1853" s="4" t="str">
        <x:f>IFERROR(INDEX('Crafting recipes'!$D$6:$D$1005,MATCH(B1853,'Crafting recipes'!$A$6:$A$1005,0)),"MISSING ID")</x:f>
        <x:v>Proposal</x:v>
      </x:c>
      <x:c r="L1853" s="4" t="str">
        <x:f>IFERROR(INDEX('Items'!$AD$6:$AD$1005,MATCH(D1853,'Items'!$A$6:$A$1005,0)),"MISSING ID")</x:f>
        <x:v>Proposal</x:v>
      </x:c>
      <x:c r="M1853" s="4" t="str">
        <x:f>IFERROR(INDEX('Crafting recipes'!$E$6:$E$1005,MATCH(B1853,'Crafting recipes'!$A$6:$A$1005,0)),"MISSING ID")</x:f>
        <x:v>Partial proposal</x:v>
      </x:c>
      <x:c r="N1853" s="4" t="str">
        <x:v>Partial audit candidate; quantity, fit and performance remain unresolved.</x:v>
      </x:c>
      <x:c r="O18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3" s="4" t="n">
        <x:f>IF(OR(C1853="Ingredient candidate",C1853="Consumed input",C1853="Contained input",C1853="Transform input"),IF(F1853="T0",0,IF(F1853="T1",1,IF(F1853="T2",2,IF(F1853="T3",3,IF(F1853="T4",4,-1))))),-1)</x:f>
        <x:v>3</x:v>
      </x:c>
      <x:c r="Q1853" s="4" t="n">
        <x:f>IF(AND(OR(C1853="Ingredient candidate",C1853="Consumed input",C1853="Contained input",C1853="Transform input"),P1853=-1),1,0)</x:f>
        <x:v>0</x:v>
      </x:c>
    </x:row>
    <x:row r="1854" ht="64" customHeight="1">
      <x:c r="A1854" s="4" t="str">
        <x:v>design.audit.proposal_legger_fragment_liner.audit.in.2</x:v>
      </x:c>
      <x:c r="B1854" s="4" t="str">
        <x:v>design.audit.proposal_legger_fragment_liner</x:v>
      </x:c>
      <x:c r="C1854" s="4" t="str">
        <x:v>Ingredient candidate</x:v>
      </x:c>
      <x:c r="D1854" s="4" t="str">
        <x:v>proposal.audit.pressed_hide_fastening_strips</x:v>
      </x:c>
      <x:c r="E1854" s="4" t="str">
        <x:f>IFERROR(INDEX('Items'!$B$6:$B$1005,MATCH(D1854,'Items'!$A$6:$A$1005,0)),"MISSING ID")</x:f>
        <x:v>Pressed hide fastening strips</x:v>
      </x:c>
      <x:c r="F1854" s="4" t="str">
        <x:f>IFERROR(INDEX('Items'!$C$6:$C$1005,MATCH(D1854,'Items'!$A$6:$A$1005,0)),"MISSING ID")</x:f>
        <x:v>T2</x:v>
      </x:c>
      <x:c r="G1854" s="4" t="str">
        <x:f>IFERROR(INDEX('Items'!$D$6:$D$1005,MATCH(D1854,'Items'!$A$6:$A$1005,0)),"MISSING ID")</x:f>
        <x:v>Manufactured stock</x:v>
      </x:c>
      <x:c r="H1854" s="4" t="str">
        <x:f>IFERROR(INDEX('Items'!$X$6:$X$1005,MATCH(D1854,'Items'!$A$6:$A$1005,0)),"MISSING ID")</x:f>
        <x:v>Processed material</x:v>
      </x:c>
      <x:c r="I1854" s="4"/>
      <x:c r="J1854" s="4" t="str">
        <x:v>Unspecified</x:v>
      </x:c>
      <x:c r="K1854" s="4" t="str">
        <x:f>IFERROR(INDEX('Crafting recipes'!$D$6:$D$1005,MATCH(B1854,'Crafting recipes'!$A$6:$A$1005,0)),"MISSING ID")</x:f>
        <x:v>Proposal</x:v>
      </x:c>
      <x:c r="L1854" s="4" t="str">
        <x:f>IFERROR(INDEX('Items'!$AD$6:$AD$1005,MATCH(D1854,'Items'!$A$6:$A$1005,0)),"MISSING ID")</x:f>
        <x:v>Proposal</x:v>
      </x:c>
      <x:c r="M1854" s="4" t="str">
        <x:f>IFERROR(INDEX('Crafting recipes'!$E$6:$E$1005,MATCH(B1854,'Crafting recipes'!$A$6:$A$1005,0)),"MISSING ID")</x:f>
        <x:v>Partial proposal</x:v>
      </x:c>
      <x:c r="N1854" s="4" t="str">
        <x:v>Partial audit candidate; quantity, fit and performance remain unresolved.</x:v>
      </x:c>
      <x:c r="O18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4" s="4" t="n">
        <x:f>IF(OR(C1854="Ingredient candidate",C1854="Consumed input",C1854="Contained input",C1854="Transform input"),IF(F1854="T0",0,IF(F1854="T1",1,IF(F1854="T2",2,IF(F1854="T3",3,IF(F1854="T4",4,-1))))),-1)</x:f>
        <x:v>2</x:v>
      </x:c>
      <x:c r="Q1854" s="4" t="n">
        <x:f>IF(AND(OR(C1854="Ingredient candidate",C1854="Consumed input",C1854="Contained input",C1854="Transform input"),P1854=-1),1,0)</x:f>
        <x:v>0</x:v>
      </x:c>
    </x:row>
    <x:row r="1855" ht="64" customHeight="1">
      <x:c r="A1855" s="4" t="str">
        <x:v>design.audit.proposal_legger_fragment_liner.audit.out</x:v>
      </x:c>
      <x:c r="B1855" s="4" t="str">
        <x:v>design.audit.proposal_legger_fragment_liner</x:v>
      </x:c>
      <x:c r="C1855" s="4" t="str">
        <x:v>Output</x:v>
      </x:c>
      <x:c r="D1855" s="4" t="str">
        <x:v>proposal.legger.fragment_liner</x:v>
      </x:c>
      <x:c r="E1855" s="4" t="str">
        <x:f>IFERROR(INDEX('Items'!$B$6:$B$1005,MATCH(D1855,'Items'!$A$6:$A$1005,0)),"MISSING ID")</x:f>
        <x:v>Pressed-husk fragment liner</x:v>
      </x:c>
      <x:c r="F1855" s="4" t="str">
        <x:f>IFERROR(INDEX('Items'!$C$6:$C$1005,MATCH(D1855,'Items'!$A$6:$A$1005,0)),"MISSING ID")</x:f>
        <x:v>Not applicable</x:v>
      </x:c>
      <x:c r="G1855" s="4" t="str">
        <x:f>IFERROR(INDEX('Items'!$D$6:$D$1005,MATCH(D1855,'Items'!$A$6:$A$1005,0)),"MISSING ID")</x:f>
        <x:v>Legger attachments</x:v>
      </x:c>
      <x:c r="H1855" s="4" t="str">
        <x:f>IFERROR(INDEX('Items'!$X$6:$X$1005,MATCH(D1855,'Items'!$A$6:$A$1005,0)),"MISSING ID")</x:f>
        <x:v>Armor</x:v>
      </x:c>
      <x:c r="I1855" s="4"/>
      <x:c r="J1855" s="4" t="str">
        <x:v>Unspecified</x:v>
      </x:c>
      <x:c r="K1855" s="4" t="str">
        <x:f>IFERROR(INDEX('Crafting recipes'!$D$6:$D$1005,MATCH(B1855,'Crafting recipes'!$A$6:$A$1005,0)),"MISSING ID")</x:f>
        <x:v>Proposal</x:v>
      </x:c>
      <x:c r="L1855" s="4" t="str">
        <x:f>IFERROR(INDEX('Items'!$AD$6:$AD$1005,MATCH(D1855,'Items'!$A$6:$A$1005,0)),"MISSING ID")</x:f>
        <x:v>Proposal</x:v>
      </x:c>
      <x:c r="M1855" s="4" t="str">
        <x:f>IFERROR(INDEX('Crafting recipes'!$E$6:$E$1005,MATCH(B1855,'Crafting recipes'!$A$6:$A$1005,0)),"MISSING ID")</x:f>
        <x:v>Partial proposal</x:v>
      </x:c>
      <x:c r="N1855" s="4" t="str">
        <x:v>Partial audit candidate; quantity, fit and performance remain unresolved.</x:v>
      </x:c>
      <x:c r="O18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5" s="4" t="n">
        <x:f>IF(OR(C1855="Ingredient candidate",C1855="Consumed input",C1855="Contained input",C1855="Transform input"),IF(F1855="T0",0,IF(F1855="T1",1,IF(F1855="T2",2,IF(F1855="T3",3,IF(F1855="T4",4,-1))))),-1)</x:f>
        <x:v>-1</x:v>
      </x:c>
      <x:c r="Q1855" s="4" t="n">
        <x:f>IF(AND(OR(C1855="Ingredient candidate",C1855="Consumed input",C1855="Contained input",C1855="Transform input"),P1855=-1),1,0)</x:f>
        <x:v>0</x:v>
      </x:c>
    </x:row>
    <x:row r="1856" ht="64" customHeight="1">
      <x:c r="A1856" s="4"/>
      <x:c r="B1856" s="4"/>
      <x:c r="C1856" s="4"/>
      <x:c r="D1856" s="4"/>
      <x:c r="E1856" s="4"/>
      <x:c r="F1856" s="4"/>
      <x:c r="G1856" s="4"/>
      <x:c r="H1856" s="4"/>
      <x:c r="I1856" s="4"/>
      <x:c r="K1856" s="4"/>
      <x:c r="L1856" s="4"/>
      <x:c r="M1856" s="4"/>
      <x:c r="N1856" s="4"/>
      <x:c r="O1856" s="4"/>
      <x:c r="P1856" s="4"/>
      <x:c r="Q1856" s="4"/>
    </x:row>
    <x:row r="1857" ht="64" customHeight="1">
      <x:c r="A1857" s="4"/>
      <x:c r="B1857" s="4"/>
      <x:c r="C1857" s="4"/>
      <x:c r="D1857" s="4"/>
      <x:c r="E1857" s="4"/>
      <x:c r="F1857" s="4"/>
      <x:c r="G1857" s="4"/>
      <x:c r="H1857" s="4"/>
      <x:c r="I1857" s="4"/>
      <x:c r="K1857" s="4"/>
      <x:c r="L1857" s="4"/>
      <x:c r="M1857" s="4"/>
      <x:c r="N1857" s="4"/>
      <x:c r="O1857" s="4"/>
      <x:c r="P1857" s="4"/>
      <x:c r="Q1857" s="4"/>
    </x:row>
    <x:row r="1858" ht="64" customHeight="1">
      <x:c r="A1858" s="4" t="str">
        <x:v>design.audit.proposal_food_dense_drink.audit.in.1</x:v>
      </x:c>
      <x:c r="B1858" s="4" t="str">
        <x:v>design.audit.proposal_food_dense_drink</x:v>
      </x:c>
      <x:c r="C1858" s="4" t="str">
        <x:v>Ingredient candidate</x:v>
      </x:c>
      <x:c r="D1858" s="4" t="str">
        <x:v>proposal.collection.reduced_culinary_phagia_concentrate</x:v>
      </x:c>
      <x:c r="E1858" s="4" t="str">
        <x:f>IFERROR(INDEX('Items'!$B$6:$B$1005,MATCH(D1858,'Items'!$A$6:$A$1005,0)),"MISSING ID")</x:f>
        <x:v>Reduced culinary Phagia concentrate</x:v>
      </x:c>
      <x:c r="F1858" s="4" t="str">
        <x:f>IFERROR(INDEX('Items'!$C$6:$C$1005,MATCH(D1858,'Items'!$A$6:$A$1005,0)),"MISSING ID")</x:f>
        <x:v>T2</x:v>
      </x:c>
      <x:c r="G1858" s="4" t="str">
        <x:f>IFERROR(INDEX('Items'!$D$6:$D$1005,MATCH(D1858,'Items'!$A$6:$A$1005,0)),"MISSING ID")</x:f>
        <x:v>Cooking ingredients</x:v>
      </x:c>
      <x:c r="H1858" s="4" t="str">
        <x:f>IFERROR(INDEX('Items'!$X$6:$X$1005,MATCH(D1858,'Items'!$A$6:$A$1005,0)),"MISSING ID")</x:f>
        <x:v>Food material</x:v>
      </x:c>
      <x:c r="I1858" s="4"/>
      <x:c r="J1858" s="4" t="str">
        <x:v>Unspecified</x:v>
      </x:c>
      <x:c r="K1858" s="4" t="str">
        <x:f>IFERROR(INDEX('Crafting recipes'!$D$6:$D$1005,MATCH(B1858,'Crafting recipes'!$A$6:$A$1005,0)),"MISSING ID")</x:f>
        <x:v>Proposal</x:v>
      </x:c>
      <x:c r="L1858" s="4" t="str">
        <x:f>IFERROR(INDEX('Items'!$AD$6:$AD$1005,MATCH(D1858,'Items'!$A$6:$A$1005,0)),"MISSING ID")</x:f>
        <x:v>Proposal</x:v>
      </x:c>
      <x:c r="M1858" s="4" t="str">
        <x:f>IFERROR(INDEX('Crafting recipes'!$E$6:$E$1005,MATCH(B1858,'Crafting recipes'!$A$6:$A$1005,0)),"MISSING ID")</x:f>
        <x:v>Partial proposal</x:v>
      </x:c>
      <x:c r="N1858" s="4" t="str">
        <x:v>Partial audit candidate; quantity, fit and performance remain unresolved.</x:v>
      </x:c>
      <x:c r="O18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8" s="4" t="n">
        <x:f>IF(OR(C1858="Ingredient candidate",C1858="Consumed input",C1858="Contained input",C1858="Transform input"),IF(F1858="T0",0,IF(F1858="T1",1,IF(F1858="T2",2,IF(F1858="T3",3,IF(F1858="T4",4,-1))))),-1)</x:f>
        <x:v>2</x:v>
      </x:c>
      <x:c r="Q1858" s="4" t="n">
        <x:f>IF(AND(OR(C1858="Ingredient candidate",C1858="Consumed input",C1858="Contained input",C1858="Transform input"),P1858=-1),1,0)</x:f>
        <x:v>0</x:v>
      </x:c>
    </x:row>
    <x:row r="1859" ht="64" customHeight="1">
      <x:c r="A1859" s="4" t="str">
        <x:v>design.audit.proposal_food_dense_drink.audit.in.2</x:v>
      </x:c>
      <x:c r="B1859" s="4" t="str">
        <x:v>design.audit.proposal_food_dense_drink</x:v>
      </x:c>
      <x:c r="C1859" s="4" t="str">
        <x:v>Ingredient candidate</x:v>
      </x:c>
      <x:c r="D1859" s="4" t="str">
        <x:v>proposal.collection.culinary_phagia_liquid_fraction</x:v>
      </x:c>
      <x:c r="E1859" s="4" t="str">
        <x:f>IFERROR(INDEX('Items'!$B$6:$B$1005,MATCH(D1859,'Items'!$A$6:$A$1005,0)),"MISSING ID")</x:f>
        <x:v>Culinary Phagia liquid fraction</x:v>
      </x:c>
      <x:c r="F1859" s="4" t="str">
        <x:f>IFERROR(INDEX('Items'!$C$6:$C$1005,MATCH(D1859,'Items'!$A$6:$A$1005,0)),"MISSING ID")</x:f>
        <x:v>T1</x:v>
      </x:c>
      <x:c r="G1859" s="4" t="str">
        <x:f>IFERROR(INDEX('Items'!$D$6:$D$1005,MATCH(D1859,'Items'!$A$6:$A$1005,0)),"MISSING ID")</x:f>
        <x:v>Cooking ingredients</x:v>
      </x:c>
      <x:c r="H1859" s="4" t="str">
        <x:f>IFERROR(INDEX('Items'!$X$6:$X$1005,MATCH(D1859,'Items'!$A$6:$A$1005,0)),"MISSING ID")</x:f>
        <x:v>Food material</x:v>
      </x:c>
      <x:c r="I1859" s="4"/>
      <x:c r="J1859" s="4" t="str">
        <x:v>Unspecified</x:v>
      </x:c>
      <x:c r="K1859" s="4" t="str">
        <x:f>IFERROR(INDEX('Crafting recipes'!$D$6:$D$1005,MATCH(B1859,'Crafting recipes'!$A$6:$A$1005,0)),"MISSING ID")</x:f>
        <x:v>Proposal</x:v>
      </x:c>
      <x:c r="L1859" s="4" t="str">
        <x:f>IFERROR(INDEX('Items'!$AD$6:$AD$1005,MATCH(D1859,'Items'!$A$6:$A$1005,0)),"MISSING ID")</x:f>
        <x:v>Proposal</x:v>
      </x:c>
      <x:c r="M1859" s="4" t="str">
        <x:f>IFERROR(INDEX('Crafting recipes'!$E$6:$E$1005,MATCH(B1859,'Crafting recipes'!$A$6:$A$1005,0)),"MISSING ID")</x:f>
        <x:v>Partial proposal</x:v>
      </x:c>
      <x:c r="N1859" s="4" t="str">
        <x:v>Partial audit candidate; quantity, fit and performance remain unresolved.</x:v>
      </x:c>
      <x:c r="O18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9" s="4" t="n">
        <x:f>IF(OR(C1859="Ingredient candidate",C1859="Consumed input",C1859="Contained input",C1859="Transform input"),IF(F1859="T0",0,IF(F1859="T1",1,IF(F1859="T2",2,IF(F1859="T3",3,IF(F1859="T4",4,-1))))),-1)</x:f>
        <x:v>1</x:v>
      </x:c>
      <x:c r="Q1859" s="4" t="n">
        <x:f>IF(AND(OR(C1859="Ingredient candidate",C1859="Consumed input",C1859="Contained input",C1859="Transform input"),P1859=-1),1,0)</x:f>
        <x:v>0</x:v>
      </x:c>
    </x:row>
    <x:row r="1860" ht="64" customHeight="1">
      <x:c r="A1860" s="4" t="str">
        <x:v>design.audit.proposal_food_dense_drink.audit.out</x:v>
      </x:c>
      <x:c r="B1860" s="4" t="str">
        <x:v>design.audit.proposal_food_dense_drink</x:v>
      </x:c>
      <x:c r="C1860" s="4" t="str">
        <x:v>Output</x:v>
      </x:c>
      <x:c r="D1860" s="4" t="str">
        <x:v>proposal.food.dense_drink</x:v>
      </x:c>
      <x:c r="E1860" s="4" t="str">
        <x:f>IFERROR(INDEX('Items'!$B$6:$B$1005,MATCH(D1860,'Items'!$A$6:$A$1005,0)),"MISSING ID")</x:f>
        <x:v>Dense Phagia nutrient drink</x:v>
      </x:c>
      <x:c r="F1860" s="4" t="str">
        <x:f>IFERROR(INDEX('Items'!$C$6:$C$1005,MATCH(D1860,'Items'!$A$6:$A$1005,0)),"MISSING ID")</x:f>
        <x:v>Not applicable</x:v>
      </x:c>
      <x:c r="G1860" s="4" t="str">
        <x:f>IFERROR(INDEX('Items'!$D$6:$D$1005,MATCH(D1860,'Items'!$A$6:$A$1005,0)),"MISSING ID")</x:f>
        <x:v>Consumables</x:v>
      </x:c>
      <x:c r="H1860" s="4" t="str">
        <x:f>IFERROR(INDEX('Items'!$X$6:$X$1005,MATCH(D1860,'Items'!$A$6:$A$1005,0)),"MISSING ID")</x:f>
        <x:v>Drink consumable</x:v>
      </x:c>
      <x:c r="I1860" s="4"/>
      <x:c r="J1860" s="4" t="str">
        <x:v>Unspecified</x:v>
      </x:c>
      <x:c r="K1860" s="4" t="str">
        <x:f>IFERROR(INDEX('Crafting recipes'!$D$6:$D$1005,MATCH(B1860,'Crafting recipes'!$A$6:$A$1005,0)),"MISSING ID")</x:f>
        <x:v>Proposal</x:v>
      </x:c>
      <x:c r="L1860" s="4" t="str">
        <x:f>IFERROR(INDEX('Items'!$AD$6:$AD$1005,MATCH(D1860,'Items'!$A$6:$A$1005,0)),"MISSING ID")</x:f>
        <x:v>Proposal</x:v>
      </x:c>
      <x:c r="M1860" s="4" t="str">
        <x:f>IFERROR(INDEX('Crafting recipes'!$E$6:$E$1005,MATCH(B1860,'Crafting recipes'!$A$6:$A$1005,0)),"MISSING ID")</x:f>
        <x:v>Partial proposal</x:v>
      </x:c>
      <x:c r="N1860" s="4" t="str">
        <x:v>Partial audit candidate; quantity, fit and performance remain unresolved.</x:v>
      </x:c>
      <x:c r="O18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0" s="4" t="n">
        <x:f>IF(OR(C1860="Ingredient candidate",C1860="Consumed input",C1860="Contained input",C1860="Transform input"),IF(F1860="T0",0,IF(F1860="T1",1,IF(F1860="T2",2,IF(F1860="T3",3,IF(F1860="T4",4,-1))))),-1)</x:f>
        <x:v>-1</x:v>
      </x:c>
      <x:c r="Q1860" s="4" t="n">
        <x:f>IF(AND(OR(C1860="Ingredient candidate",C1860="Consumed input",C1860="Contained input",C1860="Transform input"),P1860=-1),1,0)</x:f>
        <x:v>0</x:v>
      </x:c>
    </x:row>
    <x:row r="1861" ht="64" customHeight="1">
      <x:c r="A1861" s="4" t="str">
        <x:v>design.audit.proposal_food_ration_bar.audit.in.1</x:v>
      </x:c>
      <x:c r="B1861" s="4" t="str">
        <x:v>design.audit.proposal_food_ration_bar</x:v>
      </x:c>
      <x:c r="C1861" s="4" t="str">
        <x:v>Ingredient candidate</x:v>
      </x:c>
      <x:c r="D1861" s="4" t="str">
        <x:v>proposal.collection.fine_culinary_phagia_meal</x:v>
      </x:c>
      <x:c r="E1861" s="4" t="str">
        <x:f>IFERROR(INDEX('Items'!$B$6:$B$1005,MATCH(D1861,'Items'!$A$6:$A$1005,0)),"MISSING ID")</x:f>
        <x:v>Fine culinary Phagia meal</x:v>
      </x:c>
      <x:c r="F1861" s="4" t="str">
        <x:f>IFERROR(INDEX('Items'!$C$6:$C$1005,MATCH(D1861,'Items'!$A$6:$A$1005,0)),"MISSING ID")</x:f>
        <x:v>T1</x:v>
      </x:c>
      <x:c r="G1861" s="4" t="str">
        <x:f>IFERROR(INDEX('Items'!$D$6:$D$1005,MATCH(D1861,'Items'!$A$6:$A$1005,0)),"MISSING ID")</x:f>
        <x:v>Cooking ingredients</x:v>
      </x:c>
      <x:c r="H1861" s="4" t="str">
        <x:f>IFERROR(INDEX('Items'!$X$6:$X$1005,MATCH(D1861,'Items'!$A$6:$A$1005,0)),"MISSING ID")</x:f>
        <x:v>Food material</x:v>
      </x:c>
      <x:c r="I1861" s="4"/>
      <x:c r="J1861" s="4" t="str">
        <x:v>Unspecified</x:v>
      </x:c>
      <x:c r="K1861" s="4" t="str">
        <x:f>IFERROR(INDEX('Crafting recipes'!$D$6:$D$1005,MATCH(B1861,'Crafting recipes'!$A$6:$A$1005,0)),"MISSING ID")</x:f>
        <x:v>Proposal</x:v>
      </x:c>
      <x:c r="L1861" s="4" t="str">
        <x:f>IFERROR(INDEX('Items'!$AD$6:$AD$1005,MATCH(D1861,'Items'!$A$6:$A$1005,0)),"MISSING ID")</x:f>
        <x:v>Proposal</x:v>
      </x:c>
      <x:c r="M1861" s="4" t="str">
        <x:f>IFERROR(INDEX('Crafting recipes'!$E$6:$E$1005,MATCH(B1861,'Crafting recipes'!$A$6:$A$1005,0)),"MISSING ID")</x:f>
        <x:v>Partial proposal</x:v>
      </x:c>
      <x:c r="N1861" s="4" t="str">
        <x:v>Partial audit candidate; quantity, fit and performance remain unresolved.</x:v>
      </x:c>
      <x:c r="O18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1" s="4" t="n">
        <x:f>IF(OR(C1861="Ingredient candidate",C1861="Consumed input",C1861="Contained input",C1861="Transform input"),IF(F1861="T0",0,IF(F1861="T1",1,IF(F1861="T2",2,IF(F1861="T3",3,IF(F1861="T4",4,-1))))),-1)</x:f>
        <x:v>1</x:v>
      </x:c>
      <x:c r="Q1861" s="4" t="n">
        <x:f>IF(AND(OR(C1861="Ingredient candidate",C1861="Consumed input",C1861="Contained input",C1861="Transform input"),P1861=-1),1,0)</x:f>
        <x:v>0</x:v>
      </x:c>
    </x:row>
    <x:row r="1862" ht="64" customHeight="1">
      <x:c r="A1862" s="4" t="str">
        <x:v>design.audit.proposal_food_ration_bar.audit.in.2</x:v>
      </x:c>
      <x:c r="B1862" s="4" t="str">
        <x:v>design.audit.proposal_food_ration_bar</x:v>
      </x:c>
      <x:c r="C1862" s="4" t="str">
        <x:v>Ingredient candidate</x:v>
      </x:c>
      <x:c r="D1862" s="4" t="str">
        <x:v>proposal.collection.culinary_phagia_binding_paste</x:v>
      </x:c>
      <x:c r="E1862" s="4" t="str">
        <x:f>IFERROR(INDEX('Items'!$B$6:$B$1005,MATCH(D1862,'Items'!$A$6:$A$1005,0)),"MISSING ID")</x:f>
        <x:v>Culinary Phagia binding paste</x:v>
      </x:c>
      <x:c r="F1862" s="4" t="str">
        <x:f>IFERROR(INDEX('Items'!$C$6:$C$1005,MATCH(D1862,'Items'!$A$6:$A$1005,0)),"MISSING ID")</x:f>
        <x:v>T1</x:v>
      </x:c>
      <x:c r="G1862" s="4" t="str">
        <x:f>IFERROR(INDEX('Items'!$D$6:$D$1005,MATCH(D1862,'Items'!$A$6:$A$1005,0)),"MISSING ID")</x:f>
        <x:v>Cooking ingredients</x:v>
      </x:c>
      <x:c r="H1862" s="4" t="str">
        <x:f>IFERROR(INDEX('Items'!$X$6:$X$1005,MATCH(D1862,'Items'!$A$6:$A$1005,0)),"MISSING ID")</x:f>
        <x:v>Food material</x:v>
      </x:c>
      <x:c r="I1862" s="4"/>
      <x:c r="J1862" s="4" t="str">
        <x:v>Unspecified</x:v>
      </x:c>
      <x:c r="K1862" s="4" t="str">
        <x:f>IFERROR(INDEX('Crafting recipes'!$D$6:$D$1005,MATCH(B1862,'Crafting recipes'!$A$6:$A$1005,0)),"MISSING ID")</x:f>
        <x:v>Proposal</x:v>
      </x:c>
      <x:c r="L1862" s="4" t="str">
        <x:f>IFERROR(INDEX('Items'!$AD$6:$AD$1005,MATCH(D1862,'Items'!$A$6:$A$1005,0)),"MISSING ID")</x:f>
        <x:v>Proposal</x:v>
      </x:c>
      <x:c r="M1862" s="4" t="str">
        <x:f>IFERROR(INDEX('Crafting recipes'!$E$6:$E$1005,MATCH(B1862,'Crafting recipes'!$A$6:$A$1005,0)),"MISSING ID")</x:f>
        <x:v>Partial proposal</x:v>
      </x:c>
      <x:c r="N1862" s="4" t="str">
        <x:v>Partial audit candidate; quantity, fit and performance remain unresolved.</x:v>
      </x:c>
      <x:c r="O18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2" s="4" t="n">
        <x:f>IF(OR(C1862="Ingredient candidate",C1862="Consumed input",C1862="Contained input",C1862="Transform input"),IF(F1862="T0",0,IF(F1862="T1",1,IF(F1862="T2",2,IF(F1862="T3",3,IF(F1862="T4",4,-1))))),-1)</x:f>
        <x:v>1</x:v>
      </x:c>
      <x:c r="Q1862" s="4" t="n">
        <x:f>IF(AND(OR(C1862="Ingredient candidate",C1862="Consumed input",C1862="Contained input",C1862="Transform input"),P1862=-1),1,0)</x:f>
        <x:v>0</x:v>
      </x:c>
    </x:row>
    <x:row r="1863" ht="64" customHeight="1">
      <x:c r="A1863" s="4" t="str">
        <x:v>design.audit.proposal_food_ration_bar.audit.out</x:v>
      </x:c>
      <x:c r="B1863" s="4" t="str">
        <x:v>design.audit.proposal_food_ration_bar</x:v>
      </x:c>
      <x:c r="C1863" s="4" t="str">
        <x:v>Output</x:v>
      </x:c>
      <x:c r="D1863" s="4" t="str">
        <x:v>proposal.food.ration_bar</x:v>
      </x:c>
      <x:c r="E1863" s="4" t="str">
        <x:f>IFERROR(INDEX('Items'!$B$6:$B$1005,MATCH(D1863,'Items'!$A$6:$A$1005,0)),"MISSING ID")</x:f>
        <x:v>Phagia ration bar</x:v>
      </x:c>
      <x:c r="F1863" s="4" t="str">
        <x:f>IFERROR(INDEX('Items'!$C$6:$C$1005,MATCH(D1863,'Items'!$A$6:$A$1005,0)),"MISSING ID")</x:f>
        <x:v>Not applicable</x:v>
      </x:c>
      <x:c r="G1863" s="4" t="str">
        <x:f>IFERROR(INDEX('Items'!$D$6:$D$1005,MATCH(D1863,'Items'!$A$6:$A$1005,0)),"MISSING ID")</x:f>
        <x:v>Consumables</x:v>
      </x:c>
      <x:c r="H1863" s="4" t="str">
        <x:f>IFERROR(INDEX('Items'!$X$6:$X$1005,MATCH(D1863,'Items'!$A$6:$A$1005,0)),"MISSING ID")</x:f>
        <x:v>Food consumable</x:v>
      </x:c>
      <x:c r="I1863" s="4"/>
      <x:c r="J1863" s="4" t="str">
        <x:v>Unspecified</x:v>
      </x:c>
      <x:c r="K1863" s="4" t="str">
        <x:f>IFERROR(INDEX('Crafting recipes'!$D$6:$D$1005,MATCH(B1863,'Crafting recipes'!$A$6:$A$1005,0)),"MISSING ID")</x:f>
        <x:v>Proposal</x:v>
      </x:c>
      <x:c r="L1863" s="4" t="str">
        <x:f>IFERROR(INDEX('Items'!$AD$6:$AD$1005,MATCH(D1863,'Items'!$A$6:$A$1005,0)),"MISSING ID")</x:f>
        <x:v>Author direction</x:v>
      </x:c>
      <x:c r="M1863" s="4" t="str">
        <x:f>IFERROR(INDEX('Crafting recipes'!$E$6:$E$1005,MATCH(B1863,'Crafting recipes'!$A$6:$A$1005,0)),"MISSING ID")</x:f>
        <x:v>Partial proposal</x:v>
      </x:c>
      <x:c r="N1863" s="4" t="str">
        <x:v>Partial audit candidate; quantity, fit and performance remain unresolved.</x:v>
      </x:c>
      <x:c r="O18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3" s="4" t="n">
        <x:f>IF(OR(C1863="Ingredient candidate",C1863="Consumed input",C1863="Contained input",C1863="Transform input"),IF(F1863="T0",0,IF(F1863="T1",1,IF(F1863="T2",2,IF(F1863="T3",3,IF(F1863="T4",4,-1))))),-1)</x:f>
        <x:v>-1</x:v>
      </x:c>
      <x:c r="Q1863" s="4" t="n">
        <x:f>IF(AND(OR(C1863="Ingredient candidate",C1863="Consumed input",C1863="Contained input",C1863="Transform input"),P1863=-1),1,0)</x:f>
        <x:v>0</x:v>
      </x:c>
    </x:row>
    <x:row r="1864" ht="64" customHeight="1">
      <x:c r="A1864" s="4" t="str">
        <x:v>design.audit.proposal_food_dried_bar.audit.in.1</x:v>
      </x:c>
      <x:c r="B1864" s="4" t="str">
        <x:v>design.audit.proposal_food_dried_bar</x:v>
      </x:c>
      <x:c r="C1864" s="4" t="str">
        <x:v>Ingredient candidate</x:v>
      </x:c>
      <x:c r="D1864" s="4" t="str">
        <x:v>proposal.collection.fine_culinary_phagia_meal</x:v>
      </x:c>
      <x:c r="E1864" s="4" t="str">
        <x:f>IFERROR(INDEX('Items'!$B$6:$B$1005,MATCH(D1864,'Items'!$A$6:$A$1005,0)),"MISSING ID")</x:f>
        <x:v>Fine culinary Phagia meal</x:v>
      </x:c>
      <x:c r="F1864" s="4" t="str">
        <x:f>IFERROR(INDEX('Items'!$C$6:$C$1005,MATCH(D1864,'Items'!$A$6:$A$1005,0)),"MISSING ID")</x:f>
        <x:v>T1</x:v>
      </x:c>
      <x:c r="G1864" s="4" t="str">
        <x:f>IFERROR(INDEX('Items'!$D$6:$D$1005,MATCH(D1864,'Items'!$A$6:$A$1005,0)),"MISSING ID")</x:f>
        <x:v>Cooking ingredients</x:v>
      </x:c>
      <x:c r="H1864" s="4" t="str">
        <x:f>IFERROR(INDEX('Items'!$X$6:$X$1005,MATCH(D1864,'Items'!$A$6:$A$1005,0)),"MISSING ID")</x:f>
        <x:v>Food material</x:v>
      </x:c>
      <x:c r="I1864" s="4"/>
      <x:c r="J1864" s="4" t="str">
        <x:v>Unspecified</x:v>
      </x:c>
      <x:c r="K1864" s="4" t="str">
        <x:f>IFERROR(INDEX('Crafting recipes'!$D$6:$D$1005,MATCH(B1864,'Crafting recipes'!$A$6:$A$1005,0)),"MISSING ID")</x:f>
        <x:v>Proposal</x:v>
      </x:c>
      <x:c r="L1864" s="4" t="str">
        <x:f>IFERROR(INDEX('Items'!$AD$6:$AD$1005,MATCH(D1864,'Items'!$A$6:$A$1005,0)),"MISSING ID")</x:f>
        <x:v>Proposal</x:v>
      </x:c>
      <x:c r="M1864" s="4" t="str">
        <x:f>IFERROR(INDEX('Crafting recipes'!$E$6:$E$1005,MATCH(B1864,'Crafting recipes'!$A$6:$A$1005,0)),"MISSING ID")</x:f>
        <x:v>Partial proposal</x:v>
      </x:c>
      <x:c r="N1864" s="4" t="str">
        <x:v>Partial audit candidate; quantity, fit and performance remain unresolved.</x:v>
      </x:c>
      <x:c r="O18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4" s="4" t="n">
        <x:f>IF(OR(C1864="Ingredient candidate",C1864="Consumed input",C1864="Contained input",C1864="Transform input"),IF(F1864="T0",0,IF(F1864="T1",1,IF(F1864="T2",2,IF(F1864="T3",3,IF(F1864="T4",4,-1))))),-1)</x:f>
        <x:v>1</x:v>
      </x:c>
      <x:c r="Q1864" s="4" t="n">
        <x:f>IF(AND(OR(C1864="Ingredient candidate",C1864="Consumed input",C1864="Contained input",C1864="Transform input"),P1864=-1),1,0)</x:f>
        <x:v>0</x:v>
      </x:c>
    </x:row>
    <x:row r="1865" ht="64" customHeight="1">
      <x:c r="A1865" s="4" t="str">
        <x:v>design.audit.proposal_food_dried_bar.audit.in.2</x:v>
      </x:c>
      <x:c r="B1865" s="4" t="str">
        <x:v>design.audit.proposal_food_dried_bar</x:v>
      </x:c>
      <x:c r="C1865" s="4" t="str">
        <x:v>Ingredient candidate</x:v>
      </x:c>
      <x:c r="D1865" s="4" t="str">
        <x:v>proposal.collection.pressed_culinary_phagia_flakes</x:v>
      </x:c>
      <x:c r="E1865" s="4" t="str">
        <x:f>IFERROR(INDEX('Items'!$B$6:$B$1005,MATCH(D1865,'Items'!$A$6:$A$1005,0)),"MISSING ID")</x:f>
        <x:v>Pressed culinary Phagia flakes</x:v>
      </x:c>
      <x:c r="F1865" s="4" t="str">
        <x:f>IFERROR(INDEX('Items'!$C$6:$C$1005,MATCH(D1865,'Items'!$A$6:$A$1005,0)),"MISSING ID")</x:f>
        <x:v>T1</x:v>
      </x:c>
      <x:c r="G1865" s="4" t="str">
        <x:f>IFERROR(INDEX('Items'!$D$6:$D$1005,MATCH(D1865,'Items'!$A$6:$A$1005,0)),"MISSING ID")</x:f>
        <x:v>Cooking ingredients</x:v>
      </x:c>
      <x:c r="H1865" s="4" t="str">
        <x:f>IFERROR(INDEX('Items'!$X$6:$X$1005,MATCH(D1865,'Items'!$A$6:$A$1005,0)),"MISSING ID")</x:f>
        <x:v>Food material</x:v>
      </x:c>
      <x:c r="I1865" s="4"/>
      <x:c r="J1865" s="4" t="str">
        <x:v>Unspecified</x:v>
      </x:c>
      <x:c r="K1865" s="4" t="str">
        <x:f>IFERROR(INDEX('Crafting recipes'!$D$6:$D$1005,MATCH(B1865,'Crafting recipes'!$A$6:$A$1005,0)),"MISSING ID")</x:f>
        <x:v>Proposal</x:v>
      </x:c>
      <x:c r="L1865" s="4" t="str">
        <x:f>IFERROR(INDEX('Items'!$AD$6:$AD$1005,MATCH(D1865,'Items'!$A$6:$A$1005,0)),"MISSING ID")</x:f>
        <x:v>Proposal</x:v>
      </x:c>
      <x:c r="M1865" s="4" t="str">
        <x:f>IFERROR(INDEX('Crafting recipes'!$E$6:$E$1005,MATCH(B1865,'Crafting recipes'!$A$6:$A$1005,0)),"MISSING ID")</x:f>
        <x:v>Partial proposal</x:v>
      </x:c>
      <x:c r="N1865" s="4" t="str">
        <x:v>Partial audit candidate; quantity, fit and performance remain unresolved.</x:v>
      </x:c>
      <x:c r="O18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5" s="4" t="n">
        <x:f>IF(OR(C1865="Ingredient candidate",C1865="Consumed input",C1865="Contained input",C1865="Transform input"),IF(F1865="T0",0,IF(F1865="T1",1,IF(F1865="T2",2,IF(F1865="T3",3,IF(F1865="T4",4,-1))))),-1)</x:f>
        <x:v>1</x:v>
      </x:c>
      <x:c r="Q1865" s="4" t="n">
        <x:f>IF(AND(OR(C1865="Ingredient candidate",C1865="Consumed input",C1865="Contained input",C1865="Transform input"),P1865=-1),1,0)</x:f>
        <x:v>0</x:v>
      </x:c>
    </x:row>
    <x:row r="1866" ht="64" customHeight="1">
      <x:c r="A1866" s="4" t="str">
        <x:v>design.audit.proposal_food_dried_bar.audit.out</x:v>
      </x:c>
      <x:c r="B1866" s="4" t="str">
        <x:v>design.audit.proposal_food_dried_bar</x:v>
      </x:c>
      <x:c r="C1866" s="4" t="str">
        <x:v>Output</x:v>
      </x:c>
      <x:c r="D1866" s="4" t="str">
        <x:v>proposal.food.dried_bar</x:v>
      </x:c>
      <x:c r="E1866" s="4" t="str">
        <x:f>IFERROR(INDEX('Items'!$B$6:$B$1005,MATCH(D1866,'Items'!$A$6:$A$1005,0)),"MISSING ID")</x:f>
        <x:v>Dried Phagia travel bar</x:v>
      </x:c>
      <x:c r="F1866" s="4" t="str">
        <x:f>IFERROR(INDEX('Items'!$C$6:$C$1005,MATCH(D1866,'Items'!$A$6:$A$1005,0)),"MISSING ID")</x:f>
        <x:v>Not applicable</x:v>
      </x:c>
      <x:c r="G1866" s="4" t="str">
        <x:f>IFERROR(INDEX('Items'!$D$6:$D$1005,MATCH(D1866,'Items'!$A$6:$A$1005,0)),"MISSING ID")</x:f>
        <x:v>Consumables</x:v>
      </x:c>
      <x:c r="H1866" s="4" t="str">
        <x:f>IFERROR(INDEX('Items'!$X$6:$X$1005,MATCH(D1866,'Items'!$A$6:$A$1005,0)),"MISSING ID")</x:f>
        <x:v>Food consumable</x:v>
      </x:c>
      <x:c r="I1866" s="4"/>
      <x:c r="J1866" s="4" t="str">
        <x:v>Unspecified</x:v>
      </x:c>
      <x:c r="K1866" s="4" t="str">
        <x:f>IFERROR(INDEX('Crafting recipes'!$D$6:$D$1005,MATCH(B1866,'Crafting recipes'!$A$6:$A$1005,0)),"MISSING ID")</x:f>
        <x:v>Proposal</x:v>
      </x:c>
      <x:c r="L1866" s="4" t="str">
        <x:f>IFERROR(INDEX('Items'!$AD$6:$AD$1005,MATCH(D1866,'Items'!$A$6:$A$1005,0)),"MISSING ID")</x:f>
        <x:v>Author direction</x:v>
      </x:c>
      <x:c r="M1866" s="4" t="str">
        <x:f>IFERROR(INDEX('Crafting recipes'!$E$6:$E$1005,MATCH(B1866,'Crafting recipes'!$A$6:$A$1005,0)),"MISSING ID")</x:f>
        <x:v>Partial proposal</x:v>
      </x:c>
      <x:c r="N1866" s="4" t="str">
        <x:v>Partial audit candidate; quantity, fit and performance remain unresolved.</x:v>
      </x:c>
      <x:c r="O18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6" s="4" t="n">
        <x:f>IF(OR(C1866="Ingredient candidate",C1866="Consumed input",C1866="Contained input",C1866="Transform input"),IF(F1866="T0",0,IF(F1866="T1",1,IF(F1866="T2",2,IF(F1866="T3",3,IF(F1866="T4",4,-1))))),-1)</x:f>
        <x:v>-1</x:v>
      </x:c>
      <x:c r="Q1866" s="4" t="n">
        <x:f>IF(AND(OR(C1866="Ingredient candidate",C1866="Consumed input",C1866="Contained input",C1866="Transform input"),P1866=-1),1,0)</x:f>
        <x:v>0</x:v>
      </x:c>
    </x:row>
    <x:row r="1867" ht="64" customHeight="1">
      <x:c r="A1867" s="4" t="str">
        <x:v>design.audit.proposal_food_meal_paste.audit.in.1</x:v>
      </x:c>
      <x:c r="B1867" s="4" t="str">
        <x:v>design.audit.proposal_food_meal_paste</x:v>
      </x:c>
      <x:c r="C1867" s="4" t="str">
        <x:v>Ingredient candidate</x:v>
      </x:c>
      <x:c r="D1867" s="4" t="str">
        <x:v>proposal.collection.drained_culinary_phagia_curd</x:v>
      </x:c>
      <x:c r="E1867" s="4" t="str">
        <x:f>IFERROR(INDEX('Items'!$B$6:$B$1005,MATCH(D1867,'Items'!$A$6:$A$1005,0)),"MISSING ID")</x:f>
        <x:v>Drained culinary Phagia curd</x:v>
      </x:c>
      <x:c r="F1867" s="4" t="str">
        <x:f>IFERROR(INDEX('Items'!$C$6:$C$1005,MATCH(D1867,'Items'!$A$6:$A$1005,0)),"MISSING ID")</x:f>
        <x:v>T1</x:v>
      </x:c>
      <x:c r="G1867" s="4" t="str">
        <x:f>IFERROR(INDEX('Items'!$D$6:$D$1005,MATCH(D1867,'Items'!$A$6:$A$1005,0)),"MISSING ID")</x:f>
        <x:v>Cooking ingredients</x:v>
      </x:c>
      <x:c r="H1867" s="4" t="str">
        <x:f>IFERROR(INDEX('Items'!$X$6:$X$1005,MATCH(D1867,'Items'!$A$6:$A$1005,0)),"MISSING ID")</x:f>
        <x:v>Food material</x:v>
      </x:c>
      <x:c r="I1867" s="4"/>
      <x:c r="J1867" s="4" t="str">
        <x:v>Unspecified</x:v>
      </x:c>
      <x:c r="K1867" s="4" t="str">
        <x:f>IFERROR(INDEX('Crafting recipes'!$D$6:$D$1005,MATCH(B1867,'Crafting recipes'!$A$6:$A$1005,0)),"MISSING ID")</x:f>
        <x:v>Proposal</x:v>
      </x:c>
      <x:c r="L1867" s="4" t="str">
        <x:f>IFERROR(INDEX('Items'!$AD$6:$AD$1005,MATCH(D1867,'Items'!$A$6:$A$1005,0)),"MISSING ID")</x:f>
        <x:v>Proposal</x:v>
      </x:c>
      <x:c r="M1867" s="4" t="str">
        <x:f>IFERROR(INDEX('Crafting recipes'!$E$6:$E$1005,MATCH(B1867,'Crafting recipes'!$A$6:$A$1005,0)),"MISSING ID")</x:f>
        <x:v>Partial proposal</x:v>
      </x:c>
      <x:c r="N1867" s="4" t="str">
        <x:v>Partial audit candidate; quantity, fit and performance remain unresolved.</x:v>
      </x:c>
      <x:c r="O18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7" s="4" t="n">
        <x:f>IF(OR(C1867="Ingredient candidate",C1867="Consumed input",C1867="Contained input",C1867="Transform input"),IF(F1867="T0",0,IF(F1867="T1",1,IF(F1867="T2",2,IF(F1867="T3",3,IF(F1867="T4",4,-1))))),-1)</x:f>
        <x:v>1</x:v>
      </x:c>
      <x:c r="Q1867" s="4" t="n">
        <x:f>IF(AND(OR(C1867="Ingredient candidate",C1867="Consumed input",C1867="Contained input",C1867="Transform input"),P1867=-1),1,0)</x:f>
        <x:v>0</x:v>
      </x:c>
    </x:row>
    <x:row r="1868" ht="64" customHeight="1">
      <x:c r="A1868" s="4" t="str">
        <x:v>design.audit.proposal_food_meal_paste.audit.in.2</x:v>
      </x:c>
      <x:c r="B1868" s="4" t="str">
        <x:v>design.audit.proposal_food_meal_paste</x:v>
      </x:c>
      <x:c r="C1868" s="4" t="str">
        <x:v>Ingredient candidate</x:v>
      </x:c>
      <x:c r="D1868" s="4" t="str">
        <x:v>proposal.collection.culinary_phagia_binding_paste</x:v>
      </x:c>
      <x:c r="E1868" s="4" t="str">
        <x:f>IFERROR(INDEX('Items'!$B$6:$B$1005,MATCH(D1868,'Items'!$A$6:$A$1005,0)),"MISSING ID")</x:f>
        <x:v>Culinary Phagia binding paste</x:v>
      </x:c>
      <x:c r="F1868" s="4" t="str">
        <x:f>IFERROR(INDEX('Items'!$C$6:$C$1005,MATCH(D1868,'Items'!$A$6:$A$1005,0)),"MISSING ID")</x:f>
        <x:v>T1</x:v>
      </x:c>
      <x:c r="G1868" s="4" t="str">
        <x:f>IFERROR(INDEX('Items'!$D$6:$D$1005,MATCH(D1868,'Items'!$A$6:$A$1005,0)),"MISSING ID")</x:f>
        <x:v>Cooking ingredients</x:v>
      </x:c>
      <x:c r="H1868" s="4" t="str">
        <x:f>IFERROR(INDEX('Items'!$X$6:$X$1005,MATCH(D1868,'Items'!$A$6:$A$1005,0)),"MISSING ID")</x:f>
        <x:v>Food material</x:v>
      </x:c>
      <x:c r="I1868" s="4"/>
      <x:c r="J1868" s="4" t="str">
        <x:v>Unspecified</x:v>
      </x:c>
      <x:c r="K1868" s="4" t="str">
        <x:f>IFERROR(INDEX('Crafting recipes'!$D$6:$D$1005,MATCH(B1868,'Crafting recipes'!$A$6:$A$1005,0)),"MISSING ID")</x:f>
        <x:v>Proposal</x:v>
      </x:c>
      <x:c r="L1868" s="4" t="str">
        <x:f>IFERROR(INDEX('Items'!$AD$6:$AD$1005,MATCH(D1868,'Items'!$A$6:$A$1005,0)),"MISSING ID")</x:f>
        <x:v>Proposal</x:v>
      </x:c>
      <x:c r="M1868" s="4" t="str">
        <x:f>IFERROR(INDEX('Crafting recipes'!$E$6:$E$1005,MATCH(B1868,'Crafting recipes'!$A$6:$A$1005,0)),"MISSING ID")</x:f>
        <x:v>Partial proposal</x:v>
      </x:c>
      <x:c r="N1868" s="4" t="str">
        <x:v>Partial audit candidate; quantity, fit and performance remain unresolved.</x:v>
      </x:c>
      <x:c r="O18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8" s="4" t="n">
        <x:f>IF(OR(C1868="Ingredient candidate",C1868="Consumed input",C1868="Contained input",C1868="Transform input"),IF(F1868="T0",0,IF(F1868="T1",1,IF(F1868="T2",2,IF(F1868="T3",3,IF(F1868="T4",4,-1))))),-1)</x:f>
        <x:v>1</x:v>
      </x:c>
      <x:c r="Q1868" s="4" t="n">
        <x:f>IF(AND(OR(C1868="Ingredient candidate",C1868="Consumed input",C1868="Contained input",C1868="Transform input"),P1868=-1),1,0)</x:f>
        <x:v>0</x:v>
      </x:c>
    </x:row>
    <x:row r="1869" ht="64" customHeight="1">
      <x:c r="A1869" s="4" t="str">
        <x:v>design.audit.proposal_food_meal_paste.audit.out</x:v>
      </x:c>
      <x:c r="B1869" s="4" t="str">
        <x:v>design.audit.proposal_food_meal_paste</x:v>
      </x:c>
      <x:c r="C1869" s="4" t="str">
        <x:v>Output</x:v>
      </x:c>
      <x:c r="D1869" s="4" t="str">
        <x:v>proposal.food.meal_paste</x:v>
      </x:c>
      <x:c r="E1869" s="4" t="str">
        <x:f>IFERROR(INDEX('Items'!$B$6:$B$1005,MATCH(D1869,'Items'!$A$6:$A$1005,0)),"MISSING ID")</x:f>
        <x:v>Prepared Phagia meal paste</x:v>
      </x:c>
      <x:c r="F1869" s="4" t="str">
        <x:f>IFERROR(INDEX('Items'!$C$6:$C$1005,MATCH(D1869,'Items'!$A$6:$A$1005,0)),"MISSING ID")</x:f>
        <x:v>Not applicable</x:v>
      </x:c>
      <x:c r="G1869" s="4" t="str">
        <x:f>IFERROR(INDEX('Items'!$D$6:$D$1005,MATCH(D1869,'Items'!$A$6:$A$1005,0)),"MISSING ID")</x:f>
        <x:v>Consumables</x:v>
      </x:c>
      <x:c r="H1869" s="4" t="str">
        <x:f>IFERROR(INDEX('Items'!$X$6:$X$1005,MATCH(D1869,'Items'!$A$6:$A$1005,0)),"MISSING ID")</x:f>
        <x:v>Food consumable</x:v>
      </x:c>
      <x:c r="I1869" s="4"/>
      <x:c r="J1869" s="4" t="str">
        <x:v>Unspecified</x:v>
      </x:c>
      <x:c r="K1869" s="4" t="str">
        <x:f>IFERROR(INDEX('Crafting recipes'!$D$6:$D$1005,MATCH(B1869,'Crafting recipes'!$A$6:$A$1005,0)),"MISSING ID")</x:f>
        <x:v>Proposal</x:v>
      </x:c>
      <x:c r="L1869" s="4" t="str">
        <x:f>IFERROR(INDEX('Items'!$AD$6:$AD$1005,MATCH(D1869,'Items'!$A$6:$A$1005,0)),"MISSING ID")</x:f>
        <x:v>Proposal</x:v>
      </x:c>
      <x:c r="M1869" s="4" t="str">
        <x:f>IFERROR(INDEX('Crafting recipes'!$E$6:$E$1005,MATCH(B1869,'Crafting recipes'!$A$6:$A$1005,0)),"MISSING ID")</x:f>
        <x:v>Partial proposal</x:v>
      </x:c>
      <x:c r="N1869" s="4" t="str">
        <x:v>Partial audit candidate; quantity, fit and performance remain unresolved.</x:v>
      </x:c>
      <x:c r="O18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9" s="4" t="n">
        <x:f>IF(OR(C1869="Ingredient candidate",C1869="Consumed input",C1869="Contained input",C1869="Transform input"),IF(F1869="T0",0,IF(F1869="T1",1,IF(F1869="T2",2,IF(F1869="T3",3,IF(F1869="T4",4,-1))))),-1)</x:f>
        <x:v>-1</x:v>
      </x:c>
      <x:c r="Q1869" s="4" t="n">
        <x:f>IF(AND(OR(C1869="Ingredient candidate",C1869="Consumed input",C1869="Contained input",C1869="Transform input"),P1869=-1),1,0)</x:f>
        <x:v>0</x:v>
      </x:c>
    </x:row>
    <x:row r="1870" ht="64" customHeight="1">
      <x:c r="A1870" s="4"/>
      <x:c r="B1870" s="4"/>
      <x:c r="C1870" s="4"/>
      <x:c r="D1870" s="4"/>
      <x:c r="E1870" s="4"/>
      <x:c r="F1870" s="4"/>
      <x:c r="G1870" s="4"/>
      <x:c r="H1870" s="4"/>
      <x:c r="I1870" s="4"/>
      <x:c r="K1870" s="4"/>
      <x:c r="L1870" s="4"/>
      <x:c r="M1870" s="4"/>
      <x:c r="N1870" s="4"/>
      <x:c r="O1870" s="4"/>
      <x:c r="P1870" s="4"/>
      <x:c r="Q1870" s="4"/>
    </x:row>
    <x:row r="1871" ht="64" customHeight="1">
      <x:c r="A1871" s="4"/>
      <x:c r="B1871" s="4"/>
      <x:c r="C1871" s="4"/>
      <x:c r="D1871" s="4"/>
      <x:c r="E1871" s="4"/>
      <x:c r="F1871" s="4"/>
      <x:c r="G1871" s="4"/>
      <x:c r="H1871" s="4"/>
      <x:c r="I1871" s="4"/>
      <x:c r="K1871" s="4"/>
      <x:c r="L1871" s="4"/>
      <x:c r="M1871" s="4"/>
      <x:c r="N1871" s="4"/>
      <x:c r="O1871" s="4"/>
      <x:c r="P1871" s="4"/>
      <x:c r="Q1871" s="4"/>
    </x:row>
    <x:row r="1872" ht="64" customHeight="1">
      <x:c r="A1872" s="4"/>
      <x:c r="B1872" s="4"/>
      <x:c r="C1872" s="4"/>
      <x:c r="D1872" s="4"/>
      <x:c r="E1872" s="4"/>
      <x:c r="F1872" s="4"/>
      <x:c r="G1872" s="4"/>
      <x:c r="H1872" s="4"/>
      <x:c r="I1872" s="4"/>
      <x:c r="K1872" s="4"/>
      <x:c r="L1872" s="4"/>
      <x:c r="M1872" s="4"/>
      <x:c r="N1872" s="4"/>
      <x:c r="O1872" s="4"/>
      <x:c r="P1872" s="4"/>
      <x:c r="Q1872" s="4"/>
    </x:row>
    <x:row r="1873" ht="64" customHeight="1">
      <x:c r="A1873" s="4" t="str">
        <x:v>design.audit.proposal_food_fauna_flake_dish.audit.in.1</x:v>
      </x:c>
      <x:c r="B1873" s="4" t="str">
        <x:v>design.audit.proposal_food_fauna_flake_dish</x:v>
      </x:c>
      <x:c r="C1873" s="4" t="str">
        <x:v>Ingredient candidate</x:v>
      </x:c>
      <x:c r="D1873" s="4" t="str">
        <x:v>proposal.collection.pressed_culinary_phagia_flakes</x:v>
      </x:c>
      <x:c r="E1873" s="4" t="str">
        <x:f>IFERROR(INDEX('Items'!$B$6:$B$1005,MATCH(D1873,'Items'!$A$6:$A$1005,0)),"MISSING ID")</x:f>
        <x:v>Pressed culinary Phagia flakes</x:v>
      </x:c>
      <x:c r="F1873" s="4" t="str">
        <x:f>IFERROR(INDEX('Items'!$C$6:$C$1005,MATCH(D1873,'Items'!$A$6:$A$1005,0)),"MISSING ID")</x:f>
        <x:v>T1</x:v>
      </x:c>
      <x:c r="G1873" s="4" t="str">
        <x:f>IFERROR(INDEX('Items'!$D$6:$D$1005,MATCH(D1873,'Items'!$A$6:$A$1005,0)),"MISSING ID")</x:f>
        <x:v>Cooking ingredients</x:v>
      </x:c>
      <x:c r="H1873" s="4" t="str">
        <x:f>IFERROR(INDEX('Items'!$X$6:$X$1005,MATCH(D1873,'Items'!$A$6:$A$1005,0)),"MISSING ID")</x:f>
        <x:v>Food material</x:v>
      </x:c>
      <x:c r="I1873" s="4"/>
      <x:c r="J1873" s="4" t="str">
        <x:v>Unspecified</x:v>
      </x:c>
      <x:c r="K1873" s="4" t="str">
        <x:f>IFERROR(INDEX('Crafting recipes'!$D$6:$D$1005,MATCH(B1873,'Crafting recipes'!$A$6:$A$1005,0)),"MISSING ID")</x:f>
        <x:v>Proposal</x:v>
      </x:c>
      <x:c r="L1873" s="4" t="str">
        <x:f>IFERROR(INDEX('Items'!$AD$6:$AD$1005,MATCH(D1873,'Items'!$A$6:$A$1005,0)),"MISSING ID")</x:f>
        <x:v>Proposal</x:v>
      </x:c>
      <x:c r="M1873" s="4" t="str">
        <x:f>IFERROR(INDEX('Crafting recipes'!$E$6:$E$1005,MATCH(B1873,'Crafting recipes'!$A$6:$A$1005,0)),"MISSING ID")</x:f>
        <x:v>Partial proposal</x:v>
      </x:c>
      <x:c r="N1873" s="4" t="str">
        <x:v>Partial audit candidate; quantity, fit and performance remain unresolved.</x:v>
      </x:c>
      <x:c r="O18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3" s="4" t="n">
        <x:f>IF(OR(C1873="Ingredient candidate",C1873="Consumed input",C1873="Contained input",C1873="Transform input"),IF(F1873="T0",0,IF(F1873="T1",1,IF(F1873="T2",2,IF(F1873="T3",3,IF(F1873="T4",4,-1))))),-1)</x:f>
        <x:v>1</x:v>
      </x:c>
      <x:c r="Q1873" s="4" t="n">
        <x:f>IF(AND(OR(C1873="Ingredient candidate",C1873="Consumed input",C1873="Contained input",C1873="Transform input"),P1873=-1),1,0)</x:f>
        <x:v>0</x:v>
      </x:c>
    </x:row>
    <x:row r="1874" ht="64" customHeight="1">
      <x:c r="A1874" s="4" t="str">
        <x:v>design.audit.proposal_food_fauna_flake_dish.audit.in.2</x:v>
      </x:c>
      <x:c r="B1874" s="4" t="str">
        <x:v>design.audit.proposal_food_fauna_flake_dish</x:v>
      </x:c>
      <x:c r="C1874" s="4" t="str">
        <x:v>Ingredient candidate</x:v>
      </x:c>
      <x:c r="D1874" s="4" t="str">
        <x:v>proposal.food.edible_flakes</x:v>
      </x:c>
      <x:c r="E1874" s="4" t="str">
        <x:f>IFERROR(INDEX('Items'!$B$6:$B$1005,MATCH(D1874,'Items'!$A$6:$A$1005,0)),"MISSING ID")</x:f>
        <x:v>Prepared edible-fauna flakes</x:v>
      </x:c>
      <x:c r="F1874" s="4" t="str">
        <x:f>IFERROR(INDEX('Items'!$C$6:$C$1005,MATCH(D1874,'Items'!$A$6:$A$1005,0)),"MISSING ID")</x:f>
        <x:v>T1</x:v>
      </x:c>
      <x:c r="G1874" s="4" t="str">
        <x:f>IFERROR(INDEX('Items'!$D$6:$D$1005,MATCH(D1874,'Items'!$A$6:$A$1005,0)),"MISSING ID")</x:f>
        <x:v>Cooking ingredients</x:v>
      </x:c>
      <x:c r="H1874" s="4" t="str">
        <x:f>IFERROR(INDEX('Items'!$X$6:$X$1005,MATCH(D1874,'Items'!$A$6:$A$1005,0)),"MISSING ID")</x:f>
        <x:v>Food material</x:v>
      </x:c>
      <x:c r="I1874" s="4"/>
      <x:c r="J1874" s="4" t="str">
        <x:v>Unspecified</x:v>
      </x:c>
      <x:c r="K1874" s="4" t="str">
        <x:f>IFERROR(INDEX('Crafting recipes'!$D$6:$D$1005,MATCH(B1874,'Crafting recipes'!$A$6:$A$1005,0)),"MISSING ID")</x:f>
        <x:v>Proposal</x:v>
      </x:c>
      <x:c r="L1874" s="4" t="str">
        <x:f>IFERROR(INDEX('Items'!$AD$6:$AD$1005,MATCH(D1874,'Items'!$A$6:$A$1005,0)),"MISSING ID")</x:f>
        <x:v>Proposal</x:v>
      </x:c>
      <x:c r="M1874" s="4" t="str">
        <x:f>IFERROR(INDEX('Crafting recipes'!$E$6:$E$1005,MATCH(B1874,'Crafting recipes'!$A$6:$A$1005,0)),"MISSING ID")</x:f>
        <x:v>Partial proposal</x:v>
      </x:c>
      <x:c r="N1874" s="4" t="str">
        <x:v>Partial audit candidate; quantity, fit and performance remain unresolved.</x:v>
      </x:c>
      <x:c r="O18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4" s="4" t="n">
        <x:f>IF(OR(C1874="Ingredient candidate",C1874="Consumed input",C1874="Contained input",C1874="Transform input"),IF(F1874="T0",0,IF(F1874="T1",1,IF(F1874="T2",2,IF(F1874="T3",3,IF(F1874="T4",4,-1))))),-1)</x:f>
        <x:v>1</x:v>
      </x:c>
      <x:c r="Q1874" s="4" t="n">
        <x:f>IF(AND(OR(C1874="Ingredient candidate",C1874="Consumed input",C1874="Contained input",C1874="Transform input"),P1874=-1),1,0)</x:f>
        <x:v>0</x:v>
      </x:c>
    </x:row>
    <x:row r="1875" ht="64" customHeight="1">
      <x:c r="A1875" s="4" t="str">
        <x:v>design.audit.proposal_food_fauna_flake_dish.audit.out</x:v>
      </x:c>
      <x:c r="B1875" s="4" t="str">
        <x:v>design.audit.proposal_food_fauna_flake_dish</x:v>
      </x:c>
      <x:c r="C1875" s="4" t="str">
        <x:v>Output</x:v>
      </x:c>
      <x:c r="D1875" s="4" t="str">
        <x:v>proposal.food.fauna_flake_dish</x:v>
      </x:c>
      <x:c r="E1875" s="4" t="str">
        <x:f>IFERROR(INDEX('Items'!$B$6:$B$1005,MATCH(D1875,'Items'!$A$6:$A$1005,0)),"MISSING ID")</x:f>
        <x:v>Phagia and edible-fauna flake delicacy</x:v>
      </x:c>
      <x:c r="F1875" s="4" t="str">
        <x:f>IFERROR(INDEX('Items'!$C$6:$C$1005,MATCH(D1875,'Items'!$A$6:$A$1005,0)),"MISSING ID")</x:f>
        <x:v>Not applicable</x:v>
      </x:c>
      <x:c r="G1875" s="4" t="str">
        <x:f>IFERROR(INDEX('Items'!$D$6:$D$1005,MATCH(D1875,'Items'!$A$6:$A$1005,0)),"MISSING ID")</x:f>
        <x:v>Consumables</x:v>
      </x:c>
      <x:c r="H1875" s="4" t="str">
        <x:f>IFERROR(INDEX('Items'!$X$6:$X$1005,MATCH(D1875,'Items'!$A$6:$A$1005,0)),"MISSING ID")</x:f>
        <x:v>Food consumable</x:v>
      </x:c>
      <x:c r="I1875" s="4"/>
      <x:c r="J1875" s="4" t="str">
        <x:v>Unspecified</x:v>
      </x:c>
      <x:c r="K1875" s="4" t="str">
        <x:f>IFERROR(INDEX('Crafting recipes'!$D$6:$D$1005,MATCH(B1875,'Crafting recipes'!$A$6:$A$1005,0)),"MISSING ID")</x:f>
        <x:v>Proposal</x:v>
      </x:c>
      <x:c r="L1875" s="4" t="str">
        <x:f>IFERROR(INDEX('Items'!$AD$6:$AD$1005,MATCH(D1875,'Items'!$A$6:$A$1005,0)),"MISSING ID")</x:f>
        <x:v>Proposal</x:v>
      </x:c>
      <x:c r="M1875" s="4" t="str">
        <x:f>IFERROR(INDEX('Crafting recipes'!$E$6:$E$1005,MATCH(B1875,'Crafting recipes'!$A$6:$A$1005,0)),"MISSING ID")</x:f>
        <x:v>Partial proposal</x:v>
      </x:c>
      <x:c r="N1875" s="4" t="str">
        <x:v>Partial audit candidate; quantity, fit and performance remain unresolved.</x:v>
      </x:c>
      <x:c r="O18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5" s="4" t="n">
        <x:f>IF(OR(C1875="Ingredient candidate",C1875="Consumed input",C1875="Contained input",C1875="Transform input"),IF(F1875="T0",0,IF(F1875="T1",1,IF(F1875="T2",2,IF(F1875="T3",3,IF(F1875="T4",4,-1))))),-1)</x:f>
        <x:v>-1</x:v>
      </x:c>
      <x:c r="Q1875" s="4" t="n">
        <x:f>IF(AND(OR(C1875="Ingredient candidate",C1875="Consumed input",C1875="Contained input",C1875="Transform input"),P1875=-1),1,0)</x:f>
        <x:v>0</x:v>
      </x:c>
    </x:row>
    <x:row r="1876" ht="64" customHeight="1">
      <x:c r="A1876" s="4" t="str">
        <x:v>design.audit.proposal_food_layered_delicacy.audit.in.1</x:v>
      </x:c>
      <x:c r="B1876" s="4" t="str">
        <x:v>design.audit.proposal_food_layered_delicacy</x:v>
      </x:c>
      <x:c r="C1876" s="4" t="str">
        <x:v>Ingredient candidate</x:v>
      </x:c>
      <x:c r="D1876" s="4" t="str">
        <x:v>proposal.collection.pressed_culinary_phagia_flakes</x:v>
      </x:c>
      <x:c r="E1876" s="4" t="str">
        <x:f>IFERROR(INDEX('Items'!$B$6:$B$1005,MATCH(D1876,'Items'!$A$6:$A$1005,0)),"MISSING ID")</x:f>
        <x:v>Pressed culinary Phagia flakes</x:v>
      </x:c>
      <x:c r="F1876" s="4" t="str">
        <x:f>IFERROR(INDEX('Items'!$C$6:$C$1005,MATCH(D1876,'Items'!$A$6:$A$1005,0)),"MISSING ID")</x:f>
        <x:v>T1</x:v>
      </x:c>
      <x:c r="G1876" s="4" t="str">
        <x:f>IFERROR(INDEX('Items'!$D$6:$D$1005,MATCH(D1876,'Items'!$A$6:$A$1005,0)),"MISSING ID")</x:f>
        <x:v>Cooking ingredients</x:v>
      </x:c>
      <x:c r="H1876" s="4" t="str">
        <x:f>IFERROR(INDEX('Items'!$X$6:$X$1005,MATCH(D1876,'Items'!$A$6:$A$1005,0)),"MISSING ID")</x:f>
        <x:v>Food material</x:v>
      </x:c>
      <x:c r="I1876" s="4"/>
      <x:c r="J1876" s="4" t="str">
        <x:v>Unspecified</x:v>
      </x:c>
      <x:c r="K1876" s="4" t="str">
        <x:f>IFERROR(INDEX('Crafting recipes'!$D$6:$D$1005,MATCH(B1876,'Crafting recipes'!$A$6:$A$1005,0)),"MISSING ID")</x:f>
        <x:v>Proposal</x:v>
      </x:c>
      <x:c r="L1876" s="4" t="str">
        <x:f>IFERROR(INDEX('Items'!$AD$6:$AD$1005,MATCH(D1876,'Items'!$A$6:$A$1005,0)),"MISSING ID")</x:f>
        <x:v>Proposal</x:v>
      </x:c>
      <x:c r="M1876" s="4" t="str">
        <x:f>IFERROR(INDEX('Crafting recipes'!$E$6:$E$1005,MATCH(B1876,'Crafting recipes'!$A$6:$A$1005,0)),"MISSING ID")</x:f>
        <x:v>Partial proposal</x:v>
      </x:c>
      <x:c r="N1876" s="4" t="str">
        <x:v>Partial audit candidate; quantity, fit and performance remain unresolved.</x:v>
      </x:c>
      <x:c r="O18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6" s="4" t="n">
        <x:f>IF(OR(C1876="Ingredient candidate",C1876="Consumed input",C1876="Contained input",C1876="Transform input"),IF(F1876="T0",0,IF(F1876="T1",1,IF(F1876="T2",2,IF(F1876="T3",3,IF(F1876="T4",4,-1))))),-1)</x:f>
        <x:v>1</x:v>
      </x:c>
      <x:c r="Q1876" s="4" t="n">
        <x:f>IF(AND(OR(C1876="Ingredient candidate",C1876="Consumed input",C1876="Contained input",C1876="Transform input"),P1876=-1),1,0)</x:f>
        <x:v>0</x:v>
      </x:c>
    </x:row>
    <x:row r="1877" ht="64" customHeight="1">
      <x:c r="A1877" s="4" t="str">
        <x:v>design.audit.proposal_food_layered_delicacy.audit.in.2</x:v>
      </x:c>
      <x:c r="B1877" s="4" t="str">
        <x:v>design.audit.proposal_food_layered_delicacy</x:v>
      </x:c>
      <x:c r="C1877" s="4" t="str">
        <x:v>Ingredient candidate</x:v>
      </x:c>
      <x:c r="D1877" s="4" t="str">
        <x:v>proposal.collection.phagia_fauna_savory_filling</x:v>
      </x:c>
      <x:c r="E1877" s="4" t="str">
        <x:f>IFERROR(INDEX('Items'!$B$6:$B$1005,MATCH(D1877,'Items'!$A$6:$A$1005,0)),"MISSING ID")</x:f>
        <x:v>Phagia-fauna savory filling</x:v>
      </x:c>
      <x:c r="F1877" s="4" t="str">
        <x:f>IFERROR(INDEX('Items'!$C$6:$C$1005,MATCH(D1877,'Items'!$A$6:$A$1005,0)),"MISSING ID")</x:f>
        <x:v>T2</x:v>
      </x:c>
      <x:c r="G1877" s="4" t="str">
        <x:f>IFERROR(INDEX('Items'!$D$6:$D$1005,MATCH(D1877,'Items'!$A$6:$A$1005,0)),"MISSING ID")</x:f>
        <x:v>Cooking ingredients</x:v>
      </x:c>
      <x:c r="H1877" s="4" t="str">
        <x:f>IFERROR(INDEX('Items'!$X$6:$X$1005,MATCH(D1877,'Items'!$A$6:$A$1005,0)),"MISSING ID")</x:f>
        <x:v>Food material</x:v>
      </x:c>
      <x:c r="I1877" s="4"/>
      <x:c r="J1877" s="4" t="str">
        <x:v>Unspecified</x:v>
      </x:c>
      <x:c r="K1877" s="4" t="str">
        <x:f>IFERROR(INDEX('Crafting recipes'!$D$6:$D$1005,MATCH(B1877,'Crafting recipes'!$A$6:$A$1005,0)),"MISSING ID")</x:f>
        <x:v>Proposal</x:v>
      </x:c>
      <x:c r="L1877" s="4" t="str">
        <x:f>IFERROR(INDEX('Items'!$AD$6:$AD$1005,MATCH(D1877,'Items'!$A$6:$A$1005,0)),"MISSING ID")</x:f>
        <x:v>Proposal</x:v>
      </x:c>
      <x:c r="M1877" s="4" t="str">
        <x:f>IFERROR(INDEX('Crafting recipes'!$E$6:$E$1005,MATCH(B1877,'Crafting recipes'!$A$6:$A$1005,0)),"MISSING ID")</x:f>
        <x:v>Partial proposal</x:v>
      </x:c>
      <x:c r="N1877" s="4" t="str">
        <x:v>Partial audit candidate; quantity, fit and performance remain unresolved.</x:v>
      </x:c>
      <x:c r="O18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7" s="4" t="n">
        <x:f>IF(OR(C1877="Ingredient candidate",C1877="Consumed input",C1877="Contained input",C1877="Transform input"),IF(F1877="T0",0,IF(F1877="T1",1,IF(F1877="T2",2,IF(F1877="T3",3,IF(F1877="T4",4,-1))))),-1)</x:f>
        <x:v>2</x:v>
      </x:c>
      <x:c r="Q1877" s="4" t="n">
        <x:f>IF(AND(OR(C1877="Ingredient candidate",C1877="Consumed input",C1877="Contained input",C1877="Transform input"),P1877=-1),1,0)</x:f>
        <x:v>0</x:v>
      </x:c>
    </x:row>
    <x:row r="1878" ht="64" customHeight="1">
      <x:c r="A1878" s="4" t="str">
        <x:v>design.audit.proposal_food_layered_delicacy.audit.out</x:v>
      </x:c>
      <x:c r="B1878" s="4" t="str">
        <x:v>design.audit.proposal_food_layered_delicacy</x:v>
      </x:c>
      <x:c r="C1878" s="4" t="str">
        <x:v>Output</x:v>
      </x:c>
      <x:c r="D1878" s="4" t="str">
        <x:v>proposal.food.layered_delicacy</x:v>
      </x:c>
      <x:c r="E1878" s="4" t="str">
        <x:f>IFERROR(INDEX('Items'!$B$6:$B$1005,MATCH(D1878,'Items'!$A$6:$A$1005,0)),"MISSING ID")</x:f>
        <x:v>Layered Phagia-fauna delicacy</x:v>
      </x:c>
      <x:c r="F1878" s="4" t="str">
        <x:f>IFERROR(INDEX('Items'!$C$6:$C$1005,MATCH(D1878,'Items'!$A$6:$A$1005,0)),"MISSING ID")</x:f>
        <x:v>Not applicable</x:v>
      </x:c>
      <x:c r="G1878" s="4" t="str">
        <x:f>IFERROR(INDEX('Items'!$D$6:$D$1005,MATCH(D1878,'Items'!$A$6:$A$1005,0)),"MISSING ID")</x:f>
        <x:v>Consumables</x:v>
      </x:c>
      <x:c r="H1878" s="4" t="str">
        <x:f>IFERROR(INDEX('Items'!$X$6:$X$1005,MATCH(D1878,'Items'!$A$6:$A$1005,0)),"MISSING ID")</x:f>
        <x:v>Food consumable</x:v>
      </x:c>
      <x:c r="I1878" s="4"/>
      <x:c r="J1878" s="4" t="str">
        <x:v>Unspecified</x:v>
      </x:c>
      <x:c r="K1878" s="4" t="str">
        <x:f>IFERROR(INDEX('Crafting recipes'!$D$6:$D$1005,MATCH(B1878,'Crafting recipes'!$A$6:$A$1005,0)),"MISSING ID")</x:f>
        <x:v>Proposal</x:v>
      </x:c>
      <x:c r="L1878" s="4" t="str">
        <x:f>IFERROR(INDEX('Items'!$AD$6:$AD$1005,MATCH(D1878,'Items'!$A$6:$A$1005,0)),"MISSING ID")</x:f>
        <x:v>Proposal</x:v>
      </x:c>
      <x:c r="M1878" s="4" t="str">
        <x:f>IFERROR(INDEX('Crafting recipes'!$E$6:$E$1005,MATCH(B1878,'Crafting recipes'!$A$6:$A$1005,0)),"MISSING ID")</x:f>
        <x:v>Partial proposal</x:v>
      </x:c>
      <x:c r="N1878" s="4" t="str">
        <x:v>Partial audit candidate; quantity, fit and performance remain unresolved.</x:v>
      </x:c>
      <x:c r="O18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8" s="4" t="n">
        <x:f>IF(OR(C1878="Ingredient candidate",C1878="Consumed input",C1878="Contained input",C1878="Transform input"),IF(F1878="T0",0,IF(F1878="T1",1,IF(F1878="T2",2,IF(F1878="T3",3,IF(F1878="T4",4,-1))))),-1)</x:f>
        <x:v>-1</x:v>
      </x:c>
      <x:c r="Q1878" s="4" t="n">
        <x:f>IF(AND(OR(C1878="Ingredient candidate",C1878="Consumed input",C1878="Contained input",C1878="Transform input"),P1878=-1),1,0)</x:f>
        <x:v>0</x:v>
      </x:c>
    </x:row>
    <x:row r="1879" ht="64" customHeight="1">
      <x:c r="A1879" s="4" t="str">
        <x:v>design.audit.proposal_food_crisp_delicacy.audit.in.1</x:v>
      </x:c>
      <x:c r="B1879" s="4" t="str">
        <x:v>design.audit.proposal_food_crisp_delicacy</x:v>
      </x:c>
      <x:c r="C1879" s="4" t="str">
        <x:v>Ingredient candidate</x:v>
      </x:c>
      <x:c r="D1879" s="4" t="str">
        <x:v>proposal.collection.fine_culinary_phagia_meal</x:v>
      </x:c>
      <x:c r="E1879" s="4" t="str">
        <x:f>IFERROR(INDEX('Items'!$B$6:$B$1005,MATCH(D1879,'Items'!$A$6:$A$1005,0)),"MISSING ID")</x:f>
        <x:v>Fine culinary Phagia meal</x:v>
      </x:c>
      <x:c r="F1879" s="4" t="str">
        <x:f>IFERROR(INDEX('Items'!$C$6:$C$1005,MATCH(D1879,'Items'!$A$6:$A$1005,0)),"MISSING ID")</x:f>
        <x:v>T1</x:v>
      </x:c>
      <x:c r="G1879" s="4" t="str">
        <x:f>IFERROR(INDEX('Items'!$D$6:$D$1005,MATCH(D1879,'Items'!$A$6:$A$1005,0)),"MISSING ID")</x:f>
        <x:v>Cooking ingredients</x:v>
      </x:c>
      <x:c r="H1879" s="4" t="str">
        <x:f>IFERROR(INDEX('Items'!$X$6:$X$1005,MATCH(D1879,'Items'!$A$6:$A$1005,0)),"MISSING ID")</x:f>
        <x:v>Food material</x:v>
      </x:c>
      <x:c r="I1879" s="4"/>
      <x:c r="J1879" s="4" t="str">
        <x:v>Unspecified</x:v>
      </x:c>
      <x:c r="K1879" s="4" t="str">
        <x:f>IFERROR(INDEX('Crafting recipes'!$D$6:$D$1005,MATCH(B1879,'Crafting recipes'!$A$6:$A$1005,0)),"MISSING ID")</x:f>
        <x:v>Proposal</x:v>
      </x:c>
      <x:c r="L1879" s="4" t="str">
        <x:f>IFERROR(INDEX('Items'!$AD$6:$AD$1005,MATCH(D1879,'Items'!$A$6:$A$1005,0)),"MISSING ID")</x:f>
        <x:v>Proposal</x:v>
      </x:c>
      <x:c r="M1879" s="4" t="str">
        <x:f>IFERROR(INDEX('Crafting recipes'!$E$6:$E$1005,MATCH(B1879,'Crafting recipes'!$A$6:$A$1005,0)),"MISSING ID")</x:f>
        <x:v>Partial proposal</x:v>
      </x:c>
      <x:c r="N1879" s="4" t="str">
        <x:v>Partial audit candidate; quantity, fit and performance remain unresolved.</x:v>
      </x:c>
      <x:c r="O18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9" s="4" t="n">
        <x:f>IF(OR(C1879="Ingredient candidate",C1879="Consumed input",C1879="Contained input",C1879="Transform input"),IF(F1879="T0",0,IF(F1879="T1",1,IF(F1879="T2",2,IF(F1879="T3",3,IF(F1879="T4",4,-1))))),-1)</x:f>
        <x:v>1</x:v>
      </x:c>
      <x:c r="Q1879" s="4" t="n">
        <x:f>IF(AND(OR(C1879="Ingredient candidate",C1879="Consumed input",C1879="Contained input",C1879="Transform input"),P1879=-1),1,0)</x:f>
        <x:v>0</x:v>
      </x:c>
    </x:row>
    <x:row r="1880" ht="64" customHeight="1">
      <x:c r="A1880" s="4" t="str">
        <x:v>design.audit.proposal_food_crisp_delicacy.audit.in.2</x:v>
      </x:c>
      <x:c r="B1880" s="4" t="str">
        <x:v>design.audit.proposal_food_crisp_delicacy</x:v>
      </x:c>
      <x:c r="C1880" s="4" t="str">
        <x:v>Ingredient candidate</x:v>
      </x:c>
      <x:c r="D1880" s="4" t="str">
        <x:v>proposal.collection.dried_edible_fauna_granules</x:v>
      </x:c>
      <x:c r="E1880" s="4" t="str">
        <x:f>IFERROR(INDEX('Items'!$B$6:$B$1005,MATCH(D1880,'Items'!$A$6:$A$1005,0)),"MISSING ID")</x:f>
        <x:v>Dried edible-fauna granules</x:v>
      </x:c>
      <x:c r="F1880" s="4" t="str">
        <x:f>IFERROR(INDEX('Items'!$C$6:$C$1005,MATCH(D1880,'Items'!$A$6:$A$1005,0)),"MISSING ID")</x:f>
        <x:v>T1</x:v>
      </x:c>
      <x:c r="G1880" s="4" t="str">
        <x:f>IFERROR(INDEX('Items'!$D$6:$D$1005,MATCH(D1880,'Items'!$A$6:$A$1005,0)),"MISSING ID")</x:f>
        <x:v>Cooking ingredients</x:v>
      </x:c>
      <x:c r="H1880" s="4" t="str">
        <x:f>IFERROR(INDEX('Items'!$X$6:$X$1005,MATCH(D1880,'Items'!$A$6:$A$1005,0)),"MISSING ID")</x:f>
        <x:v>Food material</x:v>
      </x:c>
      <x:c r="I1880" s="4"/>
      <x:c r="J1880" s="4" t="str">
        <x:v>Unspecified</x:v>
      </x:c>
      <x:c r="K1880" s="4" t="str">
        <x:f>IFERROR(INDEX('Crafting recipes'!$D$6:$D$1005,MATCH(B1880,'Crafting recipes'!$A$6:$A$1005,0)),"MISSING ID")</x:f>
        <x:v>Proposal</x:v>
      </x:c>
      <x:c r="L1880" s="4" t="str">
        <x:f>IFERROR(INDEX('Items'!$AD$6:$AD$1005,MATCH(D1880,'Items'!$A$6:$A$1005,0)),"MISSING ID")</x:f>
        <x:v>Proposal</x:v>
      </x:c>
      <x:c r="M1880" s="4" t="str">
        <x:f>IFERROR(INDEX('Crafting recipes'!$E$6:$E$1005,MATCH(B1880,'Crafting recipes'!$A$6:$A$1005,0)),"MISSING ID")</x:f>
        <x:v>Partial proposal</x:v>
      </x:c>
      <x:c r="N1880" s="4" t="str">
        <x:v>Partial audit candidate; quantity, fit and performance remain unresolved.</x:v>
      </x:c>
      <x:c r="O18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0" s="4" t="n">
        <x:f>IF(OR(C1880="Ingredient candidate",C1880="Consumed input",C1880="Contained input",C1880="Transform input"),IF(F1880="T0",0,IF(F1880="T1",1,IF(F1880="T2",2,IF(F1880="T3",3,IF(F1880="T4",4,-1))))),-1)</x:f>
        <x:v>1</x:v>
      </x:c>
      <x:c r="Q1880" s="4" t="n">
        <x:f>IF(AND(OR(C1880="Ingredient candidate",C1880="Consumed input",C1880="Contained input",C1880="Transform input"),P1880=-1),1,0)</x:f>
        <x:v>0</x:v>
      </x:c>
    </x:row>
    <x:row r="1881" ht="64" customHeight="1">
      <x:c r="A1881" s="4" t="str">
        <x:v>design.audit.proposal_food_crisp_delicacy.audit.out</x:v>
      </x:c>
      <x:c r="B1881" s="4" t="str">
        <x:v>design.audit.proposal_food_crisp_delicacy</x:v>
      </x:c>
      <x:c r="C1881" s="4" t="str">
        <x:v>Output</x:v>
      </x:c>
      <x:c r="D1881" s="4" t="str">
        <x:v>proposal.food.crisp_delicacy</x:v>
      </x:c>
      <x:c r="E1881" s="4" t="str">
        <x:f>IFERROR(INDEX('Items'!$B$6:$B$1005,MATCH(D1881,'Items'!$A$6:$A$1005,0)),"MISSING ID")</x:f>
        <x:v>Crisp Phagia-fauna wafer</x:v>
      </x:c>
      <x:c r="F1881" s="4" t="str">
        <x:f>IFERROR(INDEX('Items'!$C$6:$C$1005,MATCH(D1881,'Items'!$A$6:$A$1005,0)),"MISSING ID")</x:f>
        <x:v>Not applicable</x:v>
      </x:c>
      <x:c r="G1881" s="4" t="str">
        <x:f>IFERROR(INDEX('Items'!$D$6:$D$1005,MATCH(D1881,'Items'!$A$6:$A$1005,0)),"MISSING ID")</x:f>
        <x:v>Consumables</x:v>
      </x:c>
      <x:c r="H1881" s="4" t="str">
        <x:f>IFERROR(INDEX('Items'!$X$6:$X$1005,MATCH(D1881,'Items'!$A$6:$A$1005,0)),"MISSING ID")</x:f>
        <x:v>Food consumable</x:v>
      </x:c>
      <x:c r="I1881" s="4"/>
      <x:c r="J1881" s="4" t="str">
        <x:v>Unspecified</x:v>
      </x:c>
      <x:c r="K1881" s="4" t="str">
        <x:f>IFERROR(INDEX('Crafting recipes'!$D$6:$D$1005,MATCH(B1881,'Crafting recipes'!$A$6:$A$1005,0)),"MISSING ID")</x:f>
        <x:v>Proposal</x:v>
      </x:c>
      <x:c r="L1881" s="4" t="str">
        <x:f>IFERROR(INDEX('Items'!$AD$6:$AD$1005,MATCH(D1881,'Items'!$A$6:$A$1005,0)),"MISSING ID")</x:f>
        <x:v>Proposal</x:v>
      </x:c>
      <x:c r="M1881" s="4" t="str">
        <x:f>IFERROR(INDEX('Crafting recipes'!$E$6:$E$1005,MATCH(B1881,'Crafting recipes'!$A$6:$A$1005,0)),"MISSING ID")</x:f>
        <x:v>Partial proposal</x:v>
      </x:c>
      <x:c r="N1881" s="4" t="str">
        <x:v>Partial audit candidate; quantity, fit and performance remain unresolved.</x:v>
      </x:c>
      <x:c r="O18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1" s="4" t="n">
        <x:f>IF(OR(C1881="Ingredient candidate",C1881="Consumed input",C1881="Contained input",C1881="Transform input"),IF(F1881="T0",0,IF(F1881="T1",1,IF(F1881="T2",2,IF(F1881="T3",3,IF(F1881="T4",4,-1))))),-1)</x:f>
        <x:v>-1</x:v>
      </x:c>
      <x:c r="Q1881" s="4" t="n">
        <x:f>IF(AND(OR(C1881="Ingredient candidate",C1881="Consumed input",C1881="Contained input",C1881="Transform input"),P1881=-1),1,0)</x:f>
        <x:v>0</x:v>
      </x:c>
    </x:row>
    <x:row r="1882" ht="64" customHeight="1">
      <x:c r="A1882" s="4" t="str">
        <x:v>design.audit.proposal_food_drink_flask.audit.in.1</x:v>
      </x:c>
      <x:c r="B1882" s="4" t="str">
        <x:v>design.audit.proposal_food_drink_flask</x:v>
      </x:c>
      <x:c r="C1882" s="4" t="str">
        <x:v>Ingredient candidate</x:v>
      </x:c>
      <x:c r="D1882" s="4" t="str">
        <x:v>proposal.audit.fired_ceramic_vessel_blank</x:v>
      </x:c>
      <x:c r="E1882" s="4" t="str">
        <x:f>IFERROR(INDEX('Items'!$B$6:$B$1005,MATCH(D1882,'Items'!$A$6:$A$1005,0)),"MISSING ID")</x:f>
        <x:v>Fired ceramic vessel blank</x:v>
      </x:c>
      <x:c r="F1882" s="4" t="str">
        <x:f>IFERROR(INDEX('Items'!$C$6:$C$1005,MATCH(D1882,'Items'!$A$6:$A$1005,0)),"MISSING ID")</x:f>
        <x:v>T2</x:v>
      </x:c>
      <x:c r="G1882" s="4" t="str">
        <x:f>IFERROR(INDEX('Items'!$D$6:$D$1005,MATCH(D1882,'Items'!$A$6:$A$1005,0)),"MISSING ID")</x:f>
        <x:v>Crafting components</x:v>
      </x:c>
      <x:c r="H1882" s="4" t="str">
        <x:f>IFERROR(INDEX('Items'!$X$6:$X$1005,MATCH(D1882,'Items'!$A$6:$A$1005,0)),"MISSING ID")</x:f>
        <x:v>Crafting component</x:v>
      </x:c>
      <x:c r="I1882" s="4"/>
      <x:c r="J1882" s="4" t="str">
        <x:v>Unspecified</x:v>
      </x:c>
      <x:c r="K1882" s="4" t="str">
        <x:f>IFERROR(INDEX('Crafting recipes'!$D$6:$D$1005,MATCH(B1882,'Crafting recipes'!$A$6:$A$1005,0)),"MISSING ID")</x:f>
        <x:v>Proposal</x:v>
      </x:c>
      <x:c r="L1882" s="4" t="str">
        <x:f>IFERROR(INDEX('Items'!$AD$6:$AD$1005,MATCH(D1882,'Items'!$A$6:$A$1005,0)),"MISSING ID")</x:f>
        <x:v>Proposal</x:v>
      </x:c>
      <x:c r="M1882" s="4" t="str">
        <x:f>IFERROR(INDEX('Crafting recipes'!$E$6:$E$1005,MATCH(B1882,'Crafting recipes'!$A$6:$A$1005,0)),"MISSING ID")</x:f>
        <x:v>Partial proposal</x:v>
      </x:c>
      <x:c r="N1882" s="4" t="str">
        <x:v>Partial audit candidate; quantity, fit and performance remain unresolved.</x:v>
      </x:c>
      <x:c r="O18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2" s="4" t="n">
        <x:f>IF(OR(C1882="Ingredient candidate",C1882="Consumed input",C1882="Contained input",C1882="Transform input"),IF(F1882="T0",0,IF(F1882="T1",1,IF(F1882="T2",2,IF(F1882="T3",3,IF(F1882="T4",4,-1))))),-1)</x:f>
        <x:v>2</x:v>
      </x:c>
      <x:c r="Q1882" s="4" t="n">
        <x:f>IF(AND(OR(C1882="Ingredient candidate",C1882="Consumed input",C1882="Contained input",C1882="Transform input"),P1882=-1),1,0)</x:f>
        <x:v>0</x:v>
      </x:c>
    </x:row>
    <x:row r="1883" ht="64" customHeight="1">
      <x:c r="A1883" s="4" t="str">
        <x:v>design.audit.proposal_food_drink_flask.audit.in.2</x:v>
      </x:c>
      <x:c r="B1883" s="4" t="str">
        <x:v>design.audit.proposal_food_drink_flask</x:v>
      </x:c>
      <x:c r="C1883" s="4" t="str">
        <x:v>Ingredient candidate</x:v>
      </x:c>
      <x:c r="D1883" s="4" t="str">
        <x:v>proposal.ceramic.stopper</x:v>
      </x:c>
      <x:c r="E1883" s="4" t="str">
        <x:f>IFERROR(INDEX('Items'!$B$6:$B$1005,MATCH(D1883,'Items'!$A$6:$A$1005,0)),"MISSING ID")</x:f>
        <x:v>Fitted ceramic stopper</x:v>
      </x:c>
      <x:c r="F1883" s="4" t="str">
        <x:f>IFERROR(INDEX('Items'!$C$6:$C$1005,MATCH(D1883,'Items'!$A$6:$A$1005,0)),"MISSING ID")</x:f>
        <x:v>T3</x:v>
      </x:c>
      <x:c r="G1883" s="4" t="str">
        <x:f>IFERROR(INDEX('Items'!$D$6:$D$1005,MATCH(D1883,'Items'!$A$6:$A$1005,0)),"MISSING ID")</x:f>
        <x:v>Crafting components</x:v>
      </x:c>
      <x:c r="H1883" s="4" t="str">
        <x:f>IFERROR(INDEX('Items'!$X$6:$X$1005,MATCH(D1883,'Items'!$A$6:$A$1005,0)),"MISSING ID")</x:f>
        <x:v>Container part</x:v>
      </x:c>
      <x:c r="I1883" s="4"/>
      <x:c r="J1883" s="4" t="str">
        <x:v>Unspecified</x:v>
      </x:c>
      <x:c r="K1883" s="4" t="str">
        <x:f>IFERROR(INDEX('Crafting recipes'!$D$6:$D$1005,MATCH(B1883,'Crafting recipes'!$A$6:$A$1005,0)),"MISSING ID")</x:f>
        <x:v>Proposal</x:v>
      </x:c>
      <x:c r="L1883" s="4" t="str">
        <x:f>IFERROR(INDEX('Items'!$AD$6:$AD$1005,MATCH(D1883,'Items'!$A$6:$A$1005,0)),"MISSING ID")</x:f>
        <x:v>Proposal</x:v>
      </x:c>
      <x:c r="M1883" s="4" t="str">
        <x:f>IFERROR(INDEX('Crafting recipes'!$E$6:$E$1005,MATCH(B1883,'Crafting recipes'!$A$6:$A$1005,0)),"MISSING ID")</x:f>
        <x:v>Partial proposal</x:v>
      </x:c>
      <x:c r="N1883" s="4" t="str">
        <x:v>Partial audit candidate; quantity, fit and performance remain unresolved.</x:v>
      </x:c>
      <x:c r="O18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3" s="4" t="n">
        <x:f>IF(OR(C1883="Ingredient candidate",C1883="Consumed input",C1883="Contained input",C1883="Transform input"),IF(F1883="T0",0,IF(F1883="T1",1,IF(F1883="T2",2,IF(F1883="T3",3,IF(F1883="T4",4,-1))))),-1)</x:f>
        <x:v>3</x:v>
      </x:c>
      <x:c r="Q1883" s="4" t="n">
        <x:f>IF(AND(OR(C1883="Ingredient candidate",C1883="Consumed input",C1883="Contained input",C1883="Transform input"),P1883=-1),1,0)</x:f>
        <x:v>0</x:v>
      </x:c>
    </x:row>
    <x:row r="1884" ht="64" customHeight="1">
      <x:c r="A1884" s="4" t="str">
        <x:v>design.audit.proposal_food_drink_flask.audit.in.3</x:v>
      </x:c>
      <x:c r="B1884" s="4" t="str">
        <x:v>design.audit.proposal_food_drink_flask</x:v>
      </x:c>
      <x:c r="C1884" s="4" t="str">
        <x:v>Ingredient candidate</x:v>
      </x:c>
      <x:c r="D1884" s="4" t="str">
        <x:v>proposal.ceramic.glaze_feed</x:v>
      </x:c>
      <x:c r="E1884" s="4" t="str">
        <x:f>IFERROR(INDEX('Items'!$B$6:$B$1005,MATCH(D1884,'Items'!$A$6:$A$1005,0)),"MISSING ID")</x:f>
        <x:v>Prepared glaze feed</x:v>
      </x:c>
      <x:c r="F1884" s="4" t="str">
        <x:f>IFERROR(INDEX('Items'!$C$6:$C$1005,MATCH(D1884,'Items'!$A$6:$A$1005,0)),"MISSING ID")</x:f>
        <x:v>T1</x:v>
      </x:c>
      <x:c r="G1884" s="4" t="str">
        <x:f>IFERROR(INDEX('Items'!$D$6:$D$1005,MATCH(D1884,'Items'!$A$6:$A$1005,0)),"MISSING ID")</x:f>
        <x:v>Manufactured stock</x:v>
      </x:c>
      <x:c r="H1884" s="4" t="str">
        <x:f>IFERROR(INDEX('Items'!$X$6:$X$1005,MATCH(D1884,'Items'!$A$6:$A$1005,0)),"MISSING ID")</x:f>
        <x:v>Processed material</x:v>
      </x:c>
      <x:c r="I1884" s="4"/>
      <x:c r="J1884" s="4" t="str">
        <x:v>Unspecified</x:v>
      </x:c>
      <x:c r="K1884" s="4" t="str">
        <x:f>IFERROR(INDEX('Crafting recipes'!$D$6:$D$1005,MATCH(B1884,'Crafting recipes'!$A$6:$A$1005,0)),"MISSING ID")</x:f>
        <x:v>Proposal</x:v>
      </x:c>
      <x:c r="L1884" s="4" t="str">
        <x:f>IFERROR(INDEX('Items'!$AD$6:$AD$1005,MATCH(D1884,'Items'!$A$6:$A$1005,0)),"MISSING ID")</x:f>
        <x:v>Proposal</x:v>
      </x:c>
      <x:c r="M1884" s="4" t="str">
        <x:f>IFERROR(INDEX('Crafting recipes'!$E$6:$E$1005,MATCH(B1884,'Crafting recipes'!$A$6:$A$1005,0)),"MISSING ID")</x:f>
        <x:v>Partial proposal</x:v>
      </x:c>
      <x:c r="N1884" s="4" t="str">
        <x:v>Partial audit candidate; quantity, fit and performance remain unresolved.</x:v>
      </x:c>
      <x:c r="O18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4" s="4" t="n">
        <x:f>IF(OR(C1884="Ingredient candidate",C1884="Consumed input",C1884="Contained input",C1884="Transform input"),IF(F1884="T0",0,IF(F1884="T1",1,IF(F1884="T2",2,IF(F1884="T3",3,IF(F1884="T4",4,-1))))),-1)</x:f>
        <x:v>1</x:v>
      </x:c>
      <x:c r="Q1884" s="4" t="n">
        <x:f>IF(AND(OR(C1884="Ingredient candidate",C1884="Consumed input",C1884="Contained input",C1884="Transform input"),P1884=-1),1,0)</x:f>
        <x:v>0</x:v>
      </x:c>
    </x:row>
    <x:row r="1885" ht="64" customHeight="1">
      <x:c r="A1885" s="4" t="str">
        <x:v>design.audit.proposal_food_drink_flask.audit.out</x:v>
      </x:c>
      <x:c r="B1885" s="4" t="str">
        <x:v>design.audit.proposal_food_drink_flask</x:v>
      </x:c>
      <x:c r="C1885" s="4" t="str">
        <x:v>Output</x:v>
      </x:c>
      <x:c r="D1885" s="4" t="str">
        <x:v>proposal.food.drink_flask</x:v>
      </x:c>
      <x:c r="E1885" s="4" t="str">
        <x:f>IFERROR(INDEX('Items'!$B$6:$B$1005,MATCH(D1885,'Items'!$A$6:$A$1005,0)),"MISSING ID")</x:f>
        <x:v>Reusable Phagia drinking flask</x:v>
      </x:c>
      <x:c r="F1885" s="4" t="str">
        <x:f>IFERROR(INDEX('Items'!$C$6:$C$1005,MATCH(D1885,'Items'!$A$6:$A$1005,0)),"MISSING ID")</x:f>
        <x:v>Not applicable</x:v>
      </x:c>
      <x:c r="G1885" s="4" t="str">
        <x:f>IFERROR(INDEX('Items'!$D$6:$D$1005,MATCH(D1885,'Items'!$A$6:$A$1005,0)),"MISSING ID")</x:f>
        <x:v>Salvage</x:v>
      </x:c>
      <x:c r="H1885" s="4" t="str">
        <x:f>IFERROR(INDEX('Items'!$X$6:$X$1005,MATCH(D1885,'Items'!$A$6:$A$1005,0)),"MISSING ID")</x:f>
        <x:v>Container</x:v>
      </x:c>
      <x:c r="I1885" s="4"/>
      <x:c r="J1885" s="4" t="str">
        <x:v>Unspecified</x:v>
      </x:c>
      <x:c r="K1885" s="4" t="str">
        <x:f>IFERROR(INDEX('Crafting recipes'!$D$6:$D$1005,MATCH(B1885,'Crafting recipes'!$A$6:$A$1005,0)),"MISSING ID")</x:f>
        <x:v>Proposal</x:v>
      </x:c>
      <x:c r="L1885" s="4" t="str">
        <x:f>IFERROR(INDEX('Items'!$AD$6:$AD$1005,MATCH(D1885,'Items'!$A$6:$A$1005,0)),"MISSING ID")</x:f>
        <x:v>Proposal</x:v>
      </x:c>
      <x:c r="M1885" s="4" t="str">
        <x:f>IFERROR(INDEX('Crafting recipes'!$E$6:$E$1005,MATCH(B1885,'Crafting recipes'!$A$6:$A$1005,0)),"MISSING ID")</x:f>
        <x:v>Partial proposal</x:v>
      </x:c>
      <x:c r="N1885" s="4" t="str">
        <x:v>Partial audit candidate; quantity, fit and performance remain unresolved.</x:v>
      </x:c>
      <x:c r="O18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5" s="4" t="n">
        <x:f>IF(OR(C1885="Ingredient candidate",C1885="Consumed input",C1885="Contained input",C1885="Transform input"),IF(F1885="T0",0,IF(F1885="T1",1,IF(F1885="T2",2,IF(F1885="T3",3,IF(F1885="T4",4,-1))))),-1)</x:f>
        <x:v>-1</x:v>
      </x:c>
      <x:c r="Q1885" s="4" t="n">
        <x:f>IF(AND(OR(C1885="Ingredient candidate",C1885="Consumed input",C1885="Contained input",C1885="Transform input"),P1885=-1),1,0)</x:f>
        <x:v>0</x:v>
      </x:c>
    </x:row>
    <x:row r="1886" ht="64" customHeight="1">
      <x:c r="A1886" s="4" t="str">
        <x:v>design.audit.proposal_food_bar_case.audit.in.1</x:v>
      </x:c>
      <x:c r="B1886" s="4" t="str">
        <x:v>design.audit.proposal_food_bar_case</x:v>
      </x:c>
      <x:c r="C1886" s="4" t="str">
        <x:v>Ingredient candidate</x:v>
      </x:c>
      <x:c r="D1886" s="4" t="str">
        <x:v>proposal.branch.husk_composite</x:v>
      </x:c>
      <x:c r="E1886" s="4" t="str">
        <x:f>IFERROR(INDEX('Items'!$B$6:$B$1005,MATCH(D1886,'Items'!$A$6:$A$1005,0)),"MISSING ID")</x:f>
        <x:v>Layered husk composite stock</x:v>
      </x:c>
      <x:c r="F1886" s="4" t="str">
        <x:f>IFERROR(INDEX('Items'!$C$6:$C$1005,MATCH(D1886,'Items'!$A$6:$A$1005,0)),"MISSING ID")</x:f>
        <x:v>T3</x:v>
      </x:c>
      <x:c r="G1886" s="4" t="str">
        <x:f>IFERROR(INDEX('Items'!$D$6:$D$1005,MATCH(D1886,'Items'!$A$6:$A$1005,0)),"MISSING ID")</x:f>
        <x:v>Manufactured stock</x:v>
      </x:c>
      <x:c r="H1886" s="4" t="str">
        <x:f>IFERROR(INDEX('Items'!$X$6:$X$1005,MATCH(D1886,'Items'!$A$6:$A$1005,0)),"MISSING ID")</x:f>
        <x:v>Processed material</x:v>
      </x:c>
      <x:c r="I1886" s="4"/>
      <x:c r="J1886" s="4" t="str">
        <x:v>Unspecified</x:v>
      </x:c>
      <x:c r="K1886" s="4" t="str">
        <x:f>IFERROR(INDEX('Crafting recipes'!$D$6:$D$1005,MATCH(B1886,'Crafting recipes'!$A$6:$A$1005,0)),"MISSING ID")</x:f>
        <x:v>Proposal</x:v>
      </x:c>
      <x:c r="L1886" s="4" t="str">
        <x:f>IFERROR(INDEX('Items'!$AD$6:$AD$1005,MATCH(D1886,'Items'!$A$6:$A$1005,0)),"MISSING ID")</x:f>
        <x:v>Proposal</x:v>
      </x:c>
      <x:c r="M1886" s="4" t="str">
        <x:f>IFERROR(INDEX('Crafting recipes'!$E$6:$E$1005,MATCH(B1886,'Crafting recipes'!$A$6:$A$1005,0)),"MISSING ID")</x:f>
        <x:v>Partial proposal</x:v>
      </x:c>
      <x:c r="N1886" s="4" t="str">
        <x:v>Partial audit candidate; quantity, fit and performance remain unresolved.</x:v>
      </x:c>
      <x:c r="O18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6" s="4" t="n">
        <x:f>IF(OR(C1886="Ingredient candidate",C1886="Consumed input",C1886="Contained input",C1886="Transform input"),IF(F1886="T0",0,IF(F1886="T1",1,IF(F1886="T2",2,IF(F1886="T3",3,IF(F1886="T4",4,-1))))),-1)</x:f>
        <x:v>3</x:v>
      </x:c>
      <x:c r="Q1886" s="4" t="n">
        <x:f>IF(AND(OR(C1886="Ingredient candidate",C1886="Consumed input",C1886="Contained input",C1886="Transform input"),P1886=-1),1,0)</x:f>
        <x:v>0</x:v>
      </x:c>
    </x:row>
    <x:row r="1887" ht="64" customHeight="1">
      <x:c r="A1887" s="4" t="str">
        <x:v>design.audit.proposal_food_bar_case.audit.in.2</x:v>
      </x:c>
      <x:c r="B1887" s="4" t="str">
        <x:v>design.audit.proposal_food_bar_case</x:v>
      </x:c>
      <x:c r="C1887" s="4" t="str">
        <x:v>Ingredient candidate</x:v>
      </x:c>
      <x:c r="D1887" s="4" t="str">
        <x:v>proposal.ceramic.fastener</x:v>
      </x:c>
      <x:c r="E1887" s="4" t="str">
        <x:f>IFERROR(INDEX('Items'!$B$6:$B$1005,MATCH(D1887,'Items'!$A$6:$A$1005,0)),"MISSING ID")</x:f>
        <x:v>Ceramic toggle fastener</x:v>
      </x:c>
      <x:c r="F1887" s="4" t="str">
        <x:f>IFERROR(INDEX('Items'!$C$6:$C$1005,MATCH(D1887,'Items'!$A$6:$A$1005,0)),"MISSING ID")</x:f>
        <x:v>T3</x:v>
      </x:c>
      <x:c r="G1887" s="4" t="str">
        <x:f>IFERROR(INDEX('Items'!$D$6:$D$1005,MATCH(D1887,'Items'!$A$6:$A$1005,0)),"MISSING ID")</x:f>
        <x:v>Crafting components</x:v>
      </x:c>
      <x:c r="H1887" s="4" t="str">
        <x:f>IFERROR(INDEX('Items'!$X$6:$X$1005,MATCH(D1887,'Items'!$A$6:$A$1005,0)),"MISSING ID")</x:f>
        <x:v>Crafting component</x:v>
      </x:c>
      <x:c r="I1887" s="4"/>
      <x:c r="J1887" s="4" t="str">
        <x:v>Unspecified</x:v>
      </x:c>
      <x:c r="K1887" s="4" t="str">
        <x:f>IFERROR(INDEX('Crafting recipes'!$D$6:$D$1005,MATCH(B1887,'Crafting recipes'!$A$6:$A$1005,0)),"MISSING ID")</x:f>
        <x:v>Proposal</x:v>
      </x:c>
      <x:c r="L1887" s="4" t="str">
        <x:f>IFERROR(INDEX('Items'!$AD$6:$AD$1005,MATCH(D1887,'Items'!$A$6:$A$1005,0)),"MISSING ID")</x:f>
        <x:v>Proposal</x:v>
      </x:c>
      <x:c r="M1887" s="4" t="str">
        <x:f>IFERROR(INDEX('Crafting recipes'!$E$6:$E$1005,MATCH(B1887,'Crafting recipes'!$A$6:$A$1005,0)),"MISSING ID")</x:f>
        <x:v>Partial proposal</x:v>
      </x:c>
      <x:c r="N1887" s="4" t="str">
        <x:v>Partial audit candidate; quantity, fit and performance remain unresolved.</x:v>
      </x:c>
      <x:c r="O18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7" s="4" t="n">
        <x:f>IF(OR(C1887="Ingredient candidate",C1887="Consumed input",C1887="Contained input",C1887="Transform input"),IF(F1887="T0",0,IF(F1887="T1",1,IF(F1887="T2",2,IF(F1887="T3",3,IF(F1887="T4",4,-1))))),-1)</x:f>
        <x:v>3</x:v>
      </x:c>
      <x:c r="Q1887" s="4" t="n">
        <x:f>IF(AND(OR(C1887="Ingredient candidate",C1887="Consumed input",C1887="Contained input",C1887="Transform input"),P1887=-1),1,0)</x:f>
        <x:v>0</x:v>
      </x:c>
    </x:row>
    <x:row r="1888" ht="64" customHeight="1">
      <x:c r="A1888" s="4" t="str">
        <x:v>design.audit.proposal_food_bar_case.audit.out</x:v>
      </x:c>
      <x:c r="B1888" s="4" t="str">
        <x:v>design.audit.proposal_food_bar_case</x:v>
      </x:c>
      <x:c r="C1888" s="4" t="str">
        <x:v>Output</x:v>
      </x:c>
      <x:c r="D1888" s="4" t="str">
        <x:v>proposal.food.bar_case</x:v>
      </x:c>
      <x:c r="E1888" s="4" t="str">
        <x:f>IFERROR(INDEX('Items'!$B$6:$B$1005,MATCH(D1888,'Items'!$A$6:$A$1005,0)),"MISSING ID")</x:f>
        <x:v>Phagia ration-bar case</x:v>
      </x:c>
      <x:c r="F1888" s="4" t="str">
        <x:f>IFERROR(INDEX('Items'!$C$6:$C$1005,MATCH(D1888,'Items'!$A$6:$A$1005,0)),"MISSING ID")</x:f>
        <x:v>Not applicable</x:v>
      </x:c>
      <x:c r="G1888" s="4" t="str">
        <x:f>IFERROR(INDEX('Items'!$D$6:$D$1005,MATCH(D1888,'Items'!$A$6:$A$1005,0)),"MISSING ID")</x:f>
        <x:v>Salvage</x:v>
      </x:c>
      <x:c r="H1888" s="4" t="str">
        <x:f>IFERROR(INDEX('Items'!$X$6:$X$1005,MATCH(D1888,'Items'!$A$6:$A$1005,0)),"MISSING ID")</x:f>
        <x:v>Carrier</x:v>
      </x:c>
      <x:c r="I1888" s="4"/>
      <x:c r="J1888" s="4" t="str">
        <x:v>Unspecified</x:v>
      </x:c>
      <x:c r="K1888" s="4" t="str">
        <x:f>IFERROR(INDEX('Crafting recipes'!$D$6:$D$1005,MATCH(B1888,'Crafting recipes'!$A$6:$A$1005,0)),"MISSING ID")</x:f>
        <x:v>Proposal</x:v>
      </x:c>
      <x:c r="L1888" s="4" t="str">
        <x:f>IFERROR(INDEX('Items'!$AD$6:$AD$1005,MATCH(D1888,'Items'!$A$6:$A$1005,0)),"MISSING ID")</x:f>
        <x:v>Proposal</x:v>
      </x:c>
      <x:c r="M1888" s="4" t="str">
        <x:f>IFERROR(INDEX('Crafting recipes'!$E$6:$E$1005,MATCH(B1888,'Crafting recipes'!$A$6:$A$1005,0)),"MISSING ID")</x:f>
        <x:v>Partial proposal</x:v>
      </x:c>
      <x:c r="N1888" s="4" t="str">
        <x:v>Partial audit candidate; quantity, fit and performance remain unresolved.</x:v>
      </x:c>
      <x:c r="O18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8" s="4" t="n">
        <x:f>IF(OR(C1888="Ingredient candidate",C1888="Consumed input",C1888="Contained input",C1888="Transform input"),IF(F1888="T0",0,IF(F1888="T1",1,IF(F1888="T2",2,IF(F1888="T3",3,IF(F1888="T4",4,-1))))),-1)</x:f>
        <x:v>-1</x:v>
      </x:c>
      <x:c r="Q1888" s="4" t="n">
        <x:f>IF(AND(OR(C1888="Ingredient candidate",C1888="Consumed input",C1888="Contained input",C1888="Transform input"),P1888=-1),1,0)</x:f>
        <x:v>0</x:v>
      </x:c>
    </x:row>
    <x:row r="1889" ht="64" customHeight="1">
      <x:c r="A1889" s="4"/>
      <x:c r="B1889" s="4"/>
      <x:c r="C1889" s="4"/>
      <x:c r="D1889" s="4"/>
      <x:c r="E1889" s="4"/>
      <x:c r="F1889" s="4"/>
      <x:c r="G1889" s="4"/>
      <x:c r="H1889" s="4"/>
      <x:c r="I1889" s="4"/>
      <x:c r="K1889" s="4"/>
      <x:c r="L1889" s="4"/>
      <x:c r="M1889" s="4"/>
      <x:c r="N1889" s="4"/>
      <x:c r="O1889" s="4"/>
      <x:c r="P1889" s="4"/>
      <x:c r="Q1889" s="4"/>
    </x:row>
    <x:row r="1890" ht="64" customHeight="1">
      <x:c r="A1890" s="4"/>
      <x:c r="B1890" s="4"/>
      <x:c r="C1890" s="4"/>
      <x:c r="D1890" s="4"/>
      <x:c r="E1890" s="4"/>
      <x:c r="F1890" s="4"/>
      <x:c r="G1890" s="4"/>
      <x:c r="H1890" s="4"/>
      <x:c r="I1890" s="4"/>
      <x:c r="K1890" s="4"/>
      <x:c r="L1890" s="4"/>
      <x:c r="M1890" s="4"/>
      <x:c r="N1890" s="4"/>
      <x:c r="O1890" s="4"/>
      <x:c r="P1890" s="4"/>
      <x:c r="Q1890" s="4"/>
    </x:row>
    <x:row r="1891" ht="64" customHeight="1">
      <x:c r="A1891" s="4"/>
      <x:c r="B1891" s="4"/>
      <x:c r="C1891" s="4"/>
      <x:c r="D1891" s="4"/>
      <x:c r="E1891" s="4"/>
      <x:c r="F1891" s="4"/>
      <x:c r="G1891" s="4"/>
      <x:c r="H1891" s="4"/>
      <x:c r="I1891" s="4"/>
      <x:c r="K1891" s="4"/>
      <x:c r="L1891" s="4"/>
      <x:c r="M1891" s="4"/>
      <x:c r="N1891" s="4"/>
      <x:c r="O1891" s="4"/>
      <x:c r="P1891" s="4"/>
      <x:c r="Q1891" s="4"/>
    </x:row>
    <x:row r="1892" ht="64" customHeight="1">
      <x:c r="A1892" s="4"/>
      <x:c r="B1892" s="4"/>
      <x:c r="C1892" s="4"/>
      <x:c r="D1892" s="4"/>
      <x:c r="E1892" s="4"/>
      <x:c r="F1892" s="4"/>
      <x:c r="G1892" s="4"/>
      <x:c r="H1892" s="4"/>
      <x:c r="I1892" s="4"/>
      <x:c r="K1892" s="4"/>
      <x:c r="L1892" s="4"/>
      <x:c r="M1892" s="4"/>
      <x:c r="N1892" s="4"/>
      <x:c r="O1892" s="4"/>
      <x:c r="P1892" s="4"/>
      <x:c r="Q1892" s="4"/>
    </x:row>
    <x:row r="1893" ht="64" customHeight="1">
      <x:c r="A1893" s="4" t="str">
        <x:v>design.audit.author_communication_crude_two_way_radio.audit.in.1</x:v>
      </x:c>
      <x:c r="B1893" s="4" t="str">
        <x:v>design.audit.author_communication_crude_two_way_radio</x:v>
      </x:c>
      <x:c r="C1893" s="4" t="str">
        <x:v>Ingredient candidate</x:v>
      </x:c>
      <x:c r="D1893" s="4" t="str">
        <x:v>proposal.t4.screened_chassis</x:v>
      </x:c>
      <x:c r="E1893" s="4" t="str">
        <x:f>IFERROR(INDEX('Items'!$B$6:$B$1005,MATCH(D1893,'Items'!$A$6:$A$1005,0)),"MISSING ID")</x:f>
        <x:v>Screened radio chassis insert</x:v>
      </x:c>
      <x:c r="F1893" s="4" t="str">
        <x:f>IFERROR(INDEX('Items'!$C$6:$C$1005,MATCH(D1893,'Items'!$A$6:$A$1005,0)),"MISSING ID")</x:f>
        <x:v>T4</x:v>
      </x:c>
      <x:c r="G1893" s="4" t="str">
        <x:f>IFERROR(INDEX('Items'!$D$6:$D$1005,MATCH(D1893,'Items'!$A$6:$A$1005,0)),"MISSING ID")</x:f>
        <x:v>Crafting components</x:v>
      </x:c>
      <x:c r="H1893" s="4" t="str">
        <x:f>IFERROR(INDEX('Items'!$X$6:$X$1005,MATCH(D1893,'Items'!$A$6:$A$1005,0)),"MISSING ID")</x:f>
        <x:v>Crafting component</x:v>
      </x:c>
      <x:c r="I1893" s="4"/>
      <x:c r="J1893" s="4" t="str">
        <x:v>Unspecified</x:v>
      </x:c>
      <x:c r="K1893" s="4" t="str">
        <x:f>IFERROR(INDEX('Crafting recipes'!$D$6:$D$1005,MATCH(B1893,'Crafting recipes'!$A$6:$A$1005,0)),"MISSING ID")</x:f>
        <x:v>Proposal</x:v>
      </x:c>
      <x:c r="L1893" s="4" t="str">
        <x:f>IFERROR(INDEX('Items'!$AD$6:$AD$1005,MATCH(D1893,'Items'!$A$6:$A$1005,0)),"MISSING ID")</x:f>
        <x:v>Proposal</x:v>
      </x:c>
      <x:c r="M1893" s="4" t="str">
        <x:f>IFERROR(INDEX('Crafting recipes'!$E$6:$E$1005,MATCH(B1893,'Crafting recipes'!$A$6:$A$1005,0)),"MISSING ID")</x:f>
        <x:v>Partial proposal</x:v>
      </x:c>
      <x:c r="N1893" s="4" t="str">
        <x:v>Partial audit candidate; quantity, fit and performance remain unresolved.</x:v>
      </x:c>
      <x:c r="O18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3" s="4" t="n">
        <x:f>IF(OR(C1893="Ingredient candidate",C1893="Consumed input",C1893="Contained input",C1893="Transform input"),IF(F1893="T0",0,IF(F1893="T1",1,IF(F1893="T2",2,IF(F1893="T3",3,IF(F1893="T4",4,-1))))),-1)</x:f>
        <x:v>4</x:v>
      </x:c>
      <x:c r="Q1893" s="4" t="n">
        <x:f>IF(AND(OR(C1893="Ingredient candidate",C1893="Consumed input",C1893="Contained input",C1893="Transform input"),P1893=-1),1,0)</x:f>
        <x:v>0</x:v>
      </x:c>
    </x:row>
    <x:row r="1894" ht="64" customHeight="1">
      <x:c r="A1894" s="4" t="str">
        <x:v>design.audit.author_communication_crude_two_way_radio.audit.in.2</x:v>
      </x:c>
      <x:c r="B1894" s="4" t="str">
        <x:v>design.audit.author_communication_crude_two_way_radio</x:v>
      </x:c>
      <x:c r="C1894" s="4" t="str">
        <x:v>Ingredient candidate</x:v>
      </x:c>
      <x:c r="D1894" s="4" t="str">
        <x:v>proposal.t4.radio_tuning</x:v>
      </x:c>
      <x:c r="E1894" s="4" t="str">
        <x:f>IFERROR(INDEX('Items'!$B$6:$B$1005,MATCH(D1894,'Items'!$A$6:$A$1005,0)),"MISSING ID")</x:f>
        <x:v>Radio tuning support block</x:v>
      </x:c>
      <x:c r="F1894" s="4" t="str">
        <x:f>IFERROR(INDEX('Items'!$C$6:$C$1005,MATCH(D1894,'Items'!$A$6:$A$1005,0)),"MISSING ID")</x:f>
        <x:v>T4</x:v>
      </x:c>
      <x:c r="G1894" s="4" t="str">
        <x:f>IFERROR(INDEX('Items'!$D$6:$D$1005,MATCH(D1894,'Items'!$A$6:$A$1005,0)),"MISSING ID")</x:f>
        <x:v>Crafting components</x:v>
      </x:c>
      <x:c r="H1894" s="4" t="str">
        <x:f>IFERROR(INDEX('Items'!$X$6:$X$1005,MATCH(D1894,'Items'!$A$6:$A$1005,0)),"MISSING ID")</x:f>
        <x:v>Crafting component</x:v>
      </x:c>
      <x:c r="I1894" s="4"/>
      <x:c r="J1894" s="4" t="str">
        <x:v>Unspecified</x:v>
      </x:c>
      <x:c r="K1894" s="4" t="str">
        <x:f>IFERROR(INDEX('Crafting recipes'!$D$6:$D$1005,MATCH(B1894,'Crafting recipes'!$A$6:$A$1005,0)),"MISSING ID")</x:f>
        <x:v>Proposal</x:v>
      </x:c>
      <x:c r="L1894" s="4" t="str">
        <x:f>IFERROR(INDEX('Items'!$AD$6:$AD$1005,MATCH(D1894,'Items'!$A$6:$A$1005,0)),"MISSING ID")</x:f>
        <x:v>Proposal</x:v>
      </x:c>
      <x:c r="M1894" s="4" t="str">
        <x:f>IFERROR(INDEX('Crafting recipes'!$E$6:$E$1005,MATCH(B1894,'Crafting recipes'!$A$6:$A$1005,0)),"MISSING ID")</x:f>
        <x:v>Partial proposal</x:v>
      </x:c>
      <x:c r="N1894" s="4" t="str">
        <x:v>Partial audit candidate; quantity, fit and performance remain unresolved.</x:v>
      </x:c>
      <x:c r="O18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4" s="4" t="n">
        <x:f>IF(OR(C1894="Ingredient candidate",C1894="Consumed input",C1894="Contained input",C1894="Transform input"),IF(F1894="T0",0,IF(F1894="T1",1,IF(F1894="T2",2,IF(F1894="T3",3,IF(F1894="T4",4,-1))))),-1)</x:f>
        <x:v>4</x:v>
      </x:c>
      <x:c r="Q1894" s="4" t="n">
        <x:f>IF(AND(OR(C1894="Ingredient candidate",C1894="Consumed input",C1894="Contained input",C1894="Transform input"),P1894=-1),1,0)</x:f>
        <x:v>0</x:v>
      </x:c>
    </x:row>
    <x:row r="1895" ht="64" customHeight="1">
      <x:c r="A1895" s="4" t="str">
        <x:v>design.audit.author_communication_crude_two_way_radio.audit.in.3</x:v>
      </x:c>
      <x:c r="B1895" s="4" t="str">
        <x:v>design.audit.author_communication_crude_two_way_radio</x:v>
      </x:c>
      <x:c r="C1895" s="4" t="str">
        <x:v>Ingredient candidate</x:v>
      </x:c>
      <x:c r="D1895" s="4" t="str">
        <x:v>proposal.audit.recovered_radio_detector_element</x:v>
      </x:c>
      <x:c r="E1895" s="4" t="str">
        <x:f>IFERROR(INDEX('Items'!$B$6:$B$1005,MATCH(D1895,'Items'!$A$6:$A$1005,0)),"MISSING ID")</x:f>
        <x:v>Recovered radio detector element</x:v>
      </x:c>
      <x:c r="F1895" s="4" t="str">
        <x:f>IFERROR(INDEX('Items'!$C$6:$C$1005,MATCH(D1895,'Items'!$A$6:$A$1005,0)),"MISSING ID")</x:f>
        <x:v>Not applicable</x:v>
      </x:c>
      <x:c r="G1895" s="4" t="str">
        <x:f>IFERROR(INDEX('Items'!$D$6:$D$1005,MATCH(D1895,'Items'!$A$6:$A$1005,0)),"MISSING ID")</x:f>
        <x:v>Salvage</x:v>
      </x:c>
      <x:c r="H1895" s="4" t="str">
        <x:f>IFERROR(INDEX('Items'!$X$6:$X$1005,MATCH(D1895,'Items'!$A$6:$A$1005,0)),"MISSING ID")</x:f>
        <x:v>Machine part</x:v>
      </x:c>
      <x:c r="I1895" s="4"/>
      <x:c r="J1895" s="4" t="str">
        <x:v>Unspecified</x:v>
      </x:c>
      <x:c r="K1895" s="4" t="str">
        <x:f>IFERROR(INDEX('Crafting recipes'!$D$6:$D$1005,MATCH(B1895,'Crafting recipes'!$A$6:$A$1005,0)),"MISSING ID")</x:f>
        <x:v>Proposal</x:v>
      </x:c>
      <x:c r="L1895" s="4" t="str">
        <x:f>IFERROR(INDEX('Items'!$AD$6:$AD$1005,MATCH(D1895,'Items'!$A$6:$A$1005,0)),"MISSING ID")</x:f>
        <x:v>Proposal</x:v>
      </x:c>
      <x:c r="M1895" s="4" t="str">
        <x:f>IFERROR(INDEX('Crafting recipes'!$E$6:$E$1005,MATCH(B1895,'Crafting recipes'!$A$6:$A$1005,0)),"MISSING ID")</x:f>
        <x:v>Partial proposal</x:v>
      </x:c>
      <x:c r="N1895" s="4" t="str">
        <x:v>Partial audit candidate; quantity, fit and performance remain unresolved.</x:v>
      </x:c>
      <x:c r="O18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5" s="4" t="n">
        <x:f>IF(OR(C1895="Ingredient candidate",C1895="Consumed input",C1895="Contained input",C1895="Transform input"),IF(F1895="T0",0,IF(F1895="T1",1,IF(F1895="T2",2,IF(F1895="T3",3,IF(F1895="T4",4,-1))))),-1)</x:f>
        <x:v>-1</x:v>
      </x:c>
      <x:c r="Q1895" s="4" t="n">
        <x:f>IF(AND(OR(C1895="Ingredient candidate",C1895="Consumed input",C1895="Contained input",C1895="Transform input"),P1895=-1),1,0)</x:f>
        <x:v>1</x:v>
      </x:c>
    </x:row>
    <x:row r="1896" ht="64" customHeight="1">
      <x:c r="A1896" s="4" t="str">
        <x:v>design.audit.author_communication_crude_two_way_radio.audit.in.4</x:v>
      </x:c>
      <x:c r="B1896" s="4" t="str">
        <x:v>design.audit.author_communication_crude_two_way_radio</x:v>
      </x:c>
      <x:c r="C1896" s="4" t="str">
        <x:v>Ingredient candidate</x:v>
      </x:c>
      <x:c r="D1896" s="4" t="str">
        <x:v>proposal.audit.recovered_acoustic_receiver_capsule</x:v>
      </x:c>
      <x:c r="E1896" s="4" t="str">
        <x:f>IFERROR(INDEX('Items'!$B$6:$B$1005,MATCH(D1896,'Items'!$A$6:$A$1005,0)),"MISSING ID")</x:f>
        <x:v>Recovered acoustic receiver capsule</x:v>
      </x:c>
      <x:c r="F1896" s="4" t="str">
        <x:f>IFERROR(INDEX('Items'!$C$6:$C$1005,MATCH(D1896,'Items'!$A$6:$A$1005,0)),"MISSING ID")</x:f>
        <x:v>Not applicable</x:v>
      </x:c>
      <x:c r="G1896" s="4" t="str">
        <x:f>IFERROR(INDEX('Items'!$D$6:$D$1005,MATCH(D1896,'Items'!$A$6:$A$1005,0)),"MISSING ID")</x:f>
        <x:v>Salvage</x:v>
      </x:c>
      <x:c r="H1896" s="4" t="str">
        <x:f>IFERROR(INDEX('Items'!$X$6:$X$1005,MATCH(D1896,'Items'!$A$6:$A$1005,0)),"MISSING ID")</x:f>
        <x:v>Machine part</x:v>
      </x:c>
      <x:c r="I1896" s="4"/>
      <x:c r="J1896" s="4" t="str">
        <x:v>Unspecified</x:v>
      </x:c>
      <x:c r="K1896" s="4" t="str">
        <x:f>IFERROR(INDEX('Crafting recipes'!$D$6:$D$1005,MATCH(B1896,'Crafting recipes'!$A$6:$A$1005,0)),"MISSING ID")</x:f>
        <x:v>Proposal</x:v>
      </x:c>
      <x:c r="L1896" s="4" t="str">
        <x:f>IFERROR(INDEX('Items'!$AD$6:$AD$1005,MATCH(D1896,'Items'!$A$6:$A$1005,0)),"MISSING ID")</x:f>
        <x:v>Proposal</x:v>
      </x:c>
      <x:c r="M1896" s="4" t="str">
        <x:f>IFERROR(INDEX('Crafting recipes'!$E$6:$E$1005,MATCH(B1896,'Crafting recipes'!$A$6:$A$1005,0)),"MISSING ID")</x:f>
        <x:v>Partial proposal</x:v>
      </x:c>
      <x:c r="N1896" s="4" t="str">
        <x:v>Partial audit candidate; quantity, fit and performance remain unresolved.</x:v>
      </x:c>
      <x:c r="O18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6" s="4" t="n">
        <x:f>IF(OR(C1896="Ingredient candidate",C1896="Consumed input",C1896="Contained input",C1896="Transform input"),IF(F1896="T0",0,IF(F1896="T1",1,IF(F1896="T2",2,IF(F1896="T3",3,IF(F1896="T4",4,-1))))),-1)</x:f>
        <x:v>-1</x:v>
      </x:c>
      <x:c r="Q1896" s="4" t="n">
        <x:f>IF(AND(OR(C1896="Ingredient candidate",C1896="Consumed input",C1896="Contained input",C1896="Transform input"),P1896=-1),1,0)</x:f>
        <x:v>1</x:v>
      </x:c>
    </x:row>
    <x:row r="1897" ht="64" customHeight="1">
      <x:c r="A1897" s="4" t="str">
        <x:v>design.audit.author_communication_crude_two_way_radio.audit.in.5</x:v>
      </x:c>
      <x:c r="B1897" s="4" t="str">
        <x:v>design.audit.author_communication_crude_two_way_radio</x:v>
      </x:c>
      <x:c r="C1897" s="4" t="str">
        <x:v>Ingredient candidate</x:v>
      </x:c>
      <x:c r="D1897" s="4" t="str">
        <x:v>proposal.audit.ceramic_backed_control_switch</x:v>
      </x:c>
      <x:c r="E1897" s="4" t="str">
        <x:f>IFERROR(INDEX('Items'!$B$6:$B$1005,MATCH(D1897,'Items'!$A$6:$A$1005,0)),"MISSING ID")</x:f>
        <x:v>Ceramic-backed control switch</x:v>
      </x:c>
      <x:c r="F1897" s="4" t="str">
        <x:f>IFERROR(INDEX('Items'!$C$6:$C$1005,MATCH(D1897,'Items'!$A$6:$A$1005,0)),"MISSING ID")</x:f>
        <x:v>T4</x:v>
      </x:c>
      <x:c r="G1897" s="4" t="str">
        <x:f>IFERROR(INDEX('Items'!$D$6:$D$1005,MATCH(D1897,'Items'!$A$6:$A$1005,0)),"MISSING ID")</x:f>
        <x:v>Crafting components</x:v>
      </x:c>
      <x:c r="H1897" s="4" t="str">
        <x:f>IFERROR(INDEX('Items'!$X$6:$X$1005,MATCH(D1897,'Items'!$A$6:$A$1005,0)),"MISSING ID")</x:f>
        <x:v>Crafting component</x:v>
      </x:c>
      <x:c r="I1897" s="4"/>
      <x:c r="J1897" s="4" t="str">
        <x:v>Unspecified</x:v>
      </x:c>
      <x:c r="K1897" s="4" t="str">
        <x:f>IFERROR(INDEX('Crafting recipes'!$D$6:$D$1005,MATCH(B1897,'Crafting recipes'!$A$6:$A$1005,0)),"MISSING ID")</x:f>
        <x:v>Proposal</x:v>
      </x:c>
      <x:c r="L1897" s="4" t="str">
        <x:f>IFERROR(INDEX('Items'!$AD$6:$AD$1005,MATCH(D1897,'Items'!$A$6:$A$1005,0)),"MISSING ID")</x:f>
        <x:v>Proposal</x:v>
      </x:c>
      <x:c r="M1897" s="4" t="str">
        <x:f>IFERROR(INDEX('Crafting recipes'!$E$6:$E$1005,MATCH(B1897,'Crafting recipes'!$A$6:$A$1005,0)),"MISSING ID")</x:f>
        <x:v>Partial proposal</x:v>
      </x:c>
      <x:c r="N1897" s="4" t="str">
        <x:v>Partial audit candidate; quantity, fit and performance remain unresolved.</x:v>
      </x:c>
      <x:c r="O18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7" s="4" t="n">
        <x:f>IF(OR(C1897="Ingredient candidate",C1897="Consumed input",C1897="Contained input",C1897="Transform input"),IF(F1897="T0",0,IF(F1897="T1",1,IF(F1897="T2",2,IF(F1897="T3",3,IF(F1897="T4",4,-1))))),-1)</x:f>
        <x:v>4</x:v>
      </x:c>
      <x:c r="Q1897" s="4" t="n">
        <x:f>IF(AND(OR(C1897="Ingredient candidate",C1897="Consumed input",C1897="Contained input",C1897="Transform input"),P1897=-1),1,0)</x:f>
        <x:v>0</x:v>
      </x:c>
    </x:row>
    <x:row r="1898" ht="64" customHeight="1">
      <x:c r="A1898" s="4" t="str">
        <x:v>design.audit.author_communication_crude_two_way_radio.audit.in.6</x:v>
      </x:c>
      <x:c r="B1898" s="4" t="str">
        <x:v>design.audit.author_communication_crude_two_way_radio</x:v>
      </x:c>
      <x:c r="C1898" s="4" t="str">
        <x:v>Ingredient candidate</x:v>
      </x:c>
      <x:c r="D1898" s="4" t="str">
        <x:v>proposal.collection.flexible_copper_service_jumper</x:v>
      </x:c>
      <x:c r="E1898" s="4" t="str">
        <x:f>IFERROR(INDEX('Items'!$B$6:$B$1005,MATCH(D1898,'Items'!$A$6:$A$1005,0)),"MISSING ID")</x:f>
        <x:v>Flexible copper service jumper</x:v>
      </x:c>
      <x:c r="F1898" s="4" t="str">
        <x:f>IFERROR(INDEX('Items'!$C$6:$C$1005,MATCH(D1898,'Items'!$A$6:$A$1005,0)),"MISSING ID")</x:f>
        <x:v>T4</x:v>
      </x:c>
      <x:c r="G1898" s="4" t="str">
        <x:f>IFERROR(INDEX('Items'!$D$6:$D$1005,MATCH(D1898,'Items'!$A$6:$A$1005,0)),"MISSING ID")</x:f>
        <x:v>Crafting components</x:v>
      </x:c>
      <x:c r="H1898" s="4" t="str">
        <x:f>IFERROR(INDEX('Items'!$X$6:$X$1005,MATCH(D1898,'Items'!$A$6:$A$1005,0)),"MISSING ID")</x:f>
        <x:v>Machine part</x:v>
      </x:c>
      <x:c r="I1898" s="4"/>
      <x:c r="J1898" s="4" t="str">
        <x:v>Unspecified</x:v>
      </x:c>
      <x:c r="K1898" s="4" t="str">
        <x:f>IFERROR(INDEX('Crafting recipes'!$D$6:$D$1005,MATCH(B1898,'Crafting recipes'!$A$6:$A$1005,0)),"MISSING ID")</x:f>
        <x:v>Proposal</x:v>
      </x:c>
      <x:c r="L1898" s="4" t="str">
        <x:f>IFERROR(INDEX('Items'!$AD$6:$AD$1005,MATCH(D1898,'Items'!$A$6:$A$1005,0)),"MISSING ID")</x:f>
        <x:v>Proposal</x:v>
      </x:c>
      <x:c r="M1898" s="4" t="str">
        <x:f>IFERROR(INDEX('Crafting recipes'!$E$6:$E$1005,MATCH(B1898,'Crafting recipes'!$A$6:$A$1005,0)),"MISSING ID")</x:f>
        <x:v>Partial proposal</x:v>
      </x:c>
      <x:c r="N1898" s="4" t="str">
        <x:v>Partial audit candidate; quantity, fit and performance remain unresolved.</x:v>
      </x:c>
      <x:c r="O18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8" s="4" t="n">
        <x:f>IF(OR(C1898="Ingredient candidate",C1898="Consumed input",C1898="Contained input",C1898="Transform input"),IF(F1898="T0",0,IF(F1898="T1",1,IF(F1898="T2",2,IF(F1898="T3",3,IF(F1898="T4",4,-1))))),-1)</x:f>
        <x:v>4</x:v>
      </x:c>
      <x:c r="Q1898" s="4" t="n">
        <x:f>IF(AND(OR(C1898="Ingredient candidate",C1898="Consumed input",C1898="Contained input",C1898="Transform input"),P1898=-1),1,0)</x:f>
        <x:v>0</x:v>
      </x:c>
    </x:row>
    <x:row r="1899" ht="64" customHeight="1">
      <x:c r="A1899" s="4" t="str">
        <x:v>design.audit.author_communication_crude_two_way_radio.audit.in.7</x:v>
      </x:c>
      <x:c r="B1899" s="4" t="str">
        <x:v>design.audit.author_communication_crude_two_way_radio</x:v>
      </x:c>
      <x:c r="C1899" s="4" t="str">
        <x:v>Ingredient candidate</x:v>
      </x:c>
      <x:c r="D1899" s="4" t="str">
        <x:v>proposal.collection.ceramic_housed_mineral_battery</x:v>
      </x:c>
      <x:c r="E1899" s="4" t="str">
        <x:f>IFERROR(INDEX('Items'!$B$6:$B$1005,MATCH(D1899,'Items'!$A$6:$A$1005,0)),"MISSING ID")</x:f>
        <x:v>Ceramic-housed mineral battery</x:v>
      </x:c>
      <x:c r="F1899" s="4" t="str">
        <x:f>IFERROR(INDEX('Items'!$C$6:$C$1005,MATCH(D1899,'Items'!$A$6:$A$1005,0)),"MISSING ID")</x:f>
        <x:v>Not applicable</x:v>
      </x:c>
      <x:c r="G1899" s="4" t="str">
        <x:f>IFERROR(INDEX('Items'!$D$6:$D$1005,MATCH(D1899,'Items'!$A$6:$A$1005,0)),"MISSING ID")</x:f>
        <x:v>Crafting components</x:v>
      </x:c>
      <x:c r="H1899" s="4" t="str">
        <x:f>IFERROR(INDEX('Items'!$X$6:$X$1005,MATCH(D1899,'Items'!$A$6:$A$1005,0)),"MISSING ID")</x:f>
        <x:v>Energy storage</x:v>
      </x:c>
      <x:c r="I1899" s="4"/>
      <x:c r="J1899" s="4" t="str">
        <x:v>Unspecified</x:v>
      </x:c>
      <x:c r="K1899" s="4" t="str">
        <x:f>IFERROR(INDEX('Crafting recipes'!$D$6:$D$1005,MATCH(B1899,'Crafting recipes'!$A$6:$A$1005,0)),"MISSING ID")</x:f>
        <x:v>Proposal</x:v>
      </x:c>
      <x:c r="L1899" s="4" t="str">
        <x:f>IFERROR(INDEX('Items'!$AD$6:$AD$1005,MATCH(D1899,'Items'!$A$6:$A$1005,0)),"MISSING ID")</x:f>
        <x:v>Proposal</x:v>
      </x:c>
      <x:c r="M1899" s="4" t="str">
        <x:f>IFERROR(INDEX('Crafting recipes'!$E$6:$E$1005,MATCH(B1899,'Crafting recipes'!$A$6:$A$1005,0)),"MISSING ID")</x:f>
        <x:v>Partial proposal</x:v>
      </x:c>
      <x:c r="N1899" s="4" t="str">
        <x:v>Partial audit candidate; quantity, fit and performance remain unresolved.</x:v>
      </x:c>
      <x:c r="O18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9" s="4" t="n">
        <x:f>IF(OR(C1899="Ingredient candidate",C1899="Consumed input",C1899="Contained input",C1899="Transform input"),IF(F1899="T0",0,IF(F1899="T1",1,IF(F1899="T2",2,IF(F1899="T3",3,IF(F1899="T4",4,-1))))),-1)</x:f>
        <x:v>-1</x:v>
      </x:c>
      <x:c r="Q1899" s="4" t="n">
        <x:f>IF(AND(OR(C1899="Ingredient candidate",C1899="Consumed input",C1899="Contained input",C1899="Transform input"),P1899=-1),1,0)</x:f>
        <x:v>1</x:v>
      </x:c>
    </x:row>
    <x:row r="1900" ht="64" customHeight="1">
      <x:c r="A1900" s="4" t="str">
        <x:v>design.audit.author_communication_crude_two_way_radio.audit.out</x:v>
      </x:c>
      <x:c r="B1900" s="4" t="str">
        <x:v>design.audit.author_communication_crude_two_way_radio</x:v>
      </x:c>
      <x:c r="C1900" s="4" t="str">
        <x:v>Output</x:v>
      </x:c>
      <x:c r="D1900" s="4" t="str">
        <x:v>author.communication.crude_two_way_radio</x:v>
      </x:c>
      <x:c r="E1900" s="4" t="str">
        <x:f>IFERROR(INDEX('Items'!$B$6:$B$1005,MATCH(D1900,'Items'!$A$6:$A$1005,0)),"MISSING ID")</x:f>
        <x:v>Crude two-way radio</x:v>
      </x:c>
      <x:c r="F1900" s="4" t="str">
        <x:f>IFERROR(INDEX('Items'!$C$6:$C$1005,MATCH(D1900,'Items'!$A$6:$A$1005,0)),"MISSING ID")</x:f>
        <x:v>Not applicable</x:v>
      </x:c>
      <x:c r="G1900" s="4" t="str">
        <x:f>IFERROR(INDEX('Items'!$D$6:$D$1005,MATCH(D1900,'Items'!$A$6:$A$1005,0)),"MISSING ID")</x:f>
        <x:v>Tools</x:v>
      </x:c>
      <x:c r="H1900" s="4" t="str">
        <x:f>IFERROR(INDEX('Items'!$X$6:$X$1005,MATCH(D1900,'Items'!$A$6:$A$1005,0)),"MISSING ID")</x:f>
        <x:v>Tool</x:v>
      </x:c>
      <x:c r="I1900" s="4"/>
      <x:c r="J1900" s="4" t="str">
        <x:v>Unspecified</x:v>
      </x:c>
      <x:c r="K1900" s="4" t="str">
        <x:f>IFERROR(INDEX('Crafting recipes'!$D$6:$D$1005,MATCH(B1900,'Crafting recipes'!$A$6:$A$1005,0)),"MISSING ID")</x:f>
        <x:v>Proposal</x:v>
      </x:c>
      <x:c r="L1900" s="4" t="str">
        <x:f>IFERROR(INDEX('Items'!$AD$6:$AD$1005,MATCH(D1900,'Items'!$A$6:$A$1005,0)),"MISSING ID")</x:f>
        <x:v>Author direction</x:v>
      </x:c>
      <x:c r="M1900" s="4" t="str">
        <x:f>IFERROR(INDEX('Crafting recipes'!$E$6:$E$1005,MATCH(B1900,'Crafting recipes'!$A$6:$A$1005,0)),"MISSING ID")</x:f>
        <x:v>Partial proposal</x:v>
      </x:c>
      <x:c r="N1900" s="4" t="str">
        <x:v>Partial audit candidate; quantity, fit and performance remain unresolved.</x:v>
      </x:c>
      <x:c r="O19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0" s="4" t="n">
        <x:f>IF(OR(C1900="Ingredient candidate",C1900="Consumed input",C1900="Contained input",C1900="Transform input"),IF(F1900="T0",0,IF(F1900="T1",1,IF(F1900="T2",2,IF(F1900="T3",3,IF(F1900="T4",4,-1))))),-1)</x:f>
        <x:v>-1</x:v>
      </x:c>
      <x:c r="Q1900" s="4" t="n">
        <x:f>IF(AND(OR(C1900="Ingredient candidate",C1900="Consumed input",C1900="Contained input",C1900="Transform input"),P1900=-1),1,0)</x:f>
        <x:v>0</x:v>
      </x:c>
    </x:row>
    <x:row r="1901" ht="64" customHeight="1">
      <x:c r="A1901" s="4"/>
      <x:c r="B1901" s="4"/>
      <x:c r="C1901" s="4"/>
      <x:c r="D1901" s="4"/>
      <x:c r="E1901" s="4"/>
      <x:c r="F1901" s="4"/>
      <x:c r="G1901" s="4"/>
      <x:c r="H1901" s="4"/>
      <x:c r="I1901" s="4"/>
      <x:c r="J1901" s="4"/>
      <x:c r="K1901" s="4"/>
      <x:c r="L1901" s="4"/>
      <x:c r="M1901" s="4"/>
      <x:c r="N1901" s="4"/>
      <x:c r="O1901" s="4"/>
      <x:c r="P1901" s="4"/>
      <x:c r="Q1901" s="4"/>
    </x:row>
    <x:row r="1902" ht="64" customHeight="1">
      <x:c r="A1902" s="4"/>
      <x:c r="B1902" s="4"/>
      <x:c r="C1902" s="4"/>
      <x:c r="D1902" s="4"/>
      <x:c r="E1902" s="4"/>
      <x:c r="F1902" s="4"/>
      <x:c r="G1902" s="4"/>
      <x:c r="H1902" s="4"/>
      <x:c r="I1902" s="4"/>
      <x:c r="J1902" s="4"/>
      <x:c r="K1902" s="4"/>
      <x:c r="L1902" s="4"/>
      <x:c r="M1902" s="4"/>
      <x:c r="N1902" s="4"/>
      <x:c r="O1902" s="4"/>
      <x:c r="P1902" s="4"/>
      <x:c r="Q1902" s="4"/>
    </x:row>
    <x:row r="1903" ht="64" customHeight="1">
      <x:c r="A1903" s="4"/>
      <x:c r="B1903" s="4"/>
      <x:c r="C1903" s="4"/>
      <x:c r="D1903" s="4"/>
      <x:c r="E1903" s="4"/>
      <x:c r="F1903" s="4"/>
      <x:c r="G1903" s="4"/>
      <x:c r="H1903" s="4"/>
      <x:c r="I1903" s="4"/>
      <x:c r="J1903" s="4"/>
      <x:c r="K1903" s="4"/>
      <x:c r="L1903" s="4"/>
      <x:c r="M1903" s="4"/>
      <x:c r="N1903" s="4"/>
      <x:c r="O1903" s="4"/>
      <x:c r="P1903" s="4"/>
      <x:c r="Q1903" s="4"/>
    </x:row>
    <x:row r="1904" ht="64" customHeight="1">
      <x:c r="A1904" s="4"/>
      <x:c r="B1904" s="4"/>
      <x:c r="C1904" s="4"/>
      <x:c r="D1904" s="4"/>
      <x:c r="E1904" s="4"/>
      <x:c r="F1904" s="4"/>
      <x:c r="G1904" s="4"/>
      <x:c r="H1904" s="4"/>
      <x:c r="I1904" s="4"/>
      <x:c r="J1904" s="4"/>
      <x:c r="K1904" s="4"/>
      <x:c r="L1904" s="4"/>
      <x:c r="M1904" s="4"/>
      <x:c r="N1904" s="4"/>
      <x:c r="O1904" s="4"/>
      <x:c r="P1904" s="4"/>
      <x:c r="Q1904" s="4"/>
    </x:row>
    <x:row r="1905" ht="64" customHeight="1">
      <x:c r="A1905" s="4"/>
      <x:c r="B1905" s="4"/>
      <x:c r="C1905" s="4"/>
      <x:c r="D1905" s="4"/>
      <x:c r="E1905" s="4"/>
      <x:c r="F1905" s="4"/>
      <x:c r="G1905" s="4"/>
      <x:c r="H1905" s="4"/>
      <x:c r="I1905" s="4"/>
      <x:c r="J1905" s="4"/>
      <x:c r="K1905" s="4"/>
      <x:c r="L1905" s="4"/>
      <x:c r="M1905" s="4"/>
      <x:c r="N1905" s="4"/>
      <x:c r="O1905" s="4"/>
      <x:c r="P1905" s="4"/>
      <x:c r="Q1905" s="4"/>
    </x:row>
    <x:row r="1906" ht="64" customHeight="1">
      <x:c r="A1906" s="4"/>
      <x:c r="B1906" s="4"/>
      <x:c r="C1906" s="4"/>
      <x:c r="D1906" s="4"/>
      <x:c r="E1906" s="4"/>
      <x:c r="F1906" s="4"/>
      <x:c r="G1906" s="4"/>
      <x:c r="H1906" s="4"/>
      <x:c r="I1906" s="4"/>
      <x:c r="J1906" s="4"/>
      <x:c r="K1906" s="4"/>
      <x:c r="L1906" s="4"/>
      <x:c r="M1906" s="4"/>
      <x:c r="N1906" s="4"/>
      <x:c r="O1906" s="4"/>
      <x:c r="P1906" s="4"/>
      <x:c r="Q1906" s="4"/>
    </x:row>
    <x:row r="1907" ht="64" customHeight="1">
      <x:c r="A1907" s="4" t="str">
        <x:v>design.audit.author_electrical_magnetic_inhibitor.audit.in.1</x:v>
      </x:c>
      <x:c r="B1907" s="4" t="str">
        <x:v>design.audit.author_electrical_magnetic_inhibitor</x:v>
      </x:c>
      <x:c r="C1907" s="4" t="str">
        <x:v>Ingredient candidate</x:v>
      </x:c>
      <x:c r="D1907" s="4" t="str">
        <x:v>proposal.audit.fitted_machine_casing</x:v>
      </x:c>
      <x:c r="E1907" s="4" t="str">
        <x:f>IFERROR(INDEX('Items'!$B$6:$B$1005,MATCH(D1907,'Items'!$A$6:$A$1005,0)),"MISSING ID")</x:f>
        <x:v>Fitted machine casing</x:v>
      </x:c>
      <x:c r="F1907" s="4" t="str">
        <x:f>IFERROR(INDEX('Items'!$C$6:$C$1005,MATCH(D1907,'Items'!$A$6:$A$1005,0)),"MISSING ID")</x:f>
        <x:v>T3</x:v>
      </x:c>
      <x:c r="G1907" s="4" t="str">
        <x:f>IFERROR(INDEX('Items'!$D$6:$D$1005,MATCH(D1907,'Items'!$A$6:$A$1005,0)),"MISSING ID")</x:f>
        <x:v>Crafting components</x:v>
      </x:c>
      <x:c r="H1907" s="4" t="str">
        <x:f>IFERROR(INDEX('Items'!$X$6:$X$1005,MATCH(D1907,'Items'!$A$6:$A$1005,0)),"MISSING ID")</x:f>
        <x:v>Crafting component</x:v>
      </x:c>
      <x:c r="I1907" s="4"/>
      <x:c r="J1907" s="4" t="str">
        <x:v>Unspecified</x:v>
      </x:c>
      <x:c r="K1907" s="4" t="str">
        <x:f>IFERROR(INDEX('Crafting recipes'!$D$6:$D$1005,MATCH(B1907,'Crafting recipes'!$A$6:$A$1005,0)),"MISSING ID")</x:f>
        <x:v>Proposal</x:v>
      </x:c>
      <x:c r="L1907" s="4" t="str">
        <x:f>IFERROR(INDEX('Items'!$AD$6:$AD$1005,MATCH(D1907,'Items'!$A$6:$A$1005,0)),"MISSING ID")</x:f>
        <x:v>Proposal</x:v>
      </x:c>
      <x:c r="M1907" s="4" t="str">
        <x:f>IFERROR(INDEX('Crafting recipes'!$E$6:$E$1005,MATCH(B1907,'Crafting recipes'!$A$6:$A$1005,0)),"MISSING ID")</x:f>
        <x:v>Partial proposal</x:v>
      </x:c>
      <x:c r="N1907" s="4" t="str">
        <x:v>Partial audit candidate; quantity, fit and performance remain unresolved.</x:v>
      </x:c>
      <x:c r="O19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7" s="4" t="n">
        <x:f>IF(OR(C1907="Ingredient candidate",C1907="Consumed input",C1907="Contained input",C1907="Transform input"),IF(F1907="T0",0,IF(F1907="T1",1,IF(F1907="T2",2,IF(F1907="T3",3,IF(F1907="T4",4,-1))))),-1)</x:f>
        <x:v>3</x:v>
      </x:c>
      <x:c r="Q1907" s="4" t="n">
        <x:f>IF(AND(OR(C1907="Ingredient candidate",C1907="Consumed input",C1907="Contained input",C1907="Transform input"),P1907=-1),1,0)</x:f>
        <x:v>0</x:v>
      </x:c>
    </x:row>
    <x:row r="1908" ht="64" customHeight="1">
      <x:c r="A1908" s="4" t="str">
        <x:v>design.audit.author_electrical_magnetic_inhibitor.audit.in.2</x:v>
      </x:c>
      <x:c r="B1908" s="4" t="str">
        <x:v>design.audit.author_electrical_magnetic_inhibitor</x:v>
      </x:c>
      <x:c r="C1908" s="4" t="str">
        <x:v>Ingredient candidate</x:v>
      </x:c>
      <x:c r="D1908" s="4" t="str">
        <x:v>proposal.t4.insulated_winding</x:v>
      </x:c>
      <x:c r="E1908" s="4" t="str">
        <x:f>IFERROR(INDEX('Items'!$B$6:$B$1005,MATCH(D1908,'Items'!$A$6:$A$1005,0)),"MISSING ID")</x:f>
        <x:v>Insulated winding subassembly</x:v>
      </x:c>
      <x:c r="F1908" s="4" t="str">
        <x:f>IFERROR(INDEX('Items'!$C$6:$C$1005,MATCH(D1908,'Items'!$A$6:$A$1005,0)),"MISSING ID")</x:f>
        <x:v>T4</x:v>
      </x:c>
      <x:c r="G1908" s="4" t="str">
        <x:f>IFERROR(INDEX('Items'!$D$6:$D$1005,MATCH(D1908,'Items'!$A$6:$A$1005,0)),"MISSING ID")</x:f>
        <x:v>Crafting components</x:v>
      </x:c>
      <x:c r="H1908" s="4" t="str">
        <x:f>IFERROR(INDEX('Items'!$X$6:$X$1005,MATCH(D1908,'Items'!$A$6:$A$1005,0)),"MISSING ID")</x:f>
        <x:v>Crafting component</x:v>
      </x:c>
      <x:c r="I1908" s="4"/>
      <x:c r="J1908" s="4" t="str">
        <x:v>Unspecified</x:v>
      </x:c>
      <x:c r="K1908" s="4" t="str">
        <x:f>IFERROR(INDEX('Crafting recipes'!$D$6:$D$1005,MATCH(B1908,'Crafting recipes'!$A$6:$A$1005,0)),"MISSING ID")</x:f>
        <x:v>Proposal</x:v>
      </x:c>
      <x:c r="L1908" s="4" t="str">
        <x:f>IFERROR(INDEX('Items'!$AD$6:$AD$1005,MATCH(D1908,'Items'!$A$6:$A$1005,0)),"MISSING ID")</x:f>
        <x:v>Proposal</x:v>
      </x:c>
      <x:c r="M1908" s="4" t="str">
        <x:f>IFERROR(INDEX('Crafting recipes'!$E$6:$E$1005,MATCH(B1908,'Crafting recipes'!$A$6:$A$1005,0)),"MISSING ID")</x:f>
        <x:v>Partial proposal</x:v>
      </x:c>
      <x:c r="N1908" s="4" t="str">
        <x:v>Partial audit candidate; quantity, fit and performance remain unresolved.</x:v>
      </x:c>
      <x:c r="O19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8" s="4" t="n">
        <x:f>IF(OR(C1908="Ingredient candidate",C1908="Consumed input",C1908="Contained input",C1908="Transform input"),IF(F1908="T0",0,IF(F1908="T1",1,IF(F1908="T2",2,IF(F1908="T3",3,IF(F1908="T4",4,-1))))),-1)</x:f>
        <x:v>4</x:v>
      </x:c>
      <x:c r="Q1908" s="4" t="n">
        <x:f>IF(AND(OR(C1908="Ingredient candidate",C1908="Consumed input",C1908="Contained input",C1908="Transform input"),P1908=-1),1,0)</x:f>
        <x:v>0</x:v>
      </x:c>
    </x:row>
    <x:row r="1909" ht="64" customHeight="1">
      <x:c r="A1909" s="4" t="str">
        <x:v>design.audit.author_electrical_magnetic_inhibitor.audit.in.3</x:v>
      </x:c>
      <x:c r="B1909" s="4" t="str">
        <x:v>design.audit.author_electrical_magnetic_inhibitor</x:v>
      </x:c>
      <x:c r="C1909" s="4" t="str">
        <x:v>Ingredient candidate</x:v>
      </x:c>
      <x:c r="D1909" s="4" t="str">
        <x:v>proposal.gear.magnets</x:v>
      </x:c>
      <x:c r="E1909" s="4" t="str">
        <x:f>IFERROR(INDEX('Items'!$B$6:$B$1005,MATCH(D1909,'Items'!$A$6:$A$1005,0)),"MISSING ID")</x:f>
        <x:v>Field magnets</x:v>
      </x:c>
      <x:c r="F1909" s="4" t="str">
        <x:f>IFERROR(INDEX('Items'!$C$6:$C$1005,MATCH(D1909,'Items'!$A$6:$A$1005,0)),"MISSING ID")</x:f>
        <x:v>Not applicable</x:v>
      </x:c>
      <x:c r="G1909" s="4" t="str">
        <x:f>IFERROR(INDEX('Items'!$D$6:$D$1005,MATCH(D1909,'Items'!$A$6:$A$1005,0)),"MISSING ID")</x:f>
        <x:v>Tools</x:v>
      </x:c>
      <x:c r="H1909" s="4" t="str">
        <x:f>IFERROR(INDEX('Items'!$X$6:$X$1005,MATCH(D1909,'Items'!$A$6:$A$1005,0)),"MISSING ID")</x:f>
        <x:v>Tool</x:v>
      </x:c>
      <x:c r="I1909" s="4"/>
      <x:c r="J1909" s="4" t="str">
        <x:v>Unspecified</x:v>
      </x:c>
      <x:c r="K1909" s="4" t="str">
        <x:f>IFERROR(INDEX('Crafting recipes'!$D$6:$D$1005,MATCH(B1909,'Crafting recipes'!$A$6:$A$1005,0)),"MISSING ID")</x:f>
        <x:v>Proposal</x:v>
      </x:c>
      <x:c r="L1909" s="4" t="str">
        <x:f>IFERROR(INDEX('Items'!$AD$6:$AD$1005,MATCH(D1909,'Items'!$A$6:$A$1005,0)),"MISSING ID")</x:f>
        <x:v>Author direction</x:v>
      </x:c>
      <x:c r="M1909" s="4" t="str">
        <x:f>IFERROR(INDEX('Crafting recipes'!$E$6:$E$1005,MATCH(B1909,'Crafting recipes'!$A$6:$A$1005,0)),"MISSING ID")</x:f>
        <x:v>Partial proposal</x:v>
      </x:c>
      <x:c r="N1909" s="4" t="str">
        <x:v>Partial audit candidate; quantity, fit and performance remain unresolved.</x:v>
      </x:c>
      <x:c r="O19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9" s="4" t="n">
        <x:f>IF(OR(C1909="Ingredient candidate",C1909="Consumed input",C1909="Contained input",C1909="Transform input"),IF(F1909="T0",0,IF(F1909="T1",1,IF(F1909="T2",2,IF(F1909="T3",3,IF(F1909="T4",4,-1))))),-1)</x:f>
        <x:v>-1</x:v>
      </x:c>
      <x:c r="Q1909" s="4" t="n">
        <x:f>IF(AND(OR(C1909="Ingredient candidate",C1909="Consumed input",C1909="Contained input",C1909="Transform input"),P1909=-1),1,0)</x:f>
        <x:v>1</x:v>
      </x:c>
    </x:row>
    <x:row r="1910" ht="64" customHeight="1">
      <x:c r="A1910" s="4" t="str">
        <x:v>design.audit.author_electrical_magnetic_inhibitor.audit.in.4</x:v>
      </x:c>
      <x:c r="B1910" s="4" t="str">
        <x:v>design.audit.author_electrical_magnetic_inhibitor</x:v>
      </x:c>
      <x:c r="C1910" s="4" t="str">
        <x:v>Ingredient candidate</x:v>
      </x:c>
      <x:c r="D1910" s="4" t="str">
        <x:v>proposal.audit.ceramic_backed_control_switch</x:v>
      </x:c>
      <x:c r="E1910" s="4" t="str">
        <x:f>IFERROR(INDEX('Items'!$B$6:$B$1005,MATCH(D1910,'Items'!$A$6:$A$1005,0)),"MISSING ID")</x:f>
        <x:v>Ceramic-backed control switch</x:v>
      </x:c>
      <x:c r="F1910" s="4" t="str">
        <x:f>IFERROR(INDEX('Items'!$C$6:$C$1005,MATCH(D1910,'Items'!$A$6:$A$1005,0)),"MISSING ID")</x:f>
        <x:v>T4</x:v>
      </x:c>
      <x:c r="G1910" s="4" t="str">
        <x:f>IFERROR(INDEX('Items'!$D$6:$D$1005,MATCH(D1910,'Items'!$A$6:$A$1005,0)),"MISSING ID")</x:f>
        <x:v>Crafting components</x:v>
      </x:c>
      <x:c r="H1910" s="4" t="str">
        <x:f>IFERROR(INDEX('Items'!$X$6:$X$1005,MATCH(D1910,'Items'!$A$6:$A$1005,0)),"MISSING ID")</x:f>
        <x:v>Crafting component</x:v>
      </x:c>
      <x:c r="I1910" s="4"/>
      <x:c r="J1910" s="4" t="str">
        <x:v>Unspecified</x:v>
      </x:c>
      <x:c r="K1910" s="4" t="str">
        <x:f>IFERROR(INDEX('Crafting recipes'!$D$6:$D$1005,MATCH(B1910,'Crafting recipes'!$A$6:$A$1005,0)),"MISSING ID")</x:f>
        <x:v>Proposal</x:v>
      </x:c>
      <x:c r="L1910" s="4" t="str">
        <x:f>IFERROR(INDEX('Items'!$AD$6:$AD$1005,MATCH(D1910,'Items'!$A$6:$A$1005,0)),"MISSING ID")</x:f>
        <x:v>Proposal</x:v>
      </x:c>
      <x:c r="M1910" s="4" t="str">
        <x:f>IFERROR(INDEX('Crafting recipes'!$E$6:$E$1005,MATCH(B1910,'Crafting recipes'!$A$6:$A$1005,0)),"MISSING ID")</x:f>
        <x:v>Partial proposal</x:v>
      </x:c>
      <x:c r="N1910" s="4" t="str">
        <x:v>Partial audit candidate; quantity, fit and performance remain unresolved.</x:v>
      </x:c>
      <x:c r="O19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0" s="4" t="n">
        <x:f>IF(OR(C1910="Ingredient candidate",C1910="Consumed input",C1910="Contained input",C1910="Transform input"),IF(F1910="T0",0,IF(F1910="T1",1,IF(F1910="T2",2,IF(F1910="T3",3,IF(F1910="T4",4,-1))))),-1)</x:f>
        <x:v>4</x:v>
      </x:c>
      <x:c r="Q1910" s="4" t="n">
        <x:f>IF(AND(OR(C1910="Ingredient candidate",C1910="Consumed input",C1910="Contained input",C1910="Transform input"),P1910=-1),1,0)</x:f>
        <x:v>0</x:v>
      </x:c>
    </x:row>
    <x:row r="1911" ht="64" customHeight="1">
      <x:c r="A1911" s="4" t="str">
        <x:v>design.audit.author_electrical_magnetic_inhibitor.audit.in.5</x:v>
      </x:c>
      <x:c r="B1911" s="4" t="str">
        <x:v>design.audit.author_electrical_magnetic_inhibitor</x:v>
      </x:c>
      <x:c r="C1911" s="4" t="str">
        <x:v>Ingredient candidate</x:v>
      </x:c>
      <x:c r="D1911" s="4" t="str">
        <x:v>proposal.collection.ceramic_dielectric_pulse_bank</x:v>
      </x:c>
      <x:c r="E1911" s="4" t="str">
        <x:f>IFERROR(INDEX('Items'!$B$6:$B$1005,MATCH(D1911,'Items'!$A$6:$A$1005,0)),"MISSING ID")</x:f>
        <x:v>Ceramic-dielectric pulse bank</x:v>
      </x:c>
      <x:c r="F1911" s="4" t="str">
        <x:f>IFERROR(INDEX('Items'!$C$6:$C$1005,MATCH(D1911,'Items'!$A$6:$A$1005,0)),"MISSING ID")</x:f>
        <x:v>Not applicable</x:v>
      </x:c>
      <x:c r="G1911" s="4" t="str">
        <x:f>IFERROR(INDEX('Items'!$D$6:$D$1005,MATCH(D1911,'Items'!$A$6:$A$1005,0)),"MISSING ID")</x:f>
        <x:v>Crafting components</x:v>
      </x:c>
      <x:c r="H1911" s="4" t="str">
        <x:f>IFERROR(INDEX('Items'!$X$6:$X$1005,MATCH(D1911,'Items'!$A$6:$A$1005,0)),"MISSING ID")</x:f>
        <x:v>Energy storage</x:v>
      </x:c>
      <x:c r="I1911" s="4"/>
      <x:c r="J1911" s="4" t="str">
        <x:v>Unspecified</x:v>
      </x:c>
      <x:c r="K1911" s="4" t="str">
        <x:f>IFERROR(INDEX('Crafting recipes'!$D$6:$D$1005,MATCH(B1911,'Crafting recipes'!$A$6:$A$1005,0)),"MISSING ID")</x:f>
        <x:v>Proposal</x:v>
      </x:c>
      <x:c r="L1911" s="4" t="str">
        <x:f>IFERROR(INDEX('Items'!$AD$6:$AD$1005,MATCH(D1911,'Items'!$A$6:$A$1005,0)),"MISSING ID")</x:f>
        <x:v>Proposal</x:v>
      </x:c>
      <x:c r="M1911" s="4" t="str">
        <x:f>IFERROR(INDEX('Crafting recipes'!$E$6:$E$1005,MATCH(B1911,'Crafting recipes'!$A$6:$A$1005,0)),"MISSING ID")</x:f>
        <x:v>Partial proposal</x:v>
      </x:c>
      <x:c r="N1911" s="4" t="str">
        <x:v>Partial audit candidate; quantity, fit and performance remain unresolved.</x:v>
      </x:c>
      <x:c r="O19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1" s="4" t="n">
        <x:f>IF(OR(C1911="Ingredient candidate",C1911="Consumed input",C1911="Contained input",C1911="Transform input"),IF(F1911="T0",0,IF(F1911="T1",1,IF(F1911="T2",2,IF(F1911="T3",3,IF(F1911="T4",4,-1))))),-1)</x:f>
        <x:v>-1</x:v>
      </x:c>
      <x:c r="Q1911" s="4" t="n">
        <x:f>IF(AND(OR(C1911="Ingredient candidate",C1911="Consumed input",C1911="Contained input",C1911="Transform input"),P1911=-1),1,0)</x:f>
        <x:v>1</x:v>
      </x:c>
    </x:row>
    <x:row r="1912" ht="64" customHeight="1">
      <x:c r="A1912" s="4" t="str">
        <x:v>design.audit.author_electrical_magnetic_inhibitor.audit.out</x:v>
      </x:c>
      <x:c r="B1912" s="4" t="str">
        <x:v>design.audit.author_electrical_magnetic_inhibitor</x:v>
      </x:c>
      <x:c r="C1912" s="4" t="str">
        <x:v>Output</x:v>
      </x:c>
      <x:c r="D1912" s="4" t="str">
        <x:v>author.electrical.magnetic_inhibitor</x:v>
      </x:c>
      <x:c r="E1912" s="4" t="str">
        <x:f>IFERROR(INDEX('Items'!$B$6:$B$1005,MATCH(D1912,'Items'!$A$6:$A$1005,0)),"MISSING ID")</x:f>
        <x:v>Magnetic field inhibitor</x:v>
      </x:c>
      <x:c r="F1912" s="4" t="str">
        <x:f>IFERROR(INDEX('Items'!$C$6:$C$1005,MATCH(D1912,'Items'!$A$6:$A$1005,0)),"MISSING ID")</x:f>
        <x:v>Not applicable</x:v>
      </x:c>
      <x:c r="G1912" s="4" t="str">
        <x:f>IFERROR(INDEX('Items'!$D$6:$D$1005,MATCH(D1912,'Items'!$A$6:$A$1005,0)),"MISSING ID")</x:f>
        <x:v>Tools</x:v>
      </x:c>
      <x:c r="H1912" s="4" t="str">
        <x:f>IFERROR(INDEX('Items'!$X$6:$X$1005,MATCH(D1912,'Items'!$A$6:$A$1005,0)),"MISSING ID")</x:f>
        <x:v>Tool</x:v>
      </x:c>
      <x:c r="I1912" s="4"/>
      <x:c r="J1912" s="4" t="str">
        <x:v>Unspecified</x:v>
      </x:c>
      <x:c r="K1912" s="4" t="str">
        <x:f>IFERROR(INDEX('Crafting recipes'!$D$6:$D$1005,MATCH(B1912,'Crafting recipes'!$A$6:$A$1005,0)),"MISSING ID")</x:f>
        <x:v>Proposal</x:v>
      </x:c>
      <x:c r="L1912" s="4" t="str">
        <x:f>IFERROR(INDEX('Items'!$AD$6:$AD$1005,MATCH(D1912,'Items'!$A$6:$A$1005,0)),"MISSING ID")</x:f>
        <x:v>Author direction</x:v>
      </x:c>
      <x:c r="M1912" s="4" t="str">
        <x:f>IFERROR(INDEX('Crafting recipes'!$E$6:$E$1005,MATCH(B1912,'Crafting recipes'!$A$6:$A$1005,0)),"MISSING ID")</x:f>
        <x:v>Partial proposal</x:v>
      </x:c>
      <x:c r="N1912" s="4" t="str">
        <x:v>Partial audit candidate; quantity, fit and performance remain unresolved.</x:v>
      </x:c>
      <x:c r="O19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2" s="4" t="n">
        <x:f>IF(OR(C1912="Ingredient candidate",C1912="Consumed input",C1912="Contained input",C1912="Transform input"),IF(F1912="T0",0,IF(F1912="T1",1,IF(F1912="T2",2,IF(F1912="T3",3,IF(F1912="T4",4,-1))))),-1)</x:f>
        <x:v>-1</x:v>
      </x:c>
      <x:c r="Q1912" s="4" t="n">
        <x:f>IF(AND(OR(C1912="Ingredient candidate",C1912="Consumed input",C1912="Contained input",C1912="Transform input"),P1912=-1),1,0)</x:f>
        <x:v>0</x:v>
      </x:c>
    </x:row>
    <x:row r="1913" ht="64" customHeight="1">
      <x:c r="A1913" s="4" t="str">
        <x:v>design.audit.author_electrical_magnetic_enhancer.audit.in.1</x:v>
      </x:c>
      <x:c r="B1913" s="4" t="str">
        <x:v>design.audit.author_electrical_magnetic_enhancer</x:v>
      </x:c>
      <x:c r="C1913" s="4" t="str">
        <x:v>Ingredient candidate</x:v>
      </x:c>
      <x:c r="D1913" s="4" t="str">
        <x:v>proposal.audit.fitted_machine_casing</x:v>
      </x:c>
      <x:c r="E1913" s="4" t="str">
        <x:f>IFERROR(INDEX('Items'!$B$6:$B$1005,MATCH(D1913,'Items'!$A$6:$A$1005,0)),"MISSING ID")</x:f>
        <x:v>Fitted machine casing</x:v>
      </x:c>
      <x:c r="F1913" s="4" t="str">
        <x:f>IFERROR(INDEX('Items'!$C$6:$C$1005,MATCH(D1913,'Items'!$A$6:$A$1005,0)),"MISSING ID")</x:f>
        <x:v>T3</x:v>
      </x:c>
      <x:c r="G1913" s="4" t="str">
        <x:f>IFERROR(INDEX('Items'!$D$6:$D$1005,MATCH(D1913,'Items'!$A$6:$A$1005,0)),"MISSING ID")</x:f>
        <x:v>Crafting components</x:v>
      </x:c>
      <x:c r="H1913" s="4" t="str">
        <x:f>IFERROR(INDEX('Items'!$X$6:$X$1005,MATCH(D1913,'Items'!$A$6:$A$1005,0)),"MISSING ID")</x:f>
        <x:v>Crafting component</x:v>
      </x:c>
      <x:c r="I1913" s="4"/>
      <x:c r="J1913" s="4" t="str">
        <x:v>Unspecified</x:v>
      </x:c>
      <x:c r="K1913" s="4" t="str">
        <x:f>IFERROR(INDEX('Crafting recipes'!$D$6:$D$1005,MATCH(B1913,'Crafting recipes'!$A$6:$A$1005,0)),"MISSING ID")</x:f>
        <x:v>Proposal</x:v>
      </x:c>
      <x:c r="L1913" s="4" t="str">
        <x:f>IFERROR(INDEX('Items'!$AD$6:$AD$1005,MATCH(D1913,'Items'!$A$6:$A$1005,0)),"MISSING ID")</x:f>
        <x:v>Proposal</x:v>
      </x:c>
      <x:c r="M1913" s="4" t="str">
        <x:f>IFERROR(INDEX('Crafting recipes'!$E$6:$E$1005,MATCH(B1913,'Crafting recipes'!$A$6:$A$1005,0)),"MISSING ID")</x:f>
        <x:v>Partial proposal</x:v>
      </x:c>
      <x:c r="N1913" s="4" t="str">
        <x:v>Partial audit candidate; quantity, fit and performance remain unresolved.</x:v>
      </x:c>
      <x:c r="O19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3" s="4" t="n">
        <x:f>IF(OR(C1913="Ingredient candidate",C1913="Consumed input",C1913="Contained input",C1913="Transform input"),IF(F1913="T0",0,IF(F1913="T1",1,IF(F1913="T2",2,IF(F1913="T3",3,IF(F1913="T4",4,-1))))),-1)</x:f>
        <x:v>3</x:v>
      </x:c>
      <x:c r="Q1913" s="4" t="n">
        <x:f>IF(AND(OR(C1913="Ingredient candidate",C1913="Consumed input",C1913="Contained input",C1913="Transform input"),P1913=-1),1,0)</x:f>
        <x:v>0</x:v>
      </x:c>
    </x:row>
    <x:row r="1914" ht="64" customHeight="1">
      <x:c r="A1914" s="4" t="str">
        <x:v>design.audit.author_electrical_magnetic_enhancer.audit.in.2</x:v>
      </x:c>
      <x:c r="B1914" s="4" t="str">
        <x:v>design.audit.author_electrical_magnetic_enhancer</x:v>
      </x:c>
      <x:c r="C1914" s="4" t="str">
        <x:v>Ingredient candidate</x:v>
      </x:c>
      <x:c r="D1914" s="4" t="str">
        <x:v>proposal.t4.insulated_winding</x:v>
      </x:c>
      <x:c r="E1914" s="4" t="str">
        <x:f>IFERROR(INDEX('Items'!$B$6:$B$1005,MATCH(D1914,'Items'!$A$6:$A$1005,0)),"MISSING ID")</x:f>
        <x:v>Insulated winding subassembly</x:v>
      </x:c>
      <x:c r="F1914" s="4" t="str">
        <x:f>IFERROR(INDEX('Items'!$C$6:$C$1005,MATCH(D1914,'Items'!$A$6:$A$1005,0)),"MISSING ID")</x:f>
        <x:v>T4</x:v>
      </x:c>
      <x:c r="G1914" s="4" t="str">
        <x:f>IFERROR(INDEX('Items'!$D$6:$D$1005,MATCH(D1914,'Items'!$A$6:$A$1005,0)),"MISSING ID")</x:f>
        <x:v>Crafting components</x:v>
      </x:c>
      <x:c r="H1914" s="4" t="str">
        <x:f>IFERROR(INDEX('Items'!$X$6:$X$1005,MATCH(D1914,'Items'!$A$6:$A$1005,0)),"MISSING ID")</x:f>
        <x:v>Crafting component</x:v>
      </x:c>
      <x:c r="I1914" s="4"/>
      <x:c r="J1914" s="4" t="str">
        <x:v>Unspecified</x:v>
      </x:c>
      <x:c r="K1914" s="4" t="str">
        <x:f>IFERROR(INDEX('Crafting recipes'!$D$6:$D$1005,MATCH(B1914,'Crafting recipes'!$A$6:$A$1005,0)),"MISSING ID")</x:f>
        <x:v>Proposal</x:v>
      </x:c>
      <x:c r="L1914" s="4" t="str">
        <x:f>IFERROR(INDEX('Items'!$AD$6:$AD$1005,MATCH(D1914,'Items'!$A$6:$A$1005,0)),"MISSING ID")</x:f>
        <x:v>Proposal</x:v>
      </x:c>
      <x:c r="M1914" s="4" t="str">
        <x:f>IFERROR(INDEX('Crafting recipes'!$E$6:$E$1005,MATCH(B1914,'Crafting recipes'!$A$6:$A$1005,0)),"MISSING ID")</x:f>
        <x:v>Partial proposal</x:v>
      </x:c>
      <x:c r="N1914" s="4" t="str">
        <x:v>Partial audit candidate; quantity, fit and performance remain unresolved.</x:v>
      </x:c>
      <x:c r="O19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4" s="4" t="n">
        <x:f>IF(OR(C1914="Ingredient candidate",C1914="Consumed input",C1914="Contained input",C1914="Transform input"),IF(F1914="T0",0,IF(F1914="T1",1,IF(F1914="T2",2,IF(F1914="T3",3,IF(F1914="T4",4,-1))))),-1)</x:f>
        <x:v>4</x:v>
      </x:c>
      <x:c r="Q1914" s="4" t="n">
        <x:f>IF(AND(OR(C1914="Ingredient candidate",C1914="Consumed input",C1914="Contained input",C1914="Transform input"),P1914=-1),1,0)</x:f>
        <x:v>0</x:v>
      </x:c>
    </x:row>
    <x:row r="1915" ht="64" customHeight="1">
      <x:c r="A1915" s="4" t="str">
        <x:v>design.audit.author_electrical_magnetic_enhancer.audit.in.3</x:v>
      </x:c>
      <x:c r="B1915" s="4" t="str">
        <x:v>design.audit.author_electrical_magnetic_enhancer</x:v>
      </x:c>
      <x:c r="C1915" s="4" t="str">
        <x:v>Ingredient candidate</x:v>
      </x:c>
      <x:c r="D1915" s="4" t="str">
        <x:v>proposal.gear.magnets</x:v>
      </x:c>
      <x:c r="E1915" s="4" t="str">
        <x:f>IFERROR(INDEX('Items'!$B$6:$B$1005,MATCH(D1915,'Items'!$A$6:$A$1005,0)),"MISSING ID")</x:f>
        <x:v>Field magnets</x:v>
      </x:c>
      <x:c r="F1915" s="4" t="str">
        <x:f>IFERROR(INDEX('Items'!$C$6:$C$1005,MATCH(D1915,'Items'!$A$6:$A$1005,0)),"MISSING ID")</x:f>
        <x:v>Not applicable</x:v>
      </x:c>
      <x:c r="G1915" s="4" t="str">
        <x:f>IFERROR(INDEX('Items'!$D$6:$D$1005,MATCH(D1915,'Items'!$A$6:$A$1005,0)),"MISSING ID")</x:f>
        <x:v>Tools</x:v>
      </x:c>
      <x:c r="H1915" s="4" t="str">
        <x:f>IFERROR(INDEX('Items'!$X$6:$X$1005,MATCH(D1915,'Items'!$A$6:$A$1005,0)),"MISSING ID")</x:f>
        <x:v>Tool</x:v>
      </x:c>
      <x:c r="I1915" s="4"/>
      <x:c r="J1915" s="4" t="str">
        <x:v>Unspecified</x:v>
      </x:c>
      <x:c r="K1915" s="4" t="str">
        <x:f>IFERROR(INDEX('Crafting recipes'!$D$6:$D$1005,MATCH(B1915,'Crafting recipes'!$A$6:$A$1005,0)),"MISSING ID")</x:f>
        <x:v>Proposal</x:v>
      </x:c>
      <x:c r="L1915" s="4" t="str">
        <x:f>IFERROR(INDEX('Items'!$AD$6:$AD$1005,MATCH(D1915,'Items'!$A$6:$A$1005,0)),"MISSING ID")</x:f>
        <x:v>Author direction</x:v>
      </x:c>
      <x:c r="M1915" s="4" t="str">
        <x:f>IFERROR(INDEX('Crafting recipes'!$E$6:$E$1005,MATCH(B1915,'Crafting recipes'!$A$6:$A$1005,0)),"MISSING ID")</x:f>
        <x:v>Partial proposal</x:v>
      </x:c>
      <x:c r="N1915" s="4" t="str">
        <x:v>Partial audit candidate; quantity, fit and performance remain unresolved.</x:v>
      </x:c>
      <x:c r="O19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5" s="4" t="n">
        <x:f>IF(OR(C1915="Ingredient candidate",C1915="Consumed input",C1915="Contained input",C1915="Transform input"),IF(F1915="T0",0,IF(F1915="T1",1,IF(F1915="T2",2,IF(F1915="T3",3,IF(F1915="T4",4,-1))))),-1)</x:f>
        <x:v>-1</x:v>
      </x:c>
      <x:c r="Q1915" s="4" t="n">
        <x:f>IF(AND(OR(C1915="Ingredient candidate",C1915="Consumed input",C1915="Contained input",C1915="Transform input"),P1915=-1),1,0)</x:f>
        <x:v>1</x:v>
      </x:c>
    </x:row>
    <x:row r="1916" ht="64" customHeight="1">
      <x:c r="A1916" s="4" t="str">
        <x:v>design.audit.author_electrical_magnetic_enhancer.audit.in.4</x:v>
      </x:c>
      <x:c r="B1916" s="4" t="str">
        <x:v>design.audit.author_electrical_magnetic_enhancer</x:v>
      </x:c>
      <x:c r="C1916" s="4" t="str">
        <x:v>Ingredient candidate</x:v>
      </x:c>
      <x:c r="D1916" s="4" t="str">
        <x:v>proposal.audit.ceramic_backed_control_switch</x:v>
      </x:c>
      <x:c r="E1916" s="4" t="str">
        <x:f>IFERROR(INDEX('Items'!$B$6:$B$1005,MATCH(D1916,'Items'!$A$6:$A$1005,0)),"MISSING ID")</x:f>
        <x:v>Ceramic-backed control switch</x:v>
      </x:c>
      <x:c r="F1916" s="4" t="str">
        <x:f>IFERROR(INDEX('Items'!$C$6:$C$1005,MATCH(D1916,'Items'!$A$6:$A$1005,0)),"MISSING ID")</x:f>
        <x:v>T4</x:v>
      </x:c>
      <x:c r="G1916" s="4" t="str">
        <x:f>IFERROR(INDEX('Items'!$D$6:$D$1005,MATCH(D1916,'Items'!$A$6:$A$1005,0)),"MISSING ID")</x:f>
        <x:v>Crafting components</x:v>
      </x:c>
      <x:c r="H1916" s="4" t="str">
        <x:f>IFERROR(INDEX('Items'!$X$6:$X$1005,MATCH(D1916,'Items'!$A$6:$A$1005,0)),"MISSING ID")</x:f>
        <x:v>Crafting component</x:v>
      </x:c>
      <x:c r="I1916" s="4"/>
      <x:c r="J1916" s="4" t="str">
        <x:v>Unspecified</x:v>
      </x:c>
      <x:c r="K1916" s="4" t="str">
        <x:f>IFERROR(INDEX('Crafting recipes'!$D$6:$D$1005,MATCH(B1916,'Crafting recipes'!$A$6:$A$1005,0)),"MISSING ID")</x:f>
        <x:v>Proposal</x:v>
      </x:c>
      <x:c r="L1916" s="4" t="str">
        <x:f>IFERROR(INDEX('Items'!$AD$6:$AD$1005,MATCH(D1916,'Items'!$A$6:$A$1005,0)),"MISSING ID")</x:f>
        <x:v>Proposal</x:v>
      </x:c>
      <x:c r="M1916" s="4" t="str">
        <x:f>IFERROR(INDEX('Crafting recipes'!$E$6:$E$1005,MATCH(B1916,'Crafting recipes'!$A$6:$A$1005,0)),"MISSING ID")</x:f>
        <x:v>Partial proposal</x:v>
      </x:c>
      <x:c r="N1916" s="4" t="str">
        <x:v>Partial audit candidate; quantity, fit and performance remain unresolved.</x:v>
      </x:c>
      <x:c r="O19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6" s="4" t="n">
        <x:f>IF(OR(C1916="Ingredient candidate",C1916="Consumed input",C1916="Contained input",C1916="Transform input"),IF(F1916="T0",0,IF(F1916="T1",1,IF(F1916="T2",2,IF(F1916="T3",3,IF(F1916="T4",4,-1))))),-1)</x:f>
        <x:v>4</x:v>
      </x:c>
      <x:c r="Q1916" s="4" t="n">
        <x:f>IF(AND(OR(C1916="Ingredient candidate",C1916="Consumed input",C1916="Contained input",C1916="Transform input"),P1916=-1),1,0)</x:f>
        <x:v>0</x:v>
      </x:c>
    </x:row>
    <x:row r="1917" ht="64" customHeight="1">
      <x:c r="A1917" s="4" t="str">
        <x:v>design.audit.author_electrical_magnetic_enhancer.audit.in.5</x:v>
      </x:c>
      <x:c r="B1917" s="4" t="str">
        <x:v>design.audit.author_electrical_magnetic_enhancer</x:v>
      </x:c>
      <x:c r="C1917" s="4" t="str">
        <x:v>Ingredient candidate</x:v>
      </x:c>
      <x:c r="D1917" s="4" t="str">
        <x:v>proposal.collection.ceramic_dielectric_pulse_bank</x:v>
      </x:c>
      <x:c r="E1917" s="4" t="str">
        <x:f>IFERROR(INDEX('Items'!$B$6:$B$1005,MATCH(D1917,'Items'!$A$6:$A$1005,0)),"MISSING ID")</x:f>
        <x:v>Ceramic-dielectric pulse bank</x:v>
      </x:c>
      <x:c r="F1917" s="4" t="str">
        <x:f>IFERROR(INDEX('Items'!$C$6:$C$1005,MATCH(D1917,'Items'!$A$6:$A$1005,0)),"MISSING ID")</x:f>
        <x:v>Not applicable</x:v>
      </x:c>
      <x:c r="G1917" s="4" t="str">
        <x:f>IFERROR(INDEX('Items'!$D$6:$D$1005,MATCH(D1917,'Items'!$A$6:$A$1005,0)),"MISSING ID")</x:f>
        <x:v>Crafting components</x:v>
      </x:c>
      <x:c r="H1917" s="4" t="str">
        <x:f>IFERROR(INDEX('Items'!$X$6:$X$1005,MATCH(D1917,'Items'!$A$6:$A$1005,0)),"MISSING ID")</x:f>
        <x:v>Energy storage</x:v>
      </x:c>
      <x:c r="I1917" s="4"/>
      <x:c r="J1917" s="4" t="str">
        <x:v>Unspecified</x:v>
      </x:c>
      <x:c r="K1917" s="4" t="str">
        <x:f>IFERROR(INDEX('Crafting recipes'!$D$6:$D$1005,MATCH(B1917,'Crafting recipes'!$A$6:$A$1005,0)),"MISSING ID")</x:f>
        <x:v>Proposal</x:v>
      </x:c>
      <x:c r="L1917" s="4" t="str">
        <x:f>IFERROR(INDEX('Items'!$AD$6:$AD$1005,MATCH(D1917,'Items'!$A$6:$A$1005,0)),"MISSING ID")</x:f>
        <x:v>Proposal</x:v>
      </x:c>
      <x:c r="M1917" s="4" t="str">
        <x:f>IFERROR(INDEX('Crafting recipes'!$E$6:$E$1005,MATCH(B1917,'Crafting recipes'!$A$6:$A$1005,0)),"MISSING ID")</x:f>
        <x:v>Partial proposal</x:v>
      </x:c>
      <x:c r="N1917" s="4" t="str">
        <x:v>Partial audit candidate; quantity, fit and performance remain unresolved.</x:v>
      </x:c>
      <x:c r="O19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7" s="4" t="n">
        <x:f>IF(OR(C1917="Ingredient candidate",C1917="Consumed input",C1917="Contained input",C1917="Transform input"),IF(F1917="T0",0,IF(F1917="T1",1,IF(F1917="T2",2,IF(F1917="T3",3,IF(F1917="T4",4,-1))))),-1)</x:f>
        <x:v>-1</x:v>
      </x:c>
      <x:c r="Q1917" s="4" t="n">
        <x:f>IF(AND(OR(C1917="Ingredient candidate",C1917="Consumed input",C1917="Contained input",C1917="Transform input"),P1917=-1),1,0)</x:f>
        <x:v>1</x:v>
      </x:c>
    </x:row>
    <x:row r="1918" ht="64" customHeight="1">
      <x:c r="A1918" s="4" t="str">
        <x:v>design.audit.author_electrical_magnetic_enhancer.audit.out</x:v>
      </x:c>
      <x:c r="B1918" s="4" t="str">
        <x:v>design.audit.author_electrical_magnetic_enhancer</x:v>
      </x:c>
      <x:c r="C1918" s="4" t="str">
        <x:v>Output</x:v>
      </x:c>
      <x:c r="D1918" s="4" t="str">
        <x:v>author.electrical.magnetic_enhancer</x:v>
      </x:c>
      <x:c r="E1918" s="4" t="str">
        <x:f>IFERROR(INDEX('Items'!$B$6:$B$1005,MATCH(D1918,'Items'!$A$6:$A$1005,0)),"MISSING ID")</x:f>
        <x:v>Magnetic field enhancer</x:v>
      </x:c>
      <x:c r="F1918" s="4" t="str">
        <x:f>IFERROR(INDEX('Items'!$C$6:$C$1005,MATCH(D1918,'Items'!$A$6:$A$1005,0)),"MISSING ID")</x:f>
        <x:v>Not applicable</x:v>
      </x:c>
      <x:c r="G1918" s="4" t="str">
        <x:f>IFERROR(INDEX('Items'!$D$6:$D$1005,MATCH(D1918,'Items'!$A$6:$A$1005,0)),"MISSING ID")</x:f>
        <x:v>Tools</x:v>
      </x:c>
      <x:c r="H1918" s="4" t="str">
        <x:f>IFERROR(INDEX('Items'!$X$6:$X$1005,MATCH(D1918,'Items'!$A$6:$A$1005,0)),"MISSING ID")</x:f>
        <x:v>Tool</x:v>
      </x:c>
      <x:c r="I1918" s="4"/>
      <x:c r="J1918" s="4" t="str">
        <x:v>Unspecified</x:v>
      </x:c>
      <x:c r="K1918" s="4" t="str">
        <x:f>IFERROR(INDEX('Crafting recipes'!$D$6:$D$1005,MATCH(B1918,'Crafting recipes'!$A$6:$A$1005,0)),"MISSING ID")</x:f>
        <x:v>Proposal</x:v>
      </x:c>
      <x:c r="L1918" s="4" t="str">
        <x:f>IFERROR(INDEX('Items'!$AD$6:$AD$1005,MATCH(D1918,'Items'!$A$6:$A$1005,0)),"MISSING ID")</x:f>
        <x:v>Author direction</x:v>
      </x:c>
      <x:c r="M1918" s="4" t="str">
        <x:f>IFERROR(INDEX('Crafting recipes'!$E$6:$E$1005,MATCH(B1918,'Crafting recipes'!$A$6:$A$1005,0)),"MISSING ID")</x:f>
        <x:v>Partial proposal</x:v>
      </x:c>
      <x:c r="N1918" s="4" t="str">
        <x:v>Partial audit candidate; quantity, fit and performance remain unresolved.</x:v>
      </x:c>
      <x:c r="O19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8" s="4" t="n">
        <x:f>IF(OR(C1918="Ingredient candidate",C1918="Consumed input",C1918="Contained input",C1918="Transform input"),IF(F1918="T0",0,IF(F1918="T1",1,IF(F1918="T2",2,IF(F1918="T3",3,IF(F1918="T4",4,-1))))),-1)</x:f>
        <x:v>-1</x:v>
      </x:c>
      <x:c r="Q1918" s="4" t="n">
        <x:f>IF(AND(OR(C1918="Ingredient candidate",C1918="Consumed input",C1918="Contained input",C1918="Transform input"),P1918=-1),1,0)</x:f>
        <x:v>0</x:v>
      </x:c>
    </x:row>
    <x:row r="1919" ht="64" customHeight="1">
      <x:c r="A1919" s="4" t="str">
        <x:v>design.audit.author_electrical_static_enhancer.audit.in.1</x:v>
      </x:c>
      <x:c r="B1919" s="4" t="str">
        <x:v>design.audit.author_electrical_static_enhancer</x:v>
      </x:c>
      <x:c r="C1919" s="4" t="str">
        <x:v>Ingredient candidate</x:v>
      </x:c>
      <x:c r="D1919" s="4" t="str">
        <x:v>proposal.audit.fitted_machine_casing</x:v>
      </x:c>
      <x:c r="E1919" s="4" t="str">
        <x:f>IFERROR(INDEX('Items'!$B$6:$B$1005,MATCH(D1919,'Items'!$A$6:$A$1005,0)),"MISSING ID")</x:f>
        <x:v>Fitted machine casing</x:v>
      </x:c>
      <x:c r="F1919" s="4" t="str">
        <x:f>IFERROR(INDEX('Items'!$C$6:$C$1005,MATCH(D1919,'Items'!$A$6:$A$1005,0)),"MISSING ID")</x:f>
        <x:v>T3</x:v>
      </x:c>
      <x:c r="G1919" s="4" t="str">
        <x:f>IFERROR(INDEX('Items'!$D$6:$D$1005,MATCH(D1919,'Items'!$A$6:$A$1005,0)),"MISSING ID")</x:f>
        <x:v>Crafting components</x:v>
      </x:c>
      <x:c r="H1919" s="4" t="str">
        <x:f>IFERROR(INDEX('Items'!$X$6:$X$1005,MATCH(D1919,'Items'!$A$6:$A$1005,0)),"MISSING ID")</x:f>
        <x:v>Crafting component</x:v>
      </x:c>
      <x:c r="I1919" s="4"/>
      <x:c r="J1919" s="4" t="str">
        <x:v>Unspecified</x:v>
      </x:c>
      <x:c r="K1919" s="4" t="str">
        <x:f>IFERROR(INDEX('Crafting recipes'!$D$6:$D$1005,MATCH(B1919,'Crafting recipes'!$A$6:$A$1005,0)),"MISSING ID")</x:f>
        <x:v>Proposal</x:v>
      </x:c>
      <x:c r="L1919" s="4" t="str">
        <x:f>IFERROR(INDEX('Items'!$AD$6:$AD$1005,MATCH(D1919,'Items'!$A$6:$A$1005,0)),"MISSING ID")</x:f>
        <x:v>Proposal</x:v>
      </x:c>
      <x:c r="M1919" s="4" t="str">
        <x:f>IFERROR(INDEX('Crafting recipes'!$E$6:$E$1005,MATCH(B1919,'Crafting recipes'!$A$6:$A$1005,0)),"MISSING ID")</x:f>
        <x:v>Partial proposal</x:v>
      </x:c>
      <x:c r="N1919" s="4" t="str">
        <x:v>Partial audit candidate; quantity, fit and performance remain unresolved.</x:v>
      </x:c>
      <x:c r="O19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9" s="4" t="n">
        <x:f>IF(OR(C1919="Ingredient candidate",C1919="Consumed input",C1919="Contained input",C1919="Transform input"),IF(F1919="T0",0,IF(F1919="T1",1,IF(F1919="T2",2,IF(F1919="T3",3,IF(F1919="T4",4,-1))))),-1)</x:f>
        <x:v>3</x:v>
      </x:c>
      <x:c r="Q1919" s="4" t="n">
        <x:f>IF(AND(OR(C1919="Ingredient candidate",C1919="Consumed input",C1919="Contained input",C1919="Transform input"),P1919=-1),1,0)</x:f>
        <x:v>0</x:v>
      </x:c>
    </x:row>
    <x:row r="1920" ht="64" customHeight="1">
      <x:c r="A1920" s="4" t="str">
        <x:v>design.audit.author_electrical_static_enhancer.audit.in.2</x:v>
      </x:c>
      <x:c r="B1920" s="4" t="str">
        <x:v>design.audit.author_electrical_static_enhancer</x:v>
      </x:c>
      <x:c r="C1920" s="4" t="str">
        <x:v>Ingredient candidate</x:v>
      </x:c>
      <x:c r="D1920" s="4" t="str">
        <x:v>proposal.t4.contact_block</x:v>
      </x:c>
      <x:c r="E1920" s="4" t="str">
        <x:f>IFERROR(INDEX('Items'!$B$6:$B$1005,MATCH(D1920,'Items'!$A$6:$A$1005,0)),"MISSING ID")</x:f>
        <x:v>Serviceable insulated contact block</x:v>
      </x:c>
      <x:c r="F1920" s="4" t="str">
        <x:f>IFERROR(INDEX('Items'!$C$6:$C$1005,MATCH(D1920,'Items'!$A$6:$A$1005,0)),"MISSING ID")</x:f>
        <x:v>T4</x:v>
      </x:c>
      <x:c r="G1920" s="4" t="str">
        <x:f>IFERROR(INDEX('Items'!$D$6:$D$1005,MATCH(D1920,'Items'!$A$6:$A$1005,0)),"MISSING ID")</x:f>
        <x:v>Crafting components</x:v>
      </x:c>
      <x:c r="H1920" s="4" t="str">
        <x:f>IFERROR(INDEX('Items'!$X$6:$X$1005,MATCH(D1920,'Items'!$A$6:$A$1005,0)),"MISSING ID")</x:f>
        <x:v>Crafting component</x:v>
      </x:c>
      <x:c r="I1920" s="4"/>
      <x:c r="J1920" s="4" t="str">
        <x:v>Unspecified</x:v>
      </x:c>
      <x:c r="K1920" s="4" t="str">
        <x:f>IFERROR(INDEX('Crafting recipes'!$D$6:$D$1005,MATCH(B1920,'Crafting recipes'!$A$6:$A$1005,0)),"MISSING ID")</x:f>
        <x:v>Proposal</x:v>
      </x:c>
      <x:c r="L1920" s="4" t="str">
        <x:f>IFERROR(INDEX('Items'!$AD$6:$AD$1005,MATCH(D1920,'Items'!$A$6:$A$1005,0)),"MISSING ID")</x:f>
        <x:v>Proposal</x:v>
      </x:c>
      <x:c r="M1920" s="4" t="str">
        <x:f>IFERROR(INDEX('Crafting recipes'!$E$6:$E$1005,MATCH(B1920,'Crafting recipes'!$A$6:$A$1005,0)),"MISSING ID")</x:f>
        <x:v>Partial proposal</x:v>
      </x:c>
      <x:c r="N1920" s="4" t="str">
        <x:v>Partial audit candidate; quantity, fit and performance remain unresolved.</x:v>
      </x:c>
      <x:c r="O19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0" s="4" t="n">
        <x:f>IF(OR(C1920="Ingredient candidate",C1920="Consumed input",C1920="Contained input",C1920="Transform input"),IF(F1920="T0",0,IF(F1920="T1",1,IF(F1920="T2",2,IF(F1920="T3",3,IF(F1920="T4",4,-1))))),-1)</x:f>
        <x:v>4</x:v>
      </x:c>
      <x:c r="Q1920" s="4" t="n">
        <x:f>IF(AND(OR(C1920="Ingredient candidate",C1920="Consumed input",C1920="Contained input",C1920="Transform input"),P1920=-1),1,0)</x:f>
        <x:v>0</x:v>
      </x:c>
    </x:row>
    <x:row r="1921" ht="64" customHeight="1">
      <x:c r="A1921" s="4" t="str">
        <x:v>design.audit.author_electrical_static_enhancer.audit.in.3</x:v>
      </x:c>
      <x:c r="B1921" s="4" t="str">
        <x:v>design.audit.author_electrical_static_enhancer</x:v>
      </x:c>
      <x:c r="C1921" s="4" t="str">
        <x:v>Ingredient candidate</x:v>
      </x:c>
      <x:c r="D1921" s="4" t="str">
        <x:v>proposal.audit.ceramic_backed_control_switch</x:v>
      </x:c>
      <x:c r="E1921" s="4" t="str">
        <x:f>IFERROR(INDEX('Items'!$B$6:$B$1005,MATCH(D1921,'Items'!$A$6:$A$1005,0)),"MISSING ID")</x:f>
        <x:v>Ceramic-backed control switch</x:v>
      </x:c>
      <x:c r="F1921" s="4" t="str">
        <x:f>IFERROR(INDEX('Items'!$C$6:$C$1005,MATCH(D1921,'Items'!$A$6:$A$1005,0)),"MISSING ID")</x:f>
        <x:v>T4</x:v>
      </x:c>
      <x:c r="G1921" s="4" t="str">
        <x:f>IFERROR(INDEX('Items'!$D$6:$D$1005,MATCH(D1921,'Items'!$A$6:$A$1005,0)),"MISSING ID")</x:f>
        <x:v>Crafting components</x:v>
      </x:c>
      <x:c r="H1921" s="4" t="str">
        <x:f>IFERROR(INDEX('Items'!$X$6:$X$1005,MATCH(D1921,'Items'!$A$6:$A$1005,0)),"MISSING ID")</x:f>
        <x:v>Crafting component</x:v>
      </x:c>
      <x:c r="I1921" s="4"/>
      <x:c r="J1921" s="4" t="str">
        <x:v>Unspecified</x:v>
      </x:c>
      <x:c r="K1921" s="4" t="str">
        <x:f>IFERROR(INDEX('Crafting recipes'!$D$6:$D$1005,MATCH(B1921,'Crafting recipes'!$A$6:$A$1005,0)),"MISSING ID")</x:f>
        <x:v>Proposal</x:v>
      </x:c>
      <x:c r="L1921" s="4" t="str">
        <x:f>IFERROR(INDEX('Items'!$AD$6:$AD$1005,MATCH(D1921,'Items'!$A$6:$A$1005,0)),"MISSING ID")</x:f>
        <x:v>Proposal</x:v>
      </x:c>
      <x:c r="M1921" s="4" t="str">
        <x:f>IFERROR(INDEX('Crafting recipes'!$E$6:$E$1005,MATCH(B1921,'Crafting recipes'!$A$6:$A$1005,0)),"MISSING ID")</x:f>
        <x:v>Partial proposal</x:v>
      </x:c>
      <x:c r="N1921" s="4" t="str">
        <x:v>Partial audit candidate; quantity, fit and performance remain unresolved.</x:v>
      </x:c>
      <x:c r="O19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1" s="4" t="n">
        <x:f>IF(OR(C1921="Ingredient candidate",C1921="Consumed input",C1921="Contained input",C1921="Transform input"),IF(F1921="T0",0,IF(F1921="T1",1,IF(F1921="T2",2,IF(F1921="T3",3,IF(F1921="T4",4,-1))))),-1)</x:f>
        <x:v>4</x:v>
      </x:c>
      <x:c r="Q1921" s="4" t="n">
        <x:f>IF(AND(OR(C1921="Ingredient candidate",C1921="Consumed input",C1921="Contained input",C1921="Transform input"),P1921=-1),1,0)</x:f>
        <x:v>0</x:v>
      </x:c>
    </x:row>
    <x:row r="1922" ht="64" customHeight="1">
      <x:c r="A1922" s="4" t="str">
        <x:v>design.audit.author_electrical_static_enhancer.audit.in.4</x:v>
      </x:c>
      <x:c r="B1922" s="4" t="str">
        <x:v>design.audit.author_electrical_static_enhancer</x:v>
      </x:c>
      <x:c r="C1922" s="4" t="str">
        <x:v>Ingredient candidate</x:v>
      </x:c>
      <x:c r="D1922" s="4" t="str">
        <x:v>proposal.collection.ceramic_dielectric_pulse_bank</x:v>
      </x:c>
      <x:c r="E1922" s="4" t="str">
        <x:f>IFERROR(INDEX('Items'!$B$6:$B$1005,MATCH(D1922,'Items'!$A$6:$A$1005,0)),"MISSING ID")</x:f>
        <x:v>Ceramic-dielectric pulse bank</x:v>
      </x:c>
      <x:c r="F1922" s="4" t="str">
        <x:f>IFERROR(INDEX('Items'!$C$6:$C$1005,MATCH(D1922,'Items'!$A$6:$A$1005,0)),"MISSING ID")</x:f>
        <x:v>Not applicable</x:v>
      </x:c>
      <x:c r="G1922" s="4" t="str">
        <x:f>IFERROR(INDEX('Items'!$D$6:$D$1005,MATCH(D1922,'Items'!$A$6:$A$1005,0)),"MISSING ID")</x:f>
        <x:v>Crafting components</x:v>
      </x:c>
      <x:c r="H1922" s="4" t="str">
        <x:f>IFERROR(INDEX('Items'!$X$6:$X$1005,MATCH(D1922,'Items'!$A$6:$A$1005,0)),"MISSING ID")</x:f>
        <x:v>Energy storage</x:v>
      </x:c>
      <x:c r="I1922" s="4"/>
      <x:c r="J1922" s="4" t="str">
        <x:v>Unspecified</x:v>
      </x:c>
      <x:c r="K1922" s="4" t="str">
        <x:f>IFERROR(INDEX('Crafting recipes'!$D$6:$D$1005,MATCH(B1922,'Crafting recipes'!$A$6:$A$1005,0)),"MISSING ID")</x:f>
        <x:v>Proposal</x:v>
      </x:c>
      <x:c r="L1922" s="4" t="str">
        <x:f>IFERROR(INDEX('Items'!$AD$6:$AD$1005,MATCH(D1922,'Items'!$A$6:$A$1005,0)),"MISSING ID")</x:f>
        <x:v>Proposal</x:v>
      </x:c>
      <x:c r="M1922" s="4" t="str">
        <x:f>IFERROR(INDEX('Crafting recipes'!$E$6:$E$1005,MATCH(B1922,'Crafting recipes'!$A$6:$A$1005,0)),"MISSING ID")</x:f>
        <x:v>Partial proposal</x:v>
      </x:c>
      <x:c r="N1922" s="4" t="str">
        <x:v>Partial audit candidate; quantity, fit and performance remain unresolved.</x:v>
      </x:c>
      <x:c r="O19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2" s="4" t="n">
        <x:f>IF(OR(C1922="Ingredient candidate",C1922="Consumed input",C1922="Contained input",C1922="Transform input"),IF(F1922="T0",0,IF(F1922="T1",1,IF(F1922="T2",2,IF(F1922="T3",3,IF(F1922="T4",4,-1))))),-1)</x:f>
        <x:v>-1</x:v>
      </x:c>
      <x:c r="Q1922" s="4" t="n">
        <x:f>IF(AND(OR(C1922="Ingredient candidate",C1922="Consumed input",C1922="Contained input",C1922="Transform input"),P1922=-1),1,0)</x:f>
        <x:v>1</x:v>
      </x:c>
    </x:row>
    <x:row r="1923" ht="64" customHeight="1">
      <x:c r="A1923" s="4" t="str">
        <x:v>design.audit.author_electrical_static_enhancer.audit.in.5</x:v>
      </x:c>
      <x:c r="B1923" s="4" t="str">
        <x:v>design.audit.author_electrical_static_enhancer</x:v>
      </x:c>
      <x:c r="C1923" s="4" t="str">
        <x:v>Ingredient candidate</x:v>
      </x:c>
      <x:c r="D1923" s="4" t="str">
        <x:v>proposal.t4.grounding_harness</x:v>
      </x:c>
      <x:c r="E1923" s="4" t="str">
        <x:f>IFERROR(INDEX('Items'!$B$6:$B$1005,MATCH(D1923,'Items'!$A$6:$A$1005,0)),"MISSING ID")</x:f>
        <x:v>Terminated grounding harness</x:v>
      </x:c>
      <x:c r="F1923" s="4" t="str">
        <x:f>IFERROR(INDEX('Items'!$C$6:$C$1005,MATCH(D1923,'Items'!$A$6:$A$1005,0)),"MISSING ID")</x:f>
        <x:v>T4</x:v>
      </x:c>
      <x:c r="G1923" s="4" t="str">
        <x:f>IFERROR(INDEX('Items'!$D$6:$D$1005,MATCH(D1923,'Items'!$A$6:$A$1005,0)),"MISSING ID")</x:f>
        <x:v>Crafting components</x:v>
      </x:c>
      <x:c r="H1923" s="4" t="str">
        <x:f>IFERROR(INDEX('Items'!$X$6:$X$1005,MATCH(D1923,'Items'!$A$6:$A$1005,0)),"MISSING ID")</x:f>
        <x:v>Crafting component</x:v>
      </x:c>
      <x:c r="I1923" s="4"/>
      <x:c r="J1923" s="4" t="str">
        <x:v>Unspecified</x:v>
      </x:c>
      <x:c r="K1923" s="4" t="str">
        <x:f>IFERROR(INDEX('Crafting recipes'!$D$6:$D$1005,MATCH(B1923,'Crafting recipes'!$A$6:$A$1005,0)),"MISSING ID")</x:f>
        <x:v>Proposal</x:v>
      </x:c>
      <x:c r="L1923" s="4" t="str">
        <x:f>IFERROR(INDEX('Items'!$AD$6:$AD$1005,MATCH(D1923,'Items'!$A$6:$A$1005,0)),"MISSING ID")</x:f>
        <x:v>Proposal</x:v>
      </x:c>
      <x:c r="M1923" s="4" t="str">
        <x:f>IFERROR(INDEX('Crafting recipes'!$E$6:$E$1005,MATCH(B1923,'Crafting recipes'!$A$6:$A$1005,0)),"MISSING ID")</x:f>
        <x:v>Partial proposal</x:v>
      </x:c>
      <x:c r="N1923" s="4" t="str">
        <x:v>Partial audit candidate; quantity, fit and performance remain unresolved.</x:v>
      </x:c>
      <x:c r="O19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3" s="4" t="n">
        <x:f>IF(OR(C1923="Ingredient candidate",C1923="Consumed input",C1923="Contained input",C1923="Transform input"),IF(F1923="T0",0,IF(F1923="T1",1,IF(F1923="T2",2,IF(F1923="T3",3,IF(F1923="T4",4,-1))))),-1)</x:f>
        <x:v>4</x:v>
      </x:c>
      <x:c r="Q1923" s="4" t="n">
        <x:f>IF(AND(OR(C1923="Ingredient candidate",C1923="Consumed input",C1923="Contained input",C1923="Transform input"),P1923=-1),1,0)</x:f>
        <x:v>0</x:v>
      </x:c>
    </x:row>
    <x:row r="1924" ht="64" customHeight="1">
      <x:c r="A1924" s="4" t="str">
        <x:v>design.audit.author_electrical_static_enhancer.audit.out</x:v>
      </x:c>
      <x:c r="B1924" s="4" t="str">
        <x:v>design.audit.author_electrical_static_enhancer</x:v>
      </x:c>
      <x:c r="C1924" s="4" t="str">
        <x:v>Output</x:v>
      </x:c>
      <x:c r="D1924" s="4" t="str">
        <x:v>author.electrical.static_enhancer</x:v>
      </x:c>
      <x:c r="E1924" s="4" t="str">
        <x:f>IFERROR(INDEX('Items'!$B$6:$B$1005,MATCH(D1924,'Items'!$A$6:$A$1005,0)),"MISSING ID")</x:f>
        <x:v>Static-electricity field enhancer</x:v>
      </x:c>
      <x:c r="F1924" s="4" t="str">
        <x:f>IFERROR(INDEX('Items'!$C$6:$C$1005,MATCH(D1924,'Items'!$A$6:$A$1005,0)),"MISSING ID")</x:f>
        <x:v>Not applicable</x:v>
      </x:c>
      <x:c r="G1924" s="4" t="str">
        <x:f>IFERROR(INDEX('Items'!$D$6:$D$1005,MATCH(D1924,'Items'!$A$6:$A$1005,0)),"MISSING ID")</x:f>
        <x:v>Tools</x:v>
      </x:c>
      <x:c r="H1924" s="4" t="str">
        <x:f>IFERROR(INDEX('Items'!$X$6:$X$1005,MATCH(D1924,'Items'!$A$6:$A$1005,0)),"MISSING ID")</x:f>
        <x:v>Tool</x:v>
      </x:c>
      <x:c r="I1924" s="4"/>
      <x:c r="J1924" s="4" t="str">
        <x:v>Unspecified</x:v>
      </x:c>
      <x:c r="K1924" s="4" t="str">
        <x:f>IFERROR(INDEX('Crafting recipes'!$D$6:$D$1005,MATCH(B1924,'Crafting recipes'!$A$6:$A$1005,0)),"MISSING ID")</x:f>
        <x:v>Proposal</x:v>
      </x:c>
      <x:c r="L1924" s="4" t="str">
        <x:f>IFERROR(INDEX('Items'!$AD$6:$AD$1005,MATCH(D1924,'Items'!$A$6:$A$1005,0)),"MISSING ID")</x:f>
        <x:v>Author direction</x:v>
      </x:c>
      <x:c r="M1924" s="4" t="str">
        <x:f>IFERROR(INDEX('Crafting recipes'!$E$6:$E$1005,MATCH(B1924,'Crafting recipes'!$A$6:$A$1005,0)),"MISSING ID")</x:f>
        <x:v>Partial proposal</x:v>
      </x:c>
      <x:c r="N1924" s="4" t="str">
        <x:v>Partial audit candidate; quantity, fit and performance remain unresolved.</x:v>
      </x:c>
      <x:c r="O19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4" s="4" t="n">
        <x:f>IF(OR(C1924="Ingredient candidate",C1924="Consumed input",C1924="Contained input",C1924="Transform input"),IF(F1924="T0",0,IF(F1924="T1",1,IF(F1924="T2",2,IF(F1924="T3",3,IF(F1924="T4",4,-1))))),-1)</x:f>
        <x:v>-1</x:v>
      </x:c>
      <x:c r="Q1924" s="4" t="n">
        <x:f>IF(AND(OR(C1924="Ingredient candidate",C1924="Consumed input",C1924="Contained input",C1924="Transform input"),P1924=-1),1,0)</x:f>
        <x:v>0</x:v>
      </x:c>
    </x:row>
    <x:row r="1925" ht="64" customHeight="1">
      <x:c r="A1925" s="4" t="str">
        <x:v>design.audit.author_electrical_static_disruptor.audit.in.1</x:v>
      </x:c>
      <x:c r="B1925" s="4" t="str">
        <x:v>design.audit.author_electrical_static_disruptor</x:v>
      </x:c>
      <x:c r="C1925" s="4" t="str">
        <x:v>Ingredient candidate</x:v>
      </x:c>
      <x:c r="D1925" s="4" t="str">
        <x:v>proposal.audit.fitted_machine_casing</x:v>
      </x:c>
      <x:c r="E1925" s="4" t="str">
        <x:f>IFERROR(INDEX('Items'!$B$6:$B$1005,MATCH(D1925,'Items'!$A$6:$A$1005,0)),"MISSING ID")</x:f>
        <x:v>Fitted machine casing</x:v>
      </x:c>
      <x:c r="F1925" s="4" t="str">
        <x:f>IFERROR(INDEX('Items'!$C$6:$C$1005,MATCH(D1925,'Items'!$A$6:$A$1005,0)),"MISSING ID")</x:f>
        <x:v>T3</x:v>
      </x:c>
      <x:c r="G1925" s="4" t="str">
        <x:f>IFERROR(INDEX('Items'!$D$6:$D$1005,MATCH(D1925,'Items'!$A$6:$A$1005,0)),"MISSING ID")</x:f>
        <x:v>Crafting components</x:v>
      </x:c>
      <x:c r="H1925" s="4" t="str">
        <x:f>IFERROR(INDEX('Items'!$X$6:$X$1005,MATCH(D1925,'Items'!$A$6:$A$1005,0)),"MISSING ID")</x:f>
        <x:v>Crafting component</x:v>
      </x:c>
      <x:c r="I1925" s="4"/>
      <x:c r="J1925" s="4" t="str">
        <x:v>Unspecified</x:v>
      </x:c>
      <x:c r="K1925" s="4" t="str">
        <x:f>IFERROR(INDEX('Crafting recipes'!$D$6:$D$1005,MATCH(B1925,'Crafting recipes'!$A$6:$A$1005,0)),"MISSING ID")</x:f>
        <x:v>Proposal</x:v>
      </x:c>
      <x:c r="L1925" s="4" t="str">
        <x:f>IFERROR(INDEX('Items'!$AD$6:$AD$1005,MATCH(D1925,'Items'!$A$6:$A$1005,0)),"MISSING ID")</x:f>
        <x:v>Proposal</x:v>
      </x:c>
      <x:c r="M1925" s="4" t="str">
        <x:f>IFERROR(INDEX('Crafting recipes'!$E$6:$E$1005,MATCH(B1925,'Crafting recipes'!$A$6:$A$1005,0)),"MISSING ID")</x:f>
        <x:v>Partial proposal</x:v>
      </x:c>
      <x:c r="N1925" s="4" t="str">
        <x:v>Partial audit candidate; quantity, fit and performance remain unresolved.</x:v>
      </x:c>
      <x:c r="O19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5" s="4" t="n">
        <x:f>IF(OR(C1925="Ingredient candidate",C1925="Consumed input",C1925="Contained input",C1925="Transform input"),IF(F1925="T0",0,IF(F1925="T1",1,IF(F1925="T2",2,IF(F1925="T3",3,IF(F1925="T4",4,-1))))),-1)</x:f>
        <x:v>3</x:v>
      </x:c>
      <x:c r="Q1925" s="4" t="n">
        <x:f>IF(AND(OR(C1925="Ingredient candidate",C1925="Consumed input",C1925="Contained input",C1925="Transform input"),P1925=-1),1,0)</x:f>
        <x:v>0</x:v>
      </x:c>
    </x:row>
    <x:row r="1926" ht="64" customHeight="1">
      <x:c r="A1926" s="4" t="str">
        <x:v>design.audit.author_electrical_static_disruptor.audit.in.2</x:v>
      </x:c>
      <x:c r="B1926" s="4" t="str">
        <x:v>design.audit.author_electrical_static_disruptor</x:v>
      </x:c>
      <x:c r="C1926" s="4" t="str">
        <x:v>Ingredient candidate</x:v>
      </x:c>
      <x:c r="D1926" s="4" t="str">
        <x:v>proposal.t4.contact_block</x:v>
      </x:c>
      <x:c r="E1926" s="4" t="str">
        <x:f>IFERROR(INDEX('Items'!$B$6:$B$1005,MATCH(D1926,'Items'!$A$6:$A$1005,0)),"MISSING ID")</x:f>
        <x:v>Serviceable insulated contact block</x:v>
      </x:c>
      <x:c r="F1926" s="4" t="str">
        <x:f>IFERROR(INDEX('Items'!$C$6:$C$1005,MATCH(D1926,'Items'!$A$6:$A$1005,0)),"MISSING ID")</x:f>
        <x:v>T4</x:v>
      </x:c>
      <x:c r="G1926" s="4" t="str">
        <x:f>IFERROR(INDEX('Items'!$D$6:$D$1005,MATCH(D1926,'Items'!$A$6:$A$1005,0)),"MISSING ID")</x:f>
        <x:v>Crafting components</x:v>
      </x:c>
      <x:c r="H1926" s="4" t="str">
        <x:f>IFERROR(INDEX('Items'!$X$6:$X$1005,MATCH(D1926,'Items'!$A$6:$A$1005,0)),"MISSING ID")</x:f>
        <x:v>Crafting component</x:v>
      </x:c>
      <x:c r="I1926" s="4"/>
      <x:c r="J1926" s="4" t="str">
        <x:v>Unspecified</x:v>
      </x:c>
      <x:c r="K1926" s="4" t="str">
        <x:f>IFERROR(INDEX('Crafting recipes'!$D$6:$D$1005,MATCH(B1926,'Crafting recipes'!$A$6:$A$1005,0)),"MISSING ID")</x:f>
        <x:v>Proposal</x:v>
      </x:c>
      <x:c r="L1926" s="4" t="str">
        <x:f>IFERROR(INDEX('Items'!$AD$6:$AD$1005,MATCH(D1926,'Items'!$A$6:$A$1005,0)),"MISSING ID")</x:f>
        <x:v>Proposal</x:v>
      </x:c>
      <x:c r="M1926" s="4" t="str">
        <x:f>IFERROR(INDEX('Crafting recipes'!$E$6:$E$1005,MATCH(B1926,'Crafting recipes'!$A$6:$A$1005,0)),"MISSING ID")</x:f>
        <x:v>Partial proposal</x:v>
      </x:c>
      <x:c r="N1926" s="4" t="str">
        <x:v>Partial audit candidate; quantity, fit and performance remain unresolved.</x:v>
      </x:c>
      <x:c r="O19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6" s="4" t="n">
        <x:f>IF(OR(C1926="Ingredient candidate",C1926="Consumed input",C1926="Contained input",C1926="Transform input"),IF(F1926="T0",0,IF(F1926="T1",1,IF(F1926="T2",2,IF(F1926="T3",3,IF(F1926="T4",4,-1))))),-1)</x:f>
        <x:v>4</x:v>
      </x:c>
      <x:c r="Q1926" s="4" t="n">
        <x:f>IF(AND(OR(C1926="Ingredient candidate",C1926="Consumed input",C1926="Contained input",C1926="Transform input"),P1926=-1),1,0)</x:f>
        <x:v>0</x:v>
      </x:c>
    </x:row>
    <x:row r="1927" ht="64" customHeight="1">
      <x:c r="A1927" s="4" t="str">
        <x:v>design.audit.author_electrical_static_disruptor.audit.in.3</x:v>
      </x:c>
      <x:c r="B1927" s="4" t="str">
        <x:v>design.audit.author_electrical_static_disruptor</x:v>
      </x:c>
      <x:c r="C1927" s="4" t="str">
        <x:v>Ingredient candidate</x:v>
      </x:c>
      <x:c r="D1927" s="4" t="str">
        <x:v>proposal.audit.ceramic_backed_control_switch</x:v>
      </x:c>
      <x:c r="E1927" s="4" t="str">
        <x:f>IFERROR(INDEX('Items'!$B$6:$B$1005,MATCH(D1927,'Items'!$A$6:$A$1005,0)),"MISSING ID")</x:f>
        <x:v>Ceramic-backed control switch</x:v>
      </x:c>
      <x:c r="F1927" s="4" t="str">
        <x:f>IFERROR(INDEX('Items'!$C$6:$C$1005,MATCH(D1927,'Items'!$A$6:$A$1005,0)),"MISSING ID")</x:f>
        <x:v>T4</x:v>
      </x:c>
      <x:c r="G1927" s="4" t="str">
        <x:f>IFERROR(INDEX('Items'!$D$6:$D$1005,MATCH(D1927,'Items'!$A$6:$A$1005,0)),"MISSING ID")</x:f>
        <x:v>Crafting components</x:v>
      </x:c>
      <x:c r="H1927" s="4" t="str">
        <x:f>IFERROR(INDEX('Items'!$X$6:$X$1005,MATCH(D1927,'Items'!$A$6:$A$1005,0)),"MISSING ID")</x:f>
        <x:v>Crafting component</x:v>
      </x:c>
      <x:c r="I1927" s="4"/>
      <x:c r="J1927" s="4" t="str">
        <x:v>Unspecified</x:v>
      </x:c>
      <x:c r="K1927" s="4" t="str">
        <x:f>IFERROR(INDEX('Crafting recipes'!$D$6:$D$1005,MATCH(B1927,'Crafting recipes'!$A$6:$A$1005,0)),"MISSING ID")</x:f>
        <x:v>Proposal</x:v>
      </x:c>
      <x:c r="L1927" s="4" t="str">
        <x:f>IFERROR(INDEX('Items'!$AD$6:$AD$1005,MATCH(D1927,'Items'!$A$6:$A$1005,0)),"MISSING ID")</x:f>
        <x:v>Proposal</x:v>
      </x:c>
      <x:c r="M1927" s="4" t="str">
        <x:f>IFERROR(INDEX('Crafting recipes'!$E$6:$E$1005,MATCH(B1927,'Crafting recipes'!$A$6:$A$1005,0)),"MISSING ID")</x:f>
        <x:v>Partial proposal</x:v>
      </x:c>
      <x:c r="N1927" s="4" t="str">
        <x:v>Partial audit candidate; quantity, fit and performance remain unresolved.</x:v>
      </x:c>
      <x:c r="O19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7" s="4" t="n">
        <x:f>IF(OR(C1927="Ingredient candidate",C1927="Consumed input",C1927="Contained input",C1927="Transform input"),IF(F1927="T0",0,IF(F1927="T1",1,IF(F1927="T2",2,IF(F1927="T3",3,IF(F1927="T4",4,-1))))),-1)</x:f>
        <x:v>4</x:v>
      </x:c>
      <x:c r="Q1927" s="4" t="n">
        <x:f>IF(AND(OR(C1927="Ingredient candidate",C1927="Consumed input",C1927="Contained input",C1927="Transform input"),P1927=-1),1,0)</x:f>
        <x:v>0</x:v>
      </x:c>
    </x:row>
    <x:row r="1928" ht="64" customHeight="1">
      <x:c r="A1928" s="4" t="str">
        <x:v>design.audit.author_electrical_static_disruptor.audit.in.4</x:v>
      </x:c>
      <x:c r="B1928" s="4" t="str">
        <x:v>design.audit.author_electrical_static_disruptor</x:v>
      </x:c>
      <x:c r="C1928" s="4" t="str">
        <x:v>Ingredient candidate</x:v>
      </x:c>
      <x:c r="D1928" s="4" t="str">
        <x:v>proposal.collection.ceramic_dielectric_pulse_bank</x:v>
      </x:c>
      <x:c r="E1928" s="4" t="str">
        <x:f>IFERROR(INDEX('Items'!$B$6:$B$1005,MATCH(D1928,'Items'!$A$6:$A$1005,0)),"MISSING ID")</x:f>
        <x:v>Ceramic-dielectric pulse bank</x:v>
      </x:c>
      <x:c r="F1928" s="4" t="str">
        <x:f>IFERROR(INDEX('Items'!$C$6:$C$1005,MATCH(D1928,'Items'!$A$6:$A$1005,0)),"MISSING ID")</x:f>
        <x:v>Not applicable</x:v>
      </x:c>
      <x:c r="G1928" s="4" t="str">
        <x:f>IFERROR(INDEX('Items'!$D$6:$D$1005,MATCH(D1928,'Items'!$A$6:$A$1005,0)),"MISSING ID")</x:f>
        <x:v>Crafting components</x:v>
      </x:c>
      <x:c r="H1928" s="4" t="str">
        <x:f>IFERROR(INDEX('Items'!$X$6:$X$1005,MATCH(D1928,'Items'!$A$6:$A$1005,0)),"MISSING ID")</x:f>
        <x:v>Energy storage</x:v>
      </x:c>
      <x:c r="I1928" s="4"/>
      <x:c r="J1928" s="4" t="str">
        <x:v>Unspecified</x:v>
      </x:c>
      <x:c r="K1928" s="4" t="str">
        <x:f>IFERROR(INDEX('Crafting recipes'!$D$6:$D$1005,MATCH(B1928,'Crafting recipes'!$A$6:$A$1005,0)),"MISSING ID")</x:f>
        <x:v>Proposal</x:v>
      </x:c>
      <x:c r="L1928" s="4" t="str">
        <x:f>IFERROR(INDEX('Items'!$AD$6:$AD$1005,MATCH(D1928,'Items'!$A$6:$A$1005,0)),"MISSING ID")</x:f>
        <x:v>Proposal</x:v>
      </x:c>
      <x:c r="M1928" s="4" t="str">
        <x:f>IFERROR(INDEX('Crafting recipes'!$E$6:$E$1005,MATCH(B1928,'Crafting recipes'!$A$6:$A$1005,0)),"MISSING ID")</x:f>
        <x:v>Partial proposal</x:v>
      </x:c>
      <x:c r="N1928" s="4" t="str">
        <x:v>Partial audit candidate; quantity, fit and performance remain unresolved.</x:v>
      </x:c>
      <x:c r="O19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8" s="4" t="n">
        <x:f>IF(OR(C1928="Ingredient candidate",C1928="Consumed input",C1928="Contained input",C1928="Transform input"),IF(F1928="T0",0,IF(F1928="T1",1,IF(F1928="T2",2,IF(F1928="T3",3,IF(F1928="T4",4,-1))))),-1)</x:f>
        <x:v>-1</x:v>
      </x:c>
      <x:c r="Q1928" s="4" t="n">
        <x:f>IF(AND(OR(C1928="Ingredient candidate",C1928="Consumed input",C1928="Contained input",C1928="Transform input"),P1928=-1),1,0)</x:f>
        <x:v>1</x:v>
      </x:c>
    </x:row>
    <x:row r="1929" ht="64" customHeight="1">
      <x:c r="A1929" s="4" t="str">
        <x:v>design.audit.author_electrical_static_disruptor.audit.in.5</x:v>
      </x:c>
      <x:c r="B1929" s="4" t="str">
        <x:v>design.audit.author_electrical_static_disruptor</x:v>
      </x:c>
      <x:c r="C1929" s="4" t="str">
        <x:v>Ingredient candidate</x:v>
      </x:c>
      <x:c r="D1929" s="4" t="str">
        <x:v>proposal.t4.grounding_harness</x:v>
      </x:c>
      <x:c r="E1929" s="4" t="str">
        <x:f>IFERROR(INDEX('Items'!$B$6:$B$1005,MATCH(D1929,'Items'!$A$6:$A$1005,0)),"MISSING ID")</x:f>
        <x:v>Terminated grounding harness</x:v>
      </x:c>
      <x:c r="F1929" s="4" t="str">
        <x:f>IFERROR(INDEX('Items'!$C$6:$C$1005,MATCH(D1929,'Items'!$A$6:$A$1005,0)),"MISSING ID")</x:f>
        <x:v>T4</x:v>
      </x:c>
      <x:c r="G1929" s="4" t="str">
        <x:f>IFERROR(INDEX('Items'!$D$6:$D$1005,MATCH(D1929,'Items'!$A$6:$A$1005,0)),"MISSING ID")</x:f>
        <x:v>Crafting components</x:v>
      </x:c>
      <x:c r="H1929" s="4" t="str">
        <x:f>IFERROR(INDEX('Items'!$X$6:$X$1005,MATCH(D1929,'Items'!$A$6:$A$1005,0)),"MISSING ID")</x:f>
        <x:v>Crafting component</x:v>
      </x:c>
      <x:c r="I1929" s="4"/>
      <x:c r="J1929" s="4" t="str">
        <x:v>Unspecified</x:v>
      </x:c>
      <x:c r="K1929" s="4" t="str">
        <x:f>IFERROR(INDEX('Crafting recipes'!$D$6:$D$1005,MATCH(B1929,'Crafting recipes'!$A$6:$A$1005,0)),"MISSING ID")</x:f>
        <x:v>Proposal</x:v>
      </x:c>
      <x:c r="L1929" s="4" t="str">
        <x:f>IFERROR(INDEX('Items'!$AD$6:$AD$1005,MATCH(D1929,'Items'!$A$6:$A$1005,0)),"MISSING ID")</x:f>
        <x:v>Proposal</x:v>
      </x:c>
      <x:c r="M1929" s="4" t="str">
        <x:f>IFERROR(INDEX('Crafting recipes'!$E$6:$E$1005,MATCH(B1929,'Crafting recipes'!$A$6:$A$1005,0)),"MISSING ID")</x:f>
        <x:v>Partial proposal</x:v>
      </x:c>
      <x:c r="N1929" s="4" t="str">
        <x:v>Partial audit candidate; quantity, fit and performance remain unresolved.</x:v>
      </x:c>
      <x:c r="O19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9" s="4" t="n">
        <x:f>IF(OR(C1929="Ingredient candidate",C1929="Consumed input",C1929="Contained input",C1929="Transform input"),IF(F1929="T0",0,IF(F1929="T1",1,IF(F1929="T2",2,IF(F1929="T3",3,IF(F1929="T4",4,-1))))),-1)</x:f>
        <x:v>4</x:v>
      </x:c>
      <x:c r="Q1929" s="4" t="n">
        <x:f>IF(AND(OR(C1929="Ingredient candidate",C1929="Consumed input",C1929="Contained input",C1929="Transform input"),P1929=-1),1,0)</x:f>
        <x:v>0</x:v>
      </x:c>
    </x:row>
    <x:row r="1930" ht="64" customHeight="1">
      <x:c r="A1930" s="4" t="str">
        <x:v>design.audit.author_electrical_static_disruptor.audit.out</x:v>
      </x:c>
      <x:c r="B1930" s="4" t="str">
        <x:v>design.audit.author_electrical_static_disruptor</x:v>
      </x:c>
      <x:c r="C1930" s="4" t="str">
        <x:v>Output</x:v>
      </x:c>
      <x:c r="D1930" s="4" t="str">
        <x:v>author.electrical.static_disruptor</x:v>
      </x:c>
      <x:c r="E1930" s="4" t="str">
        <x:f>IFERROR(INDEX('Items'!$B$6:$B$1005,MATCH(D1930,'Items'!$A$6:$A$1005,0)),"MISSING ID")</x:f>
        <x:v>Static-electricity field disruptor</x:v>
      </x:c>
      <x:c r="F1930" s="4" t="str">
        <x:f>IFERROR(INDEX('Items'!$C$6:$C$1005,MATCH(D1930,'Items'!$A$6:$A$1005,0)),"MISSING ID")</x:f>
        <x:v>Not applicable</x:v>
      </x:c>
      <x:c r="G1930" s="4" t="str">
        <x:f>IFERROR(INDEX('Items'!$D$6:$D$1005,MATCH(D1930,'Items'!$A$6:$A$1005,0)),"MISSING ID")</x:f>
        <x:v>Tools</x:v>
      </x:c>
      <x:c r="H1930" s="4" t="str">
        <x:f>IFERROR(INDEX('Items'!$X$6:$X$1005,MATCH(D1930,'Items'!$A$6:$A$1005,0)),"MISSING ID")</x:f>
        <x:v>Tool</x:v>
      </x:c>
      <x:c r="I1930" s="4"/>
      <x:c r="J1930" s="4" t="str">
        <x:v>Unspecified</x:v>
      </x:c>
      <x:c r="K1930" s="4" t="str">
        <x:f>IFERROR(INDEX('Crafting recipes'!$D$6:$D$1005,MATCH(B1930,'Crafting recipes'!$A$6:$A$1005,0)),"MISSING ID")</x:f>
        <x:v>Proposal</x:v>
      </x:c>
      <x:c r="L1930" s="4" t="str">
        <x:f>IFERROR(INDEX('Items'!$AD$6:$AD$1005,MATCH(D1930,'Items'!$A$6:$A$1005,0)),"MISSING ID")</x:f>
        <x:v>Author direction</x:v>
      </x:c>
      <x:c r="M1930" s="4" t="str">
        <x:f>IFERROR(INDEX('Crafting recipes'!$E$6:$E$1005,MATCH(B1930,'Crafting recipes'!$A$6:$A$1005,0)),"MISSING ID")</x:f>
        <x:v>Partial proposal</x:v>
      </x:c>
      <x:c r="N1930" s="4" t="str">
        <x:v>Partial audit candidate; quantity, fit and performance remain unresolved.</x:v>
      </x:c>
      <x:c r="O19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0" s="4" t="n">
        <x:f>IF(OR(C1930="Ingredient candidate",C1930="Consumed input",C1930="Contained input",C1930="Transform input"),IF(F1930="T0",0,IF(F1930="T1",1,IF(F1930="T2",2,IF(F1930="T3",3,IF(F1930="T4",4,-1))))),-1)</x:f>
        <x:v>-1</x:v>
      </x:c>
      <x:c r="Q1930" s="4" t="n">
        <x:f>IF(AND(OR(C1930="Ingredient candidate",C1930="Consumed input",C1930="Contained input",C1930="Transform input"),P1930=-1),1,0)</x:f>
        <x:v>0</x:v>
      </x:c>
    </x:row>
    <x:row r="1931" ht="64" customHeight="1">
      <x:c r="A1931" s="4" t="str">
        <x:v>design.audit.author_electrical_arc_ray_gun.audit.in.1</x:v>
      </x:c>
      <x:c r="B1931" s="4" t="str">
        <x:v>design.audit.author_electrical_arc_ray_gun</x:v>
      </x:c>
      <x:c r="C1931" s="4" t="str">
        <x:v>Ingredient candidate</x:v>
      </x:c>
      <x:c r="D1931" s="4" t="str">
        <x:v>proposal.audit.fitted_machine_casing</x:v>
      </x:c>
      <x:c r="E1931" s="4" t="str">
        <x:f>IFERROR(INDEX('Items'!$B$6:$B$1005,MATCH(D1931,'Items'!$A$6:$A$1005,0)),"MISSING ID")</x:f>
        <x:v>Fitted machine casing</x:v>
      </x:c>
      <x:c r="F1931" s="4" t="str">
        <x:f>IFERROR(INDEX('Items'!$C$6:$C$1005,MATCH(D1931,'Items'!$A$6:$A$1005,0)),"MISSING ID")</x:f>
        <x:v>T3</x:v>
      </x:c>
      <x:c r="G1931" s="4" t="str">
        <x:f>IFERROR(INDEX('Items'!$D$6:$D$1005,MATCH(D1931,'Items'!$A$6:$A$1005,0)),"MISSING ID")</x:f>
        <x:v>Crafting components</x:v>
      </x:c>
      <x:c r="H1931" s="4" t="str">
        <x:f>IFERROR(INDEX('Items'!$X$6:$X$1005,MATCH(D1931,'Items'!$A$6:$A$1005,0)),"MISSING ID")</x:f>
        <x:v>Crafting component</x:v>
      </x:c>
      <x:c r="I1931" s="4"/>
      <x:c r="J1931" s="4" t="str">
        <x:v>Unspecified</x:v>
      </x:c>
      <x:c r="K1931" s="4" t="str">
        <x:f>IFERROR(INDEX('Crafting recipes'!$D$6:$D$1005,MATCH(B1931,'Crafting recipes'!$A$6:$A$1005,0)),"MISSING ID")</x:f>
        <x:v>Proposal</x:v>
      </x:c>
      <x:c r="L1931" s="4" t="str">
        <x:f>IFERROR(INDEX('Items'!$AD$6:$AD$1005,MATCH(D1931,'Items'!$A$6:$A$1005,0)),"MISSING ID")</x:f>
        <x:v>Proposal</x:v>
      </x:c>
      <x:c r="M1931" s="4" t="str">
        <x:f>IFERROR(INDEX('Crafting recipes'!$E$6:$E$1005,MATCH(B1931,'Crafting recipes'!$A$6:$A$1005,0)),"MISSING ID")</x:f>
        <x:v>Partial proposal</x:v>
      </x:c>
      <x:c r="N1931" s="4" t="str">
        <x:v>Partial audit candidate; quantity, fit and performance remain unresolved.</x:v>
      </x:c>
      <x:c r="O19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1" s="4" t="n">
        <x:f>IF(OR(C1931="Ingredient candidate",C1931="Consumed input",C1931="Contained input",C1931="Transform input"),IF(F1931="T0",0,IF(F1931="T1",1,IF(F1931="T2",2,IF(F1931="T3",3,IF(F1931="T4",4,-1))))),-1)</x:f>
        <x:v>3</x:v>
      </x:c>
      <x:c r="Q1931" s="4" t="n">
        <x:f>IF(AND(OR(C1931="Ingredient candidate",C1931="Consumed input",C1931="Contained input",C1931="Transform input"),P1931=-1),1,0)</x:f>
        <x:v>0</x:v>
      </x:c>
    </x:row>
    <x:row r="1932" ht="64" customHeight="1">
      <x:c r="A1932" s="4" t="str">
        <x:v>design.audit.author_electrical_arc_ray_gun.audit.in.2</x:v>
      </x:c>
      <x:c r="B1932" s="4" t="str">
        <x:v>design.audit.author_electrical_arc_ray_gun</x:v>
      </x:c>
      <x:c r="C1932" s="4" t="str">
        <x:v>Ingredient candidate</x:v>
      </x:c>
      <x:c r="D1932" s="4" t="str">
        <x:v>proposal.t4.insulated_winding</x:v>
      </x:c>
      <x:c r="E1932" s="4" t="str">
        <x:f>IFERROR(INDEX('Items'!$B$6:$B$1005,MATCH(D1932,'Items'!$A$6:$A$1005,0)),"MISSING ID")</x:f>
        <x:v>Insulated winding subassembly</x:v>
      </x:c>
      <x:c r="F1932" s="4" t="str">
        <x:f>IFERROR(INDEX('Items'!$C$6:$C$1005,MATCH(D1932,'Items'!$A$6:$A$1005,0)),"MISSING ID")</x:f>
        <x:v>T4</x:v>
      </x:c>
      <x:c r="G1932" s="4" t="str">
        <x:f>IFERROR(INDEX('Items'!$D$6:$D$1005,MATCH(D1932,'Items'!$A$6:$A$1005,0)),"MISSING ID")</x:f>
        <x:v>Crafting components</x:v>
      </x:c>
      <x:c r="H1932" s="4" t="str">
        <x:f>IFERROR(INDEX('Items'!$X$6:$X$1005,MATCH(D1932,'Items'!$A$6:$A$1005,0)),"MISSING ID")</x:f>
        <x:v>Crafting component</x:v>
      </x:c>
      <x:c r="I1932" s="4"/>
      <x:c r="J1932" s="4" t="str">
        <x:v>Unspecified</x:v>
      </x:c>
      <x:c r="K1932" s="4" t="str">
        <x:f>IFERROR(INDEX('Crafting recipes'!$D$6:$D$1005,MATCH(B1932,'Crafting recipes'!$A$6:$A$1005,0)),"MISSING ID")</x:f>
        <x:v>Proposal</x:v>
      </x:c>
      <x:c r="L1932" s="4" t="str">
        <x:f>IFERROR(INDEX('Items'!$AD$6:$AD$1005,MATCH(D1932,'Items'!$A$6:$A$1005,0)),"MISSING ID")</x:f>
        <x:v>Proposal</x:v>
      </x:c>
      <x:c r="M1932" s="4" t="str">
        <x:f>IFERROR(INDEX('Crafting recipes'!$E$6:$E$1005,MATCH(B1932,'Crafting recipes'!$A$6:$A$1005,0)),"MISSING ID")</x:f>
        <x:v>Partial proposal</x:v>
      </x:c>
      <x:c r="N1932" s="4" t="str">
        <x:v>Partial audit candidate; quantity, fit and performance remain unresolved.</x:v>
      </x:c>
      <x:c r="O19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2" s="4" t="n">
        <x:f>IF(OR(C1932="Ingredient candidate",C1932="Consumed input",C1932="Contained input",C1932="Transform input"),IF(F1932="T0",0,IF(F1932="T1",1,IF(F1932="T2",2,IF(F1932="T3",3,IF(F1932="T4",4,-1))))),-1)</x:f>
        <x:v>4</x:v>
      </x:c>
      <x:c r="Q1932" s="4" t="n">
        <x:f>IF(AND(OR(C1932="Ingredient candidate",C1932="Consumed input",C1932="Contained input",C1932="Transform input"),P1932=-1),1,0)</x:f>
        <x:v>0</x:v>
      </x:c>
    </x:row>
    <x:row r="1933" ht="64" customHeight="1">
      <x:c r="A1933" s="4" t="str">
        <x:v>design.audit.author_electrical_arc_ray_gun.audit.in.3</x:v>
      </x:c>
      <x:c r="B1933" s="4" t="str">
        <x:v>design.audit.author_electrical_arc_ray_gun</x:v>
      </x:c>
      <x:c r="C1933" s="4" t="str">
        <x:v>Ingredient candidate</x:v>
      </x:c>
      <x:c r="D1933" s="4" t="str">
        <x:v>proposal.t4.contact_block</x:v>
      </x:c>
      <x:c r="E1933" s="4" t="str">
        <x:f>IFERROR(INDEX('Items'!$B$6:$B$1005,MATCH(D1933,'Items'!$A$6:$A$1005,0)),"MISSING ID")</x:f>
        <x:v>Serviceable insulated contact block</x:v>
      </x:c>
      <x:c r="F1933" s="4" t="str">
        <x:f>IFERROR(INDEX('Items'!$C$6:$C$1005,MATCH(D1933,'Items'!$A$6:$A$1005,0)),"MISSING ID")</x:f>
        <x:v>T4</x:v>
      </x:c>
      <x:c r="G1933" s="4" t="str">
        <x:f>IFERROR(INDEX('Items'!$D$6:$D$1005,MATCH(D1933,'Items'!$A$6:$A$1005,0)),"MISSING ID")</x:f>
        <x:v>Crafting components</x:v>
      </x:c>
      <x:c r="H1933" s="4" t="str">
        <x:f>IFERROR(INDEX('Items'!$X$6:$X$1005,MATCH(D1933,'Items'!$A$6:$A$1005,0)),"MISSING ID")</x:f>
        <x:v>Crafting component</x:v>
      </x:c>
      <x:c r="I1933" s="4"/>
      <x:c r="J1933" s="4" t="str">
        <x:v>Unspecified</x:v>
      </x:c>
      <x:c r="K1933" s="4" t="str">
        <x:f>IFERROR(INDEX('Crafting recipes'!$D$6:$D$1005,MATCH(B1933,'Crafting recipes'!$A$6:$A$1005,0)),"MISSING ID")</x:f>
        <x:v>Proposal</x:v>
      </x:c>
      <x:c r="L1933" s="4" t="str">
        <x:f>IFERROR(INDEX('Items'!$AD$6:$AD$1005,MATCH(D1933,'Items'!$A$6:$A$1005,0)),"MISSING ID")</x:f>
        <x:v>Proposal</x:v>
      </x:c>
      <x:c r="M1933" s="4" t="str">
        <x:f>IFERROR(INDEX('Crafting recipes'!$E$6:$E$1005,MATCH(B1933,'Crafting recipes'!$A$6:$A$1005,0)),"MISSING ID")</x:f>
        <x:v>Partial proposal</x:v>
      </x:c>
      <x:c r="N1933" s="4" t="str">
        <x:v>Partial audit candidate; quantity, fit and performance remain unresolved.</x:v>
      </x:c>
      <x:c r="O19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3" s="4" t="n">
        <x:f>IF(OR(C1933="Ingredient candidate",C1933="Consumed input",C1933="Contained input",C1933="Transform input"),IF(F1933="T0",0,IF(F1933="T1",1,IF(F1933="T2",2,IF(F1933="T3",3,IF(F1933="T4",4,-1))))),-1)</x:f>
        <x:v>4</x:v>
      </x:c>
      <x:c r="Q1933" s="4" t="n">
        <x:f>IF(AND(OR(C1933="Ingredient candidate",C1933="Consumed input",C1933="Contained input",C1933="Transform input"),P1933=-1),1,0)</x:f>
        <x:v>0</x:v>
      </x:c>
    </x:row>
    <x:row r="1934" ht="64" customHeight="1">
      <x:c r="A1934" s="4" t="str">
        <x:v>design.audit.author_electrical_arc_ray_gun.audit.in.4</x:v>
      </x:c>
      <x:c r="B1934" s="4" t="str">
        <x:v>design.audit.author_electrical_arc_ray_gun</x:v>
      </x:c>
      <x:c r="C1934" s="4" t="str">
        <x:v>Ingredient candidate</x:v>
      </x:c>
      <x:c r="D1934" s="4" t="str">
        <x:v>proposal.audit.ceramic_backed_control_switch</x:v>
      </x:c>
      <x:c r="E1934" s="4" t="str">
        <x:f>IFERROR(INDEX('Items'!$B$6:$B$1005,MATCH(D1934,'Items'!$A$6:$A$1005,0)),"MISSING ID")</x:f>
        <x:v>Ceramic-backed control switch</x:v>
      </x:c>
      <x:c r="F1934" s="4" t="str">
        <x:f>IFERROR(INDEX('Items'!$C$6:$C$1005,MATCH(D1934,'Items'!$A$6:$A$1005,0)),"MISSING ID")</x:f>
        <x:v>T4</x:v>
      </x:c>
      <x:c r="G1934" s="4" t="str">
        <x:f>IFERROR(INDEX('Items'!$D$6:$D$1005,MATCH(D1934,'Items'!$A$6:$A$1005,0)),"MISSING ID")</x:f>
        <x:v>Crafting components</x:v>
      </x:c>
      <x:c r="H1934" s="4" t="str">
        <x:f>IFERROR(INDEX('Items'!$X$6:$X$1005,MATCH(D1934,'Items'!$A$6:$A$1005,0)),"MISSING ID")</x:f>
        <x:v>Crafting component</x:v>
      </x:c>
      <x:c r="I1934" s="4"/>
      <x:c r="J1934" s="4" t="str">
        <x:v>Unspecified</x:v>
      </x:c>
      <x:c r="K1934" s="4" t="str">
        <x:f>IFERROR(INDEX('Crafting recipes'!$D$6:$D$1005,MATCH(B1934,'Crafting recipes'!$A$6:$A$1005,0)),"MISSING ID")</x:f>
        <x:v>Proposal</x:v>
      </x:c>
      <x:c r="L1934" s="4" t="str">
        <x:f>IFERROR(INDEX('Items'!$AD$6:$AD$1005,MATCH(D1934,'Items'!$A$6:$A$1005,0)),"MISSING ID")</x:f>
        <x:v>Proposal</x:v>
      </x:c>
      <x:c r="M1934" s="4" t="str">
        <x:f>IFERROR(INDEX('Crafting recipes'!$E$6:$E$1005,MATCH(B1934,'Crafting recipes'!$A$6:$A$1005,0)),"MISSING ID")</x:f>
        <x:v>Partial proposal</x:v>
      </x:c>
      <x:c r="N1934" s="4" t="str">
        <x:v>Partial audit candidate; quantity, fit and performance remain unresolved.</x:v>
      </x:c>
      <x:c r="O19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4" s="4" t="n">
        <x:f>IF(OR(C1934="Ingredient candidate",C1934="Consumed input",C1934="Contained input",C1934="Transform input"),IF(F1934="T0",0,IF(F1934="T1",1,IF(F1934="T2",2,IF(F1934="T3",3,IF(F1934="T4",4,-1))))),-1)</x:f>
        <x:v>4</x:v>
      </x:c>
      <x:c r="Q1934" s="4" t="n">
        <x:f>IF(AND(OR(C1934="Ingredient candidate",C1934="Consumed input",C1934="Contained input",C1934="Transform input"),P1934=-1),1,0)</x:f>
        <x:v>0</x:v>
      </x:c>
    </x:row>
    <x:row r="1935" ht="64" customHeight="1">
      <x:c r="A1935" s="4" t="str">
        <x:v>design.audit.author_electrical_arc_ray_gun.audit.in.5</x:v>
      </x:c>
      <x:c r="B1935" s="4" t="str">
        <x:v>design.audit.author_electrical_arc_ray_gun</x:v>
      </x:c>
      <x:c r="C1935" s="4" t="str">
        <x:v>Ingredient candidate</x:v>
      </x:c>
      <x:c r="D1935" s="4" t="str">
        <x:v>proposal.collection.arc_gun_discharge_cartridge</x:v>
      </x:c>
      <x:c r="E1935" s="4" t="str">
        <x:f>IFERROR(INDEX('Items'!$B$6:$B$1005,MATCH(D1935,'Items'!$A$6:$A$1005,0)),"MISSING ID")</x:f>
        <x:v>Arc-gun discharge cartridge</x:v>
      </x:c>
      <x:c r="F1935" s="4" t="str">
        <x:f>IFERROR(INDEX('Items'!$C$6:$C$1005,MATCH(D1935,'Items'!$A$6:$A$1005,0)),"MISSING ID")</x:f>
        <x:v>Not applicable</x:v>
      </x:c>
      <x:c r="G1935" s="4" t="str">
        <x:f>IFERROR(INDEX('Items'!$D$6:$D$1005,MATCH(D1935,'Items'!$A$6:$A$1005,0)),"MISSING ID")</x:f>
        <x:v>Ammunition</x:v>
      </x:c>
      <x:c r="H1935" s="4" t="str">
        <x:f>IFERROR(INDEX('Items'!$X$6:$X$1005,MATCH(D1935,'Items'!$A$6:$A$1005,0)),"MISSING ID")</x:f>
        <x:v>Ammunition</x:v>
      </x:c>
      <x:c r="I1935" s="4"/>
      <x:c r="J1935" s="4" t="str">
        <x:v>Unspecified</x:v>
      </x:c>
      <x:c r="K1935" s="4" t="str">
        <x:f>IFERROR(INDEX('Crafting recipes'!$D$6:$D$1005,MATCH(B1935,'Crafting recipes'!$A$6:$A$1005,0)),"MISSING ID")</x:f>
        <x:v>Proposal</x:v>
      </x:c>
      <x:c r="L1935" s="4" t="str">
        <x:f>IFERROR(INDEX('Items'!$AD$6:$AD$1005,MATCH(D1935,'Items'!$A$6:$A$1005,0)),"MISSING ID")</x:f>
        <x:v>Proposal</x:v>
      </x:c>
      <x:c r="M1935" s="4" t="str">
        <x:f>IFERROR(INDEX('Crafting recipes'!$E$6:$E$1005,MATCH(B1935,'Crafting recipes'!$A$6:$A$1005,0)),"MISSING ID")</x:f>
        <x:v>Partial proposal</x:v>
      </x:c>
      <x:c r="N1935" s="4" t="str">
        <x:v>Partial audit candidate; quantity, fit and performance remain unresolved.</x:v>
      </x:c>
      <x:c r="O19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5" s="4" t="n">
        <x:f>IF(OR(C1935="Ingredient candidate",C1935="Consumed input",C1935="Contained input",C1935="Transform input"),IF(F1935="T0",0,IF(F1935="T1",1,IF(F1935="T2",2,IF(F1935="T3",3,IF(F1935="T4",4,-1))))),-1)</x:f>
        <x:v>-1</x:v>
      </x:c>
      <x:c r="Q1935" s="4" t="n">
        <x:f>IF(AND(OR(C1935="Ingredient candidate",C1935="Consumed input",C1935="Contained input",C1935="Transform input"),P1935=-1),1,0)</x:f>
        <x:v>1</x:v>
      </x:c>
    </x:row>
    <x:row r="1936" ht="64" customHeight="1">
      <x:c r="A1936" s="4" t="str">
        <x:v>design.audit.author_electrical_arc_ray_gun.audit.out</x:v>
      </x:c>
      <x:c r="B1936" s="4" t="str">
        <x:v>design.audit.author_electrical_arc_ray_gun</x:v>
      </x:c>
      <x:c r="C1936" s="4" t="str">
        <x:v>Output</x:v>
      </x:c>
      <x:c r="D1936" s="4" t="str">
        <x:v>author.electrical.arc_ray_gun</x:v>
      </x:c>
      <x:c r="E1936" s="4" t="str">
        <x:f>IFERROR(INDEX('Items'!$B$6:$B$1005,MATCH(D1936,'Items'!$A$6:$A$1005,0)),"MISSING ID")</x:f>
        <x:v>Arc ray gun</x:v>
      </x:c>
      <x:c r="F1936" s="4" t="str">
        <x:f>IFERROR(INDEX('Items'!$C$6:$C$1005,MATCH(D1936,'Items'!$A$6:$A$1005,0)),"MISSING ID")</x:f>
        <x:v>Not applicable</x:v>
      </x:c>
      <x:c r="G1936" s="4" t="str">
        <x:f>IFERROR(INDEX('Items'!$D$6:$D$1005,MATCH(D1936,'Items'!$A$6:$A$1005,0)),"MISSING ID")</x:f>
        <x:v>Weapons</x:v>
      </x:c>
      <x:c r="H1936" s="4" t="str">
        <x:f>IFERROR(INDEX('Items'!$X$6:$X$1005,MATCH(D1936,'Items'!$A$6:$A$1005,0)),"MISSING ID")</x:f>
        <x:v>Weapon</x:v>
      </x:c>
      <x:c r="I1936" s="4"/>
      <x:c r="J1936" s="4" t="str">
        <x:v>Unspecified</x:v>
      </x:c>
      <x:c r="K1936" s="4" t="str">
        <x:f>IFERROR(INDEX('Crafting recipes'!$D$6:$D$1005,MATCH(B1936,'Crafting recipes'!$A$6:$A$1005,0)),"MISSING ID")</x:f>
        <x:v>Proposal</x:v>
      </x:c>
      <x:c r="L1936" s="4" t="str">
        <x:f>IFERROR(INDEX('Items'!$AD$6:$AD$1005,MATCH(D1936,'Items'!$A$6:$A$1005,0)),"MISSING ID")</x:f>
        <x:v>Author direction</x:v>
      </x:c>
      <x:c r="M1936" s="4" t="str">
        <x:f>IFERROR(INDEX('Crafting recipes'!$E$6:$E$1005,MATCH(B1936,'Crafting recipes'!$A$6:$A$1005,0)),"MISSING ID")</x:f>
        <x:v>Partial proposal</x:v>
      </x:c>
      <x:c r="N1936" s="4" t="str">
        <x:v>Partial audit candidate; quantity, fit and performance remain unresolved.</x:v>
      </x:c>
      <x:c r="O19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6" s="4" t="n">
        <x:f>IF(OR(C1936="Ingredient candidate",C1936="Consumed input",C1936="Contained input",C1936="Transform input"),IF(F1936="T0",0,IF(F1936="T1",1,IF(F1936="T2",2,IF(F1936="T3",3,IF(F1936="T4",4,-1))))),-1)</x:f>
        <x:v>-1</x:v>
      </x:c>
      <x:c r="Q1936" s="4" t="n">
        <x:f>IF(AND(OR(C1936="Ingredient candidate",C1936="Consumed input",C1936="Contained input",C1936="Transform input"),P1936=-1),1,0)</x:f>
        <x:v>0</x:v>
      </x:c>
    </x:row>
    <x:row r="1937" ht="64" customHeight="1">
      <x:c r="A1937" s="4" t="str">
        <x:v>design.audit.author_electrical_insulated_suit.audit.in.1</x:v>
      </x:c>
      <x:c r="B1937" s="4" t="str">
        <x:v>design.audit.author_electrical_insulated_suit</x:v>
      </x:c>
      <x:c r="C1937" s="4" t="str">
        <x:v>Ingredient candidate</x:v>
      </x:c>
      <x:c r="D1937" s="4" t="str">
        <x:v>author.electrical.insulation_stock</x:v>
      </x:c>
      <x:c r="E1937" s="4" t="str">
        <x:f>IFERROR(INDEX('Items'!$B$6:$B$1005,MATCH(D1937,'Items'!$A$6:$A$1005,0)),"MISSING ID")</x:f>
        <x:v>Prepared electrical insulation stock</x:v>
      </x:c>
      <x:c r="F1937" s="4" t="str">
        <x:f>IFERROR(INDEX('Items'!$C$6:$C$1005,MATCH(D1937,'Items'!$A$6:$A$1005,0)),"MISSING ID")</x:f>
        <x:v>T3</x:v>
      </x:c>
      <x:c r="G1937" s="4" t="str">
        <x:f>IFERROR(INDEX('Items'!$D$6:$D$1005,MATCH(D1937,'Items'!$A$6:$A$1005,0)),"MISSING ID")</x:f>
        <x:v>Manufactured stock</x:v>
      </x:c>
      <x:c r="H1937" s="4" t="str">
        <x:f>IFERROR(INDEX('Items'!$X$6:$X$1005,MATCH(D1937,'Items'!$A$6:$A$1005,0)),"MISSING ID")</x:f>
        <x:v>Processed material</x:v>
      </x:c>
      <x:c r="I1937" s="4"/>
      <x:c r="J1937" s="4" t="str">
        <x:v>Unspecified</x:v>
      </x:c>
      <x:c r="K1937" s="4" t="str">
        <x:f>IFERROR(INDEX('Crafting recipes'!$D$6:$D$1005,MATCH(B1937,'Crafting recipes'!$A$6:$A$1005,0)),"MISSING ID")</x:f>
        <x:v>Proposal</x:v>
      </x:c>
      <x:c r="L1937" s="4" t="str">
        <x:f>IFERROR(INDEX('Items'!$AD$6:$AD$1005,MATCH(D1937,'Items'!$A$6:$A$1005,0)),"MISSING ID")</x:f>
        <x:v>Author direction</x:v>
      </x:c>
      <x:c r="M1937" s="4" t="str">
        <x:f>IFERROR(INDEX('Crafting recipes'!$E$6:$E$1005,MATCH(B1937,'Crafting recipes'!$A$6:$A$1005,0)),"MISSING ID")</x:f>
        <x:v>Partial proposal</x:v>
      </x:c>
      <x:c r="N1937" s="4" t="str">
        <x:v>Partial audit candidate; quantity, fit and performance remain unresolved.</x:v>
      </x:c>
      <x:c r="O19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7" s="4" t="n">
        <x:f>IF(OR(C1937="Ingredient candidate",C1937="Consumed input",C1937="Contained input",C1937="Transform input"),IF(F1937="T0",0,IF(F1937="T1",1,IF(F1937="T2",2,IF(F1937="T3",3,IF(F1937="T4",4,-1))))),-1)</x:f>
        <x:v>3</x:v>
      </x:c>
      <x:c r="Q1937" s="4" t="n">
        <x:f>IF(AND(OR(C1937="Ingredient candidate",C1937="Consumed input",C1937="Contained input",C1937="Transform input"),P1937=-1),1,0)</x:f>
        <x:v>0</x:v>
      </x:c>
    </x:row>
    <x:row r="1938" ht="64" customHeight="1">
      <x:c r="A1938" s="4" t="str">
        <x:v>design.audit.author_electrical_insulated_suit.audit.in.2</x:v>
      </x:c>
      <x:c r="B1938" s="4" t="str">
        <x:v>design.audit.author_electrical_insulated_suit</x:v>
      </x:c>
      <x:c r="C1938" s="4" t="str">
        <x:v>Ingredient candidate</x:v>
      </x:c>
      <x:c r="D1938" s="4" t="str">
        <x:v>proposal.branch.husk_composite</x:v>
      </x:c>
      <x:c r="E1938" s="4" t="str">
        <x:f>IFERROR(INDEX('Items'!$B$6:$B$1005,MATCH(D1938,'Items'!$A$6:$A$1005,0)),"MISSING ID")</x:f>
        <x:v>Layered husk composite stock</x:v>
      </x:c>
      <x:c r="F1938" s="4" t="str">
        <x:f>IFERROR(INDEX('Items'!$C$6:$C$1005,MATCH(D1938,'Items'!$A$6:$A$1005,0)),"MISSING ID")</x:f>
        <x:v>T3</x:v>
      </x:c>
      <x:c r="G1938" s="4" t="str">
        <x:f>IFERROR(INDEX('Items'!$D$6:$D$1005,MATCH(D1938,'Items'!$A$6:$A$1005,0)),"MISSING ID")</x:f>
        <x:v>Manufactured stock</x:v>
      </x:c>
      <x:c r="H1938" s="4" t="str">
        <x:f>IFERROR(INDEX('Items'!$X$6:$X$1005,MATCH(D1938,'Items'!$A$6:$A$1005,0)),"MISSING ID")</x:f>
        <x:v>Processed material</x:v>
      </x:c>
      <x:c r="I1938" s="4"/>
      <x:c r="J1938" s="4" t="str">
        <x:v>Unspecified</x:v>
      </x:c>
      <x:c r="K1938" s="4" t="str">
        <x:f>IFERROR(INDEX('Crafting recipes'!$D$6:$D$1005,MATCH(B1938,'Crafting recipes'!$A$6:$A$1005,0)),"MISSING ID")</x:f>
        <x:v>Proposal</x:v>
      </x:c>
      <x:c r="L1938" s="4" t="str">
        <x:f>IFERROR(INDEX('Items'!$AD$6:$AD$1005,MATCH(D1938,'Items'!$A$6:$A$1005,0)),"MISSING ID")</x:f>
        <x:v>Proposal</x:v>
      </x:c>
      <x:c r="M1938" s="4" t="str">
        <x:f>IFERROR(INDEX('Crafting recipes'!$E$6:$E$1005,MATCH(B1938,'Crafting recipes'!$A$6:$A$1005,0)),"MISSING ID")</x:f>
        <x:v>Partial proposal</x:v>
      </x:c>
      <x:c r="N1938" s="4" t="str">
        <x:v>Partial audit candidate; quantity, fit and performance remain unresolved.</x:v>
      </x:c>
      <x:c r="O19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8" s="4" t="n">
        <x:f>IF(OR(C1938="Ingredient candidate",C1938="Consumed input",C1938="Contained input",C1938="Transform input"),IF(F1938="T0",0,IF(F1938="T1",1,IF(F1938="T2",2,IF(F1938="T3",3,IF(F1938="T4",4,-1))))),-1)</x:f>
        <x:v>3</x:v>
      </x:c>
      <x:c r="Q1938" s="4" t="n">
        <x:f>IF(AND(OR(C1938="Ingredient candidate",C1938="Consumed input",C1938="Contained input",C1938="Transform input"),P1938=-1),1,0)</x:f>
        <x:v>0</x:v>
      </x:c>
    </x:row>
    <x:row r="1939" ht="64" customHeight="1">
      <x:c r="A1939" s="4" t="str">
        <x:v>design.audit.author_electrical_insulated_suit.audit.in.3</x:v>
      </x:c>
      <x:c r="B1939" s="4" t="str">
        <x:v>design.audit.author_electrical_insulated_suit</x:v>
      </x:c>
      <x:c r="C1939" s="4" t="str">
        <x:v>Ingredient candidate</x:v>
      </x:c>
      <x:c r="D1939" s="4" t="str">
        <x:v>proposal.audit.pressed_hide_fastening_strips</x:v>
      </x:c>
      <x:c r="E1939" s="4" t="str">
        <x:f>IFERROR(INDEX('Items'!$B$6:$B$1005,MATCH(D1939,'Items'!$A$6:$A$1005,0)),"MISSING ID")</x:f>
        <x:v>Pressed hide fastening strips</x:v>
      </x:c>
      <x:c r="F1939" s="4" t="str">
        <x:f>IFERROR(INDEX('Items'!$C$6:$C$1005,MATCH(D1939,'Items'!$A$6:$A$1005,0)),"MISSING ID")</x:f>
        <x:v>T2</x:v>
      </x:c>
      <x:c r="G1939" s="4" t="str">
        <x:f>IFERROR(INDEX('Items'!$D$6:$D$1005,MATCH(D1939,'Items'!$A$6:$A$1005,0)),"MISSING ID")</x:f>
        <x:v>Manufactured stock</x:v>
      </x:c>
      <x:c r="H1939" s="4" t="str">
        <x:f>IFERROR(INDEX('Items'!$X$6:$X$1005,MATCH(D1939,'Items'!$A$6:$A$1005,0)),"MISSING ID")</x:f>
        <x:v>Processed material</x:v>
      </x:c>
      <x:c r="I1939" s="4"/>
      <x:c r="J1939" s="4" t="str">
        <x:v>Unspecified</x:v>
      </x:c>
      <x:c r="K1939" s="4" t="str">
        <x:f>IFERROR(INDEX('Crafting recipes'!$D$6:$D$1005,MATCH(B1939,'Crafting recipes'!$A$6:$A$1005,0)),"MISSING ID")</x:f>
        <x:v>Proposal</x:v>
      </x:c>
      <x:c r="L1939" s="4" t="str">
        <x:f>IFERROR(INDEX('Items'!$AD$6:$AD$1005,MATCH(D1939,'Items'!$A$6:$A$1005,0)),"MISSING ID")</x:f>
        <x:v>Proposal</x:v>
      </x:c>
      <x:c r="M1939" s="4" t="str">
        <x:f>IFERROR(INDEX('Crafting recipes'!$E$6:$E$1005,MATCH(B1939,'Crafting recipes'!$A$6:$A$1005,0)),"MISSING ID")</x:f>
        <x:v>Partial proposal</x:v>
      </x:c>
      <x:c r="N1939" s="4" t="str">
        <x:v>Partial audit candidate; quantity, fit and performance remain unresolved.</x:v>
      </x:c>
      <x:c r="O19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9" s="4" t="n">
        <x:f>IF(OR(C1939="Ingredient candidate",C1939="Consumed input",C1939="Contained input",C1939="Transform input"),IF(F1939="T0",0,IF(F1939="T1",1,IF(F1939="T2",2,IF(F1939="T3",3,IF(F1939="T4",4,-1))))),-1)</x:f>
        <x:v>2</x:v>
      </x:c>
      <x:c r="Q1939" s="4" t="n">
        <x:f>IF(AND(OR(C1939="Ingredient candidate",C1939="Consumed input",C1939="Contained input",C1939="Transform input"),P1939=-1),1,0)</x:f>
        <x:v>0</x:v>
      </x:c>
    </x:row>
    <x:row r="1940" ht="64" customHeight="1">
      <x:c r="A1940" s="4" t="str">
        <x:v>design.audit.author_electrical_insulated_suit.audit.in.4</x:v>
      </x:c>
      <x:c r="B1940" s="4" t="str">
        <x:v>design.audit.author_electrical_insulated_suit</x:v>
      </x:c>
      <x:c r="C1940" s="4" t="str">
        <x:v>Ingredient candidate</x:v>
      </x:c>
      <x:c r="D1940" s="4" t="str">
        <x:v>proposal.ceramic.fastener</x:v>
      </x:c>
      <x:c r="E1940" s="4" t="str">
        <x:f>IFERROR(INDEX('Items'!$B$6:$B$1005,MATCH(D1940,'Items'!$A$6:$A$1005,0)),"MISSING ID")</x:f>
        <x:v>Ceramic toggle fastener</x:v>
      </x:c>
      <x:c r="F1940" s="4" t="str">
        <x:f>IFERROR(INDEX('Items'!$C$6:$C$1005,MATCH(D1940,'Items'!$A$6:$A$1005,0)),"MISSING ID")</x:f>
        <x:v>T3</x:v>
      </x:c>
      <x:c r="G1940" s="4" t="str">
        <x:f>IFERROR(INDEX('Items'!$D$6:$D$1005,MATCH(D1940,'Items'!$A$6:$A$1005,0)),"MISSING ID")</x:f>
        <x:v>Crafting components</x:v>
      </x:c>
      <x:c r="H1940" s="4" t="str">
        <x:f>IFERROR(INDEX('Items'!$X$6:$X$1005,MATCH(D1940,'Items'!$A$6:$A$1005,0)),"MISSING ID")</x:f>
        <x:v>Crafting component</x:v>
      </x:c>
      <x:c r="I1940" s="4"/>
      <x:c r="J1940" s="4" t="str">
        <x:v>Unspecified</x:v>
      </x:c>
      <x:c r="K1940" s="4" t="str">
        <x:f>IFERROR(INDEX('Crafting recipes'!$D$6:$D$1005,MATCH(B1940,'Crafting recipes'!$A$6:$A$1005,0)),"MISSING ID")</x:f>
        <x:v>Proposal</x:v>
      </x:c>
      <x:c r="L1940" s="4" t="str">
        <x:f>IFERROR(INDEX('Items'!$AD$6:$AD$1005,MATCH(D1940,'Items'!$A$6:$A$1005,0)),"MISSING ID")</x:f>
        <x:v>Proposal</x:v>
      </x:c>
      <x:c r="M1940" s="4" t="str">
        <x:f>IFERROR(INDEX('Crafting recipes'!$E$6:$E$1005,MATCH(B1940,'Crafting recipes'!$A$6:$A$1005,0)),"MISSING ID")</x:f>
        <x:v>Partial proposal</x:v>
      </x:c>
      <x:c r="N1940" s="4" t="str">
        <x:v>Partial audit candidate; quantity, fit and performance remain unresolved.</x:v>
      </x:c>
      <x:c r="O19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0" s="4" t="n">
        <x:f>IF(OR(C1940="Ingredient candidate",C1940="Consumed input",C1940="Contained input",C1940="Transform input"),IF(F1940="T0",0,IF(F1940="T1",1,IF(F1940="T2",2,IF(F1940="T3",3,IF(F1940="T4",4,-1))))),-1)</x:f>
        <x:v>3</x:v>
      </x:c>
      <x:c r="Q1940" s="4" t="n">
        <x:f>IF(AND(OR(C1940="Ingredient candidate",C1940="Consumed input",C1940="Contained input",C1940="Transform input"),P1940=-1),1,0)</x:f>
        <x:v>0</x:v>
      </x:c>
    </x:row>
    <x:row r="1941" ht="64" customHeight="1">
      <x:c r="A1941" s="4" t="str">
        <x:v>design.audit.author_electrical_insulated_suit.audit.out</x:v>
      </x:c>
      <x:c r="B1941" s="4" t="str">
        <x:v>design.audit.author_electrical_insulated_suit</x:v>
      </x:c>
      <x:c r="C1941" s="4" t="str">
        <x:v>Output</x:v>
      </x:c>
      <x:c r="D1941" s="4" t="str">
        <x:v>author.electrical.insulated_suit</x:v>
      </x:c>
      <x:c r="E1941" s="4" t="str">
        <x:f>IFERROR(INDEX('Items'!$B$6:$B$1005,MATCH(D1941,'Items'!$A$6:$A$1005,0)),"MISSING ID")</x:f>
        <x:v>Electrical insulating jacket</x:v>
      </x:c>
      <x:c r="F1941" s="4" t="str">
        <x:f>IFERROR(INDEX('Items'!$C$6:$C$1005,MATCH(D1941,'Items'!$A$6:$A$1005,0)),"MISSING ID")</x:f>
        <x:v>Not applicable</x:v>
      </x:c>
      <x:c r="G1941" s="4" t="str">
        <x:f>IFERROR(INDEX('Items'!$D$6:$D$1005,MATCH(D1941,'Items'!$A$6:$A$1005,0)),"MISSING ID")</x:f>
        <x:v>Clothing</x:v>
      </x:c>
      <x:c r="H1941" s="4" t="str">
        <x:f>IFERROR(INDEX('Items'!$X$6:$X$1005,MATCH(D1941,'Items'!$A$6:$A$1005,0)),"MISSING ID")</x:f>
        <x:v>Wearable</x:v>
      </x:c>
      <x:c r="I1941" s="4"/>
      <x:c r="J1941" s="4" t="str">
        <x:v>Unspecified</x:v>
      </x:c>
      <x:c r="K1941" s="4" t="str">
        <x:f>IFERROR(INDEX('Crafting recipes'!$D$6:$D$1005,MATCH(B1941,'Crafting recipes'!$A$6:$A$1005,0)),"MISSING ID")</x:f>
        <x:v>Proposal</x:v>
      </x:c>
      <x:c r="L1941" s="4" t="str">
        <x:f>IFERROR(INDEX('Items'!$AD$6:$AD$1005,MATCH(D1941,'Items'!$A$6:$A$1005,0)),"MISSING ID")</x:f>
        <x:v>Author direction</x:v>
      </x:c>
      <x:c r="M1941" s="4" t="str">
        <x:f>IFERROR(INDEX('Crafting recipes'!$E$6:$E$1005,MATCH(B1941,'Crafting recipes'!$A$6:$A$1005,0)),"MISSING ID")</x:f>
        <x:v>Partial proposal</x:v>
      </x:c>
      <x:c r="N1941" s="4" t="str">
        <x:v>Partial audit candidate; quantity, fit and performance remain unresolved.</x:v>
      </x:c>
      <x:c r="O19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1" s="4" t="n">
        <x:f>IF(OR(C1941="Ingredient candidate",C1941="Consumed input",C1941="Contained input",C1941="Transform input"),IF(F1941="T0",0,IF(F1941="T1",1,IF(F1941="T2",2,IF(F1941="T3",3,IF(F1941="T4",4,-1))))),-1)</x:f>
        <x:v>-1</x:v>
      </x:c>
      <x:c r="Q1941" s="4" t="n">
        <x:f>IF(AND(OR(C1941="Ingredient candidate",C1941="Consumed input",C1941="Contained input",C1941="Transform input"),P1941=-1),1,0)</x:f>
        <x:v>0</x:v>
      </x:c>
    </x:row>
    <x:row r="1942" ht="64" customHeight="1">
      <x:c r="A1942" s="4" t="str">
        <x:v>design.audit.author_electrical_insulated_boots.audit.in.1</x:v>
      </x:c>
      <x:c r="B1942" s="4" t="str">
        <x:v>design.audit.author_electrical_insulated_boots</x:v>
      </x:c>
      <x:c r="C1942" s="4" t="str">
        <x:v>Ingredient candidate</x:v>
      </x:c>
      <x:c r="D1942" s="4" t="str">
        <x:v>author.electrical.insulation_stock</x:v>
      </x:c>
      <x:c r="E1942" s="4" t="str">
        <x:f>IFERROR(INDEX('Items'!$B$6:$B$1005,MATCH(D1942,'Items'!$A$6:$A$1005,0)),"MISSING ID")</x:f>
        <x:v>Prepared electrical insulation stock</x:v>
      </x:c>
      <x:c r="F1942" s="4" t="str">
        <x:f>IFERROR(INDEX('Items'!$C$6:$C$1005,MATCH(D1942,'Items'!$A$6:$A$1005,0)),"MISSING ID")</x:f>
        <x:v>T3</x:v>
      </x:c>
      <x:c r="G1942" s="4" t="str">
        <x:f>IFERROR(INDEX('Items'!$D$6:$D$1005,MATCH(D1942,'Items'!$A$6:$A$1005,0)),"MISSING ID")</x:f>
        <x:v>Manufactured stock</x:v>
      </x:c>
      <x:c r="H1942" s="4" t="str">
        <x:f>IFERROR(INDEX('Items'!$X$6:$X$1005,MATCH(D1942,'Items'!$A$6:$A$1005,0)),"MISSING ID")</x:f>
        <x:v>Processed material</x:v>
      </x:c>
      <x:c r="I1942" s="4"/>
      <x:c r="J1942" s="4" t="str">
        <x:v>Unspecified</x:v>
      </x:c>
      <x:c r="K1942" s="4" t="str">
        <x:f>IFERROR(INDEX('Crafting recipes'!$D$6:$D$1005,MATCH(B1942,'Crafting recipes'!$A$6:$A$1005,0)),"MISSING ID")</x:f>
        <x:v>Proposal</x:v>
      </x:c>
      <x:c r="L1942" s="4" t="str">
        <x:f>IFERROR(INDEX('Items'!$AD$6:$AD$1005,MATCH(D1942,'Items'!$A$6:$A$1005,0)),"MISSING ID")</x:f>
        <x:v>Author direction</x:v>
      </x:c>
      <x:c r="M1942" s="4" t="str">
        <x:f>IFERROR(INDEX('Crafting recipes'!$E$6:$E$1005,MATCH(B1942,'Crafting recipes'!$A$6:$A$1005,0)),"MISSING ID")</x:f>
        <x:v>Partial proposal</x:v>
      </x:c>
      <x:c r="N1942" s="4" t="str">
        <x:v>Partial audit candidate; quantity, fit and performance remain unresolved.</x:v>
      </x:c>
      <x:c r="O19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2" s="4" t="n">
        <x:f>IF(OR(C1942="Ingredient candidate",C1942="Consumed input",C1942="Contained input",C1942="Transform input"),IF(F1942="T0",0,IF(F1942="T1",1,IF(F1942="T2",2,IF(F1942="T3",3,IF(F1942="T4",4,-1))))),-1)</x:f>
        <x:v>3</x:v>
      </x:c>
      <x:c r="Q1942" s="4" t="n">
        <x:f>IF(AND(OR(C1942="Ingredient candidate",C1942="Consumed input",C1942="Contained input",C1942="Transform input"),P1942=-1),1,0)</x:f>
        <x:v>0</x:v>
      </x:c>
    </x:row>
    <x:row r="1943" ht="64" customHeight="1">
      <x:c r="A1943" s="4" t="str">
        <x:v>design.audit.author_electrical_insulated_boots.audit.in.2</x:v>
      </x:c>
      <x:c r="B1943" s="4" t="str">
        <x:v>design.audit.author_electrical_insulated_boots</x:v>
      </x:c>
      <x:c r="C1943" s="4" t="str">
        <x:v>Ingredient candidate</x:v>
      </x:c>
      <x:c r="D1943" s="4" t="str">
        <x:v>proposal.bio.hide_material</x:v>
      </x:c>
      <x:c r="E1943" s="4" t="str">
        <x:f>IFERROR(INDEX('Items'!$B$6:$B$1005,MATCH(D1943,'Items'!$A$6:$A$1005,0)),"MISSING ID")</x:f>
        <x:v>Processed hide material</x:v>
      </x:c>
      <x:c r="F1943" s="4" t="str">
        <x:f>IFERROR(INDEX('Items'!$C$6:$C$1005,MATCH(D1943,'Items'!$A$6:$A$1005,0)),"MISSING ID")</x:f>
        <x:v>T1</x:v>
      </x:c>
      <x:c r="G1943" s="4" t="str">
        <x:f>IFERROR(INDEX('Items'!$D$6:$D$1005,MATCH(D1943,'Items'!$A$6:$A$1005,0)),"MISSING ID")</x:f>
        <x:v>Crafting components</x:v>
      </x:c>
      <x:c r="H1943" s="4" t="str">
        <x:f>IFERROR(INDEX('Items'!$X$6:$X$1005,MATCH(D1943,'Items'!$A$6:$A$1005,0)),"MISSING ID")</x:f>
        <x:v>Processed material</x:v>
      </x:c>
      <x:c r="I1943" s="4"/>
      <x:c r="J1943" s="4" t="str">
        <x:v>Unspecified</x:v>
      </x:c>
      <x:c r="K1943" s="4" t="str">
        <x:f>IFERROR(INDEX('Crafting recipes'!$D$6:$D$1005,MATCH(B1943,'Crafting recipes'!$A$6:$A$1005,0)),"MISSING ID")</x:f>
        <x:v>Proposal</x:v>
      </x:c>
      <x:c r="L1943" s="4" t="str">
        <x:f>IFERROR(INDEX('Items'!$AD$6:$AD$1005,MATCH(D1943,'Items'!$A$6:$A$1005,0)),"MISSING ID")</x:f>
        <x:v>Author direction</x:v>
      </x:c>
      <x:c r="M1943" s="4" t="str">
        <x:f>IFERROR(INDEX('Crafting recipes'!$E$6:$E$1005,MATCH(B1943,'Crafting recipes'!$A$6:$A$1005,0)),"MISSING ID")</x:f>
        <x:v>Partial proposal</x:v>
      </x:c>
      <x:c r="N1943" s="4" t="str">
        <x:v>Partial audit candidate; quantity, fit and performance remain unresolved.</x:v>
      </x:c>
      <x:c r="O19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3" s="4" t="n">
        <x:f>IF(OR(C1943="Ingredient candidate",C1943="Consumed input",C1943="Contained input",C1943="Transform input"),IF(F1943="T0",0,IF(F1943="T1",1,IF(F1943="T2",2,IF(F1943="T3",3,IF(F1943="T4",4,-1))))),-1)</x:f>
        <x:v>1</x:v>
      </x:c>
      <x:c r="Q1943" s="4" t="n">
        <x:f>IF(AND(OR(C1943="Ingredient candidate",C1943="Consumed input",C1943="Contained input",C1943="Transform input"),P1943=-1),1,0)</x:f>
        <x:v>0</x:v>
      </x:c>
    </x:row>
    <x:row r="1944" ht="64" customHeight="1">
      <x:c r="A1944" s="4" t="str">
        <x:v>design.audit.author_electrical_insulated_boots.audit.in.3</x:v>
      </x:c>
      <x:c r="B1944" s="4" t="str">
        <x:v>design.audit.author_electrical_insulated_boots</x:v>
      </x:c>
      <x:c r="C1944" s="4" t="str">
        <x:v>Ingredient candidate</x:v>
      </x:c>
      <x:c r="D1944" s="4" t="str">
        <x:v>proposal.branch.ceramic_shell</x:v>
      </x:c>
      <x:c r="E1944" s="4" t="str">
        <x:f>IFERROR(INDEX('Items'!$B$6:$B$1005,MATCH(D1944,'Items'!$A$6:$A$1005,0)),"MISSING ID")</x:f>
        <x:v>Bonded ceramic-shell composite</x:v>
      </x:c>
      <x:c r="F1944" s="4" t="str">
        <x:f>IFERROR(INDEX('Items'!$C$6:$C$1005,MATCH(D1944,'Items'!$A$6:$A$1005,0)),"MISSING ID")</x:f>
        <x:v>T3</x:v>
      </x:c>
      <x:c r="G1944" s="4" t="str">
        <x:f>IFERROR(INDEX('Items'!$D$6:$D$1005,MATCH(D1944,'Items'!$A$6:$A$1005,0)),"MISSING ID")</x:f>
        <x:v>Manufactured stock</x:v>
      </x:c>
      <x:c r="H1944" s="4" t="str">
        <x:f>IFERROR(INDEX('Items'!$X$6:$X$1005,MATCH(D1944,'Items'!$A$6:$A$1005,0)),"MISSING ID")</x:f>
        <x:v>Processed material</x:v>
      </x:c>
      <x:c r="I1944" s="4"/>
      <x:c r="J1944" s="4" t="str">
        <x:v>Unspecified</x:v>
      </x:c>
      <x:c r="K1944" s="4" t="str">
        <x:f>IFERROR(INDEX('Crafting recipes'!$D$6:$D$1005,MATCH(B1944,'Crafting recipes'!$A$6:$A$1005,0)),"MISSING ID")</x:f>
        <x:v>Proposal</x:v>
      </x:c>
      <x:c r="L1944" s="4" t="str">
        <x:f>IFERROR(INDEX('Items'!$AD$6:$AD$1005,MATCH(D1944,'Items'!$A$6:$A$1005,0)),"MISSING ID")</x:f>
        <x:v>Proposal</x:v>
      </x:c>
      <x:c r="M1944" s="4" t="str">
        <x:f>IFERROR(INDEX('Crafting recipes'!$E$6:$E$1005,MATCH(B1944,'Crafting recipes'!$A$6:$A$1005,0)),"MISSING ID")</x:f>
        <x:v>Partial proposal</x:v>
      </x:c>
      <x:c r="N1944" s="4" t="str">
        <x:v>Partial audit candidate; quantity, fit and performance remain unresolved.</x:v>
      </x:c>
      <x:c r="O19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4" s="4" t="n">
        <x:f>IF(OR(C1944="Ingredient candidate",C1944="Consumed input",C1944="Contained input",C1944="Transform input"),IF(F1944="T0",0,IF(F1944="T1",1,IF(F1944="T2",2,IF(F1944="T3",3,IF(F1944="T4",4,-1))))),-1)</x:f>
        <x:v>3</x:v>
      </x:c>
      <x:c r="Q1944" s="4" t="n">
        <x:f>IF(AND(OR(C1944="Ingredient candidate",C1944="Consumed input",C1944="Contained input",C1944="Transform input"),P1944=-1),1,0)</x:f>
        <x:v>0</x:v>
      </x:c>
    </x:row>
    <x:row r="1945" ht="64" customHeight="1">
      <x:c r="A1945" s="4" t="str">
        <x:v>design.audit.author_electrical_insulated_boots.audit.out</x:v>
      </x:c>
      <x:c r="B1945" s="4" t="str">
        <x:v>design.audit.author_electrical_insulated_boots</x:v>
      </x:c>
      <x:c r="C1945" s="4" t="str">
        <x:v>Output</x:v>
      </x:c>
      <x:c r="D1945" s="4" t="str">
        <x:v>author.electrical.insulated_boots</x:v>
      </x:c>
      <x:c r="E1945" s="4" t="str">
        <x:f>IFERROR(INDEX('Items'!$B$6:$B$1005,MATCH(D1945,'Items'!$A$6:$A$1005,0)),"MISSING ID")</x:f>
        <x:v>Electrical insulating boots</x:v>
      </x:c>
      <x:c r="F1945" s="4" t="str">
        <x:f>IFERROR(INDEX('Items'!$C$6:$C$1005,MATCH(D1945,'Items'!$A$6:$A$1005,0)),"MISSING ID")</x:f>
        <x:v>Not applicable</x:v>
      </x:c>
      <x:c r="G1945" s="4" t="str">
        <x:f>IFERROR(INDEX('Items'!$D$6:$D$1005,MATCH(D1945,'Items'!$A$6:$A$1005,0)),"MISSING ID")</x:f>
        <x:v>Clothing</x:v>
      </x:c>
      <x:c r="H1945" s="4" t="str">
        <x:f>IFERROR(INDEX('Items'!$X$6:$X$1005,MATCH(D1945,'Items'!$A$6:$A$1005,0)),"MISSING ID")</x:f>
        <x:v>Wearable</x:v>
      </x:c>
      <x:c r="I1945" s="4"/>
      <x:c r="J1945" s="4" t="str">
        <x:v>Unspecified</x:v>
      </x:c>
      <x:c r="K1945" s="4" t="str">
        <x:f>IFERROR(INDEX('Crafting recipes'!$D$6:$D$1005,MATCH(B1945,'Crafting recipes'!$A$6:$A$1005,0)),"MISSING ID")</x:f>
        <x:v>Proposal</x:v>
      </x:c>
      <x:c r="L1945" s="4" t="str">
        <x:f>IFERROR(INDEX('Items'!$AD$6:$AD$1005,MATCH(D1945,'Items'!$A$6:$A$1005,0)),"MISSING ID")</x:f>
        <x:v>Author direction</x:v>
      </x:c>
      <x:c r="M1945" s="4" t="str">
        <x:f>IFERROR(INDEX('Crafting recipes'!$E$6:$E$1005,MATCH(B1945,'Crafting recipes'!$A$6:$A$1005,0)),"MISSING ID")</x:f>
        <x:v>Partial proposal</x:v>
      </x:c>
      <x:c r="N1945" s="4" t="str">
        <x:v>Partial audit candidate; quantity, fit and performance remain unresolved.</x:v>
      </x:c>
      <x:c r="O19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5" s="4" t="n">
        <x:f>IF(OR(C1945="Ingredient candidate",C1945="Consumed input",C1945="Contained input",C1945="Transform input"),IF(F1945="T0",0,IF(F1945="T1",1,IF(F1945="T2",2,IF(F1945="T3",3,IF(F1945="T4",4,-1))))),-1)</x:f>
        <x:v>-1</x:v>
      </x:c>
      <x:c r="Q1945" s="4" t="n">
        <x:f>IF(AND(OR(C1945="Ingredient candidate",C1945="Consumed input",C1945="Contained input",C1945="Transform input"),P1945=-1),1,0)</x:f>
        <x:v>0</x:v>
      </x:c>
    </x:row>
    <x:row r="1946" ht="64" customHeight="1">
      <x:c r="A1946" s="4"/>
      <x:c r="B1946" s="4"/>
      <x:c r="C1946" s="4"/>
      <x:c r="D1946" s="4"/>
      <x:c r="E1946" s="4"/>
      <x:c r="F1946" s="4"/>
      <x:c r="G1946" s="4"/>
      <x:c r="H1946" s="4"/>
      <x:c r="I1946" s="4"/>
      <x:c r="K1946" s="4"/>
      <x:c r="L1946" s="4"/>
      <x:c r="M1946" s="4"/>
      <x:c r="N1946" s="4"/>
      <x:c r="O1946" s="4"/>
      <x:c r="P1946" s="4"/>
      <x:c r="Q1946" s="4"/>
    </x:row>
    <x:row r="1947" ht="64" customHeight="1">
      <x:c r="A1947" s="4"/>
      <x:c r="B1947" s="4"/>
      <x:c r="C1947" s="4"/>
      <x:c r="D1947" s="4"/>
      <x:c r="E1947" s="4"/>
      <x:c r="F1947" s="4"/>
      <x:c r="G1947" s="4"/>
      <x:c r="H1947" s="4"/>
      <x:c r="I1947" s="4"/>
      <x:c r="K1947" s="4"/>
      <x:c r="L1947" s="4"/>
      <x:c r="M1947" s="4"/>
      <x:c r="N1947" s="4"/>
      <x:c r="O1947" s="4"/>
      <x:c r="P1947" s="4"/>
      <x:c r="Q1947" s="4"/>
    </x:row>
    <x:row r="1948" ht="64" customHeight="1">
      <x:c r="A1948" s="4"/>
      <x:c r="B1948" s="4"/>
      <x:c r="C1948" s="4"/>
      <x:c r="D1948" s="4"/>
      <x:c r="E1948" s="4"/>
      <x:c r="F1948" s="4"/>
      <x:c r="G1948" s="4"/>
      <x:c r="H1948" s="4"/>
      <x:c r="I1948" s="4"/>
      <x:c r="K1948" s="4"/>
      <x:c r="L1948" s="4"/>
      <x:c r="M1948" s="4"/>
      <x:c r="N1948" s="4"/>
      <x:c r="O1948" s="4"/>
      <x:c r="P1948" s="4"/>
      <x:c r="Q1948" s="4"/>
    </x:row>
    <x:row r="1949" ht="64" customHeight="1">
      <x:c r="A1949" s="4" t="str">
        <x:v>design.audit.proposal_forging_tongs.audit.in.1</x:v>
      </x:c>
      <x:c r="B1949" s="4" t="str">
        <x:v>design.audit.proposal_forging_tongs</x:v>
      </x:c>
      <x:c r="C1949" s="4" t="str">
        <x:v>Ingredient candidate</x:v>
      </x:c>
      <x:c r="D1949" s="4" t="str">
        <x:v>author.metallurgy.steel_stock</x:v>
      </x:c>
      <x:c r="E1949" s="4" t="str">
        <x:f>IFERROR(INDEX('Items'!$B$6:$B$1005,MATCH(D1949,'Items'!$A$6:$A$1005,0)),"MISSING ID")</x:f>
        <x:v>Steel stock</x:v>
      </x:c>
      <x:c r="F1949" s="4" t="str">
        <x:f>IFERROR(INDEX('Items'!$C$6:$C$1005,MATCH(D1949,'Items'!$A$6:$A$1005,0)),"MISSING ID")</x:f>
        <x:v>T2</x:v>
      </x:c>
      <x:c r="G1949" s="4" t="str">
        <x:f>IFERROR(INDEX('Items'!$D$6:$D$1005,MATCH(D1949,'Items'!$A$6:$A$1005,0)),"MISSING ID")</x:f>
        <x:v>Manufactured stock</x:v>
      </x:c>
      <x:c r="H1949" s="4" t="str">
        <x:f>IFERROR(INDEX('Items'!$X$6:$X$1005,MATCH(D1949,'Items'!$A$6:$A$1005,0)),"MISSING ID")</x:f>
        <x:v>Processed material</x:v>
      </x:c>
      <x:c r="I1949" s="4"/>
      <x:c r="J1949" s="4" t="str">
        <x:v>Unspecified</x:v>
      </x:c>
      <x:c r="K1949" s="4" t="str">
        <x:f>IFERROR(INDEX('Crafting recipes'!$D$6:$D$1005,MATCH(B1949,'Crafting recipes'!$A$6:$A$1005,0)),"MISSING ID")</x:f>
        <x:v>Proposal</x:v>
      </x:c>
      <x:c r="L1949" s="4" t="str">
        <x:f>IFERROR(INDEX('Items'!$AD$6:$AD$1005,MATCH(D1949,'Items'!$A$6:$A$1005,0)),"MISSING ID")</x:f>
        <x:v>Author direction</x:v>
      </x:c>
      <x:c r="M1949" s="4" t="str">
        <x:f>IFERROR(INDEX('Crafting recipes'!$E$6:$E$1005,MATCH(B1949,'Crafting recipes'!$A$6:$A$1005,0)),"MISSING ID")</x:f>
        <x:v>Partial proposal</x:v>
      </x:c>
      <x:c r="N1949" s="4" t="str">
        <x:v>Partial audit candidate; quantity, fit and performance remain unresolved.</x:v>
      </x:c>
      <x:c r="O19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9" s="4" t="n">
        <x:f>IF(OR(C1949="Ingredient candidate",C1949="Consumed input",C1949="Contained input",C1949="Transform input"),IF(F1949="T0",0,IF(F1949="T1",1,IF(F1949="T2",2,IF(F1949="T3",3,IF(F1949="T4",4,-1))))),-1)</x:f>
        <x:v>2</x:v>
      </x:c>
      <x:c r="Q1949" s="4" t="n">
        <x:f>IF(AND(OR(C1949="Ingredient candidate",C1949="Consumed input",C1949="Contained input",C1949="Transform input"),P1949=-1),1,0)</x:f>
        <x:v>0</x:v>
      </x:c>
    </x:row>
    <x:row r="1950" ht="64" customHeight="1">
      <x:c r="A1950" s="4" t="str">
        <x:v>design.audit.proposal_forging_tongs.audit.in.2</x:v>
      </x:c>
      <x:c r="B1950" s="4" t="str">
        <x:v>design.audit.proposal_forging_tongs</x:v>
      </x:c>
      <x:c r="C1950" s="4" t="str">
        <x:v>Ingredient candidate</x:v>
      </x:c>
      <x:c r="D1950" s="4" t="str">
        <x:v>proposal.legger.joint_pin</x:v>
      </x:c>
      <x:c r="E1950" s="4" t="str">
        <x:f>IFERROR(INDEX('Items'!$B$6:$B$1005,MATCH(D1950,'Items'!$A$6:$A$1005,0)),"MISSING ID")</x:f>
        <x:v>Replaceable joint pin</x:v>
      </x:c>
      <x:c r="F1950" s="4" t="str">
        <x:f>IFERROR(INDEX('Items'!$C$6:$C$1005,MATCH(D1950,'Items'!$A$6:$A$1005,0)),"MISSING ID")</x:f>
        <x:v>T3</x:v>
      </x:c>
      <x:c r="G1950" s="4" t="str">
        <x:f>IFERROR(INDEX('Items'!$D$6:$D$1005,MATCH(D1950,'Items'!$A$6:$A$1005,0)),"MISSING ID")</x:f>
        <x:v>Crafting components</x:v>
      </x:c>
      <x:c r="H1950" s="4" t="str">
        <x:f>IFERROR(INDEX('Items'!$X$6:$X$1005,MATCH(D1950,'Items'!$A$6:$A$1005,0)),"MISSING ID")</x:f>
        <x:v>Crafting component</x:v>
      </x:c>
      <x:c r="I1950" s="4"/>
      <x:c r="J1950" s="4" t="str">
        <x:v>Unspecified</x:v>
      </x:c>
      <x:c r="K1950" s="4" t="str">
        <x:f>IFERROR(INDEX('Crafting recipes'!$D$6:$D$1005,MATCH(B1950,'Crafting recipes'!$A$6:$A$1005,0)),"MISSING ID")</x:f>
        <x:v>Proposal</x:v>
      </x:c>
      <x:c r="L1950" s="4" t="str">
        <x:f>IFERROR(INDEX('Items'!$AD$6:$AD$1005,MATCH(D1950,'Items'!$A$6:$A$1005,0)),"MISSING ID")</x:f>
        <x:v>Proposal</x:v>
      </x:c>
      <x:c r="M1950" s="4" t="str">
        <x:f>IFERROR(INDEX('Crafting recipes'!$E$6:$E$1005,MATCH(B1950,'Crafting recipes'!$A$6:$A$1005,0)),"MISSING ID")</x:f>
        <x:v>Partial proposal</x:v>
      </x:c>
      <x:c r="N1950" s="4" t="str">
        <x:v>Partial audit candidate; quantity, fit and performance remain unresolved.</x:v>
      </x:c>
      <x:c r="O19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0" s="4" t="n">
        <x:f>IF(OR(C1950="Ingredient candidate",C1950="Consumed input",C1950="Contained input",C1950="Transform input"),IF(F1950="T0",0,IF(F1950="T1",1,IF(F1950="T2",2,IF(F1950="T3",3,IF(F1950="T4",4,-1))))),-1)</x:f>
        <x:v>3</x:v>
      </x:c>
      <x:c r="Q1950" s="4" t="n">
        <x:f>IF(AND(OR(C1950="Ingredient candidate",C1950="Consumed input",C1950="Contained input",C1950="Transform input"),P1950=-1),1,0)</x:f>
        <x:v>0</x:v>
      </x:c>
    </x:row>
    <x:row r="1951" ht="64" customHeight="1">
      <x:c r="A1951" s="4" t="str">
        <x:v>design.audit.proposal_forging_tongs.audit.out</x:v>
      </x:c>
      <x:c r="B1951" s="4" t="str">
        <x:v>design.audit.proposal_forging_tongs</x:v>
      </x:c>
      <x:c r="C1951" s="4" t="str">
        <x:v>Output</x:v>
      </x:c>
      <x:c r="D1951" s="4" t="str">
        <x:v>proposal.forging.tongs</x:v>
      </x:c>
      <x:c r="E1951" s="4" t="str">
        <x:f>IFERROR(INDEX('Items'!$B$6:$B$1005,MATCH(D1951,'Items'!$A$6:$A$1005,0)),"MISSING ID")</x:f>
        <x:v>Smithing tongs</x:v>
      </x:c>
      <x:c r="F1951" s="4" t="str">
        <x:f>IFERROR(INDEX('Items'!$C$6:$C$1005,MATCH(D1951,'Items'!$A$6:$A$1005,0)),"MISSING ID")</x:f>
        <x:v>Not applicable</x:v>
      </x:c>
      <x:c r="G1951" s="4" t="str">
        <x:f>IFERROR(INDEX('Items'!$D$6:$D$1005,MATCH(D1951,'Items'!$A$6:$A$1005,0)),"MISSING ID")</x:f>
        <x:v>Salvage</x:v>
      </x:c>
      <x:c r="H1951" s="4" t="str">
        <x:f>IFERROR(INDEX('Items'!$X$6:$X$1005,MATCH(D1951,'Items'!$A$6:$A$1005,0)),"MISSING ID")</x:f>
        <x:v>Tool</x:v>
      </x:c>
      <x:c r="I1951" s="4"/>
      <x:c r="J1951" s="4" t="str">
        <x:v>Unspecified</x:v>
      </x:c>
      <x:c r="K1951" s="4" t="str">
        <x:f>IFERROR(INDEX('Crafting recipes'!$D$6:$D$1005,MATCH(B1951,'Crafting recipes'!$A$6:$A$1005,0)),"MISSING ID")</x:f>
        <x:v>Proposal</x:v>
      </x:c>
      <x:c r="L1951" s="4" t="str">
        <x:f>IFERROR(INDEX('Items'!$AD$6:$AD$1005,MATCH(D1951,'Items'!$A$6:$A$1005,0)),"MISSING ID")</x:f>
        <x:v>Proposal</x:v>
      </x:c>
      <x:c r="M1951" s="4" t="str">
        <x:f>IFERROR(INDEX('Crafting recipes'!$E$6:$E$1005,MATCH(B1951,'Crafting recipes'!$A$6:$A$1005,0)),"MISSING ID")</x:f>
        <x:v>Partial proposal</x:v>
      </x:c>
      <x:c r="N1951" s="4" t="str">
        <x:v>Partial audit candidate; quantity, fit and performance remain unresolved.</x:v>
      </x:c>
      <x:c r="O19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1" s="4" t="n">
        <x:f>IF(OR(C1951="Ingredient candidate",C1951="Consumed input",C1951="Contained input",C1951="Transform input"),IF(F1951="T0",0,IF(F1951="T1",1,IF(F1951="T2",2,IF(F1951="T3",3,IF(F1951="T4",4,-1))))),-1)</x:f>
        <x:v>-1</x:v>
      </x:c>
      <x:c r="Q1951" s="4" t="n">
        <x:f>IF(AND(OR(C1951="Ingredient candidate",C1951="Consumed input",C1951="Contained input",C1951="Transform input"),P1951=-1),1,0)</x:f>
        <x:v>0</x:v>
      </x:c>
    </x:row>
    <x:row r="1952" ht="64" customHeight="1">
      <x:c r="A1952" s="4" t="str">
        <x:v>design.audit.proposal_forging_sledge.audit.in.1</x:v>
      </x:c>
      <x:c r="B1952" s="4" t="str">
        <x:v>design.audit.proposal_forging_sledge</x:v>
      </x:c>
      <x:c r="C1952" s="4" t="str">
        <x:v>Ingredient candidate</x:v>
      </x:c>
      <x:c r="D1952" s="4" t="str">
        <x:v>author.metallurgy.steel_stock</x:v>
      </x:c>
      <x:c r="E1952" s="4" t="str">
        <x:f>IFERROR(INDEX('Items'!$B$6:$B$1005,MATCH(D1952,'Items'!$A$6:$A$1005,0)),"MISSING ID")</x:f>
        <x:v>Steel stock</x:v>
      </x:c>
      <x:c r="F1952" s="4" t="str">
        <x:f>IFERROR(INDEX('Items'!$C$6:$C$1005,MATCH(D1952,'Items'!$A$6:$A$1005,0)),"MISSING ID")</x:f>
        <x:v>T2</x:v>
      </x:c>
      <x:c r="G1952" s="4" t="str">
        <x:f>IFERROR(INDEX('Items'!$D$6:$D$1005,MATCH(D1952,'Items'!$A$6:$A$1005,0)),"MISSING ID")</x:f>
        <x:v>Manufactured stock</x:v>
      </x:c>
      <x:c r="H1952" s="4" t="str">
        <x:f>IFERROR(INDEX('Items'!$X$6:$X$1005,MATCH(D1952,'Items'!$A$6:$A$1005,0)),"MISSING ID")</x:f>
        <x:v>Processed material</x:v>
      </x:c>
      <x:c r="I1952" s="4"/>
      <x:c r="J1952" s="4" t="str">
        <x:v>Unspecified</x:v>
      </x:c>
      <x:c r="K1952" s="4" t="str">
        <x:f>IFERROR(INDEX('Crafting recipes'!$D$6:$D$1005,MATCH(B1952,'Crafting recipes'!$A$6:$A$1005,0)),"MISSING ID")</x:f>
        <x:v>Proposal</x:v>
      </x:c>
      <x:c r="L1952" s="4" t="str">
        <x:f>IFERROR(INDEX('Items'!$AD$6:$AD$1005,MATCH(D1952,'Items'!$A$6:$A$1005,0)),"MISSING ID")</x:f>
        <x:v>Author direction</x:v>
      </x:c>
      <x:c r="M1952" s="4" t="str">
        <x:f>IFERROR(INDEX('Crafting recipes'!$E$6:$E$1005,MATCH(B1952,'Crafting recipes'!$A$6:$A$1005,0)),"MISSING ID")</x:f>
        <x:v>Partial proposal</x:v>
      </x:c>
      <x:c r="N1952" s="4" t="str">
        <x:v>Partial audit candidate; quantity, fit and performance remain unresolved.</x:v>
      </x:c>
      <x:c r="O19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2" s="4" t="n">
        <x:f>IF(OR(C1952="Ingredient candidate",C1952="Consumed input",C1952="Contained input",C1952="Transform input"),IF(F1952="T0",0,IF(F1952="T1",1,IF(F1952="T2",2,IF(F1952="T3",3,IF(F1952="T4",4,-1))))),-1)</x:f>
        <x:v>2</x:v>
      </x:c>
      <x:c r="Q1952" s="4" t="n">
        <x:f>IF(AND(OR(C1952="Ingredient candidate",C1952="Consumed input",C1952="Contained input",C1952="Transform input"),P1952=-1),1,0)</x:f>
        <x:v>0</x:v>
      </x:c>
    </x:row>
    <x:row r="1953" ht="64" customHeight="1">
      <x:c r="A1953" s="4" t="str">
        <x:v>design.audit.proposal_forging_sledge.audit.in.2</x:v>
      </x:c>
      <x:c r="B1953" s="4" t="str">
        <x:v>design.audit.proposal_forging_sledge</x:v>
      </x:c>
      <x:c r="C1953" s="4" t="str">
        <x:v>Ingredient candidate</x:v>
      </x:c>
      <x:c r="D1953" s="4" t="str">
        <x:v>proposal.audit.shaped_metal_grip_blank</x:v>
      </x:c>
      <x:c r="E1953" s="4" t="str">
        <x:f>IFERROR(INDEX('Items'!$B$6:$B$1005,MATCH(D1953,'Items'!$A$6:$A$1005,0)),"MISSING ID")</x:f>
        <x:v>Shaped metal grip blank</x:v>
      </x:c>
      <x:c r="F1953" s="4" t="str">
        <x:f>IFERROR(INDEX('Items'!$C$6:$C$1005,MATCH(D1953,'Items'!$A$6:$A$1005,0)),"MISSING ID")</x:f>
        <x:v>T3</x:v>
      </x:c>
      <x:c r="G1953" s="4" t="str">
        <x:f>IFERROR(INDEX('Items'!$D$6:$D$1005,MATCH(D1953,'Items'!$A$6:$A$1005,0)),"MISSING ID")</x:f>
        <x:v>Crafting components</x:v>
      </x:c>
      <x:c r="H1953" s="4" t="str">
        <x:f>IFERROR(INDEX('Items'!$X$6:$X$1005,MATCH(D1953,'Items'!$A$6:$A$1005,0)),"MISSING ID")</x:f>
        <x:v>Crafting component</x:v>
      </x:c>
      <x:c r="I1953" s="4"/>
      <x:c r="J1953" s="4" t="str">
        <x:v>Unspecified</x:v>
      </x:c>
      <x:c r="K1953" s="4" t="str">
        <x:f>IFERROR(INDEX('Crafting recipes'!$D$6:$D$1005,MATCH(B1953,'Crafting recipes'!$A$6:$A$1005,0)),"MISSING ID")</x:f>
        <x:v>Proposal</x:v>
      </x:c>
      <x:c r="L1953" s="4" t="str">
        <x:f>IFERROR(INDEX('Items'!$AD$6:$AD$1005,MATCH(D1953,'Items'!$A$6:$A$1005,0)),"MISSING ID")</x:f>
        <x:v>Proposal</x:v>
      </x:c>
      <x:c r="M1953" s="4" t="str">
        <x:f>IFERROR(INDEX('Crafting recipes'!$E$6:$E$1005,MATCH(B1953,'Crafting recipes'!$A$6:$A$1005,0)),"MISSING ID")</x:f>
        <x:v>Partial proposal</x:v>
      </x:c>
      <x:c r="N1953" s="4" t="str">
        <x:v>Partial audit candidate; quantity, fit and performance remain unresolved.</x:v>
      </x:c>
      <x:c r="O19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3" s="4" t="n">
        <x:f>IF(OR(C1953="Ingredient candidate",C1953="Consumed input",C1953="Contained input",C1953="Transform input"),IF(F1953="T0",0,IF(F1953="T1",1,IF(F1953="T2",2,IF(F1953="T3",3,IF(F1953="T4",4,-1))))),-1)</x:f>
        <x:v>3</x:v>
      </x:c>
      <x:c r="Q1953" s="4" t="n">
        <x:f>IF(AND(OR(C1953="Ingredient candidate",C1953="Consumed input",C1953="Contained input",C1953="Transform input"),P1953=-1),1,0)</x:f>
        <x:v>0</x:v>
      </x:c>
    </x:row>
    <x:row r="1954" ht="64" customHeight="1">
      <x:c r="A1954" s="4" t="str">
        <x:v>design.audit.proposal_forging_sledge.audit.out</x:v>
      </x:c>
      <x:c r="B1954" s="4" t="str">
        <x:v>design.audit.proposal_forging_sledge</x:v>
      </x:c>
      <x:c r="C1954" s="4" t="str">
        <x:v>Output</x:v>
      </x:c>
      <x:c r="D1954" s="4" t="str">
        <x:v>proposal.forging.sledge</x:v>
      </x:c>
      <x:c r="E1954" s="4" t="str">
        <x:f>IFERROR(INDEX('Items'!$B$6:$B$1005,MATCH(D1954,'Items'!$A$6:$A$1005,0)),"MISSING ID")</x:f>
        <x:v>Forging sledge</x:v>
      </x:c>
      <x:c r="F1954" s="4" t="str">
        <x:f>IFERROR(INDEX('Items'!$C$6:$C$1005,MATCH(D1954,'Items'!$A$6:$A$1005,0)),"MISSING ID")</x:f>
        <x:v>Not applicable</x:v>
      </x:c>
      <x:c r="G1954" s="4" t="str">
        <x:f>IFERROR(INDEX('Items'!$D$6:$D$1005,MATCH(D1954,'Items'!$A$6:$A$1005,0)),"MISSING ID")</x:f>
        <x:v>Salvage</x:v>
      </x:c>
      <x:c r="H1954" s="4" t="str">
        <x:f>IFERROR(INDEX('Items'!$X$6:$X$1005,MATCH(D1954,'Items'!$A$6:$A$1005,0)),"MISSING ID")</x:f>
        <x:v>Tool</x:v>
      </x:c>
      <x:c r="I1954" s="4"/>
      <x:c r="J1954" s="4" t="str">
        <x:v>Unspecified</x:v>
      </x:c>
      <x:c r="K1954" s="4" t="str">
        <x:f>IFERROR(INDEX('Crafting recipes'!$D$6:$D$1005,MATCH(B1954,'Crafting recipes'!$A$6:$A$1005,0)),"MISSING ID")</x:f>
        <x:v>Proposal</x:v>
      </x:c>
      <x:c r="L1954" s="4" t="str">
        <x:f>IFERROR(INDEX('Items'!$AD$6:$AD$1005,MATCH(D1954,'Items'!$A$6:$A$1005,0)),"MISSING ID")</x:f>
        <x:v>Proposal</x:v>
      </x:c>
      <x:c r="M1954" s="4" t="str">
        <x:f>IFERROR(INDEX('Crafting recipes'!$E$6:$E$1005,MATCH(B1954,'Crafting recipes'!$A$6:$A$1005,0)),"MISSING ID")</x:f>
        <x:v>Partial proposal</x:v>
      </x:c>
      <x:c r="N1954" s="4" t="str">
        <x:v>Partial audit candidate; quantity, fit and performance remain unresolved.</x:v>
      </x:c>
      <x:c r="O19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4" s="4" t="n">
        <x:f>IF(OR(C1954="Ingredient candidate",C1954="Consumed input",C1954="Contained input",C1954="Transform input"),IF(F1954="T0",0,IF(F1954="T1",1,IF(F1954="T2",2,IF(F1954="T3",3,IF(F1954="T4",4,-1))))),-1)</x:f>
        <x:v>-1</x:v>
      </x:c>
      <x:c r="Q1954" s="4" t="n">
        <x:f>IF(AND(OR(C1954="Ingredient candidate",C1954="Consumed input",C1954="Contained input",C1954="Transform input"),P1954=-1),1,0)</x:f>
        <x:v>0</x:v>
      </x:c>
    </x:row>
    <x:row r="1955" ht="64" customHeight="1">
      <x:c r="A1955" s="4" t="str">
        <x:v>design.audit.proposal_forging_hot_cut.audit.in.1</x:v>
      </x:c>
      <x:c r="B1955" s="4" t="str">
        <x:v>design.audit.proposal_forging_hot_cut</x:v>
      </x:c>
      <x:c r="C1955" s="4" t="str">
        <x:v>Ingredient candidate</x:v>
      </x:c>
      <x:c r="D1955" s="4" t="str">
        <x:v>author.metallurgy.steel_stock</x:v>
      </x:c>
      <x:c r="E1955" s="4" t="str">
        <x:f>IFERROR(INDEX('Items'!$B$6:$B$1005,MATCH(D1955,'Items'!$A$6:$A$1005,0)),"MISSING ID")</x:f>
        <x:v>Steel stock</x:v>
      </x:c>
      <x:c r="F1955" s="4" t="str">
        <x:f>IFERROR(INDEX('Items'!$C$6:$C$1005,MATCH(D1955,'Items'!$A$6:$A$1005,0)),"MISSING ID")</x:f>
        <x:v>T2</x:v>
      </x:c>
      <x:c r="G1955" s="4" t="str">
        <x:f>IFERROR(INDEX('Items'!$D$6:$D$1005,MATCH(D1955,'Items'!$A$6:$A$1005,0)),"MISSING ID")</x:f>
        <x:v>Manufactured stock</x:v>
      </x:c>
      <x:c r="H1955" s="4" t="str">
        <x:f>IFERROR(INDEX('Items'!$X$6:$X$1005,MATCH(D1955,'Items'!$A$6:$A$1005,0)),"MISSING ID")</x:f>
        <x:v>Processed material</x:v>
      </x:c>
      <x:c r="I1955" s="4"/>
      <x:c r="J1955" s="4" t="str">
        <x:v>Unspecified</x:v>
      </x:c>
      <x:c r="K1955" s="4" t="str">
        <x:f>IFERROR(INDEX('Crafting recipes'!$D$6:$D$1005,MATCH(B1955,'Crafting recipes'!$A$6:$A$1005,0)),"MISSING ID")</x:f>
        <x:v>Proposal</x:v>
      </x:c>
      <x:c r="L1955" s="4" t="str">
        <x:f>IFERROR(INDEX('Items'!$AD$6:$AD$1005,MATCH(D1955,'Items'!$A$6:$A$1005,0)),"MISSING ID")</x:f>
        <x:v>Author direction</x:v>
      </x:c>
      <x:c r="M1955" s="4" t="str">
        <x:f>IFERROR(INDEX('Crafting recipes'!$E$6:$E$1005,MATCH(B1955,'Crafting recipes'!$A$6:$A$1005,0)),"MISSING ID")</x:f>
        <x:v>Partial proposal</x:v>
      </x:c>
      <x:c r="N1955" s="4" t="str">
        <x:v>Partial audit candidate; quantity, fit and performance remain unresolved.</x:v>
      </x:c>
      <x:c r="O19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5" s="4" t="n">
        <x:f>IF(OR(C1955="Ingredient candidate",C1955="Consumed input",C1955="Contained input",C1955="Transform input"),IF(F1955="T0",0,IF(F1955="T1",1,IF(F1955="T2",2,IF(F1955="T3",3,IF(F1955="T4",4,-1))))),-1)</x:f>
        <x:v>2</x:v>
      </x:c>
      <x:c r="Q1955" s="4" t="n">
        <x:f>IF(AND(OR(C1955="Ingredient candidate",C1955="Consumed input",C1955="Contained input",C1955="Transform input"),P1955=-1),1,0)</x:f>
        <x:v>0</x:v>
      </x:c>
    </x:row>
    <x:row r="1956" ht="64" customHeight="1">
      <x:c r="A1956" s="4" t="str">
        <x:v>design.audit.proposal_forging_hot_cut.audit.out</x:v>
      </x:c>
      <x:c r="B1956" s="4" t="str">
        <x:v>design.audit.proposal_forging_hot_cut</x:v>
      </x:c>
      <x:c r="C1956" s="4" t="str">
        <x:v>Output</x:v>
      </x:c>
      <x:c r="D1956" s="4" t="str">
        <x:v>proposal.forging.hot_cut</x:v>
      </x:c>
      <x:c r="E1956" s="4" t="str">
        <x:f>IFERROR(INDEX('Items'!$B$6:$B$1005,MATCH(D1956,'Items'!$A$6:$A$1005,0)),"MISSING ID")</x:f>
        <x:v>Hot-cut chisel</x:v>
      </x:c>
      <x:c r="F1956" s="4" t="str">
        <x:f>IFERROR(INDEX('Items'!$C$6:$C$1005,MATCH(D1956,'Items'!$A$6:$A$1005,0)),"MISSING ID")</x:f>
        <x:v>Not applicable</x:v>
      </x:c>
      <x:c r="G1956" s="4" t="str">
        <x:f>IFERROR(INDEX('Items'!$D$6:$D$1005,MATCH(D1956,'Items'!$A$6:$A$1005,0)),"MISSING ID")</x:f>
        <x:v>Salvage</x:v>
      </x:c>
      <x:c r="H1956" s="4" t="str">
        <x:f>IFERROR(INDEX('Items'!$X$6:$X$1005,MATCH(D1956,'Items'!$A$6:$A$1005,0)),"MISSING ID")</x:f>
        <x:v>Tool</x:v>
      </x:c>
      <x:c r="I1956" s="4"/>
      <x:c r="J1956" s="4" t="str">
        <x:v>Unspecified</x:v>
      </x:c>
      <x:c r="K1956" s="4" t="str">
        <x:f>IFERROR(INDEX('Crafting recipes'!$D$6:$D$1005,MATCH(B1956,'Crafting recipes'!$A$6:$A$1005,0)),"MISSING ID")</x:f>
        <x:v>Proposal</x:v>
      </x:c>
      <x:c r="L1956" s="4" t="str">
        <x:f>IFERROR(INDEX('Items'!$AD$6:$AD$1005,MATCH(D1956,'Items'!$A$6:$A$1005,0)),"MISSING ID")</x:f>
        <x:v>Proposal</x:v>
      </x:c>
      <x:c r="M1956" s="4" t="str">
        <x:f>IFERROR(INDEX('Crafting recipes'!$E$6:$E$1005,MATCH(B1956,'Crafting recipes'!$A$6:$A$1005,0)),"MISSING ID")</x:f>
        <x:v>Partial proposal</x:v>
      </x:c>
      <x:c r="N1956" s="4" t="str">
        <x:v>Partial audit candidate; quantity, fit and performance remain unresolved.</x:v>
      </x:c>
      <x:c r="O19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6" s="4" t="n">
        <x:f>IF(OR(C1956="Ingredient candidate",C1956="Consumed input",C1956="Contained input",C1956="Transform input"),IF(F1956="T0",0,IF(F1956="T1",1,IF(F1956="T2",2,IF(F1956="T3",3,IF(F1956="T4",4,-1))))),-1)</x:f>
        <x:v>-1</x:v>
      </x:c>
      <x:c r="Q1956" s="4" t="n">
        <x:f>IF(AND(OR(C1956="Ingredient candidate",C1956="Consumed input",C1956="Contained input",C1956="Transform input"),P1956=-1),1,0)</x:f>
        <x:v>0</x:v>
      </x:c>
    </x:row>
    <x:row r="1957" ht="64" customHeight="1">
      <x:c r="A1957" s="4" t="str">
        <x:v>design.audit.proposal_forging_punch.audit.in.1</x:v>
      </x:c>
      <x:c r="B1957" s="4" t="str">
        <x:v>design.audit.proposal_forging_punch</x:v>
      </x:c>
      <x:c r="C1957" s="4" t="str">
        <x:v>Ingredient candidate</x:v>
      </x:c>
      <x:c r="D1957" s="4" t="str">
        <x:v>author.metallurgy.steel_stock</x:v>
      </x:c>
      <x:c r="E1957" s="4" t="str">
        <x:f>IFERROR(INDEX('Items'!$B$6:$B$1005,MATCH(D1957,'Items'!$A$6:$A$1005,0)),"MISSING ID")</x:f>
        <x:v>Steel stock</x:v>
      </x:c>
      <x:c r="F1957" s="4" t="str">
        <x:f>IFERROR(INDEX('Items'!$C$6:$C$1005,MATCH(D1957,'Items'!$A$6:$A$1005,0)),"MISSING ID")</x:f>
        <x:v>T2</x:v>
      </x:c>
      <x:c r="G1957" s="4" t="str">
        <x:f>IFERROR(INDEX('Items'!$D$6:$D$1005,MATCH(D1957,'Items'!$A$6:$A$1005,0)),"MISSING ID")</x:f>
        <x:v>Manufactured stock</x:v>
      </x:c>
      <x:c r="H1957" s="4" t="str">
        <x:f>IFERROR(INDEX('Items'!$X$6:$X$1005,MATCH(D1957,'Items'!$A$6:$A$1005,0)),"MISSING ID")</x:f>
        <x:v>Processed material</x:v>
      </x:c>
      <x:c r="I1957" s="4"/>
      <x:c r="J1957" s="4" t="str">
        <x:v>Unspecified</x:v>
      </x:c>
      <x:c r="K1957" s="4" t="str">
        <x:f>IFERROR(INDEX('Crafting recipes'!$D$6:$D$1005,MATCH(B1957,'Crafting recipes'!$A$6:$A$1005,0)),"MISSING ID")</x:f>
        <x:v>Proposal</x:v>
      </x:c>
      <x:c r="L1957" s="4" t="str">
        <x:f>IFERROR(INDEX('Items'!$AD$6:$AD$1005,MATCH(D1957,'Items'!$A$6:$A$1005,0)),"MISSING ID")</x:f>
        <x:v>Author direction</x:v>
      </x:c>
      <x:c r="M1957" s="4" t="str">
        <x:f>IFERROR(INDEX('Crafting recipes'!$E$6:$E$1005,MATCH(B1957,'Crafting recipes'!$A$6:$A$1005,0)),"MISSING ID")</x:f>
        <x:v>Partial proposal</x:v>
      </x:c>
      <x:c r="N1957" s="4" t="str">
        <x:v>Partial audit candidate; quantity, fit and performance remain unresolved.</x:v>
      </x:c>
      <x:c r="O19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7" s="4" t="n">
        <x:f>IF(OR(C1957="Ingredient candidate",C1957="Consumed input",C1957="Contained input",C1957="Transform input"),IF(F1957="T0",0,IF(F1957="T1",1,IF(F1957="T2",2,IF(F1957="T3",3,IF(F1957="T4",4,-1))))),-1)</x:f>
        <x:v>2</x:v>
      </x:c>
      <x:c r="Q1957" s="4" t="n">
        <x:f>IF(AND(OR(C1957="Ingredient candidate",C1957="Consumed input",C1957="Contained input",C1957="Transform input"),P1957=-1),1,0)</x:f>
        <x:v>0</x:v>
      </x:c>
    </x:row>
    <x:row r="1958" ht="64" customHeight="1">
      <x:c r="A1958" s="4" t="str">
        <x:v>design.audit.proposal_forging_punch.audit.out</x:v>
      </x:c>
      <x:c r="B1958" s="4" t="str">
        <x:v>design.audit.proposal_forging_punch</x:v>
      </x:c>
      <x:c r="C1958" s="4" t="str">
        <x:v>Output</x:v>
      </x:c>
      <x:c r="D1958" s="4" t="str">
        <x:v>proposal.forging.punch</x:v>
      </x:c>
      <x:c r="E1958" s="4" t="str">
        <x:f>IFERROR(INDEX('Items'!$B$6:$B$1005,MATCH(D1958,'Items'!$A$6:$A$1005,0)),"MISSING ID")</x:f>
        <x:v>Forging punch</x:v>
      </x:c>
      <x:c r="F1958" s="4" t="str">
        <x:f>IFERROR(INDEX('Items'!$C$6:$C$1005,MATCH(D1958,'Items'!$A$6:$A$1005,0)),"MISSING ID")</x:f>
        <x:v>Not applicable</x:v>
      </x:c>
      <x:c r="G1958" s="4" t="str">
        <x:f>IFERROR(INDEX('Items'!$D$6:$D$1005,MATCH(D1958,'Items'!$A$6:$A$1005,0)),"MISSING ID")</x:f>
        <x:v>Salvage</x:v>
      </x:c>
      <x:c r="H1958" s="4" t="str">
        <x:f>IFERROR(INDEX('Items'!$X$6:$X$1005,MATCH(D1958,'Items'!$A$6:$A$1005,0)),"MISSING ID")</x:f>
        <x:v>Tool</x:v>
      </x:c>
      <x:c r="I1958" s="4"/>
      <x:c r="J1958" s="4" t="str">
        <x:v>Unspecified</x:v>
      </x:c>
      <x:c r="K1958" s="4" t="str">
        <x:f>IFERROR(INDEX('Crafting recipes'!$D$6:$D$1005,MATCH(B1958,'Crafting recipes'!$A$6:$A$1005,0)),"MISSING ID")</x:f>
        <x:v>Proposal</x:v>
      </x:c>
      <x:c r="L1958" s="4" t="str">
        <x:f>IFERROR(INDEX('Items'!$AD$6:$AD$1005,MATCH(D1958,'Items'!$A$6:$A$1005,0)),"MISSING ID")</x:f>
        <x:v>Proposal</x:v>
      </x:c>
      <x:c r="M1958" s="4" t="str">
        <x:f>IFERROR(INDEX('Crafting recipes'!$E$6:$E$1005,MATCH(B1958,'Crafting recipes'!$A$6:$A$1005,0)),"MISSING ID")</x:f>
        <x:v>Partial proposal</x:v>
      </x:c>
      <x:c r="N1958" s="4" t="str">
        <x:v>Partial audit candidate; quantity, fit and performance remain unresolved.</x:v>
      </x:c>
      <x:c r="O19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8" s="4" t="n">
        <x:f>IF(OR(C1958="Ingredient candidate",C1958="Consumed input",C1958="Contained input",C1958="Transform input"),IF(F1958="T0",0,IF(F1958="T1",1,IF(F1958="T2",2,IF(F1958="T3",3,IF(F1958="T4",4,-1))))),-1)</x:f>
        <x:v>-1</x:v>
      </x:c>
      <x:c r="Q1958" s="4" t="n">
        <x:f>IF(AND(OR(C1958="Ingredient candidate",C1958="Consumed input",C1958="Contained input",C1958="Transform input"),P1958=-1),1,0)</x:f>
        <x:v>0</x:v>
      </x:c>
    </x:row>
    <x:row r="1959" ht="64" customHeight="1">
      <x:c r="A1959" s="4" t="str">
        <x:v>design.audit.proposal_forging_drift.audit.in.1</x:v>
      </x:c>
      <x:c r="B1959" s="4" t="str">
        <x:v>design.audit.proposal_forging_drift</x:v>
      </x:c>
      <x:c r="C1959" s="4" t="str">
        <x:v>Ingredient candidate</x:v>
      </x:c>
      <x:c r="D1959" s="4" t="str">
        <x:v>author.metallurgy.steel_stock</x:v>
      </x:c>
      <x:c r="E1959" s="4" t="str">
        <x:f>IFERROR(INDEX('Items'!$B$6:$B$1005,MATCH(D1959,'Items'!$A$6:$A$1005,0)),"MISSING ID")</x:f>
        <x:v>Steel stock</x:v>
      </x:c>
      <x:c r="F1959" s="4" t="str">
        <x:f>IFERROR(INDEX('Items'!$C$6:$C$1005,MATCH(D1959,'Items'!$A$6:$A$1005,0)),"MISSING ID")</x:f>
        <x:v>T2</x:v>
      </x:c>
      <x:c r="G1959" s="4" t="str">
        <x:f>IFERROR(INDEX('Items'!$D$6:$D$1005,MATCH(D1959,'Items'!$A$6:$A$1005,0)),"MISSING ID")</x:f>
        <x:v>Manufactured stock</x:v>
      </x:c>
      <x:c r="H1959" s="4" t="str">
        <x:f>IFERROR(INDEX('Items'!$X$6:$X$1005,MATCH(D1959,'Items'!$A$6:$A$1005,0)),"MISSING ID")</x:f>
        <x:v>Processed material</x:v>
      </x:c>
      <x:c r="I1959" s="4"/>
      <x:c r="J1959" s="4" t="str">
        <x:v>Unspecified</x:v>
      </x:c>
      <x:c r="K1959" s="4" t="str">
        <x:f>IFERROR(INDEX('Crafting recipes'!$D$6:$D$1005,MATCH(B1959,'Crafting recipes'!$A$6:$A$1005,0)),"MISSING ID")</x:f>
        <x:v>Proposal</x:v>
      </x:c>
      <x:c r="L1959" s="4" t="str">
        <x:f>IFERROR(INDEX('Items'!$AD$6:$AD$1005,MATCH(D1959,'Items'!$A$6:$A$1005,0)),"MISSING ID")</x:f>
        <x:v>Author direction</x:v>
      </x:c>
      <x:c r="M1959" s="4" t="str">
        <x:f>IFERROR(INDEX('Crafting recipes'!$E$6:$E$1005,MATCH(B1959,'Crafting recipes'!$A$6:$A$1005,0)),"MISSING ID")</x:f>
        <x:v>Partial proposal</x:v>
      </x:c>
      <x:c r="N1959" s="4" t="str">
        <x:v>Partial audit candidate; quantity, fit and performance remain unresolved.</x:v>
      </x:c>
      <x:c r="O19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9" s="4" t="n">
        <x:f>IF(OR(C1959="Ingredient candidate",C1959="Consumed input",C1959="Contained input",C1959="Transform input"),IF(F1959="T0",0,IF(F1959="T1",1,IF(F1959="T2",2,IF(F1959="T3",3,IF(F1959="T4",4,-1))))),-1)</x:f>
        <x:v>2</x:v>
      </x:c>
      <x:c r="Q1959" s="4" t="n">
        <x:f>IF(AND(OR(C1959="Ingredient candidate",C1959="Consumed input",C1959="Contained input",C1959="Transform input"),P1959=-1),1,0)</x:f>
        <x:v>0</x:v>
      </x:c>
    </x:row>
    <x:row r="1960" ht="64" customHeight="1">
      <x:c r="A1960" s="4" t="str">
        <x:v>design.audit.proposal_forging_drift.audit.out</x:v>
      </x:c>
      <x:c r="B1960" s="4" t="str">
        <x:v>design.audit.proposal_forging_drift</x:v>
      </x:c>
      <x:c r="C1960" s="4" t="str">
        <x:v>Output</x:v>
      </x:c>
      <x:c r="D1960" s="4" t="str">
        <x:v>proposal.forging.drift</x:v>
      </x:c>
      <x:c r="E1960" s="4" t="str">
        <x:f>IFERROR(INDEX('Items'!$B$6:$B$1005,MATCH(D1960,'Items'!$A$6:$A$1005,0)),"MISSING ID")</x:f>
        <x:v>Forming drift</x:v>
      </x:c>
      <x:c r="F1960" s="4" t="str">
        <x:f>IFERROR(INDEX('Items'!$C$6:$C$1005,MATCH(D1960,'Items'!$A$6:$A$1005,0)),"MISSING ID")</x:f>
        <x:v>Not applicable</x:v>
      </x:c>
      <x:c r="G1960" s="4" t="str">
        <x:f>IFERROR(INDEX('Items'!$D$6:$D$1005,MATCH(D1960,'Items'!$A$6:$A$1005,0)),"MISSING ID")</x:f>
        <x:v>Salvage</x:v>
      </x:c>
      <x:c r="H1960" s="4" t="str">
        <x:f>IFERROR(INDEX('Items'!$X$6:$X$1005,MATCH(D1960,'Items'!$A$6:$A$1005,0)),"MISSING ID")</x:f>
        <x:v>Tool</x:v>
      </x:c>
      <x:c r="I1960" s="4"/>
      <x:c r="J1960" s="4" t="str">
        <x:v>Unspecified</x:v>
      </x:c>
      <x:c r="K1960" s="4" t="str">
        <x:f>IFERROR(INDEX('Crafting recipes'!$D$6:$D$1005,MATCH(B1960,'Crafting recipes'!$A$6:$A$1005,0)),"MISSING ID")</x:f>
        <x:v>Proposal</x:v>
      </x:c>
      <x:c r="L1960" s="4" t="str">
        <x:f>IFERROR(INDEX('Items'!$AD$6:$AD$1005,MATCH(D1960,'Items'!$A$6:$A$1005,0)),"MISSING ID")</x:f>
        <x:v>Proposal</x:v>
      </x:c>
      <x:c r="M1960" s="4" t="str">
        <x:f>IFERROR(INDEX('Crafting recipes'!$E$6:$E$1005,MATCH(B1960,'Crafting recipes'!$A$6:$A$1005,0)),"MISSING ID")</x:f>
        <x:v>Partial proposal</x:v>
      </x:c>
      <x:c r="N1960" s="4" t="str">
        <x:v>Partial audit candidate; quantity, fit and performance remain unresolved.</x:v>
      </x:c>
      <x:c r="O19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0" s="4" t="n">
        <x:f>IF(OR(C1960="Ingredient candidate",C1960="Consumed input",C1960="Contained input",C1960="Transform input"),IF(F1960="T0",0,IF(F1960="T1",1,IF(F1960="T2",2,IF(F1960="T3",3,IF(F1960="T4",4,-1))))),-1)</x:f>
        <x:v>-1</x:v>
      </x:c>
      <x:c r="Q1960" s="4" t="n">
        <x:f>IF(AND(OR(C1960="Ingredient candidate",C1960="Consumed input",C1960="Contained input",C1960="Transform input"),P1960=-1),1,0)</x:f>
        <x:v>0</x:v>
      </x:c>
    </x:row>
    <x:row r="1961" ht="64" customHeight="1">
      <x:c r="A1961" s="4" t="str">
        <x:v>design.audit.proposal_forging_swage_block.audit.in.1</x:v>
      </x:c>
      <x:c r="B1961" s="4" t="str">
        <x:v>design.audit.proposal_forging_swage_block</x:v>
      </x:c>
      <x:c r="C1961" s="4" t="str">
        <x:v>Ingredient candidate</x:v>
      </x:c>
      <x:c r="D1961" s="4" t="str">
        <x:v>author.metallurgy.steel_stock</x:v>
      </x:c>
      <x:c r="E1961" s="4" t="str">
        <x:f>IFERROR(INDEX('Items'!$B$6:$B$1005,MATCH(D1961,'Items'!$A$6:$A$1005,0)),"MISSING ID")</x:f>
        <x:v>Steel stock</x:v>
      </x:c>
      <x:c r="F1961" s="4" t="str">
        <x:f>IFERROR(INDEX('Items'!$C$6:$C$1005,MATCH(D1961,'Items'!$A$6:$A$1005,0)),"MISSING ID")</x:f>
        <x:v>T2</x:v>
      </x:c>
      <x:c r="G1961" s="4" t="str">
        <x:f>IFERROR(INDEX('Items'!$D$6:$D$1005,MATCH(D1961,'Items'!$A$6:$A$1005,0)),"MISSING ID")</x:f>
        <x:v>Manufactured stock</x:v>
      </x:c>
      <x:c r="H1961" s="4" t="str">
        <x:f>IFERROR(INDEX('Items'!$X$6:$X$1005,MATCH(D1961,'Items'!$A$6:$A$1005,0)),"MISSING ID")</x:f>
        <x:v>Processed material</x:v>
      </x:c>
      <x:c r="I1961" s="4"/>
      <x:c r="J1961" s="4" t="str">
        <x:v>Unspecified</x:v>
      </x:c>
      <x:c r="K1961" s="4" t="str">
        <x:f>IFERROR(INDEX('Crafting recipes'!$D$6:$D$1005,MATCH(B1961,'Crafting recipes'!$A$6:$A$1005,0)),"MISSING ID")</x:f>
        <x:v>Proposal</x:v>
      </x:c>
      <x:c r="L1961" s="4" t="str">
        <x:f>IFERROR(INDEX('Items'!$AD$6:$AD$1005,MATCH(D1961,'Items'!$A$6:$A$1005,0)),"MISSING ID")</x:f>
        <x:v>Author direction</x:v>
      </x:c>
      <x:c r="M1961" s="4" t="str">
        <x:f>IFERROR(INDEX('Crafting recipes'!$E$6:$E$1005,MATCH(B1961,'Crafting recipes'!$A$6:$A$1005,0)),"MISSING ID")</x:f>
        <x:v>Partial proposal</x:v>
      </x:c>
      <x:c r="N1961" s="4" t="str">
        <x:v>Partial audit candidate; quantity, fit and performance remain unresolved.</x:v>
      </x:c>
      <x:c r="O19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1" s="4" t="n">
        <x:f>IF(OR(C1961="Ingredient candidate",C1961="Consumed input",C1961="Contained input",C1961="Transform input"),IF(F1961="T0",0,IF(F1961="T1",1,IF(F1961="T2",2,IF(F1961="T3",3,IF(F1961="T4",4,-1))))),-1)</x:f>
        <x:v>2</x:v>
      </x:c>
      <x:c r="Q1961" s="4" t="n">
        <x:f>IF(AND(OR(C1961="Ingredient candidate",C1961="Consumed input",C1961="Contained input",C1961="Transform input"),P1961=-1),1,0)</x:f>
        <x:v>0</x:v>
      </x:c>
    </x:row>
    <x:row r="1962" ht="64" customHeight="1">
      <x:c r="A1962" s="4" t="str">
        <x:v>design.audit.proposal_forging_swage_block.audit.out</x:v>
      </x:c>
      <x:c r="B1962" s="4" t="str">
        <x:v>design.audit.proposal_forging_swage_block</x:v>
      </x:c>
      <x:c r="C1962" s="4" t="str">
        <x:v>Output</x:v>
      </x:c>
      <x:c r="D1962" s="4" t="str">
        <x:v>proposal.forging.swage_block</x:v>
      </x:c>
      <x:c r="E1962" s="4" t="str">
        <x:f>IFERROR(INDEX('Items'!$B$6:$B$1005,MATCH(D1962,'Items'!$A$6:$A$1005,0)),"MISSING ID")</x:f>
        <x:v>Swage block</x:v>
      </x:c>
      <x:c r="F1962" s="4" t="str">
        <x:f>IFERROR(INDEX('Items'!$C$6:$C$1005,MATCH(D1962,'Items'!$A$6:$A$1005,0)),"MISSING ID")</x:f>
        <x:v>Not applicable</x:v>
      </x:c>
      <x:c r="G1962" s="4" t="str">
        <x:f>IFERROR(INDEX('Items'!$D$6:$D$1005,MATCH(D1962,'Items'!$A$6:$A$1005,0)),"MISSING ID")</x:f>
        <x:v>Salvage</x:v>
      </x:c>
      <x:c r="H1962" s="4" t="str">
        <x:f>IFERROR(INDEX('Items'!$X$6:$X$1005,MATCH(D1962,'Items'!$A$6:$A$1005,0)),"MISSING ID")</x:f>
        <x:v>Tool</x:v>
      </x:c>
      <x:c r="I1962" s="4"/>
      <x:c r="J1962" s="4" t="str">
        <x:v>Unspecified</x:v>
      </x:c>
      <x:c r="K1962" s="4" t="str">
        <x:f>IFERROR(INDEX('Crafting recipes'!$D$6:$D$1005,MATCH(B1962,'Crafting recipes'!$A$6:$A$1005,0)),"MISSING ID")</x:f>
        <x:v>Proposal</x:v>
      </x:c>
      <x:c r="L1962" s="4" t="str">
        <x:f>IFERROR(INDEX('Items'!$AD$6:$AD$1005,MATCH(D1962,'Items'!$A$6:$A$1005,0)),"MISSING ID")</x:f>
        <x:v>Proposal</x:v>
      </x:c>
      <x:c r="M1962" s="4" t="str">
        <x:f>IFERROR(INDEX('Crafting recipes'!$E$6:$E$1005,MATCH(B1962,'Crafting recipes'!$A$6:$A$1005,0)),"MISSING ID")</x:f>
        <x:v>Partial proposal</x:v>
      </x:c>
      <x:c r="N1962" s="4" t="str">
        <x:v>Partial audit candidate; quantity, fit and performance remain unresolved.</x:v>
      </x:c>
      <x:c r="O19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2" s="4" t="n">
        <x:f>IF(OR(C1962="Ingredient candidate",C1962="Consumed input",C1962="Contained input",C1962="Transform input"),IF(F1962="T0",0,IF(F1962="T1",1,IF(F1962="T2",2,IF(F1962="T3",3,IF(F1962="T4",4,-1))))),-1)</x:f>
        <x:v>-1</x:v>
      </x:c>
      <x:c r="Q1962" s="4" t="n">
        <x:f>IF(AND(OR(C1962="Ingredient candidate",C1962="Consumed input",C1962="Contained input",C1962="Transform input"),P1962=-1),1,0)</x:f>
        <x:v>0</x:v>
      </x:c>
    </x:row>
    <x:row r="1963" ht="64" customHeight="1">
      <x:c r="A1963" s="4" t="str">
        <x:v>design.audit.proposal_forging_file.audit.in.1</x:v>
      </x:c>
      <x:c r="B1963" s="4" t="str">
        <x:v>design.audit.proposal_forging_file</x:v>
      </x:c>
      <x:c r="C1963" s="4" t="str">
        <x:v>Ingredient candidate</x:v>
      </x:c>
      <x:c r="D1963" s="4" t="str">
        <x:v>author.metallurgy.steel_stock</x:v>
      </x:c>
      <x:c r="E1963" s="4" t="str">
        <x:f>IFERROR(INDEX('Items'!$B$6:$B$1005,MATCH(D1963,'Items'!$A$6:$A$1005,0)),"MISSING ID")</x:f>
        <x:v>Steel stock</x:v>
      </x:c>
      <x:c r="F1963" s="4" t="str">
        <x:f>IFERROR(INDEX('Items'!$C$6:$C$1005,MATCH(D1963,'Items'!$A$6:$A$1005,0)),"MISSING ID")</x:f>
        <x:v>T2</x:v>
      </x:c>
      <x:c r="G1963" s="4" t="str">
        <x:f>IFERROR(INDEX('Items'!$D$6:$D$1005,MATCH(D1963,'Items'!$A$6:$A$1005,0)),"MISSING ID")</x:f>
        <x:v>Manufactured stock</x:v>
      </x:c>
      <x:c r="H1963" s="4" t="str">
        <x:f>IFERROR(INDEX('Items'!$X$6:$X$1005,MATCH(D1963,'Items'!$A$6:$A$1005,0)),"MISSING ID")</x:f>
        <x:v>Processed material</x:v>
      </x:c>
      <x:c r="I1963" s="4"/>
      <x:c r="J1963" s="4" t="str">
        <x:v>Unspecified</x:v>
      </x:c>
      <x:c r="K1963" s="4" t="str">
        <x:f>IFERROR(INDEX('Crafting recipes'!$D$6:$D$1005,MATCH(B1963,'Crafting recipes'!$A$6:$A$1005,0)),"MISSING ID")</x:f>
        <x:v>Proposal</x:v>
      </x:c>
      <x:c r="L1963" s="4" t="str">
        <x:f>IFERROR(INDEX('Items'!$AD$6:$AD$1005,MATCH(D1963,'Items'!$A$6:$A$1005,0)),"MISSING ID")</x:f>
        <x:v>Author direction</x:v>
      </x:c>
      <x:c r="M1963" s="4" t="str">
        <x:f>IFERROR(INDEX('Crafting recipes'!$E$6:$E$1005,MATCH(B1963,'Crafting recipes'!$A$6:$A$1005,0)),"MISSING ID")</x:f>
        <x:v>Partial proposal</x:v>
      </x:c>
      <x:c r="N1963" s="4" t="str">
        <x:v>Partial audit candidate; quantity, fit and performance remain unresolved.</x:v>
      </x:c>
      <x:c r="O19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3" s="4" t="n">
        <x:f>IF(OR(C1963="Ingredient candidate",C1963="Consumed input",C1963="Contained input",C1963="Transform input"),IF(F1963="T0",0,IF(F1963="T1",1,IF(F1963="T2",2,IF(F1963="T3",3,IF(F1963="T4",4,-1))))),-1)</x:f>
        <x:v>2</x:v>
      </x:c>
      <x:c r="Q1963" s="4" t="n">
        <x:f>IF(AND(OR(C1963="Ingredient candidate",C1963="Consumed input",C1963="Contained input",C1963="Transform input"),P1963=-1),1,0)</x:f>
        <x:v>0</x:v>
      </x:c>
    </x:row>
    <x:row r="1964" ht="64" customHeight="1">
      <x:c r="A1964" s="4" t="str">
        <x:v>design.audit.proposal_forging_file.audit.in.2</x:v>
      </x:c>
      <x:c r="B1964" s="4" t="str">
        <x:v>design.audit.proposal_forging_file</x:v>
      </x:c>
      <x:c r="C1964" s="4" t="str">
        <x:v>Ingredient candidate</x:v>
      </x:c>
      <x:c r="D1964" s="4" t="str">
        <x:v>proposal.audit.shaped_metal_grip_blank</x:v>
      </x:c>
      <x:c r="E1964" s="4" t="str">
        <x:f>IFERROR(INDEX('Items'!$B$6:$B$1005,MATCH(D1964,'Items'!$A$6:$A$1005,0)),"MISSING ID")</x:f>
        <x:v>Shaped metal grip blank</x:v>
      </x:c>
      <x:c r="F1964" s="4" t="str">
        <x:f>IFERROR(INDEX('Items'!$C$6:$C$1005,MATCH(D1964,'Items'!$A$6:$A$1005,0)),"MISSING ID")</x:f>
        <x:v>T3</x:v>
      </x:c>
      <x:c r="G1964" s="4" t="str">
        <x:f>IFERROR(INDEX('Items'!$D$6:$D$1005,MATCH(D1964,'Items'!$A$6:$A$1005,0)),"MISSING ID")</x:f>
        <x:v>Crafting components</x:v>
      </x:c>
      <x:c r="H1964" s="4" t="str">
        <x:f>IFERROR(INDEX('Items'!$X$6:$X$1005,MATCH(D1964,'Items'!$A$6:$A$1005,0)),"MISSING ID")</x:f>
        <x:v>Crafting component</x:v>
      </x:c>
      <x:c r="I1964" s="4"/>
      <x:c r="J1964" s="4" t="str">
        <x:v>Unspecified</x:v>
      </x:c>
      <x:c r="K1964" s="4" t="str">
        <x:f>IFERROR(INDEX('Crafting recipes'!$D$6:$D$1005,MATCH(B1964,'Crafting recipes'!$A$6:$A$1005,0)),"MISSING ID")</x:f>
        <x:v>Proposal</x:v>
      </x:c>
      <x:c r="L1964" s="4" t="str">
        <x:f>IFERROR(INDEX('Items'!$AD$6:$AD$1005,MATCH(D1964,'Items'!$A$6:$A$1005,0)),"MISSING ID")</x:f>
        <x:v>Proposal</x:v>
      </x:c>
      <x:c r="M1964" s="4" t="str">
        <x:f>IFERROR(INDEX('Crafting recipes'!$E$6:$E$1005,MATCH(B1964,'Crafting recipes'!$A$6:$A$1005,0)),"MISSING ID")</x:f>
        <x:v>Partial proposal</x:v>
      </x:c>
      <x:c r="N1964" s="4" t="str">
        <x:v>Partial audit candidate; quantity, fit and performance remain unresolved.</x:v>
      </x:c>
      <x:c r="O19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4" s="4" t="n">
        <x:f>IF(OR(C1964="Ingredient candidate",C1964="Consumed input",C1964="Contained input",C1964="Transform input"),IF(F1964="T0",0,IF(F1964="T1",1,IF(F1964="T2",2,IF(F1964="T3",3,IF(F1964="T4",4,-1))))),-1)</x:f>
        <x:v>3</x:v>
      </x:c>
      <x:c r="Q1964" s="4" t="n">
        <x:f>IF(AND(OR(C1964="Ingredient candidate",C1964="Consumed input",C1964="Contained input",C1964="Transform input"),P1964=-1),1,0)</x:f>
        <x:v>0</x:v>
      </x:c>
    </x:row>
    <x:row r="1965" ht="64" customHeight="1">
      <x:c r="A1965" s="4" t="str">
        <x:v>design.audit.proposal_forging_file.audit.out</x:v>
      </x:c>
      <x:c r="B1965" s="4" t="str">
        <x:v>design.audit.proposal_forging_file</x:v>
      </x:c>
      <x:c r="C1965" s="4" t="str">
        <x:v>Output</x:v>
      </x:c>
      <x:c r="D1965" s="4" t="str">
        <x:v>proposal.forging.file</x:v>
      </x:c>
      <x:c r="E1965" s="4" t="str">
        <x:f>IFERROR(INDEX('Items'!$B$6:$B$1005,MATCH(D1965,'Items'!$A$6:$A$1005,0)),"MISSING ID")</x:f>
        <x:v>Metalworking file</x:v>
      </x:c>
      <x:c r="F1965" s="4" t="str">
        <x:f>IFERROR(INDEX('Items'!$C$6:$C$1005,MATCH(D1965,'Items'!$A$6:$A$1005,0)),"MISSING ID")</x:f>
        <x:v>Not applicable</x:v>
      </x:c>
      <x:c r="G1965" s="4" t="str">
        <x:f>IFERROR(INDEX('Items'!$D$6:$D$1005,MATCH(D1965,'Items'!$A$6:$A$1005,0)),"MISSING ID")</x:f>
        <x:v>Salvage</x:v>
      </x:c>
      <x:c r="H1965" s="4" t="str">
        <x:f>IFERROR(INDEX('Items'!$X$6:$X$1005,MATCH(D1965,'Items'!$A$6:$A$1005,0)),"MISSING ID")</x:f>
        <x:v>Tool</x:v>
      </x:c>
      <x:c r="I1965" s="4"/>
      <x:c r="J1965" s="4" t="str">
        <x:v>Unspecified</x:v>
      </x:c>
      <x:c r="K1965" s="4" t="str">
        <x:f>IFERROR(INDEX('Crafting recipes'!$D$6:$D$1005,MATCH(B1965,'Crafting recipes'!$A$6:$A$1005,0)),"MISSING ID")</x:f>
        <x:v>Proposal</x:v>
      </x:c>
      <x:c r="L1965" s="4" t="str">
        <x:f>IFERROR(INDEX('Items'!$AD$6:$AD$1005,MATCH(D1965,'Items'!$A$6:$A$1005,0)),"MISSING ID")</x:f>
        <x:v>Proposal</x:v>
      </x:c>
      <x:c r="M1965" s="4" t="str">
        <x:f>IFERROR(INDEX('Crafting recipes'!$E$6:$E$1005,MATCH(B1965,'Crafting recipes'!$A$6:$A$1005,0)),"MISSING ID")</x:f>
        <x:v>Partial proposal</x:v>
      </x:c>
      <x:c r="N1965" s="4" t="str">
        <x:v>Partial audit candidate; quantity, fit and performance remain unresolved.</x:v>
      </x:c>
      <x:c r="O19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5" s="4" t="n">
        <x:f>IF(OR(C1965="Ingredient candidate",C1965="Consumed input",C1965="Contained input",C1965="Transform input"),IF(F1965="T0",0,IF(F1965="T1",1,IF(F1965="T2",2,IF(F1965="T3",3,IF(F1965="T4",4,-1))))),-1)</x:f>
        <x:v>-1</x:v>
      </x:c>
      <x:c r="Q1965" s="4" t="n">
        <x:f>IF(AND(OR(C1965="Ingredient candidate",C1965="Consumed input",C1965="Contained input",C1965="Transform input"),P1965=-1),1,0)</x:f>
        <x:v>0</x:v>
      </x:c>
    </x:row>
    <x:row r="1966" ht="64" customHeight="1">
      <x:c r="A1966" s="4"/>
      <x:c r="B1966" s="4"/>
      <x:c r="C1966" s="4"/>
      <x:c r="D1966" s="4"/>
      <x:c r="E1966" s="4"/>
      <x:c r="F1966" s="4"/>
      <x:c r="G1966" s="4"/>
      <x:c r="H1966" s="4"/>
      <x:c r="I1966" s="4"/>
      <x:c r="K1966" s="4"/>
      <x:c r="L1966" s="4"/>
      <x:c r="M1966" s="4"/>
      <x:c r="N1966" s="4"/>
      <x:c r="O1966" s="4"/>
      <x:c r="P1966" s="4"/>
      <x:c r="Q1966" s="4"/>
    </x:row>
    <x:row r="1967" ht="64" customHeight="1">
      <x:c r="A1967" s="4"/>
      <x:c r="B1967" s="4"/>
      <x:c r="C1967" s="4"/>
      <x:c r="D1967" s="4"/>
      <x:c r="E1967" s="4"/>
      <x:c r="F1967" s="4"/>
      <x:c r="G1967" s="4"/>
      <x:c r="H1967" s="4"/>
      <x:c r="I1967" s="4"/>
      <x:c r="K1967" s="4"/>
      <x:c r="L1967" s="4"/>
      <x:c r="M1967" s="4"/>
      <x:c r="N1967" s="4"/>
      <x:c r="O1967" s="4"/>
      <x:c r="P1967" s="4"/>
      <x:c r="Q1967" s="4"/>
    </x:row>
    <x:row r="1968" ht="64" customHeight="1">
      <x:c r="A1968" s="4"/>
      <x:c r="B1968" s="4"/>
      <x:c r="C1968" s="4"/>
      <x:c r="D1968" s="4"/>
      <x:c r="E1968" s="4"/>
      <x:c r="F1968" s="4"/>
      <x:c r="G1968" s="4"/>
      <x:c r="H1968" s="4"/>
      <x:c r="I1968" s="4"/>
      <x:c r="K1968" s="4"/>
      <x:c r="L1968" s="4"/>
      <x:c r="M1968" s="4"/>
      <x:c r="N1968" s="4"/>
      <x:c r="O1968" s="4"/>
      <x:c r="P1968" s="4"/>
      <x:c r="Q1968" s="4"/>
    </x:row>
    <x:row r="1969" ht="64" customHeight="1">
      <x:c r="A1969" s="4"/>
      <x:c r="B1969" s="4"/>
      <x:c r="C1969" s="4"/>
      <x:c r="D1969" s="4"/>
      <x:c r="E1969" s="4"/>
      <x:c r="F1969" s="4"/>
      <x:c r="G1969" s="4"/>
      <x:c r="H1969" s="4"/>
      <x:c r="I1969" s="4"/>
      <x:c r="K1969" s="4"/>
      <x:c r="L1969" s="4"/>
      <x:c r="M1969" s="4"/>
      <x:c r="N1969" s="4"/>
      <x:c r="O1969" s="4"/>
      <x:c r="P1969" s="4"/>
      <x:c r="Q1969" s="4"/>
    </x:row>
    <x:row r="1970" ht="64" customHeight="1">
      <x:c r="A1970" s="4"/>
      <x:c r="B1970" s="4"/>
      <x:c r="C1970" s="4"/>
      <x:c r="D1970" s="4"/>
      <x:c r="E1970" s="4"/>
      <x:c r="F1970" s="4"/>
      <x:c r="G1970" s="4"/>
      <x:c r="H1970" s="4"/>
      <x:c r="I1970" s="4"/>
      <x:c r="K1970" s="4"/>
      <x:c r="L1970" s="4"/>
      <x:c r="M1970" s="4"/>
      <x:c r="N1970" s="4"/>
      <x:c r="O1970" s="4"/>
      <x:c r="P1970" s="4"/>
      <x:c r="Q1970" s="4"/>
    </x:row>
    <x:row r="1971" ht="64" customHeight="1">
      <x:c r="A1971" s="4"/>
      <x:c r="B1971" s="4"/>
      <x:c r="C1971" s="4"/>
      <x:c r="D1971" s="4"/>
      <x:c r="E1971" s="4"/>
      <x:c r="F1971" s="4"/>
      <x:c r="G1971" s="4"/>
      <x:c r="H1971" s="4"/>
      <x:c r="I1971" s="4"/>
      <x:c r="K1971" s="4"/>
      <x:c r="L1971" s="4"/>
      <x:c r="M1971" s="4"/>
      <x:c r="N1971" s="4"/>
      <x:c r="O1971" s="4"/>
      <x:c r="P1971" s="4"/>
      <x:c r="Q1971" s="4"/>
    </x:row>
    <x:row r="1972" ht="64" customHeight="1">
      <x:c r="A1972" s="4"/>
      <x:c r="B1972" s="4"/>
      <x:c r="C1972" s="4"/>
      <x:c r="D1972" s="4"/>
      <x:c r="E1972" s="4"/>
      <x:c r="F1972" s="4"/>
      <x:c r="G1972" s="4"/>
      <x:c r="H1972" s="4"/>
      <x:c r="I1972" s="4"/>
      <x:c r="K1972" s="4"/>
      <x:c r="L1972" s="4"/>
      <x:c r="M1972" s="4"/>
      <x:c r="N1972" s="4"/>
      <x:c r="O1972" s="4"/>
      <x:c r="P1972" s="4"/>
      <x:c r="Q1972" s="4"/>
    </x:row>
    <x:row r="1973" ht="64" customHeight="1">
      <x:c r="A1973" s="4"/>
      <x:c r="B1973" s="4"/>
      <x:c r="C1973" s="4"/>
      <x:c r="D1973" s="4"/>
      <x:c r="E1973" s="4"/>
      <x:c r="F1973" s="4"/>
      <x:c r="G1973" s="4"/>
      <x:c r="H1973" s="4"/>
      <x:c r="I1973" s="4"/>
      <x:c r="K1973" s="4"/>
      <x:c r="L1973" s="4"/>
      <x:c r="M1973" s="4"/>
      <x:c r="N1973" s="4"/>
      <x:c r="O1973" s="4"/>
      <x:c r="P1973" s="4"/>
      <x:c r="Q1973" s="4"/>
    </x:row>
    <x:row r="1974" ht="64" customHeight="1">
      <x:c r="A1974" s="4"/>
      <x:c r="B1974" s="4"/>
      <x:c r="C1974" s="4"/>
      <x:c r="D1974" s="4"/>
      <x:c r="E1974" s="4"/>
      <x:c r="F1974" s="4"/>
      <x:c r="G1974" s="4"/>
      <x:c r="H1974" s="4"/>
      <x:c r="I1974" s="4"/>
      <x:c r="K1974" s="4"/>
      <x:c r="L1974" s="4"/>
      <x:c r="M1974" s="4"/>
      <x:c r="N1974" s="4"/>
      <x:c r="O1974" s="4"/>
      <x:c r="P1974" s="4"/>
      <x:c r="Q1974" s="4"/>
    </x:row>
    <x:row r="1975" ht="64" customHeight="1">
      <x:c r="A1975" s="4"/>
      <x:c r="B1975" s="4"/>
      <x:c r="C1975" s="4"/>
      <x:c r="D1975" s="4"/>
      <x:c r="E1975" s="4"/>
      <x:c r="F1975" s="4"/>
      <x:c r="G1975" s="4"/>
      <x:c r="H1975" s="4"/>
      <x:c r="I1975" s="4"/>
      <x:c r="K1975" s="4"/>
      <x:c r="L1975" s="4"/>
      <x:c r="M1975" s="4"/>
      <x:c r="N1975" s="4"/>
      <x:c r="O1975" s="4"/>
      <x:c r="P1975" s="4"/>
      <x:c r="Q1975" s="4"/>
    </x:row>
    <x:row r="1976" ht="64" customHeight="1">
      <x:c r="A1976" s="4"/>
      <x:c r="B1976" s="4"/>
      <x:c r="C1976" s="4"/>
      <x:c r="D1976" s="4"/>
      <x:c r="E1976" s="4"/>
      <x:c r="F1976" s="4"/>
      <x:c r="G1976" s="4"/>
      <x:c r="H1976" s="4"/>
      <x:c r="I1976" s="4"/>
      <x:c r="K1976" s="4"/>
      <x:c r="L1976" s="4"/>
      <x:c r="M1976" s="4"/>
      <x:c r="N1976" s="4"/>
      <x:c r="O1976" s="4"/>
      <x:c r="P1976" s="4"/>
      <x:c r="Q1976" s="4"/>
    </x:row>
    <x:row r="1977" ht="64" customHeight="1">
      <x:c r="A1977" s="4"/>
      <x:c r="B1977" s="4"/>
      <x:c r="C1977" s="4"/>
      <x:c r="D1977" s="4"/>
      <x:c r="E1977" s="4"/>
      <x:c r="F1977" s="4"/>
      <x:c r="G1977" s="4"/>
      <x:c r="H1977" s="4"/>
      <x:c r="I1977" s="4"/>
      <x:c r="K1977" s="4"/>
      <x:c r="L1977" s="4"/>
      <x:c r="M1977" s="4"/>
      <x:c r="N1977" s="4"/>
      <x:c r="O1977" s="4"/>
      <x:c r="P1977" s="4"/>
      <x:c r="Q1977" s="4"/>
    </x:row>
    <x:row r="1978" ht="64" customHeight="1">
      <x:c r="A1978" s="4"/>
      <x:c r="B1978" s="4"/>
      <x:c r="C1978" s="4"/>
      <x:c r="D1978" s="4"/>
      <x:c r="E1978" s="4"/>
      <x:c r="F1978" s="4"/>
      <x:c r="G1978" s="4"/>
      <x:c r="H1978" s="4"/>
      <x:c r="I1978" s="4"/>
      <x:c r="K1978" s="4"/>
      <x:c r="L1978" s="4"/>
      <x:c r="M1978" s="4"/>
      <x:c r="N1978" s="4"/>
      <x:c r="O1978" s="4"/>
      <x:c r="P1978" s="4"/>
      <x:c r="Q1978" s="4"/>
    </x:row>
    <x:row r="1979" ht="64" customHeight="1">
      <x:c r="A1979" s="4"/>
      <x:c r="B1979" s="4"/>
      <x:c r="C1979" s="4"/>
      <x:c r="D1979" s="4"/>
      <x:c r="E1979" s="4"/>
      <x:c r="F1979" s="4"/>
      <x:c r="G1979" s="4"/>
      <x:c r="H1979" s="4"/>
      <x:c r="I1979" s="4"/>
      <x:c r="K1979" s="4"/>
      <x:c r="L1979" s="4"/>
      <x:c r="M1979" s="4"/>
      <x:c r="N1979" s="4"/>
      <x:c r="O1979" s="4"/>
      <x:c r="P1979" s="4"/>
      <x:c r="Q1979" s="4"/>
    </x:row>
    <x:row r="1980" ht="64" customHeight="1">
      <x:c r="A1980" s="4"/>
      <x:c r="B1980" s="4"/>
      <x:c r="C1980" s="4"/>
      <x:c r="D1980" s="4"/>
      <x:c r="E1980" s="4"/>
      <x:c r="F1980" s="4"/>
      <x:c r="G1980" s="4"/>
      <x:c r="H1980" s="4"/>
      <x:c r="I1980" s="4"/>
      <x:c r="K1980" s="4"/>
      <x:c r="L1980" s="4"/>
      <x:c r="M1980" s="4"/>
      <x:c r="N1980" s="4"/>
      <x:c r="O1980" s="4"/>
      <x:c r="P1980" s="4"/>
      <x:c r="Q1980" s="4"/>
    </x:row>
    <x:row r="1981" ht="64" customHeight="1">
      <x:c r="A1981" s="4"/>
      <x:c r="B1981" s="4"/>
      <x:c r="C1981" s="4"/>
      <x:c r="D1981" s="4"/>
      <x:c r="E1981" s="4"/>
      <x:c r="F1981" s="4"/>
      <x:c r="G1981" s="4"/>
      <x:c r="H1981" s="4"/>
      <x:c r="I1981" s="4"/>
      <x:c r="K1981" s="4"/>
      <x:c r="L1981" s="4"/>
      <x:c r="M1981" s="4"/>
      <x:c r="N1981" s="4"/>
      <x:c r="O1981" s="4"/>
      <x:c r="P1981" s="4"/>
      <x:c r="Q1981" s="4"/>
    </x:row>
    <x:row r="1982" ht="64" customHeight="1">
      <x:c r="A1982" s="4"/>
      <x:c r="B1982" s="4"/>
      <x:c r="C1982" s="4"/>
      <x:c r="D1982" s="4"/>
      <x:c r="E1982" s="4"/>
      <x:c r="F1982" s="4"/>
      <x:c r="G1982" s="4"/>
      <x:c r="H1982" s="4"/>
      <x:c r="I1982" s="4"/>
      <x:c r="K1982" s="4"/>
      <x:c r="L1982" s="4"/>
      <x:c r="M1982" s="4"/>
      <x:c r="N1982" s="4"/>
      <x:c r="O1982" s="4"/>
      <x:c r="P1982" s="4"/>
      <x:c r="Q1982" s="4"/>
    </x:row>
    <x:row r="1983" ht="64" customHeight="1">
      <x:c r="A1983" s="4"/>
      <x:c r="B1983" s="4"/>
      <x:c r="C1983" s="4"/>
      <x:c r="D1983" s="4"/>
      <x:c r="E1983" s="4"/>
      <x:c r="F1983" s="4"/>
      <x:c r="G1983" s="4"/>
      <x:c r="H1983" s="4"/>
      <x:c r="I1983" s="4"/>
      <x:c r="K1983" s="4"/>
      <x:c r="L1983" s="4"/>
      <x:c r="M1983" s="4"/>
      <x:c r="N1983" s="4"/>
      <x:c r="O1983" s="4"/>
      <x:c r="P1983" s="4"/>
      <x:c r="Q1983" s="4"/>
    </x:row>
    <x:row r="1984" ht="64" customHeight="1">
      <x:c r="A1984" s="4"/>
      <x:c r="B1984" s="4"/>
      <x:c r="C1984" s="4"/>
      <x:c r="D1984" s="4"/>
      <x:c r="E1984" s="4"/>
      <x:c r="F1984" s="4"/>
      <x:c r="G1984" s="4"/>
      <x:c r="H1984" s="4"/>
      <x:c r="I1984" s="4"/>
      <x:c r="K1984" s="4"/>
      <x:c r="L1984" s="4"/>
      <x:c r="M1984" s="4"/>
      <x:c r="N1984" s="4"/>
      <x:c r="O1984" s="4"/>
      <x:c r="P1984" s="4"/>
      <x:c r="Q1984" s="4"/>
    </x:row>
    <x:row r="1985" ht="64" customHeight="1">
      <x:c r="A1985" s="4" t="str">
        <x:v>design.collection.hand_cranked_metal_drill.audit.extra.1</x:v>
      </x:c>
      <x:c r="B1985" s="4" t="str">
        <x:v>design.collection.hand_cranked_metal_drill</x:v>
      </x:c>
      <x:c r="C1985" s="4" t="str">
        <x:v>Ingredient candidate</x:v>
      </x:c>
      <x:c r="D1985" s="4" t="str">
        <x:v>proposal.audit.hand_drill_spindle</x:v>
      </x:c>
      <x:c r="E1985" s="4" t="str">
        <x:f>IFERROR(INDEX('Items'!$B$6:$B$1005,MATCH(D1985,'Items'!$A$6:$A$1005,0)),"MISSING ID")</x:f>
        <x:v>Hand-drill spindle</x:v>
      </x:c>
      <x:c r="F1985" s="4" t="str">
        <x:f>IFERROR(INDEX('Items'!$C$6:$C$1005,MATCH(D1985,'Items'!$A$6:$A$1005,0)),"MISSING ID")</x:f>
        <x:v>T3</x:v>
      </x:c>
      <x:c r="G1985" s="4" t="str">
        <x:f>IFERROR(INDEX('Items'!$D$6:$D$1005,MATCH(D1985,'Items'!$A$6:$A$1005,0)),"MISSING ID")</x:f>
        <x:v>Crafting components</x:v>
      </x:c>
      <x:c r="H1985" s="4" t="str">
        <x:f>IFERROR(INDEX('Items'!$X$6:$X$1005,MATCH(D1985,'Items'!$A$6:$A$1005,0)),"MISSING ID")</x:f>
        <x:v>Machine part</x:v>
      </x:c>
      <x:c r="I1985" s="4"/>
      <x:c r="J1985" s="4" t="str">
        <x:v>Unspecified</x:v>
      </x:c>
      <x:c r="K1985" s="4" t="str">
        <x:f>IFERROR(INDEX('Crafting recipes'!$D$6:$D$1005,MATCH(B1985,'Crafting recipes'!$A$6:$A$1005,0)),"MISSING ID")</x:f>
        <x:v>Proposal</x:v>
      </x:c>
      <x:c r="L1985" s="4" t="str">
        <x:f>IFERROR(INDEX('Items'!$AD$6:$AD$1005,MATCH(D1985,'Items'!$A$6:$A$1005,0)),"MISSING ID")</x:f>
        <x:v>Proposal</x:v>
      </x:c>
      <x:c r="M1985" s="4" t="str">
        <x:f>IFERROR(INDEX('Crafting recipes'!$E$6:$E$1005,MATCH(B1985,'Crafting recipes'!$A$6:$A$1005,0)),"MISSING ID")</x:f>
        <x:v>Partial proposal</x:v>
      </x:c>
      <x:c r="N1985" s="4" t="str">
        <x:v>Partial audit candidate; quantity, fit and performance remain unresolved.</x:v>
      </x:c>
      <x:c r="O19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5" s="4" t="n">
        <x:f>IF(OR(C1985="Ingredient candidate",C1985="Consumed input",C1985="Contained input",C1985="Transform input"),IF(F1985="T0",0,IF(F1985="T1",1,IF(F1985="T2",2,IF(F1985="T3",3,IF(F1985="T4",4,-1))))),-1)</x:f>
        <x:v>3</x:v>
      </x:c>
      <x:c r="Q1985" s="4" t="n">
        <x:f>IF(AND(OR(C1985="Ingredient candidate",C1985="Consumed input",C1985="Contained input",C1985="Transform input"),P1985=-1),1,0)</x:f>
        <x:v>0</x:v>
      </x:c>
    </x:row>
    <x:row r="1986" ht="64" customHeight="1">
      <x:c r="A1986" s="4" t="str">
        <x:v>design.collection.hand_cranked_metal_drill.audit.extra.2</x:v>
      </x:c>
      <x:c r="B1986" s="4" t="str">
        <x:v>design.collection.hand_cranked_metal_drill</x:v>
      </x:c>
      <x:c r="C1986" s="4" t="str">
        <x:v>Ingredient candidate</x:v>
      </x:c>
      <x:c r="D1986" s="4" t="str">
        <x:v>proposal.collection.straight_cut_spur_gear</x:v>
      </x:c>
      <x:c r="E1986" s="4" t="str">
        <x:f>IFERROR(INDEX('Items'!$B$6:$B$1005,MATCH(D1986,'Items'!$A$6:$A$1005,0)),"MISSING ID")</x:f>
        <x:v>Straight-cut spur gear</x:v>
      </x:c>
      <x:c r="F1986" s="4" t="str">
        <x:f>IFERROR(INDEX('Items'!$C$6:$C$1005,MATCH(D1986,'Items'!$A$6:$A$1005,0)),"MISSING ID")</x:f>
        <x:v>T3</x:v>
      </x:c>
      <x:c r="G1986" s="4" t="str">
        <x:f>IFERROR(INDEX('Items'!$D$6:$D$1005,MATCH(D1986,'Items'!$A$6:$A$1005,0)),"MISSING ID")</x:f>
        <x:v>Crafting components</x:v>
      </x:c>
      <x:c r="H1986" s="4" t="str">
        <x:f>IFERROR(INDEX('Items'!$X$6:$X$1005,MATCH(D1986,'Items'!$A$6:$A$1005,0)),"MISSING ID")</x:f>
        <x:v>Machine part</x:v>
      </x:c>
      <x:c r="I1986" s="4"/>
      <x:c r="J1986" s="4" t="str">
        <x:v>Unspecified</x:v>
      </x:c>
      <x:c r="K1986" s="4" t="str">
        <x:f>IFERROR(INDEX('Crafting recipes'!$D$6:$D$1005,MATCH(B1986,'Crafting recipes'!$A$6:$A$1005,0)),"MISSING ID")</x:f>
        <x:v>Proposal</x:v>
      </x:c>
      <x:c r="L1986" s="4" t="str">
        <x:f>IFERROR(INDEX('Items'!$AD$6:$AD$1005,MATCH(D1986,'Items'!$A$6:$A$1005,0)),"MISSING ID")</x:f>
        <x:v>Proposal</x:v>
      </x:c>
      <x:c r="M1986" s="4" t="str">
        <x:f>IFERROR(INDEX('Crafting recipes'!$E$6:$E$1005,MATCH(B1986,'Crafting recipes'!$A$6:$A$1005,0)),"MISSING ID")</x:f>
        <x:v>Partial proposal</x:v>
      </x:c>
      <x:c r="N1986" s="4" t="str">
        <x:v>Partial audit candidate; quantity, fit and performance remain unresolved.</x:v>
      </x:c>
      <x:c r="O19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6" s="4" t="n">
        <x:f>IF(OR(C1986="Ingredient candidate",C1986="Consumed input",C1986="Contained input",C1986="Transform input"),IF(F1986="T0",0,IF(F1986="T1",1,IF(F1986="T2",2,IF(F1986="T3",3,IF(F1986="T4",4,-1))))),-1)</x:f>
        <x:v>3</x:v>
      </x:c>
      <x:c r="Q1986" s="4" t="n">
        <x:f>IF(AND(OR(C1986="Ingredient candidate",C1986="Consumed input",C1986="Contained input",C1986="Transform input"),P1986=-1),1,0)</x:f>
        <x:v>0</x:v>
      </x:c>
    </x:row>
    <x:row r="1987" ht="64" customHeight="1">
      <x:c r="A1987" s="4" t="str">
        <x:v>design.collection.hand_cranked_metal_drill.audit.extra.3</x:v>
      </x:c>
      <x:c r="B1987" s="4" t="str">
        <x:v>design.collection.hand_cranked_metal_drill</x:v>
      </x:c>
      <x:c r="C1987" s="4" t="str">
        <x:v>Ingredient candidate</x:v>
      </x:c>
      <x:c r="D1987" s="4" t="str">
        <x:v>proposal.audit.replaceable_drill_bit_insert</x:v>
      </x:c>
      <x:c r="E1987" s="4" t="str">
        <x:f>IFERROR(INDEX('Items'!$B$6:$B$1005,MATCH(D1987,'Items'!$A$6:$A$1005,0)),"MISSING ID")</x:f>
        <x:v>Replaceable drill-bit insert</x:v>
      </x:c>
      <x:c r="F1987" s="4" t="str">
        <x:f>IFERROR(INDEX('Items'!$C$6:$C$1005,MATCH(D1987,'Items'!$A$6:$A$1005,0)),"MISSING ID")</x:f>
        <x:v>T3</x:v>
      </x:c>
      <x:c r="G1987" s="4" t="str">
        <x:f>IFERROR(INDEX('Items'!$D$6:$D$1005,MATCH(D1987,'Items'!$A$6:$A$1005,0)),"MISSING ID")</x:f>
        <x:v>Crafting components</x:v>
      </x:c>
      <x:c r="H1987" s="4" t="str">
        <x:f>IFERROR(INDEX('Items'!$X$6:$X$1005,MATCH(D1987,'Items'!$A$6:$A$1005,0)),"MISSING ID")</x:f>
        <x:v>Machine part</x:v>
      </x:c>
      <x:c r="I1987" s="4"/>
      <x:c r="J1987" s="4" t="str">
        <x:v>Unspecified</x:v>
      </x:c>
      <x:c r="K1987" s="4" t="str">
        <x:f>IFERROR(INDEX('Crafting recipes'!$D$6:$D$1005,MATCH(B1987,'Crafting recipes'!$A$6:$A$1005,0)),"MISSING ID")</x:f>
        <x:v>Proposal</x:v>
      </x:c>
      <x:c r="L1987" s="4" t="str">
        <x:f>IFERROR(INDEX('Items'!$AD$6:$AD$1005,MATCH(D1987,'Items'!$A$6:$A$1005,0)),"MISSING ID")</x:f>
        <x:v>Proposal</x:v>
      </x:c>
      <x:c r="M1987" s="4" t="str">
        <x:f>IFERROR(INDEX('Crafting recipes'!$E$6:$E$1005,MATCH(B1987,'Crafting recipes'!$A$6:$A$1005,0)),"MISSING ID")</x:f>
        <x:v>Partial proposal</x:v>
      </x:c>
      <x:c r="N1987" s="4" t="str">
        <x:v>Partial audit candidate; quantity, fit and performance remain unresolved.</x:v>
      </x:c>
      <x:c r="O19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7" s="4" t="n">
        <x:f>IF(OR(C1987="Ingredient candidate",C1987="Consumed input",C1987="Contained input",C1987="Transform input"),IF(F1987="T0",0,IF(F1987="T1",1,IF(F1987="T2",2,IF(F1987="T3",3,IF(F1987="T4",4,-1))))),-1)</x:f>
        <x:v>3</x:v>
      </x:c>
      <x:c r="Q1987" s="4" t="n">
        <x:f>IF(AND(OR(C1987="Ingredient candidate",C1987="Consumed input",C1987="Contained input",C1987="Transform input"),P1987=-1),1,0)</x:f>
        <x:v>0</x:v>
      </x:c>
    </x:row>
    <x:row r="1988" ht="64" customHeight="1">
      <x:c r="A1988" s="4" t="str">
        <x:v>design.collection.hand_cranked_metal_drill.audit.extra.4</x:v>
      </x:c>
      <x:c r="B1988" s="4" t="str">
        <x:v>design.collection.hand_cranked_metal_drill</x:v>
      </x:c>
      <x:c r="C1988" s="4" t="str">
        <x:v>Ingredient candidate</x:v>
      </x:c>
      <x:c r="D1988" s="4" t="str">
        <x:v>proposal.audit.shaped_metal_grip_blank</x:v>
      </x:c>
      <x:c r="E1988" s="4" t="str">
        <x:f>IFERROR(INDEX('Items'!$B$6:$B$1005,MATCH(D1988,'Items'!$A$6:$A$1005,0)),"MISSING ID")</x:f>
        <x:v>Shaped metal grip blank</x:v>
      </x:c>
      <x:c r="F1988" s="4" t="str">
        <x:f>IFERROR(INDEX('Items'!$C$6:$C$1005,MATCH(D1988,'Items'!$A$6:$A$1005,0)),"MISSING ID")</x:f>
        <x:v>T3</x:v>
      </x:c>
      <x:c r="G1988" s="4" t="str">
        <x:f>IFERROR(INDEX('Items'!$D$6:$D$1005,MATCH(D1988,'Items'!$A$6:$A$1005,0)),"MISSING ID")</x:f>
        <x:v>Crafting components</x:v>
      </x:c>
      <x:c r="H1988" s="4" t="str">
        <x:f>IFERROR(INDEX('Items'!$X$6:$X$1005,MATCH(D1988,'Items'!$A$6:$A$1005,0)),"MISSING ID")</x:f>
        <x:v>Crafting component</x:v>
      </x:c>
      <x:c r="I1988" s="4"/>
      <x:c r="J1988" s="4" t="str">
        <x:v>Unspecified</x:v>
      </x:c>
      <x:c r="K1988" s="4" t="str">
        <x:f>IFERROR(INDEX('Crafting recipes'!$D$6:$D$1005,MATCH(B1988,'Crafting recipes'!$A$6:$A$1005,0)),"MISSING ID")</x:f>
        <x:v>Proposal</x:v>
      </x:c>
      <x:c r="L1988" s="4" t="str">
        <x:f>IFERROR(INDEX('Items'!$AD$6:$AD$1005,MATCH(D1988,'Items'!$A$6:$A$1005,0)),"MISSING ID")</x:f>
        <x:v>Proposal</x:v>
      </x:c>
      <x:c r="M1988" s="4" t="str">
        <x:f>IFERROR(INDEX('Crafting recipes'!$E$6:$E$1005,MATCH(B1988,'Crafting recipes'!$A$6:$A$1005,0)),"MISSING ID")</x:f>
        <x:v>Partial proposal</x:v>
      </x:c>
      <x:c r="N1988" s="4" t="str">
        <x:v>Partial audit candidate; quantity, fit and performance remain unresolved.</x:v>
      </x:c>
      <x:c r="O19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8" s="4" t="n">
        <x:f>IF(OR(C1988="Ingredient candidate",C1988="Consumed input",C1988="Contained input",C1988="Transform input"),IF(F1988="T0",0,IF(F1988="T1",1,IF(F1988="T2",2,IF(F1988="T3",3,IF(F1988="T4",4,-1))))),-1)</x:f>
        <x:v>3</x:v>
      </x:c>
      <x:c r="Q1988" s="4" t="n">
        <x:f>IF(AND(OR(C1988="Ingredient candidate",C1988="Consumed input",C1988="Contained input",C1988="Transform input"),P1988=-1),1,0)</x:f>
        <x:v>0</x:v>
      </x:c>
    </x:row>
    <x:row r="1989" ht="64" customHeight="1">
      <x:c r="A1989" s="4"/>
      <x:c r="B1989" s="4"/>
      <x:c r="C1989" s="4"/>
      <x:c r="D1989" s="4"/>
      <x:c r="E1989" s="4"/>
      <x:c r="F1989" s="4"/>
      <x:c r="G1989" s="4"/>
      <x:c r="H1989" s="4"/>
      <x:c r="I1989" s="4"/>
      <x:c r="K1989" s="4"/>
      <x:c r="L1989" s="4"/>
      <x:c r="M1989" s="4"/>
      <x:c r="N1989" s="4"/>
      <x:c r="O1989" s="4"/>
      <x:c r="P1989" s="4"/>
      <x:c r="Q1989" s="4"/>
    </x:row>
    <x:row r="1990" ht="64" customHeight="1">
      <x:c r="A1990" s="4"/>
      <x:c r="B1990" s="4"/>
      <x:c r="C1990" s="4"/>
      <x:c r="D1990" s="4"/>
      <x:c r="E1990" s="4"/>
      <x:c r="F1990" s="4"/>
      <x:c r="G1990" s="4"/>
      <x:c r="H1990" s="4"/>
      <x:c r="I1990" s="4"/>
      <x:c r="K1990" s="4"/>
      <x:c r="L1990" s="4"/>
      <x:c r="M1990" s="4"/>
      <x:c r="N1990" s="4"/>
      <x:c r="O1990" s="4"/>
      <x:c r="P1990" s="4"/>
      <x:c r="Q1990" s="4"/>
    </x:row>
    <x:row r="1991" ht="64" customHeight="1">
      <x:c r="A1991" s="4" t="str">
        <x:v>design.collection.husk_sheet_cutting_shears.audit.extra.7</x:v>
      </x:c>
      <x:c r="B1991" s="4" t="str">
        <x:v>design.collection.husk_sheet_cutting_shears</x:v>
      </x:c>
      <x:c r="C1991" s="4" t="str">
        <x:v>Ingredient candidate</x:v>
      </x:c>
      <x:c r="D1991" s="4" t="str">
        <x:v>proposal.audit.shaped_metal_grip_blank</x:v>
      </x:c>
      <x:c r="E1991" s="4" t="str">
        <x:f>IFERROR(INDEX('Items'!$B$6:$B$1005,MATCH(D1991,'Items'!$A$6:$A$1005,0)),"MISSING ID")</x:f>
        <x:v>Shaped metal grip blank</x:v>
      </x:c>
      <x:c r="F1991" s="4" t="str">
        <x:f>IFERROR(INDEX('Items'!$C$6:$C$1005,MATCH(D1991,'Items'!$A$6:$A$1005,0)),"MISSING ID")</x:f>
        <x:v>T3</x:v>
      </x:c>
      <x:c r="G1991" s="4" t="str">
        <x:f>IFERROR(INDEX('Items'!$D$6:$D$1005,MATCH(D1991,'Items'!$A$6:$A$1005,0)),"MISSING ID")</x:f>
        <x:v>Crafting components</x:v>
      </x:c>
      <x:c r="H1991" s="4" t="str">
        <x:f>IFERROR(INDEX('Items'!$X$6:$X$1005,MATCH(D1991,'Items'!$A$6:$A$1005,0)),"MISSING ID")</x:f>
        <x:v>Crafting component</x:v>
      </x:c>
      <x:c r="I1991" s="4"/>
      <x:c r="J1991" s="4" t="str">
        <x:v>Unspecified</x:v>
      </x:c>
      <x:c r="K1991" s="4" t="str">
        <x:f>IFERROR(INDEX('Crafting recipes'!$D$6:$D$1005,MATCH(B1991,'Crafting recipes'!$A$6:$A$1005,0)),"MISSING ID")</x:f>
        <x:v>Proposal</x:v>
      </x:c>
      <x:c r="L1991" s="4" t="str">
        <x:f>IFERROR(INDEX('Items'!$AD$6:$AD$1005,MATCH(D1991,'Items'!$A$6:$A$1005,0)),"MISSING ID")</x:f>
        <x:v>Proposal</x:v>
      </x:c>
      <x:c r="M1991" s="4" t="str">
        <x:f>IFERROR(INDEX('Crafting recipes'!$E$6:$E$1005,MATCH(B1991,'Crafting recipes'!$A$6:$A$1005,0)),"MISSING ID")</x:f>
        <x:v>Partial proposal</x:v>
      </x:c>
      <x:c r="N1991" s="4" t="str">
        <x:v>Partial audit candidate; quantity, fit and performance remain unresolved.</x:v>
      </x:c>
      <x:c r="O19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1" s="4" t="n">
        <x:f>IF(OR(C1991="Ingredient candidate",C1991="Consumed input",C1991="Contained input",C1991="Transform input"),IF(F1991="T0",0,IF(F1991="T1",1,IF(F1991="T2",2,IF(F1991="T3",3,IF(F1991="T4",4,-1))))),-1)</x:f>
        <x:v>3</x:v>
      </x:c>
      <x:c r="Q1991" s="4" t="n">
        <x:f>IF(AND(OR(C1991="Ingredient candidate",C1991="Consumed input",C1991="Contained input",C1991="Transform input"),P1991=-1),1,0)</x:f>
        <x:v>0</x:v>
      </x:c>
    </x:row>
    <x:row r="1992" ht="64" customHeight="1">
      <x:c r="A1992" s="4" t="str">
        <x:v>design.collection.steel_limbed_crossbow.audit.extra.8</x:v>
      </x:c>
      <x:c r="B1992" s="4" t="str">
        <x:v>design.collection.steel_limbed_crossbow</x:v>
      </x:c>
      <x:c r="C1992" s="4" t="str">
        <x:v>Ingredient candidate</x:v>
      </x:c>
      <x:c r="D1992" s="4" t="str">
        <x:v>proposal.audit.compact_latch_and_trigger_pack</x:v>
      </x:c>
      <x:c r="E1992" s="4" t="str">
        <x:f>IFERROR(INDEX('Items'!$B$6:$B$1005,MATCH(D1992,'Items'!$A$6:$A$1005,0)),"MISSING ID")</x:f>
        <x:v>Compact latch and trigger pack</x:v>
      </x:c>
      <x:c r="F1992" s="4" t="str">
        <x:f>IFERROR(INDEX('Items'!$C$6:$C$1005,MATCH(D1992,'Items'!$A$6:$A$1005,0)),"MISSING ID")</x:f>
        <x:v>T4</x:v>
      </x:c>
      <x:c r="G1992" s="4" t="str">
        <x:f>IFERROR(INDEX('Items'!$D$6:$D$1005,MATCH(D1992,'Items'!$A$6:$A$1005,0)),"MISSING ID")</x:f>
        <x:v>Crafting components</x:v>
      </x:c>
      <x:c r="H1992" s="4" t="str">
        <x:f>IFERROR(INDEX('Items'!$X$6:$X$1005,MATCH(D1992,'Items'!$A$6:$A$1005,0)),"MISSING ID")</x:f>
        <x:v>Crafting component</x:v>
      </x:c>
      <x:c r="I1992" s="4"/>
      <x:c r="J1992" s="4" t="str">
        <x:v>Unspecified</x:v>
      </x:c>
      <x:c r="K1992" s="4" t="str">
        <x:f>IFERROR(INDEX('Crafting recipes'!$D$6:$D$1005,MATCH(B1992,'Crafting recipes'!$A$6:$A$1005,0)),"MISSING ID")</x:f>
        <x:v>Proposal</x:v>
      </x:c>
      <x:c r="L1992" s="4" t="str">
        <x:f>IFERROR(INDEX('Items'!$AD$6:$AD$1005,MATCH(D1992,'Items'!$A$6:$A$1005,0)),"MISSING ID")</x:f>
        <x:v>Proposal</x:v>
      </x:c>
      <x:c r="M1992" s="4" t="str">
        <x:f>IFERROR(INDEX('Crafting recipes'!$E$6:$E$1005,MATCH(B1992,'Crafting recipes'!$A$6:$A$1005,0)),"MISSING ID")</x:f>
        <x:v>Partial proposal</x:v>
      </x:c>
      <x:c r="N1992" s="4" t="str">
        <x:v>Partial audit candidate; quantity, fit and performance remain unresolved.</x:v>
      </x:c>
      <x:c r="O19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2" s="4" t="n">
        <x:f>IF(OR(C1992="Ingredient candidate",C1992="Consumed input",C1992="Contained input",C1992="Transform input"),IF(F1992="T0",0,IF(F1992="T1",1,IF(F1992="T2",2,IF(F1992="T3",3,IF(F1992="T4",4,-1))))),-1)</x:f>
        <x:v>4</x:v>
      </x:c>
      <x:c r="Q1992" s="4" t="n">
        <x:f>IF(AND(OR(C1992="Ingredient candidate",C1992="Consumed input",C1992="Contained input",C1992="Transform input"),P1992=-1),1,0)</x:f>
        <x:v>0</x:v>
      </x:c>
    </x:row>
    <x:row r="1993" ht="64" customHeight="1">
      <x:c r="A1993" s="4" t="str">
        <x:v>design.collection.steel_limbed_crossbow.audit.extra.9</x:v>
      </x:c>
      <x:c r="B1993" s="4" t="str">
        <x:v>design.collection.steel_limbed_crossbow</x:v>
      </x:c>
      <x:c r="C1993" s="4" t="str">
        <x:v>Ingredient candidate</x:v>
      </x:c>
      <x:c r="D1993" s="4" t="str">
        <x:v>proposal.audit.shaped_metal_grip_blank</x:v>
      </x:c>
      <x:c r="E1993" s="4" t="str">
        <x:f>IFERROR(INDEX('Items'!$B$6:$B$1005,MATCH(D1993,'Items'!$A$6:$A$1005,0)),"MISSING ID")</x:f>
        <x:v>Shaped metal grip blank</x:v>
      </x:c>
      <x:c r="F1993" s="4" t="str">
        <x:f>IFERROR(INDEX('Items'!$C$6:$C$1005,MATCH(D1993,'Items'!$A$6:$A$1005,0)),"MISSING ID")</x:f>
        <x:v>T3</x:v>
      </x:c>
      <x:c r="G1993" s="4" t="str">
        <x:f>IFERROR(INDEX('Items'!$D$6:$D$1005,MATCH(D1993,'Items'!$A$6:$A$1005,0)),"MISSING ID")</x:f>
        <x:v>Crafting components</x:v>
      </x:c>
      <x:c r="H1993" s="4" t="str">
        <x:f>IFERROR(INDEX('Items'!$X$6:$X$1005,MATCH(D1993,'Items'!$A$6:$A$1005,0)),"MISSING ID")</x:f>
        <x:v>Crafting component</x:v>
      </x:c>
      <x:c r="I1993" s="4"/>
      <x:c r="J1993" s="4" t="str">
        <x:v>Unspecified</x:v>
      </x:c>
      <x:c r="K1993" s="4" t="str">
        <x:f>IFERROR(INDEX('Crafting recipes'!$D$6:$D$1005,MATCH(B1993,'Crafting recipes'!$A$6:$A$1005,0)),"MISSING ID")</x:f>
        <x:v>Proposal</x:v>
      </x:c>
      <x:c r="L1993" s="4" t="str">
        <x:f>IFERROR(INDEX('Items'!$AD$6:$AD$1005,MATCH(D1993,'Items'!$A$6:$A$1005,0)),"MISSING ID")</x:f>
        <x:v>Proposal</x:v>
      </x:c>
      <x:c r="M1993" s="4" t="str">
        <x:f>IFERROR(INDEX('Crafting recipes'!$E$6:$E$1005,MATCH(B1993,'Crafting recipes'!$A$6:$A$1005,0)),"MISSING ID")</x:f>
        <x:v>Partial proposal</x:v>
      </x:c>
      <x:c r="N1993" s="4" t="str">
        <x:v>Partial audit candidate; quantity, fit and performance remain unresolved.</x:v>
      </x:c>
      <x:c r="O19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3" s="4" t="n">
        <x:f>IF(OR(C1993="Ingredient candidate",C1993="Consumed input",C1993="Contained input",C1993="Transform input"),IF(F1993="T0",0,IF(F1993="T1",1,IF(F1993="T2",2,IF(F1993="T3",3,IF(F1993="T4",4,-1))))),-1)</x:f>
        <x:v>3</x:v>
      </x:c>
      <x:c r="Q1993" s="4" t="n">
        <x:f>IF(AND(OR(C1993="Ingredient candidate",C1993="Consumed input",C1993="Contained input",C1993="Transform input"),P1993=-1),1,0)</x:f>
        <x:v>0</x:v>
      </x:c>
    </x:row>
    <x:row r="1994" ht="64" customHeight="1">
      <x:c r="A1994" s="4" t="str">
        <x:v>design.collection.crank_wound_siege_bow.audit.extra.10</x:v>
      </x:c>
      <x:c r="B1994" s="4" t="str">
        <x:v>design.collection.crank_wound_siege_bow</x:v>
      </x:c>
      <x:c r="C1994" s="4" t="str">
        <x:v>Ingredient candidate</x:v>
      </x:c>
      <x:c r="D1994" s="4" t="str">
        <x:v>proposal.audit.compact_latch_and_trigger_pack</x:v>
      </x:c>
      <x:c r="E1994" s="4" t="str">
        <x:f>IFERROR(INDEX('Items'!$B$6:$B$1005,MATCH(D1994,'Items'!$A$6:$A$1005,0)),"MISSING ID")</x:f>
        <x:v>Compact latch and trigger pack</x:v>
      </x:c>
      <x:c r="F1994" s="4" t="str">
        <x:f>IFERROR(INDEX('Items'!$C$6:$C$1005,MATCH(D1994,'Items'!$A$6:$A$1005,0)),"MISSING ID")</x:f>
        <x:v>T4</x:v>
      </x:c>
      <x:c r="G1994" s="4" t="str">
        <x:f>IFERROR(INDEX('Items'!$D$6:$D$1005,MATCH(D1994,'Items'!$A$6:$A$1005,0)),"MISSING ID")</x:f>
        <x:v>Crafting components</x:v>
      </x:c>
      <x:c r="H1994" s="4" t="str">
        <x:f>IFERROR(INDEX('Items'!$X$6:$X$1005,MATCH(D1994,'Items'!$A$6:$A$1005,0)),"MISSING ID")</x:f>
        <x:v>Crafting component</x:v>
      </x:c>
      <x:c r="I1994" s="4"/>
      <x:c r="J1994" s="4" t="str">
        <x:v>Unspecified</x:v>
      </x:c>
      <x:c r="K1994" s="4" t="str">
        <x:f>IFERROR(INDEX('Crafting recipes'!$D$6:$D$1005,MATCH(B1994,'Crafting recipes'!$A$6:$A$1005,0)),"MISSING ID")</x:f>
        <x:v>Proposal</x:v>
      </x:c>
      <x:c r="L1994" s="4" t="str">
        <x:f>IFERROR(INDEX('Items'!$AD$6:$AD$1005,MATCH(D1994,'Items'!$A$6:$A$1005,0)),"MISSING ID")</x:f>
        <x:v>Proposal</x:v>
      </x:c>
      <x:c r="M1994" s="4" t="str">
        <x:f>IFERROR(INDEX('Crafting recipes'!$E$6:$E$1005,MATCH(B1994,'Crafting recipes'!$A$6:$A$1005,0)),"MISSING ID")</x:f>
        <x:v>Partial proposal</x:v>
      </x:c>
      <x:c r="N1994" s="4" t="str">
        <x:v>Partial audit candidate; quantity, fit and performance remain unresolved.</x:v>
      </x:c>
      <x:c r="O19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4" s="4" t="n">
        <x:f>IF(OR(C1994="Ingredient candidate",C1994="Consumed input",C1994="Contained input",C1994="Transform input"),IF(F1994="T0",0,IF(F1994="T1",1,IF(F1994="T2",2,IF(F1994="T3",3,IF(F1994="T4",4,-1))))),-1)</x:f>
        <x:v>4</x:v>
      </x:c>
      <x:c r="Q1994" s="4" t="n">
        <x:f>IF(AND(OR(C1994="Ingredient candidate",C1994="Consumed input",C1994="Contained input",C1994="Transform input"),P1994=-1),1,0)</x:f>
        <x:v>0</x:v>
      </x:c>
    </x:row>
    <x:row r="1995" ht="64" customHeight="1">
      <x:c r="A1995" s="4" t="str">
        <x:v>design.collection.crank_wound_siege_bow.audit.extra.11</x:v>
      </x:c>
      <x:c r="B1995" s="4" t="str">
        <x:v>design.collection.crank_wound_siege_bow</x:v>
      </x:c>
      <x:c r="C1995" s="4" t="str">
        <x:v>Ingredient candidate</x:v>
      </x:c>
      <x:c r="D1995" s="4" t="str">
        <x:v>proposal.collection.ratchet_wheel</x:v>
      </x:c>
      <x:c r="E1995" s="4" t="str">
        <x:f>IFERROR(INDEX('Items'!$B$6:$B$1005,MATCH(D1995,'Items'!$A$6:$A$1005,0)),"MISSING ID")</x:f>
        <x:v>Ratchet wheel</x:v>
      </x:c>
      <x:c r="F1995" s="4" t="str">
        <x:f>IFERROR(INDEX('Items'!$C$6:$C$1005,MATCH(D1995,'Items'!$A$6:$A$1005,0)),"MISSING ID")</x:f>
        <x:v>T3</x:v>
      </x:c>
      <x:c r="G1995" s="4" t="str">
        <x:f>IFERROR(INDEX('Items'!$D$6:$D$1005,MATCH(D1995,'Items'!$A$6:$A$1005,0)),"MISSING ID")</x:f>
        <x:v>Crafting components</x:v>
      </x:c>
      <x:c r="H1995" s="4" t="str">
        <x:f>IFERROR(INDEX('Items'!$X$6:$X$1005,MATCH(D1995,'Items'!$A$6:$A$1005,0)),"MISSING ID")</x:f>
        <x:v>Machine part</x:v>
      </x:c>
      <x:c r="I1995" s="4"/>
      <x:c r="J1995" s="4" t="str">
        <x:v>Unspecified</x:v>
      </x:c>
      <x:c r="K1995" s="4" t="str">
        <x:f>IFERROR(INDEX('Crafting recipes'!$D$6:$D$1005,MATCH(B1995,'Crafting recipes'!$A$6:$A$1005,0)),"MISSING ID")</x:f>
        <x:v>Proposal</x:v>
      </x:c>
      <x:c r="L1995" s="4" t="str">
        <x:f>IFERROR(INDEX('Items'!$AD$6:$AD$1005,MATCH(D1995,'Items'!$A$6:$A$1005,0)),"MISSING ID")</x:f>
        <x:v>Proposal</x:v>
      </x:c>
      <x:c r="M1995" s="4" t="str">
        <x:f>IFERROR(INDEX('Crafting recipes'!$E$6:$E$1005,MATCH(B1995,'Crafting recipes'!$A$6:$A$1005,0)),"MISSING ID")</x:f>
        <x:v>Partial proposal</x:v>
      </x:c>
      <x:c r="N1995" s="4" t="str">
        <x:v>Partial audit candidate; quantity, fit and performance remain unresolved.</x:v>
      </x:c>
      <x:c r="O19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5" s="4" t="n">
        <x:f>IF(OR(C1995="Ingredient candidate",C1995="Consumed input",C1995="Contained input",C1995="Transform input"),IF(F1995="T0",0,IF(F1995="T1",1,IF(F1995="T2",2,IF(F1995="T3",3,IF(F1995="T4",4,-1))))),-1)</x:f>
        <x:v>3</x:v>
      </x:c>
      <x:c r="Q1995" s="4" t="n">
        <x:f>IF(AND(OR(C1995="Ingredient candidate",C1995="Consumed input",C1995="Contained input",C1995="Transform input"),P1995=-1),1,0)</x:f>
        <x:v>0</x:v>
      </x:c>
    </x:row>
    <x:row r="1996" ht="64" customHeight="1">
      <x:c r="A1996" s="4" t="str">
        <x:v>design.collection.crank_wound_siege_bow.audit.extra.12</x:v>
      </x:c>
      <x:c r="B1996" s="4" t="str">
        <x:v>design.collection.crank_wound_siege_bow</x:v>
      </x:c>
      <x:c r="C1996" s="4" t="str">
        <x:v>Ingredient candidate</x:v>
      </x:c>
      <x:c r="D1996" s="4" t="str">
        <x:v>proposal.collection.ratchet_pawl</x:v>
      </x:c>
      <x:c r="E1996" s="4" t="str">
        <x:f>IFERROR(INDEX('Items'!$B$6:$B$1005,MATCH(D1996,'Items'!$A$6:$A$1005,0)),"MISSING ID")</x:f>
        <x:v>Ratchet pawl</x:v>
      </x:c>
      <x:c r="F1996" s="4" t="str">
        <x:f>IFERROR(INDEX('Items'!$C$6:$C$1005,MATCH(D1996,'Items'!$A$6:$A$1005,0)),"MISSING ID")</x:f>
        <x:v>T4</x:v>
      </x:c>
      <x:c r="G1996" s="4" t="str">
        <x:f>IFERROR(INDEX('Items'!$D$6:$D$1005,MATCH(D1996,'Items'!$A$6:$A$1005,0)),"MISSING ID")</x:f>
        <x:v>Crafting components</x:v>
      </x:c>
      <x:c r="H1996" s="4" t="str">
        <x:f>IFERROR(INDEX('Items'!$X$6:$X$1005,MATCH(D1996,'Items'!$A$6:$A$1005,0)),"MISSING ID")</x:f>
        <x:v>Machine part</x:v>
      </x:c>
      <x:c r="I1996" s="4"/>
      <x:c r="J1996" s="4" t="str">
        <x:v>Unspecified</x:v>
      </x:c>
      <x:c r="K1996" s="4" t="str">
        <x:f>IFERROR(INDEX('Crafting recipes'!$D$6:$D$1005,MATCH(B1996,'Crafting recipes'!$A$6:$A$1005,0)),"MISSING ID")</x:f>
        <x:v>Proposal</x:v>
      </x:c>
      <x:c r="L1996" s="4" t="str">
        <x:f>IFERROR(INDEX('Items'!$AD$6:$AD$1005,MATCH(D1996,'Items'!$A$6:$A$1005,0)),"MISSING ID")</x:f>
        <x:v>Proposal</x:v>
      </x:c>
      <x:c r="M1996" s="4" t="str">
        <x:f>IFERROR(INDEX('Crafting recipes'!$E$6:$E$1005,MATCH(B1996,'Crafting recipes'!$A$6:$A$1005,0)),"MISSING ID")</x:f>
        <x:v>Partial proposal</x:v>
      </x:c>
      <x:c r="N1996" s="4" t="str">
        <x:v>Partial audit candidate; quantity, fit and performance remain unresolved.</x:v>
      </x:c>
      <x:c r="O19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6" s="4" t="n">
        <x:f>IF(OR(C1996="Ingredient candidate",C1996="Consumed input",C1996="Contained input",C1996="Transform input"),IF(F1996="T0",0,IF(F1996="T1",1,IF(F1996="T2",2,IF(F1996="T3",3,IF(F1996="T4",4,-1))))),-1)</x:f>
        <x:v>4</x:v>
      </x:c>
      <x:c r="Q1996" s="4" t="n">
        <x:f>IF(AND(OR(C1996="Ingredient candidate",C1996="Consumed input",C1996="Contained input",C1996="Transform input"),P1996=-1),1,0)</x:f>
        <x:v>0</x:v>
      </x:c>
    </x:row>
    <x:row r="1997" ht="64" customHeight="1">
      <x:c r="A1997" s="4" t="str">
        <x:v>design.collection.crank_wound_siege_bow.audit.extra.13</x:v>
      </x:c>
      <x:c r="B1997" s="4" t="str">
        <x:v>design.collection.crank_wound_siege_bow</x:v>
      </x:c>
      <x:c r="C1997" s="4" t="str">
        <x:v>Ingredient candidate</x:v>
      </x:c>
      <x:c r="D1997" s="4" t="str">
        <x:v>proposal.collection.grooved_lift_pulley</x:v>
      </x:c>
      <x:c r="E1997" s="4" t="str">
        <x:f>IFERROR(INDEX('Items'!$B$6:$B$1005,MATCH(D1997,'Items'!$A$6:$A$1005,0)),"MISSING ID")</x:f>
        <x:v>Grooved lift pulley</x:v>
      </x:c>
      <x:c r="F1997" s="4" t="str">
        <x:f>IFERROR(INDEX('Items'!$C$6:$C$1005,MATCH(D1997,'Items'!$A$6:$A$1005,0)),"MISSING ID")</x:f>
        <x:v>T3</x:v>
      </x:c>
      <x:c r="G1997" s="4" t="str">
        <x:f>IFERROR(INDEX('Items'!$D$6:$D$1005,MATCH(D1997,'Items'!$A$6:$A$1005,0)),"MISSING ID")</x:f>
        <x:v>Crafting components</x:v>
      </x:c>
      <x:c r="H1997" s="4" t="str">
        <x:f>IFERROR(INDEX('Items'!$X$6:$X$1005,MATCH(D1997,'Items'!$A$6:$A$1005,0)),"MISSING ID")</x:f>
        <x:v>Machine part</x:v>
      </x:c>
      <x:c r="I1997" s="4"/>
      <x:c r="J1997" s="4" t="str">
        <x:v>Unspecified</x:v>
      </x:c>
      <x:c r="K1997" s="4" t="str">
        <x:f>IFERROR(INDEX('Crafting recipes'!$D$6:$D$1005,MATCH(B1997,'Crafting recipes'!$A$6:$A$1005,0)),"MISSING ID")</x:f>
        <x:v>Proposal</x:v>
      </x:c>
      <x:c r="L1997" s="4" t="str">
        <x:f>IFERROR(INDEX('Items'!$AD$6:$AD$1005,MATCH(D1997,'Items'!$A$6:$A$1005,0)),"MISSING ID")</x:f>
        <x:v>Proposal</x:v>
      </x:c>
      <x:c r="M1997" s="4" t="str">
        <x:f>IFERROR(INDEX('Crafting recipes'!$E$6:$E$1005,MATCH(B1997,'Crafting recipes'!$A$6:$A$1005,0)),"MISSING ID")</x:f>
        <x:v>Partial proposal</x:v>
      </x:c>
      <x:c r="N1997" s="4" t="str">
        <x:v>Partial audit candidate; quantity, fit and performance remain unresolved.</x:v>
      </x:c>
      <x:c r="O19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7" s="4" t="n">
        <x:f>IF(OR(C1997="Ingredient candidate",C1997="Consumed input",C1997="Contained input",C1997="Transform input"),IF(F1997="T0",0,IF(F1997="T1",1,IF(F1997="T2",2,IF(F1997="T3",3,IF(F1997="T4",4,-1))))),-1)</x:f>
        <x:v>3</x:v>
      </x:c>
      <x:c r="Q1997" s="4" t="n">
        <x:f>IF(AND(OR(C1997="Ingredient candidate",C1997="Consumed input",C1997="Contained input",C1997="Transform input"),P1997=-1),1,0)</x:f>
        <x:v>0</x:v>
      </x:c>
    </x:row>
    <x:row r="1998" ht="64" customHeight="1">
      <x:c r="A1998" s="4" t="str">
        <x:v>design.collection.crank_wound_siege_bow.audit.extra.14</x:v>
      </x:c>
      <x:c r="B1998" s="4" t="str">
        <x:v>design.collection.crank_wound_siege_bow</x:v>
      </x:c>
      <x:c r="C1998" s="4" t="str">
        <x:v>Ingredient candidate</x:v>
      </x:c>
      <x:c r="D1998" s="4" t="str">
        <x:v>proposal.bio.cord</x:v>
      </x:c>
      <x:c r="E1998" s="4" t="str">
        <x:f>IFERROR(INDEX('Items'!$B$6:$B$1005,MATCH(D1998,'Items'!$A$6:$A$1005,0)),"MISSING ID")</x:f>
        <x:v>Tendon cord</x:v>
      </x:c>
      <x:c r="F1998" s="4" t="str">
        <x:f>IFERROR(INDEX('Items'!$C$6:$C$1005,MATCH(D1998,'Items'!$A$6:$A$1005,0)),"MISSING ID")</x:f>
        <x:v>T1</x:v>
      </x:c>
      <x:c r="G1998" s="4" t="str">
        <x:f>IFERROR(INDEX('Items'!$D$6:$D$1005,MATCH(D1998,'Items'!$A$6:$A$1005,0)),"MISSING ID")</x:f>
        <x:v>Crafting components</x:v>
      </x:c>
      <x:c r="H1998" s="4" t="str">
        <x:f>IFERROR(INDEX('Items'!$X$6:$X$1005,MATCH(D1998,'Items'!$A$6:$A$1005,0)),"MISSING ID")</x:f>
        <x:v>Crafting component</x:v>
      </x:c>
      <x:c r="I1998" s="4"/>
      <x:c r="J1998" s="4" t="str">
        <x:v>Unspecified</x:v>
      </x:c>
      <x:c r="K1998" s="4" t="str">
        <x:f>IFERROR(INDEX('Crafting recipes'!$D$6:$D$1005,MATCH(B1998,'Crafting recipes'!$A$6:$A$1005,0)),"MISSING ID")</x:f>
        <x:v>Proposal</x:v>
      </x:c>
      <x:c r="L1998" s="4" t="str">
        <x:f>IFERROR(INDEX('Items'!$AD$6:$AD$1005,MATCH(D1998,'Items'!$A$6:$A$1005,0)),"MISSING ID")</x:f>
        <x:v>Proposal</x:v>
      </x:c>
      <x:c r="M1998" s="4" t="str">
        <x:f>IFERROR(INDEX('Crafting recipes'!$E$6:$E$1005,MATCH(B1998,'Crafting recipes'!$A$6:$A$1005,0)),"MISSING ID")</x:f>
        <x:v>Partial proposal</x:v>
      </x:c>
      <x:c r="N1998" s="4" t="str">
        <x:v>Partial audit candidate; quantity, fit and performance remain unresolved.</x:v>
      </x:c>
      <x:c r="O19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8" s="4" t="n">
        <x:f>IF(OR(C1998="Ingredient candidate",C1998="Consumed input",C1998="Contained input",C1998="Transform input"),IF(F1998="T0",0,IF(F1998="T1",1,IF(F1998="T2",2,IF(F1998="T3",3,IF(F1998="T4",4,-1))))),-1)</x:f>
        <x:v>1</x:v>
      </x:c>
      <x:c r="Q1998" s="4" t="n">
        <x:f>IF(AND(OR(C1998="Ingredient candidate",C1998="Consumed input",C1998="Contained input",C1998="Transform input"),P1998=-1),1,0)</x:f>
        <x:v>0</x:v>
      </x:c>
    </x:row>
    <x:row r="1999" ht="64" customHeight="1">
      <x:c r="A1999" s="4"/>
      <x:c r="B1999" s="4"/>
      <x:c r="C1999" s="4"/>
      <x:c r="D1999" s="4"/>
      <x:c r="E1999" s="4"/>
      <x:c r="F1999" s="4"/>
      <x:c r="G1999" s="4"/>
      <x:c r="H1999" s="4"/>
      <x:c r="I1999" s="4"/>
      <x:c r="K1999" s="4"/>
      <x:c r="L1999" s="4"/>
      <x:c r="M1999" s="4"/>
      <x:c r="N1999" s="4"/>
      <x:c r="O1999" s="4"/>
      <x:c r="P1999" s="4"/>
      <x:c r="Q1999" s="4"/>
    </x:row>
    <x:row r="2000" ht="64" customHeight="1">
      <x:c r="A2000" s="4"/>
      <x:c r="B2000" s="4"/>
      <x:c r="C2000" s="4"/>
      <x:c r="D2000" s="4"/>
      <x:c r="E2000" s="4"/>
      <x:c r="F2000" s="4"/>
      <x:c r="G2000" s="4"/>
      <x:c r="H2000" s="4"/>
      <x:c r="I2000" s="4"/>
      <x:c r="K2000" s="4"/>
      <x:c r="L2000" s="4"/>
      <x:c r="M2000" s="4"/>
      <x:c r="N2000" s="4"/>
      <x:c r="O2000" s="4"/>
      <x:c r="P2000" s="4"/>
      <x:c r="Q2000" s="4"/>
    </x:row>
    <x:row r="2001" ht="64" customHeight="1">
      <x:c r="A2001" s="4" t="str">
        <x:v>design.collection.pressure_rivet_launcher.audit.extra.17</x:v>
      </x:c>
      <x:c r="B2001" s="4" t="str">
        <x:v>design.collection.pressure_rivet_launcher</x:v>
      </x:c>
      <x:c r="C2001" s="4" t="str">
        <x:v>Ingredient candidate</x:v>
      </x:c>
      <x:c r="D2001" s="4" t="str">
        <x:v>proposal.audit.fitted_pressure_barrel_module</x:v>
      </x:c>
      <x:c r="E2001" s="4" t="str">
        <x:f>IFERROR(INDEX('Items'!$B$6:$B$1005,MATCH(D2001,'Items'!$A$6:$A$1005,0)),"MISSING ID")</x:f>
        <x:v>Fitted pressure-barrel module</x:v>
      </x:c>
      <x:c r="F2001" s="4" t="str">
        <x:f>IFERROR(INDEX('Items'!$C$6:$C$1005,MATCH(D2001,'Items'!$A$6:$A$1005,0)),"MISSING ID")</x:f>
        <x:v>T4</x:v>
      </x:c>
      <x:c r="G2001" s="4" t="str">
        <x:f>IFERROR(INDEX('Items'!$D$6:$D$1005,MATCH(D2001,'Items'!$A$6:$A$1005,0)),"MISSING ID")</x:f>
        <x:v>Crafting components</x:v>
      </x:c>
      <x:c r="H2001" s="4" t="str">
        <x:f>IFERROR(INDEX('Items'!$X$6:$X$1005,MATCH(D2001,'Items'!$A$6:$A$1005,0)),"MISSING ID")</x:f>
        <x:v>Crafting component</x:v>
      </x:c>
      <x:c r="I2001" s="4"/>
      <x:c r="J2001" s="4" t="str">
        <x:v>Unspecified</x:v>
      </x:c>
      <x:c r="K2001" s="4" t="str">
        <x:f>IFERROR(INDEX('Crafting recipes'!$D$6:$D$1005,MATCH(B2001,'Crafting recipes'!$A$6:$A$1005,0)),"MISSING ID")</x:f>
        <x:v>Proposal</x:v>
      </x:c>
      <x:c r="L2001" s="4" t="str">
        <x:f>IFERROR(INDEX('Items'!$AD$6:$AD$1005,MATCH(D2001,'Items'!$A$6:$A$1005,0)),"MISSING ID")</x:f>
        <x:v>Proposal</x:v>
      </x:c>
      <x:c r="M2001" s="4" t="str">
        <x:f>IFERROR(INDEX('Crafting recipes'!$E$6:$E$1005,MATCH(B2001,'Crafting recipes'!$A$6:$A$1005,0)),"MISSING ID")</x:f>
        <x:v>Partial proposal</x:v>
      </x:c>
      <x:c r="N2001" s="4" t="str">
        <x:v>Partial audit candidate; quantity, fit and performance remain unresolved.</x:v>
      </x:c>
      <x:c r="O20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1" s="4" t="n">
        <x:f>IF(OR(C2001="Ingredient candidate",C2001="Consumed input",C2001="Contained input",C2001="Transform input"),IF(F2001="T0",0,IF(F2001="T1",1,IF(F2001="T2",2,IF(F2001="T3",3,IF(F2001="T4",4,-1))))),-1)</x:f>
        <x:v>4</x:v>
      </x:c>
      <x:c r="Q2001" s="4" t="n">
        <x:f>IF(AND(OR(C2001="Ingredient candidate",C2001="Consumed input",C2001="Contained input",C2001="Transform input"),P2001=-1),1,0)</x:f>
        <x:v>0</x:v>
      </x:c>
    </x:row>
    <x:row r="2002" ht="64" customHeight="1">
      <x:c r="A2002" s="4" t="str">
        <x:v>design.collection.pressure_rivet_launcher.audit.extra.18</x:v>
      </x:c>
      <x:c r="B2002" s="4" t="str">
        <x:v>design.collection.pressure_rivet_launcher</x:v>
      </x:c>
      <x:c r="C2002" s="4" t="str">
        <x:v>Ingredient candidate</x:v>
      </x:c>
      <x:c r="D2002" s="4" t="str">
        <x:v>proposal.collection.spring_seated_check_valve</x:v>
      </x:c>
      <x:c r="E2002" s="4" t="str">
        <x:f>IFERROR(INDEX('Items'!$B$6:$B$1005,MATCH(D2002,'Items'!$A$6:$A$1005,0)),"MISSING ID")</x:f>
        <x:v>Spring-seated check valve</x:v>
      </x:c>
      <x:c r="F2002" s="4" t="str">
        <x:f>IFERROR(INDEX('Items'!$C$6:$C$1005,MATCH(D2002,'Items'!$A$6:$A$1005,0)),"MISSING ID")</x:f>
        <x:v>T4</x:v>
      </x:c>
      <x:c r="G2002" s="4" t="str">
        <x:f>IFERROR(INDEX('Items'!$D$6:$D$1005,MATCH(D2002,'Items'!$A$6:$A$1005,0)),"MISSING ID")</x:f>
        <x:v>Crafting components</x:v>
      </x:c>
      <x:c r="H2002" s="4" t="str">
        <x:f>IFERROR(INDEX('Items'!$X$6:$X$1005,MATCH(D2002,'Items'!$A$6:$A$1005,0)),"MISSING ID")</x:f>
        <x:v>Machine part</x:v>
      </x:c>
      <x:c r="I2002" s="4"/>
      <x:c r="J2002" s="4" t="str">
        <x:v>Unspecified</x:v>
      </x:c>
      <x:c r="K2002" s="4" t="str">
        <x:f>IFERROR(INDEX('Crafting recipes'!$D$6:$D$1005,MATCH(B2002,'Crafting recipes'!$A$6:$A$1005,0)),"MISSING ID")</x:f>
        <x:v>Proposal</x:v>
      </x:c>
      <x:c r="L2002" s="4" t="str">
        <x:f>IFERROR(INDEX('Items'!$AD$6:$AD$1005,MATCH(D2002,'Items'!$A$6:$A$1005,0)),"MISSING ID")</x:f>
        <x:v>Proposal</x:v>
      </x:c>
      <x:c r="M2002" s="4" t="str">
        <x:f>IFERROR(INDEX('Crafting recipes'!$E$6:$E$1005,MATCH(B2002,'Crafting recipes'!$A$6:$A$1005,0)),"MISSING ID")</x:f>
        <x:v>Partial proposal</x:v>
      </x:c>
      <x:c r="N2002" s="4" t="str">
        <x:v>Partial audit candidate; quantity, fit and performance remain unresolved.</x:v>
      </x:c>
      <x:c r="O20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2" s="4" t="n">
        <x:f>IF(OR(C2002="Ingredient candidate",C2002="Consumed input",C2002="Contained input",C2002="Transform input"),IF(F2002="T0",0,IF(F2002="T1",1,IF(F2002="T2",2,IF(F2002="T3",3,IF(F2002="T4",4,-1))))),-1)</x:f>
        <x:v>4</x:v>
      </x:c>
      <x:c r="Q2002" s="4" t="n">
        <x:f>IF(AND(OR(C2002="Ingredient candidate",C2002="Consumed input",C2002="Contained input",C2002="Transform input"),P2002=-1),1,0)</x:f>
        <x:v>0</x:v>
      </x:c>
    </x:row>
    <x:row r="2003" ht="64" customHeight="1">
      <x:c r="A2003" s="4" t="str">
        <x:v>design.collection.pressure_rivet_launcher.audit.extra.19</x:v>
      </x:c>
      <x:c r="B2003" s="4" t="str">
        <x:v>design.collection.pressure_rivet_launcher</x:v>
      </x:c>
      <x:c r="C2003" s="4" t="str">
        <x:v>Ingredient candidate</x:v>
      </x:c>
      <x:c r="D2003" s="4" t="str">
        <x:v>proposal.audit.compact_latch_and_trigger_pack</x:v>
      </x:c>
      <x:c r="E2003" s="4" t="str">
        <x:f>IFERROR(INDEX('Items'!$B$6:$B$1005,MATCH(D2003,'Items'!$A$6:$A$1005,0)),"MISSING ID")</x:f>
        <x:v>Compact latch and trigger pack</x:v>
      </x:c>
      <x:c r="F2003" s="4" t="str">
        <x:f>IFERROR(INDEX('Items'!$C$6:$C$1005,MATCH(D2003,'Items'!$A$6:$A$1005,0)),"MISSING ID")</x:f>
        <x:v>T4</x:v>
      </x:c>
      <x:c r="G2003" s="4" t="str">
        <x:f>IFERROR(INDEX('Items'!$D$6:$D$1005,MATCH(D2003,'Items'!$A$6:$A$1005,0)),"MISSING ID")</x:f>
        <x:v>Crafting components</x:v>
      </x:c>
      <x:c r="H2003" s="4" t="str">
        <x:f>IFERROR(INDEX('Items'!$X$6:$X$1005,MATCH(D2003,'Items'!$A$6:$A$1005,0)),"MISSING ID")</x:f>
        <x:v>Crafting component</x:v>
      </x:c>
      <x:c r="I2003" s="4"/>
      <x:c r="J2003" s="4" t="str">
        <x:v>Unspecified</x:v>
      </x:c>
      <x:c r="K2003" s="4" t="str">
        <x:f>IFERROR(INDEX('Crafting recipes'!$D$6:$D$1005,MATCH(B2003,'Crafting recipes'!$A$6:$A$1005,0)),"MISSING ID")</x:f>
        <x:v>Proposal</x:v>
      </x:c>
      <x:c r="L2003" s="4" t="str">
        <x:f>IFERROR(INDEX('Items'!$AD$6:$AD$1005,MATCH(D2003,'Items'!$A$6:$A$1005,0)),"MISSING ID")</x:f>
        <x:v>Proposal</x:v>
      </x:c>
      <x:c r="M2003" s="4" t="str">
        <x:f>IFERROR(INDEX('Crafting recipes'!$E$6:$E$1005,MATCH(B2003,'Crafting recipes'!$A$6:$A$1005,0)),"MISSING ID")</x:f>
        <x:v>Partial proposal</x:v>
      </x:c>
      <x:c r="N2003" s="4" t="str">
        <x:v>Partial audit candidate; quantity, fit and performance remain unresolved.</x:v>
      </x:c>
      <x:c r="O20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3" s="4" t="n">
        <x:f>IF(OR(C2003="Ingredient candidate",C2003="Consumed input",C2003="Contained input",C2003="Transform input"),IF(F2003="T0",0,IF(F2003="T1",1,IF(F2003="T2",2,IF(F2003="T3",3,IF(F2003="T4",4,-1))))),-1)</x:f>
        <x:v>4</x:v>
      </x:c>
      <x:c r="Q2003" s="4" t="n">
        <x:f>IF(AND(OR(C2003="Ingredient candidate",C2003="Consumed input",C2003="Contained input",C2003="Transform input"),P2003=-1),1,0)</x:f>
        <x:v>0</x:v>
      </x:c>
    </x:row>
    <x:row r="2004" ht="64" customHeight="1">
      <x:c r="A2004" s="4" t="str">
        <x:v>design.collection.pressure_rivet_launcher.audit.extra.20</x:v>
      </x:c>
      <x:c r="B2004" s="4" t="str">
        <x:v>design.collection.pressure_rivet_launcher</x:v>
      </x:c>
      <x:c r="C2004" s="4" t="str">
        <x:v>Ingredient candidate</x:v>
      </x:c>
      <x:c r="D2004" s="4" t="str">
        <x:v>proposal.collection.sealed_pressure_accumulator</x:v>
      </x:c>
      <x:c r="E2004" s="4" t="str">
        <x:f>IFERROR(INDEX('Items'!$B$6:$B$1005,MATCH(D2004,'Items'!$A$6:$A$1005,0)),"MISSING ID")</x:f>
        <x:v>Sealed pressure accumulator</x:v>
      </x:c>
      <x:c r="F2004" s="4" t="str">
        <x:f>IFERROR(INDEX('Items'!$C$6:$C$1005,MATCH(D2004,'Items'!$A$6:$A$1005,0)),"MISSING ID")</x:f>
        <x:v>Not applicable</x:v>
      </x:c>
      <x:c r="G2004" s="4" t="str">
        <x:f>IFERROR(INDEX('Items'!$D$6:$D$1005,MATCH(D2004,'Items'!$A$6:$A$1005,0)),"MISSING ID")</x:f>
        <x:v>Crafting components</x:v>
      </x:c>
      <x:c r="H2004" s="4" t="str">
        <x:f>IFERROR(INDEX('Items'!$X$6:$X$1005,MATCH(D2004,'Items'!$A$6:$A$1005,0)),"MISSING ID")</x:f>
        <x:v>Energy storage</x:v>
      </x:c>
      <x:c r="I2004" s="4"/>
      <x:c r="J2004" s="4" t="str">
        <x:v>Unspecified</x:v>
      </x:c>
      <x:c r="K2004" s="4" t="str">
        <x:f>IFERROR(INDEX('Crafting recipes'!$D$6:$D$1005,MATCH(B2004,'Crafting recipes'!$A$6:$A$1005,0)),"MISSING ID")</x:f>
        <x:v>Proposal</x:v>
      </x:c>
      <x:c r="L2004" s="4" t="str">
        <x:f>IFERROR(INDEX('Items'!$AD$6:$AD$1005,MATCH(D2004,'Items'!$A$6:$A$1005,0)),"MISSING ID")</x:f>
        <x:v>Proposal</x:v>
      </x:c>
      <x:c r="M2004" s="4" t="str">
        <x:f>IFERROR(INDEX('Crafting recipes'!$E$6:$E$1005,MATCH(B2004,'Crafting recipes'!$A$6:$A$1005,0)),"MISSING ID")</x:f>
        <x:v>Partial proposal</x:v>
      </x:c>
      <x:c r="N2004" s="4" t="str">
        <x:v>Partial audit candidate; quantity, fit and performance remain unresolved.</x:v>
      </x:c>
      <x:c r="O20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4" s="4" t="n">
        <x:f>IF(OR(C2004="Ingredient candidate",C2004="Consumed input",C2004="Contained input",C2004="Transform input"),IF(F2004="T0",0,IF(F2004="T1",1,IF(F2004="T2",2,IF(F2004="T3",3,IF(F2004="T4",4,-1))))),-1)</x:f>
        <x:v>-1</x:v>
      </x:c>
      <x:c r="Q2004" s="4" t="n">
        <x:f>IF(AND(OR(C2004="Ingredient candidate",C2004="Consumed input",C2004="Contained input",C2004="Transform input"),P2004=-1),1,0)</x:f>
        <x:v>1</x:v>
      </x:c>
    </x:row>
    <x:row r="2005" ht="64" customHeight="1">
      <x:c r="A2005" s="4" t="str">
        <x:v>design.collection.magnetic_dart_projector.audit.extra.21</x:v>
      </x:c>
      <x:c r="B2005" s="4" t="str">
        <x:v>design.collection.magnetic_dart_projector</x:v>
      </x:c>
      <x:c r="C2005" s="4" t="str">
        <x:v>Ingredient candidate</x:v>
      </x:c>
      <x:c r="D2005" s="4" t="str">
        <x:v>proposal.audit.fitted_machine_casing</x:v>
      </x:c>
      <x:c r="E2005" s="4" t="str">
        <x:f>IFERROR(INDEX('Items'!$B$6:$B$1005,MATCH(D2005,'Items'!$A$6:$A$1005,0)),"MISSING ID")</x:f>
        <x:v>Fitted machine casing</x:v>
      </x:c>
      <x:c r="F2005" s="4" t="str">
        <x:f>IFERROR(INDEX('Items'!$C$6:$C$1005,MATCH(D2005,'Items'!$A$6:$A$1005,0)),"MISSING ID")</x:f>
        <x:v>T3</x:v>
      </x:c>
      <x:c r="G2005" s="4" t="str">
        <x:f>IFERROR(INDEX('Items'!$D$6:$D$1005,MATCH(D2005,'Items'!$A$6:$A$1005,0)),"MISSING ID")</x:f>
        <x:v>Crafting components</x:v>
      </x:c>
      <x:c r="H2005" s="4" t="str">
        <x:f>IFERROR(INDEX('Items'!$X$6:$X$1005,MATCH(D2005,'Items'!$A$6:$A$1005,0)),"MISSING ID")</x:f>
        <x:v>Crafting component</x:v>
      </x:c>
      <x:c r="I2005" s="4"/>
      <x:c r="J2005" s="4" t="str">
        <x:v>Unspecified</x:v>
      </x:c>
      <x:c r="K2005" s="4" t="str">
        <x:f>IFERROR(INDEX('Crafting recipes'!$D$6:$D$1005,MATCH(B2005,'Crafting recipes'!$A$6:$A$1005,0)),"MISSING ID")</x:f>
        <x:v>Proposal</x:v>
      </x:c>
      <x:c r="L2005" s="4" t="str">
        <x:f>IFERROR(INDEX('Items'!$AD$6:$AD$1005,MATCH(D2005,'Items'!$A$6:$A$1005,0)),"MISSING ID")</x:f>
        <x:v>Proposal</x:v>
      </x:c>
      <x:c r="M2005" s="4" t="str">
        <x:f>IFERROR(INDEX('Crafting recipes'!$E$6:$E$1005,MATCH(B2005,'Crafting recipes'!$A$6:$A$1005,0)),"MISSING ID")</x:f>
        <x:v>Partial proposal</x:v>
      </x:c>
      <x:c r="N2005" s="4" t="str">
        <x:v>Partial audit candidate; quantity, fit and performance remain unresolved.</x:v>
      </x:c>
      <x:c r="O20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5" s="4" t="n">
        <x:f>IF(OR(C2005="Ingredient candidate",C2005="Consumed input",C2005="Contained input",C2005="Transform input"),IF(F2005="T0",0,IF(F2005="T1",1,IF(F2005="T2",2,IF(F2005="T3",3,IF(F2005="T4",4,-1))))),-1)</x:f>
        <x:v>3</x:v>
      </x:c>
      <x:c r="Q2005" s="4" t="n">
        <x:f>IF(AND(OR(C2005="Ingredient candidate",C2005="Consumed input",C2005="Contained input",C2005="Transform input"),P2005=-1),1,0)</x:f>
        <x:v>0</x:v>
      </x:c>
    </x:row>
    <x:row r="2006" ht="64" customHeight="1">
      <x:c r="A2006" s="4" t="str">
        <x:v>design.collection.magnetic_dart_projector.audit.extra.22</x:v>
      </x:c>
      <x:c r="B2006" s="4" t="str">
        <x:v>design.collection.magnetic_dart_projector</x:v>
      </x:c>
      <x:c r="C2006" s="4" t="str">
        <x:v>Ingredient candidate</x:v>
      </x:c>
      <x:c r="D2006" s="4" t="str">
        <x:v>proposal.audit.ceramic_backed_control_switch</x:v>
      </x:c>
      <x:c r="E2006" s="4" t="str">
        <x:f>IFERROR(INDEX('Items'!$B$6:$B$1005,MATCH(D2006,'Items'!$A$6:$A$1005,0)),"MISSING ID")</x:f>
        <x:v>Ceramic-backed control switch</x:v>
      </x:c>
      <x:c r="F2006" s="4" t="str">
        <x:f>IFERROR(INDEX('Items'!$C$6:$C$1005,MATCH(D2006,'Items'!$A$6:$A$1005,0)),"MISSING ID")</x:f>
        <x:v>T4</x:v>
      </x:c>
      <x:c r="G2006" s="4" t="str">
        <x:f>IFERROR(INDEX('Items'!$D$6:$D$1005,MATCH(D2006,'Items'!$A$6:$A$1005,0)),"MISSING ID")</x:f>
        <x:v>Crafting components</x:v>
      </x:c>
      <x:c r="H2006" s="4" t="str">
        <x:f>IFERROR(INDEX('Items'!$X$6:$X$1005,MATCH(D2006,'Items'!$A$6:$A$1005,0)),"MISSING ID")</x:f>
        <x:v>Crafting component</x:v>
      </x:c>
      <x:c r="I2006" s="4"/>
      <x:c r="J2006" s="4" t="str">
        <x:v>Unspecified</x:v>
      </x:c>
      <x:c r="K2006" s="4" t="str">
        <x:f>IFERROR(INDEX('Crafting recipes'!$D$6:$D$1005,MATCH(B2006,'Crafting recipes'!$A$6:$A$1005,0)),"MISSING ID")</x:f>
        <x:v>Proposal</x:v>
      </x:c>
      <x:c r="L2006" s="4" t="str">
        <x:f>IFERROR(INDEX('Items'!$AD$6:$AD$1005,MATCH(D2006,'Items'!$A$6:$A$1005,0)),"MISSING ID")</x:f>
        <x:v>Proposal</x:v>
      </x:c>
      <x:c r="M2006" s="4" t="str">
        <x:f>IFERROR(INDEX('Crafting recipes'!$E$6:$E$1005,MATCH(B2006,'Crafting recipes'!$A$6:$A$1005,0)),"MISSING ID")</x:f>
        <x:v>Partial proposal</x:v>
      </x:c>
      <x:c r="N2006" s="4" t="str">
        <x:v>Partial audit candidate; quantity, fit and performance remain unresolved.</x:v>
      </x:c>
      <x:c r="O20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6" s="4" t="n">
        <x:f>IF(OR(C2006="Ingredient candidate",C2006="Consumed input",C2006="Contained input",C2006="Transform input"),IF(F2006="T0",0,IF(F2006="T1",1,IF(F2006="T2",2,IF(F2006="T3",3,IF(F2006="T4",4,-1))))),-1)</x:f>
        <x:v>4</x:v>
      </x:c>
      <x:c r="Q2006" s="4" t="n">
        <x:f>IF(AND(OR(C2006="Ingredient candidate",C2006="Consumed input",C2006="Contained input",C2006="Transform input"),P2006=-1),1,0)</x:f>
        <x:v>0</x:v>
      </x:c>
    </x:row>
    <x:row r="2007" ht="64" customHeight="1">
      <x:c r="A2007" s="4" t="str">
        <x:v>design.collection.magnetic_dart_projector.audit.extra.23</x:v>
      </x:c>
      <x:c r="B2007" s="4" t="str">
        <x:v>design.collection.magnetic_dart_projector</x:v>
      </x:c>
      <x:c r="C2007" s="4" t="str">
        <x:v>Ingredient candidate</x:v>
      </x:c>
      <x:c r="D2007" s="4" t="str">
        <x:v>proposal.t4.contact_block</x:v>
      </x:c>
      <x:c r="E2007" s="4" t="str">
        <x:f>IFERROR(INDEX('Items'!$B$6:$B$1005,MATCH(D2007,'Items'!$A$6:$A$1005,0)),"MISSING ID")</x:f>
        <x:v>Serviceable insulated contact block</x:v>
      </x:c>
      <x:c r="F2007" s="4" t="str">
        <x:f>IFERROR(INDEX('Items'!$C$6:$C$1005,MATCH(D2007,'Items'!$A$6:$A$1005,0)),"MISSING ID")</x:f>
        <x:v>T4</x:v>
      </x:c>
      <x:c r="G2007" s="4" t="str">
        <x:f>IFERROR(INDEX('Items'!$D$6:$D$1005,MATCH(D2007,'Items'!$A$6:$A$1005,0)),"MISSING ID")</x:f>
        <x:v>Crafting components</x:v>
      </x:c>
      <x:c r="H2007" s="4" t="str">
        <x:f>IFERROR(INDEX('Items'!$X$6:$X$1005,MATCH(D2007,'Items'!$A$6:$A$1005,0)),"MISSING ID")</x:f>
        <x:v>Crafting component</x:v>
      </x:c>
      <x:c r="I2007" s="4"/>
      <x:c r="J2007" s="4" t="str">
        <x:v>Unspecified</x:v>
      </x:c>
      <x:c r="K2007" s="4" t="str">
        <x:f>IFERROR(INDEX('Crafting recipes'!$D$6:$D$1005,MATCH(B2007,'Crafting recipes'!$A$6:$A$1005,0)),"MISSING ID")</x:f>
        <x:v>Proposal</x:v>
      </x:c>
      <x:c r="L2007" s="4" t="str">
        <x:f>IFERROR(INDEX('Items'!$AD$6:$AD$1005,MATCH(D2007,'Items'!$A$6:$A$1005,0)),"MISSING ID")</x:f>
        <x:v>Proposal</x:v>
      </x:c>
      <x:c r="M2007" s="4" t="str">
        <x:f>IFERROR(INDEX('Crafting recipes'!$E$6:$E$1005,MATCH(B2007,'Crafting recipes'!$A$6:$A$1005,0)),"MISSING ID")</x:f>
        <x:v>Partial proposal</x:v>
      </x:c>
      <x:c r="N2007" s="4" t="str">
        <x:v>Partial audit candidate; quantity, fit and performance remain unresolved.</x:v>
      </x:c>
      <x:c r="O20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7" s="4" t="n">
        <x:f>IF(OR(C2007="Ingredient candidate",C2007="Consumed input",C2007="Contained input",C2007="Transform input"),IF(F2007="T0",0,IF(F2007="T1",1,IF(F2007="T2",2,IF(F2007="T3",3,IF(F2007="T4",4,-1))))),-1)</x:f>
        <x:v>4</x:v>
      </x:c>
      <x:c r="Q2007" s="4" t="n">
        <x:f>IF(AND(OR(C2007="Ingredient candidate",C2007="Consumed input",C2007="Contained input",C2007="Transform input"),P2007=-1),1,0)</x:f>
        <x:v>0</x:v>
      </x:c>
    </x:row>
    <x:row r="2008" ht="64" customHeight="1">
      <x:c r="A2008" s="4" t="str">
        <x:v>design.collection.magnetic_dart_projector.audit.extra.24</x:v>
      </x:c>
      <x:c r="B2008" s="4" t="str">
        <x:v>design.collection.magnetic_dart_projector</x:v>
      </x:c>
      <x:c r="C2008" s="4" t="str">
        <x:v>Ingredient candidate</x:v>
      </x:c>
      <x:c r="D2008" s="4" t="str">
        <x:v>proposal.collection.ceramic_dielectric_pulse_bank</x:v>
      </x:c>
      <x:c r="E2008" s="4" t="str">
        <x:f>IFERROR(INDEX('Items'!$B$6:$B$1005,MATCH(D2008,'Items'!$A$6:$A$1005,0)),"MISSING ID")</x:f>
        <x:v>Ceramic-dielectric pulse bank</x:v>
      </x:c>
      <x:c r="F2008" s="4" t="str">
        <x:f>IFERROR(INDEX('Items'!$C$6:$C$1005,MATCH(D2008,'Items'!$A$6:$A$1005,0)),"MISSING ID")</x:f>
        <x:v>Not applicable</x:v>
      </x:c>
      <x:c r="G2008" s="4" t="str">
        <x:f>IFERROR(INDEX('Items'!$D$6:$D$1005,MATCH(D2008,'Items'!$A$6:$A$1005,0)),"MISSING ID")</x:f>
        <x:v>Crafting components</x:v>
      </x:c>
      <x:c r="H2008" s="4" t="str">
        <x:f>IFERROR(INDEX('Items'!$X$6:$X$1005,MATCH(D2008,'Items'!$A$6:$A$1005,0)),"MISSING ID")</x:f>
        <x:v>Energy storage</x:v>
      </x:c>
      <x:c r="I2008" s="4"/>
      <x:c r="J2008" s="4" t="str">
        <x:v>Unspecified</x:v>
      </x:c>
      <x:c r="K2008" s="4" t="str">
        <x:f>IFERROR(INDEX('Crafting recipes'!$D$6:$D$1005,MATCH(B2008,'Crafting recipes'!$A$6:$A$1005,0)),"MISSING ID")</x:f>
        <x:v>Proposal</x:v>
      </x:c>
      <x:c r="L2008" s="4" t="str">
        <x:f>IFERROR(INDEX('Items'!$AD$6:$AD$1005,MATCH(D2008,'Items'!$A$6:$A$1005,0)),"MISSING ID")</x:f>
        <x:v>Proposal</x:v>
      </x:c>
      <x:c r="M2008" s="4" t="str">
        <x:f>IFERROR(INDEX('Crafting recipes'!$E$6:$E$1005,MATCH(B2008,'Crafting recipes'!$A$6:$A$1005,0)),"MISSING ID")</x:f>
        <x:v>Partial proposal</x:v>
      </x:c>
      <x:c r="N2008" s="4" t="str">
        <x:v>Partial audit candidate; quantity, fit and performance remain unresolved.</x:v>
      </x:c>
      <x:c r="O20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8" s="4" t="n">
        <x:f>IF(OR(C2008="Ingredient candidate",C2008="Consumed input",C2008="Contained input",C2008="Transform input"),IF(F2008="T0",0,IF(F2008="T1",1,IF(F2008="T2",2,IF(F2008="T3",3,IF(F2008="T4",4,-1))))),-1)</x:f>
        <x:v>-1</x:v>
      </x:c>
      <x:c r="Q2008" s="4" t="n">
        <x:f>IF(AND(OR(C2008="Ingredient candidate",C2008="Consumed input",C2008="Contained input",C2008="Transform input"),P2008=-1),1,0)</x:f>
        <x:v>1</x:v>
      </x:c>
    </x:row>
    <x:row r="2009" ht="64" customHeight="1">
      <x:c r="A2009" s="4" t="str">
        <x:v>design.collection.magnetic_dart_projector.audit.extra.25</x:v>
      </x:c>
      <x:c r="B2009" s="4" t="str">
        <x:v>design.collection.magnetic_dart_projector</x:v>
      </x:c>
      <x:c r="C2009" s="4" t="str">
        <x:v>Ingredient candidate</x:v>
      </x:c>
      <x:c r="D2009" s="4" t="str">
        <x:v>proposal.audit.compact_latch_and_trigger_pack</x:v>
      </x:c>
      <x:c r="E2009" s="4" t="str">
        <x:f>IFERROR(INDEX('Items'!$B$6:$B$1005,MATCH(D2009,'Items'!$A$6:$A$1005,0)),"MISSING ID")</x:f>
        <x:v>Compact latch and trigger pack</x:v>
      </x:c>
      <x:c r="F2009" s="4" t="str">
        <x:f>IFERROR(INDEX('Items'!$C$6:$C$1005,MATCH(D2009,'Items'!$A$6:$A$1005,0)),"MISSING ID")</x:f>
        <x:v>T4</x:v>
      </x:c>
      <x:c r="G2009" s="4" t="str">
        <x:f>IFERROR(INDEX('Items'!$D$6:$D$1005,MATCH(D2009,'Items'!$A$6:$A$1005,0)),"MISSING ID")</x:f>
        <x:v>Crafting components</x:v>
      </x:c>
      <x:c r="H2009" s="4" t="str">
        <x:f>IFERROR(INDEX('Items'!$X$6:$X$1005,MATCH(D2009,'Items'!$A$6:$A$1005,0)),"MISSING ID")</x:f>
        <x:v>Crafting component</x:v>
      </x:c>
      <x:c r="I2009" s="4"/>
      <x:c r="J2009" s="4" t="str">
        <x:v>Unspecified</x:v>
      </x:c>
      <x:c r="K2009" s="4" t="str">
        <x:f>IFERROR(INDEX('Crafting recipes'!$D$6:$D$1005,MATCH(B2009,'Crafting recipes'!$A$6:$A$1005,0)),"MISSING ID")</x:f>
        <x:v>Proposal</x:v>
      </x:c>
      <x:c r="L2009" s="4" t="str">
        <x:f>IFERROR(INDEX('Items'!$AD$6:$AD$1005,MATCH(D2009,'Items'!$A$6:$A$1005,0)),"MISSING ID")</x:f>
        <x:v>Proposal</x:v>
      </x:c>
      <x:c r="M2009" s="4" t="str">
        <x:f>IFERROR(INDEX('Crafting recipes'!$E$6:$E$1005,MATCH(B2009,'Crafting recipes'!$A$6:$A$1005,0)),"MISSING ID")</x:f>
        <x:v>Partial proposal</x:v>
      </x:c>
      <x:c r="N2009" s="4" t="str">
        <x:v>Partial audit candidate; quantity, fit and performance remain unresolved.</x:v>
      </x:c>
      <x:c r="O20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9" s="4" t="n">
        <x:f>IF(OR(C2009="Ingredient candidate",C2009="Consumed input",C2009="Contained input",C2009="Transform input"),IF(F2009="T0",0,IF(F2009="T1",1,IF(F2009="T2",2,IF(F2009="T3",3,IF(F2009="T4",4,-1))))),-1)</x:f>
        <x:v>4</x:v>
      </x:c>
      <x:c r="Q2009" s="4" t="n">
        <x:f>IF(AND(OR(C2009="Ingredient candidate",C2009="Consumed input",C2009="Contained input",C2009="Transform input"),P2009=-1),1,0)</x:f>
        <x:v>0</x:v>
      </x:c>
    </x:row>
    <x:row r="2010" ht="64" customHeight="1">
      <x:c r="A2010" s="4" t="str">
        <x:v>design.collection.coil_slug_carbine.audit.extra.26</x:v>
      </x:c>
      <x:c r="B2010" s="4" t="str">
        <x:v>design.collection.coil_slug_carbine</x:v>
      </x:c>
      <x:c r="C2010" s="4" t="str">
        <x:v>Ingredient candidate</x:v>
      </x:c>
      <x:c r="D2010" s="4" t="str">
        <x:v>proposal.audit.fitted_machine_casing</x:v>
      </x:c>
      <x:c r="E2010" s="4" t="str">
        <x:f>IFERROR(INDEX('Items'!$B$6:$B$1005,MATCH(D2010,'Items'!$A$6:$A$1005,0)),"MISSING ID")</x:f>
        <x:v>Fitted machine casing</x:v>
      </x:c>
      <x:c r="F2010" s="4" t="str">
        <x:f>IFERROR(INDEX('Items'!$C$6:$C$1005,MATCH(D2010,'Items'!$A$6:$A$1005,0)),"MISSING ID")</x:f>
        <x:v>T3</x:v>
      </x:c>
      <x:c r="G2010" s="4" t="str">
        <x:f>IFERROR(INDEX('Items'!$D$6:$D$1005,MATCH(D2010,'Items'!$A$6:$A$1005,0)),"MISSING ID")</x:f>
        <x:v>Crafting components</x:v>
      </x:c>
      <x:c r="H2010" s="4" t="str">
        <x:f>IFERROR(INDEX('Items'!$X$6:$X$1005,MATCH(D2010,'Items'!$A$6:$A$1005,0)),"MISSING ID")</x:f>
        <x:v>Crafting component</x:v>
      </x:c>
      <x:c r="I2010" s="4"/>
      <x:c r="J2010" s="4" t="str">
        <x:v>Unspecified</x:v>
      </x:c>
      <x:c r="K2010" s="4" t="str">
        <x:f>IFERROR(INDEX('Crafting recipes'!$D$6:$D$1005,MATCH(B2010,'Crafting recipes'!$A$6:$A$1005,0)),"MISSING ID")</x:f>
        <x:v>Proposal</x:v>
      </x:c>
      <x:c r="L2010" s="4" t="str">
        <x:f>IFERROR(INDEX('Items'!$AD$6:$AD$1005,MATCH(D2010,'Items'!$A$6:$A$1005,0)),"MISSING ID")</x:f>
        <x:v>Proposal</x:v>
      </x:c>
      <x:c r="M2010" s="4" t="str">
        <x:f>IFERROR(INDEX('Crafting recipes'!$E$6:$E$1005,MATCH(B2010,'Crafting recipes'!$A$6:$A$1005,0)),"MISSING ID")</x:f>
        <x:v>Partial proposal</x:v>
      </x:c>
      <x:c r="N2010" s="4" t="str">
        <x:v>Partial audit candidate; quantity, fit and performance remain unresolved.</x:v>
      </x:c>
      <x:c r="O20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0" s="4" t="n">
        <x:f>IF(OR(C2010="Ingredient candidate",C2010="Consumed input",C2010="Contained input",C2010="Transform input"),IF(F2010="T0",0,IF(F2010="T1",1,IF(F2010="T2",2,IF(F2010="T3",3,IF(F2010="T4",4,-1))))),-1)</x:f>
        <x:v>3</x:v>
      </x:c>
      <x:c r="Q2010" s="4" t="n">
        <x:f>IF(AND(OR(C2010="Ingredient candidate",C2010="Consumed input",C2010="Contained input",C2010="Transform input"),P2010=-1),1,0)</x:f>
        <x:v>0</x:v>
      </x:c>
    </x:row>
    <x:row r="2011" ht="64" customHeight="1">
      <x:c r="A2011" s="4" t="str">
        <x:v>design.collection.coil_slug_carbine.audit.extra.27</x:v>
      </x:c>
      <x:c r="B2011" s="4" t="str">
        <x:v>design.collection.coil_slug_carbine</x:v>
      </x:c>
      <x:c r="C2011" s="4" t="str">
        <x:v>Ingredient candidate</x:v>
      </x:c>
      <x:c r="D2011" s="4" t="str">
        <x:v>proposal.audit.ceramic_backed_control_switch</x:v>
      </x:c>
      <x:c r="E2011" s="4" t="str">
        <x:f>IFERROR(INDEX('Items'!$B$6:$B$1005,MATCH(D2011,'Items'!$A$6:$A$1005,0)),"MISSING ID")</x:f>
        <x:v>Ceramic-backed control switch</x:v>
      </x:c>
      <x:c r="F2011" s="4" t="str">
        <x:f>IFERROR(INDEX('Items'!$C$6:$C$1005,MATCH(D2011,'Items'!$A$6:$A$1005,0)),"MISSING ID")</x:f>
        <x:v>T4</x:v>
      </x:c>
      <x:c r="G2011" s="4" t="str">
        <x:f>IFERROR(INDEX('Items'!$D$6:$D$1005,MATCH(D2011,'Items'!$A$6:$A$1005,0)),"MISSING ID")</x:f>
        <x:v>Crafting components</x:v>
      </x:c>
      <x:c r="H2011" s="4" t="str">
        <x:f>IFERROR(INDEX('Items'!$X$6:$X$1005,MATCH(D2011,'Items'!$A$6:$A$1005,0)),"MISSING ID")</x:f>
        <x:v>Crafting component</x:v>
      </x:c>
      <x:c r="I2011" s="4"/>
      <x:c r="J2011" s="4" t="str">
        <x:v>Unspecified</x:v>
      </x:c>
      <x:c r="K2011" s="4" t="str">
        <x:f>IFERROR(INDEX('Crafting recipes'!$D$6:$D$1005,MATCH(B2011,'Crafting recipes'!$A$6:$A$1005,0)),"MISSING ID")</x:f>
        <x:v>Proposal</x:v>
      </x:c>
      <x:c r="L2011" s="4" t="str">
        <x:f>IFERROR(INDEX('Items'!$AD$6:$AD$1005,MATCH(D2011,'Items'!$A$6:$A$1005,0)),"MISSING ID")</x:f>
        <x:v>Proposal</x:v>
      </x:c>
      <x:c r="M2011" s="4" t="str">
        <x:f>IFERROR(INDEX('Crafting recipes'!$E$6:$E$1005,MATCH(B2011,'Crafting recipes'!$A$6:$A$1005,0)),"MISSING ID")</x:f>
        <x:v>Partial proposal</x:v>
      </x:c>
      <x:c r="N2011" s="4" t="str">
        <x:v>Partial audit candidate; quantity, fit and performance remain unresolved.</x:v>
      </x:c>
      <x:c r="O20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1" s="4" t="n">
        <x:f>IF(OR(C2011="Ingredient candidate",C2011="Consumed input",C2011="Contained input",C2011="Transform input"),IF(F2011="T0",0,IF(F2011="T1",1,IF(F2011="T2",2,IF(F2011="T3",3,IF(F2011="T4",4,-1))))),-1)</x:f>
        <x:v>4</x:v>
      </x:c>
      <x:c r="Q2011" s="4" t="n">
        <x:f>IF(AND(OR(C2011="Ingredient candidate",C2011="Consumed input",C2011="Contained input",C2011="Transform input"),P2011=-1),1,0)</x:f>
        <x:v>0</x:v>
      </x:c>
    </x:row>
    <x:row r="2012" ht="64" customHeight="1">
      <x:c r="A2012" s="4" t="str">
        <x:v>design.collection.coil_slug_carbine.audit.extra.28</x:v>
      </x:c>
      <x:c r="B2012" s="4" t="str">
        <x:v>design.collection.coil_slug_carbine</x:v>
      </x:c>
      <x:c r="C2012" s="4" t="str">
        <x:v>Ingredient candidate</x:v>
      </x:c>
      <x:c r="D2012" s="4" t="str">
        <x:v>proposal.t4.contact_block</x:v>
      </x:c>
      <x:c r="E2012" s="4" t="str">
        <x:f>IFERROR(INDEX('Items'!$B$6:$B$1005,MATCH(D2012,'Items'!$A$6:$A$1005,0)),"MISSING ID")</x:f>
        <x:v>Serviceable insulated contact block</x:v>
      </x:c>
      <x:c r="F2012" s="4" t="str">
        <x:f>IFERROR(INDEX('Items'!$C$6:$C$1005,MATCH(D2012,'Items'!$A$6:$A$1005,0)),"MISSING ID")</x:f>
        <x:v>T4</x:v>
      </x:c>
      <x:c r="G2012" s="4" t="str">
        <x:f>IFERROR(INDEX('Items'!$D$6:$D$1005,MATCH(D2012,'Items'!$A$6:$A$1005,0)),"MISSING ID")</x:f>
        <x:v>Crafting components</x:v>
      </x:c>
      <x:c r="H2012" s="4" t="str">
        <x:f>IFERROR(INDEX('Items'!$X$6:$X$1005,MATCH(D2012,'Items'!$A$6:$A$1005,0)),"MISSING ID")</x:f>
        <x:v>Crafting component</x:v>
      </x:c>
      <x:c r="I2012" s="4"/>
      <x:c r="J2012" s="4" t="str">
        <x:v>Unspecified</x:v>
      </x:c>
      <x:c r="K2012" s="4" t="str">
        <x:f>IFERROR(INDEX('Crafting recipes'!$D$6:$D$1005,MATCH(B2012,'Crafting recipes'!$A$6:$A$1005,0)),"MISSING ID")</x:f>
        <x:v>Proposal</x:v>
      </x:c>
      <x:c r="L2012" s="4" t="str">
        <x:f>IFERROR(INDEX('Items'!$AD$6:$AD$1005,MATCH(D2012,'Items'!$A$6:$A$1005,0)),"MISSING ID")</x:f>
        <x:v>Proposal</x:v>
      </x:c>
      <x:c r="M2012" s="4" t="str">
        <x:f>IFERROR(INDEX('Crafting recipes'!$E$6:$E$1005,MATCH(B2012,'Crafting recipes'!$A$6:$A$1005,0)),"MISSING ID")</x:f>
        <x:v>Partial proposal</x:v>
      </x:c>
      <x:c r="N2012" s="4" t="str">
        <x:v>Partial audit candidate; quantity, fit and performance remain unresolved.</x:v>
      </x:c>
      <x:c r="O20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2" s="4" t="n">
        <x:f>IF(OR(C2012="Ingredient candidate",C2012="Consumed input",C2012="Contained input",C2012="Transform input"),IF(F2012="T0",0,IF(F2012="T1",1,IF(F2012="T2",2,IF(F2012="T3",3,IF(F2012="T4",4,-1))))),-1)</x:f>
        <x:v>4</x:v>
      </x:c>
      <x:c r="Q2012" s="4" t="n">
        <x:f>IF(AND(OR(C2012="Ingredient candidate",C2012="Consumed input",C2012="Contained input",C2012="Transform input"),P2012=-1),1,0)</x:f>
        <x:v>0</x:v>
      </x:c>
    </x:row>
    <x:row r="2013" ht="64" customHeight="1">
      <x:c r="A2013" s="4" t="str">
        <x:v>design.collection.coil_slug_carbine.audit.extra.29</x:v>
      </x:c>
      <x:c r="B2013" s="4" t="str">
        <x:v>design.collection.coil_slug_carbine</x:v>
      </x:c>
      <x:c r="C2013" s="4" t="str">
        <x:v>Ingredient candidate</x:v>
      </x:c>
      <x:c r="D2013" s="4" t="str">
        <x:v>proposal.collection.ceramic_dielectric_pulse_bank</x:v>
      </x:c>
      <x:c r="E2013" s="4" t="str">
        <x:f>IFERROR(INDEX('Items'!$B$6:$B$1005,MATCH(D2013,'Items'!$A$6:$A$1005,0)),"MISSING ID")</x:f>
        <x:v>Ceramic-dielectric pulse bank</x:v>
      </x:c>
      <x:c r="F2013" s="4" t="str">
        <x:f>IFERROR(INDEX('Items'!$C$6:$C$1005,MATCH(D2013,'Items'!$A$6:$A$1005,0)),"MISSING ID")</x:f>
        <x:v>Not applicable</x:v>
      </x:c>
      <x:c r="G2013" s="4" t="str">
        <x:f>IFERROR(INDEX('Items'!$D$6:$D$1005,MATCH(D2013,'Items'!$A$6:$A$1005,0)),"MISSING ID")</x:f>
        <x:v>Crafting components</x:v>
      </x:c>
      <x:c r="H2013" s="4" t="str">
        <x:f>IFERROR(INDEX('Items'!$X$6:$X$1005,MATCH(D2013,'Items'!$A$6:$A$1005,0)),"MISSING ID")</x:f>
        <x:v>Energy storage</x:v>
      </x:c>
      <x:c r="I2013" s="4"/>
      <x:c r="J2013" s="4" t="str">
        <x:v>Unspecified</x:v>
      </x:c>
      <x:c r="K2013" s="4" t="str">
        <x:f>IFERROR(INDEX('Crafting recipes'!$D$6:$D$1005,MATCH(B2013,'Crafting recipes'!$A$6:$A$1005,0)),"MISSING ID")</x:f>
        <x:v>Proposal</x:v>
      </x:c>
      <x:c r="L2013" s="4" t="str">
        <x:f>IFERROR(INDEX('Items'!$AD$6:$AD$1005,MATCH(D2013,'Items'!$A$6:$A$1005,0)),"MISSING ID")</x:f>
        <x:v>Proposal</x:v>
      </x:c>
      <x:c r="M2013" s="4" t="str">
        <x:f>IFERROR(INDEX('Crafting recipes'!$E$6:$E$1005,MATCH(B2013,'Crafting recipes'!$A$6:$A$1005,0)),"MISSING ID")</x:f>
        <x:v>Partial proposal</x:v>
      </x:c>
      <x:c r="N2013" s="4" t="str">
        <x:v>Partial audit candidate; quantity, fit and performance remain unresolved.</x:v>
      </x:c>
      <x:c r="O20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3" s="4" t="n">
        <x:f>IF(OR(C2013="Ingredient candidate",C2013="Consumed input",C2013="Contained input",C2013="Transform input"),IF(F2013="T0",0,IF(F2013="T1",1,IF(F2013="T2",2,IF(F2013="T3",3,IF(F2013="T4",4,-1))))),-1)</x:f>
        <x:v>-1</x:v>
      </x:c>
      <x:c r="Q2013" s="4" t="n">
        <x:f>IF(AND(OR(C2013="Ingredient candidate",C2013="Consumed input",C2013="Contained input",C2013="Transform input"),P2013=-1),1,0)</x:f>
        <x:v>1</x:v>
      </x:c>
    </x:row>
    <x:row r="2014" ht="64" customHeight="1">
      <x:c r="A2014" s="4" t="str">
        <x:v>design.collection.coil_slug_carbine.audit.extra.30</x:v>
      </x:c>
      <x:c r="B2014" s="4" t="str">
        <x:v>design.collection.coil_slug_carbine</x:v>
      </x:c>
      <x:c r="C2014" s="4" t="str">
        <x:v>Ingredient candidate</x:v>
      </x:c>
      <x:c r="D2014" s="4" t="str">
        <x:v>proposal.audit.compact_latch_and_trigger_pack</x:v>
      </x:c>
      <x:c r="E2014" s="4" t="str">
        <x:f>IFERROR(INDEX('Items'!$B$6:$B$1005,MATCH(D2014,'Items'!$A$6:$A$1005,0)),"MISSING ID")</x:f>
        <x:v>Compact latch and trigger pack</x:v>
      </x:c>
      <x:c r="F2014" s="4" t="str">
        <x:f>IFERROR(INDEX('Items'!$C$6:$C$1005,MATCH(D2014,'Items'!$A$6:$A$1005,0)),"MISSING ID")</x:f>
        <x:v>T4</x:v>
      </x:c>
      <x:c r="G2014" s="4" t="str">
        <x:f>IFERROR(INDEX('Items'!$D$6:$D$1005,MATCH(D2014,'Items'!$A$6:$A$1005,0)),"MISSING ID")</x:f>
        <x:v>Crafting components</x:v>
      </x:c>
      <x:c r="H2014" s="4" t="str">
        <x:f>IFERROR(INDEX('Items'!$X$6:$X$1005,MATCH(D2014,'Items'!$A$6:$A$1005,0)),"MISSING ID")</x:f>
        <x:v>Crafting component</x:v>
      </x:c>
      <x:c r="I2014" s="4"/>
      <x:c r="J2014" s="4" t="str">
        <x:v>Unspecified</x:v>
      </x:c>
      <x:c r="K2014" s="4" t="str">
        <x:f>IFERROR(INDEX('Crafting recipes'!$D$6:$D$1005,MATCH(B2014,'Crafting recipes'!$A$6:$A$1005,0)),"MISSING ID")</x:f>
        <x:v>Proposal</x:v>
      </x:c>
      <x:c r="L2014" s="4" t="str">
        <x:f>IFERROR(INDEX('Items'!$AD$6:$AD$1005,MATCH(D2014,'Items'!$A$6:$A$1005,0)),"MISSING ID")</x:f>
        <x:v>Proposal</x:v>
      </x:c>
      <x:c r="M2014" s="4" t="str">
        <x:f>IFERROR(INDEX('Crafting recipes'!$E$6:$E$1005,MATCH(B2014,'Crafting recipes'!$A$6:$A$1005,0)),"MISSING ID")</x:f>
        <x:v>Partial proposal</x:v>
      </x:c>
      <x:c r="N2014" s="4" t="str">
        <x:v>Partial audit candidate; quantity, fit and performance remain unresolved.</x:v>
      </x:c>
      <x:c r="O20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4" s="4" t="n">
        <x:f>IF(OR(C2014="Ingredient candidate",C2014="Consumed input",C2014="Contained input",C2014="Transform input"),IF(F2014="T0",0,IF(F2014="T1",1,IF(F2014="T2",2,IF(F2014="T3",3,IF(F2014="T4",4,-1))))),-1)</x:f>
        <x:v>4</x:v>
      </x:c>
      <x:c r="Q2014" s="4" t="n">
        <x:f>IF(AND(OR(C2014="Ingredient candidate",C2014="Consumed input",C2014="Contained input",C2014="Transform input"),P2014=-1),1,0)</x:f>
        <x:v>0</x:v>
      </x:c>
    </x:row>
    <x:row r="2015" ht="64" customHeight="1">
      <x:c r="A2015" s="4" t="str">
        <x:v>design.collection.spring_seated_check_valve.audit.extra.31</x:v>
      </x:c>
      <x:c r="B2015" s="4" t="str">
        <x:v>design.collection.spring_seated_check_valve</x:v>
      </x:c>
      <x:c r="C2015" s="4" t="str">
        <x:v>Ingredient candidate</x:v>
      </x:c>
      <x:c r="D2015" s="4" t="str">
        <x:v>proposal.audit.valve_poppet_blank</x:v>
      </x:c>
      <x:c r="E2015" s="4" t="str">
        <x:f>IFERROR(INDEX('Items'!$B$6:$B$1005,MATCH(D2015,'Items'!$A$6:$A$1005,0)),"MISSING ID")</x:f>
        <x:v>Valve poppet blank</x:v>
      </x:c>
      <x:c r="F2015" s="4" t="str">
        <x:f>IFERROR(INDEX('Items'!$C$6:$C$1005,MATCH(D2015,'Items'!$A$6:$A$1005,0)),"MISSING ID")</x:f>
        <x:v>T3</x:v>
      </x:c>
      <x:c r="G2015" s="4" t="str">
        <x:f>IFERROR(INDEX('Items'!$D$6:$D$1005,MATCH(D2015,'Items'!$A$6:$A$1005,0)),"MISSING ID")</x:f>
        <x:v>Crafting components</x:v>
      </x:c>
      <x:c r="H2015" s="4" t="str">
        <x:f>IFERROR(INDEX('Items'!$X$6:$X$1005,MATCH(D2015,'Items'!$A$6:$A$1005,0)),"MISSING ID")</x:f>
        <x:v>Machine part</x:v>
      </x:c>
      <x:c r="I2015" s="4"/>
      <x:c r="J2015" s="4" t="str">
        <x:v>Unspecified</x:v>
      </x:c>
      <x:c r="K2015" s="4" t="str">
        <x:f>IFERROR(INDEX('Crafting recipes'!$D$6:$D$1005,MATCH(B2015,'Crafting recipes'!$A$6:$A$1005,0)),"MISSING ID")</x:f>
        <x:v>Proposal</x:v>
      </x:c>
      <x:c r="L2015" s="4" t="str">
        <x:f>IFERROR(INDEX('Items'!$AD$6:$AD$1005,MATCH(D2015,'Items'!$A$6:$A$1005,0)),"MISSING ID")</x:f>
        <x:v>Proposal</x:v>
      </x:c>
      <x:c r="M2015" s="4" t="str">
        <x:f>IFERROR(INDEX('Crafting recipes'!$E$6:$E$1005,MATCH(B2015,'Crafting recipes'!$A$6:$A$1005,0)),"MISSING ID")</x:f>
        <x:v>Partial proposal</x:v>
      </x:c>
      <x:c r="N2015" s="4" t="str">
        <x:v>Partial audit candidate; quantity, fit and performance remain unresolved.</x:v>
      </x:c>
      <x:c r="O20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5" s="4" t="n">
        <x:f>IF(OR(C2015="Ingredient candidate",C2015="Consumed input",C2015="Contained input",C2015="Transform input"),IF(F2015="T0",0,IF(F2015="T1",1,IF(F2015="T2",2,IF(F2015="T3",3,IF(F2015="T4",4,-1))))),-1)</x:f>
        <x:v>3</x:v>
      </x:c>
      <x:c r="Q2015" s="4" t="n">
        <x:f>IF(AND(OR(C2015="Ingredient candidate",C2015="Consumed input",C2015="Contained input",C2015="Transform input"),P2015=-1),1,0)</x:f>
        <x:v>0</x:v>
      </x:c>
    </x:row>
    <x:row r="2016" ht="64" customHeight="1">
      <x:c r="A2016" s="4" t="str">
        <x:v>design.collection.spring_seated_check_valve.audit.extra.32</x:v>
      </x:c>
      <x:c r="B2016" s="4" t="str">
        <x:v>design.collection.spring_seated_check_valve</x:v>
      </x:c>
      <x:c r="C2016" s="4" t="str">
        <x:v>Ingredient candidate</x:v>
      </x:c>
      <x:c r="D2016" s="4" t="str">
        <x:v>proposal.branch.flex_binder</x:v>
      </x:c>
      <x:c r="E2016" s="4" t="str">
        <x:f>IFERROR(INDEX('Items'!$B$6:$B$1005,MATCH(D2016,'Items'!$A$6:$A$1005,0)),"MISSING ID")</x:f>
        <x:v>Prepared flexible faunal binder</x:v>
      </x:c>
      <x:c r="F2016" s="4" t="str">
        <x:f>IFERROR(INDEX('Items'!$C$6:$C$1005,MATCH(D2016,'Items'!$A$6:$A$1005,0)),"MISSING ID")</x:f>
        <x:v>T1</x:v>
      </x:c>
      <x:c r="G2016" s="4" t="str">
        <x:f>IFERROR(INDEX('Items'!$D$6:$D$1005,MATCH(D2016,'Items'!$A$6:$A$1005,0)),"MISSING ID")</x:f>
        <x:v>Crafting components</x:v>
      </x:c>
      <x:c r="H2016" s="4" t="str">
        <x:f>IFERROR(INDEX('Items'!$X$6:$X$1005,MATCH(D2016,'Items'!$A$6:$A$1005,0)),"MISSING ID")</x:f>
        <x:v>Chemical material</x:v>
      </x:c>
      <x:c r="I2016" s="4"/>
      <x:c r="J2016" s="4" t="str">
        <x:v>Unspecified</x:v>
      </x:c>
      <x:c r="K2016" s="4" t="str">
        <x:f>IFERROR(INDEX('Crafting recipes'!$D$6:$D$1005,MATCH(B2016,'Crafting recipes'!$A$6:$A$1005,0)),"MISSING ID")</x:f>
        <x:v>Proposal</x:v>
      </x:c>
      <x:c r="L2016" s="4" t="str">
        <x:f>IFERROR(INDEX('Items'!$AD$6:$AD$1005,MATCH(D2016,'Items'!$A$6:$A$1005,0)),"MISSING ID")</x:f>
        <x:v>Proposal</x:v>
      </x:c>
      <x:c r="M2016" s="4" t="str">
        <x:f>IFERROR(INDEX('Crafting recipes'!$E$6:$E$1005,MATCH(B2016,'Crafting recipes'!$A$6:$A$1005,0)),"MISSING ID")</x:f>
        <x:v>Partial proposal</x:v>
      </x:c>
      <x:c r="N2016" s="4" t="str">
        <x:v>Partial audit candidate; quantity, fit and performance remain unresolved.</x:v>
      </x:c>
      <x:c r="O20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6" s="4" t="n">
        <x:f>IF(OR(C2016="Ingredient candidate",C2016="Consumed input",C2016="Contained input",C2016="Transform input"),IF(F2016="T0",0,IF(F2016="T1",1,IF(F2016="T2",2,IF(F2016="T3",3,IF(F2016="T4",4,-1))))),-1)</x:f>
        <x:v>1</x:v>
      </x:c>
      <x:c r="Q2016" s="4" t="n">
        <x:f>IF(AND(OR(C2016="Ingredient candidate",C2016="Consumed input",C2016="Contained input",C2016="Transform input"),P2016=-1),1,0)</x:f>
        <x:v>0</x:v>
      </x:c>
    </x:row>
    <x:row r="2017" ht="64" customHeight="1">
      <x:c r="A2017" s="4" t="str">
        <x:v>design.collection.guarded_flywheel_cartridge.audit.extra.33</x:v>
      </x:c>
      <x:c r="B2017" s="4" t="str">
        <x:v>design.collection.guarded_flywheel_cartridge</x:v>
      </x:c>
      <x:c r="C2017" s="4" t="str">
        <x:v>Ingredient candidate</x:v>
      </x:c>
      <x:c r="D2017" s="4" t="str">
        <x:v>proposal.collection.brake_lining_shoe</x:v>
      </x:c>
      <x:c r="E2017" s="4" t="str">
        <x:f>IFERROR(INDEX('Items'!$B$6:$B$1005,MATCH(D2017,'Items'!$A$6:$A$1005,0)),"MISSING ID")</x:f>
        <x:v>Brake lining shoe</x:v>
      </x:c>
      <x:c r="F2017" s="4" t="str">
        <x:f>IFERROR(INDEX('Items'!$C$6:$C$1005,MATCH(D2017,'Items'!$A$6:$A$1005,0)),"MISSING ID")</x:f>
        <x:v>T3</x:v>
      </x:c>
      <x:c r="G2017" s="4" t="str">
        <x:f>IFERROR(INDEX('Items'!$D$6:$D$1005,MATCH(D2017,'Items'!$A$6:$A$1005,0)),"MISSING ID")</x:f>
        <x:v>Crafting components</x:v>
      </x:c>
      <x:c r="H2017" s="4" t="str">
        <x:f>IFERROR(INDEX('Items'!$X$6:$X$1005,MATCH(D2017,'Items'!$A$6:$A$1005,0)),"MISSING ID")</x:f>
        <x:v>Machine part</x:v>
      </x:c>
      <x:c r="I2017" s="4"/>
      <x:c r="J2017" s="4" t="str">
        <x:v>Unspecified</x:v>
      </x:c>
      <x:c r="K2017" s="4" t="str">
        <x:f>IFERROR(INDEX('Crafting recipes'!$D$6:$D$1005,MATCH(B2017,'Crafting recipes'!$A$6:$A$1005,0)),"MISSING ID")</x:f>
        <x:v>Proposal</x:v>
      </x:c>
      <x:c r="L2017" s="4" t="str">
        <x:f>IFERROR(INDEX('Items'!$AD$6:$AD$1005,MATCH(D2017,'Items'!$A$6:$A$1005,0)),"MISSING ID")</x:f>
        <x:v>Proposal</x:v>
      </x:c>
      <x:c r="M2017" s="4" t="str">
        <x:f>IFERROR(INDEX('Crafting recipes'!$E$6:$E$1005,MATCH(B2017,'Crafting recipes'!$A$6:$A$1005,0)),"MISSING ID")</x:f>
        <x:v>Partial proposal</x:v>
      </x:c>
      <x:c r="N2017" s="4" t="str">
        <x:v>Partial audit candidate; quantity, fit and performance remain unresolved.</x:v>
      </x:c>
      <x:c r="O20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7" s="4" t="n">
        <x:f>IF(OR(C2017="Ingredient candidate",C2017="Consumed input",C2017="Contained input",C2017="Transform input"),IF(F2017="T0",0,IF(F2017="T1",1,IF(F2017="T2",2,IF(F2017="T3",3,IF(F2017="T4",4,-1))))),-1)</x:f>
        <x:v>3</x:v>
      </x:c>
      <x:c r="Q2017" s="4" t="n">
        <x:f>IF(AND(OR(C2017="Ingredient candidate",C2017="Consumed input",C2017="Contained input",C2017="Transform input"),P2017=-1),1,0)</x:f>
        <x:v>0</x:v>
      </x:c>
    </x:row>
    <x:row r="2018" ht="64" customHeight="1">
      <x:c r="A2018" s="4" t="str">
        <x:v>design.collection.guarded_flywheel_cartridge.audit.extra.34</x:v>
      </x:c>
      <x:c r="B2018" s="4" t="str">
        <x:v>design.collection.guarded_flywheel_cartridge</x:v>
      </x:c>
      <x:c r="C2018" s="4" t="str">
        <x:v>Ingredient candidate</x:v>
      </x:c>
      <x:c r="D2018" s="4" t="str">
        <x:v>proposal.audit.fitted_machine_casing</x:v>
      </x:c>
      <x:c r="E2018" s="4" t="str">
        <x:f>IFERROR(INDEX('Items'!$B$6:$B$1005,MATCH(D2018,'Items'!$A$6:$A$1005,0)),"MISSING ID")</x:f>
        <x:v>Fitted machine casing</x:v>
      </x:c>
      <x:c r="F2018" s="4" t="str">
        <x:f>IFERROR(INDEX('Items'!$C$6:$C$1005,MATCH(D2018,'Items'!$A$6:$A$1005,0)),"MISSING ID")</x:f>
        <x:v>T3</x:v>
      </x:c>
      <x:c r="G2018" s="4" t="str">
        <x:f>IFERROR(INDEX('Items'!$D$6:$D$1005,MATCH(D2018,'Items'!$A$6:$A$1005,0)),"MISSING ID")</x:f>
        <x:v>Crafting components</x:v>
      </x:c>
      <x:c r="H2018" s="4" t="str">
        <x:f>IFERROR(INDEX('Items'!$X$6:$X$1005,MATCH(D2018,'Items'!$A$6:$A$1005,0)),"MISSING ID")</x:f>
        <x:v>Crafting component</x:v>
      </x:c>
      <x:c r="I2018" s="4"/>
      <x:c r="J2018" s="4" t="str">
        <x:v>Unspecified</x:v>
      </x:c>
      <x:c r="K2018" s="4" t="str">
        <x:f>IFERROR(INDEX('Crafting recipes'!$D$6:$D$1005,MATCH(B2018,'Crafting recipes'!$A$6:$A$1005,0)),"MISSING ID")</x:f>
        <x:v>Proposal</x:v>
      </x:c>
      <x:c r="L2018" s="4" t="str">
        <x:f>IFERROR(INDEX('Items'!$AD$6:$AD$1005,MATCH(D2018,'Items'!$A$6:$A$1005,0)),"MISSING ID")</x:f>
        <x:v>Proposal</x:v>
      </x:c>
      <x:c r="M2018" s="4" t="str">
        <x:f>IFERROR(INDEX('Crafting recipes'!$E$6:$E$1005,MATCH(B2018,'Crafting recipes'!$A$6:$A$1005,0)),"MISSING ID")</x:f>
        <x:v>Partial proposal</x:v>
      </x:c>
      <x:c r="N2018" s="4" t="str">
        <x:v>Partial audit candidate; quantity, fit and performance remain unresolved.</x:v>
      </x:c>
      <x:c r="O20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8" s="4" t="n">
        <x:f>IF(OR(C2018="Ingredient candidate",C2018="Consumed input",C2018="Contained input",C2018="Transform input"),IF(F2018="T0",0,IF(F2018="T1",1,IF(F2018="T2",2,IF(F2018="T3",3,IF(F2018="T4",4,-1))))),-1)</x:f>
        <x:v>3</x:v>
      </x:c>
      <x:c r="Q2018" s="4" t="n">
        <x:f>IF(AND(OR(C2018="Ingredient candidate",C2018="Consumed input",C2018="Contained input",C2018="Transform input"),P2018=-1),1,0)</x:f>
        <x:v>0</x:v>
      </x:c>
    </x:row>
    <x:row r="2019" ht="64" customHeight="1">
      <x:c r="A2019" s="4" t="str">
        <x:v>design.collection.guarded_flywheel_cartridge.audit.extra.35</x:v>
      </x:c>
      <x:c r="B2019" s="4" t="str">
        <x:v>design.collection.guarded_flywheel_cartridge</x:v>
      </x:c>
      <x:c r="C2019" s="4" t="str">
        <x:v>Ingredient candidate</x:v>
      </x:c>
      <x:c r="D2019" s="4" t="str">
        <x:v>proposal.lore.fastener_set</x:v>
      </x:c>
      <x:c r="E2019" s="4" t="str">
        <x:f>IFERROR(INDEX('Items'!$B$6:$B$1005,MATCH(D2019,'Items'!$A$6:$A$1005,0)),"MISSING ID")</x:f>
        <x:v>Matched metal fastener set</x:v>
      </x:c>
      <x:c r="F2019" s="4" t="str">
        <x:f>IFERROR(INDEX('Items'!$C$6:$C$1005,MATCH(D2019,'Items'!$A$6:$A$1005,0)),"MISSING ID")</x:f>
        <x:v>T3</x:v>
      </x:c>
      <x:c r="G2019" s="4" t="str">
        <x:f>IFERROR(INDEX('Items'!$D$6:$D$1005,MATCH(D2019,'Items'!$A$6:$A$1005,0)),"MISSING ID")</x:f>
        <x:v>Crafting components</x:v>
      </x:c>
      <x:c r="H2019" s="4" t="str">
        <x:f>IFERROR(INDEX('Items'!$X$6:$X$1005,MATCH(D2019,'Items'!$A$6:$A$1005,0)),"MISSING ID")</x:f>
        <x:v>Crafting component</x:v>
      </x:c>
      <x:c r="I2019" s="4"/>
      <x:c r="J2019" s="4" t="str">
        <x:v>Unspecified</x:v>
      </x:c>
      <x:c r="K2019" s="4" t="str">
        <x:f>IFERROR(INDEX('Crafting recipes'!$D$6:$D$1005,MATCH(B2019,'Crafting recipes'!$A$6:$A$1005,0)),"MISSING ID")</x:f>
        <x:v>Proposal</x:v>
      </x:c>
      <x:c r="L2019" s="4" t="str">
        <x:f>IFERROR(INDEX('Items'!$AD$6:$AD$1005,MATCH(D2019,'Items'!$A$6:$A$1005,0)),"MISSING ID")</x:f>
        <x:v>Proposal</x:v>
      </x:c>
      <x:c r="M2019" s="4" t="str">
        <x:f>IFERROR(INDEX('Crafting recipes'!$E$6:$E$1005,MATCH(B2019,'Crafting recipes'!$A$6:$A$1005,0)),"MISSING ID")</x:f>
        <x:v>Partial proposal</x:v>
      </x:c>
      <x:c r="N2019" s="4" t="str">
        <x:v>Partial audit candidate; quantity, fit and performance remain unresolved.</x:v>
      </x:c>
      <x:c r="O20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9" s="4" t="n">
        <x:f>IF(OR(C2019="Ingredient candidate",C2019="Consumed input",C2019="Contained input",C2019="Transform input"),IF(F2019="T0",0,IF(F2019="T1",1,IF(F2019="T2",2,IF(F2019="T3",3,IF(F2019="T4",4,-1))))),-1)</x:f>
        <x:v>3</x:v>
      </x:c>
      <x:c r="Q2019" s="4" t="n">
        <x:f>IF(AND(OR(C2019="Ingredient candidate",C2019="Consumed input",C2019="Contained input",C2019="Transform input"),P2019=-1),1,0)</x:f>
        <x:v>0</x:v>
      </x:c>
    </x:row>
    <x:row r="2020" ht="64" customHeight="1">
      <x:c r="A2020" s="4" t="str">
        <x:v>design.collection.wound_clock_spring_pack.audit.extra.36</x:v>
      </x:c>
      <x:c r="B2020" s="4" t="str">
        <x:v>design.collection.wound_clock_spring_pack</x:v>
      </x:c>
      <x:c r="C2020" s="4" t="str">
        <x:v>Ingredient candidate</x:v>
      </x:c>
      <x:c r="D2020" s="4" t="str">
        <x:v>proposal.collection.ratchet_wheel</x:v>
      </x:c>
      <x:c r="E2020" s="4" t="str">
        <x:f>IFERROR(INDEX('Items'!$B$6:$B$1005,MATCH(D2020,'Items'!$A$6:$A$1005,0)),"MISSING ID")</x:f>
        <x:v>Ratchet wheel</x:v>
      </x:c>
      <x:c r="F2020" s="4" t="str">
        <x:f>IFERROR(INDEX('Items'!$C$6:$C$1005,MATCH(D2020,'Items'!$A$6:$A$1005,0)),"MISSING ID")</x:f>
        <x:v>T3</x:v>
      </x:c>
      <x:c r="G2020" s="4" t="str">
        <x:f>IFERROR(INDEX('Items'!$D$6:$D$1005,MATCH(D2020,'Items'!$A$6:$A$1005,0)),"MISSING ID")</x:f>
        <x:v>Crafting components</x:v>
      </x:c>
      <x:c r="H2020" s="4" t="str">
        <x:f>IFERROR(INDEX('Items'!$X$6:$X$1005,MATCH(D2020,'Items'!$A$6:$A$1005,0)),"MISSING ID")</x:f>
        <x:v>Machine part</x:v>
      </x:c>
      <x:c r="I2020" s="4"/>
      <x:c r="J2020" s="4" t="str">
        <x:v>Unspecified</x:v>
      </x:c>
      <x:c r="K2020" s="4" t="str">
        <x:f>IFERROR(INDEX('Crafting recipes'!$D$6:$D$1005,MATCH(B2020,'Crafting recipes'!$A$6:$A$1005,0)),"MISSING ID")</x:f>
        <x:v>Proposal</x:v>
      </x:c>
      <x:c r="L2020" s="4" t="str">
        <x:f>IFERROR(INDEX('Items'!$AD$6:$AD$1005,MATCH(D2020,'Items'!$A$6:$A$1005,0)),"MISSING ID")</x:f>
        <x:v>Proposal</x:v>
      </x:c>
      <x:c r="M2020" s="4" t="str">
        <x:f>IFERROR(INDEX('Crafting recipes'!$E$6:$E$1005,MATCH(B2020,'Crafting recipes'!$A$6:$A$1005,0)),"MISSING ID")</x:f>
        <x:v>Partial proposal</x:v>
      </x:c>
      <x:c r="N2020" s="4" t="str">
        <x:v>Partial audit candidate; quantity, fit and performance remain unresolved.</x:v>
      </x:c>
      <x:c r="O20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0" s="4" t="n">
        <x:f>IF(OR(C2020="Ingredient candidate",C2020="Consumed input",C2020="Contained input",C2020="Transform input"),IF(F2020="T0",0,IF(F2020="T1",1,IF(F2020="T2",2,IF(F2020="T3",3,IF(F2020="T4",4,-1))))),-1)</x:f>
        <x:v>3</x:v>
      </x:c>
      <x:c r="Q2020" s="4" t="n">
        <x:f>IF(AND(OR(C2020="Ingredient candidate",C2020="Consumed input",C2020="Contained input",C2020="Transform input"),P2020=-1),1,0)</x:f>
        <x:v>0</x:v>
      </x:c>
    </x:row>
    <x:row r="2021" ht="64" customHeight="1">
      <x:c r="A2021" s="4" t="str">
        <x:v>design.collection.wound_clock_spring_pack.audit.extra.37</x:v>
      </x:c>
      <x:c r="B2021" s="4" t="str">
        <x:v>design.collection.wound_clock_spring_pack</x:v>
      </x:c>
      <x:c r="C2021" s="4" t="str">
        <x:v>Ingredient candidate</x:v>
      </x:c>
      <x:c r="D2021" s="4" t="str">
        <x:v>proposal.collection.ratchet_pawl</x:v>
      </x:c>
      <x:c r="E2021" s="4" t="str">
        <x:f>IFERROR(INDEX('Items'!$B$6:$B$1005,MATCH(D2021,'Items'!$A$6:$A$1005,0)),"MISSING ID")</x:f>
        <x:v>Ratchet pawl</x:v>
      </x:c>
      <x:c r="F2021" s="4" t="str">
        <x:f>IFERROR(INDEX('Items'!$C$6:$C$1005,MATCH(D2021,'Items'!$A$6:$A$1005,0)),"MISSING ID")</x:f>
        <x:v>T4</x:v>
      </x:c>
      <x:c r="G2021" s="4" t="str">
        <x:f>IFERROR(INDEX('Items'!$D$6:$D$1005,MATCH(D2021,'Items'!$A$6:$A$1005,0)),"MISSING ID")</x:f>
        <x:v>Crafting components</x:v>
      </x:c>
      <x:c r="H2021" s="4" t="str">
        <x:f>IFERROR(INDEX('Items'!$X$6:$X$1005,MATCH(D2021,'Items'!$A$6:$A$1005,0)),"MISSING ID")</x:f>
        <x:v>Machine part</x:v>
      </x:c>
      <x:c r="I2021" s="4"/>
      <x:c r="J2021" s="4" t="str">
        <x:v>Unspecified</x:v>
      </x:c>
      <x:c r="K2021" s="4" t="str">
        <x:f>IFERROR(INDEX('Crafting recipes'!$D$6:$D$1005,MATCH(B2021,'Crafting recipes'!$A$6:$A$1005,0)),"MISSING ID")</x:f>
        <x:v>Proposal</x:v>
      </x:c>
      <x:c r="L2021" s="4" t="str">
        <x:f>IFERROR(INDEX('Items'!$AD$6:$AD$1005,MATCH(D2021,'Items'!$A$6:$A$1005,0)),"MISSING ID")</x:f>
        <x:v>Proposal</x:v>
      </x:c>
      <x:c r="M2021" s="4" t="str">
        <x:f>IFERROR(INDEX('Crafting recipes'!$E$6:$E$1005,MATCH(B2021,'Crafting recipes'!$A$6:$A$1005,0)),"MISSING ID")</x:f>
        <x:v>Partial proposal</x:v>
      </x:c>
      <x:c r="N2021" s="4" t="str">
        <x:v>Partial audit candidate; quantity, fit and performance remain unresolved.</x:v>
      </x:c>
      <x:c r="O20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1" s="4" t="n">
        <x:f>IF(OR(C2021="Ingredient candidate",C2021="Consumed input",C2021="Contained input",C2021="Transform input"),IF(F2021="T0",0,IF(F2021="T1",1,IF(F2021="T2",2,IF(F2021="T3",3,IF(F2021="T4",4,-1))))),-1)</x:f>
        <x:v>4</x:v>
      </x:c>
      <x:c r="Q2021" s="4" t="n">
        <x:f>IF(AND(OR(C2021="Ingredient candidate",C2021="Consumed input",C2021="Contained input",C2021="Transform input"),P2021=-1),1,0)</x:f>
        <x:v>0</x:v>
      </x:c>
    </x:row>
    <x:row r="2022" ht="64" customHeight="1">
      <x:c r="A2022" s="4" t="str">
        <x:v>design.collection.wound_clock_spring_pack.audit.extra.38</x:v>
      </x:c>
      <x:c r="B2022" s="4" t="str">
        <x:v>design.collection.wound_clock_spring_pack</x:v>
      </x:c>
      <x:c r="C2022" s="4" t="str">
        <x:v>Ingredient candidate</x:v>
      </x:c>
      <x:c r="D2022" s="4" t="str">
        <x:v>proposal.collection.keyed_drive_shaft</x:v>
      </x:c>
      <x:c r="E2022" s="4" t="str">
        <x:f>IFERROR(INDEX('Items'!$B$6:$B$1005,MATCH(D2022,'Items'!$A$6:$A$1005,0)),"MISSING ID")</x:f>
        <x:v>Keyed drive shaft</x:v>
      </x:c>
      <x:c r="F2022" s="4" t="str">
        <x:f>IFERROR(INDEX('Items'!$C$6:$C$1005,MATCH(D2022,'Items'!$A$6:$A$1005,0)),"MISSING ID")</x:f>
        <x:v>T3</x:v>
      </x:c>
      <x:c r="G2022" s="4" t="str">
        <x:f>IFERROR(INDEX('Items'!$D$6:$D$1005,MATCH(D2022,'Items'!$A$6:$A$1005,0)),"MISSING ID")</x:f>
        <x:v>Crafting components</x:v>
      </x:c>
      <x:c r="H2022" s="4" t="str">
        <x:f>IFERROR(INDEX('Items'!$X$6:$X$1005,MATCH(D2022,'Items'!$A$6:$A$1005,0)),"MISSING ID")</x:f>
        <x:v>Machine part</x:v>
      </x:c>
      <x:c r="I2022" s="4"/>
      <x:c r="J2022" s="4" t="str">
        <x:v>Unspecified</x:v>
      </x:c>
      <x:c r="K2022" s="4" t="str">
        <x:f>IFERROR(INDEX('Crafting recipes'!$D$6:$D$1005,MATCH(B2022,'Crafting recipes'!$A$6:$A$1005,0)),"MISSING ID")</x:f>
        <x:v>Proposal</x:v>
      </x:c>
      <x:c r="L2022" s="4" t="str">
        <x:f>IFERROR(INDEX('Items'!$AD$6:$AD$1005,MATCH(D2022,'Items'!$A$6:$A$1005,0)),"MISSING ID")</x:f>
        <x:v>Proposal</x:v>
      </x:c>
      <x:c r="M2022" s="4" t="str">
        <x:f>IFERROR(INDEX('Crafting recipes'!$E$6:$E$1005,MATCH(B2022,'Crafting recipes'!$A$6:$A$1005,0)),"MISSING ID")</x:f>
        <x:v>Partial proposal</x:v>
      </x:c>
      <x:c r="N2022" s="4" t="str">
        <x:v>Partial audit candidate; quantity, fit and performance remain unresolved.</x:v>
      </x:c>
      <x:c r="O20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2" s="4" t="n">
        <x:f>IF(OR(C2022="Ingredient candidate",C2022="Consumed input",C2022="Contained input",C2022="Transform input"),IF(F2022="T0",0,IF(F2022="T1",1,IF(F2022="T2",2,IF(F2022="T3",3,IF(F2022="T4",4,-1))))),-1)</x:f>
        <x:v>3</x:v>
      </x:c>
      <x:c r="Q2022" s="4" t="n">
        <x:f>IF(AND(OR(C2022="Ingredient candidate",C2022="Consumed input",C2022="Contained input",C2022="Transform input"),P2022=-1),1,0)</x:f>
        <x:v>0</x:v>
      </x:c>
    </x:row>
    <x:row r="2023" ht="64" customHeight="1">
      <x:c r="A2023" s="4" t="str">
        <x:v>design.collection.wound_clock_spring_pack.audit.extra.39</x:v>
      </x:c>
      <x:c r="B2023" s="4" t="str">
        <x:v>design.collection.wound_clock_spring_pack</x:v>
      </x:c>
      <x:c r="C2023" s="4" t="str">
        <x:v>Ingredient candidate</x:v>
      </x:c>
      <x:c r="D2023" s="4" t="str">
        <x:v>proposal.audit.fitted_machine_casing</x:v>
      </x:c>
      <x:c r="E2023" s="4" t="str">
        <x:f>IFERROR(INDEX('Items'!$B$6:$B$1005,MATCH(D2023,'Items'!$A$6:$A$1005,0)),"MISSING ID")</x:f>
        <x:v>Fitted machine casing</x:v>
      </x:c>
      <x:c r="F2023" s="4" t="str">
        <x:f>IFERROR(INDEX('Items'!$C$6:$C$1005,MATCH(D2023,'Items'!$A$6:$A$1005,0)),"MISSING ID")</x:f>
        <x:v>T3</x:v>
      </x:c>
      <x:c r="G2023" s="4" t="str">
        <x:f>IFERROR(INDEX('Items'!$D$6:$D$1005,MATCH(D2023,'Items'!$A$6:$A$1005,0)),"MISSING ID")</x:f>
        <x:v>Crafting components</x:v>
      </x:c>
      <x:c r="H2023" s="4" t="str">
        <x:f>IFERROR(INDEX('Items'!$X$6:$X$1005,MATCH(D2023,'Items'!$A$6:$A$1005,0)),"MISSING ID")</x:f>
        <x:v>Crafting component</x:v>
      </x:c>
      <x:c r="I2023" s="4"/>
      <x:c r="J2023" s="4" t="str">
        <x:v>Unspecified</x:v>
      </x:c>
      <x:c r="K2023" s="4" t="str">
        <x:f>IFERROR(INDEX('Crafting recipes'!$D$6:$D$1005,MATCH(B2023,'Crafting recipes'!$A$6:$A$1005,0)),"MISSING ID")</x:f>
        <x:v>Proposal</x:v>
      </x:c>
      <x:c r="L2023" s="4" t="str">
        <x:f>IFERROR(INDEX('Items'!$AD$6:$AD$1005,MATCH(D2023,'Items'!$A$6:$A$1005,0)),"MISSING ID")</x:f>
        <x:v>Proposal</x:v>
      </x:c>
      <x:c r="M2023" s="4" t="str">
        <x:f>IFERROR(INDEX('Crafting recipes'!$E$6:$E$1005,MATCH(B2023,'Crafting recipes'!$A$6:$A$1005,0)),"MISSING ID")</x:f>
        <x:v>Partial proposal</x:v>
      </x:c>
      <x:c r="N2023" s="4" t="str">
        <x:v>Partial audit candidate; quantity, fit and performance remain unresolved.</x:v>
      </x:c>
      <x:c r="O20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3" s="4" t="n">
        <x:f>IF(OR(C2023="Ingredient candidate",C2023="Consumed input",C2023="Contained input",C2023="Transform input"),IF(F2023="T0",0,IF(F2023="T1",1,IF(F2023="T2",2,IF(F2023="T3",3,IF(F2023="T4",4,-1))))),-1)</x:f>
        <x:v>3</x:v>
      </x:c>
      <x:c r="Q2023" s="4" t="n">
        <x:f>IF(AND(OR(C2023="Ingredient candidate",C2023="Consumed input",C2023="Contained input",C2023="Transform input"),P2023=-1),1,0)</x:f>
        <x:v>0</x:v>
      </x:c>
    </x:row>
    <x:row r="2024" ht="64" customHeight="1">
      <x:c r="A2024" s="4" t="str">
        <x:v>design.collection.torsion_spring_accumulator.audit.extra.40</x:v>
      </x:c>
      <x:c r="B2024" s="4" t="str">
        <x:v>design.collection.torsion_spring_accumulator</x:v>
      </x:c>
      <x:c r="C2024" s="4" t="str">
        <x:v>Ingredient candidate</x:v>
      </x:c>
      <x:c r="D2024" s="4" t="str">
        <x:v>proposal.collection.ratchet_pawl</x:v>
      </x:c>
      <x:c r="E2024" s="4" t="str">
        <x:f>IFERROR(INDEX('Items'!$B$6:$B$1005,MATCH(D2024,'Items'!$A$6:$A$1005,0)),"MISSING ID")</x:f>
        <x:v>Ratchet pawl</x:v>
      </x:c>
      <x:c r="F2024" s="4" t="str">
        <x:f>IFERROR(INDEX('Items'!$C$6:$C$1005,MATCH(D2024,'Items'!$A$6:$A$1005,0)),"MISSING ID")</x:f>
        <x:v>T4</x:v>
      </x:c>
      <x:c r="G2024" s="4" t="str">
        <x:f>IFERROR(INDEX('Items'!$D$6:$D$1005,MATCH(D2024,'Items'!$A$6:$A$1005,0)),"MISSING ID")</x:f>
        <x:v>Crafting components</x:v>
      </x:c>
      <x:c r="H2024" s="4" t="str">
        <x:f>IFERROR(INDEX('Items'!$X$6:$X$1005,MATCH(D2024,'Items'!$A$6:$A$1005,0)),"MISSING ID")</x:f>
        <x:v>Machine part</x:v>
      </x:c>
      <x:c r="I2024" s="4"/>
      <x:c r="J2024" s="4" t="str">
        <x:v>Unspecified</x:v>
      </x:c>
      <x:c r="K2024" s="4" t="str">
        <x:f>IFERROR(INDEX('Crafting recipes'!$D$6:$D$1005,MATCH(B2024,'Crafting recipes'!$A$6:$A$1005,0)),"MISSING ID")</x:f>
        <x:v>Proposal</x:v>
      </x:c>
      <x:c r="L2024" s="4" t="str">
        <x:f>IFERROR(INDEX('Items'!$AD$6:$AD$1005,MATCH(D2024,'Items'!$A$6:$A$1005,0)),"MISSING ID")</x:f>
        <x:v>Proposal</x:v>
      </x:c>
      <x:c r="M2024" s="4" t="str">
        <x:f>IFERROR(INDEX('Crafting recipes'!$E$6:$E$1005,MATCH(B2024,'Crafting recipes'!$A$6:$A$1005,0)),"MISSING ID")</x:f>
        <x:v>Partial proposal</x:v>
      </x:c>
      <x:c r="N2024" s="4" t="str">
        <x:v>Partial audit candidate; quantity, fit and performance remain unresolved.</x:v>
      </x:c>
      <x:c r="O20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4" s="4" t="n">
        <x:f>IF(OR(C2024="Ingredient candidate",C2024="Consumed input",C2024="Contained input",C2024="Transform input"),IF(F2024="T0",0,IF(F2024="T1",1,IF(F2024="T2",2,IF(F2024="T3",3,IF(F2024="T4",4,-1))))),-1)</x:f>
        <x:v>4</x:v>
      </x:c>
      <x:c r="Q2024" s="4" t="n">
        <x:f>IF(AND(OR(C2024="Ingredient candidate",C2024="Consumed input",C2024="Contained input",C2024="Transform input"),P2024=-1),1,0)</x:f>
        <x:v>0</x:v>
      </x:c>
    </x:row>
    <x:row r="2025" ht="64" customHeight="1">
      <x:c r="A2025" s="4" t="str">
        <x:v>design.collection.torsion_spring_accumulator.audit.extra.41</x:v>
      </x:c>
      <x:c r="B2025" s="4" t="str">
        <x:v>design.collection.torsion_spring_accumulator</x:v>
      </x:c>
      <x:c r="C2025" s="4" t="str">
        <x:v>Ingredient candidate</x:v>
      </x:c>
      <x:c r="D2025" s="4" t="str">
        <x:v>proposal.collection.keyed_drive_shaft</x:v>
      </x:c>
      <x:c r="E2025" s="4" t="str">
        <x:f>IFERROR(INDEX('Items'!$B$6:$B$1005,MATCH(D2025,'Items'!$A$6:$A$1005,0)),"MISSING ID")</x:f>
        <x:v>Keyed drive shaft</x:v>
      </x:c>
      <x:c r="F2025" s="4" t="str">
        <x:f>IFERROR(INDEX('Items'!$C$6:$C$1005,MATCH(D2025,'Items'!$A$6:$A$1005,0)),"MISSING ID")</x:f>
        <x:v>T3</x:v>
      </x:c>
      <x:c r="G2025" s="4" t="str">
        <x:f>IFERROR(INDEX('Items'!$D$6:$D$1005,MATCH(D2025,'Items'!$A$6:$A$1005,0)),"MISSING ID")</x:f>
        <x:v>Crafting components</x:v>
      </x:c>
      <x:c r="H2025" s="4" t="str">
        <x:f>IFERROR(INDEX('Items'!$X$6:$X$1005,MATCH(D2025,'Items'!$A$6:$A$1005,0)),"MISSING ID")</x:f>
        <x:v>Machine part</x:v>
      </x:c>
      <x:c r="I2025" s="4"/>
      <x:c r="J2025" s="4" t="str">
        <x:v>Unspecified</x:v>
      </x:c>
      <x:c r="K2025" s="4" t="str">
        <x:f>IFERROR(INDEX('Crafting recipes'!$D$6:$D$1005,MATCH(B2025,'Crafting recipes'!$A$6:$A$1005,0)),"MISSING ID")</x:f>
        <x:v>Proposal</x:v>
      </x:c>
      <x:c r="L2025" s="4" t="str">
        <x:f>IFERROR(INDEX('Items'!$AD$6:$AD$1005,MATCH(D2025,'Items'!$A$6:$A$1005,0)),"MISSING ID")</x:f>
        <x:v>Proposal</x:v>
      </x:c>
      <x:c r="M2025" s="4" t="str">
        <x:f>IFERROR(INDEX('Crafting recipes'!$E$6:$E$1005,MATCH(B2025,'Crafting recipes'!$A$6:$A$1005,0)),"MISSING ID")</x:f>
        <x:v>Partial proposal</x:v>
      </x:c>
      <x:c r="N2025" s="4" t="str">
        <x:v>Partial audit candidate; quantity, fit and performance remain unresolved.</x:v>
      </x:c>
      <x:c r="O20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5" s="4" t="n">
        <x:f>IF(OR(C2025="Ingredient candidate",C2025="Consumed input",C2025="Contained input",C2025="Transform input"),IF(F2025="T0",0,IF(F2025="T1",1,IF(F2025="T2",2,IF(F2025="T3",3,IF(F2025="T4",4,-1))))),-1)</x:f>
        <x:v>3</x:v>
      </x:c>
      <x:c r="Q2025" s="4" t="n">
        <x:f>IF(AND(OR(C2025="Ingredient candidate",C2025="Consumed input",C2025="Contained input",C2025="Transform input"),P2025=-1),1,0)</x:f>
        <x:v>0</x:v>
      </x:c>
    </x:row>
    <x:row r="2026" ht="64" customHeight="1">
      <x:c r="A2026" s="4" t="str">
        <x:v>design.collection.torsion_spring_accumulator.audit.extra.42</x:v>
      </x:c>
      <x:c r="B2026" s="4" t="str">
        <x:v>design.collection.torsion_spring_accumulator</x:v>
      </x:c>
      <x:c r="C2026" s="4" t="str">
        <x:v>Ingredient candidate</x:v>
      </x:c>
      <x:c r="D2026" s="4" t="str">
        <x:v>proposal.audit.fitted_machine_casing</x:v>
      </x:c>
      <x:c r="E2026" s="4" t="str">
        <x:f>IFERROR(INDEX('Items'!$B$6:$B$1005,MATCH(D2026,'Items'!$A$6:$A$1005,0)),"MISSING ID")</x:f>
        <x:v>Fitted machine casing</x:v>
      </x:c>
      <x:c r="F2026" s="4" t="str">
        <x:f>IFERROR(INDEX('Items'!$C$6:$C$1005,MATCH(D2026,'Items'!$A$6:$A$1005,0)),"MISSING ID")</x:f>
        <x:v>T3</x:v>
      </x:c>
      <x:c r="G2026" s="4" t="str">
        <x:f>IFERROR(INDEX('Items'!$D$6:$D$1005,MATCH(D2026,'Items'!$A$6:$A$1005,0)),"MISSING ID")</x:f>
        <x:v>Crafting components</x:v>
      </x:c>
      <x:c r="H2026" s="4" t="str">
        <x:f>IFERROR(INDEX('Items'!$X$6:$X$1005,MATCH(D2026,'Items'!$A$6:$A$1005,0)),"MISSING ID")</x:f>
        <x:v>Crafting component</x:v>
      </x:c>
      <x:c r="I2026" s="4"/>
      <x:c r="J2026" s="4" t="str">
        <x:v>Unspecified</x:v>
      </x:c>
      <x:c r="K2026" s="4" t="str">
        <x:f>IFERROR(INDEX('Crafting recipes'!$D$6:$D$1005,MATCH(B2026,'Crafting recipes'!$A$6:$A$1005,0)),"MISSING ID")</x:f>
        <x:v>Proposal</x:v>
      </x:c>
      <x:c r="L2026" s="4" t="str">
        <x:f>IFERROR(INDEX('Items'!$AD$6:$AD$1005,MATCH(D2026,'Items'!$A$6:$A$1005,0)),"MISSING ID")</x:f>
        <x:v>Proposal</x:v>
      </x:c>
      <x:c r="M2026" s="4" t="str">
        <x:f>IFERROR(INDEX('Crafting recipes'!$E$6:$E$1005,MATCH(B2026,'Crafting recipes'!$A$6:$A$1005,0)),"MISSING ID")</x:f>
        <x:v>Partial proposal</x:v>
      </x:c>
      <x:c r="N2026" s="4" t="str">
        <x:v>Partial audit candidate; quantity, fit and performance remain unresolved.</x:v>
      </x:c>
      <x:c r="O20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6" s="4" t="n">
        <x:f>IF(OR(C2026="Ingredient candidate",C2026="Consumed input",C2026="Contained input",C2026="Transform input"),IF(F2026="T0",0,IF(F2026="T1",1,IF(F2026="T2",2,IF(F2026="T3",3,IF(F2026="T4",4,-1))))),-1)</x:f>
        <x:v>3</x:v>
      </x:c>
      <x:c r="Q2026" s="4" t="n">
        <x:f>IF(AND(OR(C2026="Ingredient candidate",C2026="Consumed input",C2026="Contained input",C2026="Transform input"),P2026=-1),1,0)</x:f>
        <x:v>0</x:v>
      </x:c>
    </x:row>
    <x:row r="2027" ht="64" customHeight="1">
      <x:c r="A2027" s="4" t="str">
        <x:v>design.collection.lifted_counterweight_module.audit.extra.43</x:v>
      </x:c>
      <x:c r="B2027" s="4" t="str">
        <x:v>design.collection.lifted_counterweight_module</x:v>
      </x:c>
      <x:c r="C2027" s="4" t="str">
        <x:v>Ingredient candidate</x:v>
      </x:c>
      <x:c r="D2027" s="4" t="str">
        <x:v>proposal.collection.brake_drum</x:v>
      </x:c>
      <x:c r="E2027" s="4" t="str">
        <x:f>IFERROR(INDEX('Items'!$B$6:$B$1005,MATCH(D2027,'Items'!$A$6:$A$1005,0)),"MISSING ID")</x:f>
        <x:v>Brake drum</x:v>
      </x:c>
      <x:c r="F2027" s="4" t="str">
        <x:f>IFERROR(INDEX('Items'!$C$6:$C$1005,MATCH(D2027,'Items'!$A$6:$A$1005,0)),"MISSING ID")</x:f>
        <x:v>T3</x:v>
      </x:c>
      <x:c r="G2027" s="4" t="str">
        <x:f>IFERROR(INDEX('Items'!$D$6:$D$1005,MATCH(D2027,'Items'!$A$6:$A$1005,0)),"MISSING ID")</x:f>
        <x:v>Crafting components</x:v>
      </x:c>
      <x:c r="H2027" s="4" t="str">
        <x:f>IFERROR(INDEX('Items'!$X$6:$X$1005,MATCH(D2027,'Items'!$A$6:$A$1005,0)),"MISSING ID")</x:f>
        <x:v>Machine part</x:v>
      </x:c>
      <x:c r="I2027" s="4"/>
      <x:c r="J2027" s="4" t="str">
        <x:v>Unspecified</x:v>
      </x:c>
      <x:c r="K2027" s="4" t="str">
        <x:f>IFERROR(INDEX('Crafting recipes'!$D$6:$D$1005,MATCH(B2027,'Crafting recipes'!$A$6:$A$1005,0)),"MISSING ID")</x:f>
        <x:v>Proposal</x:v>
      </x:c>
      <x:c r="L2027" s="4" t="str">
        <x:f>IFERROR(INDEX('Items'!$AD$6:$AD$1005,MATCH(D2027,'Items'!$A$6:$A$1005,0)),"MISSING ID")</x:f>
        <x:v>Proposal</x:v>
      </x:c>
      <x:c r="M2027" s="4" t="str">
        <x:f>IFERROR(INDEX('Crafting recipes'!$E$6:$E$1005,MATCH(B2027,'Crafting recipes'!$A$6:$A$1005,0)),"MISSING ID")</x:f>
        <x:v>Partial proposal</x:v>
      </x:c>
      <x:c r="N2027" s="4" t="str">
        <x:v>Partial audit candidate; quantity, fit and performance remain unresolved.</x:v>
      </x:c>
      <x:c r="O20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7" s="4" t="n">
        <x:f>IF(OR(C2027="Ingredient candidate",C2027="Consumed input",C2027="Contained input",C2027="Transform input"),IF(F2027="T0",0,IF(F2027="T1",1,IF(F2027="T2",2,IF(F2027="T3",3,IF(F2027="T4",4,-1))))),-1)</x:f>
        <x:v>3</x:v>
      </x:c>
      <x:c r="Q2027" s="4" t="n">
        <x:f>IF(AND(OR(C2027="Ingredient candidate",C2027="Consumed input",C2027="Contained input",C2027="Transform input"),P2027=-1),1,0)</x:f>
        <x:v>0</x:v>
      </x:c>
    </x:row>
    <x:row r="2028" ht="64" customHeight="1">
      <x:c r="A2028" s="4" t="str">
        <x:v>design.collection.lifted_counterweight_module.audit.extra.44</x:v>
      </x:c>
      <x:c r="B2028" s="4" t="str">
        <x:v>design.collection.lifted_counterweight_module</x:v>
      </x:c>
      <x:c r="C2028" s="4" t="str">
        <x:v>Ingredient candidate</x:v>
      </x:c>
      <x:c r="D2028" s="4" t="str">
        <x:v>proposal.collection.brake_lining_shoe</x:v>
      </x:c>
      <x:c r="E2028" s="4" t="str">
        <x:f>IFERROR(INDEX('Items'!$B$6:$B$1005,MATCH(D2028,'Items'!$A$6:$A$1005,0)),"MISSING ID")</x:f>
        <x:v>Brake lining shoe</x:v>
      </x:c>
      <x:c r="F2028" s="4" t="str">
        <x:f>IFERROR(INDEX('Items'!$C$6:$C$1005,MATCH(D2028,'Items'!$A$6:$A$1005,0)),"MISSING ID")</x:f>
        <x:v>T3</x:v>
      </x:c>
      <x:c r="G2028" s="4" t="str">
        <x:f>IFERROR(INDEX('Items'!$D$6:$D$1005,MATCH(D2028,'Items'!$A$6:$A$1005,0)),"MISSING ID")</x:f>
        <x:v>Crafting components</x:v>
      </x:c>
      <x:c r="H2028" s="4" t="str">
        <x:f>IFERROR(INDEX('Items'!$X$6:$X$1005,MATCH(D2028,'Items'!$A$6:$A$1005,0)),"MISSING ID")</x:f>
        <x:v>Machine part</x:v>
      </x:c>
      <x:c r="I2028" s="4"/>
      <x:c r="J2028" s="4" t="str">
        <x:v>Unspecified</x:v>
      </x:c>
      <x:c r="K2028" s="4" t="str">
        <x:f>IFERROR(INDEX('Crafting recipes'!$D$6:$D$1005,MATCH(B2028,'Crafting recipes'!$A$6:$A$1005,0)),"MISSING ID")</x:f>
        <x:v>Proposal</x:v>
      </x:c>
      <x:c r="L2028" s="4" t="str">
        <x:f>IFERROR(INDEX('Items'!$AD$6:$AD$1005,MATCH(D2028,'Items'!$A$6:$A$1005,0)),"MISSING ID")</x:f>
        <x:v>Proposal</x:v>
      </x:c>
      <x:c r="M2028" s="4" t="str">
        <x:f>IFERROR(INDEX('Crafting recipes'!$E$6:$E$1005,MATCH(B2028,'Crafting recipes'!$A$6:$A$1005,0)),"MISSING ID")</x:f>
        <x:v>Partial proposal</x:v>
      </x:c>
      <x:c r="N2028" s="4" t="str">
        <x:v>Partial audit candidate; quantity, fit and performance remain unresolved.</x:v>
      </x:c>
      <x:c r="O20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8" s="4" t="n">
        <x:f>IF(OR(C2028="Ingredient candidate",C2028="Consumed input",C2028="Contained input",C2028="Transform input"),IF(F2028="T0",0,IF(F2028="T1",1,IF(F2028="T2",2,IF(F2028="T3",3,IF(F2028="T4",4,-1))))),-1)</x:f>
        <x:v>3</x:v>
      </x:c>
      <x:c r="Q2028" s="4" t="n">
        <x:f>IF(AND(OR(C2028="Ingredient candidate",C2028="Consumed input",C2028="Contained input",C2028="Transform input"),P2028=-1),1,0)</x:f>
        <x:v>0</x:v>
      </x:c>
    </x:row>
    <x:row r="2029" ht="64" customHeight="1">
      <x:c r="A2029" s="4" t="str">
        <x:v>design.collection.lifted_counterweight_module.audit.extra.45</x:v>
      </x:c>
      <x:c r="B2029" s="4" t="str">
        <x:v>design.collection.lifted_counterweight_module</x:v>
      </x:c>
      <x:c r="C2029" s="4" t="str">
        <x:v>Ingredient candidate</x:v>
      </x:c>
      <x:c r="D2029" s="4" t="str">
        <x:v>proposal.lore.fastener_set</x:v>
      </x:c>
      <x:c r="E2029" s="4" t="str">
        <x:f>IFERROR(INDEX('Items'!$B$6:$B$1005,MATCH(D2029,'Items'!$A$6:$A$1005,0)),"MISSING ID")</x:f>
        <x:v>Matched metal fastener set</x:v>
      </x:c>
      <x:c r="F2029" s="4" t="str">
        <x:f>IFERROR(INDEX('Items'!$C$6:$C$1005,MATCH(D2029,'Items'!$A$6:$A$1005,0)),"MISSING ID")</x:f>
        <x:v>T3</x:v>
      </x:c>
      <x:c r="G2029" s="4" t="str">
        <x:f>IFERROR(INDEX('Items'!$D$6:$D$1005,MATCH(D2029,'Items'!$A$6:$A$1005,0)),"MISSING ID")</x:f>
        <x:v>Crafting components</x:v>
      </x:c>
      <x:c r="H2029" s="4" t="str">
        <x:f>IFERROR(INDEX('Items'!$X$6:$X$1005,MATCH(D2029,'Items'!$A$6:$A$1005,0)),"MISSING ID")</x:f>
        <x:v>Crafting component</x:v>
      </x:c>
      <x:c r="I2029" s="4"/>
      <x:c r="J2029" s="4" t="str">
        <x:v>Unspecified</x:v>
      </x:c>
      <x:c r="K2029" s="4" t="str">
        <x:f>IFERROR(INDEX('Crafting recipes'!$D$6:$D$1005,MATCH(B2029,'Crafting recipes'!$A$6:$A$1005,0)),"MISSING ID")</x:f>
        <x:v>Proposal</x:v>
      </x:c>
      <x:c r="L2029" s="4" t="str">
        <x:f>IFERROR(INDEX('Items'!$AD$6:$AD$1005,MATCH(D2029,'Items'!$A$6:$A$1005,0)),"MISSING ID")</x:f>
        <x:v>Proposal</x:v>
      </x:c>
      <x:c r="M2029" s="4" t="str">
        <x:f>IFERROR(INDEX('Crafting recipes'!$E$6:$E$1005,MATCH(B2029,'Crafting recipes'!$A$6:$A$1005,0)),"MISSING ID")</x:f>
        <x:v>Partial proposal</x:v>
      </x:c>
      <x:c r="N2029" s="4" t="str">
        <x:v>Partial audit candidate; quantity, fit and performance remain unresolved.</x:v>
      </x:c>
      <x:c r="O20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9" s="4" t="n">
        <x:f>IF(OR(C2029="Ingredient candidate",C2029="Consumed input",C2029="Contained input",C2029="Transform input"),IF(F2029="T0",0,IF(F2029="T1",1,IF(F2029="T2",2,IF(F2029="T3",3,IF(F2029="T4",4,-1))))),-1)</x:f>
        <x:v>3</x:v>
      </x:c>
      <x:c r="Q2029" s="4" t="n">
        <x:f>IF(AND(OR(C2029="Ingredient candidate",C2029="Consumed input",C2029="Contained input",C2029="Transform input"),P2029=-1),1,0)</x:f>
        <x:v>0</x:v>
      </x:c>
    </x:row>
    <x:row r="2030" ht="64" customHeight="1">
      <x:c r="A2030" s="4" t="str">
        <x:v>design.collection.shaft_drop_weight_train.audit.extra.46</x:v>
      </x:c>
      <x:c r="B2030" s="4" t="str">
        <x:v>design.collection.shaft_drop_weight_train</x:v>
      </x:c>
      <x:c r="C2030" s="4" t="str">
        <x:v>Ingredient candidate</x:v>
      </x:c>
      <x:c r="D2030" s="4" t="str">
        <x:v>proposal.collection.grooved_lift_pulley</x:v>
      </x:c>
      <x:c r="E2030" s="4" t="str">
        <x:f>IFERROR(INDEX('Items'!$B$6:$B$1005,MATCH(D2030,'Items'!$A$6:$A$1005,0)),"MISSING ID")</x:f>
        <x:v>Grooved lift pulley</x:v>
      </x:c>
      <x:c r="F2030" s="4" t="str">
        <x:f>IFERROR(INDEX('Items'!$C$6:$C$1005,MATCH(D2030,'Items'!$A$6:$A$1005,0)),"MISSING ID")</x:f>
        <x:v>T3</x:v>
      </x:c>
      <x:c r="G2030" s="4" t="str">
        <x:f>IFERROR(INDEX('Items'!$D$6:$D$1005,MATCH(D2030,'Items'!$A$6:$A$1005,0)),"MISSING ID")</x:f>
        <x:v>Crafting components</x:v>
      </x:c>
      <x:c r="H2030" s="4" t="str">
        <x:f>IFERROR(INDEX('Items'!$X$6:$X$1005,MATCH(D2030,'Items'!$A$6:$A$1005,0)),"MISSING ID")</x:f>
        <x:v>Machine part</x:v>
      </x:c>
      <x:c r="I2030" s="4"/>
      <x:c r="J2030" s="4" t="str">
        <x:v>Unspecified</x:v>
      </x:c>
      <x:c r="K2030" s="4" t="str">
        <x:f>IFERROR(INDEX('Crafting recipes'!$D$6:$D$1005,MATCH(B2030,'Crafting recipes'!$A$6:$A$1005,0)),"MISSING ID")</x:f>
        <x:v>Proposal</x:v>
      </x:c>
      <x:c r="L2030" s="4" t="str">
        <x:f>IFERROR(INDEX('Items'!$AD$6:$AD$1005,MATCH(D2030,'Items'!$A$6:$A$1005,0)),"MISSING ID")</x:f>
        <x:v>Proposal</x:v>
      </x:c>
      <x:c r="M2030" s="4" t="str">
        <x:f>IFERROR(INDEX('Crafting recipes'!$E$6:$E$1005,MATCH(B2030,'Crafting recipes'!$A$6:$A$1005,0)),"MISSING ID")</x:f>
        <x:v>Partial proposal</x:v>
      </x:c>
      <x:c r="N2030" s="4" t="str">
        <x:v>Partial audit candidate; quantity, fit and performance remain unresolved.</x:v>
      </x:c>
      <x:c r="O20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0" s="4" t="n">
        <x:f>IF(OR(C2030="Ingredient candidate",C2030="Consumed input",C2030="Contained input",C2030="Transform input"),IF(F2030="T0",0,IF(F2030="T1",1,IF(F2030="T2",2,IF(F2030="T3",3,IF(F2030="T4",4,-1))))),-1)</x:f>
        <x:v>3</x:v>
      </x:c>
      <x:c r="Q2030" s="4" t="n">
        <x:f>IF(AND(OR(C2030="Ingredient candidate",C2030="Consumed input",C2030="Contained input",C2030="Transform input"),P2030=-1),1,0)</x:f>
        <x:v>0</x:v>
      </x:c>
    </x:row>
    <x:row r="2031" ht="64" customHeight="1">
      <x:c r="A2031" s="4" t="str">
        <x:v>design.collection.shaft_drop_weight_train.audit.extra.47</x:v>
      </x:c>
      <x:c r="B2031" s="4" t="str">
        <x:v>design.collection.shaft_drop_weight_train</x:v>
      </x:c>
      <x:c r="C2031" s="4" t="str">
        <x:v>Ingredient candidate</x:v>
      </x:c>
      <x:c r="D2031" s="4" t="str">
        <x:v>proposal.collection.brake_drum</x:v>
      </x:c>
      <x:c r="E2031" s="4" t="str">
        <x:f>IFERROR(INDEX('Items'!$B$6:$B$1005,MATCH(D2031,'Items'!$A$6:$A$1005,0)),"MISSING ID")</x:f>
        <x:v>Brake drum</x:v>
      </x:c>
      <x:c r="F2031" s="4" t="str">
        <x:f>IFERROR(INDEX('Items'!$C$6:$C$1005,MATCH(D2031,'Items'!$A$6:$A$1005,0)),"MISSING ID")</x:f>
        <x:v>T3</x:v>
      </x:c>
      <x:c r="G2031" s="4" t="str">
        <x:f>IFERROR(INDEX('Items'!$D$6:$D$1005,MATCH(D2031,'Items'!$A$6:$A$1005,0)),"MISSING ID")</x:f>
        <x:v>Crafting components</x:v>
      </x:c>
      <x:c r="H2031" s="4" t="str">
        <x:f>IFERROR(INDEX('Items'!$X$6:$X$1005,MATCH(D2031,'Items'!$A$6:$A$1005,0)),"MISSING ID")</x:f>
        <x:v>Machine part</x:v>
      </x:c>
      <x:c r="I2031" s="4"/>
      <x:c r="J2031" s="4" t="str">
        <x:v>Unspecified</x:v>
      </x:c>
      <x:c r="K2031" s="4" t="str">
        <x:f>IFERROR(INDEX('Crafting recipes'!$D$6:$D$1005,MATCH(B2031,'Crafting recipes'!$A$6:$A$1005,0)),"MISSING ID")</x:f>
        <x:v>Proposal</x:v>
      </x:c>
      <x:c r="L2031" s="4" t="str">
        <x:f>IFERROR(INDEX('Items'!$AD$6:$AD$1005,MATCH(D2031,'Items'!$A$6:$A$1005,0)),"MISSING ID")</x:f>
        <x:v>Proposal</x:v>
      </x:c>
      <x:c r="M2031" s="4" t="str">
        <x:f>IFERROR(INDEX('Crafting recipes'!$E$6:$E$1005,MATCH(B2031,'Crafting recipes'!$A$6:$A$1005,0)),"MISSING ID")</x:f>
        <x:v>Partial proposal</x:v>
      </x:c>
      <x:c r="N2031" s="4" t="str">
        <x:v>Partial audit candidate; quantity, fit and performance remain unresolved.</x:v>
      </x:c>
      <x:c r="O20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1" s="4" t="n">
        <x:f>IF(OR(C2031="Ingredient candidate",C2031="Consumed input",C2031="Contained input",C2031="Transform input"),IF(F2031="T0",0,IF(F2031="T1",1,IF(F2031="T2",2,IF(F2031="T3",3,IF(F2031="T4",4,-1))))),-1)</x:f>
        <x:v>3</x:v>
      </x:c>
      <x:c r="Q2031" s="4" t="n">
        <x:f>IF(AND(OR(C2031="Ingredient candidate",C2031="Consumed input",C2031="Contained input",C2031="Transform input"),P2031=-1),1,0)</x:f>
        <x:v>0</x:v>
      </x:c>
    </x:row>
    <x:row r="2032" ht="64" customHeight="1">
      <x:c r="A2032" s="4" t="str">
        <x:v>design.collection.shaft_drop_weight_train.audit.extra.48</x:v>
      </x:c>
      <x:c r="B2032" s="4" t="str">
        <x:v>design.collection.shaft_drop_weight_train</x:v>
      </x:c>
      <x:c r="C2032" s="4" t="str">
        <x:v>Ingredient candidate</x:v>
      </x:c>
      <x:c r="D2032" s="4" t="str">
        <x:v>proposal.collection.brake_lining_shoe</x:v>
      </x:c>
      <x:c r="E2032" s="4" t="str">
        <x:f>IFERROR(INDEX('Items'!$B$6:$B$1005,MATCH(D2032,'Items'!$A$6:$A$1005,0)),"MISSING ID")</x:f>
        <x:v>Brake lining shoe</x:v>
      </x:c>
      <x:c r="F2032" s="4" t="str">
        <x:f>IFERROR(INDEX('Items'!$C$6:$C$1005,MATCH(D2032,'Items'!$A$6:$A$1005,0)),"MISSING ID")</x:f>
        <x:v>T3</x:v>
      </x:c>
      <x:c r="G2032" s="4" t="str">
        <x:f>IFERROR(INDEX('Items'!$D$6:$D$1005,MATCH(D2032,'Items'!$A$6:$A$1005,0)),"MISSING ID")</x:f>
        <x:v>Crafting components</x:v>
      </x:c>
      <x:c r="H2032" s="4" t="str">
        <x:f>IFERROR(INDEX('Items'!$X$6:$X$1005,MATCH(D2032,'Items'!$A$6:$A$1005,0)),"MISSING ID")</x:f>
        <x:v>Machine part</x:v>
      </x:c>
      <x:c r="I2032" s="4"/>
      <x:c r="J2032" s="4" t="str">
        <x:v>Unspecified</x:v>
      </x:c>
      <x:c r="K2032" s="4" t="str">
        <x:f>IFERROR(INDEX('Crafting recipes'!$D$6:$D$1005,MATCH(B2032,'Crafting recipes'!$A$6:$A$1005,0)),"MISSING ID")</x:f>
        <x:v>Proposal</x:v>
      </x:c>
      <x:c r="L2032" s="4" t="str">
        <x:f>IFERROR(INDEX('Items'!$AD$6:$AD$1005,MATCH(D2032,'Items'!$A$6:$A$1005,0)),"MISSING ID")</x:f>
        <x:v>Proposal</x:v>
      </x:c>
      <x:c r="M2032" s="4" t="str">
        <x:f>IFERROR(INDEX('Crafting recipes'!$E$6:$E$1005,MATCH(B2032,'Crafting recipes'!$A$6:$A$1005,0)),"MISSING ID")</x:f>
        <x:v>Partial proposal</x:v>
      </x:c>
      <x:c r="N2032" s="4" t="str">
        <x:v>Partial audit candidate; quantity, fit and performance remain unresolved.</x:v>
      </x:c>
      <x:c r="O20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2" s="4" t="n">
        <x:f>IF(OR(C2032="Ingredient candidate",C2032="Consumed input",C2032="Contained input",C2032="Transform input"),IF(F2032="T0",0,IF(F2032="T1",1,IF(F2032="T2",2,IF(F2032="T3",3,IF(F2032="T4",4,-1))))),-1)</x:f>
        <x:v>3</x:v>
      </x:c>
      <x:c r="Q2032" s="4" t="n">
        <x:f>IF(AND(OR(C2032="Ingredient candidate",C2032="Consumed input",C2032="Contained input",C2032="Transform input"),P2032=-1),1,0)</x:f>
        <x:v>0</x:v>
      </x:c>
    </x:row>
    <x:row r="2033" ht="64" customHeight="1">
      <x:c r="A2033" s="4" t="str">
        <x:v>design.collection.shaft_drop_weight_train.audit.extra.49</x:v>
      </x:c>
      <x:c r="B2033" s="4" t="str">
        <x:v>design.collection.shaft_drop_weight_train</x:v>
      </x:c>
      <x:c r="C2033" s="4" t="str">
        <x:v>Ingredient candidate</x:v>
      </x:c>
      <x:c r="D2033" s="4" t="str">
        <x:v>proposal.lore.fastener_set</x:v>
      </x:c>
      <x:c r="E2033" s="4" t="str">
        <x:f>IFERROR(INDEX('Items'!$B$6:$B$1005,MATCH(D2033,'Items'!$A$6:$A$1005,0)),"MISSING ID")</x:f>
        <x:v>Matched metal fastener set</x:v>
      </x:c>
      <x:c r="F2033" s="4" t="str">
        <x:f>IFERROR(INDEX('Items'!$C$6:$C$1005,MATCH(D2033,'Items'!$A$6:$A$1005,0)),"MISSING ID")</x:f>
        <x:v>T3</x:v>
      </x:c>
      <x:c r="G2033" s="4" t="str">
        <x:f>IFERROR(INDEX('Items'!$D$6:$D$1005,MATCH(D2033,'Items'!$A$6:$A$1005,0)),"MISSING ID")</x:f>
        <x:v>Crafting components</x:v>
      </x:c>
      <x:c r="H2033" s="4" t="str">
        <x:f>IFERROR(INDEX('Items'!$X$6:$X$1005,MATCH(D2033,'Items'!$A$6:$A$1005,0)),"MISSING ID")</x:f>
        <x:v>Crafting component</x:v>
      </x:c>
      <x:c r="I2033" s="4"/>
      <x:c r="J2033" s="4" t="str">
        <x:v>Unspecified</x:v>
      </x:c>
      <x:c r="K2033" s="4" t="str">
        <x:f>IFERROR(INDEX('Crafting recipes'!$D$6:$D$1005,MATCH(B2033,'Crafting recipes'!$A$6:$A$1005,0)),"MISSING ID")</x:f>
        <x:v>Proposal</x:v>
      </x:c>
      <x:c r="L2033" s="4" t="str">
        <x:f>IFERROR(INDEX('Items'!$AD$6:$AD$1005,MATCH(D2033,'Items'!$A$6:$A$1005,0)),"MISSING ID")</x:f>
        <x:v>Proposal</x:v>
      </x:c>
      <x:c r="M2033" s="4" t="str">
        <x:f>IFERROR(INDEX('Crafting recipes'!$E$6:$E$1005,MATCH(B2033,'Crafting recipes'!$A$6:$A$1005,0)),"MISSING ID")</x:f>
        <x:v>Partial proposal</x:v>
      </x:c>
      <x:c r="N2033" s="4" t="str">
        <x:v>Partial audit candidate; quantity, fit and performance remain unresolved.</x:v>
      </x:c>
      <x:c r="O20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3" s="4" t="n">
        <x:f>IF(OR(C2033="Ingredient candidate",C2033="Consumed input",C2033="Contained input",C2033="Transform input"),IF(F2033="T0",0,IF(F2033="T1",1,IF(F2033="T2",2,IF(F2033="T3",3,IF(F2033="T4",4,-1))))),-1)</x:f>
        <x:v>3</x:v>
      </x:c>
      <x:c r="Q2033" s="4" t="n">
        <x:f>IF(AND(OR(C2033="Ingredient candidate",C2033="Consumed input",C2033="Contained input",C2033="Transform input"),P2033=-1),1,0)</x:f>
        <x:v>0</x:v>
      </x:c>
    </x:row>
    <x:row r="2034" ht="64" customHeight="1">
      <x:c r="A2034" s="4" t="str">
        <x:v>design.collection.sealed_pressure_accumulator.audit.extra.50</x:v>
      </x:c>
      <x:c r="B2034" s="4" t="str">
        <x:v>design.collection.sealed_pressure_accumulator</x:v>
      </x:c>
      <x:c r="C2034" s="4" t="str">
        <x:v>Ingredient candidate</x:v>
      </x:c>
      <x:c r="D2034" s="4" t="str">
        <x:v>proposal.branch.sealing_sheet</x:v>
      </x:c>
      <x:c r="E2034" s="4" t="str">
        <x:f>IFERROR(INDEX('Items'!$B$6:$B$1005,MATCH(D2034,'Items'!$A$6:$A$1005,0)),"MISSING ID")</x:f>
        <x:v>Reinforced sealing sheet</x:v>
      </x:c>
      <x:c r="F2034" s="4" t="str">
        <x:f>IFERROR(INDEX('Items'!$C$6:$C$1005,MATCH(D2034,'Items'!$A$6:$A$1005,0)),"MISSING ID")</x:f>
        <x:v>T3</x:v>
      </x:c>
      <x:c r="G2034" s="4" t="str">
        <x:f>IFERROR(INDEX('Items'!$D$6:$D$1005,MATCH(D2034,'Items'!$A$6:$A$1005,0)),"MISSING ID")</x:f>
        <x:v>Manufactured stock</x:v>
      </x:c>
      <x:c r="H2034" s="4" t="str">
        <x:f>IFERROR(INDEX('Items'!$X$6:$X$1005,MATCH(D2034,'Items'!$A$6:$A$1005,0)),"MISSING ID")</x:f>
        <x:v>Processed material</x:v>
      </x:c>
      <x:c r="I2034" s="4"/>
      <x:c r="J2034" s="4" t="str">
        <x:v>Unspecified</x:v>
      </x:c>
      <x:c r="K2034" s="4" t="str">
        <x:f>IFERROR(INDEX('Crafting recipes'!$D$6:$D$1005,MATCH(B2034,'Crafting recipes'!$A$6:$A$1005,0)),"MISSING ID")</x:f>
        <x:v>Proposal</x:v>
      </x:c>
      <x:c r="L2034" s="4" t="str">
        <x:f>IFERROR(INDEX('Items'!$AD$6:$AD$1005,MATCH(D2034,'Items'!$A$6:$A$1005,0)),"MISSING ID")</x:f>
        <x:v>Proposal</x:v>
      </x:c>
      <x:c r="M2034" s="4" t="str">
        <x:f>IFERROR(INDEX('Crafting recipes'!$E$6:$E$1005,MATCH(B2034,'Crafting recipes'!$A$6:$A$1005,0)),"MISSING ID")</x:f>
        <x:v>Partial proposal</x:v>
      </x:c>
      <x:c r="N2034" s="4" t="str">
        <x:v>Partial audit candidate; quantity, fit and performance remain unresolved.</x:v>
      </x:c>
      <x:c r="O20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4" s="4" t="n">
        <x:f>IF(OR(C2034="Ingredient candidate",C2034="Consumed input",C2034="Contained input",C2034="Transform input"),IF(F2034="T0",0,IF(F2034="T1",1,IF(F2034="T2",2,IF(F2034="T3",3,IF(F2034="T4",4,-1))))),-1)</x:f>
        <x:v>3</x:v>
      </x:c>
      <x:c r="Q2034" s="4" t="n">
        <x:f>IF(AND(OR(C2034="Ingredient candidate",C2034="Consumed input",C2034="Contained input",C2034="Transform input"),P2034=-1),1,0)</x:f>
        <x:v>0</x:v>
      </x:c>
    </x:row>
    <x:row r="2035" ht="64" customHeight="1">
      <x:c r="A2035" s="4" t="str">
        <x:v>design.collection.sealed_pressure_accumulator.audit.extra.51</x:v>
      </x:c>
      <x:c r="B2035" s="4" t="str">
        <x:v>design.collection.sealed_pressure_accumulator</x:v>
      </x:c>
      <x:c r="C2035" s="4" t="str">
        <x:v>Contained input</x:v>
      </x:c>
      <x:c r="D2035" s="4" t="str">
        <x:v>proposal.audit.contained_dry_working_gas</x:v>
      </x:c>
      <x:c r="E2035" s="4" t="str">
        <x:f>IFERROR(INDEX('Items'!$B$6:$B$1005,MATCH(D2035,'Items'!$A$6:$A$1005,0)),"MISSING ID")</x:f>
        <x:v>Contained dry working gas</x:v>
      </x:c>
      <x:c r="F2035" s="4" t="str">
        <x:f>IFERROR(INDEX('Items'!$C$6:$C$1005,MATCH(D2035,'Items'!$A$6:$A$1005,0)),"MISSING ID")</x:f>
        <x:v>T0</x:v>
      </x:c>
      <x:c r="G2035" s="4" t="str">
        <x:f>IFERROR(INDEX('Items'!$D$6:$D$1005,MATCH(D2035,'Items'!$A$6:$A$1005,0)),"MISSING ID")</x:f>
        <x:v>Atmospheric resources</x:v>
      </x:c>
      <x:c r="H2035" s="4" t="str">
        <x:f>IFERROR(INDEX('Items'!$X$6:$X$1005,MATCH(D2035,'Items'!$A$6:$A$1005,0)),"MISSING ID")</x:f>
        <x:v>Raw material</x:v>
      </x:c>
      <x:c r="I2035" s="4"/>
      <x:c r="J2035" s="4" t="str">
        <x:v>Unspecified</x:v>
      </x:c>
      <x:c r="K2035" s="4" t="str">
        <x:f>IFERROR(INDEX('Crafting recipes'!$D$6:$D$1005,MATCH(B2035,'Crafting recipes'!$A$6:$A$1005,0)),"MISSING ID")</x:f>
        <x:v>Proposal</x:v>
      </x:c>
      <x:c r="L2035" s="4" t="str">
        <x:f>IFERROR(INDEX('Items'!$AD$6:$AD$1005,MATCH(D2035,'Items'!$A$6:$A$1005,0)),"MISSING ID")</x:f>
        <x:v>Proposal</x:v>
      </x:c>
      <x:c r="M2035" s="4" t="str">
        <x:f>IFERROR(INDEX('Crafting recipes'!$E$6:$E$1005,MATCH(B2035,'Crafting recipes'!$A$6:$A$1005,0)),"MISSING ID")</x:f>
        <x:v>Partial proposal</x:v>
      </x:c>
      <x:c r="N2035" s="4" t="str">
        <x:v>Partial audit candidate; quantity, fit and performance remain unresolved.</x:v>
      </x:c>
      <x:c r="O20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5" s="4" t="n">
        <x:f>IF(OR(C2035="Ingredient candidate",C2035="Consumed input",C2035="Contained input",C2035="Transform input"),IF(F2035="T0",0,IF(F2035="T1",1,IF(F2035="T2",2,IF(F2035="T3",3,IF(F2035="T4",4,-1))))),-1)</x:f>
        <x:v>0</x:v>
      </x:c>
      <x:c r="Q2035" s="4" t="n">
        <x:f>IF(AND(OR(C2035="Ingredient candidate",C2035="Consumed input",C2035="Contained input",C2035="Transform input"),P2035=-1),1,0)</x:f>
        <x:v>0</x:v>
      </x:c>
    </x:row>
    <x:row r="2036" ht="64" customHeight="1">
      <x:c r="A2036" s="4" t="str">
        <x:v>design.collection.ceramic_housed_mineral_battery.audit.extra.52</x:v>
      </x:c>
      <x:c r="B2036" s="4" t="str">
        <x:v>design.collection.ceramic_housed_mineral_battery</x:v>
      </x:c>
      <x:c r="C2036" s="4" t="str">
        <x:v>Ingredient candidate</x:v>
      </x:c>
      <x:c r="D2036" s="4" t="str">
        <x:v>proposal.audit.mineral_cell_electrolyte_candidate</x:v>
      </x:c>
      <x:c r="E2036" s="4" t="str">
        <x:f>IFERROR(INDEX('Items'!$B$6:$B$1005,MATCH(D2036,'Items'!$A$6:$A$1005,0)),"MISSING ID")</x:f>
        <x:v>Mineral-cell electrolyte candidate</x:v>
      </x:c>
      <x:c r="F2036" s="4" t="str">
        <x:f>IFERROR(INDEX('Items'!$C$6:$C$1005,MATCH(D2036,'Items'!$A$6:$A$1005,0)),"MISSING ID")</x:f>
        <x:v>T2</x:v>
      </x:c>
      <x:c r="G2036" s="4" t="str">
        <x:f>IFERROR(INDEX('Items'!$D$6:$D$1005,MATCH(D2036,'Items'!$A$6:$A$1005,0)),"MISSING ID")</x:f>
        <x:v>Crafting components</x:v>
      </x:c>
      <x:c r="H2036" s="4" t="str">
        <x:f>IFERROR(INDEX('Items'!$X$6:$X$1005,MATCH(D2036,'Items'!$A$6:$A$1005,0)),"MISSING ID")</x:f>
        <x:v>Chemical material</x:v>
      </x:c>
      <x:c r="I2036" s="4"/>
      <x:c r="J2036" s="4" t="str">
        <x:v>Unspecified</x:v>
      </x:c>
      <x:c r="K2036" s="4" t="str">
        <x:f>IFERROR(INDEX('Crafting recipes'!$D$6:$D$1005,MATCH(B2036,'Crafting recipes'!$A$6:$A$1005,0)),"MISSING ID")</x:f>
        <x:v>Proposal</x:v>
      </x:c>
      <x:c r="L2036" s="4" t="str">
        <x:f>IFERROR(INDEX('Items'!$AD$6:$AD$1005,MATCH(D2036,'Items'!$A$6:$A$1005,0)),"MISSING ID")</x:f>
        <x:v>Proposal</x:v>
      </x:c>
      <x:c r="M2036" s="4" t="str">
        <x:f>IFERROR(INDEX('Crafting recipes'!$E$6:$E$1005,MATCH(B2036,'Crafting recipes'!$A$6:$A$1005,0)),"MISSING ID")</x:f>
        <x:v>Partial proposal</x:v>
      </x:c>
      <x:c r="N2036" s="4" t="str">
        <x:v>Partial audit candidate; quantity, fit and performance remain unresolved.</x:v>
      </x:c>
      <x:c r="O20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6" s="4" t="n">
        <x:f>IF(OR(C2036="Ingredient candidate",C2036="Consumed input",C2036="Contained input",C2036="Transform input"),IF(F2036="T0",0,IF(F2036="T1",1,IF(F2036="T2",2,IF(F2036="T3",3,IF(F2036="T4",4,-1))))),-1)</x:f>
        <x:v>2</x:v>
      </x:c>
      <x:c r="Q2036" s="4" t="n">
        <x:f>IF(AND(OR(C2036="Ingredient candidate",C2036="Consumed input",C2036="Contained input",C2036="Transform input"),P2036=-1),1,0)</x:f>
        <x:v>0</x:v>
      </x:c>
    </x:row>
    <x:row r="2037" ht="64" customHeight="1">
      <x:c r="A2037" s="4" t="str">
        <x:v>design.collection.ceramic_housed_mineral_battery.audit.extra.53</x:v>
      </x:c>
      <x:c r="B2037" s="4" t="str">
        <x:v>design.collection.ceramic_housed_mineral_battery</x:v>
      </x:c>
      <x:c r="C2037" s="4" t="str">
        <x:v>Ingredient candidate</x:v>
      </x:c>
      <x:c r="D2037" s="4" t="str">
        <x:v>proposal.audit.graphite_electrode_plate_stock</x:v>
      </x:c>
      <x:c r="E2037" s="4" t="str">
        <x:f>IFERROR(INDEX('Items'!$B$6:$B$1005,MATCH(D2037,'Items'!$A$6:$A$1005,0)),"MISSING ID")</x:f>
        <x:v>Graphite electrode plate stock</x:v>
      </x:c>
      <x:c r="F2037" s="4" t="str">
        <x:f>IFERROR(INDEX('Items'!$C$6:$C$1005,MATCH(D2037,'Items'!$A$6:$A$1005,0)),"MISSING ID")</x:f>
        <x:v>T2</x:v>
      </x:c>
      <x:c r="G2037" s="4" t="str">
        <x:f>IFERROR(INDEX('Items'!$D$6:$D$1005,MATCH(D2037,'Items'!$A$6:$A$1005,0)),"MISSING ID")</x:f>
        <x:v>Manufactured stock</x:v>
      </x:c>
      <x:c r="H2037" s="4" t="str">
        <x:f>IFERROR(INDEX('Items'!$X$6:$X$1005,MATCH(D2037,'Items'!$A$6:$A$1005,0)),"MISSING ID")</x:f>
        <x:v>Processed material</x:v>
      </x:c>
      <x:c r="I2037" s="4"/>
      <x:c r="J2037" s="4" t="str">
        <x:v>Unspecified</x:v>
      </x:c>
      <x:c r="K2037" s="4" t="str">
        <x:f>IFERROR(INDEX('Crafting recipes'!$D$6:$D$1005,MATCH(B2037,'Crafting recipes'!$A$6:$A$1005,0)),"MISSING ID")</x:f>
        <x:v>Proposal</x:v>
      </x:c>
      <x:c r="L2037" s="4" t="str">
        <x:f>IFERROR(INDEX('Items'!$AD$6:$AD$1005,MATCH(D2037,'Items'!$A$6:$A$1005,0)),"MISSING ID")</x:f>
        <x:v>Proposal</x:v>
      </x:c>
      <x:c r="M2037" s="4" t="str">
        <x:f>IFERROR(INDEX('Crafting recipes'!$E$6:$E$1005,MATCH(B2037,'Crafting recipes'!$A$6:$A$1005,0)),"MISSING ID")</x:f>
        <x:v>Partial proposal</x:v>
      </x:c>
      <x:c r="N2037" s="4" t="str">
        <x:v>Partial audit candidate; quantity, fit and performance remain unresolved.</x:v>
      </x:c>
      <x:c r="O20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7" s="4" t="n">
        <x:f>IF(OR(C2037="Ingredient candidate",C2037="Consumed input",C2037="Contained input",C2037="Transform input"),IF(F2037="T0",0,IF(F2037="T1",1,IF(F2037="T2",2,IF(F2037="T3",3,IF(F2037="T4",4,-1))))),-1)</x:f>
        <x:v>2</x:v>
      </x:c>
      <x:c r="Q2037" s="4" t="n">
        <x:f>IF(AND(OR(C2037="Ingredient candidate",C2037="Consumed input",C2037="Contained input",C2037="Transform input"),P2037=-1),1,0)</x:f>
        <x:v>0</x:v>
      </x:c>
    </x:row>
    <x:row r="2038" ht="64" customHeight="1">
      <x:c r="A2038" s="4" t="str">
        <x:v>design.collection.ceramic_housed_mineral_battery.audit.extra.54</x:v>
      </x:c>
      <x:c r="B2038" s="4" t="str">
        <x:v>design.collection.ceramic_housed_mineral_battery</x:v>
      </x:c>
      <x:c r="C2038" s="4" t="str">
        <x:v>Ingredient candidate</x:v>
      </x:c>
      <x:c r="D2038" s="4" t="str">
        <x:v>proposal.t4.contact_block</x:v>
      </x:c>
      <x:c r="E2038" s="4" t="str">
        <x:f>IFERROR(INDEX('Items'!$B$6:$B$1005,MATCH(D2038,'Items'!$A$6:$A$1005,0)),"MISSING ID")</x:f>
        <x:v>Serviceable insulated contact block</x:v>
      </x:c>
      <x:c r="F2038" s="4" t="str">
        <x:f>IFERROR(INDEX('Items'!$C$6:$C$1005,MATCH(D2038,'Items'!$A$6:$A$1005,0)),"MISSING ID")</x:f>
        <x:v>T4</x:v>
      </x:c>
      <x:c r="G2038" s="4" t="str">
        <x:f>IFERROR(INDEX('Items'!$D$6:$D$1005,MATCH(D2038,'Items'!$A$6:$A$1005,0)),"MISSING ID")</x:f>
        <x:v>Crafting components</x:v>
      </x:c>
      <x:c r="H2038" s="4" t="str">
        <x:f>IFERROR(INDEX('Items'!$X$6:$X$1005,MATCH(D2038,'Items'!$A$6:$A$1005,0)),"MISSING ID")</x:f>
        <x:v>Crafting component</x:v>
      </x:c>
      <x:c r="I2038" s="4"/>
      <x:c r="J2038" s="4" t="str">
        <x:v>Unspecified</x:v>
      </x:c>
      <x:c r="K2038" s="4" t="str">
        <x:f>IFERROR(INDEX('Crafting recipes'!$D$6:$D$1005,MATCH(B2038,'Crafting recipes'!$A$6:$A$1005,0)),"MISSING ID")</x:f>
        <x:v>Proposal</x:v>
      </x:c>
      <x:c r="L2038" s="4" t="str">
        <x:f>IFERROR(INDEX('Items'!$AD$6:$AD$1005,MATCH(D2038,'Items'!$A$6:$A$1005,0)),"MISSING ID")</x:f>
        <x:v>Proposal</x:v>
      </x:c>
      <x:c r="M2038" s="4" t="str">
        <x:f>IFERROR(INDEX('Crafting recipes'!$E$6:$E$1005,MATCH(B2038,'Crafting recipes'!$A$6:$A$1005,0)),"MISSING ID")</x:f>
        <x:v>Partial proposal</x:v>
      </x:c>
      <x:c r="N2038" s="4" t="str">
        <x:v>Partial audit candidate; quantity, fit and performance remain unresolved.</x:v>
      </x:c>
      <x:c r="O20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8" s="4" t="n">
        <x:f>IF(OR(C2038="Ingredient candidate",C2038="Consumed input",C2038="Contained input",C2038="Transform input"),IF(F2038="T0",0,IF(F2038="T1",1,IF(F2038="T2",2,IF(F2038="T3",3,IF(F2038="T4",4,-1))))),-1)</x:f>
        <x:v>4</x:v>
      </x:c>
      <x:c r="Q2038" s="4" t="n">
        <x:f>IF(AND(OR(C2038="Ingredient candidate",C2038="Consumed input",C2038="Contained input",C2038="Transform input"),P2038=-1),1,0)</x:f>
        <x:v>0</x:v>
      </x:c>
    </x:row>
    <x:row r="2039" ht="64" customHeight="1">
      <x:c r="A2039" s="4" t="str">
        <x:v>design.collection.ceramic_housed_mineral_battery.audit.extra.55</x:v>
      </x:c>
      <x:c r="B2039" s="4" t="str">
        <x:v>design.collection.ceramic_housed_mineral_battery</x:v>
      </x:c>
      <x:c r="C2039" s="4" t="str">
        <x:v>Ingredient candidate</x:v>
      </x:c>
      <x:c r="D2039" s="4" t="str">
        <x:v>proposal.canister.seal_ring</x:v>
      </x:c>
      <x:c r="E2039" s="4" t="str">
        <x:f>IFERROR(INDEX('Items'!$B$6:$B$1005,MATCH(D2039,'Items'!$A$6:$A$1005,0)),"MISSING ID")</x:f>
        <x:v>Replacement seal ring</x:v>
      </x:c>
      <x:c r="F2039" s="4" t="str">
        <x:f>IFERROR(INDEX('Items'!$C$6:$C$1005,MATCH(D2039,'Items'!$A$6:$A$1005,0)),"MISSING ID")</x:f>
        <x:v>T3</x:v>
      </x:c>
      <x:c r="G2039" s="4" t="str">
        <x:f>IFERROR(INDEX('Items'!$D$6:$D$1005,MATCH(D2039,'Items'!$A$6:$A$1005,0)),"MISSING ID")</x:f>
        <x:v>Crafting components</x:v>
      </x:c>
      <x:c r="H2039" s="4" t="str">
        <x:f>IFERROR(INDEX('Items'!$X$6:$X$1005,MATCH(D2039,'Items'!$A$6:$A$1005,0)),"MISSING ID")</x:f>
        <x:v>Container part</x:v>
      </x:c>
      <x:c r="I2039" s="4"/>
      <x:c r="J2039" s="4" t="str">
        <x:v>Unspecified</x:v>
      </x:c>
      <x:c r="K2039" s="4" t="str">
        <x:f>IFERROR(INDEX('Crafting recipes'!$D$6:$D$1005,MATCH(B2039,'Crafting recipes'!$A$6:$A$1005,0)),"MISSING ID")</x:f>
        <x:v>Proposal</x:v>
      </x:c>
      <x:c r="L2039" s="4" t="str">
        <x:f>IFERROR(INDEX('Items'!$AD$6:$AD$1005,MATCH(D2039,'Items'!$A$6:$A$1005,0)),"MISSING ID")</x:f>
        <x:v>Proposal</x:v>
      </x:c>
      <x:c r="M2039" s="4" t="str">
        <x:f>IFERROR(INDEX('Crafting recipes'!$E$6:$E$1005,MATCH(B2039,'Crafting recipes'!$A$6:$A$1005,0)),"MISSING ID")</x:f>
        <x:v>Partial proposal</x:v>
      </x:c>
      <x:c r="N2039" s="4" t="str">
        <x:v>Partial audit candidate; quantity, fit and performance remain unresolved.</x:v>
      </x:c>
      <x:c r="O20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9" s="4" t="n">
        <x:f>IF(OR(C2039="Ingredient candidate",C2039="Consumed input",C2039="Contained input",C2039="Transform input"),IF(F2039="T0",0,IF(F2039="T1",1,IF(F2039="T2",2,IF(F2039="T3",3,IF(F2039="T4",4,-1))))),-1)</x:f>
        <x:v>3</x:v>
      </x:c>
      <x:c r="Q2039" s="4" t="n">
        <x:f>IF(AND(OR(C2039="Ingredient candidate",C2039="Consumed input",C2039="Contained input",C2039="Transform input"),P2039=-1),1,0)</x:f>
        <x:v>0</x:v>
      </x:c>
    </x:row>
    <x:row r="2040" ht="64" customHeight="1">
      <x:c r="A2040" s="4" t="str">
        <x:v>design.collection.replaceable_electrode_battery_jar.audit.extra.56</x:v>
      </x:c>
      <x:c r="B2040" s="4" t="str">
        <x:v>design.collection.replaceable_electrode_battery_jar</x:v>
      </x:c>
      <x:c r="C2040" s="4" t="str">
        <x:v>Ingredient candidate</x:v>
      </x:c>
      <x:c r="D2040" s="4" t="str">
        <x:v>proposal.audit.mineral_cell_electrolyte_candidate</x:v>
      </x:c>
      <x:c r="E2040" s="4" t="str">
        <x:f>IFERROR(INDEX('Items'!$B$6:$B$1005,MATCH(D2040,'Items'!$A$6:$A$1005,0)),"MISSING ID")</x:f>
        <x:v>Mineral-cell electrolyte candidate</x:v>
      </x:c>
      <x:c r="F2040" s="4" t="str">
        <x:f>IFERROR(INDEX('Items'!$C$6:$C$1005,MATCH(D2040,'Items'!$A$6:$A$1005,0)),"MISSING ID")</x:f>
        <x:v>T2</x:v>
      </x:c>
      <x:c r="G2040" s="4" t="str">
        <x:f>IFERROR(INDEX('Items'!$D$6:$D$1005,MATCH(D2040,'Items'!$A$6:$A$1005,0)),"MISSING ID")</x:f>
        <x:v>Crafting components</x:v>
      </x:c>
      <x:c r="H2040" s="4" t="str">
        <x:f>IFERROR(INDEX('Items'!$X$6:$X$1005,MATCH(D2040,'Items'!$A$6:$A$1005,0)),"MISSING ID")</x:f>
        <x:v>Chemical material</x:v>
      </x:c>
      <x:c r="I2040" s="4"/>
      <x:c r="J2040" s="4" t="str">
        <x:v>Unspecified</x:v>
      </x:c>
      <x:c r="K2040" s="4" t="str">
        <x:f>IFERROR(INDEX('Crafting recipes'!$D$6:$D$1005,MATCH(B2040,'Crafting recipes'!$A$6:$A$1005,0)),"MISSING ID")</x:f>
        <x:v>Proposal</x:v>
      </x:c>
      <x:c r="L2040" s="4" t="str">
        <x:f>IFERROR(INDEX('Items'!$AD$6:$AD$1005,MATCH(D2040,'Items'!$A$6:$A$1005,0)),"MISSING ID")</x:f>
        <x:v>Proposal</x:v>
      </x:c>
      <x:c r="M2040" s="4" t="str">
        <x:f>IFERROR(INDEX('Crafting recipes'!$E$6:$E$1005,MATCH(B2040,'Crafting recipes'!$A$6:$A$1005,0)),"MISSING ID")</x:f>
        <x:v>Partial proposal</x:v>
      </x:c>
      <x:c r="N2040" s="4" t="str">
        <x:v>Partial audit candidate; quantity, fit and performance remain unresolved.</x:v>
      </x:c>
      <x:c r="O20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0" s="4" t="n">
        <x:f>IF(OR(C2040="Ingredient candidate",C2040="Consumed input",C2040="Contained input",C2040="Transform input"),IF(F2040="T0",0,IF(F2040="T1",1,IF(F2040="T2",2,IF(F2040="T3",3,IF(F2040="T4",4,-1))))),-1)</x:f>
        <x:v>2</x:v>
      </x:c>
      <x:c r="Q2040" s="4" t="n">
        <x:f>IF(AND(OR(C2040="Ingredient candidate",C2040="Consumed input",C2040="Contained input",C2040="Transform input"),P2040=-1),1,0)</x:f>
        <x:v>0</x:v>
      </x:c>
    </x:row>
    <x:row r="2041" ht="64" customHeight="1">
      <x:c r="A2041" s="4" t="str">
        <x:v>design.collection.replaceable_electrode_battery_jar.audit.extra.57</x:v>
      </x:c>
      <x:c r="B2041" s="4" t="str">
        <x:v>design.collection.replaceable_electrode_battery_jar</x:v>
      </x:c>
      <x:c r="C2041" s="4" t="str">
        <x:v>Ingredient candidate</x:v>
      </x:c>
      <x:c r="D2041" s="4" t="str">
        <x:v>proposal.audit.graphite_electrode_plate_stock</x:v>
      </x:c>
      <x:c r="E2041" s="4" t="str">
        <x:f>IFERROR(INDEX('Items'!$B$6:$B$1005,MATCH(D2041,'Items'!$A$6:$A$1005,0)),"MISSING ID")</x:f>
        <x:v>Graphite electrode plate stock</x:v>
      </x:c>
      <x:c r="F2041" s="4" t="str">
        <x:f>IFERROR(INDEX('Items'!$C$6:$C$1005,MATCH(D2041,'Items'!$A$6:$A$1005,0)),"MISSING ID")</x:f>
        <x:v>T2</x:v>
      </x:c>
      <x:c r="G2041" s="4" t="str">
        <x:f>IFERROR(INDEX('Items'!$D$6:$D$1005,MATCH(D2041,'Items'!$A$6:$A$1005,0)),"MISSING ID")</x:f>
        <x:v>Manufactured stock</x:v>
      </x:c>
      <x:c r="H2041" s="4" t="str">
        <x:f>IFERROR(INDEX('Items'!$X$6:$X$1005,MATCH(D2041,'Items'!$A$6:$A$1005,0)),"MISSING ID")</x:f>
        <x:v>Processed material</x:v>
      </x:c>
      <x:c r="I2041" s="4"/>
      <x:c r="J2041" s="4" t="str">
        <x:v>Unspecified</x:v>
      </x:c>
      <x:c r="K2041" s="4" t="str">
        <x:f>IFERROR(INDEX('Crafting recipes'!$D$6:$D$1005,MATCH(B2041,'Crafting recipes'!$A$6:$A$1005,0)),"MISSING ID")</x:f>
        <x:v>Proposal</x:v>
      </x:c>
      <x:c r="L2041" s="4" t="str">
        <x:f>IFERROR(INDEX('Items'!$AD$6:$AD$1005,MATCH(D2041,'Items'!$A$6:$A$1005,0)),"MISSING ID")</x:f>
        <x:v>Proposal</x:v>
      </x:c>
      <x:c r="M2041" s="4" t="str">
        <x:f>IFERROR(INDEX('Crafting recipes'!$E$6:$E$1005,MATCH(B2041,'Crafting recipes'!$A$6:$A$1005,0)),"MISSING ID")</x:f>
        <x:v>Partial proposal</x:v>
      </x:c>
      <x:c r="N2041" s="4" t="str">
        <x:v>Partial audit candidate; quantity, fit and performance remain unresolved.</x:v>
      </x:c>
      <x:c r="O20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1" s="4" t="n">
        <x:f>IF(OR(C2041="Ingredient candidate",C2041="Consumed input",C2041="Contained input",C2041="Transform input"),IF(F2041="T0",0,IF(F2041="T1",1,IF(F2041="T2",2,IF(F2041="T3",3,IF(F2041="T4",4,-1))))),-1)</x:f>
        <x:v>2</x:v>
      </x:c>
      <x:c r="Q2041" s="4" t="n">
        <x:f>IF(AND(OR(C2041="Ingredient candidate",C2041="Consumed input",C2041="Contained input",C2041="Transform input"),P2041=-1),1,0)</x:f>
        <x:v>0</x:v>
      </x:c>
    </x:row>
    <x:row r="2042" ht="64" customHeight="1">
      <x:c r="A2042" s="4" t="str">
        <x:v>design.collection.replaceable_electrode_battery_jar.audit.extra.58</x:v>
      </x:c>
      <x:c r="B2042" s="4" t="str">
        <x:v>design.collection.replaceable_electrode_battery_jar</x:v>
      </x:c>
      <x:c r="C2042" s="4" t="str">
        <x:v>Ingredient candidate</x:v>
      </x:c>
      <x:c r="D2042" s="4" t="str">
        <x:v>proposal.canister.seal_ring</x:v>
      </x:c>
      <x:c r="E2042" s="4" t="str">
        <x:f>IFERROR(INDEX('Items'!$B$6:$B$1005,MATCH(D2042,'Items'!$A$6:$A$1005,0)),"MISSING ID")</x:f>
        <x:v>Replacement seal ring</x:v>
      </x:c>
      <x:c r="F2042" s="4" t="str">
        <x:f>IFERROR(INDEX('Items'!$C$6:$C$1005,MATCH(D2042,'Items'!$A$6:$A$1005,0)),"MISSING ID")</x:f>
        <x:v>T3</x:v>
      </x:c>
      <x:c r="G2042" s="4" t="str">
        <x:f>IFERROR(INDEX('Items'!$D$6:$D$1005,MATCH(D2042,'Items'!$A$6:$A$1005,0)),"MISSING ID")</x:f>
        <x:v>Crafting components</x:v>
      </x:c>
      <x:c r="H2042" s="4" t="str">
        <x:f>IFERROR(INDEX('Items'!$X$6:$X$1005,MATCH(D2042,'Items'!$A$6:$A$1005,0)),"MISSING ID")</x:f>
        <x:v>Container part</x:v>
      </x:c>
      <x:c r="I2042" s="4"/>
      <x:c r="J2042" s="4" t="str">
        <x:v>Unspecified</x:v>
      </x:c>
      <x:c r="K2042" s="4" t="str">
        <x:f>IFERROR(INDEX('Crafting recipes'!$D$6:$D$1005,MATCH(B2042,'Crafting recipes'!$A$6:$A$1005,0)),"MISSING ID")</x:f>
        <x:v>Proposal</x:v>
      </x:c>
      <x:c r="L2042" s="4" t="str">
        <x:f>IFERROR(INDEX('Items'!$AD$6:$AD$1005,MATCH(D2042,'Items'!$A$6:$A$1005,0)),"MISSING ID")</x:f>
        <x:v>Proposal</x:v>
      </x:c>
      <x:c r="M2042" s="4" t="str">
        <x:f>IFERROR(INDEX('Crafting recipes'!$E$6:$E$1005,MATCH(B2042,'Crafting recipes'!$A$6:$A$1005,0)),"MISSING ID")</x:f>
        <x:v>Partial proposal</x:v>
      </x:c>
      <x:c r="N2042" s="4" t="str">
        <x:v>Partial audit candidate; quantity, fit and performance remain unresolved.</x:v>
      </x:c>
      <x:c r="O20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2" s="4" t="n">
        <x:f>IF(OR(C2042="Ingredient candidate",C2042="Consumed input",C2042="Contained input",C2042="Transform input"),IF(F2042="T0",0,IF(F2042="T1",1,IF(F2042="T2",2,IF(F2042="T3",3,IF(F2042="T4",4,-1))))),-1)</x:f>
        <x:v>3</x:v>
      </x:c>
      <x:c r="Q2042" s="4" t="n">
        <x:f>IF(AND(OR(C2042="Ingredient candidate",C2042="Consumed input",C2042="Contained input",C2042="Transform input"),P2042=-1),1,0)</x:f>
        <x:v>0</x:v>
      </x:c>
    </x:row>
    <x:row r="2043" ht="64" customHeight="1">
      <x:c r="A2043" s="4" t="str">
        <x:v>design.collection.packed_separator_battery_stack.audit.extra.59</x:v>
      </x:c>
      <x:c r="B2043" s="4" t="str">
        <x:v>design.collection.packed_separator_battery_stack</x:v>
      </x:c>
      <x:c r="C2043" s="4" t="str">
        <x:v>Ingredient candidate</x:v>
      </x:c>
      <x:c r="D2043" s="4" t="str">
        <x:v>proposal.audit.mineral_cell_electrolyte_candidate</x:v>
      </x:c>
      <x:c r="E2043" s="4" t="str">
        <x:f>IFERROR(INDEX('Items'!$B$6:$B$1005,MATCH(D2043,'Items'!$A$6:$A$1005,0)),"MISSING ID")</x:f>
        <x:v>Mineral-cell electrolyte candidate</x:v>
      </x:c>
      <x:c r="F2043" s="4" t="str">
        <x:f>IFERROR(INDEX('Items'!$C$6:$C$1005,MATCH(D2043,'Items'!$A$6:$A$1005,0)),"MISSING ID")</x:f>
        <x:v>T2</x:v>
      </x:c>
      <x:c r="G2043" s="4" t="str">
        <x:f>IFERROR(INDEX('Items'!$D$6:$D$1005,MATCH(D2043,'Items'!$A$6:$A$1005,0)),"MISSING ID")</x:f>
        <x:v>Crafting components</x:v>
      </x:c>
      <x:c r="H2043" s="4" t="str">
        <x:f>IFERROR(INDEX('Items'!$X$6:$X$1005,MATCH(D2043,'Items'!$A$6:$A$1005,0)),"MISSING ID")</x:f>
        <x:v>Chemical material</x:v>
      </x:c>
      <x:c r="I2043" s="4"/>
      <x:c r="J2043" s="4" t="str">
        <x:v>Unspecified</x:v>
      </x:c>
      <x:c r="K2043" s="4" t="str">
        <x:f>IFERROR(INDEX('Crafting recipes'!$D$6:$D$1005,MATCH(B2043,'Crafting recipes'!$A$6:$A$1005,0)),"MISSING ID")</x:f>
        <x:v>Proposal</x:v>
      </x:c>
      <x:c r="L2043" s="4" t="str">
        <x:f>IFERROR(INDEX('Items'!$AD$6:$AD$1005,MATCH(D2043,'Items'!$A$6:$A$1005,0)),"MISSING ID")</x:f>
        <x:v>Proposal</x:v>
      </x:c>
      <x:c r="M2043" s="4" t="str">
        <x:f>IFERROR(INDEX('Crafting recipes'!$E$6:$E$1005,MATCH(B2043,'Crafting recipes'!$A$6:$A$1005,0)),"MISSING ID")</x:f>
        <x:v>Partial proposal</x:v>
      </x:c>
      <x:c r="N2043" s="4" t="str">
        <x:v>Partial audit candidate; quantity, fit and performance remain unresolved.</x:v>
      </x:c>
      <x:c r="O20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3" s="4" t="n">
        <x:f>IF(OR(C2043="Ingredient candidate",C2043="Consumed input",C2043="Contained input",C2043="Transform input"),IF(F2043="T0",0,IF(F2043="T1",1,IF(F2043="T2",2,IF(F2043="T3",3,IF(F2043="T4",4,-1))))),-1)</x:f>
        <x:v>2</x:v>
      </x:c>
      <x:c r="Q2043" s="4" t="n">
        <x:f>IF(AND(OR(C2043="Ingredient candidate",C2043="Consumed input",C2043="Contained input",C2043="Transform input"),P2043=-1),1,0)</x:f>
        <x:v>0</x:v>
      </x:c>
    </x:row>
    <x:row r="2044" ht="64" customHeight="1">
      <x:c r="A2044" s="4" t="str">
        <x:v>design.collection.packed_separator_battery_stack.audit.extra.60</x:v>
      </x:c>
      <x:c r="B2044" s="4" t="str">
        <x:v>design.collection.packed_separator_battery_stack</x:v>
      </x:c>
      <x:c r="C2044" s="4" t="str">
        <x:v>Ingredient candidate</x:v>
      </x:c>
      <x:c r="D2044" s="4" t="str">
        <x:v>proposal.audit.graphite_electrode_plate_stock</x:v>
      </x:c>
      <x:c r="E2044" s="4" t="str">
        <x:f>IFERROR(INDEX('Items'!$B$6:$B$1005,MATCH(D2044,'Items'!$A$6:$A$1005,0)),"MISSING ID")</x:f>
        <x:v>Graphite electrode plate stock</x:v>
      </x:c>
      <x:c r="F2044" s="4" t="str">
        <x:f>IFERROR(INDEX('Items'!$C$6:$C$1005,MATCH(D2044,'Items'!$A$6:$A$1005,0)),"MISSING ID")</x:f>
        <x:v>T2</x:v>
      </x:c>
      <x:c r="G2044" s="4" t="str">
        <x:f>IFERROR(INDEX('Items'!$D$6:$D$1005,MATCH(D2044,'Items'!$A$6:$A$1005,0)),"MISSING ID")</x:f>
        <x:v>Manufactured stock</x:v>
      </x:c>
      <x:c r="H2044" s="4" t="str">
        <x:f>IFERROR(INDEX('Items'!$X$6:$X$1005,MATCH(D2044,'Items'!$A$6:$A$1005,0)),"MISSING ID")</x:f>
        <x:v>Processed material</x:v>
      </x:c>
      <x:c r="I2044" s="4"/>
      <x:c r="J2044" s="4" t="str">
        <x:v>Unspecified</x:v>
      </x:c>
      <x:c r="K2044" s="4" t="str">
        <x:f>IFERROR(INDEX('Crafting recipes'!$D$6:$D$1005,MATCH(B2044,'Crafting recipes'!$A$6:$A$1005,0)),"MISSING ID")</x:f>
        <x:v>Proposal</x:v>
      </x:c>
      <x:c r="L2044" s="4" t="str">
        <x:f>IFERROR(INDEX('Items'!$AD$6:$AD$1005,MATCH(D2044,'Items'!$A$6:$A$1005,0)),"MISSING ID")</x:f>
        <x:v>Proposal</x:v>
      </x:c>
      <x:c r="M2044" s="4" t="str">
        <x:f>IFERROR(INDEX('Crafting recipes'!$E$6:$E$1005,MATCH(B2044,'Crafting recipes'!$A$6:$A$1005,0)),"MISSING ID")</x:f>
        <x:v>Partial proposal</x:v>
      </x:c>
      <x:c r="N2044" s="4" t="str">
        <x:v>Partial audit candidate; quantity, fit and performance remain unresolved.</x:v>
      </x:c>
      <x:c r="O20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4" s="4" t="n">
        <x:f>IF(OR(C2044="Ingredient candidate",C2044="Consumed input",C2044="Contained input",C2044="Transform input"),IF(F2044="T0",0,IF(F2044="T1",1,IF(F2044="T2",2,IF(F2044="T3",3,IF(F2044="T4",4,-1))))),-1)</x:f>
        <x:v>2</x:v>
      </x:c>
      <x:c r="Q2044" s="4" t="n">
        <x:f>IF(AND(OR(C2044="Ingredient candidate",C2044="Consumed input",C2044="Contained input",C2044="Transform input"),P2044=-1),1,0)</x:f>
        <x:v>0</x:v>
      </x:c>
    </x:row>
    <x:row r="2045" ht="64" customHeight="1">
      <x:c r="A2045" s="4" t="str">
        <x:v>design.collection.packed_separator_battery_stack.audit.extra.61</x:v>
      </x:c>
      <x:c r="B2045" s="4" t="str">
        <x:v>design.collection.packed_separator_battery_stack</x:v>
      </x:c>
      <x:c r="C2045" s="4" t="str">
        <x:v>Ingredient candidate</x:v>
      </x:c>
      <x:c r="D2045" s="4" t="str">
        <x:v>proposal.audit.fitted_machine_casing</x:v>
      </x:c>
      <x:c r="E2045" s="4" t="str">
        <x:f>IFERROR(INDEX('Items'!$B$6:$B$1005,MATCH(D2045,'Items'!$A$6:$A$1005,0)),"MISSING ID")</x:f>
        <x:v>Fitted machine casing</x:v>
      </x:c>
      <x:c r="F2045" s="4" t="str">
        <x:f>IFERROR(INDEX('Items'!$C$6:$C$1005,MATCH(D2045,'Items'!$A$6:$A$1005,0)),"MISSING ID")</x:f>
        <x:v>T3</x:v>
      </x:c>
      <x:c r="G2045" s="4" t="str">
        <x:f>IFERROR(INDEX('Items'!$D$6:$D$1005,MATCH(D2045,'Items'!$A$6:$A$1005,0)),"MISSING ID")</x:f>
        <x:v>Crafting components</x:v>
      </x:c>
      <x:c r="H2045" s="4" t="str">
        <x:f>IFERROR(INDEX('Items'!$X$6:$X$1005,MATCH(D2045,'Items'!$A$6:$A$1005,0)),"MISSING ID")</x:f>
        <x:v>Crafting component</x:v>
      </x:c>
      <x:c r="I2045" s="4"/>
      <x:c r="J2045" s="4" t="str">
        <x:v>Unspecified</x:v>
      </x:c>
      <x:c r="K2045" s="4" t="str">
        <x:f>IFERROR(INDEX('Crafting recipes'!$D$6:$D$1005,MATCH(B2045,'Crafting recipes'!$A$6:$A$1005,0)),"MISSING ID")</x:f>
        <x:v>Proposal</x:v>
      </x:c>
      <x:c r="L2045" s="4" t="str">
        <x:f>IFERROR(INDEX('Items'!$AD$6:$AD$1005,MATCH(D2045,'Items'!$A$6:$A$1005,0)),"MISSING ID")</x:f>
        <x:v>Proposal</x:v>
      </x:c>
      <x:c r="M2045" s="4" t="str">
        <x:f>IFERROR(INDEX('Crafting recipes'!$E$6:$E$1005,MATCH(B2045,'Crafting recipes'!$A$6:$A$1005,0)),"MISSING ID")</x:f>
        <x:v>Partial proposal</x:v>
      </x:c>
      <x:c r="N2045" s="4" t="str">
        <x:v>Partial audit candidate; quantity, fit and performance remain unresolved.</x:v>
      </x:c>
      <x:c r="O20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5" s="4" t="n">
        <x:f>IF(OR(C2045="Ingredient candidate",C2045="Consumed input",C2045="Contained input",C2045="Transform input"),IF(F2045="T0",0,IF(F2045="T1",1,IF(F2045="T2",2,IF(F2045="T3",3,IF(F2045="T4",4,-1))))),-1)</x:f>
        <x:v>3</x:v>
      </x:c>
      <x:c r="Q2045" s="4" t="n">
        <x:f>IF(AND(OR(C2045="Ingredient candidate",C2045="Consumed input",C2045="Contained input",C2045="Transform input"),P2045=-1),1,0)</x:f>
        <x:v>0</x:v>
      </x:c>
    </x:row>
    <x:row r="2046" ht="64" customHeight="1">
      <x:c r="A2046" s="4" t="str">
        <x:v>design.collection.packed_separator_battery_stack.audit.extra.62</x:v>
      </x:c>
      <x:c r="B2046" s="4" t="str">
        <x:v>design.collection.packed_separator_battery_stack</x:v>
      </x:c>
      <x:c r="C2046" s="4" t="str">
        <x:v>Ingredient candidate</x:v>
      </x:c>
      <x:c r="D2046" s="4" t="str">
        <x:v>proposal.t4.contact_block</x:v>
      </x:c>
      <x:c r="E2046" s="4" t="str">
        <x:f>IFERROR(INDEX('Items'!$B$6:$B$1005,MATCH(D2046,'Items'!$A$6:$A$1005,0)),"MISSING ID")</x:f>
        <x:v>Serviceable insulated contact block</x:v>
      </x:c>
      <x:c r="F2046" s="4" t="str">
        <x:f>IFERROR(INDEX('Items'!$C$6:$C$1005,MATCH(D2046,'Items'!$A$6:$A$1005,0)),"MISSING ID")</x:f>
        <x:v>T4</x:v>
      </x:c>
      <x:c r="G2046" s="4" t="str">
        <x:f>IFERROR(INDEX('Items'!$D$6:$D$1005,MATCH(D2046,'Items'!$A$6:$A$1005,0)),"MISSING ID")</x:f>
        <x:v>Crafting components</x:v>
      </x:c>
      <x:c r="H2046" s="4" t="str">
        <x:f>IFERROR(INDEX('Items'!$X$6:$X$1005,MATCH(D2046,'Items'!$A$6:$A$1005,0)),"MISSING ID")</x:f>
        <x:v>Crafting component</x:v>
      </x:c>
      <x:c r="I2046" s="4"/>
      <x:c r="J2046" s="4" t="str">
        <x:v>Unspecified</x:v>
      </x:c>
      <x:c r="K2046" s="4" t="str">
        <x:f>IFERROR(INDEX('Crafting recipes'!$D$6:$D$1005,MATCH(B2046,'Crafting recipes'!$A$6:$A$1005,0)),"MISSING ID")</x:f>
        <x:v>Proposal</x:v>
      </x:c>
      <x:c r="L2046" s="4" t="str">
        <x:f>IFERROR(INDEX('Items'!$AD$6:$AD$1005,MATCH(D2046,'Items'!$A$6:$A$1005,0)),"MISSING ID")</x:f>
        <x:v>Proposal</x:v>
      </x:c>
      <x:c r="M2046" s="4" t="str">
        <x:f>IFERROR(INDEX('Crafting recipes'!$E$6:$E$1005,MATCH(B2046,'Crafting recipes'!$A$6:$A$1005,0)),"MISSING ID")</x:f>
        <x:v>Partial proposal</x:v>
      </x:c>
      <x:c r="N2046" s="4" t="str">
        <x:v>Partial audit candidate; quantity, fit and performance remain unresolved.</x:v>
      </x:c>
      <x:c r="O20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6" s="4" t="n">
        <x:f>IF(OR(C2046="Ingredient candidate",C2046="Consumed input",C2046="Contained input",C2046="Transform input"),IF(F2046="T0",0,IF(F2046="T1",1,IF(F2046="T2",2,IF(F2046="T3",3,IF(F2046="T4",4,-1))))),-1)</x:f>
        <x:v>4</x:v>
      </x:c>
      <x:c r="Q2046" s="4" t="n">
        <x:f>IF(AND(OR(C2046="Ingredient candidate",C2046="Consumed input",C2046="Contained input",C2046="Transform input"),P2046=-1),1,0)</x:f>
        <x:v>0</x:v>
      </x:c>
    </x:row>
    <x:row r="2047" ht="64" customHeight="1">
      <x:c r="A2047" s="4" t="str">
        <x:v>design.collection.mica_plate_capacitor_pack.audit.extra.63</x:v>
      </x:c>
      <x:c r="B2047" s="4" t="str">
        <x:v>design.collection.mica_plate_capacitor_pack</x:v>
      </x:c>
      <x:c r="C2047" s="4" t="str">
        <x:v>Ingredient candidate</x:v>
      </x:c>
      <x:c r="D2047" s="4" t="str">
        <x:v>proposal.audit.fitted_machine_casing</x:v>
      </x:c>
      <x:c r="E2047" s="4" t="str">
        <x:f>IFERROR(INDEX('Items'!$B$6:$B$1005,MATCH(D2047,'Items'!$A$6:$A$1005,0)),"MISSING ID")</x:f>
        <x:v>Fitted machine casing</x:v>
      </x:c>
      <x:c r="F2047" s="4" t="str">
        <x:f>IFERROR(INDEX('Items'!$C$6:$C$1005,MATCH(D2047,'Items'!$A$6:$A$1005,0)),"MISSING ID")</x:f>
        <x:v>T3</x:v>
      </x:c>
      <x:c r="G2047" s="4" t="str">
        <x:f>IFERROR(INDEX('Items'!$D$6:$D$1005,MATCH(D2047,'Items'!$A$6:$A$1005,0)),"MISSING ID")</x:f>
        <x:v>Crafting components</x:v>
      </x:c>
      <x:c r="H2047" s="4" t="str">
        <x:f>IFERROR(INDEX('Items'!$X$6:$X$1005,MATCH(D2047,'Items'!$A$6:$A$1005,0)),"MISSING ID")</x:f>
        <x:v>Crafting component</x:v>
      </x:c>
      <x:c r="I2047" s="4"/>
      <x:c r="J2047" s="4" t="str">
        <x:v>Unspecified</x:v>
      </x:c>
      <x:c r="K2047" s="4" t="str">
        <x:f>IFERROR(INDEX('Crafting recipes'!$D$6:$D$1005,MATCH(B2047,'Crafting recipes'!$A$6:$A$1005,0)),"MISSING ID")</x:f>
        <x:v>Proposal</x:v>
      </x:c>
      <x:c r="L2047" s="4" t="str">
        <x:f>IFERROR(INDEX('Items'!$AD$6:$AD$1005,MATCH(D2047,'Items'!$A$6:$A$1005,0)),"MISSING ID")</x:f>
        <x:v>Proposal</x:v>
      </x:c>
      <x:c r="M2047" s="4" t="str">
        <x:f>IFERROR(INDEX('Crafting recipes'!$E$6:$E$1005,MATCH(B2047,'Crafting recipes'!$A$6:$A$1005,0)),"MISSING ID")</x:f>
        <x:v>Partial proposal</x:v>
      </x:c>
      <x:c r="N2047" s="4" t="str">
        <x:v>Partial audit candidate; quantity, fit and performance remain unresolved.</x:v>
      </x:c>
      <x:c r="O20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7" s="4" t="n">
        <x:f>IF(OR(C2047="Ingredient candidate",C2047="Consumed input",C2047="Contained input",C2047="Transform input"),IF(F2047="T0",0,IF(F2047="T1",1,IF(F2047="T2",2,IF(F2047="T3",3,IF(F2047="T4",4,-1))))),-1)</x:f>
        <x:v>3</x:v>
      </x:c>
      <x:c r="Q2047" s="4" t="n">
        <x:f>IF(AND(OR(C2047="Ingredient candidate",C2047="Consumed input",C2047="Contained input",C2047="Transform input"),P2047=-1),1,0)</x:f>
        <x:v>0</x:v>
      </x:c>
    </x:row>
    <x:row r="2048" ht="64" customHeight="1">
      <x:c r="A2048" s="4" t="str">
        <x:v>design.collection.mica_plate_capacitor_pack.audit.extra.64</x:v>
      </x:c>
      <x:c r="B2048" s="4" t="str">
        <x:v>design.collection.mica_plate_capacitor_pack</x:v>
      </x:c>
      <x:c r="C2048" s="4" t="str">
        <x:v>Ingredient candidate</x:v>
      </x:c>
      <x:c r="D2048" s="4" t="str">
        <x:v>proposal.t4.contact_block</x:v>
      </x:c>
      <x:c r="E2048" s="4" t="str">
        <x:f>IFERROR(INDEX('Items'!$B$6:$B$1005,MATCH(D2048,'Items'!$A$6:$A$1005,0)),"MISSING ID")</x:f>
        <x:v>Serviceable insulated contact block</x:v>
      </x:c>
      <x:c r="F2048" s="4" t="str">
        <x:f>IFERROR(INDEX('Items'!$C$6:$C$1005,MATCH(D2048,'Items'!$A$6:$A$1005,0)),"MISSING ID")</x:f>
        <x:v>T4</x:v>
      </x:c>
      <x:c r="G2048" s="4" t="str">
        <x:f>IFERROR(INDEX('Items'!$D$6:$D$1005,MATCH(D2048,'Items'!$A$6:$A$1005,0)),"MISSING ID")</x:f>
        <x:v>Crafting components</x:v>
      </x:c>
      <x:c r="H2048" s="4" t="str">
        <x:f>IFERROR(INDEX('Items'!$X$6:$X$1005,MATCH(D2048,'Items'!$A$6:$A$1005,0)),"MISSING ID")</x:f>
        <x:v>Crafting component</x:v>
      </x:c>
      <x:c r="I2048" s="4"/>
      <x:c r="J2048" s="4" t="str">
        <x:v>Unspecified</x:v>
      </x:c>
      <x:c r="K2048" s="4" t="str">
        <x:f>IFERROR(INDEX('Crafting recipes'!$D$6:$D$1005,MATCH(B2048,'Crafting recipes'!$A$6:$A$1005,0)),"MISSING ID")</x:f>
        <x:v>Proposal</x:v>
      </x:c>
      <x:c r="L2048" s="4" t="str">
        <x:f>IFERROR(INDEX('Items'!$AD$6:$AD$1005,MATCH(D2048,'Items'!$A$6:$A$1005,0)),"MISSING ID")</x:f>
        <x:v>Proposal</x:v>
      </x:c>
      <x:c r="M2048" s="4" t="str">
        <x:f>IFERROR(INDEX('Crafting recipes'!$E$6:$E$1005,MATCH(B2048,'Crafting recipes'!$A$6:$A$1005,0)),"MISSING ID")</x:f>
        <x:v>Partial proposal</x:v>
      </x:c>
      <x:c r="N2048" s="4" t="str">
        <x:v>Partial audit candidate; quantity, fit and performance remain unresolved.</x:v>
      </x:c>
      <x:c r="O20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8" s="4" t="n">
        <x:f>IF(OR(C2048="Ingredient candidate",C2048="Consumed input",C2048="Contained input",C2048="Transform input"),IF(F2048="T0",0,IF(F2048="T1",1,IF(F2048="T2",2,IF(F2048="T3",3,IF(F2048="T4",4,-1))))),-1)</x:f>
        <x:v>4</x:v>
      </x:c>
      <x:c r="Q2048" s="4" t="n">
        <x:f>IF(AND(OR(C2048="Ingredient candidate",C2048="Consumed input",C2048="Contained input",C2048="Transform input"),P2048=-1),1,0)</x:f>
        <x:v>0</x:v>
      </x:c>
    </x:row>
    <x:row r="2049" ht="64" customHeight="1">
      <x:c r="A2049" s="4" t="str">
        <x:v>design.collection.glass_jar_capacitor_bank.audit.extra.65</x:v>
      </x:c>
      <x:c r="B2049" s="4" t="str">
        <x:v>design.collection.glass_jar_capacitor_bank</x:v>
      </x:c>
      <x:c r="C2049" s="4" t="str">
        <x:v>Ingredient candidate</x:v>
      </x:c>
      <x:c r="D2049" s="4" t="str">
        <x:v>proposal.t4.contact_block</x:v>
      </x:c>
      <x:c r="E2049" s="4" t="str">
        <x:f>IFERROR(INDEX('Items'!$B$6:$B$1005,MATCH(D2049,'Items'!$A$6:$A$1005,0)),"MISSING ID")</x:f>
        <x:v>Serviceable insulated contact block</x:v>
      </x:c>
      <x:c r="F2049" s="4" t="str">
        <x:f>IFERROR(INDEX('Items'!$C$6:$C$1005,MATCH(D2049,'Items'!$A$6:$A$1005,0)),"MISSING ID")</x:f>
        <x:v>T4</x:v>
      </x:c>
      <x:c r="G2049" s="4" t="str">
        <x:f>IFERROR(INDEX('Items'!$D$6:$D$1005,MATCH(D2049,'Items'!$A$6:$A$1005,0)),"MISSING ID")</x:f>
        <x:v>Crafting components</x:v>
      </x:c>
      <x:c r="H2049" s="4" t="str">
        <x:f>IFERROR(INDEX('Items'!$X$6:$X$1005,MATCH(D2049,'Items'!$A$6:$A$1005,0)),"MISSING ID")</x:f>
        <x:v>Crafting component</x:v>
      </x:c>
      <x:c r="I2049" s="4"/>
      <x:c r="J2049" s="4" t="str">
        <x:v>Unspecified</x:v>
      </x:c>
      <x:c r="K2049" s="4" t="str">
        <x:f>IFERROR(INDEX('Crafting recipes'!$D$6:$D$1005,MATCH(B2049,'Crafting recipes'!$A$6:$A$1005,0)),"MISSING ID")</x:f>
        <x:v>Proposal</x:v>
      </x:c>
      <x:c r="L2049" s="4" t="str">
        <x:f>IFERROR(INDEX('Items'!$AD$6:$AD$1005,MATCH(D2049,'Items'!$A$6:$A$1005,0)),"MISSING ID")</x:f>
        <x:v>Proposal</x:v>
      </x:c>
      <x:c r="M2049" s="4" t="str">
        <x:f>IFERROR(INDEX('Crafting recipes'!$E$6:$E$1005,MATCH(B2049,'Crafting recipes'!$A$6:$A$1005,0)),"MISSING ID")</x:f>
        <x:v>Partial proposal</x:v>
      </x:c>
      <x:c r="N2049" s="4" t="str">
        <x:v>Partial audit candidate; quantity, fit and performance remain unresolved.</x:v>
      </x:c>
      <x:c r="O20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9" s="4" t="n">
        <x:f>IF(OR(C2049="Ingredient candidate",C2049="Consumed input",C2049="Contained input",C2049="Transform input"),IF(F2049="T0",0,IF(F2049="T1",1,IF(F2049="T2",2,IF(F2049="T3",3,IF(F2049="T4",4,-1))))),-1)</x:f>
        <x:v>4</x:v>
      </x:c>
      <x:c r="Q2049" s="4" t="n">
        <x:f>IF(AND(OR(C2049="Ingredient candidate",C2049="Consumed input",C2049="Contained input",C2049="Transform input"),P2049=-1),1,0)</x:f>
        <x:v>0</x:v>
      </x:c>
    </x:row>
    <x:row r="2050" ht="64" customHeight="1">
      <x:c r="A2050" s="4" t="str">
        <x:v>design.collection.glass_jar_capacitor_bank.audit.extra.66</x:v>
      </x:c>
      <x:c r="B2050" s="4" t="str">
        <x:v>design.collection.glass_jar_capacitor_bank</x:v>
      </x:c>
      <x:c r="C2050" s="4" t="str">
        <x:v>Ingredient candidate</x:v>
      </x:c>
      <x:c r="D2050" s="4" t="str">
        <x:v>proposal.t4.grounding_harness</x:v>
      </x:c>
      <x:c r="E2050" s="4" t="str">
        <x:f>IFERROR(INDEX('Items'!$B$6:$B$1005,MATCH(D2050,'Items'!$A$6:$A$1005,0)),"MISSING ID")</x:f>
        <x:v>Terminated grounding harness</x:v>
      </x:c>
      <x:c r="F2050" s="4" t="str">
        <x:f>IFERROR(INDEX('Items'!$C$6:$C$1005,MATCH(D2050,'Items'!$A$6:$A$1005,0)),"MISSING ID")</x:f>
        <x:v>T4</x:v>
      </x:c>
      <x:c r="G2050" s="4" t="str">
        <x:f>IFERROR(INDEX('Items'!$D$6:$D$1005,MATCH(D2050,'Items'!$A$6:$A$1005,0)),"MISSING ID")</x:f>
        <x:v>Crafting components</x:v>
      </x:c>
      <x:c r="H2050" s="4" t="str">
        <x:f>IFERROR(INDEX('Items'!$X$6:$X$1005,MATCH(D2050,'Items'!$A$6:$A$1005,0)),"MISSING ID")</x:f>
        <x:v>Crafting component</x:v>
      </x:c>
      <x:c r="I2050" s="4"/>
      <x:c r="J2050" s="4" t="str">
        <x:v>Unspecified</x:v>
      </x:c>
      <x:c r="K2050" s="4" t="str">
        <x:f>IFERROR(INDEX('Crafting recipes'!$D$6:$D$1005,MATCH(B2050,'Crafting recipes'!$A$6:$A$1005,0)),"MISSING ID")</x:f>
        <x:v>Proposal</x:v>
      </x:c>
      <x:c r="L2050" s="4" t="str">
        <x:f>IFERROR(INDEX('Items'!$AD$6:$AD$1005,MATCH(D2050,'Items'!$A$6:$A$1005,0)),"MISSING ID")</x:f>
        <x:v>Proposal</x:v>
      </x:c>
      <x:c r="M2050" s="4" t="str">
        <x:f>IFERROR(INDEX('Crafting recipes'!$E$6:$E$1005,MATCH(B2050,'Crafting recipes'!$A$6:$A$1005,0)),"MISSING ID")</x:f>
        <x:v>Partial proposal</x:v>
      </x:c>
      <x:c r="N2050" s="4" t="str">
        <x:v>Partial audit candidate; quantity, fit and performance remain unresolved.</x:v>
      </x:c>
      <x:c r="O20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0" s="4" t="n">
        <x:f>IF(OR(C2050="Ingredient candidate",C2050="Consumed input",C2050="Contained input",C2050="Transform input"),IF(F2050="T0",0,IF(F2050="T1",1,IF(F2050="T2",2,IF(F2050="T3",3,IF(F2050="T4",4,-1))))),-1)</x:f>
        <x:v>4</x:v>
      </x:c>
      <x:c r="Q2050" s="4" t="n">
        <x:f>IF(AND(OR(C2050="Ingredient candidate",C2050="Consumed input",C2050="Contained input",C2050="Transform input"),P2050=-1),1,0)</x:f>
        <x:v>0</x:v>
      </x:c>
    </x:row>
    <x:row r="2051" ht="64" customHeight="1">
      <x:c r="A2051" s="4" t="str">
        <x:v>design.collection.ceramic_dielectric_pulse_bank.audit.extra.67</x:v>
      </x:c>
      <x:c r="B2051" s="4" t="str">
        <x:v>design.collection.ceramic_dielectric_pulse_bank</x:v>
      </x:c>
      <x:c r="C2051" s="4" t="str">
        <x:v>Ingredient candidate</x:v>
      </x:c>
      <x:c r="D2051" s="4" t="str">
        <x:v>proposal.audit.fitted_machine_casing</x:v>
      </x:c>
      <x:c r="E2051" s="4" t="str">
        <x:f>IFERROR(INDEX('Items'!$B$6:$B$1005,MATCH(D2051,'Items'!$A$6:$A$1005,0)),"MISSING ID")</x:f>
        <x:v>Fitted machine casing</x:v>
      </x:c>
      <x:c r="F2051" s="4" t="str">
        <x:f>IFERROR(INDEX('Items'!$C$6:$C$1005,MATCH(D2051,'Items'!$A$6:$A$1005,0)),"MISSING ID")</x:f>
        <x:v>T3</x:v>
      </x:c>
      <x:c r="G2051" s="4" t="str">
        <x:f>IFERROR(INDEX('Items'!$D$6:$D$1005,MATCH(D2051,'Items'!$A$6:$A$1005,0)),"MISSING ID")</x:f>
        <x:v>Crafting components</x:v>
      </x:c>
      <x:c r="H2051" s="4" t="str">
        <x:f>IFERROR(INDEX('Items'!$X$6:$X$1005,MATCH(D2051,'Items'!$A$6:$A$1005,0)),"MISSING ID")</x:f>
        <x:v>Crafting component</x:v>
      </x:c>
      <x:c r="I2051" s="4"/>
      <x:c r="J2051" s="4" t="str">
        <x:v>Unspecified</x:v>
      </x:c>
      <x:c r="K2051" s="4" t="str">
        <x:f>IFERROR(INDEX('Crafting recipes'!$D$6:$D$1005,MATCH(B2051,'Crafting recipes'!$A$6:$A$1005,0)),"MISSING ID")</x:f>
        <x:v>Proposal</x:v>
      </x:c>
      <x:c r="L2051" s="4" t="str">
        <x:f>IFERROR(INDEX('Items'!$AD$6:$AD$1005,MATCH(D2051,'Items'!$A$6:$A$1005,0)),"MISSING ID")</x:f>
        <x:v>Proposal</x:v>
      </x:c>
      <x:c r="M2051" s="4" t="str">
        <x:f>IFERROR(INDEX('Crafting recipes'!$E$6:$E$1005,MATCH(B2051,'Crafting recipes'!$A$6:$A$1005,0)),"MISSING ID")</x:f>
        <x:v>Partial proposal</x:v>
      </x:c>
      <x:c r="N2051" s="4" t="str">
        <x:v>Partial audit candidate; quantity, fit and performance remain unresolved.</x:v>
      </x:c>
      <x:c r="O20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1" s="4" t="n">
        <x:f>IF(OR(C2051="Ingredient candidate",C2051="Consumed input",C2051="Contained input",C2051="Transform input"),IF(F2051="T0",0,IF(F2051="T1",1,IF(F2051="T2",2,IF(F2051="T3",3,IF(F2051="T4",4,-1))))),-1)</x:f>
        <x:v>3</x:v>
      </x:c>
      <x:c r="Q2051" s="4" t="n">
        <x:f>IF(AND(OR(C2051="Ingredient candidate",C2051="Consumed input",C2051="Contained input",C2051="Transform input"),P2051=-1),1,0)</x:f>
        <x:v>0</x:v>
      </x:c>
    </x:row>
    <x:row r="2052" ht="64" customHeight="1">
      <x:c r="A2052" s="4" t="str">
        <x:v>design.collection.ceramic_dielectric_pulse_bank.audit.extra.68</x:v>
      </x:c>
      <x:c r="B2052" s="4" t="str">
        <x:v>design.collection.ceramic_dielectric_pulse_bank</x:v>
      </x:c>
      <x:c r="C2052" s="4" t="str">
        <x:v>Ingredient candidate</x:v>
      </x:c>
      <x:c r="D2052" s="4" t="str">
        <x:v>proposal.t4.contact_block</x:v>
      </x:c>
      <x:c r="E2052" s="4" t="str">
        <x:f>IFERROR(INDEX('Items'!$B$6:$B$1005,MATCH(D2052,'Items'!$A$6:$A$1005,0)),"MISSING ID")</x:f>
        <x:v>Serviceable insulated contact block</x:v>
      </x:c>
      <x:c r="F2052" s="4" t="str">
        <x:f>IFERROR(INDEX('Items'!$C$6:$C$1005,MATCH(D2052,'Items'!$A$6:$A$1005,0)),"MISSING ID")</x:f>
        <x:v>T4</x:v>
      </x:c>
      <x:c r="G2052" s="4" t="str">
        <x:f>IFERROR(INDEX('Items'!$D$6:$D$1005,MATCH(D2052,'Items'!$A$6:$A$1005,0)),"MISSING ID")</x:f>
        <x:v>Crafting components</x:v>
      </x:c>
      <x:c r="H2052" s="4" t="str">
        <x:f>IFERROR(INDEX('Items'!$X$6:$X$1005,MATCH(D2052,'Items'!$A$6:$A$1005,0)),"MISSING ID")</x:f>
        <x:v>Crafting component</x:v>
      </x:c>
      <x:c r="I2052" s="4"/>
      <x:c r="J2052" s="4" t="str">
        <x:v>Unspecified</x:v>
      </x:c>
      <x:c r="K2052" s="4" t="str">
        <x:f>IFERROR(INDEX('Crafting recipes'!$D$6:$D$1005,MATCH(B2052,'Crafting recipes'!$A$6:$A$1005,0)),"MISSING ID")</x:f>
        <x:v>Proposal</x:v>
      </x:c>
      <x:c r="L2052" s="4" t="str">
        <x:f>IFERROR(INDEX('Items'!$AD$6:$AD$1005,MATCH(D2052,'Items'!$A$6:$A$1005,0)),"MISSING ID")</x:f>
        <x:v>Proposal</x:v>
      </x:c>
      <x:c r="M2052" s="4" t="str">
        <x:f>IFERROR(INDEX('Crafting recipes'!$E$6:$E$1005,MATCH(B2052,'Crafting recipes'!$A$6:$A$1005,0)),"MISSING ID")</x:f>
        <x:v>Partial proposal</x:v>
      </x:c>
      <x:c r="N2052" s="4" t="str">
        <x:v>Partial audit candidate; quantity, fit and performance remain unresolved.</x:v>
      </x:c>
      <x:c r="O20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2" s="4" t="n">
        <x:f>IF(OR(C2052="Ingredient candidate",C2052="Consumed input",C2052="Contained input",C2052="Transform input"),IF(F2052="T0",0,IF(F2052="T1",1,IF(F2052="T2",2,IF(F2052="T3",3,IF(F2052="T4",4,-1))))),-1)</x:f>
        <x:v>4</x:v>
      </x:c>
      <x:c r="Q2052" s="4" t="n">
        <x:f>IF(AND(OR(C2052="Ingredient candidate",C2052="Consumed input",C2052="Contained input",C2052="Transform input"),P2052=-1),1,0)</x:f>
        <x:v>0</x:v>
      </x:c>
    </x:row>
    <x:row r="2053" ht="64" customHeight="1">
      <x:c r="A2053" s="4" t="str">
        <x:v>design.collection.ceramic_dielectric_pulse_bank.audit.extra.69</x:v>
      </x:c>
      <x:c r="B2053" s="4" t="str">
        <x:v>design.collection.ceramic_dielectric_pulse_bank</x:v>
      </x:c>
      <x:c r="C2053" s="4" t="str">
        <x:v>Ingredient candidate</x:v>
      </x:c>
      <x:c r="D2053" s="4" t="str">
        <x:v>proposal.t4.grounding_harness</x:v>
      </x:c>
      <x:c r="E2053" s="4" t="str">
        <x:f>IFERROR(INDEX('Items'!$B$6:$B$1005,MATCH(D2053,'Items'!$A$6:$A$1005,0)),"MISSING ID")</x:f>
        <x:v>Terminated grounding harness</x:v>
      </x:c>
      <x:c r="F2053" s="4" t="str">
        <x:f>IFERROR(INDEX('Items'!$C$6:$C$1005,MATCH(D2053,'Items'!$A$6:$A$1005,0)),"MISSING ID")</x:f>
        <x:v>T4</x:v>
      </x:c>
      <x:c r="G2053" s="4" t="str">
        <x:f>IFERROR(INDEX('Items'!$D$6:$D$1005,MATCH(D2053,'Items'!$A$6:$A$1005,0)),"MISSING ID")</x:f>
        <x:v>Crafting components</x:v>
      </x:c>
      <x:c r="H2053" s="4" t="str">
        <x:f>IFERROR(INDEX('Items'!$X$6:$X$1005,MATCH(D2053,'Items'!$A$6:$A$1005,0)),"MISSING ID")</x:f>
        <x:v>Crafting component</x:v>
      </x:c>
      <x:c r="I2053" s="4"/>
      <x:c r="J2053" s="4" t="str">
        <x:v>Unspecified</x:v>
      </x:c>
      <x:c r="K2053" s="4" t="str">
        <x:f>IFERROR(INDEX('Crafting recipes'!$D$6:$D$1005,MATCH(B2053,'Crafting recipes'!$A$6:$A$1005,0)),"MISSING ID")</x:f>
        <x:v>Proposal</x:v>
      </x:c>
      <x:c r="L2053" s="4" t="str">
        <x:f>IFERROR(INDEX('Items'!$AD$6:$AD$1005,MATCH(D2053,'Items'!$A$6:$A$1005,0)),"MISSING ID")</x:f>
        <x:v>Proposal</x:v>
      </x:c>
      <x:c r="M2053" s="4" t="str">
        <x:f>IFERROR(INDEX('Crafting recipes'!$E$6:$E$1005,MATCH(B2053,'Crafting recipes'!$A$6:$A$1005,0)),"MISSING ID")</x:f>
        <x:v>Partial proposal</x:v>
      </x:c>
      <x:c r="N2053" s="4" t="str">
        <x:v>Partial audit candidate; quantity, fit and performance remain unresolved.</x:v>
      </x:c>
      <x:c r="O20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3" s="4" t="n">
        <x:f>IF(OR(C2053="Ingredient candidate",C2053="Consumed input",C2053="Contained input",C2053="Transform input"),IF(F2053="T0",0,IF(F2053="T1",1,IF(F2053="T2",2,IF(F2053="T3",3,IF(F2053="T4",4,-1))))),-1)</x:f>
        <x:v>4</x:v>
      </x:c>
      <x:c r="Q2053" s="4" t="n">
        <x:f>IF(AND(OR(C2053="Ingredient candidate",C2053="Consumed input",C2053="Contained input",C2053="Transform input"),P2053=-1),1,0)</x:f>
        <x:v>0</x:v>
      </x:c>
    </x:row>
    <x:row r="2054" ht="64" customHeight="1">
      <x:c r="A2054" s="4" t="str">
        <x:v>design.collection.hide_headed_shell_drum.audit.extra.70</x:v>
      </x:c>
      <x:c r="B2054" s="4" t="str">
        <x:v>design.collection.hide_headed_shell_drum</x:v>
      </x:c>
      <x:c r="C2054" s="4" t="str">
        <x:v>Ingredient candidate</x:v>
      </x:c>
      <x:c r="D2054" s="4" t="str">
        <x:v>proposal.audit.membrane_tension_hoop</x:v>
      </x:c>
      <x:c r="E2054" s="4" t="str">
        <x:f>IFERROR(INDEX('Items'!$B$6:$B$1005,MATCH(D2054,'Items'!$A$6:$A$1005,0)),"MISSING ID")</x:f>
        <x:v>Membrane tension hoop</x:v>
      </x:c>
      <x:c r="F2054" s="4" t="str">
        <x:f>IFERROR(INDEX('Items'!$C$6:$C$1005,MATCH(D2054,'Items'!$A$6:$A$1005,0)),"MISSING ID")</x:f>
        <x:v>T3</x:v>
      </x:c>
      <x:c r="G2054" s="4" t="str">
        <x:f>IFERROR(INDEX('Items'!$D$6:$D$1005,MATCH(D2054,'Items'!$A$6:$A$1005,0)),"MISSING ID")</x:f>
        <x:v>Crafting components</x:v>
      </x:c>
      <x:c r="H2054" s="4" t="str">
        <x:f>IFERROR(INDEX('Items'!$X$6:$X$1005,MATCH(D2054,'Items'!$A$6:$A$1005,0)),"MISSING ID")</x:f>
        <x:v>Crafting component</x:v>
      </x:c>
      <x:c r="I2054" s="4"/>
      <x:c r="J2054" s="4" t="str">
        <x:v>Unspecified</x:v>
      </x:c>
      <x:c r="K2054" s="4" t="str">
        <x:f>IFERROR(INDEX('Crafting recipes'!$D$6:$D$1005,MATCH(B2054,'Crafting recipes'!$A$6:$A$1005,0)),"MISSING ID")</x:f>
        <x:v>Proposal</x:v>
      </x:c>
      <x:c r="L2054" s="4" t="str">
        <x:f>IFERROR(INDEX('Items'!$AD$6:$AD$1005,MATCH(D2054,'Items'!$A$6:$A$1005,0)),"MISSING ID")</x:f>
        <x:v>Proposal</x:v>
      </x:c>
      <x:c r="M2054" s="4" t="str">
        <x:f>IFERROR(INDEX('Crafting recipes'!$E$6:$E$1005,MATCH(B2054,'Crafting recipes'!$A$6:$A$1005,0)),"MISSING ID")</x:f>
        <x:v>Partial proposal</x:v>
      </x:c>
      <x:c r="N2054" s="4" t="str">
        <x:v>Partial audit candidate; quantity, fit and performance remain unresolved.</x:v>
      </x:c>
      <x:c r="O20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4" s="4" t="n">
        <x:f>IF(OR(C2054="Ingredient candidate",C2054="Consumed input",C2054="Contained input",C2054="Transform input"),IF(F2054="T0",0,IF(F2054="T1",1,IF(F2054="T2",2,IF(F2054="T3",3,IF(F2054="T4",4,-1))))),-1)</x:f>
        <x:v>3</x:v>
      </x:c>
      <x:c r="Q2054" s="4" t="n">
        <x:f>IF(AND(OR(C2054="Ingredient candidate",C2054="Consumed input",C2054="Contained input",C2054="Transform input"),P2054=-1),1,0)</x:f>
        <x:v>0</x:v>
      </x:c>
    </x:row>
    <x:row r="2055" ht="64" customHeight="1">
      <x:c r="A2055" s="4" t="str">
        <x:v>design.collection.double_headed_metal_drum.audit.extra.71</x:v>
      </x:c>
      <x:c r="B2055" s="4" t="str">
        <x:v>design.collection.double_headed_metal_drum</x:v>
      </x:c>
      <x:c r="C2055" s="4" t="str">
        <x:v>Ingredient candidate</x:v>
      </x:c>
      <x:c r="D2055" s="4" t="str">
        <x:v>proposal.audit.membrane_tension_hoop</x:v>
      </x:c>
      <x:c r="E2055" s="4" t="str">
        <x:f>IFERROR(INDEX('Items'!$B$6:$B$1005,MATCH(D2055,'Items'!$A$6:$A$1005,0)),"MISSING ID")</x:f>
        <x:v>Membrane tension hoop</x:v>
      </x:c>
      <x:c r="F2055" s="4" t="str">
        <x:f>IFERROR(INDEX('Items'!$C$6:$C$1005,MATCH(D2055,'Items'!$A$6:$A$1005,0)),"MISSING ID")</x:f>
        <x:v>T3</x:v>
      </x:c>
      <x:c r="G2055" s="4" t="str">
        <x:f>IFERROR(INDEX('Items'!$D$6:$D$1005,MATCH(D2055,'Items'!$A$6:$A$1005,0)),"MISSING ID")</x:f>
        <x:v>Crafting components</x:v>
      </x:c>
      <x:c r="H2055" s="4" t="str">
        <x:f>IFERROR(INDEX('Items'!$X$6:$X$1005,MATCH(D2055,'Items'!$A$6:$A$1005,0)),"MISSING ID")</x:f>
        <x:v>Crafting component</x:v>
      </x:c>
      <x:c r="I2055" s="4"/>
      <x:c r="J2055" s="4" t="str">
        <x:v>Unspecified</x:v>
      </x:c>
      <x:c r="K2055" s="4" t="str">
        <x:f>IFERROR(INDEX('Crafting recipes'!$D$6:$D$1005,MATCH(B2055,'Crafting recipes'!$A$6:$A$1005,0)),"MISSING ID")</x:f>
        <x:v>Proposal</x:v>
      </x:c>
      <x:c r="L2055" s="4" t="str">
        <x:f>IFERROR(INDEX('Items'!$AD$6:$AD$1005,MATCH(D2055,'Items'!$A$6:$A$1005,0)),"MISSING ID")</x:f>
        <x:v>Proposal</x:v>
      </x:c>
      <x:c r="M2055" s="4" t="str">
        <x:f>IFERROR(INDEX('Crafting recipes'!$E$6:$E$1005,MATCH(B2055,'Crafting recipes'!$A$6:$A$1005,0)),"MISSING ID")</x:f>
        <x:v>Partial proposal</x:v>
      </x:c>
      <x:c r="N2055" s="4" t="str">
        <x:v>Partial audit candidate; quantity, fit and performance remain unresolved.</x:v>
      </x:c>
      <x:c r="O20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5" s="4" t="n">
        <x:f>IF(OR(C2055="Ingredient candidate",C2055="Consumed input",C2055="Contained input",C2055="Transform input"),IF(F2055="T0",0,IF(F2055="T1",1,IF(F2055="T2",2,IF(F2055="T3",3,IF(F2055="T4",4,-1))))),-1)</x:f>
        <x:v>3</x:v>
      </x:c>
      <x:c r="Q2055" s="4" t="n">
        <x:f>IF(AND(OR(C2055="Ingredient candidate",C2055="Consumed input",C2055="Contained input",C2055="Transform input"),P2055=-1),1,0)</x:f>
        <x:v>0</x:v>
      </x:c>
    </x:row>
    <x:row r="2056" ht="64" customHeight="1">
      <x:c r="A2056" s="4" t="str">
        <x:v>design.collection.double_headed_metal_drum.audit.extra.72</x:v>
      </x:c>
      <x:c r="B2056" s="4" t="str">
        <x:v>design.collection.double_headed_metal_drum</x:v>
      </x:c>
      <x:c r="C2056" s="4" t="str">
        <x:v>Ingredient candidate</x:v>
      </x:c>
      <x:c r="D2056" s="4" t="str">
        <x:v>proposal.bio.cord</x:v>
      </x:c>
      <x:c r="E2056" s="4" t="str">
        <x:f>IFERROR(INDEX('Items'!$B$6:$B$1005,MATCH(D2056,'Items'!$A$6:$A$1005,0)),"MISSING ID")</x:f>
        <x:v>Tendon cord</x:v>
      </x:c>
      <x:c r="F2056" s="4" t="str">
        <x:f>IFERROR(INDEX('Items'!$C$6:$C$1005,MATCH(D2056,'Items'!$A$6:$A$1005,0)),"MISSING ID")</x:f>
        <x:v>T1</x:v>
      </x:c>
      <x:c r="G2056" s="4" t="str">
        <x:f>IFERROR(INDEX('Items'!$D$6:$D$1005,MATCH(D2056,'Items'!$A$6:$A$1005,0)),"MISSING ID")</x:f>
        <x:v>Crafting components</x:v>
      </x:c>
      <x:c r="H2056" s="4" t="str">
        <x:f>IFERROR(INDEX('Items'!$X$6:$X$1005,MATCH(D2056,'Items'!$A$6:$A$1005,0)),"MISSING ID")</x:f>
        <x:v>Crafting component</x:v>
      </x:c>
      <x:c r="I2056" s="4"/>
      <x:c r="J2056" s="4" t="str">
        <x:v>Unspecified</x:v>
      </x:c>
      <x:c r="K2056" s="4" t="str">
        <x:f>IFERROR(INDEX('Crafting recipes'!$D$6:$D$1005,MATCH(B2056,'Crafting recipes'!$A$6:$A$1005,0)),"MISSING ID")</x:f>
        <x:v>Proposal</x:v>
      </x:c>
      <x:c r="L2056" s="4" t="str">
        <x:f>IFERROR(INDEX('Items'!$AD$6:$AD$1005,MATCH(D2056,'Items'!$A$6:$A$1005,0)),"MISSING ID")</x:f>
        <x:v>Proposal</x:v>
      </x:c>
      <x:c r="M2056" s="4" t="str">
        <x:f>IFERROR(INDEX('Crafting recipes'!$E$6:$E$1005,MATCH(B2056,'Crafting recipes'!$A$6:$A$1005,0)),"MISSING ID")</x:f>
        <x:v>Partial proposal</x:v>
      </x:c>
      <x:c r="N2056" s="4" t="str">
        <x:v>Partial audit candidate; quantity, fit and performance remain unresolved.</x:v>
      </x:c>
      <x:c r="O20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6" s="4" t="n">
        <x:f>IF(OR(C2056="Ingredient candidate",C2056="Consumed input",C2056="Contained input",C2056="Transform input"),IF(F2056="T0",0,IF(F2056="T1",1,IF(F2056="T2",2,IF(F2056="T3",3,IF(F2056="T4",4,-1))))),-1)</x:f>
        <x:v>1</x:v>
      </x:c>
      <x:c r="Q2056" s="4" t="n">
        <x:f>IF(AND(OR(C2056="Ingredient candidate",C2056="Consumed input",C2056="Contained input",C2056="Transform input"),P2056=-1),1,0)</x:f>
        <x:v>0</x:v>
      </x:c>
    </x:row>
    <x:row r="2057" ht="64" customHeight="1">
      <x:c r="A2057" s="4" t="str">
        <x:v>design.collection.metal_frame_drum.audit.extra.73</x:v>
      </x:c>
      <x:c r="B2057" s="4" t="str">
        <x:v>design.collection.metal_frame_drum</x:v>
      </x:c>
      <x:c r="C2057" s="4" t="str">
        <x:v>Ingredient candidate</x:v>
      </x:c>
      <x:c r="D2057" s="4" t="str">
        <x:v>proposal.audit.membrane_tension_hoop</x:v>
      </x:c>
      <x:c r="E2057" s="4" t="str">
        <x:f>IFERROR(INDEX('Items'!$B$6:$B$1005,MATCH(D2057,'Items'!$A$6:$A$1005,0)),"MISSING ID")</x:f>
        <x:v>Membrane tension hoop</x:v>
      </x:c>
      <x:c r="F2057" s="4" t="str">
        <x:f>IFERROR(INDEX('Items'!$C$6:$C$1005,MATCH(D2057,'Items'!$A$6:$A$1005,0)),"MISSING ID")</x:f>
        <x:v>T3</x:v>
      </x:c>
      <x:c r="G2057" s="4" t="str">
        <x:f>IFERROR(INDEX('Items'!$D$6:$D$1005,MATCH(D2057,'Items'!$A$6:$A$1005,0)),"MISSING ID")</x:f>
        <x:v>Crafting components</x:v>
      </x:c>
      <x:c r="H2057" s="4" t="str">
        <x:f>IFERROR(INDEX('Items'!$X$6:$X$1005,MATCH(D2057,'Items'!$A$6:$A$1005,0)),"MISSING ID")</x:f>
        <x:v>Crafting component</x:v>
      </x:c>
      <x:c r="I2057" s="4"/>
      <x:c r="J2057" s="4" t="str">
        <x:v>Unspecified</x:v>
      </x:c>
      <x:c r="K2057" s="4" t="str">
        <x:f>IFERROR(INDEX('Crafting recipes'!$D$6:$D$1005,MATCH(B2057,'Crafting recipes'!$A$6:$A$1005,0)),"MISSING ID")</x:f>
        <x:v>Proposal</x:v>
      </x:c>
      <x:c r="L2057" s="4" t="str">
        <x:f>IFERROR(INDEX('Items'!$AD$6:$AD$1005,MATCH(D2057,'Items'!$A$6:$A$1005,0)),"MISSING ID")</x:f>
        <x:v>Proposal</x:v>
      </x:c>
      <x:c r="M2057" s="4" t="str">
        <x:f>IFERROR(INDEX('Crafting recipes'!$E$6:$E$1005,MATCH(B2057,'Crafting recipes'!$A$6:$A$1005,0)),"MISSING ID")</x:f>
        <x:v>Partial proposal</x:v>
      </x:c>
      <x:c r="N2057" s="4" t="str">
        <x:v>Partial audit candidate; quantity, fit and performance remain unresolved.</x:v>
      </x:c>
      <x:c r="O20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7" s="4" t="n">
        <x:f>IF(OR(C2057="Ingredient candidate",C2057="Consumed input",C2057="Contained input",C2057="Transform input"),IF(F2057="T0",0,IF(F2057="T1",1,IF(F2057="T2",2,IF(F2057="T3",3,IF(F2057="T4",4,-1))))),-1)</x:f>
        <x:v>3</x:v>
      </x:c>
      <x:c r="Q2057" s="4" t="n">
        <x:f>IF(AND(OR(C2057="Ingredient candidate",C2057="Consumed input",C2057="Contained input",C2057="Transform input"),P2057=-1),1,0)</x:f>
        <x:v>0</x:v>
      </x:c>
    </x:row>
    <x:row r="2058" ht="64" customHeight="1">
      <x:c r="A2058" s="4" t="str">
        <x:v>design.collection.metal_frame_drum.audit.extra.74</x:v>
      </x:c>
      <x:c r="B2058" s="4" t="str">
        <x:v>design.collection.metal_frame_drum</x:v>
      </x:c>
      <x:c r="C2058" s="4" t="str">
        <x:v>Ingredient candidate</x:v>
      </x:c>
      <x:c r="D2058" s="4" t="str">
        <x:v>proposal.bio.cord</x:v>
      </x:c>
      <x:c r="E2058" s="4" t="str">
        <x:f>IFERROR(INDEX('Items'!$B$6:$B$1005,MATCH(D2058,'Items'!$A$6:$A$1005,0)),"MISSING ID")</x:f>
        <x:v>Tendon cord</x:v>
      </x:c>
      <x:c r="F2058" s="4" t="str">
        <x:f>IFERROR(INDEX('Items'!$C$6:$C$1005,MATCH(D2058,'Items'!$A$6:$A$1005,0)),"MISSING ID")</x:f>
        <x:v>T1</x:v>
      </x:c>
      <x:c r="G2058" s="4" t="str">
        <x:f>IFERROR(INDEX('Items'!$D$6:$D$1005,MATCH(D2058,'Items'!$A$6:$A$1005,0)),"MISSING ID")</x:f>
        <x:v>Crafting components</x:v>
      </x:c>
      <x:c r="H2058" s="4" t="str">
        <x:f>IFERROR(INDEX('Items'!$X$6:$X$1005,MATCH(D2058,'Items'!$A$6:$A$1005,0)),"MISSING ID")</x:f>
        <x:v>Crafting component</x:v>
      </x:c>
      <x:c r="I2058" s="4"/>
      <x:c r="J2058" s="4" t="str">
        <x:v>Unspecified</x:v>
      </x:c>
      <x:c r="K2058" s="4" t="str">
        <x:f>IFERROR(INDEX('Crafting recipes'!$D$6:$D$1005,MATCH(B2058,'Crafting recipes'!$A$6:$A$1005,0)),"MISSING ID")</x:f>
        <x:v>Proposal</x:v>
      </x:c>
      <x:c r="L2058" s="4" t="str">
        <x:f>IFERROR(INDEX('Items'!$AD$6:$AD$1005,MATCH(D2058,'Items'!$A$6:$A$1005,0)),"MISSING ID")</x:f>
        <x:v>Proposal</x:v>
      </x:c>
      <x:c r="M2058" s="4" t="str">
        <x:f>IFERROR(INDEX('Crafting recipes'!$E$6:$E$1005,MATCH(B2058,'Crafting recipes'!$A$6:$A$1005,0)),"MISSING ID")</x:f>
        <x:v>Partial proposal</x:v>
      </x:c>
      <x:c r="N2058" s="4" t="str">
        <x:v>Partial audit candidate; quantity, fit and performance remain unresolved.</x:v>
      </x:c>
      <x:c r="O20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8" s="4" t="n">
        <x:f>IF(OR(C2058="Ingredient candidate",C2058="Consumed input",C2058="Contained input",C2058="Transform input"),IF(F2058="T0",0,IF(F2058="T1",1,IF(F2058="T2",2,IF(F2058="T3",3,IF(F2058="T4",4,-1))))),-1)</x:f>
        <x:v>1</x:v>
      </x:c>
      <x:c r="Q2058" s="4" t="n">
        <x:f>IF(AND(OR(C2058="Ingredient candidate",C2058="Consumed input",C2058="Contained input",C2058="Transform input"),P2058=-1),1,0)</x:f>
        <x:v>0</x:v>
      </x:c>
    </x:row>
    <x:row r="2059" ht="64" customHeight="1">
      <x:c r="A2059" s="4"/>
      <x:c r="B2059" s="4"/>
      <x:c r="C2059" s="4"/>
      <x:c r="D2059" s="4"/>
      <x:c r="E2059" s="4"/>
      <x:c r="F2059" s="4"/>
      <x:c r="G2059" s="4"/>
      <x:c r="H2059" s="4"/>
      <x:c r="I2059" s="4"/>
      <x:c r="J2059" s="4"/>
      <x:c r="K2059" s="4"/>
      <x:c r="L2059" s="4"/>
      <x:c r="M2059" s="4"/>
      <x:c r="N2059" s="4"/>
      <x:c r="O2059" s="4"/>
      <x:c r="P2059" s="4"/>
      <x:c r="Q2059" s="4"/>
    </x:row>
    <x:row r="2060" ht="64" customHeight="1">
      <x:c r="A2060" s="4"/>
      <x:c r="B2060" s="4"/>
      <x:c r="C2060" s="4"/>
      <x:c r="D2060" s="4"/>
      <x:c r="E2060" s="4"/>
      <x:c r="F2060" s="4"/>
      <x:c r="G2060" s="4"/>
      <x:c r="H2060" s="4"/>
      <x:c r="I2060" s="4"/>
      <x:c r="J2060" s="4"/>
      <x:c r="K2060" s="4"/>
      <x:c r="L2060" s="4"/>
      <x:c r="M2060" s="4"/>
      <x:c r="N2060" s="4"/>
      <x:c r="O2060" s="4"/>
      <x:c r="P2060" s="4"/>
      <x:c r="Q2060" s="4"/>
    </x:row>
    <x:row r="2061" ht="64" customHeight="1">
      <x:c r="A2061" s="4"/>
      <x:c r="B2061" s="4"/>
      <x:c r="C2061" s="4"/>
      <x:c r="D2061" s="4"/>
      <x:c r="E2061" s="4"/>
      <x:c r="F2061" s="4"/>
      <x:c r="G2061" s="4"/>
      <x:c r="H2061" s="4"/>
      <x:c r="I2061" s="4"/>
      <x:c r="J2061" s="4"/>
      <x:c r="K2061" s="4"/>
      <x:c r="L2061" s="4"/>
      <x:c r="M2061" s="4"/>
      <x:c r="N2061" s="4"/>
      <x:c r="O2061" s="4"/>
      <x:c r="P2061" s="4"/>
      <x:c r="Q2061" s="4"/>
    </x:row>
    <x:row r="2062" ht="64" customHeight="1">
      <x:c r="A2062" s="4"/>
      <x:c r="B2062" s="4"/>
      <x:c r="C2062" s="4"/>
      <x:c r="D2062" s="4"/>
      <x:c r="E2062" s="4"/>
      <x:c r="F2062" s="4"/>
      <x:c r="G2062" s="4"/>
      <x:c r="H2062" s="4"/>
      <x:c r="I2062" s="4"/>
      <x:c r="J2062" s="4"/>
      <x:c r="K2062" s="4"/>
      <x:c r="L2062" s="4"/>
      <x:c r="M2062" s="4"/>
      <x:c r="N2062" s="4"/>
      <x:c r="O2062" s="4"/>
      <x:c r="P2062" s="4"/>
      <x:c r="Q2062" s="4"/>
    </x:row>
    <x:row r="2063" ht="64" customHeight="1">
      <x:c r="A2063" s="4" t="str">
        <x:v>design.collection.metal_free_reed_mouth_organ.audit.extra.79</x:v>
      </x:c>
      <x:c r="B2063" s="4" t="str">
        <x:v>design.collection.metal_free_reed_mouth_organ</x:v>
      </x:c>
      <x:c r="C2063" s="4" t="str">
        <x:v>Ingredient candidate</x:v>
      </x:c>
      <x:c r="D2063" s="4" t="str">
        <x:v>proposal.audit.cut_metal_reed_set</x:v>
      </x:c>
      <x:c r="E2063" s="4" t="str">
        <x:f>IFERROR(INDEX('Items'!$B$6:$B$1005,MATCH(D2063,'Items'!$A$6:$A$1005,0)),"MISSING ID")</x:f>
        <x:v>Cut metal reed set</x:v>
      </x:c>
      <x:c r="F2063" s="4" t="str">
        <x:f>IFERROR(INDEX('Items'!$C$6:$C$1005,MATCH(D2063,'Items'!$A$6:$A$1005,0)),"MISSING ID")</x:f>
        <x:v>T4</x:v>
      </x:c>
      <x:c r="G2063" s="4" t="str">
        <x:f>IFERROR(INDEX('Items'!$D$6:$D$1005,MATCH(D2063,'Items'!$A$6:$A$1005,0)),"MISSING ID")</x:f>
        <x:v>Crafting components</x:v>
      </x:c>
      <x:c r="H2063" s="4" t="str">
        <x:f>IFERROR(INDEX('Items'!$X$6:$X$1005,MATCH(D2063,'Items'!$A$6:$A$1005,0)),"MISSING ID")</x:f>
        <x:v>Crafting component</x:v>
      </x:c>
      <x:c r="I2063" s="4"/>
      <x:c r="J2063" s="4" t="str">
        <x:v>Unspecified</x:v>
      </x:c>
      <x:c r="K2063" s="4" t="str">
        <x:f>IFERROR(INDEX('Crafting recipes'!$D$6:$D$1005,MATCH(B2063,'Crafting recipes'!$A$6:$A$1005,0)),"MISSING ID")</x:f>
        <x:v>Proposal</x:v>
      </x:c>
      <x:c r="L2063" s="4" t="str">
        <x:f>IFERROR(INDEX('Items'!$AD$6:$AD$1005,MATCH(D2063,'Items'!$A$6:$A$1005,0)),"MISSING ID")</x:f>
        <x:v>Proposal</x:v>
      </x:c>
      <x:c r="M2063" s="4" t="str">
        <x:f>IFERROR(INDEX('Crafting recipes'!$E$6:$E$1005,MATCH(B2063,'Crafting recipes'!$A$6:$A$1005,0)),"MISSING ID")</x:f>
        <x:v>Partial proposal</x:v>
      </x:c>
      <x:c r="N2063" s="4" t="str">
        <x:v>Partial audit candidate; quantity, fit and performance remain unresolved.</x:v>
      </x:c>
      <x:c r="O20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3" s="4" t="n">
        <x:f>IF(OR(C2063="Ingredient candidate",C2063="Consumed input",C2063="Contained input",C2063="Transform input"),IF(F2063="T0",0,IF(F2063="T1",1,IF(F2063="T2",2,IF(F2063="T3",3,IF(F2063="T4",4,-1))))),-1)</x:f>
        <x:v>4</x:v>
      </x:c>
      <x:c r="Q2063" s="4" t="n">
        <x:f>IF(AND(OR(C2063="Ingredient candidate",C2063="Consumed input",C2063="Contained input",C2063="Transform input"),P2063=-1),1,0)</x:f>
        <x:v>0</x:v>
      </x:c>
    </x:row>
    <x:row r="2064" ht="64" customHeight="1">
      <x:c r="A2064" s="4" t="str">
        <x:v>design.collection.steel_jaw_harp.audit.extra.80</x:v>
      </x:c>
      <x:c r="B2064" s="4" t="str">
        <x:v>design.collection.steel_jaw_harp</x:v>
      </x:c>
      <x:c r="C2064" s="4" t="str">
        <x:v>Ingredient candidate</x:v>
      </x:c>
      <x:c r="D2064" s="4" t="str">
        <x:v>proposal.audit.shaped_metal_grip_blank</x:v>
      </x:c>
      <x:c r="E2064" s="4" t="str">
        <x:f>IFERROR(INDEX('Items'!$B$6:$B$1005,MATCH(D2064,'Items'!$A$6:$A$1005,0)),"MISSING ID")</x:f>
        <x:v>Shaped metal grip blank</x:v>
      </x:c>
      <x:c r="F2064" s="4" t="str">
        <x:f>IFERROR(INDEX('Items'!$C$6:$C$1005,MATCH(D2064,'Items'!$A$6:$A$1005,0)),"MISSING ID")</x:f>
        <x:v>T3</x:v>
      </x:c>
      <x:c r="G2064" s="4" t="str">
        <x:f>IFERROR(INDEX('Items'!$D$6:$D$1005,MATCH(D2064,'Items'!$A$6:$A$1005,0)),"MISSING ID")</x:f>
        <x:v>Crafting components</x:v>
      </x:c>
      <x:c r="H2064" s="4" t="str">
        <x:f>IFERROR(INDEX('Items'!$X$6:$X$1005,MATCH(D2064,'Items'!$A$6:$A$1005,0)),"MISSING ID")</x:f>
        <x:v>Crafting component</x:v>
      </x:c>
      <x:c r="I2064" s="4"/>
      <x:c r="J2064" s="4" t="str">
        <x:v>Unspecified</x:v>
      </x:c>
      <x:c r="K2064" s="4" t="str">
        <x:f>IFERROR(INDEX('Crafting recipes'!$D$6:$D$1005,MATCH(B2064,'Crafting recipes'!$A$6:$A$1005,0)),"MISSING ID")</x:f>
        <x:v>Proposal</x:v>
      </x:c>
      <x:c r="L2064" s="4" t="str">
        <x:f>IFERROR(INDEX('Items'!$AD$6:$AD$1005,MATCH(D2064,'Items'!$A$6:$A$1005,0)),"MISSING ID")</x:f>
        <x:v>Proposal</x:v>
      </x:c>
      <x:c r="M2064" s="4" t="str">
        <x:f>IFERROR(INDEX('Crafting recipes'!$E$6:$E$1005,MATCH(B2064,'Crafting recipes'!$A$6:$A$1005,0)),"MISSING ID")</x:f>
        <x:v>Partial proposal</x:v>
      </x:c>
      <x:c r="N2064" s="4" t="str">
        <x:v>Partial audit candidate; quantity, fit and performance remain unresolved.</x:v>
      </x:c>
      <x:c r="O20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4" s="4" t="n">
        <x:f>IF(OR(C2064="Ingredient candidate",C2064="Consumed input",C2064="Contained input",C2064="Transform input"),IF(F2064="T0",0,IF(F2064="T1",1,IF(F2064="T2",2,IF(F2064="T3",3,IF(F2064="T4",4,-1))))),-1)</x:f>
        <x:v>3</x:v>
      </x:c>
      <x:c r="Q2064" s="4" t="n">
        <x:f>IF(AND(OR(C2064="Ingredient candidate",C2064="Consumed input",C2064="Contained input",C2064="Transform input"),P2064=-1),1,0)</x:f>
        <x:v>0</x:v>
      </x:c>
    </x:row>
    <x:row r="2065" ht="64" customHeight="1">
      <x:c r="A2065" s="4"/>
      <x:c r="B2065" s="4"/>
      <x:c r="C2065" s="4"/>
      <x:c r="D2065" s="4"/>
      <x:c r="E2065" s="4"/>
      <x:c r="F2065" s="4"/>
      <x:c r="G2065" s="4"/>
      <x:c r="H2065" s="4"/>
      <x:c r="I2065" s="4"/>
      <x:c r="K2065" s="4"/>
      <x:c r="L2065" s="4"/>
      <x:c r="M2065" s="4"/>
      <x:c r="N2065" s="4"/>
      <x:c r="O2065" s="4"/>
      <x:c r="P2065" s="4"/>
      <x:c r="Q2065" s="4"/>
    </x:row>
    <x:row r="2066" ht="64" customHeight="1">
      <x:c r="A2066" s="4"/>
      <x:c r="B2066" s="4"/>
      <x:c r="C2066" s="4"/>
      <x:c r="D2066" s="4"/>
      <x:c r="E2066" s="4"/>
      <x:c r="F2066" s="4"/>
      <x:c r="G2066" s="4"/>
      <x:c r="H2066" s="4"/>
      <x:c r="I2066" s="4"/>
      <x:c r="K2066" s="4"/>
      <x:c r="L2066" s="4"/>
      <x:c r="M2066" s="4"/>
      <x:c r="N2066" s="4"/>
      <x:c r="O2066" s="4"/>
      <x:c r="P2066" s="4"/>
      <x:c r="Q2066" s="4"/>
    </x:row>
    <x:row r="2067" ht="64" customHeight="1">
      <x:c r="A2067" s="4"/>
      <x:c r="B2067" s="4"/>
      <x:c r="C2067" s="4"/>
      <x:c r="D2067" s="4"/>
      <x:c r="E2067" s="4"/>
      <x:c r="F2067" s="4"/>
      <x:c r="G2067" s="4"/>
      <x:c r="H2067" s="4"/>
      <x:c r="I2067" s="4"/>
      <x:c r="K2067" s="4"/>
      <x:c r="L2067" s="4"/>
      <x:c r="M2067" s="4"/>
      <x:c r="N2067" s="4"/>
      <x:c r="O2067" s="4"/>
      <x:c r="P2067" s="4"/>
      <x:c r="Q2067" s="4"/>
    </x:row>
    <x:row r="2068" ht="64" customHeight="1">
      <x:c r="A2068" s="4"/>
      <x:c r="B2068" s="4"/>
      <x:c r="C2068" s="4"/>
      <x:c r="D2068" s="4"/>
      <x:c r="E2068" s="4"/>
      <x:c r="F2068" s="4"/>
      <x:c r="G2068" s="4"/>
      <x:c r="H2068" s="4"/>
      <x:c r="I2068" s="4"/>
      <x:c r="K2068" s="4"/>
      <x:c r="L2068" s="4"/>
      <x:c r="M2068" s="4"/>
      <x:c r="N2068" s="4"/>
      <x:c r="O2068" s="4"/>
      <x:c r="P2068" s="4"/>
      <x:c r="Q2068" s="4"/>
    </x:row>
    <x:row r="2069" ht="64" customHeight="1">
      <x:c r="A2069" s="4"/>
      <x:c r="B2069" s="4"/>
      <x:c r="C2069" s="4"/>
      <x:c r="D2069" s="4"/>
      <x:c r="E2069" s="4"/>
      <x:c r="F2069" s="4"/>
      <x:c r="G2069" s="4"/>
      <x:c r="H2069" s="4"/>
      <x:c r="I2069" s="4"/>
      <x:c r="K2069" s="4"/>
      <x:c r="L2069" s="4"/>
      <x:c r="M2069" s="4"/>
      <x:c r="N2069" s="4"/>
      <x:c r="O2069" s="4"/>
      <x:c r="P2069" s="4"/>
      <x:c r="Q2069" s="4"/>
    </x:row>
    <x:row r="2070" ht="64" customHeight="1">
      <x:c r="A2070" s="4" t="str">
        <x:v>design.collection.chainmail_shoulder_mantle.audit.extra.86</x:v>
      </x:c>
      <x:c r="B2070" s="4" t="str">
        <x:v>design.collection.chainmail_shoulder_mantle</x:v>
      </x:c>
      <x:c r="C2070" s="4" t="str">
        <x:v>Ingredient candidate</x:v>
      </x:c>
      <x:c r="D2070" s="4" t="str">
        <x:v>proposal.audit.linked_steel_mail_rings</x:v>
      </x:c>
      <x:c r="E2070" s="4" t="str">
        <x:f>IFERROR(INDEX('Items'!$B$6:$B$1005,MATCH(D2070,'Items'!$A$6:$A$1005,0)),"MISSING ID")</x:f>
        <x:v>Linked steel mail rings</x:v>
      </x:c>
      <x:c r="F2070" s="4" t="str">
        <x:f>IFERROR(INDEX('Items'!$C$6:$C$1005,MATCH(D2070,'Items'!$A$6:$A$1005,0)),"MISSING ID")</x:f>
        <x:v>T4</x:v>
      </x:c>
      <x:c r="G2070" s="4" t="str">
        <x:f>IFERROR(INDEX('Items'!$D$6:$D$1005,MATCH(D2070,'Items'!$A$6:$A$1005,0)),"MISSING ID")</x:f>
        <x:v>Crafting components</x:v>
      </x:c>
      <x:c r="H2070" s="4" t="str">
        <x:f>IFERROR(INDEX('Items'!$X$6:$X$1005,MATCH(D2070,'Items'!$A$6:$A$1005,0)),"MISSING ID")</x:f>
        <x:v>Crafting component</x:v>
      </x:c>
      <x:c r="I2070" s="4"/>
      <x:c r="J2070" s="4" t="str">
        <x:v>Unspecified</x:v>
      </x:c>
      <x:c r="K2070" s="4" t="str">
        <x:f>IFERROR(INDEX('Crafting recipes'!$D$6:$D$1005,MATCH(B2070,'Crafting recipes'!$A$6:$A$1005,0)),"MISSING ID")</x:f>
        <x:v>Proposal</x:v>
      </x:c>
      <x:c r="L2070" s="4" t="str">
        <x:f>IFERROR(INDEX('Items'!$AD$6:$AD$1005,MATCH(D2070,'Items'!$A$6:$A$1005,0)),"MISSING ID")</x:f>
        <x:v>Proposal</x:v>
      </x:c>
      <x:c r="M2070" s="4" t="str">
        <x:f>IFERROR(INDEX('Crafting recipes'!$E$6:$E$1005,MATCH(B2070,'Crafting recipes'!$A$6:$A$1005,0)),"MISSING ID")</x:f>
        <x:v>Partial proposal</x:v>
      </x:c>
      <x:c r="N2070" s="4" t="str">
        <x:v>Partial audit candidate; quantity, fit and performance remain unresolved.</x:v>
      </x:c>
      <x:c r="O20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0" s="4" t="n">
        <x:f>IF(OR(C2070="Ingredient candidate",C2070="Consumed input",C2070="Contained input",C2070="Transform input"),IF(F2070="T0",0,IF(F2070="T1",1,IF(F2070="T2",2,IF(F2070="T3",3,IF(F2070="T4",4,-1))))),-1)</x:f>
        <x:v>4</x:v>
      </x:c>
      <x:c r="Q2070" s="4" t="n">
        <x:f>IF(AND(OR(C2070="Ingredient candidate",C2070="Consumed input",C2070="Contained input",C2070="Transform input"),P2070=-1),1,0)</x:f>
        <x:v>0</x:v>
      </x:c>
    </x:row>
    <x:row r="2071" ht="64" customHeight="1">
      <x:c r="A2071" s="4" t="str">
        <x:v>design.collection.folding_hooked_trip_frame.audit.extra.87</x:v>
      </x:c>
      <x:c r="B2071" s="4" t="str">
        <x:v>design.collection.folding_hooked_trip_frame</x:v>
      </x:c>
      <x:c r="C2071" s="4" t="str">
        <x:v>Ingredient candidate</x:v>
      </x:c>
      <x:c r="D2071" s="4" t="str">
        <x:v>proposal.audit.compact_latch_and_trigger_pack</x:v>
      </x:c>
      <x:c r="E2071" s="4" t="str">
        <x:f>IFERROR(INDEX('Items'!$B$6:$B$1005,MATCH(D2071,'Items'!$A$6:$A$1005,0)),"MISSING ID")</x:f>
        <x:v>Compact latch and trigger pack</x:v>
      </x:c>
      <x:c r="F2071" s="4" t="str">
        <x:f>IFERROR(INDEX('Items'!$C$6:$C$1005,MATCH(D2071,'Items'!$A$6:$A$1005,0)),"MISSING ID")</x:f>
        <x:v>T4</x:v>
      </x:c>
      <x:c r="G2071" s="4" t="str">
        <x:f>IFERROR(INDEX('Items'!$D$6:$D$1005,MATCH(D2071,'Items'!$A$6:$A$1005,0)),"MISSING ID")</x:f>
        <x:v>Crafting components</x:v>
      </x:c>
      <x:c r="H2071" s="4" t="str">
        <x:f>IFERROR(INDEX('Items'!$X$6:$X$1005,MATCH(D2071,'Items'!$A$6:$A$1005,0)),"MISSING ID")</x:f>
        <x:v>Crafting component</x:v>
      </x:c>
      <x:c r="I2071" s="4"/>
      <x:c r="J2071" s="4" t="str">
        <x:v>Unspecified</x:v>
      </x:c>
      <x:c r="K2071" s="4" t="str">
        <x:f>IFERROR(INDEX('Crafting recipes'!$D$6:$D$1005,MATCH(B2071,'Crafting recipes'!$A$6:$A$1005,0)),"MISSING ID")</x:f>
        <x:v>Proposal</x:v>
      </x:c>
      <x:c r="L2071" s="4" t="str">
        <x:f>IFERROR(INDEX('Items'!$AD$6:$AD$1005,MATCH(D2071,'Items'!$A$6:$A$1005,0)),"MISSING ID")</x:f>
        <x:v>Proposal</x:v>
      </x:c>
      <x:c r="M2071" s="4" t="str">
        <x:f>IFERROR(INDEX('Crafting recipes'!$E$6:$E$1005,MATCH(B2071,'Crafting recipes'!$A$6:$A$1005,0)),"MISSING ID")</x:f>
        <x:v>Partial proposal</x:v>
      </x:c>
      <x:c r="N2071" s="4" t="str">
        <x:v>Partial audit candidate; quantity, fit and performance remain unresolved.</x:v>
      </x:c>
      <x:c r="O20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1" s="4" t="n">
        <x:f>IF(OR(C2071="Ingredient candidate",C2071="Consumed input",C2071="Contained input",C2071="Transform input"),IF(F2071="T0",0,IF(F2071="T1",1,IF(F2071="T2",2,IF(F2071="T3",3,IF(F2071="T4",4,-1))))),-1)</x:f>
        <x:v>4</x:v>
      </x:c>
      <x:c r="Q2071" s="4" t="n">
        <x:f>IF(AND(OR(C2071="Ingredient candidate",C2071="Consumed input",C2071="Contained input",C2071="Transform input"),P2071=-1),1,0)</x:f>
        <x:v>0</x:v>
      </x:c>
    </x:row>
    <x:row r="2072" ht="64" customHeight="1">
      <x:c r="A2072" s="4"/>
      <x:c r="B2072" s="4"/>
      <x:c r="C2072" s="4"/>
      <x:c r="D2072" s="4"/>
      <x:c r="E2072" s="4"/>
      <x:c r="F2072" s="4"/>
      <x:c r="G2072" s="4"/>
      <x:c r="H2072" s="4"/>
      <x:c r="I2072" s="4"/>
      <x:c r="J2072" s="4"/>
      <x:c r="K2072" s="4"/>
      <x:c r="L2072" s="4"/>
      <x:c r="M2072" s="4"/>
      <x:c r="N2072" s="4"/>
      <x:c r="O2072" s="4"/>
      <x:c r="P2072" s="4"/>
      <x:c r="Q2072" s="4"/>
    </x:row>
    <x:row r="2073" ht="64" customHeight="1">
      <x:c r="A2073" s="4"/>
      <x:c r="B2073" s="4"/>
      <x:c r="C2073" s="4"/>
      <x:c r="D2073" s="4"/>
      <x:c r="E2073" s="4"/>
      <x:c r="F2073" s="4"/>
      <x:c r="G2073" s="4"/>
      <x:c r="H2073" s="4"/>
      <x:c r="I2073" s="4"/>
      <x:c r="J2073" s="4"/>
      <x:c r="K2073" s="4"/>
      <x:c r="L2073" s="4"/>
      <x:c r="M2073" s="4"/>
      <x:c r="N2073" s="4"/>
      <x:c r="O2073" s="4"/>
      <x:c r="P2073" s="4"/>
      <x:c r="Q2073" s="4"/>
    </x:row>
    <x:row r="2074" ht="64" customHeight="1">
      <x:c r="A2074" s="4"/>
      <x:c r="B2074" s="4"/>
      <x:c r="C2074" s="4"/>
      <x:c r="D2074" s="4"/>
      <x:c r="E2074" s="4"/>
      <x:c r="F2074" s="4"/>
      <x:c r="G2074" s="4"/>
      <x:c r="H2074" s="4"/>
      <x:c r="I2074" s="4"/>
      <x:c r="J2074" s="4"/>
      <x:c r="K2074" s="4"/>
      <x:c r="L2074" s="4"/>
      <x:c r="M2074" s="4"/>
      <x:c r="N2074" s="4"/>
      <x:c r="O2074" s="4"/>
      <x:c r="P2074" s="4"/>
      <x:c r="Q2074" s="4"/>
    </x:row>
    <x:row r="2075" ht="64" customHeight="1">
      <x:c r="A2075" s="4"/>
      <x:c r="B2075" s="4"/>
      <x:c r="C2075" s="4"/>
      <x:c r="D2075" s="4"/>
      <x:c r="E2075" s="4"/>
      <x:c r="F2075" s="4"/>
      <x:c r="G2075" s="4"/>
      <x:c r="H2075" s="4"/>
      <x:c r="I2075" s="4"/>
      <x:c r="J2075" s="4"/>
      <x:c r="K2075" s="4"/>
      <x:c r="L2075" s="4"/>
      <x:c r="M2075" s="4"/>
      <x:c r="N2075" s="4"/>
      <x:c r="O2075" s="4"/>
      <x:c r="P2075" s="4"/>
      <x:c r="Q2075" s="4"/>
    </x:row>
    <x:row r="2076" ht="64" customHeight="1">
      <x:c r="A2076" s="4" t="str">
        <x:v>design.collection.rattle_alarm_tripline.audit.extra.92</x:v>
      </x:c>
      <x:c r="B2076" s="4" t="str">
        <x:v>design.collection.rattle_alarm_tripline</x:v>
      </x:c>
      <x:c r="C2076" s="4" t="str">
        <x:v>Ingredient candidate</x:v>
      </x:c>
      <x:c r="D2076" s="4" t="str">
        <x:v>proposal.collection.ground_anchor_stake_set</x:v>
      </x:c>
      <x:c r="E2076" s="4" t="str">
        <x:f>IFERROR(INDEX('Items'!$B$6:$B$1005,MATCH(D2076,'Items'!$A$6:$A$1005,0)),"MISSING ID")</x:f>
        <x:v>Ground-anchor stake set</x:v>
      </x:c>
      <x:c r="F2076" s="4" t="str">
        <x:f>IFERROR(INDEX('Items'!$C$6:$C$1005,MATCH(D2076,'Items'!$A$6:$A$1005,0)),"MISSING ID")</x:f>
        <x:v>Not applicable</x:v>
      </x:c>
      <x:c r="G2076" s="4" t="str">
        <x:f>IFERROR(INDEX('Items'!$D$6:$D$1005,MATCH(D2076,'Items'!$A$6:$A$1005,0)),"MISSING ID")</x:f>
        <x:v>Salvage</x:v>
      </x:c>
      <x:c r="H2076" s="4" t="str">
        <x:f>IFERROR(INDEX('Items'!$X$6:$X$1005,MATCH(D2076,'Items'!$A$6:$A$1005,0)),"MISSING ID")</x:f>
        <x:v>Shelter item</x:v>
      </x:c>
      <x:c r="I2076" s="4"/>
      <x:c r="J2076" s="4" t="str">
        <x:v>Unspecified</x:v>
      </x:c>
      <x:c r="K2076" s="4" t="str">
        <x:f>IFERROR(INDEX('Crafting recipes'!$D$6:$D$1005,MATCH(B2076,'Crafting recipes'!$A$6:$A$1005,0)),"MISSING ID")</x:f>
        <x:v>Proposal</x:v>
      </x:c>
      <x:c r="L2076" s="4" t="str">
        <x:f>IFERROR(INDEX('Items'!$AD$6:$AD$1005,MATCH(D2076,'Items'!$A$6:$A$1005,0)),"MISSING ID")</x:f>
        <x:v>Proposal</x:v>
      </x:c>
      <x:c r="M2076" s="4" t="str">
        <x:f>IFERROR(INDEX('Crafting recipes'!$E$6:$E$1005,MATCH(B2076,'Crafting recipes'!$A$6:$A$1005,0)),"MISSING ID")</x:f>
        <x:v>Partial proposal</x:v>
      </x:c>
      <x:c r="N2076" s="4" t="str">
        <x:v>Partial audit candidate; quantity, fit and performance remain unresolved.</x:v>
      </x:c>
      <x:c r="O20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6" s="4" t="n">
        <x:f>IF(OR(C2076="Ingredient candidate",C2076="Consumed input",C2076="Contained input",C2076="Transform input"),IF(F2076="T0",0,IF(F2076="T1",1,IF(F2076="T2",2,IF(F2076="T3",3,IF(F2076="T4",4,-1))))),-1)</x:f>
        <x:v>-1</x:v>
      </x:c>
      <x:c r="Q2076" s="4" t="n">
        <x:f>IF(AND(OR(C2076="Ingredient candidate",C2076="Consumed input",C2076="Contained input",C2076="Transform input"),P2076=-1),1,0)</x:f>
        <x:v>1</x:v>
      </x:c>
    </x:row>
    <x:row r="2077" ht="64" customHeight="1">
      <x:c r="A2077" s="4" t="str">
        <x:v>design.collection.metal_bell_alarm_tether.audit.extra.93</x:v>
      </x:c>
      <x:c r="B2077" s="4" t="str">
        <x:v>design.collection.metal_bell_alarm_tether</x:v>
      </x:c>
      <x:c r="C2077" s="4" t="str">
        <x:v>Ingredient candidate</x:v>
      </x:c>
      <x:c r="D2077" s="4" t="str">
        <x:v>proposal.collection.ground_anchor_stake_set</x:v>
      </x:c>
      <x:c r="E2077" s="4" t="str">
        <x:f>IFERROR(INDEX('Items'!$B$6:$B$1005,MATCH(D2077,'Items'!$A$6:$A$1005,0)),"MISSING ID")</x:f>
        <x:v>Ground-anchor stake set</x:v>
      </x:c>
      <x:c r="F2077" s="4" t="str">
        <x:f>IFERROR(INDEX('Items'!$C$6:$C$1005,MATCH(D2077,'Items'!$A$6:$A$1005,0)),"MISSING ID")</x:f>
        <x:v>Not applicable</x:v>
      </x:c>
      <x:c r="G2077" s="4" t="str">
        <x:f>IFERROR(INDEX('Items'!$D$6:$D$1005,MATCH(D2077,'Items'!$A$6:$A$1005,0)),"MISSING ID")</x:f>
        <x:v>Salvage</x:v>
      </x:c>
      <x:c r="H2077" s="4" t="str">
        <x:f>IFERROR(INDEX('Items'!$X$6:$X$1005,MATCH(D2077,'Items'!$A$6:$A$1005,0)),"MISSING ID")</x:f>
        <x:v>Shelter item</x:v>
      </x:c>
      <x:c r="I2077" s="4"/>
      <x:c r="J2077" s="4" t="str">
        <x:v>Unspecified</x:v>
      </x:c>
      <x:c r="K2077" s="4" t="str">
        <x:f>IFERROR(INDEX('Crafting recipes'!$D$6:$D$1005,MATCH(B2077,'Crafting recipes'!$A$6:$A$1005,0)),"MISSING ID")</x:f>
        <x:v>Proposal</x:v>
      </x:c>
      <x:c r="L2077" s="4" t="str">
        <x:f>IFERROR(INDEX('Items'!$AD$6:$AD$1005,MATCH(D2077,'Items'!$A$6:$A$1005,0)),"MISSING ID")</x:f>
        <x:v>Proposal</x:v>
      </x:c>
      <x:c r="M2077" s="4" t="str">
        <x:f>IFERROR(INDEX('Crafting recipes'!$E$6:$E$1005,MATCH(B2077,'Crafting recipes'!$A$6:$A$1005,0)),"MISSING ID")</x:f>
        <x:v>Partial proposal</x:v>
      </x:c>
      <x:c r="N2077" s="4" t="str">
        <x:v>Partial audit candidate; quantity, fit and performance remain unresolved.</x:v>
      </x:c>
      <x:c r="O20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7" s="4" t="n">
        <x:f>IF(OR(C2077="Ingredient candidate",C2077="Consumed input",C2077="Contained input",C2077="Transform input"),IF(F2077="T0",0,IF(F2077="T1",1,IF(F2077="T2",2,IF(F2077="T3",3,IF(F2077="T4",4,-1))))),-1)</x:f>
        <x:v>-1</x:v>
      </x:c>
      <x:c r="Q2077" s="4" t="n">
        <x:f>IF(AND(OR(C2077="Ingredient candidate",C2077="Consumed input",C2077="Contained input",C2077="Transform input"),P2077=-1),1,0)</x:f>
        <x:v>1</x:v>
      </x:c>
    </x:row>
    <x:row r="2078" ht="64" customHeight="1">
      <x:c r="A2078" s="4" t="str">
        <x:v>design.collection.static_alarm_contact_line.audit.extra.94</x:v>
      </x:c>
      <x:c r="B2078" s="4" t="str">
        <x:v>design.collection.static_alarm_contact_line</x:v>
      </x:c>
      <x:c r="C2078" s="4" t="str">
        <x:v>Ingredient candidate</x:v>
      </x:c>
      <x:c r="D2078" s="4" t="str">
        <x:v>proposal.audit.ceramic_backed_control_switch</x:v>
      </x:c>
      <x:c r="E2078" s="4" t="str">
        <x:f>IFERROR(INDEX('Items'!$B$6:$B$1005,MATCH(D2078,'Items'!$A$6:$A$1005,0)),"MISSING ID")</x:f>
        <x:v>Ceramic-backed control switch</x:v>
      </x:c>
      <x:c r="F2078" s="4" t="str">
        <x:f>IFERROR(INDEX('Items'!$C$6:$C$1005,MATCH(D2078,'Items'!$A$6:$A$1005,0)),"MISSING ID")</x:f>
        <x:v>T4</x:v>
      </x:c>
      <x:c r="G2078" s="4" t="str">
        <x:f>IFERROR(INDEX('Items'!$D$6:$D$1005,MATCH(D2078,'Items'!$A$6:$A$1005,0)),"MISSING ID")</x:f>
        <x:v>Crafting components</x:v>
      </x:c>
      <x:c r="H2078" s="4" t="str">
        <x:f>IFERROR(INDEX('Items'!$X$6:$X$1005,MATCH(D2078,'Items'!$A$6:$A$1005,0)),"MISSING ID")</x:f>
        <x:v>Crafting component</x:v>
      </x:c>
      <x:c r="I2078" s="4"/>
      <x:c r="J2078" s="4" t="str">
        <x:v>Unspecified</x:v>
      </x:c>
      <x:c r="K2078" s="4" t="str">
        <x:f>IFERROR(INDEX('Crafting recipes'!$D$6:$D$1005,MATCH(B2078,'Crafting recipes'!$A$6:$A$1005,0)),"MISSING ID")</x:f>
        <x:v>Proposal</x:v>
      </x:c>
      <x:c r="L2078" s="4" t="str">
        <x:f>IFERROR(INDEX('Items'!$AD$6:$AD$1005,MATCH(D2078,'Items'!$A$6:$A$1005,0)),"MISSING ID")</x:f>
        <x:v>Proposal</x:v>
      </x:c>
      <x:c r="M2078" s="4" t="str">
        <x:f>IFERROR(INDEX('Crafting recipes'!$E$6:$E$1005,MATCH(B2078,'Crafting recipes'!$A$6:$A$1005,0)),"MISSING ID")</x:f>
        <x:v>Partial proposal</x:v>
      </x:c>
      <x:c r="N2078" s="4" t="str">
        <x:v>Partial audit candidate; quantity, fit and performance remain unresolved.</x:v>
      </x:c>
      <x:c r="O20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8" s="4" t="n">
        <x:f>IF(OR(C2078="Ingredient candidate",C2078="Consumed input",C2078="Contained input",C2078="Transform input"),IF(F2078="T0",0,IF(F2078="T1",1,IF(F2078="T2",2,IF(F2078="T3",3,IF(F2078="T4",4,-1))))),-1)</x:f>
        <x:v>4</x:v>
      </x:c>
      <x:c r="Q2078" s="4" t="n">
        <x:f>IF(AND(OR(C2078="Ingredient candidate",C2078="Consumed input",C2078="Contained input",C2078="Transform input"),P2078=-1),1,0)</x:f>
        <x:v>0</x:v>
      </x:c>
    </x:row>
    <x:row r="2079" ht="64" customHeight="1">
      <x:c r="A2079" s="4" t="str">
        <x:v>design.collection.static_alarm_contact_line.audit.extra.95</x:v>
      </x:c>
      <x:c r="B2079" s="4" t="str">
        <x:v>design.collection.static_alarm_contact_line</x:v>
      </x:c>
      <x:c r="C2079" s="4" t="str">
        <x:v>Ingredient candidate</x:v>
      </x:c>
      <x:c r="D2079" s="4" t="str">
        <x:v>proposal.collection.bronze_hand_bell</x:v>
      </x:c>
      <x:c r="E2079" s="4" t="str">
        <x:f>IFERROR(INDEX('Items'!$B$6:$B$1005,MATCH(D2079,'Items'!$A$6:$A$1005,0)),"MISSING ID")</x:f>
        <x:v>Bronze hand bell</x:v>
      </x:c>
      <x:c r="F2079" s="4" t="str">
        <x:f>IFERROR(INDEX('Items'!$C$6:$C$1005,MATCH(D2079,'Items'!$A$6:$A$1005,0)),"MISSING ID")</x:f>
        <x:v>Not applicable</x:v>
      </x:c>
      <x:c r="G2079" s="4" t="str">
        <x:f>IFERROR(INDEX('Items'!$D$6:$D$1005,MATCH(D2079,'Items'!$A$6:$A$1005,0)),"MISSING ID")</x:f>
        <x:v>Salvage</x:v>
      </x:c>
      <x:c r="H2079" s="4" t="str">
        <x:f>IFERROR(INDEX('Items'!$X$6:$X$1005,MATCH(D2079,'Items'!$A$6:$A$1005,0)),"MISSING ID")</x:f>
        <x:v>Musical instrument</x:v>
      </x:c>
      <x:c r="I2079" s="4"/>
      <x:c r="J2079" s="4" t="str">
        <x:v>Unspecified</x:v>
      </x:c>
      <x:c r="K2079" s="4" t="str">
        <x:f>IFERROR(INDEX('Crafting recipes'!$D$6:$D$1005,MATCH(B2079,'Crafting recipes'!$A$6:$A$1005,0)),"MISSING ID")</x:f>
        <x:v>Proposal</x:v>
      </x:c>
      <x:c r="L2079" s="4" t="str">
        <x:f>IFERROR(INDEX('Items'!$AD$6:$AD$1005,MATCH(D2079,'Items'!$A$6:$A$1005,0)),"MISSING ID")</x:f>
        <x:v>Proposal</x:v>
      </x:c>
      <x:c r="M2079" s="4" t="str">
        <x:f>IFERROR(INDEX('Crafting recipes'!$E$6:$E$1005,MATCH(B2079,'Crafting recipes'!$A$6:$A$1005,0)),"MISSING ID")</x:f>
        <x:v>Partial proposal</x:v>
      </x:c>
      <x:c r="N2079" s="4" t="str">
        <x:v>Partial audit candidate; quantity, fit and performance remain unresolved.</x:v>
      </x:c>
      <x:c r="O20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9" s="4" t="n">
        <x:f>IF(OR(C2079="Ingredient candidate",C2079="Consumed input",C2079="Contained input",C2079="Transform input"),IF(F2079="T0",0,IF(F2079="T1",1,IF(F2079="T2",2,IF(F2079="T3",3,IF(F2079="T4",4,-1))))),-1)</x:f>
        <x:v>-1</x:v>
      </x:c>
      <x:c r="Q2079" s="4" t="n">
        <x:f>IF(AND(OR(C2079="Ingredient candidate",C2079="Consumed input",C2079="Contained input",C2079="Transform input"),P2079=-1),1,0)</x:f>
        <x:v>1</x:v>
      </x:c>
    </x:row>
    <x:row r="2080" ht="64" customHeight="1">
      <x:c r="A2080" s="4" t="str">
        <x:v>design.collection.static_alarm_contact_line.audit.extra.96</x:v>
      </x:c>
      <x:c r="B2080" s="4" t="str">
        <x:v>design.collection.static_alarm_contact_line</x:v>
      </x:c>
      <x:c r="C2080" s="4" t="str">
        <x:v>Ingredient candidate</x:v>
      </x:c>
      <x:c r="D2080" s="4" t="str">
        <x:v>proposal.collection.ceramic_housed_mineral_battery</x:v>
      </x:c>
      <x:c r="E2080" s="4" t="str">
        <x:f>IFERROR(INDEX('Items'!$B$6:$B$1005,MATCH(D2080,'Items'!$A$6:$A$1005,0)),"MISSING ID")</x:f>
        <x:v>Ceramic-housed mineral battery</x:v>
      </x:c>
      <x:c r="F2080" s="4" t="str">
        <x:f>IFERROR(INDEX('Items'!$C$6:$C$1005,MATCH(D2080,'Items'!$A$6:$A$1005,0)),"MISSING ID")</x:f>
        <x:v>Not applicable</x:v>
      </x:c>
      <x:c r="G2080" s="4" t="str">
        <x:f>IFERROR(INDEX('Items'!$D$6:$D$1005,MATCH(D2080,'Items'!$A$6:$A$1005,0)),"MISSING ID")</x:f>
        <x:v>Crafting components</x:v>
      </x:c>
      <x:c r="H2080" s="4" t="str">
        <x:f>IFERROR(INDEX('Items'!$X$6:$X$1005,MATCH(D2080,'Items'!$A$6:$A$1005,0)),"MISSING ID")</x:f>
        <x:v>Energy storage</x:v>
      </x:c>
      <x:c r="I2080" s="4"/>
      <x:c r="J2080" s="4" t="str">
        <x:v>Unspecified</x:v>
      </x:c>
      <x:c r="K2080" s="4" t="str">
        <x:f>IFERROR(INDEX('Crafting recipes'!$D$6:$D$1005,MATCH(B2080,'Crafting recipes'!$A$6:$A$1005,0)),"MISSING ID")</x:f>
        <x:v>Proposal</x:v>
      </x:c>
      <x:c r="L2080" s="4" t="str">
        <x:f>IFERROR(INDEX('Items'!$AD$6:$AD$1005,MATCH(D2080,'Items'!$A$6:$A$1005,0)),"MISSING ID")</x:f>
        <x:v>Proposal</x:v>
      </x:c>
      <x:c r="M2080" s="4" t="str">
        <x:f>IFERROR(INDEX('Crafting recipes'!$E$6:$E$1005,MATCH(B2080,'Crafting recipes'!$A$6:$A$1005,0)),"MISSING ID")</x:f>
        <x:v>Partial proposal</x:v>
      </x:c>
      <x:c r="N2080" s="4" t="str">
        <x:v>Partial audit candidate; quantity, fit and performance remain unresolved.</x:v>
      </x:c>
      <x:c r="O20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0" s="4" t="n">
        <x:f>IF(OR(C2080="Ingredient candidate",C2080="Consumed input",C2080="Contained input",C2080="Transform input"),IF(F2080="T0",0,IF(F2080="T1",1,IF(F2080="T2",2,IF(F2080="T3",3,IF(F2080="T4",4,-1))))),-1)</x:f>
        <x:v>-1</x:v>
      </x:c>
      <x:c r="Q2080" s="4" t="n">
        <x:f>IF(AND(OR(C2080="Ingredient candidate",C2080="Consumed input",C2080="Contained input",C2080="Transform input"),P2080=-1),1,0)</x:f>
        <x:v>1</x:v>
      </x:c>
    </x:row>
    <x:row r="2081" ht="64" customHeight="1">
      <x:c r="A2081" s="4"/>
      <x:c r="B2081" s="4"/>
      <x:c r="C2081" s="4"/>
      <x:c r="D2081" s="4"/>
      <x:c r="E2081" s="4"/>
      <x:c r="F2081" s="4"/>
      <x:c r="G2081" s="4"/>
      <x:c r="H2081" s="4"/>
      <x:c r="I2081" s="4"/>
      <x:c r="K2081" s="4"/>
      <x:c r="L2081" s="4"/>
      <x:c r="M2081" s="4"/>
      <x:c r="N2081" s="4"/>
      <x:c r="O2081" s="4"/>
      <x:c r="P2081" s="4"/>
      <x:c r="Q2081" s="4"/>
    </x:row>
    <x:row r="2082" ht="64" customHeight="1">
      <x:c r="A2082" s="4"/>
      <x:c r="B2082" s="4"/>
      <x:c r="C2082" s="4"/>
      <x:c r="D2082" s="4"/>
      <x:c r="E2082" s="4"/>
      <x:c r="F2082" s="4"/>
      <x:c r="G2082" s="4"/>
      <x:c r="H2082" s="4"/>
      <x:c r="I2082" s="4"/>
      <x:c r="K2082" s="4"/>
      <x:c r="L2082" s="4"/>
      <x:c r="M2082" s="4"/>
      <x:c r="N2082" s="4"/>
      <x:c r="O2082" s="4"/>
      <x:c r="P2082" s="4"/>
      <x:c r="Q2082" s="4"/>
    </x:row>
    <x:row r="2083" ht="64" customHeight="1">
      <x:c r="A2083" s="4" t="str">
        <x:v>design.audit.proposal_audit_fired_ceramic_vessel_blank.audit.tool.1</x:v>
      </x:c>
      <x:c r="B2083" s="4" t="str">
        <x:v>design.audit.proposal_audit_fired_ceramic_vessel_blank</x:v>
      </x:c>
      <x:c r="C2083" s="4" t="str">
        <x:v>Tool candidate</x:v>
      </x:c>
      <x:c r="D2083" s="4" t="str">
        <x:v>proposal.audit.controlled_heating_firing_kiln</x:v>
      </x:c>
      <x:c r="E2083" s="4" t="str">
        <x:f>IFERROR(INDEX('Items'!$B$6:$B$1005,MATCH(D2083,'Items'!$A$6:$A$1005,0)),"MISSING ID")</x:f>
        <x:v>Controlled-heating firing kiln</x:v>
      </x:c>
      <x:c r="F2083" s="4" t="str">
        <x:f>IFERROR(INDEX('Items'!$C$6:$C$1005,MATCH(D2083,'Items'!$A$6:$A$1005,0)),"MISSING ID")</x:f>
        <x:v>Not applicable</x:v>
      </x:c>
      <x:c r="G2083" s="4" t="str">
        <x:f>IFERROR(INDEX('Items'!$D$6:$D$1005,MATCH(D2083,'Items'!$A$6:$A$1005,0)),"MISSING ID")</x:f>
        <x:v>Crafting stations</x:v>
      </x:c>
      <x:c r="H2083" s="4" t="str">
        <x:f>IFERROR(INDEX('Items'!$X$6:$X$1005,MATCH(D2083,'Items'!$A$6:$A$1005,0)),"MISSING ID")</x:f>
        <x:v>Machine</x:v>
      </x:c>
      <x:c r="I2083" s="4"/>
      <x:c r="J2083" s="4" t="str">
        <x:v>Unspecified</x:v>
      </x:c>
      <x:c r="K2083" s="4" t="str">
        <x:f>IFERROR(INDEX('Crafting recipes'!$D$6:$D$1005,MATCH(B2083,'Crafting recipes'!$A$6:$A$1005,0)),"MISSING ID")</x:f>
        <x:v>Proposal</x:v>
      </x:c>
      <x:c r="L2083" s="4" t="str">
        <x:f>IFERROR(INDEX('Items'!$AD$6:$AD$1005,MATCH(D2083,'Items'!$A$6:$A$1005,0)),"MISSING ID")</x:f>
        <x:v>Proposal</x:v>
      </x:c>
      <x:c r="M2083" s="4" t="str">
        <x:f>IFERROR(INDEX('Crafting recipes'!$E$6:$E$1005,MATCH(B2083,'Crafting recipes'!$A$6:$A$1005,0)),"MISSING ID")</x:f>
        <x:v>Partial proposal</x:v>
      </x:c>
      <x:c r="N2083" s="4" t="str">
        <x:v>Partial audit candidate; quantity, fit and performance remain unresolved.</x:v>
      </x:c>
      <x:c r="O20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3" s="4" t="n">
        <x:f>IF(OR(C2083="Ingredient candidate",C2083="Consumed input",C2083="Contained input",C2083="Transform input"),IF(F2083="T0",0,IF(F2083="T1",1,IF(F2083="T2",2,IF(F2083="T3",3,IF(F2083="T4",4,-1))))),-1)</x:f>
        <x:v>-1</x:v>
      </x:c>
      <x:c r="Q2083" s="4" t="n">
        <x:f>IF(AND(OR(C2083="Ingredient candidate",C2083="Consumed input",C2083="Contained input",C2083="Transform input"),P2083=-1),1,0)</x:f>
        <x:v>0</x:v>
      </x:c>
    </x:row>
    <x:row r="2084" ht="64" customHeight="1">
      <x:c r="A2084" s="4" t="str">
        <x:v>design.audit.proposal_audit_drawn_steel_music_wire_stock.audit.tool.1</x:v>
      </x:c>
      <x:c r="B2084" s="4" t="str">
        <x:v>design.audit.proposal_audit_drawn_steel_music_wire_stock</x:v>
      </x:c>
      <x:c r="C2084" s="4" t="str">
        <x:v>Tool candidate</x:v>
      </x:c>
      <x:c r="D2084" s="4" t="str">
        <x:v>proposal.forging.hearth</x:v>
      </x:c>
      <x:c r="E2084" s="4" t="str">
        <x:f>IFERROR(INDEX('Items'!$B$6:$B$1005,MATCH(D2084,'Items'!$A$6:$A$1005,0)),"MISSING ID")</x:f>
        <x:v>Forge hearth</x:v>
      </x:c>
      <x:c r="F2084" s="4" t="str">
        <x:f>IFERROR(INDEX('Items'!$C$6:$C$1005,MATCH(D2084,'Items'!$A$6:$A$1005,0)),"MISSING ID")</x:f>
        <x:v>Not applicable</x:v>
      </x:c>
      <x:c r="G2084" s="4" t="str">
        <x:f>IFERROR(INDEX('Items'!$D$6:$D$1005,MATCH(D2084,'Items'!$A$6:$A$1005,0)),"MISSING ID")</x:f>
        <x:v>Crafting stations</x:v>
      </x:c>
      <x:c r="H2084" s="4" t="str">
        <x:f>IFERROR(INDEX('Items'!$X$6:$X$1005,MATCH(D2084,'Items'!$A$6:$A$1005,0)),"MISSING ID")</x:f>
        <x:v>Machine</x:v>
      </x:c>
      <x:c r="I2084" s="4"/>
      <x:c r="J2084" s="4" t="str">
        <x:v>Unspecified</x:v>
      </x:c>
      <x:c r="K2084" s="4" t="str">
        <x:f>IFERROR(INDEX('Crafting recipes'!$D$6:$D$1005,MATCH(B2084,'Crafting recipes'!$A$6:$A$1005,0)),"MISSING ID")</x:f>
        <x:v>Proposal</x:v>
      </x:c>
      <x:c r="L2084" s="4" t="str">
        <x:f>IFERROR(INDEX('Items'!$AD$6:$AD$1005,MATCH(D2084,'Items'!$A$6:$A$1005,0)),"MISSING ID")</x:f>
        <x:v>Proposal</x:v>
      </x:c>
      <x:c r="M2084" s="4" t="str">
        <x:f>IFERROR(INDEX('Crafting recipes'!$E$6:$E$1005,MATCH(B2084,'Crafting recipes'!$A$6:$A$1005,0)),"MISSING ID")</x:f>
        <x:v>Partial proposal</x:v>
      </x:c>
      <x:c r="N2084" s="4" t="str">
        <x:v>Partial audit candidate; quantity, fit and performance remain unresolved.</x:v>
      </x:c>
      <x:c r="O20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4" s="4" t="n">
        <x:f>IF(OR(C2084="Ingredient candidate",C2084="Consumed input",C2084="Contained input",C2084="Transform input"),IF(F2084="T0",0,IF(F2084="T1",1,IF(F2084="T2",2,IF(F2084="T3",3,IF(F2084="T4",4,-1))))),-1)</x:f>
        <x:v>-1</x:v>
      </x:c>
      <x:c r="Q2084" s="4" t="n">
        <x:f>IF(AND(OR(C2084="Ingredient candidate",C2084="Consumed input",C2084="Contained input",C2084="Transform input"),P2084=-1),1,0)</x:f>
        <x:v>0</x:v>
      </x:c>
    </x:row>
    <x:row r="2085" ht="64" customHeight="1">
      <x:c r="A2085" s="4" t="str">
        <x:v>design.audit.proposal_audit_fitted_pressure_barrel_module.audit.tool.1</x:v>
      </x:c>
      <x:c r="B2085" s="4" t="str">
        <x:v>design.audit.proposal_audit_fitted_pressure_barrel_module</x:v>
      </x:c>
      <x:c r="C2085" s="4" t="str">
        <x:v>Tool candidate</x:v>
      </x:c>
      <x:c r="D2085" s="4" t="str">
        <x:v>proposal.canister.inspection_gauge</x:v>
      </x:c>
      <x:c r="E2085" s="4" t="str">
        <x:f>IFERROR(INDEX('Items'!$B$6:$B$1005,MATCH(D2085,'Items'!$A$6:$A$1005,0)),"MISSING ID")</x:f>
        <x:v>Seal inspection gauge</x:v>
      </x:c>
      <x:c r="F2085" s="4" t="str">
        <x:f>IFERROR(INDEX('Items'!$C$6:$C$1005,MATCH(D2085,'Items'!$A$6:$A$1005,0)),"MISSING ID")</x:f>
        <x:v>Not applicable</x:v>
      </x:c>
      <x:c r="G2085" s="4" t="str">
        <x:f>IFERROR(INDEX('Items'!$D$6:$D$1005,MATCH(D2085,'Items'!$A$6:$A$1005,0)),"MISSING ID")</x:f>
        <x:v>Salvage</x:v>
      </x:c>
      <x:c r="H2085" s="4" t="str">
        <x:f>IFERROR(INDEX('Items'!$X$6:$X$1005,MATCH(D2085,'Items'!$A$6:$A$1005,0)),"MISSING ID")</x:f>
        <x:v>Tool</x:v>
      </x:c>
      <x:c r="I2085" s="4"/>
      <x:c r="J2085" s="4" t="str">
        <x:v>Unspecified</x:v>
      </x:c>
      <x:c r="K2085" s="4" t="str">
        <x:f>IFERROR(INDEX('Crafting recipes'!$D$6:$D$1005,MATCH(B2085,'Crafting recipes'!$A$6:$A$1005,0)),"MISSING ID")</x:f>
        <x:v>Proposal</x:v>
      </x:c>
      <x:c r="L2085" s="4" t="str">
        <x:f>IFERROR(INDEX('Items'!$AD$6:$AD$1005,MATCH(D2085,'Items'!$A$6:$A$1005,0)),"MISSING ID")</x:f>
        <x:v>Proposal</x:v>
      </x:c>
      <x:c r="M2085" s="4" t="str">
        <x:f>IFERROR(INDEX('Crafting recipes'!$E$6:$E$1005,MATCH(B2085,'Crafting recipes'!$A$6:$A$1005,0)),"MISSING ID")</x:f>
        <x:v>Partial proposal</x:v>
      </x:c>
      <x:c r="N2085" s="4" t="str">
        <x:v>Partial audit candidate; quantity, fit and performance remain unresolved.</x:v>
      </x:c>
      <x:c r="O20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5" s="4" t="n">
        <x:f>IF(OR(C2085="Ingredient candidate",C2085="Consumed input",C2085="Contained input",C2085="Transform input"),IF(F2085="T0",0,IF(F2085="T1",1,IF(F2085="T2",2,IF(F2085="T3",3,IF(F2085="T4",4,-1))))),-1)</x:f>
        <x:v>-1</x:v>
      </x:c>
      <x:c r="Q2085" s="4" t="n">
        <x:f>IF(AND(OR(C2085="Ingredient candidate",C2085="Consumed input",C2085="Contained input",C2085="Transform input"),P2085=-1),1,0)</x:f>
        <x:v>0</x:v>
      </x:c>
    </x:row>
    <x:row r="2086" ht="64" customHeight="1">
      <x:c r="A2086" s="4" t="str">
        <x:v>design.audit.proposal_audit_fitted_pressure_barrel_module.audit.tool.2</x:v>
      </x:c>
      <x:c r="B2086" s="4" t="str">
        <x:v>design.audit.proposal_audit_fitted_pressure_barrel_module</x:v>
      </x:c>
      <x:c r="C2086" s="4" t="str">
        <x:v>Tool candidate</x:v>
      </x:c>
      <x:c r="D2086" s="4" t="str">
        <x:v>proposal.forging.file</x:v>
      </x:c>
      <x:c r="E2086" s="4" t="str">
        <x:f>IFERROR(INDEX('Items'!$B$6:$B$1005,MATCH(D2086,'Items'!$A$6:$A$1005,0)),"MISSING ID")</x:f>
        <x:v>Metalworking file</x:v>
      </x:c>
      <x:c r="F2086" s="4" t="str">
        <x:f>IFERROR(INDEX('Items'!$C$6:$C$1005,MATCH(D2086,'Items'!$A$6:$A$1005,0)),"MISSING ID")</x:f>
        <x:v>Not applicable</x:v>
      </x:c>
      <x:c r="G2086" s="4" t="str">
        <x:f>IFERROR(INDEX('Items'!$D$6:$D$1005,MATCH(D2086,'Items'!$A$6:$A$1005,0)),"MISSING ID")</x:f>
        <x:v>Salvage</x:v>
      </x:c>
      <x:c r="H2086" s="4" t="str">
        <x:f>IFERROR(INDEX('Items'!$X$6:$X$1005,MATCH(D2086,'Items'!$A$6:$A$1005,0)),"MISSING ID")</x:f>
        <x:v>Tool</x:v>
      </x:c>
      <x:c r="I2086" s="4"/>
      <x:c r="J2086" s="4" t="str">
        <x:v>Unspecified</x:v>
      </x:c>
      <x:c r="K2086" s="4" t="str">
        <x:f>IFERROR(INDEX('Crafting recipes'!$D$6:$D$1005,MATCH(B2086,'Crafting recipes'!$A$6:$A$1005,0)),"MISSING ID")</x:f>
        <x:v>Proposal</x:v>
      </x:c>
      <x:c r="L2086" s="4" t="str">
        <x:f>IFERROR(INDEX('Items'!$AD$6:$AD$1005,MATCH(D2086,'Items'!$A$6:$A$1005,0)),"MISSING ID")</x:f>
        <x:v>Proposal</x:v>
      </x:c>
      <x:c r="M2086" s="4" t="str">
        <x:f>IFERROR(INDEX('Crafting recipes'!$E$6:$E$1005,MATCH(B2086,'Crafting recipes'!$A$6:$A$1005,0)),"MISSING ID")</x:f>
        <x:v>Partial proposal</x:v>
      </x:c>
      <x:c r="N2086" s="4" t="str">
        <x:v>Partial audit candidate; quantity, fit and performance remain unresolved.</x:v>
      </x:c>
      <x:c r="O20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6" s="4" t="n">
        <x:f>IF(OR(C2086="Ingredient candidate",C2086="Consumed input",C2086="Contained input",C2086="Transform input"),IF(F2086="T0",0,IF(F2086="T1",1,IF(F2086="T2",2,IF(F2086="T3",3,IF(F2086="T4",4,-1))))),-1)</x:f>
        <x:v>-1</x:v>
      </x:c>
      <x:c r="Q2086" s="4" t="n">
        <x:f>IF(AND(OR(C2086="Ingredient candidate",C2086="Consumed input",C2086="Contained input",C2086="Transform input"),P2086=-1),1,0)</x:f>
        <x:v>0</x:v>
      </x:c>
    </x:row>
    <x:row r="2087" ht="64" customHeight="1">
      <x:c r="A2087" s="4" t="str">
        <x:v>design.collection.hand_cranked_metal_drill.audit.tool.1</x:v>
      </x:c>
      <x:c r="B2087" s="4" t="str">
        <x:v>design.collection.hand_cranked_metal_drill</x:v>
      </x:c>
      <x:c r="C2087" s="4" t="str">
        <x:v>Tool candidate</x:v>
      </x:c>
      <x:c r="D2087" s="4" t="str">
        <x:v>proposal.forging.file</x:v>
      </x:c>
      <x:c r="E2087" s="4" t="str">
        <x:f>IFERROR(INDEX('Items'!$B$6:$B$1005,MATCH(D2087,'Items'!$A$6:$A$1005,0)),"MISSING ID")</x:f>
        <x:v>Metalworking file</x:v>
      </x:c>
      <x:c r="F2087" s="4" t="str">
        <x:f>IFERROR(INDEX('Items'!$C$6:$C$1005,MATCH(D2087,'Items'!$A$6:$A$1005,0)),"MISSING ID")</x:f>
        <x:v>Not applicable</x:v>
      </x:c>
      <x:c r="G2087" s="4" t="str">
        <x:f>IFERROR(INDEX('Items'!$D$6:$D$1005,MATCH(D2087,'Items'!$A$6:$A$1005,0)),"MISSING ID")</x:f>
        <x:v>Salvage</x:v>
      </x:c>
      <x:c r="H2087" s="4" t="str">
        <x:f>IFERROR(INDEX('Items'!$X$6:$X$1005,MATCH(D2087,'Items'!$A$6:$A$1005,0)),"MISSING ID")</x:f>
        <x:v>Tool</x:v>
      </x:c>
      <x:c r="I2087" s="4"/>
      <x:c r="J2087" s="4" t="str">
        <x:v>Unspecified</x:v>
      </x:c>
      <x:c r="K2087" s="4" t="str">
        <x:f>IFERROR(INDEX('Crafting recipes'!$D$6:$D$1005,MATCH(B2087,'Crafting recipes'!$A$6:$A$1005,0)),"MISSING ID")</x:f>
        <x:v>Proposal</x:v>
      </x:c>
      <x:c r="L2087" s="4" t="str">
        <x:f>IFERROR(INDEX('Items'!$AD$6:$AD$1005,MATCH(D2087,'Items'!$A$6:$A$1005,0)),"MISSING ID")</x:f>
        <x:v>Proposal</x:v>
      </x:c>
      <x:c r="M2087" s="4" t="str">
        <x:f>IFERROR(INDEX('Crafting recipes'!$E$6:$E$1005,MATCH(B2087,'Crafting recipes'!$A$6:$A$1005,0)),"MISSING ID")</x:f>
        <x:v>Partial proposal</x:v>
      </x:c>
      <x:c r="N2087" s="4" t="str">
        <x:v>Partial audit candidate; quantity, fit and performance remain unresolved.</x:v>
      </x:c>
      <x:c r="O20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7" s="4" t="n">
        <x:f>IF(OR(C2087="Ingredient candidate",C2087="Consumed input",C2087="Contained input",C2087="Transform input"),IF(F2087="T0",0,IF(F2087="T1",1,IF(F2087="T2",2,IF(F2087="T3",3,IF(F2087="T4",4,-1))))),-1)</x:f>
        <x:v>-1</x:v>
      </x:c>
      <x:c r="Q2087" s="4" t="n">
        <x:f>IF(AND(OR(C2087="Ingredient candidate",C2087="Consumed input",C2087="Contained input",C2087="Transform input"),P2087=-1),1,0)</x:f>
        <x:v>0</x:v>
      </x:c>
    </x:row>
    <x:row r="2088" ht="64" customHeight="1">
      <x:c r="A2088" s="4" t="str">
        <x:v>design.audit.author_communication_crude_two_way_radio.audit.tool.1</x:v>
      </x:c>
      <x:c r="B2088" s="4" t="str">
        <x:v>design.audit.author_communication_crude_two_way_radio</x:v>
      </x:c>
      <x:c r="C2088" s="4" t="str">
        <x:v>Tool candidate</x:v>
      </x:c>
      <x:c r="D2088" s="4" t="str">
        <x:v>proposal.audit.workshop_winding_mandrel</x:v>
      </x:c>
      <x:c r="E2088" s="4" t="str">
        <x:f>IFERROR(INDEX('Items'!$B$6:$B$1005,MATCH(D2088,'Items'!$A$6:$A$1005,0)),"MISSING ID")</x:f>
        <x:v>Workshop winding mandrel</x:v>
      </x:c>
      <x:c r="F2088" s="4" t="str">
        <x:f>IFERROR(INDEX('Items'!$C$6:$C$1005,MATCH(D2088,'Items'!$A$6:$A$1005,0)),"MISSING ID")</x:f>
        <x:v>Not applicable</x:v>
      </x:c>
      <x:c r="G2088" s="4" t="str">
        <x:f>IFERROR(INDEX('Items'!$D$6:$D$1005,MATCH(D2088,'Items'!$A$6:$A$1005,0)),"MISSING ID")</x:f>
        <x:v>Salvage</x:v>
      </x:c>
      <x:c r="H2088" s="4" t="str">
        <x:f>IFERROR(INDEX('Items'!$X$6:$X$1005,MATCH(D2088,'Items'!$A$6:$A$1005,0)),"MISSING ID")</x:f>
        <x:v>Tool</x:v>
      </x:c>
      <x:c r="I2088" s="4"/>
      <x:c r="J2088" s="4" t="str">
        <x:v>Unspecified</x:v>
      </x:c>
      <x:c r="K2088" s="4" t="str">
        <x:f>IFERROR(INDEX('Crafting recipes'!$D$6:$D$1005,MATCH(B2088,'Crafting recipes'!$A$6:$A$1005,0)),"MISSING ID")</x:f>
        <x:v>Proposal</x:v>
      </x:c>
      <x:c r="L2088" s="4" t="str">
        <x:f>IFERROR(INDEX('Items'!$AD$6:$AD$1005,MATCH(D2088,'Items'!$A$6:$A$1005,0)),"MISSING ID")</x:f>
        <x:v>Proposal</x:v>
      </x:c>
      <x:c r="M2088" s="4" t="str">
        <x:f>IFERROR(INDEX('Crafting recipes'!$E$6:$E$1005,MATCH(B2088,'Crafting recipes'!$A$6:$A$1005,0)),"MISSING ID")</x:f>
        <x:v>Partial proposal</x:v>
      </x:c>
      <x:c r="N2088" s="4" t="str">
        <x:v>Partial audit candidate; quantity, fit and performance remain unresolved.</x:v>
      </x:c>
      <x:c r="O20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8" s="4" t="n">
        <x:f>IF(OR(C2088="Ingredient candidate",C2088="Consumed input",C2088="Contained input",C2088="Transform input"),IF(F2088="T0",0,IF(F2088="T1",1,IF(F2088="T2",2,IF(F2088="T3",3,IF(F2088="T4",4,-1))))),-1)</x:f>
        <x:v>-1</x:v>
      </x:c>
      <x:c r="Q2088" s="4" t="n">
        <x:f>IF(AND(OR(C2088="Ingredient candidate",C2088="Consumed input",C2088="Contained input",C2088="Transform input"),P2088=-1),1,0)</x:f>
        <x:v>0</x:v>
      </x:c>
    </x:row>
    <x:row r="2089" ht="64" customHeight="1">
      <x:c r="A2089" s="4" t="str">
        <x:v>design.collection.straight_cut_spur_gear.audit.tool.1</x:v>
      </x:c>
      <x:c r="B2089" s="4" t="str">
        <x:v>design.collection.straight_cut_spur_gear</x:v>
      </x:c>
      <x:c r="C2089" s="4" t="str">
        <x:v>Tool candidate</x:v>
      </x:c>
      <x:c r="D2089" s="4" t="str">
        <x:v>proposal.forging.file</x:v>
      </x:c>
      <x:c r="E2089" s="4" t="str">
        <x:f>IFERROR(INDEX('Items'!$B$6:$B$1005,MATCH(D2089,'Items'!$A$6:$A$1005,0)),"MISSING ID")</x:f>
        <x:v>Metalworking file</x:v>
      </x:c>
      <x:c r="F2089" s="4" t="str">
        <x:f>IFERROR(INDEX('Items'!$C$6:$C$1005,MATCH(D2089,'Items'!$A$6:$A$1005,0)),"MISSING ID")</x:f>
        <x:v>Not applicable</x:v>
      </x:c>
      <x:c r="G2089" s="4" t="str">
        <x:f>IFERROR(INDEX('Items'!$D$6:$D$1005,MATCH(D2089,'Items'!$A$6:$A$1005,0)),"MISSING ID")</x:f>
        <x:v>Salvage</x:v>
      </x:c>
      <x:c r="H2089" s="4" t="str">
        <x:f>IFERROR(INDEX('Items'!$X$6:$X$1005,MATCH(D2089,'Items'!$A$6:$A$1005,0)),"MISSING ID")</x:f>
        <x:v>Tool</x:v>
      </x:c>
      <x:c r="I2089" s="4"/>
      <x:c r="J2089" s="4" t="str">
        <x:v>Unspecified</x:v>
      </x:c>
      <x:c r="K2089" s="4" t="str">
        <x:f>IFERROR(INDEX('Crafting recipes'!$D$6:$D$1005,MATCH(B2089,'Crafting recipes'!$A$6:$A$1005,0)),"MISSING ID")</x:f>
        <x:v>Proposal</x:v>
      </x:c>
      <x:c r="L2089" s="4" t="str">
        <x:f>IFERROR(INDEX('Items'!$AD$6:$AD$1005,MATCH(D2089,'Items'!$A$6:$A$1005,0)),"MISSING ID")</x:f>
        <x:v>Proposal</x:v>
      </x:c>
      <x:c r="M2089" s="4" t="str">
        <x:f>IFERROR(INDEX('Crafting recipes'!$E$6:$E$1005,MATCH(B2089,'Crafting recipes'!$A$6:$A$1005,0)),"MISSING ID")</x:f>
        <x:v>Partial proposal</x:v>
      </x:c>
      <x:c r="N2089" s="4" t="str">
        <x:v>Partial audit candidate; quantity, fit and performance remain unresolved.</x:v>
      </x:c>
      <x:c r="O20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9" s="4" t="n">
        <x:f>IF(OR(C2089="Ingredient candidate",C2089="Consumed input",C2089="Contained input",C2089="Transform input"),IF(F2089="T0",0,IF(F2089="T1",1,IF(F2089="T2",2,IF(F2089="T3",3,IF(F2089="T4",4,-1))))),-1)</x:f>
        <x:v>-1</x:v>
      </x:c>
      <x:c r="Q2089" s="4" t="n">
        <x:f>IF(AND(OR(C2089="Ingredient candidate",C2089="Consumed input",C2089="Contained input",C2089="Transform input"),P2089=-1),1,0)</x:f>
        <x:v>0</x:v>
      </x:c>
    </x:row>
    <x:row r="2090" ht="64" customHeight="1">
      <x:c r="A2090" s="4" t="str">
        <x:v>design.collection.bevel_drive_gear.audit.tool.1</x:v>
      </x:c>
      <x:c r="B2090" s="4" t="str">
        <x:v>design.collection.bevel_drive_gear</x:v>
      </x:c>
      <x:c r="C2090" s="4" t="str">
        <x:v>Tool candidate</x:v>
      </x:c>
      <x:c r="D2090" s="4" t="str">
        <x:v>proposal.forging.file</x:v>
      </x:c>
      <x:c r="E2090" s="4" t="str">
        <x:f>IFERROR(INDEX('Items'!$B$6:$B$1005,MATCH(D2090,'Items'!$A$6:$A$1005,0)),"MISSING ID")</x:f>
        <x:v>Metalworking file</x:v>
      </x:c>
      <x:c r="F2090" s="4" t="str">
        <x:f>IFERROR(INDEX('Items'!$C$6:$C$1005,MATCH(D2090,'Items'!$A$6:$A$1005,0)),"MISSING ID")</x:f>
        <x:v>Not applicable</x:v>
      </x:c>
      <x:c r="G2090" s="4" t="str">
        <x:f>IFERROR(INDEX('Items'!$D$6:$D$1005,MATCH(D2090,'Items'!$A$6:$A$1005,0)),"MISSING ID")</x:f>
        <x:v>Salvage</x:v>
      </x:c>
      <x:c r="H2090" s="4" t="str">
        <x:f>IFERROR(INDEX('Items'!$X$6:$X$1005,MATCH(D2090,'Items'!$A$6:$A$1005,0)),"MISSING ID")</x:f>
        <x:v>Tool</x:v>
      </x:c>
      <x:c r="I2090" s="4"/>
      <x:c r="J2090" s="4" t="str">
        <x:v>Unspecified</x:v>
      </x:c>
      <x:c r="K2090" s="4" t="str">
        <x:f>IFERROR(INDEX('Crafting recipes'!$D$6:$D$1005,MATCH(B2090,'Crafting recipes'!$A$6:$A$1005,0)),"MISSING ID")</x:f>
        <x:v>Proposal</x:v>
      </x:c>
      <x:c r="L2090" s="4" t="str">
        <x:f>IFERROR(INDEX('Items'!$AD$6:$AD$1005,MATCH(D2090,'Items'!$A$6:$A$1005,0)),"MISSING ID")</x:f>
        <x:v>Proposal</x:v>
      </x:c>
      <x:c r="M2090" s="4" t="str">
        <x:f>IFERROR(INDEX('Crafting recipes'!$E$6:$E$1005,MATCH(B2090,'Crafting recipes'!$A$6:$A$1005,0)),"MISSING ID")</x:f>
        <x:v>Partial proposal</x:v>
      </x:c>
      <x:c r="N2090" s="4" t="str">
        <x:v>Partial audit candidate; quantity, fit and performance remain unresolved.</x:v>
      </x:c>
      <x:c r="O20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0" s="4" t="n">
        <x:f>IF(OR(C2090="Ingredient candidate",C2090="Consumed input",C2090="Contained input",C2090="Transform input"),IF(F2090="T0",0,IF(F2090="T1",1,IF(F2090="T2",2,IF(F2090="T3",3,IF(F2090="T4",4,-1))))),-1)</x:f>
        <x:v>-1</x:v>
      </x:c>
      <x:c r="Q2090" s="4" t="n">
        <x:f>IF(AND(OR(C2090="Ingredient candidate",C2090="Consumed input",C2090="Contained input",C2090="Transform input"),P2090=-1),1,0)</x:f>
        <x:v>0</x:v>
      </x:c>
    </x:row>
    <x:row r="2091" ht="64" customHeight="1">
      <x:c r="A2091" s="4" t="str">
        <x:v>design.collection.worm_drive_screw.audit.tool.1</x:v>
      </x:c>
      <x:c r="B2091" s="4" t="str">
        <x:v>design.collection.worm_drive_screw</x:v>
      </x:c>
      <x:c r="C2091" s="4" t="str">
        <x:v>Tool candidate</x:v>
      </x:c>
      <x:c r="D2091" s="4" t="str">
        <x:v>proposal.forging.file</x:v>
      </x:c>
      <x:c r="E2091" s="4" t="str">
        <x:f>IFERROR(INDEX('Items'!$B$6:$B$1005,MATCH(D2091,'Items'!$A$6:$A$1005,0)),"MISSING ID")</x:f>
        <x:v>Metalworking file</x:v>
      </x:c>
      <x:c r="F2091" s="4" t="str">
        <x:f>IFERROR(INDEX('Items'!$C$6:$C$1005,MATCH(D2091,'Items'!$A$6:$A$1005,0)),"MISSING ID")</x:f>
        <x:v>Not applicable</x:v>
      </x:c>
      <x:c r="G2091" s="4" t="str">
        <x:f>IFERROR(INDEX('Items'!$D$6:$D$1005,MATCH(D2091,'Items'!$A$6:$A$1005,0)),"MISSING ID")</x:f>
        <x:v>Salvage</x:v>
      </x:c>
      <x:c r="H2091" s="4" t="str">
        <x:f>IFERROR(INDEX('Items'!$X$6:$X$1005,MATCH(D2091,'Items'!$A$6:$A$1005,0)),"MISSING ID")</x:f>
        <x:v>Tool</x:v>
      </x:c>
      <x:c r="I2091" s="4"/>
      <x:c r="J2091" s="4" t="str">
        <x:v>Unspecified</x:v>
      </x:c>
      <x:c r="K2091" s="4" t="str">
        <x:f>IFERROR(INDEX('Crafting recipes'!$D$6:$D$1005,MATCH(B2091,'Crafting recipes'!$A$6:$A$1005,0)),"MISSING ID")</x:f>
        <x:v>Proposal</x:v>
      </x:c>
      <x:c r="L2091" s="4" t="str">
        <x:f>IFERROR(INDEX('Items'!$AD$6:$AD$1005,MATCH(D2091,'Items'!$A$6:$A$1005,0)),"MISSING ID")</x:f>
        <x:v>Proposal</x:v>
      </x:c>
      <x:c r="M2091" s="4" t="str">
        <x:f>IFERROR(INDEX('Crafting recipes'!$E$6:$E$1005,MATCH(B2091,'Crafting recipes'!$A$6:$A$1005,0)),"MISSING ID")</x:f>
        <x:v>Partial proposal</x:v>
      </x:c>
      <x:c r="N2091" s="4" t="str">
        <x:v>Partial audit candidate; quantity, fit and performance remain unresolved.</x:v>
      </x:c>
      <x:c r="O20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1" s="4" t="n">
        <x:f>IF(OR(C2091="Ingredient candidate",C2091="Consumed input",C2091="Contained input",C2091="Transform input"),IF(F2091="T0",0,IF(F2091="T1",1,IF(F2091="T2",2,IF(F2091="T3",3,IF(F2091="T4",4,-1))))),-1)</x:f>
        <x:v>-1</x:v>
      </x:c>
      <x:c r="Q2091" s="4" t="n">
        <x:f>IF(AND(OR(C2091="Ingredient candidate",C2091="Consumed input",C2091="Contained input",C2091="Transform input"),P2091=-1),1,0)</x:f>
        <x:v>0</x:v>
      </x:c>
    </x:row>
    <x:row r="2092" ht="64" customHeight="1">
      <x:c r="A2092" s="4"/>
      <x:c r="B2092" s="4"/>
      <x:c r="C2092" s="4"/>
      <x:c r="D2092" s="4"/>
      <x:c r="E2092" s="4"/>
      <x:c r="F2092" s="4"/>
      <x:c r="G2092" s="4"/>
      <x:c r="H2092" s="4"/>
      <x:c r="I2092" s="4"/>
      <x:c r="J2092" s="4"/>
      <x:c r="K2092" s="4"/>
      <x:c r="L2092" s="4"/>
      <x:c r="M2092" s="4"/>
      <x:c r="N2092" s="4"/>
      <x:c r="O2092" s="4"/>
      <x:c r="P2092" s="4"/>
      <x:c r="Q2092" s="4"/>
    </x:row>
    <x:row r="2093" ht="64" customHeight="1">
      <x:c r="A2093" s="4"/>
      <x:c r="B2093" s="4"/>
      <x:c r="C2093" s="4"/>
      <x:c r="D2093" s="4"/>
      <x:c r="E2093" s="4"/>
      <x:c r="F2093" s="4"/>
      <x:c r="G2093" s="4"/>
      <x:c r="H2093" s="4"/>
      <x:c r="I2093" s="4"/>
      <x:c r="K2093" s="4"/>
      <x:c r="L2093" s="4"/>
      <x:c r="M2093" s="4"/>
      <x:c r="N2093" s="4"/>
      <x:c r="O2093" s="4"/>
      <x:c r="P2093" s="4"/>
      <x:c r="Q2093" s="4"/>
    </x:row>
    <x:row r="2094" ht="64" customHeight="1">
      <x:c r="A2094" s="4"/>
      <x:c r="B2094" s="4"/>
      <x:c r="C2094" s="4"/>
      <x:c r="D2094" s="4"/>
      <x:c r="E2094" s="4"/>
      <x:c r="F2094" s="4"/>
      <x:c r="G2094" s="4"/>
      <x:c r="H2094" s="4"/>
      <x:c r="I2094" s="4"/>
      <x:c r="K2094" s="4"/>
      <x:c r="L2094" s="4"/>
      <x:c r="M2094" s="4"/>
      <x:c r="N2094" s="4"/>
      <x:c r="O2094" s="4"/>
      <x:c r="P2094" s="4"/>
      <x:c r="Q2094" s="4"/>
    </x:row>
    <x:row r="2095" ht="64" customHeight="1">
      <x:c r="A2095" s="4" t="str">
        <x:v>design.audit.proposal_food_ration_bar.audit.tool.1</x:v>
      </x:c>
      <x:c r="B2095" s="4" t="str">
        <x:v>design.audit.proposal_food_ration_bar</x:v>
      </x:c>
      <x:c r="C2095" s="4" t="str">
        <x:v>Tool candidate</x:v>
      </x:c>
      <x:c r="D2095" s="4" t="str">
        <x:v>proposal.ceramic.plate</x:v>
      </x:c>
      <x:c r="E2095" s="4" t="str">
        <x:f>IFERROR(INDEX('Items'!$B$6:$B$1005,MATCH(D2095,'Items'!$A$6:$A$1005,0)),"MISSING ID")</x:f>
        <x:v>Ceramic serving plate</x:v>
      </x:c>
      <x:c r="F2095" s="4" t="str">
        <x:f>IFERROR(INDEX('Items'!$C$6:$C$1005,MATCH(D2095,'Items'!$A$6:$A$1005,0)),"MISSING ID")</x:f>
        <x:v>Not applicable</x:v>
      </x:c>
      <x:c r="G2095" s="4" t="str">
        <x:f>IFERROR(INDEX('Items'!$D$6:$D$1005,MATCH(D2095,'Items'!$A$6:$A$1005,0)),"MISSING ID")</x:f>
        <x:v>Salvage</x:v>
      </x:c>
      <x:c r="H2095" s="4" t="str">
        <x:f>IFERROR(INDEX('Items'!$X$6:$X$1005,MATCH(D2095,'Items'!$A$6:$A$1005,0)),"MISSING ID")</x:f>
        <x:v>Household utensil</x:v>
      </x:c>
      <x:c r="I2095" s="4"/>
      <x:c r="J2095" s="4" t="str">
        <x:v>Unspecified</x:v>
      </x:c>
      <x:c r="K2095" s="4" t="str">
        <x:f>IFERROR(INDEX('Crafting recipes'!$D$6:$D$1005,MATCH(B2095,'Crafting recipes'!$A$6:$A$1005,0)),"MISSING ID")</x:f>
        <x:v>Proposal</x:v>
      </x:c>
      <x:c r="L2095" s="4" t="str">
        <x:f>IFERROR(INDEX('Items'!$AD$6:$AD$1005,MATCH(D2095,'Items'!$A$6:$A$1005,0)),"MISSING ID")</x:f>
        <x:v>Proposal</x:v>
      </x:c>
      <x:c r="M2095" s="4" t="str">
        <x:f>IFERROR(INDEX('Crafting recipes'!$E$6:$E$1005,MATCH(B2095,'Crafting recipes'!$A$6:$A$1005,0)),"MISSING ID")</x:f>
        <x:v>Partial proposal</x:v>
      </x:c>
      <x:c r="N2095" s="4" t="str">
        <x:v>Partial audit candidate; quantity, fit and performance remain unresolved.</x:v>
      </x:c>
      <x:c r="O20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5" s="4" t="n">
        <x:f>IF(OR(C2095="Ingredient candidate",C2095="Consumed input",C2095="Contained input",C2095="Transform input"),IF(F2095="T0",0,IF(F2095="T1",1,IF(F2095="T2",2,IF(F2095="T3",3,IF(F2095="T4",4,-1))))),-1)</x:f>
        <x:v>-1</x:v>
      </x:c>
      <x:c r="Q2095" s="4" t="n">
        <x:f>IF(AND(OR(C2095="Ingredient candidate",C2095="Consumed input",C2095="Contained input",C2095="Transform input"),P2095=-1),1,0)</x:f>
        <x:v>0</x:v>
      </x:c>
    </x:row>
    <x:row r="2096" ht="64" customHeight="1">
      <x:c r="A2096" s="4" t="str">
        <x:v>design.audit.proposal_fire_cooking_pot.audit.tool.1</x:v>
      </x:c>
      <x:c r="B2096" s="4" t="str">
        <x:v>design.audit.proposal_fire_cooking_pot</x:v>
      </x:c>
      <x:c r="C2096" s="4" t="str">
        <x:v>Tool candidate</x:v>
      </x:c>
      <x:c r="D2096" s="4" t="str">
        <x:v>proposal.audit.controlled_heating_firing_kiln</x:v>
      </x:c>
      <x:c r="E2096" s="4" t="str">
        <x:f>IFERROR(INDEX('Items'!$B$6:$B$1005,MATCH(D2096,'Items'!$A$6:$A$1005,0)),"MISSING ID")</x:f>
        <x:v>Controlled-heating firing kiln</x:v>
      </x:c>
      <x:c r="F2096" s="4" t="str">
        <x:f>IFERROR(INDEX('Items'!$C$6:$C$1005,MATCH(D2096,'Items'!$A$6:$A$1005,0)),"MISSING ID")</x:f>
        <x:v>Not applicable</x:v>
      </x:c>
      <x:c r="G2096" s="4" t="str">
        <x:f>IFERROR(INDEX('Items'!$D$6:$D$1005,MATCH(D2096,'Items'!$A$6:$A$1005,0)),"MISSING ID")</x:f>
        <x:v>Crafting stations</x:v>
      </x:c>
      <x:c r="H2096" s="4" t="str">
        <x:f>IFERROR(INDEX('Items'!$X$6:$X$1005,MATCH(D2096,'Items'!$A$6:$A$1005,0)),"MISSING ID")</x:f>
        <x:v>Machine</x:v>
      </x:c>
      <x:c r="I2096" s="4"/>
      <x:c r="J2096" s="4" t="str">
        <x:v>Unspecified</x:v>
      </x:c>
      <x:c r="K2096" s="4" t="str">
        <x:f>IFERROR(INDEX('Crafting recipes'!$D$6:$D$1005,MATCH(B2096,'Crafting recipes'!$A$6:$A$1005,0)),"MISSING ID")</x:f>
        <x:v>Proposal</x:v>
      </x:c>
      <x:c r="L2096" s="4" t="str">
        <x:f>IFERROR(INDEX('Items'!$AD$6:$AD$1005,MATCH(D2096,'Items'!$A$6:$A$1005,0)),"MISSING ID")</x:f>
        <x:v>Proposal</x:v>
      </x:c>
      <x:c r="M2096" s="4" t="str">
        <x:f>IFERROR(INDEX('Crafting recipes'!$E$6:$E$1005,MATCH(B2096,'Crafting recipes'!$A$6:$A$1005,0)),"MISSING ID")</x:f>
        <x:v>Partial proposal</x:v>
      </x:c>
      <x:c r="N2096" s="4" t="str">
        <x:v>Partial audit candidate; quantity, fit and performance remain unresolved.</x:v>
      </x:c>
      <x:c r="O20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6" s="4" t="n">
        <x:f>IF(OR(C2096="Ingredient candidate",C2096="Consumed input",C2096="Contained input",C2096="Transform input"),IF(F2096="T0",0,IF(F2096="T1",1,IF(F2096="T2",2,IF(F2096="T3",3,IF(F2096="T4",4,-1))))),-1)</x:f>
        <x:v>-1</x:v>
      </x:c>
      <x:c r="Q2096" s="4" t="n">
        <x:f>IF(AND(OR(C2096="Ingredient candidate",C2096="Consumed input",C2096="Contained input",C2096="Transform input"),P2096=-1),1,0)</x:f>
        <x:v>0</x:v>
      </x:c>
    </x:row>
  </x:sheetData>
  <x:dataValidations count="3">
    <x:dataValidation type="list" sqref="C6:C1005">
      <x:formula1>"Ingredient candidate,Consumed input,Contained input,Transform input,Output,Tool candidate,Facility candidate,Catalyst candidate"</x:formula1>
    </x:dataValidation>
    <x:dataValidation type="list" sqref="D6:D2205">
      <x:formula1>'Items'!$A$6:$A$978</x:formula1>
    </x:dataValidation>
    <x:dataValidation type="list" sqref="B6:B2205">
      <x:formula1>'Crafting recipes'!$A$6:$A$660</x:formula1>
    </x:dataValidation>
  </x:dataValidations>
  <x:pageMargins left="0.7" right="0.7" top="0.75" bottom="0.75" header="0.3" footer="0.3"/>
  <x:tableParts count="1">
    <x:tablePart xmlns:r="http://schemas.openxmlformats.org/officeDocument/2006/relationships" r:id="Rb3168c22cdc941f3"/>
  </x:tableParts>
</x:worksheet>
</file>

<file path=xl/worksheets/sheet15.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29" hidden="0" customWidth="1"/>
    <x:col min="2" max="2" width="38" hidden="0" customWidth="1"/>
    <x:col min="3" max="3" width="77" hidden="0" customWidth="1"/>
    <x:col min="4" max="4" width="75" hidden="0" customWidth="1"/>
    <x:col min="5" max="5" width="100" hidden="0" customWidth="1"/>
    <x:col min="6" max="6" width="75" hidden="0" customWidth="1"/>
    <x:col min="7" max="7" width="67" hidden="0" customWidth="1"/>
    <x:col min="8" max="8" width="115" hidden="0" customWidth="1"/>
  </x:cols>
  <x:sheetData>
    <x:row r="2">
      <x:c r="A2" s="2" t="str">
        <x:v>Regional material and fashion directions</x:v>
      </x:c>
    </x:row>
    <x:row r="3">
      <x:c r="A3" t="str">
        <x:v>All inspected lore records are draft/proposal. Source context and new game demand ideas are explicitly separated.</x:v>
      </x:c>
    </x:row>
    <x:row r="5" ht="36" customHeight="1">
      <x:c r="A5" s="62" t="str">
        <x:v>Region / people</x:v>
      </x:c>
      <x:c r="B5" s="62" t="str">
        <x:v>Scope</x:v>
      </x:c>
      <x:c r="C5" s="62" t="str">
        <x:v>Source-supported context</x:v>
      </x:c>
      <x:c r="D5" s="62" t="str">
        <x:v>Proposed material / fashion direction</x:v>
      </x:c>
      <x:c r="E5" s="62" t="str">
        <x:v>Candidate item IDs</x:v>
      </x:c>
      <x:c r="F5" s="62" t="str">
        <x:v>Possible demand driver</x:v>
      </x:c>
      <x:c r="G5" s="62" t="str">
        <x:v>Evidence boundary</x:v>
      </x:c>
      <x:c r="H5" s="62" t="str">
        <x:v>Source record</x:v>
      </x:c>
    </x:row>
    <x:row r="6" ht="105" customHeight="1">
      <x:c r="A6" s="4" t="str">
        <x:v>Frontier settlements</x:v>
      </x:c>
      <x:c r="B6" s="4" t="str">
        <x:v>Regional Imperial communities</x:v>
      </x:c>
      <x:c r="C6" s="4" t="str">
        <x:v>Source describes practical, repaired, adapted goods; outfitters and hazardous settlement work.</x:v>
      </x:c>
      <x:c r="D6" s="4" t="str">
        <x:v>Repairable iron stock, shell laminates, pressed patches, coarse finishes and dependable seal/lube batches.</x:v>
      </x:c>
      <x:c r="E6" s="4" t="str">
        <x:v>proposal.natural.iron_stock; proposal.bio.laminate; proposal.bio.pressed_husk</x:v>
      </x:c>
      <x:c r="F6" s="4" t="str">
        <x:v>Access, repairability and fit could matter more than elaborate finish.</x:v>
      </x:c>
      <x:c r="G6" s="4" t="str">
        <x:v>Source context; specific demand/fashion is new proposal</x:v>
      </x:c>
      <x:c r="H6" s="4" t="str">
        <x:v>https://github.com/sleepyseamonster/Arc-Dust/blob/f6f98515c005dc3c73cccd9cbc031691745740c6/02-Arc-Dust-Worldbuilding/world/economy/frontier-culture-economy.md</x:v>
      </x:c>
    </x:row>
    <x:row r="7" ht="105" customHeight="1">
      <x:c r="A7" s="4" t="str">
        <x:v>Seat / inner Empire</x:v>
      </x:c>
      <x:c r="B7" s="4" t="str">
        <x:v>Broad civic culture; many classes</x:v>
      </x:c>
      <x:c r="C7" s="4" t="str">
        <x:v>Source describes concentrated guild/prestige structures and canister craft. Frontier style can become fashionable in cities.</x:v>
      </x:c>
      <x:c r="D7" s="4" t="str">
        <x:v>Fine husk-paper work, selected inlays, clear viewing blanks, provenance-bearing finish; elaborate garments remain rare.</x:v>
      </x:c>
      <x:c r="E7" s="4" t="str">
        <x:v>[removed item]; proposal.t1.gem_preform; proposal.t1.clear_glass_blank; proposal.t1.shell_inlay</x:v>
      </x:c>
      <x:c r="F7" s="4" t="str">
        <x:v>Commission quality, provenance and workmanship could raise value without increasing material tier.</x:v>
      </x:c>
      <x:c r="G7" s="4" t="str">
        <x:v>Source context; proposed material affinities, not universal Imperial taste</x:v>
      </x:c>
      <x:c r="H7" s="4" t="str">
        <x:v>https://github.com/sleepyseamonster/Arc-Dust/blob/f6f98515c005dc3c73cccd9cbc031691745740c6/02-Arc-Dust-Worldbuilding/world/peoples/imperials.md</x:v>
      </x:c>
    </x:row>
    <x:row r="8" ht="105" customHeight="1">
      <x:c r="A8" s="4" t="str">
        <x:v>Iron Mystics</x:v>
      </x:c>
      <x:c r="B8" s="4" t="str">
        <x:v>Recognized sovereign nation; no territorial homeland</x:v>
      </x:c>
      <x:c r="C8" s="4" t="str">
        <x:v>Source ties their practice to iron/field knowledge and biology; The Work does not require external apparatus.</x:v>
      </x:c>
      <x:c r="D8" s="4" t="str">
        <x:v>Precisely selected iron and magnetic mineral grades; restrained iron-focused ornaments are a possible game direction.</x:v>
      </x:c>
      <x:c r="E8" s="4" t="str">
        <x:v>proposal.natural.iron_feed; proposal.t1.iron_bloom; proposal.natural.magnetite</x:v>
      </x:c>
      <x:c r="F8" s="4" t="str">
        <x:v>Specialist selection and material knowledge; magnets are not automatically sacred equipment or power amplifiers.</x:v>
      </x:c>
      <x:c r="G8" s="4" t="str">
        <x:v>Source context; ornament and demand preference proposed</x:v>
      </x:c>
      <x:c r="H8" s="4" t="str">
        <x:v>https://github.com/sleepyseamonster/Arc-Dust/blob/f6f98515c005dc3c73cccd9cbc031691745740c6/02-Arc-Dust-Worldbuilding/world/peoples/iron-mystics.md</x:v>
      </x:c>
    </x:row>
    <x:row r="9" ht="105" customHeight="1">
      <x:c r="A9" s="4" t="str">
        <x:v>Resonance Callers</x:v>
      </x:c>
      <x:c r="B9" s="4" t="str">
        <x:v>Territorial sovereign nation within Empire</x:v>
      </x:c>
      <x:c r="C9" s="4" t="str">
        <x:v>Source explicitly describes tuned stone, stone-language, bracelets, rings, collars and ankle chimes.</x:v>
      </x:c>
      <x:c r="D9" s="4" t="str">
        <x:v>Stone preforms, carefully worked inlay and tuned wearable-instrument components.</x:v>
      </x:c>
      <x:c r="E9" s="4" t="str">
        <x:v>proposal.t1.resonant_blank; proposal.t1.gem_chips; proposal.t1.dressed_stone</x:v>
      </x:c>
      <x:c r="F9" s="4" t="str">
        <x:v>Tuning, contact and lineage of craft may matter more than expensive gems.</x:v>
      </x:c>
      <x:c r="G9" s="4" t="str">
        <x:v>Source supports stone wear; exact trade products/demand proposed</x:v>
      </x:c>
      <x:c r="H9" s="4" t="str">
        <x:v>https://github.com/sleepyseamonster/Arc-Dust/blob/f6f98515c005dc3c73cccd9cbc031691745740c6/02-Arc-Dust-Worldbuilding/world/peoples/resonance-callers.md</x:v>
      </x:c>
    </x:row>
    <x:row r="10" ht="105" customHeight="1">
      <x:c r="A10" s="4" t="str">
        <x:v>Dustward</x:v>
      </x:c>
      <x:c r="B10" s="4" t="str">
        <x:v>People; nationhood not established here</x:v>
      </x:c>
      <x:c r="C10" s="4" t="str">
        <x:v>Source emphasizes particulate discipline and knowledge of residue/exposure; its cloth references conflict with game rule.</x:v>
      </x:c>
      <x:c r="D10" s="4" t="str">
        <x:v>Close-fitting shell surfaces, controlled finish, bristle and scarce pressed-husk inputs.</x:v>
      </x:c>
      <x:c r="E10" s="4" t="str">
        <x:v>proposal.t1.shell_lamina; proposal.t1.bristle_bundle; proposal.bio.pressed_husk</x:v>
      </x:c>
      <x:c r="F10" s="4" t="str">
        <x:v>Cleanable and repairable surface ideas under the no-cloth rule.</x:v>
      </x:c>
      <x:c r="G10" s="4" t="str">
        <x:v>Adaptation context sourced; fashion/material demand proposed</x:v>
      </x:c>
      <x:c r="H10" s="4" t="str">
        <x:v>https://github.com/sleepyseamonster/Arc-Dust/blob/f6f98515c005dc3c73cccd9cbc031691745740c6/02-Arc-Dust-Worldbuilding/world/peoples/dustward.md</x:v>
      </x:c>
    </x:row>
    <x:row r="11" ht="105" customHeight="1">
      <x:c r="A11" s="4" t="str">
        <x:v>Ridgeborne</x:v>
      </x:c>
      <x:c r="B11" s="4" t="str">
        <x:v>People; nationhood not established here</x:v>
      </x:c>
      <x:c r="C11" s="4" t="str">
        <x:v>Source describes thin-air living and management of exposure/effort.</x:v>
      </x:c>
      <x:c r="D11" s="4" t="str">
        <x:v>Selected light portable casing stock and minimal, fitted garment components.</x:v>
      </x:c>
      <x:c r="E11" s="4" t="str">
        <x:v>proposal.t1.shell_lamina; proposal.bio.wing_panel; proposal.bio.hide_material</x:v>
      </x:c>
      <x:c r="F11" s="4" t="str">
        <x:v>Weight and preparation burden could shape choices; no weight bonuses or universal costume.</x:v>
      </x:c>
      <x:c r="G11" s="4" t="str">
        <x:v>Source environment; preference proposed</x:v>
      </x:c>
      <x:c r="H11" s="4" t="str">
        <x:v>https://github.com/sleepyseamonster/Arc-Dust/blob/f6f98515c005dc3c73cccd9cbc031691745740c6/02-Arc-Dust-Worldbuilding/world/peoples/ridgeborne.md</x:v>
      </x:c>
    </x:row>
    <x:row r="12" ht="105" customHeight="1">
      <x:c r="A12" s="4" t="str">
        <x:v>Wallborn</x:v>
      </x:c>
      <x:c r="B12" s="4" t="str">
        <x:v>People; nationhood not established here</x:v>
      </x:c>
      <x:c r="C12" s="4" t="str">
        <x:v>Source describes vertical habitation, grip, balance and routine fall-risk management.</x:v>
      </x:c>
      <x:c r="D12" s="4" t="str">
        <x:v>Compact attachment stock, selected cord and fitted low-bulk covers.</x:v>
      </x:c>
      <x:c r="E12" s="4" t="str">
        <x:v>proposal.bio.cord; proposal.natural.iron_stock; proposal.t1.shell_lamina</x:v>
      </x:c>
      <x:c r="F12" s="4" t="str">
        <x:v>Secure fit and manageable bulk could be valued in cliff-built settlements.</x:v>
      </x:c>
      <x:c r="G12" s="4" t="str">
        <x:v>Source environment; preference proposed</x:v>
      </x:c>
      <x:c r="H12" s="4" t="str">
        <x:v>https://github.com/sleepyseamonster/Arc-Dust/blob/f6f98515c005dc3c73cccd9cbc031691745740c6/02-Arc-Dust-Worldbuilding/world/peoples/wallborn.md</x:v>
      </x:c>
    </x:row>
    <x:row r="13" ht="105" customHeight="1">
      <x:c r="A13" s="4" t="str">
        <x:v>Stonebound</x:v>
      </x:c>
      <x:c r="B13" s="4" t="str">
        <x:v>People; nationhood not established here</x:v>
      </x:c>
      <x:c r="C13" s="4" t="str">
        <x:v>Source describes extraction communities and respect for sorters, refiners, material grain and maintenance.</x:v>
      </x:c>
      <x:c r="D13" s="4" t="str">
        <x:v>Well-finished contact surfaces, controlled mineral grades, readable workmanship and selected colorants.</x:v>
      </x:c>
      <x:c r="E13" s="4" t="str">
        <x:v>proposal.t1.dressed_stone; proposal.t1.pigment_powder; proposal.t1.process_salts</x:v>
      </x:c>
      <x:c r="F13" s="4" t="str">
        <x:v>Purity/finish and reduced unwanted residue could be valued; not a stereotype of wearing heavy raw stone.</x:v>
      </x:c>
      <x:c r="G13" s="4" t="str">
        <x:v>Source context; fashion/material demand proposed</x:v>
      </x:c>
      <x:c r="H13" s="4" t="str">
        <x:v>https://github.com/sleepyseamonster/Arc-Dust/blob/f6f98515c005dc3c73cccd9cbc031691745740c6/02-Arc-Dust-Worldbuilding/world/peoples/stonebound.md</x:v>
      </x:c>
    </x:row>
    <x:row r="14" ht="105" customHeight="1">
      <x:c r="A14" s="4" t="str">
        <x:v>Sootvein</x:v>
      </x:c>
      <x:c r="B14" s="4" t="str">
        <x:v>People; nationhood not established here</x:v>
      </x:c>
      <x:c r="C14" s="4" t="str">
        <x:v>Source describes chemical-processing communities and attention to traces/contamination.</x:v>
      </x:c>
      <x:c r="D14" s="4" t="str">
        <x:v>Identified reagent fractions, segregated glass feed and maintainable surfaces.</x:v>
      </x:c>
      <x:c r="E14" s="4" t="str">
        <x:v>proposal.t1.process_salts; proposal.t1.glass_feed; proposal.t1.faunal_carrier</x:v>
      </x:c>
      <x:c r="F14" s="4" t="str">
        <x:v>Batch identity and reliable preparation could drive specialist demand.</x:v>
      </x:c>
      <x:c r="G14" s="4" t="str">
        <x:v>Source context; demand proposed</x:v>
      </x:c>
      <x:c r="H14" s="4" t="str">
        <x:v>https://github.com/sleepyseamonster/Arc-Dust/blob/f6f98515c005dc3c73cccd9cbc031691745740c6/02-Arc-Dust-Worldbuilding/world/peoples/sootvein.md</x:v>
      </x:c>
    </x:row>
    <x:row r="15" ht="105" customHeight="1">
      <x:c r="A15" s="4" t="str">
        <x:v>Current-Bearers</x:v>
      </x:c>
      <x:c r="B15" s="4" t="str">
        <x:v>Living people; sovereign status not established here</x:v>
      </x:c>
      <x:c r="C15" s="4" t="str">
        <x:v>Source describes charge-handling labor, grounding and conductive architecture.</x:v>
      </x:c>
      <x:c r="D15" s="4" t="str">
        <x:v>Qualified copper/iron stock beside separately qualified ceramic/mineral insulating stock.</x:v>
      </x:c>
      <x:c r="E15" s="4" t="str">
        <x:v>proposal.t1.copper_cake; proposal.t1.iron_bloom; proposal.natural.ceramic</x:v>
      </x:c>
      <x:c r="F15" s="4" t="str">
        <x:v>Workmanship and interface compatibility; no automatic immunity or requirement to wear conductive metal.</x:v>
      </x:c>
      <x:c r="G15" s="4" t="str">
        <x:v>Source context; fashion/material demand proposed</x:v>
      </x:c>
      <x:c r="H15" s="4" t="str">
        <x:v>https://github.com/sleepyseamonster/Arc-Dust/blob/f6f98515c005dc3c73cccd9cbc031691745740c6/02-Arc-Dust-Worldbuilding/world/peoples/current-bearers.md</x:v>
      </x:c>
    </x:row>
    <x:row r="16" ht="105" customHeight="1">
      <x:c r="A16" s="4" t="str">
        <x:v>Clean-silicate craft regions</x:v>
      </x:c>
      <x:c r="B16" s="4" t="str">
        <x:v>Geographic workshop regions, not named nations</x:v>
      </x:c>
      <x:c r="C16" s="4" t="str">
        <x:v>Glass source describes clear-glass traditions near clean feed, with high specialist costs.</x:v>
      </x:c>
      <x:c r="D16" s="4" t="str">
        <x:v>Selected clear-glass blanks and precision viewing/export work.</x:v>
      </x:c>
      <x:c r="E16" s="4" t="str">
        <x:v>proposal.t1.clear_glass_blank; proposal.t1.glass_feed</x:v>
      </x:c>
      <x:c r="F16" s="4" t="str">
        <x:v>Regional geology and skilled production can command a premium.</x:v>
      </x:c>
      <x:c r="G16" s="4" t="str">
        <x:v>Regional source context; precise product/tier proposed</x:v>
      </x:c>
      <x:c r="H16" s="4" t="str">
        <x:v>https://github.com/sleepyseamonster/Arc-Dust/blob/f6f98515c005dc3c73cccd9cbc031691745740c6/02-Arc-Dust-Worldbuilding/world/materials/glass.md</x:v>
      </x:c>
    </x:row>
    <x:row r="17" ht="105" customHeight="1">
      <x:c r="A17" s="4" t="str">
        <x:v>Colored-glass craft regions</x:v>
      </x:c>
      <x:c r="B17" s="4" t="str">
        <x:v>Geographic workshop regions, not named nations</x:v>
      </x:c>
      <x:c r="C17" s="4" t="str">
        <x:v>Glass source describes regional opaque green/amber traditions and recognizable origin colors.</x:v>
      </x:c>
      <x:c r="D17" s="4" t="str">
        <x:v>Colored opaque glass stock and shell/stone inlay accents.</x:v>
      </x:c>
      <x:c r="E17" s="4" t="str">
        <x:v>proposal.t1.opaque_glass; proposal.t1.shell_inlay; proposal.t1.gem_chips</x:v>
      </x:c>
      <x:c r="F17" s="4" t="str">
        <x:v>Color/provenance could distinguish an origin without a new nation or currency scheme.</x:v>
      </x:c>
      <x:c r="G17" s="4" t="str">
        <x:v>Regional source context; exact palettes and game demand proposed</x:v>
      </x:c>
      <x:c r="H17" s="4" t="str">
        <x:v>https://github.com/sleepyseamonster/Arc-Dust/blob/f6f98515c005dc3c73cccd9cbc031691745740c6/02-Arc-Dust-Worldbuilding/world/materials/glass.md</x:v>
      </x:c>
    </x:row>
    <x:row r="18" ht="105" customHeight="1">
      <x:c r="A18" s="4" t="str">
        <x:v>Gemstone-focused nation idea</x:v>
      </x:c>
      <x:c r="B18" s="4" t="str">
        <x:v>Unassigned design slot; no invented nation name</x:v>
      </x:c>
      <x:c r="C18" s="4" t="str">
        <x:v>Lost Nations record leaves specific nations and their material cultures undeveloped.</x:v>
      </x:c>
      <x:c r="D18" s="4" t="str">
        <x:v>Possible future culture favoring gemstone settings, stone inlay and polished preforms.</x:v>
      </x:c>
      <x:c r="E18" s="4" t="str">
        <x:v>proposal.t1.gem_preform; proposal.t1.gem_chips</x:v>
      </x:c>
      <x:c r="F18" s="4" t="str">
        <x:v>User-suggested avenue for later worldbuilding; no confirmed national gemstone preference.</x:v>
      </x:c>
      <x:c r="G18" s="4" t="str">
        <x:v>New brainstorming only; no sourced nation preference</x:v>
      </x:c>
      <x:c r="H18" s="4" t="str">
        <x:v>https://github.com/sleepyseamonster/Arc-Dust/blob/f6f98515c005dc3c73cccd9cbc031691745740c6/02-Arc-Dust-Worldbuilding/world/regions/lost-nations.md</x:v>
      </x:c>
    </x:row>
  </x:sheetData>
  <x:pageMargins left="0.7" right="0.7" top="0.75" bottom="0.75" header="0.3" footer="0.3"/>
  <x:tableParts count="1">
    <x:tablePart xmlns:r="http://schemas.openxmlformats.org/officeDocument/2006/relationships" r:id="R258a5373f2fd46d0"/>
  </x:tableParts>
</x:worksheet>
</file>

<file path=xl/worksheets/sheet16.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5" hidden="0" customWidth="1"/>
    <x:col min="2" max="2" width="39" hidden="0" customWidth="1"/>
    <x:col min="3" max="3" width="27" hidden="0" customWidth="1"/>
    <x:col min="4" max="4" width="27" hidden="0" customWidth="1"/>
    <x:col min="5" max="5" width="28" hidden="0" customWidth="1"/>
    <x:col min="6" max="6" width="70" hidden="0" customWidth="1"/>
    <x:col min="7" max="7" width="56" hidden="0" customWidth="1"/>
    <x:col min="8" max="8" width="23" hidden="0" customWidth="1"/>
    <x:col min="9" max="9" width="19" hidden="0" customWidth="1"/>
    <x:col min="10" max="10" width="18" hidden="0" customWidth="1"/>
    <x:col min="11" max="11" width="16" hidden="0" customWidth="1"/>
    <x:col min="12" max="12" width="100" hidden="0" customWidth="1"/>
    <x:col min="13" max="13" width="90" hidden="0" customWidth="1"/>
  </x:cols>
  <x:sheetData>
    <x:row r="2">
      <x:c r="A2" s="2" t="str">
        <x:v>Crafting recipe register</x:v>
      </x:c>
    </x:row>
    <x:row r="3">
      <x:c r="A3" t="str">
        <x:v>One row per recipe or partial route. Status and completeness determine how to interpret its linked ingredients and outputs.</x:v>
      </x:c>
    </x:row>
    <x:row r="5" ht="42" customHeight="1">
      <x:c r="A5" s="64" t="str">
        <x:v>Recipe ID</x:v>
      </x:c>
      <x:c r="B5" s="64" t="str">
        <x:v>Recipe name</x:v>
      </x:c>
      <x:c r="C5" s="64" t="str">
        <x:v>Route kind</x:v>
      </x:c>
      <x:c r="D5" s="64" t="str">
        <x:v>Route status</x:v>
      </x:c>
      <x:c r="E5" s="64" t="str">
        <x:v>Completeness</x:v>
      </x:c>
      <x:c r="F5" s="64" t="str">
        <x:v>Process / intent</x:v>
      </x:c>
      <x:c r="G5" s="64" t="str">
        <x:v>Station / prerequisites</x:v>
      </x:c>
      <x:c r="H5" s="64" t="str">
        <x:v>Listed ingredient tier</x:v>
      </x:c>
      <x:c r="I5" s="64" t="str">
        <x:v>Ingredient links</x:v>
      </x:c>
      <x:c r="J5" s="64" t="str">
        <x:v>Output links</x:v>
      </x:c>
      <x:c r="K5" s="64" t="str">
        <x:v>Tool links</x:v>
      </x:c>
      <x:c r="L5" s="64" t="str">
        <x:v>Source / basis</x:v>
      </x:c>
      <x:c r="M5" s="64" t="str">
        <x:v>Next design decision</x:v>
      </x:c>
    </x:row>
    <x:row r="6" ht="85" customHeight="1">
      <x:c r="A6" s="4" t="str">
        <x:v>design.refine.natural.iron_feed</x:v>
      </x:c>
      <x:c r="B6" s="4" t="str">
        <x:v>Iron-rich mineral feed preparation</x:v>
      </x:c>
      <x:c r="C6" s="4" t="str">
        <x:v>Material refinement</x:v>
      </x:c>
      <x:c r="D6" s="4" t="str">
        <x:v>Proposal</x:v>
      </x:c>
      <x:c r="E6" s="4" t="str">
        <x:v>Partial proposal</x:v>
      </x:c>
      <x:c r="F6" s="4" t="str">
        <x:v>Prepare the listed output from candidate material inputs.</x:v>
      </x:c>
      <x:c r="G6" s="4" t="str">
        <x:v>Ceramic grinding mortar, Ceramic pestle, Ceramic abrasive disc and stone-cutting fixtures as applicable; grade selection and finishing qualification required.</x:v>
      </x:c>
      <x:c r="H6" s="4" t="str">
        <x:f>IF(I6=0,"Unassigned",IF(SUMIFS('Material routes'!$Q$6:$Q$2205,'Material routes'!$B$6:$B$2205,A6)&gt;0,"Unassigned","T"&amp;_xlfn.MAXIFS('Material routes'!$P$6:$P$2205,'Material routes'!$B$6:$B$2205,A6)))</x:f>
        <x:v>T0</x:v>
      </x:c>
      <x:c r="I6" s="4" t="n">
        <x:f>SUM(COUNTIFS('Material routes'!$B$6:$B$2205,A6,'Material routes'!$C$6:$C$2205,"Ingredient candidate"),COUNTIFS('Material routes'!$B$6:$B$2205,A6,'Material routes'!$C$6:$C$2205,"Consumed input"),COUNTIFS('Material routes'!$B$6:$B$2205,A6,'Material routes'!$C$6:$C$2205,"Contained input"),COUNTIFS('Material routes'!$B$6:$B$2205,A6,'Material routes'!$C$6:$C$2205,"Transform input"))</x:f>
        <x:v>1</x:v>
      </x:c>
      <x:c r="J6" s="4" t="n">
        <x:f>COUNTIFS('Material routes'!$B$6:$B$2205,A6,'Material routes'!$C$6:$C$2205,"Output")</x:f>
        <x:v>1</x:v>
      </x:c>
      <x:c r="K6" s="4" t="n">
        <x:f>COUNTIFS('Material routes'!$B$6:$B$2205,A6,'Material routes'!$C$6:$C$2205,"Tool candidate")</x:f>
        <x:v>0</x:v>
      </x:c>
      <x:c r="L6" s="4" t="str">
        <x:v>New game proposal; no complete recipe</x:v>
      </x:c>
      <x:c r="M6" s="4" t="str">
        <x:v>Quantities, supporting inputs, compatibility and process conditions remain open.</x:v>
      </x:c>
    </x:row>
    <x:row r="7" ht="85" customHeight="1">
      <x:c r="A7" s="4" t="str">
        <x:v>design.refine.natural.abrasive</x:v>
      </x:c>
      <x:c r="B7" s="4" t="str">
        <x:v>Graded abrasive grit preparation</x:v>
      </x:c>
      <x:c r="C7" s="4" t="str">
        <x:v>Material refinement</x:v>
      </x:c>
      <x:c r="D7" s="4" t="str">
        <x:v>Proposal</x:v>
      </x:c>
      <x:c r="E7" s="4" t="str">
        <x:v>Partial proposal</x:v>
      </x:c>
      <x:c r="F7" s="4" t="str">
        <x:v>Prepare the listed output from candidate material inputs.</x:v>
      </x:c>
      <x:c r="G7" s="4" t="str">
        <x:v>Ceramic grinding mortar, Ceramic pestle, Ceramic abrasive disc and stone-cutting fixtures as applicable; grade selection and finishing qualification required.</x:v>
      </x:c>
      <x:c r="H7" s="4" t="str">
        <x:f>IF(I7=0,"Unassigned",IF(SUMIFS('Material routes'!$Q$6:$Q$2205,'Material routes'!$B$6:$B$2205,A7)&gt;0,"Unassigned","T"&amp;_xlfn.MAXIFS('Material routes'!$P$6:$P$2205,'Material routes'!$B$6:$B$2205,A7)))</x:f>
        <x:v>T0</x:v>
      </x:c>
      <x:c r="I7" s="4" t="n">
        <x:f>SUM(COUNTIFS('Material routes'!$B$6:$B$2205,A7,'Material routes'!$C$6:$C$2205,"Ingredient candidate"),COUNTIFS('Material routes'!$B$6:$B$2205,A7,'Material routes'!$C$6:$C$2205,"Consumed input"),COUNTIFS('Material routes'!$B$6:$B$2205,A7,'Material routes'!$C$6:$C$2205,"Contained input"),COUNTIFS('Material routes'!$B$6:$B$2205,A7,'Material routes'!$C$6:$C$2205,"Transform input"))</x:f>
        <x:v>1</x:v>
      </x:c>
      <x:c r="J7" s="4" t="n">
        <x:f>COUNTIFS('Material routes'!$B$6:$B$2205,A7,'Material routes'!$C$6:$C$2205,"Output")</x:f>
        <x:v>1</x:v>
      </x:c>
      <x:c r="K7" s="4" t="n">
        <x:f>COUNTIFS('Material routes'!$B$6:$B$2205,A7,'Material routes'!$C$6:$C$2205,"Tool candidate")</x:f>
        <x:v>0</x:v>
      </x:c>
      <x:c r="L7" s="4" t="str">
        <x:v>New game proposal; no complete recipe</x:v>
      </x:c>
      <x:c r="M7" s="4" t="str">
        <x:v>Quantities, supporting inputs, compatibility and process conditions remain open.</x:v>
      </x:c>
    </x:row>
    <x:row r="8" ht="85" customHeight="1">
      <x:c r="A8" s="4" t="str">
        <x:v>design.refine.natural.carbon</x:v>
      </x:c>
      <x:c r="B8" s="4" t="str">
        <x:v>Graded graphite flakes preparation</x:v>
      </x:c>
      <x:c r="C8" s="4" t="str">
        <x:v>Material refinement</x:v>
      </x:c>
      <x:c r="D8" s="4" t="str">
        <x:v>Proposal</x:v>
      </x:c>
      <x:c r="E8" s="4" t="str">
        <x:v>Partial proposal</x:v>
      </x:c>
      <x:c r="F8" s="4" t="str">
        <x:v>Prepare the listed output from candidate material inputs.</x:v>
      </x:c>
      <x:c r="G8" s="4" t="str">
        <x:v>Ceramic grinding mortar, Ceramic pestle, Ceramic abrasive disc and stone-cutting fixtures as applicable; grade selection and finishing qualification required.</x:v>
      </x:c>
      <x:c r="H8" s="4" t="str">
        <x:f>IF(I8=0,"Unassigned",IF(SUMIFS('Material routes'!$Q$6:$Q$2205,'Material routes'!$B$6:$B$2205,A8)&gt;0,"Unassigned","T"&amp;_xlfn.MAXIFS('Material routes'!$P$6:$P$2205,'Material routes'!$B$6:$B$2205,A8)))</x:f>
        <x:v>T0</x:v>
      </x:c>
      <x:c r="I8" s="4" t="n">
        <x:f>SUM(COUNTIFS('Material routes'!$B$6:$B$2205,A8,'Material routes'!$C$6:$C$2205,"Ingredient candidate"),COUNTIFS('Material routes'!$B$6:$B$2205,A8,'Material routes'!$C$6:$C$2205,"Consumed input"),COUNTIFS('Material routes'!$B$6:$B$2205,A8,'Material routes'!$C$6:$C$2205,"Contained input"),COUNTIFS('Material routes'!$B$6:$B$2205,A8,'Material routes'!$C$6:$C$2205,"Transform input"))</x:f>
        <x:v>1</x:v>
      </x:c>
      <x:c r="J8" s="4" t="n">
        <x:f>COUNTIFS('Material routes'!$B$6:$B$2205,A8,'Material routes'!$C$6:$C$2205,"Output")</x:f>
        <x:v>1</x:v>
      </x:c>
      <x:c r="K8" s="4" t="n">
        <x:f>COUNTIFS('Material routes'!$B$6:$B$2205,A8,'Material routes'!$C$6:$C$2205,"Tool candidate")</x:f>
        <x:v>0</x:v>
      </x:c>
      <x:c r="L8" s="4" t="str">
        <x:v>New game proposal; no complete recipe</x:v>
      </x:c>
      <x:c r="M8" s="4" t="str">
        <x:v>Quantities, supporting inputs, compatibility and process conditions remain open.</x:v>
      </x:c>
    </x:row>
    <x:row r="9" ht="85" customHeight="1">
      <x:c r="A9" s="4" t="str">
        <x:v>design.refine.natural.lime</x:v>
      </x:c>
      <x:c r="B9" s="4" t="str">
        <x:v>Calcined mineral binder preparation</x:v>
      </x:c>
      <x:c r="C9" s="4" t="str">
        <x:v>Material refinement</x:v>
      </x:c>
      <x:c r="D9" s="4" t="str">
        <x:v>Proposal</x:v>
      </x:c>
      <x:c r="E9" s="4" t="str">
        <x:v>Partial proposal</x:v>
      </x:c>
      <x:c r="F9" s="4" t="str">
        <x:v>Prepare the listed output from candidate material inputs.</x:v>
      </x:c>
      <x:c r="G9" s="4" t="str">
        <x:v>Ceramic grinding mortar, Ceramic pestle, Ceramic abrasive disc and stone-cutting fixtures as applicable; grade selection and finishing qualification required.</x:v>
      </x:c>
      <x:c r="H9" s="4" t="str">
        <x:f>IF(I9=0,"Unassigned",IF(SUMIFS('Material routes'!$Q$6:$Q$2205,'Material routes'!$B$6:$B$2205,A9)&gt;0,"Unassigned","T"&amp;_xlfn.MAXIFS('Material routes'!$P$6:$P$2205,'Material routes'!$B$6:$B$2205,A9)))</x:f>
        <x:v>T0</x:v>
      </x:c>
      <x:c r="I9" s="4" t="n">
        <x:f>SUM(COUNTIFS('Material routes'!$B$6:$B$2205,A9,'Material routes'!$C$6:$C$2205,"Ingredient candidate"),COUNTIFS('Material routes'!$B$6:$B$2205,A9,'Material routes'!$C$6:$C$2205,"Consumed input"),COUNTIFS('Material routes'!$B$6:$B$2205,A9,'Material routes'!$C$6:$C$2205,"Contained input"),COUNTIFS('Material routes'!$B$6:$B$2205,A9,'Material routes'!$C$6:$C$2205,"Transform input"))</x:f>
        <x:v>1</x:v>
      </x:c>
      <x:c r="J9" s="4" t="n">
        <x:f>COUNTIFS('Material routes'!$B$6:$B$2205,A9,'Material routes'!$C$6:$C$2205,"Output")</x:f>
        <x:v>1</x:v>
      </x:c>
      <x:c r="K9" s="4" t="n">
        <x:f>COUNTIFS('Material routes'!$B$6:$B$2205,A9,'Material routes'!$C$6:$C$2205,"Tool candidate")</x:f>
        <x:v>0</x:v>
      </x:c>
      <x:c r="L9" s="4" t="str">
        <x:v>New game proposal; no complete recipe</x:v>
      </x:c>
      <x:c r="M9" s="4" t="str">
        <x:v>Quantities, supporting inputs, compatibility and process conditions remain open.</x:v>
      </x:c>
    </x:row>
    <x:row r="10" ht="85" customHeight="1">
      <x:c r="A10" s="4" t="str">
        <x:v>design.refine.ceramic.grog</x:v>
      </x:c>
      <x:c r="B10" s="4" t="str">
        <x:v>Crushed fired ceramic grit preparation</x:v>
      </x:c>
      <x:c r="C10" s="4" t="str">
        <x:v>Material refinement</x:v>
      </x:c>
      <x:c r="D10" s="4" t="str">
        <x:v>Proposal</x:v>
      </x:c>
      <x:c r="E10" s="4" t="str">
        <x:v>Partial proposal</x:v>
      </x:c>
      <x:c r="F10" s="4" t="str">
        <x:v>Prepare the listed output from candidate material inputs.</x:v>
      </x:c>
      <x:c r="G10" s="4" t="str">
        <x:v>Controlled-heating firing kiln or specialist glass hot-work station; Ceramic firing tray / Ceramic casting mold as applicable. Qualified power, heat and atmosphere required.</x:v>
      </x:c>
      <x:c r="H10" s="4" t="str">
        <x:f>IF(I10=0,"Unassigned",IF(SUMIFS('Material routes'!$Q$6:$Q$2205,'Material routes'!$B$6:$B$2205,A10)&gt;0,"Unassigned","T"&amp;_xlfn.MAXIFS('Material routes'!$P$6:$P$2205,'Material routes'!$B$6:$B$2205,A10)))</x:f>
        <x:v>T0</x:v>
      </x:c>
      <x:c r="I10" s="4" t="n">
        <x:f>SUM(COUNTIFS('Material routes'!$B$6:$B$2205,A10,'Material routes'!$C$6:$C$2205,"Ingredient candidate"),COUNTIFS('Material routes'!$B$6:$B$2205,A10,'Material routes'!$C$6:$C$2205,"Consumed input"),COUNTIFS('Material routes'!$B$6:$B$2205,A10,'Material routes'!$C$6:$C$2205,"Contained input"),COUNTIFS('Material routes'!$B$6:$B$2205,A10,'Material routes'!$C$6:$C$2205,"Transform input"))</x:f>
        <x:v>1</x:v>
      </x:c>
      <x:c r="J10" s="4" t="n">
        <x:f>COUNTIFS('Material routes'!$B$6:$B$2205,A10,'Material routes'!$C$6:$C$2205,"Output")</x:f>
        <x:v>1</x:v>
      </x:c>
      <x:c r="K10" s="4" t="n">
        <x:f>COUNTIFS('Material routes'!$B$6:$B$2205,A10,'Material routes'!$C$6:$C$2205,"Tool candidate")</x:f>
        <x:v>0</x:v>
      </x:c>
      <x:c r="L10" s="4" t="str">
        <x:v>New game proposal; no complete recipe</x:v>
      </x:c>
      <x:c r="M10" s="4" t="str">
        <x:v>Quantities, supporting inputs, compatibility and process conditions remain open.</x:v>
      </x:c>
    </x:row>
    <x:row r="11" ht="85" customHeight="1">
      <x:c r="A11" s="4"/>
      <x:c r="B11" s="4"/>
      <x:c r="C11" s="4"/>
      <x:c r="D11" s="4"/>
      <x:c r="E11" s="4"/>
      <x:c r="F11" s="4"/>
      <x:c r="G11" s="4"/>
      <x:c r="H11" s="4"/>
      <x:c r="I11" s="4"/>
      <x:c r="J11" s="4"/>
      <x:c r="K11" s="4"/>
      <x:c r="L11" s="4"/>
      <x:c r="M11" s="4"/>
    </x:row>
    <x:row r="12" ht="85" customHeight="1">
      <x:c r="A12" s="4"/>
      <x:c r="B12" s="4"/>
      <x:c r="C12" s="4"/>
      <x:c r="D12" s="4"/>
      <x:c r="E12" s="4"/>
      <x:c r="F12" s="4"/>
      <x:c r="G12" s="4"/>
      <x:c r="H12" s="4"/>
      <x:c r="I12" s="4"/>
      <x:c r="J12" s="4"/>
      <x:c r="K12" s="4"/>
      <x:c r="L12" s="4"/>
      <x:c r="M12" s="4"/>
    </x:row>
    <x:row r="13" ht="85" customHeight="1">
      <x:c r="A13" s="4" t="str">
        <x:v>design.refine.bio.hide_material</x:v>
      </x:c>
      <x:c r="B13" s="4" t="str">
        <x:v>Processed hide material preparation</x:v>
      </x:c>
      <x:c r="C13" s="4" t="str">
        <x:v>Material refinement</x:v>
      </x:c>
      <x:c r="D13" s="4" t="str">
        <x:v>Proposal</x:v>
      </x:c>
      <x:c r="E13" s="4" t="str">
        <x:v>Partial proposal</x:v>
      </x:c>
      <x:c r="F13" s="4" t="str">
        <x:v>Prepare the listed output from candidate material inputs.</x:v>
      </x:c>
      <x:c r="G13" s="4" t="str">
        <x:v>Husk-sheet cutting shears, pressure fixtures and dedicated preparation surfaces. Very low hide/fur yield; no ordinary cloth or plant inputs.</x:v>
      </x:c>
      <x:c r="H13" s="4" t="str">
        <x:f>IF(I13=0,"Unassigned",IF(SUMIFS('Material routes'!$Q$6:$Q$2205,'Material routes'!$B$6:$B$2205,A13)&gt;0,"Unassigned","T"&amp;_xlfn.MAXIFS('Material routes'!$P$6:$P$2205,'Material routes'!$B$6:$B$2205,A13)))</x:f>
        <x:v>T0</x:v>
      </x:c>
      <x:c r="I13" s="4" t="n">
        <x:f>SUM(COUNTIFS('Material routes'!$B$6:$B$2205,A13,'Material routes'!$C$6:$C$2205,"Ingredient candidate"),COUNTIFS('Material routes'!$B$6:$B$2205,A13,'Material routes'!$C$6:$C$2205,"Consumed input"),COUNTIFS('Material routes'!$B$6:$B$2205,A13,'Material routes'!$C$6:$C$2205,"Contained input"),COUNTIFS('Material routes'!$B$6:$B$2205,A13,'Material routes'!$C$6:$C$2205,"Transform input"))</x:f>
        <x:v>1</x:v>
      </x:c>
      <x:c r="J13" s="4" t="n">
        <x:f>COUNTIFS('Material routes'!$B$6:$B$2205,A13,'Material routes'!$C$6:$C$2205,"Output")</x:f>
        <x:v>1</x:v>
      </x:c>
      <x:c r="K13" s="4" t="n">
        <x:f>COUNTIFS('Material routes'!$B$6:$B$2205,A13,'Material routes'!$C$6:$C$2205,"Tool candidate")</x:f>
        <x:v>0</x:v>
      </x:c>
      <x:c r="L13" s="4" t="str">
        <x:v>New game proposal; no complete recipe</x:v>
      </x:c>
      <x:c r="M13" s="4" t="str">
        <x:v>Quantities, supporting inputs, compatibility and process conditions remain open.</x:v>
      </x:c>
    </x:row>
    <x:row r="14" ht="85" customHeight="1">
      <x:c r="A14" s="4" t="str">
        <x:v>design.refine.bio.liner</x:v>
      </x:c>
      <x:c r="B14" s="4" t="str">
        <x:v>Pressed fur-fiber material preparation</x:v>
      </x:c>
      <x:c r="C14" s="4" t="str">
        <x:v>Material refinement</x:v>
      </x:c>
      <x:c r="D14" s="4" t="str">
        <x:v>Proposal</x:v>
      </x:c>
      <x:c r="E14" s="4" t="str">
        <x:v>Partial proposal</x:v>
      </x:c>
      <x:c r="F14" s="4" t="str">
        <x:v>Prepare the listed output from candidate material inputs.</x:v>
      </x:c>
      <x:c r="G14" s="4" t="str">
        <x:v>Husk-sheet cutting shears, pressure fixtures and dedicated preparation surfaces. Very low hide/fur yield; no ordinary cloth or plant inputs.</x:v>
      </x:c>
      <x:c r="H14" s="4" t="str">
        <x:f>IF(I14=0,"Unassigned",IF(SUMIFS('Material routes'!$Q$6:$Q$2205,'Material routes'!$B$6:$B$2205,A14)&gt;0,"Unassigned","T"&amp;_xlfn.MAXIFS('Material routes'!$P$6:$P$2205,'Material routes'!$B$6:$B$2205,A14)))</x:f>
        <x:v>T0</x:v>
      </x:c>
      <x:c r="I14" s="4" t="n">
        <x:f>SUM(COUNTIFS('Material routes'!$B$6:$B$2205,A14,'Material routes'!$C$6:$C$2205,"Ingredient candidate"),COUNTIFS('Material routes'!$B$6:$B$2205,A14,'Material routes'!$C$6:$C$2205,"Consumed input"),COUNTIFS('Material routes'!$B$6:$B$2205,A14,'Material routes'!$C$6:$C$2205,"Contained input"),COUNTIFS('Material routes'!$B$6:$B$2205,A14,'Material routes'!$C$6:$C$2205,"Transform input"))</x:f>
        <x:v>1</x:v>
      </x:c>
      <x:c r="J14" s="4" t="n">
        <x:f>COUNTIFS('Material routes'!$B$6:$B$2205,A14,'Material routes'!$C$6:$C$2205,"Output")</x:f>
        <x:v>1</x:v>
      </x:c>
      <x:c r="K14" s="4" t="n">
        <x:f>COUNTIFS('Material routes'!$B$6:$B$2205,A14,'Material routes'!$C$6:$C$2205,"Tool candidate")</x:f>
        <x:v>0</x:v>
      </x:c>
      <x:c r="L14" s="4" t="str">
        <x:v>New game proposal; no complete recipe</x:v>
      </x:c>
      <x:c r="M14" s="4" t="str">
        <x:v>Quantities, supporting inputs, compatibility and process conditions remain open.</x:v>
      </x:c>
    </x:row>
    <x:row r="15" ht="85" customHeight="1">
      <x:c r="A15" s="4" t="str">
        <x:v>design.refine.bio.cord</x:v>
      </x:c>
      <x:c r="B15" s="4" t="str">
        <x:v>Tendon cord preparation</x:v>
      </x:c>
      <x:c r="C15" s="4" t="str">
        <x:v>Material refinement</x:v>
      </x:c>
      <x:c r="D15" s="4" t="str">
        <x:v>Proposal</x:v>
      </x:c>
      <x:c r="E15" s="4" t="str">
        <x:v>Partial proposal</x:v>
      </x:c>
      <x:c r="F15" s="4" t="str">
        <x:v>Prepare the listed output from candidate material inputs.</x:v>
      </x:c>
      <x:c r="G15" s="4" t="str">
        <x:v>Husk-sheet cutting shears, Hand-cranked metal drill and Ceramic abrasive disc as applicable; compatible contained biological preparation and low-yield material handling required.</x:v>
      </x:c>
      <x:c r="H15" s="4" t="str">
        <x:f>IF(I15=0,"Unassigned",IF(SUMIFS('Material routes'!$Q$6:$Q$2205,'Material routes'!$B$6:$B$2205,A15)&gt;0,"Unassigned","T"&amp;_xlfn.MAXIFS('Material routes'!$P$6:$P$2205,'Material routes'!$B$6:$B$2205,A15)))</x:f>
        <x:v>T0</x:v>
      </x:c>
      <x:c r="I15" s="4" t="n">
        <x:f>SUM(COUNTIFS('Material routes'!$B$6:$B$2205,A15,'Material routes'!$C$6:$C$2205,"Ingredient candidate"),COUNTIFS('Material routes'!$B$6:$B$2205,A15,'Material routes'!$C$6:$C$2205,"Consumed input"),COUNTIFS('Material routes'!$B$6:$B$2205,A15,'Material routes'!$C$6:$C$2205,"Contained input"),COUNTIFS('Material routes'!$B$6:$B$2205,A15,'Material routes'!$C$6:$C$2205,"Transform input"))</x:f>
        <x:v>1</x:v>
      </x:c>
      <x:c r="J15" s="4" t="n">
        <x:f>COUNTIFS('Material routes'!$B$6:$B$2205,A15,'Material routes'!$C$6:$C$2205,"Output")</x:f>
        <x:v>1</x:v>
      </x:c>
      <x:c r="K15" s="4" t="n">
        <x:f>COUNTIFS('Material routes'!$B$6:$B$2205,A15,'Material routes'!$C$6:$C$2205,"Tool candidate")</x:f>
        <x:v>0</x:v>
      </x:c>
      <x:c r="L15" s="4" t="str">
        <x:v>New game proposal; no complete recipe</x:v>
      </x:c>
      <x:c r="M15" s="4" t="str">
        <x:v>Quantities, supporting inputs, compatibility and process conditions remain open.</x:v>
      </x:c>
    </x:row>
    <x:row r="16" ht="85" customHeight="1">
      <x:c r="A16" s="4" t="str">
        <x:v>design.refine.bio.seal</x:v>
      </x:c>
      <x:c r="B16" s="4" t="str">
        <x:v>Membrane seal patches preparation</x:v>
      </x:c>
      <x:c r="C16" s="4" t="str">
        <x:v>Material refinement</x:v>
      </x:c>
      <x:c r="D16" s="4" t="str">
        <x:v>Proposal</x:v>
      </x:c>
      <x:c r="E16" s="4" t="str">
        <x:v>Partial proposal</x:v>
      </x:c>
      <x:c r="F16" s="4" t="str">
        <x:v>Prepare the listed output from candidate material inputs.</x:v>
      </x:c>
      <x:c r="G16" s="4" t="str">
        <x:v>Husk-sheet cutting shears, Hand-cranked metal drill and Ceramic abrasive disc as applicable; compatible contained biological preparation and low-yield material handling required.</x:v>
      </x:c>
      <x:c r="H16" s="4" t="str">
        <x:f>IF(I16=0,"Unassigned",IF(SUMIFS('Material routes'!$Q$6:$Q$2205,'Material routes'!$B$6:$B$2205,A16)&gt;0,"Unassigned","T"&amp;_xlfn.MAXIFS('Material routes'!$P$6:$P$2205,'Material routes'!$B$6:$B$2205,A16)))</x:f>
        <x:v>T0</x:v>
      </x:c>
      <x:c r="I16" s="4" t="n">
        <x:f>SUM(COUNTIFS('Material routes'!$B$6:$B$2205,A16,'Material routes'!$C$6:$C$2205,"Ingredient candidate"),COUNTIFS('Material routes'!$B$6:$B$2205,A16,'Material routes'!$C$6:$C$2205,"Consumed input"),COUNTIFS('Material routes'!$B$6:$B$2205,A16,'Material routes'!$C$6:$C$2205,"Contained input"),COUNTIFS('Material routes'!$B$6:$B$2205,A16,'Material routes'!$C$6:$C$2205,"Transform input"))</x:f>
        <x:v>1</x:v>
      </x:c>
      <x:c r="J16" s="4" t="n">
        <x:f>COUNTIFS('Material routes'!$B$6:$B$2205,A16,'Material routes'!$C$6:$C$2205,"Output")</x:f>
        <x:v>1</x:v>
      </x:c>
      <x:c r="K16" s="4" t="n">
        <x:f>COUNTIFS('Material routes'!$B$6:$B$2205,A16,'Material routes'!$C$6:$C$2205,"Tool candidate")</x:f>
        <x:v>0</x:v>
      </x:c>
      <x:c r="L16" s="4" t="str">
        <x:v>New game proposal; no complete recipe</x:v>
      </x:c>
      <x:c r="M16" s="4" t="str">
        <x:v>Quantities, supporting inputs, compatibility and process conditions remain open.</x:v>
      </x:c>
    </x:row>
    <x:row r="17" ht="85" customHeight="1">
      <x:c r="A17" s="4" t="str">
        <x:v>design.refine.bio.pressed_husk</x:v>
      </x:c>
      <x:c r="B17" s="4" t="str">
        <x:v>Pressed husk-fiber textile material preparation</x:v>
      </x:c>
      <x:c r="C17" s="4" t="str">
        <x:v>Material refinement</x:v>
      </x:c>
      <x:c r="D17" s="4" t="str">
        <x:v>Proposal</x:v>
      </x:c>
      <x:c r="E17" s="4" t="str">
        <x:v>Partial proposal</x:v>
      </x:c>
      <x:c r="F17" s="4" t="str">
        <x:v>Prepare the listed output from candidate material inputs.</x:v>
      </x:c>
      <x:c r="G17" s="4" t="str">
        <x:v>Husk-sheet cutting shears, pressure fixtures and dedicated preparation surfaces. Very low hide/fur yield; no ordinary cloth or plant inputs.</x:v>
      </x:c>
      <x:c r="H17" s="4" t="str">
        <x:f>IF(I17=0,"Unassigned",IF(SUMIFS('Material routes'!$Q$6:$Q$2205,'Material routes'!$B$6:$B$2205,A17)&gt;0,"Unassigned","T"&amp;_xlfn.MAXIFS('Material routes'!$P$6:$P$2205,'Material routes'!$B$6:$B$2205,A17)))</x:f>
        <x:v>T0</x:v>
      </x:c>
      <x:c r="I17" s="4" t="n">
        <x:f>SUM(COUNTIFS('Material routes'!$B$6:$B$2205,A17,'Material routes'!$C$6:$C$2205,"Ingredient candidate"),COUNTIFS('Material routes'!$B$6:$B$2205,A17,'Material routes'!$C$6:$C$2205,"Consumed input"),COUNTIFS('Material routes'!$B$6:$B$2205,A17,'Material routes'!$C$6:$C$2205,"Contained input"),COUNTIFS('Material routes'!$B$6:$B$2205,A17,'Material routes'!$C$6:$C$2205,"Transform input"))</x:f>
        <x:v>1</x:v>
      </x:c>
      <x:c r="J17" s="4" t="n">
        <x:f>COUNTIFS('Material routes'!$B$6:$B$2205,A17,'Material routes'!$C$6:$C$2205,"Output")</x:f>
        <x:v>1</x:v>
      </x:c>
      <x:c r="K17" s="4" t="n">
        <x:f>COUNTIFS('Material routes'!$B$6:$B$2205,A17,'Material routes'!$C$6:$C$2205,"Tool candidate")</x:f>
        <x:v>0</x:v>
      </x:c>
      <x:c r="L17" s="4" t="str">
        <x:v>New game proposal; no complete recipe</x:v>
      </x:c>
      <x:c r="M17" s="4" t="str">
        <x:v>Quantities, supporting inputs, compatibility and process conditions remain open.</x:v>
      </x:c>
    </x:row>
    <x:row r="18" ht="85" customHeight="1">
      <x:c r="A18" s="4" t="str">
        <x:v>design.refine.bio.wing_panel</x:v>
      </x:c>
      <x:c r="B18" s="4" t="str">
        <x:v>Prepared wing shade panel preparation</x:v>
      </x:c>
      <x:c r="C18" s="4" t="str">
        <x:v>Material refinement</x:v>
      </x:c>
      <x:c r="D18" s="4" t="str">
        <x:v>Proposal</x:v>
      </x:c>
      <x:c r="E18" s="4" t="str">
        <x:v>Partial proposal</x:v>
      </x:c>
      <x:c r="F18" s="4" t="str">
        <x:v>Prepare the listed output from candidate material inputs.</x:v>
      </x:c>
      <x:c r="G18" s="4" t="str">
        <x:v>Husk-sheet cutting shears, pressure fixtures and dedicated preparation surfaces. Very low hide/fur yield; no ordinary cloth or plant inputs.</x:v>
      </x:c>
      <x:c r="H18" s="4" t="str">
        <x:f>IF(I18=0,"Unassigned",IF(SUMIFS('Material routes'!$Q$6:$Q$2205,'Material routes'!$B$6:$B$2205,A18)&gt;0,"Unassigned","T"&amp;_xlfn.MAXIFS('Material routes'!$P$6:$P$2205,'Material routes'!$B$6:$B$2205,A18)))</x:f>
        <x:v>T0</x:v>
      </x:c>
      <x:c r="I18" s="4" t="n">
        <x:f>SUM(COUNTIFS('Material routes'!$B$6:$B$2205,A18,'Material routes'!$C$6:$C$2205,"Ingredient candidate"),COUNTIFS('Material routes'!$B$6:$B$2205,A18,'Material routes'!$C$6:$C$2205,"Consumed input"),COUNTIFS('Material routes'!$B$6:$B$2205,A18,'Material routes'!$C$6:$C$2205,"Contained input"),COUNTIFS('Material routes'!$B$6:$B$2205,A18,'Material routes'!$C$6:$C$2205,"Transform input"))</x:f>
        <x:v>1</x:v>
      </x:c>
      <x:c r="J18" s="4" t="n">
        <x:f>COUNTIFS('Material routes'!$B$6:$B$2205,A18,'Material routes'!$C$6:$C$2205,"Output")</x:f>
        <x:v>1</x:v>
      </x:c>
      <x:c r="K18" s="4" t="n">
        <x:f>COUNTIFS('Material routes'!$B$6:$B$2205,A18,'Material routes'!$C$6:$C$2205,"Tool candidate")</x:f>
        <x:v>0</x:v>
      </x:c>
      <x:c r="L18" s="4" t="str">
        <x:v>New game proposal; no complete recipe</x:v>
      </x:c>
      <x:c r="M18" s="4" t="str">
        <x:v>Quantities, supporting inputs, compatibility and process conditions remain open.</x:v>
      </x:c>
    </x:row>
    <x:row r="19" ht="85" customHeight="1">
      <x:c r="A19" s="4" t="str">
        <x:v>design.refine.wind.sail_panel</x:v>
      </x:c>
      <x:c r="B19" s="4" t="str">
        <x:v>Prepared insect-wing sail panel preparation</x:v>
      </x:c>
      <x:c r="C19" s="4" t="str">
        <x:v>Material refinement</x:v>
      </x:c>
      <x:c r="D19" s="4" t="str">
        <x:v>Proposal</x:v>
      </x:c>
      <x:c r="E19" s="4" t="str">
        <x:v>Partial proposal</x:v>
      </x:c>
      <x:c r="F19" s="4" t="str">
        <x:v>Prepare the listed output from candidate material inputs.</x:v>
      </x:c>
      <x:c r="G19" s="4" t="str">
        <x:v>Husk-sheet cutting shears, pressure fixtures and dedicated preparation surfaces. Very low hide/fur yield; no ordinary cloth or plant inputs.</x:v>
      </x:c>
      <x:c r="H19" s="4" t="str">
        <x:f>IF(I19=0,"Unassigned",IF(SUMIFS('Material routes'!$Q$6:$Q$2205,'Material routes'!$B$6:$B$2205,A19)&gt;0,"Unassigned","T"&amp;_xlfn.MAXIFS('Material routes'!$P$6:$P$2205,'Material routes'!$B$6:$B$2205,A19)))</x:f>
        <x:v>T0</x:v>
      </x:c>
      <x:c r="I19" s="4" t="n">
        <x:f>SUM(COUNTIFS('Material routes'!$B$6:$B$2205,A19,'Material routes'!$C$6:$C$2205,"Ingredient candidate"),COUNTIFS('Material routes'!$B$6:$B$2205,A19,'Material routes'!$C$6:$C$2205,"Consumed input"),COUNTIFS('Material routes'!$B$6:$B$2205,A19,'Material routes'!$C$6:$C$2205,"Contained input"),COUNTIFS('Material routes'!$B$6:$B$2205,A19,'Material routes'!$C$6:$C$2205,"Transform input"))</x:f>
        <x:v>1</x:v>
      </x:c>
      <x:c r="J19" s="4" t="n">
        <x:f>COUNTIFS('Material routes'!$B$6:$B$2205,A19,'Material routes'!$C$6:$C$2205,"Output")</x:f>
        <x:v>1</x:v>
      </x:c>
      <x:c r="K19" s="4" t="n">
        <x:f>COUNTIFS('Material routes'!$B$6:$B$2205,A19,'Material routes'!$C$6:$C$2205,"Tool candidate")</x:f>
        <x:v>0</x:v>
      </x:c>
      <x:c r="L19" s="4" t="str">
        <x:v>New game proposal; no complete recipe</x:v>
      </x:c>
      <x:c r="M19" s="4" t="str">
        <x:v>Quantities, supporting inputs, compatibility and process conditions remain open.</x:v>
      </x:c>
    </x:row>
    <x:row r="20" ht="85" customHeight="1">
      <x:c r="A20" s="4" t="str">
        <x:v>design.refine.lubricant.base</x:v>
      </x:c>
      <x:c r="B20" s="4" t="str">
        <x:v>Clarified faunal lubricant base preparation</x:v>
      </x:c>
      <x:c r="C20" s="4" t="str">
        <x:v>Material refinement</x:v>
      </x:c>
      <x:c r="D20" s="4" t="str">
        <x:v>Proposal</x:v>
      </x:c>
      <x:c r="E20" s="4" t="str">
        <x:v>Partial proposal</x:v>
      </x:c>
      <x:c r="F20" s="4" t="str">
        <x:v>Prepare the listed output from candidate material inputs.</x:v>
      </x:c>
      <x:c r="G20" s="4" t="str">
        <x:v>Contained segregated vessels, Ceramic grinding mortar, Ceramic pestle and Glass transfer funnel. Process/carrier compatibility unresolved.</x:v>
      </x:c>
      <x:c r="H20" s="4" t="str">
        <x:f>IF(I20=0,"Unassigned",IF(SUMIFS('Material routes'!$Q$6:$Q$2205,'Material routes'!$B$6:$B$2205,A20)&gt;0,"Unassigned","T"&amp;_xlfn.MAXIFS('Material routes'!$P$6:$P$2205,'Material routes'!$B$6:$B$2205,A20)))</x:f>
        <x:v>T0</x:v>
      </x:c>
      <x:c r="I20" s="4" t="n">
        <x:f>SUM(COUNTIFS('Material routes'!$B$6:$B$2205,A20,'Material routes'!$C$6:$C$2205,"Ingredient candidate"),COUNTIFS('Material routes'!$B$6:$B$2205,A20,'Material routes'!$C$6:$C$2205,"Consumed input"),COUNTIFS('Material routes'!$B$6:$B$2205,A20,'Material routes'!$C$6:$C$2205,"Contained input"),COUNTIFS('Material routes'!$B$6:$B$2205,A20,'Material routes'!$C$6:$C$2205,"Transform input"))</x:f>
        <x:v>1</x:v>
      </x:c>
      <x:c r="J20" s="4" t="n">
        <x:f>COUNTIFS('Material routes'!$B$6:$B$2205,A20,'Material routes'!$C$6:$C$2205,"Output")</x:f>
        <x:v>1</x:v>
      </x:c>
      <x:c r="K20" s="4" t="n">
        <x:f>COUNTIFS('Material routes'!$B$6:$B$2205,A20,'Material routes'!$C$6:$C$2205,"Tool candidate")</x:f>
        <x:v>0</x:v>
      </x:c>
      <x:c r="L20" s="4" t="str">
        <x:v>New game proposal; no complete recipe</x:v>
      </x:c>
      <x:c r="M20" s="4" t="str">
        <x:v>Quantities, supporting inputs, compatibility and process conditions remain open.</x:v>
      </x:c>
    </x:row>
    <x:row r="21" ht="85" customHeight="1">
      <x:c r="A21" s="4" t="str">
        <x:v>design.refine.lubricant.thickener</x:v>
      </x:c>
      <x:c r="B21" s="4" t="str">
        <x:v>Prepared secretion thickener preparation</x:v>
      </x:c>
      <x:c r="C21" s="4" t="str">
        <x:v>Material refinement</x:v>
      </x:c>
      <x:c r="D21" s="4" t="str">
        <x:v>Proposal</x:v>
      </x:c>
      <x:c r="E21" s="4" t="str">
        <x:v>Partial proposal</x:v>
      </x:c>
      <x:c r="F21" s="4" t="str">
        <x:v>Prepare the listed output from candidate material inputs.</x:v>
      </x:c>
      <x:c r="G21" s="4" t="str">
        <x:v>Contained segregated vessels, Ceramic grinding mortar, Ceramic pestle and Glass transfer funnel. Process/carrier compatibility unresolved.</x:v>
      </x:c>
      <x:c r="H21" s="4" t="str">
        <x:f>IF(I21=0,"Unassigned",IF(SUMIFS('Material routes'!$Q$6:$Q$2205,'Material routes'!$B$6:$B$2205,A21)&gt;0,"Unassigned","T"&amp;_xlfn.MAXIFS('Material routes'!$P$6:$P$2205,'Material routes'!$B$6:$B$2205,A21)))</x:f>
        <x:v>T0</x:v>
      </x:c>
      <x:c r="I21" s="4" t="n">
        <x:f>SUM(COUNTIFS('Material routes'!$B$6:$B$2205,A21,'Material routes'!$C$6:$C$2205,"Ingredient candidate"),COUNTIFS('Material routes'!$B$6:$B$2205,A21,'Material routes'!$C$6:$C$2205,"Consumed input"),COUNTIFS('Material routes'!$B$6:$B$2205,A21,'Material routes'!$C$6:$C$2205,"Contained input"),COUNTIFS('Material routes'!$B$6:$B$2205,A21,'Material routes'!$C$6:$C$2205,"Transform input"))</x:f>
        <x:v>1</x:v>
      </x:c>
      <x:c r="J21" s="4" t="n">
        <x:f>COUNTIFS('Material routes'!$B$6:$B$2205,A21,'Material routes'!$C$6:$C$2205,"Output")</x:f>
        <x:v>1</x:v>
      </x:c>
      <x:c r="K21" s="4" t="n">
        <x:f>COUNTIFS('Material routes'!$B$6:$B$2205,A21,'Material routes'!$C$6:$C$2205,"Tool candidate")</x:f>
        <x:v>0</x:v>
      </x:c>
      <x:c r="L21" s="4" t="str">
        <x:v>New game proposal; no complete recipe</x:v>
      </x:c>
      <x:c r="M21" s="4" t="str">
        <x:v>Quantities, supporting inputs, compatibility and process conditions remain open.</x:v>
      </x:c>
    </x:row>
    <x:row r="22" ht="85" customHeight="1">
      <x:c r="A22" s="4" t="str">
        <x:v>design.refine.t1.iron_bloom</x:v>
      </x:c>
      <x:c r="B22" s="4" t="str">
        <x:v>Smelted iron bloom preparation</x:v>
      </x:c>
      <x:c r="C22" s="4" t="str">
        <x:v>Material refinement</x:v>
      </x:c>
      <x:c r="D22" s="4" t="str">
        <x:v>Proposal</x:v>
      </x:c>
      <x:c r="E22" s="4" t="str">
        <x:v>Partial proposal</x:v>
      </x:c>
      <x:c r="F22" s="4" t="str">
        <x:v>Prepare the listed output from candidate material inputs.</x:v>
      </x:c>
      <x:c r="G22" s="4" t="str">
        <x:v>Forge hearth, Anvil, Forging hammer, Smithing tongs, Metalworking file and Hand-cranked metal drill as applicable. Existing workshop bootstrap and controlled heating/cooling required; no free-water quench assumed.</x:v>
      </x:c>
      <x:c r="H22" s="4" t="str">
        <x:f>IF(I22=0,"Unassigned",IF(SUMIFS('Material routes'!$Q$6:$Q$2205,'Material routes'!$B$6:$B$2205,A22)&gt;0,"Unassigned","T"&amp;_xlfn.MAXIFS('Material routes'!$P$6:$P$2205,'Material routes'!$B$6:$B$2205,A22)))</x:f>
        <x:v>T0</x:v>
      </x:c>
      <x:c r="I22" s="4" t="n">
        <x:f>SUM(COUNTIFS('Material routes'!$B$6:$B$2205,A22,'Material routes'!$C$6:$C$2205,"Ingredient candidate"),COUNTIFS('Material routes'!$B$6:$B$2205,A22,'Material routes'!$C$6:$C$2205,"Consumed input"),COUNTIFS('Material routes'!$B$6:$B$2205,A22,'Material routes'!$C$6:$C$2205,"Contained input"),COUNTIFS('Material routes'!$B$6:$B$2205,A22,'Material routes'!$C$6:$C$2205,"Transform input"))</x:f>
        <x:v>1</x:v>
      </x:c>
      <x:c r="J22" s="4" t="n">
        <x:f>COUNTIFS('Material routes'!$B$6:$B$2205,A22,'Material routes'!$C$6:$C$2205,"Output")</x:f>
        <x:v>1</x:v>
      </x:c>
      <x:c r="K22" s="4" t="n">
        <x:f>COUNTIFS('Material routes'!$B$6:$B$2205,A22,'Material routes'!$C$6:$C$2205,"Tool candidate")</x:f>
        <x:v>0</x:v>
      </x:c>
      <x:c r="L22" s="4" t="str">
        <x:v>https://github.com/sleepyseamonster/Arc-Dust/blob/f6f98515c005dc3c73cccd9cbc031691745740c6/02-Arc-Dust-Worldbuilding/world/materials/industrial-material-palette.md (source proposal; game route proposed)</x:v>
      </x:c>
      <x:c r="M22" s="4" t="str">
        <x:v>Quantities, supporting inputs, compatibility and process conditions remain open.</x:v>
      </x:c>
    </x:row>
    <x:row r="23" ht="85" customHeight="1">
      <x:c r="A23" s="4" t="str">
        <x:v>design.refine.t1.copper_cake</x:v>
      </x:c>
      <x:c r="B23" s="4" t="str">
        <x:v>Refined copper cake preparation</x:v>
      </x:c>
      <x:c r="C23" s="4" t="str">
        <x:v>Material refinement</x:v>
      </x:c>
      <x:c r="D23" s="4" t="str">
        <x:v>Proposal</x:v>
      </x:c>
      <x:c r="E23" s="4" t="str">
        <x:v>Partial proposal</x:v>
      </x:c>
      <x:c r="F23" s="4" t="str">
        <x:v>Prepare the listed output from candidate material inputs.</x:v>
      </x:c>
      <x:c r="G23" s="4" t="str">
        <x:v>Forge hearth, Anvil, Forging hammer, Smithing tongs, Metalworking file and Hand-cranked metal drill as applicable. Existing workshop bootstrap and controlled heating/cooling required; no free-water quench assumed.</x:v>
      </x:c>
      <x:c r="H23" s="4" t="str">
        <x:f>IF(I23=0,"Unassigned",IF(SUMIFS('Material routes'!$Q$6:$Q$2205,'Material routes'!$B$6:$B$2205,A23)&gt;0,"Unassigned","T"&amp;_xlfn.MAXIFS('Material routes'!$P$6:$P$2205,'Material routes'!$B$6:$B$2205,A23)))</x:f>
        <x:v>T0</x:v>
      </x:c>
      <x:c r="I23" s="4" t="n">
        <x:f>SUM(COUNTIFS('Material routes'!$B$6:$B$2205,A23,'Material routes'!$C$6:$C$2205,"Ingredient candidate"),COUNTIFS('Material routes'!$B$6:$B$2205,A23,'Material routes'!$C$6:$C$2205,"Consumed input"),COUNTIFS('Material routes'!$B$6:$B$2205,A23,'Material routes'!$C$6:$C$2205,"Contained input"),COUNTIFS('Material routes'!$B$6:$B$2205,A23,'Material routes'!$C$6:$C$2205,"Transform input"))</x:f>
        <x:v>1</x:v>
      </x:c>
      <x:c r="J23" s="4" t="n">
        <x:f>COUNTIFS('Material routes'!$B$6:$B$2205,A23,'Material routes'!$C$6:$C$2205,"Output")</x:f>
        <x:v>1</x:v>
      </x:c>
      <x:c r="K23" s="4" t="n">
        <x:f>COUNTIFS('Material routes'!$B$6:$B$2205,A23,'Material routes'!$C$6:$C$2205,"Tool candidate")</x:f>
        <x:v>0</x:v>
      </x:c>
      <x:c r="L23" s="4" t="str">
        <x:v>https://github.com/sleepyseamonster/Arc-Dust/blob/f6f98515c005dc3c73cccd9cbc031691745740c6/02-Arc-Dust-Worldbuilding/world/materials/industrial-material-palette.md (source proposal; game route proposed)</x:v>
      </x:c>
      <x:c r="M23" s="4" t="str">
        <x:v>Quantities, supporting inputs, compatibility and process conditions remain open.</x:v>
      </x:c>
    </x:row>
    <x:row r="24" ht="85" customHeight="1">
      <x:c r="A24" s="4" t="str">
        <x:v>design.refine.t1.brass_billet</x:v>
      </x:c>
      <x:c r="B24" s="4" t="str">
        <x:v>Reclaimed brass billet preparation</x:v>
      </x:c>
      <x:c r="C24" s="4" t="str">
        <x:v>Material refinement</x:v>
      </x:c>
      <x:c r="D24" s="4" t="str">
        <x:v>Proposal</x:v>
      </x:c>
      <x:c r="E24" s="4" t="str">
        <x:v>Partial proposal</x:v>
      </x:c>
      <x:c r="F24" s="4" t="str">
        <x:v>Prepare the listed output from candidate material inputs.</x:v>
      </x:c>
      <x:c r="G24" s="4" t="str">
        <x:v>Forge hearth, Anvil, Forging hammer, Smithing tongs, Metalworking file and Hand-cranked metal drill as applicable. Existing workshop bootstrap and controlled heating/cooling required; no free-water quench assumed.</x:v>
      </x:c>
      <x:c r="H24" s="4" t="str">
        <x:f>IF(I24=0,"Unassigned",IF(SUMIFS('Material routes'!$Q$6:$Q$2205,'Material routes'!$B$6:$B$2205,A24)&gt;0,"Unassigned","T"&amp;_xlfn.MAXIFS('Material routes'!$P$6:$P$2205,'Material routes'!$B$6:$B$2205,A24)))</x:f>
        <x:v>T0</x:v>
      </x:c>
      <x:c r="I24" s="4" t="n">
        <x:f>SUM(COUNTIFS('Material routes'!$B$6:$B$2205,A24,'Material routes'!$C$6:$C$2205,"Ingredient candidate"),COUNTIFS('Material routes'!$B$6:$B$2205,A24,'Material routes'!$C$6:$C$2205,"Consumed input"),COUNTIFS('Material routes'!$B$6:$B$2205,A24,'Material routes'!$C$6:$C$2205,"Contained input"),COUNTIFS('Material routes'!$B$6:$B$2205,A24,'Material routes'!$C$6:$C$2205,"Transform input"))</x:f>
        <x:v>1</x:v>
      </x:c>
      <x:c r="J24" s="4" t="n">
        <x:f>COUNTIFS('Material routes'!$B$6:$B$2205,A24,'Material routes'!$C$6:$C$2205,"Output")</x:f>
        <x:v>1</x:v>
      </x:c>
      <x:c r="K24" s="4" t="n">
        <x:f>COUNTIFS('Material routes'!$B$6:$B$2205,A24,'Material routes'!$C$6:$C$2205,"Tool candidate")</x:f>
        <x:v>0</x:v>
      </x:c>
      <x:c r="L24" s="4" t="str">
        <x:v>https://github.com/sleepyseamonster/Arc-Dust/blob/f6f98515c005dc3c73cccd9cbc031691745740c6/02-Arc-Dust-Worldbuilding/world/materials/industrial-material-palette.md (source proposal; game route proposed)</x:v>
      </x:c>
      <x:c r="M24" s="4" t="str">
        <x:v>Quantities, supporting inputs, compatibility and process conditions remain open.</x:v>
      </x:c>
    </x:row>
    <x:row r="25" ht="85" customHeight="1">
      <x:c r="A25" s="4" t="str">
        <x:v>design.refine.t1.bronze_billet</x:v>
      </x:c>
      <x:c r="B25" s="4" t="str">
        <x:v>Reclaimed bronze billet preparation</x:v>
      </x:c>
      <x:c r="C25" s="4" t="str">
        <x:v>Material refinement</x:v>
      </x:c>
      <x:c r="D25" s="4" t="str">
        <x:v>Proposal</x:v>
      </x:c>
      <x:c r="E25" s="4" t="str">
        <x:v>Partial proposal</x:v>
      </x:c>
      <x:c r="F25" s="4" t="str">
        <x:v>Prepare the listed output from candidate material inputs.</x:v>
      </x:c>
      <x:c r="G25" s="4" t="str">
        <x:v>Forge hearth, Anvil, Forging hammer, Smithing tongs, Metalworking file and Hand-cranked metal drill as applicable. Existing workshop bootstrap and controlled heating/cooling required; no free-water quench assumed.</x:v>
      </x:c>
      <x:c r="H25" s="4" t="str">
        <x:f>IF(I25=0,"Unassigned",IF(SUMIFS('Material routes'!$Q$6:$Q$2205,'Material routes'!$B$6:$B$2205,A25)&gt;0,"Unassigned","T"&amp;_xlfn.MAXIFS('Material routes'!$P$6:$P$2205,'Material routes'!$B$6:$B$2205,A25)))</x:f>
        <x:v>T0</x:v>
      </x:c>
      <x:c r="I25" s="4" t="n">
        <x:f>SUM(COUNTIFS('Material routes'!$B$6:$B$2205,A25,'Material routes'!$C$6:$C$2205,"Ingredient candidate"),COUNTIFS('Material routes'!$B$6:$B$2205,A25,'Material routes'!$C$6:$C$2205,"Consumed input"),COUNTIFS('Material routes'!$B$6:$B$2205,A25,'Material routes'!$C$6:$C$2205,"Contained input"),COUNTIFS('Material routes'!$B$6:$B$2205,A25,'Material routes'!$C$6:$C$2205,"Transform input"))</x:f>
        <x:v>1</x:v>
      </x:c>
      <x:c r="J25" s="4" t="n">
        <x:f>COUNTIFS('Material routes'!$B$6:$B$2205,A25,'Material routes'!$C$6:$C$2205,"Output")</x:f>
        <x:v>1</x:v>
      </x:c>
      <x:c r="K25" s="4" t="n">
        <x:f>COUNTIFS('Material routes'!$B$6:$B$2205,A25,'Material routes'!$C$6:$C$2205,"Tool candidate")</x:f>
        <x:v>0</x:v>
      </x:c>
      <x:c r="L25" s="4" t="str">
        <x:v>https://github.com/sleepyseamonster/Arc-Dust/blob/f6f98515c005dc3c73cccd9cbc031691745740c6/02-Arc-Dust-Worldbuilding/world/materials/industrial-material-palette.md (source proposal; game route proposed)</x:v>
      </x:c>
      <x:c r="M25" s="4" t="str">
        <x:v>Quantities, supporting inputs, compatibility and process conditions remain open.</x:v>
      </x:c>
    </x:row>
    <x:row r="26" ht="85" customHeight="1">
      <x:c r="A26" s="4" t="str">
        <x:v>design.refine.t1.opaque_glass</x:v>
      </x:c>
      <x:c r="B26" s="4" t="str">
        <x:v>Opaque mineral-glass stock preparation</x:v>
      </x:c>
      <x:c r="C26" s="4" t="str">
        <x:v>Material refinement</x:v>
      </x:c>
      <x:c r="D26" s="4" t="str">
        <x:v>Proposal</x:v>
      </x:c>
      <x:c r="E26" s="4" t="str">
        <x:v>Partial proposal</x:v>
      </x:c>
      <x:c r="F26" s="4" t="str">
        <x:v>Prepare the listed output from candidate material inputs.</x:v>
      </x:c>
      <x:c r="G26" s="4" t="str">
        <x:v>Controlled-heating firing kiln or specialist glass hot-work station; Ceramic firing tray / Ceramic casting mold as applicable. Qualified power, heat and atmosphere required.</x:v>
      </x:c>
      <x:c r="H26" s="4" t="str">
        <x:f>IF(I26=0,"Unassigned",IF(SUMIFS('Material routes'!$Q$6:$Q$2205,'Material routes'!$B$6:$B$2205,A26)&gt;0,"Unassigned","T"&amp;_xlfn.MAXIFS('Material routes'!$P$6:$P$2205,'Material routes'!$B$6:$B$2205,A26)))</x:f>
        <x:v>T0</x:v>
      </x:c>
      <x:c r="I26" s="4" t="n">
        <x:f>SUM(COUNTIFS('Material routes'!$B$6:$B$2205,A26,'Material routes'!$C$6:$C$2205,"Ingredient candidate"),COUNTIFS('Material routes'!$B$6:$B$2205,A26,'Material routes'!$C$6:$C$2205,"Consumed input"),COUNTIFS('Material routes'!$B$6:$B$2205,A26,'Material routes'!$C$6:$C$2205,"Contained input"),COUNTIFS('Material routes'!$B$6:$B$2205,A26,'Material routes'!$C$6:$C$2205,"Transform input"))</x:f>
        <x:v>1</x:v>
      </x:c>
      <x:c r="J26" s="4" t="n">
        <x:f>COUNTIFS('Material routes'!$B$6:$B$2205,A26,'Material routes'!$C$6:$C$2205,"Output")</x:f>
        <x:v>1</x:v>
      </x:c>
      <x:c r="K26" s="4" t="n">
        <x:f>COUNTIFS('Material routes'!$B$6:$B$2205,A26,'Material routes'!$C$6:$C$2205,"Tool candidate")</x:f>
        <x:v>0</x:v>
      </x:c>
      <x:c r="L26" s="4" t="str">
        <x:v>https://github.com/sleepyseamonster/Arc-Dust/blob/f6f98515c005dc3c73cccd9cbc031691745740c6/02-Arc-Dust-Worldbuilding/world/materials/glass.md (source proposal; game route proposed)</x:v>
      </x:c>
      <x:c r="M26" s="4" t="str">
        <x:v>Quantities, supporting inputs, compatibility and process conditions remain open.</x:v>
      </x:c>
    </x:row>
    <x:row r="27" ht="85" customHeight="1">
      <x:c r="A27" s="4" t="str">
        <x:v>design.refine.t1.clear_glass_blank</x:v>
      </x:c>
      <x:c r="B27" s="4" t="str">
        <x:v>Rough clear-glass blank preparation</x:v>
      </x:c>
      <x:c r="C27" s="4" t="str">
        <x:v>Material refinement</x:v>
      </x:c>
      <x:c r="D27" s="4" t="str">
        <x:v>Proposal</x:v>
      </x:c>
      <x:c r="E27" s="4" t="str">
        <x:v>Partial proposal</x:v>
      </x:c>
      <x:c r="F27" s="4" t="str">
        <x:v>Prepare the listed output from candidate material inputs.</x:v>
      </x:c>
      <x:c r="G27" s="4" t="str">
        <x:v>Controlled-heating firing kiln or specialist glass hot-work station; Ceramic firing tray / Ceramic casting mold as applicable. Qualified power, heat and atmosphere required.</x:v>
      </x:c>
      <x:c r="H27" s="4" t="str">
        <x:f>IF(I27=0,"Unassigned",IF(SUMIFS('Material routes'!$Q$6:$Q$2205,'Material routes'!$B$6:$B$2205,A27)&gt;0,"Unassigned","T"&amp;_xlfn.MAXIFS('Material routes'!$P$6:$P$2205,'Material routes'!$B$6:$B$2205,A27)))</x:f>
        <x:v>T0</x:v>
      </x:c>
      <x:c r="I27" s="4" t="n">
        <x:f>SUM(COUNTIFS('Material routes'!$B$6:$B$2205,A27,'Material routes'!$C$6:$C$2205,"Ingredient candidate"),COUNTIFS('Material routes'!$B$6:$B$2205,A27,'Material routes'!$C$6:$C$2205,"Consumed input"),COUNTIFS('Material routes'!$B$6:$B$2205,A27,'Material routes'!$C$6:$C$2205,"Contained input"),COUNTIFS('Material routes'!$B$6:$B$2205,A27,'Material routes'!$C$6:$C$2205,"Transform input"))</x:f>
        <x:v>1</x:v>
      </x:c>
      <x:c r="J27" s="4" t="n">
        <x:f>COUNTIFS('Material routes'!$B$6:$B$2205,A27,'Material routes'!$C$6:$C$2205,"Output")</x:f>
        <x:v>1</x:v>
      </x:c>
      <x:c r="K27" s="4" t="n">
        <x:f>COUNTIFS('Material routes'!$B$6:$B$2205,A27,'Material routes'!$C$6:$C$2205,"Tool candidate")</x:f>
        <x:v>0</x:v>
      </x:c>
      <x:c r="L27" s="4" t="str">
        <x:v>https://github.com/sleepyseamonster/Arc-Dust/blob/f6f98515c005dc3c73cccd9cbc031691745740c6/02-Arc-Dust-Worldbuilding/world/materials/glass.md (source proposal; game route proposed)</x:v>
      </x:c>
      <x:c r="M27" s="4" t="str">
        <x:v>Quantities, supporting inputs, compatibility and process conditions remain open.</x:v>
      </x:c>
    </x:row>
    <x:row r="28" ht="85" customHeight="1">
      <x:c r="A28" s="4"/>
      <x:c r="B28" s="4"/>
      <x:c r="C28" s="4"/>
      <x:c r="D28" s="4"/>
      <x:c r="E28" s="4"/>
      <x:c r="F28" s="4"/>
      <x:c r="G28" s="4"/>
      <x:c r="H28" s="4"/>
      <x:c r="I28" s="4"/>
      <x:c r="J28" s="4"/>
      <x:c r="K28" s="4"/>
      <x:c r="L28" s="4"/>
      <x:c r="M28" s="4"/>
    </x:row>
    <x:row r="29" ht="85" customHeight="1">
      <x:c r="A29" s="4"/>
      <x:c r="B29" s="4"/>
      <x:c r="C29" s="4"/>
      <x:c r="D29" s="4"/>
      <x:c r="E29" s="4"/>
      <x:c r="F29" s="4"/>
      <x:c r="G29" s="4"/>
      <x:c r="H29" s="4"/>
      <x:c r="I29" s="4"/>
      <x:c r="J29" s="4"/>
      <x:c r="K29" s="4"/>
      <x:c r="L29" s="4"/>
      <x:c r="M29" s="4"/>
    </x:row>
    <x:row r="30" ht="85" customHeight="1">
      <x:c r="A30" s="4"/>
      <x:c r="B30" s="4"/>
      <x:c r="C30" s="4"/>
      <x:c r="D30" s="4"/>
      <x:c r="E30" s="4"/>
      <x:c r="F30" s="4"/>
      <x:c r="G30" s="4"/>
      <x:c r="H30" s="4"/>
      <x:c r="I30" s="4"/>
      <x:c r="J30" s="4"/>
      <x:c r="K30" s="4"/>
      <x:c r="L30" s="4"/>
      <x:c r="M30" s="4"/>
    </x:row>
    <x:row r="31" ht="85" customHeight="1">
      <x:c r="A31" s="4" t="str">
        <x:v>design.refine.t1.mineral_filler</x:v>
      </x:c>
      <x:c r="B31" s="4" t="str">
        <x:v>Graded mineral filler preparation</x:v>
      </x:c>
      <x:c r="C31" s="4" t="str">
        <x:v>Material refinement</x:v>
      </x:c>
      <x:c r="D31" s="4" t="str">
        <x:v>Proposal</x:v>
      </x:c>
      <x:c r="E31" s="4" t="str">
        <x:v>Partial proposal</x:v>
      </x:c>
      <x:c r="F31" s="4" t="str">
        <x:v>Prepare the listed output from candidate material inputs.</x:v>
      </x:c>
      <x:c r="G31" s="4" t="str">
        <x:v>Ceramic grinding mortar, Ceramic pestle, Ceramic abrasive disc and stone-cutting fixtures as applicable; grade selection and finishing qualification required.</x:v>
      </x:c>
      <x:c r="H31" s="4" t="str">
        <x:f>IF(I31=0,"Unassigned",IF(SUMIFS('Material routes'!$Q$6:$Q$2205,'Material routes'!$B$6:$B$2205,A31)&gt;0,"Unassigned","T"&amp;_xlfn.MAXIFS('Material routes'!$P$6:$P$2205,'Material routes'!$B$6:$B$2205,A31)))</x:f>
        <x:v>T0</x:v>
      </x:c>
      <x:c r="I31" s="4" t="n">
        <x:f>SUM(COUNTIFS('Material routes'!$B$6:$B$2205,A31,'Material routes'!$C$6:$C$2205,"Ingredient candidate"),COUNTIFS('Material routes'!$B$6:$B$2205,A31,'Material routes'!$C$6:$C$2205,"Consumed input"),COUNTIFS('Material routes'!$B$6:$B$2205,A31,'Material routes'!$C$6:$C$2205,"Contained input"),COUNTIFS('Material routes'!$B$6:$B$2205,A31,'Material routes'!$C$6:$C$2205,"Transform input"))</x:f>
        <x:v>1</x:v>
      </x:c>
      <x:c r="J31" s="4" t="n">
        <x:f>COUNTIFS('Material routes'!$B$6:$B$2205,A31,'Material routes'!$C$6:$C$2205,"Output")</x:f>
        <x:v>1</x:v>
      </x:c>
      <x:c r="K31" s="4" t="n">
        <x:f>COUNTIFS('Material routes'!$B$6:$B$2205,A31,'Material routes'!$C$6:$C$2205,"Tool candidate")</x:f>
        <x:v>0</x:v>
      </x:c>
      <x:c r="L31" s="4" t="str">
        <x:v>https://github.com/sleepyseamonster/Arc-Dust/blob/f6f98515c005dc3c73cccd9cbc031691745740c6/02-Arc-Dust-Worldbuilding/world/materials/chemical-processing-agents.md (source proposal; game route proposed)</x:v>
      </x:c>
      <x:c r="M31" s="4" t="str">
        <x:v>Quantities, supporting inputs, compatibility and process conditions remain open.</x:v>
      </x:c>
    </x:row>
    <x:row r="32" ht="85" customHeight="1">
      <x:c r="A32" s="4" t="str">
        <x:v>design.refine.t1.glass_feed</x:v>
      </x:c>
      <x:c r="B32" s="4" t="str">
        <x:v>Sorted glass remelt feed preparation</x:v>
      </x:c>
      <x:c r="C32" s="4" t="str">
        <x:v>Material refinement</x:v>
      </x:c>
      <x:c r="D32" s="4" t="str">
        <x:v>Proposal</x:v>
      </x:c>
      <x:c r="E32" s="4" t="str">
        <x:v>Partial proposal</x:v>
      </x:c>
      <x:c r="F32" s="4" t="str">
        <x:v>Prepare the listed output from candidate material inputs.</x:v>
      </x:c>
      <x:c r="G32" s="4" t="str">
        <x:v>Controlled-heating firing kiln or specialist glass hot-work station; Ceramic firing tray / Ceramic casting mold as applicable. Qualified power, heat and atmosphere required.</x:v>
      </x:c>
      <x:c r="H32" s="4" t="str">
        <x:f>IF(I32=0,"Unassigned",IF(SUMIFS('Material routes'!$Q$6:$Q$2205,'Material routes'!$B$6:$B$2205,A32)&gt;0,"Unassigned","T"&amp;_xlfn.MAXIFS('Material routes'!$P$6:$P$2205,'Material routes'!$B$6:$B$2205,A32)))</x:f>
        <x:v>T0</x:v>
      </x:c>
      <x:c r="I32" s="4" t="n">
        <x:f>SUM(COUNTIFS('Material routes'!$B$6:$B$2205,A32,'Material routes'!$C$6:$C$2205,"Ingredient candidate"),COUNTIFS('Material routes'!$B$6:$B$2205,A32,'Material routes'!$C$6:$C$2205,"Consumed input"),COUNTIFS('Material routes'!$B$6:$B$2205,A32,'Material routes'!$C$6:$C$2205,"Contained input"),COUNTIFS('Material routes'!$B$6:$B$2205,A32,'Material routes'!$C$6:$C$2205,"Transform input"))</x:f>
        <x:v>1</x:v>
      </x:c>
      <x:c r="J32" s="4" t="n">
        <x:f>COUNTIFS('Material routes'!$B$6:$B$2205,A32,'Material routes'!$C$6:$C$2205,"Output")</x:f>
        <x:v>1</x:v>
      </x:c>
      <x:c r="K32" s="4" t="n">
        <x:f>COUNTIFS('Material routes'!$B$6:$B$2205,A32,'Material routes'!$C$6:$C$2205,"Tool candidate")</x:f>
        <x:v>0</x:v>
      </x:c>
      <x:c r="L32" s="4" t="str">
        <x:v>https://github.com/sleepyseamonster/Arc-Dust/blob/f6f98515c005dc3c73cccd9cbc031691745740c6/02-Arc-Dust-Worldbuilding/world/materials/glass.md (source proposal; game route proposed)</x:v>
      </x:c>
      <x:c r="M32" s="4" t="str">
        <x:v>Quantities, supporting inputs, compatibility and process conditions remain open.</x:v>
      </x:c>
    </x:row>
    <x:row r="33" ht="85" customHeight="1">
      <x:c r="A33" s="4" t="str">
        <x:v>design.refine.t1.mica_flakes</x:v>
      </x:c>
      <x:c r="B33" s="4" t="str">
        <x:v>Separated mica flake grade preparation</x:v>
      </x:c>
      <x:c r="C33" s="4" t="str">
        <x:v>Material refinement</x:v>
      </x:c>
      <x:c r="D33" s="4" t="str">
        <x:v>Proposal</x:v>
      </x:c>
      <x:c r="E33" s="4" t="str">
        <x:v>Partial proposal</x:v>
      </x:c>
      <x:c r="F33" s="4" t="str">
        <x:v>Prepare the listed output from candidate material inputs.</x:v>
      </x:c>
      <x:c r="G33" s="4" t="str">
        <x:v>Ceramic grinding mortar, Ceramic pestle, Ceramic abrasive disc and stone-cutting fixtures as applicable; grade selection and finishing qualification required.</x:v>
      </x:c>
      <x:c r="H33" s="4" t="str">
        <x:f>IF(I33=0,"Unassigned",IF(SUMIFS('Material routes'!$Q$6:$Q$2205,'Material routes'!$B$6:$B$2205,A33)&gt;0,"Unassigned","T"&amp;_xlfn.MAXIFS('Material routes'!$P$6:$P$2205,'Material routes'!$B$6:$B$2205,A33)))</x:f>
        <x:v>T0</x:v>
      </x:c>
      <x:c r="I33" s="4" t="n">
        <x:f>SUM(COUNTIFS('Material routes'!$B$6:$B$2205,A33,'Material routes'!$C$6:$C$2205,"Ingredient candidate"),COUNTIFS('Material routes'!$B$6:$B$2205,A33,'Material routes'!$C$6:$C$2205,"Consumed input"),COUNTIFS('Material routes'!$B$6:$B$2205,A33,'Material routes'!$C$6:$C$2205,"Contained input"),COUNTIFS('Material routes'!$B$6:$B$2205,A33,'Material routes'!$C$6:$C$2205,"Transform input"))</x:f>
        <x:v>1</x:v>
      </x:c>
      <x:c r="J33" s="4" t="n">
        <x:f>COUNTIFS('Material routes'!$B$6:$B$2205,A33,'Material routes'!$C$6:$C$2205,"Output")</x:f>
        <x:v>1</x:v>
      </x:c>
      <x:c r="K33" s="4" t="n">
        <x:f>COUNTIFS('Material routes'!$B$6:$B$2205,A33,'Material routes'!$C$6:$C$2205,"Tool candidate")</x:f>
        <x:v>0</x:v>
      </x:c>
      <x:c r="L33" s="4" t="str">
        <x:v>https://github.com/sleepyseamonster/Arc-Dust/blob/f6f98515c005dc3c73cccd9cbc031691745740c6/02-Arc-Dust-Worldbuilding/world/materials/industrial-material-palette.md (source proposal; game route proposed)</x:v>
      </x:c>
      <x:c r="M33" s="4" t="str">
        <x:v>Quantities, supporting inputs, compatibility and process conditions remain open.</x:v>
      </x:c>
    </x:row>
    <x:row r="34" ht="85" customHeight="1">
      <x:c r="A34" s="4" t="str">
        <x:v>design.refine.t1.husk_pulp</x:v>
      </x:c>
      <x:c r="B34" s="4" t="str">
        <x:v>Prepared husk-fiber pulp preparation</x:v>
      </x:c>
      <x:c r="C34" s="4" t="str">
        <x:v>Material refinement</x:v>
      </x:c>
      <x:c r="D34" s="4" t="str">
        <x:v>Proposal</x:v>
      </x:c>
      <x:c r="E34" s="4" t="str">
        <x:v>Partial proposal</x:v>
      </x:c>
      <x:c r="F34" s="4" t="str">
        <x:v>Prepare the listed output from candidate material inputs.</x:v>
      </x:c>
      <x:c r="G34" s="4" t="str">
        <x:v>Husk-sheet cutting shears, pressure fixtures and dedicated preparation surfaces. Very low hide/fur yield; no ordinary cloth or plant inputs.</x:v>
      </x:c>
      <x:c r="H34" s="4" t="str">
        <x:f>IF(I34=0,"Unassigned",IF(SUMIFS('Material routes'!$Q$6:$Q$2205,'Material routes'!$B$6:$B$2205,A34)&gt;0,"Unassigned","T"&amp;_xlfn.MAXIFS('Material routes'!$P$6:$P$2205,'Material routes'!$B$6:$B$2205,A34)))</x:f>
        <x:v>T0</x:v>
      </x:c>
      <x:c r="I34" s="4" t="n">
        <x:f>SUM(COUNTIFS('Material routes'!$B$6:$B$2205,A34,'Material routes'!$C$6:$C$2205,"Ingredient candidate"),COUNTIFS('Material routes'!$B$6:$B$2205,A34,'Material routes'!$C$6:$C$2205,"Consumed input"),COUNTIFS('Material routes'!$B$6:$B$2205,A34,'Material routes'!$C$6:$C$2205,"Contained input"),COUNTIFS('Material routes'!$B$6:$B$2205,A34,'Material routes'!$C$6:$C$2205,"Transform input"))</x:f>
        <x:v>1</x:v>
      </x:c>
      <x:c r="J34" s="4" t="n">
        <x:f>COUNTIFS('Material routes'!$B$6:$B$2205,A34,'Material routes'!$C$6:$C$2205,"Output")</x:f>
        <x:v>1</x:v>
      </x:c>
      <x:c r="K34" s="4" t="n">
        <x:f>COUNTIFS('Material routes'!$B$6:$B$2205,A34,'Material routes'!$C$6:$C$2205,"Tool candidate")</x:f>
        <x:v>0</x:v>
      </x:c>
      <x:c r="L34" s="4" t="str">
        <x:v>https://github.com/sleepyseamonster/Arc-Dust/blob/f6f98515c005dc3c73cccd9cbc031691745740c6/02-Arc-Dust-Worldbuilding/world/materials/chitin.md (source proposal; game route proposed)</x:v>
      </x:c>
      <x:c r="M34" s="4" t="str">
        <x:v>Quantities, supporting inputs, compatibility and process conditions remain open.</x:v>
      </x:c>
    </x:row>
    <x:row r="35" ht="85" customHeight="1">
      <x:c r="A35" s="4" t="str">
        <x:v>design.refine.t1.bristle_bundle</x:v>
      </x:c>
      <x:c r="B35" s="4" t="str">
        <x:v>Clean graded bristle bundles preparation</x:v>
      </x:c>
      <x:c r="C35" s="4" t="str">
        <x:v>Material refinement</x:v>
      </x:c>
      <x:c r="D35" s="4" t="str">
        <x:v>Proposal</x:v>
      </x:c>
      <x:c r="E35" s="4" t="str">
        <x:v>Partial proposal</x:v>
      </x:c>
      <x:c r="F35" s="4" t="str">
        <x:v>Prepare the listed output from candidate material inputs.</x:v>
      </x:c>
      <x:c r="G35" s="4" t="str">
        <x:v>Husk-sheet cutting shears, pressure fixtures and dedicated preparation surfaces. Very low hide/fur yield; no ordinary cloth or plant inputs.</x:v>
      </x:c>
      <x:c r="H35" s="4" t="str">
        <x:f>IF(I35=0,"Unassigned",IF(SUMIFS('Material routes'!$Q$6:$Q$2205,'Material routes'!$B$6:$B$2205,A35)&gt;0,"Unassigned","T"&amp;_xlfn.MAXIFS('Material routes'!$P$6:$P$2205,'Material routes'!$B$6:$B$2205,A35)))</x:f>
        <x:v>T0</x:v>
      </x:c>
      <x:c r="I35" s="4" t="n">
        <x:f>SUM(COUNTIFS('Material routes'!$B$6:$B$2205,A35,'Material routes'!$C$6:$C$2205,"Ingredient candidate"),COUNTIFS('Material routes'!$B$6:$B$2205,A35,'Material routes'!$C$6:$C$2205,"Consumed input"),COUNTIFS('Material routes'!$B$6:$B$2205,A35,'Material routes'!$C$6:$C$2205,"Contained input"),COUNTIFS('Material routes'!$B$6:$B$2205,A35,'Material routes'!$C$6:$C$2205,"Transform input"))</x:f>
        <x:v>1</x:v>
      </x:c>
      <x:c r="J35" s="4" t="n">
        <x:f>COUNTIFS('Material routes'!$B$6:$B$2205,A35,'Material routes'!$C$6:$C$2205,"Output")</x:f>
        <x:v>1</x:v>
      </x:c>
      <x:c r="K35" s="4" t="n">
        <x:f>COUNTIFS('Material routes'!$B$6:$B$2205,A35,'Material routes'!$C$6:$C$2205,"Tool candidate")</x:f>
        <x:v>0</x:v>
      </x:c>
      <x:c r="L35" s="4" t="str">
        <x:v>https://github.com/sleepyseamonster/Arc-Dust/blob/f6f98515c005dc3c73cccd9cbc031691745740c6/02-Arc-Dust-Worldbuilding/world/materials/chitin.md (source proposal; game route proposed)</x:v>
      </x:c>
      <x:c r="M35" s="4" t="str">
        <x:v>Quantities, supporting inputs, compatibility and process conditions remain open.</x:v>
      </x:c>
    </x:row>
    <x:row r="36" ht="85" customHeight="1">
      <x:c r="A36" s="4" t="str">
        <x:v>design.refine.t1.shell_lamina</x:v>
      </x:c>
      <x:c r="B36" s="4" t="str">
        <x:v>Separated shell lamina stock preparation</x:v>
      </x:c>
      <x:c r="C36" s="4" t="str">
        <x:v>Material refinement</x:v>
      </x:c>
      <x:c r="D36" s="4" t="str">
        <x:v>Proposal</x:v>
      </x:c>
      <x:c r="E36" s="4" t="str">
        <x:v>Partial proposal</x:v>
      </x:c>
      <x:c r="F36" s="4" t="str">
        <x:v>Prepare the listed output from candidate material inputs.</x:v>
      </x:c>
      <x:c r="G36" s="4" t="str">
        <x:v>Husk-sheet cutting shears, Hand-cranked metal drill and Ceramic abrasive disc as applicable; compatible contained biological preparation and low-yield material handling required.</x:v>
      </x:c>
      <x:c r="H36" s="4" t="str">
        <x:f>IF(I36=0,"Unassigned",IF(SUMIFS('Material routes'!$Q$6:$Q$2205,'Material routes'!$B$6:$B$2205,A36)&gt;0,"Unassigned","T"&amp;_xlfn.MAXIFS('Material routes'!$P$6:$P$2205,'Material routes'!$B$6:$B$2205,A36)))</x:f>
        <x:v>T0</x:v>
      </x:c>
      <x:c r="I36" s="4" t="n">
        <x:f>SUM(COUNTIFS('Material routes'!$B$6:$B$2205,A36,'Material routes'!$C$6:$C$2205,"Ingredient candidate"),COUNTIFS('Material routes'!$B$6:$B$2205,A36,'Material routes'!$C$6:$C$2205,"Consumed input"),COUNTIFS('Material routes'!$B$6:$B$2205,A36,'Material routes'!$C$6:$C$2205,"Contained input"),COUNTIFS('Material routes'!$B$6:$B$2205,A36,'Material routes'!$C$6:$C$2205,"Transform input"))</x:f>
        <x:v>1</x:v>
      </x:c>
      <x:c r="J36" s="4" t="n">
        <x:f>COUNTIFS('Material routes'!$B$6:$B$2205,A36,'Material routes'!$C$6:$C$2205,"Output")</x:f>
        <x:v>1</x:v>
      </x:c>
      <x:c r="K36" s="4" t="n">
        <x:f>COUNTIFS('Material routes'!$B$6:$B$2205,A36,'Material routes'!$C$6:$C$2205,"Tool candidate")</x:f>
        <x:v>0</x:v>
      </x:c>
      <x:c r="L36" s="4" t="str">
        <x:v>https://github.com/sleepyseamonster/Arc-Dust/blob/f6f98515c005dc3c73cccd9cbc031691745740c6/02-Arc-Dust-Worldbuilding/world/materials/chitin.md (source proposal; game route proposed)</x:v>
      </x:c>
      <x:c r="M36" s="4" t="str">
        <x:v>Quantities, supporting inputs, compatibility and process conditions remain open.</x:v>
      </x:c>
    </x:row>
    <x:row r="37" ht="85" customHeight="1">
      <x:c r="A37" s="4" t="str">
        <x:v>design.refine.t1.hardpart_blank</x:v>
      </x:c>
      <x:c r="B37" s="4" t="str">
        <x:v>Shaped fauna hard-part blanks preparation</x:v>
      </x:c>
      <x:c r="C37" s="4" t="str">
        <x:v>Material refinement</x:v>
      </x:c>
      <x:c r="D37" s="4" t="str">
        <x:v>Proposal</x:v>
      </x:c>
      <x:c r="E37" s="4" t="str">
        <x:v>Partial proposal</x:v>
      </x:c>
      <x:c r="F37" s="4" t="str">
        <x:v>Prepare the listed output from candidate material inputs.</x:v>
      </x:c>
      <x:c r="G37" s="4" t="str">
        <x:v>Husk-sheet cutting shears, Hand-cranked metal drill and Ceramic abrasive disc as applicable; compatible contained biological preparation and low-yield material handling required.</x:v>
      </x:c>
      <x:c r="H37" s="4" t="str">
        <x:f>IF(I37=0,"Unassigned",IF(SUMIFS('Material routes'!$Q$6:$Q$2205,'Material routes'!$B$6:$B$2205,A37)&gt;0,"Unassigned","T"&amp;_xlfn.MAXIFS('Material routes'!$P$6:$P$2205,'Material routes'!$B$6:$B$2205,A37)))</x:f>
        <x:v>T0</x:v>
      </x:c>
      <x:c r="I37" s="4" t="n">
        <x:f>SUM(COUNTIFS('Material routes'!$B$6:$B$2205,A37,'Material routes'!$C$6:$C$2205,"Ingredient candidate"),COUNTIFS('Material routes'!$B$6:$B$2205,A37,'Material routes'!$C$6:$C$2205,"Consumed input"),COUNTIFS('Material routes'!$B$6:$B$2205,A37,'Material routes'!$C$6:$C$2205,"Contained input"),COUNTIFS('Material routes'!$B$6:$B$2205,A37,'Material routes'!$C$6:$C$2205,"Transform input"))</x:f>
        <x:v>1</x:v>
      </x:c>
      <x:c r="J37" s="4" t="n">
        <x:f>COUNTIFS('Material routes'!$B$6:$B$2205,A37,'Material routes'!$C$6:$C$2205,"Output")</x:f>
        <x:v>1</x:v>
      </x:c>
      <x:c r="K37" s="4" t="n">
        <x:f>COUNTIFS('Material routes'!$B$6:$B$2205,A37,'Material routes'!$C$6:$C$2205,"Tool candidate")</x:f>
        <x:v>0</x:v>
      </x:c>
      <x:c r="L37" s="4" t="str">
        <x:v>https://github.com/sleepyseamonster/Arc-Dust/blob/f6f98515c005dc3c73cccd9cbc031691745740c6/02-Arc-Dust-Worldbuilding/world/materials/chitin.md (source proposal; game route proposed)</x:v>
      </x:c>
      <x:c r="M37" s="4" t="str">
        <x:v>Quantities, supporting inputs, compatibility and process conditions remain open.</x:v>
      </x:c>
    </x:row>
    <x:row r="38" ht="85" customHeight="1">
      <x:c r="A38" s="4" t="str">
        <x:v>design.refine.t1.process_salts</x:v>
      </x:c>
      <x:c r="B38" s="4" t="str">
        <x:v>Graded process salts preparation</x:v>
      </x:c>
      <x:c r="C38" s="4" t="str">
        <x:v>Material refinement</x:v>
      </x:c>
      <x:c r="D38" s="4" t="str">
        <x:v>Proposal</x:v>
      </x:c>
      <x:c r="E38" s="4" t="str">
        <x:v>Partial proposal</x:v>
      </x:c>
      <x:c r="F38" s="4" t="str">
        <x:v>Prepare the listed output from candidate material inputs.</x:v>
      </x:c>
      <x:c r="G38" s="4" t="str">
        <x:v>Ceramic grinding mortar, Ceramic pestle, Ceramic abrasive disc and stone-cutting fixtures as applicable; grade selection and finishing qualification required.</x:v>
      </x:c>
      <x:c r="H38" s="4" t="str">
        <x:f>IF(I38=0,"Unassigned",IF(SUMIFS('Material routes'!$Q$6:$Q$2205,'Material routes'!$B$6:$B$2205,A38)&gt;0,"Unassigned","T"&amp;_xlfn.MAXIFS('Material routes'!$P$6:$P$2205,'Material routes'!$B$6:$B$2205,A38)))</x:f>
        <x:v>T0</x:v>
      </x:c>
      <x:c r="I38" s="4" t="n">
        <x:f>SUM(COUNTIFS('Material routes'!$B$6:$B$2205,A38,'Material routes'!$C$6:$C$2205,"Ingredient candidate"),COUNTIFS('Material routes'!$B$6:$B$2205,A38,'Material routes'!$C$6:$C$2205,"Consumed input"),COUNTIFS('Material routes'!$B$6:$B$2205,A38,'Material routes'!$C$6:$C$2205,"Contained input"),COUNTIFS('Material routes'!$B$6:$B$2205,A38,'Material routes'!$C$6:$C$2205,"Transform input"))</x:f>
        <x:v>1</x:v>
      </x:c>
      <x:c r="J38" s="4" t="n">
        <x:f>COUNTIFS('Material routes'!$B$6:$B$2205,A38,'Material routes'!$C$6:$C$2205,"Output")</x:f>
        <x:v>1</x:v>
      </x:c>
      <x:c r="K38" s="4" t="n">
        <x:f>COUNTIFS('Material routes'!$B$6:$B$2205,A38,'Material routes'!$C$6:$C$2205,"Tool candidate")</x:f>
        <x:v>0</x:v>
      </x:c>
      <x:c r="L38" s="4" t="str">
        <x:v>https://github.com/sleepyseamonster/Arc-Dust/blob/f6f98515c005dc3c73cccd9cbc031691745740c6/02-Arc-Dust-Worldbuilding/world/materials/chemical-processing-agents.md (source proposal; game route proposed)</x:v>
      </x:c>
      <x:c r="M38" s="4" t="str">
        <x:v>Quantities, supporting inputs, compatibility and process conditions remain open.</x:v>
      </x:c>
    </x:row>
    <x:row r="39" ht="85" customHeight="1">
      <x:c r="A39" s="4" t="str">
        <x:v>design.refine.t1.faunal_carrier</x:v>
      </x:c>
      <x:c r="B39" s="4" t="str">
        <x:v>Selected faunal carrier fraction preparation</x:v>
      </x:c>
      <x:c r="C39" s="4" t="str">
        <x:v>Material refinement</x:v>
      </x:c>
      <x:c r="D39" s="4" t="str">
        <x:v>Proposal</x:v>
      </x:c>
      <x:c r="E39" s="4" t="str">
        <x:v>Partial proposal</x:v>
      </x:c>
      <x:c r="F39" s="4" t="str">
        <x:v>Prepare the listed output from candidate material inputs.</x:v>
      </x:c>
      <x:c r="G39" s="4" t="str">
        <x:v>Contained segregated vessels, Ceramic grinding mortar, Ceramic pestle and Glass transfer funnel. Process/carrier compatibility unresolved.</x:v>
      </x:c>
      <x:c r="H39" s="4" t="str">
        <x:f>IF(I39=0,"Unassigned",IF(SUMIFS('Material routes'!$Q$6:$Q$2205,'Material routes'!$B$6:$B$2205,A39)&gt;0,"Unassigned","T"&amp;_xlfn.MAXIFS('Material routes'!$P$6:$P$2205,'Material routes'!$B$6:$B$2205,A39)))</x:f>
        <x:v>T0</x:v>
      </x:c>
      <x:c r="I39" s="4" t="n">
        <x:f>SUM(COUNTIFS('Material routes'!$B$6:$B$2205,A39,'Material routes'!$C$6:$C$2205,"Ingredient candidate"),COUNTIFS('Material routes'!$B$6:$B$2205,A39,'Material routes'!$C$6:$C$2205,"Consumed input"),COUNTIFS('Material routes'!$B$6:$B$2205,A39,'Material routes'!$C$6:$C$2205,"Contained input"),COUNTIFS('Material routes'!$B$6:$B$2205,A39,'Material routes'!$C$6:$C$2205,"Transform input"))</x:f>
        <x:v>1</x:v>
      </x:c>
      <x:c r="J39" s="4" t="n">
        <x:f>COUNTIFS('Material routes'!$B$6:$B$2205,A39,'Material routes'!$C$6:$C$2205,"Output")</x:f>
        <x:v>1</x:v>
      </x:c>
      <x:c r="K39" s="4" t="n">
        <x:f>COUNTIFS('Material routes'!$B$6:$B$2205,A39,'Material routes'!$C$6:$C$2205,"Tool candidate")</x:f>
        <x:v>0</x:v>
      </x:c>
      <x:c r="L39" s="4" t="str">
        <x:v>https://github.com/sleepyseamonster/Arc-Dust/blob/f6f98515c005dc3c73cccd9cbc031691745740c6/02-Arc-Dust-Worldbuilding/world/materials/chemical-processing-agents.md (source proposal; game route proposed)</x:v>
      </x:c>
      <x:c r="M39" s="4" t="str">
        <x:v>Quantities, supporting inputs, compatibility and process conditions remain open.</x:v>
      </x:c>
    </x:row>
    <x:row r="40" ht="85" customHeight="1">
      <x:c r="A40" s="4" t="str">
        <x:v>design.refine.t1.shell_adhesive</x:v>
      </x:c>
      <x:c r="B40" s="4" t="str">
        <x:v>Prepared shell-binding adhesive preparation</x:v>
      </x:c>
      <x:c r="C40" s="4" t="str">
        <x:v>Material refinement</x:v>
      </x:c>
      <x:c r="D40" s="4" t="str">
        <x:v>Proposal</x:v>
      </x:c>
      <x:c r="E40" s="4" t="str">
        <x:v>Partial proposal</x:v>
      </x:c>
      <x:c r="F40" s="4" t="str">
        <x:v>Prepare the listed output from candidate material inputs.</x:v>
      </x:c>
      <x:c r="G40" s="4" t="str">
        <x:v>Contained segregated vessels, Ceramic grinding mortar, Ceramic pestle and Glass transfer funnel. Process/carrier compatibility unresolved.</x:v>
      </x:c>
      <x:c r="H40" s="4" t="str">
        <x:f>IF(I40=0,"Unassigned",IF(SUMIFS('Material routes'!$Q$6:$Q$2205,'Material routes'!$B$6:$B$2205,A40)&gt;0,"Unassigned","T"&amp;_xlfn.MAXIFS('Material routes'!$P$6:$P$2205,'Material routes'!$B$6:$B$2205,A40)))</x:f>
        <x:v>T0</x:v>
      </x:c>
      <x:c r="I40" s="4" t="n">
        <x:f>SUM(COUNTIFS('Material routes'!$B$6:$B$2205,A40,'Material routes'!$C$6:$C$2205,"Ingredient candidate"),COUNTIFS('Material routes'!$B$6:$B$2205,A40,'Material routes'!$C$6:$C$2205,"Consumed input"),COUNTIFS('Material routes'!$B$6:$B$2205,A40,'Material routes'!$C$6:$C$2205,"Contained input"),COUNTIFS('Material routes'!$B$6:$B$2205,A40,'Material routes'!$C$6:$C$2205,"Transform input"))</x:f>
        <x:v>1</x:v>
      </x:c>
      <x:c r="J40" s="4" t="n">
        <x:f>COUNTIFS('Material routes'!$B$6:$B$2205,A40,'Material routes'!$C$6:$C$2205,"Output")</x:f>
        <x:v>1</x:v>
      </x:c>
      <x:c r="K40" s="4" t="n">
        <x:f>COUNTIFS('Material routes'!$B$6:$B$2205,A40,'Material routes'!$C$6:$C$2205,"Tool candidate")</x:f>
        <x:v>0</x:v>
      </x:c>
      <x:c r="L40" s="4" t="str">
        <x:v>https://github.com/sleepyseamonster/Arc-Dust/blob/f6f98515c005dc3c73cccd9cbc031691745740c6/02-Arc-Dust-Worldbuilding/world/materials/chemical-processing-agents.md (source proposal; game route proposed)</x:v>
      </x:c>
      <x:c r="M40" s="4" t="str">
        <x:v>Quantities, supporting inputs, compatibility and process conditions remain open.</x:v>
      </x:c>
    </x:row>
    <x:row r="41" ht="85" customHeight="1">
      <x:c r="A41" s="4" t="str">
        <x:v>design.refine.t1.clot_seal</x:v>
      </x:c>
      <x:c r="B41" s="4" t="str">
        <x:v>Prepared clot-seal compound preparation</x:v>
      </x:c>
      <x:c r="C41" s="4" t="str">
        <x:v>Material refinement</x:v>
      </x:c>
      <x:c r="D41" s="4" t="str">
        <x:v>Proposal</x:v>
      </x:c>
      <x:c r="E41" s="4" t="str">
        <x:v>Partial proposal</x:v>
      </x:c>
      <x:c r="F41" s="4" t="str">
        <x:v>Prepare the listed output from candidate material inputs.</x:v>
      </x:c>
      <x:c r="G41" s="4" t="str">
        <x:v>Contained segregated vessels, Ceramic grinding mortar, Ceramic pestle and Glass transfer funnel. Process/carrier compatibility unresolved.</x:v>
      </x:c>
      <x:c r="H41" s="4" t="str">
        <x:f>IF(I41=0,"Unassigned",IF(SUMIFS('Material routes'!$Q$6:$Q$2205,'Material routes'!$B$6:$B$2205,A41)&gt;0,"Unassigned","T"&amp;_xlfn.MAXIFS('Material routes'!$P$6:$P$2205,'Material routes'!$B$6:$B$2205,A41)))</x:f>
        <x:v>T0</x:v>
      </x:c>
      <x:c r="I41" s="4" t="n">
        <x:f>SUM(COUNTIFS('Material routes'!$B$6:$B$2205,A41,'Material routes'!$C$6:$C$2205,"Ingredient candidate"),COUNTIFS('Material routes'!$B$6:$B$2205,A41,'Material routes'!$C$6:$C$2205,"Consumed input"),COUNTIFS('Material routes'!$B$6:$B$2205,A41,'Material routes'!$C$6:$C$2205,"Contained input"),COUNTIFS('Material routes'!$B$6:$B$2205,A41,'Material routes'!$C$6:$C$2205,"Transform input"))</x:f>
        <x:v>1</x:v>
      </x:c>
      <x:c r="J41" s="4" t="n">
        <x:f>COUNTIFS('Material routes'!$B$6:$B$2205,A41,'Material routes'!$C$6:$C$2205,"Output")</x:f>
        <x:v>1</x:v>
      </x:c>
      <x:c r="K41" s="4" t="n">
        <x:f>COUNTIFS('Material routes'!$B$6:$B$2205,A41,'Material routes'!$C$6:$C$2205,"Tool candidate")</x:f>
        <x:v>0</x:v>
      </x:c>
      <x:c r="L41" s="4" t="str">
        <x:v>https://github.com/sleepyseamonster/Arc-Dust/blob/f6f98515c005dc3c73cccd9cbc031691745740c6/02-Arc-Dust-Worldbuilding/world/materials/chemical-processing-agents.md (source proposal; game route proposed)</x:v>
      </x:c>
      <x:c r="M41" s="4" t="str">
        <x:v>Quantities, supporting inputs, compatibility and process conditions remain open.</x:v>
      </x:c>
    </x:row>
    <x:row r="42" ht="85" customHeight="1">
      <x:c r="A42" s="4" t="str">
        <x:v>design.refine.t1.gem_preform</x:v>
      </x:c>
      <x:c r="B42" s="4" t="str">
        <x:v>Cut gemstone preform preparation</x:v>
      </x:c>
      <x:c r="C42" s="4" t="str">
        <x:v>Material refinement</x:v>
      </x:c>
      <x:c r="D42" s="4" t="str">
        <x:v>Proposal</x:v>
      </x:c>
      <x:c r="E42" s="4" t="str">
        <x:v>Partial proposal</x:v>
      </x:c>
      <x:c r="F42" s="4" t="str">
        <x:v>Prepare the listed output from candidate material inputs.</x:v>
      </x:c>
      <x:c r="G42" s="4" t="str">
        <x:v>Ceramic abrasive disc, graded grit and specialist lapidary fixtures; no mineral powers assumed.</x:v>
      </x:c>
      <x:c r="H42" s="4" t="str">
        <x:f>IF(I42=0,"Unassigned",IF(SUMIFS('Material routes'!$Q$6:$Q$2205,'Material routes'!$B$6:$B$2205,A42)&gt;0,"Unassigned","T"&amp;_xlfn.MAXIFS('Material routes'!$P$6:$P$2205,'Material routes'!$B$6:$B$2205,A42)))</x:f>
        <x:v>T0</x:v>
      </x:c>
      <x:c r="I42" s="4" t="n">
        <x:f>SUM(COUNTIFS('Material routes'!$B$6:$B$2205,A42,'Material routes'!$C$6:$C$2205,"Ingredient candidate"),COUNTIFS('Material routes'!$B$6:$B$2205,A42,'Material routes'!$C$6:$C$2205,"Consumed input"),COUNTIFS('Material routes'!$B$6:$B$2205,A42,'Material routes'!$C$6:$C$2205,"Contained input"),COUNTIFS('Material routes'!$B$6:$B$2205,A42,'Material routes'!$C$6:$C$2205,"Transform input"))</x:f>
        <x:v>1</x:v>
      </x:c>
      <x:c r="J42" s="4" t="n">
        <x:f>COUNTIFS('Material routes'!$B$6:$B$2205,A42,'Material routes'!$C$6:$C$2205,"Output")</x:f>
        <x:v>1</x:v>
      </x:c>
      <x:c r="K42" s="4" t="n">
        <x:f>COUNTIFS('Material routes'!$B$6:$B$2205,A42,'Material routes'!$C$6:$C$2205,"Tool candidate")</x:f>
        <x:v>0</x:v>
      </x:c>
      <x:c r="L42" s="4" t="str">
        <x:v>https://github.com/sleepyseamonster/Arc-Dust/blob/f6f98515c005dc3c73cccd9cbc031691745740c6/02-Arc-Dust-Worldbuilding/world/materials/canyon-depth-geology.md (source proposal; game route proposed)</x:v>
      </x:c>
      <x:c r="M42" s="4" t="str">
        <x:v>Quantities, supporting inputs, compatibility and process conditions remain open.</x:v>
      </x:c>
    </x:row>
    <x:row r="43" ht="85" customHeight="1">
      <x:c r="A43" s="4" t="str">
        <x:v>design.refine.t1.gem_chips</x:v>
      </x:c>
      <x:c r="B43" s="4" t="str">
        <x:v>Graded stone inlay chips preparation</x:v>
      </x:c>
      <x:c r="C43" s="4" t="str">
        <x:v>Material refinement</x:v>
      </x:c>
      <x:c r="D43" s="4" t="str">
        <x:v>Proposal</x:v>
      </x:c>
      <x:c r="E43" s="4" t="str">
        <x:v>Partial proposal</x:v>
      </x:c>
      <x:c r="F43" s="4" t="str">
        <x:v>Prepare the listed output from candidate material inputs.</x:v>
      </x:c>
      <x:c r="G43" s="4" t="str">
        <x:v>Ceramic abrasive disc, graded grit and specialist lapidary fixtures; no mineral powers assumed.</x:v>
      </x:c>
      <x:c r="H43" s="4" t="str">
        <x:f>IF(I43=0,"Unassigned",IF(SUMIFS('Material routes'!$Q$6:$Q$2205,'Material routes'!$B$6:$B$2205,A43)&gt;0,"Unassigned","T"&amp;_xlfn.MAXIFS('Material routes'!$P$6:$P$2205,'Material routes'!$B$6:$B$2205,A43)))</x:f>
        <x:v>T0</x:v>
      </x:c>
      <x:c r="I43" s="4" t="n">
        <x:f>SUM(COUNTIFS('Material routes'!$B$6:$B$2205,A43,'Material routes'!$C$6:$C$2205,"Ingredient candidate"),COUNTIFS('Material routes'!$B$6:$B$2205,A43,'Material routes'!$C$6:$C$2205,"Consumed input"),COUNTIFS('Material routes'!$B$6:$B$2205,A43,'Material routes'!$C$6:$C$2205,"Contained input"),COUNTIFS('Material routes'!$B$6:$B$2205,A43,'Material routes'!$C$6:$C$2205,"Transform input"))</x:f>
        <x:v>1</x:v>
      </x:c>
      <x:c r="J43" s="4" t="n">
        <x:f>COUNTIFS('Material routes'!$B$6:$B$2205,A43,'Material routes'!$C$6:$C$2205,"Output")</x:f>
        <x:v>1</x:v>
      </x:c>
      <x:c r="K43" s="4" t="n">
        <x:f>COUNTIFS('Material routes'!$B$6:$B$2205,A43,'Material routes'!$C$6:$C$2205,"Tool candidate")</x:f>
        <x:v>0</x:v>
      </x:c>
      <x:c r="L43" s="4" t="str">
        <x:v>https://github.com/sleepyseamonster/Arc-Dust/blob/f6f98515c005dc3c73cccd9cbc031691745740c6/02-Arc-Dust-Worldbuilding/world/materials/canyon-depth-geology.md (source proposal; game route proposed)</x:v>
      </x:c>
      <x:c r="M43" s="4" t="str">
        <x:v>Quantities, supporting inputs, compatibility and process conditions remain open.</x:v>
      </x:c>
    </x:row>
    <x:row r="44" ht="85" customHeight="1">
      <x:c r="A44" s="4" t="str">
        <x:v>design.refine.t1.shell_inlay</x:v>
      </x:c>
      <x:c r="B44" s="4" t="str">
        <x:v>Burnished shell inlay scales preparation</x:v>
      </x:c>
      <x:c r="C44" s="4" t="str">
        <x:v>Material refinement</x:v>
      </x:c>
      <x:c r="D44" s="4" t="str">
        <x:v>Proposal</x:v>
      </x:c>
      <x:c r="E44" s="4" t="str">
        <x:v>Partial proposal</x:v>
      </x:c>
      <x:c r="F44" s="4" t="str">
        <x:v>Prepare the listed output from candidate material inputs.</x:v>
      </x:c>
      <x:c r="G44" s="4" t="str">
        <x:v>Husk-sheet cutting shears, Hand-cranked metal drill and Ceramic abrasive disc as applicable; compatible contained biological preparation and low-yield material handling required.</x:v>
      </x:c>
      <x:c r="H44" s="4" t="str">
        <x:f>IF(I44=0,"Unassigned",IF(SUMIFS('Material routes'!$Q$6:$Q$2205,'Material routes'!$B$6:$B$2205,A44)&gt;0,"Unassigned","T"&amp;_xlfn.MAXIFS('Material routes'!$P$6:$P$2205,'Material routes'!$B$6:$B$2205,A44)))</x:f>
        <x:v>T0</x:v>
      </x:c>
      <x:c r="I44" s="4" t="n">
        <x:f>SUM(COUNTIFS('Material routes'!$B$6:$B$2205,A44,'Material routes'!$C$6:$C$2205,"Ingredient candidate"),COUNTIFS('Material routes'!$B$6:$B$2205,A44,'Material routes'!$C$6:$C$2205,"Consumed input"),COUNTIFS('Material routes'!$B$6:$B$2205,A44,'Material routes'!$C$6:$C$2205,"Contained input"),COUNTIFS('Material routes'!$B$6:$B$2205,A44,'Material routes'!$C$6:$C$2205,"Transform input"))</x:f>
        <x:v>1</x:v>
      </x:c>
      <x:c r="J44" s="4" t="n">
        <x:f>COUNTIFS('Material routes'!$B$6:$B$2205,A44,'Material routes'!$C$6:$C$2205,"Output")</x:f>
        <x:v>1</x:v>
      </x:c>
      <x:c r="K44" s="4" t="n">
        <x:f>COUNTIFS('Material routes'!$B$6:$B$2205,A44,'Material routes'!$C$6:$C$2205,"Tool candidate")</x:f>
        <x:v>0</x:v>
      </x:c>
      <x:c r="L44" s="4" t="str">
        <x:v>https://github.com/sleepyseamonster/Arc-Dust/blob/f6f98515c005dc3c73cccd9cbc031691745740c6/02-Arc-Dust-Worldbuilding/world/economy/canister-identity.md (source proposal; game route proposed)</x:v>
      </x:c>
      <x:c r="M44" s="4" t="str">
        <x:v>Quantities, supporting inputs, compatibility and process conditions remain open.</x:v>
      </x:c>
    </x:row>
    <x:row r="45" ht="85" customHeight="1">
      <x:c r="A45" s="4" t="str">
        <x:v>design.refine.t1.mica_window</x:v>
      </x:c>
      <x:c r="B45" s="4" t="str">
        <x:v>Sized mica viewing sheet preparation</x:v>
      </x:c>
      <x:c r="C45" s="4" t="str">
        <x:v>Material refinement</x:v>
      </x:c>
      <x:c r="D45" s="4" t="str">
        <x:v>Proposal</x:v>
      </x:c>
      <x:c r="E45" s="4" t="str">
        <x:v>Partial proposal</x:v>
      </x:c>
      <x:c r="F45" s="4" t="str">
        <x:v>Prepare the listed output from candidate material inputs.</x:v>
      </x:c>
      <x:c r="G45" s="4" t="str">
        <x:v>Ceramic grinding mortar, Ceramic pestle, Ceramic abrasive disc and stone-cutting fixtures as applicable; grade selection and finishing qualification required.</x:v>
      </x:c>
      <x:c r="H45" s="4" t="str">
        <x:f>IF(I45=0,"Unassigned",IF(SUMIFS('Material routes'!$Q$6:$Q$2205,'Material routes'!$B$6:$B$2205,A45)&gt;0,"Unassigned","T"&amp;_xlfn.MAXIFS('Material routes'!$P$6:$P$2205,'Material routes'!$B$6:$B$2205,A45)))</x:f>
        <x:v>T0</x:v>
      </x:c>
      <x:c r="I45" s="4" t="n">
        <x:f>SUM(COUNTIFS('Material routes'!$B$6:$B$2205,A45,'Material routes'!$C$6:$C$2205,"Ingredient candidate"),COUNTIFS('Material routes'!$B$6:$B$2205,A45,'Material routes'!$C$6:$C$2205,"Consumed input"),COUNTIFS('Material routes'!$B$6:$B$2205,A45,'Material routes'!$C$6:$C$2205,"Contained input"),COUNTIFS('Material routes'!$B$6:$B$2205,A45,'Material routes'!$C$6:$C$2205,"Transform input"))</x:f>
        <x:v>1</x:v>
      </x:c>
      <x:c r="J45" s="4" t="n">
        <x:f>COUNTIFS('Material routes'!$B$6:$B$2205,A45,'Material routes'!$C$6:$C$2205,"Output")</x:f>
        <x:v>1</x:v>
      </x:c>
      <x:c r="K45" s="4" t="n">
        <x:f>COUNTIFS('Material routes'!$B$6:$B$2205,A45,'Material routes'!$C$6:$C$2205,"Tool candidate")</x:f>
        <x:v>0</x:v>
      </x:c>
      <x:c r="L45" s="4" t="str">
        <x:v>https://github.com/sleepyseamonster/Arc-Dust/blob/f6f98515c005dc3c73cccd9cbc031691745740c6/02-Arc-Dust-Worldbuilding/world/materials/industrial-material-palette.md (source proposal; game route proposed)</x:v>
      </x:c>
      <x:c r="M45" s="4" t="str">
        <x:v>Quantities, supporting inputs, compatibility and process conditions remain open.</x:v>
      </x:c>
    </x:row>
    <x:row r="46" ht="85" customHeight="1">
      <x:c r="A46" s="4"/>
      <x:c r="B46" s="4"/>
      <x:c r="C46" s="4"/>
      <x:c r="D46" s="4"/>
      <x:c r="E46" s="4"/>
      <x:c r="F46" s="4"/>
      <x:c r="G46" s="4"/>
      <x:c r="H46" s="4"/>
      <x:c r="I46" s="4"/>
      <x:c r="J46" s="4"/>
      <x:c r="K46" s="4"/>
      <x:c r="L46" s="4"/>
      <x:c r="M46" s="4"/>
    </x:row>
    <x:row r="47" ht="85" customHeight="1">
      <x:c r="A47" s="4" t="str">
        <x:v>design.refine.natural.iron_stock</x:v>
      </x:c>
      <x:c r="B47" s="4" t="str">
        <x:v>Worked iron stock preparation</x:v>
      </x:c>
      <x:c r="C47" s="4" t="str">
        <x:v>Material refinement</x:v>
      </x:c>
      <x:c r="D47" s="4" t="str">
        <x:v>Proposal</x:v>
      </x:c>
      <x:c r="E47" s="4" t="str">
        <x:v>Partial proposal</x:v>
      </x:c>
      <x:c r="F47" s="4" t="str">
        <x:v>Prepare the listed output from candidate material inputs.</x:v>
      </x:c>
      <x:c r="G47" s="4" t="str">
        <x:v>Ceramic grinding mortar, Ceramic pestle, Ceramic abrasive disc and stone-cutting fixtures as applicable; grade selection and finishing qualification required.</x:v>
      </x:c>
      <x:c r="H47" s="4" t="str">
        <x:f>IF(I47=0,"Unassigned",IF(SUMIFS('Material routes'!$Q$6:$Q$2205,'Material routes'!$B$6:$B$2205,A47)&gt;0,"Unassigned","T"&amp;_xlfn.MAXIFS('Material routes'!$P$6:$P$2205,'Material routes'!$B$6:$B$2205,A47)))</x:f>
        <x:v>T1</x:v>
      </x:c>
      <x:c r="I47" s="4" t="n">
        <x:f>SUM(COUNTIFS('Material routes'!$B$6:$B$2205,A47,'Material routes'!$C$6:$C$2205,"Ingredient candidate"),COUNTIFS('Material routes'!$B$6:$B$2205,A47,'Material routes'!$C$6:$C$2205,"Consumed input"),COUNTIFS('Material routes'!$B$6:$B$2205,A47,'Material routes'!$C$6:$C$2205,"Contained input"),COUNTIFS('Material routes'!$B$6:$B$2205,A47,'Material routes'!$C$6:$C$2205,"Transform input"))</x:f>
        <x:v>1</x:v>
      </x:c>
      <x:c r="J47" s="4" t="n">
        <x:f>COUNTIFS('Material routes'!$B$6:$B$2205,A47,'Material routes'!$C$6:$C$2205,"Output")</x:f>
        <x:v>1</x:v>
      </x:c>
      <x:c r="K47" s="4" t="n">
        <x:f>COUNTIFS('Material routes'!$B$6:$B$2205,A47,'Material routes'!$C$6:$C$2205,"Tool candidate")</x:f>
        <x:v>0</x:v>
      </x:c>
      <x:c r="L47" s="4" t="str">
        <x:v>New game proposal; no complete recipe</x:v>
      </x:c>
      <x:c r="M47" s="4" t="str">
        <x:v>Quantities, supporting inputs, compatibility and process conditions remain open.</x:v>
      </x:c>
    </x:row>
    <x:row r="48" ht="85" customHeight="1">
      <x:c r="A48" s="4" t="str">
        <x:v>design.refine.bio.laminate</x:v>
      </x:c>
      <x:c r="B48" s="4" t="str">
        <x:v>Shell laminate preparation</x:v>
      </x:c>
      <x:c r="C48" s="4" t="str">
        <x:v>Material refinement</x:v>
      </x:c>
      <x:c r="D48" s="4" t="str">
        <x:v>Proposal</x:v>
      </x:c>
      <x:c r="E48" s="4" t="str">
        <x:v>Partial proposal</x:v>
      </x:c>
      <x:c r="F48" s="4" t="str">
        <x:v>Prepare the listed output from candidate material inputs.</x:v>
      </x:c>
      <x:c r="G48" s="4" t="str">
        <x:v>Husk-sheet cutting shears, Hand-cranked metal drill and Ceramic abrasive disc as applicable; compatible contained biological preparation and low-yield material handling required.</x:v>
      </x:c>
      <x:c r="H48" s="4" t="str">
        <x:f>IF(I48=0,"Unassigned",IF(SUMIFS('Material routes'!$Q$6:$Q$2205,'Material routes'!$B$6:$B$2205,A48)&gt;0,"Unassigned","T"&amp;_xlfn.MAXIFS('Material routes'!$P$6:$P$2205,'Material routes'!$B$6:$B$2205,A48)))</x:f>
        <x:v>T1</x:v>
      </x:c>
      <x:c r="I48" s="4" t="n">
        <x:f>SUM(COUNTIFS('Material routes'!$B$6:$B$2205,A48,'Material routes'!$C$6:$C$2205,"Ingredient candidate"),COUNTIFS('Material routes'!$B$6:$B$2205,A48,'Material routes'!$C$6:$C$2205,"Consumed input"),COUNTIFS('Material routes'!$B$6:$B$2205,A48,'Material routes'!$C$6:$C$2205,"Contained input"),COUNTIFS('Material routes'!$B$6:$B$2205,A48,'Material routes'!$C$6:$C$2205,"Transform input"))</x:f>
        <x:v>2</x:v>
      </x:c>
      <x:c r="J48" s="4" t="n">
        <x:f>COUNTIFS('Material routes'!$B$6:$B$2205,A48,'Material routes'!$C$6:$C$2205,"Output")</x:f>
        <x:v>1</x:v>
      </x:c>
      <x:c r="K48" s="4" t="n">
        <x:f>COUNTIFS('Material routes'!$B$6:$B$2205,A48,'Material routes'!$C$6:$C$2205,"Tool candidate")</x:f>
        <x:v>0</x:v>
      </x:c>
      <x:c r="L48" s="4" t="str">
        <x:v>New game proposal; no complete recipe</x:v>
      </x:c>
      <x:c r="M48" s="4" t="str">
        <x:v>Quantities, supporting inputs, compatibility and process conditions remain open.</x:v>
      </x:c>
    </x:row>
    <x:row r="49" ht="85" customHeight="1">
      <x:c r="A49" s="4" t="str">
        <x:v>design.refine.lubricant.joint_grease</x:v>
      </x:c>
      <x:c r="B49" s="4" t="str">
        <x:v>Faunal joint grease preparation</x:v>
      </x:c>
      <x:c r="C49" s="4" t="str">
        <x:v>Material refinement</x:v>
      </x:c>
      <x:c r="D49" s="4" t="str">
        <x:v>Proposal</x:v>
      </x:c>
      <x:c r="E49" s="4" t="str">
        <x:v>Partial proposal</x:v>
      </x:c>
      <x:c r="F49" s="4" t="str">
        <x:v>Prepare the listed output from candidate material inputs.</x:v>
      </x:c>
      <x:c r="G49" s="4" t="str">
        <x:v>Contained segregated vessels, Ceramic grinding mortar, Ceramic pestle and Glass transfer funnel. Process/carrier compatibility unresolved.</x:v>
      </x:c>
      <x:c r="H49" s="4" t="str">
        <x:f>IF(I49=0,"Unassigned",IF(SUMIFS('Material routes'!$Q$6:$Q$2205,'Material routes'!$B$6:$B$2205,A49)&gt;0,"Unassigned","T"&amp;_xlfn.MAXIFS('Material routes'!$P$6:$P$2205,'Material routes'!$B$6:$B$2205,A49)))</x:f>
        <x:v>T1</x:v>
      </x:c>
      <x:c r="I49" s="4" t="n">
        <x:f>SUM(COUNTIFS('Material routes'!$B$6:$B$2205,A49,'Material routes'!$C$6:$C$2205,"Ingredient candidate"),COUNTIFS('Material routes'!$B$6:$B$2205,A49,'Material routes'!$C$6:$C$2205,"Consumed input"),COUNTIFS('Material routes'!$B$6:$B$2205,A49,'Material routes'!$C$6:$C$2205,"Contained input"),COUNTIFS('Material routes'!$B$6:$B$2205,A49,'Material routes'!$C$6:$C$2205,"Transform input"))</x:f>
        <x:v>2</x:v>
      </x:c>
      <x:c r="J49" s="4" t="n">
        <x:f>COUNTIFS('Material routes'!$B$6:$B$2205,A49,'Material routes'!$C$6:$C$2205,"Output")</x:f>
        <x:v>1</x:v>
      </x:c>
      <x:c r="K49" s="4" t="n">
        <x:f>COUNTIFS('Material routes'!$B$6:$B$2205,A49,'Material routes'!$C$6:$C$2205,"Tool candidate")</x:f>
        <x:v>0</x:v>
      </x:c>
      <x:c r="L49" s="4" t="str">
        <x:v>New game proposal; no complete recipe</x:v>
      </x:c>
      <x:c r="M49" s="4" t="str">
        <x:v>Quantities, supporting inputs, compatibility and process conditions remain open.</x:v>
      </x:c>
    </x:row>
    <x:row r="50" ht="85" customHeight="1">
      <x:c r="A50" s="4" t="str">
        <x:v>camp.empty-arc-battery.v1</x:v>
      </x:c>
      <x:c r="B50" s="4" t="str">
        <x:v>Empty Arc Battery trial craft</x:v>
      </x:c>
      <x:c r="C50" s="4" t="str">
        <x:v>Existing trial craft</x:v>
      </x:c>
      <x:c r="D50" s="4" t="str">
        <x:v>Existing recipe</x:v>
      </x:c>
      <x:c r="E50" s="4" t="str">
        <x:v>Authored recipe list</x:v>
      </x:c>
      <x:c r="F50" s="4" t="str">
        <x:v>Authored recipe version 1</x:v>
      </x:c>
      <x:c r="G50" s="4" t="str">
        <x:v>Workbench</x:v>
      </x:c>
      <x:c r="H50" s="4" t="str">
        <x:f>IF(I50=0,"Unassigned",IF(SUMIFS('Material routes'!$Q$6:$Q$2205,'Material routes'!$B$6:$B$2205,A50)&gt;0,"Unassigned","T"&amp;_xlfn.MAXIFS('Material routes'!$P$6:$P$2205,'Material routes'!$B$6:$B$2205,A50)))</x:f>
        <x:v>T0</x:v>
      </x:c>
      <x:c r="I50" s="4" t="n">
        <x:f>SUM(COUNTIFS('Material routes'!$B$6:$B$2205,A50,'Material routes'!$C$6:$C$2205,"Ingredient candidate"),COUNTIFS('Material routes'!$B$6:$B$2205,A50,'Material routes'!$C$6:$C$2205,"Consumed input"),COUNTIFS('Material routes'!$B$6:$B$2205,A50,'Material routes'!$C$6:$C$2205,"Contained input"),COUNTIFS('Material routes'!$B$6:$B$2205,A50,'Material routes'!$C$6:$C$2205,"Transform input"))</x:f>
        <x:v>1</x:v>
      </x:c>
      <x:c r="J50" s="4" t="n">
        <x:f>COUNTIFS('Material routes'!$B$6:$B$2205,A50,'Material routes'!$C$6:$C$2205,"Output")</x:f>
        <x:v>1</x:v>
      </x:c>
      <x:c r="K50" s="4" t="n">
        <x:f>COUNTIFS('Material routes'!$B$6:$B$2205,A50,'Material routes'!$C$6:$C$2205,"Tool candidate")</x:f>
        <x:v>0</x:v>
      </x:c>
      <x:c r="L50" s="4" t="str">
        <x:v>Assets/_Project/Settings/Items/CampLoop/EmptyArcBatteryRecipe.asset</x:v>
      </x:c>
      <x:c r="M50" s="4" t="str">
        <x:v>Existing Camp Loop source scope only; numeric material tiers remain a separate design classification.</x:v>
      </x:c>
    </x:row>
    <x:row r="51" ht="85" customHeight="1">
      <x:c r="A51" s="4" t="str">
        <x:v>lab.ironstone.dry-sort</x:v>
      </x:c>
      <x:c r="B51" s="4" t="str">
        <x:v>Ironstone dry sorting</x:v>
      </x:c>
      <x:c r="C51" s="4" t="str">
        <x:v>Existing trial craft</x:v>
      </x:c>
      <x:c r="D51" s="4" t="str">
        <x:v>Existing recipe</x:v>
      </x:c>
      <x:c r="E51" s="4" t="str">
        <x:v>Authored recipe list</x:v>
      </x:c>
      <x:c r="F51" s="4" t="str">
        <x:v>Authored recipe version 1</x:v>
      </x:c>
      <x:c r="G51" s="4" t="str">
        <x:v>Manual Ironstone sorter</x:v>
      </x:c>
      <x:c r="H51" s="4" t="str">
        <x:f>IF(I51=0,"Unassigned",IF(SUMIFS('Material routes'!$Q$6:$Q$2205,'Material routes'!$B$6:$B$2205,A51)&gt;0,"Unassigned","T"&amp;_xlfn.MAXIFS('Material routes'!$P$6:$P$2205,'Material routes'!$B$6:$B$2205,A51)))</x:f>
        <x:v>T0</x:v>
      </x:c>
      <x:c r="I51" s="4" t="n">
        <x:f>SUM(COUNTIFS('Material routes'!$B$6:$B$2205,A51,'Material routes'!$C$6:$C$2205,"Ingredient candidate"),COUNTIFS('Material routes'!$B$6:$B$2205,A51,'Material routes'!$C$6:$C$2205,"Consumed input"),COUNTIFS('Material routes'!$B$6:$B$2205,A51,'Material routes'!$C$6:$C$2205,"Contained input"),COUNTIFS('Material routes'!$B$6:$B$2205,A51,'Material routes'!$C$6:$C$2205,"Transform input"))</x:f>
        <x:v>1</x:v>
      </x:c>
      <x:c r="J51" s="4" t="n">
        <x:f>COUNTIFS('Material routes'!$B$6:$B$2205,A51,'Material routes'!$C$6:$C$2205,"Output")</x:f>
        <x:v>4</x:v>
      </x:c>
      <x:c r="K51" s="4" t="n">
        <x:f>COUNTIFS('Material routes'!$B$6:$B$2205,A51,'Material routes'!$C$6:$C$2205,"Tool candidate")</x:f>
        <x:v>0</x:v>
      </x:c>
      <x:c r="L51" s="4" t="str">
        <x:v>Assets/_Project/Settings/Items/CampLoopIronstone/DrySortingRecipe.asset</x:v>
      </x:c>
      <x:c r="M51" s="4" t="str">
        <x:v>Existing Camp Loop source scope only; numeric material tiers remain a separate design classification.</x:v>
      </x:c>
    </x:row>
    <x:row r="52" ht="85" customHeight="1">
      <x:c r="A52" s="4" t="str">
        <x:v>reference.refinery-charge</x:v>
      </x:c>
      <x:c r="B52" s="4" t="str">
        <x:v>Dust-refinery charge reference</x:v>
      </x:c>
      <x:c r="C52" s="4" t="str">
        <x:v>Contained-content refill</x:v>
      </x:c>
      <x:c r="D52" s="4" t="str">
        <x:v>Existing process reference</x:v>
      </x:c>
      <x:c r="E52" s="4" t="str">
        <x:v>Documented process reference</x:v>
      </x:c>
      <x:c r="F52" s="4" t="str">
        <x:v>Workbook reference key; not an authored recipe ID</x:v>
      </x:c>
      <x:c r="G52" s="4" t="str">
        <x:v>Dust refinery</x:v>
      </x:c>
      <x:c r="H52" s="4" t="str">
        <x:f>IF(I52=0,"Unassigned",IF(SUMIFS('Material routes'!$Q$6:$Q$2205,'Material routes'!$B$6:$B$2205,A52)&gt;0,"Unassigned","T"&amp;_xlfn.MAXIFS('Material routes'!$P$6:$P$2205,'Material routes'!$B$6:$B$2205,A52)))</x:f>
        <x:v>Unassigned</x:v>
      </x:c>
      <x:c r="I52" s="4" t="n">
        <x:f>SUM(COUNTIFS('Material routes'!$B$6:$B$2205,A52,'Material routes'!$C$6:$C$2205,"Ingredient candidate"),COUNTIFS('Material routes'!$B$6:$B$2205,A52,'Material routes'!$C$6:$C$2205,"Consumed input"),COUNTIFS('Material routes'!$B$6:$B$2205,A52,'Material routes'!$C$6:$C$2205,"Contained input"),COUNTIFS('Material routes'!$B$6:$B$2205,A52,'Material routes'!$C$6:$C$2205,"Transform input"))</x:f>
        <x:v>2</x:v>
      </x:c>
      <x:c r="J52" s="4" t="n">
        <x:f>COUNTIFS('Material routes'!$B$6:$B$2205,A52,'Material routes'!$C$6:$C$2205,"Output")</x:f>
        <x:v>1</x:v>
      </x:c>
      <x:c r="K52" s="4" t="n">
        <x:f>COUNTIFS('Material routes'!$B$6:$B$2205,A52,'Material routes'!$C$6:$C$2205,"Tool candidate")</x:f>
        <x:v>0</x:v>
      </x:c>
      <x:c r="L52" s="4" t="str">
        <x:v>Docs/Evidence/Gameplay/CampWorkstations20261014/README.md</x:v>
      </x:c>
      <x:c r="M52" s="4" t="str">
        <x:v>Existing Camp Loop source scope only; numeric material tiers remain a separate design classification.</x:v>
      </x:c>
    </x:row>
    <x:row r="53" ht="85" customHeight="1">
      <x:c r="A53" s="4" t="str">
        <x:v>outline.resource_chain.7</x:v>
      </x:c>
      <x:c r="B53" s="4" t="str">
        <x:v>Worked iron stock contribution outline</x:v>
      </x:c>
      <x:c r="C53" s="4" t="str">
        <x:v>Material refinement</x:v>
      </x:c>
      <x:c r="D53" s="4" t="str">
        <x:v>Concept outline</x:v>
      </x:c>
      <x:c r="E53" s="4" t="str">
        <x:v>Concept outline</x:v>
      </x:c>
      <x:c r="F53" s="4" t="str">
        <x:v>Smelt, forge and finish at a stationary facility</x:v>
      </x:c>
      <x:c r="G53" s="4" t="str">
        <x:v>Stationary camp/settlement processing proposed</x:v>
      </x:c>
      <x:c r="H53" s="4" t="str">
        <x:f>IF(I53=0,"Unassigned",IF(SUMIFS('Material routes'!$Q$6:$Q$2205,'Material routes'!$B$6:$B$2205,A53)&gt;0,"Unassigned","T"&amp;_xlfn.MAXIFS('Material routes'!$P$6:$P$2205,'Material routes'!$B$6:$B$2205,A53)))</x:f>
        <x:v>T1</x:v>
      </x:c>
      <x:c r="I53" s="4" t="n">
        <x:f>SUM(COUNTIFS('Material routes'!$B$6:$B$2205,A53,'Material routes'!$C$6:$C$2205,"Ingredient candidate"),COUNTIFS('Material routes'!$B$6:$B$2205,A53,'Material routes'!$C$6:$C$2205,"Consumed input"),COUNTIFS('Material routes'!$B$6:$B$2205,A53,'Material routes'!$C$6:$C$2205,"Contained input"),COUNTIFS('Material routes'!$B$6:$B$2205,A53,'Material routes'!$C$6:$C$2205,"Transform input"))</x:f>
        <x:v>1</x:v>
      </x:c>
      <x:c r="J53" s="4" t="n">
        <x:f>COUNTIFS('Material routes'!$B$6:$B$2205,A53,'Material routes'!$C$6:$C$2205,"Output")</x:f>
        <x:v>1</x:v>
      </x:c>
      <x:c r="K53" s="4" t="n">
        <x:f>COUNTIFS('Material routes'!$B$6:$B$2205,A53,'Material routes'!$C$6:$C$2205,"Tool candidate")</x:f>
        <x:v>0</x:v>
      </x:c>
      <x:c r="L53" s="4" t="str">
        <x:v>User design direction, October 14, 2026; local brainstorming. New proposal unless explicitly marked User direction.</x:v>
      </x:c>
      <x:c r="M53" s="4" t="str">
        <x:v>Partial contribution only. This is not a complete alternative recipe or a claim that all other ingredients are unnecessary.</x:v>
      </x:c>
    </x:row>
    <x:row r="54" ht="85" customHeight="1">
      <x:c r="A54" s="4" t="str">
        <x:v>outline.resource_chain.8</x:v>
      </x:c>
      <x:c r="B54" s="4" t="str">
        <x:v>Graded abrasive grit contribution outline</x:v>
      </x:c>
      <x:c r="C54" s="4" t="str">
        <x:v>Material refinement</x:v>
      </x:c>
      <x:c r="D54" s="4" t="str">
        <x:v>Concept outline</x:v>
      </x:c>
      <x:c r="E54" s="4" t="str">
        <x:v>Concept outline</x:v>
      </x:c>
      <x:c r="F54" s="4" t="str">
        <x:v>Dry sieve and grade</x:v>
      </x:c>
      <x:c r="G54" s="4" t="str">
        <x:v>Stationary camp/settlement processing proposed</x:v>
      </x:c>
      <x:c r="H54" s="4" t="str">
        <x:f>IF(I54=0,"Unassigned",IF(SUMIFS('Material routes'!$Q$6:$Q$2205,'Material routes'!$B$6:$B$2205,A54)&gt;0,"Unassigned","T"&amp;_xlfn.MAXIFS('Material routes'!$P$6:$P$2205,'Material routes'!$B$6:$B$2205,A54)))</x:f>
        <x:v>T0</x:v>
      </x:c>
      <x:c r="I54" s="4" t="n">
        <x:f>SUM(COUNTIFS('Material routes'!$B$6:$B$2205,A54,'Material routes'!$C$6:$C$2205,"Ingredient candidate"),COUNTIFS('Material routes'!$B$6:$B$2205,A54,'Material routes'!$C$6:$C$2205,"Consumed input"),COUNTIFS('Material routes'!$B$6:$B$2205,A54,'Material routes'!$C$6:$C$2205,"Contained input"),COUNTIFS('Material routes'!$B$6:$B$2205,A54,'Material routes'!$C$6:$C$2205,"Transform input"))</x:f>
        <x:v>1</x:v>
      </x:c>
      <x:c r="J54" s="4" t="n">
        <x:f>COUNTIFS('Material routes'!$B$6:$B$2205,A54,'Material routes'!$C$6:$C$2205,"Output")</x:f>
        <x:v>1</x:v>
      </x:c>
      <x:c r="K54" s="4" t="n">
        <x:f>COUNTIFS('Material routes'!$B$6:$B$2205,A54,'Material routes'!$C$6:$C$2205,"Tool candidate")</x:f>
        <x:v>0</x:v>
      </x:c>
      <x:c r="L54" s="4" t="str">
        <x:v>User design direction, October 14, 2026; local brainstorming. New proposal unless explicitly marked User direction.</x:v>
      </x:c>
      <x:c r="M54" s="4" t="str">
        <x:v>Partial contribution only. This is not a complete alternative recipe or a claim that all other ingredients are unnecessary.</x:v>
      </x:c>
    </x:row>
    <x:row r="55" ht="85" customHeight="1">
      <x:c r="A55" s="4" t="str">
        <x:v>outline.resource_chain.9</x:v>
      </x:c>
      <x:c r="B55" s="4" t="str">
        <x:v>Insulating ceramic blanks contribution outline</x:v>
      </x:c>
      <x:c r="C55" s="4" t="str">
        <x:v>Material refinement</x:v>
      </x:c>
      <x:c r="D55" s="4" t="str">
        <x:v>Needs tier review</x:v>
      </x:c>
      <x:c r="E55" s="4" t="str">
        <x:v>Concept outline</x:v>
      </x:c>
      <x:c r="F55" s="4" t="str">
        <x:v>Dry feed preparation, forming and firing</x:v>
      </x:c>
      <x:c r="G55" s="4" t="str">
        <x:v>Stationary camp/settlement processing proposed</x:v>
      </x:c>
      <x:c r="H55" s="4" t="str">
        <x:f>IF(I55=0,"Unassigned",IF(SUMIFS('Material routes'!$Q$6:$Q$2205,'Material routes'!$B$6:$B$2205,A55)&gt;0,"Unassigned","T"&amp;_xlfn.MAXIFS('Material routes'!$P$6:$P$2205,'Material routes'!$B$6:$B$2205,A55)))</x:f>
        <x:v>T0</x:v>
      </x:c>
      <x:c r="I55" s="4" t="n">
        <x:f>SUM(COUNTIFS('Material routes'!$B$6:$B$2205,A55,'Material routes'!$C$6:$C$2205,"Ingredient candidate"),COUNTIFS('Material routes'!$B$6:$B$2205,A55,'Material routes'!$C$6:$C$2205,"Consumed input"),COUNTIFS('Material routes'!$B$6:$B$2205,A55,'Material routes'!$C$6:$C$2205,"Contained input"),COUNTIFS('Material routes'!$B$6:$B$2205,A55,'Material routes'!$C$6:$C$2205,"Transform input"))</x:f>
        <x:v>1</x:v>
      </x:c>
      <x:c r="J55" s="4" t="n">
        <x:f>COUNTIFS('Material routes'!$B$6:$B$2205,A55,'Material routes'!$C$6:$C$2205,"Output")</x:f>
        <x:v>1</x:v>
      </x:c>
      <x:c r="K55" s="4" t="n">
        <x:f>COUNTIFS('Material routes'!$B$6:$B$2205,A55,'Material routes'!$C$6:$C$2205,"Tool candidate")</x:f>
        <x:v>0</x:v>
      </x:c>
      <x:c r="L55" s="4" t="str">
        <x:v>User design direction, October 14, 2026; local brainstorming. New proposal unless explicitly marked User direction.</x:v>
      </x:c>
      <x:c r="M55" s="4" t="str">
        <x:v>Tier review after October 15 proposal assignments: earlier outline does not resolve the current intermediate-stock path. Preserve as an outline; do not activate as a complete recipe. October 15 tier review: this older outline does not resolve the selected current material path, or its recovered output has no manufacturing tier. Preserve its source links; use the explicit review candidate where available.</x:v>
      </x:c>
    </x:row>
    <x:row r="56" ht="85" customHeight="1">
      <x:c r="A56" s="4" t="str">
        <x:v>outline.resource_chain.12</x:v>
      </x:c>
      <x:c r="B56" s="4" t="str">
        <x:v>Shell laminate contribution outline</x:v>
      </x:c>
      <x:c r="C56" s="4" t="str">
        <x:v>Material refinement</x:v>
      </x:c>
      <x:c r="D56" s="4" t="str">
        <x:v>Needs tier review</x:v>
      </x:c>
      <x:c r="E56" s="4" t="str">
        <x:v>Concept outline</x:v>
      </x:c>
      <x:c r="F56" s="4" t="str">
        <x:v>Trim, layer and bind dry plates</x:v>
      </x:c>
      <x:c r="G56" s="4" t="str">
        <x:v>Stationary preservation/workbench proposed</x:v>
      </x:c>
      <x:c r="H56" s="4" t="str">
        <x:f>IF(I56=0,"Unassigned",IF(SUMIFS('Material routes'!$Q$6:$Q$2205,'Material routes'!$B$6:$B$2205,A56)&gt;0,"Unassigned","T"&amp;_xlfn.MAXIFS('Material routes'!$P$6:$P$2205,'Material routes'!$B$6:$B$2205,A56)))</x:f>
        <x:v>T0</x:v>
      </x:c>
      <x:c r="I56" s="4" t="n">
        <x:f>SUM(COUNTIFS('Material routes'!$B$6:$B$2205,A56,'Material routes'!$C$6:$C$2205,"Ingredient candidate"),COUNTIFS('Material routes'!$B$6:$B$2205,A56,'Material routes'!$C$6:$C$2205,"Consumed input"),COUNTIFS('Material routes'!$B$6:$B$2205,A56,'Material routes'!$C$6:$C$2205,"Contained input"),COUNTIFS('Material routes'!$B$6:$B$2205,A56,'Material routes'!$C$6:$C$2205,"Transform input"))</x:f>
        <x:v>1</x:v>
      </x:c>
      <x:c r="J56" s="4" t="n">
        <x:f>COUNTIFS('Material routes'!$B$6:$B$2205,A56,'Material routes'!$C$6:$C$2205,"Output")</x:f>
        <x:v>1</x:v>
      </x:c>
      <x:c r="K56" s="4" t="n">
        <x:f>COUNTIFS('Material routes'!$B$6:$B$2205,A56,'Material routes'!$C$6:$C$2205,"Tool candidate")</x:f>
        <x:v>0</x:v>
      </x:c>
      <x:c r="L56" s="4" t="str">
        <x:v>User design direction, October 14, 2026; local brainstorming. New proposal unless explicitly marked User direction.</x:v>
      </x:c>
      <x:c r="M56"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57" ht="85" customHeight="1">
      <x:c r="A57" s="4" t="str">
        <x:v>outline.resource_chain.14</x:v>
      </x:c>
      <x:c r="B57" s="4" t="str">
        <x:v>Bristle brush strips contribution outline</x:v>
      </x:c>
      <x:c r="C57" s="4" t="str">
        <x:v>Material refinement</x:v>
      </x:c>
      <x:c r="D57" s="4" t="str">
        <x:v>Needs tier review</x:v>
      </x:c>
      <x:c r="E57" s="4" t="str">
        <x:v>Concept outline</x:v>
      </x:c>
      <x:c r="F57" s="4" t="str">
        <x:v>Sort fibers and bind into a backing</x:v>
      </x:c>
      <x:c r="G57" s="4" t="str">
        <x:v>Stationary preservation/workbench proposed</x:v>
      </x:c>
      <x:c r="H57" s="4" t="str">
        <x:f>IF(I57=0,"Unassigned",IF(SUMIFS('Material routes'!$Q$6:$Q$2205,'Material routes'!$B$6:$B$2205,A57)&gt;0,"Unassigned","T"&amp;_xlfn.MAXIFS('Material routes'!$P$6:$P$2205,'Material routes'!$B$6:$B$2205,A57)))</x:f>
        <x:v>T0</x:v>
      </x:c>
      <x:c r="I57" s="4" t="n">
        <x:f>SUM(COUNTIFS('Material routes'!$B$6:$B$2205,A57,'Material routes'!$C$6:$C$2205,"Ingredient candidate"),COUNTIFS('Material routes'!$B$6:$B$2205,A57,'Material routes'!$C$6:$C$2205,"Consumed input"),COUNTIFS('Material routes'!$B$6:$B$2205,A57,'Material routes'!$C$6:$C$2205,"Contained input"),COUNTIFS('Material routes'!$B$6:$B$2205,A57,'Material routes'!$C$6:$C$2205,"Transform input"))</x:f>
        <x:v>1</x:v>
      </x:c>
      <x:c r="J57" s="4" t="n">
        <x:f>COUNTIFS('Material routes'!$B$6:$B$2205,A57,'Material routes'!$C$6:$C$2205,"Output")</x:f>
        <x:v>1</x:v>
      </x:c>
      <x:c r="K57" s="4" t="n">
        <x:f>COUNTIFS('Material routes'!$B$6:$B$2205,A57,'Material routes'!$C$6:$C$2205,"Tool candidate")</x:f>
        <x:v>0</x:v>
      </x:c>
      <x:c r="L57" s="4" t="str">
        <x:v>User design direction, October 14, 2026; local brainstorming. New proposal unless explicitly marked User direction.</x:v>
      </x:c>
      <x:c r="M57"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8" ht="85" customHeight="1">
      <x:c r="A58" s="4" t="str">
        <x:v>outline.resource_chain.16</x:v>
      </x:c>
      <x:c r="B58" s="4" t="str">
        <x:v>Jaw cutting insert contribution outline</x:v>
      </x:c>
      <x:c r="C58" s="4" t="str">
        <x:v>Material refinement</x:v>
      </x:c>
      <x:c r="D58" s="4" t="str">
        <x:v>Needs tier review</x:v>
      </x:c>
      <x:c r="E58" s="4" t="str">
        <x:v>Concept outline</x:v>
      </x:c>
      <x:c r="F58" s="4" t="str">
        <x:v>Cut and grind dense tissue</x:v>
      </x:c>
      <x:c r="G58" s="4" t="str">
        <x:v>Stationary preservation/workbench proposed</x:v>
      </x:c>
      <x:c r="H58" s="4" t="str">
        <x:f>IF(I58=0,"Unassigned",IF(SUMIFS('Material routes'!$Q$6:$Q$2205,'Material routes'!$B$6:$B$2205,A58)&gt;0,"Unassigned","T"&amp;_xlfn.MAXIFS('Material routes'!$P$6:$P$2205,'Material routes'!$B$6:$B$2205,A58)))</x:f>
        <x:v>T0</x:v>
      </x:c>
      <x:c r="I58" s="4" t="n">
        <x:f>SUM(COUNTIFS('Material routes'!$B$6:$B$2205,A58,'Material routes'!$C$6:$C$2205,"Ingredient candidate"),COUNTIFS('Material routes'!$B$6:$B$2205,A58,'Material routes'!$C$6:$C$2205,"Consumed input"),COUNTIFS('Material routes'!$B$6:$B$2205,A58,'Material routes'!$C$6:$C$2205,"Contained input"),COUNTIFS('Material routes'!$B$6:$B$2205,A58,'Material routes'!$C$6:$C$2205,"Transform input"))</x:f>
        <x:v>1</x:v>
      </x:c>
      <x:c r="J58" s="4" t="n">
        <x:f>COUNTIFS('Material routes'!$B$6:$B$2205,A58,'Material routes'!$C$6:$C$2205,"Output")</x:f>
        <x:v>1</x:v>
      </x:c>
      <x:c r="K58" s="4" t="n">
        <x:f>COUNTIFS('Material routes'!$B$6:$B$2205,A58,'Material routes'!$C$6:$C$2205,"Tool candidate")</x:f>
        <x:v>0</x:v>
      </x:c>
      <x:c r="L58" s="4" t="str">
        <x:v>User design direction, October 14, 2026; local brainstorming. New proposal unless explicitly marked User direction.</x:v>
      </x:c>
      <x:c r="M58"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9" ht="85" customHeight="1">
      <x:c r="A59" s="4" t="str">
        <x:v>outline.resource_chain.18</x:v>
      </x:c>
      <x:c r="B59" s="4" t="str">
        <x:v>Solid biological wax contribution outline</x:v>
      </x:c>
      <x:c r="C59" s="4" t="str">
        <x:v>Material refinement</x:v>
      </x:c>
      <x:c r="D59" s="4" t="str">
        <x:v>Withheld</x:v>
      </x:c>
      <x:c r="E59" s="4" t="str">
        <x:v>Withheld</x:v>
      </x:c>
      <x:c r="F59" s="4" t="str">
        <x:v>Unverified conversion; await actual anatomy</x:v>
      </x:c>
      <x:c r="G59" s="4" t="str">
        <x:v>Processing undefined</x:v>
      </x:c>
      <x:c r="H59" s="4" t="str">
        <x:f>IF(I59=0,"Unassigned",IF(SUMIFS('Material routes'!$Q$6:$Q$2205,'Material routes'!$B$6:$B$2205,A59)&gt;0,"Unassigned","T"&amp;_xlfn.MAXIFS('Material routes'!$P$6:$P$2205,'Material routes'!$B$6:$B$2205,A59)))</x:f>
        <x:v>Unassigned</x:v>
      </x:c>
      <x:c r="I59" s="4" t="n">
        <x:f>SUM(COUNTIFS('Material routes'!$B$6:$B$2205,A59,'Material routes'!$C$6:$C$2205,"Ingredient candidate"),COUNTIFS('Material routes'!$B$6:$B$2205,A59,'Material routes'!$C$6:$C$2205,"Consumed input"),COUNTIFS('Material routes'!$B$6:$B$2205,A59,'Material routes'!$C$6:$C$2205,"Contained input"),COUNTIFS('Material routes'!$B$6:$B$2205,A59,'Material routes'!$C$6:$C$2205,"Transform input"))</x:f>
        <x:v>1</x:v>
      </x:c>
      <x:c r="J59" s="4" t="n">
        <x:f>COUNTIFS('Material routes'!$B$6:$B$2205,A59,'Material routes'!$C$6:$C$2205,"Output")</x:f>
        <x:v>1</x:v>
      </x:c>
      <x:c r="K59" s="4" t="n">
        <x:f>COUNTIFS('Material routes'!$B$6:$B$2205,A59,'Material routes'!$C$6:$C$2205,"Tool candidate")</x:f>
        <x:v>0</x:v>
      </x:c>
      <x:c r="L59" s="4" t="str">
        <x:v>Docs/WORLD_BASIS.md#faunal-biology-and-material-use; direct author direction October 14, 2026. Related source anatomy proposals now accessible at f6f98515; this item awaits reconciliation; identities and processing remain undefined.</x:v>
      </x:c>
      <x:c r="M59" s="4" t="str">
        <x:v>Anatomy premise is withheld; do not activate this route.</x:v>
      </x:c>
    </x:row>
    <x:row r="60" ht="85" customHeight="1">
      <x:c r="A60" s="4" t="str">
        <x:v>outline.resource_chain.19</x:v>
      </x:c>
      <x:c r="B60" s="4" t="str">
        <x:v>Dry organ electrode scaffold contribution outline</x:v>
      </x:c>
      <x:c r="C60" s="4" t="str">
        <x:v>Material refinement</x:v>
      </x:c>
      <x:c r="D60" s="4" t="str">
        <x:v>Concept outline</x:v>
      </x:c>
      <x:c r="E60" s="4" t="str">
        <x:v>Concept outline</x:v>
      </x:c>
      <x:c r="F60" s="4" t="str">
        <x:v>Dry preserve and stabilize structure</x:v>
      </x:c>
      <x:c r="G60" s="4" t="str">
        <x:v>Stationary preservation/workbench proposed</x:v>
      </x:c>
      <x:c r="H60" s="4" t="str">
        <x:f>IF(I60=0,"Unassigned",IF(SUMIFS('Material routes'!$Q$6:$Q$2205,'Material routes'!$B$6:$B$2205,A60)&gt;0,"Unassigned","T"&amp;_xlfn.MAXIFS('Material routes'!$P$6:$P$2205,'Material routes'!$B$6:$B$2205,A60)))</x:f>
        <x:v>T0</x:v>
      </x:c>
      <x:c r="I60" s="4" t="n">
        <x:f>SUM(COUNTIFS('Material routes'!$B$6:$B$2205,A60,'Material routes'!$C$6:$C$2205,"Ingredient candidate"),COUNTIFS('Material routes'!$B$6:$B$2205,A60,'Material routes'!$C$6:$C$2205,"Consumed input"),COUNTIFS('Material routes'!$B$6:$B$2205,A60,'Material routes'!$C$6:$C$2205,"Contained input"),COUNTIFS('Material routes'!$B$6:$B$2205,A60,'Material routes'!$C$6:$C$2205,"Transform input"))</x:f>
        <x:v>1</x:v>
      </x:c>
      <x:c r="J60" s="4" t="n">
        <x:f>COUNTIFS('Material routes'!$B$6:$B$2205,A60,'Material routes'!$C$6:$C$2205,"Output")</x:f>
        <x:v>1</x:v>
      </x:c>
      <x:c r="K60" s="4" t="n">
        <x:f>COUNTIFS('Material routes'!$B$6:$B$2205,A60,'Material routes'!$C$6:$C$2205,"Tool candidate")</x:f>
        <x:v>0</x:v>
      </x:c>
      <x:c r="L60" s="4" t="str">
        <x:v>User design direction, October 14, 2026; local brainstorming. New proposal unless explicitly marked User direction.</x:v>
      </x:c>
      <x:c r="M60" s="4" t="str">
        <x:v>Partial contribution only. This is not a complete alternative recipe or a claim that all other ingredients are unnecessary.</x:v>
      </x:c>
    </x:row>
    <x:row r="61" ht="85" customHeight="1">
      <x:c r="A61" s="4"/>
      <x:c r="B61" s="4"/>
      <x:c r="C61" s="4"/>
      <x:c r="D61" s="4"/>
      <x:c r="E61" s="4"/>
      <x:c r="F61" s="4"/>
      <x:c r="G61" s="4"/>
      <x:c r="H61" s="4"/>
      <x:c r="I61" s="4"/>
      <x:c r="J61" s="4"/>
      <x:c r="K61" s="4"/>
      <x:c r="L61" s="4"/>
      <x:c r="M61" s="4"/>
    </x:row>
    <x:row r="62" ht="85" customHeight="1">
      <x:c r="A62" s="4"/>
      <x:c r="B62" s="4"/>
      <x:c r="C62" s="4"/>
      <x:c r="D62" s="4"/>
      <x:c r="E62" s="4"/>
      <x:c r="F62" s="4"/>
      <x:c r="G62" s="4"/>
      <x:c r="H62" s="4"/>
      <x:c r="I62" s="4"/>
      <x:c r="J62" s="4"/>
      <x:c r="K62" s="4"/>
      <x:c r="L62" s="4"/>
      <x:c r="M62" s="4"/>
    </x:row>
    <x:row r="63" ht="85" customHeight="1">
      <x:c r="A63" s="4" t="str">
        <x:v>outline.resource_chain.22</x:v>
      </x:c>
      <x:c r="B63" s="4" t="str">
        <x:v>Copper ore contribution outline</x:v>
      </x:c>
      <x:c r="C63" s="4" t="str">
        <x:v>Material refinement</x:v>
      </x:c>
      <x:c r="D63" s="4" t="str">
        <x:v>Concept outline</x:v>
      </x:c>
      <x:c r="E63" s="4" t="str">
        <x:v>Concept outline</x:v>
      </x:c>
      <x:c r="F63" s="4" t="str">
        <x:v>Dry sort / concentrate; method to design</x:v>
      </x:c>
      <x:c r="G63" s="4" t="str">
        <x:v>Stationary processing proposed</x:v>
      </x:c>
      <x:c r="H63" s="4" t="str">
        <x:f>IF(I63=0,"Unassigned",IF(SUMIFS('Material routes'!$Q$6:$Q$2205,'Material routes'!$B$6:$B$2205,A63)&gt;0,"Unassigned","T"&amp;_xlfn.MAXIFS('Material routes'!$P$6:$P$2205,'Material routes'!$B$6:$B$2205,A63)))</x:f>
        <x:v>T0</x:v>
      </x:c>
      <x:c r="I63" s="4" t="n">
        <x:f>SUM(COUNTIFS('Material routes'!$B$6:$B$2205,A63,'Material routes'!$C$6:$C$2205,"Ingredient candidate"),COUNTIFS('Material routes'!$B$6:$B$2205,A63,'Material routes'!$C$6:$C$2205,"Consumed input"),COUNTIFS('Material routes'!$B$6:$B$2205,A63,'Material routes'!$C$6:$C$2205,"Contained input"),COUNTIFS('Material routes'!$B$6:$B$2205,A63,'Material routes'!$C$6:$C$2205,"Transform input"))</x:f>
        <x:v>1</x:v>
      </x:c>
      <x:c r="J63" s="4" t="n">
        <x:f>COUNTIFS('Material routes'!$B$6:$B$2205,A63,'Material routes'!$C$6:$C$2205,"Output")</x:f>
        <x:v>1</x:v>
      </x:c>
      <x:c r="K63" s="4" t="n">
        <x:f>COUNTIFS('Material routes'!$B$6:$B$2205,A63,'Material routes'!$C$6:$C$2205,"Tool candidate")</x:f>
        <x:v>0</x:v>
      </x:c>
      <x:c r="L63" s="4" t="str">
        <x:v>https://www.nps.gov/deva/learn/nature/mining-in-death-valley.htm</x:v>
      </x:c>
      <x:c r="M63" s="4" t="str">
        <x:v>Partial contribution only. This is not a complete alternative recipe or a claim that all other ingredients are unnecessary.</x:v>
      </x:c>
    </x:row>
    <x:row r="64" ht="85" customHeight="1">
      <x:c r="A64" s="4" t="str">
        <x:v>outline.resource_chain.23</x:v>
      </x:c>
      <x:c r="B64" s="4" t="str">
        <x:v>Raw copper lump contribution outline</x:v>
      </x:c>
      <x:c r="C64" s="4" t="str">
        <x:v>Material refinement</x:v>
      </x:c>
      <x:c r="D64" s="4" t="str">
        <x:v>Needs tier review</x:v>
      </x:c>
      <x:c r="E64" s="4" t="str">
        <x:v>Concept outline</x:v>
      </x:c>
      <x:c r="F64" s="4" t="str">
        <x:v>Refine; process and energy unresolved</x:v>
      </x:c>
      <x:c r="G64" s="4" t="str">
        <x:v>Stationary specialist facility proposed</x:v>
      </x:c>
      <x:c r="H64" s="4" t="str">
        <x:f>IF(I64=0,"Unassigned",IF(SUMIFS('Material routes'!$Q$6:$Q$2205,'Material routes'!$B$6:$B$2205,A64)&gt;0,"Unassigned","T"&amp;_xlfn.MAXIFS('Material routes'!$P$6:$P$2205,'Material routes'!$B$6:$B$2205,A64)))</x:f>
        <x:v>T1</x:v>
      </x:c>
      <x:c r="I64" s="4" t="n">
        <x:f>SUM(COUNTIFS('Material routes'!$B$6:$B$2205,A64,'Material routes'!$C$6:$C$2205,"Ingredient candidate"),COUNTIFS('Material routes'!$B$6:$B$2205,A64,'Material routes'!$C$6:$C$2205,"Consumed input"),COUNTIFS('Material routes'!$B$6:$B$2205,A64,'Material routes'!$C$6:$C$2205,"Contained input"),COUNTIFS('Material routes'!$B$6:$B$2205,A64,'Material routes'!$C$6:$C$2205,"Transform input"))</x:f>
        <x:v>1</x:v>
      </x:c>
      <x:c r="J64" s="4" t="n">
        <x:f>COUNTIFS('Material routes'!$B$6:$B$2205,A64,'Material routes'!$C$6:$C$2205,"Output")</x:f>
        <x:v>1</x:v>
      </x:c>
      <x:c r="K64" s="4" t="n">
        <x:f>COUNTIFS('Material routes'!$B$6:$B$2205,A64,'Material routes'!$C$6:$C$2205,"Tool candidate")</x:f>
        <x:v>0</x:v>
      </x:c>
      <x:c r="L64" s="4" t="str">
        <x:v>https://www.nps.gov/deva/learn/nature/mining-in-death-valley.htm</x:v>
      </x:c>
      <x:c r="M64"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65" ht="85" customHeight="1">
      <x:c r="A65" s="4" t="str">
        <x:v>outline.resource_chain.24</x:v>
      </x:c>
      <x:c r="B65" s="4" t="str">
        <x:v>Raw magnesium metal contribution outline</x:v>
      </x:c>
      <x:c r="C65" s="4" t="str">
        <x:v>Material refinement</x:v>
      </x:c>
      <x:c r="D65" s="4" t="str">
        <x:v>Needs tier review</x:v>
      </x:c>
      <x:c r="E65" s="4" t="str">
        <x:v>Concept outline</x:v>
      </x:c>
      <x:c r="F65" s="4" t="str">
        <x:v>Specialist extraction; method unresolved</x:v>
      </x:c>
      <x:c r="G65" s="4" t="str">
        <x:v>Settlement-scale facility or salvage proposed</x:v>
      </x:c>
      <x:c r="H65" s="4" t="str">
        <x:f>IF(I65=0,"Unassigned",IF(SUMIFS('Material routes'!$Q$6:$Q$2205,'Material routes'!$B$6:$B$2205,A65)&gt;0,"Unassigned","T"&amp;_xlfn.MAXIFS('Material routes'!$P$6:$P$2205,'Material routes'!$B$6:$B$2205,A65)))</x:f>
        <x:v>T0</x:v>
      </x:c>
      <x:c r="I65" s="4" t="n">
        <x:f>SUM(COUNTIFS('Material routes'!$B$6:$B$2205,A65,'Material routes'!$C$6:$C$2205,"Ingredient candidate"),COUNTIFS('Material routes'!$B$6:$B$2205,A65,'Material routes'!$C$6:$C$2205,"Consumed input"),COUNTIFS('Material routes'!$B$6:$B$2205,A65,'Material routes'!$C$6:$C$2205,"Contained input"),COUNTIFS('Material routes'!$B$6:$B$2205,A65,'Material routes'!$C$6:$C$2205,"Transform input"))</x:f>
        <x:v>1</x:v>
      </x:c>
      <x:c r="J65" s="4" t="n">
        <x:f>COUNTIFS('Material routes'!$B$6:$B$2205,A65,'Material routes'!$C$6:$C$2205,"Output")</x:f>
        <x:v>1</x:v>
      </x:c>
      <x:c r="K65" s="4" t="n">
        <x:f>COUNTIFS('Material routes'!$B$6:$B$2205,A65,'Material routes'!$C$6:$C$2205,"Tool candidate")</x:f>
        <x:v>0</x:v>
      </x:c>
      <x:c r="L65" s="4" t="str">
        <x:v>https://pubs.usgs.gov/publication/70018701</x:v>
      </x:c>
      <x:c r="M65"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66" ht="85" customHeight="1">
      <x:c r="A66" s="4" t="str">
        <x:v>outline.resource_chain.25</x:v>
      </x:c>
      <x:c r="B66" s="4" t="str">
        <x:v>Iron-rich mineral feed contribution outline</x:v>
      </x:c>
      <x:c r="C66" s="4" t="str">
        <x:v>Material refinement</x:v>
      </x:c>
      <x:c r="D66" s="4" t="str">
        <x:v>Concept outline</x:v>
      </x:c>
      <x:c r="E66" s="4" t="str">
        <x:v>Concept outline</x:v>
      </x:c>
      <x:c r="F66" s="4" t="str">
        <x:v>Sort and prepare iron-bearing feed</x:v>
      </x:c>
      <x:c r="G66" s="4" t="str">
        <x:v>Stationary processing proposed</x:v>
      </x:c>
      <x:c r="H66" s="4" t="str">
        <x:f>IF(I66=0,"Unassigned",IF(SUMIFS('Material routes'!$Q$6:$Q$2205,'Material routes'!$B$6:$B$2205,A66)&gt;0,"Unassigned","T"&amp;_xlfn.MAXIFS('Material routes'!$P$6:$P$2205,'Material routes'!$B$6:$B$2205,A66)))</x:f>
        <x:v>T0</x:v>
      </x:c>
      <x:c r="I66" s="4" t="n">
        <x:f>SUM(COUNTIFS('Material routes'!$B$6:$B$2205,A66,'Material routes'!$C$6:$C$2205,"Ingredient candidate"),COUNTIFS('Material routes'!$B$6:$B$2205,A66,'Material routes'!$C$6:$C$2205,"Consumed input"),COUNTIFS('Material routes'!$B$6:$B$2205,A66,'Material routes'!$C$6:$C$2205,"Contained input"),COUNTIFS('Material routes'!$B$6:$B$2205,A66,'Material routes'!$C$6:$C$2205,"Transform input"))</x:f>
        <x:v>1</x:v>
      </x:c>
      <x:c r="J66" s="4" t="n">
        <x:f>COUNTIFS('Material routes'!$B$6:$B$2205,A66,'Material routes'!$C$6:$C$2205,"Output")</x:f>
        <x:v>1</x:v>
      </x:c>
      <x:c r="K66" s="4" t="n">
        <x:f>COUNTIFS('Material routes'!$B$6:$B$2205,A66,'Material routes'!$C$6:$C$2205,"Tool candidate")</x:f>
        <x:v>0</x:v>
      </x:c>
      <x:c r="L66" s="4" t="str">
        <x:v>User direction, October 14, 2026</x:v>
      </x:c>
      <x:c r="M66" s="4" t="str">
        <x:v>Partial contribution only. This is not a complete alternative recipe or a claim that all other ingredients are unnecessary.</x:v>
      </x:c>
    </x:row>
    <x:row r="67" ht="85" customHeight="1">
      <x:c r="A67" s="4" t="str">
        <x:v>outline.resource_chain.26</x:v>
      </x:c>
      <x:c r="B67" s="4" t="str">
        <x:v>Charcoal contribution outline</x:v>
      </x:c>
      <x:c r="C67" s="4" t="str">
        <x:v>Material refinement</x:v>
      </x:c>
      <x:c r="D67" s="4" t="str">
        <x:v>Concept outline</x:v>
      </x:c>
      <x:c r="E67" s="4" t="str">
        <x:v>Concept outline</x:v>
      </x:c>
      <x:c r="F67" s="4" t="str">
        <x:v>Possible carbonization of dried biological offcuts</x:v>
      </x:c>
      <x:c r="G67" s="4" t="str">
        <x:v>Stationary retort proposed</x:v>
      </x:c>
      <x:c r="H67" s="4" t="str">
        <x:f>IF(I67=0,"Unassigned",IF(SUMIFS('Material routes'!$Q$6:$Q$2205,'Material routes'!$B$6:$B$2205,A67)&gt;0,"Unassigned","T"&amp;_xlfn.MAXIFS('Material routes'!$P$6:$P$2205,'Material routes'!$B$6:$B$2205,A67)))</x:f>
        <x:v>T0</x:v>
      </x:c>
      <x:c r="I67" s="4" t="n">
        <x:f>SUM(COUNTIFS('Material routes'!$B$6:$B$2205,A67,'Material routes'!$C$6:$C$2205,"Ingredient candidate"),COUNTIFS('Material routes'!$B$6:$B$2205,A67,'Material routes'!$C$6:$C$2205,"Consumed input"),COUNTIFS('Material routes'!$B$6:$B$2205,A67,'Material routes'!$C$6:$C$2205,"Contained input"),COUNTIFS('Material routes'!$B$6:$B$2205,A67,'Material routes'!$C$6:$C$2205,"Transform input"))</x:f>
        <x:v>1</x:v>
      </x:c>
      <x:c r="J67" s="4" t="n">
        <x:f>COUNTIFS('Material routes'!$B$6:$B$2205,A67,'Material routes'!$C$6:$C$2205,"Output")</x:f>
        <x:v>1</x:v>
      </x:c>
      <x:c r="K67" s="4" t="n">
        <x:f>COUNTIFS('Material routes'!$B$6:$B$2205,A67,'Material routes'!$C$6:$C$2205,"Tool candidate")</x:f>
        <x:v>0</x:v>
      </x:c>
      <x:c r="L67" s="4" t="str">
        <x:v>https://www.nps.gov/deva/learn/historyculture/charcoalkilns.htm; game feedstock is a new proposal</x:v>
      </x:c>
      <x:c r="M67" s="4" t="str">
        <x:v>Partial contribution only. This is not a complete alternative recipe or a claim that all other ingredients are unnecessary.</x:v>
      </x:c>
    </x:row>
    <x:row r="68" ht="85" customHeight="1">
      <x:c r="A68" s="4"/>
      <x:c r="B68" s="4"/>
      <x:c r="C68" s="4"/>
      <x:c r="D68" s="4"/>
      <x:c r="E68" s="4"/>
      <x:c r="F68" s="4"/>
      <x:c r="G68" s="4"/>
      <x:c r="H68" s="4"/>
      <x:c r="I68" s="4"/>
      <x:c r="J68" s="4"/>
      <x:c r="K68" s="4"/>
      <x:c r="L68" s="4"/>
      <x:c r="M68" s="4"/>
    </x:row>
    <x:row r="69" ht="85" customHeight="1">
      <x:c r="A69" s="4" t="str">
        <x:v>outline.resource_chain.28</x:v>
      </x:c>
      <x:c r="B69" s="4" t="str">
        <x:v>Scraped chitin fibers contribution outline</x:v>
      </x:c>
      <x:c r="C69" s="4" t="str">
        <x:v>Raw entry preparation</x:v>
      </x:c>
      <x:c r="D69" s="4" t="str">
        <x:v>Concept outline</x:v>
      </x:c>
      <x:c r="E69" s="4" t="str">
        <x:v>Concept outline</x:v>
      </x:c>
      <x:c r="F69" s="4" t="str">
        <x:v>Scrape fibers from shell husks</x:v>
      </x:c>
      <x:c r="G69" s="4" t="str">
        <x:v>Work location not yet defined</x:v>
      </x:c>
      <x:c r="H69" s="4" t="str">
        <x:f>IF(I69=0,"Unassigned",IF(SUMIFS('Material routes'!$Q$6:$Q$2205,'Material routes'!$B$6:$B$2205,A69)&gt;0,"Unassigned","T"&amp;_xlfn.MAXIFS('Material routes'!$P$6:$P$2205,'Material routes'!$B$6:$B$2205,A69)))</x:f>
        <x:v>T0</x:v>
      </x:c>
      <x:c r="I69" s="4" t="n">
        <x:f>SUM(COUNTIFS('Material routes'!$B$6:$B$2205,A69,'Material routes'!$C$6:$C$2205,"Ingredient candidate"),COUNTIFS('Material routes'!$B$6:$B$2205,A69,'Material routes'!$C$6:$C$2205,"Consumed input"),COUNTIFS('Material routes'!$B$6:$B$2205,A69,'Material routes'!$C$6:$C$2205,"Contained input"),COUNTIFS('Material routes'!$B$6:$B$2205,A69,'Material routes'!$C$6:$C$2205,"Transform input"))</x:f>
        <x:v>1</x:v>
      </x:c>
      <x:c r="J69" s="4" t="n">
        <x:f>COUNTIFS('Material routes'!$B$6:$B$2205,A69,'Material routes'!$C$6:$C$2205,"Output")</x:f>
        <x:v>1</x:v>
      </x:c>
      <x:c r="K69" s="4" t="n">
        <x:f>COUNTIFS('Material routes'!$B$6:$B$2205,A69,'Material routes'!$C$6:$C$2205,"Tool candidate")</x:f>
        <x:v>0</x:v>
      </x:c>
      <x:c r="L69" s="4" t="str">
        <x:v>Docs/WORLD_BASIS.md#material-culture; author direction October 14, 2026. Process details and specific product forms remain unimplemented.</x:v>
      </x:c>
      <x:c r="M69" s="4" t="str">
        <x:v>Partial contribution only. This is not a complete alternative recipe or a claim that all other ingredients are unnecessary.</x:v>
      </x:c>
    </x:row>
    <x:row r="70" ht="85" customHeight="1">
      <x:c r="A70" s="4" t="str">
        <x:v>outline.resource_chain.29</x:v>
      </x:c>
      <x:c r="B70" s="4" t="str">
        <x:v>Scraped icore fibers contribution outline</x:v>
      </x:c>
      <x:c r="C70" s="4" t="str">
        <x:v>Raw entry preparation</x:v>
      </x:c>
      <x:c r="D70" s="4" t="str">
        <x:v>Concept outline</x:v>
      </x:c>
      <x:c r="E70" s="4" t="str">
        <x:v>Concept outline</x:v>
      </x:c>
      <x:c r="F70" s="4" t="str">
        <x:v>Scrape fibers from shell husks</x:v>
      </x:c>
      <x:c r="G70" s="4" t="str">
        <x:v>Work location not yet defined</x:v>
      </x:c>
      <x:c r="H70" s="4" t="str">
        <x:f>IF(I70=0,"Unassigned",IF(SUMIFS('Material routes'!$Q$6:$Q$2205,'Material routes'!$B$6:$B$2205,A70)&gt;0,"Unassigned","T"&amp;_xlfn.MAXIFS('Material routes'!$P$6:$P$2205,'Material routes'!$B$6:$B$2205,A70)))</x:f>
        <x:v>T0</x:v>
      </x:c>
      <x:c r="I70" s="4" t="n">
        <x:f>SUM(COUNTIFS('Material routes'!$B$6:$B$2205,A70,'Material routes'!$C$6:$C$2205,"Ingredient candidate"),COUNTIFS('Material routes'!$B$6:$B$2205,A70,'Material routes'!$C$6:$C$2205,"Consumed input"),COUNTIFS('Material routes'!$B$6:$B$2205,A70,'Material routes'!$C$6:$C$2205,"Contained input"),COUNTIFS('Material routes'!$B$6:$B$2205,A70,'Material routes'!$C$6:$C$2205,"Transform input"))</x:f>
        <x:v>1</x:v>
      </x:c>
      <x:c r="J70" s="4" t="n">
        <x:f>COUNTIFS('Material routes'!$B$6:$B$2205,A70,'Material routes'!$C$6:$C$2205,"Output")</x:f>
        <x:v>1</x:v>
      </x:c>
      <x:c r="K70" s="4" t="n">
        <x:f>COUNTIFS('Material routes'!$B$6:$B$2205,A70,'Material routes'!$C$6:$C$2205,"Tool candidate")</x:f>
        <x:v>0</x:v>
      </x:c>
      <x:c r="L70" s="4" t="str">
        <x:v>Docs/WORLD_BASIS.md#material-culture; author direction October 14, 2026. Process details and specific product forms remain unimplemented.</x:v>
      </x:c>
      <x:c r="M70" s="4" t="str">
        <x:v>Partial contribution only. This is not a complete alternative recipe or a claim that all other ingredients are unnecessary.</x:v>
      </x:c>
    </x:row>
    <x:row r="71" ht="85" customHeight="1">
      <x:c r="A71" s="4"/>
      <x:c r="B71" s="4"/>
      <x:c r="C71" s="4"/>
      <x:c r="D71" s="4"/>
      <x:c r="E71" s="4"/>
      <x:c r="F71" s="4"/>
      <x:c r="G71" s="4"/>
      <x:c r="H71" s="4"/>
      <x:c r="I71" s="4"/>
      <x:c r="J71" s="4"/>
      <x:c r="K71" s="4"/>
      <x:c r="L71" s="4"/>
      <x:c r="M71" s="4"/>
    </x:row>
    <x:row r="72" ht="85" customHeight="1">
      <x:c r="A72" s="4"/>
      <x:c r="B72" s="4"/>
      <x:c r="C72" s="4"/>
      <x:c r="D72" s="4"/>
      <x:c r="E72" s="4"/>
      <x:c r="F72" s="4"/>
      <x:c r="G72" s="4"/>
      <x:c r="H72" s="4"/>
      <x:c r="I72" s="4"/>
      <x:c r="J72" s="4"/>
      <x:c r="K72" s="4"/>
      <x:c r="L72" s="4"/>
      <x:c r="M72" s="4"/>
    </x:row>
    <x:row r="73" ht="85" customHeight="1">
      <x:c r="A73" s="4" t="str">
        <x:v>outline.resource_chain.32</x:v>
      </x:c>
      <x:c r="B73" s="4" t="str">
        <x:v>Pressed husk-fiber textile material contribution outline</x:v>
      </x:c>
      <x:c r="C73" s="4" t="str">
        <x:v>Material refinement</x:v>
      </x:c>
      <x:c r="D73" s="4" t="str">
        <x:v>Concept outline</x:v>
      </x:c>
      <x:c r="E73" s="4" t="str">
        <x:v>Concept outline</x:v>
      </x:c>
      <x:c r="F73" s="4" t="str">
        <x:v>Difficult processing and pressing</x:v>
      </x:c>
      <x:c r="G73" s="4" t="str">
        <x:v>Specialist processing proposed</x:v>
      </x:c>
      <x:c r="H73" s="4" t="str">
        <x:f>IF(I73=0,"Unassigned",IF(SUMIFS('Material routes'!$Q$6:$Q$2205,'Material routes'!$B$6:$B$2205,A73)&gt;0,"Unassigned","T"&amp;_xlfn.MAXIFS('Material routes'!$P$6:$P$2205,'Material routes'!$B$6:$B$2205,A73)))</x:f>
        <x:v>T0</x:v>
      </x:c>
      <x:c r="I73" s="4" t="n">
        <x:f>SUM(COUNTIFS('Material routes'!$B$6:$B$2205,A73,'Material routes'!$C$6:$C$2205,"Ingredient candidate"),COUNTIFS('Material routes'!$B$6:$B$2205,A73,'Material routes'!$C$6:$C$2205,"Consumed input"),COUNTIFS('Material routes'!$B$6:$B$2205,A73,'Material routes'!$C$6:$C$2205,"Contained input"),COUNTIFS('Material routes'!$B$6:$B$2205,A73,'Material routes'!$C$6:$C$2205,"Transform input"))</x:f>
        <x:v>1</x:v>
      </x:c>
      <x:c r="J73" s="4" t="n">
        <x:f>COUNTIFS('Material routes'!$B$6:$B$2205,A73,'Material routes'!$C$6:$C$2205,"Output")</x:f>
        <x:v>1</x:v>
      </x:c>
      <x:c r="K73" s="4" t="n">
        <x:f>COUNTIFS('Material routes'!$B$6:$B$2205,A73,'Material routes'!$C$6:$C$2205,"Tool candidate")</x:f>
        <x:v>0</x:v>
      </x:c>
      <x:c r="L73" s="4" t="str">
        <x:v>Docs/WORLD_BASIS.md#material-culture; author direction October 14, 2026. Process details and specific product forms remain unimplemented.</x:v>
      </x:c>
      <x:c r="M73" s="4" t="str">
        <x:v>Partial contribution only. This is not a complete alternative recipe or a claim that all other ingredients are unnecessary.</x:v>
      </x:c>
    </x:row>
    <x:row r="74" ht="85" customHeight="1">
      <x:c r="A74" s="4"/>
      <x:c r="B74" s="4"/>
      <x:c r="C74" s="4"/>
      <x:c r="D74" s="4"/>
      <x:c r="E74" s="4"/>
      <x:c r="F74" s="4"/>
      <x:c r="G74" s="4"/>
      <x:c r="H74" s="4"/>
      <x:c r="I74" s="4"/>
      <x:c r="J74" s="4"/>
      <x:c r="K74" s="4"/>
      <x:c r="L74" s="4"/>
      <x:c r="M74" s="4"/>
    </x:row>
    <x:row r="75" ht="85" customHeight="1">
      <x:c r="A75" s="4" t="str">
        <x:v>design.finished.shell_armor</x:v>
      </x:c>
      <x:c r="B75" s="4" t="str">
        <x:v>Chest armor candidate craft</x:v>
      </x:c>
      <x:c r="C75" s="4" t="str">
        <x:v>Finished-item crafting</x:v>
      </x:c>
      <x:c r="D75" s="4" t="str">
        <x:v>Proposal</x:v>
      </x:c>
      <x:c r="E75" s="4" t="str">
        <x:v>Partial proposal</x:v>
      </x:c>
      <x:c r="F75" s="4" t="str">
        <x:v>Explore fitted chest protection using shell laminate.</x:v>
      </x:c>
      <x:c r="G75" s="4" t="str">
        <x:v>Forge hearth, Anvil, Forging hammer, Smithing tongs, Metalworking file and Hand-cranked metal drill as applicable. Existing workshop bootstrap and controlled heating/cooling required; no free-water quench assumed.</x:v>
      </x:c>
      <x:c r="H75" s="4" t="str">
        <x:f>IF(I75=0,"Unassigned",IF(SUMIFS('Material routes'!$Q$6:$Q$2205,'Material routes'!$B$6:$B$2205,A75)&gt;0,"Unassigned","T"&amp;_xlfn.MAXIFS('Material routes'!$P$6:$P$2205,'Material routes'!$B$6:$B$2205,A75)))</x:f>
        <x:v>T2</x:v>
      </x:c>
      <x:c r="I75" s="4" t="n">
        <x:f>SUM(COUNTIFS('Material routes'!$B$6:$B$2205,A75,'Material routes'!$C$6:$C$2205,"Ingredient candidate"),COUNTIFS('Material routes'!$B$6:$B$2205,A75,'Material routes'!$C$6:$C$2205,"Consumed input"),COUNTIFS('Material routes'!$B$6:$B$2205,A75,'Material routes'!$C$6:$C$2205,"Contained input"),COUNTIFS('Material routes'!$B$6:$B$2205,A75,'Material routes'!$C$6:$C$2205,"Transform input"))</x:f>
        <x:v>1</x:v>
      </x:c>
      <x:c r="J75" s="4" t="n">
        <x:f>COUNTIFS('Material routes'!$B$6:$B$2205,A75,'Material routes'!$C$6:$C$2205,"Output")</x:f>
        <x:v>1</x:v>
      </x:c>
      <x:c r="K75" s="4" t="n">
        <x:f>COUNTIFS('Material routes'!$B$6:$B$2205,A75,'Material routes'!$C$6:$C$2205,"Tool candidate")</x:f>
        <x:v>0</x:v>
      </x:c>
      <x:c r="L75" s="4" t="str">
        <x:v>New organizational brainstorming; specific game recipes are not approved.</x:v>
      </x:c>
      <x:c r="M75" s="4" t="str">
        <x:v>Quantities, supporting inputs, compatibility and process conditions remain open.</x:v>
      </x:c>
    </x:row>
    <x:row r="76" ht="85" customHeight="1">
      <x:c r="A76" s="4" t="str">
        <x:v>design.finished.ceramic_bowl</x:v>
      </x:c>
      <x:c r="B76" s="4" t="str">
        <x:v>Plain ceramic eating bowl candidate craft</x:v>
      </x:c>
      <x:c r="C76" s="4" t="str">
        <x:v>Finished-item crafting</x:v>
      </x:c>
      <x:c r="D76" s="4" t="str">
        <x:v>Proposal</x:v>
      </x:c>
      <x:c r="E76" s="4" t="str">
        <x:v>Partial proposal</x:v>
      </x:c>
      <x:c r="F76" s="4" t="str">
        <x:v>Explore a formed and fired ceramic bowl from prepared body feed.</x:v>
      </x:c>
      <x:c r="G76" s="4" t="str">
        <x:v>Controlled-heating firing kiln or specialist glass hot-work station; Ceramic firing tray / Ceramic casting mold as applicable. Qualified power, heat and atmosphere required.</x:v>
      </x:c>
      <x:c r="H76" s="4" t="str">
        <x:f>IF(I76=0,"Unassigned",IF(SUMIFS('Material routes'!$Q$6:$Q$2205,'Material routes'!$B$6:$B$2205,A76)&gt;0,"Unassigned","T"&amp;_xlfn.MAXIFS('Material routes'!$P$6:$P$2205,'Material routes'!$B$6:$B$2205,A76)))</x:f>
        <x:v>T1</x:v>
      </x:c>
      <x:c r="I76" s="4" t="n">
        <x:f>SUM(COUNTIFS('Material routes'!$B$6:$B$2205,A76,'Material routes'!$C$6:$C$2205,"Ingredient candidate"),COUNTIFS('Material routes'!$B$6:$B$2205,A76,'Material routes'!$C$6:$C$2205,"Consumed input"),COUNTIFS('Material routes'!$B$6:$B$2205,A76,'Material routes'!$C$6:$C$2205,"Contained input"),COUNTIFS('Material routes'!$B$6:$B$2205,A76,'Material routes'!$C$6:$C$2205,"Transform input"))</x:f>
        <x:v>1</x:v>
      </x:c>
      <x:c r="J76" s="4" t="n">
        <x:f>COUNTIFS('Material routes'!$B$6:$B$2205,A76,'Material routes'!$C$6:$C$2205,"Output")</x:f>
        <x:v>1</x:v>
      </x:c>
      <x:c r="K76" s="4" t="n">
        <x:f>COUNTIFS('Material routes'!$B$6:$B$2205,A76,'Material routes'!$C$6:$C$2205,"Tool candidate")</x:f>
        <x:v>0</x:v>
      </x:c>
      <x:c r="L76" s="4" t="str">
        <x:v>New organizational brainstorming; specific game recipes are not approved.</x:v>
      </x:c>
      <x:c r="M76" s="4" t="str">
        <x:v>Quantities, supporting inputs, compatibility and process conditions remain open.</x:v>
      </x:c>
    </x:row>
    <x:row r="77" ht="85" customHeight="1">
      <x:c r="A77" s="4"/>
      <x:c r="B77" s="4"/>
      <x:c r="C77" s="4"/>
      <x:c r="D77" s="4"/>
      <x:c r="E77" s="4"/>
      <x:c r="F77" s="4"/>
      <x:c r="G77" s="4"/>
      <x:c r="H77" s="4"/>
      <x:c r="I77" s="4"/>
      <x:c r="J77" s="4"/>
      <x:c r="K77" s="4"/>
      <x:c r="L77" s="4"/>
      <x:c r="M77" s="4"/>
    </x:row>
    <x:row r="78" ht="105" customHeight="1">
      <x:c r="A78" s="4"/>
      <x:c r="B78" s="4"/>
      <x:c r="C78" s="4"/>
      <x:c r="D78" s="4"/>
      <x:c r="E78" s="4"/>
      <x:c r="F78" s="4"/>
      <x:c r="G78" s="4"/>
      <x:c r="H78" s="4"/>
      <x:c r="I78" s="4"/>
      <x:c r="J78" s="4"/>
      <x:c r="K78" s="4"/>
      <x:c r="L78" s="4"/>
      <x:c r="M78" s="4"/>
    </x:row>
    <x:row r="79" ht="105" customHeight="1">
      <x:c r="A79" s="4" t="str">
        <x:v>design.branch.branch.refractory_feed</x:v>
      </x:c>
      <x:c r="B79" s="4" t="str">
        <x:v>Graded refractory mineral feed preparation</x:v>
      </x:c>
      <x:c r="C79" s="4" t="str">
        <x:v>Material refinement</x:v>
      </x:c>
      <x:c r="D79" s="4" t="str">
        <x:v>Proposal</x:v>
      </x:c>
      <x:c r="E79" s="4" t="str">
        <x:v>Partial proposal</x:v>
      </x:c>
      <x:c r="F79" s="4" t="str">
        <x:v>Select and grade a candidate heat-service mineral fraction.</x:v>
      </x:c>
      <x:c r="G79" s="4" t="str">
        <x:v>Ceramic grinding mortar, Ceramic pestle, Ceramic abrasive disc and stone-cutting fixtures as applicable; grade selection and finishing qualification required.</x:v>
      </x:c>
      <x:c r="H79" s="4" t="str">
        <x:f>IF(I79=0,"Unassigned",IF(SUMIFS('Material routes'!$Q$6:$Q$2205,'Material routes'!$B$6:$B$2205,A79)&gt;0,"Unassigned","T"&amp;_xlfn.MAXIFS('Material routes'!$P$6:$P$2205,'Material routes'!$B$6:$B$2205,A79)))</x:f>
        <x:v>T0</x:v>
      </x:c>
      <x:c r="I79" s="4" t="n">
        <x:f>SUM(COUNTIFS('Material routes'!$B$6:$B$2205,A79,'Material routes'!$C$6:$C$2205,"Ingredient candidate"),COUNTIFS('Material routes'!$B$6:$B$2205,A79,'Material routes'!$C$6:$C$2205,"Consumed input"),COUNTIFS('Material routes'!$B$6:$B$2205,A79,'Material routes'!$C$6:$C$2205,"Contained input"),COUNTIFS('Material routes'!$B$6:$B$2205,A79,'Material routes'!$C$6:$C$2205,"Transform input"))</x:f>
        <x:v>1</x:v>
      </x:c>
      <x:c r="J79" s="4" t="n">
        <x:f>COUNTIFS('Material routes'!$B$6:$B$2205,A79,'Material routes'!$C$6:$C$2205,"Output")</x:f>
        <x:v>1</x:v>
      </x:c>
      <x:c r="K79" s="4" t="n">
        <x:f>COUNTIFS('Material routes'!$B$6:$B$2205,A79,'Material routes'!$C$6:$C$2205,"Tool candidate")</x:f>
        <x:v>0</x:v>
      </x:c>
      <x:c r="L79" s="4" t="str">
        <x:v>New game brainstorming, October 15, 2026; not source canon or an implemented recipe.</x:v>
      </x:c>
      <x:c r="M79" s="4" t="str">
        <x:v>No temperature rating or universally suitable alumina composition assigned.</x:v>
      </x:c>
    </x:row>
    <x:row r="80" ht="105" customHeight="1">
      <x:c r="A80" s="4"/>
      <x:c r="B80" s="4"/>
      <x:c r="C80" s="4"/>
      <x:c r="D80" s="4"/>
      <x:c r="E80" s="4"/>
      <x:c r="F80" s="4"/>
      <x:c r="G80" s="4"/>
      <x:c r="H80" s="4"/>
      <x:c r="I80" s="4"/>
      <x:c r="J80" s="4"/>
      <x:c r="K80" s="4"/>
      <x:c r="L80" s="4"/>
      <x:c r="M80" s="4"/>
    </x:row>
    <x:row r="81" ht="105" customHeight="1">
      <x:c r="A81" s="4" t="str">
        <x:v>design.branch.branch.flex_binder</x:v>
      </x:c>
      <x:c r="B81" s="4" t="str">
        <x:v>Prepared flexible faunal binder preparation</x:v>
      </x:c>
      <x:c r="C81" s="4" t="str">
        <x:v>Material refinement</x:v>
      </x:c>
      <x:c r="D81" s="4" t="str">
        <x:v>Proposal</x:v>
      </x:c>
      <x:c r="E81" s="4" t="str">
        <x:v>Partial proposal</x:v>
      </x:c>
      <x:c r="F81" s="4" t="str">
        <x:v>Condition a selected elastic-secretion fraction for further bonding formulations.</x:v>
      </x:c>
      <x:c r="G81" s="4" t="str">
        <x:v>Contained segregated vessels, Ceramic grinding mortar, Ceramic pestle and Glass transfer funnel. Process/carrier compatibility unresolved.</x:v>
      </x:c>
      <x:c r="H81" s="4" t="str">
        <x:f>IF(I81=0,"Unassigned",IF(SUMIFS('Material routes'!$Q$6:$Q$2205,'Material routes'!$B$6:$B$2205,A81)&gt;0,"Unassigned","T"&amp;_xlfn.MAXIFS('Material routes'!$P$6:$P$2205,'Material routes'!$B$6:$B$2205,A81)))</x:f>
        <x:v>T0</x:v>
      </x:c>
      <x:c r="I81" s="4" t="n">
        <x:f>SUM(COUNTIFS('Material routes'!$B$6:$B$2205,A81,'Material routes'!$C$6:$C$2205,"Ingredient candidate"),COUNTIFS('Material routes'!$B$6:$B$2205,A81,'Material routes'!$C$6:$C$2205,"Consumed input"),COUNTIFS('Material routes'!$B$6:$B$2205,A81,'Material routes'!$C$6:$C$2205,"Contained input"),COUNTIFS('Material routes'!$B$6:$B$2205,A81,'Material routes'!$C$6:$C$2205,"Transform input"))</x:f>
        <x:v>1</x:v>
      </x:c>
      <x:c r="J81" s="4" t="n">
        <x:f>COUNTIFS('Material routes'!$B$6:$B$2205,A81,'Material routes'!$C$6:$C$2205,"Output")</x:f>
        <x:v>1</x:v>
      </x:c>
      <x:c r="K81" s="4" t="n">
        <x:f>COUNTIFS('Material routes'!$B$6:$B$2205,A81,'Material routes'!$C$6:$C$2205,"Tool candidate")</x:f>
        <x:v>0</x:v>
      </x:c>
      <x:c r="L81" s="4" t="str">
        <x:v>New game brainstorming, October 15, 2026; not source canon or an implemented recipe.</x:v>
      </x:c>
      <x:c r="M81" s="4" t="str">
        <x:v>Hypothetical adhesive behavior, toxicity, flexibility and cure remain unqualified; not lubricant thickener.</x:v>
      </x:c>
    </x:row>
    <x:row r="82" ht="105" customHeight="1">
      <x:c r="A82" s="4" t="str">
        <x:v>design.branch.branch.etchant</x:v>
      </x:c>
      <x:c r="B82" s="4" t="str">
        <x:v>Conditioned faunal etchant preparation</x:v>
      </x:c>
      <x:c r="C82" s="4" t="str">
        <x:v>Material refinement</x:v>
      </x:c>
      <x:c r="D82" s="4" t="str">
        <x:v>Proposal</x:v>
      </x:c>
      <x:c r="E82" s="4" t="str">
        <x:v>Partial proposal</x:v>
      </x:c>
      <x:c r="F82" s="4" t="str">
        <x:v>Separate and condition a selected digestive-fluid fraction for workshop research.</x:v>
      </x:c>
      <x:c r="G82" s="4" t="str">
        <x:v>Contained segregated vessels, Ceramic grinding mortar, Ceramic pestle and Glass transfer funnel. Process/carrier compatibility unresolved.</x:v>
      </x:c>
      <x:c r="H82" s="4" t="str">
        <x:f>IF(I82=0,"Unassigned",IF(SUMIFS('Material routes'!$Q$6:$Q$2205,'Material routes'!$B$6:$B$2205,A82)&gt;0,"Unassigned","T"&amp;_xlfn.MAXIFS('Material routes'!$P$6:$P$2205,'Material routes'!$B$6:$B$2205,A82)))</x:f>
        <x:v>T0</x:v>
      </x:c>
      <x:c r="I82" s="4" t="n">
        <x:f>SUM(COUNTIFS('Material routes'!$B$6:$B$2205,A82,'Material routes'!$C$6:$C$2205,"Ingredient candidate"),COUNTIFS('Material routes'!$B$6:$B$2205,A82,'Material routes'!$C$6:$C$2205,"Consumed input"),COUNTIFS('Material routes'!$B$6:$B$2205,A82,'Material routes'!$C$6:$C$2205,"Contained input"),COUNTIFS('Material routes'!$B$6:$B$2205,A82,'Material routes'!$C$6:$C$2205,"Transform input"))</x:f>
        <x:v>1</x:v>
      </x:c>
      <x:c r="J82" s="4" t="n">
        <x:f>COUNTIFS('Material routes'!$B$6:$B$2205,A82,'Material routes'!$C$6:$C$2205,"Output")</x:f>
        <x:v>1</x:v>
      </x:c>
      <x:c r="K82" s="4" t="n">
        <x:f>COUNTIFS('Material routes'!$B$6:$B$2205,A82,'Material routes'!$C$6:$C$2205,"Tool candidate")</x:f>
        <x:v>0</x:v>
      </x:c>
      <x:c r="L82" s="4" t="str">
        <x:v>New game brainstorming, October 15, 2026; not source canon or an implemented recipe.</x:v>
      </x:c>
      <x:c r="M82" s="4" t="str">
        <x:v>No exact acid, concentration, metal selectivity or safe application method established.</x:v>
      </x:c>
    </x:row>
    <x:row r="83" ht="105" customHeight="1">
      <x:c r="A83" s="4" t="str">
        <x:v>design.branch.metallurgy.steel_stock</x:v>
      </x:c>
      <x:c r="B83" s="4" t="str">
        <x:v>Steel stock preparation</x:v>
      </x:c>
      <x:c r="C83" s="4" t="str">
        <x:v>Material refinement</x:v>
      </x:c>
      <x:c r="D83" s="4" t="str">
        <x:v>Proposal</x:v>
      </x:c>
      <x:c r="E83" s="4" t="str">
        <x:v>Partial proposal</x:v>
      </x:c>
      <x:c r="F83" s="4" t="str">
        <x:v>Explore controlled steelmaking from first iron stock, selected carbon and flux.</x:v>
      </x:c>
      <x:c r="G83" s="4" t="str">
        <x:v>Forge hearth, Anvil, Forging hammer, Smithing tongs, Metalworking file and Hand-cranked metal drill as applicable. Existing workshop bootstrap and controlled heating/cooling required; no free-water quench assumed.</x:v>
      </x:c>
      <x:c r="H83" s="4" t="str">
        <x:f>IF(I83=0,"Unassigned",IF(SUMIFS('Material routes'!$Q$6:$Q$2205,'Material routes'!$B$6:$B$2205,A83)&gt;0,"Unassigned","T"&amp;_xlfn.MAXIFS('Material routes'!$P$6:$P$2205,'Material routes'!$B$6:$B$2205,A83)))</x:f>
        <x:v>T1</x:v>
      </x:c>
      <x:c r="I83" s="4" t="n">
        <x:f>SUM(COUNTIFS('Material routes'!$B$6:$B$2205,A83,'Material routes'!$C$6:$C$2205,"Ingredient candidate"),COUNTIFS('Material routes'!$B$6:$B$2205,A83,'Material routes'!$C$6:$C$2205,"Consumed input"),COUNTIFS('Material routes'!$B$6:$B$2205,A83,'Material routes'!$C$6:$C$2205,"Contained input"),COUNTIFS('Material routes'!$B$6:$B$2205,A83,'Material routes'!$C$6:$C$2205,"Transform input"))</x:f>
        <x:v>3</x:v>
      </x:c>
      <x:c r="J83" s="4" t="n">
        <x:f>COUNTIFS('Material routes'!$B$6:$B$2205,A83,'Material routes'!$C$6:$C$2205,"Output")</x:f>
        <x:v>1</x:v>
      </x:c>
      <x:c r="K83" s="4" t="n">
        <x:f>COUNTIFS('Material routes'!$B$6:$B$2205,A83,'Material routes'!$C$6:$C$2205,"Tool candidate")</x:f>
        <x:v>0</x:v>
      </x:c>
      <x:c r="L83" s="4" t="str">
        <x:v>New game brainstorming, October 15, 2026; not source canon or an implemented recipe.</x:v>
      </x:c>
      <x:c r="M83" s="4" t="str">
        <x:v>Existing author-directed steel family reused. Tier/inputs are proposed; carbon control, process, qualified grade and heat treatment remain open.</x:v>
      </x:c>
    </x:row>
    <x:row r="84" ht="105" customHeight="1">
      <x:c r="A84" s="4" t="str">
        <x:v>design.branch.branch.alloy_addition</x:v>
      </x:c>
      <x:c r="B84" s="4" t="str">
        <x:v>Prepared manganese alloying stock preparation</x:v>
      </x:c>
      <x:c r="C84" s="4" t="str">
        <x:v>Material refinement</x:v>
      </x:c>
      <x:c r="D84" s="4" t="str">
        <x:v>Proposal</x:v>
      </x:c>
      <x:c r="E84" s="4" t="str">
        <x:v>Partial proposal</x:v>
      </x:c>
      <x:c r="F84" s="4" t="str">
        <x:v>Explore specialist extraction/preparation of an identified alloying charge.</x:v>
      </x:c>
      <x:c r="G84" s="4" t="str">
        <x:v>Forge hearth, Anvil, Forging hammer, Smithing tongs, Metalworking file and Hand-cranked metal drill as applicable. Existing workshop bootstrap and controlled heating/cooling required; no free-water quench assumed.</x:v>
      </x:c>
      <x:c r="H84" s="4" t="str">
        <x:f>IF(I84=0,"Unassigned",IF(SUMIFS('Material routes'!$Q$6:$Q$2205,'Material routes'!$B$6:$B$2205,A84)&gt;0,"Unassigned","T"&amp;_xlfn.MAXIFS('Material routes'!$P$6:$P$2205,'Material routes'!$B$6:$B$2205,A84)))</x:f>
        <x:v>T1</x:v>
      </x:c>
      <x:c r="I84" s="4" t="n">
        <x:f>SUM(COUNTIFS('Material routes'!$B$6:$B$2205,A84,'Material routes'!$C$6:$C$2205,"Ingredient candidate"),COUNTIFS('Material routes'!$B$6:$B$2205,A84,'Material routes'!$C$6:$C$2205,"Consumed input"),COUNTIFS('Material routes'!$B$6:$B$2205,A84,'Material routes'!$C$6:$C$2205,"Contained input"),COUNTIFS('Material routes'!$B$6:$B$2205,A84,'Material routes'!$C$6:$C$2205,"Transform input"))</x:f>
        <x:v>3</x:v>
      </x:c>
      <x:c r="J84" s="4" t="n">
        <x:f>COUNTIFS('Material routes'!$B$6:$B$2205,A84,'Material routes'!$C$6:$C$2205,"Output")</x:f>
        <x:v>1</x:v>
      </x:c>
      <x:c r="K84" s="4" t="n">
        <x:f>COUNTIFS('Material routes'!$B$6:$B$2205,A84,'Material routes'!$C$6:$C$2205,"Tool candidate")</x:f>
        <x:v>0</x:v>
      </x:c>
      <x:c r="L84" s="4" t="str">
        <x:v>New game brainstorming, October 15, 2026; not source canon or an implemented recipe.</x:v>
      </x:c>
      <x:c r="M84" s="4" t="str">
        <x:v>Not every manganese mineral can be directly added to steel. Actual form, purity and furnace route remain research questions.</x:v>
      </x:c>
    </x:row>
    <x:row r="85" ht="105" customHeight="1">
      <x:c r="A85" s="4" t="str">
        <x:v>design.branch.branch.drawn_copper</x:v>
      </x:c>
      <x:c r="B85" s="4" t="str">
        <x:v>Drawn copper stock preparation</x:v>
      </x:c>
      <x:c r="C85" s="4" t="str">
        <x:v>Material refinement</x:v>
      </x:c>
      <x:c r="D85" s="4" t="str">
        <x:v>Proposal</x:v>
      </x:c>
      <x:c r="E85" s="4" t="str">
        <x:v>Partial proposal</x:v>
      </x:c>
      <x:c r="F85" s="4" t="str">
        <x:v>Draw and finish a qualified copper batch into conductor stock.</x:v>
      </x:c>
      <x:c r="G85" s="4" t="str">
        <x:v>Forge hearth, Anvil, Forging hammer, Smithing tongs, Metalworking file and Hand-cranked metal drill as applicable. Existing workshop bootstrap and controlled heating/cooling required; no free-water quench assumed.</x:v>
      </x:c>
      <x:c r="H85" s="4" t="str">
        <x:f>IF(I85=0,"Unassigned",IF(SUMIFS('Material routes'!$Q$6:$Q$2205,'Material routes'!$B$6:$B$2205,A85)&gt;0,"Unassigned","T"&amp;_xlfn.MAXIFS('Material routes'!$P$6:$P$2205,'Material routes'!$B$6:$B$2205,A85)))</x:f>
        <x:v>T1</x:v>
      </x:c>
      <x:c r="I85" s="4" t="n">
        <x:f>SUM(COUNTIFS('Material routes'!$B$6:$B$2205,A85,'Material routes'!$C$6:$C$2205,"Ingredient candidate"),COUNTIFS('Material routes'!$B$6:$B$2205,A85,'Material routes'!$C$6:$C$2205,"Consumed input"),COUNTIFS('Material routes'!$B$6:$B$2205,A85,'Material routes'!$C$6:$C$2205,"Contained input"),COUNTIFS('Material routes'!$B$6:$B$2205,A85,'Material routes'!$C$6:$C$2205,"Transform input"))</x:f>
        <x:v>1</x:v>
      </x:c>
      <x:c r="J85" s="4" t="n">
        <x:f>COUNTIFS('Material routes'!$B$6:$B$2205,A85,'Material routes'!$C$6:$C$2205,"Output")</x:f>
        <x:v>1</x:v>
      </x:c>
      <x:c r="K85" s="4" t="n">
        <x:f>COUNTIFS('Material routes'!$B$6:$B$2205,A85,'Material routes'!$C$6:$C$2205,"Tool candidate")</x:f>
        <x:v>0</x:v>
      </x:c>
      <x:c r="L85" s="4" t="str">
        <x:v>New game brainstorming, October 15, 2026; not source canon or an implemented recipe.</x:v>
      </x:c>
      <x:c r="M85" s="4" t="str">
        <x:v>Geometry, purity, current capacity and service grade remain undefined.</x:v>
      </x:c>
    </x:row>
    <x:row r="86" ht="105" customHeight="1">
      <x:c r="A86" s="4" t="str">
        <x:v>design.branch.branch.bearing_bronze</x:v>
      </x:c>
      <x:c r="B86" s="4" t="str">
        <x:v>Prepared bronze bearing stock preparation</x:v>
      </x:c>
      <x:c r="C86" s="4" t="str">
        <x:v>Material refinement</x:v>
      </x:c>
      <x:c r="D86" s="4" t="str">
        <x:v>Proposal</x:v>
      </x:c>
      <x:c r="E86" s="4" t="str">
        <x:v>Partial proposal</x:v>
      </x:c>
      <x:c r="F86" s="4" t="str">
        <x:v>Prepare identified bronze billet as machinable bearing stock.</x:v>
      </x:c>
      <x:c r="G86" s="4" t="str">
        <x:v>Forge hearth, Anvil, Forging hammer, Smithing tongs, Metalworking file and Hand-cranked metal drill as applicable. Existing workshop bootstrap and controlled heating/cooling required; no free-water quench assumed.</x:v>
      </x:c>
      <x:c r="H86" s="4" t="str">
        <x:f>IF(I86=0,"Unassigned",IF(SUMIFS('Material routes'!$Q$6:$Q$2205,'Material routes'!$B$6:$B$2205,A86)&gt;0,"Unassigned","T"&amp;_xlfn.MAXIFS('Material routes'!$P$6:$P$2205,'Material routes'!$B$6:$B$2205,A86)))</x:f>
        <x:v>T1</x:v>
      </x:c>
      <x:c r="I86" s="4" t="n">
        <x:f>SUM(COUNTIFS('Material routes'!$B$6:$B$2205,A86,'Material routes'!$C$6:$C$2205,"Ingredient candidate"),COUNTIFS('Material routes'!$B$6:$B$2205,A86,'Material routes'!$C$6:$C$2205,"Consumed input"),COUNTIFS('Material routes'!$B$6:$B$2205,A86,'Material routes'!$C$6:$C$2205,"Contained input"),COUNTIFS('Material routes'!$B$6:$B$2205,A86,'Material routes'!$C$6:$C$2205,"Transform input"))</x:f>
        <x:v>1</x:v>
      </x:c>
      <x:c r="J86" s="4" t="n">
        <x:f>COUNTIFS('Material routes'!$B$6:$B$2205,A86,'Material routes'!$C$6:$C$2205,"Output")</x:f>
        <x:v>1</x:v>
      </x:c>
      <x:c r="K86" s="4" t="n">
        <x:f>COUNTIFS('Material routes'!$B$6:$B$2205,A86,'Material routes'!$C$6:$C$2205,"Tool candidate")</x:f>
        <x:v>0</x:v>
      </x:c>
      <x:c r="L86" s="4" t="str">
        <x:v>New game brainstorming, October 15, 2026; not source canon or an implemented recipe.</x:v>
      </x:c>
      <x:c r="M86" s="4" t="str">
        <x:v>Composition, machining, fit and bearing performance unresolved; not a finished universal bushing.</x:v>
      </x:c>
    </x:row>
    <x:row r="87" ht="105" customHeight="1">
      <x:c r="A87" s="4" t="str">
        <x:v>design.branch.natural.ceramic</x:v>
      </x:c>
      <x:c r="B87" s="4" t="str">
        <x:v>Insulating ceramic blanks preparation</x:v>
      </x:c>
      <x:c r="C87" s="4" t="str">
        <x:v>Material refinement</x:v>
      </x:c>
      <x:c r="D87" s="4" t="str">
        <x:v>Proposal</x:v>
      </x:c>
      <x:c r="E87" s="4" t="str">
        <x:v>Partial proposal</x:v>
      </x:c>
      <x:c r="F87" s="4" t="str">
        <x:v>Explore forming/firing and surface preparation of electrical-service blanks.</x:v>
      </x:c>
      <x:c r="G87" s="4" t="str">
        <x:v>Controlled-heating firing kiln or specialist glass hot-work station; Ceramic firing tray / Ceramic casting mold as applicable. Qualified power, heat and atmosphere required.</x:v>
      </x:c>
      <x:c r="H87" s="4" t="str">
        <x:f>IF(I87=0,"Unassigned",IF(SUMIFS('Material routes'!$Q$6:$Q$2205,'Material routes'!$B$6:$B$2205,A87)&gt;0,"Unassigned","T"&amp;_xlfn.MAXIFS('Material routes'!$P$6:$P$2205,'Material routes'!$B$6:$B$2205,A87)))</x:f>
        <x:v>T1</x:v>
      </x:c>
      <x:c r="I87" s="4" t="n">
        <x:f>SUM(COUNTIFS('Material routes'!$B$6:$B$2205,A87,'Material routes'!$C$6:$C$2205,"Ingredient candidate"),COUNTIFS('Material routes'!$B$6:$B$2205,A87,'Material routes'!$C$6:$C$2205,"Consumed input"),COUNTIFS('Material routes'!$B$6:$B$2205,A87,'Material routes'!$C$6:$C$2205,"Contained input"),COUNTIFS('Material routes'!$B$6:$B$2205,A87,'Material routes'!$C$6:$C$2205,"Transform input"))</x:f>
        <x:v>2</x:v>
      </x:c>
      <x:c r="J87" s="4" t="n">
        <x:f>COUNTIFS('Material routes'!$B$6:$B$2205,A87,'Material routes'!$C$6:$C$2205,"Output")</x:f>
        <x:v>1</x:v>
      </x:c>
      <x:c r="K87" s="4" t="n">
        <x:f>COUNTIFS('Material routes'!$B$6:$B$2205,A87,'Material routes'!$C$6:$C$2205,"Tool candidate")</x:f>
        <x:v>0</x:v>
      </x:c>
      <x:c r="L87" s="4" t="str">
        <x:v>New game brainstorming, October 15, 2026; not source canon or an implemented recipe.</x:v>
      </x:c>
      <x:c r="M87" s="4" t="str">
        <x:v>Existing proposal reused. No ordinary water process, voltage rating or guarantee that every glaze insulates.</x:v>
      </x:c>
    </x:row>
    <x:row r="88" ht="105" customHeight="1">
      <x:c r="A88" s="4" t="str">
        <x:v>design.branch.branch.refractory_ceramic</x:v>
      </x:c>
      <x:c r="B88" s="4" t="str">
        <x:v>Refractory ceramic stock preparation</x:v>
      </x:c>
      <x:c r="C88" s="4" t="str">
        <x:v>Material refinement</x:v>
      </x:c>
      <x:c r="D88" s="4" t="str">
        <x:v>Proposal</x:v>
      </x:c>
      <x:c r="E88" s="4" t="str">
        <x:v>Partial proposal</x:v>
      </x:c>
      <x:c r="F88" s="4" t="str">
        <x:v>Explore a selected refractory body and forming/firing route.</x:v>
      </x:c>
      <x:c r="G88" s="4" t="str">
        <x:v>Controlled-heating firing kiln or specialist glass hot-work station; Ceramic firing tray / Ceramic casting mold as applicable. Qualified power, heat and atmosphere required.</x:v>
      </x:c>
      <x:c r="H88" s="4" t="str">
        <x:f>IF(I88=0,"Unassigned",IF(SUMIFS('Material routes'!$Q$6:$Q$2205,'Material routes'!$B$6:$B$2205,A88)&gt;0,"Unassigned","T"&amp;_xlfn.MAXIFS('Material routes'!$P$6:$P$2205,'Material routes'!$B$6:$B$2205,A88)))</x:f>
        <x:v>T1</x:v>
      </x:c>
      <x:c r="I88" s="4" t="n">
        <x:f>SUM(COUNTIFS('Material routes'!$B$6:$B$2205,A88,'Material routes'!$C$6:$C$2205,"Ingredient candidate"),COUNTIFS('Material routes'!$B$6:$B$2205,A88,'Material routes'!$C$6:$C$2205,"Consumed input"),COUNTIFS('Material routes'!$B$6:$B$2205,A88,'Material routes'!$C$6:$C$2205,"Contained input"),COUNTIFS('Material routes'!$B$6:$B$2205,A88,'Material routes'!$C$6:$C$2205,"Transform input"))</x:f>
        <x:v>3</x:v>
      </x:c>
      <x:c r="J88" s="4" t="n">
        <x:f>COUNTIFS('Material routes'!$B$6:$B$2205,A88,'Material routes'!$C$6:$C$2205,"Output")</x:f>
        <x:v>1</x:v>
      </x:c>
      <x:c r="K88" s="4" t="n">
        <x:f>COUNTIFS('Material routes'!$B$6:$B$2205,A88,'Material routes'!$C$6:$C$2205,"Tool candidate")</x:f>
        <x:v>0</x:v>
      </x:c>
      <x:c r="L88" s="4" t="str">
        <x:v>New game brainstorming, October 15, 2026; not source canon or an implemented recipe.</x:v>
      </x:c>
      <x:c r="M88" s="4" t="str">
        <x:v>Binder compatibility, firing atmosphere, thermal shock and temperature limits require design; no free-water mix assumed.</x:v>
      </x:c>
    </x:row>
    <x:row r="89" ht="105" customHeight="1">
      <x:c r="A89" s="4" t="str">
        <x:v>design.branch.branch.opaque_sheet</x:v>
      </x:c>
      <x:c r="B89" s="4" t="str">
        <x:v>Formed opaque glass sheet preparation</x:v>
      </x:c>
      <x:c r="C89" s="4" t="str">
        <x:v>Material refinement</x:v>
      </x:c>
      <x:c r="D89" s="4" t="str">
        <x:v>Proposal</x:v>
      </x:c>
      <x:c r="E89" s="4" t="str">
        <x:v>Partial proposal</x:v>
      </x:c>
      <x:c r="F89" s="4" t="str">
        <x:v>Form and finish first glass stock into usable sheet feed.</x:v>
      </x:c>
      <x:c r="G89" s="4" t="str">
        <x:v>Controlled-heating firing kiln or specialist glass hot-work station; Ceramic firing tray / Ceramic casting mold as applicable. Qualified power, heat and atmosphere required.</x:v>
      </x:c>
      <x:c r="H89" s="4" t="str">
        <x:f>IF(I89=0,"Unassigned",IF(SUMIFS('Material routes'!$Q$6:$Q$2205,'Material routes'!$B$6:$B$2205,A89)&gt;0,"Unassigned","T"&amp;_xlfn.MAXIFS('Material routes'!$P$6:$P$2205,'Material routes'!$B$6:$B$2205,A89)))</x:f>
        <x:v>T1</x:v>
      </x:c>
      <x:c r="I89" s="4" t="n">
        <x:f>SUM(COUNTIFS('Material routes'!$B$6:$B$2205,A89,'Material routes'!$C$6:$C$2205,"Ingredient candidate"),COUNTIFS('Material routes'!$B$6:$B$2205,A89,'Material routes'!$C$6:$C$2205,"Consumed input"),COUNTIFS('Material routes'!$B$6:$B$2205,A89,'Material routes'!$C$6:$C$2205,"Contained input"),COUNTIFS('Material routes'!$B$6:$B$2205,A89,'Material routes'!$C$6:$C$2205,"Transform input"))</x:f>
        <x:v>1</x:v>
      </x:c>
      <x:c r="J89" s="4" t="n">
        <x:f>COUNTIFS('Material routes'!$B$6:$B$2205,A89,'Material routes'!$C$6:$C$2205,"Output")</x:f>
        <x:v>1</x:v>
      </x:c>
      <x:c r="K89" s="4" t="n">
        <x:f>COUNTIFS('Material routes'!$B$6:$B$2205,A89,'Material routes'!$C$6:$C$2205,"Tool candidate")</x:f>
        <x:v>0</x:v>
      </x:c>
      <x:c r="L89" s="4" t="str">
        <x:v>New game brainstorming, October 15, 2026; not source canon or an implemented recipe.</x:v>
      </x:c>
      <x:c r="M89" s="4" t="str">
        <x:v>Dimensions, impact behavior, forming equipment and annealing process remain open.</x:v>
      </x:c>
    </x:row>
    <x:row r="90" ht="105" customHeight="1">
      <x:c r="A90" s="4" t="str">
        <x:v>design.branch.branch.viewing_glass</x:v>
      </x:c>
      <x:c r="B90" s="4" t="str">
        <x:v>Selected viewing-glass stock preparation</x:v>
      </x:c>
      <x:c r="C90" s="4" t="str">
        <x:v>Material refinement</x:v>
      </x:c>
      <x:c r="D90" s="4" t="str">
        <x:v>Proposal</x:v>
      </x:c>
      <x:c r="E90" s="4" t="str">
        <x:v>Partial proposal</x:v>
      </x:c>
      <x:c r="F90" s="4" t="str">
        <x:v>Select and prepare clear blanks for later precision work.</x:v>
      </x:c>
      <x:c r="G90" s="4" t="str">
        <x:v>Controlled-heating firing kiln or specialist glass hot-work station; Ceramic firing tray / Ceramic casting mold as applicable. Qualified power, heat and atmosphere required.</x:v>
      </x:c>
      <x:c r="H90" s="4" t="str">
        <x:f>IF(I90=0,"Unassigned",IF(SUMIFS('Material routes'!$Q$6:$Q$2205,'Material routes'!$B$6:$B$2205,A90)&gt;0,"Unassigned","T"&amp;_xlfn.MAXIFS('Material routes'!$P$6:$P$2205,'Material routes'!$B$6:$B$2205,A90)))</x:f>
        <x:v>T1</x:v>
      </x:c>
      <x:c r="I90" s="4" t="n">
        <x:f>SUM(COUNTIFS('Material routes'!$B$6:$B$2205,A90,'Material routes'!$C$6:$C$2205,"Ingredient candidate"),COUNTIFS('Material routes'!$B$6:$B$2205,A90,'Material routes'!$C$6:$C$2205,"Consumed input"),COUNTIFS('Material routes'!$B$6:$B$2205,A90,'Material routes'!$C$6:$C$2205,"Contained input"),COUNTIFS('Material routes'!$B$6:$B$2205,A90,'Material routes'!$C$6:$C$2205,"Transform input"))</x:f>
        <x:v>1</x:v>
      </x:c>
      <x:c r="J90" s="4" t="n">
        <x:f>COUNTIFS('Material routes'!$B$6:$B$2205,A90,'Material routes'!$C$6:$C$2205,"Output")</x:f>
        <x:v>1</x:v>
      </x:c>
      <x:c r="K90" s="4" t="n">
        <x:f>COUNTIFS('Material routes'!$B$6:$B$2205,A90,'Material routes'!$C$6:$C$2205,"Tool candidate")</x:f>
        <x:v>0</x:v>
      </x:c>
      <x:c r="L90" s="4" t="str">
        <x:v>New game brainstorming, October 15, 2026; not source canon or an implemented recipe.</x:v>
      </x:c>
      <x:c r="M90" s="4" t="str">
        <x:v>A specialist candidate stock, not finished spectacles or proof of optical-grade purity.</x:v>
      </x:c>
    </x:row>
    <x:row r="91" ht="105" customHeight="1">
      <x:c r="A91" s="4" t="str">
        <x:v>design.branch.branch.husk_sheet</x:v>
      </x:c>
      <x:c r="B91" s="4" t="str">
        <x:v>Bonded husk sheet preparation</x:v>
      </x:c>
      <x:c r="C91" s="4" t="str">
        <x:v>Material refinement</x:v>
      </x:c>
      <x:c r="D91" s="4" t="str">
        <x:v>Proposal</x:v>
      </x:c>
      <x:c r="E91" s="4" t="str">
        <x:v>Partial proposal</x:v>
      </x:c>
      <x:c r="F91" s="4" t="str">
        <x:v>Explore difficult bonding/pressing of prepared husk material.</x:v>
      </x:c>
      <x:c r="G91" s="4" t="str">
        <x:v>Husk-sheet cutting shears, pressure fixtures and dedicated preparation surfaces. Very low hide/fur yield; no ordinary cloth or plant inputs.</x:v>
      </x:c>
      <x:c r="H91" s="4" t="str">
        <x:f>IF(I91=0,"Unassigned",IF(SUMIFS('Material routes'!$Q$6:$Q$2205,'Material routes'!$B$6:$B$2205,A91)&gt;0,"Unassigned","T"&amp;_xlfn.MAXIFS('Material routes'!$P$6:$P$2205,'Material routes'!$B$6:$B$2205,A91)))</x:f>
        <x:v>T1</x:v>
      </x:c>
      <x:c r="I91" s="4" t="n">
        <x:f>SUM(COUNTIFS('Material routes'!$B$6:$B$2205,A91,'Material routes'!$C$6:$C$2205,"Ingredient candidate"),COUNTIFS('Material routes'!$B$6:$B$2205,A91,'Material routes'!$C$6:$C$2205,"Consumed input"),COUNTIFS('Material routes'!$B$6:$B$2205,A91,'Material routes'!$C$6:$C$2205,"Contained input"),COUNTIFS('Material routes'!$B$6:$B$2205,A91,'Material routes'!$C$6:$C$2205,"Transform input"))</x:f>
        <x:v>2</x:v>
      </x:c>
      <x:c r="J91" s="4" t="n">
        <x:f>COUNTIFS('Material routes'!$B$6:$B$2205,A91,'Material routes'!$C$6:$C$2205,"Output")</x:f>
        <x:v>1</x:v>
      </x:c>
      <x:c r="K91" s="4" t="n">
        <x:f>COUNTIFS('Material routes'!$B$6:$B$2205,A91,'Material routes'!$C$6:$C$2205,"Tool candidate")</x:f>
        <x:v>0</x:v>
      </x:c>
      <x:c r="L91" s="4" t="str">
        <x:v>New game brainstorming, October 15, 2026; not source canon or an implemented recipe.</x:v>
      </x:c>
      <x:c r="M91" s="4" t="str">
        <x:v>Not ordinary cloth. Flexibility, adhesive compatibility, very high labor and large feed requirements remain open.</x:v>
      </x:c>
    </x:row>
    <x:row r="92" ht="105" customHeight="1">
      <x:c r="A92" s="4" t="str">
        <x:v>design.branch.branch.wing_membrane</x:v>
      </x:c>
      <x:c r="B92" s="4" t="str">
        <x:v>Reinforced wing membrane preparation</x:v>
      </x:c>
      <x:c r="C92" s="4" t="str">
        <x:v>Material refinement</x:v>
      </x:c>
      <x:c r="D92" s="4" t="str">
        <x:v>Proposal</x:v>
      </x:c>
      <x:c r="E92" s="4" t="str">
        <x:v>Partial proposal</x:v>
      </x:c>
      <x:c r="F92" s="4" t="str">
        <x:v>Explore edge reinforcement and joining of prepared wing panels.</x:v>
      </x:c>
      <x:c r="G92" s="4" t="str">
        <x:v>Husk-sheet cutting shears, pressure fixtures and dedicated preparation surfaces. Very low hide/fur yield; no ordinary cloth or plant inputs.</x:v>
      </x:c>
      <x:c r="H92" s="4" t="str">
        <x:f>IF(I92=0,"Unassigned",IF(SUMIFS('Material routes'!$Q$6:$Q$2205,'Material routes'!$B$6:$B$2205,A92)&gt;0,"Unassigned","T"&amp;_xlfn.MAXIFS('Material routes'!$P$6:$P$2205,'Material routes'!$B$6:$B$2205,A92)))</x:f>
        <x:v>T1</x:v>
      </x:c>
      <x:c r="I92" s="4" t="n">
        <x:f>SUM(COUNTIFS('Material routes'!$B$6:$B$2205,A92,'Material routes'!$C$6:$C$2205,"Ingredient candidate"),COUNTIFS('Material routes'!$B$6:$B$2205,A92,'Material routes'!$C$6:$C$2205,"Consumed input"),COUNTIFS('Material routes'!$B$6:$B$2205,A92,'Material routes'!$C$6:$C$2205,"Contained input"),COUNTIFS('Material routes'!$B$6:$B$2205,A92,'Material routes'!$C$6:$C$2205,"Transform input"))</x:f>
        <x:v>3</x:v>
      </x:c>
      <x:c r="J92" s="4" t="n">
        <x:f>COUNTIFS('Material routes'!$B$6:$B$2205,A92,'Material routes'!$C$6:$C$2205,"Output")</x:f>
        <x:v>1</x:v>
      </x:c>
      <x:c r="K92" s="4" t="n">
        <x:f>COUNTIFS('Material routes'!$B$6:$B$2205,A92,'Material routes'!$C$6:$C$2205,"Tool candidate")</x:f>
        <x:v>0</x:v>
      </x:c>
      <x:c r="L92" s="4" t="str">
        <x:v>New game brainstorming, October 15, 2026; not source canon or an implemented recipe.</x:v>
      </x:c>
      <x:c r="M92" s="4" t="str">
        <x:v>Delicate species-specific material; no universal sail strength, flexibility or weather resistance established.</x:v>
      </x:c>
    </x:row>
    <x:row r="93" ht="105" customHeight="1">
      <x:c r="A93" s="4" t="str">
        <x:v>design.branch.branch.filled_seal</x:v>
      </x:c>
      <x:c r="B93" s="4" t="str">
        <x:v>Filled faunal seal compound preparation</x:v>
      </x:c>
      <x:c r="C93" s="4" t="str">
        <x:v>Material refinement</x:v>
      </x:c>
      <x:c r="D93" s="4" t="str">
        <x:v>Proposal</x:v>
      </x:c>
      <x:c r="E93" s="4" t="str">
        <x:v>Partial proposal</x:v>
      </x:c>
      <x:c r="F93" s="4" t="str">
        <x:v>Explore a bounded patch/seal formulation from prepared secretion and graded filler.</x:v>
      </x:c>
      <x:c r="G93" s="4" t="str">
        <x:v>Contained segregated vessels, Ceramic grinding mortar, Ceramic pestle and Glass transfer funnel. Process/carrier compatibility unresolved.</x:v>
      </x:c>
      <x:c r="H93" s="4" t="str">
        <x:f>IF(I93=0,"Unassigned",IF(SUMIFS('Material routes'!$Q$6:$Q$2205,'Material routes'!$B$6:$B$2205,A93)&gt;0,"Unassigned","T"&amp;_xlfn.MAXIFS('Material routes'!$P$6:$P$2205,'Material routes'!$B$6:$B$2205,A93)))</x:f>
        <x:v>T1</x:v>
      </x:c>
      <x:c r="I93" s="4" t="n">
        <x:f>SUM(COUNTIFS('Material routes'!$B$6:$B$2205,A93,'Material routes'!$C$6:$C$2205,"Ingredient candidate"),COUNTIFS('Material routes'!$B$6:$B$2205,A93,'Material routes'!$C$6:$C$2205,"Consumed input"),COUNTIFS('Material routes'!$B$6:$B$2205,A93,'Material routes'!$C$6:$C$2205,"Contained input"),COUNTIFS('Material routes'!$B$6:$B$2205,A93,'Material routes'!$C$6:$C$2205,"Transform input"))</x:f>
        <x:v>2</x:v>
      </x:c>
      <x:c r="J93" s="4" t="n">
        <x:f>COUNTIFS('Material routes'!$B$6:$B$2205,A93,'Material routes'!$C$6:$C$2205,"Output")</x:f>
        <x:v>1</x:v>
      </x:c>
      <x:c r="K93" s="4" t="n">
        <x:f>COUNTIFS('Material routes'!$B$6:$B$2205,A93,'Material routes'!$C$6:$C$2205,"Tool candidate")</x:f>
        <x:v>0</x:v>
      </x:c>
      <x:c r="L93" s="4" t="str">
        <x:v>New game brainstorming, October 15, 2026; not source canon or an implemented recipe.</x:v>
      </x:c>
      <x:c r="M93" s="4" t="str">
        <x:v>Not pressure-qualified canister sealant; cure, adhesion, cracking and compatibility remain open.</x:v>
      </x:c>
    </x:row>
    <x:row r="94" ht="105" customHeight="1">
      <x:c r="A94" s="4" t="str">
        <x:v>design.branch.branch.flex_bond</x:v>
      </x:c>
      <x:c r="B94" s="4" t="str">
        <x:v>Flexible membrane-bonding compound preparation</x:v>
      </x:c>
      <x:c r="C94" s="4" t="str">
        <x:v>Material refinement</x:v>
      </x:c>
      <x:c r="D94" s="4" t="str">
        <x:v>Proposal</x:v>
      </x:c>
      <x:c r="E94" s="4" t="str">
        <x:v>Partial proposal</x:v>
      </x:c>
      <x:c r="F94" s="4" t="str">
        <x:v>Explore a controlled membrane-bond formulation.</x:v>
      </x:c>
      <x:c r="G94" s="4" t="str">
        <x:v>Contained segregated vessels, Ceramic grinding mortar, Ceramic pestle and Glass transfer funnel. Process/carrier compatibility unresolved.</x:v>
      </x:c>
      <x:c r="H94" s="4" t="str">
        <x:f>IF(I94=0,"Unassigned",IF(SUMIFS('Material routes'!$Q$6:$Q$2205,'Material routes'!$B$6:$B$2205,A94)&gt;0,"Unassigned","T"&amp;_xlfn.MAXIFS('Material routes'!$P$6:$P$2205,'Material routes'!$B$6:$B$2205,A94)))</x:f>
        <x:v>T1</x:v>
      </x:c>
      <x:c r="I94" s="4" t="n">
        <x:f>SUM(COUNTIFS('Material routes'!$B$6:$B$2205,A94,'Material routes'!$C$6:$C$2205,"Ingredient candidate"),COUNTIFS('Material routes'!$B$6:$B$2205,A94,'Material routes'!$C$6:$C$2205,"Consumed input"),COUNTIFS('Material routes'!$B$6:$B$2205,A94,'Material routes'!$C$6:$C$2205,"Contained input"),COUNTIFS('Material routes'!$B$6:$B$2205,A94,'Material routes'!$C$6:$C$2205,"Transform input"))</x:f>
        <x:v>2</x:v>
      </x:c>
      <x:c r="J94" s="4" t="n">
        <x:f>COUNTIFS('Material routes'!$B$6:$B$2205,A94,'Material routes'!$C$6:$C$2205,"Output")</x:f>
        <x:v>1</x:v>
      </x:c>
      <x:c r="K94" s="4" t="n">
        <x:f>COUNTIFS('Material routes'!$B$6:$B$2205,A94,'Material routes'!$C$6:$C$2205,"Tool candidate")</x:f>
        <x:v>0</x:v>
      </x:c>
      <x:c r="L94" s="4" t="str">
        <x:v>New game brainstorming, October 15, 2026; not source canon or an implemented recipe.</x:v>
      </x:c>
      <x:c r="M94" s="4" t="str">
        <x:v>Carrier interaction, flexibility, toxicity and aging unresolved; not guaranteed rubber or synthetic polymer.</x:v>
      </x:c>
    </x:row>
    <x:row r="95" ht="105" customHeight="1">
      <x:c r="A95" s="4" t="str">
        <x:v>design.branch.branch.pigment_coating</x:v>
      </x:c>
      <x:c r="B95" s="4" t="str">
        <x:v>Mineral pigment coating preparation</x:v>
      </x:c>
      <x:c r="C95" s="4" t="str">
        <x:v>Material refinement</x:v>
      </x:c>
      <x:c r="D95" s="4" t="str">
        <x:v>Proposal</x:v>
      </x:c>
      <x:c r="E95" s="4" t="str">
        <x:v>Partial proposal</x:v>
      </x:c>
      <x:c r="F95" s="4" t="str">
        <x:v>Explore an applied colorant using selected mineral pigment and a contained faunal carrier.</x:v>
      </x:c>
      <x:c r="G95" s="4" t="str">
        <x:v>Forge hearth, Anvil, Forging hammer, Smithing tongs, Metalworking file and Hand-cranked metal drill as applicable. Existing workshop bootstrap and controlled heating/cooling required; no free-water quench assumed.</x:v>
      </x:c>
      <x:c r="H95" s="4" t="str">
        <x:f>IF(I95=0,"Unassigned",IF(SUMIFS('Material routes'!$Q$6:$Q$2205,'Material routes'!$B$6:$B$2205,A95)&gt;0,"Unassigned","T"&amp;_xlfn.MAXIFS('Material routes'!$P$6:$P$2205,'Material routes'!$B$6:$B$2205,A95)))</x:f>
        <x:v>T1</x:v>
      </x:c>
      <x:c r="I95" s="4" t="n">
        <x:f>SUM(COUNTIFS('Material routes'!$B$6:$B$2205,A95,'Material routes'!$C$6:$C$2205,"Ingredient candidate"),COUNTIFS('Material routes'!$B$6:$B$2205,A95,'Material routes'!$C$6:$C$2205,"Consumed input"),COUNTIFS('Material routes'!$B$6:$B$2205,A95,'Material routes'!$C$6:$C$2205,"Contained input"),COUNTIFS('Material routes'!$B$6:$B$2205,A95,'Material routes'!$C$6:$C$2205,"Transform input"))</x:f>
        <x:v>2</x:v>
      </x:c>
      <x:c r="J95" s="4" t="n">
        <x:f>COUNTIFS('Material routes'!$B$6:$B$2205,A95,'Material routes'!$C$6:$C$2205,"Output")</x:f>
        <x:v>1</x:v>
      </x:c>
      <x:c r="K95" s="4" t="n">
        <x:f>COUNTIFS('Material routes'!$B$6:$B$2205,A95,'Material routes'!$C$6:$C$2205,"Tool candidate")</x:f>
        <x:v>0</x:v>
      </x:c>
      <x:c r="L95" s="4" t="str">
        <x:v>New game brainstorming, October 15, 2026; not source canon or an implemented recipe.</x:v>
      </x:c>
      <x:c r="M95" s="4" t="str">
        <x:v>No food use, universal adhesion or conventional paint chemistry inferred.</x:v>
      </x:c>
    </x:row>
    <x:row r="96" ht="105" customHeight="1">
      <x:c r="A96" s="4" t="str">
        <x:v>design.branch.branch.filled_binder</x:v>
      </x:c>
      <x:c r="B96" s="4" t="str">
        <x:v>Filled shell-binding compound preparation</x:v>
      </x:c>
      <x:c r="C96" s="4" t="str">
        <x:v>Material refinement</x:v>
      </x:c>
      <x:c r="D96" s="4" t="str">
        <x:v>Proposal</x:v>
      </x:c>
      <x:c r="E96" s="4" t="str">
        <x:v>Partial proposal</x:v>
      </x:c>
      <x:c r="F96" s="4" t="str">
        <x:v>Explore a controlled filled adhesive batch for later composite stock.</x:v>
      </x:c>
      <x:c r="G96" s="4" t="str">
        <x:v>Contained segregated vessels, Ceramic grinding mortar, Ceramic pestle and Glass transfer funnel. Process/carrier compatibility unresolved.</x:v>
      </x:c>
      <x:c r="H96" s="4" t="str">
        <x:f>IF(I96=0,"Unassigned",IF(SUMIFS('Material routes'!$Q$6:$Q$2205,'Material routes'!$B$6:$B$2205,A96)&gt;0,"Unassigned","T"&amp;_xlfn.MAXIFS('Material routes'!$P$6:$P$2205,'Material routes'!$B$6:$B$2205,A96)))</x:f>
        <x:v>T1</x:v>
      </x:c>
      <x:c r="I96" s="4" t="n">
        <x:f>SUM(COUNTIFS('Material routes'!$B$6:$B$2205,A96,'Material routes'!$C$6:$C$2205,"Ingredient candidate"),COUNTIFS('Material routes'!$B$6:$B$2205,A96,'Material routes'!$C$6:$C$2205,"Consumed input"),COUNTIFS('Material routes'!$B$6:$B$2205,A96,'Material routes'!$C$6:$C$2205,"Contained input"),COUNTIFS('Material routes'!$B$6:$B$2205,A96,'Material routes'!$C$6:$C$2205,"Transform input"))</x:f>
        <x:v>2</x:v>
      </x:c>
      <x:c r="J96" s="4" t="n">
        <x:f>COUNTIFS('Material routes'!$B$6:$B$2205,A96,'Material routes'!$C$6:$C$2205,"Output")</x:f>
        <x:v>1</x:v>
      </x:c>
      <x:c r="K96" s="4" t="n">
        <x:f>COUNTIFS('Material routes'!$B$6:$B$2205,A96,'Material routes'!$C$6:$C$2205,"Tool candidate")</x:f>
        <x:v>0</x:v>
      </x:c>
      <x:c r="L96" s="4" t="str">
        <x:v>New game brainstorming, October 15, 2026; not source canon or an implemented recipe.</x:v>
      </x:c>
      <x:c r="M96" s="4" t="str">
        <x:v>Bond strength, heat tolerance and service compatibility need qualification. Distinct from lubricant thickening and seal conditioning.</x:v>
      </x:c>
    </x:row>
    <x:row r="97" ht="105" customHeight="1">
      <x:c r="A97" s="4" t="str">
        <x:v>design.branch.branch.mica_sheet</x:v>
      </x:c>
      <x:c r="B97" s="4" t="str">
        <x:v>Mica composite sheet preparation</x:v>
      </x:c>
      <x:c r="C97" s="4" t="str">
        <x:v>Material refinement</x:v>
      </x:c>
      <x:c r="D97" s="4" t="str">
        <x:v>Proposal</x:v>
      </x:c>
      <x:c r="E97" s="4" t="str">
        <x:v>Partial proposal</x:v>
      </x:c>
      <x:c r="F97" s="4" t="str">
        <x:v>Explore binding selected mineral flakes into sheet stock.</x:v>
      </x:c>
      <x:c r="G97" s="4" t="str">
        <x:v>Forge hearth, Anvil, Forging hammer, Smithing tongs, Metalworking file and Hand-cranked metal drill as applicable. Existing workshop bootstrap and controlled heating/cooling required; no free-water quench assumed.</x:v>
      </x:c>
      <x:c r="H97" s="4" t="str">
        <x:f>IF(I97=0,"Unassigned",IF(SUMIFS('Material routes'!$Q$6:$Q$2205,'Material routes'!$B$6:$B$2205,A97)&gt;0,"Unassigned","T"&amp;_xlfn.MAXIFS('Material routes'!$P$6:$P$2205,'Material routes'!$B$6:$B$2205,A97)))</x:f>
        <x:v>T1</x:v>
      </x:c>
      <x:c r="I97" s="4" t="n">
        <x:f>SUM(COUNTIFS('Material routes'!$B$6:$B$2205,A97,'Material routes'!$C$6:$C$2205,"Ingredient candidate"),COUNTIFS('Material routes'!$B$6:$B$2205,A97,'Material routes'!$C$6:$C$2205,"Consumed input"),COUNTIFS('Material routes'!$B$6:$B$2205,A97,'Material routes'!$C$6:$C$2205,"Contained input"),COUNTIFS('Material routes'!$B$6:$B$2205,A97,'Material routes'!$C$6:$C$2205,"Transform input"))</x:f>
        <x:v>2</x:v>
      </x:c>
      <x:c r="J97" s="4" t="n">
        <x:f>COUNTIFS('Material routes'!$B$6:$B$2205,A97,'Material routes'!$C$6:$C$2205,"Output")</x:f>
        <x:v>1</x:v>
      </x:c>
      <x:c r="K97" s="4" t="n">
        <x:f>COUNTIFS('Material routes'!$B$6:$B$2205,A97,'Material routes'!$C$6:$C$2205,"Tool candidate")</x:f>
        <x:v>0</x:v>
      </x:c>
      <x:c r="L97" s="4" t="str">
        <x:v>New game brainstorming, October 15, 2026; not source canon or an implemented recipe.</x:v>
      </x:c>
      <x:c r="M97" s="4" t="str">
        <x:v>Insulation is an intended application, not a proven voltage/thermal rating; binder may limit service.</x:v>
      </x:c>
    </x:row>
    <x:row r="98" ht="105" customHeight="1">
      <x:c r="A98" s="4" t="str">
        <x:v>design.branch.branch.tuned_stone</x:v>
      </x:c>
      <x:c r="B98" s="4" t="str">
        <x:v>Tuned stone stock preparation</x:v>
      </x:c>
      <x:c r="C98" s="4" t="str">
        <x:v>Material refinement</x:v>
      </x:c>
      <x:c r="D98" s="4" t="str">
        <x:v>Proposal</x:v>
      </x:c>
      <x:c r="E98" s="4" t="str">
        <x:v>Partial proposal</x:v>
      </x:c>
      <x:c r="F98" s="4" t="str">
        <x:v>Select and tune candidate stone stock for instrument-making.</x:v>
      </x:c>
      <x:c r="G98" s="4" t="str">
        <x:v>Ceramic grinding mortar, Ceramic pestle, Ceramic abrasive disc and stone-cutting fixtures as applicable; grade selection and finishing qualification required.</x:v>
      </x:c>
      <x:c r="H98" s="4" t="str">
        <x:f>IF(I98=0,"Unassigned",IF(SUMIFS('Material routes'!$Q$6:$Q$2205,'Material routes'!$B$6:$B$2205,A98)&gt;0,"Unassigned","T"&amp;_xlfn.MAXIFS('Material routes'!$P$6:$P$2205,'Material routes'!$B$6:$B$2205,A98)))</x:f>
        <x:v>T1</x:v>
      </x:c>
      <x:c r="I98" s="4" t="n">
        <x:f>SUM(COUNTIFS('Material routes'!$B$6:$B$2205,A98,'Material routes'!$C$6:$C$2205,"Ingredient candidate"),COUNTIFS('Material routes'!$B$6:$B$2205,A98,'Material routes'!$C$6:$C$2205,"Consumed input"),COUNTIFS('Material routes'!$B$6:$B$2205,A98,'Material routes'!$C$6:$C$2205,"Contained input"),COUNTIFS('Material routes'!$B$6:$B$2205,A98,'Material routes'!$C$6:$C$2205,"Transform input"))</x:f>
        <x:v>2</x:v>
      </x:c>
      <x:c r="J98" s="4" t="n">
        <x:f>COUNTIFS('Material routes'!$B$6:$B$2205,A98,'Material routes'!$C$6:$C$2205,"Output")</x:f>
        <x:v>1</x:v>
      </x:c>
      <x:c r="K98" s="4" t="n">
        <x:f>COUNTIFS('Material routes'!$B$6:$B$2205,A98,'Material routes'!$C$6:$C$2205,"Tool candidate")</x:f>
        <x:v>0</x:v>
      </x:c>
      <x:c r="L98" s="4" t="str">
        <x:v>New game brainstorming, October 15, 2026; not source canon or an implemented recipe.</x:v>
      </x:c>
      <x:c r="M98" s="4" t="str">
        <x:v>No automatic Caller abilities or power amplification; mineral selection, tuning and finished instrument design remain open.</x:v>
      </x:c>
    </x:row>
    <x:row r="99" ht="105" customHeight="1">
      <x:c r="A99" s="4" t="str">
        <x:v>design.branch.branch.polished_gem</x:v>
      </x:c>
      <x:c r="B99" s="4" t="str">
        <x:v>Polished gemstone blanks preparation</x:v>
      </x:c>
      <x:c r="C99" s="4" t="str">
        <x:v>Material refinement</x:v>
      </x:c>
      <x:c r="D99" s="4" t="str">
        <x:v>Proposal</x:v>
      </x:c>
      <x:c r="E99" s="4" t="str">
        <x:v>Partial proposal</x:v>
      </x:c>
      <x:c r="F99" s="4" t="str">
        <x:v>Finish selected gemstone preforms as setting-ready stock.</x:v>
      </x:c>
      <x:c r="G99" s="4" t="str">
        <x:v>Ceramic abrasive disc, graded grit and specialist lapidary fixtures; no mineral powers assumed.</x:v>
      </x:c>
      <x:c r="H99" s="4" t="str">
        <x:f>IF(I99=0,"Unassigned",IF(SUMIFS('Material routes'!$Q$6:$Q$2205,'Material routes'!$B$6:$B$2205,A99)&gt;0,"Unassigned","T"&amp;_xlfn.MAXIFS('Material routes'!$P$6:$P$2205,'Material routes'!$B$6:$B$2205,A99)))</x:f>
        <x:v>T1</x:v>
      </x:c>
      <x:c r="I99" s="4" t="n">
        <x:f>SUM(COUNTIFS('Material routes'!$B$6:$B$2205,A99,'Material routes'!$C$6:$C$2205,"Ingredient candidate"),COUNTIFS('Material routes'!$B$6:$B$2205,A99,'Material routes'!$C$6:$C$2205,"Consumed input"),COUNTIFS('Material routes'!$B$6:$B$2205,A99,'Material routes'!$C$6:$C$2205,"Contained input"),COUNTIFS('Material routes'!$B$6:$B$2205,A99,'Material routes'!$C$6:$C$2205,"Transform input"))</x:f>
        <x:v>2</x:v>
      </x:c>
      <x:c r="J99" s="4" t="n">
        <x:f>COUNTIFS('Material routes'!$B$6:$B$2205,A99,'Material routes'!$C$6:$C$2205,"Output")</x:f>
        <x:v>1</x:v>
      </x:c>
      <x:c r="K99" s="4" t="n">
        <x:f>COUNTIFS('Material routes'!$B$6:$B$2205,A99,'Material routes'!$C$6:$C$2205,"Tool candidate")</x:f>
        <x:v>0</x:v>
      </x:c>
      <x:c r="L99" s="4" t="str">
        <x:v>New game brainstorming, October 15, 2026; not source canon or an implemented recipe.</x:v>
      </x:c>
      <x:c r="M99" s="4" t="str">
        <x:v>No invented national preference, gemstone power or guaranteed precision-optical use.</x:v>
      </x:c>
    </x:row>
    <x:row r="100" ht="105" customHeight="1">
      <x:c r="A100" s="4" t="str">
        <x:v>design.branch.corrosion.advanced_remover</x:v>
      </x:c>
      <x:c r="B100" s="4" t="str">
        <x:v>Advanced rust-removal compound preparation</x:v>
      </x:c>
      <x:c r="C100" s="4" t="str">
        <x:v>Material refinement</x:v>
      </x:c>
      <x:c r="D100" s="4" t="str">
        <x:v>Proposal</x:v>
      </x:c>
      <x:c r="E100" s="4" t="str">
        <x:v>Partial proposal</x:v>
      </x:c>
      <x:c r="F100" s="4" t="str">
        <x:v>Explore a qualified oxide-removal formulation from prepared faunal/mineral fractions.</x:v>
      </x:c>
      <x:c r="G100" s="4" t="str">
        <x:v>Specialist engineering workshop; insulation, pressure or control qualification as applicable. Power/working medium and operating theory unresolved.</x:v>
      </x:c>
      <x:c r="H100" s="4" t="str">
        <x:f>IF(I100=0,"Unassigned",IF(SUMIFS('Material routes'!$Q$6:$Q$2205,'Material routes'!$B$6:$B$2205,A100)&gt;0,"Unassigned","T"&amp;_xlfn.MAXIFS('Material routes'!$P$6:$P$2205,'Material routes'!$B$6:$B$2205,A100)))</x:f>
        <x:v>T1</x:v>
      </x:c>
      <x:c r="I100" s="4" t="n">
        <x:f>SUM(COUNTIFS('Material routes'!$B$6:$B$2205,A100,'Material routes'!$C$6:$C$2205,"Ingredient candidate"),COUNTIFS('Material routes'!$B$6:$B$2205,A100,'Material routes'!$C$6:$C$2205,"Consumed input"),COUNTIFS('Material routes'!$B$6:$B$2205,A100,'Material routes'!$C$6:$C$2205,"Contained input"),COUNTIFS('Material routes'!$B$6:$B$2205,A100,'Material routes'!$C$6:$C$2205,"Transform input"))</x:f>
        <x:v>3</x:v>
      </x:c>
      <x:c r="J100" s="4" t="n">
        <x:f>COUNTIFS('Material routes'!$B$6:$B$2205,A100,'Material routes'!$C$6:$C$2205,"Output")</x:f>
        <x:v>1</x:v>
      </x:c>
      <x:c r="K100" s="4" t="n">
        <x:f>COUNTIFS('Material routes'!$B$6:$B$2205,A100,'Material routes'!$C$6:$C$2205,"Tool candidate")</x:f>
        <x:v>0</x:v>
      </x:c>
      <x:c r="L100" s="4" t="str">
        <x:v>New game brainstorming, October 15, 2026; not source canon or an implemented recipe.</x:v>
      </x:c>
      <x:c r="M100" s="4" t="str">
        <x:v>Existing author-directed family reused. Ingredient roles are hypotheses; no formula, universal metal selectivity or restoration of missing metal.</x:v>
      </x:c>
    </x:row>
    <x:row r="101" ht="105" customHeight="1">
      <x:c r="A101" s="4" t="str">
        <x:v>design.branch.lubricant.precision_oil</x:v>
      </x:c>
      <x:c r="B101" s="4" t="str">
        <x:v>Fine mechanism oil preparation</x:v>
      </x:c>
      <x:c r="C101" s="4" t="str">
        <x:v>Material refinement</x:v>
      </x:c>
      <x:c r="D101" s="4" t="str">
        <x:v>Proposal</x:v>
      </x:c>
      <x:c r="E101" s="4" t="str">
        <x:v>Partial proposal</x:v>
      </x:c>
      <x:c r="F101" s="4" t="str">
        <x:v>Explore fine mechanism-service preparation from selected contained faunal fractions.</x:v>
      </x:c>
      <x:c r="G101" s="4" t="str">
        <x:v>Contained segregated vessels, Ceramic grinding mortar, Ceramic pestle and Glass transfer funnel. Process/carrier compatibility unresolved.</x:v>
      </x:c>
      <x:c r="H101" s="4" t="str">
        <x:f>IF(I101=0,"Unassigned",IF(SUMIFS('Material routes'!$Q$6:$Q$2205,'Material routes'!$B$6:$B$2205,A101)&gt;0,"Unassigned","T"&amp;_xlfn.MAXIFS('Material routes'!$P$6:$P$2205,'Material routes'!$B$6:$B$2205,A101)))</x:f>
        <x:v>T1</x:v>
      </x:c>
      <x:c r="I101" s="4" t="n">
        <x:f>SUM(COUNTIFS('Material routes'!$B$6:$B$2205,A101,'Material routes'!$C$6:$C$2205,"Ingredient candidate"),COUNTIFS('Material routes'!$B$6:$B$2205,A101,'Material routes'!$C$6:$C$2205,"Consumed input"),COUNTIFS('Material routes'!$B$6:$B$2205,A101,'Material routes'!$C$6:$C$2205,"Contained input"),COUNTIFS('Material routes'!$B$6:$B$2205,A101,'Material routes'!$C$6:$C$2205,"Transform input"))</x:f>
        <x:v>2</x:v>
      </x:c>
      <x:c r="J101" s="4" t="n">
        <x:f>COUNTIFS('Material routes'!$B$6:$B$2205,A101,'Material routes'!$C$6:$C$2205,"Output")</x:f>
        <x:v>1</x:v>
      </x:c>
      <x:c r="K101" s="4" t="n">
        <x:f>COUNTIFS('Material routes'!$B$6:$B$2205,A101,'Material routes'!$C$6:$C$2205,"Tool candidate")</x:f>
        <x:v>0</x:v>
      </x:c>
      <x:c r="L101" s="4" t="str">
        <x:v>New game brainstorming, October 15, 2026; not source canon or an implemented recipe.</x:v>
      </x:c>
      <x:c r="M101" s="4" t="str">
        <x:v>Existing proposal reused. Carrier/base compatibility, viscosity, stability and machinery service remain unresolved; no conventional fat assumed.</x:v>
      </x:c>
    </x:row>
    <x:row r="102" ht="105" customHeight="1">
      <x:c r="A102" s="4" t="str">
        <x:v>design.branch.lubricant.graphite_grease</x:v>
      </x:c>
      <x:c r="B102" s="4" t="str">
        <x:v>Graphite faunal grease preparation</x:v>
      </x:c>
      <x:c r="C102" s="4" t="str">
        <x:v>Material refinement</x:v>
      </x:c>
      <x:c r="D102" s="4" t="str">
        <x:v>Proposal</x:v>
      </x:c>
      <x:c r="E102" s="4" t="str">
        <x:v>Partial proposal</x:v>
      </x:c>
      <x:c r="F102" s="4" t="str">
        <x:v>Explore a selected solid-lubricant formulation.</x:v>
      </x:c>
      <x:c r="G102" s="4" t="str">
        <x:v>Contained segregated vessels, Ceramic grinding mortar, Ceramic pestle and Glass transfer funnel. Process/carrier compatibility unresolved.</x:v>
      </x:c>
      <x:c r="H102" s="4" t="str">
        <x:f>IF(I102=0,"Unassigned",IF(SUMIFS('Material routes'!$Q$6:$Q$2205,'Material routes'!$B$6:$B$2205,A102)&gt;0,"Unassigned","T"&amp;_xlfn.MAXIFS('Material routes'!$P$6:$P$2205,'Material routes'!$B$6:$B$2205,A102)))</x:f>
        <x:v>T1</x:v>
      </x:c>
      <x:c r="I102" s="4" t="n">
        <x:f>SUM(COUNTIFS('Material routes'!$B$6:$B$2205,A102,'Material routes'!$C$6:$C$2205,"Ingredient candidate"),COUNTIFS('Material routes'!$B$6:$B$2205,A102,'Material routes'!$C$6:$C$2205,"Consumed input"),COUNTIFS('Material routes'!$B$6:$B$2205,A102,'Material routes'!$C$6:$C$2205,"Contained input"),COUNTIFS('Material routes'!$B$6:$B$2205,A102,'Material routes'!$C$6:$C$2205,"Transform input"))</x:f>
        <x:v>3</x:v>
      </x:c>
      <x:c r="J102" s="4" t="n">
        <x:f>COUNTIFS('Material routes'!$B$6:$B$2205,A102,'Material routes'!$C$6:$C$2205,"Output")</x:f>
        <x:v>1</x:v>
      </x:c>
      <x:c r="K102" s="4" t="n">
        <x:f>COUNTIFS('Material routes'!$B$6:$B$2205,A102,'Material routes'!$C$6:$C$2205,"Tool candidate")</x:f>
        <x:v>0</x:v>
      </x:c>
      <x:c r="L102" s="4" t="str">
        <x:v>New game brainstorming, October 15, 2026; not source canon or an implemented recipe.</x:v>
      </x:c>
      <x:c r="M102" s="4" t="str">
        <x:v>Existing proposal reused. Grit size, compatibility, conductivity and suitability for specific mechanisms remain open.</x:v>
      </x:c>
    </x:row>
    <x:row r="103" ht="105" customHeight="1">
      <x:c r="A103" s="4" t="str">
        <x:v>design.branch.branch.steel_shell</x:v>
      </x:c>
      <x:c r="B103" s="4" t="str">
        <x:v>Steel-faced shell composite preparation</x:v>
      </x:c>
      <x:c r="C103" s="4" t="str">
        <x:v>Material refinement</x:v>
      </x:c>
      <x:c r="D103" s="4" t="str">
        <x:v>Proposal</x:v>
      </x:c>
      <x:c r="E103" s="4" t="str">
        <x:v>Partial proposal</x:v>
      </x:c>
      <x:c r="F103" s="4" t="str">
        <x:v>Explore joining selected steel facing to prepared shell laminate.</x:v>
      </x:c>
      <x:c r="G103" s="4" t="str">
        <x:v>Forge hearth, Anvil, Forging hammer, Smithing tongs, Metalworking file and Hand-cranked metal drill as applicable. Existing workshop bootstrap and controlled heating/cooling required; no free-water quench assumed.</x:v>
      </x:c>
      <x:c r="H103" s="4" t="str">
        <x:f>IF(I103=0,"Unassigned",IF(SUMIFS('Material routes'!$Q$6:$Q$2205,'Material routes'!$B$6:$B$2205,A103)&gt;0,"Unassigned","T"&amp;_xlfn.MAXIFS('Material routes'!$P$6:$P$2205,'Material routes'!$B$6:$B$2205,A103)))</x:f>
        <x:v>T2</x:v>
      </x:c>
      <x:c r="I103" s="4" t="n">
        <x:f>SUM(COUNTIFS('Material routes'!$B$6:$B$2205,A103,'Material routes'!$C$6:$C$2205,"Ingredient candidate"),COUNTIFS('Material routes'!$B$6:$B$2205,A103,'Material routes'!$C$6:$C$2205,"Consumed input"),COUNTIFS('Material routes'!$B$6:$B$2205,A103,'Material routes'!$C$6:$C$2205,"Contained input"),COUNTIFS('Material routes'!$B$6:$B$2205,A103,'Material routes'!$C$6:$C$2205,"Transform input"))</x:f>
        <x:v>3</x:v>
      </x:c>
      <x:c r="J103" s="4" t="n">
        <x:f>COUNTIFS('Material routes'!$B$6:$B$2205,A103,'Material routes'!$C$6:$C$2205,"Output")</x:f>
        <x:v>1</x:v>
      </x:c>
      <x:c r="K103" s="4" t="n">
        <x:f>COUNTIFS('Material routes'!$B$6:$B$2205,A103,'Material routes'!$C$6:$C$2205,"Tool candidate")</x:f>
        <x:v>0</x:v>
      </x:c>
      <x:c r="L103" s="4" t="str">
        <x:v>New game brainstorming, October 15, 2026; not source canon or an implemented recipe.</x:v>
      </x:c>
      <x:c r="M103" s="4" t="str">
        <x:v>Bonding, weight, flex and impact behavior unresolved; no ballistic or universal armor rating.</x:v>
      </x:c>
    </x:row>
    <x:row r="104" ht="105" customHeight="1">
      <x:c r="A104" s="4" t="str">
        <x:v>design.branch.branch.spring_steel</x:v>
      </x:c>
      <x:c r="B104" s="4" t="str">
        <x:v>Spring-grade steel stock preparation</x:v>
      </x:c>
      <x:c r="C104" s="4" t="str">
        <x:v>Material refinement</x:v>
      </x:c>
      <x:c r="D104" s="4" t="str">
        <x:v>Proposal</x:v>
      </x:c>
      <x:c r="E104" s="4" t="str">
        <x:v>Partial proposal</x:v>
      </x:c>
      <x:c r="F104" s="4" t="str">
        <x:v>Explore an identified alloy/heat-treatment route for spring-service stock.</x:v>
      </x:c>
      <x:c r="G104" s="4" t="str">
        <x:v>Forge hearth, Anvil, Forging hammer, Smithing tongs, Metalworking file and Hand-cranked metal drill as applicable. Existing workshop bootstrap and controlled heating/cooling required; no free-water quench assumed.</x:v>
      </x:c>
      <x:c r="H104" s="4" t="str">
        <x:f>IF(I104=0,"Unassigned",IF(SUMIFS('Material routes'!$Q$6:$Q$2205,'Material routes'!$B$6:$B$2205,A104)&gt;0,"Unassigned","T"&amp;_xlfn.MAXIFS('Material routes'!$P$6:$P$2205,'Material routes'!$B$6:$B$2205,A104)))</x:f>
        <x:v>T2</x:v>
      </x:c>
      <x:c r="I104" s="4" t="n">
        <x:f>SUM(COUNTIFS('Material routes'!$B$6:$B$2205,A104,'Material routes'!$C$6:$C$2205,"Ingredient candidate"),COUNTIFS('Material routes'!$B$6:$B$2205,A104,'Material routes'!$C$6:$C$2205,"Consumed input"),COUNTIFS('Material routes'!$B$6:$B$2205,A104,'Material routes'!$C$6:$C$2205,"Contained input"),COUNTIFS('Material routes'!$B$6:$B$2205,A104,'Material routes'!$C$6:$C$2205,"Transform input"))</x:f>
        <x:v>3</x:v>
      </x:c>
      <x:c r="J104" s="4" t="n">
        <x:f>COUNTIFS('Material routes'!$B$6:$B$2205,A104,'Material routes'!$C$6:$C$2205,"Output")</x:f>
        <x:v>1</x:v>
      </x:c>
      <x:c r="K104" s="4" t="n">
        <x:f>COUNTIFS('Material routes'!$B$6:$B$2205,A104,'Material routes'!$C$6:$C$2205,"Tool candidate")</x:f>
        <x:v>0</x:v>
      </x:c>
      <x:c r="L104" s="4" t="str">
        <x:v>New game brainstorming, October 15, 2026; not source canon or an implemented recipe.</x:v>
      </x:c>
      <x:c r="M104" s="4" t="str">
        <x:v>A candidate grade, not proof any steel springs reliably. No free-water quench; chemistry, treatment, fatigue and dimensions remain open.</x:v>
      </x:c>
    </x:row>
    <x:row r="105" ht="105" customHeight="1">
      <x:c r="A105" s="4" t="str">
        <x:v>design.branch.branch.insulated_conductor</x:v>
      </x:c>
      <x:c r="B105" s="4" t="str">
        <x:v>Insulated conductor stock preparation</x:v>
      </x:c>
      <x:c r="C105" s="4" t="str">
        <x:v>Material refinement</x:v>
      </x:c>
      <x:c r="D105" s="4" t="str">
        <x:v>Proposal</x:v>
      </x:c>
      <x:c r="E105" s="4" t="str">
        <x:v>Partial proposal</x:v>
      </x:c>
      <x:c r="F105" s="4" t="str">
        <x:v>Explore assembled conductor stock with separately prepared insulating layers.</x:v>
      </x:c>
      <x:c r="G105" s="4" t="str">
        <x:v>Forge hearth, Anvil, Forging hammer, Smithing tongs, Metalworking file and Hand-cranked metal drill as applicable. Existing workshop bootstrap and controlled heating/cooling required; no free-water quench assumed.</x:v>
      </x:c>
      <x:c r="H105" s="4" t="str">
        <x:f>IF(I105=0,"Unassigned",IF(SUMIFS('Material routes'!$Q$6:$Q$2205,'Material routes'!$B$6:$B$2205,A105)&gt;0,"Unassigned","T"&amp;_xlfn.MAXIFS('Material routes'!$P$6:$P$2205,'Material routes'!$B$6:$B$2205,A105)))</x:f>
        <x:v>T2</x:v>
      </x:c>
      <x:c r="I105" s="4" t="n">
        <x:f>SUM(COUNTIFS('Material routes'!$B$6:$B$2205,A105,'Material routes'!$C$6:$C$2205,"Ingredient candidate"),COUNTIFS('Material routes'!$B$6:$B$2205,A105,'Material routes'!$C$6:$C$2205,"Consumed input"),COUNTIFS('Material routes'!$B$6:$B$2205,A105,'Material routes'!$C$6:$C$2205,"Contained input"),COUNTIFS('Material routes'!$B$6:$B$2205,A105,'Material routes'!$C$6:$C$2205,"Transform input"))</x:f>
        <x:v>3</x:v>
      </x:c>
      <x:c r="J105" s="4" t="n">
        <x:f>COUNTIFS('Material routes'!$B$6:$B$2205,A105,'Material routes'!$C$6:$C$2205,"Output")</x:f>
        <x:v>1</x:v>
      </x:c>
      <x:c r="K105" s="4" t="n">
        <x:f>COUNTIFS('Material routes'!$B$6:$B$2205,A105,'Material routes'!$C$6:$C$2205,"Tool candidate")</x:f>
        <x:v>0</x:v>
      </x:c>
      <x:c r="L105" s="4" t="str">
        <x:v>New game brainstorming, October 15, 2026; not source canon or an implemented recipe.</x:v>
      </x:c>
      <x:c r="M105" s="4" t="str">
        <x:v>Layer arrangement, joints, leakage and electrical service limits unresolved. No cloth/rubber default or high-voltage certification.</x:v>
      </x:c>
    </x:row>
    <x:row r="106" ht="105" customHeight="1">
      <x:c r="A106" s="4" t="str">
        <x:v>design.branch.branch.ceramic_shell</x:v>
      </x:c>
      <x:c r="B106" s="4" t="str">
        <x:v>Bonded ceramic-shell composite preparation</x:v>
      </x:c>
      <x:c r="C106" s="4" t="str">
        <x:v>Material refinement</x:v>
      </x:c>
      <x:c r="D106" s="4" t="str">
        <x:v>Proposal</x:v>
      </x:c>
      <x:c r="E106" s="4" t="str">
        <x:v>Partial proposal</x:v>
      </x:c>
      <x:c r="F106" s="4" t="str">
        <x:v>Explore compatible ceramic and shell stock as a bonded composite.</x:v>
      </x:c>
      <x:c r="G106" s="4" t="str">
        <x:v>Controlled-heating firing kiln or specialist glass hot-work station; Ceramic firing tray / Ceramic casting mold as applicable. Qualified power, heat and atmosphere required.</x:v>
      </x:c>
      <x:c r="H106" s="4" t="str">
        <x:f>IF(I106=0,"Unassigned",IF(SUMIFS('Material routes'!$Q$6:$Q$2205,'Material routes'!$B$6:$B$2205,A106)&gt;0,"Unassigned","T"&amp;_xlfn.MAXIFS('Material routes'!$P$6:$P$2205,'Material routes'!$B$6:$B$2205,A106)))</x:f>
        <x:v>T2</x:v>
      </x:c>
      <x:c r="I106" s="4" t="n">
        <x:f>SUM(COUNTIFS('Material routes'!$B$6:$B$2205,A106,'Material routes'!$C$6:$C$2205,"Ingredient candidate"),COUNTIFS('Material routes'!$B$6:$B$2205,A106,'Material routes'!$C$6:$C$2205,"Consumed input"),COUNTIFS('Material routes'!$B$6:$B$2205,A106,'Material routes'!$C$6:$C$2205,"Contained input"),COUNTIFS('Material routes'!$B$6:$B$2205,A106,'Material routes'!$C$6:$C$2205,"Transform input"))</x:f>
        <x:v>3</x:v>
      </x:c>
      <x:c r="J106" s="4" t="n">
        <x:f>COUNTIFS('Material routes'!$B$6:$B$2205,A106,'Material routes'!$C$6:$C$2205,"Output")</x:f>
        <x:v>1</x:v>
      </x:c>
      <x:c r="K106" s="4" t="n">
        <x:f>COUNTIFS('Material routes'!$B$6:$B$2205,A106,'Material routes'!$C$6:$C$2205,"Tool candidate")</x:f>
        <x:v>0</x:v>
      </x:c>
      <x:c r="L106" s="4" t="str">
        <x:v>New game brainstorming, October 15, 2026; not source canon or an implemented recipe.</x:v>
      </x:c>
      <x:c r="M106" s="4" t="str">
        <x:v>Not automatically both armor and an electrical barrier. Thermal/impact behavior and interfaces require qualification.</x:v>
      </x:c>
    </x:row>
    <x:row r="107" ht="105" customHeight="1">
      <x:c r="A107" s="4" t="str">
        <x:v>design.branch.branch.optical_glass</x:v>
      </x:c>
      <x:c r="B107" s="4" t="str">
        <x:v>Ground optical glass stock preparation</x:v>
      </x:c>
      <x:c r="C107" s="4" t="str">
        <x:v>Material refinement</x:v>
      </x:c>
      <x:c r="D107" s="4" t="str">
        <x:v>Proposal</x:v>
      </x:c>
      <x:c r="E107" s="4" t="str">
        <x:v>Partial proposal</x:v>
      </x:c>
      <x:c r="F107" s="4" t="str">
        <x:v>Explore grinding, finishing and selection of candidate optical stock.</x:v>
      </x:c>
      <x:c r="G107" s="4" t="str">
        <x:v>Controlled-heating firing kiln or specialist glass hot-work station; Ceramic firing tray / Ceramic casting mold as applicable. Qualified power, heat and atmosphere required.</x:v>
      </x:c>
      <x:c r="H107" s="4" t="str">
        <x:f>IF(I107=0,"Unassigned",IF(SUMIFS('Material routes'!$Q$6:$Q$2205,'Material routes'!$B$6:$B$2205,A107)&gt;0,"Unassigned","T"&amp;_xlfn.MAXIFS('Material routes'!$P$6:$P$2205,'Material routes'!$B$6:$B$2205,A107)))</x:f>
        <x:v>T2</x:v>
      </x:c>
      <x:c r="I107" s="4" t="n">
        <x:f>SUM(COUNTIFS('Material routes'!$B$6:$B$2205,A107,'Material routes'!$C$6:$C$2205,"Ingredient candidate"),COUNTIFS('Material routes'!$B$6:$B$2205,A107,'Material routes'!$C$6:$C$2205,"Consumed input"),COUNTIFS('Material routes'!$B$6:$B$2205,A107,'Material routes'!$C$6:$C$2205,"Contained input"),COUNTIFS('Material routes'!$B$6:$B$2205,A107,'Material routes'!$C$6:$C$2205,"Transform input"))</x:f>
        <x:v>2</x:v>
      </x:c>
      <x:c r="J107" s="4" t="n">
        <x:f>COUNTIFS('Material routes'!$B$6:$B$2205,A107,'Material routes'!$C$6:$C$2205,"Output")</x:f>
        <x:v>1</x:v>
      </x:c>
      <x:c r="K107" s="4" t="n">
        <x:f>COUNTIFS('Material routes'!$B$6:$B$2205,A107,'Material routes'!$C$6:$C$2205,"Tool candidate")</x:f>
        <x:v>0</x:v>
      </x:c>
      <x:c r="L107" s="4" t="str">
        <x:v>New game brainstorming, October 15, 2026; not source canon or an implemented recipe.</x:v>
      </x:c>
      <x:c r="M107" s="4" t="str">
        <x:v>T1 abrasive is a lower-tier ingredient beside T2 viewing stock. Figure, defects, calibration and actual optical capability remain open.</x:v>
      </x:c>
    </x:row>
    <x:row r="108" ht="105" customHeight="1">
      <x:c r="A108" s="4" t="str">
        <x:v>design.branch.branch.husk_composite</x:v>
      </x:c>
      <x:c r="B108" s="4" t="str">
        <x:v>Layered husk composite stock preparation</x:v>
      </x:c>
      <x:c r="C108" s="4" t="str">
        <x:v>Material refinement</x:v>
      </x:c>
      <x:c r="D108" s="4" t="str">
        <x:v>Proposal</x:v>
      </x:c>
      <x:c r="E108" s="4" t="str">
        <x:v>Partial proposal</x:v>
      </x:c>
      <x:c r="F108" s="4" t="str">
        <x:v>Explore layering prepared husk stock for casings and stiffened parts.</x:v>
      </x:c>
      <x:c r="G108" s="4" t="str">
        <x:v>Husk-sheet cutting shears, pressure fixtures and dedicated preparation surfaces. Very low hide/fur yield; no ordinary cloth or plant inputs.</x:v>
      </x:c>
      <x:c r="H108" s="4" t="str">
        <x:f>IF(I108=0,"Unassigned",IF(SUMIFS('Material routes'!$Q$6:$Q$2205,'Material routes'!$B$6:$B$2205,A108)&gt;0,"Unassigned","T"&amp;_xlfn.MAXIFS('Material routes'!$P$6:$P$2205,'Material routes'!$B$6:$B$2205,A108)))</x:f>
        <x:v>T2</x:v>
      </x:c>
      <x:c r="I108" s="4" t="n">
        <x:f>SUM(COUNTIFS('Material routes'!$B$6:$B$2205,A108,'Material routes'!$C$6:$C$2205,"Ingredient candidate"),COUNTIFS('Material routes'!$B$6:$B$2205,A108,'Material routes'!$C$6:$C$2205,"Consumed input"),COUNTIFS('Material routes'!$B$6:$B$2205,A108,'Material routes'!$C$6:$C$2205,"Contained input"),COUNTIFS('Material routes'!$B$6:$B$2205,A108,'Material routes'!$C$6:$C$2205,"Transform input"))</x:f>
        <x:v>2</x:v>
      </x:c>
      <x:c r="J108" s="4" t="n">
        <x:f>COUNTIFS('Material routes'!$B$6:$B$2205,A108,'Material routes'!$C$6:$C$2205,"Output")</x:f>
        <x:v>1</x:v>
      </x:c>
      <x:c r="K108" s="4" t="n">
        <x:f>COUNTIFS('Material routes'!$B$6:$B$2205,A108,'Material routes'!$C$6:$C$2205,"Tool candidate")</x:f>
        <x:v>0</x:v>
      </x:c>
      <x:c r="L108" s="4" t="str">
        <x:v>New game brainstorming, October 15, 2026; not source canon or an implemented recipe.</x:v>
      </x:c>
      <x:c r="M108" s="4" t="str">
        <x:v>Scarce difficult processing, not abundant ordinary cloth. Layer quality and structural performance unresolved.</x:v>
      </x:c>
    </x:row>
    <x:row r="109" ht="105" customHeight="1">
      <x:c r="A109" s="4" t="str">
        <x:v>design.branch.branch.sealing_sheet</x:v>
      </x:c>
      <x:c r="B109" s="4" t="str">
        <x:v>Reinforced sealing sheet preparation</x:v>
      </x:c>
      <x:c r="C109" s="4" t="str">
        <x:v>Material refinement</x:v>
      </x:c>
      <x:c r="D109" s="4" t="str">
        <x:v>Proposal</x:v>
      </x:c>
      <x:c r="E109" s="4" t="str">
        <x:v>Partial proposal</x:v>
      </x:c>
      <x:c r="F109" s="4" t="str">
        <x:v>Explore a bounded reinforced sealing stock.</x:v>
      </x:c>
      <x:c r="G109" s="4" t="str">
        <x:v>Forge hearth, Anvil, Forging hammer, Smithing tongs, Metalworking file and Hand-cranked metal drill as applicable. Existing workshop bootstrap and controlled heating/cooling required; no free-water quench assumed.</x:v>
      </x:c>
      <x:c r="H109" s="4" t="str">
        <x:f>IF(I109=0,"Unassigned",IF(SUMIFS('Material routes'!$Q$6:$Q$2205,'Material routes'!$B$6:$B$2205,A109)&gt;0,"Unassigned","T"&amp;_xlfn.MAXIFS('Material routes'!$P$6:$P$2205,'Material routes'!$B$6:$B$2205,A109)))</x:f>
        <x:v>T2</x:v>
      </x:c>
      <x:c r="I109" s="4" t="n">
        <x:f>SUM(COUNTIFS('Material routes'!$B$6:$B$2205,A109,'Material routes'!$C$6:$C$2205,"Ingredient candidate"),COUNTIFS('Material routes'!$B$6:$B$2205,A109,'Material routes'!$C$6:$C$2205,"Consumed input"),COUNTIFS('Material routes'!$B$6:$B$2205,A109,'Material routes'!$C$6:$C$2205,"Contained input"),COUNTIFS('Material routes'!$B$6:$B$2205,A109,'Material routes'!$C$6:$C$2205,"Transform input"))</x:f>
        <x:v>3</x:v>
      </x:c>
      <x:c r="J109" s="4" t="n">
        <x:f>COUNTIFS('Material routes'!$B$6:$B$2205,A109,'Material routes'!$C$6:$C$2205,"Output")</x:f>
        <x:v>1</x:v>
      </x:c>
      <x:c r="K109" s="4" t="n">
        <x:f>COUNTIFS('Material routes'!$B$6:$B$2205,A109,'Material routes'!$C$6:$C$2205,"Tool candidate")</x:f>
        <x:v>0</x:v>
      </x:c>
      <x:c r="L109" s="4" t="str">
        <x:v>New game brainstorming, October 15, 2026; not source canon or an implemented recipe.</x:v>
      </x:c>
      <x:c r="M109" s="4" t="str">
        <x:v>Service compatibility, flexibility, leak behavior and pressure limits are not assigned.</x:v>
      </x:c>
    </x:row>
    <x:row r="110" ht="105" customHeight="1">
      <x:c r="A110" s="4"/>
      <x:c r="B110" s="4"/>
      <x:c r="C110" s="4"/>
      <x:c r="D110" s="4"/>
      <x:c r="E110" s="4"/>
      <x:c r="F110" s="4"/>
      <x:c r="G110" s="4"/>
      <x:c r="H110" s="4"/>
      <x:c r="I110" s="4"/>
      <x:c r="J110" s="4"/>
      <x:c r="K110" s="4"/>
      <x:c r="L110" s="4"/>
      <x:c r="M110" s="4"/>
    </x:row>
    <x:row r="111" ht="105" customHeight="1">
      <x:c r="A111" s="4" t="str">
        <x:v>design.branch.canister.sealant</x:v>
      </x:c>
      <x:c r="B111" s="4" t="str">
        <x:v>Canister joint sealant preparation</x:v>
      </x:c>
      <x:c r="C111" s="4" t="str">
        <x:v>Material refinement</x:v>
      </x:c>
      <x:c r="D111" s="4" t="str">
        <x:v>Proposal</x:v>
      </x:c>
      <x:c r="E111" s="4" t="str">
        <x:v>Partial proposal</x:v>
      </x:c>
      <x:c r="F111" s="4" t="str">
        <x:v>Explore a canister-service formulation as a separate qualified grade.</x:v>
      </x:c>
      <x:c r="G111" s="4" t="str">
        <x:v>Contained segregated vessels, Ceramic grinding mortar, Ceramic pestle and Glass transfer funnel. Process/carrier compatibility unresolved.</x:v>
      </x:c>
      <x:c r="H111" s="4" t="str">
        <x:f>IF(I111=0,"Unassigned",IF(SUMIFS('Material routes'!$Q$6:$Q$2205,'Material routes'!$B$6:$B$2205,A111)&gt;0,"Unassigned","T"&amp;_xlfn.MAXIFS('Material routes'!$P$6:$P$2205,'Material routes'!$B$6:$B$2205,A111)))</x:f>
        <x:v>T2</x:v>
      </x:c>
      <x:c r="I111" s="4" t="n">
        <x:f>SUM(COUNTIFS('Material routes'!$B$6:$B$2205,A111,'Material routes'!$C$6:$C$2205,"Ingredient candidate"),COUNTIFS('Material routes'!$B$6:$B$2205,A111,'Material routes'!$C$6:$C$2205,"Consumed input"),COUNTIFS('Material routes'!$B$6:$B$2205,A111,'Material routes'!$C$6:$C$2205,"Contained input"),COUNTIFS('Material routes'!$B$6:$B$2205,A111,'Material routes'!$C$6:$C$2205,"Transform input"))</x:f>
        <x:v>2</x:v>
      </x:c>
      <x:c r="J111" s="4" t="n">
        <x:f>COUNTIFS('Material routes'!$B$6:$B$2205,A111,'Material routes'!$C$6:$C$2205,"Output")</x:f>
        <x:v>1</x:v>
      </x:c>
      <x:c r="K111" s="4" t="n">
        <x:f>COUNTIFS('Material routes'!$B$6:$B$2205,A111,'Material routes'!$C$6:$C$2205,"Tool candidate")</x:f>
        <x:v>0</x:v>
      </x:c>
      <x:c r="L111" s="4" t="str">
        <x:v>New game brainstorming, October 15, 2026; not source canon or an implemented recipe.</x:v>
      </x:c>
      <x:c r="M111" s="4" t="str">
        <x:v>Existing proposal reused. Compatibility and pressure qualification remain mandatory design questions; no approved repair method or universal canister fit.</x:v>
      </x:c>
    </x:row>
    <x:row r="112" ht="105" customHeight="1">
      <x:c r="A112" s="4" t="str">
        <x:v>design.branch.branch.protective_stock</x:v>
      </x:c>
      <x:c r="B112" s="4" t="str">
        <x:v>Layered protective composite stock preparation</x:v>
      </x:c>
      <x:c r="C112" s="4" t="str">
        <x:v>Material refinement</x:v>
      </x:c>
      <x:c r="D112" s="4" t="str">
        <x:v>Proposal</x:v>
      </x:c>
      <x:c r="E112" s="4" t="str">
        <x:v>Partial proposal</x:v>
      </x:c>
      <x:c r="F112" s="4" t="str">
        <x:v>Explore a purpose-layered stock for later fitted protection.</x:v>
      </x:c>
      <x:c r="G112" s="4" t="str">
        <x:v>Forge hearth, Anvil, Forging hammer, Smithing tongs, Metalworking file and Hand-cranked metal drill as applicable. Existing workshop bootstrap and controlled heating/cooling required; no free-water quench assumed.</x:v>
      </x:c>
      <x:c r="H112" s="4" t="str">
        <x:f>IF(I112=0,"Unassigned",IF(SUMIFS('Material routes'!$Q$6:$Q$2205,'Material routes'!$B$6:$B$2205,A112)&gt;0,"Unassigned","T"&amp;_xlfn.MAXIFS('Material routes'!$P$6:$P$2205,'Material routes'!$B$6:$B$2205,A112)))</x:f>
        <x:v>T3</x:v>
      </x:c>
      <x:c r="I112" s="4" t="n">
        <x:f>SUM(COUNTIFS('Material routes'!$B$6:$B$2205,A112,'Material routes'!$C$6:$C$2205,"Ingredient candidate"),COUNTIFS('Material routes'!$B$6:$B$2205,A112,'Material routes'!$C$6:$C$2205,"Consumed input"),COUNTIFS('Material routes'!$B$6:$B$2205,A112,'Material routes'!$C$6:$C$2205,"Contained input"),COUNTIFS('Material routes'!$B$6:$B$2205,A112,'Material routes'!$C$6:$C$2205,"Transform input"))</x:f>
        <x:v>3</x:v>
      </x:c>
      <x:c r="J112" s="4" t="n">
        <x:f>COUNTIFS('Material routes'!$B$6:$B$2205,A112,'Material routes'!$C$6:$C$2205,"Output")</x:f>
        <x:v>1</x:v>
      </x:c>
      <x:c r="K112" s="4" t="n">
        <x:f>COUNTIFS('Material routes'!$B$6:$B$2205,A112,'Material routes'!$C$6:$C$2205,"Tool candidate")</x:f>
        <x:v>0</x:v>
      </x:c>
      <x:c r="L112" s="4" t="str">
        <x:v>New game brainstorming, October 15, 2026; not source canon or an implemented recipe.</x:v>
      </x:c>
      <x:c r="M112" s="4" t="str">
        <x:v>A multi-material candidate, not ancient plasteel/nanocarbon or a certified ballistic material.</x:v>
      </x:c>
    </x:row>
    <x:row r="113" ht="105" customHeight="1">
      <x:c r="A113" s="4" t="str">
        <x:v>design.branch.branch.encapsulated_conductor</x:v>
      </x:c>
      <x:c r="B113" s="4" t="str">
        <x:v>Encapsulated conductor stock preparation</x:v>
      </x:c>
      <x:c r="C113" s="4" t="str">
        <x:v>Material refinement</x:v>
      </x:c>
      <x:c r="D113" s="4" t="str">
        <x:v>Proposal</x:v>
      </x:c>
      <x:c r="E113" s="4" t="str">
        <x:v>Partial proposal</x:v>
      </x:c>
      <x:c r="F113" s="4" t="str">
        <x:v>Explore enclosed conductor runs and interfaces using qualified stock.</x:v>
      </x:c>
      <x:c r="G113" s="4" t="str">
        <x:v>Forge hearth, Anvil, Forging hammer, Smithing tongs, Metalworking file and Hand-cranked metal drill as applicable. Existing workshop bootstrap and controlled heating/cooling required; no free-water quench assumed.</x:v>
      </x:c>
      <x:c r="H113" s="4" t="str">
        <x:f>IF(I113=0,"Unassigned",IF(SUMIFS('Material routes'!$Q$6:$Q$2205,'Material routes'!$B$6:$B$2205,A113)&gt;0,"Unassigned","T"&amp;_xlfn.MAXIFS('Material routes'!$P$6:$P$2205,'Material routes'!$B$6:$B$2205,A113)))</x:f>
        <x:v>T3</x:v>
      </x:c>
      <x:c r="I113" s="4" t="n">
        <x:f>SUM(COUNTIFS('Material routes'!$B$6:$B$2205,A113,'Material routes'!$C$6:$C$2205,"Ingredient candidate"),COUNTIFS('Material routes'!$B$6:$B$2205,A113,'Material routes'!$C$6:$C$2205,"Consumed input"),COUNTIFS('Material routes'!$B$6:$B$2205,A113,'Material routes'!$C$6:$C$2205,"Contained input"),COUNTIFS('Material routes'!$B$6:$B$2205,A113,'Material routes'!$C$6:$C$2205,"Transform input"))</x:f>
        <x:v>3</x:v>
      </x:c>
      <x:c r="J113" s="4" t="n">
        <x:f>COUNTIFS('Material routes'!$B$6:$B$2205,A113,'Material routes'!$C$6:$C$2205,"Output")</x:f>
        <x:v>1</x:v>
      </x:c>
      <x:c r="K113" s="4" t="n">
        <x:f>COUNTIFS('Material routes'!$B$6:$B$2205,A113,'Material routes'!$C$6:$C$2205,"Tool candidate")</x:f>
        <x:v>0</x:v>
      </x:c>
      <x:c r="L113" s="4" t="str">
        <x:v>New game brainstorming, October 15, 2026; not source canon or an implemented recipe.</x:v>
      </x:c>
      <x:c r="M113" s="4" t="str">
        <x:v>No voltage, arc tolerance, immunity, power generation or field-enhancement capability inferred.</x:v>
      </x:c>
    </x:row>
    <x:row r="114" ht="105" customHeight="1">
      <x:c r="A114" s="4" t="str">
        <x:v>design.branch.branch.optical_module</x:v>
      </x:c>
      <x:c r="B114" s="4" t="str">
        <x:v>Aligned optical subassembly preparation</x:v>
      </x:c>
      <x:c r="C114" s="4" t="str">
        <x:v>Material refinement</x:v>
      </x:c>
      <x:c r="D114" s="4" t="str">
        <x:v>Proposal</x:v>
      </x:c>
      <x:c r="E114" s="4" t="str">
        <x:v>Partial proposal</x:v>
      </x:c>
      <x:c r="F114" s="4" t="str">
        <x:v>Explore a serviceable aligned viewing/instrument subassembly.</x:v>
      </x:c>
      <x:c r="G114" s="4" t="str">
        <x:v>Forge hearth, Anvil, Forging hammer, Smithing tongs, Metalworking file and Hand-cranked metal drill as applicable. Existing workshop bootstrap and controlled heating/cooling required; no free-water quench assumed.</x:v>
      </x:c>
      <x:c r="H114" s="4" t="str">
        <x:f>IF(I114=0,"Unassigned",IF(SUMIFS('Material routes'!$Q$6:$Q$2205,'Material routes'!$B$6:$B$2205,A114)&gt;0,"Unassigned","T"&amp;_xlfn.MAXIFS('Material routes'!$P$6:$P$2205,'Material routes'!$B$6:$B$2205,A114)))</x:f>
        <x:v>T3</x:v>
      </x:c>
      <x:c r="I114" s="4" t="n">
        <x:f>SUM(COUNTIFS('Material routes'!$B$6:$B$2205,A114,'Material routes'!$C$6:$C$2205,"Ingredient candidate"),COUNTIFS('Material routes'!$B$6:$B$2205,A114,'Material routes'!$C$6:$C$2205,"Consumed input"),COUNTIFS('Material routes'!$B$6:$B$2205,A114,'Material routes'!$C$6:$C$2205,"Contained input"),COUNTIFS('Material routes'!$B$6:$B$2205,A114,'Material routes'!$C$6:$C$2205,"Transform input"))</x:f>
        <x:v>3</x:v>
      </x:c>
      <x:c r="J114" s="4" t="n">
        <x:f>COUNTIFS('Material routes'!$B$6:$B$2205,A114,'Material routes'!$C$6:$C$2205,"Output")</x:f>
        <x:v>1</x:v>
      </x:c>
      <x:c r="K114" s="4" t="n">
        <x:f>COUNTIFS('Material routes'!$B$6:$B$2205,A114,'Material routes'!$C$6:$C$2205,"Tool candidate")</x:f>
        <x:v>0</x:v>
      </x:c>
      <x:c r="L114" s="4" t="str">
        <x:v>New game brainstorming, October 15, 2026; not source canon or an implemented recipe.</x:v>
      </x:c>
      <x:c r="M114" s="4" t="str">
        <x:v>A crafting component, not a finished spectacle, laser weapon or reproduced ancient optical machine.</x:v>
      </x:c>
    </x:row>
    <x:row r="115" ht="105" customHeight="1">
      <x:c r="A115" s="4" t="str">
        <x:v>design.branch.branch.sealed_casing</x:v>
      </x:c>
      <x:c r="B115" s="4" t="str">
        <x:v>Sealed composite casing stock preparation</x:v>
      </x:c>
      <x:c r="C115" s="4" t="str">
        <x:v>Material refinement</x:v>
      </x:c>
      <x:c r="D115" s="4" t="str">
        <x:v>Proposal</x:v>
      </x:c>
      <x:c r="E115" s="4" t="str">
        <x:v>Partial proposal</x:v>
      </x:c>
      <x:c r="F115" s="4" t="str">
        <x:v>Explore a composite enclosure blank for later fitted equipment.</x:v>
      </x:c>
      <x:c r="G115" s="4" t="str">
        <x:v>Forge hearth, Anvil, Forging hammer, Smithing tongs, Metalworking file and Hand-cranked metal drill as applicable. Existing workshop bootstrap and controlled heating/cooling required; no free-water quench assumed.</x:v>
      </x:c>
      <x:c r="H115" s="4" t="str">
        <x:f>IF(I115=0,"Unassigned",IF(SUMIFS('Material routes'!$Q$6:$Q$2205,'Material routes'!$B$6:$B$2205,A115)&gt;0,"Unassigned","T"&amp;_xlfn.MAXIFS('Material routes'!$P$6:$P$2205,'Material routes'!$B$6:$B$2205,A115)))</x:f>
        <x:v>T3</x:v>
      </x:c>
      <x:c r="I115" s="4" t="n">
        <x:f>SUM(COUNTIFS('Material routes'!$B$6:$B$2205,A115,'Material routes'!$C$6:$C$2205,"Ingredient candidate"),COUNTIFS('Material routes'!$B$6:$B$2205,A115,'Material routes'!$C$6:$C$2205,"Consumed input"),COUNTIFS('Material routes'!$B$6:$B$2205,A115,'Material routes'!$C$6:$C$2205,"Contained input"),COUNTIFS('Material routes'!$B$6:$B$2205,A115,'Material routes'!$C$6:$C$2205,"Transform input"))</x:f>
        <x:v>2</x:v>
      </x:c>
      <x:c r="J115" s="4" t="n">
        <x:f>COUNTIFS('Material routes'!$B$6:$B$2205,A115,'Material routes'!$C$6:$C$2205,"Output")</x:f>
        <x:v>1</x:v>
      </x:c>
      <x:c r="K115" s="4" t="n">
        <x:f>COUNTIFS('Material routes'!$B$6:$B$2205,A115,'Material routes'!$C$6:$C$2205,"Tool candidate")</x:f>
        <x:v>0</x:v>
      </x:c>
      <x:c r="L115" s="4" t="str">
        <x:v>New game brainstorming, October 15, 2026; not source canon or an implemented recipe.</x:v>
      </x:c>
      <x:c r="M115" s="4" t="str">
        <x:v>Seal, dust, impact and chemical compatibility remain unqualified; no finished container or pressure certification.</x:v>
      </x:c>
    </x:row>
    <x:row r="116" ht="105" customHeight="1">
      <x:c r="A116" s="4" t="str">
        <x:v>design.branch.branch.spring_pack</x:v>
      </x:c>
      <x:c r="B116" s="4" t="str">
        <x:v>Preloaded spring subassembly preparation</x:v>
      </x:c>
      <x:c r="C116" s="4" t="str">
        <x:v>Material refinement</x:v>
      </x:c>
      <x:c r="D116" s="4" t="str">
        <x:v>Proposal</x:v>
      </x:c>
      <x:c r="E116" s="4" t="str">
        <x:v>Partial proposal</x:v>
      </x:c>
      <x:c r="F116" s="4" t="str">
        <x:v>Explore matched spring elements as a later machine component.</x:v>
      </x:c>
      <x:c r="G116" s="4" t="str">
        <x:v>Forge hearth, Anvil, Forging hammer, Smithing tongs, Metalworking file and Hand-cranked metal drill as applicable. Existing workshop bootstrap and controlled heating/cooling required; no free-water quench assumed.</x:v>
      </x:c>
      <x:c r="H116" s="4" t="str">
        <x:f>IF(I116=0,"Unassigned",IF(SUMIFS('Material routes'!$Q$6:$Q$2205,'Material routes'!$B$6:$B$2205,A116)&gt;0,"Unassigned","T"&amp;_xlfn.MAXIFS('Material routes'!$P$6:$P$2205,'Material routes'!$B$6:$B$2205,A116)))</x:f>
        <x:v>T3</x:v>
      </x:c>
      <x:c r="I116" s="4" t="n">
        <x:f>SUM(COUNTIFS('Material routes'!$B$6:$B$2205,A116,'Material routes'!$C$6:$C$2205,"Ingredient candidate"),COUNTIFS('Material routes'!$B$6:$B$2205,A116,'Material routes'!$C$6:$C$2205,"Consumed input"),COUNTIFS('Material routes'!$B$6:$B$2205,A116,'Material routes'!$C$6:$C$2205,"Contained input"),COUNTIFS('Material routes'!$B$6:$B$2205,A116,'Material routes'!$C$6:$C$2205,"Transform input"))</x:f>
        <x:v>3</x:v>
      </x:c>
      <x:c r="J116" s="4" t="n">
        <x:f>COUNTIFS('Material routes'!$B$6:$B$2205,A116,'Material routes'!$C$6:$C$2205,"Output")</x:f>
        <x:v>1</x:v>
      </x:c>
      <x:c r="K116" s="4" t="n">
        <x:f>COUNTIFS('Material routes'!$B$6:$B$2205,A116,'Material routes'!$C$6:$C$2205,"Tool candidate")</x:f>
        <x:v>0</x:v>
      </x:c>
      <x:c r="L116" s="4" t="str">
        <x:v>New game brainstorming, October 15, 2026; not source canon or an implemented recipe.</x:v>
      </x:c>
      <x:c r="M116" s="4" t="str">
        <x:v>Preload, fatigue, lubrication, geometry and actual Legger/vehicle compatibility remain undefined.</x:v>
      </x:c>
    </x:row>
    <x:row r="117" ht="105" customHeight="1">
      <x:c r="A117" s="4" t="str">
        <x:v>design.finished.refractory_crucible</x:v>
      </x:c>
      <x:c r="B117" s="4" t="str">
        <x:v>Ceramic crucible from refractory stock</x:v>
      </x:c>
      <x:c r="C117" s="4" t="str">
        <x:v>Finished-item crafting</x:v>
      </x:c>
      <x:c r="D117" s="4" t="str">
        <x:v>Proposal</x:v>
      </x:c>
      <x:c r="E117" s="4" t="str">
        <x:v>Partial proposal</x:v>
      </x:c>
      <x:c r="F117" s="4" t="str">
        <x:v>Explore a finished workshop crucible from selected refractory stock.</x:v>
      </x:c>
      <x:c r="G117" s="4" t="str">
        <x:v>Controlled-heating firing kiln or specialist glass hot-work station; Ceramic firing tray / Ceramic casting mold as applicable. Qualified power, heat and atmosphere required.</x:v>
      </x:c>
      <x:c r="H117" s="4" t="str">
        <x:f>IF(I117=0,"Unassigned",IF(SUMIFS('Material routes'!$Q$6:$Q$2205,'Material routes'!$B$6:$B$2205,A117)&gt;0,"Unassigned","T"&amp;_xlfn.MAXIFS('Material routes'!$P$6:$P$2205,'Material routes'!$B$6:$B$2205,A117)))</x:f>
        <x:v>T2</x:v>
      </x:c>
      <x:c r="I117" s="4" t="n">
        <x:f>SUM(COUNTIFS('Material routes'!$B$6:$B$2205,A117,'Material routes'!$C$6:$C$2205,"Ingredient candidate"),COUNTIFS('Material routes'!$B$6:$B$2205,A117,'Material routes'!$C$6:$C$2205,"Consumed input"),COUNTIFS('Material routes'!$B$6:$B$2205,A117,'Material routes'!$C$6:$C$2205,"Contained input"),COUNTIFS('Material routes'!$B$6:$B$2205,A117,'Material routes'!$C$6:$C$2205,"Transform input"))</x:f>
        <x:v>1</x:v>
      </x:c>
      <x:c r="J117" s="4" t="n">
        <x:f>COUNTIFS('Material routes'!$B$6:$B$2205,A117,'Material routes'!$C$6:$C$2205,"Output")</x:f>
        <x:v>1</x:v>
      </x:c>
      <x:c r="K117" s="4" t="n">
        <x:f>COUNTIFS('Material routes'!$B$6:$B$2205,A117,'Material routes'!$C$6:$C$2205,"Tool candidate")</x:f>
        <x:v>0</x:v>
      </x:c>
      <x:c r="L117" s="4" t="str">
        <x:v>New game brainstorming, October 15, 2026; not source canon or an implemented recipe.</x:v>
      </x:c>
      <x:c r="M117" s="4" t="str">
        <x:v>Partial candidate only. Geometry, firing, defects, heat service and compatibility remain unresolved.</x:v>
      </x:c>
    </x:row>
    <x:row r="118" ht="105" customHeight="1">
      <x:c r="A118" s="4" t="str">
        <x:v>design.finished.electrical_gloves</x:v>
      </x:c>
      <x:c r="B118" s="4" t="str">
        <x:v>Electrical insulating gloves from prepared stock</x:v>
      </x:c>
      <x:c r="C118" s="4" t="str">
        <x:v>Finished-item crafting</x:v>
      </x:c>
      <x:c r="D118" s="4" t="str">
        <x:v>Proposal</x:v>
      </x:c>
      <x:c r="E118" s="4" t="str">
        <x:v>Partial proposal</x:v>
      </x:c>
      <x:c r="F118" s="4" t="str">
        <x:v>Explore fitted insulating gloves using prepared insulating/bonding/husk stocks.</x:v>
      </x:c>
      <x:c r="G118" s="4" t="str">
        <x:v>Forge hearth, Anvil, Forging hammer, Smithing tongs, Metalworking file and Hand-cranked metal drill as applicable. Existing workshop bootstrap and controlled heating/cooling required; no free-water quench assumed.</x:v>
      </x:c>
      <x:c r="H118" s="4" t="str">
        <x:f>IF(I118=0,"Unassigned",IF(SUMIFS('Material routes'!$Q$6:$Q$2205,'Material routes'!$B$6:$B$2205,A118)&gt;0,"Unassigned","T"&amp;_xlfn.MAXIFS('Material routes'!$P$6:$P$2205,'Material routes'!$B$6:$B$2205,A118)))</x:f>
        <x:v>T2</x:v>
      </x:c>
      <x:c r="I118" s="4" t="n">
        <x:f>SUM(COUNTIFS('Material routes'!$B$6:$B$2205,A118,'Material routes'!$C$6:$C$2205,"Ingredient candidate"),COUNTIFS('Material routes'!$B$6:$B$2205,A118,'Material routes'!$C$6:$C$2205,"Consumed input"),COUNTIFS('Material routes'!$B$6:$B$2205,A118,'Material routes'!$C$6:$C$2205,"Contained input"),COUNTIFS('Material routes'!$B$6:$B$2205,A118,'Material routes'!$C$6:$C$2205,"Transform input"))</x:f>
        <x:v>3</x:v>
      </x:c>
      <x:c r="J118" s="4" t="n">
        <x:f>COUNTIFS('Material routes'!$B$6:$B$2205,A118,'Material routes'!$C$6:$C$2205,"Output")</x:f>
        <x:v>1</x:v>
      </x:c>
      <x:c r="K118" s="4" t="n">
        <x:f>COUNTIFS('Material routes'!$B$6:$B$2205,A118,'Material routes'!$C$6:$C$2205,"Tool candidate")</x:f>
        <x:v>0</x:v>
      </x:c>
      <x:c r="L118" s="4" t="str">
        <x:v>New game brainstorming, October 15, 2026; not source canon or an implemented recipe.</x:v>
      </x:c>
      <x:c r="M118" s="4" t="str">
        <x:v>Not electrical certification. Flexibility, seams, leakage, material compatibility and actual service limits remain unresolved; no ordinary cloth.</x:v>
      </x:c>
    </x:row>
    <x:row r="119" ht="115" customHeight="1">
      <x:c r="A119" s="4" t="str">
        <x:v>design.t3.gear_blank</x:v>
      </x:c>
      <x:c r="B119" s="4" t="str">
        <x:v>Heat-treated steel gear blanks preparation</x:v>
      </x:c>
      <x:c r="C119" s="4" t="str">
        <x:v>Material refinement</x:v>
      </x:c>
      <x:c r="D119" s="4" t="str">
        <x:v>Proposal</x:v>
      </x:c>
      <x:c r="E119" s="4" t="str">
        <x:v>Partial proposal</x:v>
      </x:c>
      <x:c r="F119" s="4" t="str">
        <x:v>Shape and heat-treat selected steel blanks for later tooth cutting; treatment medium and furnace conditions unresolved.</x:v>
      </x:c>
      <x:c r="G119" s="4" t="str">
        <x:v>Forge hearth, Anvil, Forging hammer, Smithing tongs, Metalworking file and Hand-cranked metal drill as applicable. Existing workshop bootstrap and controlled heating/cooling required; no free-water quench assumed.</x:v>
      </x:c>
      <x:c r="H119" s="4" t="str">
        <x:f>IF(I119=0,"Unassigned",IF(SUMIFS('Material routes'!$Q$6:$Q$2205,'Material routes'!$B$6:$B$2205,A119)&gt;0,"Unassigned","T"&amp;_xlfn.MAXIFS('Material routes'!$P$6:$P$2205,'Material routes'!$B$6:$B$2205,A119)))</x:f>
        <x:v>T2</x:v>
      </x:c>
      <x:c r="I119" s="4" t="n">
        <x:f>SUM(COUNTIFS('Material routes'!$B$6:$B$2205,A119,'Material routes'!$C$6:$C$2205,"Ingredient candidate"),COUNTIFS('Material routes'!$B$6:$B$2205,A119,'Material routes'!$C$6:$C$2205,"Consumed input"),COUNTIFS('Material routes'!$B$6:$B$2205,A119,'Material routes'!$C$6:$C$2205,"Contained input"),COUNTIFS('Material routes'!$B$6:$B$2205,A119,'Material routes'!$C$6:$C$2205,"Transform input"))</x:f>
        <x:v>2</x:v>
      </x:c>
      <x:c r="J119" s="4" t="n">
        <x:f>COUNTIFS('Material routes'!$B$6:$B$2205,A119,'Material routes'!$C$6:$C$2205,"Output")</x:f>
        <x:v>1</x:v>
      </x:c>
      <x:c r="K119" s="4" t="n">
        <x:f>COUNTIFS('Material routes'!$B$6:$B$2205,A119,'Material routes'!$C$6:$C$2205,"Tool candidate")</x:f>
        <x:v>0</x:v>
      </x:c>
      <x:c r="L119" s="4" t="str">
        <x:v>New October 15 game brainstorming; current author request and Docs/WORLD_BASIS.md. Not retrieved source canon.</x:v>
      </x:c>
      <x:c r="M119" s="4" t="str">
        <x:v>T4 opportunity only: Matched drive subassembly; tooth form, load, bearings and fit still needed. Quantity/yield and full bill of materials remain open.</x:v>
      </x:c>
    </x:row>
    <x:row r="120" ht="115" customHeight="1">
      <x:c r="A120" s="4" t="str">
        <x:v>design.t3.bearing_blank</x:v>
      </x:c>
      <x:c r="B120" s="4" t="str">
        <x:v>Lapped bronze bearing blanks preparation</x:v>
      </x:c>
      <x:c r="C120" s="4" t="str">
        <x:v>Material refinement</x:v>
      </x:c>
      <x:c r="D120" s="4" t="str">
        <x:v>Proposal</x:v>
      </x:c>
      <x:c r="E120" s="4" t="str">
        <x:v>Partial proposal</x:v>
      </x:c>
      <x:c r="F120" s="4" t="str">
        <x:v>Machine and finish identified bearing stock; mating surfaces and lubrication require design.</x:v>
      </x:c>
      <x:c r="G120" s="4" t="str">
        <x:v>Forge hearth, Anvil, Forging hammer, Smithing tongs, Metalworking file and Hand-cranked metal drill as applicable. Existing workshop bootstrap and controlled heating/cooling required; no free-water quench assumed.</x:v>
      </x:c>
      <x:c r="H120" s="4" t="str">
        <x:f>IF(I120=0,"Unassigned",IF(SUMIFS('Material routes'!$Q$6:$Q$2205,'Material routes'!$B$6:$B$2205,A120)&gt;0,"Unassigned","T"&amp;_xlfn.MAXIFS('Material routes'!$P$6:$P$2205,'Material routes'!$B$6:$B$2205,A120)))</x:f>
        <x:v>T2</x:v>
      </x:c>
      <x:c r="I120" s="4" t="n">
        <x:f>SUM(COUNTIFS('Material routes'!$B$6:$B$2205,A120,'Material routes'!$C$6:$C$2205,"Ingredient candidate"),COUNTIFS('Material routes'!$B$6:$B$2205,A120,'Material routes'!$C$6:$C$2205,"Consumed input"),COUNTIFS('Material routes'!$B$6:$B$2205,A120,'Material routes'!$C$6:$C$2205,"Contained input"),COUNTIFS('Material routes'!$B$6:$B$2205,A120,'Material routes'!$C$6:$C$2205,"Transform input"))</x:f>
        <x:v>2</x:v>
      </x:c>
      <x:c r="J120" s="4" t="n">
        <x:f>COUNTIFS('Material routes'!$B$6:$B$2205,A120,'Material routes'!$C$6:$C$2205,"Output")</x:f>
        <x:v>1</x:v>
      </x:c>
      <x:c r="K120" s="4" t="n">
        <x:f>COUNTIFS('Material routes'!$B$6:$B$2205,A120,'Material routes'!$C$6:$C$2205,"Tool candidate")</x:f>
        <x:v>0</x:v>
      </x:c>
      <x:c r="L120" s="4" t="str">
        <x:v>New October 15 game brainstorming; current author request and Docs/WORLD_BASIS.md. Not retrieved source canon.</x:v>
      </x:c>
      <x:c r="M120" s="4" t="str">
        <x:v>T4 opportunity only: Matched bearing cartridge for a dirtboard hub or machine joint; these require separate sizes. Quantity/yield and full bill of materials remain open.</x:v>
      </x:c>
    </x:row>
    <x:row r="121" ht="115" customHeight="1">
      <x:c r="A121" s="4" t="str">
        <x:v>design.t3.precision_tube</x:v>
      </x:c>
      <x:c r="B121" s="4" t="str">
        <x:v>Drawn steel tube stock preparation</x:v>
      </x:c>
      <x:c r="C121" s="4" t="str">
        <x:v>Material refinement</x:v>
      </x:c>
      <x:c r="D121" s="4" t="str">
        <x:v>Proposal</x:v>
      </x:c>
      <x:c r="E121" s="4" t="str">
        <x:v>Partial proposal</x:v>
      </x:c>
      <x:c r="F121" s="4" t="str">
        <x:v>Form and finish tube stock using selected tooling and service lubricant; seam route and dimensions unresolved.</x:v>
      </x:c>
      <x:c r="G121" s="4" t="str">
        <x:v>Forge hearth, Anvil, Forging hammer, Smithing tongs, Metalworking file and Hand-cranked metal drill as applicable. Existing workshop bootstrap and controlled heating/cooling required; no free-water quench assumed.</x:v>
      </x:c>
      <x:c r="H121" s="4" t="str">
        <x:f>IF(I121=0,"Unassigned",IF(SUMIFS('Material routes'!$Q$6:$Q$2205,'Material routes'!$B$6:$B$2205,A121)&gt;0,"Unassigned","T"&amp;_xlfn.MAXIFS('Material routes'!$P$6:$P$2205,'Material routes'!$B$6:$B$2205,A121)))</x:f>
        <x:v>T2</x:v>
      </x:c>
      <x:c r="I121" s="4" t="n">
        <x:f>SUM(COUNTIFS('Material routes'!$B$6:$B$2205,A121,'Material routes'!$C$6:$C$2205,"Ingredient candidate"),COUNTIFS('Material routes'!$B$6:$B$2205,A121,'Material routes'!$C$6:$C$2205,"Consumed input"),COUNTIFS('Material routes'!$B$6:$B$2205,A121,'Material routes'!$C$6:$C$2205,"Contained input"),COUNTIFS('Material routes'!$B$6:$B$2205,A121,'Material routes'!$C$6:$C$2205,"Transform input"))</x:f>
        <x:v>2</x:v>
      </x:c>
      <x:c r="J121" s="4" t="n">
        <x:f>COUNTIFS('Material routes'!$B$6:$B$2205,A121,'Material routes'!$C$6:$C$2205,"Output")</x:f>
        <x:v>1</x:v>
      </x:c>
      <x:c r="K121" s="4" t="n">
        <x:f>COUNTIFS('Material routes'!$B$6:$B$2205,A121,'Material routes'!$C$6:$C$2205,"Tool candidate")</x:f>
        <x:v>0</x:v>
      </x:c>
      <x:c r="L121" s="4" t="str">
        <x:v>New October 15 game brainstorming; current author request and Docs/WORLD_BASIS.md. Not retrieved source canon.</x:v>
      </x:c>
      <x:c r="M121" s="4" t="str">
        <x:v>T4 opportunity only: Sail-spar joint or valve-body subassembly; pressure and structural services need different qualification. Quantity/yield and full bill of materials remain open.</x:v>
      </x:c>
    </x:row>
    <x:row r="122" ht="115" customHeight="1">
      <x:c r="A122" s="4" t="str">
        <x:v>design.t3.grounding_braid</x:v>
      </x:c>
      <x:c r="B122" s="4" t="str">
        <x:v>Braided copper grounding stock preparation</x:v>
      </x:c>
      <x:c r="C122" s="4" t="str">
        <x:v>Material refinement</x:v>
      </x:c>
      <x:c r="D122" s="4" t="str">
        <x:v>Proposal</x:v>
      </x:c>
      <x:c r="E122" s="4" t="str">
        <x:v>Partial proposal</x:v>
      </x:c>
      <x:c r="F122" s="4" t="str">
        <x:v>Combine and braid drawn copper strands; strand production and terminal attachment remain open.</x:v>
      </x:c>
      <x:c r="G122" s="4" t="str">
        <x:v>Forge hearth, Anvil, Forging hammer, Smithing tongs, Metalworking file and Hand-cranked metal drill as applicable. Existing workshop bootstrap and controlled heating/cooling required; no free-water quench assumed.</x:v>
      </x:c>
      <x:c r="H122" s="4" t="str">
        <x:f>IF(I122=0,"Unassigned",IF(SUMIFS('Material routes'!$Q$6:$Q$2205,'Material routes'!$B$6:$B$2205,A122)&gt;0,"Unassigned","T"&amp;_xlfn.MAXIFS('Material routes'!$P$6:$P$2205,'Material routes'!$B$6:$B$2205,A122)))</x:f>
        <x:v>T2</x:v>
      </x:c>
      <x:c r="I122" s="4" t="n">
        <x:f>SUM(COUNTIFS('Material routes'!$B$6:$B$2205,A122,'Material routes'!$C$6:$C$2205,"Ingredient candidate"),COUNTIFS('Material routes'!$B$6:$B$2205,A122,'Material routes'!$C$6:$C$2205,"Consumed input"),COUNTIFS('Material routes'!$B$6:$B$2205,A122,'Material routes'!$C$6:$C$2205,"Contained input"),COUNTIFS('Material routes'!$B$6:$B$2205,A122,'Material routes'!$C$6:$C$2205,"Transform input"))</x:f>
        <x:v>1</x:v>
      </x:c>
      <x:c r="J122" s="4" t="n">
        <x:f>COUNTIFS('Material routes'!$B$6:$B$2205,A122,'Material routes'!$C$6:$C$2205,"Output")</x:f>
        <x:v>1</x:v>
      </x:c>
      <x:c r="K122" s="4" t="n">
        <x:f>COUNTIFS('Material routes'!$B$6:$B$2205,A122,'Material routes'!$C$6:$C$2205,"Tool candidate")</x:f>
        <x:v>0</x:v>
      </x:c>
      <x:c r="L122" s="4" t="str">
        <x:v>New October 15 game brainstorming; current author request and Docs/WORLD_BASIS.md. Not retrieved source canon.</x:v>
      </x:c>
      <x:c r="M122" s="4" t="str">
        <x:v>T4 opportunity only: Grounding lead subassembly with fitted terminals; grounding never implies insulation or storm immunity. Quantity/yield and full bill of materials remain open.</x:v>
      </x:c>
    </x:row>
    <x:row r="123" ht="115" customHeight="1">
      <x:c r="A123" s="4" t="str">
        <x:v>design.t3.wound_coil</x:v>
      </x:c>
      <x:c r="B123" s="4" t="str">
        <x:v>Wound copper coil blanks preparation</x:v>
      </x:c>
      <x:c r="C123" s="4" t="str">
        <x:v>Material refinement</x:v>
      </x:c>
      <x:c r="D123" s="4" t="str">
        <x:v>Proposal</x:v>
      </x:c>
      <x:c r="E123" s="4" t="str">
        <x:v>Partial proposal</x:v>
      </x:c>
      <x:c r="F123" s="4" t="str">
        <x:v>Form copper windings around selected ceramic supports; wire isolation and electrical design unresolved.</x:v>
      </x:c>
      <x:c r="G123" s="4" t="str">
        <x:v>Forge hearth, Anvil, Forging hammer, Smithing tongs, Metalworking file and Hand-cranked metal drill as applicable. Existing workshop bootstrap and controlled heating/cooling required; no free-water quench assumed.</x:v>
      </x:c>
      <x:c r="H123" s="4" t="str">
        <x:f>IF(I123=0,"Unassigned",IF(SUMIFS('Material routes'!$Q$6:$Q$2205,'Material routes'!$B$6:$B$2205,A123)&gt;0,"Unassigned","T"&amp;_xlfn.MAXIFS('Material routes'!$P$6:$P$2205,'Material routes'!$B$6:$B$2205,A123)))</x:f>
        <x:v>T2</x:v>
      </x:c>
      <x:c r="I123" s="4" t="n">
        <x:f>SUM(COUNTIFS('Material routes'!$B$6:$B$2205,A123,'Material routes'!$C$6:$C$2205,"Ingredient candidate"),COUNTIFS('Material routes'!$B$6:$B$2205,A123,'Material routes'!$C$6:$C$2205,"Consumed input"),COUNTIFS('Material routes'!$B$6:$B$2205,A123,'Material routes'!$C$6:$C$2205,"Contained input"),COUNTIFS('Material routes'!$B$6:$B$2205,A123,'Material routes'!$C$6:$C$2205,"Transform input"))</x:f>
        <x:v>2</x:v>
      </x:c>
      <x:c r="J123" s="4" t="n">
        <x:f>COUNTIFS('Material routes'!$B$6:$B$2205,A123,'Material routes'!$C$6:$C$2205,"Output")</x:f>
        <x:v>1</x:v>
      </x:c>
      <x:c r="K123" s="4" t="n">
        <x:f>COUNTIFS('Material routes'!$B$6:$B$2205,A123,'Material routes'!$C$6:$C$2205,"Tool candidate")</x:f>
        <x:v>0</x:v>
      </x:c>
      <x:c r="L123" s="4" t="str">
        <x:v>New October 15 game brainstorming; current author request and Docs/WORLD_BASIS.md. Not retrieved source canon.</x:v>
      </x:c>
      <x:c r="M123" s="4" t="str">
        <x:v>T4 opportunity only: Radio tuning or magnetic-device subassembly; winding purpose, insulation, power and control are still needed. Quantity/yield and full bill of materials remain open.</x:v>
      </x:c>
    </x:row>
    <x:row r="124" ht="115" customHeight="1">
      <x:c r="A124" s="4" t="str">
        <x:v>design.t3.copper_mesh</x:v>
      </x:c>
      <x:c r="B124" s="4" t="str">
        <x:v>Woven copper mesh stock preparation</x:v>
      </x:c>
      <x:c r="C124" s="4" t="str">
        <x:v>Material refinement</x:v>
      </x:c>
      <x:c r="D124" s="4" t="str">
        <x:v>Proposal</x:v>
      </x:c>
      <x:c r="E124" s="4" t="str">
        <x:v>Partial proposal</x:v>
      </x:c>
      <x:c r="F124" s="4" t="str">
        <x:v>Interlace metal strands into mesh stock; this is metal mesh rather than textile cloth.</x:v>
      </x:c>
      <x:c r="G124" s="4" t="str">
        <x:v>Forge hearth, Anvil, Forging hammer, Smithing tongs, Metalworking file and Hand-cranked metal drill as applicable. Existing workshop bootstrap and controlled heating/cooling required; no free-water quench assumed.</x:v>
      </x:c>
      <x:c r="H124" s="4" t="str">
        <x:f>IF(I124=0,"Unassigned",IF(SUMIFS('Material routes'!$Q$6:$Q$2205,'Material routes'!$B$6:$B$2205,A124)&gt;0,"Unassigned","T"&amp;_xlfn.MAXIFS('Material routes'!$P$6:$P$2205,'Material routes'!$B$6:$B$2205,A124)))</x:f>
        <x:v>T2</x:v>
      </x:c>
      <x:c r="I124" s="4" t="n">
        <x:f>SUM(COUNTIFS('Material routes'!$B$6:$B$2205,A124,'Material routes'!$C$6:$C$2205,"Ingredient candidate"),COUNTIFS('Material routes'!$B$6:$B$2205,A124,'Material routes'!$C$6:$C$2205,"Consumed input"),COUNTIFS('Material routes'!$B$6:$B$2205,A124,'Material routes'!$C$6:$C$2205,"Contained input"),COUNTIFS('Material routes'!$B$6:$B$2205,A124,'Material routes'!$C$6:$C$2205,"Transform input"))</x:f>
        <x:v>1</x:v>
      </x:c>
      <x:c r="J124" s="4" t="n">
        <x:f>COUNTIFS('Material routes'!$B$6:$B$2205,A124,'Material routes'!$C$6:$C$2205,"Output")</x:f>
        <x:v>1</x:v>
      </x:c>
      <x:c r="K124" s="4" t="n">
        <x:f>COUNTIFS('Material routes'!$B$6:$B$2205,A124,'Material routes'!$C$6:$C$2205,"Tool candidate")</x:f>
        <x:v>0</x:v>
      </x:c>
      <x:c r="L124" s="4" t="str">
        <x:v>New October 15 game brainstorming; current author request and Docs/WORLD_BASIS.md. Not retrieved source canon.</x:v>
      </x:c>
      <x:c r="M124" s="4" t="str">
        <x:v>T4 opportunity only: Screened radio enclosure insert; shielding behavior, joints and frequency range unresolved. Quantity/yield and full bill of materials remain open.</x:v>
      </x:c>
    </x:row>
    <x:row r="125" ht="115" customHeight="1">
      <x:c r="A125" s="4" t="str">
        <x:v>design.t3.contact_mount</x:v>
      </x:c>
      <x:c r="B125" s="4" t="str">
        <x:v>Fitted ceramic contact mounts preparation</x:v>
      </x:c>
      <x:c r="C125" s="4" t="str">
        <x:v>Material refinement</x:v>
      </x:c>
      <x:c r="D125" s="4" t="str">
        <x:v>Proposal</x:v>
      </x:c>
      <x:c r="E125" s="4" t="str">
        <x:v>Partial proposal</x:v>
      </x:c>
      <x:c r="F125" s="4" t="str">
        <x:v>Shape ceramic mounts with retained copper contacts; spacing, attachment and service limits unresolved.</x:v>
      </x:c>
      <x:c r="G125" s="4" t="str">
        <x:v>Controlled-heating firing kiln or specialist glass hot-work station; Ceramic firing tray / Ceramic casting mold as applicable. Qualified power, heat and atmosphere required.</x:v>
      </x:c>
      <x:c r="H125" s="4" t="str">
        <x:f>IF(I125=0,"Unassigned",IF(SUMIFS('Material routes'!$Q$6:$Q$2205,'Material routes'!$B$6:$B$2205,A125)&gt;0,"Unassigned","T"&amp;_xlfn.MAXIFS('Material routes'!$P$6:$P$2205,'Material routes'!$B$6:$B$2205,A125)))</x:f>
        <x:v>T2</x:v>
      </x:c>
      <x:c r="I125" s="4" t="n">
        <x:f>SUM(COUNTIFS('Material routes'!$B$6:$B$2205,A125,'Material routes'!$C$6:$C$2205,"Ingredient candidate"),COUNTIFS('Material routes'!$B$6:$B$2205,A125,'Material routes'!$C$6:$C$2205,"Consumed input"),COUNTIFS('Material routes'!$B$6:$B$2205,A125,'Material routes'!$C$6:$C$2205,"Contained input"),COUNTIFS('Material routes'!$B$6:$B$2205,A125,'Material routes'!$C$6:$C$2205,"Transform input"))</x:f>
        <x:v>2</x:v>
      </x:c>
      <x:c r="J125" s="4" t="n">
        <x:f>COUNTIFS('Material routes'!$B$6:$B$2205,A125,'Material routes'!$C$6:$C$2205,"Output")</x:f>
        <x:v>1</x:v>
      </x:c>
      <x:c r="K125" s="4" t="n">
        <x:f>COUNTIFS('Material routes'!$B$6:$B$2205,A125,'Material routes'!$C$6:$C$2205,"Tool candidate")</x:f>
        <x:v>0</x:v>
      </x:c>
      <x:c r="L125" s="4" t="str">
        <x:v>New October 15 game brainstorming; current author request and Docs/WORLD_BASIS.md. Not retrieved source canon.</x:v>
      </x:c>
      <x:c r="M125" s="4" t="str">
        <x:v>T4 opportunity only: Serviceable contact-block subassembly for radios or field equipment; no voltage rating assigned. Quantity/yield and full bill of materials remain open.</x:v>
      </x:c>
    </x:row>
    <x:row r="126" ht="115" customHeight="1">
      <x:c r="A126" s="4" t="str">
        <x:v>design.t3.feedthrough_blank</x:v>
      </x:c>
      <x:c r="B126" s="4" t="str">
        <x:v>Ceramic-metal feedthrough blanks preparation</x:v>
      </x:c>
      <x:c r="C126" s="4" t="str">
        <x:v>Material refinement</x:v>
      </x:c>
      <x:c r="D126" s="4" t="str">
        <x:v>Proposal</x:v>
      </x:c>
      <x:c r="E126" s="4" t="str">
        <x:v>Partial proposal</x:v>
      </x:c>
      <x:c r="F126" s="4" t="str">
        <x:v>Explore a conductor pass-through retained in ceramic and selected sealing stock.</x:v>
      </x:c>
      <x:c r="G126" s="4" t="str">
        <x:v>Controlled-heating firing kiln or specialist glass hot-work station; Ceramic firing tray / Ceramic casting mold as applicable. Qualified power, heat and atmosphere required.</x:v>
      </x:c>
      <x:c r="H126" s="4" t="str">
        <x:f>IF(I126=0,"Unassigned",IF(SUMIFS('Material routes'!$Q$6:$Q$2205,'Material routes'!$B$6:$B$2205,A126)&gt;0,"Unassigned","T"&amp;_xlfn.MAXIFS('Material routes'!$P$6:$P$2205,'Material routes'!$B$6:$B$2205,A126)))</x:f>
        <x:v>T2</x:v>
      </x:c>
      <x:c r="I126" s="4" t="n">
        <x:f>SUM(COUNTIFS('Material routes'!$B$6:$B$2205,A126,'Material routes'!$C$6:$C$2205,"Ingredient candidate"),COUNTIFS('Material routes'!$B$6:$B$2205,A126,'Material routes'!$C$6:$C$2205,"Consumed input"),COUNTIFS('Material routes'!$B$6:$B$2205,A126,'Material routes'!$C$6:$C$2205,"Contained input"),COUNTIFS('Material routes'!$B$6:$B$2205,A126,'Material routes'!$C$6:$C$2205,"Transform input"))</x:f>
        <x:v>3</x:v>
      </x:c>
      <x:c r="J126" s="4" t="n">
        <x:f>COUNTIFS('Material routes'!$B$6:$B$2205,A126,'Material routes'!$C$6:$C$2205,"Output")</x:f>
        <x:v>1</x:v>
      </x:c>
      <x:c r="K126" s="4" t="n">
        <x:f>COUNTIFS('Material routes'!$B$6:$B$2205,A126,'Material routes'!$C$6:$C$2205,"Tool candidate")</x:f>
        <x:v>0</x:v>
      </x:c>
      <x:c r="L126" s="4" t="str">
        <x:v>New October 15 game brainstorming; current author request and Docs/WORLD_BASIS.md. Not retrieved source canon.</x:v>
      </x:c>
      <x:c r="M126" s="4" t="str">
        <x:v>T4 opportunity only: Sealed electrical interface subassembly; expansion mismatch, leakage and chemical compatibility are unresolved. Quantity/yield and full bill of materials remain open.</x:v>
      </x:c>
    </x:row>
    <x:row r="127" ht="115" customHeight="1">
      <x:c r="A127" s="4" t="str">
        <x:v>design.t3.spacer_set</x:v>
      </x:c>
      <x:c r="B127" s="4" t="str">
        <x:v>Matched ceramic spacer sets preparation</x:v>
      </x:c>
      <x:c r="C127" s="4" t="str">
        <x:v>Material refinement</x:v>
      </x:c>
      <x:c r="D127" s="4" t="str">
        <x:v>Proposal</x:v>
      </x:c>
      <x:c r="E127" s="4" t="str">
        <x:v>Partial proposal</x:v>
      </x:c>
      <x:c r="F127" s="4" t="str">
        <x:v>Finish and select compatible spacers as a matched intermediate set.</x:v>
      </x:c>
      <x:c r="G127" s="4" t="str">
        <x:v>Controlled-heating firing kiln or specialist glass hot-work station; Ceramic firing tray / Ceramic casting mold as applicable. Qualified power, heat and atmosphere required.</x:v>
      </x:c>
      <x:c r="H127" s="4" t="str">
        <x:f>IF(I127=0,"Unassigned",IF(SUMIFS('Material routes'!$Q$6:$Q$2205,'Material routes'!$B$6:$B$2205,A127)&gt;0,"Unassigned","T"&amp;_xlfn.MAXIFS('Material routes'!$P$6:$P$2205,'Material routes'!$B$6:$B$2205,A127)))</x:f>
        <x:v>T2</x:v>
      </x:c>
      <x:c r="I127" s="4" t="n">
        <x:f>SUM(COUNTIFS('Material routes'!$B$6:$B$2205,A127,'Material routes'!$C$6:$C$2205,"Ingredient candidate"),COUNTIFS('Material routes'!$B$6:$B$2205,A127,'Material routes'!$C$6:$C$2205,"Consumed input"),COUNTIFS('Material routes'!$B$6:$B$2205,A127,'Material routes'!$C$6:$C$2205,"Contained input"),COUNTIFS('Material routes'!$B$6:$B$2205,A127,'Material routes'!$C$6:$C$2205,"Transform input"))</x:f>
        <x:v>2</x:v>
      </x:c>
      <x:c r="J127" s="4" t="n">
        <x:f>COUNTIFS('Material routes'!$B$6:$B$2205,A127,'Material routes'!$C$6:$C$2205,"Output")</x:f>
        <x:v>1</x:v>
      </x:c>
      <x:c r="K127" s="4" t="n">
        <x:f>COUNTIFS('Material routes'!$B$6:$B$2205,A127,'Material routes'!$C$6:$C$2205,"Tool candidate")</x:f>
        <x:v>0</x:v>
      </x:c>
      <x:c r="L127" s="4" t="str">
        <x:v>New October 15 game brainstorming; current author request and Docs/WORLD_BASIS.md. Not retrieved source canon.</x:v>
      </x:c>
      <x:c r="M127" s="4" t="str">
        <x:v>T4 opportunity only: Fitted insulating support subassembly; dimensions and actual clearance requirements remain open. Quantity/yield and full bill of materials remain open.</x:v>
      </x:c>
    </x:row>
    <x:row r="128" ht="115" customHeight="1">
      <x:c r="A128" s="4" t="str">
        <x:v>design.t3.reflector_stock</x:v>
      </x:c>
      <x:c r="B128" s="4" t="str">
        <x:v>Polished copper reflector blanks preparation</x:v>
      </x:c>
      <x:c r="C128" s="4" t="str">
        <x:v>Material refinement</x:v>
      </x:c>
      <x:c r="D128" s="4" t="str">
        <x:v>Proposal</x:v>
      </x:c>
      <x:c r="E128" s="4" t="str">
        <x:v>Partial proposal</x:v>
      </x:c>
      <x:c r="F128" s="4" t="str">
        <x:v>Form and finish selected copper surfaces for reflective inserts; finish, shape and degradation unresolved.</x:v>
      </x:c>
      <x:c r="G128" s="4" t="str">
        <x:v>Forge hearth, Anvil, Forging hammer, Smithing tongs, Metalworking file and Hand-cranked metal drill as applicable. Existing workshop bootstrap and controlled heating/cooling required; no free-water quench assumed.</x:v>
      </x:c>
      <x:c r="H128" s="4" t="str">
        <x:f>IF(I128=0,"Unassigned",IF(SUMIFS('Material routes'!$Q$6:$Q$2205,'Material routes'!$B$6:$B$2205,A128)&gt;0,"Unassigned","T"&amp;_xlfn.MAXIFS('Material routes'!$P$6:$P$2205,'Material routes'!$B$6:$B$2205,A128)))</x:f>
        <x:v>T2</x:v>
      </x:c>
      <x:c r="I128" s="4" t="n">
        <x:f>SUM(COUNTIFS('Material routes'!$B$6:$B$2205,A128,'Material routes'!$C$6:$C$2205,"Ingredient candidate"),COUNTIFS('Material routes'!$B$6:$B$2205,A128,'Material routes'!$C$6:$C$2205,"Consumed input"),COUNTIFS('Material routes'!$B$6:$B$2205,A128,'Material routes'!$C$6:$C$2205,"Contained input"),COUNTIFS('Material routes'!$B$6:$B$2205,A128,'Material routes'!$C$6:$C$2205,"Transform input"))</x:f>
        <x:v>2</x:v>
      </x:c>
      <x:c r="J128" s="4" t="n">
        <x:f>COUNTIFS('Material routes'!$B$6:$B$2205,A128,'Material routes'!$C$6:$C$2205,"Output")</x:f>
        <x:v>1</x:v>
      </x:c>
      <x:c r="K128" s="4" t="n">
        <x:f>COUNTIFS('Material routes'!$B$6:$B$2205,A128,'Material routes'!$C$6:$C$2205,"Tool candidate")</x:f>
        <x:v>0</x:v>
      </x:c>
      <x:c r="L128" s="4" t="str">
        <x:v>New October 15 game brainstorming; current author request and Docs/WORLD_BASIS.md. Not retrieved source canon.</x:v>
      </x:c>
      <x:c r="M128" s="4" t="str">
        <x:v>T4 opportunity only: Aligned optical subassembly using the existing optical branch; reflection quality remains a proposal. Quantity/yield and full bill of materials remain open.</x:v>
      </x:c>
    </x:row>
    <x:row r="129" ht="115" customHeight="1">
      <x:c r="A129" s="4" t="str">
        <x:v>design.t3.packing_stock</x:v>
      </x:c>
      <x:c r="B129" s="4" t="str">
        <x:v>Husk-reinforced packing stock preparation</x:v>
      </x:c>
      <x:c r="C129" s="4" t="str">
        <x:v>Material refinement</x:v>
      </x:c>
      <x:c r="D129" s="4" t="str">
        <x:v>Proposal</x:v>
      </x:c>
      <x:c r="E129" s="4" t="str">
        <x:v>Partial proposal</x:v>
      </x:c>
      <x:c r="F129" s="4" t="str">
        <x:v>Prepare narrow reinforced packing stock from difficult husk and sealing materials.</x:v>
      </x:c>
      <x:c r="G129" s="4" t="str">
        <x:v>Forge hearth, Anvil, Forging hammer, Smithing tongs, Metalworking file and Hand-cranked metal drill as applicable. Existing workshop bootstrap and controlled heating/cooling required; no free-water quench assumed.</x:v>
      </x:c>
      <x:c r="H129" s="4" t="str">
        <x:f>IF(I129=0,"Unassigned",IF(SUMIFS('Material routes'!$Q$6:$Q$2205,'Material routes'!$B$6:$B$2205,A129)&gt;0,"Unassigned","T"&amp;_xlfn.MAXIFS('Material routes'!$P$6:$P$2205,'Material routes'!$B$6:$B$2205,A129)))</x:f>
        <x:v>T2</x:v>
      </x:c>
      <x:c r="I129" s="4" t="n">
        <x:f>SUM(COUNTIFS('Material routes'!$B$6:$B$2205,A129,'Material routes'!$C$6:$C$2205,"Ingredient candidate"),COUNTIFS('Material routes'!$B$6:$B$2205,A129,'Material routes'!$C$6:$C$2205,"Consumed input"),COUNTIFS('Material routes'!$B$6:$B$2205,A129,'Material routes'!$C$6:$C$2205,"Contained input"),COUNTIFS('Material routes'!$B$6:$B$2205,A129,'Material routes'!$C$6:$C$2205,"Transform input"))</x:f>
        <x:v>3</x:v>
      </x:c>
      <x:c r="J129" s="4" t="n">
        <x:f>COUNTIFS('Material routes'!$B$6:$B$2205,A129,'Material routes'!$C$6:$C$2205,"Output")</x:f>
        <x:v>1</x:v>
      </x:c>
      <x:c r="K129" s="4" t="n">
        <x:f>COUNTIFS('Material routes'!$B$6:$B$2205,A129,'Material routes'!$C$6:$C$2205,"Tool candidate")</x:f>
        <x:v>0</x:v>
      </x:c>
      <x:c r="L129" s="4" t="str">
        <x:v>New October 15 game brainstorming; current author request and Docs/WORLD_BASIS.md. Not retrieved source canon.</x:v>
      </x:c>
      <x:c r="M129" s="4" t="str">
        <x:v>T4 opportunity only: Dust-exclusion gland subassembly; this is not automatically a pressure seal or a canister-safe material. Quantity/yield and full bill of materials remain open.</x:v>
      </x:c>
    </x:row>
    <x:row r="130" ht="115" customHeight="1">
      <x:c r="A130" s="4" t="str">
        <x:v>design.t3.service_grease</x:v>
      </x:c>
      <x:c r="B130" s="4" t="str">
        <x:v>Conditioned mechanism-service grease preparation</x:v>
      </x:c>
      <x:c r="C130" s="4" t="str">
        <x:v>Material refinement</x:v>
      </x:c>
      <x:c r="D130" s="4" t="str">
        <x:v>Proposal</x:v>
      </x:c>
      <x:c r="E130" s="4" t="str">
        <x:v>Partial proposal</x:v>
      </x:c>
      <x:c r="F130" s="4" t="str">
        <x:v>Explore controlled conditioning and blending of compatible prepared lubricant fractions.</x:v>
      </x:c>
      <x:c r="G130" s="4" t="str">
        <x:v>Contained segregated vessels, Ceramic grinding mortar, Ceramic pestle and Glass transfer funnel. Process/carrier compatibility unresolved.</x:v>
      </x:c>
      <x:c r="H130" s="4" t="str">
        <x:f>IF(I130=0,"Unassigned",IF(SUMIFS('Material routes'!$Q$6:$Q$2205,'Material routes'!$B$6:$B$2205,A130)&gt;0,"Unassigned","T"&amp;_xlfn.MAXIFS('Material routes'!$P$6:$P$2205,'Material routes'!$B$6:$B$2205,A130)))</x:f>
        <x:v>T2</x:v>
      </x:c>
      <x:c r="I130" s="4" t="n">
        <x:f>SUM(COUNTIFS('Material routes'!$B$6:$B$2205,A130,'Material routes'!$C$6:$C$2205,"Ingredient candidate"),COUNTIFS('Material routes'!$B$6:$B$2205,A130,'Material routes'!$C$6:$C$2205,"Consumed input"),COUNTIFS('Material routes'!$B$6:$B$2205,A130,'Material routes'!$C$6:$C$2205,"Contained input"),COUNTIFS('Material routes'!$B$6:$B$2205,A130,'Material routes'!$C$6:$C$2205,"Transform input"))</x:f>
        <x:v>2</x:v>
      </x:c>
      <x:c r="J130" s="4" t="n">
        <x:f>COUNTIFS('Material routes'!$B$6:$B$2205,A130,'Material routes'!$C$6:$C$2205,"Output")</x:f>
        <x:v>1</x:v>
      </x:c>
      <x:c r="K130" s="4" t="n">
        <x:f>COUNTIFS('Material routes'!$B$6:$B$2205,A130,'Material routes'!$C$6:$C$2205,"Tool candidate")</x:f>
        <x:v>0</x:v>
      </x:c>
      <x:c r="L130" s="4" t="str">
        <x:v>New October 15 game brainstorming; current author request and Docs/WORLD_BASIS.md. Not retrieved source canon.</x:v>
      </x:c>
      <x:c r="M130" s="4" t="str">
        <x:v>T4 opportunity only: Service-lubricated bearing cartridge; viscosity, contamination, toxicity and compatibility remain unqualified. Quantity/yield and full bill of materials remain open.</x:v>
      </x:c>
    </x:row>
    <x:row r="131" ht="115" customHeight="1">
      <x:c r="A131" s="4" t="str">
        <x:v>design.t3.wing_seam</x:v>
      </x:c>
      <x:c r="B131" s="4" t="str">
        <x:v>Bonded wing-seam reinforcement strips preparation</x:v>
      </x:c>
      <x:c r="C131" s="4" t="str">
        <x:v>Material refinement</x:v>
      </x:c>
      <x:c r="D131" s="4" t="str">
        <x:v>Proposal</x:v>
      </x:c>
      <x:c r="E131" s="4" t="str">
        <x:v>Partial proposal</x:v>
      </x:c>
      <x:c r="F131" s="4" t="str">
        <x:v>Join and finish reinforced wing edges as seam stock; peel, tear and flex behavior unresolved.</x:v>
      </x:c>
      <x:c r="G131" s="4" t="str">
        <x:v>Husk-sheet cutting shears, pressure fixtures and dedicated preparation surfaces. Very low hide/fur yield; no ordinary cloth or plant inputs.</x:v>
      </x:c>
      <x:c r="H131" s="4" t="str">
        <x:f>IF(I131=0,"Unassigned",IF(SUMIFS('Material routes'!$Q$6:$Q$2205,'Material routes'!$B$6:$B$2205,A131)&gt;0,"Unassigned","T"&amp;_xlfn.MAXIFS('Material routes'!$P$6:$P$2205,'Material routes'!$B$6:$B$2205,A131)))</x:f>
        <x:v>T2</x:v>
      </x:c>
      <x:c r="I131" s="4" t="n">
        <x:f>SUM(COUNTIFS('Material routes'!$B$6:$B$2205,A131,'Material routes'!$C$6:$C$2205,"Ingredient candidate"),COUNTIFS('Material routes'!$B$6:$B$2205,A131,'Material routes'!$C$6:$C$2205,"Consumed input"),COUNTIFS('Material routes'!$B$6:$B$2205,A131,'Material routes'!$C$6:$C$2205,"Contained input"),COUNTIFS('Material routes'!$B$6:$B$2205,A131,'Material routes'!$C$6:$C$2205,"Transform input"))</x:f>
        <x:v>2</x:v>
      </x:c>
      <x:c r="J131" s="4" t="n">
        <x:f>COUNTIFS('Material routes'!$B$6:$B$2205,A131,'Material routes'!$C$6:$C$2205,"Output")</x:f>
        <x:v>1</x:v>
      </x:c>
      <x:c r="K131" s="4" t="n">
        <x:f>COUNTIFS('Material routes'!$B$6:$B$2205,A131,'Material routes'!$C$6:$C$2205,"Tool candidate")</x:f>
        <x:v>0</x:v>
      </x:c>
      <x:c r="L131" s="4" t="str">
        <x:v>New October 15 game brainstorming; current author request and Docs/WORLD_BASIS.md. Not retrieved source canon.</x:v>
      </x:c>
      <x:c r="M131" s="4" t="str">
        <x:v>T4 opportunity only: Jointed sail-panel subassembly; attachment geometry and wind loads remain to be designed. Quantity/yield and full bill of materials remain open.</x:v>
      </x:c>
    </x:row>
    <x:row r="132" ht="115" customHeight="1">
      <x:c r="A132" s="4" t="str">
        <x:v>design.t3.sail_panel_set</x:v>
      </x:c>
      <x:c r="B132" s="4" t="str">
        <x:v>Matched folding wing-panel sets preparation</x:v>
      </x:c>
      <x:c r="C132" s="4" t="str">
        <x:v>Material refinement</x:v>
      </x:c>
      <x:c r="D132" s="4" t="str">
        <x:v>Proposal</x:v>
      </x:c>
      <x:c r="E132" s="4" t="str">
        <x:v>Partial proposal</x:v>
      </x:c>
      <x:c r="F132" s="4" t="str">
        <x:v>Prepare matched wing panels with small metal hinge or attachment inserts; fold design unresolved.</x:v>
      </x:c>
      <x:c r="G132" s="4" t="str">
        <x:v>Husk-sheet cutting shears, pressure fixtures and dedicated preparation surfaces. Very low hide/fur yield; no ordinary cloth or plant inputs.</x:v>
      </x:c>
      <x:c r="H132" s="4" t="str">
        <x:f>IF(I132=0,"Unassigned",IF(SUMIFS('Material routes'!$Q$6:$Q$2205,'Material routes'!$B$6:$B$2205,A132)&gt;0,"Unassigned","T"&amp;_xlfn.MAXIFS('Material routes'!$P$6:$P$2205,'Material routes'!$B$6:$B$2205,A132)))</x:f>
        <x:v>T2</x:v>
      </x:c>
      <x:c r="I132" s="4" t="n">
        <x:f>SUM(COUNTIFS('Material routes'!$B$6:$B$2205,A132,'Material routes'!$C$6:$C$2205,"Ingredient candidate"),COUNTIFS('Material routes'!$B$6:$B$2205,A132,'Material routes'!$C$6:$C$2205,"Consumed input"),COUNTIFS('Material routes'!$B$6:$B$2205,A132,'Material routes'!$C$6:$C$2205,"Contained input"),COUNTIFS('Material routes'!$B$6:$B$2205,A132,'Material routes'!$C$6:$C$2205,"Transform input"))</x:f>
        <x:v>3</x:v>
      </x:c>
      <x:c r="J132" s="4" t="n">
        <x:f>COUNTIFS('Material routes'!$B$6:$B$2205,A132,'Material routes'!$C$6:$C$2205,"Output")</x:f>
        <x:v>1</x:v>
      </x:c>
      <x:c r="K132" s="4" t="n">
        <x:f>COUNTIFS('Material routes'!$B$6:$B$2205,A132,'Material routes'!$C$6:$C$2205,"Tool candidate")</x:f>
        <x:v>0</x:v>
      </x:c>
      <x:c r="L132" s="4" t="str">
        <x:v>New October 15 game brainstorming; current author request and Docs/WORLD_BASIS.md. Not retrieved source canon.</x:v>
      </x:c>
      <x:c r="M132" s="4" t="str">
        <x:v>T4 opportunity only: Collapsible sail subassembly; a finished simple sail may stop here rather than require T4. Quantity/yield and full bill of materials remain open.</x:v>
      </x:c>
    </x:row>
    <x:row r="133" ht="115" customHeight="1">
      <x:c r="A133" s="4" t="str">
        <x:v>design.t3.husk_joint</x:v>
      </x:c>
      <x:c r="B133" s="4" t="str">
        <x:v>Flexible husk joint strips preparation</x:v>
      </x:c>
      <x:c r="C133" s="4" t="str">
        <x:v>Material refinement</x:v>
      </x:c>
      <x:c r="D133" s="4" t="str">
        <x:v>Proposal</x:v>
      </x:c>
      <x:c r="E133" s="4" t="str">
        <x:v>Partial proposal</x:v>
      </x:c>
      <x:c r="F133" s="4" t="str">
        <x:v>Layer narrow joint strips for fitted covers; high feed demand, labor and flexibility remain unresolved.</x:v>
      </x:c>
      <x:c r="G133" s="4" t="str">
        <x:v>Husk-sheet cutting shears, pressure fixtures and dedicated preparation surfaces. Very low hide/fur yield; no ordinary cloth or plant inputs.</x:v>
      </x:c>
      <x:c r="H133" s="4" t="str">
        <x:f>IF(I133=0,"Unassigned",IF(SUMIFS('Material routes'!$Q$6:$Q$2205,'Material routes'!$B$6:$B$2205,A133)&gt;0,"Unassigned","T"&amp;_xlfn.MAXIFS('Material routes'!$P$6:$P$2205,'Material routes'!$B$6:$B$2205,A133)))</x:f>
        <x:v>T2</x:v>
      </x:c>
      <x:c r="I133" s="4" t="n">
        <x:f>SUM(COUNTIFS('Material routes'!$B$6:$B$2205,A133,'Material routes'!$C$6:$C$2205,"Ingredient candidate"),COUNTIFS('Material routes'!$B$6:$B$2205,A133,'Material routes'!$C$6:$C$2205,"Consumed input"),COUNTIFS('Material routes'!$B$6:$B$2205,A133,'Material routes'!$C$6:$C$2205,"Contained input"),COUNTIFS('Material routes'!$B$6:$B$2205,A133,'Material routes'!$C$6:$C$2205,"Transform input"))</x:f>
        <x:v>2</x:v>
      </x:c>
      <x:c r="J133" s="4" t="n">
        <x:f>COUNTIFS('Material routes'!$B$6:$B$2205,A133,'Material routes'!$C$6:$C$2205,"Output")</x:f>
        <x:v>1</x:v>
      </x:c>
      <x:c r="K133" s="4" t="n">
        <x:f>COUNTIFS('Material routes'!$B$6:$B$2205,A133,'Material routes'!$C$6:$C$2205,"Tool candidate")</x:f>
        <x:v>0</x:v>
      </x:c>
      <x:c r="L133" s="4" t="str">
        <x:v>New October 15 game brainstorming; current author request and Docs/WORLD_BASIS.md. Not retrieved source canon.</x:v>
      </x:c>
      <x:c r="M133" s="4" t="str">
        <x:v>T4 opportunity only: Articulated casing subassembly; no ordinary cloth, cheap textile supply or guaranteed fatigue life. Quantity/yield and full bill of materials remain open.</x:v>
      </x:c>
    </x:row>
    <x:row r="134" ht="115" customHeight="1">
      <x:c r="A134" s="4" t="str">
        <x:v>design.t3.abrasive_stock</x:v>
      </x:c>
      <x:c r="B134" s="4" t="str">
        <x:v>Bonded abrasive-faced stock preparation</x:v>
      </x:c>
      <x:c r="C134" s="4" t="str">
        <x:v>Material refinement</x:v>
      </x:c>
      <x:c r="D134" s="4" t="str">
        <x:v>Proposal</x:v>
      </x:c>
      <x:c r="E134" s="4" t="str">
        <x:v>Partial proposal</x:v>
      </x:c>
      <x:c r="F134" s="4" t="str">
        <x:v>Explore a prepared abrasive-bearing face on selected backing stock; retention and grit selection unresolved.</x:v>
      </x:c>
      <x:c r="G134" s="4" t="str">
        <x:v>Forge hearth, Anvil, Forging hammer, Smithing tongs, Metalworking file and Hand-cranked metal drill as applicable. Existing workshop bootstrap and controlled heating/cooling required; no free-water quench assumed.</x:v>
      </x:c>
      <x:c r="H134" s="4" t="str">
        <x:f>IF(I134=0,"Unassigned",IF(SUMIFS('Material routes'!$Q$6:$Q$2205,'Material routes'!$B$6:$B$2205,A134)&gt;0,"Unassigned","T"&amp;_xlfn.MAXIFS('Material routes'!$P$6:$P$2205,'Material routes'!$B$6:$B$2205,A134)))</x:f>
        <x:v>T2</x:v>
      </x:c>
      <x:c r="I134" s="4" t="n">
        <x:f>SUM(COUNTIFS('Material routes'!$B$6:$B$2205,A134,'Material routes'!$C$6:$C$2205,"Ingredient candidate"),COUNTIFS('Material routes'!$B$6:$B$2205,A134,'Material routes'!$C$6:$C$2205,"Consumed input"),COUNTIFS('Material routes'!$B$6:$B$2205,A134,'Material routes'!$C$6:$C$2205,"Contained input"),COUNTIFS('Material routes'!$B$6:$B$2205,A134,'Material routes'!$C$6:$C$2205,"Transform input"))</x:f>
        <x:v>3</x:v>
      </x:c>
      <x:c r="J134" s="4" t="n">
        <x:f>COUNTIFS('Material routes'!$B$6:$B$2205,A134,'Material routes'!$C$6:$C$2205,"Output")</x:f>
        <x:v>1</x:v>
      </x:c>
      <x:c r="K134" s="4" t="n">
        <x:f>COUNTIFS('Material routes'!$B$6:$B$2205,A134,'Material routes'!$C$6:$C$2205,"Tool candidate")</x:f>
        <x:v>0</x:v>
      </x:c>
      <x:c r="L134" s="4" t="str">
        <x:v>New October 15 game brainstorming; current author request and Docs/WORLD_BASIS.md. Not retrieved source canon.</x:v>
      </x:c>
      <x:c r="M134" s="4" t="str">
        <x:v>T4 opportunity only: Matched finishing-tool head; workshop tools are reusable prerequisites in other recipes, not consumed tier inputs. Quantity/yield and full bill of materials remain open.</x:v>
      </x:c>
    </x:row>
    <x:row r="135" ht="115" customHeight="1">
      <x:c r="A135" s="4" t="str">
        <x:v>design.t3.inlay_stock</x:v>
      </x:c>
      <x:c r="B135" s="4" t="str">
        <x:v>Gem-inlaid metal panel blanks preparation</x:v>
      </x:c>
      <x:c r="C135" s="4" t="str">
        <x:v>Material refinement</x:v>
      </x:c>
      <x:c r="D135" s="4" t="str">
        <x:v>Proposal</x:v>
      </x:c>
      <x:c r="E135" s="4" t="str">
        <x:v>Partial proposal</x:v>
      </x:c>
      <x:c r="F135" s="4" t="str">
        <x:v>Prepare setting and backing stock with selected gemstone inserts; value depends on material and labor.</x:v>
      </x:c>
      <x:c r="G135" s="4" t="str">
        <x:v>Forge hearth, Anvil, Forging hammer, Smithing tongs, Metalworking file and Hand-cranked metal drill as applicable. Existing workshop bootstrap and controlled heating/cooling required; no free-water quench assumed.</x:v>
      </x:c>
      <x:c r="H135" s="4" t="str">
        <x:f>IF(I135=0,"Unassigned",IF(SUMIFS('Material routes'!$Q$6:$Q$2205,'Material routes'!$B$6:$B$2205,A135)&gt;0,"Unassigned","T"&amp;_xlfn.MAXIFS('Material routes'!$P$6:$P$2205,'Material routes'!$B$6:$B$2205,A135)))</x:f>
        <x:v>T2</x:v>
      </x:c>
      <x:c r="I135" s="4" t="n">
        <x:f>SUM(COUNTIFS('Material routes'!$B$6:$B$2205,A135,'Material routes'!$C$6:$C$2205,"Ingredient candidate"),COUNTIFS('Material routes'!$B$6:$B$2205,A135,'Material routes'!$C$6:$C$2205,"Consumed input"),COUNTIFS('Material routes'!$B$6:$B$2205,A135,'Material routes'!$C$6:$C$2205,"Contained input"),COUNTIFS('Material routes'!$B$6:$B$2205,A135,'Material routes'!$C$6:$C$2205,"Transform input"))</x:f>
        <x:v>3</x:v>
      </x:c>
      <x:c r="J135" s="4" t="n">
        <x:f>COUNTIFS('Material routes'!$B$6:$B$2205,A135,'Material routes'!$C$6:$C$2205,"Output")</x:f>
        <x:v>1</x:v>
      </x:c>
      <x:c r="K135" s="4" t="n">
        <x:f>COUNTIFS('Material routes'!$B$6:$B$2205,A135,'Material routes'!$C$6:$C$2205,"Tool candidate")</x:f>
        <x:v>0</x:v>
      </x:c>
      <x:c r="L135" s="4" t="str">
        <x:v>New October 15 game brainstorming; current author request and Docs/WORLD_BASIS.md. Not retrieved source canon.</x:v>
      </x:c>
      <x:c r="M135" s="4" t="str">
        <x:v>T4 opportunity only: Fitted ceremonial or civic display subassembly; no invented national preference or automatic gemstone power. Quantity/yield and full bill of materials remain open.</x:v>
      </x:c>
    </x:row>
    <x:row r="136" ht="115" customHeight="1">
      <x:c r="A136" s="4" t="str">
        <x:v>design.t3.tuned_insert</x:v>
      </x:c>
      <x:c r="B136" s="4" t="str">
        <x:v>Mounted tuned-stone inserts preparation</x:v>
      </x:c>
      <x:c r="C136" s="4" t="str">
        <x:v>Material refinement</x:v>
      </x:c>
      <x:c r="D136" s="4" t="str">
        <x:v>Proposal</x:v>
      </x:c>
      <x:c r="E136" s="4" t="str">
        <x:v>Partial proposal</x:v>
      </x:c>
      <x:c r="F136" s="4" t="str">
        <x:v>Fit selected tuned stone to a mechanical mounting blank; mounting may alter its response.</x:v>
      </x:c>
      <x:c r="G136" s="4" t="str">
        <x:v>Forge hearth, Anvil, Forging hammer, Smithing tongs, Metalworking file and Hand-cranked metal drill as applicable. Existing workshop bootstrap and controlled heating/cooling required; no free-water quench assumed.</x:v>
      </x:c>
      <x:c r="H136" s="4" t="str">
        <x:f>IF(I136=0,"Unassigned",IF(SUMIFS('Material routes'!$Q$6:$Q$2205,'Material routes'!$B$6:$B$2205,A136)&gt;0,"Unassigned","T"&amp;_xlfn.MAXIFS('Material routes'!$P$6:$P$2205,'Material routes'!$B$6:$B$2205,A136)))</x:f>
        <x:v>T2</x:v>
      </x:c>
      <x:c r="I136" s="4" t="n">
        <x:f>SUM(COUNTIFS('Material routes'!$B$6:$B$2205,A136,'Material routes'!$C$6:$C$2205,"Ingredient candidate"),COUNTIFS('Material routes'!$B$6:$B$2205,A136,'Material routes'!$C$6:$C$2205,"Consumed input"),COUNTIFS('Material routes'!$B$6:$B$2205,A136,'Material routes'!$C$6:$C$2205,"Contained input"),COUNTIFS('Material routes'!$B$6:$B$2205,A136,'Material routes'!$C$6:$C$2205,"Transform input"))</x:f>
        <x:v>2</x:v>
      </x:c>
      <x:c r="J136" s="4" t="n">
        <x:f>COUNTIFS('Material routes'!$B$6:$B$2205,A136,'Material routes'!$C$6:$C$2205,"Output")</x:f>
        <x:v>1</x:v>
      </x:c>
      <x:c r="K136" s="4" t="n">
        <x:f>COUNTIFS('Material routes'!$B$6:$B$2205,A136,'Material routes'!$C$6:$C$2205,"Tool candidate")</x:f>
        <x:v>0</x:v>
      </x:c>
      <x:c r="L136" s="4" t="str">
        <x:v>New October 15 game brainstorming; current author request and Docs/WORLD_BASIS.md. Not retrieved source canon.</x:v>
      </x:c>
      <x:c r="M136" s="4" t="str">
        <x:v>T4 opportunity only: Matched acoustic instrument subassembly; no magical enhancement or Caller ability is assigned. Quantity/yield and full bill of materials remain open.</x:v>
      </x:c>
    </x:row>
    <x:row r="137" ht="115" customHeight="1">
      <x:c r="A137" s="4" t="str">
        <x:v>design.t3.hinged_shell</x:v>
      </x:c>
      <x:c r="B137" s="4" t="str">
        <x:v>Hinged shell-panel sets preparation</x:v>
      </x:c>
      <x:c r="C137" s="4" t="str">
        <x:v>Material refinement</x:v>
      </x:c>
      <x:c r="D137" s="4" t="str">
        <x:v>Proposal</x:v>
      </x:c>
      <x:c r="E137" s="4" t="str">
        <x:v>Partial proposal</x:v>
      </x:c>
      <x:c r="F137" s="4" t="str">
        <x:v>Fit prepared shell panels with matched hinge seats; geometry, movement and durability unresolved.</x:v>
      </x:c>
      <x:c r="G137" s="4" t="str">
        <x:v>Forge hearth, Anvil, Forging hammer, Smithing tongs, Metalworking file and Hand-cranked metal drill as applicable. Existing workshop bootstrap and controlled heating/cooling required; no free-water quench assumed.</x:v>
      </x:c>
      <x:c r="H137" s="4" t="str">
        <x:f>IF(I137=0,"Unassigned",IF(SUMIFS('Material routes'!$Q$6:$Q$2205,'Material routes'!$B$6:$B$2205,A137)&gt;0,"Unassigned","T"&amp;_xlfn.MAXIFS('Material routes'!$P$6:$P$2205,'Material routes'!$B$6:$B$2205,A137)))</x:f>
        <x:v>T2</x:v>
      </x:c>
      <x:c r="I137" s="4" t="n">
        <x:f>SUM(COUNTIFS('Material routes'!$B$6:$B$2205,A137,'Material routes'!$C$6:$C$2205,"Ingredient candidate"),COUNTIFS('Material routes'!$B$6:$B$2205,A137,'Material routes'!$C$6:$C$2205,"Consumed input"),COUNTIFS('Material routes'!$B$6:$B$2205,A137,'Material routes'!$C$6:$C$2205,"Contained input"),COUNTIFS('Material routes'!$B$6:$B$2205,A137,'Material routes'!$C$6:$C$2205,"Transform input"))</x:f>
        <x:v>3</x:v>
      </x:c>
      <x:c r="J137" s="4" t="n">
        <x:f>COUNTIFS('Material routes'!$B$6:$B$2205,A137,'Material routes'!$C$6:$C$2205,"Output")</x:f>
        <x:v>1</x:v>
      </x:c>
      <x:c r="K137" s="4" t="n">
        <x:f>COUNTIFS('Material routes'!$B$6:$B$2205,A137,'Material routes'!$C$6:$C$2205,"Tool candidate")</x:f>
        <x:v>0</x:v>
      </x:c>
      <x:c r="L137" s="4" t="str">
        <x:v>New October 15 game brainstorming; current author request and Docs/WORLD_BASIS.md. Not retrieved source canon.</x:v>
      </x:c>
      <x:c r="M137" s="4" t="str">
        <x:v>T4 opportunity only: Articulated guard subassembly for later armor or machine covers; no ballistic rating or universal fit. Quantity/yield and full bill of materials remain open.</x:v>
      </x:c>
    </x:row>
    <x:row r="138" ht="115" customHeight="1">
      <x:c r="A138" s="4" t="str">
        <x:v>design.t3.lining_stock</x:v>
      </x:c>
      <x:c r="B138" s="4" t="str">
        <x:v>Bonded glass-ceramic lining stock preparation</x:v>
      </x:c>
      <x:c r="C138" s="4" t="str">
        <x:v>Material refinement</x:v>
      </x:c>
      <x:c r="D138" s="4" t="str">
        <x:v>Proposal</x:v>
      </x:c>
      <x:c r="E138" s="4" t="str">
        <x:v>Partial proposal</x:v>
      </x:c>
      <x:c r="F138" s="4" t="str">
        <x:v>Explore supported glass-facing stock for selected vessel interiors; joints and chemical service need qualification.</x:v>
      </x:c>
      <x:c r="G138" s="4" t="str">
        <x:v>Controlled-heating firing kiln or specialist glass hot-work station; Ceramic firing tray / Ceramic casting mold as applicable. Qualified power, heat and atmosphere required.</x:v>
      </x:c>
      <x:c r="H138" s="4" t="str">
        <x:f>IF(I138=0,"Unassigned",IF(SUMIFS('Material routes'!$Q$6:$Q$2205,'Material routes'!$B$6:$B$2205,A138)&gt;0,"Unassigned","T"&amp;_xlfn.MAXIFS('Material routes'!$P$6:$P$2205,'Material routes'!$B$6:$B$2205,A138)))</x:f>
        <x:v>T2</x:v>
      </x:c>
      <x:c r="I138" s="4" t="n">
        <x:f>SUM(COUNTIFS('Material routes'!$B$6:$B$2205,A138,'Material routes'!$C$6:$C$2205,"Ingredient candidate"),COUNTIFS('Material routes'!$B$6:$B$2205,A138,'Material routes'!$C$6:$C$2205,"Consumed input"),COUNTIFS('Material routes'!$B$6:$B$2205,A138,'Material routes'!$C$6:$C$2205,"Contained input"),COUNTIFS('Material routes'!$B$6:$B$2205,A138,'Material routes'!$C$6:$C$2205,"Transform input"))</x:f>
        <x:v>3</x:v>
      </x:c>
      <x:c r="J138" s="4" t="n">
        <x:f>COUNTIFS('Material routes'!$B$6:$B$2205,A138,'Material routes'!$C$6:$C$2205,"Output")</x:f>
        <x:v>1</x:v>
      </x:c>
      <x:c r="K138" s="4" t="n">
        <x:f>COUNTIFS('Material routes'!$B$6:$B$2205,A138,'Material routes'!$C$6:$C$2205,"Tool candidate")</x:f>
        <x:v>0</x:v>
      </x:c>
      <x:c r="L138" s="4" t="str">
        <x:v>New October 15 game brainstorming; current author request and Docs/WORLD_BASIS.md. Not retrieved source canon.</x:v>
      </x:c>
      <x:c r="M138" s="4" t="str">
        <x:v>T4 opportunity only: Fitted chemical-vessel insert subassembly; not every faunal liquid is compatible and thermal service is separate. Quantity/yield and full bill of materials remain open.</x:v>
      </x:c>
    </x:row>
    <x:row r="139" ht="115" customHeight="1">
      <x:c r="A139" s="4" t="str">
        <x:v>design.t4.drive_cassette</x:v>
      </x:c>
      <x:c r="B139" s="4" t="str">
        <x:v>Matched mechanical drive cassette preparation</x:v>
      </x:c>
      <x:c r="C139" s="4" t="str">
        <x:v>Material refinement</x:v>
      </x:c>
      <x:c r="D139" s="4" t="str">
        <x:v>Proposal</x:v>
      </x:c>
      <x:c r="E139" s="4" t="str">
        <x:v>Partial proposal</x:v>
      </x:c>
      <x:c r="F139" s="4" t="str">
        <x:v>Fit candidate gears, bearings and shaft housing as a replaceable intermediate drive module; ratios, machining and interfaces remain open.</x:v>
      </x:c>
      <x:c r="G139" s="4" t="str">
        <x:v>Forge hearth, Anvil, Forging hammer, Smithing tongs, Metalworking file and Hand-cranked metal drill as applicable. Existing workshop bootstrap and controlled heating/cooling required; no free-water quench assumed.</x:v>
      </x:c>
      <x:c r="H139" s="4" t="str">
        <x:f>IF(I139=0,"Unassigned",IF(SUMIFS('Material routes'!$Q$6:$Q$2205,'Material routes'!$B$6:$B$2205,A139)&gt;0,"Unassigned","T"&amp;_xlfn.MAXIFS('Material routes'!$P$6:$P$2205,'Material routes'!$B$6:$B$2205,A139)))</x:f>
        <x:v>T3</x:v>
      </x:c>
      <x:c r="I139" s="4" t="n">
        <x:f>SUM(COUNTIFS('Material routes'!$B$6:$B$2205,A139,'Material routes'!$C$6:$C$2205,"Ingredient candidate"),COUNTIFS('Material routes'!$B$6:$B$2205,A139,'Material routes'!$C$6:$C$2205,"Consumed input"),COUNTIFS('Material routes'!$B$6:$B$2205,A139,'Material routes'!$C$6:$C$2205,"Contained input"),COUNTIFS('Material routes'!$B$6:$B$2205,A139,'Material routes'!$C$6:$C$2205,"Transform input"))</x:f>
        <x:v>6</x:v>
      </x:c>
      <x:c r="J139" s="4" t="n">
        <x:f>COUNTIFS('Material routes'!$B$6:$B$2205,A139,'Material routes'!$C$6:$C$2205,"Output")</x:f>
        <x:v>1</x:v>
      </x:c>
      <x:c r="K139" s="4" t="n">
        <x:f>COUNTIFS('Material routes'!$B$6:$B$2205,A139,'Material routes'!$C$6:$C$2205,"Tool candidate")</x:f>
        <x:v>0</x:v>
      </x:c>
      <x:c r="L139" s="4" t="str">
        <x:v>New October 15 game brainstorming; current author request and Docs/WORLD_BASIS.md. Not retrieved source canon.</x:v>
      </x:c>
      <x:c r="M139" s="4" t="str">
        <x:v>Intended downstream use: Legger mechanisms or city machinery; each requires its own fit, load and power source. Quantity/yield and full bill of materials remain open. Lore-coherence pass adds selected fastener/fitting candidates. These remain partial; no quantity or universal fit is assigned.</x:v>
      </x:c>
    </x:row>
    <x:row r="140" ht="115" customHeight="1">
      <x:c r="A140" s="4" t="str">
        <x:v>design.t4.bearing_cartridge</x:v>
      </x:c>
      <x:c r="B140" s="4" t="str">
        <x:v>Dust-excluding bearing cartridge preparation</x:v>
      </x:c>
      <x:c r="C140" s="4" t="str">
        <x:v>Material refinement</x:v>
      </x:c>
      <x:c r="D140" s="4" t="str">
        <x:v>Proposal</x:v>
      </x:c>
      <x:c r="E140" s="4" t="str">
        <x:v>Partial proposal</x:v>
      </x:c>
      <x:c r="F140" s="4" t="str">
        <x:v>Match bearing, housing, packing and lubricant; exclusion and friction behavior require qualification.</x:v>
      </x:c>
      <x:c r="G140" s="4" t="str">
        <x:v>Forge hearth, Anvil, Forging hammer, Smithing tongs, Metalworking file and Hand-cranked metal drill as applicable. Existing workshop bootstrap and controlled heating/cooling required; no free-water quench assumed.</x:v>
      </x:c>
      <x:c r="H140" s="4" t="str">
        <x:f>IF(I140=0,"Unassigned",IF(SUMIFS('Material routes'!$Q$6:$Q$2205,'Material routes'!$B$6:$B$2205,A140)&gt;0,"Unassigned","T"&amp;_xlfn.MAXIFS('Material routes'!$P$6:$P$2205,'Material routes'!$B$6:$B$2205,A140)))</x:f>
        <x:v>T3</x:v>
      </x:c>
      <x:c r="I140" s="4" t="n">
        <x:f>SUM(COUNTIFS('Material routes'!$B$6:$B$2205,A140,'Material routes'!$C$6:$C$2205,"Ingredient candidate"),COUNTIFS('Material routes'!$B$6:$B$2205,A140,'Material routes'!$C$6:$C$2205,"Consumed input"),COUNTIFS('Material routes'!$B$6:$B$2205,A140,'Material routes'!$C$6:$C$2205,"Contained input"),COUNTIFS('Material routes'!$B$6:$B$2205,A140,'Material routes'!$C$6:$C$2205,"Transform input"))</x:f>
        <x:v>5</x:v>
      </x:c>
      <x:c r="J140" s="4" t="n">
        <x:f>COUNTIFS('Material routes'!$B$6:$B$2205,A140,'Material routes'!$C$6:$C$2205,"Output")</x:f>
        <x:v>1</x:v>
      </x:c>
      <x:c r="K140" s="4" t="n">
        <x:f>COUNTIFS('Material routes'!$B$6:$B$2205,A140,'Material routes'!$C$6:$C$2205,"Tool candidate")</x:f>
        <x:v>0</x:v>
      </x:c>
      <x:c r="L140" s="4" t="str">
        <x:v>New October 15 game brainstorming; current author request and Docs/WORLD_BASIS.md. Not retrieved source canon.</x:v>
      </x:c>
      <x:c r="M140" s="4" t="str">
        <x:v>Intended downstream use: Machine joints, wheel assemblies and wind devices; no universal cartridge dimensions. Quantity/yield and full bill of materials remain open. Lore-coherence pass adds selected fastener/fitting candidates. These remain partial; no quantity or universal fit is assigned.</x:v>
      </x:c>
    </x:row>
    <x:row r="141" ht="115" customHeight="1">
      <x:c r="A141" s="4" t="str">
        <x:v>design.t4.grounding_harness</x:v>
      </x:c>
      <x:c r="B141" s="4" t="str">
        <x:v>Terminated grounding harness preparation</x:v>
      </x:c>
      <x:c r="C141" s="4" t="str">
        <x:v>Material refinement</x:v>
      </x:c>
      <x:c r="D141" s="4" t="str">
        <x:v>Proposal</x:v>
      </x:c>
      <x:c r="E141" s="4" t="str">
        <x:v>Partial proposal</x:v>
      </x:c>
      <x:c r="F141" s="4" t="str">
        <x:v>Attach qualified terminals, retention and strain relief to prepared grounding stock.</x:v>
      </x:c>
      <x:c r="G141" s="4" t="str">
        <x:v>Forge hearth, Anvil, Forging hammer, Smithing tongs, Metalworking file and Hand-cranked metal drill as applicable. Existing workshop bootstrap and controlled heating/cooling required; no free-water quench assumed.</x:v>
      </x:c>
      <x:c r="H141" s="4" t="str">
        <x:f>IF(I141=0,"Unassigned",IF(SUMIFS('Material routes'!$Q$6:$Q$2205,'Material routes'!$B$6:$B$2205,A141)&gt;0,"Unassigned","T"&amp;_xlfn.MAXIFS('Material routes'!$P$6:$P$2205,'Material routes'!$B$6:$B$2205,A141)))</x:f>
        <x:v>T3</x:v>
      </x:c>
      <x:c r="I141" s="4" t="n">
        <x:f>SUM(COUNTIFS('Material routes'!$B$6:$B$2205,A141,'Material routes'!$C$6:$C$2205,"Ingredient candidate"),COUNTIFS('Material routes'!$B$6:$B$2205,A141,'Material routes'!$C$6:$C$2205,"Consumed input"),COUNTIFS('Material routes'!$B$6:$B$2205,A141,'Material routes'!$C$6:$C$2205,"Contained input"),COUNTIFS('Material routes'!$B$6:$B$2205,A141,'Material routes'!$C$6:$C$2205,"Transform input"))</x:f>
        <x:v>3</x:v>
      </x:c>
      <x:c r="J141" s="4" t="n">
        <x:f>COUNTIFS('Material routes'!$B$6:$B$2205,A141,'Material routes'!$C$6:$C$2205,"Output")</x:f>
        <x:v>1</x:v>
      </x:c>
      <x:c r="K141" s="4" t="n">
        <x:f>COUNTIFS('Material routes'!$B$6:$B$2205,A141,'Material routes'!$C$6:$C$2205,"Tool candidate")</x:f>
        <x:v>0</x:v>
      </x:c>
      <x:c r="L141" s="4" t="str">
        <x:v>New October 15 game brainstorming; current author request and Docs/WORLD_BASIS.md. Not retrieved source canon.</x:v>
      </x:c>
      <x:c r="M141" s="4" t="str">
        <x:v>Intended downstream use: Booter grounding equipment or stationary apparatus; effective ground contact remains a separate requirement. Quantity/yield and full bill of materials remain open.</x:v>
      </x:c>
    </x:row>
    <x:row r="142" ht="115" customHeight="1">
      <x:c r="A142" s="4" t="str">
        <x:v>design.t4.insulated_winding</x:v>
      </x:c>
      <x:c r="B142" s="4" t="str">
        <x:v>Insulated winding subassembly preparation</x:v>
      </x:c>
      <x:c r="C142" s="4" t="str">
        <x:v>Material refinement</x:v>
      </x:c>
      <x:c r="D142" s="4" t="str">
        <x:v>Proposal</x:v>
      </x:c>
      <x:c r="E142" s="4" t="str">
        <x:v>Partial proposal</x:v>
      </x:c>
      <x:c r="F142" s="4" t="str">
        <x:v>Explore a fitted winding, insulated leads and spacing supports; turn isolation, heat and electrical service remain unresolved.</x:v>
      </x:c>
      <x:c r="G142" s="4" t="str">
        <x:v>Forge hearth, Anvil, Forging hammer, Smithing tongs, Metalworking file and Hand-cranked metal drill as applicable. Existing workshop bootstrap and controlled heating/cooling required; no free-water quench assumed.</x:v>
      </x:c>
      <x:c r="H142" s="4" t="str">
        <x:f>IF(I142=0,"Unassigned",IF(SUMIFS('Material routes'!$Q$6:$Q$2205,'Material routes'!$B$6:$B$2205,A142)&gt;0,"Unassigned","T"&amp;_xlfn.MAXIFS('Material routes'!$P$6:$P$2205,'Material routes'!$B$6:$B$2205,A142)))</x:f>
        <x:v>T3</x:v>
      </x:c>
      <x:c r="I142" s="4" t="n">
        <x:f>SUM(COUNTIFS('Material routes'!$B$6:$B$2205,A142,'Material routes'!$C$6:$C$2205,"Ingredient candidate"),COUNTIFS('Material routes'!$B$6:$B$2205,A142,'Material routes'!$C$6:$C$2205,"Consumed input"),COUNTIFS('Material routes'!$B$6:$B$2205,A142,'Material routes'!$C$6:$C$2205,"Contained input"),COUNTIFS('Material routes'!$B$6:$B$2205,A142,'Material routes'!$C$6:$C$2205,"Transform input"))</x:f>
        <x:v>3</x:v>
      </x:c>
      <x:c r="J142" s="4" t="n">
        <x:f>COUNTIFS('Material routes'!$B$6:$B$2205,A142,'Material routes'!$C$6:$C$2205,"Output")</x:f>
        <x:v>1</x:v>
      </x:c>
      <x:c r="K142" s="4" t="n">
        <x:f>COUNTIFS('Material routes'!$B$6:$B$2205,A142,'Material routes'!$C$6:$C$2205,"Tool candidate")</x:f>
        <x:v>0</x:v>
      </x:c>
      <x:c r="L142" s="4" t="str">
        <x:v>New October 15 game brainstorming; current author request and Docs/WORLD_BASIS.md. Not retrieved source canon.</x:v>
      </x:c>
      <x:c r="M142" s="4" t="str">
        <x:v>Intended downstream use: Radio or magnetic-device components after circuit-specific design; no generator or field effect is supplied by the winding alone. Quantity/yield and full bill of materials remain open.</x:v>
      </x:c>
    </x:row>
    <x:row r="143" ht="115" customHeight="1">
      <x:c r="A143" s="4" t="str">
        <x:v>design.t4.radio_tuning</x:v>
      </x:c>
      <x:c r="B143" s="4" t="str">
        <x:v>Radio tuning support block preparation</x:v>
      </x:c>
      <x:c r="C143" s="4" t="str">
        <x:v>Material refinement</x:v>
      </x:c>
      <x:c r="D143" s="4" t="str">
        <x:v>Proposal</x:v>
      </x:c>
      <x:c r="E143" s="4" t="str">
        <x:v>Partial proposal</x:v>
      </x:c>
      <x:c r="F143" s="4" t="str">
        <x:v>Fit candidate coil and contact supports for an adjustable radio circuit; tuning elements and circuit design are still missing.</x:v>
      </x:c>
      <x:c r="G143" s="4" t="str">
        <x:v>Forge hearth, Anvil, Forging hammer, Smithing tongs, Metalworking file and Hand-cranked metal drill as applicable. Existing workshop bootstrap and controlled heating/cooling required; no free-water quench assumed.</x:v>
      </x:c>
      <x:c r="H143" s="4" t="str">
        <x:f>IF(I143=0,"Unassigned",IF(SUMIFS('Material routes'!$Q$6:$Q$2205,'Material routes'!$B$6:$B$2205,A143)&gt;0,"Unassigned","T"&amp;_xlfn.MAXIFS('Material routes'!$P$6:$P$2205,'Material routes'!$B$6:$B$2205,A143)))</x:f>
        <x:v>T3</x:v>
      </x:c>
      <x:c r="I143" s="4" t="n">
        <x:f>SUM(COUNTIFS('Material routes'!$B$6:$B$2205,A143,'Material routes'!$C$6:$C$2205,"Ingredient candidate"),COUNTIFS('Material routes'!$B$6:$B$2205,A143,'Material routes'!$C$6:$C$2205,"Consumed input"),COUNTIFS('Material routes'!$B$6:$B$2205,A143,'Material routes'!$C$6:$C$2205,"Contained input"),COUNTIFS('Material routes'!$B$6:$B$2205,A143,'Material routes'!$C$6:$C$2205,"Transform input"))</x:f>
        <x:v>4</x:v>
      </x:c>
      <x:c r="J143" s="4" t="n">
        <x:f>COUNTIFS('Material routes'!$B$6:$B$2205,A143,'Material routes'!$C$6:$C$2205,"Output")</x:f>
        <x:v>1</x:v>
      </x:c>
      <x:c r="K143" s="4" t="n">
        <x:f>COUNTIFS('Material routes'!$B$6:$B$2205,A143,'Material routes'!$C$6:$C$2205,"Tool candidate")</x:f>
        <x:v>0</x:v>
      </x:c>
      <x:c r="L143" s="4" t="str">
        <x:v>New October 15 game brainstorming; current author request and Docs/WORLD_BASIS.md. Not retrieved source canon.</x:v>
      </x:c>
      <x:c r="M143" s="4" t="str">
        <x:v>Intended downstream use: Crude reverse-engineered two-way radio; transmitter, receiver, power and antenna remain separate unresolved requirements. Quantity/yield and full bill of materials remain open.</x:v>
      </x:c>
    </x:row>
    <x:row r="144" ht="115" customHeight="1">
      <x:c r="A144" s="4" t="str">
        <x:v>design.t4.screened_chassis</x:v>
      </x:c>
      <x:c r="B144" s="4" t="str">
        <x:v>Screened radio chassis insert preparation</x:v>
      </x:c>
      <x:c r="C144" s="4" t="str">
        <x:v>Material refinement</x:v>
      </x:c>
      <x:c r="D144" s="4" t="str">
        <x:v>Proposal</x:v>
      </x:c>
      <x:c r="E144" s="4" t="str">
        <x:v>Partial proposal</x:v>
      </x:c>
      <x:c r="F144" s="4" t="str">
        <x:v>Fit mesh and isolated mounting points to a supported enclosure insert; seams, ventilation and grounding require design.</x:v>
      </x:c>
      <x:c r="G144" s="4" t="str">
        <x:v>Forge hearth, Anvil, Forging hammer, Smithing tongs, Metalworking file and Hand-cranked metal drill as applicable. Existing workshop bootstrap and controlled heating/cooling required; no free-water quench assumed.</x:v>
      </x:c>
      <x:c r="H144" s="4" t="str">
        <x:f>IF(I144=0,"Unassigned",IF(SUMIFS('Material routes'!$Q$6:$Q$2205,'Material routes'!$B$6:$B$2205,A144)&gt;0,"Unassigned","T"&amp;_xlfn.MAXIFS('Material routes'!$P$6:$P$2205,'Material routes'!$B$6:$B$2205,A144)))</x:f>
        <x:v>T3</x:v>
      </x:c>
      <x:c r="I144" s="4" t="n">
        <x:f>SUM(COUNTIFS('Material routes'!$B$6:$B$2205,A144,'Material routes'!$C$6:$C$2205,"Ingredient candidate"),COUNTIFS('Material routes'!$B$6:$B$2205,A144,'Material routes'!$C$6:$C$2205,"Consumed input"),COUNTIFS('Material routes'!$B$6:$B$2205,A144,'Material routes'!$C$6:$C$2205,"Contained input"),COUNTIFS('Material routes'!$B$6:$B$2205,A144,'Material routes'!$C$6:$C$2205,"Transform input"))</x:f>
        <x:v>4</x:v>
      </x:c>
      <x:c r="J144" s="4" t="n">
        <x:f>COUNTIFS('Material routes'!$B$6:$B$2205,A144,'Material routes'!$C$6:$C$2205,"Output")</x:f>
        <x:v>1</x:v>
      </x:c>
      <x:c r="K144" s="4" t="n">
        <x:f>COUNTIFS('Material routes'!$B$6:$B$2205,A144,'Material routes'!$C$6:$C$2205,"Tool candidate")</x:f>
        <x:v>0</x:v>
      </x:c>
      <x:c r="L144" s="4" t="str">
        <x:v>New October 15 game brainstorming; current author request and Docs/WORLD_BASIS.md. Not retrieved source canon.</x:v>
      </x:c>
      <x:c r="M144" s="4" t="str">
        <x:v>Intended downstream use: Radio casing or instrument enclosure; screening effectiveness and charged-atmosphere behavior remain open. Quantity/yield and full bill of materials remain open. Lore-coherence pass adds selected fastener/fitting candidates. These remain partial; no quantity or universal fit is assigned.</x:v>
      </x:c>
    </x:row>
    <x:row r="145" ht="115" customHeight="1">
      <x:c r="A145" s="4" t="str">
        <x:v>design.t4.electrical_bulkhead</x:v>
      </x:c>
      <x:c r="B145" s="4" t="str">
        <x:v>Sealed electrical bulkhead insert preparation</x:v>
      </x:c>
      <x:c r="C145" s="4" t="str">
        <x:v>Material refinement</x:v>
      </x:c>
      <x:c r="D145" s="4" t="str">
        <x:v>Proposal</x:v>
      </x:c>
      <x:c r="E145" s="4" t="str">
        <x:v>Partial proposal</x:v>
      </x:c>
      <x:c r="F145" s="4" t="str">
        <x:v>Match retained feedthroughs and sealing faces as an equipment-wall insert.</x:v>
      </x:c>
      <x:c r="G145" s="4" t="str">
        <x:v>Forge hearth, Anvil, Forging hammer, Smithing tongs, Metalworking file and Hand-cranked metal drill as applicable. Existing workshop bootstrap and controlled heating/cooling required; no free-water quench assumed.</x:v>
      </x:c>
      <x:c r="H145" s="4" t="str">
        <x:f>IF(I145=0,"Unassigned",IF(SUMIFS('Material routes'!$Q$6:$Q$2205,'Material routes'!$B$6:$B$2205,A145)&gt;0,"Unassigned","T"&amp;_xlfn.MAXIFS('Material routes'!$P$6:$P$2205,'Material routes'!$B$6:$B$2205,A145)))</x:f>
        <x:v>T3</x:v>
      </x:c>
      <x:c r="I145" s="4" t="n">
        <x:f>SUM(COUNTIFS('Material routes'!$B$6:$B$2205,A145,'Material routes'!$C$6:$C$2205,"Ingredient candidate"),COUNTIFS('Material routes'!$B$6:$B$2205,A145,'Material routes'!$C$6:$C$2205,"Consumed input"),COUNTIFS('Material routes'!$B$6:$B$2205,A145,'Material routes'!$C$6:$C$2205,"Contained input"),COUNTIFS('Material routes'!$B$6:$B$2205,A145,'Material routes'!$C$6:$C$2205,"Transform input"))</x:f>
        <x:v>4</x:v>
      </x:c>
      <x:c r="J145" s="4" t="n">
        <x:f>COUNTIFS('Material routes'!$B$6:$B$2205,A145,'Material routes'!$C$6:$C$2205,"Output")</x:f>
        <x:v>1</x:v>
      </x:c>
      <x:c r="K145" s="4" t="n">
        <x:f>COUNTIFS('Material routes'!$B$6:$B$2205,A145,'Material routes'!$C$6:$C$2205,"Tool candidate")</x:f>
        <x:v>0</x:v>
      </x:c>
      <x:c r="L145" s="4" t="str">
        <x:v>New October 15 game brainstorming; current author request and Docs/WORLD_BASIS.md. Not retrieved source canon.</x:v>
      </x:c>
      <x:c r="M145" s="4" t="str">
        <x:v>Intended downstream use: Field equipment and sealed instruments; leakage, thermal mismatch and chemical compatibility remain unresolved. Quantity/yield and full bill of materials remain open. Lore-coherence pass adds selected fastener/fitting candidates. These remain partial; no quantity or universal fit is assigned.</x:v>
      </x:c>
    </x:row>
    <x:row r="146" ht="115" customHeight="1">
      <x:c r="A146" s="4" t="str">
        <x:v>design.t4.contact_block</x:v>
      </x:c>
      <x:c r="B146" s="4" t="str">
        <x:v>Serviceable insulated contact block preparation</x:v>
      </x:c>
      <x:c r="C146" s="4" t="str">
        <x:v>Material refinement</x:v>
      </x:c>
      <x:c r="D146" s="4" t="str">
        <x:v>Proposal</x:v>
      </x:c>
      <x:c r="E146" s="4" t="str">
        <x:v>Partial proposal</x:v>
      </x:c>
      <x:c r="F146" s="4" t="str">
        <x:v>Fit a replaceable contact block with prepared spacing pieces and lead interfaces.</x:v>
      </x:c>
      <x:c r="G146" s="4" t="str">
        <x:v>Forge hearth, Anvil, Forging hammer, Smithing tongs, Metalworking file and Hand-cranked metal drill as applicable. Existing workshop bootstrap and controlled heating/cooling required; no free-water quench assumed.</x:v>
      </x:c>
      <x:c r="H146" s="4" t="str">
        <x:f>IF(I146=0,"Unassigned",IF(SUMIFS('Material routes'!$Q$6:$Q$2205,'Material routes'!$B$6:$B$2205,A146)&gt;0,"Unassigned","T"&amp;_xlfn.MAXIFS('Material routes'!$P$6:$P$2205,'Material routes'!$B$6:$B$2205,A146)))</x:f>
        <x:v>T3</x:v>
      </x:c>
      <x:c r="I146" s="4" t="n">
        <x:f>SUM(COUNTIFS('Material routes'!$B$6:$B$2205,A146,'Material routes'!$C$6:$C$2205,"Ingredient candidate"),COUNTIFS('Material routes'!$B$6:$B$2205,A146,'Material routes'!$C$6:$C$2205,"Consumed input"),COUNTIFS('Material routes'!$B$6:$B$2205,A146,'Material routes'!$C$6:$C$2205,"Contained input"),COUNTIFS('Material routes'!$B$6:$B$2205,A146,'Material routes'!$C$6:$C$2205,"Transform input"))</x:f>
        <x:v>4</x:v>
      </x:c>
      <x:c r="J146" s="4" t="n">
        <x:f>COUNTIFS('Material routes'!$B$6:$B$2205,A146,'Material routes'!$C$6:$C$2205,"Output")</x:f>
        <x:v>1</x:v>
      </x:c>
      <x:c r="K146" s="4" t="n">
        <x:f>COUNTIFS('Material routes'!$B$6:$B$2205,A146,'Material routes'!$C$6:$C$2205,"Tool candidate")</x:f>
        <x:v>0</x:v>
      </x:c>
      <x:c r="L146" s="4" t="str">
        <x:v>New October 15 game brainstorming; current author request and Docs/WORLD_BASIS.md. Not retrieved source canon.</x:v>
      </x:c>
      <x:c r="M146" s="4" t="str">
        <x:v>Intended downstream use: Radio, instrument and machine wiring; contact layout, arcing and voltage limits require service-specific design. Quantity/yield and full bill of materials remain open. Lore-coherence pass adds selected fastener/fitting candidates. These remain partial; no quantity or universal fit is assigned.</x:v>
      </x:c>
    </x:row>
    <x:row r="147" ht="115" customHeight="1">
      <x:c r="A147" s="4" t="str">
        <x:v>design.t4.articulated_guard</x:v>
      </x:c>
      <x:c r="B147" s="4" t="str">
        <x:v>Articulated guard-panel subassembly preparation</x:v>
      </x:c>
      <x:c r="C147" s="4" t="str">
        <x:v>Material refinement</x:v>
      </x:c>
      <x:c r="D147" s="4" t="str">
        <x:v>Proposal</x:v>
      </x:c>
      <x:c r="E147" s="4" t="str">
        <x:v>Partial proposal</x:v>
      </x:c>
      <x:c r="F147" s="4" t="str">
        <x:v>Fit panel faces, hinge returns and service points as a replaceable protection module.</x:v>
      </x:c>
      <x:c r="G147" s="4" t="str">
        <x:v>Forge hearth, Anvil, Forging hammer, Smithing tongs, Metalworking file and Hand-cranked metal drill as applicable. Existing workshop bootstrap and controlled heating/cooling required; no free-water quench assumed.</x:v>
      </x:c>
      <x:c r="H147" s="4" t="str">
        <x:f>IF(I147=0,"Unassigned",IF(SUMIFS('Material routes'!$Q$6:$Q$2205,'Material routes'!$B$6:$B$2205,A147)&gt;0,"Unassigned","T"&amp;_xlfn.MAXIFS('Material routes'!$P$6:$P$2205,'Material routes'!$B$6:$B$2205,A147)))</x:f>
        <x:v>T3</x:v>
      </x:c>
      <x:c r="I147" s="4" t="n">
        <x:f>SUM(COUNTIFS('Material routes'!$B$6:$B$2205,A147,'Material routes'!$C$6:$C$2205,"Ingredient candidate"),COUNTIFS('Material routes'!$B$6:$B$2205,A147,'Material routes'!$C$6:$C$2205,"Consumed input"),COUNTIFS('Material routes'!$B$6:$B$2205,A147,'Material routes'!$C$6:$C$2205,"Contained input"),COUNTIFS('Material routes'!$B$6:$B$2205,A147,'Material routes'!$C$6:$C$2205,"Transform input"))</x:f>
        <x:v>5</x:v>
      </x:c>
      <x:c r="J147" s="4" t="n">
        <x:f>COUNTIFS('Material routes'!$B$6:$B$2205,A147,'Material routes'!$C$6:$C$2205,"Output")</x:f>
        <x:v>1</x:v>
      </x:c>
      <x:c r="K147" s="4" t="n">
        <x:f>COUNTIFS('Material routes'!$B$6:$B$2205,A147,'Material routes'!$C$6:$C$2205,"Tool candidate")</x:f>
        <x:v>0</x:v>
      </x:c>
      <x:c r="L147" s="4" t="str">
        <x:v>New October 15 game brainstorming; current author request and Docs/WORLD_BASIS.md. Not retrieved source canon.</x:v>
      </x:c>
      <x:c r="M147" s="4" t="str">
        <x:v>Intended downstream use: Fitted armor, shields or Legger covers; geometry, weight and impact performance remain open. Quantity/yield and full bill of materials remain open. Lore-coherence pass adds selected fastener/fitting candidates. These remain partial; no quantity or universal fit is assigned.</x:v>
      </x:c>
    </x:row>
    <x:row r="148" ht="115" customHeight="1">
      <x:c r="A148" s="4" t="str">
        <x:v>design.t4.valve_core</x:v>
      </x:c>
      <x:c r="B148" s="4" t="str">
        <x:v>Fitted canister valve-core assembly preparation</x:v>
      </x:c>
      <x:c r="C148" s="4" t="str">
        <x:v>Material refinement</x:v>
      </x:c>
      <x:c r="D148" s="4" t="str">
        <x:v>Proposal</x:v>
      </x:c>
      <x:c r="E148" s="4" t="str">
        <x:v>Partial proposal</x:v>
      </x:c>
      <x:c r="F148" s="4" t="str">
        <x:v>Explore matched valve-body, moving interface and packing components; full internal part geometry is unresolved.</x:v>
      </x:c>
      <x:c r="G148" s="4" t="str">
        <x:v>Forge hearth, Anvil, Forging hammer, Smithing tongs, Metalworking file and Hand-cranked metal drill as applicable. Existing workshop bootstrap and controlled heating/cooling required; no free-water quench assumed.</x:v>
      </x:c>
      <x:c r="H148" s="4" t="str">
        <x:f>IF(I148=0,"Unassigned",IF(SUMIFS('Material routes'!$Q$6:$Q$2205,'Material routes'!$B$6:$B$2205,A148)&gt;0,"Unassigned","T"&amp;_xlfn.MAXIFS('Material routes'!$P$6:$P$2205,'Material routes'!$B$6:$B$2205,A148)))</x:f>
        <x:v>T3</x:v>
      </x:c>
      <x:c r="I148" s="4" t="n">
        <x:f>SUM(COUNTIFS('Material routes'!$B$6:$B$2205,A148,'Material routes'!$C$6:$C$2205,"Ingredient candidate"),COUNTIFS('Material routes'!$B$6:$B$2205,A148,'Material routes'!$C$6:$C$2205,"Consumed input"),COUNTIFS('Material routes'!$B$6:$B$2205,A148,'Material routes'!$C$6:$C$2205,"Contained input"),COUNTIFS('Material routes'!$B$6:$B$2205,A148,'Material routes'!$C$6:$C$2205,"Transform input"))</x:f>
        <x:v>6</x:v>
      </x:c>
      <x:c r="J148" s="4" t="n">
        <x:f>COUNTIFS('Material routes'!$B$6:$B$2205,A148,'Material routes'!$C$6:$C$2205,"Output")</x:f>
        <x:v>1</x:v>
      </x:c>
      <x:c r="K148" s="4" t="n">
        <x:f>COUNTIFS('Material routes'!$B$6:$B$2205,A148,'Material routes'!$C$6:$C$2205,"Tool candidate")</x:f>
        <x:v>0</x:v>
      </x:c>
      <x:c r="L148" s="4" t="str">
        <x:v>New October 15 game brainstorming; current author request and Docs/WORLD_BASIS.md. Not retrieved source canon.</x:v>
      </x:c>
      <x:c r="M148" s="4" t="str">
        <x:v>Intended downstream use: A selected canister-service family; Phagia contact, industrial chemicals and pressure service need separate compatibility decisions. Quantity/yield and full bill of materials remain open. Lore-coherence pass adds selected fastener/fitting candidates. These remain partial; no quantity or universal fit is assigned.</x:v>
      </x:c>
    </x:row>
    <x:row r="149" ht="115" customHeight="1">
      <x:c r="A149" s="4" t="str">
        <x:v>design.t4.seal_carrier</x:v>
      </x:c>
      <x:c r="B149" s="4" t="str">
        <x:v>Replaceable seal-carrier assembly preparation</x:v>
      </x:c>
      <x:c r="C149" s="4" t="str">
        <x:v>Material refinement</x:v>
      </x:c>
      <x:c r="D149" s="4" t="str">
        <x:v>Proposal</x:v>
      </x:c>
      <x:c r="E149" s="4" t="str">
        <x:v>Partial proposal</x:v>
      </x:c>
      <x:c r="F149" s="4" t="str">
        <x:v>Fit retained sealing stock and a mechanical carrier as a replaceable interface component.</x:v>
      </x:c>
      <x:c r="G149" s="4" t="str">
        <x:v>Forge hearth, Anvil, Forging hammer, Smithing tongs, Metalworking file and Hand-cranked metal drill as applicable. Existing workshop bootstrap and controlled heating/cooling required; no free-water quench assumed.</x:v>
      </x:c>
      <x:c r="H149" s="4" t="str">
        <x:f>IF(I149=0,"Unassigned",IF(SUMIFS('Material routes'!$Q$6:$Q$2205,'Material routes'!$B$6:$B$2205,A149)&gt;0,"Unassigned","T"&amp;_xlfn.MAXIFS('Material routes'!$P$6:$P$2205,'Material routes'!$B$6:$B$2205,A149)))</x:f>
        <x:v>T3</x:v>
      </x:c>
      <x:c r="I149" s="4" t="n">
        <x:f>SUM(COUNTIFS('Material routes'!$B$6:$B$2205,A149,'Material routes'!$C$6:$C$2205,"Ingredient candidate"),COUNTIFS('Material routes'!$B$6:$B$2205,A149,'Material routes'!$C$6:$C$2205,"Consumed input"),COUNTIFS('Material routes'!$B$6:$B$2205,A149,'Material routes'!$C$6:$C$2205,"Contained input"),COUNTIFS('Material routes'!$B$6:$B$2205,A149,'Material routes'!$C$6:$C$2205,"Transform input"))</x:f>
        <x:v>4</x:v>
      </x:c>
      <x:c r="J149" s="4" t="n">
        <x:f>COUNTIFS('Material routes'!$B$6:$B$2205,A149,'Material routes'!$C$6:$C$2205,"Output")</x:f>
        <x:v>1</x:v>
      </x:c>
      <x:c r="K149" s="4" t="n">
        <x:f>COUNTIFS('Material routes'!$B$6:$B$2205,A149,'Material routes'!$C$6:$C$2205,"Tool candidate")</x:f>
        <x:v>0</x:v>
      </x:c>
      <x:c r="L149" s="4" t="str">
        <x:v>New October 15 game brainstorming; current author request and Docs/WORLD_BASIS.md. Not retrieved source canon.</x:v>
      </x:c>
      <x:c r="M149" s="4" t="str">
        <x:v>Intended downstream use: Canister or equipment joint after selecting a specific service; no universal seal or pressure qualification. Quantity/yield and full bill of materials remain open. Lore-coherence pass adds selected fastener/fitting candidates. These remain partial; no quantity or universal fit is assigned.</x:v>
      </x:c>
    </x:row>
    <x:row r="150" ht="115" customHeight="1">
      <x:c r="A150" s="4" t="str">
        <x:v>design.t4.spar_joint</x:v>
      </x:c>
      <x:c r="B150" s="4" t="str">
        <x:v>Collapsible sail-spar joint kit preparation</x:v>
      </x:c>
      <x:c r="C150" s="4" t="str">
        <x:v>Material refinement</x:v>
      </x:c>
      <x:c r="D150" s="4" t="str">
        <x:v>Proposal</x:v>
      </x:c>
      <x:c r="E150" s="4" t="str">
        <x:v>Partial proposal</x:v>
      </x:c>
      <x:c r="F150" s="4" t="str">
        <x:v>Match telescoping or folding joint parts and retainers; selected geometry, locking and wear remain open.</x:v>
      </x:c>
      <x:c r="G150" s="4" t="str">
        <x:v>Forge hearth, Anvil, Forging hammer, Smithing tongs, Metalworking file and Hand-cranked metal drill as applicable. Existing workshop bootstrap and controlled heating/cooling required; no free-water quench assumed.</x:v>
      </x:c>
      <x:c r="H150" s="4" t="str">
        <x:f>IF(I150=0,"Unassigned",IF(SUMIFS('Material routes'!$Q$6:$Q$2205,'Material routes'!$B$6:$B$2205,A150)&gt;0,"Unassigned","T"&amp;_xlfn.MAXIFS('Material routes'!$P$6:$P$2205,'Material routes'!$B$6:$B$2205,A150)))</x:f>
        <x:v>T3</x:v>
      </x:c>
      <x:c r="I150" s="4" t="n">
        <x:f>SUM(COUNTIFS('Material routes'!$B$6:$B$2205,A150,'Material routes'!$C$6:$C$2205,"Ingredient candidate"),COUNTIFS('Material routes'!$B$6:$B$2205,A150,'Material routes'!$C$6:$C$2205,"Consumed input"),COUNTIFS('Material routes'!$B$6:$B$2205,A150,'Material routes'!$C$6:$C$2205,"Contained input"),COUNTIFS('Material routes'!$B$6:$B$2205,A150,'Material routes'!$C$6:$C$2205,"Transform input"))</x:f>
        <x:v>4</x:v>
      </x:c>
      <x:c r="J150" s="4" t="n">
        <x:f>COUNTIFS('Material routes'!$B$6:$B$2205,A150,'Material routes'!$C$6:$C$2205,"Output")</x:f>
        <x:v>1</x:v>
      </x:c>
      <x:c r="K150" s="4" t="n">
        <x:f>COUNTIFS('Material routes'!$B$6:$B$2205,A150,'Material routes'!$C$6:$C$2205,"Tool candidate")</x:f>
        <x:v>0</x:v>
      </x:c>
      <x:c r="L150" s="4" t="str">
        <x:v>New October 15 game brainstorming; current author request and Docs/WORLD_BASIS.md. Not retrieved source canon.</x:v>
      </x:c>
      <x:c r="M150" s="4" t="str">
        <x:v>Intended downstream use: Booter handheld sail frame; usable span, wind load and carry form still require design. Quantity/yield and full bill of materials remain open. Lore-coherence pass adds selected fastener/fitting candidates. These remain partial; no quantity or universal fit is assigned.</x:v>
      </x:c>
    </x:row>
    <x:row r="151" ht="115" customHeight="1">
      <x:c r="A151" s="4" t="str">
        <x:v>design.t4.joined_wing_panels</x:v>
      </x:c>
      <x:c r="B151" s="4" t="str">
        <x:v>Joined folding wing-panel assembly preparation</x:v>
      </x:c>
      <x:c r="C151" s="4" t="str">
        <x:v>Material refinement</x:v>
      </x:c>
      <x:c r="D151" s="4" t="str">
        <x:v>Proposal</x:v>
      </x:c>
      <x:c r="E151" s="4" t="str">
        <x:v>Partial proposal</x:v>
      </x:c>
      <x:c r="F151" s="4" t="str">
        <x:v>Join matched folding panels with prepared seam and joint stock.</x:v>
      </x:c>
      <x:c r="G151" s="4" t="str">
        <x:v>Forge hearth, Anvil, Forging hammer, Smithing tongs, Metalworking file and Hand-cranked metal drill as applicable. Existing workshop bootstrap and controlled heating/cooling required; no free-water quench assumed.</x:v>
      </x:c>
      <x:c r="H151" s="4" t="str">
        <x:f>IF(I151=0,"Unassigned",IF(SUMIFS('Material routes'!$Q$6:$Q$2205,'Material routes'!$B$6:$B$2205,A151)&gt;0,"Unassigned","T"&amp;_xlfn.MAXIFS('Material routes'!$P$6:$P$2205,'Material routes'!$B$6:$B$2205,A151)))</x:f>
        <x:v>T3</x:v>
      </x:c>
      <x:c r="I151" s="4" t="n">
        <x:f>SUM(COUNTIFS('Material routes'!$B$6:$B$2205,A151,'Material routes'!$C$6:$C$2205,"Ingredient candidate"),COUNTIFS('Material routes'!$B$6:$B$2205,A151,'Material routes'!$C$6:$C$2205,"Consumed input"),COUNTIFS('Material routes'!$B$6:$B$2205,A151,'Material routes'!$C$6:$C$2205,"Contained input"),COUNTIFS('Material routes'!$B$6:$B$2205,A151,'Material routes'!$C$6:$C$2205,"Transform input"))</x:f>
        <x:v>4</x:v>
      </x:c>
      <x:c r="J151" s="4" t="n">
        <x:f>COUNTIFS('Material routes'!$B$6:$B$2205,A151,'Material routes'!$C$6:$C$2205,"Output")</x:f>
        <x:v>1</x:v>
      </x:c>
      <x:c r="K151" s="4" t="n">
        <x:f>COUNTIFS('Material routes'!$B$6:$B$2205,A151,'Material routes'!$C$6:$C$2205,"Tool candidate")</x:f>
        <x:v>0</x:v>
      </x:c>
      <x:c r="L151" s="4" t="str">
        <x:v>New October 15 game brainstorming; current author request and Docs/WORLD_BASIS.md. Not retrieved source canon.</x:v>
      </x:c>
      <x:c r="M151" s="4" t="str">
        <x:v>Intended downstream use: A larger or more elaborate sail/shade; a simpler finished sail can use earlier-tier stock. Quantity/yield and full bill of materials remain open. Lore-coherence pass adds selected fastener/fitting candidates. These remain partial; no quantity or universal fit is assigned.</x:v>
      </x:c>
    </x:row>
    <x:row r="152" ht="115" customHeight="1">
      <x:c r="A152" s="4" t="str">
        <x:v>design.t4.turbine_hub</x:v>
      </x:c>
      <x:c r="B152" s="4" t="str">
        <x:v>Matched wind-turbine hub core preparation</x:v>
      </x:c>
      <x:c r="C152" s="4" t="str">
        <x:v>Material refinement</x:v>
      </x:c>
      <x:c r="D152" s="4" t="str">
        <x:v>Proposal</x:v>
      </x:c>
      <x:c r="E152" s="4" t="str">
        <x:v>Partial proposal</x:v>
      </x:c>
      <x:c r="F152" s="4" t="str">
        <x:v>Explore a stationary rotor hub with a matched mechanical interface; distinct fit from a generic drive cassette.</x:v>
      </x:c>
      <x:c r="G152" s="4" t="str">
        <x:v>Forge hearth, Anvil, Forging hammer, Smithing tongs, Metalworking file and Hand-cranked metal drill as applicable. Existing workshop bootstrap and controlled heating/cooling required; no free-water quench assumed.</x:v>
      </x:c>
      <x:c r="H152" s="4" t="str">
        <x:f>IF(I152=0,"Unassigned",IF(SUMIFS('Material routes'!$Q$6:$Q$2205,'Material routes'!$B$6:$B$2205,A152)&gt;0,"Unassigned","T"&amp;_xlfn.MAXIFS('Material routes'!$P$6:$P$2205,'Material routes'!$B$6:$B$2205,A152)))</x:f>
        <x:v>T3</x:v>
      </x:c>
      <x:c r="I152" s="4" t="n">
        <x:f>SUM(COUNTIFS('Material routes'!$B$6:$B$2205,A152,'Material routes'!$C$6:$C$2205,"Ingredient candidate"),COUNTIFS('Material routes'!$B$6:$B$2205,A152,'Material routes'!$C$6:$C$2205,"Consumed input"),COUNTIFS('Material routes'!$B$6:$B$2205,A152,'Material routes'!$C$6:$C$2205,"Contained input"),COUNTIFS('Material routes'!$B$6:$B$2205,A152,'Material routes'!$C$6:$C$2205,"Transform input"))</x:f>
        <x:v>5</x:v>
      </x:c>
      <x:c r="J152" s="4" t="n">
        <x:f>COUNTIFS('Material routes'!$B$6:$B$2205,A152,'Material routes'!$C$6:$C$2205,"Output")</x:f>
        <x:v>1</x:v>
      </x:c>
      <x:c r="K152" s="4" t="n">
        <x:f>COUNTIFS('Material routes'!$B$6:$B$2205,A152,'Material routes'!$C$6:$C$2205,"Tool candidate")</x:f>
        <x:v>0</x:v>
      </x:c>
      <x:c r="L152" s="4" t="str">
        <x:v>New October 15 game brainstorming; current author request and Docs/WORLD_BASIS.md. Not retrieved source canon.</x:v>
      </x:c>
      <x:c r="M152" s="4" t="str">
        <x:v>Intended downstream use: Salvage-built wind turbine; rotor, tower, anchoring and mechanical or electrical conversion remain separate. Quantity/yield and full bill of materials remain open. Lore-coherence pass adds selected fastener/fitting candidates. These remain partial; no quantity or universal fit is assigned.</x:v>
      </x:c>
    </x:row>
    <x:row r="153" ht="115" customHeight="1">
      <x:c r="A153" s="4" t="str">
        <x:v>design.t4.wheel_hub</x:v>
      </x:c>
      <x:c r="B153" s="4" t="str">
        <x:v>Dirtboard wheel-hub core preparation</x:v>
      </x:c>
      <x:c r="C153" s="4" t="str">
        <x:v>Material refinement</x:v>
      </x:c>
      <x:c r="D153" s="4" t="str">
        <x:v>Proposal</x:v>
      </x:c>
      <x:c r="E153" s="4" t="str">
        <x:v>Partial proposal</x:v>
      </x:c>
      <x:c r="F153" s="4" t="str">
        <x:v>Fit a retained bearing and axle interface for a dirtboard wheel; wheel body, grip surface and dimensions remain open.</x:v>
      </x:c>
      <x:c r="G153" s="4" t="str">
        <x:v>Forge hearth, Anvil, Forging hammer, Smithing tongs, Metalworking file and Hand-cranked metal drill as applicable. Existing workshop bootstrap and controlled heating/cooling required; no free-water quench assumed.</x:v>
      </x:c>
      <x:c r="H153" s="4" t="str">
        <x:f>IF(I153=0,"Unassigned",IF(SUMIFS('Material routes'!$Q$6:$Q$2205,'Material routes'!$B$6:$B$2205,A153)&gt;0,"Unassigned","T"&amp;_xlfn.MAXIFS('Material routes'!$P$6:$P$2205,'Material routes'!$B$6:$B$2205,A153)))</x:f>
        <x:v>T3</x:v>
      </x:c>
      <x:c r="I153" s="4" t="n">
        <x:f>SUM(COUNTIFS('Material routes'!$B$6:$B$2205,A153,'Material routes'!$C$6:$C$2205,"Ingredient candidate"),COUNTIFS('Material routes'!$B$6:$B$2205,A153,'Material routes'!$C$6:$C$2205,"Consumed input"),COUNTIFS('Material routes'!$B$6:$B$2205,A153,'Material routes'!$C$6:$C$2205,"Contained input"),COUNTIFS('Material routes'!$B$6:$B$2205,A153,'Material routes'!$C$6:$C$2205,"Transform input"))</x:f>
        <x:v>5</x:v>
      </x:c>
      <x:c r="J153" s="4" t="n">
        <x:f>COUNTIFS('Material routes'!$B$6:$B$2205,A153,'Material routes'!$C$6:$C$2205,"Output")</x:f>
        <x:v>1</x:v>
      </x:c>
      <x:c r="K153" s="4" t="n">
        <x:f>COUNTIFS('Material routes'!$B$6:$B$2205,A153,'Material routes'!$C$6:$C$2205,"Tool candidate")</x:f>
        <x:v>0</x:v>
      </x:c>
      <x:c r="L153" s="4" t="str">
        <x:v>New October 15 game brainstorming; current author request and Docs/WORLD_BASIS.md. Not retrieved source canon.</x:v>
      </x:c>
      <x:c r="M153" s="4" t="str">
        <x:v>Intended downstream use: Booter four-wheel dirtboard; this is one intermediate wheel component, not a finished board. Quantity/yield and full bill of materials remain open. Lore-coherence pass adds selected fastener/fitting candidates. These remain partial; no quantity or universal fit is assigned.</x:v>
      </x:c>
    </x:row>
    <x:row r="154" ht="115" customHeight="1">
      <x:c r="A154" s="4" t="str">
        <x:v>design.t4.vessel_liner</x:v>
      </x:c>
      <x:c r="B154" s="4" t="str">
        <x:v>Fitted chemical-vessel liner insert preparation</x:v>
      </x:c>
      <x:c r="C154" s="4" t="str">
        <x:v>Material refinement</x:v>
      </x:c>
      <x:c r="D154" s="4" t="str">
        <x:v>Proposal</x:v>
      </x:c>
      <x:c r="E154" s="4" t="str">
        <x:v>Partial proposal</x:v>
      </x:c>
      <x:c r="F154" s="4" t="str">
        <x:v>Fit supported lining faces and retained joint stock to an identified vessel interior.</x:v>
      </x:c>
      <x:c r="G154" s="4" t="str">
        <x:v>Forge hearth, Anvil, Forging hammer, Smithing tongs, Metalworking file and Hand-cranked metal drill as applicable. Existing workshop bootstrap and controlled heating/cooling required; no free-water quench assumed.</x:v>
      </x:c>
      <x:c r="H154" s="4" t="str">
        <x:f>IF(I154=0,"Unassigned",IF(SUMIFS('Material routes'!$Q$6:$Q$2205,'Material routes'!$B$6:$B$2205,A154)&gt;0,"Unassigned","T"&amp;_xlfn.MAXIFS('Material routes'!$P$6:$P$2205,'Material routes'!$B$6:$B$2205,A154)))</x:f>
        <x:v>T3</x:v>
      </x:c>
      <x:c r="I154" s="4" t="n">
        <x:f>SUM(COUNTIFS('Material routes'!$B$6:$B$2205,A154,'Material routes'!$C$6:$C$2205,"Ingredient candidate"),COUNTIFS('Material routes'!$B$6:$B$2205,A154,'Material routes'!$C$6:$C$2205,"Consumed input"),COUNTIFS('Material routes'!$B$6:$B$2205,A154,'Material routes'!$C$6:$C$2205,"Contained input"),COUNTIFS('Material routes'!$B$6:$B$2205,A154,'Material routes'!$C$6:$C$2205,"Transform input"))</x:f>
        <x:v>3</x:v>
      </x:c>
      <x:c r="J154" s="4" t="n">
        <x:f>COUNTIFS('Material routes'!$B$6:$B$2205,A154,'Material routes'!$C$6:$C$2205,"Output")</x:f>
        <x:v>1</x:v>
      </x:c>
      <x:c r="K154" s="4" t="n">
        <x:f>COUNTIFS('Material routes'!$B$6:$B$2205,A154,'Material routes'!$C$6:$C$2205,"Tool candidate")</x:f>
        <x:v>0</x:v>
      </x:c>
      <x:c r="L154" s="4" t="str">
        <x:v>New October 15 game brainstorming; current author request and Docs/WORLD_BASIS.md. Not retrieved source canon.</x:v>
      </x:c>
      <x:c r="M154" s="4" t="str">
        <x:v>Intended downstream use: Selected fauna-liquid processing or storage equipment; toxicity, permeability, cleaning and chemical compatibility remain unresolved. Quantity/yield and full bill of materials remain open.</x:v>
      </x:c>
    </x:row>
    <x:row r="155" ht="115" customHeight="1">
      <x:c r="A155" s="4" t="str">
        <x:v>design.t4.grinding_head</x:v>
      </x:c>
      <x:c r="B155" s="4" t="str">
        <x:v>Replaceable abrasive-head assembly preparation</x:v>
      </x:c>
      <x:c r="C155" s="4" t="str">
        <x:v>Material refinement</x:v>
      </x:c>
      <x:c r="D155" s="4" t="str">
        <x:v>Proposal</x:v>
      </x:c>
      <x:c r="E155" s="4" t="str">
        <x:v>Partial proposal</x:v>
      </x:c>
      <x:c r="F155" s="4" t="str">
        <x:v>Fit abrasive-faced stock to a replaceable mechanically retained tool head.</x:v>
      </x:c>
      <x:c r="G155" s="4" t="str">
        <x:v>Forge hearth, Anvil, Forging hammer, Smithing tongs, Metalworking file and Hand-cranked metal drill as applicable. Existing workshop bootstrap and controlled heating/cooling required; no free-water quench assumed.</x:v>
      </x:c>
      <x:c r="H155" s="4" t="str">
        <x:f>IF(I155=0,"Unassigned",IF(SUMIFS('Material routes'!$Q$6:$Q$2205,'Material routes'!$B$6:$B$2205,A155)&gt;0,"Unassigned","T"&amp;_xlfn.MAXIFS('Material routes'!$P$6:$P$2205,'Material routes'!$B$6:$B$2205,A155)))</x:f>
        <x:v>T3</x:v>
      </x:c>
      <x:c r="I155" s="4" t="n">
        <x:f>SUM(COUNTIFS('Material routes'!$B$6:$B$2205,A155,'Material routes'!$C$6:$C$2205,"Ingredient candidate"),COUNTIFS('Material routes'!$B$6:$B$2205,A155,'Material routes'!$C$6:$C$2205,"Consumed input"),COUNTIFS('Material routes'!$B$6:$B$2205,A155,'Material routes'!$C$6:$C$2205,"Contained input"),COUNTIFS('Material routes'!$B$6:$B$2205,A155,'Material routes'!$C$6:$C$2205,"Transform input"))</x:f>
        <x:v>4</x:v>
      </x:c>
      <x:c r="J155" s="4" t="n">
        <x:f>COUNTIFS('Material routes'!$B$6:$B$2205,A155,'Material routes'!$C$6:$C$2205,"Output")</x:f>
        <x:v>1</x:v>
      </x:c>
      <x:c r="K155" s="4" t="n">
        <x:f>COUNTIFS('Material routes'!$B$6:$B$2205,A155,'Material routes'!$C$6:$C$2205,"Tool candidate")</x:f>
        <x:v>0</x:v>
      </x:c>
      <x:c r="L155" s="4" t="str">
        <x:v>New October 15 game brainstorming; current author request and Docs/WORLD_BASIS.md. Not retrieved source canon.</x:v>
      </x:c>
      <x:c r="M155" s="4" t="str">
        <x:v>Intended downstream use: A finishing or grinding tool; drive, retention, grit shedding and intended work material need design. Quantity/yield and full bill of materials remain open. Lore-coherence pass adds selected fastener/fitting candidates. These remain partial; no quantity or universal fit is assigned.</x:v>
      </x:c>
    </x:row>
    <x:row r="156" ht="115" customHeight="1">
      <x:c r="A156" s="4" t="str">
        <x:v>design.t4.insulating_board</x:v>
      </x:c>
      <x:c r="B156" s="4" t="str">
        <x:v>Pressed mineral-husk insulating board preparation</x:v>
      </x:c>
      <x:c r="C156" s="4" t="str">
        <x:v>Material refinement</x:v>
      </x:c>
      <x:c r="D156" s="4" t="str">
        <x:v>Proposal</x:v>
      </x:c>
      <x:c r="E156" s="4" t="str">
        <x:v>Partial proposal</x:v>
      </x:c>
      <x:c r="F156" s="4" t="str">
        <x:v>Explore pressing compatible prepared husk/mineral layers into supported barrier stock; layer arrangement and binder behavior remain open.</x:v>
      </x:c>
      <x:c r="G156" s="4" t="str">
        <x:v>Forge hearth, Anvil, Forging hammer, Smithing tongs, Metalworking file and Hand-cranked metal drill as applicable. Existing workshop bootstrap and controlled heating/cooling required; no free-water quench assumed.</x:v>
      </x:c>
      <x:c r="H156" s="4" t="str">
        <x:f>IF(I156=0,"Unassigned",IF(SUMIFS('Material routes'!$Q$6:$Q$2205,'Material routes'!$B$6:$B$2205,A156)&gt;0,"Unassigned","T"&amp;_xlfn.MAXIFS('Material routes'!$P$6:$P$2205,'Material routes'!$B$6:$B$2205,A156)))</x:f>
        <x:v>T3</x:v>
      </x:c>
      <x:c r="I156" s="4" t="n">
        <x:f>SUM(COUNTIFS('Material routes'!$B$6:$B$2205,A156,'Material routes'!$C$6:$C$2205,"Ingredient candidate"),COUNTIFS('Material routes'!$B$6:$B$2205,A156,'Material routes'!$C$6:$C$2205,"Consumed input"),COUNTIFS('Material routes'!$B$6:$B$2205,A156,'Material routes'!$C$6:$C$2205,"Contained input"),COUNTIFS('Material routes'!$B$6:$B$2205,A156,'Material routes'!$C$6:$C$2205,"Transform input"))</x:f>
        <x:v>3</x:v>
      </x:c>
      <x:c r="J156" s="4" t="n">
        <x:f>COUNTIFS('Material routes'!$B$6:$B$2205,A156,'Material routes'!$C$6:$C$2205,"Output")</x:f>
        <x:v>1</x:v>
      </x:c>
      <x:c r="K156" s="4" t="n">
        <x:f>COUNTIFS('Material routes'!$B$6:$B$2205,A156,'Material routes'!$C$6:$C$2205,"Tool candidate")</x:f>
        <x:v>0</x:v>
      </x:c>
      <x:c r="L156" s="4" t="str">
        <x:v>New October 15 game brainstorming; current author request and Docs/WORLD_BASIS.md. Not retrieved source canon.</x:v>
      </x:c>
      <x:c r="M156" s="4" t="str">
        <x:v>Intended downstream use: Fitted enclosure barriers and insulating panels; no electrical, thermal or fire-resistance rating assigned. Quantity/yield and full bill of materials remain open.</x:v>
      </x:c>
    </x:row>
    <x:row r="157" ht="115" customHeight="1">
      <x:c r="A157" s="4" t="str">
        <x:v>design.t4.decorative_veneer</x:v>
      </x:c>
      <x:c r="B157" s="4" t="str">
        <x:v>Layered ceremonial inlay stock preparation</x:v>
      </x:c>
      <x:c r="C157" s="4" t="str">
        <x:v>Material refinement</x:v>
      </x:c>
      <x:c r="D157" s="4" t="str">
        <x:v>Proposal</x:v>
      </x:c>
      <x:c r="E157" s="4" t="str">
        <x:v>Partial proposal</x:v>
      </x:c>
      <x:c r="F157" s="4" t="str">
        <x:v>Prepare small fitted decorative sections combining supported inlay and difficult finished husk stock; intended geometry may be rigid.</x:v>
      </x:c>
      <x:c r="G157" s="4" t="str">
        <x:v>Forge hearth, Anvil, Forging hammer, Smithing tongs, Metalworking file and Hand-cranked metal drill as applicable. Existing workshop bootstrap and controlled heating/cooling required; no free-water quench assumed.</x:v>
      </x:c>
      <x:c r="H157" s="4" t="str">
        <x:f>IF(I157=0,"Unassigned",IF(SUMIFS('Material routes'!$Q$6:$Q$2205,'Material routes'!$B$6:$B$2205,A157)&gt;0,"Unassigned","T"&amp;_xlfn.MAXIFS('Material routes'!$P$6:$P$2205,'Material routes'!$B$6:$B$2205,A157)))</x:f>
        <x:v>T3</x:v>
      </x:c>
      <x:c r="I157" s="4" t="n">
        <x:f>SUM(COUNTIFS('Material routes'!$B$6:$B$2205,A157,'Material routes'!$C$6:$C$2205,"Ingredient candidate"),COUNTIFS('Material routes'!$B$6:$B$2205,A157,'Material routes'!$C$6:$C$2205,"Consumed input"),COUNTIFS('Material routes'!$B$6:$B$2205,A157,'Material routes'!$C$6:$C$2205,"Contained input"),COUNTIFS('Material routes'!$B$6:$B$2205,A157,'Material routes'!$C$6:$C$2205,"Transform input"))</x:f>
        <x:v>3</x:v>
      </x:c>
      <x:c r="J157" s="4" t="n">
        <x:f>COUNTIFS('Material routes'!$B$6:$B$2205,A157,'Material routes'!$C$6:$C$2205,"Output")</x:f>
        <x:v>1</x:v>
      </x:c>
      <x:c r="K157" s="4" t="n">
        <x:f>COUNTIFS('Material routes'!$B$6:$B$2205,A157,'Material routes'!$C$6:$C$2205,"Tool candidate")</x:f>
        <x:v>0</x:v>
      </x:c>
      <x:c r="L157" s="4" t="str">
        <x:v>New October 15 game brainstorming; current author request and Docs/WORLD_BASIS.md. Not retrieved source canon.</x:v>
      </x:c>
      <x:c r="M157" s="4" t="str">
        <x:v>Intended downstream use: Rare ceremonial trim, civic plates or costly dress fittings; no ordinary cloth or invented national preference. Quantity/yield and full bill of materials remain open.</x:v>
      </x:c>
    </x:row>
    <x:row r="158" ht="115" customHeight="1">
      <x:c r="A158" s="4" t="str">
        <x:v>design.t4.acoustic_cassette</x:v>
      </x:c>
      <x:c r="B158" s="4" t="str">
        <x:v>Matched stone-resonator cassette preparation</x:v>
      </x:c>
      <x:c r="C158" s="4" t="str">
        <x:v>Material refinement</x:v>
      </x:c>
      <x:c r="D158" s="4" t="str">
        <x:v>Proposal</x:v>
      </x:c>
      <x:c r="E158" s="4" t="str">
        <x:v>Partial proposal</x:v>
      </x:c>
      <x:c r="F158" s="4" t="str">
        <x:v>Match mounted tuned-stone pieces and mechanical supports as an instrument-making component.</x:v>
      </x:c>
      <x:c r="G158" s="4" t="str">
        <x:v>Forge hearth, Anvil, Forging hammer, Smithing tongs, Metalworking file and Hand-cranked metal drill as applicable. Existing workshop bootstrap and controlled heating/cooling required; no free-water quench assumed.</x:v>
      </x:c>
      <x:c r="H158" s="4" t="str">
        <x:f>IF(I158=0,"Unassigned",IF(SUMIFS('Material routes'!$Q$6:$Q$2205,'Material routes'!$B$6:$B$2205,A158)&gt;0,"Unassigned","T"&amp;_xlfn.MAXIFS('Material routes'!$P$6:$P$2205,'Material routes'!$B$6:$B$2205,A158)))</x:f>
        <x:v>T3</x:v>
      </x:c>
      <x:c r="I158" s="4" t="n">
        <x:f>SUM(COUNTIFS('Material routes'!$B$6:$B$2205,A158,'Material routes'!$C$6:$C$2205,"Ingredient candidate"),COUNTIFS('Material routes'!$B$6:$B$2205,A158,'Material routes'!$C$6:$C$2205,"Consumed input"),COUNTIFS('Material routes'!$B$6:$B$2205,A158,'Material routes'!$C$6:$C$2205,"Contained input"),COUNTIFS('Material routes'!$B$6:$B$2205,A158,'Material routes'!$C$6:$C$2205,"Transform input"))</x:f>
        <x:v>4</x:v>
      </x:c>
      <x:c r="J158" s="4" t="n">
        <x:f>COUNTIFS('Material routes'!$B$6:$B$2205,A158,'Material routes'!$C$6:$C$2205,"Output")</x:f>
        <x:v>1</x:v>
      </x:c>
      <x:c r="K158" s="4" t="n">
        <x:f>COUNTIFS('Material routes'!$B$6:$B$2205,A158,'Material routes'!$C$6:$C$2205,"Tool candidate")</x:f>
        <x:v>0</x:v>
      </x:c>
      <x:c r="L158" s="4" t="str">
        <x:v>New October 15 game brainstorming; current author request and Docs/WORLD_BASIS.md. Not retrieved source canon.</x:v>
      </x:c>
      <x:c r="M158" s="4" t="str">
        <x:v>Intended downstream use: A fitted acoustic instrument; mounting response and tuning remain open, with no assigned magical amplification. Quantity/yield and full bill of materials remain open. Lore-coherence pass adds selected fastener/fitting candidates. These remain partial; no quantity or universal fit is assigned.</x:v>
      </x:c>
    </x:row>
    <x:row r="159" ht="115" customHeight="1">
      <x:c r="A159" s="4" t="str">
        <x:v>design.review.proposal_natural_copper_ore</x:v>
      </x:c>
      <x:c r="B159" s="4" t="str">
        <x:v>Copper ore preparation</x:v>
      </x:c>
      <x:c r="C159" s="4" t="str">
        <x:v>Material refinement</x:v>
      </x:c>
      <x:c r="D159" s="4" t="str">
        <x:v>Proposal</x:v>
      </x:c>
      <x:c r="E159" s="4" t="str">
        <x:v>Partial proposal</x:v>
      </x:c>
      <x:c r="F159" s="4" t="str">
        <x:v>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G159" s="4" t="str">
        <x:v>Ceramic grinding mortar, Ceramic pestle, Ceramic abrasive disc and stone-cutting fixtures as applicable; grade selection and finishing qualification required.</x:v>
      </x:c>
      <x:c r="H159" s="4" t="str">
        <x:f>IF(I159=0,"Unassigned",IF(SUMIFS('Material routes'!$Q$6:$Q$2205,'Material routes'!$B$6:$B$2205,A159)&gt;0,"Unassigned","T"&amp;_xlfn.MAXIFS('Material routes'!$P$6:$P$2205,'Material routes'!$B$6:$B$2205,A159)))</x:f>
        <x:v>T0</x:v>
      </x:c>
      <x:c r="I159" s="4" t="n">
        <x:f>SUM(COUNTIFS('Material routes'!$B$6:$B$2205,A159,'Material routes'!$C$6:$C$2205,"Ingredient candidate"),COUNTIFS('Material routes'!$B$6:$B$2205,A159,'Material routes'!$C$6:$C$2205,"Consumed input"),COUNTIFS('Material routes'!$B$6:$B$2205,A159,'Material routes'!$C$6:$C$2205,"Contained input"),COUNTIFS('Material routes'!$B$6:$B$2205,A159,'Material routes'!$C$6:$C$2205,"Transform input"))</x:f>
        <x:v>1</x:v>
      </x:c>
      <x:c r="J159" s="4" t="n">
        <x:f>COUNTIFS('Material routes'!$B$6:$B$2205,A159,'Material routes'!$C$6:$C$2205,"Output")</x:f>
        <x:v>1</x:v>
      </x:c>
      <x:c r="K159" s="4" t="n">
        <x:f>COUNTIFS('Material routes'!$B$6:$B$2205,A159,'Material routes'!$C$6:$C$2205,"Tool candidate")</x:f>
        <x:v>0</x:v>
      </x:c>
      <x:c r="L159" s="4" t="str">
        <x:v>New October 15 tier-review proposal; user-authorized item audit and Docs/WORLD_BASIS.md. No source-canon or implemented-recipe claim.</x:v>
      </x:c>
      <x:c r="M159" s="4" t="str">
        <x:v>Candidate route only: quantities, yield, tools, fit, process conditions and service compatibility remain open. This follows the existing sorted-ore stage; it is not refined copper metal or a claim that all naturally occurring ore starts above T0.</x:v>
      </x:c>
    </x:row>
    <x:row r="160" ht="115" customHeight="1">
      <x:c r="A160" s="4" t="str">
        <x:v>design.review.proposal_bio_brush</x:v>
      </x:c>
      <x:c r="B160" s="4" t="str">
        <x:v>Bristle brush strips preparation</x:v>
      </x:c>
      <x:c r="C160" s="4" t="str">
        <x:v>Material refinement</x:v>
      </x:c>
      <x:c r="D160" s="4" t="str">
        <x:v>Proposal</x:v>
      </x:c>
      <x:c r="E160" s="4" t="str">
        <x:v>Partial proposal</x:v>
      </x:c>
      <x:c r="F160" s="4" t="str">
        <x:v>Retain prepared bristles in a bonded strip after T1 grading. Candidate route only: quantities, yield, tools, fit, process conditions and service compatibility remain open. </x:v>
      </x:c>
      <x:c r="G160" s="4" t="str">
        <x:v>Husk-sheet cutting shears, pressure fixtures and dedicated preparation surfaces. Very low hide/fur yield; no ordinary cloth or plant inputs.</x:v>
      </x:c>
      <x:c r="H160" s="4" t="str">
        <x:f>IF(I160=0,"Unassigned",IF(SUMIFS('Material routes'!$Q$6:$Q$2205,'Material routes'!$B$6:$B$2205,A160)&gt;0,"Unassigned","T"&amp;_xlfn.MAXIFS('Material routes'!$P$6:$P$2205,'Material routes'!$B$6:$B$2205,A160)))</x:f>
        <x:v>T1</x:v>
      </x:c>
      <x:c r="I160" s="4" t="n">
        <x:f>SUM(COUNTIFS('Material routes'!$B$6:$B$2205,A160,'Material routes'!$C$6:$C$2205,"Ingredient candidate"),COUNTIFS('Material routes'!$B$6:$B$2205,A160,'Material routes'!$C$6:$C$2205,"Consumed input"),COUNTIFS('Material routes'!$B$6:$B$2205,A160,'Material routes'!$C$6:$C$2205,"Contained input"),COUNTIFS('Material routes'!$B$6:$B$2205,A160,'Material routes'!$C$6:$C$2205,"Transform input"))</x:f>
        <x:v>2</x:v>
      </x:c>
      <x:c r="J160" s="4" t="n">
        <x:f>COUNTIFS('Material routes'!$B$6:$B$2205,A160,'Material routes'!$C$6:$C$2205,"Output")</x:f>
        <x:v>1</x:v>
      </x:c>
      <x:c r="K160" s="4" t="n">
        <x:f>COUNTIFS('Material routes'!$B$6:$B$2205,A160,'Material routes'!$C$6:$C$2205,"Tool candidate")</x:f>
        <x:v>0</x:v>
      </x:c>
      <x:c r="L160" s="4" t="str">
        <x:v>New October 15 tier-review proposal; user-authorized item audit and Docs/WORLD_BASIS.md. No source-canon or implemented-recipe claim.</x:v>
      </x:c>
      <x:c r="M160" s="4" t="str">
        <x:v>Candidate route only: quantities, yield, tools, fit, process conditions and service compatibility remain open. </x:v>
      </x:c>
    </x:row>
    <x:row r="161" ht="115" customHeight="1">
      <x:c r="A161" s="4" t="str">
        <x:v>design.review.proposal_bio_insert</x:v>
      </x:c>
      <x:c r="B161" s="4" t="str">
        <x:v>Jaw cutting insert preparation</x:v>
      </x:c>
      <x:c r="C161" s="4" t="str">
        <x:v>Material refinement</x:v>
      </x:c>
      <x:c r="D161" s="4" t="str">
        <x:v>Proposal</x:v>
      </x:c>
      <x:c r="E161" s="4" t="str">
        <x:v>Partial proposal</x:v>
      </x:c>
      <x:c r="F161" s="4" t="str">
        <x:v>Fit a shaped hard-part blank as a retained cutting insert. Candidate route only: quantities, yield, tools, fit, process conditions and service compatibility remain open. Jaw species, sharpness, seating and wear require design.</x:v>
      </x:c>
      <x:c r="G161" s="4" t="str">
        <x:v>Husk-sheet cutting shears, Hand-cranked metal drill and Ceramic abrasive disc as applicable; compatible contained biological preparation and low-yield material handling required.</x:v>
      </x:c>
      <x:c r="H161" s="4" t="str">
        <x:f>IF(I161=0,"Unassigned",IF(SUMIFS('Material routes'!$Q$6:$Q$2205,'Material routes'!$B$6:$B$2205,A161)&gt;0,"Unassigned","T"&amp;_xlfn.MAXIFS('Material routes'!$P$6:$P$2205,'Material routes'!$B$6:$B$2205,A161)))</x:f>
        <x:v>T1</x:v>
      </x:c>
      <x:c r="I161" s="4" t="n">
        <x:f>SUM(COUNTIFS('Material routes'!$B$6:$B$2205,A161,'Material routes'!$C$6:$C$2205,"Ingredient candidate"),COUNTIFS('Material routes'!$B$6:$B$2205,A161,'Material routes'!$C$6:$C$2205,"Consumed input"),COUNTIFS('Material routes'!$B$6:$B$2205,A161,'Material routes'!$C$6:$C$2205,"Contained input"),COUNTIFS('Material routes'!$B$6:$B$2205,A161,'Material routes'!$C$6:$C$2205,"Transform input"))</x:f>
        <x:v>2</x:v>
      </x:c>
      <x:c r="J161" s="4" t="n">
        <x:f>COUNTIFS('Material routes'!$B$6:$B$2205,A161,'Material routes'!$C$6:$C$2205,"Output")</x:f>
        <x:v>1</x:v>
      </x:c>
      <x:c r="K161" s="4" t="n">
        <x:f>COUNTIFS('Material routes'!$B$6:$B$2205,A161,'Material routes'!$C$6:$C$2205,"Tool candidate")</x:f>
        <x:v>0</x:v>
      </x:c>
      <x:c r="L161" s="4" t="str">
        <x:v>New October 15 tier-review proposal; user-authorized item audit and Docs/WORLD_BASIS.md. No source-canon or implemented-recipe claim.</x:v>
      </x:c>
      <x:c r="M161" s="4" t="str">
        <x:v>Candidate route only: quantities, yield, tools, fit, process conditions and service compatibility remain open. Jaw species, sharpness, seating and wear require design.</x:v>
      </x:c>
    </x:row>
    <x:row r="162" ht="115" customHeight="1">
      <x:c r="A162" s="4" t="str">
        <x:v>design.review.proposal_bio_electrode</x:v>
      </x:c>
      <x:c r="B162" s="4" t="str">
        <x:v>Dry organ electrode scaffold preparation</x:v>
      </x:c>
      <x:c r="C162" s="4" t="str">
        <x:v>Material refinement</x:v>
      </x:c>
      <x:c r="D162" s="4" t="str">
        <x:v>Proposal</x:v>
      </x:c>
      <x:c r="E162" s="4" t="str">
        <x:v>Partial proposal</x:v>
      </x:c>
      <x:c r="F162" s="4" t="str">
        <x:v>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G162" s="4" t="str">
        <x:v>Husk-sheet cutting shears, Hand-cranked metal drill and Ceramic abrasive disc as applicable; compatible contained biological preparation and low-yield material handling required.</x:v>
      </x:c>
      <x:c r="H162" s="4" t="str">
        <x:f>IF(I162=0,"Unassigned",IF(SUMIFS('Material routes'!$Q$6:$Q$2205,'Material routes'!$B$6:$B$2205,A162)&gt;0,"Unassigned","T"&amp;_xlfn.MAXIFS('Material routes'!$P$6:$P$2205,'Material routes'!$B$6:$B$2205,A162)))</x:f>
        <x:v>T0</x:v>
      </x:c>
      <x:c r="I162" s="4" t="n">
        <x:f>SUM(COUNTIFS('Material routes'!$B$6:$B$2205,A162,'Material routes'!$C$6:$C$2205,"Ingredient candidate"),COUNTIFS('Material routes'!$B$6:$B$2205,A162,'Material routes'!$C$6:$C$2205,"Consumed input"),COUNTIFS('Material routes'!$B$6:$B$2205,A162,'Material routes'!$C$6:$C$2205,"Contained input"),COUNTIFS('Material routes'!$B$6:$B$2205,A162,'Material routes'!$C$6:$C$2205,"Transform input"))</x:f>
        <x:v>1</x:v>
      </x:c>
      <x:c r="J162" s="4" t="n">
        <x:f>COUNTIFS('Material routes'!$B$6:$B$2205,A162,'Material routes'!$C$6:$C$2205,"Output")</x:f>
        <x:v>1</x:v>
      </x:c>
      <x:c r="K162" s="4" t="n">
        <x:f>COUNTIFS('Material routes'!$B$6:$B$2205,A162,'Material routes'!$C$6:$C$2205,"Tool candidate")</x:f>
        <x:v>0</x:v>
      </x:c>
      <x:c r="L162" s="4" t="str">
        <x:v>New October 15 tier-review proposal; user-authorized item audit and Docs/WORLD_BASIS.md. No source-canon or implemented-recipe claim.</x:v>
      </x:c>
      <x:c r="M162" s="4" t="str">
        <x:v>Candidate route only: quantities, yield, tools, fit, process conditions and service compatibility remain open. Biological functionality after drying is hypothetical; no battery or electrical performance follows from this tier.</x:v>
      </x:c>
    </x:row>
    <x:row r="163" ht="115" customHeight="1">
      <x:c r="A163" s="4" t="str">
        <x:v>design.review.proposal_natural_charcoal</x:v>
      </x:c>
      <x:c r="B163" s="4" t="str">
        <x:v>Charcoal preparation</x:v>
      </x:c>
      <x:c r="C163" s="4" t="str">
        <x:v>Material refinement</x:v>
      </x:c>
      <x:c r="D163" s="4" t="str">
        <x:v>Proposal</x:v>
      </x:c>
      <x:c r="E163" s="4" t="str">
        <x:v>Partial proposal</x:v>
      </x:c>
      <x:c r="F163" s="4" t="str">
        <x:v>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G163" s="4" t="str">
        <x:v>Forge hearth, Anvil, Forging hammer, Smithing tongs, Metalworking file and Hand-cranked metal drill as applicable. Existing workshop bootstrap and controlled heating/cooling required; no free-water quench assumed.</x:v>
      </x:c>
      <x:c r="H163" s="4" t="str">
        <x:f>IF(I163=0,"Unassigned",IF(SUMIFS('Material routes'!$Q$6:$Q$2205,'Material routes'!$B$6:$B$2205,A163)&gt;0,"Unassigned","T"&amp;_xlfn.MAXIFS('Material routes'!$P$6:$P$2205,'Material routes'!$B$6:$B$2205,A163)))</x:f>
        <x:v>T0</x:v>
      </x:c>
      <x:c r="I163" s="4" t="n">
        <x:f>SUM(COUNTIFS('Material routes'!$B$6:$B$2205,A163,'Material routes'!$C$6:$C$2205,"Ingredient candidate"),COUNTIFS('Material routes'!$B$6:$B$2205,A163,'Material routes'!$C$6:$C$2205,"Consumed input"),COUNTIFS('Material routes'!$B$6:$B$2205,A163,'Material routes'!$C$6:$C$2205,"Contained input"),COUNTIFS('Material routes'!$B$6:$B$2205,A163,'Material routes'!$C$6:$C$2205,"Transform input"))</x:f>
        <x:v>1</x:v>
      </x:c>
      <x:c r="J163" s="4" t="n">
        <x:f>COUNTIFS('Material routes'!$B$6:$B$2205,A163,'Material routes'!$C$6:$C$2205,"Output")</x:f>
        <x:v>1</x:v>
      </x:c>
      <x:c r="K163" s="4" t="n">
        <x:f>COUNTIFS('Material routes'!$B$6:$B$2205,A163,'Material routes'!$C$6:$C$2205,"Tool candidate")</x:f>
        <x:v>0</x:v>
      </x:c>
      <x:c r="L163" s="4" t="str">
        <x:v>New October 15 tier-review proposal; user-authorized item audit and Docs/WORLD_BASIS.md. No source-canon or implemented-recipe claim.</x:v>
      </x:c>
      <x:c r="M163" s="4" t="str">
        <x:v>Candidate route only: quantities, yield, tools, fit, process conditions and service compatibility remain open. No wood or ordinary combustion is assumed. Generic charcoal family and specific chitin-char record remain separate existing labels.</x:v>
      </x:c>
    </x:row>
    <x:row r="164" ht="115" customHeight="1">
      <x:c r="A164" s="4" t="str">
        <x:v>design.review.proposal_fire_chitin_char</x:v>
      </x:c>
      <x:c r="B164" s="4" t="str">
        <x:v>Chitin-char preparation</x:v>
      </x:c>
      <x:c r="C164" s="4" t="str">
        <x:v>Material refinement</x:v>
      </x:c>
      <x:c r="D164" s="4" t="str">
        <x:v>Proposal</x:v>
      </x:c>
      <x:c r="E164" s="4" t="str">
        <x:v>Partial proposal</x:v>
      </x:c>
      <x:c r="F164" s="4" t="str">
        <x:v>First controlled thermal conversion of selected chitin-bearing husk feed. Candidate route only: quantities, yield, tools, fit, process conditions and service compatibility remain open. Thermal process, atmosphere, fuel properties and yield remain unqualified.</x:v>
      </x:c>
      <x:c r="G164" s="4" t="str">
        <x:v>Forge hearth, Anvil, Forging hammer, Smithing tongs, Metalworking file and Hand-cranked metal drill as applicable. Existing workshop bootstrap and controlled heating/cooling required; no free-water quench assumed.</x:v>
      </x:c>
      <x:c r="H164" s="4" t="str">
        <x:f>IF(I164=0,"Unassigned",IF(SUMIFS('Material routes'!$Q$6:$Q$2205,'Material routes'!$B$6:$B$2205,A164)&gt;0,"Unassigned","T"&amp;_xlfn.MAXIFS('Material routes'!$P$6:$P$2205,'Material routes'!$B$6:$B$2205,A164)))</x:f>
        <x:v>T0</x:v>
      </x:c>
      <x:c r="I164" s="4" t="n">
        <x:f>SUM(COUNTIFS('Material routes'!$B$6:$B$2205,A164,'Material routes'!$C$6:$C$2205,"Ingredient candidate"),COUNTIFS('Material routes'!$B$6:$B$2205,A164,'Material routes'!$C$6:$C$2205,"Consumed input"),COUNTIFS('Material routes'!$B$6:$B$2205,A164,'Material routes'!$C$6:$C$2205,"Contained input"),COUNTIFS('Material routes'!$B$6:$B$2205,A164,'Material routes'!$C$6:$C$2205,"Transform input"))</x:f>
        <x:v>1</x:v>
      </x:c>
      <x:c r="J164" s="4" t="n">
        <x:f>COUNTIFS('Material routes'!$B$6:$B$2205,A164,'Material routes'!$C$6:$C$2205,"Output")</x:f>
        <x:v>1</x:v>
      </x:c>
      <x:c r="K164" s="4" t="n">
        <x:f>COUNTIFS('Material routes'!$B$6:$B$2205,A164,'Material routes'!$C$6:$C$2205,"Tool candidate")</x:f>
        <x:v>0</x:v>
      </x:c>
      <x:c r="L164" s="4" t="str">
        <x:v>New October 15 tier-review proposal; user-authorized item audit and Docs/WORLD_BASIS.md. No source-canon or implemented-recipe claim.</x:v>
      </x:c>
      <x:c r="M164" s="4" t="str">
        <x:v>Candidate route only: quantities, yield, tools, fit, process conditions and service compatibility remain open. Thermal process, atmosphere, fuel properties and yield remain unqualified.</x:v>
      </x:c>
    </x:row>
    <x:row r="165" ht="115" customHeight="1">
      <x:c r="A165" s="4" t="str">
        <x:v>design.review.proposal_container_glass_stopper</x:v>
      </x:c>
      <x:c r="B165" s="4" t="str">
        <x:v>Matched glass stopper preparation</x:v>
      </x:c>
      <x:c r="C165" s="4" t="str">
        <x:v>Material refinement</x:v>
      </x:c>
      <x:c r="D165" s="4" t="inlineStr">
        <x:is>
          <x:t xml:space="preserve">Retired</x:t>
        </x:is>
      </x:c>
      <x:c r="E165" s="4" t="inlineStr">
        <x:is>
          <x:t xml:space="preserve">Withdrawn container proposal</x:t>
        </x:is>
      </x:c>
      <x:c r="F16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165" s="4" t="inlineStr">
        <x:is>
          <x:t xml:space="preserve">No dedicated station required for found salvage</x:t>
        </x:is>
      </x:c>
      <x:c r="H165" s="4" t="str">
        <x:f>IF(I165=0,"Unassigned",IF(SUMIFS('Material routes'!$Q$6:$Q$2205,'Material routes'!$B$6:$B$2205,A165)&gt;0,"Unassigned","T"&amp;_xlfn.MAXIFS('Material routes'!$P$6:$P$2205,'Material routes'!$B$6:$B$2205,A165)))</x:f>
        <x:v>T1</x:v>
      </x:c>
      <x:c r="I165" s="4" t="n">
        <x:f>SUM(COUNTIFS('Material routes'!$B$6:$B$2205,A165,'Material routes'!$C$6:$C$2205,"Ingredient candidate"),COUNTIFS('Material routes'!$B$6:$B$2205,A165,'Material routes'!$C$6:$C$2205,"Consumed input"),COUNTIFS('Material routes'!$B$6:$B$2205,A165,'Material routes'!$C$6:$C$2205,"Contained input"),COUNTIFS('Material routes'!$B$6:$B$2205,A165,'Material routes'!$C$6:$C$2205,"Transform input"))</x:f>
        <x:v>2</x:v>
      </x:c>
      <x:c r="J165" s="4" t="n">
        <x:f>COUNTIFS('Material routes'!$B$6:$B$2205,A165,'Material routes'!$C$6:$C$2205,"Output")</x:f>
        <x:v>1</x:v>
      </x:c>
      <x:c r="K165" s="4" t="n">
        <x:f>COUNTIFS('Material routes'!$B$6:$B$2205,A165,'Material routes'!$C$6:$C$2205,"Tool candidate")</x:f>
        <x:v>0</x:v>
      </x:c>
      <x:c r="L165" s="4" t="str">
        <x:v>New October 15 tier-review proposal; user-authorized item audit and Docs/WORLD_BASIS.md. No source-canon or implemented-recipe claim.</x:v>
      </x:c>
      <x:c r="M165" s="4" t="inlineStr">
        <x:is>
          <x:t xml:space="preserve">Possible salvage reuse remains undecided</x:t>
        </x:is>
      </x:c>
    </x:row>
    <x:row r="166" ht="115" customHeight="1">
      <x:c r="A166" s="4"/>
      <x:c r="B166" s="4"/>
      <x:c r="C166" s="4"/>
      <x:c r="D166" s="4"/>
      <x:c r="E166" s="4"/>
      <x:c r="F166" s="4"/>
      <x:c r="G166" s="4"/>
      <x:c r="H166" s="4"/>
      <x:c r="I166" s="4"/>
      <x:c r="J166" s="4"/>
      <x:c r="K166" s="4"/>
      <x:c r="L166" s="4"/>
      <x:c r="M166" s="4"/>
    </x:row>
    <x:row r="167" ht="115" customHeight="1">
      <x:c r="A167" s="4" t="str">
        <x:v>design.review.proposal_canister_body_blank</x:v>
      </x:c>
      <x:c r="B167" s="4" t="str">
        <x:v>Canister body blank preparation</x:v>
      </x:c>
      <x:c r="C167" s="4" t="str">
        <x:v>Material refinement</x:v>
      </x:c>
      <x:c r="D167" s="4" t="str">
        <x:v>Proposal</x:v>
      </x:c>
      <x:c r="E167" s="4" t="str">
        <x:v>Partial proposal</x:v>
      </x:c>
      <x:c r="F167" s="4" t="str">
        <x:v>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G167" s="4" t="str">
        <x:v>Forge hearth, Anvil, Forging hammer, Smithing tongs, Metalworking file and Hand-cranked metal drill as applicable. Existing workshop bootstrap and controlled heating/cooling required; no free-water quench assumed.</x:v>
      </x:c>
      <x:c r="H167" s="4" t="str">
        <x:f>IF(I167=0,"Unassigned",IF(SUMIFS('Material routes'!$Q$6:$Q$2205,'Material routes'!$B$6:$B$2205,A167)&gt;0,"Unassigned","T"&amp;_xlfn.MAXIFS('Material routes'!$P$6:$P$2205,'Material routes'!$B$6:$B$2205,A167)))</x:f>
        <x:v>T2</x:v>
      </x:c>
      <x:c r="I167" s="4" t="n">
        <x:f>SUM(COUNTIFS('Material routes'!$B$6:$B$2205,A167,'Material routes'!$C$6:$C$2205,"Ingredient candidate"),COUNTIFS('Material routes'!$B$6:$B$2205,A167,'Material routes'!$C$6:$C$2205,"Consumed input"),COUNTIFS('Material routes'!$B$6:$B$2205,A167,'Material routes'!$C$6:$C$2205,"Contained input"),COUNTIFS('Material routes'!$B$6:$B$2205,A167,'Material routes'!$C$6:$C$2205,"Transform input"))</x:f>
        <x:v>1</x:v>
      </x:c>
      <x:c r="J167" s="4" t="n">
        <x:f>COUNTIFS('Material routes'!$B$6:$B$2205,A167,'Material routes'!$C$6:$C$2205,"Output")</x:f>
        <x:v>1</x:v>
      </x:c>
      <x:c r="K167" s="4" t="n">
        <x:f>COUNTIFS('Material routes'!$B$6:$B$2205,A167,'Material routes'!$C$6:$C$2205,"Tool candidate")</x:f>
        <x:v>0</x:v>
      </x:c>
      <x:c r="L167" s="4" t="str">
        <x:v>New October 15 tier-review proposal; user-authorized item audit and Docs/WORLD_BASIS.md. No source-canon or implemented-recipe claim.</x:v>
      </x:c>
      <x:c r="M167" s="4" t="str">
        <x:v>Candidate route only: quantities, yield, tools, fit, process conditions and service compatibility remain open. One candidate material variant, not a claim about all source canisters. Pressure service and food-contact qualification remain unresolved.</x:v>
      </x:c>
    </x:row>
    <x:row r="168" ht="115" customHeight="1">
      <x:c r="A168" s="4" t="str">
        <x:v>design.review.proposal_canister_seal_ring</x:v>
      </x:c>
      <x:c r="B168" s="4" t="str">
        <x:v>Replacement seal ring preparation</x:v>
      </x:c>
      <x:c r="C168" s="4" t="str">
        <x:v>Material refinement</x:v>
      </x:c>
      <x:c r="D168" s="4" t="str">
        <x:v>Proposal</x:v>
      </x:c>
      <x:c r="E168" s="4" t="str">
        <x:v>Partial proposal</x:v>
      </x:c>
      <x:c r="F168" s="4" t="str">
        <x:v>Form a selected sealing compound into a fitted ring. Candidate route only: quantities, yield, tools, fit, process conditions and service compatibility remain open. Not proof of elastomer behavior or Phagia-contact safety.</x:v>
      </x:c>
      <x:c r="G168" s="4" t="str">
        <x:v>Forge hearth, Anvil, Forging hammer, Smithing tongs, Metalworking file and Hand-cranked metal drill as applicable. Existing workshop bootstrap and controlled heating/cooling required; no free-water quench assumed.</x:v>
      </x:c>
      <x:c r="H168" s="4" t="str">
        <x:f>IF(I168=0,"Unassigned",IF(SUMIFS('Material routes'!$Q$6:$Q$2205,'Material routes'!$B$6:$B$2205,A168)&gt;0,"Unassigned","T"&amp;_xlfn.MAXIFS('Material routes'!$P$6:$P$2205,'Material routes'!$B$6:$B$2205,A168)))</x:f>
        <x:v>T2</x:v>
      </x:c>
      <x:c r="I168" s="4" t="n">
        <x:f>SUM(COUNTIFS('Material routes'!$B$6:$B$2205,A168,'Material routes'!$C$6:$C$2205,"Ingredient candidate"),COUNTIFS('Material routes'!$B$6:$B$2205,A168,'Material routes'!$C$6:$C$2205,"Consumed input"),COUNTIFS('Material routes'!$B$6:$B$2205,A168,'Material routes'!$C$6:$C$2205,"Contained input"),COUNTIFS('Material routes'!$B$6:$B$2205,A168,'Material routes'!$C$6:$C$2205,"Transform input"))</x:f>
        <x:v>2</x:v>
      </x:c>
      <x:c r="J168" s="4" t="n">
        <x:f>COUNTIFS('Material routes'!$B$6:$B$2205,A168,'Material routes'!$C$6:$C$2205,"Output")</x:f>
        <x:v>1</x:v>
      </x:c>
      <x:c r="K168" s="4" t="n">
        <x:f>COUNTIFS('Material routes'!$B$6:$B$2205,A168,'Material routes'!$C$6:$C$2205,"Tool candidate")</x:f>
        <x:v>0</x:v>
      </x:c>
      <x:c r="L168" s="4" t="str">
        <x:v>New October 15 tier-review proposal; user-authorized item audit and Docs/WORLD_BASIS.md. No source-canon or implemented-recipe claim.</x:v>
      </x:c>
      <x:c r="M168" s="4" t="str">
        <x:v>Candidate route only: quantities, yield, tools, fit, process conditions and service compatibility remain open. Not proof of elastomer behavior or Phagia-contact safety.</x:v>
      </x:c>
    </x:row>
    <x:row r="169" ht="115" customHeight="1">
      <x:c r="A169" s="4" t="str">
        <x:v>design.review.proposal_canister_seal_seat</x:v>
      </x:c>
      <x:c r="B169" s="4" t="str">
        <x:v>Fitted seal seat preparation</x:v>
      </x:c>
      <x:c r="C169" s="4" t="str">
        <x:v>Material refinement</x:v>
      </x:c>
      <x:c r="D169" s="4" t="str">
        <x:v>Proposal</x:v>
      </x:c>
      <x:c r="E169" s="4" t="str">
        <x:v>Partial proposal</x:v>
      </x:c>
      <x:c r="F169" s="4" t="str">
        <x:v>Machine a selected metal seat as a matched vessel component. Candidate route only: quantities, yield, tools, fit, process conditions and service compatibility remain open. </x:v>
      </x:c>
      <x:c r="G169" s="4" t="str">
        <x:v>Forge hearth, Anvil, Forging hammer, Smithing tongs, Metalworking file and Hand-cranked metal drill as applicable. Existing workshop bootstrap and controlled heating/cooling required; no free-water quench assumed.</x:v>
      </x:c>
      <x:c r="H169" s="4" t="str">
        <x:f>IF(I169=0,"Unassigned",IF(SUMIFS('Material routes'!$Q$6:$Q$2205,'Material routes'!$B$6:$B$2205,A169)&gt;0,"Unassigned","T"&amp;_xlfn.MAXIFS('Material routes'!$P$6:$P$2205,'Material routes'!$B$6:$B$2205,A169)))</x:f>
        <x:v>T2</x:v>
      </x:c>
      <x:c r="I169" s="4" t="n">
        <x:f>SUM(COUNTIFS('Material routes'!$B$6:$B$2205,A169,'Material routes'!$C$6:$C$2205,"Ingredient candidate"),COUNTIFS('Material routes'!$B$6:$B$2205,A169,'Material routes'!$C$6:$C$2205,"Consumed input"),COUNTIFS('Material routes'!$B$6:$B$2205,A169,'Material routes'!$C$6:$C$2205,"Contained input"),COUNTIFS('Material routes'!$B$6:$B$2205,A169,'Material routes'!$C$6:$C$2205,"Transform input"))</x:f>
        <x:v>2</x:v>
      </x:c>
      <x:c r="J169" s="4" t="n">
        <x:f>COUNTIFS('Material routes'!$B$6:$B$2205,A169,'Material routes'!$C$6:$C$2205,"Output")</x:f>
        <x:v>1</x:v>
      </x:c>
      <x:c r="K169" s="4" t="n">
        <x:f>COUNTIFS('Material routes'!$B$6:$B$2205,A169,'Material routes'!$C$6:$C$2205,"Tool candidate")</x:f>
        <x:v>0</x:v>
      </x:c>
      <x:c r="L169" s="4" t="str">
        <x:v>New October 15 tier-review proposal; user-authorized item audit and Docs/WORLD_BASIS.md. No source-canon or implemented-recipe claim.</x:v>
      </x:c>
      <x:c r="M169" s="4" t="str">
        <x:v>Candidate route only: quantities, yield, tools, fit, process conditions and service compatibility remain open. </x:v>
      </x:c>
    </x:row>
    <x:row r="170" ht="115" customHeight="1">
      <x:c r="A170" s="4" t="str">
        <x:v>design.review.proposal_canister_feed_line</x:v>
      </x:c>
      <x:c r="B170" s="4" t="str">
        <x:v>Feed-line section preparation</x:v>
      </x:c>
      <x:c r="C170" s="4" t="str">
        <x:v>Material refinement</x:v>
      </x:c>
      <x:c r="D170" s="4" t="str">
        <x:v>Proposal</x:v>
      </x:c>
      <x:c r="E170" s="4" t="str">
        <x:v>Partial proposal</x:v>
      </x:c>
      <x:c r="F170" s="4" t="str">
        <x:v>Fit a T3 tube section and packed end interfaces for an identified canister service. Candidate route only: quantities, yield, tools, fit, process conditions and service compatibility remain open. </x:v>
      </x:c>
      <x:c r="G170" s="4" t="str">
        <x:v>Forge hearth, Anvil, Forging hammer, Smithing tongs, Metalworking file and Hand-cranked metal drill as applicable. Existing workshop bootstrap and controlled heating/cooling required; no free-water quench assumed.</x:v>
      </x:c>
      <x:c r="H170" s="4" t="str">
        <x:f>IF(I170=0,"Unassigned",IF(SUMIFS('Material routes'!$Q$6:$Q$2205,'Material routes'!$B$6:$B$2205,A170)&gt;0,"Unassigned","T"&amp;_xlfn.MAXIFS('Material routes'!$P$6:$P$2205,'Material routes'!$B$6:$B$2205,A170)))</x:f>
        <x:v>T3</x:v>
      </x:c>
      <x:c r="I170" s="4" t="n">
        <x:f>SUM(COUNTIFS('Material routes'!$B$6:$B$2205,A170,'Material routes'!$C$6:$C$2205,"Ingredient candidate"),COUNTIFS('Material routes'!$B$6:$B$2205,A170,'Material routes'!$C$6:$C$2205,"Consumed input"),COUNTIFS('Material routes'!$B$6:$B$2205,A170,'Material routes'!$C$6:$C$2205,"Contained input"),COUNTIFS('Material routes'!$B$6:$B$2205,A170,'Material routes'!$C$6:$C$2205,"Transform input"))</x:f>
        <x:v>3</x:v>
      </x:c>
      <x:c r="J170" s="4" t="n">
        <x:f>COUNTIFS('Material routes'!$B$6:$B$2205,A170,'Material routes'!$C$6:$C$2205,"Output")</x:f>
        <x:v>1</x:v>
      </x:c>
      <x:c r="K170" s="4" t="n">
        <x:f>COUNTIFS('Material routes'!$B$6:$B$2205,A170,'Material routes'!$C$6:$C$2205,"Tool candidate")</x:f>
        <x:v>0</x:v>
      </x:c>
      <x:c r="L170" s="4" t="str">
        <x:v>New October 15 tier-review proposal; user-authorized item audit and Docs/WORLD_BASIS.md. No source-canon or implemented-recipe claim.</x:v>
      </x:c>
      <x:c r="M170" s="4" t="str">
        <x:v>Candidate route only: quantities, yield, tools, fit, process conditions and service compatibility remain open.  Lore-coherence pass adds selected fastener/fitting candidates. These remain partial; no quantity or universal fit is assigned.</x:v>
      </x:c>
    </x:row>
    <x:row r="171" ht="115" customHeight="1">
      <x:c r="A171" s="4" t="str">
        <x:v>design.review.proposal_canister_coupling</x:v>
      </x:c>
      <x:c r="B171" s="4" t="str">
        <x:v>Feed-line coupling preparation</x:v>
      </x:c>
      <x:c r="C171" s="4" t="str">
        <x:v>Material refinement</x:v>
      </x:c>
      <x:c r="D171" s="4" t="str">
        <x:v>Proposal</x:v>
      </x:c>
      <x:c r="E171" s="4" t="str">
        <x:v>Partial proposal</x:v>
      </x:c>
      <x:c r="F171" s="4" t="str">
        <x:v>Make a matched coupling from precision tube, packing and bearing-grade metal feed. Candidate route only: quantities, yield, tools, fit, process conditions and service compatibility remain open. </x:v>
      </x:c>
      <x:c r="G171" s="4" t="str">
        <x:v>Forge hearth, Anvil, Forging hammer, Smithing tongs, Metalworking file and Hand-cranked metal drill as applicable. Existing workshop bootstrap and controlled heating/cooling required; no free-water quench assumed.</x:v>
      </x:c>
      <x:c r="H171" s="4" t="str">
        <x:f>IF(I171=0,"Unassigned",IF(SUMIFS('Material routes'!$Q$6:$Q$2205,'Material routes'!$B$6:$B$2205,A171)&gt;0,"Unassigned","T"&amp;_xlfn.MAXIFS('Material routes'!$P$6:$P$2205,'Material routes'!$B$6:$B$2205,A171)))</x:f>
        <x:v>T3</x:v>
      </x:c>
      <x:c r="I171" s="4" t="n">
        <x:f>SUM(COUNTIFS('Material routes'!$B$6:$B$2205,A171,'Material routes'!$C$6:$C$2205,"Ingredient candidate"),COUNTIFS('Material routes'!$B$6:$B$2205,A171,'Material routes'!$C$6:$C$2205,"Consumed input"),COUNTIFS('Material routes'!$B$6:$B$2205,A171,'Material routes'!$C$6:$C$2205,"Contained input"),COUNTIFS('Material routes'!$B$6:$B$2205,A171,'Material routes'!$C$6:$C$2205,"Transform input"))</x:f>
        <x:v>4</x:v>
      </x:c>
      <x:c r="J171" s="4" t="n">
        <x:f>COUNTIFS('Material routes'!$B$6:$B$2205,A171,'Material routes'!$C$6:$C$2205,"Output")</x:f>
        <x:v>1</x:v>
      </x:c>
      <x:c r="K171" s="4" t="n">
        <x:f>COUNTIFS('Material routes'!$B$6:$B$2205,A171,'Material routes'!$C$6:$C$2205,"Tool candidate")</x:f>
        <x:v>0</x:v>
      </x:c>
      <x:c r="L171" s="4" t="str">
        <x:v>New October 15 tier-review proposal; user-authorized item audit and Docs/WORLD_BASIS.md. No source-canon or implemented-recipe claim.</x:v>
      </x:c>
      <x:c r="M171" s="4" t="str">
        <x:v>Candidate route only: quantities, yield, tools, fit, process conditions and service compatibility remain open.  Lore-coherence pass adds selected fastener/fitting candidates. These remain partial; no quantity or universal fit is assigned.</x:v>
      </x:c>
    </x:row>
    <x:row r="172" ht="115" customHeight="1">
      <x:c r="A172" s="4" t="str">
        <x:v>design.review.proposal_canister_mouthpiece</x:v>
      </x:c>
      <x:c r="B172" s="4" t="str">
        <x:v>Canister mouthpiece interface preparation</x:v>
      </x:c>
      <x:c r="C172" s="4" t="str">
        <x:v>Material refinement</x:v>
      </x:c>
      <x:c r="D172" s="4" t="str">
        <x:v>Proposal</x:v>
      </x:c>
      <x:c r="E172" s="4" t="str">
        <x:v>Partial proposal</x:v>
      </x:c>
      <x:c r="F172" s="4" t="str">
        <x:v>Fit a ceramic interface and selected seal stock. Candidate route only: quantities, yield, tools, fit, process conditions and service compatibility remain open. Human/Phagia contact and cleanability require separate approval; no industrial faunal chemical is assumed safe.</x:v>
      </x:c>
      <x:c r="G172" s="4" t="str">
        <x:v>Forge hearth, Anvil, Forging hammer, Smithing tongs, Metalworking file and Hand-cranked metal drill as applicable. Existing workshop bootstrap and controlled heating/cooling required; no free-water quench assumed.</x:v>
      </x:c>
      <x:c r="H172" s="4" t="str">
        <x:f>IF(I172=0,"Unassigned",IF(SUMIFS('Material routes'!$Q$6:$Q$2205,'Material routes'!$B$6:$B$2205,A172)&gt;0,"Unassigned","T"&amp;_xlfn.MAXIFS('Material routes'!$P$6:$P$2205,'Material routes'!$B$6:$B$2205,A172)))</x:f>
        <x:v>T2</x:v>
      </x:c>
      <x:c r="I172" s="4" t="n">
        <x:f>SUM(COUNTIFS('Material routes'!$B$6:$B$2205,A172,'Material routes'!$C$6:$C$2205,"Ingredient candidate"),COUNTIFS('Material routes'!$B$6:$B$2205,A172,'Material routes'!$C$6:$C$2205,"Consumed input"),COUNTIFS('Material routes'!$B$6:$B$2205,A172,'Material routes'!$C$6:$C$2205,"Contained input"),COUNTIFS('Material routes'!$B$6:$B$2205,A172,'Material routes'!$C$6:$C$2205,"Transform input"))</x:f>
        <x:v>2</x:v>
      </x:c>
      <x:c r="J172" s="4" t="n">
        <x:f>COUNTIFS('Material routes'!$B$6:$B$2205,A172,'Material routes'!$C$6:$C$2205,"Output")</x:f>
        <x:v>1</x:v>
      </x:c>
      <x:c r="K172" s="4" t="n">
        <x:f>COUNTIFS('Material routes'!$B$6:$B$2205,A172,'Material routes'!$C$6:$C$2205,"Tool candidate")</x:f>
        <x:v>0</x:v>
      </x:c>
      <x:c r="L172" s="4" t="str">
        <x:v>New October 15 tier-review proposal; user-authorized item audit and Docs/WORLD_BASIS.md. No source-canon or implemented-recipe claim.</x:v>
      </x:c>
      <x:c r="M172" s="4" t="str">
        <x:v>Candidate route only: quantities, yield, tools, fit, process conditions and service compatibility remain open. Human/Phagia contact and cleanability require separate approval; no industrial faunal chemical is assumed safe.</x:v>
      </x:c>
    </x:row>
    <x:row r="173" ht="115" customHeight="1">
      <x:c r="A173" s="4" t="str">
        <x:v>design.review.proposal_canister_window</x:v>
      </x:c>
      <x:c r="B173" s="4" t="str">
        <x:v>Canister viewing-port insert preparation</x:v>
      </x:c>
      <x:c r="C173" s="4" t="str">
        <x:v>Material refinement</x:v>
      </x:c>
      <x:c r="D173" s="4" t="str">
        <x:v>Proposal</x:v>
      </x:c>
      <x:c r="E173" s="4" t="str">
        <x:v>Partial proposal</x:v>
      </x:c>
      <x:c r="F173" s="4" t="str">
        <x:v>Finish and fit selected viewing-glass stock as a port insert. Candidate route only: quantities, yield, tools, fit, process conditions and service compatibility remain open. </x:v>
      </x:c>
      <x:c r="G173" s="4" t="str">
        <x:v>Controlled-heating firing kiln or specialist glass hot-work station; Ceramic firing tray / Ceramic casting mold as applicable. Qualified power, heat and atmosphere required.</x:v>
      </x:c>
      <x:c r="H173" s="4" t="str">
        <x:f>IF(I173=0,"Unassigned",IF(SUMIFS('Material routes'!$Q$6:$Q$2205,'Material routes'!$B$6:$B$2205,A173)&gt;0,"Unassigned","T"&amp;_xlfn.MAXIFS('Material routes'!$P$6:$P$2205,'Material routes'!$B$6:$B$2205,A173)))</x:f>
        <x:v>T2</x:v>
      </x:c>
      <x:c r="I173" s="4" t="n">
        <x:f>SUM(COUNTIFS('Material routes'!$B$6:$B$2205,A173,'Material routes'!$C$6:$C$2205,"Ingredient candidate"),COUNTIFS('Material routes'!$B$6:$B$2205,A173,'Material routes'!$C$6:$C$2205,"Consumed input"),COUNTIFS('Material routes'!$B$6:$B$2205,A173,'Material routes'!$C$6:$C$2205,"Contained input"),COUNTIFS('Material routes'!$B$6:$B$2205,A173,'Material routes'!$C$6:$C$2205,"Transform input"))</x:f>
        <x:v>2</x:v>
      </x:c>
      <x:c r="J173" s="4" t="n">
        <x:f>COUNTIFS('Material routes'!$B$6:$B$2205,A173,'Material routes'!$C$6:$C$2205,"Output")</x:f>
        <x:v>1</x:v>
      </x:c>
      <x:c r="K173" s="4" t="n">
        <x:f>COUNTIFS('Material routes'!$B$6:$B$2205,A173,'Material routes'!$C$6:$C$2205,"Tool candidate")</x:f>
        <x:v>0</x:v>
      </x:c>
      <x:c r="L173" s="4" t="str">
        <x:v>New October 15 tier-review proposal; user-authorized item audit and Docs/WORLD_BASIS.md. No source-canon or implemented-recipe claim.</x:v>
      </x:c>
      <x:c r="M173" s="4" t="str">
        <x:v>Candidate route only: quantities, yield, tools, fit, process conditions and service compatibility remain open. </x:v>
      </x:c>
    </x:row>
    <x:row r="174" ht="115" customHeight="1">
      <x:c r="A174" s="4" t="str">
        <x:v>design.review.proposal_canister_mount</x:v>
      </x:c>
      <x:c r="B174" s="4" t="str">
        <x:v>Canister mounting bracket preparation</x:v>
      </x:c>
      <x:c r="C174" s="4" t="str">
        <x:v>Material refinement</x:v>
      </x:c>
      <x:c r="D174" s="4" t="str">
        <x:v>Proposal</x:v>
      </x:c>
      <x:c r="E174" s="4" t="str">
        <x:v>Partial proposal</x:v>
      </x:c>
      <x:c r="F174" s="4" t="str">
        <x:v>Shape and fit a mounting bracket from prepared steel. Candidate route only: quantities, yield, tools, fit, process conditions and service compatibility remain open. </x:v>
      </x:c>
      <x:c r="G174" s="4" t="str">
        <x:v>Forge hearth, Anvil, Forging hammer, Smithing tongs, Metalworking file and Hand-cranked metal drill as applicable. Existing workshop bootstrap and controlled heating/cooling required; no free-water quench assumed.</x:v>
      </x:c>
      <x:c r="H174" s="4" t="str">
        <x:f>IF(I174=0,"Unassigned",IF(SUMIFS('Material routes'!$Q$6:$Q$2205,'Material routes'!$B$6:$B$2205,A174)&gt;0,"Unassigned","T"&amp;_xlfn.MAXIFS('Material routes'!$P$6:$P$2205,'Material routes'!$B$6:$B$2205,A174)))</x:f>
        <x:v>T2</x:v>
      </x:c>
      <x:c r="I174" s="4" t="n">
        <x:f>SUM(COUNTIFS('Material routes'!$B$6:$B$2205,A174,'Material routes'!$C$6:$C$2205,"Ingredient candidate"),COUNTIFS('Material routes'!$B$6:$B$2205,A174,'Material routes'!$C$6:$C$2205,"Consumed input"),COUNTIFS('Material routes'!$B$6:$B$2205,A174,'Material routes'!$C$6:$C$2205,"Contained input"),COUNTIFS('Material routes'!$B$6:$B$2205,A174,'Material routes'!$C$6:$C$2205,"Transform input"))</x:f>
        <x:v>2</x:v>
      </x:c>
      <x:c r="J174" s="4" t="n">
        <x:f>COUNTIFS('Material routes'!$B$6:$B$2205,A174,'Material routes'!$C$6:$C$2205,"Output")</x:f>
        <x:v>1</x:v>
      </x:c>
      <x:c r="K174" s="4" t="n">
        <x:f>COUNTIFS('Material routes'!$B$6:$B$2205,A174,'Material routes'!$C$6:$C$2205,"Tool candidate")</x:f>
        <x:v>0</x:v>
      </x:c>
      <x:c r="L174" s="4" t="str">
        <x:v>New October 15 tier-review proposal; user-authorized item audit and Docs/WORLD_BASIS.md. No source-canon or implemented-recipe claim.</x:v>
      </x:c>
      <x:c r="M174" s="4" t="str">
        <x:v>Candidate route only: quantities, yield, tools, fit, process conditions and service compatibility remain open.  Lore-coherence pass adds selected fastener/fitting candidates. These remain partial; no quantity or universal fit is assigned.</x:v>
      </x:c>
    </x:row>
    <x:row r="175" ht="115" customHeight="1">
      <x:c r="A175" s="4" t="str">
        <x:v>design.review.proposal_canister_maker_plate</x:v>
      </x:c>
      <x:c r="B175" s="4" t="str">
        <x:v>Canister maker plate preparation</x:v>
      </x:c>
      <x:c r="C175" s="4" t="str">
        <x:v>Material refinement</x:v>
      </x:c>
      <x:c r="D175" s="4" t="str">
        <x:v>Proposal</x:v>
      </x:c>
      <x:c r="E175" s="4" t="str">
        <x:v>Partial proposal</x:v>
      </x:c>
      <x:c r="F175" s="4" t="str">
        <x:v>Form and mark a plate from first reclaimed bronze stock. Candidate route only: quantities, yield, tools, fit, process conditions and service compatibility remain open. Specific issuer marks, provenance guarantees and legal standards remain undefined.</x:v>
      </x:c>
      <x:c r="G175" s="4" t="str">
        <x:v>Forge hearth, Anvil, Forging hammer, Smithing tongs, Metalworking file and Hand-cranked metal drill as applicable. Existing workshop bootstrap and controlled heating/cooling required; no free-water quench assumed.</x:v>
      </x:c>
      <x:c r="H175" s="4" t="str">
        <x:f>IF(I175=0,"Unassigned",IF(SUMIFS('Material routes'!$Q$6:$Q$2205,'Material routes'!$B$6:$B$2205,A175)&gt;0,"Unassigned","T"&amp;_xlfn.MAXIFS('Material routes'!$P$6:$P$2205,'Material routes'!$B$6:$B$2205,A175)))</x:f>
        <x:v>T1</x:v>
      </x:c>
      <x:c r="I175" s="4" t="n">
        <x:f>SUM(COUNTIFS('Material routes'!$B$6:$B$2205,A175,'Material routes'!$C$6:$C$2205,"Ingredient candidate"),COUNTIFS('Material routes'!$B$6:$B$2205,A175,'Material routes'!$C$6:$C$2205,"Consumed input"),COUNTIFS('Material routes'!$B$6:$B$2205,A175,'Material routes'!$C$6:$C$2205,"Contained input"),COUNTIFS('Material routes'!$B$6:$B$2205,A175,'Material routes'!$C$6:$C$2205,"Transform input"))</x:f>
        <x:v>2</x:v>
      </x:c>
      <x:c r="J175" s="4" t="n">
        <x:f>COUNTIFS('Material routes'!$B$6:$B$2205,A175,'Material routes'!$C$6:$C$2205,"Output")</x:f>
        <x:v>1</x:v>
      </x:c>
      <x:c r="K175" s="4" t="n">
        <x:f>COUNTIFS('Material routes'!$B$6:$B$2205,A175,'Material routes'!$C$6:$C$2205,"Tool candidate")</x:f>
        <x:v>0</x:v>
      </x:c>
      <x:c r="L175" s="4" t="str">
        <x:v>New October 15 tier-review proposal; user-authorized item audit and Docs/WORLD_BASIS.md. No source-canon or implemented-recipe claim.</x:v>
      </x:c>
      <x:c r="M175" s="4" t="str">
        <x:v>Candidate route only: quantities, yield, tools, fit, process conditions and service compatibility remain open. Specific issuer marks, provenance guarantees and legal standards remain undefined.</x:v>
      </x:c>
    </x:row>
    <x:row r="176" ht="115" customHeight="1">
      <x:c r="A176" s="4" t="str">
        <x:v>design.review.proposal_canister_trim</x:v>
      </x:c>
      <x:c r="B176" s="4" t="str">
        <x:v>Decorative canister panel preparation</x:v>
      </x:c>
      <x:c r="C176" s="4" t="str">
        <x:v>Material refinement</x:v>
      </x:c>
      <x:c r="D176" s="4" t="str">
        <x:v>Proposal</x:v>
      </x:c>
      <x:c r="E176" s="4" t="str">
        <x:v>Partial proposal</x:v>
      </x:c>
      <x:c r="F176" s="4" t="str">
        <x:v>Prepare a fitted decorative metal/inlay panel from T2 finish stocks. Candidate route only: quantities, yield, tools, fit, process conditions and service compatibility remain open. </x:v>
      </x:c>
      <x:c r="G176" s="4" t="str">
        <x:v>Forge hearth, Anvil, Forging hammer, Smithing tongs, Metalworking file and Hand-cranked metal drill as applicable. Existing workshop bootstrap and controlled heating/cooling required; no free-water quench assumed.</x:v>
      </x:c>
      <x:c r="H176" s="4" t="str">
        <x:f>IF(I176=0,"Unassigned",IF(SUMIFS('Material routes'!$Q$6:$Q$2205,'Material routes'!$B$6:$B$2205,A176)&gt;0,"Unassigned","T"&amp;_xlfn.MAXIFS('Material routes'!$P$6:$P$2205,'Material routes'!$B$6:$B$2205,A176)))</x:f>
        <x:v>T2</x:v>
      </x:c>
      <x:c r="I176" s="4" t="n">
        <x:f>SUM(COUNTIFS('Material routes'!$B$6:$B$2205,A176,'Material routes'!$C$6:$C$2205,"Ingredient candidate"),COUNTIFS('Material routes'!$B$6:$B$2205,A176,'Material routes'!$C$6:$C$2205,"Consumed input"),COUNTIFS('Material routes'!$B$6:$B$2205,A176,'Material routes'!$C$6:$C$2205,"Contained input"),COUNTIFS('Material routes'!$B$6:$B$2205,A176,'Material routes'!$C$6:$C$2205,"Transform input"))</x:f>
        <x:v>3</x:v>
      </x:c>
      <x:c r="J176" s="4" t="n">
        <x:f>COUNTIFS('Material routes'!$B$6:$B$2205,A176,'Material routes'!$C$6:$C$2205,"Output")</x:f>
        <x:v>1</x:v>
      </x:c>
      <x:c r="K176" s="4" t="n">
        <x:f>COUNTIFS('Material routes'!$B$6:$B$2205,A176,'Material routes'!$C$6:$C$2205,"Tool candidate")</x:f>
        <x:v>0</x:v>
      </x:c>
      <x:c r="L176" s="4" t="str">
        <x:v>New October 15 tier-review proposal; user-authorized item audit and Docs/WORLD_BASIS.md. No source-canon or implemented-recipe claim.</x:v>
      </x:c>
      <x:c r="M176" s="4" t="str">
        <x:v>Candidate route only: quantities, yield, tools, fit, process conditions and service compatibility remain open. </x:v>
      </x:c>
    </x:row>
    <x:row r="177" ht="115" customHeight="1">
      <x:c r="A177" s="4" t="str">
        <x:v>design.review.proposal_canister_endcap</x:v>
      </x:c>
      <x:c r="B177" s="4" t="str">
        <x:v>Canister protective endcap preparation</x:v>
      </x:c>
      <x:c r="C177" s="4" t="str">
        <x:v>Material refinement</x:v>
      </x:c>
      <x:c r="D177" s="4" t="str">
        <x:v>Proposal</x:v>
      </x:c>
      <x:c r="E177" s="4" t="str">
        <x:v>Partial proposal</x:v>
      </x:c>
      <x:c r="F177" s="4" t="str">
        <x:v>Form and fit a supported protective cap from prepared shell and metal stocks. Candidate route only: quantities, yield, tools, fit, process conditions and service compatibility remain open. </x:v>
      </x:c>
      <x:c r="G177" s="4" t="str">
        <x:v>Forge hearth, Anvil, Forging hammer, Smithing tongs, Metalworking file and Hand-cranked metal drill as applicable. Existing workshop bootstrap and controlled heating/cooling required; no free-water quench assumed.</x:v>
      </x:c>
      <x:c r="H177" s="4" t="str">
        <x:f>IF(I177=0,"Unassigned",IF(SUMIFS('Material routes'!$Q$6:$Q$2205,'Material routes'!$B$6:$B$2205,A177)&gt;0,"Unassigned","T"&amp;_xlfn.MAXIFS('Material routes'!$P$6:$P$2205,'Material routes'!$B$6:$B$2205,A177)))</x:f>
        <x:v>T2</x:v>
      </x:c>
      <x:c r="I177" s="4" t="n">
        <x:f>SUM(COUNTIFS('Material routes'!$B$6:$B$2205,A177,'Material routes'!$C$6:$C$2205,"Ingredient candidate"),COUNTIFS('Material routes'!$B$6:$B$2205,A177,'Material routes'!$C$6:$C$2205,"Consumed input"),COUNTIFS('Material routes'!$B$6:$B$2205,A177,'Material routes'!$C$6:$C$2205,"Contained input"),COUNTIFS('Material routes'!$B$6:$B$2205,A177,'Material routes'!$C$6:$C$2205,"Transform input"))</x:f>
        <x:v>3</x:v>
      </x:c>
      <x:c r="J177" s="4" t="n">
        <x:f>COUNTIFS('Material routes'!$B$6:$B$2205,A177,'Material routes'!$C$6:$C$2205,"Output")</x:f>
        <x:v>1</x:v>
      </x:c>
      <x:c r="K177" s="4" t="n">
        <x:f>COUNTIFS('Material routes'!$B$6:$B$2205,A177,'Material routes'!$C$6:$C$2205,"Tool candidate")</x:f>
        <x:v>0</x:v>
      </x:c>
      <x:c r="L177" s="4" t="str">
        <x:v>New October 15 tier-review proposal; user-authorized item audit and Docs/WORLD_BASIS.md. No source-canon or implemented-recipe claim.</x:v>
      </x:c>
      <x:c r="M177" s="4" t="str">
        <x:v>Candidate route only: quantities, yield, tools, fit, process conditions and service compatibility remain open. </x:v>
      </x:c>
    </x:row>
    <x:row r="178" ht="115" customHeight="1">
      <x:c r="A178" s="4" t="str">
        <x:v>design.review.proposal_ceramic_unfired_blank</x:v>
      </x:c>
      <x:c r="B178" s="4" t="str">
        <x:v>Unfired shaped ceramic blank preparation</x:v>
      </x:c>
      <x:c r="C178" s="4" t="str">
        <x:v>Material refinement</x:v>
      </x:c>
      <x:c r="D178" s="4" t="str">
        <x:v>Proposal</x:v>
      </x:c>
      <x:c r="E178" s="4" t="str">
        <x:v>Partial proposal</x:v>
      </x:c>
      <x:c r="F178" s="4" t="str">
        <x:v>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G178" s="4" t="str">
        <x:v>Controlled-heating firing kiln or specialist glass hot-work station; Ceramic firing tray / Ceramic casting mold as applicable. Qualified power, heat and atmosphere required.</x:v>
      </x:c>
      <x:c r="H178" s="4" t="str">
        <x:f>IF(I178=0,"Unassigned",IF(SUMIFS('Material routes'!$Q$6:$Q$2205,'Material routes'!$B$6:$B$2205,A178)&gt;0,"Unassigned","T"&amp;_xlfn.MAXIFS('Material routes'!$P$6:$P$2205,'Material routes'!$B$6:$B$2205,A178)))</x:f>
        <x:v>T1</x:v>
      </x:c>
      <x:c r="I178" s="4" t="n">
        <x:f>SUM(COUNTIFS('Material routes'!$B$6:$B$2205,A178,'Material routes'!$C$6:$C$2205,"Ingredient candidate"),COUNTIFS('Material routes'!$B$6:$B$2205,A178,'Material routes'!$C$6:$C$2205,"Consumed input"),COUNTIFS('Material routes'!$B$6:$B$2205,A178,'Material routes'!$C$6:$C$2205,"Contained input"),COUNTIFS('Material routes'!$B$6:$B$2205,A178,'Material routes'!$C$6:$C$2205,"Transform input"))</x:f>
        <x:v>2</x:v>
      </x:c>
      <x:c r="J178" s="4" t="n">
        <x:f>COUNTIFS('Material routes'!$B$6:$B$2205,A178,'Material routes'!$C$6:$C$2205,"Output")</x:f>
        <x:v>1</x:v>
      </x:c>
      <x:c r="K178" s="4" t="n">
        <x:f>COUNTIFS('Material routes'!$B$6:$B$2205,A178,'Material routes'!$C$6:$C$2205,"Tool candidate")</x:f>
        <x:v>0</x:v>
      </x:c>
      <x:c r="L178" s="4" t="str">
        <x:v>New October 15 tier-review proposal; user-authorized item audit and Docs/WORLD_BASIS.md. No source-canon or implemented-recipe claim.</x:v>
      </x:c>
      <x:c r="M178" s="4" t="str">
        <x:v>Candidate route only: quantities, yield, tools, fit, process conditions and service compatibility remain open. The carrier is a hypothetical compatible working medium; no free-water forming process or food safety is established.</x:v>
      </x:c>
    </x:row>
    <x:row r="179" ht="115" customHeight="1">
      <x:c r="A179" s="4" t="str">
        <x:v>design.review.proposal_ceramic_refractory_brick</x:v>
      </x:c>
      <x:c r="B179" s="4" t="str">
        <x:v>Refractory ceramic brick preparation</x:v>
      </x:c>
      <x:c r="C179" s="4" t="str">
        <x:v>Material refinement</x:v>
      </x:c>
      <x:c r="D179" s="4" t="str">
        <x:v>Proposal</x:v>
      </x:c>
      <x:c r="E179" s="4" t="str">
        <x:v>Partial proposal</x:v>
      </x:c>
      <x:c r="F179" s="4" t="str">
        <x:v>Shape and fit an identified T2 refractory grade as a thermal-service component. Candidate route only: quantities, yield, tools, fit, process conditions and service compatibility remain open. Binder, firing, installation and thermal-shock limits remain open.</x:v>
      </x:c>
      <x:c r="G179" s="4" t="str">
        <x:v>Controlled-heating firing kiln or specialist glass hot-work station; Ceramic firing tray / Ceramic casting mold as applicable. Qualified power, heat and atmosphere required.</x:v>
      </x:c>
      <x:c r="H179" s="4" t="str">
        <x:f>IF(I179=0,"Unassigned",IF(SUMIFS('Material routes'!$Q$6:$Q$2205,'Material routes'!$B$6:$B$2205,A179)&gt;0,"Unassigned","T"&amp;_xlfn.MAXIFS('Material routes'!$P$6:$P$2205,'Material routes'!$B$6:$B$2205,A179)))</x:f>
        <x:v>T2</x:v>
      </x:c>
      <x:c r="I179" s="4" t="n">
        <x:f>SUM(COUNTIFS('Material routes'!$B$6:$B$2205,A179,'Material routes'!$C$6:$C$2205,"Ingredient candidate"),COUNTIFS('Material routes'!$B$6:$B$2205,A179,'Material routes'!$C$6:$C$2205,"Consumed input"),COUNTIFS('Material routes'!$B$6:$B$2205,A179,'Material routes'!$C$6:$C$2205,"Contained input"),COUNTIFS('Material routes'!$B$6:$B$2205,A179,'Material routes'!$C$6:$C$2205,"Transform input"))</x:f>
        <x:v>2</x:v>
      </x:c>
      <x:c r="J179" s="4" t="n">
        <x:f>COUNTIFS('Material routes'!$B$6:$B$2205,A179,'Material routes'!$C$6:$C$2205,"Output")</x:f>
        <x:v>1</x:v>
      </x:c>
      <x:c r="K179" s="4" t="n">
        <x:f>COUNTIFS('Material routes'!$B$6:$B$2205,A179,'Material routes'!$C$6:$C$2205,"Tool candidate")</x:f>
        <x:v>0</x:v>
      </x:c>
      <x:c r="L179" s="4" t="str">
        <x:v>New October 15 tier-review proposal; user-authorized item audit and Docs/WORLD_BASIS.md. No source-canon or implemented-recipe claim.</x:v>
      </x:c>
      <x:c r="M179" s="4" t="str">
        <x:v>Candidate route only: quantities, yield, tools, fit, process conditions and service compatibility remain open. Binder, firing, installation and thermal-shock limits remain open.</x:v>
      </x:c>
    </x:row>
    <x:row r="180" ht="115" customHeight="1">
      <x:c r="A180" s="4" t="str">
        <x:v>design.review.proposal_ceramic_kiln_liner</x:v>
      </x:c>
      <x:c r="B180" s="4" t="str">
        <x:v>Ceramic kiln lining panel preparation</x:v>
      </x:c>
      <x:c r="C180" s="4" t="str">
        <x:v>Material refinement</x:v>
      </x:c>
      <x:c r="D180" s="4" t="str">
        <x:v>Proposal</x:v>
      </x:c>
      <x:c r="E180" s="4" t="str">
        <x:v>Partial proposal</x:v>
      </x:c>
      <x:c r="F180" s="4" t="str">
        <x:v>Shape and fit an identified T2 refractory grade as a thermal-service component. Candidate route only: quantities, yield, tools, fit, process conditions and service compatibility remain open. Binder, firing, installation and thermal-shock limits remain open.</x:v>
      </x:c>
      <x:c r="G180" s="4" t="str">
        <x:v>Controlled-heating firing kiln or specialist glass hot-work station; Ceramic firing tray / Ceramic casting mold as applicable. Qualified power, heat and atmosphere required.</x:v>
      </x:c>
      <x:c r="H180" s="4" t="str">
        <x:f>IF(I180=0,"Unassigned",IF(SUMIFS('Material routes'!$Q$6:$Q$2205,'Material routes'!$B$6:$B$2205,A180)&gt;0,"Unassigned","T"&amp;_xlfn.MAXIFS('Material routes'!$P$6:$P$2205,'Material routes'!$B$6:$B$2205,A180)))</x:f>
        <x:v>T2</x:v>
      </x:c>
      <x:c r="I180" s="4" t="n">
        <x:f>SUM(COUNTIFS('Material routes'!$B$6:$B$2205,A180,'Material routes'!$C$6:$C$2205,"Ingredient candidate"),COUNTIFS('Material routes'!$B$6:$B$2205,A180,'Material routes'!$C$6:$C$2205,"Consumed input"),COUNTIFS('Material routes'!$B$6:$B$2205,A180,'Material routes'!$C$6:$C$2205,"Contained input"),COUNTIFS('Material routes'!$B$6:$B$2205,A180,'Material routes'!$C$6:$C$2205,"Transform input"))</x:f>
        <x:v>2</x:v>
      </x:c>
      <x:c r="J180" s="4" t="n">
        <x:f>COUNTIFS('Material routes'!$B$6:$B$2205,A180,'Material routes'!$C$6:$C$2205,"Output")</x:f>
        <x:v>1</x:v>
      </x:c>
      <x:c r="K180" s="4" t="n">
        <x:f>COUNTIFS('Material routes'!$B$6:$B$2205,A180,'Material routes'!$C$6:$C$2205,"Tool candidate")</x:f>
        <x:v>0</x:v>
      </x:c>
      <x:c r="L180" s="4" t="str">
        <x:v>New October 15 tier-review proposal; user-authorized item audit and Docs/WORLD_BASIS.md. No source-canon or implemented-recipe claim.</x:v>
      </x:c>
      <x:c r="M180" s="4" t="str">
        <x:v>Candidate route only: quantities, yield, tools, fit, process conditions and service compatibility remain open. Binder, firing, installation and thermal-shock limits remain open.</x:v>
      </x:c>
    </x:row>
    <x:row r="181" ht="115" customHeight="1">
      <x:c r="A181" s="4" t="str">
        <x:v>design.review.proposal_ceramic_bead</x:v>
      </x:c>
      <x:c r="B181" s="4" t="str">
        <x:v>Ceramic insulating bead preparation</x:v>
      </x:c>
      <x:c r="C181" s="4" t="str">
        <x:v>Material refinement</x:v>
      </x:c>
      <x:c r="D181" s="4" t="str">
        <x:v>Proposal</x:v>
      </x:c>
      <x:c r="E181" s="4" t="str">
        <x:v>Partial proposal</x:v>
      </x:c>
      <x:c r="F181"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1" s="4" t="str">
        <x:v>Controlled-heating firing kiln or specialist glass hot-work station; Ceramic firing tray / Ceramic casting mold as applicable. Qualified power, heat and atmosphere required.</x:v>
      </x:c>
      <x:c r="H181" s="4" t="str">
        <x:f>IF(I181=0,"Unassigned",IF(SUMIFS('Material routes'!$Q$6:$Q$2205,'Material routes'!$B$6:$B$2205,A181)&gt;0,"Unassigned","T"&amp;_xlfn.MAXIFS('Material routes'!$P$6:$P$2205,'Material routes'!$B$6:$B$2205,A181)))</x:f>
        <x:v>T2</x:v>
      </x:c>
      <x:c r="I181" s="4" t="n">
        <x:f>SUM(COUNTIFS('Material routes'!$B$6:$B$2205,A181,'Material routes'!$C$6:$C$2205,"Ingredient candidate"),COUNTIFS('Material routes'!$B$6:$B$2205,A181,'Material routes'!$C$6:$C$2205,"Consumed input"),COUNTIFS('Material routes'!$B$6:$B$2205,A181,'Material routes'!$C$6:$C$2205,"Contained input"),COUNTIFS('Material routes'!$B$6:$B$2205,A181,'Material routes'!$C$6:$C$2205,"Transform input"))</x:f>
        <x:v>2</x:v>
      </x:c>
      <x:c r="J181" s="4" t="n">
        <x:f>COUNTIFS('Material routes'!$B$6:$B$2205,A181,'Material routes'!$C$6:$C$2205,"Output")</x:f>
        <x:v>1</x:v>
      </x:c>
      <x:c r="K181" s="4" t="n">
        <x:f>COUNTIFS('Material routes'!$B$6:$B$2205,A181,'Material routes'!$C$6:$C$2205,"Tool candidate")</x:f>
        <x:v>0</x:v>
      </x:c>
      <x:c r="L181" s="4" t="str">
        <x:v>New October 15 tier-review proposal; user-authorized item audit and Docs/WORLD_BASIS.md. No source-canon or implemented-recipe claim.</x:v>
      </x:c>
      <x:c r="M18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2" ht="115" customHeight="1">
      <x:c r="A182" s="4" t="str">
        <x:v>design.review.proposal_ceramic_spacer</x:v>
      </x:c>
      <x:c r="B182" s="4" t="str">
        <x:v>Ceramic insulating spacer preparation</x:v>
      </x:c>
      <x:c r="C182" s="4" t="str">
        <x:v>Material refinement</x:v>
      </x:c>
      <x:c r="D182" s="4" t="str">
        <x:v>Proposal</x:v>
      </x:c>
      <x:c r="E182" s="4" t="str">
        <x:v>Partial proposal</x:v>
      </x:c>
      <x:c r="F182"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2" s="4" t="str">
        <x:v>Controlled-heating firing kiln or specialist glass hot-work station; Ceramic firing tray / Ceramic casting mold as applicable. Qualified power, heat and atmosphere required.</x:v>
      </x:c>
      <x:c r="H182" s="4" t="str">
        <x:f>IF(I182=0,"Unassigned",IF(SUMIFS('Material routes'!$Q$6:$Q$2205,'Material routes'!$B$6:$B$2205,A182)&gt;0,"Unassigned","T"&amp;_xlfn.MAXIFS('Material routes'!$P$6:$P$2205,'Material routes'!$B$6:$B$2205,A182)))</x:f>
        <x:v>T2</x:v>
      </x:c>
      <x:c r="I182" s="4" t="n">
        <x:f>SUM(COUNTIFS('Material routes'!$B$6:$B$2205,A182,'Material routes'!$C$6:$C$2205,"Ingredient candidate"),COUNTIFS('Material routes'!$B$6:$B$2205,A182,'Material routes'!$C$6:$C$2205,"Consumed input"),COUNTIFS('Material routes'!$B$6:$B$2205,A182,'Material routes'!$C$6:$C$2205,"Contained input"),COUNTIFS('Material routes'!$B$6:$B$2205,A182,'Material routes'!$C$6:$C$2205,"Transform input"))</x:f>
        <x:v>2</x:v>
      </x:c>
      <x:c r="J182" s="4" t="n">
        <x:f>COUNTIFS('Material routes'!$B$6:$B$2205,A182,'Material routes'!$C$6:$C$2205,"Output")</x:f>
        <x:v>1</x:v>
      </x:c>
      <x:c r="K182" s="4" t="n">
        <x:f>COUNTIFS('Material routes'!$B$6:$B$2205,A182,'Material routes'!$C$6:$C$2205,"Tool candidate")</x:f>
        <x:v>0</x:v>
      </x:c>
      <x:c r="L182" s="4" t="str">
        <x:v>New October 15 tier-review proposal; user-authorized item audit and Docs/WORLD_BASIS.md. No source-canon or implemented-recipe claim.</x:v>
      </x:c>
      <x:c r="M18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3" ht="115" customHeight="1">
      <x:c r="A183" s="4" t="str">
        <x:v>design.review.proposal_ceramic_stopper</x:v>
      </x:c>
      <x:c r="B183" s="4" t="str">
        <x:v>Fitted ceramic stopper preparation</x:v>
      </x:c>
      <x:c r="C183" s="4" t="str">
        <x:v>Material refinement</x:v>
      </x:c>
      <x:c r="D183" s="4" t="str">
        <x:v>Proposal</x:v>
      </x:c>
      <x:c r="E183" s="4" t="str">
        <x:v>Partial proposal</x:v>
      </x:c>
      <x:c r="F183"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3" s="4" t="str">
        <x:v>Controlled-heating firing kiln or specialist glass hot-work station; Ceramic firing tray / Ceramic casting mold as applicable. Qualified power, heat and atmosphere required.</x:v>
      </x:c>
      <x:c r="H183" s="4" t="str">
        <x:f>IF(I183=0,"Unassigned",IF(SUMIFS('Material routes'!$Q$6:$Q$2205,'Material routes'!$B$6:$B$2205,A183)&gt;0,"Unassigned","T"&amp;_xlfn.MAXIFS('Material routes'!$P$6:$P$2205,'Material routes'!$B$6:$B$2205,A183)))</x:f>
        <x:v>T2</x:v>
      </x:c>
      <x:c r="I183" s="4" t="n">
        <x:f>SUM(COUNTIFS('Material routes'!$B$6:$B$2205,A183,'Material routes'!$C$6:$C$2205,"Ingredient candidate"),COUNTIFS('Material routes'!$B$6:$B$2205,A183,'Material routes'!$C$6:$C$2205,"Consumed input"),COUNTIFS('Material routes'!$B$6:$B$2205,A183,'Material routes'!$C$6:$C$2205,"Contained input"),COUNTIFS('Material routes'!$B$6:$B$2205,A183,'Material routes'!$C$6:$C$2205,"Transform input"))</x:f>
        <x:v>2</x:v>
      </x:c>
      <x:c r="J183" s="4" t="n">
        <x:f>COUNTIFS('Material routes'!$B$6:$B$2205,A183,'Material routes'!$C$6:$C$2205,"Output")</x:f>
        <x:v>1</x:v>
      </x:c>
      <x:c r="K183" s="4" t="n">
        <x:f>COUNTIFS('Material routes'!$B$6:$B$2205,A183,'Material routes'!$C$6:$C$2205,"Tool candidate")</x:f>
        <x:v>0</x:v>
      </x:c>
      <x:c r="L183" s="4" t="str">
        <x:v>New October 15 tier-review proposal; user-authorized item audit and Docs/WORLD_BASIS.md. No source-canon or implemented-recipe claim.</x:v>
      </x:c>
      <x:c r="M18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4" ht="115" customHeight="1">
      <x:c r="A184" s="4" t="str">
        <x:v>design.review.proposal_ceramic_lid</x:v>
      </x:c>
      <x:c r="B184" s="4" t="str">
        <x:v>Ceramic vessel lid preparation</x:v>
      </x:c>
      <x:c r="C184" s="4" t="str">
        <x:v>Material refinement</x:v>
      </x:c>
      <x:c r="D184" s="4" t="str">
        <x:v>Proposal</x:v>
      </x:c>
      <x:c r="E184" s="4" t="str">
        <x:v>Partial proposal</x:v>
      </x:c>
      <x:c r="F184"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4" s="4" t="str">
        <x:v>Controlled-heating firing kiln or specialist glass hot-work station; Ceramic firing tray / Ceramic casting mold as applicable. Qualified power, heat and atmosphere required.</x:v>
      </x:c>
      <x:c r="H184" s="4" t="str">
        <x:f>IF(I184=0,"Unassigned",IF(SUMIFS('Material routes'!$Q$6:$Q$2205,'Material routes'!$B$6:$B$2205,A184)&gt;0,"Unassigned","T"&amp;_xlfn.MAXIFS('Material routes'!$P$6:$P$2205,'Material routes'!$B$6:$B$2205,A184)))</x:f>
        <x:v>T2</x:v>
      </x:c>
      <x:c r="I184" s="4" t="n">
        <x:f>SUM(COUNTIFS('Material routes'!$B$6:$B$2205,A184,'Material routes'!$C$6:$C$2205,"Ingredient candidate"),COUNTIFS('Material routes'!$B$6:$B$2205,A184,'Material routes'!$C$6:$C$2205,"Consumed input"),COUNTIFS('Material routes'!$B$6:$B$2205,A184,'Material routes'!$C$6:$C$2205,"Contained input"),COUNTIFS('Material routes'!$B$6:$B$2205,A184,'Material routes'!$C$6:$C$2205,"Transform input"))</x:f>
        <x:v>2</x:v>
      </x:c>
      <x:c r="J184" s="4" t="n">
        <x:f>COUNTIFS('Material routes'!$B$6:$B$2205,A184,'Material routes'!$C$6:$C$2205,"Output")</x:f>
        <x:v>1</x:v>
      </x:c>
      <x:c r="K184" s="4" t="n">
        <x:f>COUNTIFS('Material routes'!$B$6:$B$2205,A184,'Material routes'!$C$6:$C$2205,"Tool candidate")</x:f>
        <x:v>0</x:v>
      </x:c>
      <x:c r="L184" s="4" t="str">
        <x:v>New October 15 tier-review proposal; user-authorized item audit and Docs/WORLD_BASIS.md. No source-canon or implemented-recipe claim.</x:v>
      </x:c>
      <x:c r="M18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5" ht="115" customHeight="1">
      <x:c r="A185" s="4" t="str">
        <x:v>design.review.proposal_ceramic_pour_spout</x:v>
      </x:c>
      <x:c r="B185" s="4" t="str">
        <x:v>Ceramic pouring spout preparation</x:v>
      </x:c>
      <x:c r="C185" s="4" t="str">
        <x:v>Material refinement</x:v>
      </x:c>
      <x:c r="D185" s="4" t="str">
        <x:v>Proposal</x:v>
      </x:c>
      <x:c r="E185" s="4" t="str">
        <x:v>Partial proposal</x:v>
      </x:c>
      <x:c r="F185"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5" s="4" t="str">
        <x:v>Controlled-heating firing kiln or specialist glass hot-work station; Ceramic firing tray / Ceramic casting mold as applicable. Qualified power, heat and atmosphere required.</x:v>
      </x:c>
      <x:c r="H185" s="4" t="str">
        <x:f>IF(I185=0,"Unassigned",IF(SUMIFS('Material routes'!$Q$6:$Q$2205,'Material routes'!$B$6:$B$2205,A185)&gt;0,"Unassigned","T"&amp;_xlfn.MAXIFS('Material routes'!$P$6:$P$2205,'Material routes'!$B$6:$B$2205,A185)))</x:f>
        <x:v>T2</x:v>
      </x:c>
      <x:c r="I185" s="4" t="n">
        <x:f>SUM(COUNTIFS('Material routes'!$B$6:$B$2205,A185,'Material routes'!$C$6:$C$2205,"Ingredient candidate"),COUNTIFS('Material routes'!$B$6:$B$2205,A185,'Material routes'!$C$6:$C$2205,"Consumed input"),COUNTIFS('Material routes'!$B$6:$B$2205,A185,'Material routes'!$C$6:$C$2205,"Contained input"),COUNTIFS('Material routes'!$B$6:$B$2205,A185,'Material routes'!$C$6:$C$2205,"Transform input"))</x:f>
        <x:v>2</x:v>
      </x:c>
      <x:c r="J185" s="4" t="n">
        <x:f>COUNTIFS('Material routes'!$B$6:$B$2205,A185,'Material routes'!$C$6:$C$2205,"Output")</x:f>
        <x:v>1</x:v>
      </x:c>
      <x:c r="K185" s="4" t="n">
        <x:f>COUNTIFS('Material routes'!$B$6:$B$2205,A185,'Material routes'!$C$6:$C$2205,"Tool candidate")</x:f>
        <x:v>0</x:v>
      </x:c>
      <x:c r="L185" s="4" t="str">
        <x:v>New October 15 tier-review proposal; user-authorized item audit and Docs/WORLD_BASIS.md. No source-canon or implemented-recipe claim.</x:v>
      </x:c>
      <x:c r="M18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6" ht="115" customHeight="1">
      <x:c r="A186" s="4" t="str">
        <x:v>design.review.proposal_ceramic_conduit</x:v>
      </x:c>
      <x:c r="B186" s="4" t="str">
        <x:v>Ceramic conduit section preparation</x:v>
      </x:c>
      <x:c r="C186" s="4" t="str">
        <x:v>Material refinement</x:v>
      </x:c>
      <x:c r="D186" s="4" t="str">
        <x:v>Proposal</x:v>
      </x:c>
      <x:c r="E186" s="4" t="str">
        <x:v>Partial proposal</x:v>
      </x:c>
      <x:c r="F186"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6" s="4" t="str">
        <x:v>Controlled-heating firing kiln or specialist glass hot-work station; Ceramic firing tray / Ceramic casting mold as applicable. Qualified power, heat and atmosphere required.</x:v>
      </x:c>
      <x:c r="H186" s="4" t="str">
        <x:f>IF(I186=0,"Unassigned",IF(SUMIFS('Material routes'!$Q$6:$Q$2205,'Material routes'!$B$6:$B$2205,A186)&gt;0,"Unassigned","T"&amp;_xlfn.MAXIFS('Material routes'!$P$6:$P$2205,'Material routes'!$B$6:$B$2205,A186)))</x:f>
        <x:v>T2</x:v>
      </x:c>
      <x:c r="I186" s="4" t="n">
        <x:f>SUM(COUNTIFS('Material routes'!$B$6:$B$2205,A186,'Material routes'!$C$6:$C$2205,"Ingredient candidate"),COUNTIFS('Material routes'!$B$6:$B$2205,A186,'Material routes'!$C$6:$C$2205,"Consumed input"),COUNTIFS('Material routes'!$B$6:$B$2205,A186,'Material routes'!$C$6:$C$2205,"Contained input"),COUNTIFS('Material routes'!$B$6:$B$2205,A186,'Material routes'!$C$6:$C$2205,"Transform input"))</x:f>
        <x:v>2</x:v>
      </x:c>
      <x:c r="J186" s="4" t="n">
        <x:f>COUNTIFS('Material routes'!$B$6:$B$2205,A186,'Material routes'!$C$6:$C$2205,"Output")</x:f>
        <x:v>1</x:v>
      </x:c>
      <x:c r="K186" s="4" t="n">
        <x:f>COUNTIFS('Material routes'!$B$6:$B$2205,A186,'Material routes'!$C$6:$C$2205,"Tool candidate")</x:f>
        <x:v>0</x:v>
      </x:c>
      <x:c r="L186" s="4" t="str">
        <x:v>New October 15 tier-review proposal; user-authorized item audit and Docs/WORLD_BASIS.md. No source-canon or implemented-recipe claim.</x:v>
      </x:c>
      <x:c r="M18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7" ht="115" customHeight="1">
      <x:c r="A187" s="4" t="str">
        <x:v>design.review.proposal_ceramic_fastener</x:v>
      </x:c>
      <x:c r="B187" s="4" t="str">
        <x:v>Ceramic toggle fastener preparation</x:v>
      </x:c>
      <x:c r="C187" s="4" t="str">
        <x:v>Material refinement</x:v>
      </x:c>
      <x:c r="D187" s="4" t="str">
        <x:v>Proposal</x:v>
      </x:c>
      <x:c r="E187" s="4" t="str">
        <x:v>Partial proposal</x:v>
      </x:c>
      <x:c r="F187"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7" s="4" t="str">
        <x:v>Controlled-heating firing kiln or specialist glass hot-work station; Ceramic firing tray / Ceramic casting mold as applicable. Qualified power, heat and atmosphere required.</x:v>
      </x:c>
      <x:c r="H187" s="4" t="str">
        <x:f>IF(I187=0,"Unassigned",IF(SUMIFS('Material routes'!$Q$6:$Q$2205,'Material routes'!$B$6:$B$2205,A187)&gt;0,"Unassigned","T"&amp;_xlfn.MAXIFS('Material routes'!$P$6:$P$2205,'Material routes'!$B$6:$B$2205,A187)))</x:f>
        <x:v>T2</x:v>
      </x:c>
      <x:c r="I187" s="4" t="n">
        <x:f>SUM(COUNTIFS('Material routes'!$B$6:$B$2205,A187,'Material routes'!$C$6:$C$2205,"Ingredient candidate"),COUNTIFS('Material routes'!$B$6:$B$2205,A187,'Material routes'!$C$6:$C$2205,"Consumed input"),COUNTIFS('Material routes'!$B$6:$B$2205,A187,'Material routes'!$C$6:$C$2205,"Contained input"),COUNTIFS('Material routes'!$B$6:$B$2205,A187,'Material routes'!$C$6:$C$2205,"Transform input"))</x:f>
        <x:v>2</x:v>
      </x:c>
      <x:c r="J187" s="4" t="n">
        <x:f>COUNTIFS('Material routes'!$B$6:$B$2205,A187,'Material routes'!$C$6:$C$2205,"Output")</x:f>
        <x:v>1</x:v>
      </x:c>
      <x:c r="K187" s="4" t="n">
        <x:f>COUNTIFS('Material routes'!$B$6:$B$2205,A187,'Material routes'!$C$6:$C$2205,"Tool candidate")</x:f>
        <x:v>0</x:v>
      </x:c>
      <x:c r="L187" s="4" t="str">
        <x:v>New October 15 tier-review proposal; user-authorized item audit and Docs/WORLD_BASIS.md. No source-canon or implemented-recipe claim.</x:v>
      </x:c>
      <x:c r="M187"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8" ht="115" customHeight="1">
      <x:c r="A188" s="4" t="str">
        <x:v>design.review.proposal_ceramic_feedthrough</x:v>
      </x:c>
      <x:c r="B188" s="4" t="str">
        <x:v>Ceramic electrical feedthrough preparation</x:v>
      </x:c>
      <x:c r="C188" s="4" t="str">
        <x:v>Material refinement</x:v>
      </x:c>
      <x:c r="D188" s="4" t="str">
        <x:v>Proposal</x:v>
      </x:c>
      <x:c r="E188" s="4" t="str">
        <x:v>Partial proposal</x:v>
      </x:c>
      <x:c r="F188" s="4" t="str">
        <x:v>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G188" s="4" t="str">
        <x:v>Controlled-heating firing kiln or specialist glass hot-work station; Ceramic firing tray / Ceramic casting mold as applicable. Qualified power, heat and atmosphere required.</x:v>
      </x:c>
      <x:c r="H188" s="4" t="str">
        <x:f>IF(I188=0,"Unassigned",IF(SUMIFS('Material routes'!$Q$6:$Q$2205,'Material routes'!$B$6:$B$2205,A188)&gt;0,"Unassigned","T"&amp;_xlfn.MAXIFS('Material routes'!$P$6:$P$2205,'Material routes'!$B$6:$B$2205,A188)))</x:f>
        <x:v>T3</x:v>
      </x:c>
      <x:c r="I188" s="4" t="n">
        <x:f>SUM(COUNTIFS('Material routes'!$B$6:$B$2205,A188,'Material routes'!$C$6:$C$2205,"Ingredient candidate"),COUNTIFS('Material routes'!$B$6:$B$2205,A188,'Material routes'!$C$6:$C$2205,"Consumed input"),COUNTIFS('Material routes'!$B$6:$B$2205,A188,'Material routes'!$C$6:$C$2205,"Contained input"),COUNTIFS('Material routes'!$B$6:$B$2205,A188,'Material routes'!$C$6:$C$2205,"Transform input"))</x:f>
        <x:v>3</x:v>
      </x:c>
      <x:c r="J188" s="4" t="n">
        <x:f>COUNTIFS('Material routes'!$B$6:$B$2205,A188,'Material routes'!$C$6:$C$2205,"Output")</x:f>
        <x:v>1</x:v>
      </x:c>
      <x:c r="K188" s="4" t="n">
        <x:f>COUNTIFS('Material routes'!$B$6:$B$2205,A188,'Material routes'!$C$6:$C$2205,"Tool candidate")</x:f>
        <x:v>0</x:v>
      </x:c>
      <x:c r="L188" s="4" t="str">
        <x:v>New October 15 tier-review proposal; user-authorized item audit and Docs/WORLD_BASIS.md. No source-canon or implemented-recipe claim.</x:v>
      </x:c>
      <x:c r="M188" s="4" t="str">
        <x:v>Candidate route only: quantities, yield, tools, fit, process conditions and service compatibility remain open. Blank and installed interface remain distinct records; no voltage or pressure rating assigned.</x:v>
      </x:c>
    </x:row>
    <x:row r="189" ht="115" customHeight="1">
      <x:c r="A189" s="4"/>
      <x:c r="B189" s="4"/>
      <x:c r="C189" s="4"/>
      <x:c r="D189" s="4"/>
      <x:c r="E189" s="4"/>
      <x:c r="F189" s="4"/>
      <x:c r="G189" s="4"/>
      <x:c r="H189" s="4"/>
      <x:c r="I189" s="4"/>
      <x:c r="J189" s="4"/>
      <x:c r="K189" s="4"/>
      <x:c r="L189" s="4"/>
      <x:c r="M189" s="4"/>
    </x:row>
    <x:row r="190" ht="115" customHeight="1">
      <x:c r="A190" s="4"/>
      <x:c r="B190" s="4"/>
      <x:c r="C190" s="4"/>
      <x:c r="D190" s="4"/>
      <x:c r="E190" s="4"/>
      <x:c r="F190" s="4"/>
      <x:c r="G190" s="4"/>
      <x:c r="H190" s="4"/>
      <x:c r="I190" s="4"/>
      <x:c r="J190" s="4"/>
      <x:c r="K190" s="4"/>
      <x:c r="L190" s="4"/>
      <x:c r="M190" s="4"/>
    </x:row>
    <x:row r="191" ht="115" customHeight="1">
      <x:c r="A191" s="4"/>
      <x:c r="B191" s="4"/>
      <x:c r="C191" s="4"/>
      <x:c r="D191" s="4"/>
      <x:c r="E191" s="4"/>
      <x:c r="F191" s="4"/>
      <x:c r="G191" s="4"/>
      <x:c r="H191" s="4"/>
      <x:c r="I191" s="4"/>
      <x:c r="J191" s="4"/>
      <x:c r="K191" s="4"/>
      <x:c r="L191" s="4"/>
      <x:c r="M191" s="4"/>
    </x:row>
    <x:row r="192" ht="115" customHeight="1">
      <x:c r="A192" s="4" t="str">
        <x:v>design.review.proposal_lubricant_dust_film</x:v>
      </x:c>
      <x:c r="B192" s="4" t="str">
        <x:v>Dust-shedding lubricant film preparation</x:v>
      </x:c>
      <x:c r="C192" s="4" t="str">
        <x:v>Material refinement</x:v>
      </x:c>
      <x:c r="D192" s="4" t="str">
        <x:v>Proposal</x:v>
      </x:c>
      <x:c r="E192" s="4" t="str">
        <x:v>Partial proposal</x:v>
      </x:c>
      <x:c r="F192" s="4" t="str">
        <x:v>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G192" s="4" t="str">
        <x:v>Contained segregated vessels, Ceramic grinding mortar, Ceramic pestle and Glass transfer funnel. Process/carrier compatibility unresolved.</x:v>
      </x:c>
      <x:c r="H192" s="4" t="str">
        <x:f>IF(I192=0,"Unassigned",IF(SUMIFS('Material routes'!$Q$6:$Q$2205,'Material routes'!$B$6:$B$2205,A192)&gt;0,"Unassigned","T"&amp;_xlfn.MAXIFS('Material routes'!$P$6:$P$2205,'Material routes'!$B$6:$B$2205,A192)))</x:f>
        <x:v>T1</x:v>
      </x:c>
      <x:c r="I192" s="4" t="n">
        <x:f>SUM(COUNTIFS('Material routes'!$B$6:$B$2205,A192,'Material routes'!$C$6:$C$2205,"Ingredient candidate"),COUNTIFS('Material routes'!$B$6:$B$2205,A192,'Material routes'!$C$6:$C$2205,"Consumed input"),COUNTIFS('Material routes'!$B$6:$B$2205,A192,'Material routes'!$C$6:$C$2205,"Contained input"),COUNTIFS('Material routes'!$B$6:$B$2205,A192,'Material routes'!$C$6:$C$2205,"Transform input"))</x:f>
        <x:v>2</x:v>
      </x:c>
      <x:c r="J192" s="4" t="n">
        <x:f>COUNTIFS('Material routes'!$B$6:$B$2205,A192,'Material routes'!$C$6:$C$2205,"Output")</x:f>
        <x:v>1</x:v>
      </x:c>
      <x:c r="K192" s="4" t="n">
        <x:f>COUNTIFS('Material routes'!$B$6:$B$2205,A192,'Material routes'!$C$6:$C$2205,"Tool candidate")</x:f>
        <x:v>0</x:v>
      </x:c>
      <x:c r="L192" s="4" t="str">
        <x:v>New October 15 tier-review proposal; user-authorized item audit and Docs/WORLD_BASIS.md. No source-canon or implemented-recipe claim.</x:v>
      </x:c>
      <x:c r="M192" s="4" t="str">
        <x:v>Candidate route only: quantities, yield, tools, fit, process conditions and service compatibility remain open. Dust shedding is an intended function; grit capture, residue and service behavior require qualification.</x:v>
      </x:c>
    </x:row>
    <x:row r="193" ht="115" customHeight="1">
      <x:c r="A193" s="4" t="str">
        <x:v>design.review.proposal_lubricant_seal_paste</x:v>
      </x:c>
      <x:c r="B193" s="4" t="str">
        <x:v>Seal-conditioning paste preparation</x:v>
      </x:c>
      <x:c r="C193" s="4" t="str">
        <x:v>Material refinement</x:v>
      </x:c>
      <x:c r="D193" s="4" t="str">
        <x:v>Proposal</x:v>
      </x:c>
      <x:c r="E193" s="4" t="str">
        <x:v>Partial proposal</x:v>
      </x:c>
      <x:c r="F193" s="4" t="str">
        <x:v>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G193" s="4" t="str">
        <x:v>Contained segregated vessels, Ceramic grinding mortar, Ceramic pestle and Glass transfer funnel. Process/carrier compatibility unresolved.</x:v>
      </x:c>
      <x:c r="H193" s="4" t="str">
        <x:f>IF(I193=0,"Unassigned",IF(SUMIFS('Material routes'!$Q$6:$Q$2205,'Material routes'!$B$6:$B$2205,A193)&gt;0,"Unassigned","T"&amp;_xlfn.MAXIFS('Material routes'!$P$6:$P$2205,'Material routes'!$B$6:$B$2205,A193)))</x:f>
        <x:v>T1</x:v>
      </x:c>
      <x:c r="I193" s="4" t="n">
        <x:f>SUM(COUNTIFS('Material routes'!$B$6:$B$2205,A193,'Material routes'!$C$6:$C$2205,"Ingredient candidate"),COUNTIFS('Material routes'!$B$6:$B$2205,A193,'Material routes'!$C$6:$C$2205,"Consumed input"),COUNTIFS('Material routes'!$B$6:$B$2205,A193,'Material routes'!$C$6:$C$2205,"Contained input"),COUNTIFS('Material routes'!$B$6:$B$2205,A193,'Material routes'!$C$6:$C$2205,"Transform input"))</x:f>
        <x:v>2</x:v>
      </x:c>
      <x:c r="J193" s="4" t="n">
        <x:f>COUNTIFS('Material routes'!$B$6:$B$2205,A193,'Material routes'!$C$6:$C$2205,"Output")</x:f>
        <x:v>1</x:v>
      </x:c>
      <x:c r="K193" s="4" t="n">
        <x:f>COUNTIFS('Material routes'!$B$6:$B$2205,A193,'Material routes'!$C$6:$C$2205,"Tool candidate")</x:f>
        <x:v>0</x:v>
      </x:c>
      <x:c r="L193" s="4" t="str">
        <x:v>New October 15 tier-review proposal; user-authorized item audit and Docs/WORLD_BASIS.md. No source-canon or implemented-recipe claim.</x:v>
      </x:c>
      <x:c r="M193" s="4" t="str">
        <x:v>Candidate route only: quantities, yield, tools, fit, process conditions and service compatibility remain open. Mixing behavior and effects on a particular seal are hypothetical, not an approved canister service method.</x:v>
      </x:c>
    </x:row>
    <x:row r="194" ht="115" customHeight="1">
      <x:c r="A194" s="4" t="str">
        <x:v>design.review.proposal_lubricant_insulating_grease</x:v>
      </x:c>
      <x:c r="B194" s="4" t="str">
        <x:v>Electrically insulating grease preparation</x:v>
      </x:c>
      <x:c r="C194" s="4" t="str">
        <x:v>Material refinement</x:v>
      </x:c>
      <x:c r="D194" s="4" t="str">
        <x:v>Proposal</x:v>
      </x:c>
      <x:c r="E194" s="4" t="str">
        <x:v>Partial proposal</x:v>
      </x:c>
      <x:c r="F194" s="4" t="str">
        <x:v>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G194" s="4" t="str">
        <x:v>Contained segregated vessels, Ceramic grinding mortar, Ceramic pestle and Glass transfer funnel. Process/carrier compatibility unresolved.</x:v>
      </x:c>
      <x:c r="H194" s="4" t="str">
        <x:f>IF(I194=0,"Unassigned",IF(SUMIFS('Material routes'!$Q$6:$Q$2205,'Material routes'!$B$6:$B$2205,A194)&gt;0,"Unassigned","T"&amp;_xlfn.MAXIFS('Material routes'!$P$6:$P$2205,'Material routes'!$B$6:$B$2205,A194)))</x:f>
        <x:v>T1</x:v>
      </x:c>
      <x:c r="I194" s="4" t="n">
        <x:f>SUM(COUNTIFS('Material routes'!$B$6:$B$2205,A194,'Material routes'!$C$6:$C$2205,"Ingredient candidate"),COUNTIFS('Material routes'!$B$6:$B$2205,A194,'Material routes'!$C$6:$C$2205,"Consumed input"),COUNTIFS('Material routes'!$B$6:$B$2205,A194,'Material routes'!$C$6:$C$2205,"Contained input"),COUNTIFS('Material routes'!$B$6:$B$2205,A194,'Material routes'!$C$6:$C$2205,"Transform input"))</x:f>
        <x:v>3</x:v>
      </x:c>
      <x:c r="J194" s="4" t="n">
        <x:f>COUNTIFS('Material routes'!$B$6:$B$2205,A194,'Material routes'!$C$6:$C$2205,"Output")</x:f>
        <x:v>1</x:v>
      </x:c>
      <x:c r="K194" s="4" t="n">
        <x:f>COUNTIFS('Material routes'!$B$6:$B$2205,A194,'Material routes'!$C$6:$C$2205,"Tool candidate")</x:f>
        <x:v>0</x:v>
      </x:c>
      <x:c r="L194" s="4" t="str">
        <x:v>New October 15 tier-review proposal; user-authorized item audit and Docs/WORLD_BASIS.md. No source-canon or implemented-recipe claim.</x:v>
      </x:c>
      <x:c r="M194" s="4" t="str">
        <x:v>Candidate route only: quantities, yield, tools, fit, process conditions and service compatibility remain open. No dielectric rating; contamination, moisture assumptions and carrier compatibility remain unresolved.</x:v>
      </x:c>
    </x:row>
    <x:row r="195" ht="115" customHeight="1">
      <x:c r="A195" s="4" t="str">
        <x:v>design.review.proposal_wind_folding_frame</x:v>
      </x:c>
      <x:c r="B195" s="4" t="str">
        <x:v>Collapsible sail frame preparation</x:v>
      </x:c>
      <x:c r="C195" s="4" t="str">
        <x:v>Material refinement</x:v>
      </x:c>
      <x:c r="D195" s="4" t="str">
        <x:v>Proposal</x:v>
      </x:c>
      <x:c r="E195" s="4" t="str">
        <x:v>Partial proposal</x:v>
      </x:c>
      <x:c r="F195" s="4" t="str">
        <x:v>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G195" s="4" t="str">
        <x:v>Forge hearth, Anvil, Forging hammer, Smithing tongs, Metalworking file and Hand-cranked metal drill as applicable. Existing workshop bootstrap and controlled heating/cooling required; no free-water quench assumed.</x:v>
      </x:c>
      <x:c r="H195" s="4" t="str">
        <x:f>IF(I195=0,"Unassigned",IF(SUMIFS('Material routes'!$Q$6:$Q$2205,'Material routes'!$B$6:$B$2205,A195)&gt;0,"Unassigned","T"&amp;_xlfn.MAXIFS('Material routes'!$P$6:$P$2205,'Material routes'!$B$6:$B$2205,A195)))</x:f>
        <x:v>T3</x:v>
      </x:c>
      <x:c r="I195" s="4" t="n">
        <x:f>SUM(COUNTIFS('Material routes'!$B$6:$B$2205,A195,'Material routes'!$C$6:$C$2205,"Ingredient candidate"),COUNTIFS('Material routes'!$B$6:$B$2205,A195,'Material routes'!$C$6:$C$2205,"Consumed input"),COUNTIFS('Material routes'!$B$6:$B$2205,A195,'Material routes'!$C$6:$C$2205,"Contained input"),COUNTIFS('Material routes'!$B$6:$B$2205,A195,'Material routes'!$C$6:$C$2205,"Transform input"))</x:f>
        <x:v>3</x:v>
      </x:c>
      <x:c r="J195" s="4" t="n">
        <x:f>COUNTIFS('Material routes'!$B$6:$B$2205,A195,'Material routes'!$C$6:$C$2205,"Output")</x:f>
        <x:v>1</x:v>
      </x:c>
      <x:c r="K195" s="4" t="n">
        <x:f>COUNTIFS('Material routes'!$B$6:$B$2205,A195,'Material routes'!$C$6:$C$2205,"Tool candidate")</x:f>
        <x:v>0</x:v>
      </x:c>
      <x:c r="L195" s="4" t="str">
        <x:v>New October 15 tier-review proposal; user-authorized item audit and Docs/WORLD_BASIS.md. No source-canon or implemented-recipe claim.</x:v>
      </x:c>
      <x:c r="M195" s="4" t="str">
        <x:v>Candidate route only: quantities, yield, tools, fit, process conditions and service compatibility remain open. An alternative direct-from-stock route; it does not consume a T4 spar-joint kit and create T5.</x:v>
      </x:c>
    </x:row>
    <x:row r="196" ht="115" customHeight="1">
      <x:c r="A196" s="4" t="str">
        <x:v>design.review.proposal_wind_sail_grip</x:v>
      </x:c>
      <x:c r="B196" s="4" t="str">
        <x:v>Hand-sail grip assembly preparation</x:v>
      </x:c>
      <x:c r="C196" s="4" t="str">
        <x:v>Material refinement</x:v>
      </x:c>
      <x:c r="D196" s="4" t="str">
        <x:v>Proposal</x:v>
      </x:c>
      <x:c r="E196" s="4" t="str">
        <x:v>Partial proposal</x:v>
      </x:c>
      <x:c r="F196" s="4" t="str">
        <x:v>Fit a metal grip with minimal selected prepared hide contact material. Candidate route only: quantities, yield, tools, fit, process conditions and service compatibility remain open. No wood, ordinary cloth or abundant hide supply; release geometry remains open.</x:v>
      </x:c>
      <x:c r="G196" s="4" t="str">
        <x:v>Forge hearth, Anvil, Forging hammer, Smithing tongs, Metalworking file and Hand-cranked metal drill as applicable. Existing workshop bootstrap and controlled heating/cooling required; no free-water quench assumed.</x:v>
      </x:c>
      <x:c r="H196" s="4" t="str">
        <x:f>IF(I196=0,"Unassigned",IF(SUMIFS('Material routes'!$Q$6:$Q$2205,'Material routes'!$B$6:$B$2205,A196)&gt;0,"Unassigned","T"&amp;_xlfn.MAXIFS('Material routes'!$P$6:$P$2205,'Material routes'!$B$6:$B$2205,A196)))</x:f>
        <x:v>T2</x:v>
      </x:c>
      <x:c r="I196" s="4" t="n">
        <x:f>SUM(COUNTIFS('Material routes'!$B$6:$B$2205,A196,'Material routes'!$C$6:$C$2205,"Ingredient candidate"),COUNTIFS('Material routes'!$B$6:$B$2205,A196,'Material routes'!$C$6:$C$2205,"Consumed input"),COUNTIFS('Material routes'!$B$6:$B$2205,A196,'Material routes'!$C$6:$C$2205,"Contained input"),COUNTIFS('Material routes'!$B$6:$B$2205,A196,'Material routes'!$C$6:$C$2205,"Transform input"))</x:f>
        <x:v>2</x:v>
      </x:c>
      <x:c r="J196" s="4" t="n">
        <x:f>COUNTIFS('Material routes'!$B$6:$B$2205,A196,'Material routes'!$C$6:$C$2205,"Output")</x:f>
        <x:v>1</x:v>
      </x:c>
      <x:c r="K196" s="4" t="n">
        <x:f>COUNTIFS('Material routes'!$B$6:$B$2205,A196,'Material routes'!$C$6:$C$2205,"Tool candidate")</x:f>
        <x:v>0</x:v>
      </x:c>
      <x:c r="L196" s="4" t="str">
        <x:v>New October 15 tier-review proposal; user-authorized item audit and Docs/WORLD_BASIS.md. No source-canon or implemented-recipe claim.</x:v>
      </x:c>
      <x:c r="M196" s="4" t="str">
        <x:v>Candidate route only: quantities, yield, tools, fit, process conditions and service compatibility remain open. No wood, ordinary cloth or abundant hide supply; release geometry remains open.</x:v>
      </x:c>
    </x:row>
    <x:row r="197" ht="115" customHeight="1">
      <x:c r="A197" s="4" t="str">
        <x:v>design.review.proposal_wind_wheel</x:v>
      </x:c>
      <x:c r="B197" s="4" t="str">
        <x:v>Dirtboard wheel assembly preparation</x:v>
      </x:c>
      <x:c r="C197" s="4" t="str">
        <x:v>Material refinement</x:v>
      </x:c>
      <x:c r="D197" s="4" t="str">
        <x:v>Proposal</x:v>
      </x:c>
      <x:c r="E197" s="4" t="str">
        <x:v>Partial proposal</x:v>
      </x:c>
      <x:c r="F197" s="4" t="str">
        <x:v>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G197" s="4" t="str">
        <x:v>Forge hearth, Anvil, Forging hammer, Smithing tongs, Metalworking file and Hand-cranked metal drill as applicable. Existing workshop bootstrap and controlled heating/cooling required; no free-water quench assumed.</x:v>
      </x:c>
      <x:c r="H197" s="4" t="str">
        <x:f>IF(I197=0,"Unassigned",IF(SUMIFS('Material routes'!$Q$6:$Q$2205,'Material routes'!$B$6:$B$2205,A197)&gt;0,"Unassigned","T"&amp;_xlfn.MAXIFS('Material routes'!$P$6:$P$2205,'Material routes'!$B$6:$B$2205,A197)))</x:f>
        <x:v>T3</x:v>
      </x:c>
      <x:c r="I197" s="4" t="n">
        <x:f>SUM(COUNTIFS('Material routes'!$B$6:$B$2205,A197,'Material routes'!$C$6:$C$2205,"Ingredient candidate"),COUNTIFS('Material routes'!$B$6:$B$2205,A197,'Material routes'!$C$6:$C$2205,"Consumed input"),COUNTIFS('Material routes'!$B$6:$B$2205,A197,'Material routes'!$C$6:$C$2205,"Contained input"),COUNTIFS('Material routes'!$B$6:$B$2205,A197,'Material routes'!$C$6:$C$2205,"Transform input"))</x:f>
        <x:v>4</x:v>
      </x:c>
      <x:c r="J197" s="4" t="n">
        <x:f>COUNTIFS('Material routes'!$B$6:$B$2205,A197,'Material routes'!$C$6:$C$2205,"Output")</x:f>
        <x:v>1</x:v>
      </x:c>
      <x:c r="K197" s="4" t="n">
        <x:f>COUNTIFS('Material routes'!$B$6:$B$2205,A197,'Material routes'!$C$6:$C$2205,"Tool candidate")</x:f>
        <x:v>0</x:v>
      </x:c>
      <x:c r="L197" s="4" t="str">
        <x:v>New October 15 tier-review proposal; user-authorized item audit and Docs/WORLD_BASIS.md. No source-canon or implemented-recipe claim.</x:v>
      </x:c>
      <x:c r="M197" s="4" t="str">
        <x:v>Candidate route only: quantities, yield, tools, fit, process conditions and service compatibility remain open. No ordinary rubber tire. Ground contact, retention, wheel body and grip remain unresolved; finished board has four wheels.</x:v>
      </x:c>
    </x:row>
    <x:row r="198" ht="115" customHeight="1">
      <x:c r="A198" s="4" t="str">
        <x:v>design.review.proposal_wind_truck</x:v>
      </x:c>
      <x:c r="B198" s="4" t="str">
        <x:v>Dirtboard axle / steering assembly preparation</x:v>
      </x:c>
      <x:c r="C198" s="4" t="str">
        <x:v>Material refinement</x:v>
      </x:c>
      <x:c r="D198" s="4" t="str">
        <x:v>Proposal</x:v>
      </x:c>
      <x:c r="E198" s="4" t="str">
        <x:v>Partial proposal</x:v>
      </x:c>
      <x:c r="F198" s="4" t="str">
        <x:v>Fit axle, steering and retention interfaces from selected T3 stocks. Candidate route only: quantities, yield, tools, fit, process conditions and service compatibility remain open. Steering geometry, spring use, clearances and ground service remain open.</x:v>
      </x:c>
      <x:c r="G198" s="4" t="str">
        <x:v>Forge hearth, Anvil, Forging hammer, Smithing tongs, Metalworking file and Hand-cranked metal drill as applicable. Existing workshop bootstrap and controlled heating/cooling required; no free-water quench assumed.</x:v>
      </x:c>
      <x:c r="H198" s="4" t="str">
        <x:f>IF(I198=0,"Unassigned",IF(SUMIFS('Material routes'!$Q$6:$Q$2205,'Material routes'!$B$6:$B$2205,A198)&gt;0,"Unassigned","T"&amp;_xlfn.MAXIFS('Material routes'!$P$6:$P$2205,'Material routes'!$B$6:$B$2205,A198)))</x:f>
        <x:v>T3</x:v>
      </x:c>
      <x:c r="I198" s="4" t="n">
        <x:f>SUM(COUNTIFS('Material routes'!$B$6:$B$2205,A198,'Material routes'!$C$6:$C$2205,"Ingredient candidate"),COUNTIFS('Material routes'!$B$6:$B$2205,A198,'Material routes'!$C$6:$C$2205,"Consumed input"),COUNTIFS('Material routes'!$B$6:$B$2205,A198,'Material routes'!$C$6:$C$2205,"Contained input"),COUNTIFS('Material routes'!$B$6:$B$2205,A198,'Material routes'!$C$6:$C$2205,"Transform input"))</x:f>
        <x:v>4</x:v>
      </x:c>
      <x:c r="J198" s="4" t="n">
        <x:f>COUNTIFS('Material routes'!$B$6:$B$2205,A198,'Material routes'!$C$6:$C$2205,"Output")</x:f>
        <x:v>1</x:v>
      </x:c>
      <x:c r="K198" s="4" t="n">
        <x:f>COUNTIFS('Material routes'!$B$6:$B$2205,A198,'Material routes'!$C$6:$C$2205,"Tool candidate")</x:f>
        <x:v>0</x:v>
      </x:c>
      <x:c r="L198" s="4" t="str">
        <x:v>New October 15 tier-review proposal; user-authorized item audit and Docs/WORLD_BASIS.md. No source-canon or implemented-recipe claim.</x:v>
      </x:c>
      <x:c r="M198" s="4" t="str">
        <x:v>Candidate route only: quantities, yield, tools, fit, process conditions and service compatibility remain open. Steering geometry, spring use, clearances and ground service remain open.</x:v>
      </x:c>
    </x:row>
    <x:row r="199" ht="115" customHeight="1">
      <x:c r="A199" s="4" t="str">
        <x:v>design.review.proposal_legger_anchors</x:v>
      </x:c>
      <x:c r="B199" s="4" t="str">
        <x:v>Legger lashing-anchor set preparation</x:v>
      </x:c>
      <x:c r="C199" s="4" t="str">
        <x:v>Material refinement</x:v>
      </x:c>
      <x:c r="D199" s="4" t="str">
        <x:v>Proposal</x:v>
      </x:c>
      <x:c r="E199" s="4" t="str">
        <x:v>Partial proposal</x:v>
      </x:c>
      <x:c r="F199" s="4" t="str">
        <x:v>Form and fit an identified metal mounting component from prepared steel. Candidate route only: quantities, yield, tools, fit, process conditions and service compatibility remain open. Legger dimensions, attachment loads and actual compatibility are not yet defined.</x:v>
      </x:c>
      <x:c r="G199" s="4" t="str">
        <x:v>Forge hearth, Anvil, Forging hammer, Smithing tongs, Metalworking file and Hand-cranked metal drill as applicable. Existing workshop bootstrap and controlled heating/cooling required; no free-water quench assumed.</x:v>
      </x:c>
      <x:c r="H199" s="4" t="str">
        <x:f>IF(I199=0,"Unassigned",IF(SUMIFS('Material routes'!$Q$6:$Q$2205,'Material routes'!$B$6:$B$2205,A199)&gt;0,"Unassigned","T"&amp;_xlfn.MAXIFS('Material routes'!$P$6:$P$2205,'Material routes'!$B$6:$B$2205,A199)))</x:f>
        <x:v>T2</x:v>
      </x:c>
      <x:c r="I199" s="4" t="n">
        <x:f>SUM(COUNTIFS('Material routes'!$B$6:$B$2205,A199,'Material routes'!$C$6:$C$2205,"Ingredient candidate"),COUNTIFS('Material routes'!$B$6:$B$2205,A199,'Material routes'!$C$6:$C$2205,"Consumed input"),COUNTIFS('Material routes'!$B$6:$B$2205,A199,'Material routes'!$C$6:$C$2205,"Contained input"),COUNTIFS('Material routes'!$B$6:$B$2205,A199,'Material routes'!$C$6:$C$2205,"Transform input"))</x:f>
        <x:v>2</x:v>
      </x:c>
      <x:c r="J199" s="4" t="n">
        <x:f>COUNTIFS('Material routes'!$B$6:$B$2205,A199,'Material routes'!$C$6:$C$2205,"Output")</x:f>
        <x:v>1</x:v>
      </x:c>
      <x:c r="K199" s="4" t="n">
        <x:f>COUNTIFS('Material routes'!$B$6:$B$2205,A199,'Material routes'!$C$6:$C$2205,"Tool candidate")</x:f>
        <x:v>0</x:v>
      </x:c>
      <x:c r="L199" s="4" t="str">
        <x:v>New October 15 tier-review proposal; user-authorized item audit and Docs/WORLD_BASIS.md. No source-canon or implemented-recipe claim.</x:v>
      </x:c>
      <x:c r="M199"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0" ht="115" customHeight="1">
      <x:c r="A200" s="4" t="str">
        <x:v>design.review.proposal_legger_mount_rail</x:v>
      </x:c>
      <x:c r="B200" s="4" t="str">
        <x:v>Legger attachment rail preparation</x:v>
      </x:c>
      <x:c r="C200" s="4" t="str">
        <x:v>Material refinement</x:v>
      </x:c>
      <x:c r="D200" s="4" t="str">
        <x:v>Proposal</x:v>
      </x:c>
      <x:c r="E200" s="4" t="str">
        <x:v>Partial proposal</x:v>
      </x:c>
      <x:c r="F200"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0" s="4" t="str">
        <x:v>Forge hearth, Anvil, Forging hammer, Smithing tongs, Metalworking file and Hand-cranked metal drill as applicable. Existing workshop bootstrap and controlled heating/cooling required; no free-water quench assumed.</x:v>
      </x:c>
      <x:c r="H200" s="4" t="str">
        <x:f>IF(I200=0,"Unassigned",IF(SUMIFS('Material routes'!$Q$6:$Q$2205,'Material routes'!$B$6:$B$2205,A200)&gt;0,"Unassigned","T"&amp;_xlfn.MAXIFS('Material routes'!$P$6:$P$2205,'Material routes'!$B$6:$B$2205,A200)))</x:f>
        <x:v>T2</x:v>
      </x:c>
      <x:c r="I200" s="4" t="n">
        <x:f>SUM(COUNTIFS('Material routes'!$B$6:$B$2205,A200,'Material routes'!$C$6:$C$2205,"Ingredient candidate"),COUNTIFS('Material routes'!$B$6:$B$2205,A200,'Material routes'!$C$6:$C$2205,"Consumed input"),COUNTIFS('Material routes'!$B$6:$B$2205,A200,'Material routes'!$C$6:$C$2205,"Contained input"),COUNTIFS('Material routes'!$B$6:$B$2205,A200,'Material routes'!$C$6:$C$2205,"Transform input"))</x:f>
        <x:v>2</x:v>
      </x:c>
      <x:c r="J200" s="4" t="n">
        <x:f>COUNTIFS('Material routes'!$B$6:$B$2205,A200,'Material routes'!$C$6:$C$2205,"Output")</x:f>
        <x:v>1</x:v>
      </x:c>
      <x:c r="K200" s="4" t="n">
        <x:f>COUNTIFS('Material routes'!$B$6:$B$2205,A200,'Material routes'!$C$6:$C$2205,"Tool candidate")</x:f>
        <x:v>0</x:v>
      </x:c>
      <x:c r="L200" s="4" t="str">
        <x:v>New October 15 tier-review proposal; user-authorized item audit and Docs/WORLD_BASIS.md. No source-canon or implemented-recipe claim.</x:v>
      </x:c>
      <x:c r="M200"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1" ht="115" customHeight="1">
      <x:c r="A201" s="4" t="str">
        <x:v>design.review.proposal_legger_long_load_clamp</x:v>
      </x:c>
      <x:c r="B201" s="4" t="str">
        <x:v>Legger long-load clamp preparation</x:v>
      </x:c>
      <x:c r="C201" s="4" t="str">
        <x:v>Material refinement</x:v>
      </x:c>
      <x:c r="D201" s="4" t="str">
        <x:v>Proposal</x:v>
      </x:c>
      <x:c r="E201" s="4" t="str">
        <x:v>Partial proposal</x:v>
      </x:c>
      <x:c r="F201"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1" s="4" t="str">
        <x:v>Forge hearth, Anvil, Forging hammer, Smithing tongs, Metalworking file and Hand-cranked metal drill as applicable. Existing workshop bootstrap and controlled heating/cooling required; no free-water quench assumed.</x:v>
      </x:c>
      <x:c r="H201" s="4" t="str">
        <x:f>IF(I201=0,"Unassigned",IF(SUMIFS('Material routes'!$Q$6:$Q$2205,'Material routes'!$B$6:$B$2205,A201)&gt;0,"Unassigned","T"&amp;_xlfn.MAXIFS('Material routes'!$P$6:$P$2205,'Material routes'!$B$6:$B$2205,A201)))</x:f>
        <x:v>T2</x:v>
      </x:c>
      <x:c r="I201" s="4" t="n">
        <x:f>SUM(COUNTIFS('Material routes'!$B$6:$B$2205,A201,'Material routes'!$C$6:$C$2205,"Ingredient candidate"),COUNTIFS('Material routes'!$B$6:$B$2205,A201,'Material routes'!$C$6:$C$2205,"Consumed input"),COUNTIFS('Material routes'!$B$6:$B$2205,A201,'Material routes'!$C$6:$C$2205,"Contained input"),COUNTIFS('Material routes'!$B$6:$B$2205,A201,'Material routes'!$C$6:$C$2205,"Transform input"))</x:f>
        <x:v>1</x:v>
      </x:c>
      <x:c r="J201" s="4" t="n">
        <x:f>COUNTIFS('Material routes'!$B$6:$B$2205,A201,'Material routes'!$C$6:$C$2205,"Output")</x:f>
        <x:v>1</x:v>
      </x:c>
      <x:c r="K201" s="4" t="n">
        <x:f>COUNTIFS('Material routes'!$B$6:$B$2205,A201,'Material routes'!$C$6:$C$2205,"Tool candidate")</x:f>
        <x:v>0</x:v>
      </x:c>
      <x:c r="L201" s="4" t="str">
        <x:v>New October 15 tier-review proposal; user-authorized item audit and Docs/WORLD_BASIS.md. No source-canon or implemented-recipe claim.</x:v>
      </x:c>
      <x:c r="M201" s="4" t="str">
        <x:v>Candidate route only: quantities, yield, tools, fit, process conditions and service compatibility remain open. Legger dimensions, attachment loads and actual compatibility are not yet defined.</x:v>
      </x:c>
    </x:row>
    <x:row r="202" ht="115" customHeight="1">
      <x:c r="A202" s="4" t="str">
        <x:v>design.review.proposal_legger_hinge_plate</x:v>
      </x:c>
      <x:c r="B202" s="4" t="str">
        <x:v>Chassis hinge-mount plate preparation</x:v>
      </x:c>
      <x:c r="C202" s="4" t="str">
        <x:v>Material refinement</x:v>
      </x:c>
      <x:c r="D202" s="4" t="str">
        <x:v>Proposal</x:v>
      </x:c>
      <x:c r="E202" s="4" t="str">
        <x:v>Partial proposal</x:v>
      </x:c>
      <x:c r="F202"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2" s="4" t="str">
        <x:v>Forge hearth, Anvil, Forging hammer, Smithing tongs, Metalworking file and Hand-cranked metal drill as applicable. Existing workshop bootstrap and controlled heating/cooling required; no free-water quench assumed.</x:v>
      </x:c>
      <x:c r="H202" s="4" t="str">
        <x:f>IF(I202=0,"Unassigned",IF(SUMIFS('Material routes'!$Q$6:$Q$2205,'Material routes'!$B$6:$B$2205,A202)&gt;0,"Unassigned","T"&amp;_xlfn.MAXIFS('Material routes'!$P$6:$P$2205,'Material routes'!$B$6:$B$2205,A202)))</x:f>
        <x:v>T2</x:v>
      </x:c>
      <x:c r="I202" s="4" t="n">
        <x:f>SUM(COUNTIFS('Material routes'!$B$6:$B$2205,A202,'Material routes'!$C$6:$C$2205,"Ingredient candidate"),COUNTIFS('Material routes'!$B$6:$B$2205,A202,'Material routes'!$C$6:$C$2205,"Consumed input"),COUNTIFS('Material routes'!$B$6:$B$2205,A202,'Material routes'!$C$6:$C$2205,"Contained input"),COUNTIFS('Material routes'!$B$6:$B$2205,A202,'Material routes'!$C$6:$C$2205,"Transform input"))</x:f>
        <x:v>1</x:v>
      </x:c>
      <x:c r="J202" s="4" t="n">
        <x:f>COUNTIFS('Material routes'!$B$6:$B$2205,A202,'Material routes'!$C$6:$C$2205,"Output")</x:f>
        <x:v>1</x:v>
      </x:c>
      <x:c r="K202" s="4" t="n">
        <x:f>COUNTIFS('Material routes'!$B$6:$B$2205,A202,'Material routes'!$C$6:$C$2205,"Tool candidate")</x:f>
        <x:v>0</x:v>
      </x:c>
      <x:c r="L202" s="4" t="str">
        <x:v>New October 15 tier-review proposal; user-authorized item audit and Docs/WORLD_BASIS.md. No source-canon or implemented-recipe claim.</x:v>
      </x:c>
      <x:c r="M202" s="4" t="str">
        <x:v>Candidate route only: quantities, yield, tools, fit, process conditions and service compatibility remain open. Legger dimensions, attachment loads and actual compatibility are not yet defined.</x:v>
      </x:c>
    </x:row>
    <x:row r="203" ht="115" customHeight="1">
      <x:c r="A203" s="4" t="str">
        <x:v>design.review.proposal_legger_crush_mount</x:v>
      </x:c>
      <x:c r="B203" s="4" t="str">
        <x:v>Sacrificial attachment mount preparation</x:v>
      </x:c>
      <x:c r="C203" s="4" t="str">
        <x:v>Material refinement</x:v>
      </x:c>
      <x:c r="D203" s="4" t="str">
        <x:v>Proposal</x:v>
      </x:c>
      <x:c r="E203" s="4" t="str">
        <x:v>Partial proposal</x:v>
      </x:c>
      <x:c r="F203"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3" s="4" t="str">
        <x:v>Forge hearth, Anvil, Forging hammer, Smithing tongs, Metalworking file and Hand-cranked metal drill as applicable. Existing workshop bootstrap and controlled heating/cooling required; no free-water quench assumed.</x:v>
      </x:c>
      <x:c r="H203" s="4" t="str">
        <x:f>IF(I203=0,"Unassigned",IF(SUMIFS('Material routes'!$Q$6:$Q$2205,'Material routes'!$B$6:$B$2205,A203)&gt;0,"Unassigned","T"&amp;_xlfn.MAXIFS('Material routes'!$P$6:$P$2205,'Material routes'!$B$6:$B$2205,A203)))</x:f>
        <x:v>T2</x:v>
      </x:c>
      <x:c r="I203" s="4" t="n">
        <x:f>SUM(COUNTIFS('Material routes'!$B$6:$B$2205,A203,'Material routes'!$C$6:$C$2205,"Ingredient candidate"),COUNTIFS('Material routes'!$B$6:$B$2205,A203,'Material routes'!$C$6:$C$2205,"Consumed input"),COUNTIFS('Material routes'!$B$6:$B$2205,A203,'Material routes'!$C$6:$C$2205,"Contained input"),COUNTIFS('Material routes'!$B$6:$B$2205,A203,'Material routes'!$C$6:$C$2205,"Transform input"))</x:f>
        <x:v>1</x:v>
      </x:c>
      <x:c r="J203" s="4" t="n">
        <x:f>COUNTIFS('Material routes'!$B$6:$B$2205,A203,'Material routes'!$C$6:$C$2205,"Output")</x:f>
        <x:v>1</x:v>
      </x:c>
      <x:c r="K203" s="4" t="n">
        <x:f>COUNTIFS('Material routes'!$B$6:$B$2205,A203,'Material routes'!$C$6:$C$2205,"Tool candidate")</x:f>
        <x:v>0</x:v>
      </x:c>
      <x:c r="L203" s="4" t="str">
        <x:v>New October 15 tier-review proposal; user-authorized item audit and Docs/WORLD_BASIS.md. No source-canon or implemented-recipe claim.</x:v>
      </x:c>
      <x:c r="M203" s="4" t="str">
        <x:v>Candidate route only: quantities, yield, tools, fit, process conditions and service compatibility remain open. Legger dimensions, attachment loads and actual compatibility are not yet defined.</x:v>
      </x:c>
    </x:row>
    <x:row r="204" ht="115" customHeight="1">
      <x:c r="A204" s="4" t="str">
        <x:v>design.review.proposal_legger_iron_rib</x:v>
      </x:c>
      <x:c r="B204" s="4" t="str">
        <x:v>Iron chassis replacement rib preparation</x:v>
      </x:c>
      <x:c r="C204" s="4" t="str">
        <x:v>Material refinement</x:v>
      </x:c>
      <x:c r="D204" s="4" t="str">
        <x:v>Proposal</x:v>
      </x:c>
      <x:c r="E204" s="4" t="str">
        <x:v>Partial proposal</x:v>
      </x:c>
      <x:c r="F204"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4" s="4" t="str">
        <x:v>Forge hearth, Anvil, Forging hammer, Smithing tongs, Metalworking file and Hand-cranked metal drill as applicable. Existing workshop bootstrap and controlled heating/cooling required; no free-water quench assumed.</x:v>
      </x:c>
      <x:c r="H204" s="4" t="str">
        <x:f>IF(I204=0,"Unassigned",IF(SUMIFS('Material routes'!$Q$6:$Q$2205,'Material routes'!$B$6:$B$2205,A204)&gt;0,"Unassigned","T"&amp;_xlfn.MAXIFS('Material routes'!$P$6:$P$2205,'Material routes'!$B$6:$B$2205,A204)))</x:f>
        <x:v>T2</x:v>
      </x:c>
      <x:c r="I204" s="4" t="n">
        <x:f>SUM(COUNTIFS('Material routes'!$B$6:$B$2205,A204,'Material routes'!$C$6:$C$2205,"Ingredient candidate"),COUNTIFS('Material routes'!$B$6:$B$2205,A204,'Material routes'!$C$6:$C$2205,"Consumed input"),COUNTIFS('Material routes'!$B$6:$B$2205,A204,'Material routes'!$C$6:$C$2205,"Contained input"),COUNTIFS('Material routes'!$B$6:$B$2205,A204,'Material routes'!$C$6:$C$2205,"Transform input"))</x:f>
        <x:v>1</x:v>
      </x:c>
      <x:c r="J204" s="4" t="n">
        <x:f>COUNTIFS('Material routes'!$B$6:$B$2205,A204,'Material routes'!$C$6:$C$2205,"Output")</x:f>
        <x:v>1</x:v>
      </x:c>
      <x:c r="K204" s="4" t="n">
        <x:f>COUNTIFS('Material routes'!$B$6:$B$2205,A204,'Material routes'!$C$6:$C$2205,"Tool candidate")</x:f>
        <x:v>0</x:v>
      </x:c>
      <x:c r="L204" s="4" t="str">
        <x:v>New October 15 tier-review proposal; user-authorized item audit and Docs/WORLD_BASIS.md. No source-canon or implemented-recipe claim.</x:v>
      </x:c>
      <x:c r="M204" s="4" t="str">
        <x:v>Candidate route only: quantities, yield, tools, fit, process conditions and service compatibility remain open. Preserves the iron identity rather than silently substituting ancient material; fit and structural performance remain open.</x:v>
      </x:c>
    </x:row>
    <x:row r="205" ht="115" customHeight="1">
      <x:c r="A205" s="4" t="str">
        <x:v>design.review.proposal_legger_crossbrace</x:v>
      </x:c>
      <x:c r="B205" s="4" t="str">
        <x:v>Chassis crossbrace preparation</x:v>
      </x:c>
      <x:c r="C205" s="4" t="str">
        <x:v>Material refinement</x:v>
      </x:c>
      <x:c r="D205" s="4" t="str">
        <x:v>Proposal</x:v>
      </x:c>
      <x:c r="E205" s="4" t="str">
        <x:v>Partial proposal</x:v>
      </x:c>
      <x:c r="F205"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5" s="4" t="str">
        <x:v>Forge hearth, Anvil, Forging hammer, Smithing tongs, Metalworking file and Hand-cranked metal drill as applicable. Existing workshop bootstrap and controlled heating/cooling required; no free-water quench assumed.</x:v>
      </x:c>
      <x:c r="H205" s="4" t="str">
        <x:f>IF(I205=0,"Unassigned",IF(SUMIFS('Material routes'!$Q$6:$Q$2205,'Material routes'!$B$6:$B$2205,A205)&gt;0,"Unassigned","T"&amp;_xlfn.MAXIFS('Material routes'!$P$6:$P$2205,'Material routes'!$B$6:$B$2205,A205)))</x:f>
        <x:v>T2</x:v>
      </x:c>
      <x:c r="I205" s="4" t="n">
        <x:f>SUM(COUNTIFS('Material routes'!$B$6:$B$2205,A205,'Material routes'!$C$6:$C$2205,"Ingredient candidate"),COUNTIFS('Material routes'!$B$6:$B$2205,A205,'Material routes'!$C$6:$C$2205,"Consumed input"),COUNTIFS('Material routes'!$B$6:$B$2205,A205,'Material routes'!$C$6:$C$2205,"Contained input"),COUNTIFS('Material routes'!$B$6:$B$2205,A205,'Material routes'!$C$6:$C$2205,"Transform input"))</x:f>
        <x:v>1</x:v>
      </x:c>
      <x:c r="J205" s="4" t="n">
        <x:f>COUNTIFS('Material routes'!$B$6:$B$2205,A205,'Material routes'!$C$6:$C$2205,"Output")</x:f>
        <x:v>1</x:v>
      </x:c>
      <x:c r="K205" s="4" t="n">
        <x:f>COUNTIFS('Material routes'!$B$6:$B$2205,A205,'Material routes'!$C$6:$C$2205,"Tool candidate")</x:f>
        <x:v>0</x:v>
      </x:c>
      <x:c r="L205" s="4" t="str">
        <x:v>New October 15 tier-review proposal; user-authorized item audit and Docs/WORLD_BASIS.md. No source-canon or implemented-recipe claim.</x:v>
      </x:c>
      <x:c r="M205" s="4" t="str">
        <x:v>Candidate route only: quantities, yield, tools, fit, process conditions and service compatibility remain open. Preserves the iron identity rather than silently substituting ancient material; fit and structural performance remain open.</x:v>
      </x:c>
    </x:row>
    <x:row r="206" ht="115" customHeight="1">
      <x:c r="A206" s="4" t="str">
        <x:v>design.review.proposal_legger_foot_plate</x:v>
      </x:c>
      <x:c r="B206" s="4" t="str">
        <x:v>Replaceable foot contact plate preparation</x:v>
      </x:c>
      <x:c r="C206" s="4" t="str">
        <x:v>Material refinement</x:v>
      </x:c>
      <x:c r="D206" s="4" t="str">
        <x:v>Proposal</x:v>
      </x:c>
      <x:c r="E206" s="4" t="str">
        <x:v>Partial proposal</x:v>
      </x:c>
      <x:c r="F206"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6" s="4" t="str">
        <x:v>Forge hearth, Anvil, Forging hammer, Smithing tongs, Metalworking file and Hand-cranked metal drill as applicable. Existing workshop bootstrap and controlled heating/cooling required; no free-water quench assumed.</x:v>
      </x:c>
      <x:c r="H206" s="4" t="str">
        <x:f>IF(I206=0,"Unassigned",IF(SUMIFS('Material routes'!$Q$6:$Q$2205,'Material routes'!$B$6:$B$2205,A206)&gt;0,"Unassigned","T"&amp;_xlfn.MAXIFS('Material routes'!$P$6:$P$2205,'Material routes'!$B$6:$B$2205,A206)))</x:f>
        <x:v>T2</x:v>
      </x:c>
      <x:c r="I206" s="4" t="n">
        <x:f>SUM(COUNTIFS('Material routes'!$B$6:$B$2205,A206,'Material routes'!$C$6:$C$2205,"Ingredient candidate"),COUNTIFS('Material routes'!$B$6:$B$2205,A206,'Material routes'!$C$6:$C$2205,"Consumed input"),COUNTIFS('Material routes'!$B$6:$B$2205,A206,'Material routes'!$C$6:$C$2205,"Contained input"),COUNTIFS('Material routes'!$B$6:$B$2205,A206,'Material routes'!$C$6:$C$2205,"Transform input"))</x:f>
        <x:v>1</x:v>
      </x:c>
      <x:c r="J206" s="4" t="n">
        <x:f>COUNTIFS('Material routes'!$B$6:$B$2205,A206,'Material routes'!$C$6:$C$2205,"Output")</x:f>
        <x:v>1</x:v>
      </x:c>
      <x:c r="K206" s="4" t="n">
        <x:f>COUNTIFS('Material routes'!$B$6:$B$2205,A206,'Material routes'!$C$6:$C$2205,"Tool candidate")</x:f>
        <x:v>0</x:v>
      </x:c>
      <x:c r="L206" s="4" t="str">
        <x:v>New October 15 tier-review proposal; user-authorized item audit and Docs/WORLD_BASIS.md. No source-canon or implemented-recipe claim.</x:v>
      </x:c>
      <x:c r="M206" s="4" t="str">
        <x:v>Candidate route only: quantities, yield, tools, fit, process conditions and service compatibility remain open. Preserves the iron identity rather than silently substituting ancient material; fit and structural performance remain open.</x:v>
      </x:c>
    </x:row>
    <x:row r="207" ht="115" customHeight="1">
      <x:c r="A207" s="4" t="str">
        <x:v>design.review.proposal_legger_fracture_patch</x:v>
      </x:c>
      <x:c r="B207" s="4" t="str">
        <x:v>Iron chassis fracture patch preparation</x:v>
      </x:c>
      <x:c r="C207" s="4" t="str">
        <x:v>Material refinement</x:v>
      </x:c>
      <x:c r="D207" s="4" t="str">
        <x:v>Proposal</x:v>
      </x:c>
      <x:c r="E207" s="4" t="str">
        <x:v>Partial proposal</x:v>
      </x:c>
      <x:c r="F207"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7" s="4" t="str">
        <x:v>Forge hearth, Anvil, Forging hammer, Smithing tongs, Metalworking file and Hand-cranked metal drill as applicable. Existing workshop bootstrap and controlled heating/cooling required; no free-water quench assumed.</x:v>
      </x:c>
      <x:c r="H207" s="4" t="str">
        <x:f>IF(I207=0,"Unassigned",IF(SUMIFS('Material routes'!$Q$6:$Q$2205,'Material routes'!$B$6:$B$2205,A207)&gt;0,"Unassigned","T"&amp;_xlfn.MAXIFS('Material routes'!$P$6:$P$2205,'Material routes'!$B$6:$B$2205,A207)))</x:f>
        <x:v>T2</x:v>
      </x:c>
      <x:c r="I207" s="4" t="n">
        <x:f>SUM(COUNTIFS('Material routes'!$B$6:$B$2205,A207,'Material routes'!$C$6:$C$2205,"Ingredient candidate"),COUNTIFS('Material routes'!$B$6:$B$2205,A207,'Material routes'!$C$6:$C$2205,"Consumed input"),COUNTIFS('Material routes'!$B$6:$B$2205,A207,'Material routes'!$C$6:$C$2205,"Contained input"),COUNTIFS('Material routes'!$B$6:$B$2205,A207,'Material routes'!$C$6:$C$2205,"Transform input"))</x:f>
        <x:v>1</x:v>
      </x:c>
      <x:c r="J207" s="4" t="n">
        <x:f>COUNTIFS('Material routes'!$B$6:$B$2205,A207,'Material routes'!$C$6:$C$2205,"Output")</x:f>
        <x:v>1</x:v>
      </x:c>
      <x:c r="K207" s="4" t="n">
        <x:f>COUNTIFS('Material routes'!$B$6:$B$2205,A207,'Material routes'!$C$6:$C$2205,"Tool candidate")</x:f>
        <x:v>0</x:v>
      </x:c>
      <x:c r="L207" s="4" t="str">
        <x:v>New October 15 tier-review proposal; user-authorized item audit and Docs/WORLD_BASIS.md. No source-canon or implemented-recipe claim.</x:v>
      </x:c>
      <x:c r="M207" s="4" t="str">
        <x:v>Candidate route only: quantities, yield, tools, fit, process conditions and service compatibility remain open. Preserves the iron identity rather than silently substituting ancient material; fit and structural performance remain open.</x:v>
      </x:c>
    </x:row>
    <x:row r="208" ht="115" customHeight="1">
      <x:c r="A208" s="4" t="str">
        <x:v>design.review.proposal_legger_bulkhead_ring</x:v>
      </x:c>
      <x:c r="B208" s="4" t="str">
        <x:v>Chassis reinforcing ring preparation</x:v>
      </x:c>
      <x:c r="C208" s="4" t="str">
        <x:v>Material refinement</x:v>
      </x:c>
      <x:c r="D208" s="4" t="str">
        <x:v>Proposal</x:v>
      </x:c>
      <x:c r="E208" s="4" t="str">
        <x:v>Partial proposal</x:v>
      </x:c>
      <x:c r="F208"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8" s="4" t="str">
        <x:v>Forge hearth, Anvil, Forging hammer, Smithing tongs, Metalworking file and Hand-cranked metal drill as applicable. Existing workshop bootstrap and controlled heating/cooling required; no free-water quench assumed.</x:v>
      </x:c>
      <x:c r="H208" s="4" t="str">
        <x:f>IF(I208=0,"Unassigned",IF(SUMIFS('Material routes'!$Q$6:$Q$2205,'Material routes'!$B$6:$B$2205,A208)&gt;0,"Unassigned","T"&amp;_xlfn.MAXIFS('Material routes'!$P$6:$P$2205,'Material routes'!$B$6:$B$2205,A208)))</x:f>
        <x:v>T2</x:v>
      </x:c>
      <x:c r="I208" s="4" t="n">
        <x:f>SUM(COUNTIFS('Material routes'!$B$6:$B$2205,A208,'Material routes'!$C$6:$C$2205,"Ingredient candidate"),COUNTIFS('Material routes'!$B$6:$B$2205,A208,'Material routes'!$C$6:$C$2205,"Consumed input"),COUNTIFS('Material routes'!$B$6:$B$2205,A208,'Material routes'!$C$6:$C$2205,"Contained input"),COUNTIFS('Material routes'!$B$6:$B$2205,A208,'Material routes'!$C$6:$C$2205,"Transform input"))</x:f>
        <x:v>1</x:v>
      </x:c>
      <x:c r="J208" s="4" t="n">
        <x:f>COUNTIFS('Material routes'!$B$6:$B$2205,A208,'Material routes'!$C$6:$C$2205,"Output")</x:f>
        <x:v>1</x:v>
      </x:c>
      <x:c r="K208" s="4" t="n">
        <x:f>COUNTIFS('Material routes'!$B$6:$B$2205,A208,'Material routes'!$C$6:$C$2205,"Tool candidate")</x:f>
        <x:v>0</x:v>
      </x:c>
      <x:c r="L208" s="4" t="str">
        <x:v>New October 15 tier-review proposal; user-authorized item audit and Docs/WORLD_BASIS.md. No source-canon or implemented-recipe claim.</x:v>
      </x:c>
      <x:c r="M208" s="4" t="str">
        <x:v>Candidate route only: quantities, yield, tools, fit, process conditions and service compatibility remain open. Preserves the iron identity rather than silently substituting ancient material; fit and structural performance remain open.</x:v>
      </x:c>
    </x:row>
    <x:row r="209" ht="115" customHeight="1">
      <x:c r="A209" s="4" t="str">
        <x:v>design.review.proposal_legger_balance_link</x:v>
      </x:c>
      <x:c r="B209" s="4" t="str">
        <x:v>Legger load-balance linkage preparation</x:v>
      </x:c>
      <x:c r="C209" s="4" t="str">
        <x:v>Material refinement</x:v>
      </x:c>
      <x:c r="D209" s="4" t="str">
        <x:v>Proposal</x:v>
      </x:c>
      <x:c r="E209" s="4" t="str">
        <x:v>Partial proposal</x:v>
      </x:c>
      <x:c r="F209" s="4" t="str">
        <x:v>Fit a load-linkage component from prepared iron and bearing-metal feed. Candidate route only: quantities, yield, tools, fit, process conditions and service compatibility remain open. No automatic load balancing or stability behavior implied.</x:v>
      </x:c>
      <x:c r="G209" s="4" t="str">
        <x:v>Forge hearth, Anvil, Forging hammer, Smithing tongs, Metalworking file and Hand-cranked metal drill as applicable. Existing workshop bootstrap and controlled heating/cooling required; no free-water quench assumed.</x:v>
      </x:c>
      <x:c r="H209" s="4" t="str">
        <x:f>IF(I209=0,"Unassigned",IF(SUMIFS('Material routes'!$Q$6:$Q$2205,'Material routes'!$B$6:$B$2205,A209)&gt;0,"Unassigned","T"&amp;_xlfn.MAXIFS('Material routes'!$P$6:$P$2205,'Material routes'!$B$6:$B$2205,A209)))</x:f>
        <x:v>T2</x:v>
      </x:c>
      <x:c r="I209" s="4" t="n">
        <x:f>SUM(COUNTIFS('Material routes'!$B$6:$B$2205,A209,'Material routes'!$C$6:$C$2205,"Ingredient candidate"),COUNTIFS('Material routes'!$B$6:$B$2205,A209,'Material routes'!$C$6:$C$2205,"Consumed input"),COUNTIFS('Material routes'!$B$6:$B$2205,A209,'Material routes'!$C$6:$C$2205,"Contained input"),COUNTIFS('Material routes'!$B$6:$B$2205,A209,'Material routes'!$C$6:$C$2205,"Transform input"))</x:f>
        <x:v>2</x:v>
      </x:c>
      <x:c r="J209" s="4" t="n">
        <x:f>COUNTIFS('Material routes'!$B$6:$B$2205,A209,'Material routes'!$C$6:$C$2205,"Output")</x:f>
        <x:v>1</x:v>
      </x:c>
      <x:c r="K209" s="4" t="n">
        <x:f>COUNTIFS('Material routes'!$B$6:$B$2205,A209,'Material routes'!$C$6:$C$2205,"Tool candidate")</x:f>
        <x:v>0</x:v>
      </x:c>
      <x:c r="L209" s="4" t="str">
        <x:v>New October 15 tier-review proposal; user-authorized item audit and Docs/WORLD_BASIS.md. No source-canon or implemented-recipe claim.</x:v>
      </x:c>
      <x:c r="M209" s="4" t="str">
        <x:v>Candidate route only: quantities, yield, tools, fit, process conditions and service compatibility remain open. No automatic load balancing or stability behavior implied.</x:v>
      </x:c>
    </x:row>
    <x:row r="210" ht="115" customHeight="1">
      <x:c r="A210" s="4" t="str">
        <x:v>design.review.proposal_legger_joint_bush</x:v>
      </x:c>
      <x:c r="B210" s="4" t="str">
        <x:v>Iron joint bushing preparation</x:v>
      </x:c>
      <x:c r="C210" s="4" t="str">
        <x:v>Material refinement</x:v>
      </x:c>
      <x:c r="D210" s="4" t="str">
        <x:v>Proposal</x:v>
      </x:c>
      <x:c r="E210" s="4" t="str">
        <x:v>Partial proposal</x:v>
      </x:c>
      <x:c r="F210" s="4" t="str">
        <x:v>Machine and finish worked iron as a fitted joint bushing. Candidate route only: quantities, yield, tools, fit, process conditions and service compatibility remain open. </x:v>
      </x:c>
      <x:c r="G210" s="4" t="str">
        <x:v>Forge hearth, Anvil, Forging hammer, Smithing tongs, Metalworking file and Hand-cranked metal drill as applicable. Existing workshop bootstrap and controlled heating/cooling required; no free-water quench assumed.</x:v>
      </x:c>
      <x:c r="H210" s="4" t="str">
        <x:f>IF(I210=0,"Unassigned",IF(SUMIFS('Material routes'!$Q$6:$Q$2205,'Material routes'!$B$6:$B$2205,A210)&gt;0,"Unassigned","T"&amp;_xlfn.MAXIFS('Material routes'!$P$6:$P$2205,'Material routes'!$B$6:$B$2205,A210)))</x:f>
        <x:v>T2</x:v>
      </x:c>
      <x:c r="I210" s="4" t="n">
        <x:f>SUM(COUNTIFS('Material routes'!$B$6:$B$2205,A210,'Material routes'!$C$6:$C$2205,"Ingredient candidate"),COUNTIFS('Material routes'!$B$6:$B$2205,A210,'Material routes'!$C$6:$C$2205,"Consumed input"),COUNTIFS('Material routes'!$B$6:$B$2205,A210,'Material routes'!$C$6:$C$2205,"Contained input"),COUNTIFS('Material routes'!$B$6:$B$2205,A210,'Material routes'!$C$6:$C$2205,"Transform input"))</x:f>
        <x:v>2</x:v>
      </x:c>
      <x:c r="J210" s="4" t="n">
        <x:f>COUNTIFS('Material routes'!$B$6:$B$2205,A210,'Material routes'!$C$6:$C$2205,"Output")</x:f>
        <x:v>1</x:v>
      </x:c>
      <x:c r="K210" s="4" t="n">
        <x:f>COUNTIFS('Material routes'!$B$6:$B$2205,A210,'Material routes'!$C$6:$C$2205,"Tool candidate")</x:f>
        <x:v>0</x:v>
      </x:c>
      <x:c r="L210" s="4" t="str">
        <x:v>New October 15 tier-review proposal; user-authorized item audit and Docs/WORLD_BASIS.md. No source-canon or implemented-recipe claim.</x:v>
      </x:c>
      <x:c r="M210" s="4" t="str">
        <x:v>Candidate route only: quantities, yield, tools, fit, process conditions and service compatibility remain open. </x:v>
      </x:c>
    </x:row>
    <x:row r="211" ht="115" customHeight="1">
      <x:c r="A211" s="4" t="str">
        <x:v>design.review.proposal_legger_bearing</x:v>
      </x:c>
      <x:c r="B211" s="4" t="str">
        <x:v>Replacement bearing assembly preparation</x:v>
      </x:c>
      <x:c r="C211" s="4" t="str">
        <x:v>Material refinement</x:v>
      </x:c>
      <x:c r="D211" s="4" t="str">
        <x:v>Proposal</x:v>
      </x:c>
      <x:c r="E211" s="4" t="str">
        <x:v>Partial proposal</x:v>
      </x:c>
      <x:c r="F211" s="4" t="str">
        <x:v>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G211" s="4" t="str">
        <x:v>Forge hearth, Anvil, Forging hammer, Smithing tongs, Metalworking file and Hand-cranked metal drill as applicable. Existing workshop bootstrap and controlled heating/cooling required; no free-water quench assumed.</x:v>
      </x:c>
      <x:c r="H211" s="4" t="str">
        <x:f>IF(I211=0,"Unassigned",IF(SUMIFS('Material routes'!$Q$6:$Q$2205,'Material routes'!$B$6:$B$2205,A211)&gt;0,"Unassigned","T"&amp;_xlfn.MAXIFS('Material routes'!$P$6:$P$2205,'Material routes'!$B$6:$B$2205,A211)))</x:f>
        <x:v>T3</x:v>
      </x:c>
      <x:c r="I211" s="4" t="n">
        <x:f>SUM(COUNTIFS('Material routes'!$B$6:$B$2205,A211,'Material routes'!$C$6:$C$2205,"Ingredient candidate"),COUNTIFS('Material routes'!$B$6:$B$2205,A211,'Material routes'!$C$6:$C$2205,"Consumed input"),COUNTIFS('Material routes'!$B$6:$B$2205,A211,'Material routes'!$C$6:$C$2205,"Contained input"),COUNTIFS('Material routes'!$B$6:$B$2205,A211,'Material routes'!$C$6:$C$2205,"Transform input"))</x:f>
        <x:v>3</x:v>
      </x:c>
      <x:c r="J211" s="4" t="n">
        <x:f>COUNTIFS('Material routes'!$B$6:$B$2205,A211,'Material routes'!$C$6:$C$2205,"Output")</x:f>
        <x:v>1</x:v>
      </x:c>
      <x:c r="K211" s="4" t="n">
        <x:f>COUNTIFS('Material routes'!$B$6:$B$2205,A211,'Material routes'!$C$6:$C$2205,"Tool candidate")</x:f>
        <x:v>0</x:v>
      </x:c>
      <x:c r="L211" s="4" t="str">
        <x:v>New October 15 tier-review proposal; user-authorized item audit and Docs/WORLD_BASIS.md. No source-canon or implemented-recipe claim.</x:v>
      </x:c>
      <x:c r="M211" s="4" t="str">
        <x:v>Candidate route only: quantities, yield, tools, fit, process conditions and service compatibility remain open. A candidate fit variant beside the generic T4 bearing cartridge; neither is a universal replacement.</x:v>
      </x:c>
    </x:row>
    <x:row r="212" ht="115" customHeight="1">
      <x:c r="A212" s="4" t="str">
        <x:v>design.review.proposal_legger_actuator_rod</x:v>
      </x:c>
      <x:c r="B212" s="4" t="str">
        <x:v>Replacement actuator link preparation</x:v>
      </x:c>
      <x:c r="C212" s="4" t="str">
        <x:v>Material refinement</x:v>
      </x:c>
      <x:c r="D212" s="4" t="str">
        <x:v>Proposal</x:v>
      </x:c>
      <x:c r="E212" s="4" t="str">
        <x:v>Partial proposal</x:v>
      </x:c>
      <x:c r="F212" s="4" t="str">
        <x:v>Shape and finish an actuator-link replacement from prepared steel. Candidate route only: quantities, yield, tools, fit, process conditions and service compatibility remain open. This is a passive link, not a reproduced powered actuator.</x:v>
      </x:c>
      <x:c r="G212" s="4" t="str">
        <x:v>Forge hearth, Anvil, Forging hammer, Smithing tongs, Metalworking file and Hand-cranked metal drill as applicable. Existing workshop bootstrap and controlled heating/cooling required; no free-water quench assumed.</x:v>
      </x:c>
      <x:c r="H212" s="4" t="str">
        <x:f>IF(I212=0,"Unassigned",IF(SUMIFS('Material routes'!$Q$6:$Q$2205,'Material routes'!$B$6:$B$2205,A212)&gt;0,"Unassigned","T"&amp;_xlfn.MAXIFS('Material routes'!$P$6:$P$2205,'Material routes'!$B$6:$B$2205,A212)))</x:f>
        <x:v>T2</x:v>
      </x:c>
      <x:c r="I212" s="4" t="n">
        <x:f>SUM(COUNTIFS('Material routes'!$B$6:$B$2205,A212,'Material routes'!$C$6:$C$2205,"Ingredient candidate"),COUNTIFS('Material routes'!$B$6:$B$2205,A212,'Material routes'!$C$6:$C$2205,"Consumed input"),COUNTIFS('Material routes'!$B$6:$B$2205,A212,'Material routes'!$C$6:$C$2205,"Contained input"),COUNTIFS('Material routes'!$B$6:$B$2205,A212,'Material routes'!$C$6:$C$2205,"Transform input"))</x:f>
        <x:v>2</x:v>
      </x:c>
      <x:c r="J212" s="4" t="n">
        <x:f>COUNTIFS('Material routes'!$B$6:$B$2205,A212,'Material routes'!$C$6:$C$2205,"Output")</x:f>
        <x:v>1</x:v>
      </x:c>
      <x:c r="K212" s="4" t="n">
        <x:f>COUNTIFS('Material routes'!$B$6:$B$2205,A212,'Material routes'!$C$6:$C$2205,"Tool candidate")</x:f>
        <x:v>0</x:v>
      </x:c>
      <x:c r="L212" s="4" t="str">
        <x:v>New October 15 tier-review proposal; user-authorized item audit and Docs/WORLD_BASIS.md. No source-canon or implemented-recipe claim.</x:v>
      </x:c>
      <x:c r="M212" s="4" t="str">
        <x:v>Candidate route only: quantities, yield, tools, fit, process conditions and service compatibility remain open. This is a passive link, not a reproduced powered actuator.</x:v>
      </x:c>
    </x:row>
    <x:row r="213" ht="115" customHeight="1">
      <x:c r="A213" s="4" t="str">
        <x:v>design.review.proposal_legger_joint_shroud</x:v>
      </x:c>
      <x:c r="B213" s="4" t="str">
        <x:v>Joint dust shroud preparation</x:v>
      </x:c>
      <x:c r="C213" s="4" t="str">
        <x:v>Material refinement</x:v>
      </x:c>
      <x:c r="D213" s="4" t="str">
        <x:v>Proposal</x:v>
      </x:c>
      <x:c r="E213" s="4" t="str">
        <x:v>Partial proposal</x:v>
      </x:c>
      <x:c r="F213" s="4" t="str">
        <x:v>Fit difficult prepared husk and bonding stock as a joint shroud. Candidate route only: quantities, yield, tools, fit, process conditions and service compatibility remain open. Flexibility, wear and dust behavior remain unqualified; no ordinary rubber or cloth.</x:v>
      </x:c>
      <x:c r="G213" s="4" t="str">
        <x:v>Forge hearth, Anvil, Forging hammer, Smithing tongs, Metalworking file and Hand-cranked metal drill as applicable. Existing workshop bootstrap and controlled heating/cooling required; no free-water quench assumed.</x:v>
      </x:c>
      <x:c r="H213" s="4" t="str">
        <x:f>IF(I213=0,"Unassigned",IF(SUMIFS('Material routes'!$Q$6:$Q$2205,'Material routes'!$B$6:$B$2205,A213)&gt;0,"Unassigned","T"&amp;_xlfn.MAXIFS('Material routes'!$P$6:$P$2205,'Material routes'!$B$6:$B$2205,A213)))</x:f>
        <x:v>T2</x:v>
      </x:c>
      <x:c r="I213" s="4" t="n">
        <x:f>SUM(COUNTIFS('Material routes'!$B$6:$B$2205,A213,'Material routes'!$C$6:$C$2205,"Ingredient candidate"),COUNTIFS('Material routes'!$B$6:$B$2205,A213,'Material routes'!$C$6:$C$2205,"Consumed input"),COUNTIFS('Material routes'!$B$6:$B$2205,A213,'Material routes'!$C$6:$C$2205,"Contained input"),COUNTIFS('Material routes'!$B$6:$B$2205,A213,'Material routes'!$C$6:$C$2205,"Transform input"))</x:f>
        <x:v>2</x:v>
      </x:c>
      <x:c r="J213" s="4" t="n">
        <x:f>COUNTIFS('Material routes'!$B$6:$B$2205,A213,'Material routes'!$C$6:$C$2205,"Output")</x:f>
        <x:v>1</x:v>
      </x:c>
      <x:c r="K213" s="4" t="n">
        <x:f>COUNTIFS('Material routes'!$B$6:$B$2205,A213,'Material routes'!$C$6:$C$2205,"Tool candidate")</x:f>
        <x:v>0</x:v>
      </x:c>
      <x:c r="L213" s="4" t="str">
        <x:v>New October 15 tier-review proposal; user-authorized item audit and Docs/WORLD_BASIS.md. No source-canon or implemented-recipe claim.</x:v>
      </x:c>
      <x:c r="M213" s="4" t="str">
        <x:v>Candidate route only: quantities, yield, tools, fit, process conditions and service compatibility remain open. Flexibility, wear and dust behavior remain unqualified; no ordinary rubber or cloth.</x:v>
      </x:c>
    </x:row>
    <x:row r="214" ht="115" customHeight="1">
      <x:c r="A214" s="4" t="str">
        <x:v>design.review.proposal_legger_grease_cup</x:v>
      </x:c>
      <x:c r="B214" s="4" t="str">
        <x:v>Fitted joint lubricant cup preparation</x:v>
      </x:c>
      <x:c r="C214" s="4" t="str">
        <x:v>Material refinement</x:v>
      </x:c>
      <x:c r="D214" s="4" t="str">
        <x:v>Proposal</x:v>
      </x:c>
      <x:c r="E214" s="4" t="str">
        <x:v>Partial proposal</x:v>
      </x:c>
      <x:c r="F214" s="4" t="str">
        <x:v>Form a fitted empty metal lubricant cup and attachment interfaces. Candidate route only: quantities, yield, tools, fit, process conditions and service compatibility remain open. Lubricant contents are separate; no grease is silently included in the output.</x:v>
      </x:c>
      <x:c r="G214" s="4" t="str">
        <x:v>Forge hearth, Anvil, Forging hammer, Smithing tongs, Metalworking file and Hand-cranked metal drill as applicable. Existing workshop bootstrap and controlled heating/cooling required; no free-water quench assumed.</x:v>
      </x:c>
      <x:c r="H214" s="4" t="str">
        <x:f>IF(I214=0,"Unassigned",IF(SUMIFS('Material routes'!$Q$6:$Q$2205,'Material routes'!$B$6:$B$2205,A214)&gt;0,"Unassigned","T"&amp;_xlfn.MAXIFS('Material routes'!$P$6:$P$2205,'Material routes'!$B$6:$B$2205,A214)))</x:f>
        <x:v>T2</x:v>
      </x:c>
      <x:c r="I214" s="4" t="n">
        <x:f>SUM(COUNTIFS('Material routes'!$B$6:$B$2205,A214,'Material routes'!$C$6:$C$2205,"Ingredient candidate"),COUNTIFS('Material routes'!$B$6:$B$2205,A214,'Material routes'!$C$6:$C$2205,"Consumed input"),COUNTIFS('Material routes'!$B$6:$B$2205,A214,'Material routes'!$C$6:$C$2205,"Contained input"),COUNTIFS('Material routes'!$B$6:$B$2205,A214,'Material routes'!$C$6:$C$2205,"Transform input"))</x:f>
        <x:v>2</x:v>
      </x:c>
      <x:c r="J214" s="4" t="n">
        <x:f>COUNTIFS('Material routes'!$B$6:$B$2205,A214,'Material routes'!$C$6:$C$2205,"Output")</x:f>
        <x:v>1</x:v>
      </x:c>
      <x:c r="K214" s="4" t="n">
        <x:f>COUNTIFS('Material routes'!$B$6:$B$2205,A214,'Material routes'!$C$6:$C$2205,"Tool candidate")</x:f>
        <x:v>0</x:v>
      </x:c>
      <x:c r="L214" s="4" t="str">
        <x:v>New October 15 tier-review proposal; user-authorized item audit and Docs/WORLD_BASIS.md. No source-canon or implemented-recipe claim.</x:v>
      </x:c>
      <x:c r="M214" s="4" t="str">
        <x:v>Candidate route only: quantities, yield, tools, fit, process conditions and service compatibility remain open. Lubricant contents are separate; no grease is silently included in the output.</x:v>
      </x:c>
    </x:row>
    <x:row r="215" ht="115" customHeight="1">
      <x:c r="A215" s="4" t="str">
        <x:v>design.review.proposal_legger_seal_cartridge</x:v>
      </x:c>
      <x:c r="B215" s="4" t="str">
        <x:v>Replaceable joint-seal cartridge preparation</x:v>
      </x:c>
      <x:c r="C215" s="4" t="str">
        <x:v>Material refinement</x:v>
      </x:c>
      <x:c r="D215" s="4" t="str">
        <x:v>Proposal</x:v>
      </x:c>
      <x:c r="E215" s="4" t="str">
        <x:v>Partial proposal</x:v>
      </x:c>
      <x:c r="F215" s="4" t="str">
        <x:v>Fit selected T3 sealing/packing stock into a Legger service cartridge. Candidate route only: quantities, yield, tools, fit, process conditions and service compatibility remain open. </x:v>
      </x:c>
      <x:c r="G215" s="4" t="str">
        <x:v>Forge hearth, Anvil, Forging hammer, Smithing tongs, Metalworking file and Hand-cranked metal drill as applicable. Existing workshop bootstrap and controlled heating/cooling required; no free-water quench assumed.</x:v>
      </x:c>
      <x:c r="H215" s="4" t="str">
        <x:f>IF(I215=0,"Unassigned",IF(SUMIFS('Material routes'!$Q$6:$Q$2205,'Material routes'!$B$6:$B$2205,A215)&gt;0,"Unassigned","T"&amp;_xlfn.MAXIFS('Material routes'!$P$6:$P$2205,'Material routes'!$B$6:$B$2205,A215)))</x:f>
        <x:v>T3</x:v>
      </x:c>
      <x:c r="I215" s="4" t="n">
        <x:f>SUM(COUNTIFS('Material routes'!$B$6:$B$2205,A215,'Material routes'!$C$6:$C$2205,"Ingredient candidate"),COUNTIFS('Material routes'!$B$6:$B$2205,A215,'Material routes'!$C$6:$C$2205,"Consumed input"),COUNTIFS('Material routes'!$B$6:$B$2205,A215,'Material routes'!$C$6:$C$2205,"Contained input"),COUNTIFS('Material routes'!$B$6:$B$2205,A215,'Material routes'!$C$6:$C$2205,"Transform input"))</x:f>
        <x:v>3</x:v>
      </x:c>
      <x:c r="J215" s="4" t="n">
        <x:f>COUNTIFS('Material routes'!$B$6:$B$2205,A215,'Material routes'!$C$6:$C$2205,"Output")</x:f>
        <x:v>1</x:v>
      </x:c>
      <x:c r="K215" s="4" t="n">
        <x:f>COUNTIFS('Material routes'!$B$6:$B$2205,A215,'Material routes'!$C$6:$C$2205,"Tool candidate")</x:f>
        <x:v>0</x:v>
      </x:c>
      <x:c r="L215" s="4" t="str">
        <x:v>New October 15 tier-review proposal; user-authorized item audit and Docs/WORLD_BASIS.md. No source-canon or implemented-recipe claim.</x:v>
      </x:c>
      <x:c r="M215" s="4" t="str">
        <x:v>Candidate route only: quantities, yield, tools, fit, process conditions and service compatibility remain open. </x:v>
      </x:c>
    </x:row>
    <x:row r="216" ht="115" customHeight="1">
      <x:c r="A216" s="4"/>
      <x:c r="B216" s="4"/>
      <x:c r="C216" s="4"/>
      <x:c r="D216" s="4"/>
      <x:c r="E216" s="4"/>
      <x:c r="F216" s="4"/>
      <x:c r="G216" s="4"/>
      <x:c r="H216" s="4"/>
      <x:c r="I216" s="4"/>
      <x:c r="J216" s="4"/>
      <x:c r="K216" s="4"/>
      <x:c r="L216" s="4"/>
      <x:c r="M216" s="4"/>
    </x:row>
    <x:row r="217" ht="115" customHeight="1">
      <x:c r="A217" s="4" t="str">
        <x:v>design.review.proposal_legger_inspection_hatch</x:v>
      </x:c>
      <x:c r="B217" s="4" t="str">
        <x:v>Legger inspection hatch preparation</x:v>
      </x:c>
      <x:c r="C217" s="4" t="str">
        <x:v>Material refinement</x:v>
      </x:c>
      <x:c r="D217" s="4" t="str">
        <x:v>Proposal</x:v>
      </x:c>
      <x:c r="E217" s="4" t="str">
        <x:v>Partial proposal</x:v>
      </x:c>
      <x:c r="F217" s="4" t="str">
        <x:v>Fit a metal hatch with selected hinge and sealing feed. Candidate route only: quantities, yield, tools, fit, process conditions and service compatibility remain open. </x:v>
      </x:c>
      <x:c r="G217" s="4" t="str">
        <x:v>Forge hearth, Anvil, Forging hammer, Smithing tongs, Metalworking file and Hand-cranked metal drill as applicable. Existing workshop bootstrap and controlled heating/cooling required; no free-water quench assumed.</x:v>
      </x:c>
      <x:c r="H217" s="4" t="str">
        <x:f>IF(I217=0,"Unassigned",IF(SUMIFS('Material routes'!$Q$6:$Q$2205,'Material routes'!$B$6:$B$2205,A217)&gt;0,"Unassigned","T"&amp;_xlfn.MAXIFS('Material routes'!$P$6:$P$2205,'Material routes'!$B$6:$B$2205,A217)))</x:f>
        <x:v>T2</x:v>
      </x:c>
      <x:c r="I217" s="4" t="n">
        <x:f>SUM(COUNTIFS('Material routes'!$B$6:$B$2205,A217,'Material routes'!$C$6:$C$2205,"Ingredient candidate"),COUNTIFS('Material routes'!$B$6:$B$2205,A217,'Material routes'!$C$6:$C$2205,"Consumed input"),COUNTIFS('Material routes'!$B$6:$B$2205,A217,'Material routes'!$C$6:$C$2205,"Contained input"),COUNTIFS('Material routes'!$B$6:$B$2205,A217,'Material routes'!$C$6:$C$2205,"Transform input"))</x:f>
        <x:v>3</x:v>
      </x:c>
      <x:c r="J217" s="4" t="n">
        <x:f>COUNTIFS('Material routes'!$B$6:$B$2205,A217,'Material routes'!$C$6:$C$2205,"Output")</x:f>
        <x:v>1</x:v>
      </x:c>
      <x:c r="K217" s="4" t="n">
        <x:f>COUNTIFS('Material routes'!$B$6:$B$2205,A217,'Material routes'!$C$6:$C$2205,"Tool candidate")</x:f>
        <x:v>0</x:v>
      </x:c>
      <x:c r="L217" s="4" t="str">
        <x:v>New October 15 tier-review proposal; user-authorized item audit and Docs/WORLD_BASIS.md. No source-canon or implemented-recipe claim.</x:v>
      </x:c>
      <x:c r="M217" s="4" t="str">
        <x:v>Candidate route only: quantities, yield, tools, fit, process conditions and service compatibility remain open. </x:v>
      </x:c>
    </x:row>
    <x:row r="218" ht="115" customHeight="1">
      <x:c r="A218" s="4" t="str">
        <x:v>design.review.proposal_legger_alignment_shims</x:v>
      </x:c>
      <x:c r="B218" s="4" t="str">
        <x:v>Chassis alignment-shim set preparation</x:v>
      </x:c>
      <x:c r="C218" s="4" t="str">
        <x:v>Material refinement</x:v>
      </x:c>
      <x:c r="D218" s="4" t="str">
        <x:v>Proposal</x:v>
      </x:c>
      <x:c r="E218" s="4" t="str">
        <x:v>Partial proposal</x:v>
      </x:c>
      <x:c r="F218" s="4" t="str">
        <x:v>Finish prepared steel to the selected alignment or joint geometry. Candidate route only: quantities, yield, tools, fit, process conditions and service compatibility remain open. </x:v>
      </x:c>
      <x:c r="G218" s="4" t="str">
        <x:v>Forge hearth, Anvil, Forging hammer, Smithing tongs, Metalworking file and Hand-cranked metal drill as applicable. Existing workshop bootstrap and controlled heating/cooling required; no free-water quench assumed.</x:v>
      </x:c>
      <x:c r="H218" s="4" t="str">
        <x:f>IF(I218=0,"Unassigned",IF(SUMIFS('Material routes'!$Q$6:$Q$2205,'Material routes'!$B$6:$B$2205,A218)&gt;0,"Unassigned","T"&amp;_xlfn.MAXIFS('Material routes'!$P$6:$P$2205,'Material routes'!$B$6:$B$2205,A218)))</x:f>
        <x:v>T2</x:v>
      </x:c>
      <x:c r="I218" s="4" t="n">
        <x:f>SUM(COUNTIFS('Material routes'!$B$6:$B$2205,A218,'Material routes'!$C$6:$C$2205,"Ingredient candidate"),COUNTIFS('Material routes'!$B$6:$B$2205,A218,'Material routes'!$C$6:$C$2205,"Consumed input"),COUNTIFS('Material routes'!$B$6:$B$2205,A218,'Material routes'!$C$6:$C$2205,"Contained input"),COUNTIFS('Material routes'!$B$6:$B$2205,A218,'Material routes'!$C$6:$C$2205,"Transform input"))</x:f>
        <x:v>2</x:v>
      </x:c>
      <x:c r="J218" s="4" t="n">
        <x:f>COUNTIFS('Material routes'!$B$6:$B$2205,A218,'Material routes'!$C$6:$C$2205,"Output")</x:f>
        <x:v>1</x:v>
      </x:c>
      <x:c r="K218" s="4" t="n">
        <x:f>COUNTIFS('Material routes'!$B$6:$B$2205,A218,'Material routes'!$C$6:$C$2205,"Tool candidate")</x:f>
        <x:v>0</x:v>
      </x:c>
      <x:c r="L218" s="4" t="str">
        <x:v>New October 15 tier-review proposal; user-authorized item audit and Docs/WORLD_BASIS.md. No source-canon or implemented-recipe claim.</x:v>
      </x:c>
      <x:c r="M218" s="4" t="str">
        <x:v>Candidate route only: quantities, yield, tools, fit, process conditions and service compatibility remain open. </x:v>
      </x:c>
    </x:row>
    <x:row r="219" ht="115" customHeight="1">
      <x:c r="A219" s="4" t="str">
        <x:v>design.review.proposal_legger_joint_pin</x:v>
      </x:c>
      <x:c r="B219" s="4" t="str">
        <x:v>Replaceable joint pin preparation</x:v>
      </x:c>
      <x:c r="C219" s="4" t="str">
        <x:v>Material refinement</x:v>
      </x:c>
      <x:c r="D219" s="4" t="str">
        <x:v>Proposal</x:v>
      </x:c>
      <x:c r="E219" s="4" t="str">
        <x:v>Partial proposal</x:v>
      </x:c>
      <x:c r="F219" s="4" t="str">
        <x:v>Finish prepared steel to the selected alignment or joint geometry. Candidate route only: quantities, yield, tools, fit, process conditions and service compatibility remain open. </x:v>
      </x:c>
      <x:c r="G219" s="4" t="str">
        <x:v>Forge hearth, Anvil, Forging hammer, Smithing tongs, Metalworking file and Hand-cranked metal drill as applicable. Existing workshop bootstrap and controlled heating/cooling required; no free-water quench assumed.</x:v>
      </x:c>
      <x:c r="H219" s="4" t="str">
        <x:f>IF(I219=0,"Unassigned",IF(SUMIFS('Material routes'!$Q$6:$Q$2205,'Material routes'!$B$6:$B$2205,A219)&gt;0,"Unassigned","T"&amp;_xlfn.MAXIFS('Material routes'!$P$6:$P$2205,'Material routes'!$B$6:$B$2205,A219)))</x:f>
        <x:v>T2</x:v>
      </x:c>
      <x:c r="I219" s="4" t="n">
        <x:f>SUM(COUNTIFS('Material routes'!$B$6:$B$2205,A219,'Material routes'!$C$6:$C$2205,"Ingredient candidate"),COUNTIFS('Material routes'!$B$6:$B$2205,A219,'Material routes'!$C$6:$C$2205,"Consumed input"),COUNTIFS('Material routes'!$B$6:$B$2205,A219,'Material routes'!$C$6:$C$2205,"Contained input"),COUNTIFS('Material routes'!$B$6:$B$2205,A219,'Material routes'!$C$6:$C$2205,"Transform input"))</x:f>
        <x:v>2</x:v>
      </x:c>
      <x:c r="J219" s="4" t="n">
        <x:f>COUNTIFS('Material routes'!$B$6:$B$2205,A219,'Material routes'!$C$6:$C$2205,"Output")</x:f>
        <x:v>1</x:v>
      </x:c>
      <x:c r="K219" s="4" t="n">
        <x:f>COUNTIFS('Material routes'!$B$6:$B$2205,A219,'Material routes'!$C$6:$C$2205,"Tool candidate")</x:f>
        <x:v>0</x:v>
      </x:c>
      <x:c r="L219" s="4" t="str">
        <x:v>New October 15 tier-review proposal; user-authorized item audit and Docs/WORLD_BASIS.md. No source-canon or implemented-recipe claim.</x:v>
      </x:c>
      <x:c r="M219" s="4" t="str">
        <x:v>Candidate route only: quantities, yield, tools, fit, process conditions and service compatibility remain open. </x:v>
      </x:c>
    </x:row>
    <x:row r="220" ht="115" customHeight="1">
      <x:c r="A220" s="4" t="str">
        <x:v>design.review.proposal_legger_thrust_washer</x:v>
      </x:c>
      <x:c r="B220" s="4" t="str">
        <x:v>Joint thrust washer preparation</x:v>
      </x:c>
      <x:c r="C220" s="4" t="str">
        <x:v>Material refinement</x:v>
      </x:c>
      <x:c r="D220" s="4" t="str">
        <x:v>Proposal</x:v>
      </x:c>
      <x:c r="E220" s="4" t="str">
        <x:v>Partial proposal</x:v>
      </x:c>
      <x:c r="F220" s="4" t="str">
        <x:v>Shape and finish bearing-metal stock as a fitted thrust washer. Candidate route only: quantities, yield, tools, fit, process conditions and service compatibility remain open. </x:v>
      </x:c>
      <x:c r="G220" s="4" t="str">
        <x:v>Forge hearth, Anvil, Forging hammer, Smithing tongs, Metalworking file and Hand-cranked metal drill as applicable. Existing workshop bootstrap and controlled heating/cooling required; no free-water quench assumed.</x:v>
      </x:c>
      <x:c r="H220" s="4" t="str">
        <x:f>IF(I220=0,"Unassigned",IF(SUMIFS('Material routes'!$Q$6:$Q$2205,'Material routes'!$B$6:$B$2205,A220)&gt;0,"Unassigned","T"&amp;_xlfn.MAXIFS('Material routes'!$P$6:$P$2205,'Material routes'!$B$6:$B$2205,A220)))</x:f>
        <x:v>T2</x:v>
      </x:c>
      <x:c r="I220" s="4" t="n">
        <x:f>SUM(COUNTIFS('Material routes'!$B$6:$B$2205,A220,'Material routes'!$C$6:$C$2205,"Ingredient candidate"),COUNTIFS('Material routes'!$B$6:$B$2205,A220,'Material routes'!$C$6:$C$2205,"Consumed input"),COUNTIFS('Material routes'!$B$6:$B$2205,A220,'Material routes'!$C$6:$C$2205,"Contained input"),COUNTIFS('Material routes'!$B$6:$B$2205,A220,'Material routes'!$C$6:$C$2205,"Transform input"))</x:f>
        <x:v>2</x:v>
      </x:c>
      <x:c r="J220" s="4" t="n">
        <x:f>COUNTIFS('Material routes'!$B$6:$B$2205,A220,'Material routes'!$C$6:$C$2205,"Output")</x:f>
        <x:v>1</x:v>
      </x:c>
      <x:c r="K220" s="4" t="n">
        <x:f>COUNTIFS('Material routes'!$B$6:$B$2205,A220,'Material routes'!$C$6:$C$2205,"Tool candidate")</x:f>
        <x:v>0</x:v>
      </x:c>
      <x:c r="L220" s="4" t="str">
        <x:v>New October 15 tier-review proposal; user-authorized item audit and Docs/WORLD_BASIS.md. No source-canon or implemented-recipe claim.</x:v>
      </x:c>
      <x:c r="M220" s="4" t="str">
        <x:v>Candidate route only: quantities, yield, tools, fit, process conditions and service compatibility remain open. </x:v>
      </x:c>
    </x:row>
    <x:row r="221" ht="115" customHeight="1">
      <x:c r="A221" s="4" t="str">
        <x:v>design.review.proposal_legger_gear_cluster</x:v>
      </x:c>
      <x:c r="B221" s="4" t="str">
        <x:v>Replacement gear cluster preparation</x:v>
      </x:c>
      <x:c r="C221" s="4" t="str">
        <x:v>Material refinement</x:v>
      </x:c>
      <x:c r="D221" s="4" t="str">
        <x:v>Proposal</x:v>
      </x:c>
      <x:c r="E221" s="4" t="str">
        <x:v>Partial proposal</x:v>
      </x:c>
      <x:c r="F221" s="4" t="str">
        <x:v>Cut, match and retain T3 gear blanks as a replacement cluster. Candidate route only: quantities, yield, tools, fit, process conditions and service compatibility remain open. Ratios, loads, geometry, lubrication and Legger interface remain undefined.</x:v>
      </x:c>
      <x:c r="G221" s="4" t="str">
        <x:v>Forge hearth, Anvil, Forging hammer, Smithing tongs, Metalworking file and Hand-cranked metal drill as applicable. Existing workshop bootstrap and controlled heating/cooling required; no free-water quench assumed.</x:v>
      </x:c>
      <x:c r="H221" s="4" t="str">
        <x:f>IF(I221=0,"Unassigned",IF(SUMIFS('Material routes'!$Q$6:$Q$2205,'Material routes'!$B$6:$B$2205,A221)&gt;0,"Unassigned","T"&amp;_xlfn.MAXIFS('Material routes'!$P$6:$P$2205,'Material routes'!$B$6:$B$2205,A221)))</x:f>
        <x:v>T3</x:v>
      </x:c>
      <x:c r="I221" s="4" t="n">
        <x:f>SUM(COUNTIFS('Material routes'!$B$6:$B$2205,A221,'Material routes'!$C$6:$C$2205,"Ingredient candidate"),COUNTIFS('Material routes'!$B$6:$B$2205,A221,'Material routes'!$C$6:$C$2205,"Consumed input"),COUNTIFS('Material routes'!$B$6:$B$2205,A221,'Material routes'!$C$6:$C$2205,"Contained input"),COUNTIFS('Material routes'!$B$6:$B$2205,A221,'Material routes'!$C$6:$C$2205,"Transform input"))</x:f>
        <x:v>3</x:v>
      </x:c>
      <x:c r="J221" s="4" t="n">
        <x:f>COUNTIFS('Material routes'!$B$6:$B$2205,A221,'Material routes'!$C$6:$C$2205,"Output")</x:f>
        <x:v>1</x:v>
      </x:c>
      <x:c r="K221" s="4" t="n">
        <x:f>COUNTIFS('Material routes'!$B$6:$B$2205,A221,'Material routes'!$C$6:$C$2205,"Tool candidate")</x:f>
        <x:v>0</x:v>
      </x:c>
      <x:c r="L221" s="4" t="str">
        <x:v>New October 15 tier-review proposal; user-authorized item audit and Docs/WORLD_BASIS.md. No source-canon or implemented-recipe claim.</x:v>
      </x:c>
      <x:c r="M221" s="4" t="str">
        <x:v>Candidate route only: quantities, yield, tools, fit, process conditions and service compatibility remain open. Ratios, loads, geometry, lubrication and Legger interface remain undefined.</x:v>
      </x:c>
    </x:row>
    <x:row r="222" ht="115" customHeight="1">
      <x:c r="A222" s="4" t="str">
        <x:v>design.review.proposal_legger_linkage_end</x:v>
      </x:c>
      <x:c r="B222" s="4" t="str">
        <x:v>Replacement linkage-end joint preparation</x:v>
      </x:c>
      <x:c r="C222" s="4" t="str">
        <x:v>Material refinement</x:v>
      </x:c>
      <x:c r="D222" s="4" t="str">
        <x:v>Proposal</x:v>
      </x:c>
      <x:c r="E222" s="4" t="str">
        <x:v>Partial proposal</x:v>
      </x:c>
      <x:c r="F222" s="4" t="str">
        <x:v>Form and fit a selected linkage-end joint from prepared metal stock. Candidate route only: quantities, yield, tools, fit, process conditions and service compatibility remain open. </x:v>
      </x:c>
      <x:c r="G222" s="4" t="str">
        <x:v>Forge hearth, Anvil, Forging hammer, Smithing tongs, Metalworking file and Hand-cranked metal drill as applicable. Existing workshop bootstrap and controlled heating/cooling required; no free-water quench assumed.</x:v>
      </x:c>
      <x:c r="H222" s="4" t="str">
        <x:f>IF(I222=0,"Unassigned",IF(SUMIFS('Material routes'!$Q$6:$Q$2205,'Material routes'!$B$6:$B$2205,A222)&gt;0,"Unassigned","T"&amp;_xlfn.MAXIFS('Material routes'!$P$6:$P$2205,'Material routes'!$B$6:$B$2205,A222)))</x:f>
        <x:v>T2</x:v>
      </x:c>
      <x:c r="I222" s="4" t="n">
        <x:f>SUM(COUNTIFS('Material routes'!$B$6:$B$2205,A222,'Material routes'!$C$6:$C$2205,"Ingredient candidate"),COUNTIFS('Material routes'!$B$6:$B$2205,A222,'Material routes'!$C$6:$C$2205,"Consumed input"),COUNTIFS('Material routes'!$B$6:$B$2205,A222,'Material routes'!$C$6:$C$2205,"Contained input"),COUNTIFS('Material routes'!$B$6:$B$2205,A222,'Material routes'!$C$6:$C$2205,"Transform input"))</x:f>
        <x:v>2</x:v>
      </x:c>
      <x:c r="J222" s="4" t="n">
        <x:f>COUNTIFS('Material routes'!$B$6:$B$2205,A222,'Material routes'!$C$6:$C$2205,"Output")</x:f>
        <x:v>1</x:v>
      </x:c>
      <x:c r="K222" s="4" t="n">
        <x:f>COUNTIFS('Material routes'!$B$6:$B$2205,A222,'Material routes'!$C$6:$C$2205,"Tool candidate")</x:f>
        <x:v>0</x:v>
      </x:c>
      <x:c r="L222" s="4" t="str">
        <x:v>New October 15 tier-review proposal; user-authorized item audit and Docs/WORLD_BASIS.md. No source-canon or implemented-recipe claim.</x:v>
      </x:c>
      <x:c r="M222" s="4" t="str">
        <x:v>Candidate route only: quantities, yield, tools, fit, process conditions and service compatibility remain open. </x:v>
      </x:c>
    </x:row>
    <x:row r="223" ht="115" customHeight="1">
      <x:c r="A223" s="4" t="str">
        <x:v>design.review.proposal_legger_tensioner</x:v>
      </x:c>
      <x:c r="B223" s="4" t="str">
        <x:v>Drive tensioner assembly preparation</x:v>
      </x:c>
      <x:c r="C223" s="4" t="str">
        <x:v>Material refinement</x:v>
      </x:c>
      <x:c r="D223" s="4" t="str">
        <x:v>Proposal</x:v>
      </x:c>
      <x:c r="E223" s="4" t="str">
        <x:v>Partial proposal</x:v>
      </x:c>
      <x:c r="F223" s="4" t="str">
        <x:v>Fit the spring/bearing tensioning module from selected T3 stocks. Candidate route only: quantities, yield, tools, fit, process conditions and service compatibility remain open. </x:v>
      </x:c>
      <x:c r="G223" s="4" t="str">
        <x:v>Forge hearth, Anvil, Forging hammer, Smithing tongs, Metalworking file and Hand-cranked metal drill as applicable. Existing workshop bootstrap and controlled heating/cooling required; no free-water quench assumed.</x:v>
      </x:c>
      <x:c r="H223" s="4" t="str">
        <x:f>IF(I223=0,"Unassigned",IF(SUMIFS('Material routes'!$Q$6:$Q$2205,'Material routes'!$B$6:$B$2205,A223)&gt;0,"Unassigned","T"&amp;_xlfn.MAXIFS('Material routes'!$P$6:$P$2205,'Material routes'!$B$6:$B$2205,A223)))</x:f>
        <x:v>T3</x:v>
      </x:c>
      <x:c r="I223" s="4" t="n">
        <x:f>SUM(COUNTIFS('Material routes'!$B$6:$B$2205,A223,'Material routes'!$C$6:$C$2205,"Ingredient candidate"),COUNTIFS('Material routes'!$B$6:$B$2205,A223,'Material routes'!$C$6:$C$2205,"Consumed input"),COUNTIFS('Material routes'!$B$6:$B$2205,A223,'Material routes'!$C$6:$C$2205,"Contained input"),COUNTIFS('Material routes'!$B$6:$B$2205,A223,'Material routes'!$C$6:$C$2205,"Transform input"))</x:f>
        <x:v>4</x:v>
      </x:c>
      <x:c r="J223" s="4" t="n">
        <x:f>COUNTIFS('Material routes'!$B$6:$B$2205,A223,'Material routes'!$C$6:$C$2205,"Output")</x:f>
        <x:v>1</x:v>
      </x:c>
      <x:c r="K223" s="4" t="n">
        <x:f>COUNTIFS('Material routes'!$B$6:$B$2205,A223,'Material routes'!$C$6:$C$2205,"Tool candidate")</x:f>
        <x:v>0</x:v>
      </x:c>
      <x:c r="L223" s="4" t="str">
        <x:v>New October 15 tier-review proposal; user-authorized item audit and Docs/WORLD_BASIS.md. No source-canon or implemented-recipe claim.</x:v>
      </x:c>
      <x:c r="M223" s="4" t="str">
        <x:v>Candidate route only: quantities, yield, tools, fit, process conditions and service compatibility remain open. </x:v>
      </x:c>
    </x:row>
    <x:row r="224" ht="115" customHeight="1">
      <x:c r="A224" s="4" t="str">
        <x:v>design.review.proposal_legger_scraper_ring</x:v>
      </x:c>
      <x:c r="B224" s="4" t="str">
        <x:v>Joint grit-scraper ring preparation</x:v>
      </x:c>
      <x:c r="C224" s="4" t="str">
        <x:v>Material refinement</x:v>
      </x:c>
      <x:c r="D224" s="4" t="str">
        <x:v>Proposal</x:v>
      </x:c>
      <x:c r="E224" s="4" t="str">
        <x:v>Partial proposal</x:v>
      </x:c>
      <x:c r="F224" s="4" t="str">
        <x:v>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G224" s="4" t="str">
        <x:v>Forge hearth, Anvil, Forging hammer, Smithing tongs, Metalworking file and Hand-cranked metal drill as applicable. Existing workshop bootstrap and controlled heating/cooling required; no free-water quench assumed.</x:v>
      </x:c>
      <x:c r="H224" s="4" t="str">
        <x:f>IF(I224=0,"Unassigned",IF(SUMIFS('Material routes'!$Q$6:$Q$2205,'Material routes'!$B$6:$B$2205,A224)&gt;0,"Unassigned","T"&amp;_xlfn.MAXIFS('Material routes'!$P$6:$P$2205,'Material routes'!$B$6:$B$2205,A224)))</x:f>
        <x:v>T2</x:v>
      </x:c>
      <x:c r="I224" s="4" t="n">
        <x:f>SUM(COUNTIFS('Material routes'!$B$6:$B$2205,A224,'Material routes'!$C$6:$C$2205,"Ingredient candidate"),COUNTIFS('Material routes'!$B$6:$B$2205,A224,'Material routes'!$C$6:$C$2205,"Consumed input"),COUNTIFS('Material routes'!$B$6:$B$2205,A224,'Material routes'!$C$6:$C$2205,"Contained input"),COUNTIFS('Material routes'!$B$6:$B$2205,A224,'Material routes'!$C$6:$C$2205,"Transform input"))</x:f>
        <x:v>2</x:v>
      </x:c>
      <x:c r="J224" s="4" t="n">
        <x:f>COUNTIFS('Material routes'!$B$6:$B$2205,A224,'Material routes'!$C$6:$C$2205,"Output")</x:f>
        <x:v>1</x:v>
      </x:c>
      <x:c r="K224" s="4" t="n">
        <x:f>COUNTIFS('Material routes'!$B$6:$B$2205,A224,'Material routes'!$C$6:$C$2205,"Tool candidate")</x:f>
        <x:v>0</x:v>
      </x:c>
      <x:c r="L224" s="4" t="str">
        <x:v>New October 15 tier-review proposal; user-authorized item audit and Docs/WORLD_BASIS.md. No source-canon or implemented-recipe claim.</x:v>
      </x:c>
      <x:c r="M224" s="4" t="str">
        <x:v>Candidate route only: quantities, yield, tools, fit, process conditions and service compatibility remain open. Grit removal, friction and seal compatibility remain intended behaviors rather than tested performance.</x:v>
      </x:c>
    </x:row>
    <x:row r="225" ht="115" customHeight="1">
      <x:c r="A225" s="4" t="str">
        <x:v>design.review.proposal_legger_service_adapter</x:v>
      </x:c>
      <x:c r="B225" s="4" t="str">
        <x:v>Lubricant service-port adapter preparation</x:v>
      </x:c>
      <x:c r="C225" s="4" t="str">
        <x:v>Material refinement</x:v>
      </x:c>
      <x:c r="D225" s="4" t="str">
        <x:v>Proposal</x:v>
      </x:c>
      <x:c r="E225" s="4" t="str">
        <x:v>Partial proposal</x:v>
      </x:c>
      <x:c r="F225" s="4" t="str">
        <x:v>Fit a service-port adapter from precision tube, packing and metal stock. Candidate route only: quantities, yield, tools, fit, process conditions and service compatibility remain open. </x:v>
      </x:c>
      <x:c r="G225" s="4" t="str">
        <x:v>Forge hearth, Anvil, Forging hammer, Smithing tongs, Metalworking file and Hand-cranked metal drill as applicable. Existing workshop bootstrap and controlled heating/cooling required; no free-water quench assumed.</x:v>
      </x:c>
      <x:c r="H225" s="4" t="str">
        <x:f>IF(I225=0,"Unassigned",IF(SUMIFS('Material routes'!$Q$6:$Q$2205,'Material routes'!$B$6:$B$2205,A225)&gt;0,"Unassigned","T"&amp;_xlfn.MAXIFS('Material routes'!$P$6:$P$2205,'Material routes'!$B$6:$B$2205,A225)))</x:f>
        <x:v>T3</x:v>
      </x:c>
      <x:c r="I225" s="4" t="n">
        <x:f>SUM(COUNTIFS('Material routes'!$B$6:$B$2205,A225,'Material routes'!$C$6:$C$2205,"Ingredient candidate"),COUNTIFS('Material routes'!$B$6:$B$2205,A225,'Material routes'!$C$6:$C$2205,"Consumed input"),COUNTIFS('Material routes'!$B$6:$B$2205,A225,'Material routes'!$C$6:$C$2205,"Contained input"),COUNTIFS('Material routes'!$B$6:$B$2205,A225,'Material routes'!$C$6:$C$2205,"Transform input"))</x:f>
        <x:v>4</x:v>
      </x:c>
      <x:c r="J225" s="4" t="n">
        <x:f>COUNTIFS('Material routes'!$B$6:$B$2205,A225,'Material routes'!$C$6:$C$2205,"Output")</x:f>
        <x:v>1</x:v>
      </x:c>
      <x:c r="K225" s="4" t="n">
        <x:f>COUNTIFS('Material routes'!$B$6:$B$2205,A225,'Material routes'!$C$6:$C$2205,"Tool candidate")</x:f>
        <x:v>0</x:v>
      </x:c>
      <x:c r="L225" s="4" t="str">
        <x:v>New October 15 tier-review proposal; user-authorized item audit and Docs/WORLD_BASIS.md. No source-canon or implemented-recipe claim.</x:v>
      </x:c>
      <x:c r="M225" s="4" t="str">
        <x:v>Candidate route only: quantities, yield, tools, fit, process conditions and service compatibility remain open.  Lore-coherence pass adds selected fastener/fitting candidates. These remain partial; no quantity or universal fit is assigned.</x:v>
      </x:c>
    </x:row>
    <x:row r="226" ht="115" customHeight="1">
      <x:c r="A226" s="4" t="str">
        <x:v>design.review.proposal_legger_guard_hinge</x:v>
      </x:c>
      <x:c r="B226" s="4" t="str">
        <x:v>Armor-guard hinge assembly preparation</x:v>
      </x:c>
      <x:c r="C226" s="4" t="str">
        <x:v>Material refinement</x:v>
      </x:c>
      <x:c r="D226" s="4" t="str">
        <x:v>Proposal</x:v>
      </x:c>
      <x:c r="E226" s="4" t="str">
        <x:v>Partial proposal</x:v>
      </x:c>
      <x:c r="F226" s="4" t="str">
        <x:v>Fit a matched guard hinge and return mechanism from selected T3 spring stock. Candidate route only: quantities, yield, tools, fit, process conditions and service compatibility remain open. </x:v>
      </x:c>
      <x:c r="G226" s="4" t="str">
        <x:v>Forge hearth, Anvil, Forging hammer, Smithing tongs, Metalworking file and Hand-cranked metal drill as applicable. Existing workshop bootstrap and controlled heating/cooling required; no free-water quench assumed.</x:v>
      </x:c>
      <x:c r="H226" s="4" t="str">
        <x:f>IF(I226=0,"Unassigned",IF(SUMIFS('Material routes'!$Q$6:$Q$2205,'Material routes'!$B$6:$B$2205,A226)&gt;0,"Unassigned","T"&amp;_xlfn.MAXIFS('Material routes'!$P$6:$P$2205,'Material routes'!$B$6:$B$2205,A226)))</x:f>
        <x:v>T3</x:v>
      </x:c>
      <x:c r="I226" s="4" t="n">
        <x:f>SUM(COUNTIFS('Material routes'!$B$6:$B$2205,A226,'Material routes'!$C$6:$C$2205,"Ingredient candidate"),COUNTIFS('Material routes'!$B$6:$B$2205,A226,'Material routes'!$C$6:$C$2205,"Consumed input"),COUNTIFS('Material routes'!$B$6:$B$2205,A226,'Material routes'!$C$6:$C$2205,"Contained input"),COUNTIFS('Material routes'!$B$6:$B$2205,A226,'Material routes'!$C$6:$C$2205,"Transform input"))</x:f>
        <x:v>3</x:v>
      </x:c>
      <x:c r="J226" s="4" t="n">
        <x:f>COUNTIFS('Material routes'!$B$6:$B$2205,A226,'Material routes'!$C$6:$C$2205,"Output")</x:f>
        <x:v>1</x:v>
      </x:c>
      <x:c r="K226" s="4" t="n">
        <x:f>COUNTIFS('Material routes'!$B$6:$B$2205,A226,'Material routes'!$C$6:$C$2205,"Tool candidate")</x:f>
        <x:v>0</x:v>
      </x:c>
      <x:c r="L226" s="4" t="str">
        <x:v>New October 15 tier-review proposal; user-authorized item audit and Docs/WORLD_BASIS.md. No source-canon or implemented-recipe claim.</x:v>
      </x:c>
      <x:c r="M226" s="4" t="str">
        <x:v>Candidate route only: quantities, yield, tools, fit, process conditions and service compatibility remain open. </x:v>
      </x:c>
    </x:row>
    <x:row r="227" ht="115" customHeight="1">
      <x:c r="A227" s="4" t="str">
        <x:v>design.review.proposal_food_edible_flakes</x:v>
      </x:c>
      <x:c r="B227" s="4" t="str">
        <x:v>Prepared edible-fauna flakes preparation</x:v>
      </x:c>
      <x:c r="C227" s="4" t="str">
        <x:v>Material refinement</x:v>
      </x:c>
      <x:c r="D227" s="4" t="str">
        <x:v>Proposal</x:v>
      </x:c>
      <x:c r="E227" s="4" t="str">
        <x:v>Partial proposal</x:v>
      </x:c>
      <x:c r="F227"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7" s="4" t="str">
        <x:v>Contained food-only vessels, Food preparation screen and dedicated food tools. Species/culture/mineral edibility and storage qualification unresolved.</x:v>
      </x:c>
      <x:c r="H227" s="4" t="str">
        <x:f>IF(I227=0,"Unassigned",IF(SUMIFS('Material routes'!$Q$6:$Q$2205,'Material routes'!$B$6:$B$2205,A227)&gt;0,"Unassigned","T"&amp;_xlfn.MAXIFS('Material routes'!$P$6:$P$2205,'Material routes'!$B$6:$B$2205,A227)))</x:f>
        <x:v>T0</x:v>
      </x:c>
      <x:c r="I227" s="4" t="n">
        <x:f>SUM(COUNTIFS('Material routes'!$B$6:$B$2205,A227,'Material routes'!$C$6:$C$2205,"Ingredient candidate"),COUNTIFS('Material routes'!$B$6:$B$2205,A227,'Material routes'!$C$6:$C$2205,"Consumed input"),COUNTIFS('Material routes'!$B$6:$B$2205,A227,'Material routes'!$C$6:$C$2205,"Contained input"),COUNTIFS('Material routes'!$B$6:$B$2205,A227,'Material routes'!$C$6:$C$2205,"Transform input"))</x:f>
        <x:v>1</x:v>
      </x:c>
      <x:c r="J227" s="4" t="n">
        <x:f>COUNTIFS('Material routes'!$B$6:$B$2205,A227,'Material routes'!$C$6:$C$2205,"Output")</x:f>
        <x:v>1</x:v>
      </x:c>
      <x:c r="K227" s="4" t="n">
        <x:f>COUNTIFS('Material routes'!$B$6:$B$2205,A227,'Material routes'!$C$6:$C$2205,"Tool candidate")</x:f>
        <x:v>0</x:v>
      </x:c>
      <x:c r="L227" s="4" t="str">
        <x:v>New October 15 tier-review proposal; user-authorized item audit and Docs/WORLD_BASIS.md. No source-canon or implemented-recipe claim.</x:v>
      </x:c>
      <x:c r="M227" s="4" t="str">
        <x:v>Candidate route only: quantities, yield, tools, fit, process conditions and service compatibility remain open. Species, safe fraction, preparation and yield remain TBD. No generic detoxification, industrial carrier or replacement of Phagia nutrition.</x:v>
      </x:c>
    </x:row>
    <x:row r="228" ht="115" customHeight="1">
      <x:c r="A228" s="4" t="str">
        <x:v>design.review.proposal_food_edible_paste</x:v>
      </x:c>
      <x:c r="B228" s="4" t="str">
        <x:v>Prepared edible-fauna paste preparation</x:v>
      </x:c>
      <x:c r="C228" s="4" t="str">
        <x:v>Material refinement</x:v>
      </x:c>
      <x:c r="D228" s="4" t="str">
        <x:v>Proposal</x:v>
      </x:c>
      <x:c r="E228" s="4" t="str">
        <x:v>Partial proposal</x:v>
      </x:c>
      <x:c r="F228"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8" s="4" t="str">
        <x:v>Contained food-only vessels, Food preparation screen and dedicated food tools. Species/culture/mineral edibility and storage qualification unresolved.</x:v>
      </x:c>
      <x:c r="H228" s="4" t="str">
        <x:f>IF(I228=0,"Unassigned",IF(SUMIFS('Material routes'!$Q$6:$Q$2205,'Material routes'!$B$6:$B$2205,A228)&gt;0,"Unassigned","T"&amp;_xlfn.MAXIFS('Material routes'!$P$6:$P$2205,'Material routes'!$B$6:$B$2205,A228)))</x:f>
        <x:v>T0</x:v>
      </x:c>
      <x:c r="I228" s="4" t="n">
        <x:f>SUM(COUNTIFS('Material routes'!$B$6:$B$2205,A228,'Material routes'!$C$6:$C$2205,"Ingredient candidate"),COUNTIFS('Material routes'!$B$6:$B$2205,A228,'Material routes'!$C$6:$C$2205,"Consumed input"),COUNTIFS('Material routes'!$B$6:$B$2205,A228,'Material routes'!$C$6:$C$2205,"Contained input"),COUNTIFS('Material routes'!$B$6:$B$2205,A228,'Material routes'!$C$6:$C$2205,"Transform input"))</x:f>
        <x:v>1</x:v>
      </x:c>
      <x:c r="J228" s="4" t="n">
        <x:f>COUNTIFS('Material routes'!$B$6:$B$2205,A228,'Material routes'!$C$6:$C$2205,"Output")</x:f>
        <x:v>1</x:v>
      </x:c>
      <x:c r="K228" s="4" t="n">
        <x:f>COUNTIFS('Material routes'!$B$6:$B$2205,A228,'Material routes'!$C$6:$C$2205,"Tool candidate")</x:f>
        <x:v>0</x:v>
      </x:c>
      <x:c r="L228" s="4" t="str">
        <x:v>New October 15 tier-review proposal; user-authorized item audit and Docs/WORLD_BASIS.md. No source-canon or implemented-recipe claim.</x:v>
      </x:c>
      <x:c r="M228" s="4" t="str">
        <x:v>Candidate route only: quantities, yield, tools, fit, process conditions and service compatibility remain open. Species, safe fraction, preparation and yield remain TBD. No generic detoxification, industrial carrier or replacement of Phagia nutrition.</x:v>
      </x:c>
    </x:row>
    <x:row r="229" ht="115" customHeight="1">
      <x:c r="A229" s="4" t="str">
        <x:v>design.review.author_electrical_insulation_stock</x:v>
      </x:c>
      <x:c r="B229" s="4" t="str">
        <x:v>Prepared electrical insulation stock preparation</x:v>
      </x:c>
      <x:c r="C229" s="4" t="str">
        <x:v>Material refinement</x:v>
      </x:c>
      <x:c r="D229" s="4" t="str">
        <x:v>Proposal</x:v>
      </x:c>
      <x:c r="E229" s="4" t="str">
        <x:v>Partial proposal</x:v>
      </x:c>
      <x:c r="F229" s="4" t="str">
        <x:v>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G229" s="4" t="str">
        <x:v>Forge hearth, Anvil, Forging hammer, Smithing tongs, Metalworking file and Hand-cranked metal drill as applicable. Existing workshop bootstrap and controlled heating/cooling required; no free-water quench assumed.</x:v>
      </x:c>
      <x:c r="H229" s="4" t="str">
        <x:f>IF(I229=0,"Unassigned",IF(SUMIFS('Material routes'!$Q$6:$Q$2205,'Material routes'!$B$6:$B$2205,A229)&gt;0,"Unassigned","T"&amp;_xlfn.MAXIFS('Material routes'!$P$6:$P$2205,'Material routes'!$B$6:$B$2205,A229)))</x:f>
        <x:v>T2</x:v>
      </x:c>
      <x:c r="I229" s="4" t="n">
        <x:f>SUM(COUNTIFS('Material routes'!$B$6:$B$2205,A229,'Material routes'!$C$6:$C$2205,"Ingredient candidate"),COUNTIFS('Material routes'!$B$6:$B$2205,A229,'Material routes'!$C$6:$C$2205,"Consumed input"),COUNTIFS('Material routes'!$B$6:$B$2205,A229,'Material routes'!$C$6:$C$2205,"Contained input"),COUNTIFS('Material routes'!$B$6:$B$2205,A229,'Material routes'!$C$6:$C$2205,"Transform input"))</x:f>
        <x:v>3</x:v>
      </x:c>
      <x:c r="J229" s="4" t="n">
        <x:f>COUNTIFS('Material routes'!$B$6:$B$2205,A229,'Material routes'!$C$6:$C$2205,"Output")</x:f>
        <x:v>1</x:v>
      </x:c>
      <x:c r="K229" s="4" t="n">
        <x:f>COUNTIFS('Material routes'!$B$6:$B$2205,A229,'Material routes'!$C$6:$C$2205,"Tool candidate")</x:f>
        <x:v>0</x:v>
      </x:c>
      <x:c r="L229" s="4" t="str">
        <x:v>New October 15 tier-review proposal; user-authorized item audit and Docs/WORLD_BASIS.md. No source-canon or implemented-recipe claim.</x:v>
      </x:c>
      <x:c r="M229" s="4" t="str">
        <x:v>Candidate route only: quantities, yield, tools, fit, process conditions and service compatibility remain open. A proposed contemporary grade within the existing author-directed family; no high-voltage rating or universal flexibility.</x:v>
      </x:c>
    </x:row>
    <x:row r="230" ht="115" customHeight="1">
      <x:c r="A230" s="4" t="str">
        <x:v>design.review.proposal_corrosion_converter</x:v>
      </x:c>
      <x:c r="B230" s="4" t="str">
        <x:v>Rust-conversion treatment preparation</x:v>
      </x:c>
      <x:c r="C230" s="4" t="str">
        <x:v>Material refinement</x:v>
      </x:c>
      <x:c r="D230" s="4" t="str">
        <x:v>Proposal</x:v>
      </x:c>
      <x:c r="E230" s="4" t="str">
        <x:v>Partial proposal</x:v>
      </x:c>
      <x:c r="F230" s="4" t="str">
        <x:v>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G230" s="4" t="str">
        <x:v>Specialist engineering workshop; insulation, pressure or control qualification as applicable. Power/working medium and operating theory unresolved.</x:v>
      </x:c>
      <x:c r="H230" s="4" t="str">
        <x:f>IF(I230=0,"Unassigned",IF(SUMIFS('Material routes'!$Q$6:$Q$2205,'Material routes'!$B$6:$B$2205,A230)&gt;0,"Unassigned","T"&amp;_xlfn.MAXIFS('Material routes'!$P$6:$P$2205,'Material routes'!$B$6:$B$2205,A230)))</x:f>
        <x:v>T1</x:v>
      </x:c>
      <x:c r="I230" s="4" t="n">
        <x:f>SUM(COUNTIFS('Material routes'!$B$6:$B$2205,A230,'Material routes'!$C$6:$C$2205,"Ingredient candidate"),COUNTIFS('Material routes'!$B$6:$B$2205,A230,'Material routes'!$C$6:$C$2205,"Consumed input"),COUNTIFS('Material routes'!$B$6:$B$2205,A230,'Material routes'!$C$6:$C$2205,"Contained input"),COUNTIFS('Material routes'!$B$6:$B$2205,A230,'Material routes'!$C$6:$C$2205,"Transform input"))</x:f>
        <x:v>2</x:v>
      </x:c>
      <x:c r="J230" s="4" t="n">
        <x:f>COUNTIFS('Material routes'!$B$6:$B$2205,A230,'Material routes'!$C$6:$C$2205,"Output")</x:f>
        <x:v>1</x:v>
      </x:c>
      <x:c r="K230" s="4" t="n">
        <x:f>COUNTIFS('Material routes'!$B$6:$B$2205,A230,'Material routes'!$C$6:$C$2205,"Tool candidate")</x:f>
        <x:v>0</x:v>
      </x:c>
      <x:c r="L230" s="4" t="str">
        <x:v>New October 15 tier-review proposal; user-authorized item audit and Docs/WORLD_BASIS.md. No source-canon or implemented-recipe claim.</x:v>
      </x:c>
      <x:c r="M230" s="4" t="str">
        <x:v>Candidate route only: quantities, yield, tools, fit, process conditions and service compatibility remain open. New precursor is an explicit chemistry hypothesis, not a claimed known reagent or guaranteed rust-conversion reaction.</x:v>
      </x:c>
    </x:row>
    <x:row r="231" ht="115" customHeight="1">
      <x:c r="A231" s="4" t="str">
        <x:v>design.review.proposal_corrosion_inhibitor</x:v>
      </x:c>
      <x:c r="B231" s="4" t="str">
        <x:v>Corrosion-inhibiting finish preparation</x:v>
      </x:c>
      <x:c r="C231" s="4" t="str">
        <x:v>Material refinement</x:v>
      </x:c>
      <x:c r="D231" s="4" t="str">
        <x:v>Proposal</x:v>
      </x:c>
      <x:c r="E231" s="4" t="str">
        <x:v>Partial proposal</x:v>
      </x:c>
      <x:c r="F231" s="4" t="str">
        <x:v>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G231" s="4" t="str">
        <x:v>Contained segregated vessels, Ceramic grinding mortar, Ceramic pestle and Glass transfer funnel. Process/carrier compatibility unresolved.</x:v>
      </x:c>
      <x:c r="H231" s="4" t="str">
        <x:f>IF(I231=0,"Unassigned",IF(SUMIFS('Material routes'!$Q$6:$Q$2205,'Material routes'!$B$6:$B$2205,A231)&gt;0,"Unassigned","T"&amp;_xlfn.MAXIFS('Material routes'!$P$6:$P$2205,'Material routes'!$B$6:$B$2205,A231)))</x:f>
        <x:v>T1</x:v>
      </x:c>
      <x:c r="I231" s="4" t="n">
        <x:f>SUM(COUNTIFS('Material routes'!$B$6:$B$2205,A231,'Material routes'!$C$6:$C$2205,"Ingredient candidate"),COUNTIFS('Material routes'!$B$6:$B$2205,A231,'Material routes'!$C$6:$C$2205,"Consumed input"),COUNTIFS('Material routes'!$B$6:$B$2205,A231,'Material routes'!$C$6:$C$2205,"Contained input"),COUNTIFS('Material routes'!$B$6:$B$2205,A231,'Material routes'!$C$6:$C$2205,"Transform input"))</x:f>
        <x:v>3</x:v>
      </x:c>
      <x:c r="J231" s="4" t="n">
        <x:f>COUNTIFS('Material routes'!$B$6:$B$2205,A231,'Material routes'!$C$6:$C$2205,"Output")</x:f>
        <x:v>1</x:v>
      </x:c>
      <x:c r="K231" s="4" t="n">
        <x:f>COUNTIFS('Material routes'!$B$6:$B$2205,A231,'Material routes'!$C$6:$C$2205,"Tool candidate")</x:f>
        <x:v>0</x:v>
      </x:c>
      <x:c r="L231" s="4" t="str">
        <x:v>New October 15 tier-review proposal; user-authorized item audit and Docs/WORLD_BASIS.md. No source-canon or implemented-recipe claim.</x:v>
      </x:c>
      <x:c r="M231" s="4" t="str">
        <x:v>Candidate route only: quantities, yield, tools, fit, process conditions and service compatibility remain open. Inhibition is an intended application; no established corrosion cause, universal protection, free-water bath or chemical formula.</x:v>
      </x:c>
    </x:row>
    <x:row r="232" ht="115" customHeight="1">
      <x:c r="A232" s="4" t="str">
        <x:v>design.review.proposal_review_oxide_reactive_fraction</x:v>
      </x:c>
      <x:c r="B232" s="4" t="str">
        <x:v>Selected oxide-reactive faunal fraction preparation</x:v>
      </x:c>
      <x:c r="C232" s="4" t="str">
        <x:v>Material refinement</x:v>
      </x:c>
      <x:c r="D232" s="4" t="str">
        <x:v>Proposal</x:v>
      </x:c>
      <x:c r="E232" s="4" t="str">
        <x:v>Partial proposal</x:v>
      </x:c>
      <x:c r="F232" s="4" t="str">
        <x:v>Hypothetically select and condition a raw faunal fraction with graded mineral selection for oxide-conversion research; actual chemical identity and reaction remain unresolved.</x:v>
      </x:c>
      <x:c r="G232" s="4" t="str">
        <x:v>Specialist engineering workshop; insulation, pressure or control qualification as applicable. Power/working medium and operating theory unresolved.</x:v>
      </x:c>
      <x:c r="H232" s="4" t="str">
        <x:f>IF(I232=0,"Unassigned",IF(SUMIFS('Material routes'!$Q$6:$Q$2205,'Material routes'!$B$6:$B$2205,A232)&gt;0,"Unassigned","T"&amp;_xlfn.MAXIFS('Material routes'!$P$6:$P$2205,'Material routes'!$B$6:$B$2205,A232)))</x:f>
        <x:v>T0</x:v>
      </x:c>
      <x:c r="I232" s="4" t="n">
        <x:f>SUM(COUNTIFS('Material routes'!$B$6:$B$2205,A232,'Material routes'!$C$6:$C$2205,"Ingredient candidate"),COUNTIFS('Material routes'!$B$6:$B$2205,A232,'Material routes'!$C$6:$C$2205,"Consumed input"),COUNTIFS('Material routes'!$B$6:$B$2205,A232,'Material routes'!$C$6:$C$2205,"Contained input"),COUNTIFS('Material routes'!$B$6:$B$2205,A232,'Material routes'!$C$6:$C$2205,"Transform input"))</x:f>
        <x:v>2</x:v>
      </x:c>
      <x:c r="J232" s="4" t="n">
        <x:f>COUNTIFS('Material routes'!$B$6:$B$2205,A232,'Material routes'!$C$6:$C$2205,"Output")</x:f>
        <x:v>1</x:v>
      </x:c>
      <x:c r="K232" s="4" t="n">
        <x:f>COUNTIFS('Material routes'!$B$6:$B$2205,A232,'Material routes'!$C$6:$C$2205,"Tool candidate")</x:f>
        <x:v>0</x:v>
      </x:c>
      <x:c r="L232" s="4" t="str">
        <x:v>New October 15 tier-review proposal; user-authorized item audit and Docs/WORLD_BASIS.md. No source-canon or implemented-recipe claim.</x:v>
      </x:c>
      <x:c r="M232" s="4" t="str">
        <x:v>New chemistry hypothesis, not an identified reagent or guaranteed oxide-conversion reaction. Quantities, yield and containment remain open.</x:v>
      </x:c>
    </x:row>
    <x:row r="233" ht="115" customHeight="1">
      <x:c r="A233" s="4" t="str">
        <x:v>design.lore.assayed_growth</x:v>
      </x:c>
      <x:c r="B233" s="4" t="str">
        <x:v>Assayed Iron Growth feedstock preparation</x:v>
      </x:c>
      <x:c r="C233" s="4" t="str">
        <x:v>Material refinement</x:v>
      </x:c>
      <x:c r="D233" s="4" t="str">
        <x:v>Proposal</x:v>
      </x:c>
      <x:c r="E233" s="4" t="str">
        <x:v>Partial proposal</x:v>
      </x:c>
      <x:c r="F233" s="4" t="str">
        <x:v>Select and prepare a composition-identified feed lot; analytical tools and acceptance limits remain unspecified.</x:v>
      </x:c>
      <x:c r="G233" s="4" t="str">
        <x:v>Forge hearth, Anvil, Forging hammer, Smithing tongs, Metalworking file and Hand-cranked metal drill as applicable. Existing workshop bootstrap and controlled heating/cooling required; no free-water quench assumed.</x:v>
      </x:c>
      <x:c r="H233" s="4" t="str">
        <x:f>IF(I233=0,"Unassigned",IF(SUMIFS('Material routes'!$Q$6:$Q$2205,'Material routes'!$B$6:$B$2205,A233)&gt;0,"Unassigned","T"&amp;_xlfn.MAXIFS('Material routes'!$P$6:$P$2205,'Material routes'!$B$6:$B$2205,A233)))</x:f>
        <x:v>T0</x:v>
      </x:c>
      <x:c r="I233" s="4" t="n">
        <x:f>SUM(COUNTIFS('Material routes'!$B$6:$B$2205,A233,'Material routes'!$C$6:$C$2205,"Ingredient candidate"),COUNTIFS('Material routes'!$B$6:$B$2205,A233,'Material routes'!$C$6:$C$2205,"Consumed input"),COUNTIFS('Material routes'!$B$6:$B$2205,A233,'Material routes'!$C$6:$C$2205,"Contained input"),COUNTIFS('Material routes'!$B$6:$B$2205,A233,'Material routes'!$C$6:$C$2205,"Transform input"))</x:f>
        <x:v>1</x:v>
      </x:c>
      <x:c r="J233" s="4" t="n">
        <x:f>COUNTIFS('Material routes'!$B$6:$B$2205,A233,'Material routes'!$C$6:$C$2205,"Output")</x:f>
        <x:v>1</x:v>
      </x:c>
      <x:c r="K233" s="4" t="n">
        <x:f>COUNTIFS('Material routes'!$B$6:$B$2205,A233,'Material routes'!$C$6:$C$2205,"Tool candidate")</x:f>
        <x:v>0</x:v>
      </x:c>
      <x:c r="L23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3" s="4" t="str">
        <x:v>Candidate source-informed route only; no quantities, actual chemical formula, grade or performance guarantee.</x:v>
      </x:c>
    </x:row>
    <x:row r="234" ht="115" customHeight="1">
      <x:c r="A234" s="4" t="str">
        <x:v>design.lore.growth_alloy</x:v>
      </x:c>
      <x:c r="B234" s="4" t="str">
        <x:v>Canister-grade Growth alloy stock preparation</x:v>
      </x:c>
      <x:c r="C234" s="4" t="str">
        <x:v>Material refinement</x:v>
      </x:c>
      <x:c r="D234" s="4" t="str">
        <x:v>Proposal</x:v>
      </x:c>
      <x:c r="E234" s="4" t="str">
        <x:v>Partial proposal</x:v>
      </x:c>
      <x:c r="F234" s="4" t="str">
        <x:v>Explore a contemporary selected Growth-alloy grade from assayed feed; proposed additives, compatibility and service properties require qualification.</x:v>
      </x:c>
      <x:c r="G234" s="4" t="str">
        <x:v>Forge hearth, Anvil, Forging hammer, Smithing tongs, Metalworking file and Hand-cranked metal drill as applicable. Existing workshop bootstrap and controlled heating/cooling required; no free-water quench assumed.</x:v>
      </x:c>
      <x:c r="H234" s="4" t="str">
        <x:f>IF(I234=0,"Unassigned",IF(SUMIFS('Material routes'!$Q$6:$Q$2205,'Material routes'!$B$6:$B$2205,A234)&gt;0,"Unassigned","T"&amp;_xlfn.MAXIFS('Material routes'!$P$6:$P$2205,'Material routes'!$B$6:$B$2205,A234)))</x:f>
        <x:v>T1</x:v>
      </x:c>
      <x:c r="I234" s="4" t="n">
        <x:f>SUM(COUNTIFS('Material routes'!$B$6:$B$2205,A234,'Material routes'!$C$6:$C$2205,"Ingredient candidate"),COUNTIFS('Material routes'!$B$6:$B$2205,A234,'Material routes'!$C$6:$C$2205,"Consumed input"),COUNTIFS('Material routes'!$B$6:$B$2205,A234,'Material routes'!$C$6:$C$2205,"Contained input"),COUNTIFS('Material routes'!$B$6:$B$2205,A234,'Material routes'!$C$6:$C$2205,"Transform input"))</x:f>
        <x:v>3</x:v>
      </x:c>
      <x:c r="J234" s="4" t="n">
        <x:f>COUNTIFS('Material routes'!$B$6:$B$2205,A234,'Material routes'!$C$6:$C$2205,"Output")</x:f>
        <x:v>1</x:v>
      </x:c>
      <x:c r="K234" s="4" t="n">
        <x:f>COUNTIFS('Material routes'!$B$6:$B$2205,A234,'Material routes'!$C$6:$C$2205,"Tool candidate")</x:f>
        <x:v>0</x:v>
      </x:c>
      <x:c r="L23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4" s="4" t="str">
        <x:v>Candidate source-informed route only; no quantities, actual chemical formula, grade or performance guarantee.</x:v>
      </x:c>
    </x:row>
    <x:row r="235" ht="115" customHeight="1">
      <x:c r="A235" s="4" t="str">
        <x:v>design.lore.growth_seat_blank</x:v>
      </x:c>
      <x:c r="B235" s="4" t="str">
        <x:v>Growth-alloy seal-seat blanks preparation</x:v>
      </x:c>
      <x:c r="C235" s="4" t="str">
        <x:v>Material refinement</x:v>
      </x:c>
      <x:c r="D235" s="4" t="str">
        <x:v>Proposal</x:v>
      </x:c>
      <x:c r="E235" s="4" t="str">
        <x:v>Partial proposal</x:v>
      </x:c>
      <x:c r="F235" s="4" t="str">
        <x:v>Shape a selected alloy lot into matched-seat blanks; no universal canister or pressure rating.</x:v>
      </x:c>
      <x:c r="G235" s="4" t="str">
        <x:v>Forge hearth, Anvil, Forging hammer, Smithing tongs, Metalworking file and Hand-cranked metal drill as applicable. Existing workshop bootstrap and controlled heating/cooling required; no free-water quench assumed.</x:v>
      </x:c>
      <x:c r="H235" s="4" t="str">
        <x:f>IF(I235=0,"Unassigned",IF(SUMIFS('Material routes'!$Q$6:$Q$2205,'Material routes'!$B$6:$B$2205,A235)&gt;0,"Unassigned","T"&amp;_xlfn.MAXIFS('Material routes'!$P$6:$P$2205,'Material routes'!$B$6:$B$2205,A235)))</x:f>
        <x:v>T2</x:v>
      </x:c>
      <x:c r="I235" s="4" t="n">
        <x:f>SUM(COUNTIFS('Material routes'!$B$6:$B$2205,A235,'Material routes'!$C$6:$C$2205,"Ingredient candidate"),COUNTIFS('Material routes'!$B$6:$B$2205,A235,'Material routes'!$C$6:$C$2205,"Consumed input"),COUNTIFS('Material routes'!$B$6:$B$2205,A235,'Material routes'!$C$6:$C$2205,"Contained input"),COUNTIFS('Material routes'!$B$6:$B$2205,A235,'Material routes'!$C$6:$C$2205,"Transform input"))</x:f>
        <x:v>2</x:v>
      </x:c>
      <x:c r="J235" s="4" t="n">
        <x:f>COUNTIFS('Material routes'!$B$6:$B$2205,A235,'Material routes'!$C$6:$C$2205,"Output")</x:f>
        <x:v>1</x:v>
      </x:c>
      <x:c r="K235" s="4" t="n">
        <x:f>COUNTIFS('Material routes'!$B$6:$B$2205,A235,'Material routes'!$C$6:$C$2205,"Tool candidate")</x:f>
        <x:v>0</x:v>
      </x:c>
      <x:c r="L23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5" s="4" t="str">
        <x:v>Candidate source-informed route only; no quantities, actual chemical formula, grade or performance guarantee.</x:v>
      </x:c>
    </x:row>
    <x:row r="236" ht="115" customHeight="1">
      <x:c r="A236" s="4" t="str">
        <x:v>design.lore.growth_seat_assembly</x:v>
      </x:c>
      <x:c r="B236" s="4" t="str">
        <x:v>Matched Growth seal-seat assembly preparation</x:v>
      </x:c>
      <x:c r="C236" s="4" t="str">
        <x:v>Material refinement</x:v>
      </x:c>
      <x:c r="D236" s="4" t="str">
        <x:v>Proposal</x:v>
      </x:c>
      <x:c r="E236" s="4" t="str">
        <x:v>Partial proposal</x:v>
      </x:c>
      <x:c r="F236" s="4" t="str">
        <x:v>Fit selected seat blanks, sealing stock and retention interfaces for an identified canister service.</x:v>
      </x:c>
      <x:c r="G236" s="4" t="str">
        <x:v>Forge hearth, Anvil, Forging hammer, Smithing tongs, Metalworking file and Hand-cranked metal drill as applicable. Existing workshop bootstrap and controlled heating/cooling required; no free-water quench assumed.</x:v>
      </x:c>
      <x:c r="H236" s="4" t="str">
        <x:f>IF(I236=0,"Unassigned",IF(SUMIFS('Material routes'!$Q$6:$Q$2205,'Material routes'!$B$6:$B$2205,A236)&gt;0,"Unassigned","T"&amp;_xlfn.MAXIFS('Material routes'!$P$6:$P$2205,'Material routes'!$B$6:$B$2205,A236)))</x:f>
        <x:v>T3</x:v>
      </x:c>
      <x:c r="I236" s="4" t="n">
        <x:f>SUM(COUNTIFS('Material routes'!$B$6:$B$2205,A236,'Material routes'!$C$6:$C$2205,"Ingredient candidate"),COUNTIFS('Material routes'!$B$6:$B$2205,A236,'Material routes'!$C$6:$C$2205,"Consumed input"),COUNTIFS('Material routes'!$B$6:$B$2205,A236,'Material routes'!$C$6:$C$2205,"Contained input"),COUNTIFS('Material routes'!$B$6:$B$2205,A236,'Material routes'!$C$6:$C$2205,"Transform input"))</x:f>
        <x:v>3</x:v>
      </x:c>
      <x:c r="J236" s="4" t="n">
        <x:f>COUNTIFS('Material routes'!$B$6:$B$2205,A236,'Material routes'!$C$6:$C$2205,"Output")</x:f>
        <x:v>1</x:v>
      </x:c>
      <x:c r="K236" s="4" t="n">
        <x:f>COUNTIFS('Material routes'!$B$6:$B$2205,A236,'Material routes'!$C$6:$C$2205,"Tool candidate")</x:f>
        <x:v>0</x:v>
      </x:c>
      <x:c r="L23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6" s="4" t="str">
        <x:v>Candidate source-informed route only; no quantities, actual chemical formula, grade or performance guarantee.</x:v>
      </x:c>
    </x:row>
    <x:row r="237" ht="115" customHeight="1">
      <x:c r="A237" s="4" t="str">
        <x:v>design.lore.alkali_concentrate</x:v>
      </x:c>
      <x:c r="B237" s="4" t="str">
        <x:v>Prepared alkaline mineral concentrate preparation</x:v>
      </x:c>
      <x:c r="C237" s="4" t="str">
        <x:v>Material refinement</x:v>
      </x:c>
      <x:c r="D237" s="4" t="str">
        <x:v>Proposal</x:v>
      </x:c>
      <x:c r="E237" s="4" t="str">
        <x:v>Partial proposal</x:v>
      </x:c>
      <x:c r="F237" s="4" t="str">
        <x:v>Select and prepare a controlled alkaline process fraction; no exact compound or aqueous recipe assigned.</x:v>
      </x:c>
      <x:c r="G237" s="4" t="str">
        <x:v>Contained segregated vessels, Ceramic grinding mortar, Ceramic pestle and Glass transfer funnel. Process/carrier compatibility unresolved.</x:v>
      </x:c>
      <x:c r="H237" s="4" t="str">
        <x:f>IF(I237=0,"Unassigned",IF(SUMIFS('Material routes'!$Q$6:$Q$2205,'Material routes'!$B$6:$B$2205,A237)&gt;0,"Unassigned","T"&amp;_xlfn.MAXIFS('Material routes'!$P$6:$P$2205,'Material routes'!$B$6:$B$2205,A237)))</x:f>
        <x:v>T0</x:v>
      </x:c>
      <x:c r="I237" s="4" t="n">
        <x:f>SUM(COUNTIFS('Material routes'!$B$6:$B$2205,A237,'Material routes'!$C$6:$C$2205,"Ingredient candidate"),COUNTIFS('Material routes'!$B$6:$B$2205,A237,'Material routes'!$C$6:$C$2205,"Consumed input"),COUNTIFS('Material routes'!$B$6:$B$2205,A237,'Material routes'!$C$6:$C$2205,"Contained input"),COUNTIFS('Material routes'!$B$6:$B$2205,A237,'Material routes'!$C$6:$C$2205,"Transform input"))</x:f>
        <x:v>1</x:v>
      </x:c>
      <x:c r="J237" s="4" t="n">
        <x:f>COUNTIFS('Material routes'!$B$6:$B$2205,A237,'Material routes'!$C$6:$C$2205,"Output")</x:f>
        <x:v>1</x:v>
      </x:c>
      <x:c r="K237" s="4" t="n">
        <x:f>COUNTIFS('Material routes'!$B$6:$B$2205,A237,'Material routes'!$C$6:$C$2205,"Tool candidate")</x:f>
        <x:v>0</x:v>
      </x:c>
      <x:c r="L23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7" s="4" t="str">
        <x:v>Candidate source-informed route only; no quantities, actual chemical formula, grade or performance guarantee.</x:v>
      </x:c>
    </x:row>
    <x:row r="238" ht="115" customHeight="1">
      <x:c r="A238" s="4" t="str">
        <x:v>design.lore.sulfur_charge</x:v>
      </x:c>
      <x:c r="B238" s="4" t="str">
        <x:v>Prepared sulfur process charge preparation</x:v>
      </x:c>
      <x:c r="C238" s="4" t="str">
        <x:v>Material refinement</x:v>
      </x:c>
      <x:c r="D238" s="4" t="str">
        <x:v>Proposal</x:v>
      </x:c>
      <x:c r="E238" s="4" t="str">
        <x:v>Partial proposal</x:v>
      </x:c>
      <x:c r="F238" s="4" t="str">
        <x:v>Prepare a sulfur-bearing reagent feed for contained acid-processing research; conversion chemistry and equipment remain open. This is not a guaranteed ready acid.</x:v>
      </x:c>
      <x:c r="G238" s="4" t="str">
        <x:v>Contained segregated vessels, Ceramic grinding mortar, Ceramic pestle and Glass transfer funnel. Process/carrier compatibility unresolved.</x:v>
      </x:c>
      <x:c r="H238" s="4" t="str">
        <x:f>IF(I238=0,"Unassigned",IF(SUMIFS('Material routes'!$Q$6:$Q$2205,'Material routes'!$B$6:$B$2205,A238)&gt;0,"Unassigned","T"&amp;_xlfn.MAXIFS('Material routes'!$P$6:$P$2205,'Material routes'!$B$6:$B$2205,A238)))</x:f>
        <x:v>T0</x:v>
      </x:c>
      <x:c r="I238" s="4" t="n">
        <x:f>SUM(COUNTIFS('Material routes'!$B$6:$B$2205,A238,'Material routes'!$C$6:$C$2205,"Ingredient candidate"),COUNTIFS('Material routes'!$B$6:$B$2205,A238,'Material routes'!$C$6:$C$2205,"Consumed input"),COUNTIFS('Material routes'!$B$6:$B$2205,A238,'Material routes'!$C$6:$C$2205,"Contained input"),COUNTIFS('Material routes'!$B$6:$B$2205,A238,'Material routes'!$C$6:$C$2205,"Transform input"))</x:f>
        <x:v>2</x:v>
      </x:c>
      <x:c r="J238" s="4" t="n">
        <x:f>COUNTIFS('Material routes'!$B$6:$B$2205,A238,'Material routes'!$C$6:$C$2205,"Output")</x:f>
        <x:v>1</x:v>
      </x:c>
      <x:c r="K238" s="4" t="n">
        <x:f>COUNTIFS('Material routes'!$B$6:$B$2205,A238,'Material routes'!$C$6:$C$2205,"Tool candidate")</x:f>
        <x:v>0</x:v>
      </x:c>
      <x:c r="L23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8" s="4" t="str">
        <x:v>Candidate source-informed route only; no quantities, actual chemical formula, grade or performance guarantee.</x:v>
      </x:c>
    </x:row>
    <x:row r="239" ht="115" customHeight="1">
      <x:c r="A239" s="4" t="str">
        <x:v>design.lore.phagia_enzyme</x:v>
      </x:c>
      <x:c r="B239" s="4" t="str">
        <x:v>Selected Phagia enzyme fraction preparation</x:v>
      </x:c>
      <x:c r="C239" s="4" t="str">
        <x:v>Material refinement</x:v>
      </x:c>
      <x:c r="D239" s="4" t="str">
        <x:v>Proposal</x:v>
      </x:c>
      <x:c r="E239" s="4" t="str">
        <x:v>Partial proposal</x:v>
      </x:c>
      <x:c r="F239" s="4" t="str">
        <x:v>Select a candidate enzyme fraction for organic-material processing; actual activity, storage and usable life remain unresolved.</x:v>
      </x:c>
      <x:c r="G239" s="4" t="str">
        <x:v>Contained segregated vessels, Ceramic grinding mortar, Ceramic pestle and Glass transfer funnel. Process/carrier compatibility unresolved.</x:v>
      </x:c>
      <x:c r="H239" s="4" t="str">
        <x:f>IF(I239=0,"Unassigned",IF(SUMIFS('Material routes'!$Q$6:$Q$2205,'Material routes'!$B$6:$B$2205,A239)&gt;0,"Unassigned","T"&amp;_xlfn.MAXIFS('Material routes'!$P$6:$P$2205,'Material routes'!$B$6:$B$2205,A239)))</x:f>
        <x:v>T0</x:v>
      </x:c>
      <x:c r="I239" s="4" t="n">
        <x:f>SUM(COUNTIFS('Material routes'!$B$6:$B$2205,A239,'Material routes'!$C$6:$C$2205,"Ingredient candidate"),COUNTIFS('Material routes'!$B$6:$B$2205,A239,'Material routes'!$C$6:$C$2205,"Consumed input"),COUNTIFS('Material routes'!$B$6:$B$2205,A239,'Material routes'!$C$6:$C$2205,"Contained input"),COUNTIFS('Material routes'!$B$6:$B$2205,A239,'Material routes'!$C$6:$C$2205,"Transform input"))</x:f>
        <x:v>1</x:v>
      </x:c>
      <x:c r="J239" s="4" t="n">
        <x:f>COUNTIFS('Material routes'!$B$6:$B$2205,A239,'Material routes'!$C$6:$C$2205,"Output")</x:f>
        <x:v>1</x:v>
      </x:c>
      <x:c r="K239" s="4" t="n">
        <x:f>COUNTIFS('Material routes'!$B$6:$B$2205,A239,'Material routes'!$C$6:$C$2205,"Tool candidate")</x:f>
        <x:v>0</x:v>
      </x:c>
      <x:c r="L23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9" s="4" t="str">
        <x:v>Candidate source-informed route only; no quantities, actual chemical formula, grade or performance guarantee.</x:v>
      </x:c>
    </x:row>
    <x:row r="240" ht="115" customHeight="1">
      <x:c r="A240" s="4" t="str">
        <x:v>design.lore.phagia_acid</x:v>
      </x:c>
      <x:c r="B240" s="4" t="str">
        <x:v>Selected Phagia mild-acid fraction preparation</x:v>
      </x:c>
      <x:c r="C240" s="4" t="str">
        <x:v>Material refinement</x:v>
      </x:c>
      <x:c r="D240" s="4" t="str">
        <x:v>Proposal</x:v>
      </x:c>
      <x:c r="E240" s="4" t="str">
        <x:v>Partial proposal</x:v>
      </x:c>
      <x:c r="F240" s="4" t="str">
        <x:v>Separate an industrial acidic fraction from nutritional stock; identity, carrier and compatibility remain unqualified.</x:v>
      </x:c>
      <x:c r="G240" s="4" t="str">
        <x:v>Contained segregated vessels, Ceramic grinding mortar, Ceramic pestle and Glass transfer funnel. Process/carrier compatibility unresolved.</x:v>
      </x:c>
      <x:c r="H240" s="4" t="str">
        <x:f>IF(I240=0,"Unassigned",IF(SUMIFS('Material routes'!$Q$6:$Q$2205,'Material routes'!$B$6:$B$2205,A240)&gt;0,"Unassigned","T"&amp;_xlfn.MAXIFS('Material routes'!$P$6:$P$2205,'Material routes'!$B$6:$B$2205,A240)))</x:f>
        <x:v>T0</x:v>
      </x:c>
      <x:c r="I240" s="4" t="n">
        <x:f>SUM(COUNTIFS('Material routes'!$B$6:$B$2205,A240,'Material routes'!$C$6:$C$2205,"Ingredient candidate"),COUNTIFS('Material routes'!$B$6:$B$2205,A240,'Material routes'!$C$6:$C$2205,"Consumed input"),COUNTIFS('Material routes'!$B$6:$B$2205,A240,'Material routes'!$C$6:$C$2205,"Contained input"),COUNTIFS('Material routes'!$B$6:$B$2205,A240,'Material routes'!$C$6:$C$2205,"Transform input"))</x:f>
        <x:v>1</x:v>
      </x:c>
      <x:c r="J240" s="4" t="n">
        <x:f>COUNTIFS('Material routes'!$B$6:$B$2205,A240,'Material routes'!$C$6:$C$2205,"Output")</x:f>
        <x:v>1</x:v>
      </x:c>
      <x:c r="K240" s="4" t="n">
        <x:f>COUNTIFS('Material routes'!$B$6:$B$2205,A240,'Material routes'!$C$6:$C$2205,"Tool candidate")</x:f>
        <x:v>0</x:v>
      </x:c>
      <x:c r="L24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0" s="4" t="str">
        <x:v>Candidate source-informed route only; no quantities, actual chemical formula, grade or performance guarantee.</x:v>
      </x:c>
    </x:row>
    <x:row r="241" ht="115" customHeight="1">
      <x:c r="A241" s="4" t="str">
        <x:v>design.lore.phagia_adhesive</x:v>
      </x:c>
      <x:c r="B241" s="4" t="str">
        <x:v>Concentrated Phagia adhesive base preparation</x:v>
      </x:c>
      <x:c r="C241" s="4" t="str">
        <x:v>Material refinement</x:v>
      </x:c>
      <x:c r="D241" s="4" t="str">
        <x:v>Proposal</x:v>
      </x:c>
      <x:c r="E241" s="4" t="str">
        <x:v>Partial proposal</x:v>
      </x:c>
      <x:c r="F241" s="4" t="str">
        <x:v>Select and concentrate a binding fraction as adhesive feed; distinct from shell-derived adhesive.</x:v>
      </x:c>
      <x:c r="G241" s="4" t="str">
        <x:v>Contained segregated vessels, Ceramic grinding mortar, Ceramic pestle and Glass transfer funnel. Process/carrier compatibility unresolved.</x:v>
      </x:c>
      <x:c r="H241" s="4" t="str">
        <x:f>IF(I241=0,"Unassigned",IF(SUMIFS('Material routes'!$Q$6:$Q$2205,'Material routes'!$B$6:$B$2205,A241)&gt;0,"Unassigned","T"&amp;_xlfn.MAXIFS('Material routes'!$P$6:$P$2205,'Material routes'!$B$6:$B$2205,A241)))</x:f>
        <x:v>T0</x:v>
      </x:c>
      <x:c r="I241" s="4" t="n">
        <x:f>SUM(COUNTIFS('Material routes'!$B$6:$B$2205,A241,'Material routes'!$C$6:$C$2205,"Ingredient candidate"),COUNTIFS('Material routes'!$B$6:$B$2205,A241,'Material routes'!$C$6:$C$2205,"Consumed input"),COUNTIFS('Material routes'!$B$6:$B$2205,A241,'Material routes'!$C$6:$C$2205,"Contained input"),COUNTIFS('Material routes'!$B$6:$B$2205,A241,'Material routes'!$C$6:$C$2205,"Transform input"))</x:f>
        <x:v>1</x:v>
      </x:c>
      <x:c r="J241" s="4" t="n">
        <x:f>COUNTIFS('Material routes'!$B$6:$B$2205,A241,'Material routes'!$C$6:$C$2205,"Output")</x:f>
        <x:v>1</x:v>
      </x:c>
      <x:c r="K241" s="4" t="n">
        <x:f>COUNTIFS('Material routes'!$B$6:$B$2205,A241,'Material routes'!$C$6:$C$2205,"Tool candidate")</x:f>
        <x:v>0</x:v>
      </x:c>
      <x:c r="L24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1" s="4" t="str">
        <x:v>Candidate source-informed route only; no quantities, actual chemical formula, grade or performance guarantee.</x:v>
      </x:c>
    </x:row>
    <x:row r="242" ht="115" customHeight="1">
      <x:c r="A242" s="4" t="str">
        <x:v>design.lore.shell_cleaning_charge</x:v>
      </x:c>
      <x:c r="B242" s="4" t="str">
        <x:v>Chitin-cleaning process charge preparation</x:v>
      </x:c>
      <x:c r="C242" s="4" t="str">
        <x:v>Material refinement</x:v>
      </x:c>
      <x:c r="D242" s="4" t="str">
        <x:v>Proposal</x:v>
      </x:c>
      <x:c r="E242" s="4" t="str">
        <x:v>Partial proposal</x:v>
      </x:c>
      <x:c r="F242" s="4" t="str">
        <x:v>Explore a contained shell-surface preparation charge; actual enzyme/alkali compatibility, sequence and medium remain open.</x:v>
      </x:c>
      <x:c r="G242" s="4" t="str">
        <x:v>Contained segregated vessels, Ceramic grinding mortar, Ceramic pestle and Glass transfer funnel. Process/carrier compatibility unresolved.</x:v>
      </x:c>
      <x:c r="H242" s="4" t="str">
        <x:f>IF(I242=0,"Unassigned",IF(SUMIFS('Material routes'!$Q$6:$Q$2205,'Material routes'!$B$6:$B$2205,A242)&gt;0,"Unassigned","T"&amp;_xlfn.MAXIFS('Material routes'!$P$6:$P$2205,'Material routes'!$B$6:$B$2205,A242)))</x:f>
        <x:v>T1</x:v>
      </x:c>
      <x:c r="I242" s="4" t="n">
        <x:f>SUM(COUNTIFS('Material routes'!$B$6:$B$2205,A242,'Material routes'!$C$6:$C$2205,"Ingredient candidate"),COUNTIFS('Material routes'!$B$6:$B$2205,A242,'Material routes'!$C$6:$C$2205,"Consumed input"),COUNTIFS('Material routes'!$B$6:$B$2205,A242,'Material routes'!$C$6:$C$2205,"Contained input"),COUNTIFS('Material routes'!$B$6:$B$2205,A242,'Material routes'!$C$6:$C$2205,"Transform input"))</x:f>
        <x:v>3</x:v>
      </x:c>
      <x:c r="J242" s="4" t="n">
        <x:f>COUNTIFS('Material routes'!$B$6:$B$2205,A242,'Material routes'!$C$6:$C$2205,"Output")</x:f>
        <x:v>1</x:v>
      </x:c>
      <x:c r="K242" s="4" t="n">
        <x:f>COUNTIFS('Material routes'!$B$6:$B$2205,A242,'Material routes'!$C$6:$C$2205,"Tool candidate")</x:f>
        <x:v>0</x:v>
      </x:c>
      <x:c r="L24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2" s="4" t="str">
        <x:v>Candidate source-informed route only; no quantities, actual chemical formula, grade or performance guarantee.</x:v>
      </x:c>
    </x:row>
    <x:row r="243" ht="115" customHeight="1">
      <x:c r="A243" s="4" t="str">
        <x:v>design.lore.chitin_binder_residue</x:v>
      </x:c>
      <x:c r="B243" s="4" t="str">
        <x:v>Concentrated chitin binder residue preparation</x:v>
      </x:c>
      <x:c r="C243" s="4" t="str">
        <x:v>Material refinement</x:v>
      </x:c>
      <x:c r="D243" s="4" t="str">
        <x:v>Proposal</x:v>
      </x:c>
      <x:c r="E243" s="4" t="str">
        <x:v>Partial proposal</x:v>
      </x:c>
      <x:c r="F243" s="4" t="str">
        <x:v>Recover and concentrate a candidate binding residue during shell treatment; no free-water bath or guaranteed yield. A byproduct route is not a second free output.</x:v>
      </x:c>
      <x:c r="G243" s="4" t="str">
        <x:v>Contained segregated vessels, Ceramic grinding mortar, Ceramic pestle and Glass transfer funnel. Process/carrier compatibility unresolved.</x:v>
      </x:c>
      <x:c r="H243" s="4" t="str">
        <x:f>IF(I243=0,"Unassigned",IF(SUMIFS('Material routes'!$Q$6:$Q$2205,'Material routes'!$B$6:$B$2205,A243)&gt;0,"Unassigned","T"&amp;_xlfn.MAXIFS('Material routes'!$P$6:$P$2205,'Material routes'!$B$6:$B$2205,A243)))</x:f>
        <x:v>T1</x:v>
      </x:c>
      <x:c r="I243" s="4" t="n">
        <x:f>SUM(COUNTIFS('Material routes'!$B$6:$B$2205,A243,'Material routes'!$C$6:$C$2205,"Ingredient candidate"),COUNTIFS('Material routes'!$B$6:$B$2205,A243,'Material routes'!$C$6:$C$2205,"Consumed input"),COUNTIFS('Material routes'!$B$6:$B$2205,A243,'Material routes'!$C$6:$C$2205,"Contained input"),COUNTIFS('Material routes'!$B$6:$B$2205,A243,'Material routes'!$C$6:$C$2205,"Transform input"))</x:f>
        <x:v>3</x:v>
      </x:c>
      <x:c r="J243" s="4" t="n">
        <x:f>COUNTIFS('Material routes'!$B$6:$B$2205,A243,'Material routes'!$C$6:$C$2205,"Output")</x:f>
        <x:v>1</x:v>
      </x:c>
      <x:c r="K243" s="4" t="n">
        <x:f>COUNTIFS('Material routes'!$B$6:$B$2205,A243,'Material routes'!$C$6:$C$2205,"Tool candidate")</x:f>
        <x:v>0</x:v>
      </x:c>
      <x:c r="L24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3" s="4" t="str">
        <x:v>Candidate source-informed route only; no quantities, actual chemical formula, grade or performance guarantee.</x:v>
      </x:c>
    </x:row>
    <x:row r="244" ht="115" customHeight="1">
      <x:c r="A244" s="4" t="str">
        <x:v>design.lore.membrane_bond</x:v>
      </x:c>
      <x:c r="B244" s="4" t="str">
        <x:v>Rendered membrane bonding stock preparation</x:v>
      </x:c>
      <x:c r="C244" s="4" t="str">
        <x:v>Material refinement</x:v>
      </x:c>
      <x:c r="D244" s="4" t="str">
        <x:v>Proposal</x:v>
      </x:c>
      <x:c r="E244" s="4" t="str">
        <x:v>Partial proposal</x:v>
      </x:c>
      <x:c r="F244" s="4" t="str">
        <x:v>Explore contained thermal conditioning of selected membrane material into a mineral-bonding feed; temperature, medium and chemical behavior remain unresolved.</x:v>
      </x:c>
      <x:c r="G244" s="4" t="str">
        <x:v>Contained segregated vessels, Ceramic grinding mortar, Ceramic pestle and Glass transfer funnel. Process/carrier compatibility unresolved.</x:v>
      </x:c>
      <x:c r="H244" s="4" t="str">
        <x:f>IF(I244=0,"Unassigned",IF(SUMIFS('Material routes'!$Q$6:$Q$2205,'Material routes'!$B$6:$B$2205,A244)&gt;0,"Unassigned","T"&amp;_xlfn.MAXIFS('Material routes'!$P$6:$P$2205,'Material routes'!$B$6:$B$2205,A244)))</x:f>
        <x:v>T0</x:v>
      </x:c>
      <x:c r="I244" s="4" t="n">
        <x:f>SUM(COUNTIFS('Material routes'!$B$6:$B$2205,A244,'Material routes'!$C$6:$C$2205,"Ingredient candidate"),COUNTIFS('Material routes'!$B$6:$B$2205,A244,'Material routes'!$C$6:$C$2205,"Consumed input"),COUNTIFS('Material routes'!$B$6:$B$2205,A244,'Material routes'!$C$6:$C$2205,"Contained input"),COUNTIFS('Material routes'!$B$6:$B$2205,A244,'Material routes'!$C$6:$C$2205,"Transform input"))</x:f>
        <x:v>2</x:v>
      </x:c>
      <x:c r="J244" s="4" t="n">
        <x:f>COUNTIFS('Material routes'!$B$6:$B$2205,A244,'Material routes'!$C$6:$C$2205,"Output")</x:f>
        <x:v>1</x:v>
      </x:c>
      <x:c r="K244" s="4" t="n">
        <x:f>COUNTIFS('Material routes'!$B$6:$B$2205,A244,'Material routes'!$C$6:$C$2205,"Tool candidate")</x:f>
        <x:v>0</x:v>
      </x:c>
      <x:c r="L24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4" s="4" t="str">
        <x:v>Candidate source-informed route only; no quantities, actual chemical formula, grade or performance guarantee.</x:v>
      </x:c>
    </x:row>
    <x:row r="245" ht="115" customHeight="1">
      <x:c r="A245" s="4" t="str">
        <x:v>design.lore.ichor_sediment</x:v>
      </x:c>
      <x:c r="B245" s="4" t="str">
        <x:v>Separated ichor mineral sediment preparation</x:v>
      </x:c>
      <x:c r="C245" s="4" t="str">
        <x:v>Material refinement</x:v>
      </x:c>
      <x:c r="D245" s="4" t="str">
        <x:v>Proposal</x:v>
      </x:c>
      <x:c r="E245" s="4" t="str">
        <x:v>Partial proposal</x:v>
      </x:c>
      <x:c r="F245" s="4" t="str">
        <x:v>Separate a mineral-bearing fraction inside a closed vessel; toxic residues and composition vary by species.</x:v>
      </x:c>
      <x:c r="G245" s="4" t="str">
        <x:v>Contained segregated vessels, Ceramic grinding mortar, Ceramic pestle and Glass transfer funnel. Process/carrier compatibility unresolved.</x:v>
      </x:c>
      <x:c r="H245" s="4" t="str">
        <x:f>IF(I245=0,"Unassigned",IF(SUMIFS('Material routes'!$Q$6:$Q$2205,'Material routes'!$B$6:$B$2205,A245)&gt;0,"Unassigned","T"&amp;_xlfn.MAXIFS('Material routes'!$P$6:$P$2205,'Material routes'!$B$6:$B$2205,A245)))</x:f>
        <x:v>T0</x:v>
      </x:c>
      <x:c r="I245" s="4" t="n">
        <x:f>SUM(COUNTIFS('Material routes'!$B$6:$B$2205,A245,'Material routes'!$C$6:$C$2205,"Ingredient candidate"),COUNTIFS('Material routes'!$B$6:$B$2205,A245,'Material routes'!$C$6:$C$2205,"Consumed input"),COUNTIFS('Material routes'!$B$6:$B$2205,A245,'Material routes'!$C$6:$C$2205,"Contained input"),COUNTIFS('Material routes'!$B$6:$B$2205,A245,'Material routes'!$C$6:$C$2205,"Transform input"))</x:f>
        <x:v>1</x:v>
      </x:c>
      <x:c r="J245" s="4" t="n">
        <x:f>COUNTIFS('Material routes'!$B$6:$B$2205,A245,'Material routes'!$C$6:$C$2205,"Output")</x:f>
        <x:v>1</x:v>
      </x:c>
      <x:c r="K245" s="4" t="n">
        <x:f>COUNTIFS('Material routes'!$B$6:$B$2205,A245,'Material routes'!$C$6:$C$2205,"Tool candidate")</x:f>
        <x:v>0</x:v>
      </x:c>
      <x:c r="L245"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5" s="4" t="str">
        <x:v>Candidate source-informed route only; no quantities, actual chemical formula, grade or performance guarantee.</x:v>
      </x:c>
    </x:row>
    <x:row r="246" ht="115" customHeight="1">
      <x:c r="A246" s="4" t="str">
        <x:v>design.lore.dried_fiber</x:v>
      </x:c>
      <x:c r="B246" s="4" t="str">
        <x:v>Dried electroactive-fiber reinforcement stock preparation</x:v>
      </x:c>
      <x:c r="C246" s="4" t="str">
        <x:v>Material refinement</x:v>
      </x:c>
      <x:c r="D246" s="4" t="str">
        <x:v>Proposal</x:v>
      </x:c>
      <x:c r="E246" s="4" t="str">
        <x:v>Partial proposal</x:v>
      </x:c>
      <x:c r="F246" s="4" t="str">
        <x:v>Explore conditioning for passive reinforcement; preserved motion or electrical activity is not assumed.</x:v>
      </x:c>
      <x:c r="G246" s="4" t="str">
        <x:v>Husk-sheet cutting shears, pressure fixtures and dedicated preparation surfaces. Very low hide/fur yield; no ordinary cloth or plant inputs.</x:v>
      </x:c>
      <x:c r="H246" s="4" t="str">
        <x:f>IF(I246=0,"Unassigned",IF(SUMIFS('Material routes'!$Q$6:$Q$2205,'Material routes'!$B$6:$B$2205,A246)&gt;0,"Unassigned","T"&amp;_xlfn.MAXIFS('Material routes'!$P$6:$P$2205,'Material routes'!$B$6:$B$2205,A246)))</x:f>
        <x:v>T0</x:v>
      </x:c>
      <x:c r="I246" s="4" t="n">
        <x:f>SUM(COUNTIFS('Material routes'!$B$6:$B$2205,A246,'Material routes'!$C$6:$C$2205,"Ingredient candidate"),COUNTIFS('Material routes'!$B$6:$B$2205,A246,'Material routes'!$C$6:$C$2205,"Consumed input"),COUNTIFS('Material routes'!$B$6:$B$2205,A246,'Material routes'!$C$6:$C$2205,"Contained input"),COUNTIFS('Material routes'!$B$6:$B$2205,A246,'Material routes'!$C$6:$C$2205,"Transform input"))</x:f>
        <x:v>1</x:v>
      </x:c>
      <x:c r="J246" s="4" t="n">
        <x:f>COUNTIFS('Material routes'!$B$6:$B$2205,A246,'Material routes'!$C$6:$C$2205,"Output")</x:f>
        <x:v>1</x:v>
      </x:c>
      <x:c r="K246" s="4" t="n">
        <x:f>COUNTIFS('Material routes'!$B$6:$B$2205,A246,'Material routes'!$C$6:$C$2205,"Tool candidate")</x:f>
        <x:v>0</x:v>
      </x:c>
      <x:c r="L246"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6" s="4" t="str">
        <x:v>Candidate source-informed route only; no quantities, actual chemical formula, grade or performance guarantee.</x:v>
      </x:c>
    </x:row>
    <x:row r="247" ht="115" customHeight="1">
      <x:c r="A247" s="4" t="str">
        <x:v>design.lore.feedstone_mix</x:v>
      </x:c>
      <x:c r="B247" s="4" t="str">
        <x:v>Graded domestic-beetle feedstone mix preparation</x:v>
      </x:c>
      <x:c r="C247" s="4" t="str">
        <x:v>Material refinement</x:v>
      </x:c>
      <x:c r="D247" s="4" t="str">
        <x:v>Proposal</x:v>
      </x:c>
      <x:c r="E247" s="4" t="str">
        <x:v>Partial proposal</x:v>
      </x:c>
      <x:c r="F247" s="4" t="str">
        <x:v>Blend a species- and lineage-specific mineral feed candidate; ratios, trace compounds and animal suitability remain open. Not human food.</x:v>
      </x:c>
      <x:c r="G247" s="4" t="str">
        <x:v>Specialist engineering workshop; insulation, pressure or control qualification as applicable. Power/working medium and operating theory unresolved.</x:v>
      </x:c>
      <x:c r="H247" s="4" t="str">
        <x:f>IF(I247=0,"Unassigned",IF(SUMIFS('Material routes'!$Q$6:$Q$2205,'Material routes'!$B$6:$B$2205,A247)&gt;0,"Unassigned","T"&amp;_xlfn.MAXIFS('Material routes'!$P$6:$P$2205,'Material routes'!$B$6:$B$2205,A247)))</x:f>
        <x:v>T1</x:v>
      </x:c>
      <x:c r="I247" s="4" t="n">
        <x:f>SUM(COUNTIFS('Material routes'!$B$6:$B$2205,A247,'Material routes'!$C$6:$C$2205,"Ingredient candidate"),COUNTIFS('Material routes'!$B$6:$B$2205,A247,'Material routes'!$C$6:$C$2205,"Consumed input"),COUNTIFS('Material routes'!$B$6:$B$2205,A247,'Material routes'!$C$6:$C$2205,"Contained input"),COUNTIFS('Material routes'!$B$6:$B$2205,A247,'Material routes'!$C$6:$C$2205,"Transform input"))</x:f>
        <x:v>4</x:v>
      </x:c>
      <x:c r="J247" s="4" t="n">
        <x:f>COUNTIFS('Material routes'!$B$6:$B$2205,A247,'Material routes'!$C$6:$C$2205,"Output")</x:f>
        <x:v>1</x:v>
      </x:c>
      <x:c r="K247" s="4" t="n">
        <x:f>COUNTIFS('Material routes'!$B$6:$B$2205,A247,'Material routes'!$C$6:$C$2205,"Tool candidate")</x:f>
        <x:v>0</x:v>
      </x:c>
      <x:c r="L247"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7" s="4" t="str">
        <x:v>Candidate source-informed route only; no quantities, actual chemical formula, grade or performance guarantee.</x:v>
      </x:c>
    </x:row>
    <x:row r="248" ht="115" customHeight="1">
      <x:c r="A248" s="4"/>
      <x:c r="B248" s="4"/>
      <x:c r="C248" s="4"/>
      <x:c r="D248" s="4"/>
      <x:c r="E248" s="4"/>
      <x:c r="F248" s="4"/>
      <x:c r="G248" s="4"/>
      <x:c r="H248" s="4"/>
      <x:c r="I248" s="4"/>
      <x:c r="J248" s="4"/>
      <x:c r="K248" s="4"/>
      <x:c r="L248" s="4"/>
      <x:c r="M248" s="4"/>
    </x:row>
    <x:row r="249" ht="115" customHeight="1">
      <x:c r="A249" s="4"/>
      <x:c r="B249" s="4"/>
      <x:c r="C249" s="4"/>
      <x:c r="D249" s="4"/>
      <x:c r="E249" s="4"/>
      <x:c r="F249" s="4"/>
      <x:c r="G249" s="4"/>
      <x:c r="H249" s="4"/>
      <x:c r="I249" s="4"/>
      <x:c r="J249" s="4"/>
      <x:c r="K249" s="4"/>
      <x:c r="L249" s="4"/>
      <x:c r="M249" s="4"/>
    </x:row>
    <x:row r="250" ht="115" customHeight="1">
      <x:c r="A250" s="4" t="str">
        <x:v>design.lore.shell_scraper</x:v>
      </x:c>
      <x:c r="B250" s="4" t="str">
        <x:v>Domestic shell-trimming scraper preparation</x:v>
      </x:c>
      <x:c r="C250" s="4" t="str">
        <x:v>Finished-item crafting</x:v>
      </x:c>
      <x:c r="D250" s="4" t="str">
        <x:v>Proposal</x:v>
      </x:c>
      <x:c r="E250" s="4" t="str">
        <x:v>Partial proposal</x:v>
      </x:c>
      <x:c r="F250" s="4" t="str">
        <x:v>Fit a jaw-derived insert and metal handle as a finished shell-care tool; handler knowledge and noninjurious use remain design questions.</x:v>
      </x:c>
      <x:c r="G250" s="4" t="str">
        <x:v>Forge hearth, Anvil, Forging hammer, Smithing tongs, Metalworking file and Hand-cranked metal drill as applicable. Existing workshop bootstrap and controlled heating/cooling required; no free-water quench assumed.</x:v>
      </x:c>
      <x:c r="H250" s="4" t="str">
        <x:f>IF(I250=0,"Unassigned",IF(SUMIFS('Material routes'!$Q$6:$Q$2205,'Material routes'!$B$6:$B$2205,A250)&gt;0,"Unassigned","T"&amp;_xlfn.MAXIFS('Material routes'!$P$6:$P$2205,'Material routes'!$B$6:$B$2205,A250)))</x:f>
        <x:v>T2</x:v>
      </x:c>
      <x:c r="I250" s="4" t="n">
        <x:f>SUM(COUNTIFS('Material routes'!$B$6:$B$2205,A250,'Material routes'!$C$6:$C$2205,"Ingredient candidate"),COUNTIFS('Material routes'!$B$6:$B$2205,A250,'Material routes'!$C$6:$C$2205,"Consumed input"),COUNTIFS('Material routes'!$B$6:$B$2205,A250,'Material routes'!$C$6:$C$2205,"Contained input"),COUNTIFS('Material routes'!$B$6:$B$2205,A250,'Material routes'!$C$6:$C$2205,"Transform input"))</x:f>
        <x:v>2</x:v>
      </x:c>
      <x:c r="J250" s="4" t="n">
        <x:f>COUNTIFS('Material routes'!$B$6:$B$2205,A250,'Material routes'!$C$6:$C$2205,"Output")</x:f>
        <x:v>1</x:v>
      </x:c>
      <x:c r="K250" s="4" t="n">
        <x:f>COUNTIFS('Material routes'!$B$6:$B$2205,A250,'Material routes'!$C$6:$C$2205,"Tool candidate")</x:f>
        <x:v>0</x:v>
      </x:c>
      <x:c r="L25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50" s="4" t="str">
        <x:v>Candidate source-informed route only; no quantities, actual chemical formula, grade or performance guarantee.</x:v>
      </x:c>
    </x:row>
    <x:row r="251" ht="115" customHeight="1">
      <x:c r="A251" s="4" t="str">
        <x:v>design.lore.iron_conductor</x:v>
      </x:c>
      <x:c r="B251" s="4" t="str">
        <x:v>Drawn iron conductor stock preparation</x:v>
      </x:c>
      <x:c r="C251" s="4" t="str">
        <x:v>Material refinement</x:v>
      </x:c>
      <x:c r="D251" s="4" t="str">
        <x:v>Proposal</x:v>
      </x:c>
      <x:c r="E251" s="4" t="str">
        <x:v>Partial proposal</x:v>
      </x:c>
      <x:c r="F251" s="4" t="str">
        <x:v>Prepare selected iron into conductor feed; intended for bulky practical systems. No current capacity or efficiency assigned.</x:v>
      </x:c>
      <x:c r="G251" s="4" t="str">
        <x:v>Forge hearth, Anvil, Forging hammer, Smithing tongs, Metalworking file and Hand-cranked metal drill as applicable. Existing workshop bootstrap and controlled heating/cooling required; no free-water quench assumed.</x:v>
      </x:c>
      <x:c r="H251" s="4" t="str">
        <x:f>IF(I251=0,"Unassigned",IF(SUMIFS('Material routes'!$Q$6:$Q$2205,'Material routes'!$B$6:$B$2205,A251)&gt;0,"Unassigned","T"&amp;_xlfn.MAXIFS('Material routes'!$P$6:$P$2205,'Material routes'!$B$6:$B$2205,A251)))</x:f>
        <x:v>T1</x:v>
      </x:c>
      <x:c r="I251" s="4" t="n">
        <x:f>SUM(COUNTIFS('Material routes'!$B$6:$B$2205,A251,'Material routes'!$C$6:$C$2205,"Ingredient candidate"),COUNTIFS('Material routes'!$B$6:$B$2205,A251,'Material routes'!$C$6:$C$2205,"Consumed input"),COUNTIFS('Material routes'!$B$6:$B$2205,A251,'Material routes'!$C$6:$C$2205,"Contained input"),COUNTIFS('Material routes'!$B$6:$B$2205,A251,'Material routes'!$C$6:$C$2205,"Transform input"))</x:f>
        <x:v>2</x:v>
      </x:c>
      <x:c r="J251" s="4" t="n">
        <x:f>COUNTIFS('Material routes'!$B$6:$B$2205,A251,'Material routes'!$C$6:$C$2205,"Output")</x:f>
        <x:v>1</x:v>
      </x:c>
      <x:c r="K251" s="4" t="n">
        <x:f>COUNTIFS('Material routes'!$B$6:$B$2205,A251,'Material routes'!$C$6:$C$2205,"Tool candidate")</x:f>
        <x:v>0</x:v>
      </x:c>
      <x:c r="L25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1" s="4" t="str">
        <x:v>Candidate source-informed route only; no quantities, actual chemical formula, grade or performance guarantee.</x:v>
      </x:c>
    </x:row>
    <x:row r="252" ht="115" customHeight="1">
      <x:c r="A252" s="4" t="str">
        <x:v>design.lore.iron_core_plates</x:v>
      </x:c>
      <x:c r="B252" s="4" t="str">
        <x:v>Shaped iron core plates preparation</x:v>
      </x:c>
      <x:c r="C252" s="4" t="str">
        <x:v>Material refinement</x:v>
      </x:c>
      <x:c r="D252" s="4" t="str">
        <x:v>Proposal</x:v>
      </x:c>
      <x:c r="E252" s="4" t="str">
        <x:v>Partial proposal</x:v>
      </x:c>
      <x:c r="F252" s="4" t="str">
        <x:v>Form matching core plates from first iron stock; magnetic grade and inter-layer isolation remain unspecified.</x:v>
      </x:c>
      <x:c r="G252" s="4" t="str">
        <x:v>Forge hearth, Anvil, Forging hammer, Smithing tongs, Metalworking file and Hand-cranked metal drill as applicable. Existing workshop bootstrap and controlled heating/cooling required; no free-water quench assumed.</x:v>
      </x:c>
      <x:c r="H252" s="4" t="str">
        <x:f>IF(I252=0,"Unassigned",IF(SUMIFS('Material routes'!$Q$6:$Q$2205,'Material routes'!$B$6:$B$2205,A252)&gt;0,"Unassigned","T"&amp;_xlfn.MAXIFS('Material routes'!$P$6:$P$2205,'Material routes'!$B$6:$B$2205,A252)))</x:f>
        <x:v>T1</x:v>
      </x:c>
      <x:c r="I252" s="4" t="n">
        <x:f>SUM(COUNTIFS('Material routes'!$B$6:$B$2205,A252,'Material routes'!$C$6:$C$2205,"Ingredient candidate"),COUNTIFS('Material routes'!$B$6:$B$2205,A252,'Material routes'!$C$6:$C$2205,"Consumed input"),COUNTIFS('Material routes'!$B$6:$B$2205,A252,'Material routes'!$C$6:$C$2205,"Contained input"),COUNTIFS('Material routes'!$B$6:$B$2205,A252,'Material routes'!$C$6:$C$2205,"Transform input"))</x:f>
        <x:v>1</x:v>
      </x:c>
      <x:c r="J252" s="4" t="n">
        <x:f>COUNTIFS('Material routes'!$B$6:$B$2205,A252,'Material routes'!$C$6:$C$2205,"Output")</x:f>
        <x:v>1</x:v>
      </x:c>
      <x:c r="K252" s="4" t="n">
        <x:f>COUNTIFS('Material routes'!$B$6:$B$2205,A252,'Material routes'!$C$6:$C$2205,"Tool candidate")</x:f>
        <x:v>0</x:v>
      </x:c>
      <x:c r="L25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2" s="4" t="str">
        <x:v>Candidate source-informed route only; no quantities, actual chemical formula, grade or performance guarantee.</x:v>
      </x:c>
    </x:row>
    <x:row r="253" ht="115" customHeight="1">
      <x:c r="A253" s="4" t="str">
        <x:v>design.lore.iron_winding</x:v>
      </x:c>
      <x:c r="B253" s="4" t="str">
        <x:v>Iron-wound core blank preparation</x:v>
      </x:c>
      <x:c r="C253" s="4" t="str">
        <x:v>Material refinement</x:v>
      </x:c>
      <x:c r="D253" s="4" t="str">
        <x:v>Proposal</x:v>
      </x:c>
      <x:c r="E253" s="4" t="str">
        <x:v>Partial proposal</x:v>
      </x:c>
      <x:c r="F253" s="4" t="str">
        <x:v>Fit iron winding and core feed with selected ceramic supports; insulation, heating and the final circuit remain unresolved.</x:v>
      </x:c>
      <x:c r="G253" s="4" t="str">
        <x:v>Forge hearth, Anvil, Forging hammer, Smithing tongs, Metalworking file and Hand-cranked metal drill as applicable. Existing workshop bootstrap and controlled heating/cooling required; no free-water quench assumed.</x:v>
      </x:c>
      <x:c r="H253" s="4" t="str">
        <x:f>IF(I253=0,"Unassigned",IF(SUMIFS('Material routes'!$Q$6:$Q$2205,'Material routes'!$B$6:$B$2205,A253)&gt;0,"Unassigned","T"&amp;_xlfn.MAXIFS('Material routes'!$P$6:$P$2205,'Material routes'!$B$6:$B$2205,A253)))</x:f>
        <x:v>T2</x:v>
      </x:c>
      <x:c r="I253" s="4" t="n">
        <x:f>SUM(COUNTIFS('Material routes'!$B$6:$B$2205,A253,'Material routes'!$C$6:$C$2205,"Ingredient candidate"),COUNTIFS('Material routes'!$B$6:$B$2205,A253,'Material routes'!$C$6:$C$2205,"Consumed input"),COUNTIFS('Material routes'!$B$6:$B$2205,A253,'Material routes'!$C$6:$C$2205,"Contained input"),COUNTIFS('Material routes'!$B$6:$B$2205,A253,'Material routes'!$C$6:$C$2205,"Transform input"))</x:f>
        <x:v>3</x:v>
      </x:c>
      <x:c r="J253" s="4" t="n">
        <x:f>COUNTIFS('Material routes'!$B$6:$B$2205,A253,'Material routes'!$C$6:$C$2205,"Output")</x:f>
        <x:v>1</x:v>
      </x:c>
      <x:c r="K253" s="4" t="n">
        <x:f>COUNTIFS('Material routes'!$B$6:$B$2205,A253,'Material routes'!$C$6:$C$2205,"Tool candidate")</x:f>
        <x:v>0</x:v>
      </x:c>
      <x:c r="L253"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3" s="4" t="str">
        <x:v>Candidate source-informed route only; no quantities, actual chemical formula, grade or performance guarantee.</x:v>
      </x:c>
    </x:row>
    <x:row r="254" ht="115" customHeight="1">
      <x:c r="A254" s="4" t="str">
        <x:v>design.lore.rivet_stock</x:v>
      </x:c>
      <x:c r="B254" s="4" t="str">
        <x:v>Rough iron rivet stock preparation</x:v>
      </x:c>
      <x:c r="C254" s="4" t="str">
        <x:v>Material refinement</x:v>
      </x:c>
      <x:c r="D254" s="4" t="str">
        <x:v>Proposal</x:v>
      </x:c>
      <x:c r="E254" s="4" t="str">
        <x:v>Partial proposal</x:v>
      </x:c>
      <x:c r="F254" s="4" t="str">
        <x:v>Form first iron stock into unfinished rivet feed; grade, dimensions and subsequent fitting remain open.</x:v>
      </x:c>
      <x:c r="G254" s="4" t="str">
        <x:v>Forge hearth, Anvil, Forging hammer, Smithing tongs, Metalworking file and Hand-cranked metal drill as applicable. Existing workshop bootstrap and controlled heating/cooling required; no free-water quench assumed.</x:v>
      </x:c>
      <x:c r="H254" s="4" t="str">
        <x:f>IF(I254=0,"Unassigned",IF(SUMIFS('Material routes'!$Q$6:$Q$2205,'Material routes'!$B$6:$B$2205,A254)&gt;0,"Unassigned","T"&amp;_xlfn.MAXIFS('Material routes'!$P$6:$P$2205,'Material routes'!$B$6:$B$2205,A254)))</x:f>
        <x:v>T1</x:v>
      </x:c>
      <x:c r="I254" s="4" t="n">
        <x:f>SUM(COUNTIFS('Material routes'!$B$6:$B$2205,A254,'Material routes'!$C$6:$C$2205,"Ingredient candidate"),COUNTIFS('Material routes'!$B$6:$B$2205,A254,'Material routes'!$C$6:$C$2205,"Consumed input"),COUNTIFS('Material routes'!$B$6:$B$2205,A254,'Material routes'!$C$6:$C$2205,"Contained input"),COUNTIFS('Material routes'!$B$6:$B$2205,A254,'Material routes'!$C$6:$C$2205,"Transform input"))</x:f>
        <x:v>1</x:v>
      </x:c>
      <x:c r="J254" s="4" t="n">
        <x:f>COUNTIFS('Material routes'!$B$6:$B$2205,A254,'Material routes'!$C$6:$C$2205,"Output")</x:f>
        <x:v>1</x:v>
      </x:c>
      <x:c r="K254" s="4" t="n">
        <x:f>COUNTIFS('Material routes'!$B$6:$B$2205,A254,'Material routes'!$C$6:$C$2205,"Tool candidate")</x:f>
        <x:v>0</x:v>
      </x:c>
      <x:c r="L25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4" s="4" t="str">
        <x:v>Candidate source-informed route only; no quantities, actual chemical formula, grade or performance guarantee.</x:v>
      </x:c>
    </x:row>
    <x:row r="255" ht="115" customHeight="1">
      <x:c r="A255" s="4" t="str">
        <x:v>design.lore.fastener_set</x:v>
      </x:c>
      <x:c r="B255" s="4" t="str">
        <x:v>Matched metal fastener set preparation</x:v>
      </x:c>
      <x:c r="C255" s="4" t="str">
        <x:v>Material refinement</x:v>
      </x:c>
      <x:c r="D255" s="4" t="str">
        <x:v>Proposal</x:v>
      </x:c>
      <x:c r="E255" s="4" t="str">
        <x:v>Partial proposal</x:v>
      </x:c>
      <x:c r="F255" s="4" t="str">
        <x:v>Finish and select compatible retaining parts; exact fastener styles and sizes remain open. Intermediate hardware, distinct from an existing finished Legger service kit.</x:v>
      </x:c>
      <x:c r="G255" s="4" t="str">
        <x:v>Forge hearth, Anvil, Forging hammer, Smithing tongs, Metalworking file and Hand-cranked metal drill as applicable. Existing workshop bootstrap and controlled heating/cooling required; no free-water quench assumed.</x:v>
      </x:c>
      <x:c r="H255" s="4" t="str">
        <x:f>IF(I255=0,"Unassigned",IF(SUMIFS('Material routes'!$Q$6:$Q$2205,'Material routes'!$B$6:$B$2205,A255)&gt;0,"Unassigned","T"&amp;_xlfn.MAXIFS('Material routes'!$P$6:$P$2205,'Material routes'!$B$6:$B$2205,A255)))</x:f>
        <x:v>T2</x:v>
      </x:c>
      <x:c r="I255" s="4" t="n">
        <x:f>SUM(COUNTIFS('Material routes'!$B$6:$B$2205,A255,'Material routes'!$C$6:$C$2205,"Ingredient candidate"),COUNTIFS('Material routes'!$B$6:$B$2205,A255,'Material routes'!$C$6:$C$2205,"Consumed input"),COUNTIFS('Material routes'!$B$6:$B$2205,A255,'Material routes'!$C$6:$C$2205,"Contained input"),COUNTIFS('Material routes'!$B$6:$B$2205,A255,'Material routes'!$C$6:$C$2205,"Transform input"))</x:f>
        <x:v>3</x:v>
      </x:c>
      <x:c r="J255" s="4" t="n">
        <x:f>COUNTIFS('Material routes'!$B$6:$B$2205,A255,'Material routes'!$C$6:$C$2205,"Output")</x:f>
        <x:v>1</x:v>
      </x:c>
      <x:c r="K255" s="4" t="n">
        <x:f>COUNTIFS('Material routes'!$B$6:$B$2205,A255,'Material routes'!$C$6:$C$2205,"Tool candidate")</x:f>
        <x:v>0</x:v>
      </x:c>
      <x:c r="L25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5" s="4" t="str">
        <x:v>Candidate source-informed route only; no quantities, actual chemical formula, grade or performance guarantee.</x:v>
      </x:c>
    </x:row>
    <x:row r="256" ht="115" customHeight="1">
      <x:c r="A256" s="4" t="str">
        <x:v>design.lore.threaded_fittings</x:v>
      </x:c>
      <x:c r="B256" s="4" t="str">
        <x:v>Threaded metal fitting blanks preparation</x:v>
      </x:c>
      <x:c r="C256" s="4" t="str">
        <x:v>Material refinement</x:v>
      </x:c>
      <x:c r="D256" s="4" t="str">
        <x:v>Proposal</x:v>
      </x:c>
      <x:c r="E256" s="4" t="str">
        <x:v>Partial proposal</x:v>
      </x:c>
      <x:c r="F256" s="4" t="str">
        <x:v>Prepare compatible fitting blanks for later tube/canister interfaces; thread forms, finish and compatibility remain unassigned.</x:v>
      </x:c>
      <x:c r="G256" s="4" t="str">
        <x:v>Forge hearth, Anvil, Forging hammer, Smithing tongs, Metalworking file and Hand-cranked metal drill as applicable. Existing workshop bootstrap and controlled heating/cooling required; no free-water quench assumed.</x:v>
      </x:c>
      <x:c r="H256" s="4" t="str">
        <x:f>IF(I256=0,"Unassigned",IF(SUMIFS('Material routes'!$Q$6:$Q$2205,'Material routes'!$B$6:$B$2205,A256)&gt;0,"Unassigned","T"&amp;_xlfn.MAXIFS('Material routes'!$P$6:$P$2205,'Material routes'!$B$6:$B$2205,A256)))</x:f>
        <x:v>T2</x:v>
      </x:c>
      <x:c r="I256" s="4" t="n">
        <x:f>SUM(COUNTIFS('Material routes'!$B$6:$B$2205,A256,'Material routes'!$C$6:$C$2205,"Ingredient candidate"),COUNTIFS('Material routes'!$B$6:$B$2205,A256,'Material routes'!$C$6:$C$2205,"Consumed input"),COUNTIFS('Material routes'!$B$6:$B$2205,A256,'Material routes'!$C$6:$C$2205,"Contained input"),COUNTIFS('Material routes'!$B$6:$B$2205,A256,'Material routes'!$C$6:$C$2205,"Transform input"))</x:f>
        <x:v>3</x:v>
      </x:c>
      <x:c r="J256" s="4" t="n">
        <x:f>COUNTIFS('Material routes'!$B$6:$B$2205,A256,'Material routes'!$C$6:$C$2205,"Output")</x:f>
        <x:v>1</x:v>
      </x:c>
      <x:c r="K256" s="4" t="n">
        <x:f>COUNTIFS('Material routes'!$B$6:$B$2205,A256,'Material routes'!$C$6:$C$2205,"Tool candidate")</x:f>
        <x:v>0</x:v>
      </x:c>
      <x:c r="L25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6" s="4" t="str">
        <x:v>Candidate source-informed route only; no quantities, actual chemical formula, grade or performance guarantee.</x:v>
      </x:c>
    </x:row>
    <x:row r="257" ht="115" customHeight="1">
      <x:c r="A257" s="4"/>
      <x:c r="B257" s="4"/>
      <x:c r="C257" s="4"/>
      <x:c r="D257" s="4"/>
      <x:c r="E257" s="4"/>
      <x:c r="F257" s="4"/>
      <x:c r="G257" s="4"/>
      <x:c r="H257" s="4"/>
      <x:c r="I257" s="4"/>
      <x:c r="J257" s="4"/>
      <x:c r="K257" s="4"/>
      <x:c r="L257" s="4"/>
      <x:c r="M257" s="4"/>
    </x:row>
    <x:row r="258" ht="115" customHeight="1">
      <x:c r="A258" s="4" t="str">
        <x:v>design.lore.phagia_filled_binder</x:v>
      </x:c>
      <x:c r="B258" s="4" t="str">
        <x:v>Filled shell-binding compound preparation</x:v>
      </x:c>
      <x:c r="C258" s="4" t="str">
        <x:v>Material refinement</x:v>
      </x:c>
      <x:c r="D258" s="4" t="str">
        <x:v>Proposal</x:v>
      </x:c>
      <x:c r="E258" s="4" t="str">
        <x:v>Partial proposal</x:v>
      </x:c>
      <x:c r="F258" s="4" t="str">
        <x:v>Alternative filled binder using a proposed Phagia-derived base rather than treating all adhesives as shell secretion. No guaranteed substitution or compatibility.</x:v>
      </x:c>
      <x:c r="G258" s="4" t="str">
        <x:v>Contained segregated vessels, Ceramic grinding mortar, Ceramic pestle and Glass transfer funnel. Process/carrier compatibility unresolved.</x:v>
      </x:c>
      <x:c r="H258" s="4" t="str">
        <x:f>IF(I258=0,"Unassigned",IF(SUMIFS('Material routes'!$Q$6:$Q$2205,'Material routes'!$B$6:$B$2205,A258)&gt;0,"Unassigned","T"&amp;_xlfn.MAXIFS('Material routes'!$P$6:$P$2205,'Material routes'!$B$6:$B$2205,A258)))</x:f>
        <x:v>T1</x:v>
      </x:c>
      <x:c r="I258" s="4" t="n">
        <x:f>SUM(COUNTIFS('Material routes'!$B$6:$B$2205,A258,'Material routes'!$C$6:$C$2205,"Ingredient candidate"),COUNTIFS('Material routes'!$B$6:$B$2205,A258,'Material routes'!$C$6:$C$2205,"Consumed input"),COUNTIFS('Material routes'!$B$6:$B$2205,A258,'Material routes'!$C$6:$C$2205,"Contained input"),COUNTIFS('Material routes'!$B$6:$B$2205,A258,'Material routes'!$C$6:$C$2205,"Transform input"))</x:f>
        <x:v>2</x:v>
      </x:c>
      <x:c r="J258" s="4" t="n">
        <x:f>COUNTIFS('Material routes'!$B$6:$B$2205,A258,'Material routes'!$C$6:$C$2205,"Output")</x:f>
        <x:v>1</x:v>
      </x:c>
      <x:c r="K258" s="4" t="n">
        <x:f>COUNTIFS('Material routes'!$B$6:$B$2205,A258,'Material routes'!$C$6:$C$2205,"Tool candidate")</x:f>
        <x:v>0</x:v>
      </x:c>
      <x:c r="L25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8" s="4" t="str">
        <x:v>Candidate source-informed route only; no quantities, actual chemical formula, grade or performance guarantee.</x:v>
      </x:c>
    </x:row>
    <x:row r="259" ht="115" customHeight="1">
      <x:c r="A259" s="4" t="str">
        <x:v>design.lore.mineral_surface_treatment</x:v>
      </x:c>
      <x:c r="B259" s="4" t="str">
        <x:v>Advanced rust-removal compound preparation</x:v>
      </x:c>
      <x:c r="C259" s="4" t="str">
        <x:v>Material refinement</x:v>
      </x:c>
      <x:c r="D259" s="4" t="str">
        <x:v>Proposal</x:v>
      </x:c>
      <x:c r="E259" s="4" t="str">
        <x:v>Partial proposal</x:v>
      </x:c>
      <x:c r="F259" s="4" t="str">
        <x:v>Alternative mineral-fed surface-treatment research route. Sulfur charge still needs unresolved chemical conversion and service selection; no universal remover or completed acid recipe.</x:v>
      </x:c>
      <x:c r="G259" s="4" t="str">
        <x:v>Specialist engineering workshop; insulation, pressure or control qualification as applicable. Power/working medium and operating theory unresolved.</x:v>
      </x:c>
      <x:c r="H259" s="4" t="str">
        <x:f>IF(I259=0,"Unassigned",IF(SUMIFS('Material routes'!$Q$6:$Q$2205,'Material routes'!$B$6:$B$2205,A259)&gt;0,"Unassigned","T"&amp;_xlfn.MAXIFS('Material routes'!$P$6:$P$2205,'Material routes'!$B$6:$B$2205,A259)))</x:f>
        <x:v>T1</x:v>
      </x:c>
      <x:c r="I259" s="4" t="n">
        <x:f>SUM(COUNTIFS('Material routes'!$B$6:$B$2205,A259,'Material routes'!$C$6:$C$2205,"Ingredient candidate"),COUNTIFS('Material routes'!$B$6:$B$2205,A259,'Material routes'!$C$6:$C$2205,"Consumed input"),COUNTIFS('Material routes'!$B$6:$B$2205,A259,'Material routes'!$C$6:$C$2205,"Contained input"),COUNTIFS('Material routes'!$B$6:$B$2205,A259,'Material routes'!$C$6:$C$2205,"Transform input"))</x:f>
        <x:v>2</x:v>
      </x:c>
      <x:c r="J259" s="4" t="n">
        <x:f>COUNTIFS('Material routes'!$B$6:$B$2205,A259,'Material routes'!$C$6:$C$2205,"Output")</x:f>
        <x:v>1</x:v>
      </x:c>
      <x:c r="K259" s="4" t="n">
        <x:f>COUNTIFS('Material routes'!$B$6:$B$2205,A259,'Material routes'!$C$6:$C$2205,"Tool candidate")</x:f>
        <x:v>0</x:v>
      </x:c>
      <x:c r="L25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9" s="4" t="str">
        <x:v>Candidate source-informed route only; no quantities, actual chemical formula, grade or performance guarantee.</x:v>
      </x:c>
    </x:row>
    <x:row r="260" ht="115" customHeight="1">
      <x:c r="A260" s="4" t="str">
        <x:v>design.lore.residue_insulation_stock</x:v>
      </x:c>
      <x:c r="B260" s="4" t="str">
        <x:v>Prepared electrical insulation stock preparation</x:v>
      </x:c>
      <x:c r="C260" s="4" t="str">
        <x:v>Material refinement</x:v>
      </x:c>
      <x:c r="D260" s="4" t="str">
        <x:v>Proposal</x:v>
      </x:c>
      <x:c r="E260" s="4" t="str">
        <x:v>Partial proposal</x:v>
      </x:c>
      <x:c r="F260" s="4" t="str">
        <x:v>Alternative contemporary mineral/binder insulation-stock candidate; species chemistry, cure and electrical service remain unqualified.</x:v>
      </x:c>
      <x:c r="G260" s="4" t="str">
        <x:v>Forge hearth, Anvil, Forging hammer, Smithing tongs, Metalworking file and Hand-cranked metal drill as applicable. Existing workshop bootstrap and controlled heating/cooling required; no free-water quench assumed.</x:v>
      </x:c>
      <x:c r="H260" s="4" t="str">
        <x:f>IF(I260=0,"Unassigned",IF(SUMIFS('Material routes'!$Q$6:$Q$2205,'Material routes'!$B$6:$B$2205,A260)&gt;0,"Unassigned","T"&amp;_xlfn.MAXIFS('Material routes'!$P$6:$P$2205,'Material routes'!$B$6:$B$2205,A260)))</x:f>
        <x:v>T2</x:v>
      </x:c>
      <x:c r="I260" s="4" t="n">
        <x:f>SUM(COUNTIFS('Material routes'!$B$6:$B$2205,A260,'Material routes'!$C$6:$C$2205,"Ingredient candidate"),COUNTIFS('Material routes'!$B$6:$B$2205,A260,'Material routes'!$C$6:$C$2205,"Consumed input"),COUNTIFS('Material routes'!$B$6:$B$2205,A260,'Material routes'!$C$6:$C$2205,"Contained input"),COUNTIFS('Material routes'!$B$6:$B$2205,A260,'Material routes'!$C$6:$C$2205,"Transform input"))</x:f>
        <x:v>3</x:v>
      </x:c>
      <x:c r="J260" s="4" t="n">
        <x:f>COUNTIFS('Material routes'!$B$6:$B$2205,A260,'Material routes'!$C$6:$C$2205,"Output")</x:f>
        <x:v>1</x:v>
      </x:c>
      <x:c r="K260" s="4" t="n">
        <x:f>COUNTIFS('Material routes'!$B$6:$B$2205,A260,'Material routes'!$C$6:$C$2205,"Tool candidate")</x:f>
        <x:v>0</x:v>
      </x:c>
      <x:c r="L260"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0" s="4" t="str">
        <x:v>Candidate source-informed route only; no quantities, actual chemical formula, grade or performance guarantee.</x:v>
      </x:c>
    </x:row>
    <x:row r="261" ht="115" customHeight="1">
      <x:c r="A261" s="4" t="str">
        <x:v>design.lore.iron_winding_assembly</x:v>
      </x:c>
      <x:c r="B261" s="4" t="str">
        <x:v>Insulated winding subassembly preparation</x:v>
      </x:c>
      <x:c r="C261" s="4" t="str">
        <x:v>Material refinement</x:v>
      </x:c>
      <x:c r="D261" s="4" t="str">
        <x:v>Proposal</x:v>
      </x:c>
      <x:c r="E261" s="4" t="str">
        <x:v>Partial proposal</x:v>
      </x:c>
      <x:c r="F261" s="4" t="str">
        <x:v>Alternative bulky iron-based winding assembly for selected equipment; does not make copper universally replaceable or supply a complete generator, radio or field device.</x:v>
      </x:c>
      <x:c r="G261" s="4" t="str">
        <x:v>Forge hearth, Anvil, Forging hammer, Smithing tongs, Metalworking file and Hand-cranked metal drill as applicable. Existing workshop bootstrap and controlled heating/cooling required; no free-water quench assumed.</x:v>
      </x:c>
      <x:c r="H261" s="4" t="str">
        <x:f>IF(I261=0,"Unassigned",IF(SUMIFS('Material routes'!$Q$6:$Q$2205,'Material routes'!$B$6:$B$2205,A261)&gt;0,"Unassigned","T"&amp;_xlfn.MAXIFS('Material routes'!$P$6:$P$2205,'Material routes'!$B$6:$B$2205,A261)))</x:f>
        <x:v>T3</x:v>
      </x:c>
      <x:c r="I261" s="4" t="n">
        <x:f>SUM(COUNTIFS('Material routes'!$B$6:$B$2205,A261,'Material routes'!$C$6:$C$2205,"Ingredient candidate"),COUNTIFS('Material routes'!$B$6:$B$2205,A261,'Material routes'!$C$6:$C$2205,"Consumed input"),COUNTIFS('Material routes'!$B$6:$B$2205,A261,'Material routes'!$C$6:$C$2205,"Contained input"),COUNTIFS('Material routes'!$B$6:$B$2205,A261,'Material routes'!$C$6:$C$2205,"Transform input"))</x:f>
        <x:v>3</x:v>
      </x:c>
      <x:c r="J261" s="4" t="n">
        <x:f>COUNTIFS('Material routes'!$B$6:$B$2205,A261,'Material routes'!$C$6:$C$2205,"Output")</x:f>
        <x:v>1</x:v>
      </x:c>
      <x:c r="K261" s="4" t="n">
        <x:f>COUNTIFS('Material routes'!$B$6:$B$2205,A261,'Material routes'!$C$6:$C$2205,"Tool candidate")</x:f>
        <x:v>0</x:v>
      </x:c>
      <x:c r="L26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1" s="4" t="str">
        <x:v>Candidate source-informed route only; no quantities, actual chemical formula, grade or performance guarantee.</x:v>
      </x:c>
    </x:row>
    <x:row r="262" ht="115" customHeight="1">
      <x:c r="A262" s="4"/>
      <x:c r="B262" s="4"/>
      <x:c r="C262" s="4"/>
      <x:c r="D262" s="4"/>
      <x:c r="E262" s="4"/>
      <x:c r="F262" s="4"/>
      <x:c r="G262" s="4"/>
      <x:c r="H262" s="4"/>
      <x:c r="I262" s="4"/>
      <x:c r="J262" s="4"/>
      <x:c r="K262" s="4"/>
      <x:c r="L262" s="4"/>
      <x:c r="M262" s="4"/>
    </x:row>
    <x:row r="263" ht="90" customHeight="1">
      <x:c r="A263" s="4" t="str">
        <x:v>design.collection.sorted_nickel_alloying_feed</x:v>
      </x:c>
      <x:c r="B263" s="4" t="str">
        <x:v>Sorted nickel alloying feed candidate preparation</x:v>
      </x:c>
      <x:c r="C263" s="4" t="str">
        <x:v>Material refinement</x:v>
      </x:c>
      <x:c r="D263" s="4" t="str">
        <x:v>Proposal</x:v>
      </x:c>
      <x:c r="E263" s="4" t="str">
        <x:v>Partial proposal</x:v>
      </x:c>
      <x:c r="F263" s="4" t="str">
        <x:v>Selected alloying fraction, composition unresolved</x:v>
      </x:c>
      <x:c r="G263" s="4" t="str">
        <x:v>Ceramic grinding mortar, Ceramic pestle, Ceramic abrasive disc and stone-cutting fixtures as applicable; grade selection and finishing qualification required.</x:v>
      </x:c>
      <x:c r="H263" s="4" t="str">
        <x:f>IF(I263=0,"Unassigned",IF(SUMIFS('Material routes'!$Q$6:$Q$2205,'Material routes'!$B$6:$B$2205,A263)&gt;0,"Unassigned","T"&amp;_xlfn.MAXIFS('Material routes'!$P$6:$P$2205,'Material routes'!$B$6:$B$2205,A263)))</x:f>
        <x:v>T0</x:v>
      </x:c>
      <x:c r="I263" s="4" t="n">
        <x:f>SUM(COUNTIFS('Material routes'!$B$6:$B$2205,A263,'Material routes'!$C$6:$C$2205,"Ingredient candidate"),COUNTIFS('Material routes'!$B$6:$B$2205,A263,'Material routes'!$C$6:$C$2205,"Consumed input"),COUNTIFS('Material routes'!$B$6:$B$2205,A263,'Material routes'!$C$6:$C$2205,"Contained input"),COUNTIFS('Material routes'!$B$6:$B$2205,A263,'Material routes'!$C$6:$C$2205,"Transform input"))</x:f>
        <x:v>1</x:v>
      </x:c>
      <x:c r="J263" s="4" t="n">
        <x:f>COUNTIFS('Material routes'!$B$6:$B$2205,A263,'Material routes'!$C$6:$C$2205,"Output")</x:f>
        <x:v>1</x:v>
      </x:c>
      <x:c r="K263" s="4" t="n">
        <x:f>COUNTIFS('Material routes'!$B$6:$B$2205,A263,'Material routes'!$C$6:$C$2205,"Tool candidate")</x:f>
        <x:v>0</x:v>
      </x:c>
      <x:c r="L263" s="4" t="str">
        <x:v>New item proposal, October 15, 2026. Setting reference (source proposal): https://github.com/sleepyseamonster/Arc-Dust/blob/f6f98515c005dc3c73cccd9cbc031691745740c6/02-Arc-Dust-Worldbuilding/world/materials/industrial-material-palette.md</x:v>
      </x:c>
      <x:c r="M263" s="4" t="str">
        <x:v>Quantities, output yield, supporting inputs and compatibility remain undefined.</x:v>
      </x:c>
    </x:row>
    <x:row r="264" ht="90" customHeight="1">
      <x:c r="A264" s="4" t="str">
        <x:v>design.collection.sorted_tin_smelter_feed</x:v>
      </x:c>
      <x:c r="B264" s="4" t="str">
        <x:v>Sorted tin smelter feed candidate preparation</x:v>
      </x:c>
      <x:c r="C264" s="4" t="str">
        <x:v>Material refinement</x:v>
      </x:c>
      <x:c r="D264" s="4" t="str">
        <x:v>Proposal</x:v>
      </x:c>
      <x:c r="E264" s="4" t="str">
        <x:v>Partial proposal</x:v>
      </x:c>
      <x:c r="F264" s="4" t="str">
        <x:v>Concentrated candidate bronze feed</x:v>
      </x:c>
      <x:c r="G264" s="4" t="str">
        <x:v>Ceramic grinding mortar, Ceramic pestle, Ceramic abrasive disc and stone-cutting fixtures as applicable; grade selection and finishing qualification required.</x:v>
      </x:c>
      <x:c r="H264" s="4" t="str">
        <x:f>IF(I264=0,"Unassigned",IF(SUMIFS('Material routes'!$Q$6:$Q$2205,'Material routes'!$B$6:$B$2205,A264)&gt;0,"Unassigned","T"&amp;_xlfn.MAXIFS('Material routes'!$P$6:$P$2205,'Material routes'!$B$6:$B$2205,A264)))</x:f>
        <x:v>T0</x:v>
      </x:c>
      <x:c r="I264" s="4" t="n">
        <x:f>SUM(COUNTIFS('Material routes'!$B$6:$B$2205,A264,'Material routes'!$C$6:$C$2205,"Ingredient candidate"),COUNTIFS('Material routes'!$B$6:$B$2205,A264,'Material routes'!$C$6:$C$2205,"Consumed input"),COUNTIFS('Material routes'!$B$6:$B$2205,A264,'Material routes'!$C$6:$C$2205,"Contained input"),COUNTIFS('Material routes'!$B$6:$B$2205,A264,'Material routes'!$C$6:$C$2205,"Transform input"))</x:f>
        <x:v>1</x:v>
      </x:c>
      <x:c r="J264" s="4" t="n">
        <x:f>COUNTIFS('Material routes'!$B$6:$B$2205,A264,'Material routes'!$C$6:$C$2205,"Output")</x:f>
        <x:v>1</x:v>
      </x:c>
      <x:c r="K264" s="4" t="n">
        <x:f>COUNTIFS('Material routes'!$B$6:$B$2205,A264,'Material routes'!$C$6:$C$2205,"Tool candidate")</x:f>
        <x:v>0</x:v>
      </x:c>
      <x:c r="L264" s="4" t="str">
        <x:v>New item proposal, October 15, 2026. Setting reference (source proposal): https://github.com/sleepyseamonster/Arc-Dust/blob/f6f98515c005dc3c73cccd9cbc031691745740c6/02-Arc-Dust-Worldbuilding/world/materials/industrial-material-palette.md</x:v>
      </x:c>
      <x:c r="M264" s="4" t="str">
        <x:v>Quantities, output yield, supporting inputs and compatibility remain undefined.</x:v>
      </x:c>
    </x:row>
    <x:row r="265" ht="90" customHeight="1">
      <x:c r="A265" s="4"/>
      <x:c r="B265" s="4"/>
      <x:c r="C265" s="4"/>
      <x:c r="D265" s="4"/>
      <x:c r="E265" s="4"/>
      <x:c r="F265" s="4"/>
      <x:c r="G265" s="4"/>
      <x:c r="H265" s="4"/>
      <x:c r="I265" s="4"/>
      <x:c r="J265" s="4"/>
      <x:c r="K265" s="4"/>
      <x:c r="L265" s="4"/>
      <x:c r="M265" s="4"/>
    </x:row>
    <x:row r="266" ht="90" customHeight="1">
      <x:c r="A266" s="4"/>
      <x:c r="B266" s="4"/>
      <x:c r="C266" s="4"/>
      <x:c r="D266" s="4"/>
      <x:c r="E266" s="4"/>
      <x:c r="F266" s="4"/>
      <x:c r="G266" s="4"/>
      <x:c r="H266" s="4"/>
      <x:c r="I266" s="4"/>
      <x:c r="J266" s="4"/>
      <x:c r="K266" s="4"/>
      <x:c r="L266" s="4"/>
      <x:c r="M266" s="4"/>
    </x:row>
    <x:row r="267" ht="90" customHeight="1">
      <x:c r="A267" s="4" t="str">
        <x:v>design.collection.drawn_bronze_strip_stock</x:v>
      </x:c>
      <x:c r="B267" s="4" t="str">
        <x:v>Drawn bronze strip stock candidate preparation</x:v>
      </x:c>
      <x:c r="C267" s="4" t="str">
        <x:v>Material refinement</x:v>
      </x:c>
      <x:c r="D267" s="4" t="str">
        <x:v>Proposal</x:v>
      </x:c>
      <x:c r="E267" s="4" t="str">
        <x:v>Partial proposal</x:v>
      </x:c>
      <x:c r="F267" s="4" t="str">
        <x:v>Spring, decorative and contact stock distinct from bearing bronze</x:v>
      </x:c>
      <x:c r="G267" s="4" t="str">
        <x:v>Forge hearth, Anvil, Forging hammer, Smithing tongs, Metalworking file and Hand-cranked metal drill as applicable. Existing workshop bootstrap and controlled heating/cooling required; no free-water quench assumed.</x:v>
      </x:c>
      <x:c r="H267" s="4" t="str">
        <x:f>IF(I267=0,"Unassigned",IF(SUMIFS('Material routes'!$Q$6:$Q$2205,'Material routes'!$B$6:$B$2205,A267)&gt;0,"Unassigned","T"&amp;_xlfn.MAXIFS('Material routes'!$P$6:$P$2205,'Material routes'!$B$6:$B$2205,A267)))</x:f>
        <x:v>T1</x:v>
      </x:c>
      <x:c r="I267" s="4" t="n">
        <x:f>SUM(COUNTIFS('Material routes'!$B$6:$B$2205,A267,'Material routes'!$C$6:$C$2205,"Ingredient candidate"),COUNTIFS('Material routes'!$B$6:$B$2205,A267,'Material routes'!$C$6:$C$2205,"Consumed input"),COUNTIFS('Material routes'!$B$6:$B$2205,A267,'Material routes'!$C$6:$C$2205,"Contained input"),COUNTIFS('Material routes'!$B$6:$B$2205,A267,'Material routes'!$C$6:$C$2205,"Transform input"))</x:f>
        <x:v>1</x:v>
      </x:c>
      <x:c r="J267" s="4" t="n">
        <x:f>COUNTIFS('Material routes'!$B$6:$B$2205,A267,'Material routes'!$C$6:$C$2205,"Output")</x:f>
        <x:v>1</x:v>
      </x:c>
      <x:c r="K267" s="4" t="n">
        <x:f>COUNTIFS('Material routes'!$B$6:$B$2205,A267,'Material routes'!$C$6:$C$2205,"Tool candidate")</x:f>
        <x:v>0</x:v>
      </x:c>
      <x:c r="L267" s="4" t="str">
        <x:v>New item proposal, October 15, 2026. Setting reference (source proposal): https://github.com/sleepyseamonster/Arc-Dust/blob/f6f98515c005dc3c73cccd9cbc031691745740c6/02-Arc-Dust-Worldbuilding/world/materials/industrial-material-palette.md</x:v>
      </x:c>
      <x:c r="M267" s="4" t="str">
        <x:v>Quantities, output yield, supporting inputs and compatibility remain undefined.</x:v>
      </x:c>
    </x:row>
    <x:row r="268" ht="90" customHeight="1">
      <x:c r="A268" s="4" t="str">
        <x:v>design.collection.annealed_iron_sheet_stock</x:v>
      </x:c>
      <x:c r="B268" s="4" t="str">
        <x:v>Annealed iron sheet stock candidate preparation</x:v>
      </x:c>
      <x:c r="C268" s="4" t="str">
        <x:v>Material refinement</x:v>
      </x:c>
      <x:c r="D268" s="4" t="str">
        <x:v>Proposal</x:v>
      </x:c>
      <x:c r="E268" s="4" t="str">
        <x:v>Partial proposal</x:v>
      </x:c>
      <x:c r="F268" s="4" t="str">
        <x:v>Thin sheet for housings, utensils and instruments</x:v>
      </x:c>
      <x:c r="G268" s="4" t="str">
        <x:v>Forge hearth, Anvil, Forging hammer, Smithing tongs, Metalworking file and Hand-cranked metal drill as applicable. Existing workshop bootstrap and controlled heating/cooling required; no free-water quench assumed.</x:v>
      </x:c>
      <x:c r="H268" s="4" t="str">
        <x:f>IF(I268=0,"Unassigned",IF(SUMIFS('Material routes'!$Q$6:$Q$2205,'Material routes'!$B$6:$B$2205,A268)&gt;0,"Unassigned","T"&amp;_xlfn.MAXIFS('Material routes'!$P$6:$P$2205,'Material routes'!$B$6:$B$2205,A268)))</x:f>
        <x:v>T2</x:v>
      </x:c>
      <x:c r="I268" s="4" t="n">
        <x:f>SUM(COUNTIFS('Material routes'!$B$6:$B$2205,A268,'Material routes'!$C$6:$C$2205,"Ingredient candidate"),COUNTIFS('Material routes'!$B$6:$B$2205,A268,'Material routes'!$C$6:$C$2205,"Consumed input"),COUNTIFS('Material routes'!$B$6:$B$2205,A268,'Material routes'!$C$6:$C$2205,"Contained input"),COUNTIFS('Material routes'!$B$6:$B$2205,A268,'Material routes'!$C$6:$C$2205,"Transform input"))</x:f>
        <x:v>1</x:v>
      </x:c>
      <x:c r="J268" s="4" t="n">
        <x:f>COUNTIFS('Material routes'!$B$6:$B$2205,A268,'Material routes'!$C$6:$C$2205,"Output")</x:f>
        <x:v>1</x:v>
      </x:c>
      <x:c r="K268" s="4" t="n">
        <x:f>COUNTIFS('Material routes'!$B$6:$B$2205,A268,'Material routes'!$C$6:$C$2205,"Tool candidate")</x:f>
        <x:v>0</x:v>
      </x:c>
      <x:c r="L268" s="4" t="str">
        <x:v>New item proposal, October 15, 2026. Setting reference (source proposal): https://github.com/sleepyseamonster/Arc-Dust/blob/f6f98515c005dc3c73cccd9cbc031691745740c6/02-Arc-Dust-Worldbuilding/world/materials/industrial-material-palette.md</x:v>
      </x:c>
      <x:c r="M268" s="4" t="str">
        <x:v>Quantities, output yield, supporting inputs and compatibility remain undefined.</x:v>
      </x:c>
    </x:row>
    <x:row r="269" ht="90" customHeight="1">
      <x:c r="A269" s="4" t="str">
        <x:v>design.collection.pressed_chitin_friction_stock</x:v>
      </x:c>
      <x:c r="B269" s="4" t="str">
        <x:v>Pressed chitin friction stock candidate preparation</x:v>
      </x:c>
      <x:c r="C269" s="4" t="str">
        <x:v>Material refinement</x:v>
      </x:c>
      <x:c r="D269" s="4" t="str">
        <x:v>Proposal</x:v>
      </x:c>
      <x:c r="E269" s="4" t="str">
        <x:v>Partial proposal</x:v>
      </x:c>
      <x:c r="F269" s="4" t="str">
        <x:v>Replaceable dry friction surface for brakes and clutches</x:v>
      </x:c>
      <x:c r="G269" s="4" t="str">
        <x:v>Ceramic grinding mortar, Ceramic pestle, Ceramic abrasive disc and stone-cutting fixtures as applicable; grade selection and finishing qualification required.</x:v>
      </x:c>
      <x:c r="H269" s="4" t="str">
        <x:f>IF(I269=0,"Unassigned",IF(SUMIFS('Material routes'!$Q$6:$Q$2205,'Material routes'!$B$6:$B$2205,A269)&gt;0,"Unassigned","T"&amp;_xlfn.MAXIFS('Material routes'!$P$6:$P$2205,'Material routes'!$B$6:$B$2205,A269)))</x:f>
        <x:v>T1</x:v>
      </x:c>
      <x:c r="I269" s="4" t="n">
        <x:f>SUM(COUNTIFS('Material routes'!$B$6:$B$2205,A269,'Material routes'!$C$6:$C$2205,"Ingredient candidate"),COUNTIFS('Material routes'!$B$6:$B$2205,A269,'Material routes'!$C$6:$C$2205,"Consumed input"),COUNTIFS('Material routes'!$B$6:$B$2205,A269,'Material routes'!$C$6:$C$2205,"Contained input"),COUNTIFS('Material routes'!$B$6:$B$2205,A269,'Material routes'!$C$6:$C$2205,"Transform input"))</x:f>
        <x:v>3</x:v>
      </x:c>
      <x:c r="J269" s="4" t="n">
        <x:f>COUNTIFS('Material routes'!$B$6:$B$2205,A269,'Material routes'!$C$6:$C$2205,"Output")</x:f>
        <x:v>1</x:v>
      </x:c>
      <x:c r="K269" s="4" t="n">
        <x:f>COUNTIFS('Material routes'!$B$6:$B$2205,A269,'Material routes'!$C$6:$C$2205,"Tool candidate")</x:f>
        <x:v>0</x:v>
      </x:c>
      <x:c r="L269" s="4" t="str">
        <x:v>New item proposal, October 15, 2026. Setting reference (source proposal): https://github.com/sleepyseamonster/Arc-Dust/blob/f6f98515c005dc3c73cccd9cbc031691745740c6/02-Arc-Dust-Worldbuilding/world/materials/industrial-material-palette.md</x:v>
      </x:c>
      <x:c r="M269" s="4" t="str">
        <x:v>Quantities, output yield, supporting inputs and compatibility remain undefined.</x:v>
      </x:c>
    </x:row>
    <x:row r="270" ht="90" customHeight="1">
      <x:c r="A270" s="4" t="str">
        <x:v>design.collection.calibrated_ceramic_mounting_saddle</x:v>
      </x:c>
      <x:c r="B270" s="4" t="str">
        <x:v>Calibrated ceramic mounting saddle candidate preparation</x:v>
      </x:c>
      <x:c r="C270" s="4" t="str">
        <x:v>Material refinement</x:v>
      </x:c>
      <x:c r="D270" s="4" t="str">
        <x:v>Proposal</x:v>
      </x:c>
      <x:c r="E270" s="4" t="str">
        <x:v>Partial proposal</x:v>
      </x:c>
      <x:c r="F270" s="4" t="str">
        <x:v>Locates a vessel or instrument on a metal support</x:v>
      </x:c>
      <x:c r="G270" s="4" t="str">
        <x:v>Controlled-heating firing kiln or specialist glass hot-work station; Ceramic firing tray / Ceramic casting mold as applicable. Qualified power, heat and atmosphere required.</x:v>
      </x:c>
      <x:c r="H270" s="4" t="str">
        <x:f>IF(I270=0,"Unassigned",IF(SUMIFS('Material routes'!$Q$6:$Q$2205,'Material routes'!$B$6:$B$2205,A270)&gt;0,"Unassigned","T"&amp;_xlfn.MAXIFS('Material routes'!$P$6:$P$2205,'Material routes'!$B$6:$B$2205,A270)))</x:f>
        <x:v>T3</x:v>
      </x:c>
      <x:c r="I270" s="4" t="n">
        <x:f>SUM(COUNTIFS('Material routes'!$B$6:$B$2205,A270,'Material routes'!$C$6:$C$2205,"Ingredient candidate"),COUNTIFS('Material routes'!$B$6:$B$2205,A270,'Material routes'!$C$6:$C$2205,"Consumed input"),COUNTIFS('Material routes'!$B$6:$B$2205,A270,'Material routes'!$C$6:$C$2205,"Contained input"),COUNTIFS('Material routes'!$B$6:$B$2205,A270,'Material routes'!$C$6:$C$2205,"Transform input"))</x:f>
        <x:v>2</x:v>
      </x:c>
      <x:c r="J270" s="4" t="n">
        <x:f>COUNTIFS('Material routes'!$B$6:$B$2205,A270,'Material routes'!$C$6:$C$2205,"Output")</x:f>
        <x:v>1</x:v>
      </x:c>
      <x:c r="K270" s="4" t="n">
        <x:f>COUNTIFS('Material routes'!$B$6:$B$2205,A270,'Material routes'!$C$6:$C$2205,"Tool candidate")</x:f>
        <x:v>0</x:v>
      </x:c>
      <x:c r="L270" s="4" t="str">
        <x:v>New item proposal, October 15, 2026. Setting reference (source proposal): https://github.com/sleepyseamonster/Arc-Dust/blob/f6f98515c005dc3c73cccd9cbc031691745740c6/02-Arc-Dust-Worldbuilding/world/materials/industrial-material-palette.md</x:v>
      </x:c>
      <x:c r="M270" s="4" t="str">
        <x:v>Quantities, output yield, supporting inputs and compatibility remain undefined.</x:v>
      </x:c>
    </x:row>
    <x:row r="271" ht="90" customHeight="1">
      <x:c r="A271" s="4" t="str">
        <x:v>design.collection.glass_joint_bedding_paste</x:v>
      </x:c>
      <x:c r="B271" s="4" t="str">
        <x:v>Glass-joint bedding paste candidate preparation</x:v>
      </x:c>
      <x:c r="C271" s="4" t="str">
        <x:v>Material refinement</x:v>
      </x:c>
      <x:c r="D271" s="4" t="str">
        <x:v>Proposal</x:v>
      </x:c>
      <x:c r="E271" s="4" t="str">
        <x:v>Partial proposal</x:v>
      </x:c>
      <x:c r="F271" s="4" t="str">
        <x:v>Seats glass in a protective cage without claiming pressure compatibility</x:v>
      </x:c>
      <x:c r="G271" s="4" t="str">
        <x:v>Contained segregated vessels, Ceramic grinding mortar, Ceramic pestle and Glass transfer funnel. Process/carrier compatibility unresolved.</x:v>
      </x:c>
      <x:c r="H271" s="4" t="str">
        <x:f>IF(I271=0,"Unassigned",IF(SUMIFS('Material routes'!$Q$6:$Q$2205,'Material routes'!$B$6:$B$2205,A271)&gt;0,"Unassigned","T"&amp;_xlfn.MAXIFS('Material routes'!$P$6:$P$2205,'Material routes'!$B$6:$B$2205,A271)))</x:f>
        <x:v>T1</x:v>
      </x:c>
      <x:c r="I271" s="4" t="n">
        <x:f>SUM(COUNTIFS('Material routes'!$B$6:$B$2205,A271,'Material routes'!$C$6:$C$2205,"Ingredient candidate"),COUNTIFS('Material routes'!$B$6:$B$2205,A271,'Material routes'!$C$6:$C$2205,"Consumed input"),COUNTIFS('Material routes'!$B$6:$B$2205,A271,'Material routes'!$C$6:$C$2205,"Contained input"),COUNTIFS('Material routes'!$B$6:$B$2205,A271,'Material routes'!$C$6:$C$2205,"Transform input"))</x:f>
        <x:v>2</x:v>
      </x:c>
      <x:c r="J271" s="4" t="n">
        <x:f>COUNTIFS('Material routes'!$B$6:$B$2205,A271,'Material routes'!$C$6:$C$2205,"Output")</x:f>
        <x:v>1</x:v>
      </x:c>
      <x:c r="K271" s="4" t="n">
        <x:f>COUNTIFS('Material routes'!$B$6:$B$2205,A271,'Material routes'!$C$6:$C$2205,"Tool candidate")</x:f>
        <x:v>0</x:v>
      </x:c>
      <x:c r="L271" s="4" t="str">
        <x:v>New item proposal, October 15, 2026. Setting reference (source proposal): https://github.com/sleepyseamonster/Arc-Dust/blob/f6f98515c005dc3c73cccd9cbc031691745740c6/02-Arc-Dust-Worldbuilding/world/materials/industrial-material-palette.md</x:v>
      </x:c>
      <x:c r="M271" s="4" t="str">
        <x:v>Quantities, output yield, supporting inputs and compatibility remain undefined.</x:v>
      </x:c>
    </x:row>
    <x:row r="272" ht="90" customHeight="1">
      <x:c r="A272" s="4"/>
      <x:c r="B272" s="4"/>
      <x:c r="C272" s="4"/>
      <x:c r="D272" s="4"/>
      <x:c r="E272" s="4"/>
      <x:c r="F272" s="4"/>
      <x:c r="G272" s="4"/>
      <x:c r="H272" s="4"/>
      <x:c r="I272" s="4"/>
      <x:c r="J272" s="4"/>
      <x:c r="K272" s="4"/>
      <x:c r="L272" s="4"/>
      <x:c r="M272" s="4"/>
    </x:row>
    <x:row r="273" ht="90" customHeight="1">
      <x:c r="A273" s="4" t="str">
        <x:v>design.collection.shell_pigment_suspension</x:v>
      </x:c>
      <x:c r="B273" s="4" t="str">
        <x:v>Shell-pigment suspension candidate preparation</x:v>
      </x:c>
      <x:c r="C273" s="4" t="str">
        <x:v>Material refinement</x:v>
      </x:c>
      <x:c r="D273" s="4" t="str">
        <x:v>Proposal</x:v>
      </x:c>
      <x:c r="E273" s="4" t="str">
        <x:v>Partial proposal</x:v>
      </x:c>
      <x:c r="F273" s="4" t="str">
        <x:v>Carries mineral color onto shell objects</x:v>
      </x:c>
      <x:c r="G273" s="4" t="str">
        <x:v>Contained segregated vessels, Ceramic grinding mortar, Ceramic pestle and Glass transfer funnel. Process/carrier compatibility unresolved.</x:v>
      </x:c>
      <x:c r="H273" s="4" t="str">
        <x:f>IF(I273=0,"Unassigned",IF(SUMIFS('Material routes'!$Q$6:$Q$2205,'Material routes'!$B$6:$B$2205,A273)&gt;0,"Unassigned","T"&amp;_xlfn.MAXIFS('Material routes'!$P$6:$P$2205,'Material routes'!$B$6:$B$2205,A273)))</x:f>
        <x:v>T1</x:v>
      </x:c>
      <x:c r="I273" s="4" t="n">
        <x:f>SUM(COUNTIFS('Material routes'!$B$6:$B$2205,A273,'Material routes'!$C$6:$C$2205,"Ingredient candidate"),COUNTIFS('Material routes'!$B$6:$B$2205,A273,'Material routes'!$C$6:$C$2205,"Consumed input"),COUNTIFS('Material routes'!$B$6:$B$2205,A273,'Material routes'!$C$6:$C$2205,"Contained input"),COUNTIFS('Material routes'!$B$6:$B$2205,A273,'Material routes'!$C$6:$C$2205,"Transform input"))</x:f>
        <x:v>2</x:v>
      </x:c>
      <x:c r="J273" s="4" t="n">
        <x:f>COUNTIFS('Material routes'!$B$6:$B$2205,A273,'Material routes'!$C$6:$C$2205,"Output")</x:f>
        <x:v>1</x:v>
      </x:c>
      <x:c r="K273" s="4" t="n">
        <x:f>COUNTIFS('Material routes'!$B$6:$B$2205,A273,'Material routes'!$C$6:$C$2205,"Tool candidate")</x:f>
        <x:v>0</x:v>
      </x:c>
      <x:c r="L273" s="4" t="str">
        <x:v>New item proposal, October 15, 2026. Setting reference (source proposal): https://github.com/sleepyseamonster/Arc-Dust/blob/f6f98515c005dc3c73cccd9cbc031691745740c6/02-Arc-Dust-Worldbuilding/world/materials/industrial-material-palette.md</x:v>
      </x:c>
      <x:c r="M273" s="4" t="str">
        <x:v>Quantities, output yield, supporting inputs and compatibility remain undefined.</x:v>
      </x:c>
    </x:row>
    <x:row r="274" ht="90" customHeight="1">
      <x:c r="A274" s="4" t="str">
        <x:v>design.collection.mineral_contact_cleaning_charge</x:v>
      </x:c>
      <x:c r="B274" s="4" t="str">
        <x:v>Mineral contact-cleaning charge candidate preparation</x:v>
      </x:c>
      <x:c r="C274" s="4" t="str">
        <x:v>Material refinement</x:v>
      </x:c>
      <x:c r="D274" s="4" t="str">
        <x:v>Proposal</x:v>
      </x:c>
      <x:c r="E274" s="4" t="str">
        <x:v>Partial proposal</x:v>
      </x:c>
      <x:c r="F274" s="4" t="str">
        <x:v>Candidate residue-removal agent for exposed contacts</x:v>
      </x:c>
      <x:c r="G274" s="4" t="str">
        <x:v>Contained segregated vessels, Ceramic grinding mortar, Ceramic pestle and Glass transfer funnel. Process/carrier compatibility unresolved.</x:v>
      </x:c>
      <x:c r="H274" s="4" t="str">
        <x:f>IF(I274=0,"Unassigned",IF(SUMIFS('Material routes'!$Q$6:$Q$2205,'Material routes'!$B$6:$B$2205,A274)&gt;0,"Unassigned","T"&amp;_xlfn.MAXIFS('Material routes'!$P$6:$P$2205,'Material routes'!$B$6:$B$2205,A274)))</x:f>
        <x:v>T1</x:v>
      </x:c>
      <x:c r="I274" s="4" t="n">
        <x:f>SUM(COUNTIFS('Material routes'!$B$6:$B$2205,A274,'Material routes'!$C$6:$C$2205,"Ingredient candidate"),COUNTIFS('Material routes'!$B$6:$B$2205,A274,'Material routes'!$C$6:$C$2205,"Consumed input"),COUNTIFS('Material routes'!$B$6:$B$2205,A274,'Material routes'!$C$6:$C$2205,"Contained input"),COUNTIFS('Material routes'!$B$6:$B$2205,A274,'Material routes'!$C$6:$C$2205,"Transform input"))</x:f>
        <x:v>2</x:v>
      </x:c>
      <x:c r="J274" s="4" t="n">
        <x:f>COUNTIFS('Material routes'!$B$6:$B$2205,A274,'Material routes'!$C$6:$C$2205,"Output")</x:f>
        <x:v>1</x:v>
      </x:c>
      <x:c r="K274" s="4" t="n">
        <x:f>COUNTIFS('Material routes'!$B$6:$B$2205,A274,'Material routes'!$C$6:$C$2205,"Tool candidate")</x:f>
        <x:v>0</x:v>
      </x:c>
      <x:c r="L274" s="4" t="str">
        <x:v>New item proposal, October 15, 2026. Setting reference (source proposal): https://github.com/sleepyseamonster/Arc-Dust/blob/f6f98515c005dc3c73cccd9cbc031691745740c6/02-Arc-Dust-Worldbuilding/world/materials/industrial-material-palette.md</x:v>
      </x:c>
      <x:c r="M274" s="4" t="str">
        <x:v>Quantities, output yield, supporting inputs and compatibility remain undefined.</x:v>
      </x:c>
    </x:row>
    <x:row r="275" ht="90" customHeight="1">
      <x:c r="A275" s="4" t="str">
        <x:v>design.collection.hand_cranked_metal_drill</x:v>
      </x:c>
      <x:c r="B275" s="4" t="str">
        <x:v>Hand-cranked metal drill candidate preparation</x:v>
      </x:c>
      <x:c r="C275" s="4" t="str">
        <x:v>Finished-item crafting</x:v>
      </x:c>
      <x:c r="D275" s="4" t="str">
        <x:v>Proposal</x:v>
      </x:c>
      <x:c r="E275" s="4" t="str">
        <x:v>Partial proposal</x:v>
      </x:c>
      <x:c r="F275" s="4" t="str">
        <x:v>Bores small workshop holes with replaceable cutting tips</x:v>
      </x:c>
      <x:c r="G275" s="4" t="str">
        <x:v>Forge hearth, Anvil, Forging hammer, Smithing tongs, Metalworking file and Hand-cranked metal drill as applicable. Existing workshop bootstrap and controlled heating/cooling required; no free-water quench assumed.</x:v>
      </x:c>
      <x:c r="H275" s="4" t="str">
        <x:f>IF(I275=0,"Unassigned",IF(SUMIFS('Material routes'!$Q$6:$Q$2205,'Material routes'!$B$6:$B$2205,A275)&gt;0,"Unassigned","T"&amp;_xlfn.MAXIFS('Material routes'!$P$6:$P$2205,'Material routes'!$B$6:$B$2205,A275)))</x:f>
        <x:v>T3</x:v>
      </x:c>
      <x:c r="I275" s="4" t="n">
        <x:f>SUM(COUNTIFS('Material routes'!$B$6:$B$2205,A275,'Material routes'!$C$6:$C$2205,"Ingredient candidate"),COUNTIFS('Material routes'!$B$6:$B$2205,A275,'Material routes'!$C$6:$C$2205,"Consumed input"),COUNTIFS('Material routes'!$B$6:$B$2205,A275,'Material routes'!$C$6:$C$2205,"Contained input"),COUNTIFS('Material routes'!$B$6:$B$2205,A275,'Material routes'!$C$6:$C$2205,"Transform input"))</x:f>
        <x:v>7</x:v>
      </x:c>
      <x:c r="J275" s="4" t="n">
        <x:f>COUNTIFS('Material routes'!$B$6:$B$2205,A275,'Material routes'!$C$6:$C$2205,"Output")</x:f>
        <x:v>1</x:v>
      </x:c>
      <x:c r="K275" s="4" t="n">
        <x:f>COUNTIFS('Material routes'!$B$6:$B$2205,A275,'Material routes'!$C$6:$C$2205,"Tool candidate")</x:f>
        <x:v>1</x:v>
      </x:c>
      <x:c r="L275" s="4" t="str">
        <x:v>New item proposal, October 15, 2026. Setting reference (source proposal): https://github.com/sleepyseamonster/Arc-Dust/blob/f6f98515c005dc3c73cccd9cbc031691745740c6/02-Arc-Dust-Worldbuilding/world/materials/industrial-material-palette.md</x:v>
      </x:c>
      <x:c r="M275" s="4" t="str">
        <x:v>Quantities, output yield, supporting inputs and compatibility remain undefined. October 15 audit: candidate inputs / reusable prerequisites clarified. Structural coverage is not a qualified manufacturing recipe.</x:v>
      </x:c>
    </x:row>
    <x:row r="276" ht="90" customHeight="1">
      <x:c r="A276" s="4"/>
      <x:c r="B276" s="4"/>
      <x:c r="C276" s="4"/>
      <x:c r="D276" s="4"/>
      <x:c r="E276" s="4"/>
      <x:c r="F276" s="4"/>
      <x:c r="G276" s="4"/>
      <x:c r="H276" s="4"/>
      <x:c r="I276" s="4"/>
      <x:c r="J276" s="4"/>
      <x:c r="K276" s="4"/>
      <x:c r="L276" s="4"/>
      <x:c r="M276" s="4"/>
    </x:row>
    <x:row r="277" ht="90" customHeight="1">
      <x:c r="A277" s="4" t="str">
        <x:v>design.collection.husk_sheet_cutting_shears</x:v>
      </x:c>
      <x:c r="B277" s="4" t="str">
        <x:v>Husk-sheet cutting shears candidate preparation</x:v>
      </x:c>
      <x:c r="C277" s="4" t="str">
        <x:v>Finished-item crafting</x:v>
      </x:c>
      <x:c r="D277" s="4" t="str">
        <x:v>Proposal</x:v>
      </x:c>
      <x:c r="E277" s="4" t="str">
        <x:v>Partial proposal</x:v>
      </x:c>
      <x:c r="F277" s="4" t="str">
        <x:v>Cuts prepared husk sheets and thin hides</x:v>
      </x:c>
      <x:c r="G277" s="4" t="str">
        <x:v>Forge hearth, Anvil, Forging hammer, Smithing tongs, Metalworking file and Hand-cranked metal drill as applicable. Existing workshop bootstrap and controlled heating/cooling required; no free-water quench assumed.</x:v>
      </x:c>
      <x:c r="H277" s="4" t="str">
        <x:f>IF(I277=0,"Unassigned",IF(SUMIFS('Material routes'!$Q$6:$Q$2205,'Material routes'!$B$6:$B$2205,A277)&gt;0,"Unassigned","T"&amp;_xlfn.MAXIFS('Material routes'!$P$6:$P$2205,'Material routes'!$B$6:$B$2205,A277)))</x:f>
        <x:v>T3</x:v>
      </x:c>
      <x:c r="I277" s="4" t="n">
        <x:f>SUM(COUNTIFS('Material routes'!$B$6:$B$2205,A277,'Material routes'!$C$6:$C$2205,"Ingredient candidate"),COUNTIFS('Material routes'!$B$6:$B$2205,A277,'Material routes'!$C$6:$C$2205,"Consumed input"),COUNTIFS('Material routes'!$B$6:$B$2205,A277,'Material routes'!$C$6:$C$2205,"Contained input"),COUNTIFS('Material routes'!$B$6:$B$2205,A277,'Material routes'!$C$6:$C$2205,"Transform input"))</x:f>
        <x:v>3</x:v>
      </x:c>
      <x:c r="J277" s="4" t="n">
        <x:f>COUNTIFS('Material routes'!$B$6:$B$2205,A277,'Material routes'!$C$6:$C$2205,"Output")</x:f>
        <x:v>1</x:v>
      </x:c>
      <x:c r="K277" s="4" t="n">
        <x:f>COUNTIFS('Material routes'!$B$6:$B$2205,A277,'Material routes'!$C$6:$C$2205,"Tool candidate")</x:f>
        <x:v>0</x:v>
      </x:c>
      <x:c r="L277" s="4" t="str">
        <x:v>New item proposal, October 15, 2026. Setting reference (source proposal): https://github.com/sleepyseamonster/Arc-Dust/blob/f6f98515c005dc3c73cccd9cbc031691745740c6/02-Arc-Dust-Worldbuilding/world/materials/industrial-material-palette.md</x:v>
      </x:c>
      <x:c r="M277" s="4" t="str">
        <x:v>Quantities, output yield, supporting inputs and compatibility remain undefined. October 15 audit: candidate inputs / reusable prerequisites clarified. Structural coverage is not a qualified manufacturing recipe.</x:v>
      </x:c>
    </x:row>
    <x:row r="278" ht="90" customHeight="1">
      <x:c r="A278" s="4" t="str">
        <x:v>design.collection.divided_ceramic_reagent_caddy</x:v>
      </x:c>
      <x:c r="B278" s="4" t="str">
        <x:v>Divided ceramic reagent caddy candidate preparation</x:v>
      </x:c>
      <x:c r="C278" s="4" t="str">
        <x:v>Finished-item crafting</x:v>
      </x:c>
      <x:c r="D278" s="4" t="inlineStr">
        <x:is>
          <x:t xml:space="preserve">Retired</x:t>
        </x:is>
      </x:c>
      <x:c r="E278" s="4" t="inlineStr">
        <x:is>
          <x:t xml:space="preserve">Withdrawn container proposal</x:t>
        </x:is>
      </x:c>
      <x:c r="F27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278" s="4" t="inlineStr">
        <x:is>
          <x:t xml:space="preserve">No dedicated station required for found salvage</x:t>
        </x:is>
      </x:c>
      <x:c r="H278" s="4" t="str">
        <x:f>IF(I278=0,"Unassigned",IF(SUMIFS('Material routes'!$Q$6:$Q$2205,'Material routes'!$B$6:$B$2205,A278)&gt;0,"Unassigned","T"&amp;_xlfn.MAXIFS('Material routes'!$P$6:$P$2205,'Material routes'!$B$6:$B$2205,A278)))</x:f>
        <x:v>T3</x:v>
      </x:c>
      <x:c r="I278" s="4" t="n">
        <x:f>SUM(COUNTIFS('Material routes'!$B$6:$B$2205,A278,'Material routes'!$C$6:$C$2205,"Ingredient candidate"),COUNTIFS('Material routes'!$B$6:$B$2205,A278,'Material routes'!$C$6:$C$2205,"Consumed input"),COUNTIFS('Material routes'!$B$6:$B$2205,A278,'Material routes'!$C$6:$C$2205,"Contained input"),COUNTIFS('Material routes'!$B$6:$B$2205,A278,'Material routes'!$C$6:$C$2205,"Transform input"))</x:f>
        <x:v>3</x:v>
      </x:c>
      <x:c r="J278" s="4" t="n">
        <x:f>COUNTIFS('Material routes'!$B$6:$B$2205,A278,'Material routes'!$C$6:$C$2205,"Output")</x:f>
        <x:v>1</x:v>
      </x:c>
      <x:c r="K278" s="4" t="n">
        <x:f>COUNTIFS('Material routes'!$B$6:$B$2205,A278,'Material routes'!$C$6:$C$2205,"Tool candidate")</x:f>
        <x:v>0</x:v>
      </x:c>
      <x:c r="L278" s="4" t="str">
        <x:v>New item proposal, October 15, 2026. Setting reference (source proposal): https://github.com/sleepyseamonster/Arc-Dust/blob/f6f98515c005dc3c73cccd9cbc031691745740c6/02-Arc-Dust-Worldbuilding/world/materials/industrial-material-palette.md</x:v>
      </x:c>
      <x:c r="M278" s="4" t="inlineStr">
        <x:is>
          <x:t xml:space="preserve">Possible salvage reuse remains undecided</x:t>
        </x:is>
      </x:c>
    </x:row>
    <x:row r="279" ht="90" customHeight="1">
      <x:c r="A279" s="4" t="str">
        <x:v>design.collection.canister_drain_plug</x:v>
      </x:c>
      <x:c r="B279" s="4" t="str">
        <x:v>Canister drain plug candidate preparation</x:v>
      </x:c>
      <x:c r="C279" s="4" t="str">
        <x:v>Material refinement</x:v>
      </x:c>
      <x:c r="D279" s="4" t="str">
        <x:v>Proposal</x:v>
      </x:c>
      <x:c r="E279" s="4" t="str">
        <x:v>Partial proposal</x:v>
      </x:c>
      <x:c r="F279" s="4" t="str">
        <x:v>Removable service closure for a compatible vessel</x:v>
      </x:c>
      <x:c r="G279" s="4" t="str">
        <x:v>Forge hearth, Anvil, Forging hammer, Smithing tongs, Metalworking file and Hand-cranked metal drill as applicable. Existing workshop bootstrap and controlled heating/cooling required; no free-water quench assumed.</x:v>
      </x:c>
      <x:c r="H279" s="4" t="str">
        <x:f>IF(I279=0,"Unassigned",IF(SUMIFS('Material routes'!$Q$6:$Q$2205,'Material routes'!$B$6:$B$2205,A279)&gt;0,"Unassigned","T"&amp;_xlfn.MAXIFS('Material routes'!$P$6:$P$2205,'Material routes'!$B$6:$B$2205,A279)))</x:f>
        <x:v>T3</x:v>
      </x:c>
      <x:c r="I279" s="4" t="n">
        <x:f>SUM(COUNTIFS('Material routes'!$B$6:$B$2205,A279,'Material routes'!$C$6:$C$2205,"Ingredient candidate"),COUNTIFS('Material routes'!$B$6:$B$2205,A279,'Material routes'!$C$6:$C$2205,"Consumed input"),COUNTIFS('Material routes'!$B$6:$B$2205,A279,'Material routes'!$C$6:$C$2205,"Contained input"),COUNTIFS('Material routes'!$B$6:$B$2205,A279,'Material routes'!$C$6:$C$2205,"Transform input"))</x:f>
        <x:v>2</x:v>
      </x:c>
      <x:c r="J279" s="4" t="n">
        <x:f>COUNTIFS('Material routes'!$B$6:$B$2205,A279,'Material routes'!$C$6:$C$2205,"Output")</x:f>
        <x:v>1</x:v>
      </x:c>
      <x:c r="K279" s="4" t="n">
        <x:f>COUNTIFS('Material routes'!$B$6:$B$2205,A279,'Material routes'!$C$6:$C$2205,"Tool candidate")</x:f>
        <x:v>0</x:v>
      </x:c>
      <x:c r="L279" s="4" t="str">
        <x:v>New item proposal, October 15, 2026. Setting reference (source proposal): https://github.com/sleepyseamonster/Arc-Dust/blob/f6f98515c005dc3c73cccd9cbc031691745740c6/02-Arc-Dust-Worldbuilding/world/materials/industrial-material-palette.md</x:v>
      </x:c>
      <x:c r="M279" s="4" t="str">
        <x:v>Quantities, output yield, supporting inputs and compatibility remain undefined.</x:v>
      </x:c>
    </x:row>
    <x:row r="280" ht="90" customHeight="1">
      <x:c r="A280" s="4" t="str">
        <x:v>design.collection.bottle_retaining_cage</x:v>
      </x:c>
      <x:c r="B280" s="4" t="str">
        <x:v>Bottle retaining cage candidate preparation</x:v>
      </x:c>
      <x:c r="C280" s="4" t="str">
        <x:v>Material refinement</x:v>
      </x:c>
      <x:c r="D280" s="4" t="str">
        <x:v>Proposal</x:v>
      </x:c>
      <x:c r="E280" s="4" t="str">
        <x:v>Partial proposal</x:v>
      </x:c>
      <x:c r="F280" s="4" t="str">
        <x:v>Protects a fragile bottle with a fitted metal frame</x:v>
      </x:c>
      <x:c r="G280" s="4" t="str">
        <x:v>Forge hearth, Anvil, Forging hammer, Smithing tongs, Metalworking file and Hand-cranked metal drill as applicable. Existing workshop bootstrap and controlled heating/cooling required; no free-water quench assumed.</x:v>
      </x:c>
      <x:c r="H280" s="4" t="str">
        <x:f>IF(I280=0,"Unassigned",IF(SUMIFS('Material routes'!$Q$6:$Q$2205,'Material routes'!$B$6:$B$2205,A280)&gt;0,"Unassigned","T"&amp;_xlfn.MAXIFS('Material routes'!$P$6:$P$2205,'Material routes'!$B$6:$B$2205,A280)))</x:f>
        <x:v>T3</x:v>
      </x:c>
      <x:c r="I280" s="4" t="n">
        <x:f>SUM(COUNTIFS('Material routes'!$B$6:$B$2205,A280,'Material routes'!$C$6:$C$2205,"Ingredient candidate"),COUNTIFS('Material routes'!$B$6:$B$2205,A280,'Material routes'!$C$6:$C$2205,"Consumed input"),COUNTIFS('Material routes'!$B$6:$B$2205,A280,'Material routes'!$C$6:$C$2205,"Contained input"),COUNTIFS('Material routes'!$B$6:$B$2205,A280,'Material routes'!$C$6:$C$2205,"Transform input"))</x:f>
        <x:v>2</x:v>
      </x:c>
      <x:c r="J280" s="4" t="n">
        <x:f>COUNTIFS('Material routes'!$B$6:$B$2205,A280,'Material routes'!$C$6:$C$2205,"Output")</x:f>
        <x:v>1</x:v>
      </x:c>
      <x:c r="K280" s="4" t="n">
        <x:f>COUNTIFS('Material routes'!$B$6:$B$2205,A280,'Material routes'!$C$6:$C$2205,"Tool candidate")</x:f>
        <x:v>0</x:v>
      </x:c>
      <x:c r="L280" s="4" t="str">
        <x:v>New item proposal, October 15, 2026. Setting reference (source proposal): https://github.com/sleepyseamonster/Arc-Dust/blob/f6f98515c005dc3c73cccd9cbc031691745740c6/02-Arc-Dust-Worldbuilding/world/materials/industrial-material-palette.md</x:v>
      </x:c>
      <x:c r="M280" s="4" t="str">
        <x:v>Quantities, output yield, supporting inputs and compatibility remain undefined.</x:v>
      </x:c>
    </x:row>
    <x:row r="281" ht="90" customHeight="1">
      <x:c r="A281" s="4" t="str">
        <x:v>design.collection.ceramic_vent_labyrinth_insert</x:v>
      </x:c>
      <x:c r="B281" s="4" t="str">
        <x:v>Ceramic vent labyrinth insert candidate preparation</x:v>
      </x:c>
      <x:c r="C281" s="4" t="str">
        <x:v>Material refinement</x:v>
      </x:c>
      <x:c r="D281" s="4" t="str">
        <x:v>Proposal</x:v>
      </x:c>
      <x:c r="E281" s="4" t="str">
        <x:v>Partial proposal</x:v>
      </x:c>
      <x:c r="F281" s="4" t="str">
        <x:v>Candidate grit-excluding vent path, without filtration claims</x:v>
      </x:c>
      <x:c r="G281" s="4" t="str">
        <x:v>Controlled-heating firing kiln or specialist glass hot-work station; Ceramic firing tray / Ceramic casting mold as applicable. Qualified power, heat and atmosphere required.</x:v>
      </x:c>
      <x:c r="H281" s="4" t="str">
        <x:f>IF(I281=0,"Unassigned",IF(SUMIFS('Material routes'!$Q$6:$Q$2205,'Material routes'!$B$6:$B$2205,A281)&gt;0,"Unassigned","T"&amp;_xlfn.MAXIFS('Material routes'!$P$6:$P$2205,'Material routes'!$B$6:$B$2205,A281)))</x:f>
        <x:v>T2</x:v>
      </x:c>
      <x:c r="I281" s="4" t="n">
        <x:f>SUM(COUNTIFS('Material routes'!$B$6:$B$2205,A281,'Material routes'!$C$6:$C$2205,"Ingredient candidate"),COUNTIFS('Material routes'!$B$6:$B$2205,A281,'Material routes'!$C$6:$C$2205,"Consumed input"),COUNTIFS('Material routes'!$B$6:$B$2205,A281,'Material routes'!$C$6:$C$2205,"Contained input"),COUNTIFS('Material routes'!$B$6:$B$2205,A281,'Material routes'!$C$6:$C$2205,"Transform input"))</x:f>
        <x:v>1</x:v>
      </x:c>
      <x:c r="J281" s="4" t="n">
        <x:f>COUNTIFS('Material routes'!$B$6:$B$2205,A281,'Material routes'!$C$6:$C$2205,"Output")</x:f>
        <x:v>1</x:v>
      </x:c>
      <x:c r="K281" s="4" t="n">
        <x:f>COUNTIFS('Material routes'!$B$6:$B$2205,A281,'Material routes'!$C$6:$C$2205,"Tool candidate")</x:f>
        <x:v>0</x:v>
      </x:c>
      <x:c r="L281" s="4" t="str">
        <x:v>New item proposal, October 15, 2026. Setting reference (source proposal): https://github.com/sleepyseamonster/Arc-Dust/blob/f6f98515c005dc3c73cccd9cbc031691745740c6/02-Arc-Dust-Worldbuilding/world/materials/industrial-material-palette.md</x:v>
      </x:c>
      <x:c r="M281" s="4" t="str">
        <x:v>Quantities, output yield, supporting inputs and compatibility remain undefined.</x:v>
      </x:c>
    </x:row>
    <x:row r="282" ht="90" customHeight="1">
      <x:c r="A282" s="4" t="str">
        <x:v>design.collection.vial_neck_locking_clip</x:v>
      </x:c>
      <x:c r="B282" s="4" t="str">
        <x:v>Vial neck locking clip candidate preparation</x:v>
      </x:c>
      <x:c r="C282" s="4" t="str">
        <x:v>Material refinement</x:v>
      </x:c>
      <x:c r="D282" s="4" t="str">
        <x:v>Proposal</x:v>
      </x:c>
      <x:c r="E282" s="4" t="str">
        <x:v>Partial proposal</x:v>
      </x:c>
      <x:c r="F282" s="4" t="str">
        <x:v>Retains a matched stopper during travel</x:v>
      </x:c>
      <x:c r="G282" s="4" t="str">
        <x:v>Forge hearth, Anvil, Forging hammer, Smithing tongs, Metalworking file and Hand-cranked metal drill as applicable. Existing workshop bootstrap and controlled heating/cooling required; no free-water quench assumed.</x:v>
      </x:c>
      <x:c r="H282" s="4" t="str">
        <x:f>IF(I282=0,"Unassigned",IF(SUMIFS('Material routes'!$Q$6:$Q$2205,'Material routes'!$B$6:$B$2205,A282)&gt;0,"Unassigned","T"&amp;_xlfn.MAXIFS('Material routes'!$P$6:$P$2205,'Material routes'!$B$6:$B$2205,A282)))</x:f>
        <x:v>T3</x:v>
      </x:c>
      <x:c r="I282" s="4" t="n">
        <x:f>SUM(COUNTIFS('Material routes'!$B$6:$B$2205,A282,'Material routes'!$C$6:$C$2205,"Ingredient candidate"),COUNTIFS('Material routes'!$B$6:$B$2205,A282,'Material routes'!$C$6:$C$2205,"Consumed input"),COUNTIFS('Material routes'!$B$6:$B$2205,A282,'Material routes'!$C$6:$C$2205,"Contained input"),COUNTIFS('Material routes'!$B$6:$B$2205,A282,'Material routes'!$C$6:$C$2205,"Transform input"))</x:f>
        <x:v>1</x:v>
      </x:c>
      <x:c r="J282" s="4" t="n">
        <x:f>COUNTIFS('Material routes'!$B$6:$B$2205,A282,'Material routes'!$C$6:$C$2205,"Output")</x:f>
        <x:v>1</x:v>
      </x:c>
      <x:c r="K282" s="4" t="n">
        <x:f>COUNTIFS('Material routes'!$B$6:$B$2205,A282,'Material routes'!$C$6:$C$2205,"Tool candidate")</x:f>
        <x:v>0</x:v>
      </x:c>
      <x:c r="L282" s="4" t="str">
        <x:v>New item proposal, October 15, 2026. Setting reference (source proposal): https://github.com/sleepyseamonster/Arc-Dust/blob/f6f98515c005dc3c73cccd9cbc031691745740c6/02-Arc-Dust-Worldbuilding/world/materials/industrial-material-palette.md</x:v>
      </x:c>
      <x:c r="M282" s="4" t="str">
        <x:v>Quantities, output yield, supporting inputs and compatibility remain undefined.</x:v>
      </x:c>
    </x:row>
    <x:row r="283" ht="90" customHeight="1">
      <x:c r="A283" s="4" t="str">
        <x:v>design.collection.husk_fiber_face_wrap</x:v>
      </x:c>
      <x:c r="B283" s="4" t="str">
        <x:v>Husk-fiber face wrap candidate preparation</x:v>
      </x:c>
      <x:c r="C283" s="4" t="str">
        <x:v>Finished-item crafting</x:v>
      </x:c>
      <x:c r="D283" s="4" t="str">
        <x:v>Proposal</x:v>
      </x:c>
      <x:c r="E283" s="4" t="str">
        <x:v>Partial proposal</x:v>
      </x:c>
      <x:c r="F283" s="4" t="str">
        <x:v>Simple dust-facing wrap with no certified filtration claim</x:v>
      </x:c>
      <x:c r="G283" s="4" t="str">
        <x:v>Husk-sheet cutting shears, pressure fixtures and dedicated preparation surfaces. Very low hide/fur yield; no ordinary cloth or plant inputs.</x:v>
      </x:c>
      <x:c r="H283" s="4" t="str">
        <x:f>IF(I283=0,"Unassigned",IF(SUMIFS('Material routes'!$Q$6:$Q$2205,'Material routes'!$B$6:$B$2205,A283)&gt;0,"Unassigned","T"&amp;_xlfn.MAXIFS('Material routes'!$P$6:$P$2205,'Material routes'!$B$6:$B$2205,A283)))</x:f>
        <x:v>T3</x:v>
      </x:c>
      <x:c r="I283" s="4" t="n">
        <x:f>SUM(COUNTIFS('Material routes'!$B$6:$B$2205,A283,'Material routes'!$C$6:$C$2205,"Ingredient candidate"),COUNTIFS('Material routes'!$B$6:$B$2205,A283,'Material routes'!$C$6:$C$2205,"Consumed input"),COUNTIFS('Material routes'!$B$6:$B$2205,A283,'Material routes'!$C$6:$C$2205,"Contained input"),COUNTIFS('Material routes'!$B$6:$B$2205,A283,'Material routes'!$C$6:$C$2205,"Transform input"))</x:f>
        <x:v>2</x:v>
      </x:c>
      <x:c r="J283" s="4" t="n">
        <x:f>COUNTIFS('Material routes'!$B$6:$B$2205,A283,'Material routes'!$C$6:$C$2205,"Output")</x:f>
        <x:v>1</x:v>
      </x:c>
      <x:c r="K283" s="4" t="n">
        <x:f>COUNTIFS('Material routes'!$B$6:$B$2205,A283,'Material routes'!$C$6:$C$2205,"Tool candidate")</x:f>
        <x:v>0</x:v>
      </x:c>
      <x:c r="L283" s="4" t="str">
        <x:v>New item proposal, October 15, 2026. Setting reference (source proposal): https://github.com/sleepyseamonster/Arc-Dust/blob/f6f98515c005dc3c73cccd9cbc031691745740c6/02-Arc-Dust-Worldbuilding/world/materials/industrial-material-palette.md</x:v>
      </x:c>
      <x:c r="M283" s="4" t="str">
        <x:v>Quantities, output yield, supporting inputs and compatibility remain undefined.</x:v>
      </x:c>
    </x:row>
    <x:row r="284" ht="90" customHeight="1">
      <x:c r="A284" s="4" t="str">
        <x:v>design.collection.chainmail_shoulder_mantle</x:v>
      </x:c>
      <x:c r="B284" s="4" t="str">
        <x:v>Chainmail shoulder mantle candidate preparation</x:v>
      </x:c>
      <x:c r="C284" s="4" t="str">
        <x:v>Finished-item crafting</x:v>
      </x:c>
      <x:c r="D284" s="4" t="str">
        <x:v>Proposal</x:v>
      </x:c>
      <x:c r="E284" s="4" t="str">
        <x:v>Partial proposal</x:v>
      </x:c>
      <x:c r="F284" s="4" t="str">
        <x:v>Everyday metal shoulder covering with minimal hide ties</x:v>
      </x:c>
      <x:c r="G284" s="4" t="str">
        <x:v>Forge hearth, Anvil, Forging hammer, Smithing tongs, Metalworking file and Hand-cranked metal drill as applicable. Existing workshop bootstrap and controlled heating/cooling required; no free-water quench assumed.</x:v>
      </x:c>
      <x:c r="H284" s="4" t="str">
        <x:f>IF(I284=0,"Unassigned",IF(SUMIFS('Material routes'!$Q$6:$Q$2205,'Material routes'!$B$6:$B$2205,A284)&gt;0,"Unassigned","T"&amp;_xlfn.MAXIFS('Material routes'!$P$6:$P$2205,'Material routes'!$B$6:$B$2205,A284)))</x:f>
        <x:v>T4</x:v>
      </x:c>
      <x:c r="I284" s="4" t="n">
        <x:f>SUM(COUNTIFS('Material routes'!$B$6:$B$2205,A284,'Material routes'!$C$6:$C$2205,"Ingredient candidate"),COUNTIFS('Material routes'!$B$6:$B$2205,A284,'Material routes'!$C$6:$C$2205,"Consumed input"),COUNTIFS('Material routes'!$B$6:$B$2205,A284,'Material routes'!$C$6:$C$2205,"Contained input"),COUNTIFS('Material routes'!$B$6:$B$2205,A284,'Material routes'!$C$6:$C$2205,"Transform input"))</x:f>
        <x:v>3</x:v>
      </x:c>
      <x:c r="J284" s="4" t="n">
        <x:f>COUNTIFS('Material routes'!$B$6:$B$2205,A284,'Material routes'!$C$6:$C$2205,"Output")</x:f>
        <x:v>1</x:v>
      </x:c>
      <x:c r="K284" s="4" t="n">
        <x:f>COUNTIFS('Material routes'!$B$6:$B$2205,A284,'Material routes'!$C$6:$C$2205,"Tool candidate")</x:f>
        <x:v>0</x:v>
      </x:c>
      <x:c r="L284" s="4" t="str">
        <x:v>New item proposal, October 15, 2026. Setting reference (source proposal): https://github.com/sleepyseamonster/Arc-Dust/blob/f6f98515c005dc3c73cccd9cbc031691745740c6/02-Arc-Dust-Worldbuilding/world/materials/industrial-material-palette.md</x:v>
      </x:c>
      <x:c r="M284" s="4" t="str">
        <x:v>Quantities, output yield, supporting inputs and compatibility remain undefined. October 15 audit: candidate inputs / reusable prerequisites clarified. Structural coverage is not a qualified manufacturing recipe.</x:v>
      </x:c>
    </x:row>
    <x:row r="285" ht="90" customHeight="1">
      <x:c r="A285" s="4"/>
      <x:c r="B285" s="4"/>
      <x:c r="C285" s="4"/>
      <x:c r="D285" s="4"/>
      <x:c r="E285" s="4"/>
      <x:c r="F285" s="4"/>
      <x:c r="G285" s="4"/>
      <x:c r="H285" s="4"/>
      <x:c r="I285" s="4"/>
      <x:c r="J285" s="4"/>
      <x:c r="K285" s="4"/>
      <x:c r="L285" s="4"/>
      <x:c r="M285" s="4"/>
    </x:row>
    <x:row r="286" ht="90" customHeight="1">
      <x:c r="A286" s="4"/>
      <x:c r="B286" s="4"/>
      <x:c r="C286" s="4"/>
      <x:c r="D286" s="4"/>
      <x:c r="E286" s="4"/>
      <x:c r="F286" s="4"/>
      <x:c r="G286" s="4"/>
      <x:c r="H286" s="4"/>
      <x:c r="I286" s="4"/>
      <x:c r="J286" s="4"/>
      <x:c r="K286" s="4"/>
      <x:c r="L286" s="4"/>
      <x:c r="M286" s="4"/>
    </x:row>
    <x:row r="287" ht="90" customHeight="1">
      <x:c r="A287" s="4"/>
      <x:c r="B287" s="4"/>
      <x:c r="C287" s="4"/>
      <x:c r="D287" s="4"/>
      <x:c r="E287" s="4"/>
      <x:c r="F287" s="4"/>
      <x:c r="G287" s="4"/>
      <x:c r="H287" s="4"/>
      <x:c r="I287" s="4"/>
      <x:c r="J287" s="4"/>
      <x:c r="K287" s="4"/>
      <x:c r="L287" s="4"/>
      <x:c r="M287" s="4"/>
    </x:row>
    <x:row r="288" ht="90" customHeight="1">
      <x:c r="A288" s="4" t="str">
        <x:v>design.collection.mica_brim_sun_visor</x:v>
      </x:c>
      <x:c r="B288" s="4" t="str">
        <x:v>Mica-brim sun visor candidate preparation</x:v>
      </x:c>
      <x:c r="C288" s="4" t="str">
        <x:v>Finished-item crafting</x:v>
      </x:c>
      <x:c r="D288" s="4" t="str">
        <x:v>Proposal</x:v>
      </x:c>
      <x:c r="E288" s="4" t="str">
        <x:v>Partial proposal</x:v>
      </x:c>
      <x:c r="F288" s="4" t="str">
        <x:v>Rare framed shade worn above the eyes</x:v>
      </x:c>
      <x:c r="G288" s="4" t="str">
        <x:v>Ceramic grinding mortar, Ceramic pestle, Ceramic abrasive disc and stone-cutting fixtures as applicable; grade selection and finishing qualification required.</x:v>
      </x:c>
      <x:c r="H288" s="4" t="str">
        <x:f>IF(I288=0,"Unassigned",IF(SUMIFS('Material routes'!$Q$6:$Q$2205,'Material routes'!$B$6:$B$2205,A288)&gt;0,"Unassigned","T"&amp;_xlfn.MAXIFS('Material routes'!$P$6:$P$2205,'Material routes'!$B$6:$B$2205,A288)))</x:f>
        <x:v>T2</x:v>
      </x:c>
      <x:c r="I288" s="4" t="n">
        <x:f>SUM(COUNTIFS('Material routes'!$B$6:$B$2205,A288,'Material routes'!$C$6:$C$2205,"Ingredient candidate"),COUNTIFS('Material routes'!$B$6:$B$2205,A288,'Material routes'!$C$6:$C$2205,"Consumed input"),COUNTIFS('Material routes'!$B$6:$B$2205,A288,'Material routes'!$C$6:$C$2205,"Contained input"),COUNTIFS('Material routes'!$B$6:$B$2205,A288,'Material routes'!$C$6:$C$2205,"Transform input"))</x:f>
        <x:v>2</x:v>
      </x:c>
      <x:c r="J288" s="4" t="n">
        <x:f>COUNTIFS('Material routes'!$B$6:$B$2205,A288,'Material routes'!$C$6:$C$2205,"Output")</x:f>
        <x:v>1</x:v>
      </x:c>
      <x:c r="K288" s="4" t="n">
        <x:f>COUNTIFS('Material routes'!$B$6:$B$2205,A288,'Material routes'!$C$6:$C$2205,"Tool candidate")</x:f>
        <x:v>0</x:v>
      </x:c>
      <x:c r="L288" s="4" t="str">
        <x:v>New item proposal, October 15, 2026. Setting reference (source proposal): https://github.com/sleepyseamonster/Arc-Dust/blob/f6f98515c005dc3c73cccd9cbc031691745740c6/02-Arc-Dust-Worldbuilding/world/materials/industrial-material-palette.md</x:v>
      </x:c>
      <x:c r="M288" s="4" t="str">
        <x:v>Quantities, output yield, supporting inputs and compatibility remain undefined.</x:v>
      </x:c>
    </x:row>
    <x:row r="289" ht="90" customHeight="1">
      <x:c r="A289" s="4" t="str">
        <x:v>design.collection.founding_stone_keepsake</x:v>
      </x:c>
      <x:c r="B289" s="4" t="str">
        <x:v>Founding-stone keepsake candidate preparation</x:v>
      </x:c>
      <x:c r="C289" s="4" t="str">
        <x:v>Finished-item crafting</x:v>
      </x:c>
      <x:c r="D289" s="4" t="str">
        <x:v>Proposal</x:v>
      </x:c>
      <x:c r="E289" s="4" t="str">
        <x:v>Partial proposal</x:v>
      </x:c>
      <x:c r="F289" s="4" t="str">
        <x:v>Portable memorial of a settlement foundation, custom proposed</x:v>
      </x:c>
      <x:c r="G289" s="4" t="str">
        <x:v>Ceramic grinding mortar, Ceramic pestle, Ceramic abrasive disc and stone-cutting fixtures as applicable; grade selection and finishing qualification required.</x:v>
      </x:c>
      <x:c r="H289" s="4" t="str">
        <x:f>IF(I289=0,"Unassigned",IF(SUMIFS('Material routes'!$Q$6:$Q$2205,'Material routes'!$B$6:$B$2205,A289)&gt;0,"Unassigned","T"&amp;_xlfn.MAXIFS('Material routes'!$P$6:$P$2205,'Material routes'!$B$6:$B$2205,A289)))</x:f>
        <x:v>T1</x:v>
      </x:c>
      <x:c r="I289" s="4" t="n">
        <x:f>SUM(COUNTIFS('Material routes'!$B$6:$B$2205,A289,'Material routes'!$C$6:$C$2205,"Ingredient candidate"),COUNTIFS('Material routes'!$B$6:$B$2205,A289,'Material routes'!$C$6:$C$2205,"Consumed input"),COUNTIFS('Material routes'!$B$6:$B$2205,A289,'Material routes'!$C$6:$C$2205,"Contained input"),COUNTIFS('Material routes'!$B$6:$B$2205,A289,'Material routes'!$C$6:$C$2205,"Transform input"))</x:f>
        <x:v>1</x:v>
      </x:c>
      <x:c r="J289" s="4" t="n">
        <x:f>COUNTIFS('Material routes'!$B$6:$B$2205,A289,'Material routes'!$C$6:$C$2205,"Output")</x:f>
        <x:v>1</x:v>
      </x:c>
      <x:c r="K289" s="4" t="n">
        <x:f>COUNTIFS('Material routes'!$B$6:$B$2205,A289,'Material routes'!$C$6:$C$2205,"Tool candidate")</x:f>
        <x:v>0</x:v>
      </x:c>
      <x:c r="L289" s="4" t="str">
        <x:v>New item proposal, October 15, 2026. Setting reference (source proposal): https://github.com/sleepyseamonster/Arc-Dust/blob/f6f98515c005dc3c73cccd9cbc031691745740c6/02-Arc-Dust-Worldbuilding/world/materials/industrial-material-palette.md</x:v>
      </x:c>
      <x:c r="M289" s="4" t="str">
        <x:v>Quantities, output yield, supporting inputs and compatibility remain undefined.</x:v>
      </x:c>
    </x:row>
    <x:row r="290" ht="90" customHeight="1">
      <x:c r="A290" s="4" t="str">
        <x:v>design.collection.guild_craft_exemplar</x:v>
      </x:c>
      <x:c r="B290" s="4" t="str">
        <x:v>Guild craft exemplar candidate preparation</x:v>
      </x:c>
      <x:c r="C290" s="4" t="str">
        <x:v>Finished-item crafting</x:v>
      </x:c>
      <x:c r="D290" s="4" t="str">
        <x:v>Proposal</x:v>
      </x:c>
      <x:c r="E290" s="4" t="str">
        <x:v>Partial proposal</x:v>
      </x:c>
      <x:c r="F290" s="4" t="str">
        <x:v>Small displayed sample of a maker's specialty</x:v>
      </x:c>
      <x:c r="G290" s="4" t="str">
        <x:v>Forge hearth, Anvil, Forging hammer, Smithing tongs, Metalworking file and Hand-cranked metal drill as applicable. Existing workshop bootstrap and controlled heating/cooling required; no free-water quench assumed.</x:v>
      </x:c>
      <x:c r="H290" s="4" t="str">
        <x:f>IF(I290=0,"Unassigned",IF(SUMIFS('Material routes'!$Q$6:$Q$2205,'Material routes'!$B$6:$B$2205,A290)&gt;0,"Unassigned","T"&amp;_xlfn.MAXIFS('Material routes'!$P$6:$P$2205,'Material routes'!$B$6:$B$2205,A290)))</x:f>
        <x:v>T2</x:v>
      </x:c>
      <x:c r="I290" s="4" t="n">
        <x:f>SUM(COUNTIFS('Material routes'!$B$6:$B$2205,A290,'Material routes'!$C$6:$C$2205,"Ingredient candidate"),COUNTIFS('Material routes'!$B$6:$B$2205,A290,'Material routes'!$C$6:$C$2205,"Consumed input"),COUNTIFS('Material routes'!$B$6:$B$2205,A290,'Material routes'!$C$6:$C$2205,"Contained input"),COUNTIFS('Material routes'!$B$6:$B$2205,A290,'Material routes'!$C$6:$C$2205,"Transform input"))</x:f>
        <x:v>2</x:v>
      </x:c>
      <x:c r="J290" s="4" t="n">
        <x:f>COUNTIFS('Material routes'!$B$6:$B$2205,A290,'Material routes'!$C$6:$C$2205,"Output")</x:f>
        <x:v>1</x:v>
      </x:c>
      <x:c r="K290" s="4" t="n">
        <x:f>COUNTIFS('Material routes'!$B$6:$B$2205,A290,'Material routes'!$C$6:$C$2205,"Tool candidate")</x:f>
        <x:v>0</x:v>
      </x:c>
      <x:c r="L290" s="4" t="str">
        <x:v>New item proposal, October 15, 2026. Setting reference (source proposal): https://github.com/sleepyseamonster/Arc-Dust/blob/f6f98515c005dc3c73cccd9cbc031691745740c6/02-Arc-Dust-Worldbuilding/world/materials/industrial-material-palette.md</x:v>
      </x:c>
      <x:c r="M290" s="4" t="str">
        <x:v>Quantities, output yield, supporting inputs and compatibility remain undefined.</x:v>
      </x:c>
    </x:row>
    <x:row r="291" ht="90" customHeight="1">
      <x:c r="A291" s="4" t="str">
        <x:v>design.collection.witness_chain</x:v>
      </x:c>
      <x:c r="B291" s="4" t="str">
        <x:v>Witness chain candidate preparation</x:v>
      </x:c>
      <x:c r="C291" s="4" t="str">
        <x:v>Finished-item crafting</x:v>
      </x:c>
      <x:c r="D291" s="4" t="str">
        <x:v>Proposal</x:v>
      </x:c>
      <x:c r="E291" s="4" t="str">
        <x:v>Partial proposal</x:v>
      </x:c>
      <x:c r="F291" s="4" t="str">
        <x:v>Linked metal token exchanged at a witnessed agreement</x:v>
      </x:c>
      <x:c r="G291" s="4" t="str">
        <x:v>Forge hearth, Anvil, Forging hammer, Smithing tongs, Metalworking file and Hand-cranked metal drill as applicable. Existing workshop bootstrap and controlled heating/cooling required; no free-water quench assumed.</x:v>
      </x:c>
      <x:c r="H291" s="4" t="str">
        <x:f>IF(I291=0,"Unassigned",IF(SUMIFS('Material routes'!$Q$6:$Q$2205,'Material routes'!$B$6:$B$2205,A291)&gt;0,"Unassigned","T"&amp;_xlfn.MAXIFS('Material routes'!$P$6:$P$2205,'Material routes'!$B$6:$B$2205,A291)))</x:f>
        <x:v>T2</x:v>
      </x:c>
      <x:c r="I291" s="4" t="n">
        <x:f>SUM(COUNTIFS('Material routes'!$B$6:$B$2205,A291,'Material routes'!$C$6:$C$2205,"Ingredient candidate"),COUNTIFS('Material routes'!$B$6:$B$2205,A291,'Material routes'!$C$6:$C$2205,"Consumed input"),COUNTIFS('Material routes'!$B$6:$B$2205,A291,'Material routes'!$C$6:$C$2205,"Contained input"),COUNTIFS('Material routes'!$B$6:$B$2205,A291,'Material routes'!$C$6:$C$2205,"Transform input"))</x:f>
        <x:v>1</x:v>
      </x:c>
      <x:c r="J291" s="4" t="n">
        <x:f>COUNTIFS('Material routes'!$B$6:$B$2205,A291,'Material routes'!$C$6:$C$2205,"Output")</x:f>
        <x:v>1</x:v>
      </x:c>
      <x:c r="K291" s="4" t="n">
        <x:f>COUNTIFS('Material routes'!$B$6:$B$2205,A291,'Material routes'!$C$6:$C$2205,"Tool candidate")</x:f>
        <x:v>0</x:v>
      </x:c>
      <x:c r="L291" s="4" t="str">
        <x:v>New item proposal, October 15, 2026. Setting reference (source proposal): https://github.com/sleepyseamonster/Arc-Dust/blob/f6f98515c005dc3c73cccd9cbc031691745740c6/02-Arc-Dust-Worldbuilding/world/materials/industrial-material-palette.md</x:v>
      </x:c>
      <x:c r="M291" s="4" t="str">
        <x:v>Quantities, output yield, supporting inputs and compatibility remain undefined.</x:v>
      </x:c>
    </x:row>
    <x:row r="292" ht="90" customHeight="1">
      <x:c r="A292" s="4"/>
      <x:c r="B292" s="4"/>
      <x:c r="C292" s="4"/>
      <x:c r="D292" s="4"/>
      <x:c r="E292" s="4"/>
      <x:c r="F292" s="4"/>
      <x:c r="G292" s="4"/>
      <x:c r="H292" s="4"/>
      <x:c r="I292" s="4"/>
      <x:c r="J292" s="4"/>
      <x:c r="K292" s="4"/>
      <x:c r="L292" s="4"/>
      <x:c r="M292" s="4"/>
    </x:row>
    <x:row r="293" ht="90" customHeight="1">
      <x:c r="A293" s="4" t="str">
        <x:v>design.collection.pilgrim_route_bead_strand</x:v>
      </x:c>
      <x:c r="B293" s="4" t="str">
        <x:v>Pilgrim route bead strand candidate preparation</x:v>
      </x:c>
      <x:c r="C293" s="4" t="str">
        <x:v>Finished-item crafting</x:v>
      </x:c>
      <x:c r="D293" s="4" t="str">
        <x:v>Proposal</x:v>
      </x:c>
      <x:c r="E293" s="4" t="str">
        <x:v>Partial proposal</x:v>
      </x:c>
      <x:c r="F293" s="4" t="str">
        <x:v>Personal record of a proposed journey tradition</x:v>
      </x:c>
      <x:c r="G293" s="4" t="str">
        <x:v>Forge hearth, Anvil, Forging hammer, Smithing tongs, Metalworking file and Hand-cranked metal drill as applicable. Existing workshop bootstrap and controlled heating/cooling required; no free-water quench assumed.</x:v>
      </x:c>
      <x:c r="H293" s="4" t="str">
        <x:f>IF(I293=0,"Unassigned",IF(SUMIFS('Material routes'!$Q$6:$Q$2205,'Material routes'!$B$6:$B$2205,A293)&gt;0,"Unassigned","T"&amp;_xlfn.MAXIFS('Material routes'!$P$6:$P$2205,'Material routes'!$B$6:$B$2205,A293)))</x:f>
        <x:v>T3</x:v>
      </x:c>
      <x:c r="I293" s="4" t="n">
        <x:f>SUM(COUNTIFS('Material routes'!$B$6:$B$2205,A293,'Material routes'!$C$6:$C$2205,"Ingredient candidate"),COUNTIFS('Material routes'!$B$6:$B$2205,A293,'Material routes'!$C$6:$C$2205,"Consumed input"),COUNTIFS('Material routes'!$B$6:$B$2205,A293,'Material routes'!$C$6:$C$2205,"Contained input"),COUNTIFS('Material routes'!$B$6:$B$2205,A293,'Material routes'!$C$6:$C$2205,"Transform input"))</x:f>
        <x:v>2</x:v>
      </x:c>
      <x:c r="J293" s="4" t="n">
        <x:f>COUNTIFS('Material routes'!$B$6:$B$2205,A293,'Material routes'!$C$6:$C$2205,"Output")</x:f>
        <x:v>1</x:v>
      </x:c>
      <x:c r="K293" s="4" t="n">
        <x:f>COUNTIFS('Material routes'!$B$6:$B$2205,A293,'Material routes'!$C$6:$C$2205,"Tool candidate")</x:f>
        <x:v>0</x:v>
      </x:c>
      <x:c r="L293" s="4" t="str">
        <x:v>New item proposal, October 15, 2026. Setting reference (source proposal): https://github.com/sleepyseamonster/Arc-Dust/blob/f6f98515c005dc3c73cccd9cbc031691745740c6/02-Arc-Dust-Worldbuilding/world/materials/industrial-material-palette.md</x:v>
      </x:c>
      <x:c r="M293" s="4" t="str">
        <x:v>Quantities, output yield, supporting inputs and compatibility remain undefined.</x:v>
      </x:c>
    </x:row>
    <x:row r="294" ht="90" customHeight="1">
      <x:c r="A294" s="4" t="str">
        <x:v>design.collection.ancestor_shell_silhouette</x:v>
      </x:c>
      <x:c r="B294" s="4" t="str">
        <x:v>Ancestor shell silhouette candidate preparation</x:v>
      </x:c>
      <x:c r="C294" s="4" t="str">
        <x:v>Finished-item crafting</x:v>
      </x:c>
      <x:c r="D294" s="4" t="str">
        <x:v>Proposal</x:v>
      </x:c>
      <x:c r="E294" s="4" t="str">
        <x:v>Partial proposal</x:v>
      </x:c>
      <x:c r="F294" s="4" t="str">
        <x:v>Memorial cutout in polished shell</x:v>
      </x:c>
      <x:c r="G294" s="4" t="str">
        <x:v>Husk-sheet cutting shears, Hand-cranked metal drill and Ceramic abrasive disc as applicable; compatible contained biological preparation and low-yield material handling required.</x:v>
      </x:c>
      <x:c r="H294" s="4" t="str">
        <x:f>IF(I294=0,"Unassigned",IF(SUMIFS('Material routes'!$Q$6:$Q$2205,'Material routes'!$B$6:$B$2205,A294)&gt;0,"Unassigned","T"&amp;_xlfn.MAXIFS('Material routes'!$P$6:$P$2205,'Material routes'!$B$6:$B$2205,A294)))</x:f>
        <x:v>T1</x:v>
      </x:c>
      <x:c r="I294" s="4" t="n">
        <x:f>SUM(COUNTIFS('Material routes'!$B$6:$B$2205,A294,'Material routes'!$C$6:$C$2205,"Ingredient candidate"),COUNTIFS('Material routes'!$B$6:$B$2205,A294,'Material routes'!$C$6:$C$2205,"Consumed input"),COUNTIFS('Material routes'!$B$6:$B$2205,A294,'Material routes'!$C$6:$C$2205,"Contained input"),COUNTIFS('Material routes'!$B$6:$B$2205,A294,'Material routes'!$C$6:$C$2205,"Transform input"))</x:f>
        <x:v>1</x:v>
      </x:c>
      <x:c r="J294" s="4" t="n">
        <x:f>COUNTIFS('Material routes'!$B$6:$B$2205,A294,'Material routes'!$C$6:$C$2205,"Output")</x:f>
        <x:v>1</x:v>
      </x:c>
      <x:c r="K294" s="4" t="n">
        <x:f>COUNTIFS('Material routes'!$B$6:$B$2205,A294,'Material routes'!$C$6:$C$2205,"Tool candidate")</x:f>
        <x:v>0</x:v>
      </x:c>
      <x:c r="L294" s="4" t="str">
        <x:v>New item proposal, October 15, 2026. Setting reference (source proposal): https://github.com/sleepyseamonster/Arc-Dust/blob/f6f98515c005dc3c73cccd9cbc031691745740c6/02-Arc-Dust-Worldbuilding/world/materials/industrial-material-palette.md</x:v>
      </x:c>
      <x:c r="M294" s="4" t="str">
        <x:v>Quantities, output yield, supporting inputs and compatibility remain undefined.</x:v>
      </x:c>
    </x:row>
    <x:row r="295" ht="90" customHeight="1">
      <x:c r="A295" s="4" t="str">
        <x:v>design.collection.work_crew_oath_clasp</x:v>
      </x:c>
      <x:c r="B295" s="4" t="str">
        <x:v>Work-crew oath clasp candidate preparation</x:v>
      </x:c>
      <x:c r="C295" s="4" t="str">
        <x:v>Finished-item crafting</x:v>
      </x:c>
      <x:c r="D295" s="4" t="str">
        <x:v>Proposal</x:v>
      </x:c>
      <x:c r="E295" s="4" t="str">
        <x:v>Partial proposal</x:v>
      </x:c>
      <x:c r="F295" s="4" t="str">
        <x:v>Shared insignia for a crew agreement, no named faction assigned</x:v>
      </x:c>
      <x:c r="G295" s="4" t="str">
        <x:v>Forge hearth, Anvil, Forging hammer, Smithing tongs, Metalworking file and Hand-cranked metal drill as applicable. Existing workshop bootstrap and controlled heating/cooling required; no free-water quench assumed.</x:v>
      </x:c>
      <x:c r="H295" s="4" t="str">
        <x:f>IF(I295=0,"Unassigned",IF(SUMIFS('Material routes'!$Q$6:$Q$2205,'Material routes'!$B$6:$B$2205,A295)&gt;0,"Unassigned","T"&amp;_xlfn.MAXIFS('Material routes'!$P$6:$P$2205,'Material routes'!$B$6:$B$2205,A295)))</x:f>
        <x:v>T2</x:v>
      </x:c>
      <x:c r="I295" s="4" t="n">
        <x:f>SUM(COUNTIFS('Material routes'!$B$6:$B$2205,A295,'Material routes'!$C$6:$C$2205,"Ingredient candidate"),COUNTIFS('Material routes'!$B$6:$B$2205,A295,'Material routes'!$C$6:$C$2205,"Consumed input"),COUNTIFS('Material routes'!$B$6:$B$2205,A295,'Material routes'!$C$6:$C$2205,"Contained input"),COUNTIFS('Material routes'!$B$6:$B$2205,A295,'Material routes'!$C$6:$C$2205,"Transform input"))</x:f>
        <x:v>1</x:v>
      </x:c>
      <x:c r="J295" s="4" t="n">
        <x:f>COUNTIFS('Material routes'!$B$6:$B$2205,A295,'Material routes'!$C$6:$C$2205,"Output")</x:f>
        <x:v>1</x:v>
      </x:c>
      <x:c r="K295" s="4" t="n">
        <x:f>COUNTIFS('Material routes'!$B$6:$B$2205,A295,'Material routes'!$C$6:$C$2205,"Tool candidate")</x:f>
        <x:v>0</x:v>
      </x:c>
      <x:c r="L295" s="4" t="str">
        <x:v>New item proposal, October 15, 2026. Setting reference (source proposal): https://github.com/sleepyseamonster/Arc-Dust/blob/f6f98515c005dc3c73cccd9cbc031691745740c6/02-Arc-Dust-Worldbuilding/world/materials/industrial-material-palette.md</x:v>
      </x:c>
      <x:c r="M295" s="4" t="str">
        <x:v>Quantities, output yield, supporting inputs and compatibility remain undefined.</x:v>
      </x:c>
    </x:row>
    <x:row r="296" ht="90" customHeight="1">
      <x:c r="A296" s="4" t="str">
        <x:v>design.collection.ceremonial_magnet_stand</x:v>
      </x:c>
      <x:c r="B296" s="4" t="str">
        <x:v>Ceremonial magnet stand candidate preparation</x:v>
      </x:c>
      <x:c r="C296" s="4" t="str">
        <x:v>Finished-item crafting</x:v>
      </x:c>
      <x:c r="D296" s="4" t="str">
        <x:v>Proposal</x:v>
      </x:c>
      <x:c r="E296" s="4" t="str">
        <x:v>Partial proposal</x:v>
      </x:c>
      <x:c r="F296" s="4" t="str">
        <x:v>Displays a magnet as a ritual focus without asserting a specific faith</x:v>
      </x:c>
      <x:c r="G296" s="4" t="str">
        <x:v>Forge hearth, Anvil, Forging hammer, Smithing tongs, Metalworking file and Hand-cranked metal drill as applicable. Existing workshop bootstrap and controlled heating/cooling required; no free-water quench assumed.</x:v>
      </x:c>
      <x:c r="H296" s="4" t="str">
        <x:f>IF(I296=0,"Unassigned",IF(SUMIFS('Material routes'!$Q$6:$Q$2205,'Material routes'!$B$6:$B$2205,A296)&gt;0,"Unassigned","T"&amp;_xlfn.MAXIFS('Material routes'!$P$6:$P$2205,'Material routes'!$B$6:$B$2205,A296)))</x:f>
        <x:v>Unassigned</x:v>
      </x:c>
      <x:c r="I296" s="4" t="n">
        <x:f>SUM(COUNTIFS('Material routes'!$B$6:$B$2205,A296,'Material routes'!$C$6:$C$2205,"Ingredient candidate"),COUNTIFS('Material routes'!$B$6:$B$2205,A296,'Material routes'!$C$6:$C$2205,"Consumed input"),COUNTIFS('Material routes'!$B$6:$B$2205,A296,'Material routes'!$C$6:$C$2205,"Contained input"),COUNTIFS('Material routes'!$B$6:$B$2205,A296,'Material routes'!$C$6:$C$2205,"Transform input"))</x:f>
        <x:v>2</x:v>
      </x:c>
      <x:c r="J296" s="4" t="n">
        <x:f>COUNTIFS('Material routes'!$B$6:$B$2205,A296,'Material routes'!$C$6:$C$2205,"Output")</x:f>
        <x:v>1</x:v>
      </x:c>
      <x:c r="K296" s="4" t="n">
        <x:f>COUNTIFS('Material routes'!$B$6:$B$2205,A296,'Material routes'!$C$6:$C$2205,"Tool candidate")</x:f>
        <x:v>0</x:v>
      </x:c>
      <x:c r="L296" s="4" t="str">
        <x:v>New item proposal, October 15, 2026. Setting reference (source proposal): https://github.com/sleepyseamonster/Arc-Dust/blob/f6f98515c005dc3c73cccd9cbc031691745740c6/02-Arc-Dust-Worldbuilding/world/materials/industrial-material-palette.md</x:v>
      </x:c>
      <x:c r="M296" s="4" t="str">
        <x:v>Quantities, output yield, supporting inputs and compatibility remain undefined.</x:v>
      </x:c>
    </x:row>
    <x:row r="297" ht="90" customHeight="1">
      <x:c r="A297" s="4" t="str">
        <x:v>design.collection.masterwork_presentation_tile</x:v>
      </x:c>
      <x:c r="B297" s="4" t="str">
        <x:v>Masterwork presentation tile candidate preparation</x:v>
      </x:c>
      <x:c r="C297" s="4" t="str">
        <x:v>Finished-item crafting</x:v>
      </x:c>
      <x:c r="D297" s="4" t="str">
        <x:v>Proposal</x:v>
      </x:c>
      <x:c r="E297" s="4" t="str">
        <x:v>Partial proposal</x:v>
      </x:c>
      <x:c r="F297" s="4" t="str">
        <x:v>Supports a valued artisan commission during presentation</x:v>
      </x:c>
      <x:c r="G297" s="4" t="str">
        <x:v>Controlled-heating firing kiln or specialist glass hot-work station; Ceramic firing tray / Ceramic casting mold as applicable. Qualified power, heat and atmosphere required.</x:v>
      </x:c>
      <x:c r="H297" s="4" t="str">
        <x:f>IF(I297=0,"Unassigned",IF(SUMIFS('Material routes'!$Q$6:$Q$2205,'Material routes'!$B$6:$B$2205,A297)&gt;0,"Unassigned","T"&amp;_xlfn.MAXIFS('Material routes'!$P$6:$P$2205,'Material routes'!$B$6:$B$2205,A297)))</x:f>
        <x:v>T2</x:v>
      </x:c>
      <x:c r="I297" s="4" t="n">
        <x:f>SUM(COUNTIFS('Material routes'!$B$6:$B$2205,A297,'Material routes'!$C$6:$C$2205,"Ingredient candidate"),COUNTIFS('Material routes'!$B$6:$B$2205,A297,'Material routes'!$C$6:$C$2205,"Consumed input"),COUNTIFS('Material routes'!$B$6:$B$2205,A297,'Material routes'!$C$6:$C$2205,"Contained input"),COUNTIFS('Material routes'!$B$6:$B$2205,A297,'Material routes'!$C$6:$C$2205,"Transform input"))</x:f>
        <x:v>2</x:v>
      </x:c>
      <x:c r="J297" s="4" t="n">
        <x:f>COUNTIFS('Material routes'!$B$6:$B$2205,A297,'Material routes'!$C$6:$C$2205,"Output")</x:f>
        <x:v>1</x:v>
      </x:c>
      <x:c r="K297" s="4" t="n">
        <x:f>COUNTIFS('Material routes'!$B$6:$B$2205,A297,'Material routes'!$C$6:$C$2205,"Tool candidate")</x:f>
        <x:v>0</x:v>
      </x:c>
      <x:c r="L297" s="4" t="str">
        <x:v>New item proposal, October 15, 2026. Setting reference (source proposal): https://github.com/sleepyseamonster/Arc-Dust/blob/f6f98515c005dc3c73cccd9cbc031691745740c6/02-Arc-Dust-Worldbuilding/world/materials/industrial-material-palette.md</x:v>
      </x:c>
      <x:c r="M297" s="4" t="str">
        <x:v>Quantities, output yield, supporting inputs and compatibility remain undefined.</x:v>
      </x:c>
    </x:row>
    <x:row r="298" ht="90" customHeight="1">
      <x:c r="A298" s="4" t="str">
        <x:v>design.collection.long_handled_meal_ladle</x:v>
      </x:c>
      <x:c r="B298" s="4" t="str">
        <x:v>Long-handled meal ladle candidate preparation</x:v>
      </x:c>
      <x:c r="C298" s="4" t="str">
        <x:v>Finished-item crafting</x:v>
      </x:c>
      <x:c r="D298" s="4" t="str">
        <x:v>Proposal</x:v>
      </x:c>
      <x:c r="E298" s="4" t="str">
        <x:v>Partial proposal</x:v>
      </x:c>
      <x:c r="F298" s="4" t="str">
        <x:v>Transfers thick Phagia meal portions</x:v>
      </x:c>
      <x:c r="G298" s="4" t="str">
        <x:v>Forge hearth, Anvil, Forging hammer, Smithing tongs, Metalworking file and Hand-cranked metal drill as applicable. Existing workshop bootstrap and controlled heating/cooling required; no free-water quench assumed.</x:v>
      </x:c>
      <x:c r="H298" s="4" t="str">
        <x:f>IF(I298=0,"Unassigned",IF(SUMIFS('Material routes'!$Q$6:$Q$2205,'Material routes'!$B$6:$B$2205,A298)&gt;0,"Unassigned","T"&amp;_xlfn.MAXIFS('Material routes'!$P$6:$P$2205,'Material routes'!$B$6:$B$2205,A298)))</x:f>
        <x:v>T3</x:v>
      </x:c>
      <x:c r="I298" s="4" t="n">
        <x:f>SUM(COUNTIFS('Material routes'!$B$6:$B$2205,A298,'Material routes'!$C$6:$C$2205,"Ingredient candidate"),COUNTIFS('Material routes'!$B$6:$B$2205,A298,'Material routes'!$C$6:$C$2205,"Consumed input"),COUNTIFS('Material routes'!$B$6:$B$2205,A298,'Material routes'!$C$6:$C$2205,"Contained input"),COUNTIFS('Material routes'!$B$6:$B$2205,A298,'Material routes'!$C$6:$C$2205,"Transform input"))</x:f>
        <x:v>2</x:v>
      </x:c>
      <x:c r="J298" s="4" t="n">
        <x:f>COUNTIFS('Material routes'!$B$6:$B$2205,A298,'Material routes'!$C$6:$C$2205,"Output")</x:f>
        <x:v>1</x:v>
      </x:c>
      <x:c r="K298" s="4" t="n">
        <x:f>COUNTIFS('Material routes'!$B$6:$B$2205,A298,'Material routes'!$C$6:$C$2205,"Tool candidate")</x:f>
        <x:v>0</x:v>
      </x:c>
      <x:c r="L298" s="4" t="str">
        <x:v>New item proposal, October 15, 2026. Setting reference (source proposal): https://github.com/sleepyseamonster/Arc-Dust/blob/f6f98515c005dc3c73cccd9cbc031691745740c6/02-Arc-Dust-Worldbuilding/world/materials/industrial-material-palette.md</x:v>
      </x:c>
      <x:c r="M298" s="4" t="str">
        <x:v>Quantities, output yield, supporting inputs and compatibility remain undefined.</x:v>
      </x:c>
    </x:row>
    <x:row r="299" ht="90" customHeight="1">
      <x:c r="A299" s="4" t="str">
        <x:v>design.collection.ceramic_portion_scoop</x:v>
      </x:c>
      <x:c r="B299" s="4" t="str">
        <x:v>Ceramic portion scoop candidate preparation</x:v>
      </x:c>
      <x:c r="C299" s="4" t="str">
        <x:v>Finished-item crafting</x:v>
      </x:c>
      <x:c r="D299" s="4" t="str">
        <x:v>Proposal</x:v>
      </x:c>
      <x:c r="E299" s="4" t="str">
        <x:v>Partial proposal</x:v>
      </x:c>
      <x:c r="F299" s="4" t="str">
        <x:v>Measures consistent meal portions</x:v>
      </x:c>
      <x:c r="G299" s="4" t="str">
        <x:v>Controlled-heating firing kiln or specialist glass hot-work station; Ceramic firing tray / Ceramic casting mold as applicable. Qualified power, heat and atmosphere required.</x:v>
      </x:c>
      <x:c r="H299" s="4" t="str">
        <x:f>IF(I299=0,"Unassigned",IF(SUMIFS('Material routes'!$Q$6:$Q$2205,'Material routes'!$B$6:$B$2205,A299)&gt;0,"Unassigned","T"&amp;_xlfn.MAXIFS('Material routes'!$P$6:$P$2205,'Material routes'!$B$6:$B$2205,A299)))</x:f>
        <x:v>T1</x:v>
      </x:c>
      <x:c r="I299" s="4" t="n">
        <x:f>SUM(COUNTIFS('Material routes'!$B$6:$B$2205,A299,'Material routes'!$C$6:$C$2205,"Ingredient candidate"),COUNTIFS('Material routes'!$B$6:$B$2205,A299,'Material routes'!$C$6:$C$2205,"Consumed input"),COUNTIFS('Material routes'!$B$6:$B$2205,A299,'Material routes'!$C$6:$C$2205,"Contained input"),COUNTIFS('Material routes'!$B$6:$B$2205,A299,'Material routes'!$C$6:$C$2205,"Transform input"))</x:f>
        <x:v>1</x:v>
      </x:c>
      <x:c r="J299" s="4" t="n">
        <x:f>COUNTIFS('Material routes'!$B$6:$B$2205,A299,'Material routes'!$C$6:$C$2205,"Output")</x:f>
        <x:v>1</x:v>
      </x:c>
      <x:c r="K299" s="4" t="n">
        <x:f>COUNTIFS('Material routes'!$B$6:$B$2205,A299,'Material routes'!$C$6:$C$2205,"Tool candidate")</x:f>
        <x:v>0</x:v>
      </x:c>
      <x:c r="L299" s="4" t="str">
        <x:v>New item proposal, October 15, 2026. Setting reference (source proposal): https://github.com/sleepyseamonster/Arc-Dust/blob/f6f98515c005dc3c73cccd9cbc031691745740c6/02-Arc-Dust-Worldbuilding/world/materials/industrial-material-palette.md</x:v>
      </x:c>
      <x:c r="M299" s="4" t="str">
        <x:v>Quantities, output yield, supporting inputs and compatibility remain undefined.</x:v>
      </x:c>
    </x:row>
    <x:row r="300" ht="90" customHeight="1">
      <x:c r="A300" s="4" t="str">
        <x:v>design.collection.shell_serving_tray</x:v>
      </x:c>
      <x:c r="B300" s="4" t="str">
        <x:v>Shell serving tray candidate preparation</x:v>
      </x:c>
      <x:c r="C300" s="4" t="str">
        <x:v>Finished-item crafting</x:v>
      </x:c>
      <x:c r="D300" s="4" t="str">
        <x:v>Proposal</x:v>
      </x:c>
      <x:c r="E300" s="4" t="str">
        <x:v>Partial proposal</x:v>
      </x:c>
      <x:c r="F300" s="4" t="str">
        <x:v>Carries bowls and sealed portions</x:v>
      </x:c>
      <x:c r="G300" s="4" t="str">
        <x:v>Forge hearth, Anvil, Forging hammer, Smithing tongs, Metalworking file and Hand-cranked metal drill as applicable. Existing workshop bootstrap and controlled heating/cooling required; no free-water quench assumed.</x:v>
      </x:c>
      <x:c r="H300" s="4" t="str">
        <x:f>IF(I300=0,"Unassigned",IF(SUMIFS('Material routes'!$Q$6:$Q$2205,'Material routes'!$B$6:$B$2205,A300)&gt;0,"Unassigned","T"&amp;_xlfn.MAXIFS('Material routes'!$P$6:$P$2205,'Material routes'!$B$6:$B$2205,A300)))</x:f>
        <x:v>T2</x:v>
      </x:c>
      <x:c r="I300" s="4" t="n">
        <x:f>SUM(COUNTIFS('Material routes'!$B$6:$B$2205,A300,'Material routes'!$C$6:$C$2205,"Ingredient candidate"),COUNTIFS('Material routes'!$B$6:$B$2205,A300,'Material routes'!$C$6:$C$2205,"Consumed input"),COUNTIFS('Material routes'!$B$6:$B$2205,A300,'Material routes'!$C$6:$C$2205,"Contained input"),COUNTIFS('Material routes'!$B$6:$B$2205,A300,'Material routes'!$C$6:$C$2205,"Transform input"))</x:f>
        <x:v>2</x:v>
      </x:c>
      <x:c r="J300" s="4" t="n">
        <x:f>COUNTIFS('Material routes'!$B$6:$B$2205,A300,'Material routes'!$C$6:$C$2205,"Output")</x:f>
        <x:v>1</x:v>
      </x:c>
      <x:c r="K300" s="4" t="n">
        <x:f>COUNTIFS('Material routes'!$B$6:$B$2205,A300,'Material routes'!$C$6:$C$2205,"Tool candidate")</x:f>
        <x:v>0</x:v>
      </x:c>
      <x:c r="L300" s="4" t="str">
        <x:v>New item proposal, October 15, 2026. Setting reference (source proposal): https://github.com/sleepyseamonster/Arc-Dust/blob/f6f98515c005dc3c73cccd9cbc031691745740c6/02-Arc-Dust-Worldbuilding/world/materials/industrial-material-palette.md</x:v>
      </x:c>
      <x:c r="M300" s="4" t="str">
        <x:v>Quantities, output yield, supporting inputs and compatibility remain undefined.</x:v>
      </x:c>
    </x:row>
    <x:row r="301" ht="90" customHeight="1">
      <x:c r="A301" s="4" t="str">
        <x:v>design.collection.metal_eating_tongs</x:v>
      </x:c>
      <x:c r="B301" s="4" t="str">
        <x:v>Metal eating tongs candidate preparation</x:v>
      </x:c>
      <x:c r="C301" s="4" t="str">
        <x:v>Finished-item crafting</x:v>
      </x:c>
      <x:c r="D301" s="4" t="str">
        <x:v>Proposal</x:v>
      </x:c>
      <x:c r="E301" s="4" t="str">
        <x:v>Partial proposal</x:v>
      </x:c>
      <x:c r="F301" s="4" t="str">
        <x:v>Handles firm ration pieces with reusable metal tips</x:v>
      </x:c>
      <x:c r="G301" s="4" t="str">
        <x:v>Forge hearth, Anvil, Forging hammer, Smithing tongs, Metalworking file and Hand-cranked metal drill as applicable. Existing workshop bootstrap and controlled heating/cooling required; no free-water quench assumed.</x:v>
      </x:c>
      <x:c r="H301" s="4" t="str">
        <x:f>IF(I301=0,"Unassigned",IF(SUMIFS('Material routes'!$Q$6:$Q$2205,'Material routes'!$B$6:$B$2205,A301)&gt;0,"Unassigned","T"&amp;_xlfn.MAXIFS('Material routes'!$P$6:$P$2205,'Material routes'!$B$6:$B$2205,A301)))</x:f>
        <x:v>T3</x:v>
      </x:c>
      <x:c r="I301" s="4" t="n">
        <x:f>SUM(COUNTIFS('Material routes'!$B$6:$B$2205,A301,'Material routes'!$C$6:$C$2205,"Ingredient candidate"),COUNTIFS('Material routes'!$B$6:$B$2205,A301,'Material routes'!$C$6:$C$2205,"Consumed input"),COUNTIFS('Material routes'!$B$6:$B$2205,A301,'Material routes'!$C$6:$C$2205,"Contained input"),COUNTIFS('Material routes'!$B$6:$B$2205,A301,'Material routes'!$C$6:$C$2205,"Transform input"))</x:f>
        <x:v>1</x:v>
      </x:c>
      <x:c r="J301" s="4" t="n">
        <x:f>COUNTIFS('Material routes'!$B$6:$B$2205,A301,'Material routes'!$C$6:$C$2205,"Output")</x:f>
        <x:v>1</x:v>
      </x:c>
      <x:c r="K301" s="4" t="n">
        <x:f>COUNTIFS('Material routes'!$B$6:$B$2205,A301,'Material routes'!$C$6:$C$2205,"Tool candidate")</x:f>
        <x:v>0</x:v>
      </x:c>
      <x:c r="L301" s="4" t="str">
        <x:v>New item proposal, October 15, 2026. Setting reference (source proposal): https://github.com/sleepyseamonster/Arc-Dust/blob/f6f98515c005dc3c73cccd9cbc031691745740c6/02-Arc-Dust-Worldbuilding/world/materials/industrial-material-palette.md</x:v>
      </x:c>
      <x:c r="M301" s="4" t="str">
        <x:v>Quantities, output yield, supporting inputs and compatibility remain undefined.</x:v>
      </x:c>
    </x:row>
    <x:row r="302" ht="90" customHeight="1">
      <x:c r="A302" s="4"/>
      <x:c r="B302" s="4"/>
      <x:c r="C302" s="4"/>
      <x:c r="D302" s="4"/>
      <x:c r="E302" s="4"/>
      <x:c r="F302" s="4"/>
      <x:c r="G302" s="4"/>
      <x:c r="H302" s="4"/>
      <x:c r="I302" s="4"/>
      <x:c r="J302" s="4"/>
      <x:c r="K302" s="4"/>
      <x:c r="L302" s="4"/>
      <x:c r="M302" s="4"/>
    </x:row>
    <x:row r="303" ht="90" customHeight="1">
      <x:c r="A303" s="4"/>
      <x:c r="B303" s="4"/>
      <x:c r="C303" s="4"/>
      <x:c r="D303" s="4"/>
      <x:c r="E303" s="4"/>
      <x:c r="F303" s="4"/>
      <x:c r="G303" s="4"/>
      <x:c r="H303" s="4"/>
      <x:c r="I303" s="4"/>
      <x:c r="J303" s="4"/>
      <x:c r="K303" s="4"/>
      <x:c r="L303" s="4"/>
      <x:c r="M303" s="4"/>
    </x:row>
    <x:row r="304" ht="90" customHeight="1">
      <x:c r="A304" s="4"/>
      <x:c r="B304" s="4"/>
      <x:c r="C304" s="4"/>
      <x:c r="D304" s="4"/>
      <x:c r="E304" s="4"/>
      <x:c r="F304" s="4"/>
      <x:c r="G304" s="4"/>
      <x:c r="H304" s="4"/>
      <x:c r="I304" s="4"/>
      <x:c r="J304" s="4"/>
      <x:c r="K304" s="4"/>
      <x:c r="L304" s="4"/>
      <x:c r="M304" s="4"/>
    </x:row>
    <x:row r="305" ht="90" customHeight="1">
      <x:c r="A305" s="4"/>
      <x:c r="B305" s="4"/>
      <x:c r="C305" s="4"/>
      <x:c r="D305" s="4"/>
      <x:c r="E305" s="4"/>
      <x:c r="F305" s="4"/>
      <x:c r="G305" s="4"/>
      <x:c r="H305" s="4"/>
      <x:c r="I305" s="4"/>
      <x:c r="J305" s="4"/>
      <x:c r="K305" s="4"/>
      <x:c r="L305" s="4"/>
      <x:c r="M305" s="4"/>
    </x:row>
    <x:row r="306" ht="90" customHeight="1">
      <x:c r="A306" s="4"/>
      <x:c r="B306" s="4"/>
      <x:c r="C306" s="4"/>
      <x:c r="D306" s="4"/>
      <x:c r="E306" s="4"/>
      <x:c r="F306" s="4"/>
      <x:c r="G306" s="4"/>
      <x:c r="H306" s="4"/>
      <x:c r="I306" s="4"/>
      <x:c r="J306" s="4"/>
      <x:c r="K306" s="4"/>
      <x:c r="L306" s="4"/>
      <x:c r="M306" s="4"/>
    </x:row>
    <x:row r="307" ht="90" customHeight="1">
      <x:c r="A307" s="4" t="str">
        <x:v>design.collection.straight_cut_spur_gear</x:v>
      </x:c>
      <x:c r="B307" s="4" t="str">
        <x:v>Straight-cut spur gear candidate preparation</x:v>
      </x:c>
      <x:c r="C307" s="4" t="str">
        <x:v>Material refinement</x:v>
      </x:c>
      <x:c r="D307" s="4" t="str">
        <x:v>Proposal</x:v>
      </x:c>
      <x:c r="E307" s="4" t="str">
        <x:v>Partial proposal</x:v>
      </x:c>
      <x:c r="F307" s="4" t="str">
        <x:v>Transfers rotation between parallel shafts</x:v>
      </x:c>
      <x:c r="G307" s="4" t="str">
        <x:v>Forge hearth, Anvil, Forging hammer, Smithing tongs, Metalworking file and Hand-cranked metal drill as applicable. Existing workshop bootstrap and controlled heating/cooling required; no free-water quench assumed.</x:v>
      </x:c>
      <x:c r="H307" s="4" t="str">
        <x:f>IF(I307=0,"Unassigned",IF(SUMIFS('Material routes'!$Q$6:$Q$2205,'Material routes'!$B$6:$B$2205,A307)&gt;0,"Unassigned","T"&amp;_xlfn.MAXIFS('Material routes'!$P$6:$P$2205,'Material routes'!$B$6:$B$2205,A307)))</x:f>
        <x:v>T2</x:v>
      </x:c>
      <x:c r="I307" s="4" t="n">
        <x:f>SUM(COUNTIFS('Material routes'!$B$6:$B$2205,A307,'Material routes'!$C$6:$C$2205,"Ingredient candidate"),COUNTIFS('Material routes'!$B$6:$B$2205,A307,'Material routes'!$C$6:$C$2205,"Consumed input"),COUNTIFS('Material routes'!$B$6:$B$2205,A307,'Material routes'!$C$6:$C$2205,"Contained input"),COUNTIFS('Material routes'!$B$6:$B$2205,A307,'Material routes'!$C$6:$C$2205,"Transform input"))</x:f>
        <x:v>1</x:v>
      </x:c>
      <x:c r="J307" s="4" t="n">
        <x:f>COUNTIFS('Material routes'!$B$6:$B$2205,A307,'Material routes'!$C$6:$C$2205,"Output")</x:f>
        <x:v>1</x:v>
      </x:c>
      <x:c r="K307" s="4" t="n">
        <x:f>COUNTIFS('Material routes'!$B$6:$B$2205,A307,'Material routes'!$C$6:$C$2205,"Tool candidate")</x:f>
        <x:v>1</x:v>
      </x:c>
      <x:c r="L307" s="4" t="str">
        <x:v>New item proposal, October 15, 2026. Setting reference (source proposal): https://github.com/sleepyseamonster/Arc-Dust/blob/f6f98515c005dc3c73cccd9cbc031691745740c6/02-Arc-Dust-Worldbuilding/world/materials/industrial-material-palette.md</x:v>
      </x:c>
      <x:c r="M307" s="4" t="str">
        <x:v>Quantities, output yield, supporting inputs and compatibility remain undefined. October 15 audit: candidate inputs / reusable prerequisites clarified. Structural coverage is not a qualified manufacturing recipe.</x:v>
      </x:c>
    </x:row>
    <x:row r="308" ht="90" customHeight="1">
      <x:c r="A308" s="4" t="str">
        <x:v>design.collection.bevel_drive_gear</x:v>
      </x:c>
      <x:c r="B308" s="4" t="str">
        <x:v>Bevel drive gear candidate preparation</x:v>
      </x:c>
      <x:c r="C308" s="4" t="str">
        <x:v>Material refinement</x:v>
      </x:c>
      <x:c r="D308" s="4" t="str">
        <x:v>Proposal</x:v>
      </x:c>
      <x:c r="E308" s="4" t="str">
        <x:v>Partial proposal</x:v>
      </x:c>
      <x:c r="F308" s="4" t="str">
        <x:v>Turns a drive through an angle</x:v>
      </x:c>
      <x:c r="G308" s="4" t="str">
        <x:v>Forge hearth, Anvil, Forging hammer, Smithing tongs, Metalworking file and Hand-cranked metal drill as applicable. Existing workshop bootstrap and controlled heating/cooling required; no free-water quench assumed.</x:v>
      </x:c>
      <x:c r="H308" s="4" t="str">
        <x:f>IF(I308=0,"Unassigned",IF(SUMIFS('Material routes'!$Q$6:$Q$2205,'Material routes'!$B$6:$B$2205,A308)&gt;0,"Unassigned","T"&amp;_xlfn.MAXIFS('Material routes'!$P$6:$P$2205,'Material routes'!$B$6:$B$2205,A308)))</x:f>
        <x:v>T2</x:v>
      </x:c>
      <x:c r="I308" s="4" t="n">
        <x:f>SUM(COUNTIFS('Material routes'!$B$6:$B$2205,A308,'Material routes'!$C$6:$C$2205,"Ingredient candidate"),COUNTIFS('Material routes'!$B$6:$B$2205,A308,'Material routes'!$C$6:$C$2205,"Consumed input"),COUNTIFS('Material routes'!$B$6:$B$2205,A308,'Material routes'!$C$6:$C$2205,"Contained input"),COUNTIFS('Material routes'!$B$6:$B$2205,A308,'Material routes'!$C$6:$C$2205,"Transform input"))</x:f>
        <x:v>1</x:v>
      </x:c>
      <x:c r="J308" s="4" t="n">
        <x:f>COUNTIFS('Material routes'!$B$6:$B$2205,A308,'Material routes'!$C$6:$C$2205,"Output")</x:f>
        <x:v>1</x:v>
      </x:c>
      <x:c r="K308" s="4" t="n">
        <x:f>COUNTIFS('Material routes'!$B$6:$B$2205,A308,'Material routes'!$C$6:$C$2205,"Tool candidate")</x:f>
        <x:v>1</x:v>
      </x:c>
      <x:c r="L308" s="4" t="str">
        <x:v>New item proposal, October 15, 2026. Setting reference (source proposal): https://github.com/sleepyseamonster/Arc-Dust/blob/f6f98515c005dc3c73cccd9cbc031691745740c6/02-Arc-Dust-Worldbuilding/world/materials/industrial-material-palette.md</x:v>
      </x:c>
      <x:c r="M308" s="4" t="str">
        <x:v>Quantities, output yield, supporting inputs and compatibility remain undefined. October 15 audit: candidate inputs / reusable prerequisites clarified. Structural coverage is not a qualified manufacturing recipe.</x:v>
      </x:c>
    </x:row>
    <x:row r="309" ht="90" customHeight="1">
      <x:c r="A309" s="4" t="str">
        <x:v>design.collection.worm_drive_screw</x:v>
      </x:c>
      <x:c r="B309" s="4" t="str">
        <x:v>Worm drive screw candidate preparation</x:v>
      </x:c>
      <x:c r="C309" s="4" t="str">
        <x:v>Material refinement</x:v>
      </x:c>
      <x:c r="D309" s="4" t="str">
        <x:v>Proposal</x:v>
      </x:c>
      <x:c r="E309" s="4" t="str">
        <x:v>Partial proposal</x:v>
      </x:c>
      <x:c r="F309" s="4" t="str">
        <x:v>Drives a slow reduction mechanism</x:v>
      </x:c>
      <x:c r="G309" s="4" t="str">
        <x:v>Forge hearth, Anvil, Forging hammer, Smithing tongs, Metalworking file and Hand-cranked metal drill as applicable. Existing workshop bootstrap and controlled heating/cooling required; no free-water quench assumed.</x:v>
      </x:c>
      <x:c r="H309" s="4" t="str">
        <x:f>IF(I309=0,"Unassigned",IF(SUMIFS('Material routes'!$Q$6:$Q$2205,'Material routes'!$B$6:$B$2205,A309)&gt;0,"Unassigned","T"&amp;_xlfn.MAXIFS('Material routes'!$P$6:$P$2205,'Material routes'!$B$6:$B$2205,A309)))</x:f>
        <x:v>T2</x:v>
      </x:c>
      <x:c r="I309" s="4" t="n">
        <x:f>SUM(COUNTIFS('Material routes'!$B$6:$B$2205,A309,'Material routes'!$C$6:$C$2205,"Ingredient candidate"),COUNTIFS('Material routes'!$B$6:$B$2205,A309,'Material routes'!$C$6:$C$2205,"Consumed input"),COUNTIFS('Material routes'!$B$6:$B$2205,A309,'Material routes'!$C$6:$C$2205,"Contained input"),COUNTIFS('Material routes'!$B$6:$B$2205,A309,'Material routes'!$C$6:$C$2205,"Transform input"))</x:f>
        <x:v>1</x:v>
      </x:c>
      <x:c r="J309" s="4" t="n">
        <x:f>COUNTIFS('Material routes'!$B$6:$B$2205,A309,'Material routes'!$C$6:$C$2205,"Output")</x:f>
        <x:v>1</x:v>
      </x:c>
      <x:c r="K309" s="4" t="n">
        <x:f>COUNTIFS('Material routes'!$B$6:$B$2205,A309,'Material routes'!$C$6:$C$2205,"Tool candidate")</x:f>
        <x:v>1</x:v>
      </x:c>
      <x:c r="L309" s="4" t="str">
        <x:v>New item proposal, October 15, 2026. Setting reference (source proposal): https://github.com/sleepyseamonster/Arc-Dust/blob/f6f98515c005dc3c73cccd9cbc031691745740c6/02-Arc-Dust-Worldbuilding/world/materials/industrial-material-palette.md</x:v>
      </x:c>
      <x:c r="M309" s="4" t="str">
        <x:v>Quantities, output yield, supporting inputs and compatibility remain undefined. October 15 audit: candidate inputs / reusable prerequisites clarified. Structural coverage is not a qualified manufacturing recipe.</x:v>
      </x:c>
    </x:row>
    <x:row r="310" ht="90" customHeight="1">
      <x:c r="A310" s="4" t="str">
        <x:v>design.collection.worm_wheel</x:v>
      </x:c>
      <x:c r="B310" s="4" t="str">
        <x:v>Worm wheel candidate preparation</x:v>
      </x:c>
      <x:c r="C310" s="4" t="str">
        <x:v>Material refinement</x:v>
      </x:c>
      <x:c r="D310" s="4" t="str">
        <x:v>Proposal</x:v>
      </x:c>
      <x:c r="E310" s="4" t="str">
        <x:v>Partial proposal</x:v>
      </x:c>
      <x:c r="F310" s="4" t="str">
        <x:v>Matched driven wheel for a worm mechanism</x:v>
      </x:c>
      <x:c r="G310" s="4" t="str">
        <x:v>Forge hearth, Anvil, Forging hammer, Smithing tongs, Metalworking file and Hand-cranked metal drill as applicable. Existing workshop bootstrap and controlled heating/cooling required; no free-water quench assumed.</x:v>
      </x:c>
      <x:c r="H310" s="4" t="str">
        <x:f>IF(I310=0,"Unassigned",IF(SUMIFS('Material routes'!$Q$6:$Q$2205,'Material routes'!$B$6:$B$2205,A310)&gt;0,"Unassigned","T"&amp;_xlfn.MAXIFS('Material routes'!$P$6:$P$2205,'Material routes'!$B$6:$B$2205,A310)))</x:f>
        <x:v>T2</x:v>
      </x:c>
      <x:c r="I310" s="4" t="n">
        <x:f>SUM(COUNTIFS('Material routes'!$B$6:$B$2205,A310,'Material routes'!$C$6:$C$2205,"Ingredient candidate"),COUNTIFS('Material routes'!$B$6:$B$2205,A310,'Material routes'!$C$6:$C$2205,"Consumed input"),COUNTIFS('Material routes'!$B$6:$B$2205,A310,'Material routes'!$C$6:$C$2205,"Contained input"),COUNTIFS('Material routes'!$B$6:$B$2205,A310,'Material routes'!$C$6:$C$2205,"Transform input"))</x:f>
        <x:v>1</x:v>
      </x:c>
      <x:c r="J310" s="4" t="n">
        <x:f>COUNTIFS('Material routes'!$B$6:$B$2205,A310,'Material routes'!$C$6:$C$2205,"Output")</x:f>
        <x:v>1</x:v>
      </x:c>
      <x:c r="K310" s="4" t="n">
        <x:f>COUNTIFS('Material routes'!$B$6:$B$2205,A310,'Material routes'!$C$6:$C$2205,"Tool candidate")</x:f>
        <x:v>0</x:v>
      </x:c>
      <x:c r="L310" s="4" t="str">
        <x:v>New item proposal, October 15, 2026. Setting reference (source proposal): https://github.com/sleepyseamonster/Arc-Dust/blob/f6f98515c005dc3c73cccd9cbc031691745740c6/02-Arc-Dust-Worldbuilding/world/materials/industrial-material-palette.md</x:v>
      </x:c>
      <x:c r="M310" s="4" t="str">
        <x:v>Quantities, output yield, supporting inputs and compatibility remain undefined.</x:v>
      </x:c>
    </x:row>
    <x:row r="311" ht="90" customHeight="1">
      <x:c r="A311" s="4"/>
      <x:c r="B311" s="4"/>
      <x:c r="C311" s="4"/>
      <x:c r="D311" s="4"/>
      <x:c r="E311" s="4"/>
      <x:c r="F311" s="4"/>
      <x:c r="G311" s="4"/>
      <x:c r="H311" s="4"/>
      <x:c r="I311" s="4"/>
      <x:c r="J311" s="4"/>
      <x:c r="K311" s="4"/>
      <x:c r="L311" s="4"/>
      <x:c r="M311" s="4"/>
    </x:row>
    <x:row r="312" ht="90" customHeight="1">
      <x:c r="A312" s="4" t="str">
        <x:v>design.collection.chain_drive_sprocket</x:v>
      </x:c>
      <x:c r="B312" s="4" t="str">
        <x:v>Chain drive sprocket candidate preparation</x:v>
      </x:c>
      <x:c r="C312" s="4" t="str">
        <x:v>Material refinement</x:v>
      </x:c>
      <x:c r="D312" s="4" t="str">
        <x:v>Proposal</x:v>
      </x:c>
      <x:c r="E312" s="4" t="str">
        <x:v>Partial proposal</x:v>
      </x:c>
      <x:c r="F312" s="4" t="str">
        <x:v>Engages a linked metal drive chain</x:v>
      </x:c>
      <x:c r="G312" s="4" t="str">
        <x:v>Forge hearth, Anvil, Forging hammer, Smithing tongs, Metalworking file and Hand-cranked metal drill as applicable. Existing workshop bootstrap and controlled heating/cooling required; no free-water quench assumed.</x:v>
      </x:c>
      <x:c r="H312" s="4" t="str">
        <x:f>IF(I312=0,"Unassigned",IF(SUMIFS('Material routes'!$Q$6:$Q$2205,'Material routes'!$B$6:$B$2205,A312)&gt;0,"Unassigned","T"&amp;_xlfn.MAXIFS('Material routes'!$P$6:$P$2205,'Material routes'!$B$6:$B$2205,A312)))</x:f>
        <x:v>T2</x:v>
      </x:c>
      <x:c r="I312" s="4" t="n">
        <x:f>SUM(COUNTIFS('Material routes'!$B$6:$B$2205,A312,'Material routes'!$C$6:$C$2205,"Ingredient candidate"),COUNTIFS('Material routes'!$B$6:$B$2205,A312,'Material routes'!$C$6:$C$2205,"Consumed input"),COUNTIFS('Material routes'!$B$6:$B$2205,A312,'Material routes'!$C$6:$C$2205,"Contained input"),COUNTIFS('Material routes'!$B$6:$B$2205,A312,'Material routes'!$C$6:$C$2205,"Transform input"))</x:f>
        <x:v>1</x:v>
      </x:c>
      <x:c r="J312" s="4" t="n">
        <x:f>COUNTIFS('Material routes'!$B$6:$B$2205,A312,'Material routes'!$C$6:$C$2205,"Output")</x:f>
        <x:v>1</x:v>
      </x:c>
      <x:c r="K312" s="4" t="n">
        <x:f>COUNTIFS('Material routes'!$B$6:$B$2205,A312,'Material routes'!$C$6:$C$2205,"Tool candidate")</x:f>
        <x:v>0</x:v>
      </x:c>
      <x:c r="L312" s="4" t="str">
        <x:v>New item proposal, October 15, 2026. Setting reference (source proposal): https://github.com/sleepyseamonster/Arc-Dust/blob/f6f98515c005dc3c73cccd9cbc031691745740c6/02-Arc-Dust-Worldbuilding/world/materials/industrial-material-palette.md</x:v>
      </x:c>
      <x:c r="M312" s="4" t="str">
        <x:v>Quantities, output yield, supporting inputs and compatibility remain undefined.</x:v>
      </x:c>
    </x:row>
    <x:row r="313" ht="90" customHeight="1">
      <x:c r="A313" s="4" t="str">
        <x:v>design.collection.split_shaft_coupling</x:v>
      </x:c>
      <x:c r="B313" s="4" t="str">
        <x:v>Split shaft coupling candidate preparation</x:v>
      </x:c>
      <x:c r="C313" s="4" t="str">
        <x:v>Material refinement</x:v>
      </x:c>
      <x:c r="D313" s="4" t="str">
        <x:v>Proposal</x:v>
      </x:c>
      <x:c r="E313" s="4" t="str">
        <x:v>Partial proposal</x:v>
      </x:c>
      <x:c r="F313" s="4" t="str">
        <x:v>Joins aligned shaft ends for service access</x:v>
      </x:c>
      <x:c r="G313" s="4" t="str">
        <x:v>Forge hearth, Anvil, Forging hammer, Smithing tongs, Metalworking file and Hand-cranked metal drill as applicable. Existing workshop bootstrap and controlled heating/cooling required; no free-water quench assumed.</x:v>
      </x:c>
      <x:c r="H313" s="4" t="str">
        <x:f>IF(I313=0,"Unassigned",IF(SUMIFS('Material routes'!$Q$6:$Q$2205,'Material routes'!$B$6:$B$2205,A313)&gt;0,"Unassigned","T"&amp;_xlfn.MAXIFS('Material routes'!$P$6:$P$2205,'Material routes'!$B$6:$B$2205,A313)))</x:f>
        <x:v>T3</x:v>
      </x:c>
      <x:c r="I313" s="4" t="n">
        <x:f>SUM(COUNTIFS('Material routes'!$B$6:$B$2205,A313,'Material routes'!$C$6:$C$2205,"Ingredient candidate"),COUNTIFS('Material routes'!$B$6:$B$2205,A313,'Material routes'!$C$6:$C$2205,"Consumed input"),COUNTIFS('Material routes'!$B$6:$B$2205,A313,'Material routes'!$C$6:$C$2205,"Contained input"),COUNTIFS('Material routes'!$B$6:$B$2205,A313,'Material routes'!$C$6:$C$2205,"Transform input"))</x:f>
        <x:v>2</x:v>
      </x:c>
      <x:c r="J313" s="4" t="n">
        <x:f>COUNTIFS('Material routes'!$B$6:$B$2205,A313,'Material routes'!$C$6:$C$2205,"Output")</x:f>
        <x:v>1</x:v>
      </x:c>
      <x:c r="K313" s="4" t="n">
        <x:f>COUNTIFS('Material routes'!$B$6:$B$2205,A313,'Material routes'!$C$6:$C$2205,"Tool candidate")</x:f>
        <x:v>0</x:v>
      </x:c>
      <x:c r="L313" s="4" t="str">
        <x:v>New item proposal, October 15, 2026. Setting reference (source proposal): https://github.com/sleepyseamonster/Arc-Dust/blob/f6f98515c005dc3c73cccd9cbc031691745740c6/02-Arc-Dust-Worldbuilding/world/materials/industrial-material-palette.md</x:v>
      </x:c>
      <x:c r="M313" s="4" t="str">
        <x:v>Quantities, output yield, supporting inputs and compatibility remain undefined.</x:v>
      </x:c>
    </x:row>
    <x:row r="314" ht="90" customHeight="1">
      <x:c r="A314" s="4" t="str">
        <x:v>design.collection.keyed_drive_shaft</x:v>
      </x:c>
      <x:c r="B314" s="4" t="str">
        <x:v>Keyed drive shaft candidate preparation</x:v>
      </x:c>
      <x:c r="C314" s="4" t="str">
        <x:v>Material refinement</x:v>
      </x:c>
      <x:c r="D314" s="4" t="str">
        <x:v>Proposal</x:v>
      </x:c>
      <x:c r="E314" s="4" t="str">
        <x:v>Partial proposal</x:v>
      </x:c>
      <x:c r="F314" s="4" t="str">
        <x:v>Carries rotary torque through a keyed seat</x:v>
      </x:c>
      <x:c r="G314" s="4" t="str">
        <x:v>Forge hearth, Anvil, Forging hammer, Smithing tongs, Metalworking file and Hand-cranked metal drill as applicable. Existing workshop bootstrap and controlled heating/cooling required; no free-water quench assumed.</x:v>
      </x:c>
      <x:c r="H314" s="4" t="str">
        <x:f>IF(I314=0,"Unassigned",IF(SUMIFS('Material routes'!$Q$6:$Q$2205,'Material routes'!$B$6:$B$2205,A314)&gt;0,"Unassigned","T"&amp;_xlfn.MAXIFS('Material routes'!$P$6:$P$2205,'Material routes'!$B$6:$B$2205,A314)))</x:f>
        <x:v>T2</x:v>
      </x:c>
      <x:c r="I314" s="4" t="n">
        <x:f>SUM(COUNTIFS('Material routes'!$B$6:$B$2205,A314,'Material routes'!$C$6:$C$2205,"Ingredient candidate"),COUNTIFS('Material routes'!$B$6:$B$2205,A314,'Material routes'!$C$6:$C$2205,"Consumed input"),COUNTIFS('Material routes'!$B$6:$B$2205,A314,'Material routes'!$C$6:$C$2205,"Contained input"),COUNTIFS('Material routes'!$B$6:$B$2205,A314,'Material routes'!$C$6:$C$2205,"Transform input"))</x:f>
        <x:v>1</x:v>
      </x:c>
      <x:c r="J314" s="4" t="n">
        <x:f>COUNTIFS('Material routes'!$B$6:$B$2205,A314,'Material routes'!$C$6:$C$2205,"Output")</x:f>
        <x:v>1</x:v>
      </x:c>
      <x:c r="K314" s="4" t="n">
        <x:f>COUNTIFS('Material routes'!$B$6:$B$2205,A314,'Material routes'!$C$6:$C$2205,"Tool candidate")</x:f>
        <x:v>0</x:v>
      </x:c>
      <x:c r="L314" s="4" t="str">
        <x:v>New item proposal, October 15, 2026. Setting reference (source proposal): https://github.com/sleepyseamonster/Arc-Dust/blob/f6f98515c005dc3c73cccd9cbc031691745740c6/02-Arc-Dust-Worldbuilding/world/materials/industrial-material-palette.md</x:v>
      </x:c>
      <x:c r="M314" s="4" t="str">
        <x:v>Quantities, output yield, supporting inputs and compatibility remain undefined.</x:v>
      </x:c>
    </x:row>
    <x:row r="315" ht="90" customHeight="1">
      <x:c r="A315" s="4" t="str">
        <x:v>design.collection.eccentric_cam_disc</x:v>
      </x:c>
      <x:c r="B315" s="4" t="str">
        <x:v>Eccentric cam disc candidate preparation</x:v>
      </x:c>
      <x:c r="C315" s="4" t="str">
        <x:v>Material refinement</x:v>
      </x:c>
      <x:c r="D315" s="4" t="str">
        <x:v>Proposal</x:v>
      </x:c>
      <x:c r="E315" s="4" t="str">
        <x:v>Partial proposal</x:v>
      </x:c>
      <x:c r="F315" s="4" t="str">
        <x:v>Produces an offset reciprocating stroke</x:v>
      </x:c>
      <x:c r="G315" s="4" t="str">
        <x:v>Forge hearth, Anvil, Forging hammer, Smithing tongs, Metalworking file and Hand-cranked metal drill as applicable. Existing workshop bootstrap and controlled heating/cooling required; no free-water quench assumed.</x:v>
      </x:c>
      <x:c r="H315" s="4" t="str">
        <x:f>IF(I315=0,"Unassigned",IF(SUMIFS('Material routes'!$Q$6:$Q$2205,'Material routes'!$B$6:$B$2205,A315)&gt;0,"Unassigned","T"&amp;_xlfn.MAXIFS('Material routes'!$P$6:$P$2205,'Material routes'!$B$6:$B$2205,A315)))</x:f>
        <x:v>T2</x:v>
      </x:c>
      <x:c r="I315" s="4" t="n">
        <x:f>SUM(COUNTIFS('Material routes'!$B$6:$B$2205,A315,'Material routes'!$C$6:$C$2205,"Ingredient candidate"),COUNTIFS('Material routes'!$B$6:$B$2205,A315,'Material routes'!$C$6:$C$2205,"Consumed input"),COUNTIFS('Material routes'!$B$6:$B$2205,A315,'Material routes'!$C$6:$C$2205,"Contained input"),COUNTIFS('Material routes'!$B$6:$B$2205,A315,'Material routes'!$C$6:$C$2205,"Transform input"))</x:f>
        <x:v>1</x:v>
      </x:c>
      <x:c r="J315" s="4" t="n">
        <x:f>COUNTIFS('Material routes'!$B$6:$B$2205,A315,'Material routes'!$C$6:$C$2205,"Output")</x:f>
        <x:v>1</x:v>
      </x:c>
      <x:c r="K315" s="4" t="n">
        <x:f>COUNTIFS('Material routes'!$B$6:$B$2205,A315,'Material routes'!$C$6:$C$2205,"Tool candidate")</x:f>
        <x:v>0</x:v>
      </x:c>
      <x:c r="L315" s="4" t="str">
        <x:v>New item proposal, October 15, 2026. Setting reference (source proposal): https://github.com/sleepyseamonster/Arc-Dust/blob/f6f98515c005dc3c73cccd9cbc031691745740c6/02-Arc-Dust-Worldbuilding/world/materials/industrial-material-palette.md</x:v>
      </x:c>
      <x:c r="M315" s="4" t="str">
        <x:v>Quantities, output yield, supporting inputs and compatibility remain undefined.</x:v>
      </x:c>
    </x:row>
    <x:row r="316" ht="90" customHeight="1">
      <x:c r="A316" s="4" t="str">
        <x:v>design.collection.cam_follower_roller</x:v>
      </x:c>
      <x:c r="B316" s="4" t="str">
        <x:v>Cam follower roller candidate preparation</x:v>
      </x:c>
      <x:c r="C316" s="4" t="str">
        <x:v>Material refinement</x:v>
      </x:c>
      <x:c r="D316" s="4" t="str">
        <x:v>Proposal</x:v>
      </x:c>
      <x:c r="E316" s="4" t="str">
        <x:v>Partial proposal</x:v>
      </x:c>
      <x:c r="F316" s="4" t="str">
        <x:v>Tracks a cam with a replaceable contact roller</x:v>
      </x:c>
      <x:c r="G316" s="4" t="str">
        <x:v>Forge hearth, Anvil, Forging hammer, Smithing tongs, Metalworking file and Hand-cranked metal drill as applicable. Existing workshop bootstrap and controlled heating/cooling required; no free-water quench assumed.</x:v>
      </x:c>
      <x:c r="H316" s="4" t="str">
        <x:f>IF(I316=0,"Unassigned",IF(SUMIFS('Material routes'!$Q$6:$Q$2205,'Material routes'!$B$6:$B$2205,A316)&gt;0,"Unassigned","T"&amp;_xlfn.MAXIFS('Material routes'!$P$6:$P$2205,'Material routes'!$B$6:$B$2205,A316)))</x:f>
        <x:v>T3</x:v>
      </x:c>
      <x:c r="I316" s="4" t="n">
        <x:f>SUM(COUNTIFS('Material routes'!$B$6:$B$2205,A316,'Material routes'!$C$6:$C$2205,"Ingredient candidate"),COUNTIFS('Material routes'!$B$6:$B$2205,A316,'Material routes'!$C$6:$C$2205,"Consumed input"),COUNTIFS('Material routes'!$B$6:$B$2205,A316,'Material routes'!$C$6:$C$2205,"Contained input"),COUNTIFS('Material routes'!$B$6:$B$2205,A316,'Material routes'!$C$6:$C$2205,"Transform input"))</x:f>
        <x:v>2</x:v>
      </x:c>
      <x:c r="J316" s="4" t="n">
        <x:f>COUNTIFS('Material routes'!$B$6:$B$2205,A316,'Material routes'!$C$6:$C$2205,"Output")</x:f>
        <x:v>1</x:v>
      </x:c>
      <x:c r="K316" s="4" t="n">
        <x:f>COUNTIFS('Material routes'!$B$6:$B$2205,A316,'Material routes'!$C$6:$C$2205,"Tool candidate")</x:f>
        <x:v>0</x:v>
      </x:c>
      <x:c r="L316" s="4" t="str">
        <x:v>New item proposal, October 15, 2026. Setting reference (source proposal): https://github.com/sleepyseamonster/Arc-Dust/blob/f6f98515c005dc3c73cccd9cbc031691745740c6/02-Arc-Dust-Worldbuilding/world/materials/industrial-material-palette.md</x:v>
      </x:c>
      <x:c r="M316" s="4" t="str">
        <x:v>Quantities, output yield, supporting inputs and compatibility remain undefined.</x:v>
      </x:c>
    </x:row>
    <x:row r="317" ht="90" customHeight="1">
      <x:c r="A317" s="4" t="str">
        <x:v>design.collection.ratchet_wheel</x:v>
      </x:c>
      <x:c r="B317" s="4" t="str">
        <x:v>Ratchet wheel candidate preparation</x:v>
      </x:c>
      <x:c r="C317" s="4" t="str">
        <x:v>Material refinement</x:v>
      </x:c>
      <x:c r="D317" s="4" t="str">
        <x:v>Proposal</x:v>
      </x:c>
      <x:c r="E317" s="4" t="str">
        <x:v>Partial proposal</x:v>
      </x:c>
      <x:c r="F317" s="4" t="str">
        <x:v>Provides indexed one-way motion</x:v>
      </x:c>
      <x:c r="G317" s="4" t="str">
        <x:v>Forge hearth, Anvil, Forging hammer, Smithing tongs, Metalworking file and Hand-cranked metal drill as applicable. Existing workshop bootstrap and controlled heating/cooling required; no free-water quench assumed.</x:v>
      </x:c>
      <x:c r="H317" s="4" t="str">
        <x:f>IF(I317=0,"Unassigned",IF(SUMIFS('Material routes'!$Q$6:$Q$2205,'Material routes'!$B$6:$B$2205,A317)&gt;0,"Unassigned","T"&amp;_xlfn.MAXIFS('Material routes'!$P$6:$P$2205,'Material routes'!$B$6:$B$2205,A317)))</x:f>
        <x:v>T2</x:v>
      </x:c>
      <x:c r="I317" s="4" t="n">
        <x:f>SUM(COUNTIFS('Material routes'!$B$6:$B$2205,A317,'Material routes'!$C$6:$C$2205,"Ingredient candidate"),COUNTIFS('Material routes'!$B$6:$B$2205,A317,'Material routes'!$C$6:$C$2205,"Consumed input"),COUNTIFS('Material routes'!$B$6:$B$2205,A317,'Material routes'!$C$6:$C$2205,"Contained input"),COUNTIFS('Material routes'!$B$6:$B$2205,A317,'Material routes'!$C$6:$C$2205,"Transform input"))</x:f>
        <x:v>1</x:v>
      </x:c>
      <x:c r="J317" s="4" t="n">
        <x:f>COUNTIFS('Material routes'!$B$6:$B$2205,A317,'Material routes'!$C$6:$C$2205,"Output")</x:f>
        <x:v>1</x:v>
      </x:c>
      <x:c r="K317" s="4" t="n">
        <x:f>COUNTIFS('Material routes'!$B$6:$B$2205,A317,'Material routes'!$C$6:$C$2205,"Tool candidate")</x:f>
        <x:v>0</x:v>
      </x:c>
      <x:c r="L317" s="4" t="str">
        <x:v>New item proposal, October 15, 2026. Setting reference (source proposal): https://github.com/sleepyseamonster/Arc-Dust/blob/f6f98515c005dc3c73cccd9cbc031691745740c6/02-Arc-Dust-Worldbuilding/world/materials/industrial-material-palette.md</x:v>
      </x:c>
      <x:c r="M317" s="4" t="str">
        <x:v>Quantities, output yield, supporting inputs and compatibility remain undefined.</x:v>
      </x:c>
    </x:row>
    <x:row r="318" ht="90" customHeight="1">
      <x:c r="A318" s="4" t="str">
        <x:v>design.collection.ratchet_pawl</x:v>
      </x:c>
      <x:c r="B318" s="4" t="str">
        <x:v>Ratchet pawl candidate preparation</x:v>
      </x:c>
      <x:c r="C318" s="4" t="str">
        <x:v>Material refinement</x:v>
      </x:c>
      <x:c r="D318" s="4" t="str">
        <x:v>Proposal</x:v>
      </x:c>
      <x:c r="E318" s="4" t="str">
        <x:v>Partial proposal</x:v>
      </x:c>
      <x:c r="F318" s="4" t="str">
        <x:v>Retains a ratchet wheel between strokes</x:v>
      </x:c>
      <x:c r="G318" s="4" t="str">
        <x:v>Forge hearth, Anvil, Forging hammer, Smithing tongs, Metalworking file and Hand-cranked metal drill as applicable. Existing workshop bootstrap and controlled heating/cooling required; no free-water quench assumed.</x:v>
      </x:c>
      <x:c r="H318" s="4" t="str">
        <x:f>IF(I318=0,"Unassigned",IF(SUMIFS('Material routes'!$Q$6:$Q$2205,'Material routes'!$B$6:$B$2205,A318)&gt;0,"Unassigned","T"&amp;_xlfn.MAXIFS('Material routes'!$P$6:$P$2205,'Material routes'!$B$6:$B$2205,A318)))</x:f>
        <x:v>T3</x:v>
      </x:c>
      <x:c r="I318" s="4" t="n">
        <x:f>SUM(COUNTIFS('Material routes'!$B$6:$B$2205,A318,'Material routes'!$C$6:$C$2205,"Ingredient candidate"),COUNTIFS('Material routes'!$B$6:$B$2205,A318,'Material routes'!$C$6:$C$2205,"Consumed input"),COUNTIFS('Material routes'!$B$6:$B$2205,A318,'Material routes'!$C$6:$C$2205,"Contained input"),COUNTIFS('Material routes'!$B$6:$B$2205,A318,'Material routes'!$C$6:$C$2205,"Transform input"))</x:f>
        <x:v>1</x:v>
      </x:c>
      <x:c r="J318" s="4" t="n">
        <x:f>COUNTIFS('Material routes'!$B$6:$B$2205,A318,'Material routes'!$C$6:$C$2205,"Output")</x:f>
        <x:v>1</x:v>
      </x:c>
      <x:c r="K318" s="4" t="n">
        <x:f>COUNTIFS('Material routes'!$B$6:$B$2205,A318,'Material routes'!$C$6:$C$2205,"Tool candidate")</x:f>
        <x:v>0</x:v>
      </x:c>
      <x:c r="L318" s="4" t="str">
        <x:v>New item proposal, October 15, 2026. Setting reference (source proposal): https://github.com/sleepyseamonster/Arc-Dust/blob/f6f98515c005dc3c73cccd9cbc031691745740c6/02-Arc-Dust-Worldbuilding/world/materials/industrial-material-palette.md</x:v>
      </x:c>
      <x:c r="M318" s="4" t="str">
        <x:v>Quantities, output yield, supporting inputs and compatibility remain undefined.</x:v>
      </x:c>
    </x:row>
    <x:row r="319" ht="90" customHeight="1">
      <x:c r="A319" s="4" t="str">
        <x:v>design.collection.helical_return_spring</x:v>
      </x:c>
      <x:c r="B319" s="4" t="str">
        <x:v>Helical return spring candidate preparation</x:v>
      </x:c>
      <x:c r="C319" s="4" t="str">
        <x:v>Material refinement</x:v>
      </x:c>
      <x:c r="D319" s="4" t="str">
        <x:v>Proposal</x:v>
      </x:c>
      <x:c r="E319" s="4" t="str">
        <x:v>Partial proposal</x:v>
      </x:c>
      <x:c r="F319" s="4" t="str">
        <x:v>Stores return force in a compact mechanism</x:v>
      </x:c>
      <x:c r="G319" s="4" t="str">
        <x:v>Forge hearth, Anvil, Forging hammer, Smithing tongs, Metalworking file and Hand-cranked metal drill as applicable. Existing workshop bootstrap and controlled heating/cooling required; no free-water quench assumed.</x:v>
      </x:c>
      <x:c r="H319" s="4" t="str">
        <x:f>IF(I319=0,"Unassigned",IF(SUMIFS('Material routes'!$Q$6:$Q$2205,'Material routes'!$B$6:$B$2205,A319)&gt;0,"Unassigned","T"&amp;_xlfn.MAXIFS('Material routes'!$P$6:$P$2205,'Material routes'!$B$6:$B$2205,A319)))</x:f>
        <x:v>T3</x:v>
      </x:c>
      <x:c r="I319" s="4" t="n">
        <x:f>SUM(COUNTIFS('Material routes'!$B$6:$B$2205,A319,'Material routes'!$C$6:$C$2205,"Ingredient candidate"),COUNTIFS('Material routes'!$B$6:$B$2205,A319,'Material routes'!$C$6:$C$2205,"Consumed input"),COUNTIFS('Material routes'!$B$6:$B$2205,A319,'Material routes'!$C$6:$C$2205,"Contained input"),COUNTIFS('Material routes'!$B$6:$B$2205,A319,'Material routes'!$C$6:$C$2205,"Transform input"))</x:f>
        <x:v>1</x:v>
      </x:c>
      <x:c r="J319" s="4" t="n">
        <x:f>COUNTIFS('Material routes'!$B$6:$B$2205,A319,'Material routes'!$C$6:$C$2205,"Output")</x:f>
        <x:v>1</x:v>
      </x:c>
      <x:c r="K319" s="4" t="n">
        <x:f>COUNTIFS('Material routes'!$B$6:$B$2205,A319,'Material routes'!$C$6:$C$2205,"Tool candidate")</x:f>
        <x:v>0</x:v>
      </x:c>
      <x:c r="L319" s="4" t="str">
        <x:v>New item proposal, October 15, 2026. Setting reference (source proposal): https://github.com/sleepyseamonster/Arc-Dust/blob/f6f98515c005dc3c73cccd9cbc031691745740c6/02-Arc-Dust-Worldbuilding/world/materials/industrial-material-palette.md</x:v>
      </x:c>
      <x:c r="M319" s="4" t="str">
        <x:v>Quantities, output yield, supporting inputs and compatibility remain undefined.</x:v>
      </x:c>
    </x:row>
    <x:row r="320" ht="90" customHeight="1">
      <x:c r="A320" s="4" t="str">
        <x:v>design.collection.flat_spiral_clock_spring</x:v>
      </x:c>
      <x:c r="B320" s="4" t="str">
        <x:v>Flat spiral clock spring candidate preparation</x:v>
      </x:c>
      <x:c r="C320" s="4" t="str">
        <x:v>Material refinement</x:v>
      </x:c>
      <x:c r="D320" s="4" t="str">
        <x:v>Proposal</x:v>
      </x:c>
      <x:c r="E320" s="4" t="str">
        <x:v>Partial proposal</x:v>
      </x:c>
      <x:c r="F320" s="4" t="str">
        <x:v>Stores a wound mechanical charge</x:v>
      </x:c>
      <x:c r="G320" s="4" t="str">
        <x:v>Forge hearth, Anvil, Forging hammer, Smithing tongs, Metalworking file and Hand-cranked metal drill as applicable. Existing workshop bootstrap and controlled heating/cooling required; no free-water quench assumed.</x:v>
      </x:c>
      <x:c r="H320" s="4" t="str">
        <x:f>IF(I320=0,"Unassigned",IF(SUMIFS('Material routes'!$Q$6:$Q$2205,'Material routes'!$B$6:$B$2205,A320)&gt;0,"Unassigned","T"&amp;_xlfn.MAXIFS('Material routes'!$P$6:$P$2205,'Material routes'!$B$6:$B$2205,A320)))</x:f>
        <x:v>T3</x:v>
      </x:c>
      <x:c r="I320" s="4" t="n">
        <x:f>SUM(COUNTIFS('Material routes'!$B$6:$B$2205,A320,'Material routes'!$C$6:$C$2205,"Ingredient candidate"),COUNTIFS('Material routes'!$B$6:$B$2205,A320,'Material routes'!$C$6:$C$2205,"Consumed input"),COUNTIFS('Material routes'!$B$6:$B$2205,A320,'Material routes'!$C$6:$C$2205,"Contained input"),COUNTIFS('Material routes'!$B$6:$B$2205,A320,'Material routes'!$C$6:$C$2205,"Transform input"))</x:f>
        <x:v>1</x:v>
      </x:c>
      <x:c r="J320" s="4" t="n">
        <x:f>COUNTIFS('Material routes'!$B$6:$B$2205,A320,'Material routes'!$C$6:$C$2205,"Output")</x:f>
        <x:v>1</x:v>
      </x:c>
      <x:c r="K320" s="4" t="n">
        <x:f>COUNTIFS('Material routes'!$B$6:$B$2205,A320,'Material routes'!$C$6:$C$2205,"Tool candidate")</x:f>
        <x:v>0</x:v>
      </x:c>
      <x:c r="L320" s="4" t="str">
        <x:v>New item proposal, October 15, 2026. Setting reference (source proposal): https://github.com/sleepyseamonster/Arc-Dust/blob/f6f98515c005dc3c73cccd9cbc031691745740c6/02-Arc-Dust-Worldbuilding/world/materials/industrial-material-palette.md</x:v>
      </x:c>
      <x:c r="M320" s="4" t="str">
        <x:v>Quantities, output yield, supporting inputs and compatibility remain undefined.</x:v>
      </x:c>
    </x:row>
    <x:row r="321" ht="90" customHeight="1">
      <x:c r="A321" s="4" t="str">
        <x:v>design.collection.steel_hinge_knuckle</x:v>
      </x:c>
      <x:c r="B321" s="4" t="str">
        <x:v>Steel hinge knuckle candidate preparation</x:v>
      </x:c>
      <x:c r="C321" s="4" t="str">
        <x:v>Material refinement</x:v>
      </x:c>
      <x:c r="D321" s="4" t="str">
        <x:v>Proposal</x:v>
      </x:c>
      <x:c r="E321" s="4" t="str">
        <x:v>Partial proposal</x:v>
      </x:c>
      <x:c r="F321" s="4" t="str">
        <x:v>Forms a replaceable pivot barrel</x:v>
      </x:c>
      <x:c r="G321" s="4" t="str">
        <x:v>Forge hearth, Anvil, Forging hammer, Smithing tongs, Metalworking file and Hand-cranked metal drill as applicable. Existing workshop bootstrap and controlled heating/cooling required; no free-water quench assumed.</x:v>
      </x:c>
      <x:c r="H321" s="4" t="str">
        <x:f>IF(I321=0,"Unassigned",IF(SUMIFS('Material routes'!$Q$6:$Q$2205,'Material routes'!$B$6:$B$2205,A321)&gt;0,"Unassigned","T"&amp;_xlfn.MAXIFS('Material routes'!$P$6:$P$2205,'Material routes'!$B$6:$B$2205,A321)))</x:f>
        <x:v>T3</x:v>
      </x:c>
      <x:c r="I321" s="4" t="n">
        <x:f>SUM(COUNTIFS('Material routes'!$B$6:$B$2205,A321,'Material routes'!$C$6:$C$2205,"Ingredient candidate"),COUNTIFS('Material routes'!$B$6:$B$2205,A321,'Material routes'!$C$6:$C$2205,"Consumed input"),COUNTIFS('Material routes'!$B$6:$B$2205,A321,'Material routes'!$C$6:$C$2205,"Contained input"),COUNTIFS('Material routes'!$B$6:$B$2205,A321,'Material routes'!$C$6:$C$2205,"Transform input"))</x:f>
        <x:v>1</x:v>
      </x:c>
      <x:c r="J321" s="4" t="n">
        <x:f>COUNTIFS('Material routes'!$B$6:$B$2205,A321,'Material routes'!$C$6:$C$2205,"Output")</x:f>
        <x:v>1</x:v>
      </x:c>
      <x:c r="K321" s="4" t="n">
        <x:f>COUNTIFS('Material routes'!$B$6:$B$2205,A321,'Material routes'!$C$6:$C$2205,"Tool candidate")</x:f>
        <x:v>0</x:v>
      </x:c>
      <x:c r="L321" s="4" t="str">
        <x:v>New item proposal, October 15, 2026. Setting reference (source proposal): https://github.com/sleepyseamonster/Arc-Dust/blob/f6f98515c005dc3c73cccd9cbc031691745740c6/02-Arc-Dust-Worldbuilding/world/materials/industrial-material-palette.md</x:v>
      </x:c>
      <x:c r="M321" s="4" t="str">
        <x:v>Quantities, output yield, supporting inputs and compatibility remain undefined.</x:v>
      </x:c>
    </x:row>
    <x:row r="322" ht="90" customHeight="1">
      <x:c r="A322" s="4" t="str">
        <x:v>design.collection.oil_channel_bronze_sleeve</x:v>
      </x:c>
      <x:c r="B322" s="4" t="str">
        <x:v>Oil-channel bronze sleeve candidate preparation</x:v>
      </x:c>
      <x:c r="C322" s="4" t="str">
        <x:v>Material refinement</x:v>
      </x:c>
      <x:c r="D322" s="4" t="str">
        <x:v>Proposal</x:v>
      </x:c>
      <x:c r="E322" s="4" t="str">
        <x:v>Partial proposal</x:v>
      </x:c>
      <x:c r="F322" s="4" t="str">
        <x:v>Carries a shaft with a lubricant distribution groove</x:v>
      </x:c>
      <x:c r="G322" s="4" t="str">
        <x:v>Forge hearth, Anvil, Forging hammer, Smithing tongs, Metalworking file and Hand-cranked metal drill as applicable. Existing workshop bootstrap and controlled heating/cooling required; no free-water quench assumed.</x:v>
      </x:c>
      <x:c r="H322" s="4" t="str">
        <x:f>IF(I322=0,"Unassigned",IF(SUMIFS('Material routes'!$Q$6:$Q$2205,'Material routes'!$B$6:$B$2205,A322)&gt;0,"Unassigned","T"&amp;_xlfn.MAXIFS('Material routes'!$P$6:$P$2205,'Material routes'!$B$6:$B$2205,A322)))</x:f>
        <x:v>T2</x:v>
      </x:c>
      <x:c r="I322" s="4" t="n">
        <x:f>SUM(COUNTIFS('Material routes'!$B$6:$B$2205,A322,'Material routes'!$C$6:$C$2205,"Ingredient candidate"),COUNTIFS('Material routes'!$B$6:$B$2205,A322,'Material routes'!$C$6:$C$2205,"Consumed input"),COUNTIFS('Material routes'!$B$6:$B$2205,A322,'Material routes'!$C$6:$C$2205,"Contained input"),COUNTIFS('Material routes'!$B$6:$B$2205,A322,'Material routes'!$C$6:$C$2205,"Transform input"))</x:f>
        <x:v>1</x:v>
      </x:c>
      <x:c r="J322" s="4" t="n">
        <x:f>COUNTIFS('Material routes'!$B$6:$B$2205,A322,'Material routes'!$C$6:$C$2205,"Output")</x:f>
        <x:v>1</x:v>
      </x:c>
      <x:c r="K322" s="4" t="n">
        <x:f>COUNTIFS('Material routes'!$B$6:$B$2205,A322,'Material routes'!$C$6:$C$2205,"Tool candidate")</x:f>
        <x:v>0</x:v>
      </x:c>
      <x:c r="L322" s="4" t="str">
        <x:v>New item proposal, October 15, 2026. Setting reference (source proposal): https://github.com/sleepyseamonster/Arc-Dust/blob/f6f98515c005dc3c73cccd9cbc031691745740c6/02-Arc-Dust-Worldbuilding/world/materials/industrial-material-palette.md</x:v>
      </x:c>
      <x:c r="M322" s="4" t="str">
        <x:v>Quantities, output yield, supporting inputs and compatibility remain undefined.</x:v>
      </x:c>
    </x:row>
    <x:row r="323" ht="90" customHeight="1">
      <x:c r="A323" s="4" t="str">
        <x:v>design.collection.split_bearing_pillow_block</x:v>
      </x:c>
      <x:c r="B323" s="4" t="str">
        <x:v>Split bearing pillow block candidate preparation</x:v>
      </x:c>
      <x:c r="C323" s="4" t="str">
        <x:v>Material refinement</x:v>
      </x:c>
      <x:c r="D323" s="4" t="str">
        <x:v>Proposal</x:v>
      </x:c>
      <x:c r="E323" s="4" t="str">
        <x:v>Partial proposal</x:v>
      </x:c>
      <x:c r="F323" s="4" t="str">
        <x:v>Locates a serviceable bearing in a housing</x:v>
      </x:c>
      <x:c r="G323" s="4" t="str">
        <x:v>Forge hearth, Anvil, Forging hammer, Smithing tongs, Metalworking file and Hand-cranked metal drill as applicable. Existing workshop bootstrap and controlled heating/cooling required; no free-water quench assumed.</x:v>
      </x:c>
      <x:c r="H323" s="4" t="str">
        <x:f>IF(I323=0,"Unassigned",IF(SUMIFS('Material routes'!$Q$6:$Q$2205,'Material routes'!$B$6:$B$2205,A323)&gt;0,"Unassigned","T"&amp;_xlfn.MAXIFS('Material routes'!$P$6:$P$2205,'Material routes'!$B$6:$B$2205,A323)))</x:f>
        <x:v>T3</x:v>
      </x:c>
      <x:c r="I323" s="4" t="n">
        <x:f>SUM(COUNTIFS('Material routes'!$B$6:$B$2205,A323,'Material routes'!$C$6:$C$2205,"Ingredient candidate"),COUNTIFS('Material routes'!$B$6:$B$2205,A323,'Material routes'!$C$6:$C$2205,"Consumed input"),COUNTIFS('Material routes'!$B$6:$B$2205,A323,'Material routes'!$C$6:$C$2205,"Contained input"),COUNTIFS('Material routes'!$B$6:$B$2205,A323,'Material routes'!$C$6:$C$2205,"Transform input"))</x:f>
        <x:v>2</x:v>
      </x:c>
      <x:c r="J323" s="4" t="n">
        <x:f>COUNTIFS('Material routes'!$B$6:$B$2205,A323,'Material routes'!$C$6:$C$2205,"Output")</x:f>
        <x:v>1</x:v>
      </x:c>
      <x:c r="K323" s="4" t="n">
        <x:f>COUNTIFS('Material routes'!$B$6:$B$2205,A323,'Material routes'!$C$6:$C$2205,"Tool candidate")</x:f>
        <x:v>0</x:v>
      </x:c>
      <x:c r="L323" s="4" t="str">
        <x:v>New item proposal, October 15, 2026. Setting reference (source proposal): https://github.com/sleepyseamonster/Arc-Dust/blob/f6f98515c005dc3c73cccd9cbc031691745740c6/02-Arc-Dust-Worldbuilding/world/materials/industrial-material-palette.md</x:v>
      </x:c>
      <x:c r="M323" s="4" t="str">
        <x:v>Quantities, output yield, supporting inputs and compatibility remain undefined.</x:v>
      </x:c>
    </x:row>
    <x:row r="324" ht="90" customHeight="1">
      <x:c r="A324" s="4" t="str">
        <x:v>design.collection.flywheel_rim_segment</x:v>
      </x:c>
      <x:c r="B324" s="4" t="str">
        <x:v>Flywheel rim segment candidate preparation</x:v>
      </x:c>
      <x:c r="C324" s="4" t="str">
        <x:v>Material refinement</x:v>
      </x:c>
      <x:c r="D324" s="4" t="str">
        <x:v>Proposal</x:v>
      </x:c>
      <x:c r="E324" s="4" t="str">
        <x:v>Partial proposal</x:v>
      </x:c>
      <x:c r="F324" s="4" t="str">
        <x:v>Adds rotating mass to a guarded storage wheel</x:v>
      </x:c>
      <x:c r="G324" s="4" t="str">
        <x:v>Forge hearth, Anvil, Forging hammer, Smithing tongs, Metalworking file and Hand-cranked metal drill as applicable. Existing workshop bootstrap and controlled heating/cooling required; no free-water quench assumed.</x:v>
      </x:c>
      <x:c r="H324" s="4" t="str">
        <x:f>IF(I324=0,"Unassigned",IF(SUMIFS('Material routes'!$Q$6:$Q$2205,'Material routes'!$B$6:$B$2205,A324)&gt;0,"Unassigned","T"&amp;_xlfn.MAXIFS('Material routes'!$P$6:$P$2205,'Material routes'!$B$6:$B$2205,A324)))</x:f>
        <x:v>T2</x:v>
      </x:c>
      <x:c r="I324" s="4" t="n">
        <x:f>SUM(COUNTIFS('Material routes'!$B$6:$B$2205,A324,'Material routes'!$C$6:$C$2205,"Ingredient candidate"),COUNTIFS('Material routes'!$B$6:$B$2205,A324,'Material routes'!$C$6:$C$2205,"Consumed input"),COUNTIFS('Material routes'!$B$6:$B$2205,A324,'Material routes'!$C$6:$C$2205,"Contained input"),COUNTIFS('Material routes'!$B$6:$B$2205,A324,'Material routes'!$C$6:$C$2205,"Transform input"))</x:f>
        <x:v>1</x:v>
      </x:c>
      <x:c r="J324" s="4" t="n">
        <x:f>COUNTIFS('Material routes'!$B$6:$B$2205,A324,'Material routes'!$C$6:$C$2205,"Output")</x:f>
        <x:v>1</x:v>
      </x:c>
      <x:c r="K324" s="4" t="n">
        <x:f>COUNTIFS('Material routes'!$B$6:$B$2205,A324,'Material routes'!$C$6:$C$2205,"Tool candidate")</x:f>
        <x:v>0</x:v>
      </x:c>
      <x:c r="L324" s="4" t="str">
        <x:v>New item proposal, October 15, 2026. Setting reference (source proposal): https://github.com/sleepyseamonster/Arc-Dust/blob/f6f98515c005dc3c73cccd9cbc031691745740c6/02-Arc-Dust-Worldbuilding/world/materials/industrial-material-palette.md</x:v>
      </x:c>
      <x:c r="M324" s="4" t="str">
        <x:v>Quantities, output yield, supporting inputs and compatibility remain undefined.</x:v>
      </x:c>
    </x:row>
    <x:row r="325" ht="90" customHeight="1">
      <x:c r="A325" s="4" t="str">
        <x:v>design.collection.clutch_friction_disc</x:v>
      </x:c>
      <x:c r="B325" s="4" t="str">
        <x:v>Clutch friction disc candidate preparation</x:v>
      </x:c>
      <x:c r="C325" s="4" t="str">
        <x:v>Material refinement</x:v>
      </x:c>
      <x:c r="D325" s="4" t="str">
        <x:v>Proposal</x:v>
      </x:c>
      <x:c r="E325" s="4" t="str">
        <x:v>Partial proposal</x:v>
      </x:c>
      <x:c r="F325" s="4" t="str">
        <x:v>Transfers drive through a replaceable friction face</x:v>
      </x:c>
      <x:c r="G325" s="4" t="str">
        <x:v>Forge hearth, Anvil, Forging hammer, Smithing tongs, Metalworking file and Hand-cranked metal drill as applicable. Existing workshop bootstrap and controlled heating/cooling required; no free-water quench assumed.</x:v>
      </x:c>
      <x:c r="H325" s="4" t="str">
        <x:f>IF(I325=0,"Unassigned",IF(SUMIFS('Material routes'!$Q$6:$Q$2205,'Material routes'!$B$6:$B$2205,A325)&gt;0,"Unassigned","T"&amp;_xlfn.MAXIFS('Material routes'!$P$6:$P$2205,'Material routes'!$B$6:$B$2205,A325)))</x:f>
        <x:v>T3</x:v>
      </x:c>
      <x:c r="I325" s="4" t="n">
        <x:f>SUM(COUNTIFS('Material routes'!$B$6:$B$2205,A325,'Material routes'!$C$6:$C$2205,"Ingredient candidate"),COUNTIFS('Material routes'!$B$6:$B$2205,A325,'Material routes'!$C$6:$C$2205,"Consumed input"),COUNTIFS('Material routes'!$B$6:$B$2205,A325,'Material routes'!$C$6:$C$2205,"Contained input"),COUNTIFS('Material routes'!$B$6:$B$2205,A325,'Material routes'!$C$6:$C$2205,"Transform input"))</x:f>
        <x:v>2</x:v>
      </x:c>
      <x:c r="J325" s="4" t="n">
        <x:f>COUNTIFS('Material routes'!$B$6:$B$2205,A325,'Material routes'!$C$6:$C$2205,"Output")</x:f>
        <x:v>1</x:v>
      </x:c>
      <x:c r="K325" s="4" t="n">
        <x:f>COUNTIFS('Material routes'!$B$6:$B$2205,A325,'Material routes'!$C$6:$C$2205,"Tool candidate")</x:f>
        <x:v>0</x:v>
      </x:c>
      <x:c r="L325" s="4" t="str">
        <x:v>New item proposal, October 15, 2026. Setting reference (source proposal): https://github.com/sleepyseamonster/Arc-Dust/blob/f6f98515c005dc3c73cccd9cbc031691745740c6/02-Arc-Dust-Worldbuilding/world/materials/industrial-material-palette.md</x:v>
      </x:c>
      <x:c r="M325" s="4" t="str">
        <x:v>Quantities, output yield, supporting inputs and compatibility remain undefined.</x:v>
      </x:c>
    </x:row>
    <x:row r="326" ht="90" customHeight="1">
      <x:c r="A326" s="4" t="str">
        <x:v>design.collection.brake_drum</x:v>
      </x:c>
      <x:c r="B326" s="4" t="str">
        <x:v>Brake drum candidate preparation</x:v>
      </x:c>
      <x:c r="C326" s="4" t="str">
        <x:v>Material refinement</x:v>
      </x:c>
      <x:c r="D326" s="4" t="str">
        <x:v>Proposal</x:v>
      </x:c>
      <x:c r="E326" s="4" t="str">
        <x:v>Partial proposal</x:v>
      </x:c>
      <x:c r="F326" s="4" t="str">
        <x:v>Provides a guarded braking surface</x:v>
      </x:c>
      <x:c r="G326" s="4" t="str">
        <x:v>Forge hearth, Anvil, Forging hammer, Smithing tongs, Metalworking file and Hand-cranked metal drill as applicable. Existing workshop bootstrap and controlled heating/cooling required; no free-water quench assumed.</x:v>
      </x:c>
      <x:c r="H326" s="4" t="str">
        <x:f>IF(I326=0,"Unassigned",IF(SUMIFS('Material routes'!$Q$6:$Q$2205,'Material routes'!$B$6:$B$2205,A326)&gt;0,"Unassigned","T"&amp;_xlfn.MAXIFS('Material routes'!$P$6:$P$2205,'Material routes'!$B$6:$B$2205,A326)))</x:f>
        <x:v>T2</x:v>
      </x:c>
      <x:c r="I326" s="4" t="n">
        <x:f>SUM(COUNTIFS('Material routes'!$B$6:$B$2205,A326,'Material routes'!$C$6:$C$2205,"Ingredient candidate"),COUNTIFS('Material routes'!$B$6:$B$2205,A326,'Material routes'!$C$6:$C$2205,"Consumed input"),COUNTIFS('Material routes'!$B$6:$B$2205,A326,'Material routes'!$C$6:$C$2205,"Contained input"),COUNTIFS('Material routes'!$B$6:$B$2205,A326,'Material routes'!$C$6:$C$2205,"Transform input"))</x:f>
        <x:v>1</x:v>
      </x:c>
      <x:c r="J326" s="4" t="n">
        <x:f>COUNTIFS('Material routes'!$B$6:$B$2205,A326,'Material routes'!$C$6:$C$2205,"Output")</x:f>
        <x:v>1</x:v>
      </x:c>
      <x:c r="K326" s="4" t="n">
        <x:f>COUNTIFS('Material routes'!$B$6:$B$2205,A326,'Material routes'!$C$6:$C$2205,"Tool candidate")</x:f>
        <x:v>0</x:v>
      </x:c>
      <x:c r="L326" s="4" t="str">
        <x:v>New item proposal, October 15, 2026. Setting reference (source proposal): https://github.com/sleepyseamonster/Arc-Dust/blob/f6f98515c005dc3c73cccd9cbc031691745740c6/02-Arc-Dust-Worldbuilding/world/materials/industrial-material-palette.md</x:v>
      </x:c>
      <x:c r="M326" s="4" t="str">
        <x:v>Quantities, output yield, supporting inputs and compatibility remain undefined.</x:v>
      </x:c>
    </x:row>
    <x:row r="327" ht="90" customHeight="1">
      <x:c r="A327" s="4" t="str">
        <x:v>design.collection.brake_lining_shoe</x:v>
      </x:c>
      <x:c r="B327" s="4" t="str">
        <x:v>Brake lining shoe candidate preparation</x:v>
      </x:c>
      <x:c r="C327" s="4" t="str">
        <x:v>Material refinement</x:v>
      </x:c>
      <x:c r="D327" s="4" t="str">
        <x:v>Proposal</x:v>
      </x:c>
      <x:c r="E327" s="4" t="str">
        <x:v>Partial proposal</x:v>
      </x:c>
      <x:c r="F327" s="4" t="str">
        <x:v>Supports a replaceable mineral-chitin friction face</x:v>
      </x:c>
      <x:c r="G327" s="4" t="str">
        <x:v>Forge hearth, Anvil, Forging hammer, Smithing tongs, Metalworking file and Hand-cranked metal drill as applicable. Existing workshop bootstrap and controlled heating/cooling required; no free-water quench assumed.</x:v>
      </x:c>
      <x:c r="H327" s="4" t="str">
        <x:f>IF(I327=0,"Unassigned",IF(SUMIFS('Material routes'!$Q$6:$Q$2205,'Material routes'!$B$6:$B$2205,A327)&gt;0,"Unassigned","T"&amp;_xlfn.MAXIFS('Material routes'!$P$6:$P$2205,'Material routes'!$B$6:$B$2205,A327)))</x:f>
        <x:v>T2</x:v>
      </x:c>
      <x:c r="I327" s="4" t="n">
        <x:f>SUM(COUNTIFS('Material routes'!$B$6:$B$2205,A327,'Material routes'!$C$6:$C$2205,"Ingredient candidate"),COUNTIFS('Material routes'!$B$6:$B$2205,A327,'Material routes'!$C$6:$C$2205,"Consumed input"),COUNTIFS('Material routes'!$B$6:$B$2205,A327,'Material routes'!$C$6:$C$2205,"Contained input"),COUNTIFS('Material routes'!$B$6:$B$2205,A327,'Material routes'!$C$6:$C$2205,"Transform input"))</x:f>
        <x:v>2</x:v>
      </x:c>
      <x:c r="J327" s="4" t="n">
        <x:f>COUNTIFS('Material routes'!$B$6:$B$2205,A327,'Material routes'!$C$6:$C$2205,"Output")</x:f>
        <x:v>1</x:v>
      </x:c>
      <x:c r="K327" s="4" t="n">
        <x:f>COUNTIFS('Material routes'!$B$6:$B$2205,A327,'Material routes'!$C$6:$C$2205,"Tool candidate")</x:f>
        <x:v>0</x:v>
      </x:c>
      <x:c r="L327" s="4" t="str">
        <x:v>New item proposal, October 15, 2026. Setting reference (source proposal): https://github.com/sleepyseamonster/Arc-Dust/blob/f6f98515c005dc3c73cccd9cbc031691745740c6/02-Arc-Dust-Worldbuilding/world/materials/industrial-material-palette.md</x:v>
      </x:c>
      <x:c r="M327" s="4" t="str">
        <x:v>Quantities, output yield, supporting inputs and compatibility remain undefined.</x:v>
      </x:c>
    </x:row>
    <x:row r="328" ht="90" customHeight="1">
      <x:c r="A328" s="4" t="str">
        <x:v>design.collection.counterweight_chain_link</x:v>
      </x:c>
      <x:c r="B328" s="4" t="str">
        <x:v>Counterweight chain link candidate preparation</x:v>
      </x:c>
      <x:c r="C328" s="4" t="str">
        <x:v>Material refinement</x:v>
      </x:c>
      <x:c r="D328" s="4" t="str">
        <x:v>Proposal</x:v>
      </x:c>
      <x:c r="E328" s="4" t="str">
        <x:v>Partial proposal</x:v>
      </x:c>
      <x:c r="F328" s="4" t="str">
        <x:v>Joins a lifted-mass drive chain</x:v>
      </x:c>
      <x:c r="G328" s="4" t="str">
        <x:v>Forge hearth, Anvil, Forging hammer, Smithing tongs, Metalworking file and Hand-cranked metal drill as applicable. Existing workshop bootstrap and controlled heating/cooling required; no free-water quench assumed.</x:v>
      </x:c>
      <x:c r="H328" s="4" t="str">
        <x:f>IF(I328=0,"Unassigned",IF(SUMIFS('Material routes'!$Q$6:$Q$2205,'Material routes'!$B$6:$B$2205,A328)&gt;0,"Unassigned","T"&amp;_xlfn.MAXIFS('Material routes'!$P$6:$P$2205,'Material routes'!$B$6:$B$2205,A328)))</x:f>
        <x:v>T2</x:v>
      </x:c>
      <x:c r="I328" s="4" t="n">
        <x:f>SUM(COUNTIFS('Material routes'!$B$6:$B$2205,A328,'Material routes'!$C$6:$C$2205,"Ingredient candidate"),COUNTIFS('Material routes'!$B$6:$B$2205,A328,'Material routes'!$C$6:$C$2205,"Consumed input"),COUNTIFS('Material routes'!$B$6:$B$2205,A328,'Material routes'!$C$6:$C$2205,"Contained input"),COUNTIFS('Material routes'!$B$6:$B$2205,A328,'Material routes'!$C$6:$C$2205,"Transform input"))</x:f>
        <x:v>1</x:v>
      </x:c>
      <x:c r="J328" s="4" t="n">
        <x:f>COUNTIFS('Material routes'!$B$6:$B$2205,A328,'Material routes'!$C$6:$C$2205,"Output")</x:f>
        <x:v>1</x:v>
      </x:c>
      <x:c r="K328" s="4" t="n">
        <x:f>COUNTIFS('Material routes'!$B$6:$B$2205,A328,'Material routes'!$C$6:$C$2205,"Tool candidate")</x:f>
        <x:v>0</x:v>
      </x:c>
      <x:c r="L328" s="4" t="str">
        <x:v>New item proposal, October 15, 2026. Setting reference (source proposal): https://github.com/sleepyseamonster/Arc-Dust/blob/f6f98515c005dc3c73cccd9cbc031691745740c6/02-Arc-Dust-Worldbuilding/world/materials/industrial-material-palette.md</x:v>
      </x:c>
      <x:c r="M328" s="4" t="str">
        <x:v>Quantities, output yield, supporting inputs and compatibility remain undefined.</x:v>
      </x:c>
    </x:row>
    <x:row r="329" ht="90" customHeight="1">
      <x:c r="A329" s="4" t="str">
        <x:v>design.collection.grooved_lift_pulley</x:v>
      </x:c>
      <x:c r="B329" s="4" t="str">
        <x:v>Grooved lift pulley candidate preparation</x:v>
      </x:c>
      <x:c r="C329" s="4" t="str">
        <x:v>Material refinement</x:v>
      </x:c>
      <x:c r="D329" s="4" t="str">
        <x:v>Proposal</x:v>
      </x:c>
      <x:c r="E329" s="4" t="str">
        <x:v>Partial proposal</x:v>
      </x:c>
      <x:c r="F329" s="4" t="str">
        <x:v>Guides cable through a lift mechanism</x:v>
      </x:c>
      <x:c r="G329" s="4" t="str">
        <x:v>Forge hearth, Anvil, Forging hammer, Smithing tongs, Metalworking file and Hand-cranked metal drill as applicable. Existing workshop bootstrap and controlled heating/cooling required; no free-water quench assumed.</x:v>
      </x:c>
      <x:c r="H329" s="4" t="str">
        <x:f>IF(I329=0,"Unassigned",IF(SUMIFS('Material routes'!$Q$6:$Q$2205,'Material routes'!$B$6:$B$2205,A329)&gt;0,"Unassigned","T"&amp;_xlfn.MAXIFS('Material routes'!$P$6:$P$2205,'Material routes'!$B$6:$B$2205,A329)))</x:f>
        <x:v>T2</x:v>
      </x:c>
      <x:c r="I329" s="4" t="n">
        <x:f>SUM(COUNTIFS('Material routes'!$B$6:$B$2205,A329,'Material routes'!$C$6:$C$2205,"Ingredient candidate"),COUNTIFS('Material routes'!$B$6:$B$2205,A329,'Material routes'!$C$6:$C$2205,"Consumed input"),COUNTIFS('Material routes'!$B$6:$B$2205,A329,'Material routes'!$C$6:$C$2205,"Contained input"),COUNTIFS('Material routes'!$B$6:$B$2205,A329,'Material routes'!$C$6:$C$2205,"Transform input"))</x:f>
        <x:v>1</x:v>
      </x:c>
      <x:c r="J329" s="4" t="n">
        <x:f>COUNTIFS('Material routes'!$B$6:$B$2205,A329,'Material routes'!$C$6:$C$2205,"Output")</x:f>
        <x:v>1</x:v>
      </x:c>
      <x:c r="K329" s="4" t="n">
        <x:f>COUNTIFS('Material routes'!$B$6:$B$2205,A329,'Material routes'!$C$6:$C$2205,"Tool candidate")</x:f>
        <x:v>0</x:v>
      </x:c>
      <x:c r="L329" s="4" t="str">
        <x:v>New item proposal, October 15, 2026. Setting reference (source proposal): https://github.com/sleepyseamonster/Arc-Dust/blob/f6f98515c005dc3c73cccd9cbc031691745740c6/02-Arc-Dust-Worldbuilding/world/materials/industrial-material-palette.md</x:v>
      </x:c>
      <x:c r="M329" s="4" t="str">
        <x:v>Quantities, output yield, supporting inputs and compatibility remain undefined.</x:v>
      </x:c>
    </x:row>
    <x:row r="330" ht="90" customHeight="1">
      <x:c r="A330" s="4" t="str">
        <x:v>design.collection.mechanical_escapement_fork</x:v>
      </x:c>
      <x:c r="B330" s="4" t="str">
        <x:v>Mechanical escapement fork candidate preparation</x:v>
      </x:c>
      <x:c r="C330" s="4" t="str">
        <x:v>Material refinement</x:v>
      </x:c>
      <x:c r="D330" s="4" t="str">
        <x:v>Proposal</x:v>
      </x:c>
      <x:c r="E330" s="4" t="str">
        <x:v>Partial proposal</x:v>
      </x:c>
      <x:c r="F330" s="4" t="str">
        <x:v>Meters a spring or weight mechanism into steps</x:v>
      </x:c>
      <x:c r="G330" s="4" t="str">
        <x:v>Forge hearth, Anvil, Forging hammer, Smithing tongs, Metalworking file and Hand-cranked metal drill as applicable. Existing workshop bootstrap and controlled heating/cooling required; no free-water quench assumed.</x:v>
      </x:c>
      <x:c r="H330" s="4" t="str">
        <x:f>IF(I330=0,"Unassigned",IF(SUMIFS('Material routes'!$Q$6:$Q$2205,'Material routes'!$B$6:$B$2205,A330)&gt;0,"Unassigned","T"&amp;_xlfn.MAXIFS('Material routes'!$P$6:$P$2205,'Material routes'!$B$6:$B$2205,A330)))</x:f>
        <x:v>T2</x:v>
      </x:c>
      <x:c r="I330" s="4" t="n">
        <x:f>SUM(COUNTIFS('Material routes'!$B$6:$B$2205,A330,'Material routes'!$C$6:$C$2205,"Ingredient candidate"),COUNTIFS('Material routes'!$B$6:$B$2205,A330,'Material routes'!$C$6:$C$2205,"Consumed input"),COUNTIFS('Material routes'!$B$6:$B$2205,A330,'Material routes'!$C$6:$C$2205,"Contained input"),COUNTIFS('Material routes'!$B$6:$B$2205,A330,'Material routes'!$C$6:$C$2205,"Transform input"))</x:f>
        <x:v>1</x:v>
      </x:c>
      <x:c r="J330" s="4" t="n">
        <x:f>COUNTIFS('Material routes'!$B$6:$B$2205,A330,'Material routes'!$C$6:$C$2205,"Output")</x:f>
        <x:v>1</x:v>
      </x:c>
      <x:c r="K330" s="4" t="n">
        <x:f>COUNTIFS('Material routes'!$B$6:$B$2205,A330,'Material routes'!$C$6:$C$2205,"Tool candidate")</x:f>
        <x:v>0</x:v>
      </x:c>
      <x:c r="L330" s="4" t="str">
        <x:v>New item proposal, October 15, 2026. Setting reference (source proposal): https://github.com/sleepyseamonster/Arc-Dust/blob/f6f98515c005dc3c73cccd9cbc031691745740c6/02-Arc-Dust-Worldbuilding/world/materials/industrial-material-palette.md</x:v>
      </x:c>
      <x:c r="M330" s="4" t="str">
        <x:v>Quantities, output yield, supporting inputs and compatibility remain undefined.</x:v>
      </x:c>
    </x:row>
    <x:row r="331" ht="90" customHeight="1">
      <x:c r="A331" s="4" t="str">
        <x:v>design.collection.pressure_bellows_capsule</x:v>
      </x:c>
      <x:c r="B331" s="4" t="str">
        <x:v>Pressure bellows capsule candidate preparation</x:v>
      </x:c>
      <x:c r="C331" s="4" t="str">
        <x:v>Material refinement</x:v>
      </x:c>
      <x:c r="D331" s="4" t="str">
        <x:v>Proposal</x:v>
      </x:c>
      <x:c r="E331" s="4" t="str">
        <x:v>Partial proposal</x:v>
      </x:c>
      <x:c r="F331" s="4" t="str">
        <x:v>Converts a pressure difference to short travel</x:v>
      </x:c>
      <x:c r="G331" s="4" t="str">
        <x:v>Forge hearth, Anvil, Forging hammer, Smithing tongs, Metalworking file and Hand-cranked metal drill as applicable. Existing workshop bootstrap and controlled heating/cooling required; no free-water quench assumed.</x:v>
      </x:c>
      <x:c r="H331" s="4" t="str">
        <x:f>IF(I331=0,"Unassigned",IF(SUMIFS('Material routes'!$Q$6:$Q$2205,'Material routes'!$B$6:$B$2205,A331)&gt;0,"Unassigned","T"&amp;_xlfn.MAXIFS('Material routes'!$P$6:$P$2205,'Material routes'!$B$6:$B$2205,A331)))</x:f>
        <x:v>T3</x:v>
      </x:c>
      <x:c r="I331" s="4" t="n">
        <x:f>SUM(COUNTIFS('Material routes'!$B$6:$B$2205,A331,'Material routes'!$C$6:$C$2205,"Ingredient candidate"),COUNTIFS('Material routes'!$B$6:$B$2205,A331,'Material routes'!$C$6:$C$2205,"Consumed input"),COUNTIFS('Material routes'!$B$6:$B$2205,A331,'Material routes'!$C$6:$C$2205,"Contained input"),COUNTIFS('Material routes'!$B$6:$B$2205,A331,'Material routes'!$C$6:$C$2205,"Transform input"))</x:f>
        <x:v>1</x:v>
      </x:c>
      <x:c r="J331" s="4" t="n">
        <x:f>COUNTIFS('Material routes'!$B$6:$B$2205,A331,'Material routes'!$C$6:$C$2205,"Output")</x:f>
        <x:v>1</x:v>
      </x:c>
      <x:c r="K331" s="4" t="n">
        <x:f>COUNTIFS('Material routes'!$B$6:$B$2205,A331,'Material routes'!$C$6:$C$2205,"Tool candidate")</x:f>
        <x:v>0</x:v>
      </x:c>
      <x:c r="L331" s="4" t="str">
        <x:v>New item proposal, October 15, 2026. Setting reference (source proposal): https://github.com/sleepyseamonster/Arc-Dust/blob/f6f98515c005dc3c73cccd9cbc031691745740c6/02-Arc-Dust-Worldbuilding/world/materials/industrial-material-palette.md</x:v>
      </x:c>
      <x:c r="M331" s="4" t="str">
        <x:v>Quantities, output yield, supporting inputs and compatibility remain undefined.</x:v>
      </x:c>
    </x:row>
    <x:row r="332" ht="90" customHeight="1">
      <x:c r="A332" s="4" t="str">
        <x:v>design.collection.ceramic_piston_sleeve</x:v>
      </x:c>
      <x:c r="B332" s="4" t="str">
        <x:v>Ceramic piston sleeve candidate preparation</x:v>
      </x:c>
      <x:c r="C332" s="4" t="str">
        <x:v>Material refinement</x:v>
      </x:c>
      <x:c r="D332" s="4" t="str">
        <x:v>Proposal</x:v>
      </x:c>
      <x:c r="E332" s="4" t="str">
        <x:v>Partial proposal</x:v>
      </x:c>
      <x:c r="F332" s="4" t="str">
        <x:v>Provides a replaceable bore liner</x:v>
      </x:c>
      <x:c r="G332" s="4" t="str">
        <x:v>Controlled-heating firing kiln or specialist glass hot-work station; Ceramic firing tray / Ceramic casting mold as applicable. Qualified power, heat and atmosphere required.</x:v>
      </x:c>
      <x:c r="H332" s="4" t="str">
        <x:f>IF(I332=0,"Unassigned",IF(SUMIFS('Material routes'!$Q$6:$Q$2205,'Material routes'!$B$6:$B$2205,A332)&gt;0,"Unassigned","T"&amp;_xlfn.MAXIFS('Material routes'!$P$6:$P$2205,'Material routes'!$B$6:$B$2205,A332)))</x:f>
        <x:v>T2</x:v>
      </x:c>
      <x:c r="I332" s="4" t="n">
        <x:f>SUM(COUNTIFS('Material routes'!$B$6:$B$2205,A332,'Material routes'!$C$6:$C$2205,"Ingredient candidate"),COUNTIFS('Material routes'!$B$6:$B$2205,A332,'Material routes'!$C$6:$C$2205,"Consumed input"),COUNTIFS('Material routes'!$B$6:$B$2205,A332,'Material routes'!$C$6:$C$2205,"Contained input"),COUNTIFS('Material routes'!$B$6:$B$2205,A332,'Material routes'!$C$6:$C$2205,"Transform input"))</x:f>
        <x:v>1</x:v>
      </x:c>
      <x:c r="J332" s="4" t="n">
        <x:f>COUNTIFS('Material routes'!$B$6:$B$2205,A332,'Material routes'!$C$6:$C$2205,"Output")</x:f>
        <x:v>1</x:v>
      </x:c>
      <x:c r="K332" s="4" t="n">
        <x:f>COUNTIFS('Material routes'!$B$6:$B$2205,A332,'Material routes'!$C$6:$C$2205,"Tool candidate")</x:f>
        <x:v>0</x:v>
      </x:c>
      <x:c r="L332" s="4" t="str">
        <x:v>New item proposal, October 15, 2026. Setting reference (source proposal): https://github.com/sleepyseamonster/Arc-Dust/blob/f6f98515c005dc3c73cccd9cbc031691745740c6/02-Arc-Dust-Worldbuilding/world/materials/industrial-material-palette.md</x:v>
      </x:c>
      <x:c r="M332" s="4" t="str">
        <x:v>Quantities, output yield, supporting inputs and compatibility remain undefined.</x:v>
      </x:c>
    </x:row>
    <x:row r="333" ht="90" customHeight="1">
      <x:c r="A333" s="4" t="str">
        <x:v>design.collection.metal_piston_head</x:v>
      </x:c>
      <x:c r="B333" s="4" t="str">
        <x:v>Metal piston head candidate preparation</x:v>
      </x:c>
      <x:c r="C333" s="4" t="str">
        <x:v>Material refinement</x:v>
      </x:c>
      <x:c r="D333" s="4" t="str">
        <x:v>Proposal</x:v>
      </x:c>
      <x:c r="E333" s="4" t="str">
        <x:v>Partial proposal</x:v>
      </x:c>
      <x:c r="F333" s="4" t="str">
        <x:v>Transfers pressure or linkage force in a compatible bore</x:v>
      </x:c>
      <x:c r="G333" s="4" t="str">
        <x:v>Forge hearth, Anvil, Forging hammer, Smithing tongs, Metalworking file and Hand-cranked metal drill as applicable. Existing workshop bootstrap and controlled heating/cooling required; no free-water quench assumed.</x:v>
      </x:c>
      <x:c r="H333" s="4" t="str">
        <x:f>IF(I333=0,"Unassigned",IF(SUMIFS('Material routes'!$Q$6:$Q$2205,'Material routes'!$B$6:$B$2205,A333)&gt;0,"Unassigned","T"&amp;_xlfn.MAXIFS('Material routes'!$P$6:$P$2205,'Material routes'!$B$6:$B$2205,A333)))</x:f>
        <x:v>T2</x:v>
      </x:c>
      <x:c r="I333" s="4" t="n">
        <x:f>SUM(COUNTIFS('Material routes'!$B$6:$B$2205,A333,'Material routes'!$C$6:$C$2205,"Ingredient candidate"),COUNTIFS('Material routes'!$B$6:$B$2205,A333,'Material routes'!$C$6:$C$2205,"Consumed input"),COUNTIFS('Material routes'!$B$6:$B$2205,A333,'Material routes'!$C$6:$C$2205,"Contained input"),COUNTIFS('Material routes'!$B$6:$B$2205,A333,'Material routes'!$C$6:$C$2205,"Transform input"))</x:f>
        <x:v>1</x:v>
      </x:c>
      <x:c r="J333" s="4" t="n">
        <x:f>COUNTIFS('Material routes'!$B$6:$B$2205,A333,'Material routes'!$C$6:$C$2205,"Output")</x:f>
        <x:v>1</x:v>
      </x:c>
      <x:c r="K333" s="4" t="n">
        <x:f>COUNTIFS('Material routes'!$B$6:$B$2205,A333,'Material routes'!$C$6:$C$2205,"Tool candidate")</x:f>
        <x:v>0</x:v>
      </x:c>
      <x:c r="L333" s="4" t="str">
        <x:v>New item proposal, October 15, 2026. Setting reference (source proposal): https://github.com/sleepyseamonster/Arc-Dust/blob/f6f98515c005dc3c73cccd9cbc031691745740c6/02-Arc-Dust-Worldbuilding/world/materials/industrial-material-palette.md</x:v>
      </x:c>
      <x:c r="M333" s="4" t="str">
        <x:v>Quantities, output yield, supporting inputs and compatibility remain undefined.</x:v>
      </x:c>
    </x:row>
    <x:row r="334" ht="90" customHeight="1">
      <x:c r="A334" s="4" t="str">
        <x:v>design.collection.spring_seated_check_valve</x:v>
      </x:c>
      <x:c r="B334" s="4" t="str">
        <x:v>Spring-seated check valve candidate preparation</x:v>
      </x:c>
      <x:c r="C334" s="4" t="str">
        <x:v>Material refinement</x:v>
      </x:c>
      <x:c r="D334" s="4" t="str">
        <x:v>Proposal</x:v>
      </x:c>
      <x:c r="E334" s="4" t="str">
        <x:v>Partial proposal</x:v>
      </x:c>
      <x:c r="F334" s="4" t="str">
        <x:v>Controls one-way flow in a compatible closed system</x:v>
      </x:c>
      <x:c r="G334" s="4" t="str">
        <x:v>Forge hearth, Anvil, Forging hammer, Smithing tongs, Metalworking file and Hand-cranked metal drill as applicable. Existing workshop bootstrap and controlled heating/cooling required; no free-water quench assumed.</x:v>
      </x:c>
      <x:c r="H334" s="4" t="str">
        <x:f>IF(I334=0,"Unassigned",IF(SUMIFS('Material routes'!$Q$6:$Q$2205,'Material routes'!$B$6:$B$2205,A334)&gt;0,"Unassigned","T"&amp;_xlfn.MAXIFS('Material routes'!$P$6:$P$2205,'Material routes'!$B$6:$B$2205,A334)))</x:f>
        <x:v>T3</x:v>
      </x:c>
      <x:c r="I334" s="4" t="n">
        <x:f>SUM(COUNTIFS('Material routes'!$B$6:$B$2205,A334,'Material routes'!$C$6:$C$2205,"Ingredient candidate"),COUNTIFS('Material routes'!$B$6:$B$2205,A334,'Material routes'!$C$6:$C$2205,"Consumed input"),COUNTIFS('Material routes'!$B$6:$B$2205,A334,'Material routes'!$C$6:$C$2205,"Contained input"),COUNTIFS('Material routes'!$B$6:$B$2205,A334,'Material routes'!$C$6:$C$2205,"Transform input"))</x:f>
        <x:v>4</x:v>
      </x:c>
      <x:c r="J334" s="4" t="n">
        <x:f>COUNTIFS('Material routes'!$B$6:$B$2205,A334,'Material routes'!$C$6:$C$2205,"Output")</x:f>
        <x:v>1</x:v>
      </x:c>
      <x:c r="K334" s="4" t="n">
        <x:f>COUNTIFS('Material routes'!$B$6:$B$2205,A334,'Material routes'!$C$6:$C$2205,"Tool candidate")</x:f>
        <x:v>0</x:v>
      </x:c>
      <x:c r="L334" s="4" t="str">
        <x:v>New item proposal, October 15, 2026. Setting reference (source proposal): https://github.com/sleepyseamonster/Arc-Dust/blob/f6f98515c005dc3c73cccd9cbc031691745740c6/02-Arc-Dust-Worldbuilding/world/materials/industrial-material-palette.md</x:v>
      </x:c>
      <x:c r="M334" s="4" t="str">
        <x:v>Quantities, output yield, supporting inputs and compatibility remain undefined. October 15 audit: candidate inputs / reusable prerequisites clarified. Structural coverage is not a qualified manufacturing recipe.</x:v>
      </x:c>
    </x:row>
    <x:row r="335" ht="90" customHeight="1">
      <x:c r="A335" s="4" t="str">
        <x:v>design.collection.graphite_current_brush</x:v>
      </x:c>
      <x:c r="B335" s="4" t="str">
        <x:v>Graphite current brush candidate preparation</x:v>
      </x:c>
      <x:c r="C335" s="4" t="str">
        <x:v>Material refinement</x:v>
      </x:c>
      <x:c r="D335" s="4" t="str">
        <x:v>Proposal</x:v>
      </x:c>
      <x:c r="E335" s="4" t="str">
        <x:v>Partial proposal</x:v>
      </x:c>
      <x:c r="F335" s="4" t="str">
        <x:v>Makes a replaceable electrical rubbing contact</x:v>
      </x:c>
      <x:c r="G335" s="4" t="str">
        <x:v>Forge hearth, Anvil, Forging hammer, Smithing tongs, Metalworking file and Hand-cranked metal drill as applicable. Existing workshop bootstrap and controlled heating/cooling required; no free-water quench assumed.</x:v>
      </x:c>
      <x:c r="H335" s="4" t="str">
        <x:f>IF(I335=0,"Unassigned",IF(SUMIFS('Material routes'!$Q$6:$Q$2205,'Material routes'!$B$6:$B$2205,A335)&gt;0,"Unassigned","T"&amp;_xlfn.MAXIFS('Material routes'!$P$6:$P$2205,'Material routes'!$B$6:$B$2205,A335)))</x:f>
        <x:v>T1</x:v>
      </x:c>
      <x:c r="I335" s="4" t="n">
        <x:f>SUM(COUNTIFS('Material routes'!$B$6:$B$2205,A335,'Material routes'!$C$6:$C$2205,"Ingredient candidate"),COUNTIFS('Material routes'!$B$6:$B$2205,A335,'Material routes'!$C$6:$C$2205,"Consumed input"),COUNTIFS('Material routes'!$B$6:$B$2205,A335,'Material routes'!$C$6:$C$2205,"Contained input"),COUNTIFS('Material routes'!$B$6:$B$2205,A335,'Material routes'!$C$6:$C$2205,"Transform input"))</x:f>
        <x:v>2</x:v>
      </x:c>
      <x:c r="J335" s="4" t="n">
        <x:f>COUNTIFS('Material routes'!$B$6:$B$2205,A335,'Material routes'!$C$6:$C$2205,"Output")</x:f>
        <x:v>1</x:v>
      </x:c>
      <x:c r="K335" s="4" t="n">
        <x:f>COUNTIFS('Material routes'!$B$6:$B$2205,A335,'Material routes'!$C$6:$C$2205,"Tool candidate")</x:f>
        <x:v>0</x:v>
      </x:c>
      <x:c r="L335" s="4" t="str">
        <x:v>New item proposal, October 15, 2026. Setting reference (source proposal): https://github.com/sleepyseamonster/Arc-Dust/blob/f6f98515c005dc3c73cccd9cbc031691745740c6/02-Arc-Dust-Worldbuilding/world/materials/industrial-material-palette.md</x:v>
      </x:c>
      <x:c r="M335" s="4" t="str">
        <x:v>Quantities, output yield, supporting inputs and compatibility remain undefined.</x:v>
      </x:c>
    </x:row>
    <x:row r="336" ht="90" customHeight="1">
      <x:c r="A336" s="4" t="str">
        <x:v>design.collection.segmented_commutator_ring</x:v>
      </x:c>
      <x:c r="B336" s="4" t="str">
        <x:v>Segmented commutator ring candidate preparation</x:v>
      </x:c>
      <x:c r="C336" s="4" t="str">
        <x:v>Material refinement</x:v>
      </x:c>
      <x:c r="D336" s="4" t="str">
        <x:v>Proposal</x:v>
      </x:c>
      <x:c r="E336" s="4" t="str">
        <x:v>Partial proposal</x:v>
      </x:c>
      <x:c r="F336" s="4" t="str">
        <x:v>Switches current in a crude rotating machine</x:v>
      </x:c>
      <x:c r="G336" s="4" t="str">
        <x:v>Controlled-heating firing kiln or specialist glass hot-work station; Ceramic firing tray / Ceramic casting mold as applicable. Qualified power, heat and atmosphere required.</x:v>
      </x:c>
      <x:c r="H336" s="4" t="str">
        <x:f>IF(I336=0,"Unassigned",IF(SUMIFS('Material routes'!$Q$6:$Q$2205,'Material routes'!$B$6:$B$2205,A336)&gt;0,"Unassigned","T"&amp;_xlfn.MAXIFS('Material routes'!$P$6:$P$2205,'Material routes'!$B$6:$B$2205,A336)))</x:f>
        <x:v>T3</x:v>
      </x:c>
      <x:c r="I336" s="4" t="n">
        <x:f>SUM(COUNTIFS('Material routes'!$B$6:$B$2205,A336,'Material routes'!$C$6:$C$2205,"Ingredient candidate"),COUNTIFS('Material routes'!$B$6:$B$2205,A336,'Material routes'!$C$6:$C$2205,"Consumed input"),COUNTIFS('Material routes'!$B$6:$B$2205,A336,'Material routes'!$C$6:$C$2205,"Contained input"),COUNTIFS('Material routes'!$B$6:$B$2205,A336,'Material routes'!$C$6:$C$2205,"Transform input"))</x:f>
        <x:v>2</x:v>
      </x:c>
      <x:c r="J336" s="4" t="n">
        <x:f>COUNTIFS('Material routes'!$B$6:$B$2205,A336,'Material routes'!$C$6:$C$2205,"Output")</x:f>
        <x:v>1</x:v>
      </x:c>
      <x:c r="K336" s="4" t="n">
        <x:f>COUNTIFS('Material routes'!$B$6:$B$2205,A336,'Material routes'!$C$6:$C$2205,"Tool candidate")</x:f>
        <x:v>0</x:v>
      </x:c>
      <x:c r="L336" s="4" t="str">
        <x:v>New item proposal, October 15, 2026. Setting reference (source proposal): https://github.com/sleepyseamonster/Arc-Dust/blob/f6f98515c005dc3c73cccd9cbc031691745740c6/02-Arc-Dust-Worldbuilding/world/materials/industrial-material-palette.md</x:v>
      </x:c>
      <x:c r="M336" s="4" t="str">
        <x:v>Quantities, output yield, supporting inputs and compatibility remain undefined.</x:v>
      </x:c>
    </x:row>
    <x:row r="337" ht="90" customHeight="1">
      <x:c r="A337" s="4" t="str">
        <x:v>design.collection.iron_wound_relay_core</x:v>
      </x:c>
      <x:c r="B337" s="4" t="str">
        <x:v>Iron-wound relay core candidate preparation</x:v>
      </x:c>
      <x:c r="C337" s="4" t="str">
        <x:v>Material refinement</x:v>
      </x:c>
      <x:c r="D337" s="4" t="str">
        <x:v>Proposal</x:v>
      </x:c>
      <x:c r="E337" s="4" t="str">
        <x:v>Partial proposal</x:v>
      </x:c>
      <x:c r="F337" s="4" t="str">
        <x:v>Provides a bulky electromechanical switching element</x:v>
      </x:c>
      <x:c r="G337" s="4" t="str">
        <x:v>Forge hearth, Anvil, Forging hammer, Smithing tongs, Metalworking file and Hand-cranked metal drill as applicable. Existing workshop bootstrap and controlled heating/cooling required; no free-water quench assumed.</x:v>
      </x:c>
      <x:c r="H337" s="4" t="str">
        <x:f>IF(I337=0,"Unassigned",IF(SUMIFS('Material routes'!$Q$6:$Q$2205,'Material routes'!$B$6:$B$2205,A337)&gt;0,"Unassigned","T"&amp;_xlfn.MAXIFS('Material routes'!$P$6:$P$2205,'Material routes'!$B$6:$B$2205,A337)))</x:f>
        <x:v>T3</x:v>
      </x:c>
      <x:c r="I337" s="4" t="n">
        <x:f>SUM(COUNTIFS('Material routes'!$B$6:$B$2205,A337,'Material routes'!$C$6:$C$2205,"Ingredient candidate"),COUNTIFS('Material routes'!$B$6:$B$2205,A337,'Material routes'!$C$6:$C$2205,"Consumed input"),COUNTIFS('Material routes'!$B$6:$B$2205,A337,'Material routes'!$C$6:$C$2205,"Contained input"),COUNTIFS('Material routes'!$B$6:$B$2205,A337,'Material routes'!$C$6:$C$2205,"Transform input"))</x:f>
        <x:v>1</x:v>
      </x:c>
      <x:c r="J337" s="4" t="n">
        <x:f>COUNTIFS('Material routes'!$B$6:$B$2205,A337,'Material routes'!$C$6:$C$2205,"Output")</x:f>
        <x:v>1</x:v>
      </x:c>
      <x:c r="K337" s="4" t="n">
        <x:f>COUNTIFS('Material routes'!$B$6:$B$2205,A337,'Material routes'!$C$6:$C$2205,"Tool candidate")</x:f>
        <x:v>0</x:v>
      </x:c>
      <x:c r="L337" s="4" t="str">
        <x:v>New item proposal, October 15, 2026. Setting reference (source proposal): https://github.com/sleepyseamonster/Arc-Dust/blob/f6f98515c005dc3c73cccd9cbc031691745740c6/02-Arc-Dust-Worldbuilding/world/materials/industrial-material-palette.md</x:v>
      </x:c>
      <x:c r="M337" s="4" t="str">
        <x:v>Quantities, output yield, supporting inputs and compatibility remain undefined.</x:v>
      </x:c>
    </x:row>
    <x:row r="338" ht="90" customHeight="1">
      <x:c r="A338" s="4" t="str">
        <x:v>design.collection.mica_separated_terminal_strip</x:v>
      </x:c>
      <x:c r="B338" s="4" t="str">
        <x:v>Mica-separated terminal strip candidate preparation</x:v>
      </x:c>
      <x:c r="C338" s="4" t="str">
        <x:v>Material refinement</x:v>
      </x:c>
      <x:c r="D338" s="4" t="str">
        <x:v>Proposal</x:v>
      </x:c>
      <x:c r="E338" s="4" t="str">
        <x:v>Partial proposal</x:v>
      </x:c>
      <x:c r="F338" s="4" t="str">
        <x:v>Keeps exposed terminals spaced on an insulating base</x:v>
      </x:c>
      <x:c r="G338" s="4" t="str">
        <x:v>Forge hearth, Anvil, Forging hammer, Smithing tongs, Metalworking file and Hand-cranked metal drill as applicable. Existing workshop bootstrap and controlled heating/cooling required; no free-water quench assumed.</x:v>
      </x:c>
      <x:c r="H338" s="4" t="str">
        <x:f>IF(I338=0,"Unassigned",IF(SUMIFS('Material routes'!$Q$6:$Q$2205,'Material routes'!$B$6:$B$2205,A338)&gt;0,"Unassigned","T"&amp;_xlfn.MAXIFS('Material routes'!$P$6:$P$2205,'Material routes'!$B$6:$B$2205,A338)))</x:f>
        <x:v>T3</x:v>
      </x:c>
      <x:c r="I338" s="4" t="n">
        <x:f>SUM(COUNTIFS('Material routes'!$B$6:$B$2205,A338,'Material routes'!$C$6:$C$2205,"Ingredient candidate"),COUNTIFS('Material routes'!$B$6:$B$2205,A338,'Material routes'!$C$6:$C$2205,"Consumed input"),COUNTIFS('Material routes'!$B$6:$B$2205,A338,'Material routes'!$C$6:$C$2205,"Contained input"),COUNTIFS('Material routes'!$B$6:$B$2205,A338,'Material routes'!$C$6:$C$2205,"Transform input"))</x:f>
        <x:v>2</x:v>
      </x:c>
      <x:c r="J338" s="4" t="n">
        <x:f>COUNTIFS('Material routes'!$B$6:$B$2205,A338,'Material routes'!$C$6:$C$2205,"Output")</x:f>
        <x:v>1</x:v>
      </x:c>
      <x:c r="K338" s="4" t="n">
        <x:f>COUNTIFS('Material routes'!$B$6:$B$2205,A338,'Material routes'!$C$6:$C$2205,"Tool candidate")</x:f>
        <x:v>0</x:v>
      </x:c>
      <x:c r="L338" s="4" t="str">
        <x:v>New item proposal, October 15, 2026. Setting reference (source proposal): https://github.com/sleepyseamonster/Arc-Dust/blob/f6f98515c005dc3c73cccd9cbc031691745740c6/02-Arc-Dust-Worldbuilding/world/materials/industrial-material-palette.md</x:v>
      </x:c>
      <x:c r="M338" s="4" t="str">
        <x:v>Quantities, output yield, supporting inputs and compatibility remain undefined.</x:v>
      </x:c>
    </x:row>
    <x:row r="339" ht="90" customHeight="1">
      <x:c r="A339" s="4" t="str">
        <x:v>design.collection.ceramic_wire_routing_comb</x:v>
      </x:c>
      <x:c r="B339" s="4" t="str">
        <x:v>Ceramic wire-routing comb candidate preparation</x:v>
      </x:c>
      <x:c r="C339" s="4" t="str">
        <x:v>Material refinement</x:v>
      </x:c>
      <x:c r="D339" s="4" t="str">
        <x:v>Proposal</x:v>
      </x:c>
      <x:c r="E339" s="4" t="str">
        <x:v>Partial proposal</x:v>
      </x:c>
      <x:c r="F339" s="4" t="str">
        <x:v>Spaces conductors along a machine frame</x:v>
      </x:c>
      <x:c r="G339" s="4" t="str">
        <x:v>Controlled-heating firing kiln or specialist glass hot-work station; Ceramic firing tray / Ceramic casting mold as applicable. Qualified power, heat and atmosphere required.</x:v>
      </x:c>
      <x:c r="H339" s="4" t="str">
        <x:f>IF(I339=0,"Unassigned",IF(SUMIFS('Material routes'!$Q$6:$Q$2205,'Material routes'!$B$6:$B$2205,A339)&gt;0,"Unassigned","T"&amp;_xlfn.MAXIFS('Material routes'!$P$6:$P$2205,'Material routes'!$B$6:$B$2205,A339)))</x:f>
        <x:v>T2</x:v>
      </x:c>
      <x:c r="I339" s="4" t="n">
        <x:f>SUM(COUNTIFS('Material routes'!$B$6:$B$2205,A339,'Material routes'!$C$6:$C$2205,"Ingredient candidate"),COUNTIFS('Material routes'!$B$6:$B$2205,A339,'Material routes'!$C$6:$C$2205,"Consumed input"),COUNTIFS('Material routes'!$B$6:$B$2205,A339,'Material routes'!$C$6:$C$2205,"Contained input"),COUNTIFS('Material routes'!$B$6:$B$2205,A339,'Material routes'!$C$6:$C$2205,"Transform input"))</x:f>
        <x:v>1</x:v>
      </x:c>
      <x:c r="J339" s="4" t="n">
        <x:f>COUNTIFS('Material routes'!$B$6:$B$2205,A339,'Material routes'!$C$6:$C$2205,"Output")</x:f>
        <x:v>1</x:v>
      </x:c>
      <x:c r="K339" s="4" t="n">
        <x:f>COUNTIFS('Material routes'!$B$6:$B$2205,A339,'Material routes'!$C$6:$C$2205,"Tool candidate")</x:f>
        <x:v>0</x:v>
      </x:c>
      <x:c r="L339" s="4" t="str">
        <x:v>New item proposal, October 15, 2026. Setting reference (source proposal): https://github.com/sleepyseamonster/Arc-Dust/blob/f6f98515c005dc3c73cccd9cbc031691745740c6/02-Arc-Dust-Worldbuilding/world/materials/industrial-material-palette.md</x:v>
      </x:c>
      <x:c r="M339" s="4" t="str">
        <x:v>Quantities, output yield, supporting inputs and compatibility remain undefined.</x:v>
      </x:c>
    </x:row>
    <x:row r="340" ht="90" customHeight="1">
      <x:c r="A340" s="4" t="str">
        <x:v>design.collection.braided_iron_signal_lead</x:v>
      </x:c>
      <x:c r="B340" s="4" t="str">
        <x:v>Braided iron signal lead candidate preparation</x:v>
      </x:c>
      <x:c r="C340" s="4" t="str">
        <x:v>Material refinement</x:v>
      </x:c>
      <x:c r="D340" s="4" t="str">
        <x:v>Proposal</x:v>
      </x:c>
      <x:c r="E340" s="4" t="str">
        <x:v>Partial proposal</x:v>
      </x:c>
      <x:c r="F340" s="4" t="str">
        <x:v>Provides a rugged short-distance electrical connection</x:v>
      </x:c>
      <x:c r="G340" s="4" t="str">
        <x:v>Forge hearth, Anvil, Forging hammer, Smithing tongs, Metalworking file and Hand-cranked metal drill as applicable. Existing workshop bootstrap and controlled heating/cooling required; no free-water quench assumed.</x:v>
      </x:c>
      <x:c r="H340" s="4" t="str">
        <x:f>IF(I340=0,"Unassigned",IF(SUMIFS('Material routes'!$Q$6:$Q$2205,'Material routes'!$B$6:$B$2205,A340)&gt;0,"Unassigned","T"&amp;_xlfn.MAXIFS('Material routes'!$P$6:$P$2205,'Material routes'!$B$6:$B$2205,A340)))</x:f>
        <x:v>T2</x:v>
      </x:c>
      <x:c r="I340" s="4" t="n">
        <x:f>SUM(COUNTIFS('Material routes'!$B$6:$B$2205,A340,'Material routes'!$C$6:$C$2205,"Ingredient candidate"),COUNTIFS('Material routes'!$B$6:$B$2205,A340,'Material routes'!$C$6:$C$2205,"Consumed input"),COUNTIFS('Material routes'!$B$6:$B$2205,A340,'Material routes'!$C$6:$C$2205,"Contained input"),COUNTIFS('Material routes'!$B$6:$B$2205,A340,'Material routes'!$C$6:$C$2205,"Transform input"))</x:f>
        <x:v>1</x:v>
      </x:c>
      <x:c r="J340" s="4" t="n">
        <x:f>COUNTIFS('Material routes'!$B$6:$B$2205,A340,'Material routes'!$C$6:$C$2205,"Output")</x:f>
        <x:v>1</x:v>
      </x:c>
      <x:c r="K340" s="4" t="n">
        <x:f>COUNTIFS('Material routes'!$B$6:$B$2205,A340,'Material routes'!$C$6:$C$2205,"Tool candidate")</x:f>
        <x:v>0</x:v>
      </x:c>
      <x:c r="L340" s="4" t="str">
        <x:v>New item proposal, October 15, 2026. Setting reference (source proposal): https://github.com/sleepyseamonster/Arc-Dust/blob/f6f98515c005dc3c73cccd9cbc031691745740c6/02-Arc-Dust-Worldbuilding/world/materials/industrial-material-palette.md</x:v>
      </x:c>
      <x:c r="M340" s="4" t="str">
        <x:v>Quantities, output yield, supporting inputs and compatibility remain undefined.</x:v>
      </x:c>
    </x:row>
    <x:row r="341" ht="90" customHeight="1">
      <x:c r="A341" s="4" t="str">
        <x:v>design.collection.flexible_copper_service_jumper</x:v>
      </x:c>
      <x:c r="B341" s="4" t="str">
        <x:v>Flexible copper service jumper candidate preparation</x:v>
      </x:c>
      <x:c r="C341" s="4" t="str">
        <x:v>Material refinement</x:v>
      </x:c>
      <x:c r="D341" s="4" t="str">
        <x:v>Proposal</x:v>
      </x:c>
      <x:c r="E341" s="4" t="str">
        <x:v>Partial proposal</x:v>
      </x:c>
      <x:c r="F341" s="4" t="str">
        <x:v>Bridges a moving joint with scarce conductive stock</x:v>
      </x:c>
      <x:c r="G341" s="4" t="str">
        <x:v>Forge hearth, Anvil, Forging hammer, Smithing tongs, Metalworking file and Hand-cranked metal drill as applicable. Existing workshop bootstrap and controlled heating/cooling required; no free-water quench assumed.</x:v>
      </x:c>
      <x:c r="H341" s="4" t="str">
        <x:f>IF(I341=0,"Unassigned",IF(SUMIFS('Material routes'!$Q$6:$Q$2205,'Material routes'!$B$6:$B$2205,A341)&gt;0,"Unassigned","T"&amp;_xlfn.MAXIFS('Material routes'!$P$6:$P$2205,'Material routes'!$B$6:$B$2205,A341)))</x:f>
        <x:v>T3</x:v>
      </x:c>
      <x:c r="I341" s="4" t="n">
        <x:f>SUM(COUNTIFS('Material routes'!$B$6:$B$2205,A341,'Material routes'!$C$6:$C$2205,"Ingredient candidate"),COUNTIFS('Material routes'!$B$6:$B$2205,A341,'Material routes'!$C$6:$C$2205,"Consumed input"),COUNTIFS('Material routes'!$B$6:$B$2205,A341,'Material routes'!$C$6:$C$2205,"Contained input"),COUNTIFS('Material routes'!$B$6:$B$2205,A341,'Material routes'!$C$6:$C$2205,"Transform input"))</x:f>
        <x:v>2</x:v>
      </x:c>
      <x:c r="J341" s="4" t="n">
        <x:f>COUNTIFS('Material routes'!$B$6:$B$2205,A341,'Material routes'!$C$6:$C$2205,"Output")</x:f>
        <x:v>1</x:v>
      </x:c>
      <x:c r="K341" s="4" t="n">
        <x:f>COUNTIFS('Material routes'!$B$6:$B$2205,A341,'Material routes'!$C$6:$C$2205,"Tool candidate")</x:f>
        <x:v>0</x:v>
      </x:c>
      <x:c r="L341" s="4" t="str">
        <x:v>New item proposal, October 15, 2026. Setting reference (source proposal): https://github.com/sleepyseamonster/Arc-Dust/blob/f6f98515c005dc3c73cccd9cbc031691745740c6/02-Arc-Dust-Worldbuilding/world/materials/industrial-material-palette.md</x:v>
      </x:c>
      <x:c r="M341" s="4" t="str">
        <x:v>Quantities, output yield, supporting inputs and compatibility remain undefined.</x:v>
      </x:c>
    </x:row>
    <x:row r="342" ht="90" customHeight="1">
      <x:c r="A342" s="4" t="str">
        <x:v>design.collection.metal_shaft_hunting_spear</x:v>
      </x:c>
      <x:c r="B342" s="4" t="str">
        <x:v>Metal-shaft hunting spear candidate preparation</x:v>
      </x:c>
      <x:c r="C342" s="4" t="str">
        <x:v>Finished-item crafting</x:v>
      </x:c>
      <x:c r="D342" s="4" t="str">
        <x:v>Proposal</x:v>
      </x:c>
      <x:c r="E342" s="4" t="str">
        <x:v>Partial proposal</x:v>
      </x:c>
      <x:c r="F342" s="4" t="str">
        <x:v>Reusable close-range thrusting weapon</x:v>
      </x:c>
      <x:c r="G342" s="4" t="str">
        <x:v>Forge hearth, Anvil, Forging hammer, Smithing tongs, Metalworking file and Hand-cranked metal drill as applicable. Existing workshop bootstrap and controlled heating/cooling required; no free-water quench assumed.</x:v>
      </x:c>
      <x:c r="H342" s="4" t="str">
        <x:f>IF(I342=0,"Unassigned",IF(SUMIFS('Material routes'!$Q$6:$Q$2205,'Material routes'!$B$6:$B$2205,A342)&gt;0,"Unassigned","T"&amp;_xlfn.MAXIFS('Material routes'!$P$6:$P$2205,'Material routes'!$B$6:$B$2205,A342)))</x:f>
        <x:v>T3</x:v>
      </x:c>
      <x:c r="I342" s="4" t="n">
        <x:f>SUM(COUNTIFS('Material routes'!$B$6:$B$2205,A342,'Material routes'!$C$6:$C$2205,"Ingredient candidate"),COUNTIFS('Material routes'!$B$6:$B$2205,A342,'Material routes'!$C$6:$C$2205,"Consumed input"),COUNTIFS('Material routes'!$B$6:$B$2205,A342,'Material routes'!$C$6:$C$2205,"Contained input"),COUNTIFS('Material routes'!$B$6:$B$2205,A342,'Material routes'!$C$6:$C$2205,"Transform input"))</x:f>
        <x:v>2</x:v>
      </x:c>
      <x:c r="J342" s="4" t="n">
        <x:f>COUNTIFS('Material routes'!$B$6:$B$2205,A342,'Material routes'!$C$6:$C$2205,"Output")</x:f>
        <x:v>1</x:v>
      </x:c>
      <x:c r="K342" s="4" t="n">
        <x:f>COUNTIFS('Material routes'!$B$6:$B$2205,A342,'Material routes'!$C$6:$C$2205,"Tool candidate")</x:f>
        <x:v>0</x:v>
      </x:c>
      <x:c r="L342" s="4" t="str">
        <x:v>New item proposal, October 15, 2026. Setting reference (source proposal): https://github.com/sleepyseamonster/Arc-Dust/blob/f6f98515c005dc3c73cccd9cbc031691745740c6/02-Arc-Dust-Worldbuilding/world/materials/industrial-material-palette.md</x:v>
      </x:c>
      <x:c r="M342" s="4" t="str">
        <x:v>Quantities, output yield, supporting inputs and compatibility remain undefined.</x:v>
      </x:c>
    </x:row>
    <x:row r="343" ht="90" customHeight="1">
      <x:c r="A343" s="4" t="str">
        <x:v>design.collection.shell_edged_glaive</x:v>
      </x:c>
      <x:c r="B343" s="4" t="str">
        <x:v>Shell-edged glaive candidate preparation</x:v>
      </x:c>
      <x:c r="C343" s="4" t="str">
        <x:v>Finished-item crafting</x:v>
      </x:c>
      <x:c r="D343" s="4" t="str">
        <x:v>Proposal</x:v>
      </x:c>
      <x:c r="E343" s="4" t="str">
        <x:v>Partial proposal</x:v>
      </x:c>
      <x:c r="F343" s="4" t="str">
        <x:v>Long cutting weapon with replaceable hard-part edge</x:v>
      </x:c>
      <x:c r="G343" s="4" t="str">
        <x:v>Forge hearth, Anvil, Forging hammer, Smithing tongs, Metalworking file and Hand-cranked metal drill as applicable. Existing workshop bootstrap and controlled heating/cooling required; no free-water quench assumed.</x:v>
      </x:c>
      <x:c r="H343" s="4" t="str">
        <x:f>IF(I343=0,"Unassigned",IF(SUMIFS('Material routes'!$Q$6:$Q$2205,'Material routes'!$B$6:$B$2205,A343)&gt;0,"Unassigned","T"&amp;_xlfn.MAXIFS('Material routes'!$P$6:$P$2205,'Material routes'!$B$6:$B$2205,A343)))</x:f>
        <x:v>T3</x:v>
      </x:c>
      <x:c r="I343" s="4" t="n">
        <x:f>SUM(COUNTIFS('Material routes'!$B$6:$B$2205,A343,'Material routes'!$C$6:$C$2205,"Ingredient candidate"),COUNTIFS('Material routes'!$B$6:$B$2205,A343,'Material routes'!$C$6:$C$2205,"Consumed input"),COUNTIFS('Material routes'!$B$6:$B$2205,A343,'Material routes'!$C$6:$C$2205,"Contained input"),COUNTIFS('Material routes'!$B$6:$B$2205,A343,'Material routes'!$C$6:$C$2205,"Transform input"))</x:f>
        <x:v>2</x:v>
      </x:c>
      <x:c r="J343" s="4" t="n">
        <x:f>COUNTIFS('Material routes'!$B$6:$B$2205,A343,'Material routes'!$C$6:$C$2205,"Output")</x:f>
        <x:v>1</x:v>
      </x:c>
      <x:c r="K343" s="4" t="n">
        <x:f>COUNTIFS('Material routes'!$B$6:$B$2205,A343,'Material routes'!$C$6:$C$2205,"Tool candidate")</x:f>
        <x:v>0</x:v>
      </x:c>
      <x:c r="L343" s="4" t="str">
        <x:v>New item proposal, October 15, 2026. Setting reference (source proposal): https://github.com/sleepyseamonster/Arc-Dust/blob/f6f98515c005dc3c73cccd9cbc031691745740c6/02-Arc-Dust-Worldbuilding/world/materials/industrial-material-palette.md</x:v>
      </x:c>
      <x:c r="M343" s="4" t="str">
        <x:v>Quantities, output yield, supporting inputs and compatibility remain undefined.</x:v>
      </x:c>
    </x:row>
    <x:row r="344" ht="90" customHeight="1">
      <x:c r="A344" s="4"/>
      <x:c r="B344" s="4"/>
      <x:c r="C344" s="4"/>
      <x:c r="D344" s="4"/>
      <x:c r="E344" s="4"/>
      <x:c r="F344" s="4"/>
      <x:c r="G344" s="4"/>
      <x:c r="H344" s="4"/>
      <x:c r="I344" s="4"/>
      <x:c r="J344" s="4"/>
      <x:c r="K344" s="4"/>
      <x:c r="L344" s="4"/>
      <x:c r="M344" s="4"/>
    </x:row>
    <x:row r="345" ht="90" customHeight="1">
      <x:c r="A345" s="4" t="str">
        <x:v>design.collection.steel_salvage_cleaver</x:v>
      </x:c>
      <x:c r="B345" s="4" t="str">
        <x:v>Steel salvage cleaver candidate preparation</x:v>
      </x:c>
      <x:c r="C345" s="4" t="str">
        <x:v>Finished-item crafting</x:v>
      </x:c>
      <x:c r="D345" s="4" t="str">
        <x:v>Proposal</x:v>
      </x:c>
      <x:c r="E345" s="4" t="str">
        <x:v>Partial proposal</x:v>
      </x:c>
      <x:c r="F345" s="4" t="str">
        <x:v>Heavy cutting weapon built around a replaceable metal edge</x:v>
      </x:c>
      <x:c r="G345" s="4" t="str">
        <x:v>Forge hearth, Anvil, Forging hammer, Smithing tongs, Metalworking file and Hand-cranked metal drill as applicable. Existing workshop bootstrap and controlled heating/cooling required; no free-water quench assumed.</x:v>
      </x:c>
      <x:c r="H345" s="4" t="str">
        <x:f>IF(I345=0,"Unassigned",IF(SUMIFS('Material routes'!$Q$6:$Q$2205,'Material routes'!$B$6:$B$2205,A345)&gt;0,"Unassigned","T"&amp;_xlfn.MAXIFS('Material routes'!$P$6:$P$2205,'Material routes'!$B$6:$B$2205,A345)))</x:f>
        <x:v>T2</x:v>
      </x:c>
      <x:c r="I345" s="4" t="n">
        <x:f>SUM(COUNTIFS('Material routes'!$B$6:$B$2205,A345,'Material routes'!$C$6:$C$2205,"Ingredient candidate"),COUNTIFS('Material routes'!$B$6:$B$2205,A345,'Material routes'!$C$6:$C$2205,"Consumed input"),COUNTIFS('Material routes'!$B$6:$B$2205,A345,'Material routes'!$C$6:$C$2205,"Contained input"),COUNTIFS('Material routes'!$B$6:$B$2205,A345,'Material routes'!$C$6:$C$2205,"Transform input"))</x:f>
        <x:v>2</x:v>
      </x:c>
      <x:c r="J345" s="4" t="n">
        <x:f>COUNTIFS('Material routes'!$B$6:$B$2205,A345,'Material routes'!$C$6:$C$2205,"Output")</x:f>
        <x:v>1</x:v>
      </x:c>
      <x:c r="K345" s="4" t="n">
        <x:f>COUNTIFS('Material routes'!$B$6:$B$2205,A345,'Material routes'!$C$6:$C$2205,"Tool candidate")</x:f>
        <x:v>0</x:v>
      </x:c>
      <x:c r="L345" s="4" t="str">
        <x:v>New item proposal, October 15, 2026. Setting reference (source proposal): https://github.com/sleepyseamonster/Arc-Dust/blob/f6f98515c005dc3c73cccd9cbc031691745740c6/02-Arc-Dust-Worldbuilding/world/materials/industrial-material-palette.md</x:v>
      </x:c>
      <x:c r="M345" s="4" t="str">
        <x:v>Quantities, output yield, supporting inputs and compatibility remain undefined.</x:v>
      </x:c>
    </x:row>
    <x:row r="346" ht="90" customHeight="1">
      <x:c r="A346" s="4" t="str">
        <x:v>design.collection.hooked_catchstaff</x:v>
      </x:c>
      <x:c r="B346" s="4" t="str">
        <x:v>Hooked catchstaff candidate preparation</x:v>
      </x:c>
      <x:c r="C346" s="4" t="str">
        <x:v>Finished-item crafting</x:v>
      </x:c>
      <x:c r="D346" s="4" t="str">
        <x:v>Proposal</x:v>
      </x:c>
      <x:c r="E346" s="4" t="str">
        <x:v>Partial proposal</x:v>
      </x:c>
      <x:c r="F346" s="4" t="str">
        <x:v>Hooked pole weapon for control and obstruction</x:v>
      </x:c>
      <x:c r="G346" s="4" t="str">
        <x:v>Forge hearth, Anvil, Forging hammer, Smithing tongs, Metalworking file and Hand-cranked metal drill as applicable. Existing workshop bootstrap and controlled heating/cooling required; no free-water quench assumed.</x:v>
      </x:c>
      <x:c r="H346" s="4" t="str">
        <x:f>IF(I346=0,"Unassigned",IF(SUMIFS('Material routes'!$Q$6:$Q$2205,'Material routes'!$B$6:$B$2205,A346)&gt;0,"Unassigned","T"&amp;_xlfn.MAXIFS('Material routes'!$P$6:$P$2205,'Material routes'!$B$6:$B$2205,A346)))</x:f>
        <x:v>T3</x:v>
      </x:c>
      <x:c r="I346" s="4" t="n">
        <x:f>SUM(COUNTIFS('Material routes'!$B$6:$B$2205,A346,'Material routes'!$C$6:$C$2205,"Ingredient candidate"),COUNTIFS('Material routes'!$B$6:$B$2205,A346,'Material routes'!$C$6:$C$2205,"Consumed input"),COUNTIFS('Material routes'!$B$6:$B$2205,A346,'Material routes'!$C$6:$C$2205,"Contained input"),COUNTIFS('Material routes'!$B$6:$B$2205,A346,'Material routes'!$C$6:$C$2205,"Transform input"))</x:f>
        <x:v>2</x:v>
      </x:c>
      <x:c r="J346" s="4" t="n">
        <x:f>COUNTIFS('Material routes'!$B$6:$B$2205,A346,'Material routes'!$C$6:$C$2205,"Output")</x:f>
        <x:v>1</x:v>
      </x:c>
      <x:c r="K346" s="4" t="n">
        <x:f>COUNTIFS('Material routes'!$B$6:$B$2205,A346,'Material routes'!$C$6:$C$2205,"Tool candidate")</x:f>
        <x:v>0</x:v>
      </x:c>
      <x:c r="L346" s="4" t="str">
        <x:v>New item proposal, October 15, 2026. Setting reference (source proposal): https://github.com/sleepyseamonster/Arc-Dust/blob/f6f98515c005dc3c73cccd9cbc031691745740c6/02-Arc-Dust-Worldbuilding/world/materials/industrial-material-palette.md</x:v>
      </x:c>
      <x:c r="M346" s="4" t="str">
        <x:v>Quantities, output yield, supporting inputs and compatibility remain undefined.</x:v>
      </x:c>
    </x:row>
    <x:row r="347" ht="90" customHeight="1">
      <x:c r="A347" s="4" t="str">
        <x:v>design.collection.tendon_pouch_sling</x:v>
      </x:c>
      <x:c r="B347" s="4" t="str">
        <x:v>Tendon-pouch sling candidate preparation</x:v>
      </x:c>
      <x:c r="C347" s="4" t="str">
        <x:v>Finished-item crafting</x:v>
      </x:c>
      <x:c r="D347" s="4" t="str">
        <x:v>Proposal</x:v>
      </x:c>
      <x:c r="E347" s="4" t="str">
        <x:v>Partial proposal</x:v>
      </x:c>
      <x:c r="F347" s="4" t="str">
        <x:v>Throws shaped pellets using scarce prepared biological material</x:v>
      </x:c>
      <x:c r="G347" s="4" t="str">
        <x:v>Forge hearth, Anvil, Forging hammer, Smithing tongs, Metalworking file and Hand-cranked metal drill as applicable. Existing workshop bootstrap and controlled heating/cooling required; no free-water quench assumed.</x:v>
      </x:c>
      <x:c r="H347" s="4" t="str">
        <x:f>IF(I347=0,"Unassigned",IF(SUMIFS('Material routes'!$Q$6:$Q$2205,'Material routes'!$B$6:$B$2205,A347)&gt;0,"Unassigned","T"&amp;_xlfn.MAXIFS('Material routes'!$P$6:$P$2205,'Material routes'!$B$6:$B$2205,A347)))</x:f>
        <x:v>T1</x:v>
      </x:c>
      <x:c r="I347" s="4" t="n">
        <x:f>SUM(COUNTIFS('Material routes'!$B$6:$B$2205,A347,'Material routes'!$C$6:$C$2205,"Ingredient candidate"),COUNTIFS('Material routes'!$B$6:$B$2205,A347,'Material routes'!$C$6:$C$2205,"Consumed input"),COUNTIFS('Material routes'!$B$6:$B$2205,A347,'Material routes'!$C$6:$C$2205,"Contained input"),COUNTIFS('Material routes'!$B$6:$B$2205,A347,'Material routes'!$C$6:$C$2205,"Transform input"))</x:f>
        <x:v>2</x:v>
      </x:c>
      <x:c r="J347" s="4" t="n">
        <x:f>COUNTIFS('Material routes'!$B$6:$B$2205,A347,'Material routes'!$C$6:$C$2205,"Output")</x:f>
        <x:v>1</x:v>
      </x:c>
      <x:c r="K347" s="4" t="n">
        <x:f>COUNTIFS('Material routes'!$B$6:$B$2205,A347,'Material routes'!$C$6:$C$2205,"Tool candidate")</x:f>
        <x:v>0</x:v>
      </x:c>
      <x:c r="L347" s="4" t="str">
        <x:v>New item proposal, October 15, 2026. Setting reference (source proposal): https://github.com/sleepyseamonster/Arc-Dust/blob/f6f98515c005dc3c73cccd9cbc031691745740c6/02-Arc-Dust-Worldbuilding/world/materials/industrial-material-palette.md</x:v>
      </x:c>
      <x:c r="M347" s="4" t="str">
        <x:v>Quantities, output yield, supporting inputs and compatibility remain undefined.</x:v>
      </x:c>
    </x:row>
    <x:row r="348" ht="90" customHeight="1">
      <x:c r="A348" s="4" t="str">
        <x:v>design.collection.steel_limbed_crossbow</x:v>
      </x:c>
      <x:c r="B348" s="4" t="str">
        <x:v>Steel-limbed crossbow candidate preparation</x:v>
      </x:c>
      <x:c r="C348" s="4" t="str">
        <x:v>Finished-item crafting</x:v>
      </x:c>
      <x:c r="D348" s="4" t="str">
        <x:v>Proposal</x:v>
      </x:c>
      <x:c r="E348" s="4" t="str">
        <x:v>Partial proposal</x:v>
      </x:c>
      <x:c r="F348" s="4" t="str">
        <x:v>Slow mechanical bolt launcher with metal limbs</x:v>
      </x:c>
      <x:c r="G348" s="4" t="str">
        <x:v>Forge hearth, Anvil, Forging hammer, Smithing tongs, Metalworking file and Hand-cranked metal drill as applicable. Existing workshop bootstrap and controlled heating/cooling required; no free-water quench assumed.</x:v>
      </x:c>
      <x:c r="H348" s="4" t="str">
        <x:f>IF(I348=0,"Unassigned",IF(SUMIFS('Material routes'!$Q$6:$Q$2205,'Material routes'!$B$6:$B$2205,A348)&gt;0,"Unassigned","T"&amp;_xlfn.MAXIFS('Material routes'!$P$6:$P$2205,'Material routes'!$B$6:$B$2205,A348)))</x:f>
        <x:v>T4</x:v>
      </x:c>
      <x:c r="I348" s="4" t="n">
        <x:f>SUM(COUNTIFS('Material routes'!$B$6:$B$2205,A348,'Material routes'!$C$6:$C$2205,"Ingredient candidate"),COUNTIFS('Material routes'!$B$6:$B$2205,A348,'Material routes'!$C$6:$C$2205,"Consumed input"),COUNTIFS('Material routes'!$B$6:$B$2205,A348,'Material routes'!$C$6:$C$2205,"Contained input"),COUNTIFS('Material routes'!$B$6:$B$2205,A348,'Material routes'!$C$6:$C$2205,"Transform input"))</x:f>
        <x:v>5</x:v>
      </x:c>
      <x:c r="J348" s="4" t="n">
        <x:f>COUNTIFS('Material routes'!$B$6:$B$2205,A348,'Material routes'!$C$6:$C$2205,"Output")</x:f>
        <x:v>1</x:v>
      </x:c>
      <x:c r="K348" s="4" t="n">
        <x:f>COUNTIFS('Material routes'!$B$6:$B$2205,A348,'Material routes'!$C$6:$C$2205,"Tool candidate")</x:f>
        <x:v>0</x:v>
      </x:c>
      <x:c r="L348" s="4" t="str">
        <x:v>New item proposal, October 15, 2026. Setting reference (source proposal): https://github.com/sleepyseamonster/Arc-Dust/blob/f6f98515c005dc3c73cccd9cbc031691745740c6/02-Arc-Dust-Worldbuilding/world/materials/industrial-material-palette.md</x:v>
      </x:c>
      <x:c r="M348" s="4" t="str">
        <x:v>Quantities, output yield, supporting inputs and compatibility remain undefined. October 15 audit: candidate inputs / reusable prerequisites clarified. Structural coverage is not a qualified manufacturing recipe.</x:v>
      </x:c>
    </x:row>
    <x:row r="349" ht="90" customHeight="1">
      <x:c r="A349" s="4" t="str">
        <x:v>design.collection.crank_wound_siege_bow</x:v>
      </x:c>
      <x:c r="B349" s="4" t="str">
        <x:v>Crank-wound siege bow candidate preparation</x:v>
      </x:c>
      <x:c r="C349" s="4" t="str">
        <x:v>Finished-item crafting</x:v>
      </x:c>
      <x:c r="D349" s="4" t="str">
        <x:v>Proposal</x:v>
      </x:c>
      <x:c r="E349" s="4" t="str">
        <x:v>Partial proposal</x:v>
      </x:c>
      <x:c r="F349" s="4" t="str">
        <x:v>Heavy portable emplacement launcher, transport limits unresolved</x:v>
      </x:c>
      <x:c r="G349" s="4" t="str">
        <x:v>Forge hearth, Anvil, Forging hammer, Smithing tongs, Metalworking file and Hand-cranked metal drill as applicable. Existing workshop bootstrap and controlled heating/cooling required; no free-water quench assumed.</x:v>
      </x:c>
      <x:c r="H349" s="4" t="str">
        <x:f>IF(I349=0,"Unassigned",IF(SUMIFS('Material routes'!$Q$6:$Q$2205,'Material routes'!$B$6:$B$2205,A349)&gt;0,"Unassigned","T"&amp;_xlfn.MAXIFS('Material routes'!$P$6:$P$2205,'Material routes'!$B$6:$B$2205,A349)))</x:f>
        <x:v>T4</x:v>
      </x:c>
      <x:c r="I349" s="4" t="n">
        <x:f>SUM(COUNTIFS('Material routes'!$B$6:$B$2205,A349,'Material routes'!$C$6:$C$2205,"Ingredient candidate"),COUNTIFS('Material routes'!$B$6:$B$2205,A349,'Material routes'!$C$6:$C$2205,"Consumed input"),COUNTIFS('Material routes'!$B$6:$B$2205,A349,'Material routes'!$C$6:$C$2205,"Contained input"),COUNTIFS('Material routes'!$B$6:$B$2205,A349,'Material routes'!$C$6:$C$2205,"Transform input"))</x:f>
        <x:v>8</x:v>
      </x:c>
      <x:c r="J349" s="4" t="n">
        <x:f>COUNTIFS('Material routes'!$B$6:$B$2205,A349,'Material routes'!$C$6:$C$2205,"Output")</x:f>
        <x:v>1</x:v>
      </x:c>
      <x:c r="K349" s="4" t="n">
        <x:f>COUNTIFS('Material routes'!$B$6:$B$2205,A349,'Material routes'!$C$6:$C$2205,"Tool candidate")</x:f>
        <x:v>0</x:v>
      </x:c>
      <x:c r="L349" s="4" t="str">
        <x:v>New item proposal, October 15, 2026. Setting reference (source proposal): https://github.com/sleepyseamonster/Arc-Dust/blob/f6f98515c005dc3c73cccd9cbc031691745740c6/02-Arc-Dust-Worldbuilding/world/materials/industrial-material-palette.md</x:v>
      </x:c>
      <x:c r="M349" s="4" t="str">
        <x:v>Quantities, output yield, supporting inputs and compatibility remain undefined. October 15 audit: candidate inputs / reusable prerequisites clarified. Structural coverage is not a qualified manufacturing recipe.</x:v>
      </x:c>
    </x:row>
    <x:row r="350" ht="90" customHeight="1">
      <x:c r="A350" s="4"/>
      <x:c r="B350" s="4"/>
      <x:c r="C350" s="4"/>
      <x:c r="D350" s="4"/>
      <x:c r="E350" s="4"/>
      <x:c r="F350" s="4"/>
      <x:c r="G350" s="4"/>
      <x:c r="H350" s="4"/>
      <x:c r="I350" s="4"/>
      <x:c r="J350" s="4"/>
      <x:c r="K350" s="4"/>
      <x:c r="L350" s="4"/>
      <x:c r="M350" s="4"/>
    </x:row>
    <x:row r="351" ht="90" customHeight="1">
      <x:c r="A351" s="4" t="str">
        <x:v>design.collection.pressure_rivet_launcher</x:v>
      </x:c>
      <x:c r="B351" s="4" t="str">
        <x:v>Pressure rivet launcher candidate preparation</x:v>
      </x:c>
      <x:c r="C351" s="4" t="str">
        <x:v>Finished-item crafting</x:v>
      </x:c>
      <x:c r="D351" s="4" t="str">
        <x:v>Proposal</x:v>
      </x:c>
      <x:c r="E351" s="4" t="str">
        <x:v>Partial proposal</x:v>
      </x:c>
      <x:c r="F351" s="4" t="str">
        <x:v>Crude machine-derived pressure launcher, working medium unresolved</x:v>
      </x:c>
      <x:c r="G351" s="4" t="str">
        <x:v>Specialist engineering workshop; insulation, pressure or control qualification as applicable. Power/working medium and operating theory unresolved.</x:v>
      </x:c>
      <x:c r="H351" s="4" t="str">
        <x:f>IF(I351=0,"Unassigned",IF(SUMIFS('Material routes'!$Q$6:$Q$2205,'Material routes'!$B$6:$B$2205,A351)&gt;0,"Unassigned","T"&amp;_xlfn.MAXIFS('Material routes'!$P$6:$P$2205,'Material routes'!$B$6:$B$2205,A351)))</x:f>
        <x:v>Unassigned</x:v>
      </x:c>
      <x:c r="I351" s="4" t="n">
        <x:f>SUM(COUNTIFS('Material routes'!$B$6:$B$2205,A351,'Material routes'!$C$6:$C$2205,"Ingredient candidate"),COUNTIFS('Material routes'!$B$6:$B$2205,A351,'Material routes'!$C$6:$C$2205,"Consumed input"),COUNTIFS('Material routes'!$B$6:$B$2205,A351,'Material routes'!$C$6:$C$2205,"Contained input"),COUNTIFS('Material routes'!$B$6:$B$2205,A351,'Material routes'!$C$6:$C$2205,"Transform input"))</x:f>
        <x:v>7</x:v>
      </x:c>
      <x:c r="J351" s="4" t="n">
        <x:f>COUNTIFS('Material routes'!$B$6:$B$2205,A351,'Material routes'!$C$6:$C$2205,"Output")</x:f>
        <x:v>1</x:v>
      </x:c>
      <x:c r="K351" s="4" t="n">
        <x:f>COUNTIFS('Material routes'!$B$6:$B$2205,A351,'Material routes'!$C$6:$C$2205,"Tool candidate")</x:f>
        <x:v>0</x:v>
      </x:c>
      <x:c r="L351" s="4" t="str">
        <x:v>New item proposal, October 15, 2026. Setting reference (source proposal): https://github.com/sleepyseamonster/Arc-Dust/blob/f6f98515c005dc3c73cccd9cbc031691745740c6/02-Arc-Dust-Worldbuilding/world/materials/industrial-material-palette.md</x:v>
      </x:c>
      <x:c r="M351" s="4" t="str">
        <x:v>Quantities, output yield, supporting inputs and compatibility remain undefined. October 15 audit: candidate inputs / reusable prerequisites clarified. Structural coverage is not a qualified manufacturing recipe.</x:v>
      </x:c>
    </x:row>
    <x:row r="352" ht="90" customHeight="1">
      <x:c r="A352" s="4" t="str">
        <x:v>design.collection.magnetic_dart_projector</x:v>
      </x:c>
      <x:c r="B352" s="4" t="str">
        <x:v>Magnetic dart projector candidate preparation</x:v>
      </x:c>
      <x:c r="C352" s="4" t="str">
        <x:v>Finished-item crafting</x:v>
      </x:c>
      <x:c r="D352" s="4" t="str">
        <x:v>Proposal</x:v>
      </x:c>
      <x:c r="E352" s="4" t="str">
        <x:v>Partial proposal</x:v>
      </x:c>
      <x:c r="F352" s="4" t="str">
        <x:v>Experimental field-driven dart weapon, performance unresolved</x:v>
      </x:c>
      <x:c r="G352" s="4" t="str">
        <x:v>Specialist engineering workshop; insulation, pressure or control qualification as applicable. Power/working medium and operating theory unresolved.</x:v>
      </x:c>
      <x:c r="H352" s="4" t="str">
        <x:f>IF(I352=0,"Unassigned",IF(SUMIFS('Material routes'!$Q$6:$Q$2205,'Material routes'!$B$6:$B$2205,A352)&gt;0,"Unassigned","T"&amp;_xlfn.MAXIFS('Material routes'!$P$6:$P$2205,'Material routes'!$B$6:$B$2205,A352)))</x:f>
        <x:v>Unassigned</x:v>
      </x:c>
      <x:c r="I352" s="4" t="n">
        <x:f>SUM(COUNTIFS('Material routes'!$B$6:$B$2205,A352,'Material routes'!$C$6:$C$2205,"Ingredient candidate"),COUNTIFS('Material routes'!$B$6:$B$2205,A352,'Material routes'!$C$6:$C$2205,"Consumed input"),COUNTIFS('Material routes'!$B$6:$B$2205,A352,'Material routes'!$C$6:$C$2205,"Contained input"),COUNTIFS('Material routes'!$B$6:$B$2205,A352,'Material routes'!$C$6:$C$2205,"Transform input"))</x:f>
        <x:v>7</x:v>
      </x:c>
      <x:c r="J352" s="4" t="n">
        <x:f>COUNTIFS('Material routes'!$B$6:$B$2205,A352,'Material routes'!$C$6:$C$2205,"Output")</x:f>
        <x:v>1</x:v>
      </x:c>
      <x:c r="K352" s="4" t="n">
        <x:f>COUNTIFS('Material routes'!$B$6:$B$2205,A352,'Material routes'!$C$6:$C$2205,"Tool candidate")</x:f>
        <x:v>0</x:v>
      </x:c>
      <x:c r="L352" s="4" t="str">
        <x:v>New item proposal, October 15, 2026. Setting reference (source proposal): https://github.com/sleepyseamonster/Arc-Dust/blob/f6f98515c005dc3c73cccd9cbc031691745740c6/02-Arc-Dust-Worldbuilding/world/materials/industrial-material-palette.md</x:v>
      </x:c>
      <x:c r="M352" s="4" t="str">
        <x:v>Quantities, output yield, supporting inputs and compatibility remain undefined. October 15 audit: candidate inputs / reusable prerequisites clarified. Structural coverage is not a qualified manufacturing recipe.</x:v>
      </x:c>
    </x:row>
    <x:row r="353" ht="90" customHeight="1">
      <x:c r="A353" s="4" t="str">
        <x:v>design.collection.coil_slug_carbine</x:v>
      </x:c>
      <x:c r="B353" s="4" t="str">
        <x:v>Coil slug carbine candidate preparation</x:v>
      </x:c>
      <x:c r="C353" s="4" t="str">
        <x:v>Finished-item crafting</x:v>
      </x:c>
      <x:c r="D353" s="4" t="str">
        <x:v>Proposal</x:v>
      </x:c>
      <x:c r="E353" s="4" t="str">
        <x:v>Partial proposal</x:v>
      </x:c>
      <x:c r="F353" s="4" t="str">
        <x:v>Bulky reverse-engineering proposal with power demands unresolved</x:v>
      </x:c>
      <x:c r="G353" s="4" t="str">
        <x:v>Specialist engineering workshop; insulation, pressure or control qualification as applicable. Power/working medium and operating theory unresolved.</x:v>
      </x:c>
      <x:c r="H353" s="4" t="str">
        <x:f>IF(I353=0,"Unassigned",IF(SUMIFS('Material routes'!$Q$6:$Q$2205,'Material routes'!$B$6:$B$2205,A353)&gt;0,"Unassigned","T"&amp;_xlfn.MAXIFS('Material routes'!$P$6:$P$2205,'Material routes'!$B$6:$B$2205,A353)))</x:f>
        <x:v>Unassigned</x:v>
      </x:c>
      <x:c r="I353" s="4" t="n">
        <x:f>SUM(COUNTIFS('Material routes'!$B$6:$B$2205,A353,'Material routes'!$C$6:$C$2205,"Ingredient candidate"),COUNTIFS('Material routes'!$B$6:$B$2205,A353,'Material routes'!$C$6:$C$2205,"Consumed input"),COUNTIFS('Material routes'!$B$6:$B$2205,A353,'Material routes'!$C$6:$C$2205,"Contained input"),COUNTIFS('Material routes'!$B$6:$B$2205,A353,'Material routes'!$C$6:$C$2205,"Transform input"))</x:f>
        <x:v>8</x:v>
      </x:c>
      <x:c r="J353" s="4" t="n">
        <x:f>COUNTIFS('Material routes'!$B$6:$B$2205,A353,'Material routes'!$C$6:$C$2205,"Output")</x:f>
        <x:v>1</x:v>
      </x:c>
      <x:c r="K353" s="4" t="n">
        <x:f>COUNTIFS('Material routes'!$B$6:$B$2205,A353,'Material routes'!$C$6:$C$2205,"Tool candidate")</x:f>
        <x:v>0</x:v>
      </x:c>
      <x:c r="L353" s="4" t="str">
        <x:v>New item proposal, October 15, 2026. Setting reference (source proposal): https://github.com/sleepyseamonster/Arc-Dust/blob/f6f98515c005dc3c73cccd9cbc031691745740c6/02-Arc-Dust-Worldbuilding/world/materials/industrial-material-palette.md</x:v>
      </x:c>
      <x:c r="M353" s="4" t="str">
        <x:v>Quantities, output yield, supporting inputs and compatibility remain undefined. October 15 audit: candidate inputs / reusable prerequisites clarified. Structural coverage is not a qualified manufacturing recipe.</x:v>
      </x:c>
    </x:row>
    <x:row r="354" ht="90" customHeight="1">
      <x:c r="A354" s="4"/>
      <x:c r="B354" s="4"/>
      <x:c r="C354" s="4"/>
      <x:c r="D354" s="4"/>
      <x:c r="E354" s="4"/>
      <x:c r="F354" s="4"/>
      <x:c r="G354" s="4"/>
      <x:c r="H354" s="4"/>
      <x:c r="I354" s="4"/>
      <x:c r="J354" s="4"/>
      <x:c r="K354" s="4"/>
      <x:c r="L354" s="4"/>
      <x:c r="M354" s="4"/>
    </x:row>
    <x:row r="355" ht="90" customHeight="1">
      <x:c r="A355" s="4"/>
      <x:c r="B355" s="4"/>
      <x:c r="C355" s="4"/>
      <x:c r="D355" s="4"/>
      <x:c r="E355" s="4"/>
      <x:c r="F355" s="4"/>
      <x:c r="G355" s="4"/>
      <x:c r="H355" s="4"/>
      <x:c r="I355" s="4"/>
      <x:c r="J355" s="4"/>
      <x:c r="K355" s="4"/>
      <x:c r="L355" s="4"/>
      <x:c r="M355" s="4"/>
    </x:row>
    <x:row r="356" ht="90" customHeight="1">
      <x:c r="A356" s="4"/>
      <x:c r="B356" s="4"/>
      <x:c r="C356" s="4"/>
      <x:c r="D356" s="4"/>
      <x:c r="E356" s="4"/>
      <x:c r="F356" s="4"/>
      <x:c r="G356" s="4"/>
      <x:c r="H356" s="4"/>
      <x:c r="I356" s="4"/>
      <x:c r="J356" s="4"/>
      <x:c r="K356" s="4"/>
      <x:c r="L356" s="4"/>
      <x:c r="M356" s="4"/>
    </x:row>
    <x:row r="357" ht="90" customHeight="1">
      <x:c r="A357" s="4"/>
      <x:c r="B357" s="4"/>
      <x:c r="C357" s="4"/>
      <x:c r="D357" s="4"/>
      <x:c r="E357" s="4"/>
      <x:c r="F357" s="4"/>
      <x:c r="G357" s="4"/>
      <x:c r="H357" s="4"/>
      <x:c r="I357" s="4"/>
      <x:c r="J357" s="4"/>
      <x:c r="K357" s="4"/>
      <x:c r="L357" s="4"/>
      <x:c r="M357" s="4"/>
    </x:row>
    <x:row r="358" ht="90" customHeight="1">
      <x:c r="A358" s="4"/>
      <x:c r="B358" s="4"/>
      <x:c r="C358" s="4"/>
      <x:c r="D358" s="4"/>
      <x:c r="E358" s="4"/>
      <x:c r="F358" s="4"/>
      <x:c r="G358" s="4"/>
      <x:c r="H358" s="4"/>
      <x:c r="I358" s="4"/>
      <x:c r="J358" s="4"/>
      <x:c r="K358" s="4"/>
      <x:c r="L358" s="4"/>
      <x:c r="M358" s="4"/>
    </x:row>
    <x:row r="359" ht="90" customHeight="1">
      <x:c r="A359" s="4"/>
      <x:c r="B359" s="4"/>
      <x:c r="C359" s="4"/>
      <x:c r="D359" s="4"/>
      <x:c r="E359" s="4"/>
      <x:c r="F359" s="4"/>
      <x:c r="G359" s="4"/>
      <x:c r="H359" s="4"/>
      <x:c r="I359" s="4"/>
      <x:c r="J359" s="4"/>
      <x:c r="K359" s="4"/>
      <x:c r="L359" s="4"/>
      <x:c r="M359" s="4"/>
    </x:row>
    <x:row r="360" ht="90" customHeight="1">
      <x:c r="A360" s="4"/>
      <x:c r="B360" s="4"/>
      <x:c r="C360" s="4"/>
      <x:c r="D360" s="4"/>
      <x:c r="E360" s="4"/>
      <x:c r="F360" s="4"/>
      <x:c r="G360" s="4"/>
      <x:c r="H360" s="4"/>
      <x:c r="I360" s="4"/>
      <x:c r="J360" s="4"/>
      <x:c r="K360" s="4"/>
      <x:c r="L360" s="4"/>
      <x:c r="M360" s="4"/>
    </x:row>
    <x:row r="361" ht="90" customHeight="1">
      <x:c r="A361" s="4" t="str">
        <x:v>design.collection.reduced_culinary_phagia_concentrate</x:v>
      </x:c>
      <x:c r="B361" s="4" t="str">
        <x:v>Reduced culinary Phagia concentrate candidate preparation</x:v>
      </x:c>
      <x:c r="C361" s="4" t="str">
        <x:v>Material refinement</x:v>
      </x:c>
      <x:c r="D361" s="4" t="str">
        <x:v>Proposal</x:v>
      </x:c>
      <x:c r="E361" s="4" t="str">
        <x:v>Partial proposal</x:v>
      </x:c>
      <x:c r="F361" s="4" t="str">
        <x:v>Thick food stock from a contained separation process</x:v>
      </x:c>
      <x:c r="G361" s="4" t="str">
        <x:v>Contained food-only vessels, Food preparation screen and dedicated food tools. Species/culture/mineral edibility and storage qualification unresolved.</x:v>
      </x:c>
      <x:c r="H361" s="4" t="str">
        <x:f>IF(I361=0,"Unassigned",IF(SUMIFS('Material routes'!$Q$6:$Q$2205,'Material routes'!$B$6:$B$2205,A361)&gt;0,"Unassigned","T"&amp;_xlfn.MAXIFS('Material routes'!$P$6:$P$2205,'Material routes'!$B$6:$B$2205,A361)))</x:f>
        <x:v>T1</x:v>
      </x:c>
      <x:c r="I361" s="4" t="n">
        <x:f>SUM(COUNTIFS('Material routes'!$B$6:$B$2205,A361,'Material routes'!$C$6:$C$2205,"Ingredient candidate"),COUNTIFS('Material routes'!$B$6:$B$2205,A361,'Material routes'!$C$6:$C$2205,"Consumed input"),COUNTIFS('Material routes'!$B$6:$B$2205,A361,'Material routes'!$C$6:$C$2205,"Contained input"),COUNTIFS('Material routes'!$B$6:$B$2205,A361,'Material routes'!$C$6:$C$2205,"Transform input"))</x:f>
        <x:v>1</x:v>
      </x:c>
      <x:c r="J361" s="4" t="n">
        <x:f>COUNTIFS('Material routes'!$B$6:$B$2205,A361,'Material routes'!$C$6:$C$2205,"Output")</x:f>
        <x:v>1</x:v>
      </x:c>
      <x:c r="K361" s="4" t="n">
        <x:f>COUNTIFS('Material routes'!$B$6:$B$2205,A361,'Material routes'!$C$6:$C$2205,"Tool candidate")</x:f>
        <x:v>0</x:v>
      </x:c>
      <x:c r="L3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1" s="4" t="str">
        <x:v>Quantities, output yield, supporting inputs and compatibility remain undefined.</x:v>
      </x:c>
    </x:row>
    <x:row r="362" ht="90" customHeight="1">
      <x:c r="A362" s="4" t="str">
        <x:v>design.collection.aerated_culinary_phagia_curd</x:v>
      </x:c>
      <x:c r="B362" s="4" t="str">
        <x:v>Aerated culinary Phagia curd candidate preparation</x:v>
      </x:c>
      <x:c r="C362" s="4" t="str">
        <x:v>Material refinement</x:v>
      </x:c>
      <x:c r="D362" s="4" t="str">
        <x:v>Proposal</x:v>
      </x:c>
      <x:c r="E362" s="4" t="str">
        <x:v>Partial proposal</x:v>
      </x:c>
      <x:c r="F362" s="4" t="str">
        <x:v>Light-textured food stock prepared in closed equipment</x:v>
      </x:c>
      <x:c r="G362" s="4" t="str">
        <x:v>Contained food-only vessels, Food preparation screen and dedicated food tools. Species/culture/mineral edibility and storage qualification unresolved.</x:v>
      </x:c>
      <x:c r="H362" s="4" t="str">
        <x:f>IF(I362=0,"Unassigned",IF(SUMIFS('Material routes'!$Q$6:$Q$2205,'Material routes'!$B$6:$B$2205,A362)&gt;0,"Unassigned","T"&amp;_xlfn.MAXIFS('Material routes'!$P$6:$P$2205,'Material routes'!$B$6:$B$2205,A362)))</x:f>
        <x:v>T1</x:v>
      </x:c>
      <x:c r="I362" s="4" t="n">
        <x:f>SUM(COUNTIFS('Material routes'!$B$6:$B$2205,A362,'Material routes'!$C$6:$C$2205,"Ingredient candidate"),COUNTIFS('Material routes'!$B$6:$B$2205,A362,'Material routes'!$C$6:$C$2205,"Consumed input"),COUNTIFS('Material routes'!$B$6:$B$2205,A362,'Material routes'!$C$6:$C$2205,"Contained input"),COUNTIFS('Material routes'!$B$6:$B$2205,A362,'Material routes'!$C$6:$C$2205,"Transform input"))</x:f>
        <x:v>1</x:v>
      </x:c>
      <x:c r="J362" s="4" t="n">
        <x:f>COUNTIFS('Material routes'!$B$6:$B$2205,A362,'Material routes'!$C$6:$C$2205,"Output")</x:f>
        <x:v>1</x:v>
      </x:c>
      <x:c r="K362" s="4" t="n">
        <x:f>COUNTIFS('Material routes'!$B$6:$B$2205,A362,'Material routes'!$C$6:$C$2205,"Tool candidate")</x:f>
        <x:v>0</x:v>
      </x:c>
      <x:c r="L3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2" s="4" t="str">
        <x:v>Quantities, output yield, supporting inputs and compatibility remain undefined.</x:v>
      </x:c>
    </x:row>
    <x:row r="363" ht="90" customHeight="1">
      <x:c r="A363" s="4" t="str">
        <x:v>design.collection.food_grade_mineral_seasoning</x:v>
      </x:c>
      <x:c r="B363" s="4" t="str">
        <x:v>Food-grade mineral seasoning candidate preparation</x:v>
      </x:c>
      <x:c r="C363" s="4" t="str">
        <x:v>Material refinement</x:v>
      </x:c>
      <x:c r="D363" s="4" t="str">
        <x:v>Proposal</x:v>
      </x:c>
      <x:c r="E363" s="4" t="str">
        <x:v>Partial proposal</x:v>
      </x:c>
      <x:c r="F363" s="4" t="str">
        <x:v>Selected dietary mineral hypothesis, not industrial salt substitution</x:v>
      </x:c>
      <x:c r="G363" s="4" t="str">
        <x:v>Contained food-only vessels, Food preparation screen and dedicated food tools. Species/culture/mineral edibility and storage qualification unresolved.</x:v>
      </x:c>
      <x:c r="H363" s="4" t="str">
        <x:f>IF(I363=0,"Unassigned",IF(SUMIFS('Material routes'!$Q$6:$Q$2205,'Material routes'!$B$6:$B$2205,A363)&gt;0,"Unassigned","T"&amp;_xlfn.MAXIFS('Material routes'!$P$6:$P$2205,'Material routes'!$B$6:$B$2205,A363)))</x:f>
        <x:v>T0</x:v>
      </x:c>
      <x:c r="I363" s="4" t="n">
        <x:f>SUM(COUNTIFS('Material routes'!$B$6:$B$2205,A363,'Material routes'!$C$6:$C$2205,"Ingredient candidate"),COUNTIFS('Material routes'!$B$6:$B$2205,A363,'Material routes'!$C$6:$C$2205,"Consumed input"),COUNTIFS('Material routes'!$B$6:$B$2205,A363,'Material routes'!$C$6:$C$2205,"Contained input"),COUNTIFS('Material routes'!$B$6:$B$2205,A363,'Material routes'!$C$6:$C$2205,"Transform input"))</x:f>
        <x:v>1</x:v>
      </x:c>
      <x:c r="J363" s="4" t="n">
        <x:f>COUNTIFS('Material routes'!$B$6:$B$2205,A363,'Material routes'!$C$6:$C$2205,"Output")</x:f>
        <x:v>1</x:v>
      </x:c>
      <x:c r="K363" s="4" t="n">
        <x:f>COUNTIFS('Material routes'!$B$6:$B$2205,A363,'Material routes'!$C$6:$C$2205,"Tool candidate")</x:f>
        <x:v>0</x:v>
      </x:c>
      <x:c r="L3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3" s="4" t="str">
        <x:v>Quantities, output yield, supporting inputs and compatibility remain undefined. October 15 audit: candidate inputs / reusable prerequisites clarified. Structural coverage is not a qualified manufacturing recipe.</x:v>
      </x:c>
    </x:row>
    <x:row r="364" ht="90" customHeight="1">
      <x:c r="A364" s="4" t="str">
        <x:v>design.collection.selected_edible_fauna_gel</x:v>
      </x:c>
      <x:c r="B364" s="4" t="str">
        <x:v>Selected edible-fauna gel candidate preparation</x:v>
      </x:c>
      <x:c r="C364" s="4" t="str">
        <x:v>Material refinement</x:v>
      </x:c>
      <x:c r="D364" s="4" t="str">
        <x:v>Proposal</x:v>
      </x:c>
      <x:c r="E364" s="4" t="str">
        <x:v>Partial proposal</x:v>
      </x:c>
      <x:c r="F364" s="4" t="str">
        <x:v>Species-specific texture ingredient, screening unresolved</x:v>
      </x:c>
      <x:c r="G364" s="4" t="str">
        <x:v>Contained food-only vessels, Food preparation screen and dedicated food tools. Species/culture/mineral edibility and storage qualification unresolved.</x:v>
      </x:c>
      <x:c r="H364" s="4" t="str">
        <x:f>IF(I364=0,"Unassigned",IF(SUMIFS('Material routes'!$Q$6:$Q$2205,'Material routes'!$B$6:$B$2205,A364)&gt;0,"Unassigned","T"&amp;_xlfn.MAXIFS('Material routes'!$P$6:$P$2205,'Material routes'!$B$6:$B$2205,A364)))</x:f>
        <x:v>T0</x:v>
      </x:c>
      <x:c r="I364" s="4" t="n">
        <x:f>SUM(COUNTIFS('Material routes'!$B$6:$B$2205,A364,'Material routes'!$C$6:$C$2205,"Ingredient candidate"),COUNTIFS('Material routes'!$B$6:$B$2205,A364,'Material routes'!$C$6:$C$2205,"Consumed input"),COUNTIFS('Material routes'!$B$6:$B$2205,A364,'Material routes'!$C$6:$C$2205,"Contained input"),COUNTIFS('Material routes'!$B$6:$B$2205,A364,'Material routes'!$C$6:$C$2205,"Transform input"))</x:f>
        <x:v>1</x:v>
      </x:c>
      <x:c r="J364" s="4" t="n">
        <x:f>COUNTIFS('Material routes'!$B$6:$B$2205,A364,'Material routes'!$C$6:$C$2205,"Output")</x:f>
        <x:v>1</x:v>
      </x:c>
      <x:c r="K364" s="4" t="n">
        <x:f>COUNTIFS('Material routes'!$B$6:$B$2205,A364,'Material routes'!$C$6:$C$2205,"Tool candidate")</x:f>
        <x:v>0</x:v>
      </x:c>
      <x:c r="L3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4" s="4" t="str">
        <x:v>Quantities, output yield, supporting inputs and compatibility remain undefined.</x:v>
      </x:c>
    </x:row>
    <x:row r="365" ht="90" customHeight="1">
      <x:c r="A365" s="4" t="str">
        <x:v>design.collection.dried_edible_fauna_granules</x:v>
      </x:c>
      <x:c r="B365" s="4" t="str">
        <x:v>Dried edible-fauna granules candidate preparation</x:v>
      </x:c>
      <x:c r="C365" s="4" t="str">
        <x:v>Material refinement</x:v>
      </x:c>
      <x:c r="D365" s="4" t="str">
        <x:v>Proposal</x:v>
      </x:c>
      <x:c r="E365" s="4" t="str">
        <x:v>Partial proposal</x:v>
      </x:c>
      <x:c r="F365" s="4" t="str">
        <x:v>Small culinary solids from a selected edible fraction</x:v>
      </x:c>
      <x:c r="G365" s="4" t="str">
        <x:v>Contained food-only vessels, Food preparation screen and dedicated food tools. Species/culture/mineral edibility and storage qualification unresolved.</x:v>
      </x:c>
      <x:c r="H365" s="4" t="str">
        <x:f>IF(I365=0,"Unassigned",IF(SUMIFS('Material routes'!$Q$6:$Q$2205,'Material routes'!$B$6:$B$2205,A365)&gt;0,"Unassigned","T"&amp;_xlfn.MAXIFS('Material routes'!$P$6:$P$2205,'Material routes'!$B$6:$B$2205,A365)))</x:f>
        <x:v>T0</x:v>
      </x:c>
      <x:c r="I365" s="4" t="n">
        <x:f>SUM(COUNTIFS('Material routes'!$B$6:$B$2205,A365,'Material routes'!$C$6:$C$2205,"Ingredient candidate"),COUNTIFS('Material routes'!$B$6:$B$2205,A365,'Material routes'!$C$6:$C$2205,"Consumed input"),COUNTIFS('Material routes'!$B$6:$B$2205,A365,'Material routes'!$C$6:$C$2205,"Contained input"),COUNTIFS('Material routes'!$B$6:$B$2205,A365,'Material routes'!$C$6:$C$2205,"Transform input"))</x:f>
        <x:v>1</x:v>
      </x:c>
      <x:c r="J365" s="4" t="n">
        <x:f>COUNTIFS('Material routes'!$B$6:$B$2205,A365,'Material routes'!$C$6:$C$2205,"Output")</x:f>
        <x:v>1</x:v>
      </x:c>
      <x:c r="K365" s="4" t="n">
        <x:f>COUNTIFS('Material routes'!$B$6:$B$2205,A365,'Material routes'!$C$6:$C$2205,"Tool candidate")</x:f>
        <x:v>0</x:v>
      </x:c>
      <x:c r="L3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5" s="4" t="str">
        <x:v>Quantities, output yield, supporting inputs and compatibility remain undefined.</x:v>
      </x:c>
    </x:row>
    <x:row r="366" ht="90" customHeight="1">
      <x:c r="A366" s="4" t="str">
        <x:v>design.collection.strained_edible_fauna_broth_base</x:v>
      </x:c>
      <x:c r="B366" s="4" t="str">
        <x:v>Strained edible-fauna broth base candidate preparation</x:v>
      </x:c>
      <x:c r="C366" s="4" t="str">
        <x:v>Material refinement</x:v>
      </x:c>
      <x:c r="D366" s="4" t="str">
        <x:v>Proposal</x:v>
      </x:c>
      <x:c r="E366" s="4" t="str">
        <x:v>Partial proposal</x:v>
      </x:c>
      <x:c r="F366" s="4" t="str">
        <x:v>Contained culinary extract, no free-water premise</x:v>
      </x:c>
      <x:c r="G366" s="4" t="str">
        <x:v>Contained food-only vessels, Food preparation screen and dedicated food tools. Species/culture/mineral edibility and storage qualification unresolved.</x:v>
      </x:c>
      <x:c r="H366" s="4" t="str">
        <x:f>IF(I366=0,"Unassigned",IF(SUMIFS('Material routes'!$Q$6:$Q$2205,'Material routes'!$B$6:$B$2205,A366)&gt;0,"Unassigned","T"&amp;_xlfn.MAXIFS('Material routes'!$P$6:$P$2205,'Material routes'!$B$6:$B$2205,A366)))</x:f>
        <x:v>T1</x:v>
      </x:c>
      <x:c r="I366" s="4" t="n">
        <x:f>SUM(COUNTIFS('Material routes'!$B$6:$B$2205,A366,'Material routes'!$C$6:$C$2205,"Ingredient candidate"),COUNTIFS('Material routes'!$B$6:$B$2205,A366,'Material routes'!$C$6:$C$2205,"Consumed input"),COUNTIFS('Material routes'!$B$6:$B$2205,A366,'Material routes'!$C$6:$C$2205,"Contained input"),COUNTIFS('Material routes'!$B$6:$B$2205,A366,'Material routes'!$C$6:$C$2205,"Transform input"))</x:f>
        <x:v>2</x:v>
      </x:c>
      <x:c r="J366" s="4" t="n">
        <x:f>COUNTIFS('Material routes'!$B$6:$B$2205,A366,'Material routes'!$C$6:$C$2205,"Output")</x:f>
        <x:v>1</x:v>
      </x:c>
      <x:c r="K366" s="4" t="n">
        <x:f>COUNTIFS('Material routes'!$B$6:$B$2205,A366,'Material routes'!$C$6:$C$2205,"Tool candidate")</x:f>
        <x:v>0</x:v>
      </x:c>
      <x:c r="L36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6" s="4" t="str">
        <x:v>Quantities, output yield, supporting inputs and compatibility remain undefined.</x:v>
      </x:c>
    </x:row>
    <x:row r="367" ht="90" customHeight="1">
      <x:c r="A367" s="4"/>
      <x:c r="B367" s="4"/>
      <x:c r="C367" s="4"/>
      <x:c r="D367" s="4"/>
      <x:c r="E367" s="4"/>
      <x:c r="F367" s="4"/>
      <x:c r="G367" s="4"/>
      <x:c r="H367" s="4"/>
      <x:c r="I367" s="4"/>
      <x:c r="J367" s="4"/>
      <x:c r="K367" s="4"/>
      <x:c r="L367" s="4"/>
      <x:c r="M367" s="4"/>
    </x:row>
    <x:row r="368" ht="90" customHeight="1">
      <x:c r="A368" s="4" t="str">
        <x:v>design.collection.cooked_edible_fauna_morsels</x:v>
      </x:c>
      <x:c r="B368" s="4" t="str">
        <x:v>Cooked edible-fauna morsels candidate preparation</x:v>
      </x:c>
      <x:c r="C368" s="4" t="str">
        <x:v>Material refinement</x:v>
      </x:c>
      <x:c r="D368" s="4" t="str">
        <x:v>Proposal</x:v>
      </x:c>
      <x:c r="E368" s="4" t="str">
        <x:v>Partial proposal</x:v>
      </x:c>
      <x:c r="F368" s="4" t="str">
        <x:v>Prepared minor delicacy ingredient with low nutrition assumed</x:v>
      </x:c>
      <x:c r="G368" s="4" t="str">
        <x:v>Contained food-only vessels, Food preparation screen and dedicated food tools. Species/culture/mineral edibility and storage qualification unresolved.</x:v>
      </x:c>
      <x:c r="H368" s="4" t="str">
        <x:f>IF(I368=0,"Unassigned",IF(SUMIFS('Material routes'!$Q$6:$Q$2205,'Material routes'!$B$6:$B$2205,A368)&gt;0,"Unassigned","T"&amp;_xlfn.MAXIFS('Material routes'!$P$6:$P$2205,'Material routes'!$B$6:$B$2205,A368)))</x:f>
        <x:v>T0</x:v>
      </x:c>
      <x:c r="I368" s="4" t="n">
        <x:f>SUM(COUNTIFS('Material routes'!$B$6:$B$2205,A368,'Material routes'!$C$6:$C$2205,"Ingredient candidate"),COUNTIFS('Material routes'!$B$6:$B$2205,A368,'Material routes'!$C$6:$C$2205,"Consumed input"),COUNTIFS('Material routes'!$B$6:$B$2205,A368,'Material routes'!$C$6:$C$2205,"Contained input"),COUNTIFS('Material routes'!$B$6:$B$2205,A368,'Material routes'!$C$6:$C$2205,"Transform input"))</x:f>
        <x:v>1</x:v>
      </x:c>
      <x:c r="J368" s="4" t="n">
        <x:f>COUNTIFS('Material routes'!$B$6:$B$2205,A368,'Material routes'!$C$6:$C$2205,"Output")</x:f>
        <x:v>1</x:v>
      </x:c>
      <x:c r="K368" s="4" t="n">
        <x:f>COUNTIFS('Material routes'!$B$6:$B$2205,A368,'Material routes'!$C$6:$C$2205,"Tool candidate")</x:f>
        <x:v>0</x:v>
      </x:c>
      <x:c r="L36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8" s="4" t="str">
        <x:v>Quantities, output yield, supporting inputs and compatibility remain undefined.</x:v>
      </x:c>
    </x:row>
    <x:row r="369" ht="90" customHeight="1">
      <x:c r="A369" s="4" t="str">
        <x:v>design.collection.culinary_fauna_aroma_fraction</x:v>
      </x:c>
      <x:c r="B369" s="4" t="str">
        <x:v>Culinary fauna aroma fraction candidate preparation</x:v>
      </x:c>
      <x:c r="C369" s="4" t="str">
        <x:v>Material refinement</x:v>
      </x:c>
      <x:c r="D369" s="4" t="str">
        <x:v>Proposal</x:v>
      </x:c>
      <x:c r="E369" s="4" t="str">
        <x:v>Partial proposal</x:v>
      </x:c>
      <x:c r="F369" s="4" t="str">
        <x:v>Trace flavor ingredient from selected edible tissue</x:v>
      </x:c>
      <x:c r="G369" s="4" t="str">
        <x:v>Contained food-only vessels, Food preparation screen and dedicated food tools. Species/culture/mineral edibility and storage qualification unresolved.</x:v>
      </x:c>
      <x:c r="H369" s="4" t="str">
        <x:f>IF(I369=0,"Unassigned",IF(SUMIFS('Material routes'!$Q$6:$Q$2205,'Material routes'!$B$6:$B$2205,A369)&gt;0,"Unassigned","T"&amp;_xlfn.MAXIFS('Material routes'!$P$6:$P$2205,'Material routes'!$B$6:$B$2205,A369)))</x:f>
        <x:v>T0</x:v>
      </x:c>
      <x:c r="I369" s="4" t="n">
        <x:f>SUM(COUNTIFS('Material routes'!$B$6:$B$2205,A369,'Material routes'!$C$6:$C$2205,"Ingredient candidate"),COUNTIFS('Material routes'!$B$6:$B$2205,A369,'Material routes'!$C$6:$C$2205,"Consumed input"),COUNTIFS('Material routes'!$B$6:$B$2205,A369,'Material routes'!$C$6:$C$2205,"Contained input"),COUNTIFS('Material routes'!$B$6:$B$2205,A369,'Material routes'!$C$6:$C$2205,"Transform input"))</x:f>
        <x:v>1</x:v>
      </x:c>
      <x:c r="J369" s="4" t="n">
        <x:f>COUNTIFS('Material routes'!$B$6:$B$2205,A369,'Material routes'!$C$6:$C$2205,"Output")</x:f>
        <x:v>1</x:v>
      </x:c>
      <x:c r="K369" s="4" t="n">
        <x:f>COUNTIFS('Material routes'!$B$6:$B$2205,A369,'Material routes'!$C$6:$C$2205,"Tool candidate")</x:f>
        <x:v>0</x:v>
      </x:c>
      <x:c r="L3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9" s="4" t="str">
        <x:v>Quantities, output yield, supporting inputs and compatibility remain undefined.</x:v>
      </x:c>
    </x:row>
    <x:row r="370" ht="90" customHeight="1">
      <x:c r="A370" s="4" t="str">
        <x:v>design.collection.phagia_fauna_savory_filling</x:v>
      </x:c>
      <x:c r="B370" s="4" t="str">
        <x:v>Phagia-fauna savory filling candidate preparation</x:v>
      </x:c>
      <x:c r="C370" s="4" t="str">
        <x:v>Material refinement</x:v>
      </x:c>
      <x:c r="D370" s="4" t="str">
        <x:v>Proposal</x:v>
      </x:c>
      <x:c r="E370" s="4" t="str">
        <x:v>Partial proposal</x:v>
      </x:c>
      <x:c r="F370" s="4" t="str">
        <x:v>Prepared mixed filling for a scarce delicacy</x:v>
      </x:c>
      <x:c r="G370" s="4" t="str">
        <x:v>Contained food-only vessels, Food preparation screen and dedicated food tools. Species/culture/mineral edibility and storage qualification unresolved.</x:v>
      </x:c>
      <x:c r="H370" s="4" t="str">
        <x:f>IF(I370=0,"Unassigned",IF(SUMIFS('Material routes'!$Q$6:$Q$2205,'Material routes'!$B$6:$B$2205,A370)&gt;0,"Unassigned","T"&amp;_xlfn.MAXIFS('Material routes'!$P$6:$P$2205,'Material routes'!$B$6:$B$2205,A370)))</x:f>
        <x:v>T1</x:v>
      </x:c>
      <x:c r="I370" s="4" t="n">
        <x:f>SUM(COUNTIFS('Material routes'!$B$6:$B$2205,A370,'Material routes'!$C$6:$C$2205,"Ingredient candidate"),COUNTIFS('Material routes'!$B$6:$B$2205,A370,'Material routes'!$C$6:$C$2205,"Consumed input"),COUNTIFS('Material routes'!$B$6:$B$2205,A370,'Material routes'!$C$6:$C$2205,"Contained input"),COUNTIFS('Material routes'!$B$6:$B$2205,A370,'Material routes'!$C$6:$C$2205,"Transform input"))</x:f>
        <x:v>2</x:v>
      </x:c>
      <x:c r="J370" s="4" t="n">
        <x:f>COUNTIFS('Material routes'!$B$6:$B$2205,A370,'Material routes'!$C$6:$C$2205,"Output")</x:f>
        <x:v>1</x:v>
      </x:c>
      <x:c r="K370" s="4" t="n">
        <x:f>COUNTIFS('Material routes'!$B$6:$B$2205,A370,'Material routes'!$C$6:$C$2205,"Tool candidate")</x:f>
        <x:v>0</x:v>
      </x:c>
      <x:c r="L37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0" s="4" t="str">
        <x:v>Quantities, output yield, supporting inputs and compatibility remain undefined.</x:v>
      </x:c>
    </x:row>
    <x:row r="371" ht="90" customHeight="1">
      <x:c r="A371" s="4" t="str">
        <x:v>design.collection.pressed_phagia_travel_cake</x:v>
      </x:c>
      <x:c r="B371" s="4" t="str">
        <x:v>Pressed Phagia travel cake candidate preparation</x:v>
      </x:c>
      <x:c r="C371" s="4" t="str">
        <x:v>Finished-item crafting</x:v>
      </x:c>
      <x:c r="D371" s="4" t="str">
        <x:v>Proposal</x:v>
      </x:c>
      <x:c r="E371" s="4" t="str">
        <x:v>Partial proposal</x:v>
      </x:c>
      <x:c r="F371" s="4" t="str">
        <x:v>Dense packed meal with a firm texture</x:v>
      </x:c>
      <x:c r="G371" s="4" t="str">
        <x:v>Contained food-only vessels, Food preparation screen and dedicated food tools. Species/culture/mineral edibility and storage qualification unresolved.</x:v>
      </x:c>
      <x:c r="H371" s="4" t="str">
        <x:f>IF(I371=0,"Unassigned",IF(SUMIFS('Material routes'!$Q$6:$Q$2205,'Material routes'!$B$6:$B$2205,A371)&gt;0,"Unassigned","T"&amp;_xlfn.MAXIFS('Material routes'!$P$6:$P$2205,'Material routes'!$B$6:$B$2205,A371)))</x:f>
        <x:v>T1</x:v>
      </x:c>
      <x:c r="I371" s="4" t="n">
        <x:f>SUM(COUNTIFS('Material routes'!$B$6:$B$2205,A371,'Material routes'!$C$6:$C$2205,"Ingredient candidate"),COUNTIFS('Material routes'!$B$6:$B$2205,A371,'Material routes'!$C$6:$C$2205,"Consumed input"),COUNTIFS('Material routes'!$B$6:$B$2205,A371,'Material routes'!$C$6:$C$2205,"Contained input"),COUNTIFS('Material routes'!$B$6:$B$2205,A371,'Material routes'!$C$6:$C$2205,"Transform input"))</x:f>
        <x:v>2</x:v>
      </x:c>
      <x:c r="J371" s="4" t="n">
        <x:f>COUNTIFS('Material routes'!$B$6:$B$2205,A371,'Material routes'!$C$6:$C$2205,"Output")</x:f>
        <x:v>1</x:v>
      </x:c>
      <x:c r="K371" s="4" t="n">
        <x:f>COUNTIFS('Material routes'!$B$6:$B$2205,A371,'Material routes'!$C$6:$C$2205,"Tool candidate")</x:f>
        <x:v>0</x:v>
      </x:c>
      <x:c r="L3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1" s="4" t="str">
        <x:v>Quantities, output yield, supporting inputs and compatibility remain undefined.</x:v>
      </x:c>
    </x:row>
    <x:row r="372" ht="90" customHeight="1">
      <x:c r="A372" s="4"/>
      <x:c r="B372" s="4"/>
      <x:c r="C372" s="4"/>
      <x:c r="D372" s="4"/>
      <x:c r="E372" s="4"/>
      <x:c r="F372" s="4"/>
      <x:c r="G372" s="4"/>
      <x:c r="H372" s="4"/>
      <x:c r="I372" s="4"/>
      <x:c r="J372" s="4"/>
      <x:c r="K372" s="4"/>
      <x:c r="L372" s="4"/>
      <x:c r="M372" s="4"/>
    </x:row>
    <x:row r="373" ht="90" customHeight="1">
      <x:c r="A373" s="4" t="str">
        <x:v>design.collection.layered_savory_phagia_parcel</x:v>
      </x:c>
      <x:c r="B373" s="4" t="str">
        <x:v>Layered savory Phagia parcel candidate preparation</x:v>
      </x:c>
      <x:c r="C373" s="4" t="str">
        <x:v>Finished-item crafting</x:v>
      </x:c>
      <x:c r="D373" s="4" t="str">
        <x:v>Proposal</x:v>
      </x:c>
      <x:c r="E373" s="4" t="str">
        <x:v>Partial proposal</x:v>
      </x:c>
      <x:c r="F373" s="4" t="str">
        <x:v>Layered pressed flakes around a prepared filling</x:v>
      </x:c>
      <x:c r="G373" s="4" t="str">
        <x:v>Contained food-only vessels, Food preparation screen and dedicated food tools. Species/culture/mineral edibility and storage qualification unresolved.</x:v>
      </x:c>
      <x:c r="H373" s="4" t="str">
        <x:f>IF(I373=0,"Unassigned",IF(SUMIFS('Material routes'!$Q$6:$Q$2205,'Material routes'!$B$6:$B$2205,A373)&gt;0,"Unassigned","T"&amp;_xlfn.MAXIFS('Material routes'!$P$6:$P$2205,'Material routes'!$B$6:$B$2205,A373)))</x:f>
        <x:v>T2</x:v>
      </x:c>
      <x:c r="I373" s="4" t="n">
        <x:f>SUM(COUNTIFS('Material routes'!$B$6:$B$2205,A373,'Material routes'!$C$6:$C$2205,"Ingredient candidate"),COUNTIFS('Material routes'!$B$6:$B$2205,A373,'Material routes'!$C$6:$C$2205,"Consumed input"),COUNTIFS('Material routes'!$B$6:$B$2205,A373,'Material routes'!$C$6:$C$2205,"Contained input"),COUNTIFS('Material routes'!$B$6:$B$2205,A373,'Material routes'!$C$6:$C$2205,"Transform input"))</x:f>
        <x:v>2</x:v>
      </x:c>
      <x:c r="J373" s="4" t="n">
        <x:f>COUNTIFS('Material routes'!$B$6:$B$2205,A373,'Material routes'!$C$6:$C$2205,"Output")</x:f>
        <x:v>1</x:v>
      </x:c>
      <x:c r="K373" s="4" t="n">
        <x:f>COUNTIFS('Material routes'!$B$6:$B$2205,A373,'Material routes'!$C$6:$C$2205,"Tool candidate")</x:f>
        <x:v>0</x:v>
      </x:c>
      <x:c r="L37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3" s="4" t="str">
        <x:v>Quantities, output yield, supporting inputs and compatibility remain undefined.</x:v>
      </x:c>
    </x:row>
    <x:row r="374" ht="90" customHeight="1">
      <x:c r="A374" s="4"/>
      <x:c r="B374" s="4"/>
      <x:c r="C374" s="4"/>
      <x:c r="D374" s="4"/>
      <x:c r="E374" s="4"/>
      <x:c r="F374" s="4"/>
      <x:c r="G374" s="4"/>
      <x:c r="H374" s="4"/>
      <x:c r="I374" s="4"/>
      <x:c r="J374" s="4"/>
      <x:c r="K374" s="4"/>
      <x:c r="L374" s="4"/>
      <x:c r="M374" s="4"/>
    </x:row>
    <x:row r="375" ht="90" customHeight="1">
      <x:c r="A375" s="4" t="str">
        <x:v>design.collection.smooth_phagia_curd_drink</x:v>
      </x:c>
      <x:c r="B375" s="4" t="str">
        <x:v>Smooth Phagia curd drink candidate preparation</x:v>
      </x:c>
      <x:c r="C375" s="4" t="str">
        <x:v>Finished-item crafting</x:v>
      </x:c>
      <x:c r="D375" s="4" t="str">
        <x:v>Proposal</x:v>
      </x:c>
      <x:c r="E375" s="4" t="str">
        <x:v>Partial proposal</x:v>
      </x:c>
      <x:c r="F375" s="4" t="str">
        <x:v>Suspended fine curd drink with a thick texture</x:v>
      </x:c>
      <x:c r="G375" s="4" t="str">
        <x:v>Contained food-only vessels, Food preparation screen and dedicated food tools. Species/culture/mineral edibility and storage qualification unresolved.</x:v>
      </x:c>
      <x:c r="H375" s="4" t="str">
        <x:f>IF(I375=0,"Unassigned",IF(SUMIFS('Material routes'!$Q$6:$Q$2205,'Material routes'!$B$6:$B$2205,A375)&gt;0,"Unassigned","T"&amp;_xlfn.MAXIFS('Material routes'!$P$6:$P$2205,'Material routes'!$B$6:$B$2205,A375)))</x:f>
        <x:v>T1</x:v>
      </x:c>
      <x:c r="I375" s="4" t="n">
        <x:f>SUM(COUNTIFS('Material routes'!$B$6:$B$2205,A375,'Material routes'!$C$6:$C$2205,"Ingredient candidate"),COUNTIFS('Material routes'!$B$6:$B$2205,A375,'Material routes'!$C$6:$C$2205,"Consumed input"),COUNTIFS('Material routes'!$B$6:$B$2205,A375,'Material routes'!$C$6:$C$2205,"Contained input"),COUNTIFS('Material routes'!$B$6:$B$2205,A375,'Material routes'!$C$6:$C$2205,"Transform input"))</x:f>
        <x:v>2</x:v>
      </x:c>
      <x:c r="J375" s="4" t="n">
        <x:f>COUNTIFS('Material routes'!$B$6:$B$2205,A375,'Material routes'!$C$6:$C$2205,"Output")</x:f>
        <x:v>1</x:v>
      </x:c>
      <x:c r="K375" s="4" t="n">
        <x:f>COUNTIFS('Material routes'!$B$6:$B$2205,A375,'Material routes'!$C$6:$C$2205,"Tool candidate")</x:f>
        <x:v>0</x:v>
      </x:c>
      <x:c r="L37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5" s="4" t="str">
        <x:v>Quantities, output yield, supporting inputs and compatibility remain undefined.</x:v>
      </x:c>
    </x:row>
    <x:row r="376" ht="90" customHeight="1">
      <x:c r="A376" s="4"/>
      <x:c r="B376" s="4"/>
      <x:c r="C376" s="4"/>
      <x:c r="D376" s="4"/>
      <x:c r="E376" s="4"/>
      <x:c r="F376" s="4"/>
      <x:c r="G376" s="4"/>
      <x:c r="H376" s="4"/>
      <x:c r="I376" s="4"/>
      <x:c r="J376" s="4"/>
      <x:c r="K376" s="4"/>
      <x:c r="L376" s="4"/>
      <x:c r="M376" s="4"/>
    </x:row>
    <x:row r="377" ht="90" customHeight="1">
      <x:c r="A377" s="4" t="str">
        <x:v>design.collection.savory_mineral_phagia_drink</x:v>
      </x:c>
      <x:c r="B377" s="4" t="str">
        <x:v>Savory mineral Phagia drink candidate preparation</x:v>
      </x:c>
      <x:c r="C377" s="4" t="str">
        <x:v>Finished-item crafting</x:v>
      </x:c>
      <x:c r="D377" s="4" t="str">
        <x:v>Proposal</x:v>
      </x:c>
      <x:c r="E377" s="4" t="str">
        <x:v>Partial proposal</x:v>
      </x:c>
      <x:c r="F377" s="4" t="str">
        <x:v>Candidate food-grade seasoning drink</x:v>
      </x:c>
      <x:c r="G377" s="4" t="str">
        <x:v>Contained food-only vessels, Food preparation screen and dedicated food tools. Species/culture/mineral edibility and storage qualification unresolved.</x:v>
      </x:c>
      <x:c r="H377" s="4" t="str">
        <x:f>IF(I377=0,"Unassigned",IF(SUMIFS('Material routes'!$Q$6:$Q$2205,'Material routes'!$B$6:$B$2205,A377)&gt;0,"Unassigned","T"&amp;_xlfn.MAXIFS('Material routes'!$P$6:$P$2205,'Material routes'!$B$6:$B$2205,A377)))</x:f>
        <x:v>T1</x:v>
      </x:c>
      <x:c r="I377" s="4" t="n">
        <x:f>SUM(COUNTIFS('Material routes'!$B$6:$B$2205,A377,'Material routes'!$C$6:$C$2205,"Ingredient candidate"),COUNTIFS('Material routes'!$B$6:$B$2205,A377,'Material routes'!$C$6:$C$2205,"Consumed input"),COUNTIFS('Material routes'!$B$6:$B$2205,A377,'Material routes'!$C$6:$C$2205,"Contained input"),COUNTIFS('Material routes'!$B$6:$B$2205,A377,'Material routes'!$C$6:$C$2205,"Transform input"))</x:f>
        <x:v>2</x:v>
      </x:c>
      <x:c r="J377" s="4" t="n">
        <x:f>COUNTIFS('Material routes'!$B$6:$B$2205,A377,'Material routes'!$C$6:$C$2205,"Output")</x:f>
        <x:v>1</x:v>
      </x:c>
      <x:c r="K377" s="4" t="n">
        <x:f>COUNTIFS('Material routes'!$B$6:$B$2205,A377,'Material routes'!$C$6:$C$2205,"Tool candidate")</x:f>
        <x:v>0</x:v>
      </x:c>
      <x:c r="L3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7" s="4" t="str">
        <x:v>Quantities, output yield, supporting inputs and compatibility remain undefined.</x:v>
      </x:c>
    </x:row>
    <x:row r="378" ht="90" customHeight="1">
      <x:c r="A378" s="4"/>
      <x:c r="B378" s="4"/>
      <x:c r="C378" s="4"/>
      <x:c r="D378" s="4"/>
      <x:c r="E378" s="4"/>
      <x:c r="F378" s="4"/>
      <x:c r="G378" s="4"/>
      <x:c r="H378" s="4"/>
      <x:c r="I378" s="4"/>
      <x:c r="J378" s="4"/>
      <x:c r="K378" s="4"/>
      <x:c r="L378" s="4"/>
      <x:c r="M378" s="4"/>
    </x:row>
    <x:row r="379" ht="90" customHeight="1">
      <x:c r="A379" s="4"/>
      <x:c r="B379" s="4"/>
      <x:c r="C379" s="4"/>
      <x:c r="D379" s="4"/>
      <x:c r="E379" s="4"/>
      <x:c r="F379" s="4"/>
      <x:c r="G379" s="4"/>
      <x:c r="H379" s="4"/>
      <x:c r="I379" s="4"/>
      <x:c r="J379" s="4"/>
      <x:c r="K379" s="4"/>
      <x:c r="L379" s="4"/>
      <x:c r="M379" s="4"/>
    </x:row>
    <x:row r="380" ht="90" customHeight="1">
      <x:c r="A380" s="4"/>
      <x:c r="B380" s="4"/>
      <x:c r="C380" s="4"/>
      <x:c r="D380" s="4"/>
      <x:c r="E380" s="4"/>
      <x:c r="F380" s="4"/>
      <x:c r="G380" s="4"/>
      <x:c r="H380" s="4"/>
      <x:c r="I380" s="4"/>
      <x:c r="J380" s="4"/>
      <x:c r="K380" s="4"/>
      <x:c r="L380" s="4"/>
      <x:c r="M380" s="4"/>
    </x:row>
    <x:row r="381" ht="90" customHeight="1">
      <x:c r="A381" s="4"/>
      <x:c r="B381" s="4"/>
      <x:c r="C381" s="4"/>
      <x:c r="D381" s="4"/>
      <x:c r="E381" s="4"/>
      <x:c r="F381" s="4"/>
      <x:c r="G381" s="4"/>
      <x:c r="H381" s="4"/>
      <x:c r="I381" s="4"/>
      <x:c r="J381" s="4"/>
      <x:c r="K381" s="4"/>
      <x:c r="L381" s="4"/>
      <x:c r="M381" s="4"/>
    </x:row>
    <x:row r="382" ht="90" customHeight="1">
      <x:c r="A382" s="4" t="str">
        <x:v>design.collection.warm_phagia_meal_drink</x:v>
      </x:c>
      <x:c r="B382" s="4" t="str">
        <x:v>Warm Phagia meal drink candidate preparation</x:v>
      </x:c>
      <x:c r="C382" s="4" t="str">
        <x:v>Finished-item crafting</x:v>
      </x:c>
      <x:c r="D382" s="4" t="str">
        <x:v>Proposal</x:v>
      </x:c>
      <x:c r="E382" s="4" t="str">
        <x:v>Partial proposal</x:v>
      </x:c>
      <x:c r="F382" s="4" t="str">
        <x:v>Heated drinkable meal, heating conditions unresolved</x:v>
      </x:c>
      <x:c r="G382" s="4" t="str">
        <x:v>Contained food-only vessels, Food preparation screen and dedicated food tools. Species/culture/mineral edibility and storage qualification unresolved.</x:v>
      </x:c>
      <x:c r="H382" s="4" t="str">
        <x:f>IF(I382=0,"Unassigned",IF(SUMIFS('Material routes'!$Q$6:$Q$2205,'Material routes'!$B$6:$B$2205,A382)&gt;0,"Unassigned","T"&amp;_xlfn.MAXIFS('Material routes'!$P$6:$P$2205,'Material routes'!$B$6:$B$2205,A382)))</x:f>
        <x:v>T1</x:v>
      </x:c>
      <x:c r="I382" s="4" t="n">
        <x:f>SUM(COUNTIFS('Material routes'!$B$6:$B$2205,A382,'Material routes'!$C$6:$C$2205,"Ingredient candidate"),COUNTIFS('Material routes'!$B$6:$B$2205,A382,'Material routes'!$C$6:$C$2205,"Consumed input"),COUNTIFS('Material routes'!$B$6:$B$2205,A382,'Material routes'!$C$6:$C$2205,"Contained input"),COUNTIFS('Material routes'!$B$6:$B$2205,A382,'Material routes'!$C$6:$C$2205,"Transform input"))</x:f>
        <x:v>2</x:v>
      </x:c>
      <x:c r="J382" s="4" t="n">
        <x:f>COUNTIFS('Material routes'!$B$6:$B$2205,A382,'Material routes'!$C$6:$C$2205,"Output")</x:f>
        <x:v>1</x:v>
      </x:c>
      <x:c r="K382" s="4" t="n">
        <x:f>COUNTIFS('Material routes'!$B$6:$B$2205,A382,'Material routes'!$C$6:$C$2205,"Tool candidate")</x:f>
        <x:v>0</x:v>
      </x:c>
      <x:c r="L3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2" s="4" t="str">
        <x:v>Quantities, output yield, supporting inputs and compatibility remain undefined.</x:v>
      </x:c>
    </x:row>
    <x:row r="383" ht="90" customHeight="1">
      <x:c r="A383" s="4" t="str">
        <x:v>design.collection.cool_cellar_phagia_drink</x:v>
      </x:c>
      <x:c r="B383" s="4" t="str">
        <x:v>Cool-cellar Phagia drink candidate preparation</x:v>
      </x:c>
      <x:c r="C383" s="4" t="str">
        <x:v>Finished-item crafting</x:v>
      </x:c>
      <x:c r="D383" s="4" t="str">
        <x:v>Proposal</x:v>
      </x:c>
      <x:c r="E383" s="4" t="str">
        <x:v>Partial proposal</x:v>
      </x:c>
      <x:c r="F383" s="4" t="str">
        <x:v>Cooled serving using a dry cellar rather than ice or free water</x:v>
      </x:c>
      <x:c r="G383" s="4" t="str">
        <x:v>Contained food-only vessels, Food preparation screen and dedicated food tools. Species/culture/mineral edibility and storage qualification unresolved.</x:v>
      </x:c>
      <x:c r="H383" s="4" t="str">
        <x:f>IF(I383=0,"Unassigned",IF(SUMIFS('Material routes'!$Q$6:$Q$2205,'Material routes'!$B$6:$B$2205,A383)&gt;0,"Unassigned","T"&amp;_xlfn.MAXIFS('Material routes'!$P$6:$P$2205,'Material routes'!$B$6:$B$2205,A383)))</x:f>
        <x:v>T1</x:v>
      </x:c>
      <x:c r="I383" s="4" t="n">
        <x:f>SUM(COUNTIFS('Material routes'!$B$6:$B$2205,A383,'Material routes'!$C$6:$C$2205,"Ingredient candidate"),COUNTIFS('Material routes'!$B$6:$B$2205,A383,'Material routes'!$C$6:$C$2205,"Consumed input"),COUNTIFS('Material routes'!$B$6:$B$2205,A383,'Material routes'!$C$6:$C$2205,"Contained input"),COUNTIFS('Material routes'!$B$6:$B$2205,A383,'Material routes'!$C$6:$C$2205,"Transform input"))</x:f>
        <x:v>1</x:v>
      </x:c>
      <x:c r="J383" s="4" t="n">
        <x:f>COUNTIFS('Material routes'!$B$6:$B$2205,A383,'Material routes'!$C$6:$C$2205,"Output")</x:f>
        <x:v>1</x:v>
      </x:c>
      <x:c r="K383" s="4" t="n">
        <x:f>COUNTIFS('Material routes'!$B$6:$B$2205,A383,'Material routes'!$C$6:$C$2205,"Tool candidate")</x:f>
        <x:v>0</x:v>
      </x:c>
      <x:c r="L38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3" s="4" t="str">
        <x:v>Quantities, output yield, supporting inputs and compatibility remain undefined.</x:v>
      </x:c>
    </x:row>
    <x:row r="384" ht="90" customHeight="1">
      <x:c r="A384" s="4" t="str">
        <x:v>design.collection.phagia_fauna_savory_broth</x:v>
      </x:c>
      <x:c r="B384" s="4" t="str">
        <x:v>Phagia-fauna savory broth candidate preparation</x:v>
      </x:c>
      <x:c r="C384" s="4" t="str">
        <x:v>Finished-item crafting</x:v>
      </x:c>
      <x:c r="D384" s="4" t="str">
        <x:v>Proposal</x:v>
      </x:c>
      <x:c r="E384" s="4" t="str">
        <x:v>Partial proposal</x:v>
      </x:c>
      <x:c r="F384" s="4" t="str">
        <x:v>Rare culinary broth from a selected edible fauna source</x:v>
      </x:c>
      <x:c r="G384" s="4" t="str">
        <x:v>Contained food-only vessels, Food preparation screen and dedicated food tools. Species/culture/mineral edibility and storage qualification unresolved.</x:v>
      </x:c>
      <x:c r="H384" s="4" t="str">
        <x:f>IF(I384=0,"Unassigned",IF(SUMIFS('Material routes'!$Q$6:$Q$2205,'Material routes'!$B$6:$B$2205,A384)&gt;0,"Unassigned","T"&amp;_xlfn.MAXIFS('Material routes'!$P$6:$P$2205,'Material routes'!$B$6:$B$2205,A384)))</x:f>
        <x:v>T2</x:v>
      </x:c>
      <x:c r="I384" s="4" t="n">
        <x:f>SUM(COUNTIFS('Material routes'!$B$6:$B$2205,A384,'Material routes'!$C$6:$C$2205,"Ingredient candidate"),COUNTIFS('Material routes'!$B$6:$B$2205,A384,'Material routes'!$C$6:$C$2205,"Consumed input"),COUNTIFS('Material routes'!$B$6:$B$2205,A384,'Material routes'!$C$6:$C$2205,"Contained input"),COUNTIFS('Material routes'!$B$6:$B$2205,A384,'Material routes'!$C$6:$C$2205,"Transform input"))</x:f>
        <x:v>2</x:v>
      </x:c>
      <x:c r="J384" s="4" t="n">
        <x:f>COUNTIFS('Material routes'!$B$6:$B$2205,A384,'Material routes'!$C$6:$C$2205,"Output")</x:f>
        <x:v>1</x:v>
      </x:c>
      <x:c r="K384" s="4" t="n">
        <x:f>COUNTIFS('Material routes'!$B$6:$B$2205,A384,'Material routes'!$C$6:$C$2205,"Tool candidate")</x:f>
        <x:v>0</x:v>
      </x:c>
      <x:c r="L3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4" s="4" t="str">
        <x:v>Quantities, output yield, supporting inputs and compatibility remain undefined.</x:v>
      </x:c>
    </x:row>
    <x:row r="385" ht="90" customHeight="1">
      <x:c r="A385" s="4"/>
      <x:c r="B385" s="4"/>
      <x:c r="C385" s="4"/>
      <x:c r="D385" s="4"/>
      <x:c r="E385" s="4"/>
      <x:c r="F385" s="4"/>
      <x:c r="G385" s="4"/>
      <x:c r="H385" s="4"/>
      <x:c r="I385" s="4"/>
      <x:c r="J385" s="4"/>
      <x:c r="K385" s="4"/>
      <x:c r="L385" s="4"/>
      <x:c r="M385" s="4"/>
    </x:row>
    <x:row r="386" ht="90" customHeight="1">
      <x:c r="A386" s="4" t="str">
        <x:v>design.collection.phagia_aroma_tasting_cup</x:v>
      </x:c>
      <x:c r="B386" s="4" t="str">
        <x:v>Phagia aroma tasting cup candidate preparation</x:v>
      </x:c>
      <x:c r="C386" s="4" t="str">
        <x:v>Finished-item crafting</x:v>
      </x:c>
      <x:c r="D386" s="4" t="str">
        <x:v>Proposal</x:v>
      </x:c>
      <x:c r="E386" s="4" t="str">
        <x:v>Partial proposal</x:v>
      </x:c>
      <x:c r="F386" s="4" t="str">
        <x:v>Trace fauna-flavored drink for specialist cooks</x:v>
      </x:c>
      <x:c r="G386" s="4" t="str">
        <x:v>Contained food-only vessels, Food preparation screen and dedicated food tools. Species/culture/mineral edibility and storage qualification unresolved.</x:v>
      </x:c>
      <x:c r="H386" s="4" t="str">
        <x:f>IF(I386=0,"Unassigned",IF(SUMIFS('Material routes'!$Q$6:$Q$2205,'Material routes'!$B$6:$B$2205,A386)&gt;0,"Unassigned","T"&amp;_xlfn.MAXIFS('Material routes'!$P$6:$P$2205,'Material routes'!$B$6:$B$2205,A386)))</x:f>
        <x:v>T1</x:v>
      </x:c>
      <x:c r="I386" s="4" t="n">
        <x:f>SUM(COUNTIFS('Material routes'!$B$6:$B$2205,A386,'Material routes'!$C$6:$C$2205,"Ingredient candidate"),COUNTIFS('Material routes'!$B$6:$B$2205,A386,'Material routes'!$C$6:$C$2205,"Consumed input"),COUNTIFS('Material routes'!$B$6:$B$2205,A386,'Material routes'!$C$6:$C$2205,"Contained input"),COUNTIFS('Material routes'!$B$6:$B$2205,A386,'Material routes'!$C$6:$C$2205,"Transform input"))</x:f>
        <x:v>2</x:v>
      </x:c>
      <x:c r="J386" s="4" t="n">
        <x:f>COUNTIFS('Material routes'!$B$6:$B$2205,A386,'Material routes'!$C$6:$C$2205,"Output")</x:f>
        <x:v>1</x:v>
      </x:c>
      <x:c r="K386" s="4" t="n">
        <x:f>COUNTIFS('Material routes'!$B$6:$B$2205,A386,'Material routes'!$C$6:$C$2205,"Tool candidate")</x:f>
        <x:v>0</x:v>
      </x:c>
      <x:c r="L38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6" s="4" t="str">
        <x:v>Quantities, output yield, supporting inputs and compatibility remain undefined.</x:v>
      </x:c>
    </x:row>
    <x:row r="387" ht="90" customHeight="1">
      <x:c r="A387" s="4" t="str">
        <x:v>design.collection.coarse_meal_phagia_drink</x:v>
      </x:c>
      <x:c r="B387" s="4" t="str">
        <x:v>Coarse-meal Phagia drink candidate preparation</x:v>
      </x:c>
      <x:c r="C387" s="4" t="str">
        <x:v>Finished-item crafting</x:v>
      </x:c>
      <x:c r="D387" s="4" t="str">
        <x:v>Proposal</x:v>
      </x:c>
      <x:c r="E387" s="4" t="str">
        <x:v>Partial proposal</x:v>
      </x:c>
      <x:c r="F387" s="4" t="str">
        <x:v>Fine Phagia meal suspended for a coarse texture</x:v>
      </x:c>
      <x:c r="G387" s="4" t="str">
        <x:v>Contained food-only vessels, Food preparation screen and dedicated food tools. Species/culture/mineral edibility and storage qualification unresolved.</x:v>
      </x:c>
      <x:c r="H387" s="4" t="str">
        <x:f>IF(I387=0,"Unassigned",IF(SUMIFS('Material routes'!$Q$6:$Q$2205,'Material routes'!$B$6:$B$2205,A387)&gt;0,"Unassigned","T"&amp;_xlfn.MAXIFS('Material routes'!$P$6:$P$2205,'Material routes'!$B$6:$B$2205,A387)))</x:f>
        <x:v>T1</x:v>
      </x:c>
      <x:c r="I387" s="4" t="n">
        <x:f>SUM(COUNTIFS('Material routes'!$B$6:$B$2205,A387,'Material routes'!$C$6:$C$2205,"Ingredient candidate"),COUNTIFS('Material routes'!$B$6:$B$2205,A387,'Material routes'!$C$6:$C$2205,"Consumed input"),COUNTIFS('Material routes'!$B$6:$B$2205,A387,'Material routes'!$C$6:$C$2205,"Contained input"),COUNTIFS('Material routes'!$B$6:$B$2205,A387,'Material routes'!$C$6:$C$2205,"Transform input"))</x:f>
        <x:v>2</x:v>
      </x:c>
      <x:c r="J387" s="4" t="n">
        <x:f>COUNTIFS('Material routes'!$B$6:$B$2205,A387,'Material routes'!$C$6:$C$2205,"Output")</x:f>
        <x:v>1</x:v>
      </x:c>
      <x:c r="K387" s="4" t="n">
        <x:f>COUNTIFS('Material routes'!$B$6:$B$2205,A387,'Material routes'!$C$6:$C$2205,"Tool candidate")</x:f>
        <x:v>0</x:v>
      </x:c>
      <x:c r="L38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7" s="4" t="str">
        <x:v>Quantities, output yield, supporting inputs and compatibility remain undefined.</x:v>
      </x:c>
    </x:row>
    <x:row r="388" ht="90" customHeight="1">
      <x:c r="A388" s="4" t="str">
        <x:v>design.collection.two_layer_phagia_cup</x:v>
      </x:c>
      <x:c r="B388" s="4" t="str">
        <x:v>Two-layer Phagia cup candidate preparation</x:v>
      </x:c>
      <x:c r="C388" s="4" t="str">
        <x:v>Finished-item crafting</x:v>
      </x:c>
      <x:c r="D388" s="4" t="str">
        <x:v>Proposal</x:v>
      </x:c>
      <x:c r="E388" s="4" t="str">
        <x:v>Partial proposal</x:v>
      </x:c>
      <x:c r="F388" s="4" t="str">
        <x:v>Separated curd and liquid presented as a drink</x:v>
      </x:c>
      <x:c r="G388" s="4" t="str">
        <x:v>Contained food-only vessels, Food preparation screen and dedicated food tools. Species/culture/mineral edibility and storage qualification unresolved.</x:v>
      </x:c>
      <x:c r="H388" s="4" t="str">
        <x:f>IF(I388=0,"Unassigned",IF(SUMIFS('Material routes'!$Q$6:$Q$2205,'Material routes'!$B$6:$B$2205,A388)&gt;0,"Unassigned","T"&amp;_xlfn.MAXIFS('Material routes'!$P$6:$P$2205,'Material routes'!$B$6:$B$2205,A388)))</x:f>
        <x:v>T1</x:v>
      </x:c>
      <x:c r="I388" s="4" t="n">
        <x:f>SUM(COUNTIFS('Material routes'!$B$6:$B$2205,A388,'Material routes'!$C$6:$C$2205,"Ingredient candidate"),COUNTIFS('Material routes'!$B$6:$B$2205,A388,'Material routes'!$C$6:$C$2205,"Consumed input"),COUNTIFS('Material routes'!$B$6:$B$2205,A388,'Material routes'!$C$6:$C$2205,"Contained input"),COUNTIFS('Material routes'!$B$6:$B$2205,A388,'Material routes'!$C$6:$C$2205,"Transform input"))</x:f>
        <x:v>2</x:v>
      </x:c>
      <x:c r="J388" s="4" t="n">
        <x:f>COUNTIFS('Material routes'!$B$6:$B$2205,A388,'Material routes'!$C$6:$C$2205,"Output")</x:f>
        <x:v>1</x:v>
      </x:c>
      <x:c r="K388" s="4" t="n">
        <x:f>COUNTIFS('Material routes'!$B$6:$B$2205,A388,'Material routes'!$C$6:$C$2205,"Tool candidate")</x:f>
        <x:v>0</x:v>
      </x:c>
      <x:c r="L38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8" s="4" t="str">
        <x:v>Quantities, output yield, supporting inputs and compatibility remain undefined.</x:v>
      </x:c>
    </x:row>
    <x:row r="389" ht="90" customHeight="1">
      <x:c r="A389" s="4"/>
      <x:c r="B389" s="4"/>
      <x:c r="C389" s="4"/>
      <x:c r="D389" s="4"/>
      <x:c r="E389" s="4"/>
      <x:c r="F389" s="4"/>
      <x:c r="G389" s="4"/>
      <x:c r="H389" s="4"/>
      <x:c r="I389" s="4"/>
      <x:c r="J389" s="4"/>
      <x:c r="K389" s="4"/>
      <x:c r="L389" s="4"/>
      <x:c r="M389" s="4"/>
    </x:row>
    <x:row r="390" ht="90" customHeight="1">
      <x:c r="A390" s="4"/>
      <x:c r="B390" s="4"/>
      <x:c r="C390" s="4"/>
      <x:c r="D390" s="4"/>
      <x:c r="E390" s="4"/>
      <x:c r="F390" s="4"/>
      <x:c r="G390" s="4"/>
      <x:c r="H390" s="4"/>
      <x:c r="I390" s="4"/>
      <x:c r="J390" s="4"/>
      <x:c r="K390" s="4"/>
      <x:c r="L390" s="4"/>
      <x:c r="M390" s="4"/>
    </x:row>
    <x:row r="391" ht="90" customHeight="1">
      <x:c r="A391" s="4"/>
      <x:c r="B391" s="4"/>
      <x:c r="C391" s="4"/>
      <x:c r="D391" s="4"/>
      <x:c r="E391" s="4"/>
      <x:c r="F391" s="4"/>
      <x:c r="G391" s="4"/>
      <x:c r="H391" s="4"/>
      <x:c r="I391" s="4"/>
      <x:c r="J391" s="4"/>
      <x:c r="K391" s="4"/>
      <x:c r="L391" s="4"/>
      <x:c r="M391" s="4"/>
    </x:row>
    <x:row r="392" ht="90" customHeight="1">
      <x:c r="A392" s="4" t="str">
        <x:v>design.collection.guarded_flywheel_cartridge</x:v>
      </x:c>
      <x:c r="B392" s="4" t="str">
        <x:v>Guarded flywheel cartridge candidate preparation</x:v>
      </x:c>
      <x:c r="C392" s="4" t="str">
        <x:v>Finished-item crafting</x:v>
      </x:c>
      <x:c r="D392" s="4" t="str">
        <x:v>Proposal</x:v>
      </x:c>
      <x:c r="E392" s="4" t="str">
        <x:v>Partial proposal</x:v>
      </x:c>
      <x:c r="F392" s="4" t="str">
        <x:v>Stores rotational motion for a compatible small machine</x:v>
      </x:c>
      <x:c r="G392" s="4" t="str">
        <x:v>Forge hearth, Anvil, Forging hammer, Smithing tongs, Metalworking file and Hand-cranked metal drill as applicable. Existing workshop bootstrap and controlled heating/cooling required; no free-water quench assumed.</x:v>
      </x:c>
      <x:c r="H392" s="4" t="str">
        <x:f>IF(I392=0,"Unassigned",IF(SUMIFS('Material routes'!$Q$6:$Q$2205,'Material routes'!$B$6:$B$2205,A392)&gt;0,"Unassigned","T"&amp;_xlfn.MAXIFS('Material routes'!$P$6:$P$2205,'Material routes'!$B$6:$B$2205,A392)))</x:f>
        <x:v>T4</x:v>
      </x:c>
      <x:c r="I392" s="4" t="n">
        <x:f>SUM(COUNTIFS('Material routes'!$B$6:$B$2205,A392,'Material routes'!$C$6:$C$2205,"Ingredient candidate"),COUNTIFS('Material routes'!$B$6:$B$2205,A392,'Material routes'!$C$6:$C$2205,"Consumed input"),COUNTIFS('Material routes'!$B$6:$B$2205,A392,'Material routes'!$C$6:$C$2205,"Contained input"),COUNTIFS('Material routes'!$B$6:$B$2205,A392,'Material routes'!$C$6:$C$2205,"Transform input"))</x:f>
        <x:v>6</x:v>
      </x:c>
      <x:c r="J392" s="4" t="n">
        <x:f>COUNTIFS('Material routes'!$B$6:$B$2205,A392,'Material routes'!$C$6:$C$2205,"Output")</x:f>
        <x:v>1</x:v>
      </x:c>
      <x:c r="K392" s="4" t="n">
        <x:f>COUNTIFS('Material routes'!$B$6:$B$2205,A392,'Material routes'!$C$6:$C$2205,"Tool candidate")</x:f>
        <x:v>0</x:v>
      </x:c>
      <x:c r="L392" s="4" t="str">
        <x:v>New item proposal, October 15, 2026. Setting reference (source proposal): https://github.com/sleepyseamonster/Arc-Dust/blob/f6f98515c005dc3c73cccd9cbc031691745740c6/02-Arc-Dust-Worldbuilding/world/economy/energy-systems.md</x:v>
      </x:c>
      <x:c r="M392" s="4" t="str">
        <x:v>Quantities, output yield, supporting inputs and compatibility remain undefined. October 15 audit: candidate inputs / reusable prerequisites clarified. Structural coverage is not a qualified manufacturing recipe.</x:v>
      </x:c>
    </x:row>
    <x:row r="393" ht="90" customHeight="1">
      <x:c r="A393" s="4" t="str">
        <x:v>design.collection.wound_clock_spring_pack</x:v>
      </x:c>
      <x:c r="B393" s="4" t="str">
        <x:v>Wound clock-spring pack candidate preparation</x:v>
      </x:c>
      <x:c r="C393" s="4" t="str">
        <x:v>Finished-item crafting</x:v>
      </x:c>
      <x:c r="D393" s="4" t="str">
        <x:v>Proposal</x:v>
      </x:c>
      <x:c r="E393" s="4" t="str">
        <x:v>Partial proposal</x:v>
      </x:c>
      <x:c r="F393" s="4" t="str">
        <x:v>Stores wound mechanical energy</x:v>
      </x:c>
      <x:c r="G393" s="4" t="str">
        <x:v>Forge hearth, Anvil, Forging hammer, Smithing tongs, Metalworking file and Hand-cranked metal drill as applicable. Existing workshop bootstrap and controlled heating/cooling required; no free-water quench assumed.</x:v>
      </x:c>
      <x:c r="H393" s="4" t="str">
        <x:f>IF(I393=0,"Unassigned",IF(SUMIFS('Material routes'!$Q$6:$Q$2205,'Material routes'!$B$6:$B$2205,A393)&gt;0,"Unassigned","T"&amp;_xlfn.MAXIFS('Material routes'!$P$6:$P$2205,'Material routes'!$B$6:$B$2205,A393)))</x:f>
        <x:v>T4</x:v>
      </x:c>
      <x:c r="I393" s="4" t="n">
        <x:f>SUM(COUNTIFS('Material routes'!$B$6:$B$2205,A393,'Material routes'!$C$6:$C$2205,"Ingredient candidate"),COUNTIFS('Material routes'!$B$6:$B$2205,A393,'Material routes'!$C$6:$C$2205,"Consumed input"),COUNTIFS('Material routes'!$B$6:$B$2205,A393,'Material routes'!$C$6:$C$2205,"Contained input"),COUNTIFS('Material routes'!$B$6:$B$2205,A393,'Material routes'!$C$6:$C$2205,"Transform input"))</x:f>
        <x:v>6</x:v>
      </x:c>
      <x:c r="J393" s="4" t="n">
        <x:f>COUNTIFS('Material routes'!$B$6:$B$2205,A393,'Material routes'!$C$6:$C$2205,"Output")</x:f>
        <x:v>1</x:v>
      </x:c>
      <x:c r="K393" s="4" t="n">
        <x:f>COUNTIFS('Material routes'!$B$6:$B$2205,A393,'Material routes'!$C$6:$C$2205,"Tool candidate")</x:f>
        <x:v>0</x:v>
      </x:c>
      <x:c r="L393" s="4" t="str">
        <x:v>New item proposal, October 15, 2026. Setting reference (source proposal): https://github.com/sleepyseamonster/Arc-Dust/blob/f6f98515c005dc3c73cccd9cbc031691745740c6/02-Arc-Dust-Worldbuilding/world/economy/energy-systems.md</x:v>
      </x:c>
      <x:c r="M393" s="4" t="str">
        <x:v>Quantities, output yield, supporting inputs and compatibility remain undefined. October 15 audit: candidate inputs / reusable prerequisites clarified. Structural coverage is not a qualified manufacturing recipe.</x:v>
      </x:c>
    </x:row>
    <x:row r="394" ht="90" customHeight="1">
      <x:c r="A394" s="4" t="str">
        <x:v>design.collection.torsion_spring_accumulator</x:v>
      </x:c>
      <x:c r="B394" s="4" t="str">
        <x:v>Torsion-spring accumulator candidate preparation</x:v>
      </x:c>
      <x:c r="C394" s="4" t="str">
        <x:v>Finished-item crafting</x:v>
      </x:c>
      <x:c r="D394" s="4" t="str">
        <x:v>Proposal</x:v>
      </x:c>
      <x:c r="E394" s="4" t="str">
        <x:v>Partial proposal</x:v>
      </x:c>
      <x:c r="F394" s="4" t="str">
        <x:v>Stores mechanical energy in a tensioned spring assembly</x:v>
      </x:c>
      <x:c r="G394" s="4" t="str">
        <x:v>Forge hearth, Anvil, Forging hammer, Smithing tongs, Metalworking file and Hand-cranked metal drill as applicable. Existing workshop bootstrap and controlled heating/cooling required; no free-water quench assumed.</x:v>
      </x:c>
      <x:c r="H394" s="4" t="str">
        <x:f>IF(I394=0,"Unassigned",IF(SUMIFS('Material routes'!$Q$6:$Q$2205,'Material routes'!$B$6:$B$2205,A394)&gt;0,"Unassigned","T"&amp;_xlfn.MAXIFS('Material routes'!$P$6:$P$2205,'Material routes'!$B$6:$B$2205,A394)))</x:f>
        <x:v>T4</x:v>
      </x:c>
      <x:c r="I394" s="4" t="n">
        <x:f>SUM(COUNTIFS('Material routes'!$B$6:$B$2205,A394,'Material routes'!$C$6:$C$2205,"Ingredient candidate"),COUNTIFS('Material routes'!$B$6:$B$2205,A394,'Material routes'!$C$6:$C$2205,"Consumed input"),COUNTIFS('Material routes'!$B$6:$B$2205,A394,'Material routes'!$C$6:$C$2205,"Contained input"),COUNTIFS('Material routes'!$B$6:$B$2205,A394,'Material routes'!$C$6:$C$2205,"Transform input"))</x:f>
        <x:v>5</x:v>
      </x:c>
      <x:c r="J394" s="4" t="n">
        <x:f>COUNTIFS('Material routes'!$B$6:$B$2205,A394,'Material routes'!$C$6:$C$2205,"Output")</x:f>
        <x:v>1</x:v>
      </x:c>
      <x:c r="K394" s="4" t="n">
        <x:f>COUNTIFS('Material routes'!$B$6:$B$2205,A394,'Material routes'!$C$6:$C$2205,"Tool candidate")</x:f>
        <x:v>0</x:v>
      </x:c>
      <x:c r="L394" s="4" t="str">
        <x:v>New item proposal, October 15, 2026. Setting reference (source proposal): https://github.com/sleepyseamonster/Arc-Dust/blob/f6f98515c005dc3c73cccd9cbc031691745740c6/02-Arc-Dust-Worldbuilding/world/economy/energy-systems.md</x:v>
      </x:c>
      <x:c r="M394" s="4" t="str">
        <x:v>Quantities, output yield, supporting inputs and compatibility remain undefined. October 15 audit: candidate inputs / reusable prerequisites clarified. Structural coverage is not a qualified manufacturing recipe.</x:v>
      </x:c>
    </x:row>
    <x:row r="395" ht="90" customHeight="1">
      <x:c r="A395" s="4" t="str">
        <x:v>design.collection.lifted_counterweight_module</x:v>
      </x:c>
      <x:c r="B395" s="4" t="str">
        <x:v>Lifted counterweight module candidate preparation</x:v>
      </x:c>
      <x:c r="C395" s="4" t="str">
        <x:v>Finished-item crafting</x:v>
      </x:c>
      <x:c r="D395" s="4" t="str">
        <x:v>Proposal</x:v>
      </x:c>
      <x:c r="E395" s="4" t="str">
        <x:v>Partial proposal</x:v>
      </x:c>
      <x:c r="F395" s="4" t="str">
        <x:v>Stores gravitational energy in an installed lifting system</x:v>
      </x:c>
      <x:c r="G395" s="4" t="str">
        <x:v>Forge hearth, Anvil, Forging hammer, Smithing tongs, Metalworking file and Hand-cranked metal drill as applicable. Existing workshop bootstrap and controlled heating/cooling required; no free-water quench assumed.</x:v>
      </x:c>
      <x:c r="H395" s="4" t="str">
        <x:f>IF(I395=0,"Unassigned",IF(SUMIFS('Material routes'!$Q$6:$Q$2205,'Material routes'!$B$6:$B$2205,A395)&gt;0,"Unassigned","T"&amp;_xlfn.MAXIFS('Material routes'!$P$6:$P$2205,'Material routes'!$B$6:$B$2205,A395)))</x:f>
        <x:v>T3</x:v>
      </x:c>
      <x:c r="I395" s="4" t="n">
        <x:f>SUM(COUNTIFS('Material routes'!$B$6:$B$2205,A395,'Material routes'!$C$6:$C$2205,"Ingredient candidate"),COUNTIFS('Material routes'!$B$6:$B$2205,A395,'Material routes'!$C$6:$C$2205,"Consumed input"),COUNTIFS('Material routes'!$B$6:$B$2205,A395,'Material routes'!$C$6:$C$2205,"Contained input"),COUNTIFS('Material routes'!$B$6:$B$2205,A395,'Material routes'!$C$6:$C$2205,"Transform input"))</x:f>
        <x:v>6</x:v>
      </x:c>
      <x:c r="J395" s="4" t="n">
        <x:f>COUNTIFS('Material routes'!$B$6:$B$2205,A395,'Material routes'!$C$6:$C$2205,"Output")</x:f>
        <x:v>1</x:v>
      </x:c>
      <x:c r="K395" s="4" t="n">
        <x:f>COUNTIFS('Material routes'!$B$6:$B$2205,A395,'Material routes'!$C$6:$C$2205,"Tool candidate")</x:f>
        <x:v>0</x:v>
      </x:c>
      <x:c r="L395" s="4" t="str">
        <x:v>New item proposal, October 15, 2026. Setting reference (source proposal): https://github.com/sleepyseamonster/Arc-Dust/blob/f6f98515c005dc3c73cccd9cbc031691745740c6/02-Arc-Dust-Worldbuilding/world/economy/energy-systems.md</x:v>
      </x:c>
      <x:c r="M395" s="4" t="str">
        <x:v>Quantities, output yield, supporting inputs and compatibility remain undefined. October 15 audit: candidate inputs / reusable prerequisites clarified. Structural coverage is not a qualified manufacturing recipe.</x:v>
      </x:c>
    </x:row>
    <x:row r="396" ht="90" customHeight="1">
      <x:c r="A396" s="4" t="str">
        <x:v>design.collection.shaft_drop_weight_train</x:v>
      </x:c>
      <x:c r="B396" s="4" t="str">
        <x:v>Shaft-drop weight train candidate preparation</x:v>
      </x:c>
      <x:c r="C396" s="4" t="str">
        <x:v>Finished-item crafting</x:v>
      </x:c>
      <x:c r="D396" s="4" t="str">
        <x:v>Proposal</x:v>
      </x:c>
      <x:c r="E396" s="4" t="str">
        <x:v>Partial proposal</x:v>
      </x:c>
      <x:c r="F396" s="4" t="str">
        <x:v>Large canyon storage assembly requiring a fixed drop shaft</x:v>
      </x:c>
      <x:c r="G396" s="4" t="str">
        <x:v>Forge hearth, Anvil, Forging hammer, Smithing tongs, Metalworking file and Hand-cranked metal drill as applicable. Existing workshop bootstrap and controlled heating/cooling required; no free-water quench assumed.</x:v>
      </x:c>
      <x:c r="H396" s="4" t="str">
        <x:f>IF(I396=0,"Unassigned",IF(SUMIFS('Material routes'!$Q$6:$Q$2205,'Material routes'!$B$6:$B$2205,A396)&gt;0,"Unassigned","T"&amp;_xlfn.MAXIFS('Material routes'!$P$6:$P$2205,'Material routes'!$B$6:$B$2205,A396)))</x:f>
        <x:v>T3</x:v>
      </x:c>
      <x:c r="I396" s="4" t="n">
        <x:f>SUM(COUNTIFS('Material routes'!$B$6:$B$2205,A396,'Material routes'!$C$6:$C$2205,"Ingredient candidate"),COUNTIFS('Material routes'!$B$6:$B$2205,A396,'Material routes'!$C$6:$C$2205,"Consumed input"),COUNTIFS('Material routes'!$B$6:$B$2205,A396,'Material routes'!$C$6:$C$2205,"Contained input"),COUNTIFS('Material routes'!$B$6:$B$2205,A396,'Material routes'!$C$6:$C$2205,"Transform input"))</x:f>
        <x:v>6</x:v>
      </x:c>
      <x:c r="J396" s="4" t="n">
        <x:f>COUNTIFS('Material routes'!$B$6:$B$2205,A396,'Material routes'!$C$6:$C$2205,"Output")</x:f>
        <x:v>1</x:v>
      </x:c>
      <x:c r="K396" s="4" t="n">
        <x:f>COUNTIFS('Material routes'!$B$6:$B$2205,A396,'Material routes'!$C$6:$C$2205,"Tool candidate")</x:f>
        <x:v>0</x:v>
      </x:c>
      <x:c r="L396" s="4" t="str">
        <x:v>New item proposal, October 15, 2026. Setting reference (source proposal): https://github.com/sleepyseamonster/Arc-Dust/blob/f6f98515c005dc3c73cccd9cbc031691745740c6/02-Arc-Dust-Worldbuilding/world/economy/energy-systems.md</x:v>
      </x:c>
      <x:c r="M396" s="4" t="str">
        <x:v>Quantities, output yield, supporting inputs and compatibility remain undefined. October 15 audit: candidate inputs / reusable prerequisites clarified. Structural coverage is not a qualified manufacturing recipe.</x:v>
      </x:c>
    </x:row>
    <x:row r="397" ht="90" customHeight="1">
      <x:c r="A397" s="4" t="str">
        <x:v>design.collection.sealed_pressure_accumulator</x:v>
      </x:c>
      <x:c r="B397" s="4" t="str">
        <x:v>Sealed pressure accumulator candidate preparation</x:v>
      </x:c>
      <x:c r="C397" s="4" t="str">
        <x:v>Finished-item crafting</x:v>
      </x:c>
      <x:c r="D397" s="4" t="str">
        <x:v>Proposal</x:v>
      </x:c>
      <x:c r="E397" s="4" t="str">
        <x:v>Partial proposal</x:v>
      </x:c>
      <x:c r="F397" s="4" t="str">
        <x:v>Stores pressure in a compatible closed vessel, no rating assigned</x:v>
      </x:c>
      <x:c r="G397" s="4" t="str">
        <x:v>Forge hearth, Anvil, Forging hammer, Smithing tongs, Metalworking file and Hand-cranked metal drill as applicable. Existing workshop bootstrap and controlled heating/cooling required; no free-water quench assumed.</x:v>
      </x:c>
      <x:c r="H397" s="4" t="str">
        <x:f>IF(I397=0,"Unassigned",IF(SUMIFS('Material routes'!$Q$6:$Q$2205,'Material routes'!$B$6:$B$2205,A397)&gt;0,"Unassigned","T"&amp;_xlfn.MAXIFS('Material routes'!$P$6:$P$2205,'Material routes'!$B$6:$B$2205,A397)))</x:f>
        <x:v>T4</x:v>
      </x:c>
      <x:c r="I397" s="4" t="n">
        <x:f>SUM(COUNTIFS('Material routes'!$B$6:$B$2205,A397,'Material routes'!$C$6:$C$2205,"Ingredient candidate"),COUNTIFS('Material routes'!$B$6:$B$2205,A397,'Material routes'!$C$6:$C$2205,"Consumed input"),COUNTIFS('Material routes'!$B$6:$B$2205,A397,'Material routes'!$C$6:$C$2205,"Contained input"),COUNTIFS('Material routes'!$B$6:$B$2205,A397,'Material routes'!$C$6:$C$2205,"Transform input"))</x:f>
        <x:v>4</x:v>
      </x:c>
      <x:c r="J397" s="4" t="n">
        <x:f>COUNTIFS('Material routes'!$B$6:$B$2205,A397,'Material routes'!$C$6:$C$2205,"Output")</x:f>
        <x:v>1</x:v>
      </x:c>
      <x:c r="K397" s="4" t="n">
        <x:f>COUNTIFS('Material routes'!$B$6:$B$2205,A397,'Material routes'!$C$6:$C$2205,"Tool candidate")</x:f>
        <x:v>0</x:v>
      </x:c>
      <x:c r="L397" s="4" t="str">
        <x:v>New item proposal, October 15, 2026. Setting reference (source proposal): https://github.com/sleepyseamonster/Arc-Dust/blob/f6f98515c005dc3c73cccd9cbc031691745740c6/02-Arc-Dust-Worldbuilding/world/economy/energy-systems.md</x:v>
      </x:c>
      <x:c r="M397" s="4" t="str">
        <x:v>Quantities, output yield, supporting inputs and compatibility remain undefined. October 15 audit: candidate inputs / reusable prerequisites clarified. Structural coverage is not a qualified manufacturing recipe.</x:v>
      </x:c>
    </x:row>
    <x:row r="398" ht="90" customHeight="1">
      <x:c r="A398" s="4" t="str">
        <x:v>design.collection.packed_stone_thermal_block</x:v>
      </x:c>
      <x:c r="B398" s="4" t="str">
        <x:v>Packed-stone thermal block candidate preparation</x:v>
      </x:c>
      <x:c r="C398" s="4" t="str">
        <x:v>Finished-item crafting</x:v>
      </x:c>
      <x:c r="D398" s="4" t="str">
        <x:v>Proposal</x:v>
      </x:c>
      <x:c r="E398" s="4" t="str">
        <x:v>Partial proposal</x:v>
      </x:c>
      <x:c r="F398" s="4" t="str">
        <x:v>Stores sensible heat for controlled release</x:v>
      </x:c>
      <x:c r="G398" s="4" t="str">
        <x:v>Forge hearth, Anvil, Forging hammer, Smithing tongs, Metalworking file and Hand-cranked metal drill as applicable. Existing workshop bootstrap and controlled heating/cooling required; no free-water quench assumed.</x:v>
      </x:c>
      <x:c r="H398" s="4" t="str">
        <x:f>IF(I398=0,"Unassigned",IF(SUMIFS('Material routes'!$Q$6:$Q$2205,'Material routes'!$B$6:$B$2205,A398)&gt;0,"Unassigned","T"&amp;_xlfn.MAXIFS('Material routes'!$P$6:$P$2205,'Material routes'!$B$6:$B$2205,A398)))</x:f>
        <x:v>T2</x:v>
      </x:c>
      <x:c r="I398" s="4" t="n">
        <x:f>SUM(COUNTIFS('Material routes'!$B$6:$B$2205,A398,'Material routes'!$C$6:$C$2205,"Ingredient candidate"),COUNTIFS('Material routes'!$B$6:$B$2205,A398,'Material routes'!$C$6:$C$2205,"Consumed input"),COUNTIFS('Material routes'!$B$6:$B$2205,A398,'Material routes'!$C$6:$C$2205,"Contained input"),COUNTIFS('Material routes'!$B$6:$B$2205,A398,'Material routes'!$C$6:$C$2205,"Transform input"))</x:f>
        <x:v>2</x:v>
      </x:c>
      <x:c r="J398" s="4" t="n">
        <x:f>COUNTIFS('Material routes'!$B$6:$B$2205,A398,'Material routes'!$C$6:$C$2205,"Output")</x:f>
        <x:v>1</x:v>
      </x:c>
      <x:c r="K398" s="4" t="n">
        <x:f>COUNTIFS('Material routes'!$B$6:$B$2205,A398,'Material routes'!$C$6:$C$2205,"Tool candidate")</x:f>
        <x:v>0</x:v>
      </x:c>
      <x:c r="L398" s="4" t="str">
        <x:v>New item proposal, October 15, 2026. Setting reference (source proposal): https://github.com/sleepyseamonster/Arc-Dust/blob/f6f98515c005dc3c73cccd9cbc031691745740c6/02-Arc-Dust-Worldbuilding/world/economy/energy-systems.md</x:v>
      </x:c>
      <x:c r="M398" s="4" t="str">
        <x:v>Quantities, output yield, supporting inputs and compatibility remain undefined.</x:v>
      </x:c>
    </x:row>
    <x:row r="399" ht="90" customHeight="1">
      <x:c r="A399" s="4" t="str">
        <x:v>design.collection.contained_salt_heat_cell</x:v>
      </x:c>
      <x:c r="B399" s="4" t="str">
        <x:v>Contained salt heat cell candidate preparation</x:v>
      </x:c>
      <x:c r="C399" s="4" t="str">
        <x:v>Finished-item crafting</x:v>
      </x:c>
      <x:c r="D399" s="4" t="str">
        <x:v>Proposal</x:v>
      </x:c>
      <x:c r="E399" s="4" t="str">
        <x:v>Partial proposal</x:v>
      </x:c>
      <x:c r="F399" s="4" t="str">
        <x:v>Candidate thermal storage medium kept inside a compatible vessel</x:v>
      </x:c>
      <x:c r="G399" s="4" t="str">
        <x:v>Forge hearth, Anvil, Forging hammer, Smithing tongs, Metalworking file and Hand-cranked metal drill as applicable. Existing workshop bootstrap and controlled heating/cooling required; no free-water quench assumed.</x:v>
      </x:c>
      <x:c r="H399" s="4" t="str">
        <x:f>IF(I399=0,"Unassigned",IF(SUMIFS('Material routes'!$Q$6:$Q$2205,'Material routes'!$B$6:$B$2205,A399)&gt;0,"Unassigned","T"&amp;_xlfn.MAXIFS('Material routes'!$P$6:$P$2205,'Material routes'!$B$6:$B$2205,A399)))</x:f>
        <x:v>T2</x:v>
      </x:c>
      <x:c r="I399" s="4" t="n">
        <x:f>SUM(COUNTIFS('Material routes'!$B$6:$B$2205,A399,'Material routes'!$C$6:$C$2205,"Ingredient candidate"),COUNTIFS('Material routes'!$B$6:$B$2205,A399,'Material routes'!$C$6:$C$2205,"Consumed input"),COUNTIFS('Material routes'!$B$6:$B$2205,A399,'Material routes'!$C$6:$C$2205,"Contained input"),COUNTIFS('Material routes'!$B$6:$B$2205,A399,'Material routes'!$C$6:$C$2205,"Transform input"))</x:f>
        <x:v>2</x:v>
      </x:c>
      <x:c r="J399" s="4" t="n">
        <x:f>COUNTIFS('Material routes'!$B$6:$B$2205,A399,'Material routes'!$C$6:$C$2205,"Output")</x:f>
        <x:v>1</x:v>
      </x:c>
      <x:c r="K399" s="4" t="n">
        <x:f>COUNTIFS('Material routes'!$B$6:$B$2205,A399,'Material routes'!$C$6:$C$2205,"Tool candidate")</x:f>
        <x:v>0</x:v>
      </x:c>
      <x:c r="L399" s="4" t="str">
        <x:v>New item proposal, October 15, 2026. Setting reference (source proposal): https://github.com/sleepyseamonster/Arc-Dust/blob/f6f98515c005dc3c73cccd9cbc031691745740c6/02-Arc-Dust-Worldbuilding/world/economy/energy-systems.md</x:v>
      </x:c>
      <x:c r="M399" s="4" t="str">
        <x:v>Quantities, output yield, supporting inputs and compatibility remain undefined.</x:v>
      </x:c>
    </x:row>
    <x:row r="400" ht="90" customHeight="1">
      <x:c r="A400" s="4" t="str">
        <x:v>design.collection.ceramic_housed_mineral_battery</x:v>
      </x:c>
      <x:c r="B400" s="4" t="str">
        <x:v>Ceramic-housed mineral battery candidate preparation</x:v>
      </x:c>
      <x:c r="C400" s="4" t="str">
        <x:v>Finished-item crafting</x:v>
      </x:c>
      <x:c r="D400" s="4" t="str">
        <x:v>Proposal</x:v>
      </x:c>
      <x:c r="E400" s="4" t="str">
        <x:v>Partial proposal</x:v>
      </x:c>
      <x:c r="F400" s="4" t="str">
        <x:v>Rugged chemical battery candidate with unresolved chemistry</x:v>
      </x:c>
      <x:c r="G400" s="4" t="str">
        <x:v>Controlled-heating firing kiln or specialist glass hot-work station; Ceramic firing tray / Ceramic casting mold as applicable. Qualified power, heat and atmosphere required.</x:v>
      </x:c>
      <x:c r="H400" s="4" t="str">
        <x:f>IF(I400=0,"Unassigned",IF(SUMIFS('Material routes'!$Q$6:$Q$2205,'Material routes'!$B$6:$B$2205,A400)&gt;0,"Unassigned","T"&amp;_xlfn.MAXIFS('Material routes'!$P$6:$P$2205,'Material routes'!$B$6:$B$2205,A400)))</x:f>
        <x:v>T4</x:v>
      </x:c>
      <x:c r="I400" s="4" t="n">
        <x:f>SUM(COUNTIFS('Material routes'!$B$6:$B$2205,A400,'Material routes'!$C$6:$C$2205,"Ingredient candidate"),COUNTIFS('Material routes'!$B$6:$B$2205,A400,'Material routes'!$C$6:$C$2205,"Consumed input"),COUNTIFS('Material routes'!$B$6:$B$2205,A400,'Material routes'!$C$6:$C$2205,"Contained input"),COUNTIFS('Material routes'!$B$6:$B$2205,A400,'Material routes'!$C$6:$C$2205,"Transform input"))</x:f>
        <x:v>7</x:v>
      </x:c>
      <x:c r="J400" s="4" t="n">
        <x:f>COUNTIFS('Material routes'!$B$6:$B$2205,A400,'Material routes'!$C$6:$C$2205,"Output")</x:f>
        <x:v>1</x:v>
      </x:c>
      <x:c r="K400" s="4" t="n">
        <x:f>COUNTIFS('Material routes'!$B$6:$B$2205,A400,'Material routes'!$C$6:$C$2205,"Tool candidate")</x:f>
        <x:v>0</x:v>
      </x:c>
      <x:c r="L400" s="4" t="str">
        <x:v>New item proposal, October 15, 2026. Setting reference (source proposal): https://github.com/sleepyseamonster/Arc-Dust/blob/f6f98515c005dc3c73cccd9cbc031691745740c6/02-Arc-Dust-Worldbuilding/world/economy/energy-systems.md</x:v>
      </x:c>
      <x:c r="M400" s="4" t="str">
        <x:v>Quantities, output yield, supporting inputs and compatibility remain undefined. October 15 audit: candidate inputs / reusable prerequisites clarified. Structural coverage is not a qualified manufacturing recipe.</x:v>
      </x:c>
    </x:row>
    <x:row r="401" ht="90" customHeight="1">
      <x:c r="A401" s="4" t="str">
        <x:v>design.collection.replaceable_electrode_battery_jar</x:v>
      </x:c>
      <x:c r="B401" s="4" t="str">
        <x:v>Replaceable electrode battery jar candidate preparation</x:v>
      </x:c>
      <x:c r="C401" s="4" t="str">
        <x:v>Finished-item crafting</x:v>
      </x:c>
      <x:c r="D401" s="4" t="str">
        <x:v>Proposal</x:v>
      </x:c>
      <x:c r="E401" s="4" t="str">
        <x:v>Partial proposal</x:v>
      </x:c>
      <x:c r="F401" s="4" t="str">
        <x:v>Serviceable battery architecture with replaceable contacts</x:v>
      </x:c>
      <x:c r="G401" s="4" t="str">
        <x:v>Forge hearth, Anvil, Forging hammer, Smithing tongs, Metalworking file and Hand-cranked metal drill as applicable. Existing workshop bootstrap and controlled heating/cooling required; no free-water quench assumed.</x:v>
      </x:c>
      <x:c r="H401" s="4" t="str">
        <x:f>IF(I401=0,"Unassigned",IF(SUMIFS('Material routes'!$Q$6:$Q$2205,'Material routes'!$B$6:$B$2205,A401)&gt;0,"Unassigned","T"&amp;_xlfn.MAXIFS('Material routes'!$P$6:$P$2205,'Material routes'!$B$6:$B$2205,A401)))</x:f>
        <x:v>Unassigned</x:v>
      </x:c>
      <x:c r="I401" s="4" t="n">
        <x:f>SUM(COUNTIFS('Material routes'!$B$6:$B$2205,A401,'Material routes'!$C$6:$C$2205,"Ingredient candidate"),COUNTIFS('Material routes'!$B$6:$B$2205,A401,'Material routes'!$C$6:$C$2205,"Consumed input"),COUNTIFS('Material routes'!$B$6:$B$2205,A401,'Material routes'!$C$6:$C$2205,"Contained input"),COUNTIFS('Material routes'!$B$6:$B$2205,A401,'Material routes'!$C$6:$C$2205,"Transform input"))</x:f>
        <x:v>6</x:v>
      </x:c>
      <x:c r="J401" s="4" t="n">
        <x:f>COUNTIFS('Material routes'!$B$6:$B$2205,A401,'Material routes'!$C$6:$C$2205,"Output")</x:f>
        <x:v>1</x:v>
      </x:c>
      <x:c r="K401" s="4" t="n">
        <x:f>COUNTIFS('Material routes'!$B$6:$B$2205,A401,'Material routes'!$C$6:$C$2205,"Tool candidate")</x:f>
        <x:v>0</x:v>
      </x:c>
      <x:c r="L401" s="4" t="str">
        <x:v>New item proposal, October 15, 2026. Setting reference (source proposal): https://github.com/sleepyseamonster/Arc-Dust/blob/f6f98515c005dc3c73cccd9cbc031691745740c6/02-Arc-Dust-Worldbuilding/world/economy/energy-systems.md</x:v>
      </x:c>
      <x:c r="M401" s="4" t="str">
        <x:v>Quantities, output yield, supporting inputs and compatibility remain undefined. October 15 audit: candidate inputs / reusable prerequisites clarified. Structural coverage is not a qualified manufacturing recipe.</x:v>
      </x:c>
    </x:row>
    <x:row r="402" ht="90" customHeight="1">
      <x:c r="A402" s="4" t="str">
        <x:v>design.collection.packed_separator_battery_stack</x:v>
      </x:c>
      <x:c r="B402" s="4" t="str">
        <x:v>Packed separator battery stack candidate preparation</x:v>
      </x:c>
      <x:c r="C402" s="4" t="str">
        <x:v>Finished-item crafting</x:v>
      </x:c>
      <x:c r="D402" s="4" t="str">
        <x:v>Proposal</x:v>
      </x:c>
      <x:c r="E402" s="4" t="str">
        <x:v>Partial proposal</x:v>
      </x:c>
      <x:c r="F402" s="4" t="str">
        <x:v>Layered chemical storage architecture, chemistry unresolved</x:v>
      </x:c>
      <x:c r="G402" s="4" t="str">
        <x:v>Forge hearth, Anvil, Forging hammer, Smithing tongs, Metalworking file and Hand-cranked metal drill as applicable. Existing workshop bootstrap and controlled heating/cooling required; no free-water quench assumed.</x:v>
      </x:c>
      <x:c r="H402" s="4" t="str">
        <x:f>IF(I402=0,"Unassigned",IF(SUMIFS('Material routes'!$Q$6:$Q$2205,'Material routes'!$B$6:$B$2205,A402)&gt;0,"Unassigned","T"&amp;_xlfn.MAXIFS('Material routes'!$P$6:$P$2205,'Material routes'!$B$6:$B$2205,A402)))</x:f>
        <x:v>T4</x:v>
      </x:c>
      <x:c r="I402" s="4" t="n">
        <x:f>SUM(COUNTIFS('Material routes'!$B$6:$B$2205,A402,'Material routes'!$C$6:$C$2205,"Ingredient candidate"),COUNTIFS('Material routes'!$B$6:$B$2205,A402,'Material routes'!$C$6:$C$2205,"Consumed input"),COUNTIFS('Material routes'!$B$6:$B$2205,A402,'Material routes'!$C$6:$C$2205,"Contained input"),COUNTIFS('Material routes'!$B$6:$B$2205,A402,'Material routes'!$C$6:$C$2205,"Transform input"))</x:f>
        <x:v>6</x:v>
      </x:c>
      <x:c r="J402" s="4" t="n">
        <x:f>COUNTIFS('Material routes'!$B$6:$B$2205,A402,'Material routes'!$C$6:$C$2205,"Output")</x:f>
        <x:v>1</x:v>
      </x:c>
      <x:c r="K402" s="4" t="n">
        <x:f>COUNTIFS('Material routes'!$B$6:$B$2205,A402,'Material routes'!$C$6:$C$2205,"Tool candidate")</x:f>
        <x:v>0</x:v>
      </x:c>
      <x:c r="L402" s="4" t="str">
        <x:v>New item proposal, October 15, 2026. Setting reference (source proposal): https://github.com/sleepyseamonster/Arc-Dust/blob/f6f98515c005dc3c73cccd9cbc031691745740c6/02-Arc-Dust-Worldbuilding/world/economy/energy-systems.md</x:v>
      </x:c>
      <x:c r="M402" s="4" t="str">
        <x:v>Quantities, output yield, supporting inputs and compatibility remain undefined. October 15 audit: candidate inputs / reusable prerequisites clarified. Structural coverage is not a qualified manufacturing recipe.</x:v>
      </x:c>
    </x:row>
    <x:row r="403" ht="90" customHeight="1">
      <x:c r="A403" s="4" t="str">
        <x:v>design.collection.mica_plate_capacitor_pack</x:v>
      </x:c>
      <x:c r="B403" s="4" t="str">
        <x:v>Mica-plate capacitor pack candidate preparation</x:v>
      </x:c>
      <x:c r="C403" s="4" t="str">
        <x:v>Finished-item crafting</x:v>
      </x:c>
      <x:c r="D403" s="4" t="str">
        <x:v>Proposal</x:v>
      </x:c>
      <x:c r="E403" s="4" t="str">
        <x:v>Partial proposal</x:v>
      </x:c>
      <x:c r="F403" s="4" t="str">
        <x:v>Electrical storage candidate using layered mineral insulation</x:v>
      </x:c>
      <x:c r="G403" s="4" t="str">
        <x:v>Forge hearth, Anvil, Forging hammer, Smithing tongs, Metalworking file and Hand-cranked metal drill as applicable. Existing workshop bootstrap and controlled heating/cooling required; no free-water quench assumed.</x:v>
      </x:c>
      <x:c r="H403" s="4" t="str">
        <x:f>IF(I403=0,"Unassigned",IF(SUMIFS('Material routes'!$Q$6:$Q$2205,'Material routes'!$B$6:$B$2205,A403)&gt;0,"Unassigned","T"&amp;_xlfn.MAXIFS('Material routes'!$P$6:$P$2205,'Material routes'!$B$6:$B$2205,A403)))</x:f>
        <x:v>T4</x:v>
      </x:c>
      <x:c r="I403" s="4" t="n">
        <x:f>SUM(COUNTIFS('Material routes'!$B$6:$B$2205,A403,'Material routes'!$C$6:$C$2205,"Ingredient candidate"),COUNTIFS('Material routes'!$B$6:$B$2205,A403,'Material routes'!$C$6:$C$2205,"Consumed input"),COUNTIFS('Material routes'!$B$6:$B$2205,A403,'Material routes'!$C$6:$C$2205,"Contained input"),COUNTIFS('Material routes'!$B$6:$B$2205,A403,'Material routes'!$C$6:$C$2205,"Transform input"))</x:f>
        <x:v>4</x:v>
      </x:c>
      <x:c r="J403" s="4" t="n">
        <x:f>COUNTIFS('Material routes'!$B$6:$B$2205,A403,'Material routes'!$C$6:$C$2205,"Output")</x:f>
        <x:v>1</x:v>
      </x:c>
      <x:c r="K403" s="4" t="n">
        <x:f>COUNTIFS('Material routes'!$B$6:$B$2205,A403,'Material routes'!$C$6:$C$2205,"Tool candidate")</x:f>
        <x:v>0</x:v>
      </x:c>
      <x:c r="L403" s="4" t="str">
        <x:v>New item proposal, October 15, 2026. Setting reference (source proposal): https://github.com/sleepyseamonster/Arc-Dust/blob/f6f98515c005dc3c73cccd9cbc031691745740c6/02-Arc-Dust-Worldbuilding/world/economy/energy-systems.md</x:v>
      </x:c>
      <x:c r="M403" s="4" t="str">
        <x:v>Quantities, output yield, supporting inputs and compatibility remain undefined. October 15 audit: candidate inputs / reusable prerequisites clarified. Structural coverage is not a qualified manufacturing recipe.</x:v>
      </x:c>
    </x:row>
    <x:row r="404" ht="90" customHeight="1">
      <x:c r="A404" s="4" t="str">
        <x:v>design.collection.glass_jar_capacitor_bank</x:v>
      </x:c>
      <x:c r="B404" s="4" t="str">
        <x:v>Glass-jar capacitor bank candidate preparation</x:v>
      </x:c>
      <x:c r="C404" s="4" t="str">
        <x:v>Finished-item crafting</x:v>
      </x:c>
      <x:c r="D404" s="4" t="str">
        <x:v>Proposal</x:v>
      </x:c>
      <x:c r="E404" s="4" t="str">
        <x:v>Partial proposal</x:v>
      </x:c>
      <x:c r="F404" s="4" t="str">
        <x:v>Bulky urban electrical storage bank</x:v>
      </x:c>
      <x:c r="G404" s="4" t="str">
        <x:v>Controlled-heating firing kiln or specialist glass hot-work station; Ceramic firing tray / Ceramic casting mold as applicable. Qualified power, heat and atmosphere required.</x:v>
      </x:c>
      <x:c r="H404" s="4" t="str">
        <x:f>IF(I404=0,"Unassigned",IF(SUMIFS('Material routes'!$Q$6:$Q$2205,'Material routes'!$B$6:$B$2205,A404)&gt;0,"Unassigned","T"&amp;_xlfn.MAXIFS('Material routes'!$P$6:$P$2205,'Material routes'!$B$6:$B$2205,A404)))</x:f>
        <x:v>T4</x:v>
      </x:c>
      <x:c r="I404" s="4" t="n">
        <x:f>SUM(COUNTIFS('Material routes'!$B$6:$B$2205,A404,'Material routes'!$C$6:$C$2205,"Ingredient candidate"),COUNTIFS('Material routes'!$B$6:$B$2205,A404,'Material routes'!$C$6:$C$2205,"Consumed input"),COUNTIFS('Material routes'!$B$6:$B$2205,A404,'Material routes'!$C$6:$C$2205,"Contained input"),COUNTIFS('Material routes'!$B$6:$B$2205,A404,'Material routes'!$C$6:$C$2205,"Transform input"))</x:f>
        <x:v>4</x:v>
      </x:c>
      <x:c r="J404" s="4" t="n">
        <x:f>COUNTIFS('Material routes'!$B$6:$B$2205,A404,'Material routes'!$C$6:$C$2205,"Output")</x:f>
        <x:v>1</x:v>
      </x:c>
      <x:c r="K404" s="4" t="n">
        <x:f>COUNTIFS('Material routes'!$B$6:$B$2205,A404,'Material routes'!$C$6:$C$2205,"Tool candidate")</x:f>
        <x:v>0</x:v>
      </x:c>
      <x:c r="L404" s="4" t="str">
        <x:v>New item proposal, October 15, 2026. Setting reference (source proposal): https://github.com/sleepyseamonster/Arc-Dust/blob/f6f98515c005dc3c73cccd9cbc031691745740c6/02-Arc-Dust-Worldbuilding/world/economy/energy-systems.md</x:v>
      </x:c>
      <x:c r="M404" s="4" t="str">
        <x:v>Quantities, output yield, supporting inputs and compatibility remain undefined. October 15 audit: candidate inputs / reusable prerequisites clarified. Structural coverage is not a qualified manufacturing recipe.</x:v>
      </x:c>
    </x:row>
    <x:row r="405" ht="90" customHeight="1">
      <x:c r="A405" s="4" t="str">
        <x:v>design.collection.ceramic_dielectric_pulse_bank</x:v>
      </x:c>
      <x:c r="B405" s="4" t="str">
        <x:v>Ceramic-dielectric pulse bank candidate preparation</x:v>
      </x:c>
      <x:c r="C405" s="4" t="str">
        <x:v>Finished-item crafting</x:v>
      </x:c>
      <x:c r="D405" s="4" t="str">
        <x:v>Proposal</x:v>
      </x:c>
      <x:c r="E405" s="4" t="str">
        <x:v>Partial proposal</x:v>
      </x:c>
      <x:c r="F405" s="4" t="str">
        <x:v>Workshop pulse-storage assembly without a specified rating</x:v>
      </x:c>
      <x:c r="G405" s="4" t="str">
        <x:v>Controlled-heating firing kiln or specialist glass hot-work station; Ceramic firing tray / Ceramic casting mold as applicable. Qualified power, heat and atmosphere required.</x:v>
      </x:c>
      <x:c r="H405" s="4" t="str">
        <x:f>IF(I405=0,"Unassigned",IF(SUMIFS('Material routes'!$Q$6:$Q$2205,'Material routes'!$B$6:$B$2205,A405)&gt;0,"Unassigned","T"&amp;_xlfn.MAXIFS('Material routes'!$P$6:$P$2205,'Material routes'!$B$6:$B$2205,A405)))</x:f>
        <x:v>T4</x:v>
      </x:c>
      <x:c r="I405" s="4" t="n">
        <x:f>SUM(COUNTIFS('Material routes'!$B$6:$B$2205,A405,'Material routes'!$C$6:$C$2205,"Ingredient candidate"),COUNTIFS('Material routes'!$B$6:$B$2205,A405,'Material routes'!$C$6:$C$2205,"Consumed input"),COUNTIFS('Material routes'!$B$6:$B$2205,A405,'Material routes'!$C$6:$C$2205,"Contained input"),COUNTIFS('Material routes'!$B$6:$B$2205,A405,'Material routes'!$C$6:$C$2205,"Transform input"))</x:f>
        <x:v>5</x:v>
      </x:c>
      <x:c r="J405" s="4" t="n">
        <x:f>COUNTIFS('Material routes'!$B$6:$B$2205,A405,'Material routes'!$C$6:$C$2205,"Output")</x:f>
        <x:v>1</x:v>
      </x:c>
      <x:c r="K405" s="4" t="n">
        <x:f>COUNTIFS('Material routes'!$B$6:$B$2205,A405,'Material routes'!$C$6:$C$2205,"Tool candidate")</x:f>
        <x:v>0</x:v>
      </x:c>
      <x:c r="L405" s="4" t="str">
        <x:v>New item proposal, October 15, 2026. Setting reference (source proposal): https://github.com/sleepyseamonster/Arc-Dust/blob/f6f98515c005dc3c73cccd9cbc031691745740c6/02-Arc-Dust-Worldbuilding/world/economy/energy-systems.md</x:v>
      </x:c>
      <x:c r="M405" s="4" t="str">
        <x:v>Quantities, output yield, supporting inputs and compatibility remain undefined. October 15 audit: candidate inputs / reusable prerequisites clarified. Structural coverage is not a qualified manufacturing recipe.</x:v>
      </x:c>
    </x:row>
    <x:row r="406" ht="90" customHeight="1">
      <x:c r="A406" s="4" t="str">
        <x:v>design.collection.radio_contact_service_kit</x:v>
      </x:c>
      <x:c r="B406" s="4" t="str">
        <x:v>Radio contact service kit candidate preparation</x:v>
      </x:c>
      <x:c r="C406" s="4" t="str">
        <x:v>Finished-item crafting</x:v>
      </x:c>
      <x:c r="D406" s="4" t="str">
        <x:v>Proposal</x:v>
      </x:c>
      <x:c r="E406" s="4" t="str">
        <x:v>Partial proposal</x:v>
      </x:c>
      <x:c r="F406" s="4" t="str">
        <x:v>Replacement contacts and cleaning implements for a compatible crude radio</x:v>
      </x:c>
      <x:c r="G406" s="4" t="str">
        <x:v>Forge hearth, Anvil, Forging hammer, Smithing tongs, Metalworking file and Hand-cranked metal drill as applicable. Existing workshop bootstrap and controlled heating/cooling required; no free-water quench assumed.</x:v>
      </x:c>
      <x:c r="H406" s="4" t="str">
        <x:f>IF(I406=0,"Unassigned",IF(SUMIFS('Material routes'!$Q$6:$Q$2205,'Material routes'!$B$6:$B$2205,A406)&gt;0,"Unassigned","T"&amp;_xlfn.MAXIFS('Material routes'!$P$6:$P$2205,'Material routes'!$B$6:$B$2205,A406)))</x:f>
        <x:v>Unassigned</x:v>
      </x:c>
      <x:c r="I406" s="4" t="n">
        <x:f>SUM(COUNTIFS('Material routes'!$B$6:$B$2205,A406,'Material routes'!$C$6:$C$2205,"Ingredient candidate"),COUNTIFS('Material routes'!$B$6:$B$2205,A406,'Material routes'!$C$6:$C$2205,"Consumed input"),COUNTIFS('Material routes'!$B$6:$B$2205,A406,'Material routes'!$C$6:$C$2205,"Contained input"),COUNTIFS('Material routes'!$B$6:$B$2205,A406,'Material routes'!$C$6:$C$2205,"Transform input"))</x:f>
        <x:v>3</x:v>
      </x:c>
      <x:c r="J406" s="4" t="n">
        <x:f>COUNTIFS('Material routes'!$B$6:$B$2205,A406,'Material routes'!$C$6:$C$2205,"Output")</x:f>
        <x:v>1</x:v>
      </x:c>
      <x:c r="K406" s="4" t="n">
        <x:f>COUNTIFS('Material routes'!$B$6:$B$2205,A406,'Material routes'!$C$6:$C$2205,"Tool candidate")</x:f>
        <x:v>0</x:v>
      </x:c>
      <x:c r="L406" s="4" t="str">
        <x:v>New item proposal, October 15, 2026. Setting reference (source proposal): https://github.com/sleepyseamonster/Arc-Dust/blob/f6f98515c005dc3c73cccd9cbc031691745740c6/02-Arc-Dust-Worldbuilding/world/materials/industrial-material-palette.md</x:v>
      </x:c>
      <x:c r="M406" s="4" t="str">
        <x:v>Quantities, output yield, supporting inputs and compatibility remain undefined.</x:v>
      </x:c>
    </x:row>
    <x:row r="407" ht="90" customHeight="1">
      <x:c r="A407" s="4"/>
      <x:c r="B407" s="4"/>
      <x:c r="C407" s="4"/>
      <x:c r="D407" s="4"/>
      <x:c r="E407" s="4"/>
      <x:c r="F407" s="4"/>
      <x:c r="G407" s="4"/>
      <x:c r="H407" s="4"/>
      <x:c r="I407" s="4"/>
      <x:c r="J407" s="4"/>
      <x:c r="K407" s="4"/>
      <x:c r="L407" s="4"/>
      <x:c r="M407" s="4"/>
    </x:row>
    <x:row r="408" ht="90" customHeight="1">
      <x:c r="A408" s="4" t="str">
        <x:v>design.collection.dirtboard_running_gear_kit</x:v>
      </x:c>
      <x:c r="B408" s="4" t="str">
        <x:v>Dirtboard running-gear kit candidate preparation</x:v>
      </x:c>
      <x:c r="C408" s="4" t="str">
        <x:v>Finished-item crafting</x:v>
      </x:c>
      <x:c r="D408" s="4" t="str">
        <x:v>Proposal</x:v>
      </x:c>
      <x:c r="E408" s="4" t="str">
        <x:v>Partial proposal</x:v>
      </x:c>
      <x:c r="F408" s="4" t="str">
        <x:v>Selected bearing and retaining parts for a matched dirtboard</x:v>
      </x:c>
      <x:c r="G408" s="4" t="str">
        <x:v>Forge hearth, Anvil, Forging hammer, Smithing tongs, Metalworking file and Hand-cranked metal drill as applicable. Existing workshop bootstrap and controlled heating/cooling required; no free-water quench assumed.</x:v>
      </x:c>
      <x:c r="H408" s="4" t="str">
        <x:f>IF(I408=0,"Unassigned",IF(SUMIFS('Material routes'!$Q$6:$Q$2205,'Material routes'!$B$6:$B$2205,A408)&gt;0,"Unassigned","T"&amp;_xlfn.MAXIFS('Material routes'!$P$6:$P$2205,'Material routes'!$B$6:$B$2205,A408)))</x:f>
        <x:v>T3</x:v>
      </x:c>
      <x:c r="I408" s="4" t="n">
        <x:f>SUM(COUNTIFS('Material routes'!$B$6:$B$2205,A408,'Material routes'!$C$6:$C$2205,"Ingredient candidate"),COUNTIFS('Material routes'!$B$6:$B$2205,A408,'Material routes'!$C$6:$C$2205,"Consumed input"),COUNTIFS('Material routes'!$B$6:$B$2205,A408,'Material routes'!$C$6:$C$2205,"Contained input"),COUNTIFS('Material routes'!$B$6:$B$2205,A408,'Material routes'!$C$6:$C$2205,"Transform input"))</x:f>
        <x:v>3</x:v>
      </x:c>
      <x:c r="J408" s="4" t="n">
        <x:f>COUNTIFS('Material routes'!$B$6:$B$2205,A408,'Material routes'!$C$6:$C$2205,"Output")</x:f>
        <x:v>1</x:v>
      </x:c>
      <x:c r="K408" s="4" t="n">
        <x:f>COUNTIFS('Material routes'!$B$6:$B$2205,A408,'Material routes'!$C$6:$C$2205,"Tool candidate")</x:f>
        <x:v>0</x:v>
      </x:c>
      <x:c r="L408" s="4" t="str">
        <x:v>New item proposal, October 15, 2026. Setting reference (source proposal): https://github.com/sleepyseamonster/Arc-Dust/blob/f6f98515c005dc3c73cccd9cbc031691745740c6/02-Arc-Dust-Worldbuilding/world/materials/industrial-material-palette.md</x:v>
      </x:c>
      <x:c r="M408" s="4" t="str">
        <x:v>Quantities, output yield, supporting inputs and compatibility remain undefined.</x:v>
      </x:c>
    </x:row>
    <x:row r="409" ht="90" customHeight="1">
      <x:c r="A409" s="4"/>
      <x:c r="B409" s="4"/>
      <x:c r="C409" s="4"/>
      <x:c r="D409" s="4"/>
      <x:c r="E409" s="4"/>
      <x:c r="F409" s="4"/>
      <x:c r="G409" s="4"/>
      <x:c r="H409" s="4"/>
      <x:c r="I409" s="4"/>
      <x:c r="J409" s="4"/>
      <x:c r="K409" s="4"/>
      <x:c r="L409" s="4"/>
      <x:c r="M409" s="4"/>
    </x:row>
    <x:row r="410" ht="90" customHeight="1">
      <x:c r="A410" s="4"/>
      <x:c r="B410" s="4"/>
      <x:c r="C410" s="4"/>
      <x:c r="D410" s="4"/>
      <x:c r="E410" s="4"/>
      <x:c r="F410" s="4"/>
      <x:c r="G410" s="4"/>
      <x:c r="H410" s="4"/>
      <x:c r="I410" s="4"/>
      <x:c r="J410" s="4"/>
      <x:c r="K410" s="4"/>
      <x:c r="L410" s="4"/>
      <x:c r="M410" s="4"/>
    </x:row>
    <x:row r="411" ht="90" customHeight="1">
      <x:c r="A411" s="4"/>
      <x:c r="B411" s="4"/>
      <x:c r="C411" s="4"/>
      <x:c r="D411" s="4"/>
      <x:c r="E411" s="4"/>
      <x:c r="F411" s="4"/>
      <x:c r="G411" s="4"/>
      <x:c r="H411" s="4"/>
      <x:c r="I411" s="4"/>
      <x:c r="J411" s="4"/>
      <x:c r="K411" s="4"/>
      <x:c r="L411" s="4"/>
      <x:c r="M411" s="4"/>
    </x:row>
    <x:row r="412" ht="90" customHeight="1">
      <x:c r="A412" s="4" t="str">
        <x:v>design.collection.hide_headed_shell_drum</x:v>
      </x:c>
      <x:c r="B412" s="4" t="str">
        <x:v>Hide-headed shell drum candidate preparation</x:v>
      </x:c>
      <x:c r="C412" s="4" t="str">
        <x:v>Finished-item crafting</x:v>
      </x:c>
      <x:c r="D412" s="4" t="str">
        <x:v>Proposal</x:v>
      </x:c>
      <x:c r="E412" s="4" t="str">
        <x:v>Partial proposal</x:v>
      </x:c>
      <x:c r="F412" s="4" t="str">
        <x:v>Scarce hide membrane tensioned over an insect shell bowl</x:v>
      </x:c>
      <x:c r="G412" s="4" t="str">
        <x:v>Metalworking file and assembly/tuning fixtures; tension jigs and shears for listed biological membranes; controlled kiln for ceramic forms. No wood or ordinary cloth.</x:v>
      </x:c>
      <x:c r="H412" s="4" t="str">
        <x:f>IF(I412=0,"Unassigned",IF(SUMIFS('Material routes'!$Q$6:$Q$2205,'Material routes'!$B$6:$B$2205,A412)&gt;0,"Unassigned","T"&amp;_xlfn.MAXIFS('Material routes'!$P$6:$P$2205,'Material routes'!$B$6:$B$2205,A412)))</x:f>
        <x:v>T3</x:v>
      </x:c>
      <x:c r="I412" s="4" t="n">
        <x:f>SUM(COUNTIFS('Material routes'!$B$6:$B$2205,A412,'Material routes'!$C$6:$C$2205,"Ingredient candidate"),COUNTIFS('Material routes'!$B$6:$B$2205,A412,'Material routes'!$C$6:$C$2205,"Consumed input"),COUNTIFS('Material routes'!$B$6:$B$2205,A412,'Material routes'!$C$6:$C$2205,"Contained input"),COUNTIFS('Material routes'!$B$6:$B$2205,A412,'Material routes'!$C$6:$C$2205,"Transform input"))</x:f>
        <x:v>4</x:v>
      </x:c>
      <x:c r="J412" s="4" t="n">
        <x:f>COUNTIFS('Material routes'!$B$6:$B$2205,A412,'Material routes'!$C$6:$C$2205,"Output")</x:f>
        <x:v>1</x:v>
      </x:c>
      <x:c r="K412" s="4" t="n">
        <x:f>COUNTIFS('Material routes'!$B$6:$B$2205,A412,'Material routes'!$C$6:$C$2205,"Tool candidate")</x:f>
        <x:v>0</x:v>
      </x:c>
      <x:c r="L412" s="4" t="str">
        <x:v>New item proposal, October 15, 2026. Setting reference (source proposal): https://github.com/sleepyseamonster/Arc-Dust/blob/f6f98515c005dc3c73cccd9cbc031691745740c6/02-Arc-Dust-Worldbuilding/world/materials/industrial-material-palette.md</x:v>
      </x:c>
      <x:c r="M412" s="4" t="str">
        <x:v>Quantities, output yield, supporting inputs and compatibility remain undefined. October 15 audit: candidate inputs / reusable prerequisites clarified. Structural coverage is not a qualified manufacturing recipe.</x:v>
      </x:c>
    </x:row>
    <x:row r="413" ht="90" customHeight="1">
      <x:c r="A413" s="4" t="str">
        <x:v>design.collection.double_headed_metal_drum</x:v>
      </x:c>
      <x:c r="B413" s="4" t="str">
        <x:v>Double-headed metal drum candidate preparation</x:v>
      </x:c>
      <x:c r="C413" s="4" t="str">
        <x:v>Finished-item crafting</x:v>
      </x:c>
      <x:c r="D413" s="4" t="str">
        <x:v>Proposal</x:v>
      </x:c>
      <x:c r="E413" s="4" t="str">
        <x:v>Partial proposal</x:v>
      </x:c>
      <x:c r="F413" s="4" t="str">
        <x:v>Two scarce hide heads on a worked metal body</x:v>
      </x:c>
      <x:c r="G413" s="4" t="str">
        <x:v>Metalworking file and assembly/tuning fixtures; tension jigs and shears for listed biological membranes; controlled kiln for ceramic forms. No wood or ordinary cloth.</x:v>
      </x:c>
      <x:c r="H413" s="4" t="str">
        <x:f>IF(I413=0,"Unassigned",IF(SUMIFS('Material routes'!$Q$6:$Q$2205,'Material routes'!$B$6:$B$2205,A413)&gt;0,"Unassigned","T"&amp;_xlfn.MAXIFS('Material routes'!$P$6:$P$2205,'Material routes'!$B$6:$B$2205,A413)))</x:f>
        <x:v>T3</x:v>
      </x:c>
      <x:c r="I413" s="4" t="n">
        <x:f>SUM(COUNTIFS('Material routes'!$B$6:$B$2205,A413,'Material routes'!$C$6:$C$2205,"Ingredient candidate"),COUNTIFS('Material routes'!$B$6:$B$2205,A413,'Material routes'!$C$6:$C$2205,"Consumed input"),COUNTIFS('Material routes'!$B$6:$B$2205,A413,'Material routes'!$C$6:$C$2205,"Contained input"),COUNTIFS('Material routes'!$B$6:$B$2205,A413,'Material routes'!$C$6:$C$2205,"Transform input"))</x:f>
        <x:v>4</x:v>
      </x:c>
      <x:c r="J413" s="4" t="n">
        <x:f>COUNTIFS('Material routes'!$B$6:$B$2205,A413,'Material routes'!$C$6:$C$2205,"Output")</x:f>
        <x:v>1</x:v>
      </x:c>
      <x:c r="K413" s="4" t="n">
        <x:f>COUNTIFS('Material routes'!$B$6:$B$2205,A413,'Material routes'!$C$6:$C$2205,"Tool candidate")</x:f>
        <x:v>0</x:v>
      </x:c>
      <x:c r="L413" s="4" t="str">
        <x:v>New item proposal, October 15, 2026. Setting reference (source proposal): https://github.com/sleepyseamonster/Arc-Dust/blob/f6f98515c005dc3c73cccd9cbc031691745740c6/02-Arc-Dust-Worldbuilding/world/materials/industrial-material-palette.md</x:v>
      </x:c>
      <x:c r="M413" s="4" t="str">
        <x:v>Quantities, output yield, supporting inputs and compatibility remain undefined. October 15 audit: candidate inputs / reusable prerequisites clarified. Structural coverage is not a qualified manufacturing recipe.</x:v>
      </x:c>
    </x:row>
    <x:row r="414" ht="90" customHeight="1">
      <x:c r="A414" s="4" t="str">
        <x:v>design.collection.slit_shell_drum</x:v>
      </x:c>
      <x:c r="B414" s="4" t="str">
        <x:v>Slit shell drum candidate preparation</x:v>
      </x:c>
      <x:c r="C414" s="4" t="str">
        <x:v>Finished-item crafting</x:v>
      </x:c>
      <x:c r="D414" s="4" t="str">
        <x:v>Proposal</x:v>
      </x:c>
      <x:c r="E414" s="4" t="str">
        <x:v>Partial proposal</x:v>
      </x:c>
      <x:c r="F414" s="4" t="str">
        <x:v>Rigid resonant shell instrument requiring no hide head</x:v>
      </x:c>
      <x:c r="G414" s="4" t="str">
        <x:v>Metalworking file and assembly/tuning fixtures; tension jigs and shears for listed biological membranes; controlled kiln for ceramic forms. No wood or ordinary cloth.</x:v>
      </x:c>
      <x:c r="H414" s="4" t="str">
        <x:f>IF(I414=0,"Unassigned",IF(SUMIFS('Material routes'!$Q$6:$Q$2205,'Material routes'!$B$6:$B$2205,A414)&gt;0,"Unassigned","T"&amp;_xlfn.MAXIFS('Material routes'!$P$6:$P$2205,'Material routes'!$B$6:$B$2205,A414)))</x:f>
        <x:v>T1</x:v>
      </x:c>
      <x:c r="I414" s="4" t="n">
        <x:f>SUM(COUNTIFS('Material routes'!$B$6:$B$2205,A414,'Material routes'!$C$6:$C$2205,"Ingredient candidate"),COUNTIFS('Material routes'!$B$6:$B$2205,A414,'Material routes'!$C$6:$C$2205,"Consumed input"),COUNTIFS('Material routes'!$B$6:$B$2205,A414,'Material routes'!$C$6:$C$2205,"Contained input"),COUNTIFS('Material routes'!$B$6:$B$2205,A414,'Material routes'!$C$6:$C$2205,"Transform input"))</x:f>
        <x:v>1</x:v>
      </x:c>
      <x:c r="J414" s="4" t="n">
        <x:f>COUNTIFS('Material routes'!$B$6:$B$2205,A414,'Material routes'!$C$6:$C$2205,"Output")</x:f>
        <x:v>1</x:v>
      </x:c>
      <x:c r="K414" s="4" t="n">
        <x:f>COUNTIFS('Material routes'!$B$6:$B$2205,A414,'Material routes'!$C$6:$C$2205,"Tool candidate")</x:f>
        <x:v>0</x:v>
      </x:c>
      <x:c r="L414" s="4" t="str">
        <x:v>New item proposal, October 15, 2026. Setting reference (source proposal): https://github.com/sleepyseamonster/Arc-Dust/blob/f6f98515c005dc3c73cccd9cbc031691745740c6/02-Arc-Dust-Worldbuilding/world/materials/industrial-material-palette.md</x:v>
      </x:c>
      <x:c r="M414" s="4" t="str">
        <x:v>Quantities, output yield, supporting inputs and compatibility remain undefined.</x:v>
      </x:c>
    </x:row>
    <x:row r="415" ht="90" customHeight="1">
      <x:c r="A415" s="4" t="str">
        <x:v>design.collection.metal_frame_drum</x:v>
      </x:c>
      <x:c r="B415" s="4" t="str">
        <x:v>Metal frame drum candidate preparation</x:v>
      </x:c>
      <x:c r="C415" s="4" t="str">
        <x:v>Finished-item crafting</x:v>
      </x:c>
      <x:c r="D415" s="4" t="str">
        <x:v>Proposal</x:v>
      </x:c>
      <x:c r="E415" s="4" t="str">
        <x:v>Partial proposal</x:v>
      </x:c>
      <x:c r="F415" s="4" t="str">
        <x:v>Shallow ring instrument with a minimal hide head</x:v>
      </x:c>
      <x:c r="G415" s="4" t="str">
        <x:v>Metalworking file and assembly/tuning fixtures; tension jigs and shears for listed biological membranes; controlled kiln for ceramic forms. No wood or ordinary cloth.</x:v>
      </x:c>
      <x:c r="H415" s="4" t="str">
        <x:f>IF(I415=0,"Unassigned",IF(SUMIFS('Material routes'!$Q$6:$Q$2205,'Material routes'!$B$6:$B$2205,A415)&gt;0,"Unassigned","T"&amp;_xlfn.MAXIFS('Material routes'!$P$6:$P$2205,'Material routes'!$B$6:$B$2205,A415)))</x:f>
        <x:v>T3</x:v>
      </x:c>
      <x:c r="I415" s="4" t="n">
        <x:f>SUM(COUNTIFS('Material routes'!$B$6:$B$2205,A415,'Material routes'!$C$6:$C$2205,"Ingredient candidate"),COUNTIFS('Material routes'!$B$6:$B$2205,A415,'Material routes'!$C$6:$C$2205,"Consumed input"),COUNTIFS('Material routes'!$B$6:$B$2205,A415,'Material routes'!$C$6:$C$2205,"Contained input"),COUNTIFS('Material routes'!$B$6:$B$2205,A415,'Material routes'!$C$6:$C$2205,"Transform input"))</x:f>
        <x:v>4</x:v>
      </x:c>
      <x:c r="J415" s="4" t="n">
        <x:f>COUNTIFS('Material routes'!$B$6:$B$2205,A415,'Material routes'!$C$6:$C$2205,"Output")</x:f>
        <x:v>1</x:v>
      </x:c>
      <x:c r="K415" s="4" t="n">
        <x:f>COUNTIFS('Material routes'!$B$6:$B$2205,A415,'Material routes'!$C$6:$C$2205,"Tool candidate")</x:f>
        <x:v>0</x:v>
      </x:c>
      <x:c r="L415" s="4" t="str">
        <x:v>New item proposal, October 15, 2026. Setting reference (source proposal): https://github.com/sleepyseamonster/Arc-Dust/blob/f6f98515c005dc3c73cccd9cbc031691745740c6/02-Arc-Dust-Worldbuilding/world/materials/industrial-material-palette.md</x:v>
      </x:c>
      <x:c r="M415" s="4" t="str">
        <x:v>Quantities, output yield, supporting inputs and compatibility remain undefined. October 15 audit: candidate inputs / reusable prerequisites clarified. Structural coverage is not a qualified manufacturing recipe.</x:v>
      </x:c>
    </x:row>
    <x:row r="416" ht="90" customHeight="1">
      <x:c r="A416" s="4" t="str">
        <x:v>design.collection.shell_clapper_pair</x:v>
      </x:c>
      <x:c r="B416" s="4" t="str">
        <x:v>Shell-clapper pair candidate preparation</x:v>
      </x:c>
      <x:c r="C416" s="4" t="str">
        <x:v>Finished-item crafting</x:v>
      </x:c>
      <x:c r="D416" s="4" t="str">
        <x:v>Proposal</x:v>
      </x:c>
      <x:c r="E416" s="4" t="str">
        <x:v>Partial proposal</x:v>
      </x:c>
      <x:c r="F416" s="4" t="str">
        <x:v>Two shaped shell halves struck together</x:v>
      </x:c>
      <x:c r="G416" s="4" t="str">
        <x:v>Metalworking file and assembly/tuning fixtures; tension jigs and shears for listed biological membranes; controlled kiln for ceramic forms. No wood or ordinary cloth.</x:v>
      </x:c>
      <x:c r="H416" s="4" t="str">
        <x:f>IF(I416=0,"Unassigned",IF(SUMIFS('Material routes'!$Q$6:$Q$2205,'Material routes'!$B$6:$B$2205,A416)&gt;0,"Unassigned","T"&amp;_xlfn.MAXIFS('Material routes'!$P$6:$P$2205,'Material routes'!$B$6:$B$2205,A416)))</x:f>
        <x:v>T1</x:v>
      </x:c>
      <x:c r="I416" s="4" t="n">
        <x:f>SUM(COUNTIFS('Material routes'!$B$6:$B$2205,A416,'Material routes'!$C$6:$C$2205,"Ingredient candidate"),COUNTIFS('Material routes'!$B$6:$B$2205,A416,'Material routes'!$C$6:$C$2205,"Consumed input"),COUNTIFS('Material routes'!$B$6:$B$2205,A416,'Material routes'!$C$6:$C$2205,"Contained input"),COUNTIFS('Material routes'!$B$6:$B$2205,A416,'Material routes'!$C$6:$C$2205,"Transform input"))</x:f>
        <x:v>1</x:v>
      </x:c>
      <x:c r="J416" s="4" t="n">
        <x:f>COUNTIFS('Material routes'!$B$6:$B$2205,A416,'Material routes'!$C$6:$C$2205,"Output")</x:f>
        <x:v>1</x:v>
      </x:c>
      <x:c r="K416" s="4" t="n">
        <x:f>COUNTIFS('Material routes'!$B$6:$B$2205,A416,'Material routes'!$C$6:$C$2205,"Tool candidate")</x:f>
        <x:v>0</x:v>
      </x:c>
      <x:c r="L416" s="4" t="str">
        <x:v>New item proposal, October 15, 2026. Setting reference (source proposal): https://github.com/sleepyseamonster/Arc-Dust/blob/f6f98515c005dc3c73cccd9cbc031691745740c6/02-Arc-Dust-Worldbuilding/world/materials/industrial-material-palette.md</x:v>
      </x:c>
      <x:c r="M416" s="4" t="str">
        <x:v>Quantities, output yield, supporting inputs and compatibility remain undefined.</x:v>
      </x:c>
    </x:row>
    <x:row r="417" ht="90" customHeight="1">
      <x:c r="A417" s="4" t="str">
        <x:v>design.collection.bronze_hand_bell</x:v>
      </x:c>
      <x:c r="B417" s="4" t="str">
        <x:v>Bronze hand bell candidate preparation</x:v>
      </x:c>
      <x:c r="C417" s="4" t="str">
        <x:v>Finished-item crafting</x:v>
      </x:c>
      <x:c r="D417" s="4" t="str">
        <x:v>Proposal</x:v>
      </x:c>
      <x:c r="E417" s="4" t="str">
        <x:v>Partial proposal</x:v>
      </x:c>
      <x:c r="F417" s="4" t="str">
        <x:v>Cast bell with a suspended striker</x:v>
      </x:c>
      <x:c r="G417" s="4" t="str">
        <x:v>Metalworking file and assembly/tuning fixtures; tension jigs and shears for listed biological membranes; controlled kiln for ceramic forms. No wood or ordinary cloth.</x:v>
      </x:c>
      <x:c r="H417" s="4" t="str">
        <x:f>IF(I417=0,"Unassigned",IF(SUMIFS('Material routes'!$Q$6:$Q$2205,'Material routes'!$B$6:$B$2205,A417)&gt;0,"Unassigned","T"&amp;_xlfn.MAXIFS('Material routes'!$P$6:$P$2205,'Material routes'!$B$6:$B$2205,A417)))</x:f>
        <x:v>T2</x:v>
      </x:c>
      <x:c r="I417" s="4" t="n">
        <x:f>SUM(COUNTIFS('Material routes'!$B$6:$B$2205,A417,'Material routes'!$C$6:$C$2205,"Ingredient candidate"),COUNTIFS('Material routes'!$B$6:$B$2205,A417,'Material routes'!$C$6:$C$2205,"Consumed input"),COUNTIFS('Material routes'!$B$6:$B$2205,A417,'Material routes'!$C$6:$C$2205,"Contained input"),COUNTIFS('Material routes'!$B$6:$B$2205,A417,'Material routes'!$C$6:$C$2205,"Transform input"))</x:f>
        <x:v>2</x:v>
      </x:c>
      <x:c r="J417" s="4" t="n">
        <x:f>COUNTIFS('Material routes'!$B$6:$B$2205,A417,'Material routes'!$C$6:$C$2205,"Output")</x:f>
        <x:v>1</x:v>
      </x:c>
      <x:c r="K417" s="4" t="n">
        <x:f>COUNTIFS('Material routes'!$B$6:$B$2205,A417,'Material routes'!$C$6:$C$2205,"Tool candidate")</x:f>
        <x:v>0</x:v>
      </x:c>
      <x:c r="L417" s="4" t="str">
        <x:v>New item proposal, October 15, 2026. Setting reference (source proposal): https://github.com/sleepyseamonster/Arc-Dust/blob/f6f98515c005dc3c73cccd9cbc031691745740c6/02-Arc-Dust-Worldbuilding/world/materials/industrial-material-palette.md</x:v>
      </x:c>
      <x:c r="M417" s="4" t="str">
        <x:v>Quantities, output yield, supporting inputs and compatibility remain undefined.</x:v>
      </x:c>
    </x:row>
    <x:row r="418" ht="90" customHeight="1">
      <x:c r="A418" s="4" t="str">
        <x:v>design.collection.iron_cup_bell_chime</x:v>
      </x:c>
      <x:c r="B418" s="4" t="str">
        <x:v>Iron cup-bell chime candidate preparation</x:v>
      </x:c>
      <x:c r="C418" s="4" t="str">
        <x:v>Finished-item crafting</x:v>
      </x:c>
      <x:c r="D418" s="4" t="str">
        <x:v>Proposal</x:v>
      </x:c>
      <x:c r="E418" s="4" t="str">
        <x:v>Partial proposal</x:v>
      </x:c>
      <x:c r="F418" s="4" t="str">
        <x:v>Several tuned metal cups suspended from a frame</x:v>
      </x:c>
      <x:c r="G418" s="4" t="str">
        <x:v>Metalworking file and assembly/tuning fixtures; tension jigs and shears for listed biological membranes; controlled kiln for ceramic forms. No wood or ordinary cloth.</x:v>
      </x:c>
      <x:c r="H418" s="4" t="str">
        <x:f>IF(I418=0,"Unassigned",IF(SUMIFS('Material routes'!$Q$6:$Q$2205,'Material routes'!$B$6:$B$2205,A418)&gt;0,"Unassigned","T"&amp;_xlfn.MAXIFS('Material routes'!$P$6:$P$2205,'Material routes'!$B$6:$B$2205,A418)))</x:f>
        <x:v>T3</x:v>
      </x:c>
      <x:c r="I418" s="4" t="n">
        <x:f>SUM(COUNTIFS('Material routes'!$B$6:$B$2205,A418,'Material routes'!$C$6:$C$2205,"Ingredient candidate"),COUNTIFS('Material routes'!$B$6:$B$2205,A418,'Material routes'!$C$6:$C$2205,"Consumed input"),COUNTIFS('Material routes'!$B$6:$B$2205,A418,'Material routes'!$C$6:$C$2205,"Contained input"),COUNTIFS('Material routes'!$B$6:$B$2205,A418,'Material routes'!$C$6:$C$2205,"Transform input"))</x:f>
        <x:v>2</x:v>
      </x:c>
      <x:c r="J418" s="4" t="n">
        <x:f>COUNTIFS('Material routes'!$B$6:$B$2205,A418,'Material routes'!$C$6:$C$2205,"Output")</x:f>
        <x:v>1</x:v>
      </x:c>
      <x:c r="K418" s="4" t="n">
        <x:f>COUNTIFS('Material routes'!$B$6:$B$2205,A418,'Material routes'!$C$6:$C$2205,"Tool candidate")</x:f>
        <x:v>0</x:v>
      </x:c>
      <x:c r="L418" s="4" t="str">
        <x:v>New item proposal, October 15, 2026. Setting reference (source proposal): https://github.com/sleepyseamonster/Arc-Dust/blob/f6f98515c005dc3c73cccd9cbc031691745740c6/02-Arc-Dust-Worldbuilding/world/materials/industrial-material-palette.md</x:v>
      </x:c>
      <x:c r="M418" s="4" t="str">
        <x:v>Quantities, output yield, supporting inputs and compatibility remain undefined.</x:v>
      </x:c>
    </x:row>
    <x:row r="419" ht="90" customHeight="1">
      <x:c r="A419" s="4" t="str">
        <x:v>design.collection.stone_bar_resonator</x:v>
      </x:c>
      <x:c r="B419" s="4" t="str">
        <x:v>Stone-bar resonator candidate preparation</x:v>
      </x:c>
      <x:c r="C419" s="4" t="str">
        <x:v>Finished-item crafting</x:v>
      </x:c>
      <x:c r="D419" s="4" t="str">
        <x:v>Proposal</x:v>
      </x:c>
      <x:c r="E419" s="4" t="str">
        <x:v>Partial proposal</x:v>
      </x:c>
      <x:c r="F419" s="4" t="str">
        <x:v>Tuned stone bars mounted over a shell resonance cavity</x:v>
      </x:c>
      <x:c r="G419" s="4" t="str">
        <x:v>Metalworking file and assembly/tuning fixtures; tension jigs and shears for listed biological membranes; controlled kiln for ceramic forms. No wood or ordinary cloth.</x:v>
      </x:c>
      <x:c r="H419" s="4" t="str">
        <x:f>IF(I419=0,"Unassigned",IF(SUMIFS('Material routes'!$Q$6:$Q$2205,'Material routes'!$B$6:$B$2205,A419)&gt;0,"Unassigned","T"&amp;_xlfn.MAXIFS('Material routes'!$P$6:$P$2205,'Material routes'!$B$6:$B$2205,A419)))</x:f>
        <x:v>T2</x:v>
      </x:c>
      <x:c r="I419" s="4" t="n">
        <x:f>SUM(COUNTIFS('Material routes'!$B$6:$B$2205,A419,'Material routes'!$C$6:$C$2205,"Ingredient candidate"),COUNTIFS('Material routes'!$B$6:$B$2205,A419,'Material routes'!$C$6:$C$2205,"Consumed input"),COUNTIFS('Material routes'!$B$6:$B$2205,A419,'Material routes'!$C$6:$C$2205,"Contained input"),COUNTIFS('Material routes'!$B$6:$B$2205,A419,'Material routes'!$C$6:$C$2205,"Transform input"))</x:f>
        <x:v>2</x:v>
      </x:c>
      <x:c r="J419" s="4" t="n">
        <x:f>COUNTIFS('Material routes'!$B$6:$B$2205,A419,'Material routes'!$C$6:$C$2205,"Output")</x:f>
        <x:v>1</x:v>
      </x:c>
      <x:c r="K419" s="4" t="n">
        <x:f>COUNTIFS('Material routes'!$B$6:$B$2205,A419,'Material routes'!$C$6:$C$2205,"Tool candidate")</x:f>
        <x:v>0</x:v>
      </x:c>
      <x:c r="L419" s="4" t="str">
        <x:v>New item proposal, October 15, 2026. Setting reference (source proposal): https://github.com/sleepyseamonster/Arc-Dust/blob/f6f98515c005dc3c73cccd9cbc031691745740c6/02-Arc-Dust-Worldbuilding/world/materials/industrial-material-palette.md</x:v>
      </x:c>
      <x:c r="M419" s="4" t="str">
        <x:v>Quantities, output yield, supporting inputs and compatibility remain undefined.</x:v>
      </x:c>
    </x:row>
    <x:row r="420" ht="90" customHeight="1">
      <x:c r="A420" s="4" t="str">
        <x:v>design.collection.steel_tongue_drum</x:v>
      </x:c>
      <x:c r="B420" s="4" t="str">
        <x:v>Steel tongue drum candidate preparation</x:v>
      </x:c>
      <x:c r="C420" s="4" t="str">
        <x:v>Finished-item crafting</x:v>
      </x:c>
      <x:c r="D420" s="4" t="str">
        <x:v>Proposal</x:v>
      </x:c>
      <x:c r="E420" s="4" t="str">
        <x:v>Partial proposal</x:v>
      </x:c>
      <x:c r="F420" s="4" t="str">
        <x:v>Cut metal tongues on a hollow metal body</x:v>
      </x:c>
      <x:c r="G420" s="4" t="str">
        <x:v>Metalworking file and assembly/tuning fixtures; tension jigs and shears for listed biological membranes; controlled kiln for ceramic forms. No wood or ordinary cloth.</x:v>
      </x:c>
      <x:c r="H420" s="4" t="str">
        <x:f>IF(I420=0,"Unassigned",IF(SUMIFS('Material routes'!$Q$6:$Q$2205,'Material routes'!$B$6:$B$2205,A420)&gt;0,"Unassigned","T"&amp;_xlfn.MAXIFS('Material routes'!$P$6:$P$2205,'Material routes'!$B$6:$B$2205,A420)))</x:f>
        <x:v>T3</x:v>
      </x:c>
      <x:c r="I420" s="4" t="n">
        <x:f>SUM(COUNTIFS('Material routes'!$B$6:$B$2205,A420,'Material routes'!$C$6:$C$2205,"Ingredient candidate"),COUNTIFS('Material routes'!$B$6:$B$2205,A420,'Material routes'!$C$6:$C$2205,"Consumed input"),COUNTIFS('Material routes'!$B$6:$B$2205,A420,'Material routes'!$C$6:$C$2205,"Contained input"),COUNTIFS('Material routes'!$B$6:$B$2205,A420,'Material routes'!$C$6:$C$2205,"Transform input"))</x:f>
        <x:v>1</x:v>
      </x:c>
      <x:c r="J420" s="4" t="n">
        <x:f>COUNTIFS('Material routes'!$B$6:$B$2205,A420,'Material routes'!$C$6:$C$2205,"Output")</x:f>
        <x:v>1</x:v>
      </x:c>
      <x:c r="K420" s="4" t="n">
        <x:f>COUNTIFS('Material routes'!$B$6:$B$2205,A420,'Material routes'!$C$6:$C$2205,"Tool candidate")</x:f>
        <x:v>0</x:v>
      </x:c>
      <x:c r="L420" s="4" t="str">
        <x:v>New item proposal, October 15, 2026. Setting reference (source proposal): https://github.com/sleepyseamonster/Arc-Dust/blob/f6f98515c005dc3c73cccd9cbc031691745740c6/02-Arc-Dust-Worldbuilding/world/materials/industrial-material-palette.md</x:v>
      </x:c>
      <x:c r="M420" s="4" t="str">
        <x:v>Quantities, output yield, supporting inputs and compatibility remain undefined.</x:v>
      </x:c>
    </x:row>
    <x:row r="421" ht="90" customHeight="1">
      <x:c r="A421" s="4" t="str">
        <x:v>design.collection.metal_transverse_flute</x:v>
      </x:c>
      <x:c r="B421" s="4" t="str">
        <x:v>Metal transverse flute candidate preparation</x:v>
      </x:c>
      <x:c r="C421" s="4" t="str">
        <x:v>Finished-item crafting</x:v>
      </x:c>
      <x:c r="D421" s="4" t="str">
        <x:v>Proposal</x:v>
      </x:c>
      <x:c r="E421" s="4" t="str">
        <x:v>Partial proposal</x:v>
      </x:c>
      <x:c r="F421" s="4" t="str">
        <x:v>Side-blown metal tube instrument</x:v>
      </x:c>
      <x:c r="G421" s="4" t="str">
        <x:v>Metalworking file and assembly/tuning fixtures; tension jigs and shears for listed biological membranes; controlled kiln for ceramic forms. No wood or ordinary cloth.</x:v>
      </x:c>
      <x:c r="H421" s="4" t="str">
        <x:f>IF(I421=0,"Unassigned",IF(SUMIFS('Material routes'!$Q$6:$Q$2205,'Material routes'!$B$6:$B$2205,A421)&gt;0,"Unassigned","T"&amp;_xlfn.MAXIFS('Material routes'!$P$6:$P$2205,'Material routes'!$B$6:$B$2205,A421)))</x:f>
        <x:v>T3</x:v>
      </x:c>
      <x:c r="I421" s="4" t="n">
        <x:f>SUM(COUNTIFS('Material routes'!$B$6:$B$2205,A421,'Material routes'!$C$6:$C$2205,"Ingredient candidate"),COUNTIFS('Material routes'!$B$6:$B$2205,A421,'Material routes'!$C$6:$C$2205,"Consumed input"),COUNTIFS('Material routes'!$B$6:$B$2205,A421,'Material routes'!$C$6:$C$2205,"Contained input"),COUNTIFS('Material routes'!$B$6:$B$2205,A421,'Material routes'!$C$6:$C$2205,"Transform input"))</x:f>
        <x:v>1</x:v>
      </x:c>
      <x:c r="J421" s="4" t="n">
        <x:f>COUNTIFS('Material routes'!$B$6:$B$2205,A421,'Material routes'!$C$6:$C$2205,"Output")</x:f>
        <x:v>1</x:v>
      </x:c>
      <x:c r="K421" s="4" t="n">
        <x:f>COUNTIFS('Material routes'!$B$6:$B$2205,A421,'Material routes'!$C$6:$C$2205,"Tool candidate")</x:f>
        <x:v>0</x:v>
      </x:c>
      <x:c r="L421" s="4" t="str">
        <x:v>New item proposal, October 15, 2026. Setting reference (source proposal): https://github.com/sleepyseamonster/Arc-Dust/blob/f6f98515c005dc3c73cccd9cbc031691745740c6/02-Arc-Dust-Worldbuilding/world/materials/industrial-material-palette.md</x:v>
      </x:c>
      <x:c r="M421" s="4" t="str">
        <x:v>Quantities, output yield, supporting inputs and compatibility remain undefined.</x:v>
      </x:c>
    </x:row>
    <x:row r="422" ht="90" customHeight="1">
      <x:c r="A422" s="4" t="str">
        <x:v>design.collection.ceramic_duct_flute</x:v>
      </x:c>
      <x:c r="B422" s="4" t="str">
        <x:v>Ceramic duct flute candidate preparation</x:v>
      </x:c>
      <x:c r="C422" s="4" t="str">
        <x:v>Finished-item crafting</x:v>
      </x:c>
      <x:c r="D422" s="4" t="str">
        <x:v>Proposal</x:v>
      </x:c>
      <x:c r="E422" s="4" t="str">
        <x:v>Partial proposal</x:v>
      </x:c>
      <x:c r="F422" s="4" t="str">
        <x:v>Molded air channel and finger-hole instrument</x:v>
      </x:c>
      <x:c r="G422" s="4" t="str">
        <x:v>Metalworking file and assembly/tuning fixtures; tension jigs and shears for listed biological membranes; controlled kiln for ceramic forms. No wood or ordinary cloth.</x:v>
      </x:c>
      <x:c r="H422" s="4" t="str">
        <x:f>IF(I422=0,"Unassigned",IF(SUMIFS('Material routes'!$Q$6:$Q$2205,'Material routes'!$B$6:$B$2205,A422)&gt;0,"Unassigned","T"&amp;_xlfn.MAXIFS('Material routes'!$P$6:$P$2205,'Material routes'!$B$6:$B$2205,A422)))</x:f>
        <x:v>T1</x:v>
      </x:c>
      <x:c r="I422" s="4" t="n">
        <x:f>SUM(COUNTIFS('Material routes'!$B$6:$B$2205,A422,'Material routes'!$C$6:$C$2205,"Ingredient candidate"),COUNTIFS('Material routes'!$B$6:$B$2205,A422,'Material routes'!$C$6:$C$2205,"Consumed input"),COUNTIFS('Material routes'!$B$6:$B$2205,A422,'Material routes'!$C$6:$C$2205,"Contained input"),COUNTIFS('Material routes'!$B$6:$B$2205,A422,'Material routes'!$C$6:$C$2205,"Transform input"))</x:f>
        <x:v>1</x:v>
      </x:c>
      <x:c r="J422" s="4" t="n">
        <x:f>COUNTIFS('Material routes'!$B$6:$B$2205,A422,'Material routes'!$C$6:$C$2205,"Output")</x:f>
        <x:v>1</x:v>
      </x:c>
      <x:c r="K422" s="4" t="n">
        <x:f>COUNTIFS('Material routes'!$B$6:$B$2205,A422,'Material routes'!$C$6:$C$2205,"Tool candidate")</x:f>
        <x:v>0</x:v>
      </x:c>
      <x:c r="L422" s="4" t="str">
        <x:v>New item proposal, October 15, 2026. Setting reference (source proposal): https://github.com/sleepyseamonster/Arc-Dust/blob/f6f98515c005dc3c73cccd9cbc031691745740c6/02-Arc-Dust-Worldbuilding/world/materials/industrial-material-palette.md</x:v>
      </x:c>
      <x:c r="M422" s="4" t="str">
        <x:v>Quantities, output yield, supporting inputs and compatibility remain undefined.</x:v>
      </x:c>
    </x:row>
    <x:row r="423" ht="90" customHeight="1">
      <x:c r="A423" s="4" t="str">
        <x:v>design.collection.hollow_horn_flute</x:v>
      </x:c>
      <x:c r="B423" s="4" t="str">
        <x:v>Hollow-horn flute candidate preparation</x:v>
      </x:c>
      <x:c r="C423" s="4" t="str">
        <x:v>Finished-item crafting</x:v>
      </x:c>
      <x:c r="D423" s="4" t="str">
        <x:v>Proposal</x:v>
      </x:c>
      <x:c r="E423" s="4" t="str">
        <x:v>Partial proposal</x:v>
      </x:c>
      <x:c r="F423" s="4" t="str">
        <x:v>Worked fauna horn core used as a wind instrument</x:v>
      </x:c>
      <x:c r="G423" s="4" t="str">
        <x:v>Metalworking file and assembly/tuning fixtures; tension jigs and shears for listed biological membranes; controlled kiln for ceramic forms. No wood or ordinary cloth.</x:v>
      </x:c>
      <x:c r="H423" s="4" t="str">
        <x:f>IF(I423=0,"Unassigned",IF(SUMIFS('Material routes'!$Q$6:$Q$2205,'Material routes'!$B$6:$B$2205,A423)&gt;0,"Unassigned","T"&amp;_xlfn.MAXIFS('Material routes'!$P$6:$P$2205,'Material routes'!$B$6:$B$2205,A423)))</x:f>
        <x:v>T0</x:v>
      </x:c>
      <x:c r="I423" s="4" t="n">
        <x:f>SUM(COUNTIFS('Material routes'!$B$6:$B$2205,A423,'Material routes'!$C$6:$C$2205,"Ingredient candidate"),COUNTIFS('Material routes'!$B$6:$B$2205,A423,'Material routes'!$C$6:$C$2205,"Consumed input"),COUNTIFS('Material routes'!$B$6:$B$2205,A423,'Material routes'!$C$6:$C$2205,"Contained input"),COUNTIFS('Material routes'!$B$6:$B$2205,A423,'Material routes'!$C$6:$C$2205,"Transform input"))</x:f>
        <x:v>1</x:v>
      </x:c>
      <x:c r="J423" s="4" t="n">
        <x:f>COUNTIFS('Material routes'!$B$6:$B$2205,A423,'Material routes'!$C$6:$C$2205,"Output")</x:f>
        <x:v>1</x:v>
      </x:c>
      <x:c r="K423" s="4" t="n">
        <x:f>COUNTIFS('Material routes'!$B$6:$B$2205,A423,'Material routes'!$C$6:$C$2205,"Tool candidate")</x:f>
        <x:v>0</x:v>
      </x:c>
      <x:c r="L423" s="4" t="str">
        <x:v>New item proposal, October 15, 2026. Setting reference (source proposal): https://github.com/sleepyseamonster/Arc-Dust/blob/f6f98515c005dc3c73cccd9cbc031691745740c6/02-Arc-Dust-Worldbuilding/world/materials/industrial-material-palette.md</x:v>
      </x:c>
      <x:c r="M423" s="4" t="str">
        <x:v>Quantities, output yield, supporting inputs and compatibility remain undefined.</x:v>
      </x:c>
    </x:row>
    <x:row r="424" ht="90" customHeight="1">
      <x:c r="A424" s="4" t="str">
        <x:v>design.collection.wing_rib_whistle</x:v>
      </x:c>
      <x:c r="B424" s="4" t="str">
        <x:v>Wing-rib whistle candidate preparation</x:v>
      </x:c>
      <x:c r="C424" s="4" t="str">
        <x:v>Finished-item crafting</x:v>
      </x:c>
      <x:c r="D424" s="4" t="str">
        <x:v>Proposal</x:v>
      </x:c>
      <x:c r="E424" s="4" t="str">
        <x:v>Partial proposal</x:v>
      </x:c>
      <x:c r="F424" s="4" t="str">
        <x:v>Small shaped hard-part whistle</x:v>
      </x:c>
      <x:c r="G424" s="4" t="str">
        <x:v>Metalworking file and assembly/tuning fixtures; tension jigs and shears for listed biological membranes; controlled kiln for ceramic forms. No wood or ordinary cloth.</x:v>
      </x:c>
      <x:c r="H424" s="4" t="str">
        <x:f>IF(I424=0,"Unassigned",IF(SUMIFS('Material routes'!$Q$6:$Q$2205,'Material routes'!$B$6:$B$2205,A424)&gt;0,"Unassigned","T"&amp;_xlfn.MAXIFS('Material routes'!$P$6:$P$2205,'Material routes'!$B$6:$B$2205,A424)))</x:f>
        <x:v>T0</x:v>
      </x:c>
      <x:c r="I424" s="4" t="n">
        <x:f>SUM(COUNTIFS('Material routes'!$B$6:$B$2205,A424,'Material routes'!$C$6:$C$2205,"Ingredient candidate"),COUNTIFS('Material routes'!$B$6:$B$2205,A424,'Material routes'!$C$6:$C$2205,"Consumed input"),COUNTIFS('Material routes'!$B$6:$B$2205,A424,'Material routes'!$C$6:$C$2205,"Contained input"),COUNTIFS('Material routes'!$B$6:$B$2205,A424,'Material routes'!$C$6:$C$2205,"Transform input"))</x:f>
        <x:v>1</x:v>
      </x:c>
      <x:c r="J424" s="4" t="n">
        <x:f>COUNTIFS('Material routes'!$B$6:$B$2205,A424,'Material routes'!$C$6:$C$2205,"Output")</x:f>
        <x:v>1</x:v>
      </x:c>
      <x:c r="K424" s="4" t="n">
        <x:f>COUNTIFS('Material routes'!$B$6:$B$2205,A424,'Material routes'!$C$6:$C$2205,"Tool candidate")</x:f>
        <x:v>0</x:v>
      </x:c>
      <x:c r="L424" s="4" t="str">
        <x:v>New item proposal, October 15, 2026. Setting reference (source proposal): https://github.com/sleepyseamonster/Arc-Dust/blob/f6f98515c005dc3c73cccd9cbc031691745740c6/02-Arc-Dust-Worldbuilding/world/materials/industrial-material-palette.md</x:v>
      </x:c>
      <x:c r="M424" s="4" t="str">
        <x:v>Quantities, output yield, supporting inputs and compatibility remain undefined.</x:v>
      </x:c>
    </x:row>
    <x:row r="425" ht="90" customHeight="1">
      <x:c r="A425" s="4" t="str">
        <x:v>design.collection.shell_chamber_ocarina</x:v>
      </x:c>
      <x:c r="B425" s="4" t="str">
        <x:v>Shell chamber ocarina candidate preparation</x:v>
      </x:c>
      <x:c r="C425" s="4" t="str">
        <x:v>Finished-item crafting</x:v>
      </x:c>
      <x:c r="D425" s="4" t="str">
        <x:v>Proposal</x:v>
      </x:c>
      <x:c r="E425" s="4" t="str">
        <x:v>Partial proposal</x:v>
      </x:c>
      <x:c r="F425" s="4" t="str">
        <x:v>Hollow shell wind instrument with fitted mouthpiece</x:v>
      </x:c>
      <x:c r="G425" s="4" t="str">
        <x:v>Metalworking file and assembly/tuning fixtures; tension jigs and shears for listed biological membranes; controlled kiln for ceramic forms. No wood or ordinary cloth.</x:v>
      </x:c>
      <x:c r="H425" s="4" t="str">
        <x:f>IF(I425=0,"Unassigned",IF(SUMIFS('Material routes'!$Q$6:$Q$2205,'Material routes'!$B$6:$B$2205,A425)&gt;0,"Unassigned","T"&amp;_xlfn.MAXIFS('Material routes'!$P$6:$P$2205,'Material routes'!$B$6:$B$2205,A425)))</x:f>
        <x:v>T2</x:v>
      </x:c>
      <x:c r="I425" s="4" t="n">
        <x:f>SUM(COUNTIFS('Material routes'!$B$6:$B$2205,A425,'Material routes'!$C$6:$C$2205,"Ingredient candidate"),COUNTIFS('Material routes'!$B$6:$B$2205,A425,'Material routes'!$C$6:$C$2205,"Consumed input"),COUNTIFS('Material routes'!$B$6:$B$2205,A425,'Material routes'!$C$6:$C$2205,"Contained input"),COUNTIFS('Material routes'!$B$6:$B$2205,A425,'Material routes'!$C$6:$C$2205,"Transform input"))</x:f>
        <x:v>2</x:v>
      </x:c>
      <x:c r="J425" s="4" t="n">
        <x:f>COUNTIFS('Material routes'!$B$6:$B$2205,A425,'Material routes'!$C$6:$C$2205,"Output")</x:f>
        <x:v>1</x:v>
      </x:c>
      <x:c r="K425" s="4" t="n">
        <x:f>COUNTIFS('Material routes'!$B$6:$B$2205,A425,'Material routes'!$C$6:$C$2205,"Tool candidate")</x:f>
        <x:v>0</x:v>
      </x:c>
      <x:c r="L425" s="4" t="str">
        <x:v>New item proposal, October 15, 2026. Setting reference (source proposal): https://github.com/sleepyseamonster/Arc-Dust/blob/f6f98515c005dc3c73cccd9cbc031691745740c6/02-Arc-Dust-Worldbuilding/world/materials/industrial-material-palette.md</x:v>
      </x:c>
      <x:c r="M425" s="4" t="str">
        <x:v>Quantities, output yield, supporting inputs and compatibility remain undefined. October 15 audit: candidate inputs / reusable prerequisites clarified. Structural coverage is not a qualified manufacturing recipe.</x:v>
      </x:c>
    </x:row>
    <x:row r="426" ht="90" customHeight="1">
      <x:c r="A426" s="4" t="str">
        <x:v>design.collection.bronze_lip_horn</x:v>
      </x:c>
      <x:c r="B426" s="4" t="str">
        <x:v>Bronze lip horn candidate preparation</x:v>
      </x:c>
      <x:c r="C426" s="4" t="str">
        <x:v>Finished-item crafting</x:v>
      </x:c>
      <x:c r="D426" s="4" t="str">
        <x:v>Proposal</x:v>
      </x:c>
      <x:c r="E426" s="4" t="str">
        <x:v>Partial proposal</x:v>
      </x:c>
      <x:c r="F426" s="4" t="str">
        <x:v>Metal flared wind instrument</x:v>
      </x:c>
      <x:c r="G426" s="4" t="str">
        <x:v>Metalworking file and assembly/tuning fixtures; tension jigs and shears for listed biological membranes; controlled kiln for ceramic forms. No wood or ordinary cloth.</x:v>
      </x:c>
      <x:c r="H426" s="4" t="str">
        <x:f>IF(I426=0,"Unassigned",IF(SUMIFS('Material routes'!$Q$6:$Q$2205,'Material routes'!$B$6:$B$2205,A426)&gt;0,"Unassigned","T"&amp;_xlfn.MAXIFS('Material routes'!$P$6:$P$2205,'Material routes'!$B$6:$B$2205,A426)))</x:f>
        <x:v>T2</x:v>
      </x:c>
      <x:c r="I426" s="4" t="n">
        <x:f>SUM(COUNTIFS('Material routes'!$B$6:$B$2205,A426,'Material routes'!$C$6:$C$2205,"Ingredient candidate"),COUNTIFS('Material routes'!$B$6:$B$2205,A426,'Material routes'!$C$6:$C$2205,"Consumed input"),COUNTIFS('Material routes'!$B$6:$B$2205,A426,'Material routes'!$C$6:$C$2205,"Contained input"),COUNTIFS('Material routes'!$B$6:$B$2205,A426,'Material routes'!$C$6:$C$2205,"Transform input"))</x:f>
        <x:v>1</x:v>
      </x:c>
      <x:c r="J426" s="4" t="n">
        <x:f>COUNTIFS('Material routes'!$B$6:$B$2205,A426,'Material routes'!$C$6:$C$2205,"Output")</x:f>
        <x:v>1</x:v>
      </x:c>
      <x:c r="K426" s="4" t="n">
        <x:f>COUNTIFS('Material routes'!$B$6:$B$2205,A426,'Material routes'!$C$6:$C$2205,"Tool candidate")</x:f>
        <x:v>0</x:v>
      </x:c>
      <x:c r="L426" s="4" t="str">
        <x:v>New item proposal, October 15, 2026. Setting reference (source proposal): https://github.com/sleepyseamonster/Arc-Dust/blob/f6f98515c005dc3c73cccd9cbc031691745740c6/02-Arc-Dust-Worldbuilding/world/materials/industrial-material-palette.md</x:v>
      </x:c>
      <x:c r="M426" s="4" t="str">
        <x:v>Quantities, output yield, supporting inputs and compatibility remain undefined.</x:v>
      </x:c>
    </x:row>
    <x:row r="427" ht="90" customHeight="1">
      <x:c r="A427" s="4" t="str">
        <x:v>design.collection.metal_free_reed_mouth_organ</x:v>
      </x:c>
      <x:c r="B427" s="4" t="str">
        <x:v>Metal free-reed mouth organ candidate preparation</x:v>
      </x:c>
      <x:c r="C427" s="4" t="str">
        <x:v>Finished-item crafting</x:v>
      </x:c>
      <x:c r="D427" s="4" t="str">
        <x:v>Proposal</x:v>
      </x:c>
      <x:c r="E427" s="4" t="str">
        <x:v>Partial proposal</x:v>
      </x:c>
      <x:c r="F427" s="4" t="str">
        <x:v>Small metal reed bank with a fitted mouthpiece</x:v>
      </x:c>
      <x:c r="G427" s="4" t="str">
        <x:v>Metalworking file and assembly/tuning fixtures; tension jigs and shears for listed biological membranes; controlled kiln for ceramic forms. No wood or ordinary cloth.</x:v>
      </x:c>
      <x:c r="H427" s="4" t="str">
        <x:f>IF(I427=0,"Unassigned",IF(SUMIFS('Material routes'!$Q$6:$Q$2205,'Material routes'!$B$6:$B$2205,A427)&gt;0,"Unassigned","T"&amp;_xlfn.MAXIFS('Material routes'!$P$6:$P$2205,'Material routes'!$B$6:$B$2205,A427)))</x:f>
        <x:v>T4</x:v>
      </x:c>
      <x:c r="I427" s="4" t="n">
        <x:f>SUM(COUNTIFS('Material routes'!$B$6:$B$2205,A427,'Material routes'!$C$6:$C$2205,"Ingredient candidate"),COUNTIFS('Material routes'!$B$6:$B$2205,A427,'Material routes'!$C$6:$C$2205,"Consumed input"),COUNTIFS('Material routes'!$B$6:$B$2205,A427,'Material routes'!$C$6:$C$2205,"Contained input"),COUNTIFS('Material routes'!$B$6:$B$2205,A427,'Material routes'!$C$6:$C$2205,"Transform input"))</x:f>
        <x:v>3</x:v>
      </x:c>
      <x:c r="J427" s="4" t="n">
        <x:f>COUNTIFS('Material routes'!$B$6:$B$2205,A427,'Material routes'!$C$6:$C$2205,"Output")</x:f>
        <x:v>1</x:v>
      </x:c>
      <x:c r="K427" s="4" t="n">
        <x:f>COUNTIFS('Material routes'!$B$6:$B$2205,A427,'Material routes'!$C$6:$C$2205,"Tool candidate")</x:f>
        <x:v>0</x:v>
      </x:c>
      <x:c r="L427" s="4" t="str">
        <x:v>New item proposal, October 15, 2026. Setting reference (source proposal): https://github.com/sleepyseamonster/Arc-Dust/blob/f6f98515c005dc3c73cccd9cbc031691745740c6/02-Arc-Dust-Worldbuilding/world/materials/industrial-material-palette.md</x:v>
      </x:c>
      <x:c r="M427" s="4" t="str">
        <x:v>Quantities, output yield, supporting inputs and compatibility remain undefined. October 15 audit: candidate inputs / reusable prerequisites clarified. Structural coverage is not a qualified manufacturing recipe.</x:v>
      </x:c>
    </x:row>
    <x:row r="428" ht="90" customHeight="1">
      <x:c r="A428" s="4"/>
      <x:c r="B428" s="4"/>
      <x:c r="C428" s="4"/>
      <x:c r="D428" s="4"/>
      <x:c r="E428" s="4"/>
      <x:c r="F428" s="4"/>
      <x:c r="G428" s="4"/>
      <x:c r="H428" s="4"/>
      <x:c r="I428" s="4"/>
      <x:c r="J428" s="4"/>
      <x:c r="K428" s="4"/>
      <x:c r="L428" s="4"/>
      <x:c r="M428" s="4"/>
    </x:row>
    <x:row r="429" ht="90" customHeight="1">
      <x:c r="A429" s="4"/>
      <x:c r="B429" s="4"/>
      <x:c r="C429" s="4"/>
      <x:c r="D429" s="4"/>
      <x:c r="E429" s="4"/>
      <x:c r="F429" s="4"/>
      <x:c r="G429" s="4"/>
      <x:c r="H429" s="4"/>
      <x:c r="I429" s="4"/>
      <x:c r="J429" s="4"/>
      <x:c r="K429" s="4"/>
      <x:c r="L429" s="4"/>
      <x:c r="M429" s="4"/>
    </x:row>
    <x:row r="430" ht="90" customHeight="1">
      <x:c r="A430" s="4" t="str">
        <x:v>design.collection.steel_jaw_harp</x:v>
      </x:c>
      <x:c r="B430" s="4" t="str">
        <x:v>Steel jaw harp candidate preparation</x:v>
      </x:c>
      <x:c r="C430" s="4" t="str">
        <x:v>Finished-item crafting</x:v>
      </x:c>
      <x:c r="D430" s="4" t="str">
        <x:v>Proposal</x:v>
      </x:c>
      <x:c r="E430" s="4" t="str">
        <x:v>Partial proposal</x:v>
      </x:c>
      <x:c r="F430" s="4" t="str">
        <x:v>Plucked spring tongue in a compact metal frame</x:v>
      </x:c>
      <x:c r="G430" s="4" t="str">
        <x:v>Metalworking file and assembly/tuning fixtures; tension jigs and shears for listed biological membranes; controlled kiln for ceramic forms. No wood or ordinary cloth.</x:v>
      </x:c>
      <x:c r="H430" s="4" t="str">
        <x:f>IF(I430=0,"Unassigned",IF(SUMIFS('Material routes'!$Q$6:$Q$2205,'Material routes'!$B$6:$B$2205,A430)&gt;0,"Unassigned","T"&amp;_xlfn.MAXIFS('Material routes'!$P$6:$P$2205,'Material routes'!$B$6:$B$2205,A430)))</x:f>
        <x:v>T3</x:v>
      </x:c>
      <x:c r="I430" s="4" t="n">
        <x:f>SUM(COUNTIFS('Material routes'!$B$6:$B$2205,A430,'Material routes'!$C$6:$C$2205,"Ingredient candidate"),COUNTIFS('Material routes'!$B$6:$B$2205,A430,'Material routes'!$C$6:$C$2205,"Consumed input"),COUNTIFS('Material routes'!$B$6:$B$2205,A430,'Material routes'!$C$6:$C$2205,"Contained input"),COUNTIFS('Material routes'!$B$6:$B$2205,A430,'Material routes'!$C$6:$C$2205,"Transform input"))</x:f>
        <x:v>3</x:v>
      </x:c>
      <x:c r="J430" s="4" t="n">
        <x:f>COUNTIFS('Material routes'!$B$6:$B$2205,A430,'Material routes'!$C$6:$C$2205,"Output")</x:f>
        <x:v>1</x:v>
      </x:c>
      <x:c r="K430" s="4" t="n">
        <x:f>COUNTIFS('Material routes'!$B$6:$B$2205,A430,'Material routes'!$C$6:$C$2205,"Tool candidate")</x:f>
        <x:v>0</x:v>
      </x:c>
      <x:c r="L430" s="4" t="str">
        <x:v>New item proposal, October 15, 2026. Setting reference (source proposal): https://github.com/sleepyseamonster/Arc-Dust/blob/f6f98515c005dc3c73cccd9cbc031691745740c6/02-Arc-Dust-Worldbuilding/world/materials/industrial-material-palette.md</x:v>
      </x:c>
      <x:c r="M430" s="4" t="str">
        <x:v>Quantities, output yield, supporting inputs and compatibility remain undefined. October 15 audit: candidate inputs / reusable prerequisites clarified. Structural coverage is not a qualified manufacturing recipe.</x:v>
      </x:c>
    </x:row>
    <x:row r="431" ht="90" customHeight="1">
      <x:c r="A431" s="4" t="str">
        <x:v>design.collection.folding_vertical_wing_shade</x:v>
      </x:c>
      <x:c r="B431" s="4" t="str">
        <x:v>Folding vertical wing shade candidate preparation</x:v>
      </x:c>
      <x:c r="C431" s="4" t="str">
        <x:v>Finished-item crafting</x:v>
      </x:c>
      <x:c r="D431" s="4" t="str">
        <x:v>Proposal</x:v>
      </x:c>
      <x:c r="E431" s="4" t="str">
        <x:v>Partial proposal</x:v>
      </x:c>
      <x:c r="F431" s="4" t="str">
        <x:v>Upright inner-wing panel for directional sun shade</x:v>
      </x:c>
      <x:c r="G431" s="4" t="str">
        <x:v>Husk-sheet cutting shears, pressure fixtures and dedicated preparation surfaces. Very low hide/fur yield; no ordinary cloth or plant inputs.</x:v>
      </x:c>
      <x:c r="H431" s="4" t="str">
        <x:f>IF(I431=0,"Unassigned",IF(SUMIFS('Material routes'!$Q$6:$Q$2205,'Material routes'!$B$6:$B$2205,A431)&gt;0,"Unassigned","T"&amp;_xlfn.MAXIFS('Material routes'!$P$6:$P$2205,'Material routes'!$B$6:$B$2205,A431)))</x:f>
        <x:v>T4</x:v>
      </x:c>
      <x:c r="I431" s="4" t="n">
        <x:f>SUM(COUNTIFS('Material routes'!$B$6:$B$2205,A431,'Material routes'!$C$6:$C$2205,"Ingredient candidate"),COUNTIFS('Material routes'!$B$6:$B$2205,A431,'Material routes'!$C$6:$C$2205,"Consumed input"),COUNTIFS('Material routes'!$B$6:$B$2205,A431,'Material routes'!$C$6:$C$2205,"Contained input"),COUNTIFS('Material routes'!$B$6:$B$2205,A431,'Material routes'!$C$6:$C$2205,"Transform input"))</x:f>
        <x:v>2</x:v>
      </x:c>
      <x:c r="J431" s="4" t="n">
        <x:f>COUNTIFS('Material routes'!$B$6:$B$2205,A431,'Material routes'!$C$6:$C$2205,"Output")</x:f>
        <x:v>1</x:v>
      </x:c>
      <x:c r="K431" s="4" t="n">
        <x:f>COUNTIFS('Material routes'!$B$6:$B$2205,A431,'Material routes'!$C$6:$C$2205,"Tool candidate")</x:f>
        <x:v>0</x:v>
      </x:c>
      <x:c r="L431" s="4" t="str">
        <x:v>New item proposal, October 15, 2026. Setting reference (source proposal): https://github.com/sleepyseamonster/Arc-Dust/blob/f6f98515c005dc3c73cccd9cbc031691745740c6/02-Arc-Dust-Worldbuilding/world/materials/industrial-material-palette.md</x:v>
      </x:c>
      <x:c r="M431" s="4" t="str">
        <x:v>Quantities, output yield, supporting inputs and compatibility remain undefined.</x:v>
      </x:c>
    </x:row>
    <x:row r="432" ht="90" customHeight="1">
      <x:c r="A432" s="4" t="str">
        <x:v>design.collection.low_wing_roof_panel</x:v>
      </x:c>
      <x:c r="B432" s="4" t="str">
        <x:v>Low wing-roof panel candidate preparation</x:v>
      </x:c>
      <x:c r="C432" s="4" t="str">
        <x:v>Finished-item crafting</x:v>
      </x:c>
      <x:c r="D432" s="4" t="str">
        <x:v>Proposal</x:v>
      </x:c>
      <x:c r="E432" s="4" t="str">
        <x:v>Partial proposal</x:v>
      </x:c>
      <x:c r="F432" s="4" t="str">
        <x:v>Overhead wing membrane roof section</x:v>
      </x:c>
      <x:c r="G432" s="4" t="str">
        <x:v>Husk-sheet cutting shears, pressure fixtures and dedicated preparation surfaces. Very low hide/fur yield; no ordinary cloth or plant inputs.</x:v>
      </x:c>
      <x:c r="H432" s="4" t="str">
        <x:f>IF(I432=0,"Unassigned",IF(SUMIFS('Material routes'!$Q$6:$Q$2205,'Material routes'!$B$6:$B$2205,A432)&gt;0,"Unassigned","T"&amp;_xlfn.MAXIFS('Material routes'!$P$6:$P$2205,'Material routes'!$B$6:$B$2205,A432)))</x:f>
        <x:v>T2</x:v>
      </x:c>
      <x:c r="I432" s="4" t="n">
        <x:f>SUM(COUNTIFS('Material routes'!$B$6:$B$2205,A432,'Material routes'!$C$6:$C$2205,"Ingredient candidate"),COUNTIFS('Material routes'!$B$6:$B$2205,A432,'Material routes'!$C$6:$C$2205,"Consumed input"),COUNTIFS('Material routes'!$B$6:$B$2205,A432,'Material routes'!$C$6:$C$2205,"Contained input"),COUNTIFS('Material routes'!$B$6:$B$2205,A432,'Material routes'!$C$6:$C$2205,"Transform input"))</x:f>
        <x:v>2</x:v>
      </x:c>
      <x:c r="J432" s="4" t="n">
        <x:f>COUNTIFS('Material routes'!$B$6:$B$2205,A432,'Material routes'!$C$6:$C$2205,"Output")</x:f>
        <x:v>1</x:v>
      </x:c>
      <x:c r="K432" s="4" t="n">
        <x:f>COUNTIFS('Material routes'!$B$6:$B$2205,A432,'Material routes'!$C$6:$C$2205,"Tool candidate")</x:f>
        <x:v>0</x:v>
      </x:c>
      <x:c r="L432" s="4" t="str">
        <x:v>New item proposal, October 15, 2026. Setting reference (source proposal): https://github.com/sleepyseamonster/Arc-Dust/blob/f6f98515c005dc3c73cccd9cbc031691745740c6/02-Arc-Dust-Worldbuilding/world/materials/industrial-material-palette.md</x:v>
      </x:c>
      <x:c r="M432" s="4" t="str">
        <x:v>Quantities, output yield, supporting inputs and compatibility remain undefined.</x:v>
      </x:c>
    </x:row>
    <x:row r="433" ht="90" customHeight="1">
      <x:c r="A433" s="4" t="str">
        <x:v>design.collection.segmented_shelter_pole_set</x:v>
      </x:c>
      <x:c r="B433" s="4" t="str">
        <x:v>Segmented shelter pole set candidate preparation</x:v>
      </x:c>
      <x:c r="C433" s="4" t="str">
        <x:v>Finished-item crafting</x:v>
      </x:c>
      <x:c r="D433" s="4" t="str">
        <x:v>Proposal</x:v>
      </x:c>
      <x:c r="E433" s="4" t="str">
        <x:v>Partial proposal</x:v>
      </x:c>
      <x:c r="F433" s="4" t="str">
        <x:v>Packable metal supports for a proposed camp arrangement</x:v>
      </x:c>
      <x:c r="G433" s="4" t="str">
        <x:v>Forge hearth, Anvil, Forging hammer, Smithing tongs, Metalworking file and Hand-cranked metal drill as applicable. Existing workshop bootstrap and controlled heating/cooling required; no free-water quench assumed.</x:v>
      </x:c>
      <x:c r="H433" s="4" t="str">
        <x:f>IF(I433=0,"Unassigned",IF(SUMIFS('Material routes'!$Q$6:$Q$2205,'Material routes'!$B$6:$B$2205,A433)&gt;0,"Unassigned","T"&amp;_xlfn.MAXIFS('Material routes'!$P$6:$P$2205,'Material routes'!$B$6:$B$2205,A433)))</x:f>
        <x:v>T3</x:v>
      </x:c>
      <x:c r="I433" s="4" t="n">
        <x:f>SUM(COUNTIFS('Material routes'!$B$6:$B$2205,A433,'Material routes'!$C$6:$C$2205,"Ingredient candidate"),COUNTIFS('Material routes'!$B$6:$B$2205,A433,'Material routes'!$C$6:$C$2205,"Consumed input"),COUNTIFS('Material routes'!$B$6:$B$2205,A433,'Material routes'!$C$6:$C$2205,"Contained input"),COUNTIFS('Material routes'!$B$6:$B$2205,A433,'Material routes'!$C$6:$C$2205,"Transform input"))</x:f>
        <x:v>2</x:v>
      </x:c>
      <x:c r="J433" s="4" t="n">
        <x:f>COUNTIFS('Material routes'!$B$6:$B$2205,A433,'Material routes'!$C$6:$C$2205,"Output")</x:f>
        <x:v>1</x:v>
      </x:c>
      <x:c r="K433" s="4" t="n">
        <x:f>COUNTIFS('Material routes'!$B$6:$B$2205,A433,'Material routes'!$C$6:$C$2205,"Tool candidate")</x:f>
        <x:v>0</x:v>
      </x:c>
      <x:c r="L433" s="4" t="str">
        <x:v>New item proposal, October 15, 2026. Setting reference (source proposal): https://github.com/sleepyseamonster/Arc-Dust/blob/f6f98515c005dc3c73cccd9cbc031691745740c6/02-Arc-Dust-Worldbuilding/world/materials/industrial-material-palette.md</x:v>
      </x:c>
      <x:c r="M433" s="4" t="str">
        <x:v>Quantities, output yield, supporting inputs and compatibility remain undefined.</x:v>
      </x:c>
    </x:row>
    <x:row r="434" ht="90" customHeight="1">
      <x:c r="A434" s="4" t="str">
        <x:v>design.collection.ground_anchor_stake_set</x:v>
      </x:c>
      <x:c r="B434" s="4" t="str">
        <x:v>Ground-anchor stake set candidate preparation</x:v>
      </x:c>
      <x:c r="C434" s="4" t="str">
        <x:v>Finished-item crafting</x:v>
      </x:c>
      <x:c r="D434" s="4" t="str">
        <x:v>Proposal</x:v>
      </x:c>
      <x:c r="E434" s="4" t="str">
        <x:v>Partial proposal</x:v>
      </x:c>
      <x:c r="F434" s="4" t="str">
        <x:v>Retains camp lines in suitable ground</x:v>
      </x:c>
      <x:c r="G434" s="4" t="str">
        <x:v>Forge hearth, Anvil, Forging hammer, Smithing tongs, Metalworking file and Hand-cranked metal drill as applicable. Existing workshop bootstrap and controlled heating/cooling required; no free-water quench assumed.</x:v>
      </x:c>
      <x:c r="H434" s="4" t="str">
        <x:f>IF(I434=0,"Unassigned",IF(SUMIFS('Material routes'!$Q$6:$Q$2205,'Material routes'!$B$6:$B$2205,A434)&gt;0,"Unassigned","T"&amp;_xlfn.MAXIFS('Material routes'!$P$6:$P$2205,'Material routes'!$B$6:$B$2205,A434)))</x:f>
        <x:v>T2</x:v>
      </x:c>
      <x:c r="I434" s="4" t="n">
        <x:f>SUM(COUNTIFS('Material routes'!$B$6:$B$2205,A434,'Material routes'!$C$6:$C$2205,"Ingredient candidate"),COUNTIFS('Material routes'!$B$6:$B$2205,A434,'Material routes'!$C$6:$C$2205,"Consumed input"),COUNTIFS('Material routes'!$B$6:$B$2205,A434,'Material routes'!$C$6:$C$2205,"Contained input"),COUNTIFS('Material routes'!$B$6:$B$2205,A434,'Material routes'!$C$6:$C$2205,"Transform input"))</x:f>
        <x:v>1</x:v>
      </x:c>
      <x:c r="J434" s="4" t="n">
        <x:f>COUNTIFS('Material routes'!$B$6:$B$2205,A434,'Material routes'!$C$6:$C$2205,"Output")</x:f>
        <x:v>1</x:v>
      </x:c>
      <x:c r="K434" s="4" t="n">
        <x:f>COUNTIFS('Material routes'!$B$6:$B$2205,A434,'Material routes'!$C$6:$C$2205,"Tool candidate")</x:f>
        <x:v>0</x:v>
      </x:c>
      <x:c r="L434" s="4" t="str">
        <x:v>New item proposal, October 15, 2026. Setting reference (source proposal): https://github.com/sleepyseamonster/Arc-Dust/blob/f6f98515c005dc3c73cccd9cbc031691745740c6/02-Arc-Dust-Worldbuilding/world/materials/industrial-material-palette.md</x:v>
      </x:c>
      <x:c r="M434" s="4" t="str">
        <x:v>Quantities, output yield, supporting inputs and compatibility remain undefined.</x:v>
      </x:c>
    </x:row>
    <x:row r="435" ht="90" customHeight="1">
      <x:c r="A435" s="4" t="str">
        <x:v>design.collection.tendon_guyline_bundle</x:v>
      </x:c>
      <x:c r="B435" s="4" t="str">
        <x:v>Tendon guyline bundle candidate preparation</x:v>
      </x:c>
      <x:c r="C435" s="4" t="str">
        <x:v>Finished-item crafting</x:v>
      </x:c>
      <x:c r="D435" s="4" t="str">
        <x:v>Proposal</x:v>
      </x:c>
      <x:c r="E435" s="4" t="str">
        <x:v>Partial proposal</x:v>
      </x:c>
      <x:c r="F435" s="4" t="str">
        <x:v>Prepared biological lines for shelter anchoring</x:v>
      </x:c>
      <x:c r="G435" s="4" t="str">
        <x:v>Husk-sheet cutting shears, pressure fixtures and dedicated preparation surfaces. Very low hide/fur yield; no ordinary cloth or plant inputs.</x:v>
      </x:c>
      <x:c r="H435" s="4" t="str">
        <x:f>IF(I435=0,"Unassigned",IF(SUMIFS('Material routes'!$Q$6:$Q$2205,'Material routes'!$B$6:$B$2205,A435)&gt;0,"Unassigned","T"&amp;_xlfn.MAXIFS('Material routes'!$P$6:$P$2205,'Material routes'!$B$6:$B$2205,A435)))</x:f>
        <x:v>T1</x:v>
      </x:c>
      <x:c r="I435" s="4" t="n">
        <x:f>SUM(COUNTIFS('Material routes'!$B$6:$B$2205,A435,'Material routes'!$C$6:$C$2205,"Ingredient candidate"),COUNTIFS('Material routes'!$B$6:$B$2205,A435,'Material routes'!$C$6:$C$2205,"Consumed input"),COUNTIFS('Material routes'!$B$6:$B$2205,A435,'Material routes'!$C$6:$C$2205,"Contained input"),COUNTIFS('Material routes'!$B$6:$B$2205,A435,'Material routes'!$C$6:$C$2205,"Transform input"))</x:f>
        <x:v>1</x:v>
      </x:c>
      <x:c r="J435" s="4" t="n">
        <x:f>COUNTIFS('Material routes'!$B$6:$B$2205,A435,'Material routes'!$C$6:$C$2205,"Output")</x:f>
        <x:v>1</x:v>
      </x:c>
      <x:c r="K435" s="4" t="n">
        <x:f>COUNTIFS('Material routes'!$B$6:$B$2205,A435,'Material routes'!$C$6:$C$2205,"Tool candidate")</x:f>
        <x:v>0</x:v>
      </x:c>
      <x:c r="L435" s="4" t="str">
        <x:v>New item proposal, October 15, 2026. Setting reference (source proposal): https://github.com/sleepyseamonster/Arc-Dust/blob/f6f98515c005dc3c73cccd9cbc031691745740c6/02-Arc-Dust-Worldbuilding/world/materials/industrial-material-palette.md</x:v>
      </x:c>
      <x:c r="M435" s="4" t="str">
        <x:v>Quantities, output yield, supporting inputs and compatibility remain undefined.</x:v>
      </x:c>
    </x:row>
    <x:row r="436" ht="90" customHeight="1">
      <x:c r="A436" s="4" t="str">
        <x:v>design.collection.husk_sheet_grit_screen</x:v>
      </x:c>
      <x:c r="B436" s="4" t="str">
        <x:v>Husk-sheet grit screen candidate preparation</x:v>
      </x:c>
      <x:c r="C436" s="4" t="str">
        <x:v>Finished-item crafting</x:v>
      </x:c>
      <x:c r="D436" s="4" t="str">
        <x:v>Proposal</x:v>
      </x:c>
      <x:c r="E436" s="4" t="str">
        <x:v>Partial proposal</x:v>
      </x:c>
      <x:c r="F436" s="4" t="str">
        <x:v>Replaceable wind-facing grit screen, no filtration rating</x:v>
      </x:c>
      <x:c r="G436" s="4" t="str">
        <x:v>Husk-sheet cutting shears, pressure fixtures and dedicated preparation surfaces. Very low hide/fur yield; no ordinary cloth or plant inputs.</x:v>
      </x:c>
      <x:c r="H436" s="4" t="str">
        <x:f>IF(I436=0,"Unassigned",IF(SUMIFS('Material routes'!$Q$6:$Q$2205,'Material routes'!$B$6:$B$2205,A436)&gt;0,"Unassigned","T"&amp;_xlfn.MAXIFS('Material routes'!$P$6:$P$2205,'Material routes'!$B$6:$B$2205,A436)))</x:f>
        <x:v>T2</x:v>
      </x:c>
      <x:c r="I436" s="4" t="n">
        <x:f>SUM(COUNTIFS('Material routes'!$B$6:$B$2205,A436,'Material routes'!$C$6:$C$2205,"Ingredient candidate"),COUNTIFS('Material routes'!$B$6:$B$2205,A436,'Material routes'!$C$6:$C$2205,"Consumed input"),COUNTIFS('Material routes'!$B$6:$B$2205,A436,'Material routes'!$C$6:$C$2205,"Contained input"),COUNTIFS('Material routes'!$B$6:$B$2205,A436,'Material routes'!$C$6:$C$2205,"Transform input"))</x:f>
        <x:v>2</x:v>
      </x:c>
      <x:c r="J436" s="4" t="n">
        <x:f>COUNTIFS('Material routes'!$B$6:$B$2205,A436,'Material routes'!$C$6:$C$2205,"Output")</x:f>
        <x:v>1</x:v>
      </x:c>
      <x:c r="K436" s="4" t="n">
        <x:f>COUNTIFS('Material routes'!$B$6:$B$2205,A436,'Material routes'!$C$6:$C$2205,"Tool candidate")</x:f>
        <x:v>0</x:v>
      </x:c>
      <x:c r="L436" s="4" t="str">
        <x:v>New item proposal, October 15, 2026. Setting reference (source proposal): https://github.com/sleepyseamonster/Arc-Dust/blob/f6f98515c005dc3c73cccd9cbc031691745740c6/02-Arc-Dust-Worldbuilding/world/materials/industrial-material-palette.md</x:v>
      </x:c>
      <x:c r="M436" s="4" t="str">
        <x:v>Quantities, output yield, supporting inputs and compatibility remain undefined.</x:v>
      </x:c>
    </x:row>
    <x:row r="437" ht="90" customHeight="1">
      <x:c r="A437" s="4" t="str">
        <x:v>design.collection.shell_ground_rest_panel</x:v>
      </x:c>
      <x:c r="B437" s="4" t="str">
        <x:v>Shell ground-rest panel candidate preparation</x:v>
      </x:c>
      <x:c r="C437" s="4" t="str">
        <x:v>Finished-item crafting</x:v>
      </x:c>
      <x:c r="D437" s="4" t="str">
        <x:v>Proposal</x:v>
      </x:c>
      <x:c r="E437" s="4" t="str">
        <x:v>Partial proposal</x:v>
      </x:c>
      <x:c r="F437" s="4" t="str">
        <x:v>Raised resting surface with little textile demand</x:v>
      </x:c>
      <x:c r="G437" s="4" t="str">
        <x:v>Forge hearth, Anvil, Forging hammer, Smithing tongs, Metalworking file and Hand-cranked metal drill as applicable. Existing workshop bootstrap and controlled heating/cooling required; no free-water quench assumed.</x:v>
      </x:c>
      <x:c r="H437" s="4" t="str">
        <x:f>IF(I437=0,"Unassigned",IF(SUMIFS('Material routes'!$Q$6:$Q$2205,'Material routes'!$B$6:$B$2205,A437)&gt;0,"Unassigned","T"&amp;_xlfn.MAXIFS('Material routes'!$P$6:$P$2205,'Material routes'!$B$6:$B$2205,A437)))</x:f>
        <x:v>T2</x:v>
      </x:c>
      <x:c r="I437" s="4" t="n">
        <x:f>SUM(COUNTIFS('Material routes'!$B$6:$B$2205,A437,'Material routes'!$C$6:$C$2205,"Ingredient candidate"),COUNTIFS('Material routes'!$B$6:$B$2205,A437,'Material routes'!$C$6:$C$2205,"Consumed input"),COUNTIFS('Material routes'!$B$6:$B$2205,A437,'Material routes'!$C$6:$C$2205,"Contained input"),COUNTIFS('Material routes'!$B$6:$B$2205,A437,'Material routes'!$C$6:$C$2205,"Transform input"))</x:f>
        <x:v>2</x:v>
      </x:c>
      <x:c r="J437" s="4" t="n">
        <x:f>COUNTIFS('Material routes'!$B$6:$B$2205,A437,'Material routes'!$C$6:$C$2205,"Output")</x:f>
        <x:v>1</x:v>
      </x:c>
      <x:c r="K437" s="4" t="n">
        <x:f>COUNTIFS('Material routes'!$B$6:$B$2205,A437,'Material routes'!$C$6:$C$2205,"Tool candidate")</x:f>
        <x:v>0</x:v>
      </x:c>
      <x:c r="L437" s="4" t="str">
        <x:v>New item proposal, October 15, 2026. Setting reference (source proposal): https://github.com/sleepyseamonster/Arc-Dust/blob/f6f98515c005dc3c73cccd9cbc031691745740c6/02-Arc-Dust-Worldbuilding/world/materials/industrial-material-palette.md</x:v>
      </x:c>
      <x:c r="M437" s="4" t="str">
        <x:v>Quantities, output yield, supporting inputs and compatibility remain undefined.</x:v>
      </x:c>
    </x:row>
    <x:row r="438" ht="90" customHeight="1">
      <x:c r="A438" s="4" t="str">
        <x:v>design.collection.folding_privacy_partition</x:v>
      </x:c>
      <x:c r="B438" s="4" t="str">
        <x:v>Folding privacy partition candidate preparation</x:v>
      </x:c>
      <x:c r="C438" s="4" t="str">
        <x:v>Finished-item crafting</x:v>
      </x:c>
      <x:c r="D438" s="4" t="str">
        <x:v>Proposal</x:v>
      </x:c>
      <x:c r="E438" s="4" t="str">
        <x:v>Partial proposal</x:v>
      </x:c>
      <x:c r="F438" s="4" t="str">
        <x:v>Pressed-husk panel on a reusable frame</x:v>
      </x:c>
      <x:c r="G438" s="4" t="str">
        <x:v>Husk-sheet cutting shears, pressure fixtures and dedicated preparation surfaces. Very low hide/fur yield; no ordinary cloth or plant inputs.</x:v>
      </x:c>
      <x:c r="H438" s="4" t="str">
        <x:f>IF(I438=0,"Unassigned",IF(SUMIFS('Material routes'!$Q$6:$Q$2205,'Material routes'!$B$6:$B$2205,A438)&gt;0,"Unassigned","T"&amp;_xlfn.MAXIFS('Material routes'!$P$6:$P$2205,'Material routes'!$B$6:$B$2205,A438)))</x:f>
        <x:v>T2</x:v>
      </x:c>
      <x:c r="I438" s="4" t="n">
        <x:f>SUM(COUNTIFS('Material routes'!$B$6:$B$2205,A438,'Material routes'!$C$6:$C$2205,"Ingredient candidate"),COUNTIFS('Material routes'!$B$6:$B$2205,A438,'Material routes'!$C$6:$C$2205,"Consumed input"),COUNTIFS('Material routes'!$B$6:$B$2205,A438,'Material routes'!$C$6:$C$2205,"Contained input"),COUNTIFS('Material routes'!$B$6:$B$2205,A438,'Material routes'!$C$6:$C$2205,"Transform input"))</x:f>
        <x:v>2</x:v>
      </x:c>
      <x:c r="J438" s="4" t="n">
        <x:f>COUNTIFS('Material routes'!$B$6:$B$2205,A438,'Material routes'!$C$6:$C$2205,"Output")</x:f>
        <x:v>1</x:v>
      </x:c>
      <x:c r="K438" s="4" t="n">
        <x:f>COUNTIFS('Material routes'!$B$6:$B$2205,A438,'Material routes'!$C$6:$C$2205,"Tool candidate")</x:f>
        <x:v>0</x:v>
      </x:c>
      <x:c r="L438" s="4" t="str">
        <x:v>New item proposal, October 15, 2026. Setting reference (source proposal): https://github.com/sleepyseamonster/Arc-Dust/blob/f6f98515c005dc3c73cccd9cbc031691745740c6/02-Arc-Dust-Worldbuilding/world/materials/industrial-material-palette.md</x:v>
      </x:c>
      <x:c r="M438" s="4" t="str">
        <x:v>Quantities, output yield, supporting inputs and compatibility remain undefined.</x:v>
      </x:c>
    </x:row>
    <x:row r="439" ht="90" customHeight="1">
      <x:c r="A439" s="4" t="str">
        <x:v>design.collection.canister_shelter_docking_stand</x:v>
      </x:c>
      <x:c r="B439" s="4" t="str">
        <x:v>Canister shelter docking stand candidate preparation</x:v>
      </x:c>
      <x:c r="C439" s="4" t="str">
        <x:v>Finished-item crafting</x:v>
      </x:c>
      <x:c r="D439" s="4" t="str">
        <x:v>Proposal</x:v>
      </x:c>
      <x:c r="E439" s="4" t="str">
        <x:v>Partial proposal</x:v>
      </x:c>
      <x:c r="F439" s="4" t="str">
        <x:v>Keeps a canister upright near a resting place</x:v>
      </x:c>
      <x:c r="G439" s="4" t="str">
        <x:v>Controlled-heating firing kiln or specialist glass hot-work station; Ceramic firing tray / Ceramic casting mold as applicable. Qualified power, heat and atmosphere required.</x:v>
      </x:c>
      <x:c r="H439" s="4" t="str">
        <x:f>IF(I439=0,"Unassigned",IF(SUMIFS('Material routes'!$Q$6:$Q$2205,'Material routes'!$B$6:$B$2205,A439)&gt;0,"Unassigned","T"&amp;_xlfn.MAXIFS('Material routes'!$P$6:$P$2205,'Material routes'!$B$6:$B$2205,A439)))</x:f>
        <x:v>T4</x:v>
      </x:c>
      <x:c r="I439" s="4" t="n">
        <x:f>SUM(COUNTIFS('Material routes'!$B$6:$B$2205,A439,'Material routes'!$C$6:$C$2205,"Ingredient candidate"),COUNTIFS('Material routes'!$B$6:$B$2205,A439,'Material routes'!$C$6:$C$2205,"Consumed input"),COUNTIFS('Material routes'!$B$6:$B$2205,A439,'Material routes'!$C$6:$C$2205,"Contained input"),COUNTIFS('Material routes'!$B$6:$B$2205,A439,'Material routes'!$C$6:$C$2205,"Transform input"))</x:f>
        <x:v>2</x:v>
      </x:c>
      <x:c r="J439" s="4" t="n">
        <x:f>COUNTIFS('Material routes'!$B$6:$B$2205,A439,'Material routes'!$C$6:$C$2205,"Output")</x:f>
        <x:v>1</x:v>
      </x:c>
      <x:c r="K439" s="4" t="n">
        <x:f>COUNTIFS('Material routes'!$B$6:$B$2205,A439,'Material routes'!$C$6:$C$2205,"Tool candidate")</x:f>
        <x:v>0</x:v>
      </x:c>
      <x:c r="L439" s="4" t="str">
        <x:v>New item proposal, October 15, 2026. Setting reference (source proposal): https://github.com/sleepyseamonster/Arc-Dust/blob/f6f98515c005dc3c73cccd9cbc031691745740c6/02-Arc-Dust-Worldbuilding/world/materials/industrial-material-palette.md</x:v>
      </x:c>
      <x:c r="M439" s="4" t="str">
        <x:v>Quantities, output yield, supporting inputs and compatibility remain undefined.</x:v>
      </x:c>
    </x:row>
    <x:row r="440" ht="90" customHeight="1">
      <x:c r="A440" s="4" t="str">
        <x:v>design.collection.shelter_repair_patch_roll</x:v>
      </x:c>
      <x:c r="B440" s="4" t="str">
        <x:v>Shelter repair patch roll candidate preparation</x:v>
      </x:c>
      <x:c r="C440" s="4" t="str">
        <x:v>Finished-item crafting</x:v>
      </x:c>
      <x:c r="D440" s="4" t="str">
        <x:v>Proposal</x:v>
      </x:c>
      <x:c r="E440" s="4" t="str">
        <x:v>Partial proposal</x:v>
      </x:c>
      <x:c r="F440" s="4" t="str">
        <x:v>Prepared membrane patches and retainers for the kit</x:v>
      </x:c>
      <x:c r="G440" s="4" t="str">
        <x:v>Husk-sheet cutting shears, Hand-cranked metal drill and Ceramic abrasive disc as applicable; compatible contained biological preparation and low-yield material handling required.</x:v>
      </x:c>
      <x:c r="H440" s="4" t="str">
        <x:f>IF(I440=0,"Unassigned",IF(SUMIFS('Material routes'!$Q$6:$Q$2205,'Material routes'!$B$6:$B$2205,A440)&gt;0,"Unassigned","T"&amp;_xlfn.MAXIFS('Material routes'!$P$6:$P$2205,'Material routes'!$B$6:$B$2205,A440)))</x:f>
        <x:v>T3</x:v>
      </x:c>
      <x:c r="I440" s="4" t="n">
        <x:f>SUM(COUNTIFS('Material routes'!$B$6:$B$2205,A440,'Material routes'!$C$6:$C$2205,"Ingredient candidate"),COUNTIFS('Material routes'!$B$6:$B$2205,A440,'Material routes'!$C$6:$C$2205,"Consumed input"),COUNTIFS('Material routes'!$B$6:$B$2205,A440,'Material routes'!$C$6:$C$2205,"Contained input"),COUNTIFS('Material routes'!$B$6:$B$2205,A440,'Material routes'!$C$6:$C$2205,"Transform input"))</x:f>
        <x:v>2</x:v>
      </x:c>
      <x:c r="J440" s="4" t="n">
        <x:f>COUNTIFS('Material routes'!$B$6:$B$2205,A440,'Material routes'!$C$6:$C$2205,"Output")</x:f>
        <x:v>1</x:v>
      </x:c>
      <x:c r="K440" s="4" t="n">
        <x:f>COUNTIFS('Material routes'!$B$6:$B$2205,A440,'Material routes'!$C$6:$C$2205,"Tool candidate")</x:f>
        <x:v>0</x:v>
      </x:c>
      <x:c r="L440" s="4" t="str">
        <x:v>New item proposal, October 15, 2026. Setting reference (source proposal): https://github.com/sleepyseamonster/Arc-Dust/blob/f6f98515c005dc3c73cccd9cbc031691745740c6/02-Arc-Dust-Worldbuilding/world/materials/industrial-material-palette.md</x:v>
      </x:c>
      <x:c r="M440" s="4" t="str">
        <x:v>Quantities, output yield, supporting inputs and compatibility remain undefined.</x:v>
      </x:c>
    </x:row>
    <x:row r="441" ht="90" customHeight="1">
      <x:c r="A441" s="4" t="str">
        <x:v>design.collection.round_iron_buckler</x:v>
      </x:c>
      <x:c r="B441" s="4" t="str">
        <x:v>Round iron buckler candidate preparation</x:v>
      </x:c>
      <x:c r="C441" s="4" t="str">
        <x:v>Finished-item crafting</x:v>
      </x:c>
      <x:c r="D441" s="4" t="str">
        <x:v>Proposal</x:v>
      </x:c>
      <x:c r="E441" s="4" t="str">
        <x:v>Partial proposal</x:v>
      </x:c>
      <x:c r="F441" s="4" t="str">
        <x:v>Small hand shield with a metal grip</x:v>
      </x:c>
      <x:c r="G441" s="4" t="str">
        <x:v>Forge hearth, Anvil, Forging hammer, Smithing tongs, Metalworking file and Hand-cranked metal drill as applicable. Existing workshop bootstrap and controlled heating/cooling required; no free-water quench assumed.</x:v>
      </x:c>
      <x:c r="H441" s="4" t="str">
        <x:f>IF(I441=0,"Unassigned",IF(SUMIFS('Material routes'!$Q$6:$Q$2205,'Material routes'!$B$6:$B$2205,A441)&gt;0,"Unassigned","T"&amp;_xlfn.MAXIFS('Material routes'!$P$6:$P$2205,'Material routes'!$B$6:$B$2205,A441)))</x:f>
        <x:v>T2</x:v>
      </x:c>
      <x:c r="I441" s="4" t="n">
        <x:f>SUM(COUNTIFS('Material routes'!$B$6:$B$2205,A441,'Material routes'!$C$6:$C$2205,"Ingredient candidate"),COUNTIFS('Material routes'!$B$6:$B$2205,A441,'Material routes'!$C$6:$C$2205,"Consumed input"),COUNTIFS('Material routes'!$B$6:$B$2205,A441,'Material routes'!$C$6:$C$2205,"Contained input"),COUNTIFS('Material routes'!$B$6:$B$2205,A441,'Material routes'!$C$6:$C$2205,"Transform input"))</x:f>
        <x:v>1</x:v>
      </x:c>
      <x:c r="J441" s="4" t="n">
        <x:f>COUNTIFS('Material routes'!$B$6:$B$2205,A441,'Material routes'!$C$6:$C$2205,"Output")</x:f>
        <x:v>1</x:v>
      </x:c>
      <x:c r="K441" s="4" t="n">
        <x:f>COUNTIFS('Material routes'!$B$6:$B$2205,A441,'Material routes'!$C$6:$C$2205,"Tool candidate")</x:f>
        <x:v>0</x:v>
      </x:c>
      <x:c r="L441" s="4" t="str">
        <x:v>New item proposal, October 15, 2026. Setting reference (source proposal): https://github.com/sleepyseamonster/Arc-Dust/blob/f6f98515c005dc3c73cccd9cbc031691745740c6/02-Arc-Dust-Worldbuilding/world/materials/industrial-material-palette.md</x:v>
      </x:c>
      <x:c r="M441" s="4" t="str">
        <x:v>Quantities, output yield, supporting inputs and compatibility remain undefined.</x:v>
      </x:c>
    </x:row>
    <x:row r="442" ht="90" customHeight="1">
      <x:c r="A442" s="4" t="str">
        <x:v>design.collection.riveted_steel_round_shield</x:v>
      </x:c>
      <x:c r="B442" s="4" t="str">
        <x:v>Riveted steel round shield candidate preparation</x:v>
      </x:c>
      <x:c r="C442" s="4" t="str">
        <x:v>Finished-item crafting</x:v>
      </x:c>
      <x:c r="D442" s="4" t="str">
        <x:v>Proposal</x:v>
      </x:c>
      <x:c r="E442" s="4" t="str">
        <x:v>Partial proposal</x:v>
      </x:c>
      <x:c r="F442" s="4" t="str">
        <x:v>Broader metal shield with replaceable handle fittings</x:v>
      </x:c>
      <x:c r="G442" s="4" t="str">
        <x:v>Forge hearth, Anvil, Forging hammer, Smithing tongs, Metalworking file and Hand-cranked metal drill as applicable. Existing workshop bootstrap and controlled heating/cooling required; no free-water quench assumed.</x:v>
      </x:c>
      <x:c r="H442" s="4" t="str">
        <x:f>IF(I442=0,"Unassigned",IF(SUMIFS('Material routes'!$Q$6:$Q$2205,'Material routes'!$B$6:$B$2205,A442)&gt;0,"Unassigned","T"&amp;_xlfn.MAXIFS('Material routes'!$P$6:$P$2205,'Material routes'!$B$6:$B$2205,A442)))</x:f>
        <x:v>T2</x:v>
      </x:c>
      <x:c r="I442" s="4" t="n">
        <x:f>SUM(COUNTIFS('Material routes'!$B$6:$B$2205,A442,'Material routes'!$C$6:$C$2205,"Ingredient candidate"),COUNTIFS('Material routes'!$B$6:$B$2205,A442,'Material routes'!$C$6:$C$2205,"Consumed input"),COUNTIFS('Material routes'!$B$6:$B$2205,A442,'Material routes'!$C$6:$C$2205,"Contained input"),COUNTIFS('Material routes'!$B$6:$B$2205,A442,'Material routes'!$C$6:$C$2205,"Transform input"))</x:f>
        <x:v>2</x:v>
      </x:c>
      <x:c r="J442" s="4" t="n">
        <x:f>COUNTIFS('Material routes'!$B$6:$B$2205,A442,'Material routes'!$C$6:$C$2205,"Output")</x:f>
        <x:v>1</x:v>
      </x:c>
      <x:c r="K442" s="4" t="n">
        <x:f>COUNTIFS('Material routes'!$B$6:$B$2205,A442,'Material routes'!$C$6:$C$2205,"Tool candidate")</x:f>
        <x:v>0</x:v>
      </x:c>
      <x:c r="L442" s="4" t="str">
        <x:v>New item proposal, October 15, 2026. Setting reference (source proposal): https://github.com/sleepyseamonster/Arc-Dust/blob/f6f98515c005dc3c73cccd9cbc031691745740c6/02-Arc-Dust-Worldbuilding/world/materials/industrial-material-palette.md</x:v>
      </x:c>
      <x:c r="M442" s="4" t="str">
        <x:v>Quantities, output yield, supporting inputs and compatibility remain undefined.</x:v>
      </x:c>
    </x:row>
    <x:row r="443" ht="90" customHeight="1">
      <x:c r="A443" s="4" t="str">
        <x:v>design.collection.broad_chitin_shield</x:v>
      </x:c>
      <x:c r="B443" s="4" t="str">
        <x:v>Broad chitin shield candidate preparation</x:v>
      </x:c>
      <x:c r="C443" s="4" t="str">
        <x:v>Finished-item crafting</x:v>
      </x:c>
      <x:c r="D443" s="4" t="str">
        <x:v>Proposal</x:v>
      </x:c>
      <x:c r="E443" s="4" t="str">
        <x:v>Partial proposal</x:v>
      </x:c>
      <x:c r="F443" s="4" t="str">
        <x:v>Cheap shell plate with a reinforced grip</x:v>
      </x:c>
      <x:c r="G443" s="4" t="str">
        <x:v>Forge hearth, Anvil, Forging hammer, Smithing tongs, Metalworking file and Hand-cranked metal drill as applicable. Existing workshop bootstrap and controlled heating/cooling required; no free-water quench assumed.</x:v>
      </x:c>
      <x:c r="H443" s="4" t="str">
        <x:f>IF(I443=0,"Unassigned",IF(SUMIFS('Material routes'!$Q$6:$Q$2205,'Material routes'!$B$6:$B$2205,A443)&gt;0,"Unassigned","T"&amp;_xlfn.MAXIFS('Material routes'!$P$6:$P$2205,'Material routes'!$B$6:$B$2205,A443)))</x:f>
        <x:v>T2</x:v>
      </x:c>
      <x:c r="I443" s="4" t="n">
        <x:f>SUM(COUNTIFS('Material routes'!$B$6:$B$2205,A443,'Material routes'!$C$6:$C$2205,"Ingredient candidate"),COUNTIFS('Material routes'!$B$6:$B$2205,A443,'Material routes'!$C$6:$C$2205,"Consumed input"),COUNTIFS('Material routes'!$B$6:$B$2205,A443,'Material routes'!$C$6:$C$2205,"Contained input"),COUNTIFS('Material routes'!$B$6:$B$2205,A443,'Material routes'!$C$6:$C$2205,"Transform input"))</x:f>
        <x:v>2</x:v>
      </x:c>
      <x:c r="J443" s="4" t="n">
        <x:f>COUNTIFS('Material routes'!$B$6:$B$2205,A443,'Material routes'!$C$6:$C$2205,"Output")</x:f>
        <x:v>1</x:v>
      </x:c>
      <x:c r="K443" s="4" t="n">
        <x:f>COUNTIFS('Material routes'!$B$6:$B$2205,A443,'Material routes'!$C$6:$C$2205,"Tool candidate")</x:f>
        <x:v>0</x:v>
      </x:c>
      <x:c r="L443" s="4" t="str">
        <x:v>New item proposal, October 15, 2026. Setting reference (source proposal): https://github.com/sleepyseamonster/Arc-Dust/blob/f6f98515c005dc3c73cccd9cbc031691745740c6/02-Arc-Dust-Worldbuilding/world/materials/industrial-material-palette.md</x:v>
      </x:c>
      <x:c r="M443" s="4" t="str">
        <x:v>Quantities, output yield, supporting inputs and compatibility remain undefined.</x:v>
      </x:c>
    </x:row>
    <x:row r="444" ht="90" customHeight="1">
      <x:c r="A444" s="4"/>
      <x:c r="B444" s="4"/>
      <x:c r="C444" s="4"/>
      <x:c r="D444" s="4"/>
      <x:c r="E444" s="4"/>
      <x:c r="F444" s="4"/>
      <x:c r="G444" s="4"/>
      <x:c r="H444" s="4"/>
      <x:c r="I444" s="4"/>
      <x:c r="J444" s="4"/>
      <x:c r="K444" s="4"/>
      <x:c r="L444" s="4"/>
      <x:c r="M444" s="4"/>
    </x:row>
    <x:row r="445" ht="90" customHeight="1">
      <x:c r="A445" s="4" t="str">
        <x:v>design.collection.tall_iron_pavise</x:v>
      </x:c>
      <x:c r="B445" s="4" t="str">
        <x:v>Tall iron pavise candidate preparation</x:v>
      </x:c>
      <x:c r="C445" s="4" t="str">
        <x:v>Finished-item crafting</x:v>
      </x:c>
      <x:c r="D445" s="4" t="str">
        <x:v>Proposal</x:v>
      </x:c>
      <x:c r="E445" s="4" t="str">
        <x:v>Partial proposal</x:v>
      </x:c>
      <x:c r="F445" s="4" t="str">
        <x:v>Set-down metal shield for a fixed position</x:v>
      </x:c>
      <x:c r="G445" s="4" t="str">
        <x:v>Forge hearth, Anvil, Forging hammer, Smithing tongs, Metalworking file and Hand-cranked metal drill as applicable. Existing workshop bootstrap and controlled heating/cooling required; no free-water quench assumed.</x:v>
      </x:c>
      <x:c r="H445" s="4" t="str">
        <x:f>IF(I445=0,"Unassigned",IF(SUMIFS('Material routes'!$Q$6:$Q$2205,'Material routes'!$B$6:$B$2205,A445)&gt;0,"Unassigned","T"&amp;_xlfn.MAXIFS('Material routes'!$P$6:$P$2205,'Material routes'!$B$6:$B$2205,A445)))</x:f>
        <x:v>T3</x:v>
      </x:c>
      <x:c r="I445" s="4" t="n">
        <x:f>SUM(COUNTIFS('Material routes'!$B$6:$B$2205,A445,'Material routes'!$C$6:$C$2205,"Ingredient candidate"),COUNTIFS('Material routes'!$B$6:$B$2205,A445,'Material routes'!$C$6:$C$2205,"Consumed input"),COUNTIFS('Material routes'!$B$6:$B$2205,A445,'Material routes'!$C$6:$C$2205,"Contained input"),COUNTIFS('Material routes'!$B$6:$B$2205,A445,'Material routes'!$C$6:$C$2205,"Transform input"))</x:f>
        <x:v>2</x:v>
      </x:c>
      <x:c r="J445" s="4" t="n">
        <x:f>COUNTIFS('Material routes'!$B$6:$B$2205,A445,'Material routes'!$C$6:$C$2205,"Output")</x:f>
        <x:v>1</x:v>
      </x:c>
      <x:c r="K445" s="4" t="n">
        <x:f>COUNTIFS('Material routes'!$B$6:$B$2205,A445,'Material routes'!$C$6:$C$2205,"Tool candidate")</x:f>
        <x:v>0</x:v>
      </x:c>
      <x:c r="L445" s="4" t="str">
        <x:v>New item proposal, October 15, 2026. Setting reference (source proposal): https://github.com/sleepyseamonster/Arc-Dust/blob/f6f98515c005dc3c73cccd9cbc031691745740c6/02-Arc-Dust-Worldbuilding/world/materials/industrial-material-palette.md</x:v>
      </x:c>
      <x:c r="M445" s="4" t="str">
        <x:v>Quantities, output yield, supporting inputs and compatibility remain undefined.</x:v>
      </x:c>
    </x:row>
    <x:row r="446" ht="90" customHeight="1">
      <x:c r="A446" s="4" t="str">
        <x:v>design.collection.folding_wing_frame_screen_shield</x:v>
      </x:c>
      <x:c r="B446" s="4" t="str">
        <x:v>Folding wing-frame screen shield candidate preparation</x:v>
      </x:c>
      <x:c r="C446" s="4" t="str">
        <x:v>Finished-item crafting</x:v>
      </x:c>
      <x:c r="D446" s="4" t="str">
        <x:v>Proposal</x:v>
      </x:c>
      <x:c r="E446" s="4" t="str">
        <x:v>Partial proposal</x:v>
      </x:c>
      <x:c r="F446" s="4" t="str">
        <x:v>Light frame with membrane screening, limited physical protection proposed</x:v>
      </x:c>
      <x:c r="G446" s="4" t="str">
        <x:v>Husk-sheet cutting shears, pressure fixtures and dedicated preparation surfaces. Very low hide/fur yield; no ordinary cloth or plant inputs.</x:v>
      </x:c>
      <x:c r="H446" s="4" t="str">
        <x:f>IF(I446=0,"Unassigned",IF(SUMIFS('Material routes'!$Q$6:$Q$2205,'Material routes'!$B$6:$B$2205,A446)&gt;0,"Unassigned","T"&amp;_xlfn.MAXIFS('Material routes'!$P$6:$P$2205,'Material routes'!$B$6:$B$2205,A446)))</x:f>
        <x:v>T4</x:v>
      </x:c>
      <x:c r="I446" s="4" t="n">
        <x:f>SUM(COUNTIFS('Material routes'!$B$6:$B$2205,A446,'Material routes'!$C$6:$C$2205,"Ingredient candidate"),COUNTIFS('Material routes'!$B$6:$B$2205,A446,'Material routes'!$C$6:$C$2205,"Consumed input"),COUNTIFS('Material routes'!$B$6:$B$2205,A446,'Material routes'!$C$6:$C$2205,"Contained input"),COUNTIFS('Material routes'!$B$6:$B$2205,A446,'Material routes'!$C$6:$C$2205,"Transform input"))</x:f>
        <x:v>2</x:v>
      </x:c>
      <x:c r="J446" s="4" t="n">
        <x:f>COUNTIFS('Material routes'!$B$6:$B$2205,A446,'Material routes'!$C$6:$C$2205,"Output")</x:f>
        <x:v>1</x:v>
      </x:c>
      <x:c r="K446" s="4" t="n">
        <x:f>COUNTIFS('Material routes'!$B$6:$B$2205,A446,'Material routes'!$C$6:$C$2205,"Tool candidate")</x:f>
        <x:v>0</x:v>
      </x:c>
      <x:c r="L446" s="4" t="str">
        <x:v>New item proposal, October 15, 2026. Setting reference (source proposal): https://github.com/sleepyseamonster/Arc-Dust/blob/f6f98515c005dc3c73cccd9cbc031691745740c6/02-Arc-Dust-Worldbuilding/world/materials/industrial-material-palette.md</x:v>
      </x:c>
      <x:c r="M446" s="4" t="str">
        <x:v>Quantities, output yield, supporting inputs and compatibility remain undefined.</x:v>
      </x:c>
    </x:row>
    <x:row r="447" ht="90" customHeight="1">
      <x:c r="A447" s="4"/>
      <x:c r="B447" s="4"/>
      <x:c r="C447" s="4"/>
      <x:c r="D447" s="4"/>
      <x:c r="E447" s="4"/>
      <x:c r="F447" s="4"/>
      <x:c r="G447" s="4"/>
      <x:c r="H447" s="4"/>
      <x:c r="I447" s="4"/>
      <x:c r="J447" s="4"/>
      <x:c r="K447" s="4"/>
      <x:c r="L447" s="4"/>
      <x:c r="M447" s="4"/>
    </x:row>
    <x:row r="448" ht="90" customHeight="1">
      <x:c r="A448" s="4" t="str">
        <x:v>design.collection.layered_husk_shield</x:v>
      </x:c>
      <x:c r="B448" s="4" t="str">
        <x:v>Layered husk shield candidate preparation</x:v>
      </x:c>
      <x:c r="C448" s="4" t="str">
        <x:v>Finished-item crafting</x:v>
      </x:c>
      <x:c r="D448" s="4" t="str">
        <x:v>Proposal</x:v>
      </x:c>
      <x:c r="E448" s="4" t="str">
        <x:v>Partial proposal</x:v>
      </x:c>
      <x:c r="F448" s="4" t="str">
        <x:v>Costly bonded husk panels for a light shield</x:v>
      </x:c>
      <x:c r="G448" s="4" t="str">
        <x:v>Forge hearth, Anvil, Forging hammer, Smithing tongs, Metalworking file and Hand-cranked metal drill as applicable. Existing workshop bootstrap and controlled heating/cooling required; no free-water quench assumed.</x:v>
      </x:c>
      <x:c r="H448" s="4" t="str">
        <x:f>IF(I448=0,"Unassigned",IF(SUMIFS('Material routes'!$Q$6:$Q$2205,'Material routes'!$B$6:$B$2205,A448)&gt;0,"Unassigned","T"&amp;_xlfn.MAXIFS('Material routes'!$P$6:$P$2205,'Material routes'!$B$6:$B$2205,A448)))</x:f>
        <x:v>T3</x:v>
      </x:c>
      <x:c r="I448" s="4" t="n">
        <x:f>SUM(COUNTIFS('Material routes'!$B$6:$B$2205,A448,'Material routes'!$C$6:$C$2205,"Ingredient candidate"),COUNTIFS('Material routes'!$B$6:$B$2205,A448,'Material routes'!$C$6:$C$2205,"Consumed input"),COUNTIFS('Material routes'!$B$6:$B$2205,A448,'Material routes'!$C$6:$C$2205,"Contained input"),COUNTIFS('Material routes'!$B$6:$B$2205,A448,'Material routes'!$C$6:$C$2205,"Transform input"))</x:f>
        <x:v>2</x:v>
      </x:c>
      <x:c r="J448" s="4" t="n">
        <x:f>COUNTIFS('Material routes'!$B$6:$B$2205,A448,'Material routes'!$C$6:$C$2205,"Output")</x:f>
        <x:v>1</x:v>
      </x:c>
      <x:c r="K448" s="4" t="n">
        <x:f>COUNTIFS('Material routes'!$B$6:$B$2205,A448,'Material routes'!$C$6:$C$2205,"Tool candidate")</x:f>
        <x:v>0</x:v>
      </x:c>
      <x:c r="L448" s="4" t="str">
        <x:v>New item proposal, October 15, 2026. Setting reference (source proposal): https://github.com/sleepyseamonster/Arc-Dust/blob/f6f98515c005dc3c73cccd9cbc031691745740c6/02-Arc-Dust-Worldbuilding/world/materials/industrial-material-palette.md</x:v>
      </x:c>
      <x:c r="M448" s="4" t="str">
        <x:v>Quantities, output yield, supporting inputs and compatibility remain undefined.</x:v>
      </x:c>
    </x:row>
    <x:row r="449" ht="90" customHeight="1">
      <x:c r="A449" s="4" t="str">
        <x:v>design.collection.steel_rimmed_shell_shield</x:v>
      </x:c>
      <x:c r="B449" s="4" t="str">
        <x:v>Steel-rimmed shell shield candidate preparation</x:v>
      </x:c>
      <x:c r="C449" s="4" t="str">
        <x:v>Finished-item crafting</x:v>
      </x:c>
      <x:c r="D449" s="4" t="str">
        <x:v>Proposal</x:v>
      </x:c>
      <x:c r="E449" s="4" t="str">
        <x:v>Partial proposal</x:v>
      </x:c>
      <x:c r="F449" s="4" t="str">
        <x:v>Metal rim protects a replaceable shell center</x:v>
      </x:c>
      <x:c r="G449" s="4" t="str">
        <x:v>Forge hearth, Anvil, Forging hammer, Smithing tongs, Metalworking file and Hand-cranked metal drill as applicable. Existing workshop bootstrap and controlled heating/cooling required; no free-water quench assumed.</x:v>
      </x:c>
      <x:c r="H449" s="4" t="str">
        <x:f>IF(I449=0,"Unassigned",IF(SUMIFS('Material routes'!$Q$6:$Q$2205,'Material routes'!$B$6:$B$2205,A449)&gt;0,"Unassigned","T"&amp;_xlfn.MAXIFS('Material routes'!$P$6:$P$2205,'Material routes'!$B$6:$B$2205,A449)))</x:f>
        <x:v>T2</x:v>
      </x:c>
      <x:c r="I449" s="4" t="n">
        <x:f>SUM(COUNTIFS('Material routes'!$B$6:$B$2205,A449,'Material routes'!$C$6:$C$2205,"Ingredient candidate"),COUNTIFS('Material routes'!$B$6:$B$2205,A449,'Material routes'!$C$6:$C$2205,"Consumed input"),COUNTIFS('Material routes'!$B$6:$B$2205,A449,'Material routes'!$C$6:$C$2205,"Contained input"),COUNTIFS('Material routes'!$B$6:$B$2205,A449,'Material routes'!$C$6:$C$2205,"Transform input"))</x:f>
        <x:v>2</x:v>
      </x:c>
      <x:c r="J449" s="4" t="n">
        <x:f>COUNTIFS('Material routes'!$B$6:$B$2205,A449,'Material routes'!$C$6:$C$2205,"Output")</x:f>
        <x:v>1</x:v>
      </x:c>
      <x:c r="K449" s="4" t="n">
        <x:f>COUNTIFS('Material routes'!$B$6:$B$2205,A449,'Material routes'!$C$6:$C$2205,"Tool candidate")</x:f>
        <x:v>0</x:v>
      </x:c>
      <x:c r="L449" s="4" t="str">
        <x:v>New item proposal, October 15, 2026. Setting reference (source proposal): https://github.com/sleepyseamonster/Arc-Dust/blob/f6f98515c005dc3c73cccd9cbc031691745740c6/02-Arc-Dust-Worldbuilding/world/materials/industrial-material-palette.md</x:v>
      </x:c>
      <x:c r="M449" s="4" t="str">
        <x:v>Quantities, output yield, supporting inputs and compatibility remain undefined.</x:v>
      </x:c>
    </x:row>
    <x:row r="450" ht="90" customHeight="1">
      <x:c r="A450" s="4"/>
      <x:c r="B450" s="4"/>
      <x:c r="C450" s="4"/>
      <x:c r="D450" s="4"/>
      <x:c r="E450" s="4"/>
      <x:c r="F450" s="4"/>
      <x:c r="G450" s="4"/>
      <x:c r="H450" s="4"/>
      <x:c r="I450" s="4"/>
      <x:c r="J450" s="4"/>
      <x:c r="K450" s="4"/>
      <x:c r="L450" s="4"/>
      <x:c r="M450" s="4"/>
    </x:row>
    <x:row r="451" ht="90" customHeight="1">
      <x:c r="A451" s="4" t="str">
        <x:v>design.collection.elbow_strapped_work_shield</x:v>
      </x:c>
      <x:c r="B451" s="4" t="str">
        <x:v>Elbow-strapped work shield candidate preparation</x:v>
      </x:c>
      <x:c r="C451" s="4" t="str">
        <x:v>Finished-item crafting</x:v>
      </x:c>
      <x:c r="D451" s="4" t="str">
        <x:v>Proposal</x:v>
      </x:c>
      <x:c r="E451" s="4" t="str">
        <x:v>Partial proposal</x:v>
      </x:c>
      <x:c r="F451" s="4" t="str">
        <x:v>Small arm shield leaving a limited hand grip</x:v>
      </x:c>
      <x:c r="G451" s="4" t="str">
        <x:v>Forge hearth, Anvil, Forging hammer, Smithing tongs, Metalworking file and Hand-cranked metal drill as applicable. Existing workshop bootstrap and controlled heating/cooling required; no free-water quench assumed.</x:v>
      </x:c>
      <x:c r="H451" s="4" t="str">
        <x:f>IF(I451=0,"Unassigned",IF(SUMIFS('Material routes'!$Q$6:$Q$2205,'Material routes'!$B$6:$B$2205,A451)&gt;0,"Unassigned","T"&amp;_xlfn.MAXIFS('Material routes'!$P$6:$P$2205,'Material routes'!$B$6:$B$2205,A451)))</x:f>
        <x:v>T3</x:v>
      </x:c>
      <x:c r="I451" s="4" t="n">
        <x:f>SUM(COUNTIFS('Material routes'!$B$6:$B$2205,A451,'Material routes'!$C$6:$C$2205,"Ingredient candidate"),COUNTIFS('Material routes'!$B$6:$B$2205,A451,'Material routes'!$C$6:$C$2205,"Consumed input"),COUNTIFS('Material routes'!$B$6:$B$2205,A451,'Material routes'!$C$6:$C$2205,"Contained input"),COUNTIFS('Material routes'!$B$6:$B$2205,A451,'Material routes'!$C$6:$C$2205,"Transform input"))</x:f>
        <x:v>2</x:v>
      </x:c>
      <x:c r="J451" s="4" t="n">
        <x:f>COUNTIFS('Material routes'!$B$6:$B$2205,A451,'Material routes'!$C$6:$C$2205,"Output")</x:f>
        <x:v>1</x:v>
      </x:c>
      <x:c r="K451" s="4" t="n">
        <x:f>COUNTIFS('Material routes'!$B$6:$B$2205,A451,'Material routes'!$C$6:$C$2205,"Tool candidate")</x:f>
        <x:v>0</x:v>
      </x:c>
      <x:c r="L451" s="4" t="str">
        <x:v>New item proposal, October 15, 2026. Setting reference (source proposal): https://github.com/sleepyseamonster/Arc-Dust/blob/f6f98515c005dc3c73cccd9cbc031691745740c6/02-Arc-Dust-Worldbuilding/world/materials/industrial-material-palette.md</x:v>
      </x:c>
      <x:c r="M451" s="4" t="str">
        <x:v>Quantities, output yield, supporting inputs and compatibility remain undefined.</x:v>
      </x:c>
    </x:row>
    <x:row r="452" ht="90" customHeight="1">
      <x:c r="A452" s="4" t="str">
        <x:v>design.collection.knee_braced_ground_shield</x:v>
      </x:c>
      <x:c r="B452" s="4" t="str">
        <x:v>Knee-braced ground shield candidate preparation</x:v>
      </x:c>
      <x:c r="C452" s="4" t="str">
        <x:v>Finished-item crafting</x:v>
      </x:c>
      <x:c r="D452" s="4" t="str">
        <x:v>Proposal</x:v>
      </x:c>
      <x:c r="E452" s="4" t="str">
        <x:v>Partial proposal</x:v>
      </x:c>
      <x:c r="F452" s="4" t="str">
        <x:v>Braced shield for low stationary cover</x:v>
      </x:c>
      <x:c r="G452" s="4" t="str">
        <x:v>Forge hearth, Anvil, Forging hammer, Smithing tongs, Metalworking file and Hand-cranked metal drill as applicable. Existing workshop bootstrap and controlled heating/cooling required; no free-water quench assumed.</x:v>
      </x:c>
      <x:c r="H452" s="4" t="str">
        <x:f>IF(I452=0,"Unassigned",IF(SUMIFS('Material routes'!$Q$6:$Q$2205,'Material routes'!$B$6:$B$2205,A452)&gt;0,"Unassigned","T"&amp;_xlfn.MAXIFS('Material routes'!$P$6:$P$2205,'Material routes'!$B$6:$B$2205,A452)))</x:f>
        <x:v>T3</x:v>
      </x:c>
      <x:c r="I452" s="4" t="n">
        <x:f>SUM(COUNTIFS('Material routes'!$B$6:$B$2205,A452,'Material routes'!$C$6:$C$2205,"Ingredient candidate"),COUNTIFS('Material routes'!$B$6:$B$2205,A452,'Material routes'!$C$6:$C$2205,"Consumed input"),COUNTIFS('Material routes'!$B$6:$B$2205,A452,'Material routes'!$C$6:$C$2205,"Contained input"),COUNTIFS('Material routes'!$B$6:$B$2205,A452,'Material routes'!$C$6:$C$2205,"Transform input"))</x:f>
        <x:v>2</x:v>
      </x:c>
      <x:c r="J452" s="4" t="n">
        <x:f>COUNTIFS('Material routes'!$B$6:$B$2205,A452,'Material routes'!$C$6:$C$2205,"Output")</x:f>
        <x:v>1</x:v>
      </x:c>
      <x:c r="K452" s="4" t="n">
        <x:f>COUNTIFS('Material routes'!$B$6:$B$2205,A452,'Material routes'!$C$6:$C$2205,"Tool candidate")</x:f>
        <x:v>0</x:v>
      </x:c>
      <x:c r="L452" s="4" t="str">
        <x:v>New item proposal, October 15, 2026. Setting reference (source proposal): https://github.com/sleepyseamonster/Arc-Dust/blob/f6f98515c005dc3c73cccd9cbc031691745740c6/02-Arc-Dust-Worldbuilding/world/materials/industrial-material-palette.md</x:v>
      </x:c>
      <x:c r="M452" s="4" t="str">
        <x:v>Quantities, output yield, supporting inputs and compatibility remain undefined.</x:v>
      </x:c>
    </x:row>
    <x:row r="453" ht="90" customHeight="1">
      <x:c r="A453" s="4" t="str">
        <x:v>design.collection.segmented_tower_shield</x:v>
      </x:c>
      <x:c r="B453" s="4" t="str">
        <x:v>Segmented tower shield candidate preparation</x:v>
      </x:c>
      <x:c r="C453" s="4" t="str">
        <x:v>Finished-item crafting</x:v>
      </x:c>
      <x:c r="D453" s="4" t="str">
        <x:v>Proposal</x:v>
      </x:c>
      <x:c r="E453" s="4" t="str">
        <x:v>Partial proposal</x:v>
      </x:c>
      <x:c r="F453" s="4" t="str">
        <x:v>Linked metal panels with a serviceable grip frame</x:v>
      </x:c>
      <x:c r="G453" s="4" t="str">
        <x:v>Forge hearth, Anvil, Forging hammer, Smithing tongs, Metalworking file and Hand-cranked metal drill as applicable. Existing workshop bootstrap and controlled heating/cooling required; no free-water quench assumed.</x:v>
      </x:c>
      <x:c r="H453" s="4" t="str">
        <x:f>IF(I453=0,"Unassigned",IF(SUMIFS('Material routes'!$Q$6:$Q$2205,'Material routes'!$B$6:$B$2205,A453)&gt;0,"Unassigned","T"&amp;_xlfn.MAXIFS('Material routes'!$P$6:$P$2205,'Material routes'!$B$6:$B$2205,A453)))</x:f>
        <x:v>T3</x:v>
      </x:c>
      <x:c r="I453" s="4" t="n">
        <x:f>SUM(COUNTIFS('Material routes'!$B$6:$B$2205,A453,'Material routes'!$C$6:$C$2205,"Ingredient candidate"),COUNTIFS('Material routes'!$B$6:$B$2205,A453,'Material routes'!$C$6:$C$2205,"Consumed input"),COUNTIFS('Material routes'!$B$6:$B$2205,A453,'Material routes'!$C$6:$C$2205,"Contained input"),COUNTIFS('Material routes'!$B$6:$B$2205,A453,'Material routes'!$C$6:$C$2205,"Transform input"))</x:f>
        <x:v>2</x:v>
      </x:c>
      <x:c r="J453" s="4" t="n">
        <x:f>COUNTIFS('Material routes'!$B$6:$B$2205,A453,'Material routes'!$C$6:$C$2205,"Output")</x:f>
        <x:v>1</x:v>
      </x:c>
      <x:c r="K453" s="4" t="n">
        <x:f>COUNTIFS('Material routes'!$B$6:$B$2205,A453,'Material routes'!$C$6:$C$2205,"Tool candidate")</x:f>
        <x:v>0</x:v>
      </x:c>
      <x:c r="L453" s="4" t="str">
        <x:v>New item proposal, October 15, 2026. Setting reference (source proposal): https://github.com/sleepyseamonster/Arc-Dust/blob/f6f98515c005dc3c73cccd9cbc031691745740c6/02-Arc-Dust-Worldbuilding/world/materials/industrial-material-palette.md</x:v>
      </x:c>
      <x:c r="M453" s="4" t="str">
        <x:v>Quantities, output yield, supporting inputs and compatibility remain undefined.</x:v>
      </x:c>
    </x:row>
    <x:row r="454" ht="90" customHeight="1">
      <x:c r="A454" s="4"/>
      <x:c r="B454" s="4"/>
      <x:c r="C454" s="4"/>
      <x:c r="D454" s="4"/>
      <x:c r="E454" s="4"/>
      <x:c r="F454" s="4"/>
      <x:c r="G454" s="4"/>
      <x:c r="H454" s="4"/>
      <x:c r="I454" s="4"/>
      <x:c r="J454" s="4"/>
      <x:c r="K454" s="4"/>
      <x:c r="L454" s="4"/>
      <x:c r="M454" s="4"/>
    </x:row>
    <x:row r="455" ht="90" customHeight="1">
      <x:c r="A455" s="4"/>
      <x:c r="B455" s="4"/>
      <x:c r="C455" s="4"/>
      <x:c r="D455" s="4"/>
      <x:c r="E455" s="4"/>
      <x:c r="F455" s="4"/>
      <x:c r="G455" s="4"/>
      <x:c r="H455" s="4"/>
      <x:c r="I455" s="4"/>
      <x:c r="J455" s="4"/>
      <x:c r="K455" s="4"/>
      <x:c r="L455" s="4"/>
      <x:c r="M455" s="4"/>
    </x:row>
    <x:row r="456" ht="90" customHeight="1">
      <x:c r="A456" s="4" t="str">
        <x:v>design.collection.insulated_handle_shield</x:v>
      </x:c>
      <x:c r="B456" s="4" t="str">
        <x:v>Insulated-handle shield candidate preparation</x:v>
      </x:c>
      <x:c r="C456" s="4" t="str">
        <x:v>Finished-item crafting</x:v>
      </x:c>
      <x:c r="D456" s="4" t="str">
        <x:v>Proposal</x:v>
      </x:c>
      <x:c r="E456" s="4" t="str">
        <x:v>Partial proposal</x:v>
      </x:c>
      <x:c r="F456" s="4" t="str">
        <x:v>Shield with separated handle contacts, no voltage rating</x:v>
      </x:c>
      <x:c r="G456" s="4" t="str">
        <x:v>Forge hearth, Anvil, Forging hammer, Smithing tongs, Metalworking file and Hand-cranked metal drill as applicable. Existing workshop bootstrap and controlled heating/cooling required; no free-water quench assumed.</x:v>
      </x:c>
      <x:c r="H456" s="4" t="str">
        <x:f>IF(I456=0,"Unassigned",IF(SUMIFS('Material routes'!$Q$6:$Q$2205,'Material routes'!$B$6:$B$2205,A456)&gt;0,"Unassigned","T"&amp;_xlfn.MAXIFS('Material routes'!$P$6:$P$2205,'Material routes'!$B$6:$B$2205,A456)))</x:f>
        <x:v>T3</x:v>
      </x:c>
      <x:c r="I456" s="4" t="n">
        <x:f>SUM(COUNTIFS('Material routes'!$B$6:$B$2205,A456,'Material routes'!$C$6:$C$2205,"Ingredient candidate"),COUNTIFS('Material routes'!$B$6:$B$2205,A456,'Material routes'!$C$6:$C$2205,"Consumed input"),COUNTIFS('Material routes'!$B$6:$B$2205,A456,'Material routes'!$C$6:$C$2205,"Contained input"),COUNTIFS('Material routes'!$B$6:$B$2205,A456,'Material routes'!$C$6:$C$2205,"Transform input"))</x:f>
        <x:v>2</x:v>
      </x:c>
      <x:c r="J456" s="4" t="n">
        <x:f>COUNTIFS('Material routes'!$B$6:$B$2205,A456,'Material routes'!$C$6:$C$2205,"Output")</x:f>
        <x:v>1</x:v>
      </x:c>
      <x:c r="K456" s="4" t="n">
        <x:f>COUNTIFS('Material routes'!$B$6:$B$2205,A456,'Material routes'!$C$6:$C$2205,"Tool candidate")</x:f>
        <x:v>0</x:v>
      </x:c>
      <x:c r="L456" s="4" t="str">
        <x:v>New item proposal, October 15, 2026. Setting reference (source proposal): https://github.com/sleepyseamonster/Arc-Dust/blob/f6f98515c005dc3c73cccd9cbc031691745740c6/02-Arc-Dust-Worldbuilding/world/materials/industrial-material-palette.md</x:v>
      </x:c>
      <x:c r="M456" s="4" t="str">
        <x:v>Quantities, output yield, supporting inputs and compatibility remain undefined.</x:v>
      </x:c>
    </x:row>
    <x:row r="457" ht="90" customHeight="1">
      <x:c r="A457" s="4"/>
      <x:c r="B457" s="4"/>
      <x:c r="C457" s="4"/>
      <x:c r="D457" s="4"/>
      <x:c r="E457" s="4"/>
      <x:c r="F457" s="4"/>
      <x:c r="G457" s="4"/>
      <x:c r="H457" s="4"/>
      <x:c r="I457" s="4"/>
      <x:c r="J457" s="4"/>
      <x:c r="K457" s="4"/>
      <x:c r="L457" s="4"/>
      <x:c r="M457" s="4"/>
    </x:row>
    <x:row r="458" ht="90" customHeight="1">
      <x:c r="A458" s="4" t="str">
        <x:v>design.collection.magnet_clamp_utility_shield</x:v>
      </x:c>
      <x:c r="B458" s="4" t="str">
        <x:v>Magnet-clamp utility shield candidate preparation</x:v>
      </x:c>
      <x:c r="C458" s="4" t="str">
        <x:v>Finished-item crafting</x:v>
      </x:c>
      <x:c r="D458" s="4" t="str">
        <x:v>Proposal</x:v>
      </x:c>
      <x:c r="E458" s="4" t="str">
        <x:v>Partial proposal</x:v>
      </x:c>
      <x:c r="F458" s="4" t="str">
        <x:v>Utility face with removable magnetic attachment, combat behavior open</x:v>
      </x:c>
      <x:c r="G458" s="4" t="str">
        <x:v>Forge hearth, Anvil, Forging hammer, Smithing tongs, Metalworking file and Hand-cranked metal drill as applicable. Existing workshop bootstrap and controlled heating/cooling required; no free-water quench assumed.</x:v>
      </x:c>
      <x:c r="H458" s="4" t="str">
        <x:f>IF(I458=0,"Unassigned",IF(SUMIFS('Material routes'!$Q$6:$Q$2205,'Material routes'!$B$6:$B$2205,A458)&gt;0,"Unassigned","T"&amp;_xlfn.MAXIFS('Material routes'!$P$6:$P$2205,'Material routes'!$B$6:$B$2205,A458)))</x:f>
        <x:v>Unassigned</x:v>
      </x:c>
      <x:c r="I458" s="4" t="n">
        <x:f>SUM(COUNTIFS('Material routes'!$B$6:$B$2205,A458,'Material routes'!$C$6:$C$2205,"Ingredient candidate"),COUNTIFS('Material routes'!$B$6:$B$2205,A458,'Material routes'!$C$6:$C$2205,"Consumed input"),COUNTIFS('Material routes'!$B$6:$B$2205,A458,'Material routes'!$C$6:$C$2205,"Contained input"),COUNTIFS('Material routes'!$B$6:$B$2205,A458,'Material routes'!$C$6:$C$2205,"Transform input"))</x:f>
        <x:v>2</x:v>
      </x:c>
      <x:c r="J458" s="4" t="n">
        <x:f>COUNTIFS('Material routes'!$B$6:$B$2205,A458,'Material routes'!$C$6:$C$2205,"Output")</x:f>
        <x:v>1</x:v>
      </x:c>
      <x:c r="K458" s="4" t="n">
        <x:f>COUNTIFS('Material routes'!$B$6:$B$2205,A458,'Material routes'!$C$6:$C$2205,"Tool candidate")</x:f>
        <x:v>0</x:v>
      </x:c>
      <x:c r="L458" s="4" t="str">
        <x:v>New item proposal, October 15, 2026. Setting reference (source proposal): https://github.com/sleepyseamonster/Arc-Dust/blob/f6f98515c005dc3c73cccd9cbc031691745740c6/02-Arc-Dust-Worldbuilding/world/materials/industrial-material-palette.md</x:v>
      </x:c>
      <x:c r="M458" s="4" t="str">
        <x:v>Quantities, output yield, supporting inputs and compatibility remain undefined.</x:v>
      </x:c>
    </x:row>
    <x:row r="459" ht="90" customHeight="1">
      <x:c r="A459" s="4" t="str">
        <x:v>design.collection.replaceable_scale_shield</x:v>
      </x:c>
      <x:c r="B459" s="4" t="str">
        <x:v>Replaceable-scale shield candidate preparation</x:v>
      </x:c>
      <x:c r="C459" s="4" t="str">
        <x:v>Finished-item crafting</x:v>
      </x:c>
      <x:c r="D459" s="4" t="str">
        <x:v>Proposal</x:v>
      </x:c>
      <x:c r="E459" s="4" t="str">
        <x:v>Partial proposal</x:v>
      </x:c>
      <x:c r="F459" s="4" t="str">
        <x:v>Small bolted shell scales on a metal back</x:v>
      </x:c>
      <x:c r="G459" s="4" t="str">
        <x:v>Forge hearth, Anvil, Forging hammer, Smithing tongs, Metalworking file and Hand-cranked metal drill as applicable. Existing workshop bootstrap and controlled heating/cooling required; no free-water quench assumed.</x:v>
      </x:c>
      <x:c r="H459" s="4" t="str">
        <x:f>IF(I459=0,"Unassigned",IF(SUMIFS('Material routes'!$Q$6:$Q$2205,'Material routes'!$B$6:$B$2205,A459)&gt;0,"Unassigned","T"&amp;_xlfn.MAXIFS('Material routes'!$P$6:$P$2205,'Material routes'!$B$6:$B$2205,A459)))</x:f>
        <x:v>T3</x:v>
      </x:c>
      <x:c r="I459" s="4" t="n">
        <x:f>SUM(COUNTIFS('Material routes'!$B$6:$B$2205,A459,'Material routes'!$C$6:$C$2205,"Ingredient candidate"),COUNTIFS('Material routes'!$B$6:$B$2205,A459,'Material routes'!$C$6:$C$2205,"Consumed input"),COUNTIFS('Material routes'!$B$6:$B$2205,A459,'Material routes'!$C$6:$C$2205,"Contained input"),COUNTIFS('Material routes'!$B$6:$B$2205,A459,'Material routes'!$C$6:$C$2205,"Transform input"))</x:f>
        <x:v>2</x:v>
      </x:c>
      <x:c r="J459" s="4" t="n">
        <x:f>COUNTIFS('Material routes'!$B$6:$B$2205,A459,'Material routes'!$C$6:$C$2205,"Output")</x:f>
        <x:v>1</x:v>
      </x:c>
      <x:c r="K459" s="4" t="n">
        <x:f>COUNTIFS('Material routes'!$B$6:$B$2205,A459,'Material routes'!$C$6:$C$2205,"Tool candidate")</x:f>
        <x:v>0</x:v>
      </x:c>
      <x:c r="L459" s="4" t="str">
        <x:v>New item proposal, October 15, 2026. Setting reference (source proposal): https://github.com/sleepyseamonster/Arc-Dust/blob/f6f98515c005dc3c73cccd9cbc031691745740c6/02-Arc-Dust-Worldbuilding/world/materials/industrial-material-palette.md</x:v>
      </x:c>
      <x:c r="M459" s="4" t="str">
        <x:v>Quantities, output yield, supporting inputs and compatibility remain undefined.</x:v>
      </x:c>
    </x:row>
    <x:row r="460" ht="90" customHeight="1">
      <x:c r="A460" s="4" t="str">
        <x:v>design.collection.tendon_ankle_tripline</x:v>
      </x:c>
      <x:c r="B460" s="4" t="str">
        <x:v>Tendon ankle tripline candidate preparation</x:v>
      </x:c>
      <x:c r="C460" s="4" t="str">
        <x:v>Finished-item crafting</x:v>
      </x:c>
      <x:c r="D460" s="4" t="str">
        <x:v>Proposal</x:v>
      </x:c>
      <x:c r="E460" s="4" t="str">
        <x:v>Partial proposal</x:v>
      </x:c>
      <x:c r="F460" s="4" t="str">
        <x:v>Low tension line intended to obstruct a path</x:v>
      </x:c>
      <x:c r="G460" s="4" t="str">
        <x:v>Forge hearth, Anvil, Forging hammer, Smithing tongs, Metalworking file and Hand-cranked metal drill as applicable. Existing workshop bootstrap and controlled heating/cooling required; no free-water quench assumed.</x:v>
      </x:c>
      <x:c r="H460" s="4" t="str">
        <x:f>IF(I460=0,"Unassigned",IF(SUMIFS('Material routes'!$Q$6:$Q$2205,'Material routes'!$B$6:$B$2205,A460)&gt;0,"Unassigned","T"&amp;_xlfn.MAXIFS('Material routes'!$P$6:$P$2205,'Material routes'!$B$6:$B$2205,A460)))</x:f>
        <x:v>Unassigned</x:v>
      </x:c>
      <x:c r="I460" s="4" t="n">
        <x:f>SUM(COUNTIFS('Material routes'!$B$6:$B$2205,A460,'Material routes'!$C$6:$C$2205,"Ingredient candidate"),COUNTIFS('Material routes'!$B$6:$B$2205,A460,'Material routes'!$C$6:$C$2205,"Consumed input"),COUNTIFS('Material routes'!$B$6:$B$2205,A460,'Material routes'!$C$6:$C$2205,"Contained input"),COUNTIFS('Material routes'!$B$6:$B$2205,A460,'Material routes'!$C$6:$C$2205,"Transform input"))</x:f>
        <x:v>2</x:v>
      </x:c>
      <x:c r="J460" s="4" t="n">
        <x:f>COUNTIFS('Material routes'!$B$6:$B$2205,A460,'Material routes'!$C$6:$C$2205,"Output")</x:f>
        <x:v>1</x:v>
      </x:c>
      <x:c r="K460" s="4" t="n">
        <x:f>COUNTIFS('Material routes'!$B$6:$B$2205,A460,'Material routes'!$C$6:$C$2205,"Tool candidate")</x:f>
        <x:v>0</x:v>
      </x:c>
      <x:c r="L460" s="4" t="str">
        <x:v>New item proposal, October 15, 2026. Setting reference (source proposal): https://github.com/sleepyseamonster/Arc-Dust/blob/f6f98515c005dc3c73cccd9cbc031691745740c6/02-Arc-Dust-Worldbuilding/world/materials/industrial-material-palette.md</x:v>
      </x:c>
      <x:c r="M460" s="4" t="str">
        <x:v>Quantities, output yield, supporting inputs and compatibility remain undefined.</x:v>
      </x:c>
    </x:row>
    <x:row r="461" ht="90" customHeight="1">
      <x:c r="A461" s="4" t="str">
        <x:v>design.collection.rattle_alarm_tripline</x:v>
      </x:c>
      <x:c r="B461" s="4" t="str">
        <x:v>Rattle alarm tripline candidate preparation</x:v>
      </x:c>
      <x:c r="C461" s="4" t="str">
        <x:v>Finished-item crafting</x:v>
      </x:c>
      <x:c r="D461" s="4" t="str">
        <x:v>Proposal</x:v>
      </x:c>
      <x:c r="E461" s="4" t="str">
        <x:v>Partial proposal</x:v>
      </x:c>
      <x:c r="F461" s="4" t="str">
        <x:v>Tripline that shakes shell pieces as an audible alarm</x:v>
      </x:c>
      <x:c r="G461" s="4" t="str">
        <x:v>Forge hearth, Anvil, Forging hammer, Smithing tongs, Metalworking file and Hand-cranked metal drill as applicable. Existing workshop bootstrap and controlled heating/cooling required; no free-water quench assumed.</x:v>
      </x:c>
      <x:c r="H461" s="4" t="str">
        <x:f>IF(I461=0,"Unassigned",IF(SUMIFS('Material routes'!$Q$6:$Q$2205,'Material routes'!$B$6:$B$2205,A461)&gt;0,"Unassigned","T"&amp;_xlfn.MAXIFS('Material routes'!$P$6:$P$2205,'Material routes'!$B$6:$B$2205,A461)))</x:f>
        <x:v>Unassigned</x:v>
      </x:c>
      <x:c r="I461" s="4" t="n">
        <x:f>SUM(COUNTIFS('Material routes'!$B$6:$B$2205,A461,'Material routes'!$C$6:$C$2205,"Ingredient candidate"),COUNTIFS('Material routes'!$B$6:$B$2205,A461,'Material routes'!$C$6:$C$2205,"Consumed input"),COUNTIFS('Material routes'!$B$6:$B$2205,A461,'Material routes'!$C$6:$C$2205,"Contained input"),COUNTIFS('Material routes'!$B$6:$B$2205,A461,'Material routes'!$C$6:$C$2205,"Transform input"))</x:f>
        <x:v>3</x:v>
      </x:c>
      <x:c r="J461" s="4" t="n">
        <x:f>COUNTIFS('Material routes'!$B$6:$B$2205,A461,'Material routes'!$C$6:$C$2205,"Output")</x:f>
        <x:v>1</x:v>
      </x:c>
      <x:c r="K461" s="4" t="n">
        <x:f>COUNTIFS('Material routes'!$B$6:$B$2205,A461,'Material routes'!$C$6:$C$2205,"Tool candidate")</x:f>
        <x:v>0</x:v>
      </x:c>
      <x:c r="L461" s="4" t="str">
        <x:v>New item proposal, October 15, 2026. Setting reference (source proposal): https://github.com/sleepyseamonster/Arc-Dust/blob/f6f98515c005dc3c73cccd9cbc031691745740c6/02-Arc-Dust-Worldbuilding/world/materials/industrial-material-palette.md</x:v>
      </x:c>
      <x:c r="M461" s="4" t="str">
        <x:v>Quantities, output yield, supporting inputs and compatibility remain undefined. October 15 audit: candidate inputs / reusable prerequisites clarified. Structural coverage is not a qualified manufacturing recipe.</x:v>
      </x:c>
    </x:row>
    <x:row r="462" ht="90" customHeight="1">
      <x:c r="A462" s="4" t="str">
        <x:v>design.collection.metal_bell_alarm_tether</x:v>
      </x:c>
      <x:c r="B462" s="4" t="str">
        <x:v>Metal bell alarm tether candidate preparation</x:v>
      </x:c>
      <x:c r="C462" s="4" t="str">
        <x:v>Finished-item crafting</x:v>
      </x:c>
      <x:c r="D462" s="4" t="str">
        <x:v>Proposal</x:v>
      </x:c>
      <x:c r="E462" s="4" t="str">
        <x:v>Partial proposal</x:v>
      </x:c>
      <x:c r="F462" s="4" t="str">
        <x:v>Contact line connected to a small bell</x:v>
      </x:c>
      <x:c r="G462" s="4" t="str">
        <x:v>Forge hearth, Anvil, Forging hammer, Smithing tongs, Metalworking file and Hand-cranked metal drill as applicable. Existing workshop bootstrap and controlled heating/cooling required; no free-water quench assumed.</x:v>
      </x:c>
      <x:c r="H462" s="4" t="str">
        <x:f>IF(I462=0,"Unassigned",IF(SUMIFS('Material routes'!$Q$6:$Q$2205,'Material routes'!$B$6:$B$2205,A462)&gt;0,"Unassigned","T"&amp;_xlfn.MAXIFS('Material routes'!$P$6:$P$2205,'Material routes'!$B$6:$B$2205,A462)))</x:f>
        <x:v>Unassigned</x:v>
      </x:c>
      <x:c r="I462" s="4" t="n">
        <x:f>SUM(COUNTIFS('Material routes'!$B$6:$B$2205,A462,'Material routes'!$C$6:$C$2205,"Ingredient candidate"),COUNTIFS('Material routes'!$B$6:$B$2205,A462,'Material routes'!$C$6:$C$2205,"Consumed input"),COUNTIFS('Material routes'!$B$6:$B$2205,A462,'Material routes'!$C$6:$C$2205,"Contained input"),COUNTIFS('Material routes'!$B$6:$B$2205,A462,'Material routes'!$C$6:$C$2205,"Transform input"))</x:f>
        <x:v>3</x:v>
      </x:c>
      <x:c r="J462" s="4" t="n">
        <x:f>COUNTIFS('Material routes'!$B$6:$B$2205,A462,'Material routes'!$C$6:$C$2205,"Output")</x:f>
        <x:v>1</x:v>
      </x:c>
      <x:c r="K462" s="4" t="n">
        <x:f>COUNTIFS('Material routes'!$B$6:$B$2205,A462,'Material routes'!$C$6:$C$2205,"Tool candidate")</x:f>
        <x:v>0</x:v>
      </x:c>
      <x:c r="L462" s="4" t="str">
        <x:v>New item proposal, October 15, 2026. Setting reference (source proposal): https://github.com/sleepyseamonster/Arc-Dust/blob/f6f98515c005dc3c73cccd9cbc031691745740c6/02-Arc-Dust-Worldbuilding/world/materials/industrial-material-palette.md</x:v>
      </x:c>
      <x:c r="M462" s="4" t="str">
        <x:v>Quantities, output yield, supporting inputs and compatibility remain undefined. October 15 audit: candidate inputs / reusable prerequisites clarified. Structural coverage is not a qualified manufacturing recipe.</x:v>
      </x:c>
    </x:row>
    <x:row r="463" ht="90" customHeight="1">
      <x:c r="A463" s="4" t="str">
        <x:v>design.collection.folding_hooked_trip_frame</x:v>
      </x:c>
      <x:c r="B463" s="4" t="str">
        <x:v>Folding hooked trip frame candidate preparation</x:v>
      </x:c>
      <x:c r="C463" s="4" t="str">
        <x:v>Finished-item crafting</x:v>
      </x:c>
      <x:c r="D463" s="4" t="str">
        <x:v>Proposal</x:v>
      </x:c>
      <x:c r="E463" s="4" t="str">
        <x:v>Partial proposal</x:v>
      </x:c>
      <x:c r="F463" s="4" t="str">
        <x:v>Low reusable frame intended to catch a passing foot</x:v>
      </x:c>
      <x:c r="G463" s="4" t="str">
        <x:v>Forge hearth, Anvil, Forging hammer, Smithing tongs, Metalworking file and Hand-cranked metal drill as applicable. Existing workshop bootstrap and controlled heating/cooling required; no free-water quench assumed.</x:v>
      </x:c>
      <x:c r="H463" s="4" t="str">
        <x:f>IF(I463=0,"Unassigned",IF(SUMIFS('Material routes'!$Q$6:$Q$2205,'Material routes'!$B$6:$B$2205,A463)&gt;0,"Unassigned","T"&amp;_xlfn.MAXIFS('Material routes'!$P$6:$P$2205,'Material routes'!$B$6:$B$2205,A463)))</x:f>
        <x:v>T4</x:v>
      </x:c>
      <x:c r="I463" s="4" t="n">
        <x:f>SUM(COUNTIFS('Material routes'!$B$6:$B$2205,A463,'Material routes'!$C$6:$C$2205,"Ingredient candidate"),COUNTIFS('Material routes'!$B$6:$B$2205,A463,'Material routes'!$C$6:$C$2205,"Consumed input"),COUNTIFS('Material routes'!$B$6:$B$2205,A463,'Material routes'!$C$6:$C$2205,"Contained input"),COUNTIFS('Material routes'!$B$6:$B$2205,A463,'Material routes'!$C$6:$C$2205,"Transform input"))</x:f>
        <x:v>3</x:v>
      </x:c>
      <x:c r="J463" s="4" t="n">
        <x:f>COUNTIFS('Material routes'!$B$6:$B$2205,A463,'Material routes'!$C$6:$C$2205,"Output")</x:f>
        <x:v>1</x:v>
      </x:c>
      <x:c r="K463" s="4" t="n">
        <x:f>COUNTIFS('Material routes'!$B$6:$B$2205,A463,'Material routes'!$C$6:$C$2205,"Tool candidate")</x:f>
        <x:v>0</x:v>
      </x:c>
      <x:c r="L463" s="4" t="str">
        <x:v>New item proposal, October 15, 2026. Setting reference (source proposal): https://github.com/sleepyseamonster/Arc-Dust/blob/f6f98515c005dc3c73cccd9cbc031691745740c6/02-Arc-Dust-Worldbuilding/world/materials/industrial-material-palette.md</x:v>
      </x:c>
      <x:c r="M463" s="4" t="str">
        <x:v>Quantities, output yield, supporting inputs and compatibility remain undefined. October 15 audit: candidate inputs / reusable prerequisites clarified. Structural coverage is not a qualified manufacturing recipe.</x:v>
      </x:c>
    </x:row>
    <x:row r="464" ht="90" customHeight="1">
      <x:c r="A464" s="4"/>
      <x:c r="B464" s="4"/>
      <x:c r="C464" s="4"/>
      <x:c r="D464" s="4"/>
      <x:c r="E464" s="4"/>
      <x:c r="F464" s="4"/>
      <x:c r="G464" s="4"/>
      <x:c r="H464" s="4"/>
      <x:c r="I464" s="4"/>
      <x:c r="J464" s="4"/>
      <x:c r="K464" s="4"/>
      <x:c r="L464" s="4"/>
      <x:c r="M464" s="4"/>
    </x:row>
    <x:row r="465" ht="90" customHeight="1">
      <x:c r="A465" s="4"/>
      <x:c r="B465" s="4"/>
      <x:c r="C465" s="4"/>
      <x:c r="D465" s="4"/>
      <x:c r="E465" s="4"/>
      <x:c r="F465" s="4"/>
      <x:c r="G465" s="4"/>
      <x:c r="H465" s="4"/>
      <x:c r="I465" s="4"/>
      <x:c r="J465" s="4"/>
      <x:c r="K465" s="4"/>
      <x:c r="L465" s="4"/>
      <x:c r="M465" s="4"/>
    </x:row>
    <x:row r="466" ht="90" customHeight="1">
      <x:c r="A466" s="4" t="str">
        <x:v>design.collection.shell_spine_scatter_mat</x:v>
      </x:c>
      <x:c r="B466" s="4" t="str">
        <x:v>Shell-spine scatter mat candidate preparation</x:v>
      </x:c>
      <x:c r="C466" s="4" t="str">
        <x:v>Finished-item crafting</x:v>
      </x:c>
      <x:c r="D466" s="4" t="str">
        <x:v>Proposal</x:v>
      </x:c>
      <x:c r="E466" s="4" t="str">
        <x:v>Partial proposal</x:v>
      </x:c>
      <x:c r="F466" s="4" t="str">
        <x:v>Loose hard spines retained on a small prepared carrier</x:v>
      </x:c>
      <x:c r="G466" s="4" t="str">
        <x:v>Husk-sheet cutting shears, pressure fixtures and dedicated preparation surfaces. Very low hide/fur yield; no ordinary cloth or plant inputs.</x:v>
      </x:c>
      <x:c r="H466" s="4" t="str">
        <x:f>IF(I466=0,"Unassigned",IF(SUMIFS('Material routes'!$Q$6:$Q$2205,'Material routes'!$B$6:$B$2205,A466)&gt;0,"Unassigned","T"&amp;_xlfn.MAXIFS('Material routes'!$P$6:$P$2205,'Material routes'!$B$6:$B$2205,A466)))</x:f>
        <x:v>T2</x:v>
      </x:c>
      <x:c r="I466" s="4" t="n">
        <x:f>SUM(COUNTIFS('Material routes'!$B$6:$B$2205,A466,'Material routes'!$C$6:$C$2205,"Ingredient candidate"),COUNTIFS('Material routes'!$B$6:$B$2205,A466,'Material routes'!$C$6:$C$2205,"Consumed input"),COUNTIFS('Material routes'!$B$6:$B$2205,A466,'Material routes'!$C$6:$C$2205,"Contained input"),COUNTIFS('Material routes'!$B$6:$B$2205,A466,'Material routes'!$C$6:$C$2205,"Transform input"))</x:f>
        <x:v>2</x:v>
      </x:c>
      <x:c r="J466" s="4" t="n">
        <x:f>COUNTIFS('Material routes'!$B$6:$B$2205,A466,'Material routes'!$C$6:$C$2205,"Output")</x:f>
        <x:v>1</x:v>
      </x:c>
      <x:c r="K466" s="4" t="n">
        <x:f>COUNTIFS('Material routes'!$B$6:$B$2205,A466,'Material routes'!$C$6:$C$2205,"Tool candidate")</x:f>
        <x:v>0</x:v>
      </x:c>
      <x:c r="L466" s="4" t="str">
        <x:v>New item proposal, October 15, 2026. Setting reference (source proposal): https://github.com/sleepyseamonster/Arc-Dust/blob/f6f98515c005dc3c73cccd9cbc031691745740c6/02-Arc-Dust-Worldbuilding/world/materials/industrial-material-palette.md</x:v>
      </x:c>
      <x:c r="M466" s="4" t="str">
        <x:v>Quantities, output yield, supporting inputs and compatibility remain undefined.</x:v>
      </x:c>
    </x:row>
    <x:row r="467" ht="90" customHeight="1">
      <x:c r="A467" s="4" t="str">
        <x:v>design.collection.collapsible_wheel_chock</x:v>
      </x:c>
      <x:c r="B467" s="4" t="str">
        <x:v>Collapsible wheel chock candidate preparation</x:v>
      </x:c>
      <x:c r="C467" s="4" t="str">
        <x:v>Finished-item crafting</x:v>
      </x:c>
      <x:c r="D467" s="4" t="str">
        <x:v>Proposal</x:v>
      </x:c>
      <x:c r="E467" s="4" t="str">
        <x:v>Partial proposal</x:v>
      </x:c>
      <x:c r="F467" s="4" t="str">
        <x:v>Blocks a suitable wheel or rolling load</x:v>
      </x:c>
      <x:c r="G467" s="4" t="str">
        <x:v>Forge hearth, Anvil, Forging hammer, Smithing tongs, Metalworking file and Hand-cranked metal drill as applicable. Existing workshop bootstrap and controlled heating/cooling required; no free-water quench assumed.</x:v>
      </x:c>
      <x:c r="H467" s="4" t="str">
        <x:f>IF(I467=0,"Unassigned",IF(SUMIFS('Material routes'!$Q$6:$Q$2205,'Material routes'!$B$6:$B$2205,A467)&gt;0,"Unassigned","T"&amp;_xlfn.MAXIFS('Material routes'!$P$6:$P$2205,'Material routes'!$B$6:$B$2205,A467)))</x:f>
        <x:v>T3</x:v>
      </x:c>
      <x:c r="I467" s="4" t="n">
        <x:f>SUM(COUNTIFS('Material routes'!$B$6:$B$2205,A467,'Material routes'!$C$6:$C$2205,"Ingredient candidate"),COUNTIFS('Material routes'!$B$6:$B$2205,A467,'Material routes'!$C$6:$C$2205,"Consumed input"),COUNTIFS('Material routes'!$B$6:$B$2205,A467,'Material routes'!$C$6:$C$2205,"Contained input"),COUNTIFS('Material routes'!$B$6:$B$2205,A467,'Material routes'!$C$6:$C$2205,"Transform input"))</x:f>
        <x:v>2</x:v>
      </x:c>
      <x:c r="J467" s="4" t="n">
        <x:f>COUNTIFS('Material routes'!$B$6:$B$2205,A467,'Material routes'!$C$6:$C$2205,"Output")</x:f>
        <x:v>1</x:v>
      </x:c>
      <x:c r="K467" s="4" t="n">
        <x:f>COUNTIFS('Material routes'!$B$6:$B$2205,A467,'Material routes'!$C$6:$C$2205,"Tool candidate")</x:f>
        <x:v>0</x:v>
      </x:c>
      <x:c r="L467" s="4" t="str">
        <x:v>New item proposal, October 15, 2026. Setting reference (source proposal): https://github.com/sleepyseamonster/Arc-Dust/blob/f6f98515c005dc3c73cccd9cbc031691745740c6/02-Arc-Dust-Worldbuilding/world/materials/industrial-material-palette.md</x:v>
      </x:c>
      <x:c r="M467" s="4" t="str">
        <x:v>Quantities, output yield, supporting inputs and compatibility remain undefined.</x:v>
      </x:c>
    </x:row>
    <x:row r="468" ht="90" customHeight="1">
      <x:c r="A468" s="4" t="str">
        <x:v>design.collection.cable_snag_hoop</x:v>
      </x:c>
      <x:c r="B468" s="4" t="str">
        <x:v>Cable snag hoop candidate preparation</x:v>
      </x:c>
      <x:c r="C468" s="4" t="str">
        <x:v>Finished-item crafting</x:v>
      </x:c>
      <x:c r="D468" s="4" t="str">
        <x:v>Proposal</x:v>
      </x:c>
      <x:c r="E468" s="4" t="str">
        <x:v>Partial proposal</x:v>
      </x:c>
      <x:c r="F468" s="4" t="str">
        <x:v>Metal loop intended to foul moving equipment</x:v>
      </x:c>
      <x:c r="G468" s="4" t="str">
        <x:v>Forge hearth, Anvil, Forging hammer, Smithing tongs, Metalworking file and Hand-cranked metal drill as applicable. Existing workshop bootstrap and controlled heating/cooling required; no free-water quench assumed.</x:v>
      </x:c>
      <x:c r="H468" s="4" t="str">
        <x:f>IF(I468=0,"Unassigned",IF(SUMIFS('Material routes'!$Q$6:$Q$2205,'Material routes'!$B$6:$B$2205,A468)&gt;0,"Unassigned","T"&amp;_xlfn.MAXIFS('Material routes'!$P$6:$P$2205,'Material routes'!$B$6:$B$2205,A468)))</x:f>
        <x:v>T2</x:v>
      </x:c>
      <x:c r="I468" s="4" t="n">
        <x:f>SUM(COUNTIFS('Material routes'!$B$6:$B$2205,A468,'Material routes'!$C$6:$C$2205,"Ingredient candidate"),COUNTIFS('Material routes'!$B$6:$B$2205,A468,'Material routes'!$C$6:$C$2205,"Consumed input"),COUNTIFS('Material routes'!$B$6:$B$2205,A468,'Material routes'!$C$6:$C$2205,"Contained input"),COUNTIFS('Material routes'!$B$6:$B$2205,A468,'Material routes'!$C$6:$C$2205,"Transform input"))</x:f>
        <x:v>2</x:v>
      </x:c>
      <x:c r="J468" s="4" t="n">
        <x:f>COUNTIFS('Material routes'!$B$6:$B$2205,A468,'Material routes'!$C$6:$C$2205,"Output")</x:f>
        <x:v>1</x:v>
      </x:c>
      <x:c r="K468" s="4" t="n">
        <x:f>COUNTIFS('Material routes'!$B$6:$B$2205,A468,'Material routes'!$C$6:$C$2205,"Tool candidate")</x:f>
        <x:v>0</x:v>
      </x:c>
      <x:c r="L468" s="4" t="str">
        <x:v>New item proposal, October 15, 2026. Setting reference (source proposal): https://github.com/sleepyseamonster/Arc-Dust/blob/f6f98515c005dc3c73cccd9cbc031691745740c6/02-Arc-Dust-Worldbuilding/world/materials/industrial-material-palette.md</x:v>
      </x:c>
      <x:c r="M468" s="4" t="str">
        <x:v>Quantities, output yield, supporting inputs and compatibility remain undefined.</x:v>
      </x:c>
    </x:row>
    <x:row r="469" ht="90" customHeight="1">
      <x:c r="A469" s="4"/>
      <x:c r="B469" s="4"/>
      <x:c r="C469" s="4"/>
      <x:c r="D469" s="4"/>
      <x:c r="E469" s="4"/>
      <x:c r="F469" s="4"/>
      <x:c r="G469" s="4"/>
      <x:c r="H469" s="4"/>
      <x:c r="I469" s="4"/>
      <x:c r="J469" s="4"/>
      <x:c r="K469" s="4"/>
      <x:c r="L469" s="4"/>
      <x:c r="M469" s="4"/>
    </x:row>
    <x:row r="470" ht="90" customHeight="1">
      <x:c r="A470" s="4"/>
      <x:c r="B470" s="4"/>
      <x:c r="C470" s="4"/>
      <x:c r="D470" s="4"/>
      <x:c r="E470" s="4"/>
      <x:c r="F470" s="4"/>
      <x:c r="G470" s="4"/>
      <x:c r="H470" s="4"/>
      <x:c r="I470" s="4"/>
      <x:c r="J470" s="4"/>
      <x:c r="K470" s="4"/>
      <x:c r="L470" s="4"/>
      <x:c r="M470" s="4"/>
    </x:row>
    <x:row r="471" ht="90" customHeight="1">
      <x:c r="A471" s="4"/>
      <x:c r="B471" s="4"/>
      <x:c r="C471" s="4"/>
      <x:c r="D471" s="4"/>
      <x:c r="E471" s="4"/>
      <x:c r="F471" s="4"/>
      <x:c r="G471" s="4"/>
      <x:c r="H471" s="4"/>
      <x:c r="I471" s="4"/>
      <x:c r="J471" s="4"/>
      <x:c r="K471" s="4"/>
      <x:c r="L471" s="4"/>
      <x:c r="M471" s="4"/>
    </x:row>
    <x:row r="472" ht="90" customHeight="1">
      <x:c r="A472" s="4" t="str">
        <x:v>design.collection.pressure_plate_shell_clacker</x:v>
      </x:c>
      <x:c r="B472" s="4" t="str">
        <x:v>Pressure-plate shell clacker candidate preparation</x:v>
      </x:c>
      <x:c r="C472" s="4" t="str">
        <x:v>Finished-item crafting</x:v>
      </x:c>
      <x:c r="D472" s="4" t="str">
        <x:v>Proposal</x:v>
      </x:c>
      <x:c r="E472" s="4" t="str">
        <x:v>Partial proposal</x:v>
      </x:c>
      <x:c r="F472" s="4" t="str">
        <x:v>Foot contact produces a loud mechanical signal</x:v>
      </x:c>
      <x:c r="G472" s="4" t="str">
        <x:v>Forge hearth, Anvil, Forging hammer, Smithing tongs, Metalworking file and Hand-cranked metal drill as applicable. Existing workshop bootstrap and controlled heating/cooling required; no free-water quench assumed.</x:v>
      </x:c>
      <x:c r="H472" s="4" t="str">
        <x:f>IF(I472=0,"Unassigned",IF(SUMIFS('Material routes'!$Q$6:$Q$2205,'Material routes'!$B$6:$B$2205,A472)&gt;0,"Unassigned","T"&amp;_xlfn.MAXIFS('Material routes'!$P$6:$P$2205,'Material routes'!$B$6:$B$2205,A472)))</x:f>
        <x:v>Unassigned</x:v>
      </x:c>
      <x:c r="I472" s="4" t="n">
        <x:f>SUM(COUNTIFS('Material routes'!$B$6:$B$2205,A472,'Material routes'!$C$6:$C$2205,"Ingredient candidate"),COUNTIFS('Material routes'!$B$6:$B$2205,A472,'Material routes'!$C$6:$C$2205,"Consumed input"),COUNTIFS('Material routes'!$B$6:$B$2205,A472,'Material routes'!$C$6:$C$2205,"Contained input"),COUNTIFS('Material routes'!$B$6:$B$2205,A472,'Material routes'!$C$6:$C$2205,"Transform input"))</x:f>
        <x:v>2</x:v>
      </x:c>
      <x:c r="J472" s="4" t="n">
        <x:f>COUNTIFS('Material routes'!$B$6:$B$2205,A472,'Material routes'!$C$6:$C$2205,"Output")</x:f>
        <x:v>1</x:v>
      </x:c>
      <x:c r="K472" s="4" t="n">
        <x:f>COUNTIFS('Material routes'!$B$6:$B$2205,A472,'Material routes'!$C$6:$C$2205,"Tool candidate")</x:f>
        <x:v>0</x:v>
      </x:c>
      <x:c r="L472" s="4" t="str">
        <x:v>New item proposal, October 15, 2026. Setting reference (source proposal): https://github.com/sleepyseamonster/Arc-Dust/blob/f6f98515c005dc3c73cccd9cbc031691745740c6/02-Arc-Dust-Worldbuilding/world/materials/industrial-material-palette.md</x:v>
      </x:c>
      <x:c r="M472" s="4" t="str">
        <x:v>Quantities, output yield, supporting inputs and compatibility remain undefined.</x:v>
      </x:c>
    </x:row>
    <x:row r="473" ht="90" customHeight="1">
      <x:c r="A473" s="4"/>
      <x:c r="B473" s="4"/>
      <x:c r="C473" s="4"/>
      <x:c r="D473" s="4"/>
      <x:c r="E473" s="4"/>
      <x:c r="F473" s="4"/>
      <x:c r="G473" s="4"/>
      <x:c r="H473" s="4"/>
      <x:c r="I473" s="4"/>
      <x:c r="J473" s="4"/>
      <x:c r="K473" s="4"/>
      <x:c r="L473" s="4"/>
      <x:c r="M473" s="4"/>
    </x:row>
    <x:row r="474" ht="90" customHeight="1">
      <x:c r="A474" s="4" t="str">
        <x:v>design.collection.fauna_scent_lure_station</x:v>
      </x:c>
      <x:c r="B474" s="4" t="str">
        <x:v>Fauna scent lure station candidate preparation</x:v>
      </x:c>
      <x:c r="C474" s="4" t="str">
        <x:v>Finished-item crafting</x:v>
      </x:c>
      <x:c r="D474" s="4" t="str">
        <x:v>Proposal</x:v>
      </x:c>
      <x:c r="E474" s="4" t="str">
        <x:v>Partial proposal</x:v>
      </x:c>
      <x:c r="F474" s="4" t="str">
        <x:v>Holds a sealed scent carrier for a designed target species</x:v>
      </x:c>
      <x:c r="G474" s="4" t="str">
        <x:v>Forge hearth, Anvil, Forging hammer, Smithing tongs, Metalworking file and Hand-cranked metal drill as applicable. Existing workshop bootstrap and controlled heating/cooling required; no free-water quench assumed.</x:v>
      </x:c>
      <x:c r="H474" s="4" t="str">
        <x:f>IF(I474=0,"Unassigned",IF(SUMIFS('Material routes'!$Q$6:$Q$2205,'Material routes'!$B$6:$B$2205,A474)&gt;0,"Unassigned","T"&amp;_xlfn.MAXIFS('Material routes'!$P$6:$P$2205,'Material routes'!$B$6:$B$2205,A474)))</x:f>
        <x:v>Unassigned</x:v>
      </x:c>
      <x:c r="I474" s="4" t="n">
        <x:f>SUM(COUNTIFS('Material routes'!$B$6:$B$2205,A474,'Material routes'!$C$6:$C$2205,"Ingredient candidate"),COUNTIFS('Material routes'!$B$6:$B$2205,A474,'Material routes'!$C$6:$C$2205,"Consumed input"),COUNTIFS('Material routes'!$B$6:$B$2205,A474,'Material routes'!$C$6:$C$2205,"Contained input"),COUNTIFS('Material routes'!$B$6:$B$2205,A474,'Material routes'!$C$6:$C$2205,"Transform input"))</x:f>
        <x:v>2</x:v>
      </x:c>
      <x:c r="J474" s="4" t="n">
        <x:f>COUNTIFS('Material routes'!$B$6:$B$2205,A474,'Material routes'!$C$6:$C$2205,"Output")</x:f>
        <x:v>1</x:v>
      </x:c>
      <x:c r="K474" s="4" t="n">
        <x:f>COUNTIFS('Material routes'!$B$6:$B$2205,A474,'Material routes'!$C$6:$C$2205,"Tool candidate")</x:f>
        <x:v>0</x:v>
      </x:c>
      <x:c r="L474" s="4" t="str">
        <x:v>New item proposal, October 15, 2026. Setting reference (source proposal): https://github.com/sleepyseamonster/Arc-Dust/blob/f6f98515c005dc3c73cccd9cbc031691745740c6/02-Arc-Dust-Worldbuilding/world/materials/industrial-material-palette.md</x:v>
      </x:c>
      <x:c r="M474" s="4" t="str">
        <x:v>Quantities, output yield, supporting inputs and compatibility remain undefined.</x:v>
      </x:c>
    </x:row>
    <x:row r="475" ht="90" customHeight="1">
      <x:c r="A475" s="4" t="str">
        <x:v>design.collection.magnetic_salvage_catch_plate</x:v>
      </x:c>
      <x:c r="B475" s="4" t="str">
        <x:v>Magnetic salvage catch plate candidate preparation</x:v>
      </x:c>
      <x:c r="C475" s="4" t="str">
        <x:v>Finished-item crafting</x:v>
      </x:c>
      <x:c r="D475" s="4" t="str">
        <x:v>Proposal</x:v>
      </x:c>
      <x:c r="E475" s="4" t="str">
        <x:v>Partial proposal</x:v>
      </x:c>
      <x:c r="F475" s="4" t="str">
        <x:v>Catches compatible loose ferrous machine pieces</x:v>
      </x:c>
      <x:c r="G475" s="4" t="str">
        <x:v>Forge hearth, Anvil, Forging hammer, Smithing tongs, Metalworking file and Hand-cranked metal drill as applicable. Existing workshop bootstrap and controlled heating/cooling required; no free-water quench assumed.</x:v>
      </x:c>
      <x:c r="H475" s="4" t="str">
        <x:f>IF(I475=0,"Unassigned",IF(SUMIFS('Material routes'!$Q$6:$Q$2205,'Material routes'!$B$6:$B$2205,A475)&gt;0,"Unassigned","T"&amp;_xlfn.MAXIFS('Material routes'!$P$6:$P$2205,'Material routes'!$B$6:$B$2205,A475)))</x:f>
        <x:v>Unassigned</x:v>
      </x:c>
      <x:c r="I475" s="4" t="n">
        <x:f>SUM(COUNTIFS('Material routes'!$B$6:$B$2205,A475,'Material routes'!$C$6:$C$2205,"Ingredient candidate"),COUNTIFS('Material routes'!$B$6:$B$2205,A475,'Material routes'!$C$6:$C$2205,"Consumed input"),COUNTIFS('Material routes'!$B$6:$B$2205,A475,'Material routes'!$C$6:$C$2205,"Contained input"),COUNTIFS('Material routes'!$B$6:$B$2205,A475,'Material routes'!$C$6:$C$2205,"Transform input"))</x:f>
        <x:v>2</x:v>
      </x:c>
      <x:c r="J475" s="4" t="n">
        <x:f>COUNTIFS('Material routes'!$B$6:$B$2205,A475,'Material routes'!$C$6:$C$2205,"Output")</x:f>
        <x:v>1</x:v>
      </x:c>
      <x:c r="K475" s="4" t="n">
        <x:f>COUNTIFS('Material routes'!$B$6:$B$2205,A475,'Material routes'!$C$6:$C$2205,"Tool candidate")</x:f>
        <x:v>0</x:v>
      </x:c>
      <x:c r="L475" s="4" t="str">
        <x:v>New item proposal, October 15, 2026. Setting reference (source proposal): https://github.com/sleepyseamonster/Arc-Dust/blob/f6f98515c005dc3c73cccd9cbc031691745740c6/02-Arc-Dust-Worldbuilding/world/materials/industrial-material-palette.md</x:v>
      </x:c>
      <x:c r="M475" s="4" t="str">
        <x:v>Quantities, output yield, supporting inputs and compatibility remain undefined.</x:v>
      </x:c>
    </x:row>
    <x:row r="476" ht="90" customHeight="1">
      <x:c r="A476" s="4" t="str">
        <x:v>design.collection.dirtboard_lane_snag_bar</x:v>
      </x:c>
      <x:c r="B476" s="4" t="str">
        <x:v>Dirtboard lane snag bar candidate preparation</x:v>
      </x:c>
      <x:c r="C476" s="4" t="str">
        <x:v>Finished-item crafting</x:v>
      </x:c>
      <x:c r="D476" s="4" t="str">
        <x:v>Proposal</x:v>
      </x:c>
      <x:c r="E476" s="4" t="str">
        <x:v>Partial proposal</x:v>
      </x:c>
      <x:c r="F476" s="4" t="str">
        <x:v>Prepared low obstacle for a designed traversal encounter</x:v>
      </x:c>
      <x:c r="G476" s="4" t="str">
        <x:v>Forge hearth, Anvil, Forging hammer, Smithing tongs, Metalworking file and Hand-cranked metal drill as applicable. Existing workshop bootstrap and controlled heating/cooling required; no free-water quench assumed.</x:v>
      </x:c>
      <x:c r="H476" s="4" t="str">
        <x:f>IF(I476=0,"Unassigned",IF(SUMIFS('Material routes'!$Q$6:$Q$2205,'Material routes'!$B$6:$B$2205,A476)&gt;0,"Unassigned","T"&amp;_xlfn.MAXIFS('Material routes'!$P$6:$P$2205,'Material routes'!$B$6:$B$2205,A476)))</x:f>
        <x:v>T2</x:v>
      </x:c>
      <x:c r="I476" s="4" t="n">
        <x:f>SUM(COUNTIFS('Material routes'!$B$6:$B$2205,A476,'Material routes'!$C$6:$C$2205,"Ingredient candidate"),COUNTIFS('Material routes'!$B$6:$B$2205,A476,'Material routes'!$C$6:$C$2205,"Consumed input"),COUNTIFS('Material routes'!$B$6:$B$2205,A476,'Material routes'!$C$6:$C$2205,"Contained input"),COUNTIFS('Material routes'!$B$6:$B$2205,A476,'Material routes'!$C$6:$C$2205,"Transform input"))</x:f>
        <x:v>1</x:v>
      </x:c>
      <x:c r="J476" s="4" t="n">
        <x:f>COUNTIFS('Material routes'!$B$6:$B$2205,A476,'Material routes'!$C$6:$C$2205,"Output")</x:f>
        <x:v>1</x:v>
      </x:c>
      <x:c r="K476" s="4" t="n">
        <x:f>COUNTIFS('Material routes'!$B$6:$B$2205,A476,'Material routes'!$C$6:$C$2205,"Tool candidate")</x:f>
        <x:v>0</x:v>
      </x:c>
      <x:c r="L476" s="4" t="str">
        <x:v>New item proposal, October 15, 2026. Setting reference (source proposal): https://github.com/sleepyseamonster/Arc-Dust/blob/f6f98515c005dc3c73cccd9cbc031691745740c6/02-Arc-Dust-Worldbuilding/world/materials/industrial-material-palette.md</x:v>
      </x:c>
      <x:c r="M476" s="4" t="str">
        <x:v>Quantities, output yield, supporting inputs and compatibility remain undefined.</x:v>
      </x:c>
    </x:row>
    <x:row r="477" ht="90" customHeight="1">
      <x:c r="A477" s="4"/>
      <x:c r="B477" s="4"/>
      <x:c r="C477" s="4"/>
      <x:c r="D477" s="4"/>
      <x:c r="E477" s="4"/>
      <x:c r="F477" s="4"/>
      <x:c r="G477" s="4"/>
      <x:c r="H477" s="4"/>
      <x:c r="I477" s="4"/>
      <x:c r="J477" s="4"/>
      <x:c r="K477" s="4"/>
      <x:c r="L477" s="4"/>
      <x:c r="M477" s="4"/>
    </x:row>
    <x:row r="478" ht="90" customHeight="1">
      <x:c r="A478" s="4" t="str">
        <x:v>design.collection.static_alarm_contact_line</x:v>
      </x:c>
      <x:c r="B478" s="4" t="str">
        <x:v>Static alarm contact line candidate preparation</x:v>
      </x:c>
      <x:c r="C478" s="4" t="str">
        <x:v>Finished-item crafting</x:v>
      </x:c>
      <x:c r="D478" s="4" t="str">
        <x:v>Proposal</x:v>
      </x:c>
      <x:c r="E478" s="4" t="str">
        <x:v>Partial proposal</x:v>
      </x:c>
      <x:c r="F478" s="4" t="str">
        <x:v>Contact-triggered warning concept, no electrical attack claim</x:v>
      </x:c>
      <x:c r="G478" s="4" t="str">
        <x:v>Forge hearth, Anvil, Forging hammer, Smithing tongs, Metalworking file and Hand-cranked metal drill as applicable. Existing workshop bootstrap and controlled heating/cooling required; no free-water quench assumed.</x:v>
      </x:c>
      <x:c r="H478" s="4" t="str">
        <x:f>IF(I478=0,"Unassigned",IF(SUMIFS('Material routes'!$Q$6:$Q$2205,'Material routes'!$B$6:$B$2205,A478)&gt;0,"Unassigned","T"&amp;_xlfn.MAXIFS('Material routes'!$P$6:$P$2205,'Material routes'!$B$6:$B$2205,A478)))</x:f>
        <x:v>Unassigned</x:v>
      </x:c>
      <x:c r="I478" s="4" t="n">
        <x:f>SUM(COUNTIFS('Material routes'!$B$6:$B$2205,A478,'Material routes'!$C$6:$C$2205,"Ingredient candidate"),COUNTIFS('Material routes'!$B$6:$B$2205,A478,'Material routes'!$C$6:$C$2205,"Consumed input"),COUNTIFS('Material routes'!$B$6:$B$2205,A478,'Material routes'!$C$6:$C$2205,"Contained input"),COUNTIFS('Material routes'!$B$6:$B$2205,A478,'Material routes'!$C$6:$C$2205,"Transform input"))</x:f>
        <x:v>5</x:v>
      </x:c>
      <x:c r="J478" s="4" t="n">
        <x:f>COUNTIFS('Material routes'!$B$6:$B$2205,A478,'Material routes'!$C$6:$C$2205,"Output")</x:f>
        <x:v>1</x:v>
      </x:c>
      <x:c r="K478" s="4" t="n">
        <x:f>COUNTIFS('Material routes'!$B$6:$B$2205,A478,'Material routes'!$C$6:$C$2205,"Tool candidate")</x:f>
        <x:v>0</x:v>
      </x:c>
      <x:c r="L478" s="4" t="str">
        <x:v>New item proposal, October 15, 2026. Setting reference (source proposal): https://github.com/sleepyseamonster/Arc-Dust/blob/f6f98515c005dc3c73cccd9cbc031691745740c6/02-Arc-Dust-Worldbuilding/world/materials/industrial-material-palette.md</x:v>
      </x:c>
      <x:c r="M478" s="4" t="str">
        <x:v>Quantities, output yield, supporting inputs and compatibility remain undefined. October 15 audit: candidate inputs / reusable prerequisites clarified. Structural coverage is not a qualified manufacturing recipe.</x:v>
      </x:c>
    </x:row>
    <x:row r="479" ht="90" customHeight="1">
      <x:c r="A479" s="4" t="str">
        <x:v>design.collection.shaped_stone_sling_pellet</x:v>
      </x:c>
      <x:c r="B479" s="4" t="str">
        <x:v>Shaped stone sling pellet candidate preparation</x:v>
      </x:c>
      <x:c r="C479" s="4" t="str">
        <x:v>Finished-item crafting</x:v>
      </x:c>
      <x:c r="D479" s="4" t="str">
        <x:v>Proposal</x:v>
      </x:c>
      <x:c r="E479" s="4" t="str">
        <x:v>Partial proposal</x:v>
      </x:c>
      <x:c r="F479" s="4" t="str">
        <x:v>Reusable candidate projectile for a tendon sling</x:v>
      </x:c>
      <x:c r="G479" s="4" t="str">
        <x:v>Ceramic grinding mortar, Ceramic pestle, Ceramic abrasive disc and stone-cutting fixtures as applicable; grade selection and finishing qualification required.</x:v>
      </x:c>
      <x:c r="H479" s="4" t="str">
        <x:f>IF(I479=0,"Unassigned",IF(SUMIFS('Material routes'!$Q$6:$Q$2205,'Material routes'!$B$6:$B$2205,A479)&gt;0,"Unassigned","T"&amp;_xlfn.MAXIFS('Material routes'!$P$6:$P$2205,'Material routes'!$B$6:$B$2205,A479)))</x:f>
        <x:v>T1</x:v>
      </x:c>
      <x:c r="I479" s="4" t="n">
        <x:f>SUM(COUNTIFS('Material routes'!$B$6:$B$2205,A479,'Material routes'!$C$6:$C$2205,"Ingredient candidate"),COUNTIFS('Material routes'!$B$6:$B$2205,A479,'Material routes'!$C$6:$C$2205,"Consumed input"),COUNTIFS('Material routes'!$B$6:$B$2205,A479,'Material routes'!$C$6:$C$2205,"Contained input"),COUNTIFS('Material routes'!$B$6:$B$2205,A479,'Material routes'!$C$6:$C$2205,"Transform input"))</x:f>
        <x:v>1</x:v>
      </x:c>
      <x:c r="J479" s="4" t="n">
        <x:f>COUNTIFS('Material routes'!$B$6:$B$2205,A479,'Material routes'!$C$6:$C$2205,"Output")</x:f>
        <x:v>1</x:v>
      </x:c>
      <x:c r="K479" s="4" t="n">
        <x:f>COUNTIFS('Material routes'!$B$6:$B$2205,A479,'Material routes'!$C$6:$C$2205,"Tool candidate")</x:f>
        <x:v>0</x:v>
      </x:c>
      <x:c r="L479" s="4" t="str">
        <x:v>New item proposal, October 15, 2026. Setting reference (source proposal): https://github.com/sleepyseamonster/Arc-Dust/blob/f6f98515c005dc3c73cccd9cbc031691745740c6/02-Arc-Dust-Worldbuilding/world/materials/industrial-material-palette.md</x:v>
      </x:c>
      <x:c r="M479" s="4" t="str">
        <x:v>Quantities, output yield, supporting inputs and compatibility remain undefined.</x:v>
      </x:c>
    </x:row>
    <x:row r="480" ht="90" customHeight="1">
      <x:c r="A480" s="4" t="str">
        <x:v>design.collection.steel_broadhead_bolt</x:v>
      </x:c>
      <x:c r="B480" s="4" t="str">
        <x:v>Steel broadhead bolt candidate preparation</x:v>
      </x:c>
      <x:c r="C480" s="4" t="str">
        <x:v>Finished-item crafting</x:v>
      </x:c>
      <x:c r="D480" s="4" t="str">
        <x:v>Proposal</x:v>
      </x:c>
      <x:c r="E480" s="4" t="str">
        <x:v>Partial proposal</x:v>
      </x:c>
      <x:c r="F480" s="4" t="str">
        <x:v>Recoverable crossbow projectile with metal shaft</x:v>
      </x:c>
      <x:c r="G480" s="4" t="str">
        <x:v>Forge hearth, Anvil, Forging hammer, Smithing tongs, Metalworking file and Hand-cranked metal drill as applicable. Existing workshop bootstrap and controlled heating/cooling required; no free-water quench assumed.</x:v>
      </x:c>
      <x:c r="H480" s="4" t="str">
        <x:f>IF(I480=0,"Unassigned",IF(SUMIFS('Material routes'!$Q$6:$Q$2205,'Material routes'!$B$6:$B$2205,A480)&gt;0,"Unassigned","T"&amp;_xlfn.MAXIFS('Material routes'!$P$6:$P$2205,'Material routes'!$B$6:$B$2205,A480)))</x:f>
        <x:v>T2</x:v>
      </x:c>
      <x:c r="I480" s="4" t="n">
        <x:f>SUM(COUNTIFS('Material routes'!$B$6:$B$2205,A480,'Material routes'!$C$6:$C$2205,"Ingredient candidate"),COUNTIFS('Material routes'!$B$6:$B$2205,A480,'Material routes'!$C$6:$C$2205,"Consumed input"),COUNTIFS('Material routes'!$B$6:$B$2205,A480,'Material routes'!$C$6:$C$2205,"Contained input"),COUNTIFS('Material routes'!$B$6:$B$2205,A480,'Material routes'!$C$6:$C$2205,"Transform input"))</x:f>
        <x:v>1</x:v>
      </x:c>
      <x:c r="J480" s="4" t="n">
        <x:f>COUNTIFS('Material routes'!$B$6:$B$2205,A480,'Material routes'!$C$6:$C$2205,"Output")</x:f>
        <x:v>1</x:v>
      </x:c>
      <x:c r="K480" s="4" t="n">
        <x:f>COUNTIFS('Material routes'!$B$6:$B$2205,A480,'Material routes'!$C$6:$C$2205,"Tool candidate")</x:f>
        <x:v>0</x:v>
      </x:c>
      <x:c r="L480" s="4" t="str">
        <x:v>New item proposal, October 15, 2026. Setting reference (source proposal): https://github.com/sleepyseamonster/Arc-Dust/blob/f6f98515c005dc3c73cccd9cbc031691745740c6/02-Arc-Dust-Worldbuilding/world/materials/industrial-material-palette.md</x:v>
      </x:c>
      <x:c r="M480" s="4" t="str">
        <x:v>Quantities, output yield, supporting inputs and compatibility remain undefined.</x:v>
      </x:c>
    </x:row>
    <x:row r="481" ht="90" customHeight="1">
      <x:c r="A481" s="4" t="str">
        <x:v>design.collection.heavy_siege_bolt</x:v>
      </x:c>
      <x:c r="B481" s="4" t="str">
        <x:v>Heavy siege bolt candidate preparation</x:v>
      </x:c>
      <x:c r="C481" s="4" t="str">
        <x:v>Finished-item crafting</x:v>
      </x:c>
      <x:c r="D481" s="4" t="str">
        <x:v>Proposal</x:v>
      </x:c>
      <x:c r="E481" s="4" t="str">
        <x:v>Partial proposal</x:v>
      </x:c>
      <x:c r="F481" s="4" t="str">
        <x:v>Large projectile for a crank-wound launcher</x:v>
      </x:c>
      <x:c r="G481" s="4" t="str">
        <x:v>Forge hearth, Anvil, Forging hammer, Smithing tongs, Metalworking file and Hand-cranked metal drill as applicable. Existing workshop bootstrap and controlled heating/cooling required; no free-water quench assumed.</x:v>
      </x:c>
      <x:c r="H481" s="4" t="str">
        <x:f>IF(I481=0,"Unassigned",IF(SUMIFS('Material routes'!$Q$6:$Q$2205,'Material routes'!$B$6:$B$2205,A481)&gt;0,"Unassigned","T"&amp;_xlfn.MAXIFS('Material routes'!$P$6:$P$2205,'Material routes'!$B$6:$B$2205,A481)))</x:f>
        <x:v>T3</x:v>
      </x:c>
      <x:c r="I481" s="4" t="n">
        <x:f>SUM(COUNTIFS('Material routes'!$B$6:$B$2205,A481,'Material routes'!$C$6:$C$2205,"Ingredient candidate"),COUNTIFS('Material routes'!$B$6:$B$2205,A481,'Material routes'!$C$6:$C$2205,"Consumed input"),COUNTIFS('Material routes'!$B$6:$B$2205,A481,'Material routes'!$C$6:$C$2205,"Contained input"),COUNTIFS('Material routes'!$B$6:$B$2205,A481,'Material routes'!$C$6:$C$2205,"Transform input"))</x:f>
        <x:v>2</x:v>
      </x:c>
      <x:c r="J481" s="4" t="n">
        <x:f>COUNTIFS('Material routes'!$B$6:$B$2205,A481,'Material routes'!$C$6:$C$2205,"Output")</x:f>
        <x:v>1</x:v>
      </x:c>
      <x:c r="K481" s="4" t="n">
        <x:f>COUNTIFS('Material routes'!$B$6:$B$2205,A481,'Material routes'!$C$6:$C$2205,"Tool candidate")</x:f>
        <x:v>0</x:v>
      </x:c>
      <x:c r="L481" s="4" t="str">
        <x:v>New item proposal, October 15, 2026. Setting reference (source proposal): https://github.com/sleepyseamonster/Arc-Dust/blob/f6f98515c005dc3c73cccd9cbc031691745740c6/02-Arc-Dust-Worldbuilding/world/materials/industrial-material-palette.md</x:v>
      </x:c>
      <x:c r="M481" s="4" t="str">
        <x:v>Quantities, output yield, supporting inputs and compatibility remain undefined.</x:v>
      </x:c>
    </x:row>
    <x:row r="482" ht="90" customHeight="1">
      <x:c r="A482" s="4"/>
      <x:c r="B482" s="4"/>
      <x:c r="C482" s="4"/>
      <x:c r="D482" s="4"/>
      <x:c r="E482" s="4"/>
      <x:c r="F482" s="4"/>
      <x:c r="G482" s="4"/>
      <x:c r="H482" s="4"/>
      <x:c r="I482" s="4"/>
      <x:c r="J482" s="4"/>
      <x:c r="K482" s="4"/>
      <x:c r="L482" s="4"/>
      <x:c r="M482" s="4"/>
    </x:row>
    <x:row r="483" ht="90" customHeight="1">
      <x:c r="A483" s="4" t="str">
        <x:v>design.collection.pressure_launcher_rivet_round</x:v>
      </x:c>
      <x:c r="B483" s="4" t="str">
        <x:v>Pressure-launcher rivet round candidate preparation</x:v>
      </x:c>
      <x:c r="C483" s="4" t="str">
        <x:v>Finished-item crafting</x:v>
      </x:c>
      <x:c r="D483" s="4" t="str">
        <x:v>Proposal</x:v>
      </x:c>
      <x:c r="E483" s="4" t="str">
        <x:v>Partial proposal</x:v>
      </x:c>
      <x:c r="F483" s="4" t="str">
        <x:v>Matched non-explosive projectile for a pressure launcher</x:v>
      </x:c>
      <x:c r="G483" s="4" t="str">
        <x:v>Forge hearth, Anvil, Forging hammer, Smithing tongs, Metalworking file and Hand-cranked metal drill as applicable. Existing workshop bootstrap and controlled heating/cooling required; no free-water quench assumed.</x:v>
      </x:c>
      <x:c r="H483" s="4" t="str">
        <x:f>IF(I483=0,"Unassigned",IF(SUMIFS('Material routes'!$Q$6:$Q$2205,'Material routes'!$B$6:$B$2205,A483)&gt;0,"Unassigned","T"&amp;_xlfn.MAXIFS('Material routes'!$P$6:$P$2205,'Material routes'!$B$6:$B$2205,A483)))</x:f>
        <x:v>T2</x:v>
      </x:c>
      <x:c r="I483" s="4" t="n">
        <x:f>SUM(COUNTIFS('Material routes'!$B$6:$B$2205,A483,'Material routes'!$C$6:$C$2205,"Ingredient candidate"),COUNTIFS('Material routes'!$B$6:$B$2205,A483,'Material routes'!$C$6:$C$2205,"Consumed input"),COUNTIFS('Material routes'!$B$6:$B$2205,A483,'Material routes'!$C$6:$C$2205,"Contained input"),COUNTIFS('Material routes'!$B$6:$B$2205,A483,'Material routes'!$C$6:$C$2205,"Transform input"))</x:f>
        <x:v>1</x:v>
      </x:c>
      <x:c r="J483" s="4" t="n">
        <x:f>COUNTIFS('Material routes'!$B$6:$B$2205,A483,'Material routes'!$C$6:$C$2205,"Output")</x:f>
        <x:v>1</x:v>
      </x:c>
      <x:c r="K483" s="4" t="n">
        <x:f>COUNTIFS('Material routes'!$B$6:$B$2205,A483,'Material routes'!$C$6:$C$2205,"Tool candidate")</x:f>
        <x:v>0</x:v>
      </x:c>
      <x:c r="L483" s="4" t="str">
        <x:v>New item proposal, October 15, 2026. Setting reference (source proposal): https://github.com/sleepyseamonster/Arc-Dust/blob/f6f98515c005dc3c73cccd9cbc031691745740c6/02-Arc-Dust-Worldbuilding/world/materials/industrial-material-palette.md</x:v>
      </x:c>
      <x:c r="M483" s="4" t="str">
        <x:v>Quantities, output yield, supporting inputs and compatibility remain undefined.</x:v>
      </x:c>
    </x:row>
    <x:row r="484" ht="90" customHeight="1">
      <x:c r="A484" s="4" t="str">
        <x:v>design.collection.magnetic_projector_dart</x:v>
      </x:c>
      <x:c r="B484" s="4" t="str">
        <x:v>Magnetic projector dart candidate preparation</x:v>
      </x:c>
      <x:c r="C484" s="4" t="str">
        <x:v>Finished-item crafting</x:v>
      </x:c>
      <x:c r="D484" s="4" t="str">
        <x:v>Proposal</x:v>
      </x:c>
      <x:c r="E484" s="4" t="str">
        <x:v>Partial proposal</x:v>
      </x:c>
      <x:c r="F484" s="4" t="str">
        <x:v>Ferrous projectile with a fitted guide surface</x:v>
      </x:c>
      <x:c r="G484" s="4" t="str">
        <x:v>Forge hearth, Anvil, Forging hammer, Smithing tongs, Metalworking file and Hand-cranked metal drill as applicable. Existing workshop bootstrap and controlled heating/cooling required; no free-water quench assumed.</x:v>
      </x:c>
      <x:c r="H484" s="4" t="str">
        <x:f>IF(I484=0,"Unassigned",IF(SUMIFS('Material routes'!$Q$6:$Q$2205,'Material routes'!$B$6:$B$2205,A484)&gt;0,"Unassigned","T"&amp;_xlfn.MAXIFS('Material routes'!$P$6:$P$2205,'Material routes'!$B$6:$B$2205,A484)))</x:f>
        <x:v>T2</x:v>
      </x:c>
      <x:c r="I484" s="4" t="n">
        <x:f>SUM(COUNTIFS('Material routes'!$B$6:$B$2205,A484,'Material routes'!$C$6:$C$2205,"Ingredient candidate"),COUNTIFS('Material routes'!$B$6:$B$2205,A484,'Material routes'!$C$6:$C$2205,"Consumed input"),COUNTIFS('Material routes'!$B$6:$B$2205,A484,'Material routes'!$C$6:$C$2205,"Contained input"),COUNTIFS('Material routes'!$B$6:$B$2205,A484,'Material routes'!$C$6:$C$2205,"Transform input"))</x:f>
        <x:v>1</x:v>
      </x:c>
      <x:c r="J484" s="4" t="n">
        <x:f>COUNTIFS('Material routes'!$B$6:$B$2205,A484,'Material routes'!$C$6:$C$2205,"Output")</x:f>
        <x:v>1</x:v>
      </x:c>
      <x:c r="K484" s="4" t="n">
        <x:f>COUNTIFS('Material routes'!$B$6:$B$2205,A484,'Material routes'!$C$6:$C$2205,"Tool candidate")</x:f>
        <x:v>0</x:v>
      </x:c>
      <x:c r="L484" s="4" t="str">
        <x:v>New item proposal, October 15, 2026. Setting reference (source proposal): https://github.com/sleepyseamonster/Arc-Dust/blob/f6f98515c005dc3c73cccd9cbc031691745740c6/02-Arc-Dust-Worldbuilding/world/materials/industrial-material-palette.md</x:v>
      </x:c>
      <x:c r="M484" s="4" t="str">
        <x:v>Quantities, output yield, supporting inputs and compatibility remain undefined.</x:v>
      </x:c>
    </x:row>
    <x:row r="485" ht="90" customHeight="1">
      <x:c r="A485" s="4" t="str">
        <x:v>design.collection.coil_carbine_slug</x:v>
      </x:c>
      <x:c r="B485" s="4" t="str">
        <x:v>Coil-carbine slug candidate preparation</x:v>
      </x:c>
      <x:c r="C485" s="4" t="str">
        <x:v>Finished-item crafting</x:v>
      </x:c>
      <x:c r="D485" s="4" t="str">
        <x:v>Proposal</x:v>
      </x:c>
      <x:c r="E485" s="4" t="str">
        <x:v>Partial proposal</x:v>
      </x:c>
      <x:c r="F485" s="4" t="str">
        <x:v>Matched ferrous projectile for a coil weapon</x:v>
      </x:c>
      <x:c r="G485" s="4" t="str">
        <x:v>Forge hearth, Anvil, Forging hammer, Smithing tongs, Metalworking file and Hand-cranked metal drill as applicable. Existing workshop bootstrap and controlled heating/cooling required; no free-water quench assumed.</x:v>
      </x:c>
      <x:c r="H485" s="4" t="str">
        <x:f>IF(I485=0,"Unassigned",IF(SUMIFS('Material routes'!$Q$6:$Q$2205,'Material routes'!$B$6:$B$2205,A485)&gt;0,"Unassigned","T"&amp;_xlfn.MAXIFS('Material routes'!$P$6:$P$2205,'Material routes'!$B$6:$B$2205,A485)))</x:f>
        <x:v>T2</x:v>
      </x:c>
      <x:c r="I485" s="4" t="n">
        <x:f>SUM(COUNTIFS('Material routes'!$B$6:$B$2205,A485,'Material routes'!$C$6:$C$2205,"Ingredient candidate"),COUNTIFS('Material routes'!$B$6:$B$2205,A485,'Material routes'!$C$6:$C$2205,"Consumed input"),COUNTIFS('Material routes'!$B$6:$B$2205,A485,'Material routes'!$C$6:$C$2205,"Contained input"),COUNTIFS('Material routes'!$B$6:$B$2205,A485,'Material routes'!$C$6:$C$2205,"Transform input"))</x:f>
        <x:v>1</x:v>
      </x:c>
      <x:c r="J485" s="4" t="n">
        <x:f>COUNTIFS('Material routes'!$B$6:$B$2205,A485,'Material routes'!$C$6:$C$2205,"Output")</x:f>
        <x:v>1</x:v>
      </x:c>
      <x:c r="K485" s="4" t="n">
        <x:f>COUNTIFS('Material routes'!$B$6:$B$2205,A485,'Material routes'!$C$6:$C$2205,"Tool candidate")</x:f>
        <x:v>0</x:v>
      </x:c>
      <x:c r="L485" s="4" t="str">
        <x:v>New item proposal, October 15, 2026. Setting reference (source proposal): https://github.com/sleepyseamonster/Arc-Dust/blob/f6f98515c005dc3c73cccd9cbc031691745740c6/02-Arc-Dust-Worldbuilding/world/materials/industrial-material-palette.md</x:v>
      </x:c>
      <x:c r="M485" s="4" t="str">
        <x:v>Quantities, output yield, supporting inputs and compatibility remain undefined.</x:v>
      </x:c>
    </x:row>
    <x:row r="486" ht="90" customHeight="1">
      <x:c r="A486" s="4" t="str">
        <x:v>design.collection.arc_gun_discharge_cartridge</x:v>
      </x:c>
      <x:c r="B486" s="4" t="str">
        <x:v>Arc-gun discharge cartridge candidate preparation</x:v>
      </x:c>
      <x:c r="C486" s="4" t="str">
        <x:v>Finished-item crafting</x:v>
      </x:c>
      <x:c r="D486" s="4" t="str">
        <x:v>Proposal</x:v>
      </x:c>
      <x:c r="E486" s="4" t="str">
        <x:v>Partial proposal</x:v>
      </x:c>
      <x:c r="F486" s="4" t="str">
        <x:v>Candidate electrical pulse supply for the arc ray gun</x:v>
      </x:c>
      <x:c r="G486" s="4" t="str">
        <x:v>Forge hearth, Anvil, Forging hammer, Smithing tongs, Metalworking file and Hand-cranked metal drill as applicable. Existing workshop bootstrap and controlled heating/cooling required; no free-water quench assumed.</x:v>
      </x:c>
      <x:c r="H486" s="4" t="str">
        <x:f>IF(I486=0,"Unassigned",IF(SUMIFS('Material routes'!$Q$6:$Q$2205,'Material routes'!$B$6:$B$2205,A486)&gt;0,"Unassigned","T"&amp;_xlfn.MAXIFS('Material routes'!$P$6:$P$2205,'Material routes'!$B$6:$B$2205,A486)))</x:f>
        <x:v>Unassigned</x:v>
      </x:c>
      <x:c r="I486" s="4" t="n">
        <x:f>SUM(COUNTIFS('Material routes'!$B$6:$B$2205,A486,'Material routes'!$C$6:$C$2205,"Ingredient candidate"),COUNTIFS('Material routes'!$B$6:$B$2205,A486,'Material routes'!$C$6:$C$2205,"Consumed input"),COUNTIFS('Material routes'!$B$6:$B$2205,A486,'Material routes'!$C$6:$C$2205,"Contained input"),COUNTIFS('Material routes'!$B$6:$B$2205,A486,'Material routes'!$C$6:$C$2205,"Transform input"))</x:f>
        <x:v>1</x:v>
      </x:c>
      <x:c r="J486" s="4" t="n">
        <x:f>COUNTIFS('Material routes'!$B$6:$B$2205,A486,'Material routes'!$C$6:$C$2205,"Output")</x:f>
        <x:v>1</x:v>
      </x:c>
      <x:c r="K486" s="4" t="n">
        <x:f>COUNTIFS('Material routes'!$B$6:$B$2205,A486,'Material routes'!$C$6:$C$2205,"Tool candidate")</x:f>
        <x:v>0</x:v>
      </x:c>
      <x:c r="L486" s="4" t="str">
        <x:v>New item proposal, October 15, 2026. Setting reference (source proposal): https://github.com/sleepyseamonster/Arc-Dust/blob/f6f98515c005dc3c73cccd9cbc031691745740c6/02-Arc-Dust-Worldbuilding/world/materials/industrial-material-palette.md</x:v>
      </x:c>
      <x:c r="M486" s="4" t="str">
        <x:v>Quantities, output yield, supporting inputs and compatibility remain undefined.</x:v>
      </x:c>
    </x:row>
    <x:row r="487" ht="115" customHeight="1">
      <x:c r="A487" s="4" t="str">
        <x:v>design.audit.proposal_audit_screened_remanent_magnet_pieces</x:v>
      </x:c>
      <x:c r="B487" s="4" t="str">
        <x:v>Screened remanent magnet pieces candidate preparation</x:v>
      </x:c>
      <x:c r="C487" s="4" t="str">
        <x:v>Material refinement</x:v>
      </x:c>
      <x:c r="D487" s="4" t="str">
        <x:v>Proposal</x:v>
      </x:c>
      <x:c r="E487" s="4" t="str">
        <x:v>Partial proposal</x:v>
      </x:c>
      <x:c r="F487" s="4" t="str">
        <x:v>Candidate preparation of Screened remanent magnet pieces</x:v>
      </x:c>
      <x:c r="G487" s="4" t="str">
        <x:v>Forge hearth, Anvil, Forging hammer, Smithing tongs, Metalworking file and Hand-cranked metal drill as applicable. Existing workshop bootstrap and controlled heating/cooling required; no free-water quench assumed.</x:v>
      </x:c>
      <x:c r="H487" s="4" t="str">
        <x:f>IF(I487=0,"Unassigned",IF(SUMIFS('Material routes'!$Q$6:$Q$2205,'Material routes'!$B$6:$B$2205,A487)&gt;0,"Unassigned","T"&amp;_xlfn.MAXIFS('Material routes'!$P$6:$P$2205,'Material routes'!$B$6:$B$2205,A487)))</x:f>
        <x:v>T0</x:v>
      </x:c>
      <x:c r="I487" s="4" t="n">
        <x:f>SUM(COUNTIFS('Material routes'!$B$6:$B$2205,A487,'Material routes'!$C$6:$C$2205,"Ingredient candidate"),COUNTIFS('Material routes'!$B$6:$B$2205,A487,'Material routes'!$C$6:$C$2205,"Consumed input"),COUNTIFS('Material routes'!$B$6:$B$2205,A487,'Material routes'!$C$6:$C$2205,"Contained input"),COUNTIFS('Material routes'!$B$6:$B$2205,A487,'Material routes'!$C$6:$C$2205,"Transform input"))</x:f>
        <x:v>1</x:v>
      </x:c>
      <x:c r="J487" s="4" t="n">
        <x:f>COUNTIFS('Material routes'!$B$6:$B$2205,A487,'Material routes'!$C$6:$C$2205,"Output")</x:f>
        <x:v>1</x:v>
      </x:c>
      <x:c r="K487" s="4" t="n">
        <x:f>COUNTIFS('Material routes'!$B$6:$B$2205,A487,'Material routes'!$C$6:$C$2205,"Tool candidate")</x:f>
        <x:v>0</x:v>
      </x:c>
      <x:c r="L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7" s="4" t="str">
        <x:v>Sort still-magnetized salvage; this is not magnet creation by smelting magnetite. October 15 audit: candidate inputs / reusable prerequisites clarified. Structural coverage is not a qualified manufacturing recipe.</x:v>
      </x:c>
    </x:row>
    <x:row r="488" ht="115" customHeight="1">
      <x:c r="A488" s="4" t="str">
        <x:v>design.audit.proposal_audit_pressed_hide_fastening_strips</x:v>
      </x:c>
      <x:c r="B488" s="4" t="str">
        <x:v>Pressed hide fastening strips candidate preparation</x:v>
      </x:c>
      <x:c r="C488" s="4" t="str">
        <x:v>Material refinement</x:v>
      </x:c>
      <x:c r="D488" s="4" t="str">
        <x:v>Proposal</x:v>
      </x:c>
      <x:c r="E488" s="4" t="str">
        <x:v>Partial proposal</x:v>
      </x:c>
      <x:c r="F488" s="4" t="str">
        <x:v>Candidate preparation of Pressed hide fastening strips</x:v>
      </x:c>
      <x:c r="G488" s="4" t="str">
        <x:v>Husk-sheet cutting shears, pressure fixtures and dedicated preparation surfaces. Very low hide/fur yield; no ordinary cloth or plant inputs.</x:v>
      </x:c>
      <x:c r="H488" s="4" t="str">
        <x:f>IF(I488=0,"Unassigned",IF(SUMIFS('Material routes'!$Q$6:$Q$2205,'Material routes'!$B$6:$B$2205,A488)&gt;0,"Unassigned","T"&amp;_xlfn.MAXIFS('Material routes'!$P$6:$P$2205,'Material routes'!$B$6:$B$2205,A488)))</x:f>
        <x:v>T1</x:v>
      </x:c>
      <x:c r="I488" s="4" t="n">
        <x:f>SUM(COUNTIFS('Material routes'!$B$6:$B$2205,A488,'Material routes'!$C$6:$C$2205,"Ingredient candidate"),COUNTIFS('Material routes'!$B$6:$B$2205,A488,'Material routes'!$C$6:$C$2205,"Consumed input"),COUNTIFS('Material routes'!$B$6:$B$2205,A488,'Material routes'!$C$6:$C$2205,"Contained input"),COUNTIFS('Material routes'!$B$6:$B$2205,A488,'Material routes'!$C$6:$C$2205,"Transform input"))</x:f>
        <x:v>1</x:v>
      </x:c>
      <x:c r="J488" s="4" t="n">
        <x:f>COUNTIFS('Material routes'!$B$6:$B$2205,A488,'Material routes'!$C$6:$C$2205,"Output")</x:f>
        <x:v>1</x:v>
      </x:c>
      <x:c r="K488" s="4" t="n">
        <x:f>COUNTIFS('Material routes'!$B$6:$B$2205,A488,'Material routes'!$C$6:$C$2205,"Tool candidate")</x:f>
        <x:v>0</x:v>
      </x:c>
      <x:c r="L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8" s="4" t="str">
        <x:v>Pressed hide fastening strips October 15 audit: candidate inputs / reusable prerequisites clarified. Structural coverage is not a qualified manufacturing recipe.</x:v>
      </x:c>
    </x:row>
    <x:row r="489" ht="115" customHeight="1">
      <x:c r="A489" s="4" t="str">
        <x:v>design.audit.proposal_audit_drawn_steel_music_wire_stock</x:v>
      </x:c>
      <x:c r="B489" s="4" t="str">
        <x:v>Drawn steel music-wire stock candidate preparation</x:v>
      </x:c>
      <x:c r="C489" s="4" t="str">
        <x:v>Material refinement</x:v>
      </x:c>
      <x:c r="D489" s="4" t="str">
        <x:v>Proposal</x:v>
      </x:c>
      <x:c r="E489" s="4" t="str">
        <x:v>Partial proposal</x:v>
      </x:c>
      <x:c r="F489" s="4" t="str">
        <x:v>Candidate preparation of Drawn steel music-wire stock</x:v>
      </x:c>
      <x:c r="G489" s="4" t="str">
        <x:v>Forge hearth, Anvil, Forging hammer, Smithing tongs, Metalworking file and Hand-cranked metal drill as applicable. Existing workshop bootstrap and controlled heating/cooling required; no free-water quench assumed.</x:v>
      </x:c>
      <x:c r="H489" s="4" t="str">
        <x:f>IF(I489=0,"Unassigned",IF(SUMIFS('Material routes'!$Q$6:$Q$2205,'Material routes'!$B$6:$B$2205,A489)&gt;0,"Unassigned","T"&amp;_xlfn.MAXIFS('Material routes'!$P$6:$P$2205,'Material routes'!$B$6:$B$2205,A489)))</x:f>
        <x:v>T3</x:v>
      </x:c>
      <x:c r="I489" s="4" t="n">
        <x:f>SUM(COUNTIFS('Material routes'!$B$6:$B$2205,A489,'Material routes'!$C$6:$C$2205,"Ingredient candidate"),COUNTIFS('Material routes'!$B$6:$B$2205,A489,'Material routes'!$C$6:$C$2205,"Consumed input"),COUNTIFS('Material routes'!$B$6:$B$2205,A489,'Material routes'!$C$6:$C$2205,"Contained input"),COUNTIFS('Material routes'!$B$6:$B$2205,A489,'Material routes'!$C$6:$C$2205,"Transform input"))</x:f>
        <x:v>1</x:v>
      </x:c>
      <x:c r="J489" s="4" t="n">
        <x:f>COUNTIFS('Material routes'!$B$6:$B$2205,A489,'Material routes'!$C$6:$C$2205,"Output")</x:f>
        <x:v>1</x:v>
      </x:c>
      <x:c r="K489" s="4" t="n">
        <x:f>COUNTIFS('Material routes'!$B$6:$B$2205,A489,'Material routes'!$C$6:$C$2205,"Tool candidate")</x:f>
        <x:v>1</x:v>
      </x:c>
      <x:c r="L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9" s="4" t="str">
        <x:v>Drawn steel music-wire stock October 15 audit: candidate inputs / reusable prerequisites clarified. Structural coverage is not a qualified manufacturing recipe.</x:v>
      </x:c>
    </x:row>
    <x:row r="490" ht="115" customHeight="1">
      <x:c r="A490" s="4"/>
      <x:c r="B490" s="4"/>
      <x:c r="C490" s="4"/>
      <x:c r="D490" s="4"/>
      <x:c r="E490" s="4"/>
      <x:c r="F490" s="4"/>
      <x:c r="G490" s="4"/>
      <x:c r="H490" s="4"/>
      <x:c r="I490" s="4"/>
      <x:c r="J490" s="4"/>
      <x:c r="K490" s="4"/>
      <x:c r="L490" s="4"/>
      <x:c r="M490" s="4"/>
    </x:row>
    <x:row r="491" ht="115" customHeight="1">
      <x:c r="A491" s="4" t="str">
        <x:v>design.audit.proposal_audit_graphite_electrode_plate_stock</x:v>
      </x:c>
      <x:c r="B491" s="4" t="str">
        <x:v>Graphite electrode plate stock candidate preparation</x:v>
      </x:c>
      <x:c r="C491" s="4" t="str">
        <x:v>Material refinement</x:v>
      </x:c>
      <x:c r="D491" s="4" t="str">
        <x:v>Proposal</x:v>
      </x:c>
      <x:c r="E491" s="4" t="str">
        <x:v>Partial proposal</x:v>
      </x:c>
      <x:c r="F491" s="4" t="str">
        <x:v>Candidate preparation of Graphite electrode plate stock</x:v>
      </x:c>
      <x:c r="G491" s="4" t="str">
        <x:v>Forge hearth, Anvil, Forging hammer, Smithing tongs, Metalworking file and Hand-cranked metal drill as applicable. Existing workshop bootstrap and controlled heating/cooling required; no free-water quench assumed.</x:v>
      </x:c>
      <x:c r="H491" s="4" t="str">
        <x:f>IF(I491=0,"Unassigned",IF(SUMIFS('Material routes'!$Q$6:$Q$2205,'Material routes'!$B$6:$B$2205,A491)&gt;0,"Unassigned","T"&amp;_xlfn.MAXIFS('Material routes'!$P$6:$P$2205,'Material routes'!$B$6:$B$2205,A491)))</x:f>
        <x:v>T1</x:v>
      </x:c>
      <x:c r="I491" s="4" t="n">
        <x:f>SUM(COUNTIFS('Material routes'!$B$6:$B$2205,A491,'Material routes'!$C$6:$C$2205,"Ingredient candidate"),COUNTIFS('Material routes'!$B$6:$B$2205,A491,'Material routes'!$C$6:$C$2205,"Consumed input"),COUNTIFS('Material routes'!$B$6:$B$2205,A491,'Material routes'!$C$6:$C$2205,"Contained input"),COUNTIFS('Material routes'!$B$6:$B$2205,A491,'Material routes'!$C$6:$C$2205,"Transform input"))</x:f>
        <x:v>2</x:v>
      </x:c>
      <x:c r="J491" s="4" t="n">
        <x:f>COUNTIFS('Material routes'!$B$6:$B$2205,A491,'Material routes'!$C$6:$C$2205,"Output")</x:f>
        <x:v>1</x:v>
      </x:c>
      <x:c r="K491" s="4" t="n">
        <x:f>COUNTIFS('Material routes'!$B$6:$B$2205,A491,'Material routes'!$C$6:$C$2205,"Tool candidate")</x:f>
        <x:v>0</x:v>
      </x:c>
      <x:c r="L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1" s="4" t="str">
        <x:v>Graphite electrode plate stock October 15 audit: candidate inputs / reusable prerequisites clarified. Structural coverage is not a qualified manufacturing recipe.</x:v>
      </x:c>
    </x:row>
    <x:row r="492" ht="115" customHeight="1">
      <x:c r="A492" s="4"/>
      <x:c r="B492" s="4"/>
      <x:c r="C492" s="4"/>
      <x:c r="D492" s="4"/>
      <x:c r="E492" s="4"/>
      <x:c r="F492" s="4"/>
      <x:c r="G492" s="4"/>
      <x:c r="H492" s="4"/>
      <x:c r="I492" s="4"/>
      <x:c r="J492" s="4"/>
      <x:c r="K492" s="4"/>
      <x:c r="L492" s="4"/>
      <x:c r="M492" s="4"/>
    </x:row>
    <x:row r="493" ht="115" customHeight="1">
      <x:c r="A493" s="4" t="str">
        <x:v>design.audit.proposal_audit_shaped_metal_grip_blank</x:v>
      </x:c>
      <x:c r="B493" s="4" t="str">
        <x:v>Shaped metal grip blank candidate preparation</x:v>
      </x:c>
      <x:c r="C493" s="4" t="str">
        <x:v>Material refinement</x:v>
      </x:c>
      <x:c r="D493" s="4" t="str">
        <x:v>Proposal</x:v>
      </x:c>
      <x:c r="E493" s="4" t="str">
        <x:v>Partial proposal</x:v>
      </x:c>
      <x:c r="F493" s="4" t="str">
        <x:v>Candidate preparation of Shaped metal grip blank</x:v>
      </x:c>
      <x:c r="G493" s="4" t="str">
        <x:v>Forge hearth, Anvil, Forging hammer, Smithing tongs, Metalworking file and Hand-cranked metal drill as applicable. Existing workshop bootstrap and controlled heating/cooling required; no free-water quench assumed.</x:v>
      </x:c>
      <x:c r="H493" s="4" t="str">
        <x:f>IF(I493=0,"Unassigned",IF(SUMIFS('Material routes'!$Q$6:$Q$2205,'Material routes'!$B$6:$B$2205,A493)&gt;0,"Unassigned","T"&amp;_xlfn.MAXIFS('Material routes'!$P$6:$P$2205,'Material routes'!$B$6:$B$2205,A493)))</x:f>
        <x:v>T2</x:v>
      </x:c>
      <x:c r="I493" s="4" t="n">
        <x:f>SUM(COUNTIFS('Material routes'!$B$6:$B$2205,A493,'Material routes'!$C$6:$C$2205,"Ingredient candidate"),COUNTIFS('Material routes'!$B$6:$B$2205,A493,'Material routes'!$C$6:$C$2205,"Consumed input"),COUNTIFS('Material routes'!$B$6:$B$2205,A493,'Material routes'!$C$6:$C$2205,"Contained input"),COUNTIFS('Material routes'!$B$6:$B$2205,A493,'Material routes'!$C$6:$C$2205,"Transform input"))</x:f>
        <x:v>1</x:v>
      </x:c>
      <x:c r="J493" s="4" t="n">
        <x:f>COUNTIFS('Material routes'!$B$6:$B$2205,A493,'Material routes'!$C$6:$C$2205,"Output")</x:f>
        <x:v>1</x:v>
      </x:c>
      <x:c r="K493" s="4" t="n">
        <x:f>COUNTIFS('Material routes'!$B$6:$B$2205,A493,'Material routes'!$C$6:$C$2205,"Tool candidate")</x:f>
        <x:v>0</x:v>
      </x:c>
      <x:c r="L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3" s="4" t="str">
        <x:v>Shaped metal grip blank October 15 audit: candidate inputs / reusable prerequisites clarified. Structural coverage is not a qualified manufacturing recipe.</x:v>
      </x:c>
    </x:row>
    <x:row r="494" ht="115" customHeight="1">
      <x:c r="A494" s="4" t="str">
        <x:v>design.audit.proposal_audit_linked_steel_mail_rings</x:v>
      </x:c>
      <x:c r="B494" s="4" t="str">
        <x:v>Linked steel mail rings candidate preparation</x:v>
      </x:c>
      <x:c r="C494" s="4" t="str">
        <x:v>Material refinement</x:v>
      </x:c>
      <x:c r="D494" s="4" t="str">
        <x:v>Proposal</x:v>
      </x:c>
      <x:c r="E494" s="4" t="str">
        <x:v>Partial proposal</x:v>
      </x:c>
      <x:c r="F494" s="4" t="str">
        <x:v>Candidate preparation of Linked steel mail rings</x:v>
      </x:c>
      <x:c r="G494" s="4" t="str">
        <x:v>Forge hearth, Anvil, Forging hammer, Smithing tongs, Metalworking file and Hand-cranked metal drill as applicable. Existing workshop bootstrap and controlled heating/cooling required; no free-water quench assumed.</x:v>
      </x:c>
      <x:c r="H494" s="4" t="str">
        <x:f>IF(I494=0,"Unassigned",IF(SUMIFS('Material routes'!$Q$6:$Q$2205,'Material routes'!$B$6:$B$2205,A494)&gt;0,"Unassigned","T"&amp;_xlfn.MAXIFS('Material routes'!$P$6:$P$2205,'Material routes'!$B$6:$B$2205,A494)))</x:f>
        <x:v>T3</x:v>
      </x:c>
      <x:c r="I494" s="4" t="n">
        <x:f>SUM(COUNTIFS('Material routes'!$B$6:$B$2205,A494,'Material routes'!$C$6:$C$2205,"Ingredient candidate"),COUNTIFS('Material routes'!$B$6:$B$2205,A494,'Material routes'!$C$6:$C$2205,"Consumed input"),COUNTIFS('Material routes'!$B$6:$B$2205,A494,'Material routes'!$C$6:$C$2205,"Contained input"),COUNTIFS('Material routes'!$B$6:$B$2205,A494,'Material routes'!$C$6:$C$2205,"Transform input"))</x:f>
        <x:v>1</x:v>
      </x:c>
      <x:c r="J494" s="4" t="n">
        <x:f>COUNTIFS('Material routes'!$B$6:$B$2205,A494,'Material routes'!$C$6:$C$2205,"Output")</x:f>
        <x:v>1</x:v>
      </x:c>
      <x:c r="K494" s="4" t="n">
        <x:f>COUNTIFS('Material routes'!$B$6:$B$2205,A494,'Material routes'!$C$6:$C$2205,"Tool candidate")</x:f>
        <x:v>0</x:v>
      </x:c>
      <x:c r="L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4" s="4" t="str">
        <x:v>Linked steel mail rings October 15 audit: candidate inputs / reusable prerequisites clarified. Structural coverage is not a qualified manufacturing recipe.</x:v>
      </x:c>
    </x:row>
    <x:row r="495" ht="115" customHeight="1">
      <x:c r="A495" s="4" t="str">
        <x:v>design.audit.proposal_audit_small_metal_hinge_pair</x:v>
      </x:c>
      <x:c r="B495" s="4" t="str">
        <x:v>Small metal hinge pair candidate preparation</x:v>
      </x:c>
      <x:c r="C495" s="4" t="str">
        <x:v>Material refinement</x:v>
      </x:c>
      <x:c r="D495" s="4" t="str">
        <x:v>Proposal</x:v>
      </x:c>
      <x:c r="E495" s="4" t="str">
        <x:v>Partial proposal</x:v>
      </x:c>
      <x:c r="F495" s="4" t="str">
        <x:v>Candidate preparation of Small metal hinge pair</x:v>
      </x:c>
      <x:c r="G495" s="4" t="str">
        <x:v>Forge hearth, Anvil, Forging hammer, Smithing tongs, Metalworking file and Hand-cranked metal drill as applicable. Existing workshop bootstrap and controlled heating/cooling required; no free-water quench assumed.</x:v>
      </x:c>
      <x:c r="H495" s="4" t="str">
        <x:f>IF(I495=0,"Unassigned",IF(SUMIFS('Material routes'!$Q$6:$Q$2205,'Material routes'!$B$6:$B$2205,A495)&gt;0,"Unassigned","T"&amp;_xlfn.MAXIFS('Material routes'!$P$6:$P$2205,'Material routes'!$B$6:$B$2205,A495)))</x:f>
        <x:v>T2</x:v>
      </x:c>
      <x:c r="I495" s="4" t="n">
        <x:f>SUM(COUNTIFS('Material routes'!$B$6:$B$2205,A495,'Material routes'!$C$6:$C$2205,"Ingredient candidate"),COUNTIFS('Material routes'!$B$6:$B$2205,A495,'Material routes'!$C$6:$C$2205,"Consumed input"),COUNTIFS('Material routes'!$B$6:$B$2205,A495,'Material routes'!$C$6:$C$2205,"Contained input"),COUNTIFS('Material routes'!$B$6:$B$2205,A495,'Material routes'!$C$6:$C$2205,"Transform input"))</x:f>
        <x:v>2</x:v>
      </x:c>
      <x:c r="J495" s="4" t="n">
        <x:f>COUNTIFS('Material routes'!$B$6:$B$2205,A495,'Material routes'!$C$6:$C$2205,"Output")</x:f>
        <x:v>1</x:v>
      </x:c>
      <x:c r="K495" s="4" t="n">
        <x:f>COUNTIFS('Material routes'!$B$6:$B$2205,A495,'Material routes'!$C$6:$C$2205,"Tool candidate")</x:f>
        <x:v>0</x:v>
      </x:c>
      <x:c r="L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5" s="4" t="str">
        <x:v>Small metal hinge pair October 15 audit: candidate inputs / reusable prerequisites clarified. Structural coverage is not a qualified manufacturing recipe.</x:v>
      </x:c>
    </x:row>
    <x:row r="496" ht="115" customHeight="1">
      <x:c r="A496" s="4" t="str">
        <x:v>design.audit.proposal_audit_bent_wire_spectacle_frame</x:v>
      </x:c>
      <x:c r="B496" s="4" t="str">
        <x:v>Bent-wire spectacle frame candidate preparation</x:v>
      </x:c>
      <x:c r="C496" s="4" t="str">
        <x:v>Material refinement</x:v>
      </x:c>
      <x:c r="D496" s="4" t="str">
        <x:v>Proposal</x:v>
      </x:c>
      <x:c r="E496" s="4" t="str">
        <x:v>Partial proposal</x:v>
      </x:c>
      <x:c r="F496" s="4" t="str">
        <x:v>Candidate preparation of Bent-wire spectacle frame</x:v>
      </x:c>
      <x:c r="G496" s="4" t="str">
        <x:v>Forge hearth, Anvil, Forging hammer, Smithing tongs, Metalworking file and Hand-cranked metal drill as applicable. Existing workshop bootstrap and controlled heating/cooling required; no free-water quench assumed.</x:v>
      </x:c>
      <x:c r="H496" s="4" t="str">
        <x:f>IF(I496=0,"Unassigned",IF(SUMIFS('Material routes'!$Q$6:$Q$2205,'Material routes'!$B$6:$B$2205,A496)&gt;0,"Unassigned","T"&amp;_xlfn.MAXIFS('Material routes'!$P$6:$P$2205,'Material routes'!$B$6:$B$2205,A496)))</x:f>
        <x:v>T2</x:v>
      </x:c>
      <x:c r="I496" s="4" t="n">
        <x:f>SUM(COUNTIFS('Material routes'!$B$6:$B$2205,A496,'Material routes'!$C$6:$C$2205,"Ingredient candidate"),COUNTIFS('Material routes'!$B$6:$B$2205,A496,'Material routes'!$C$6:$C$2205,"Consumed input"),COUNTIFS('Material routes'!$B$6:$B$2205,A496,'Material routes'!$C$6:$C$2205,"Contained input"),COUNTIFS('Material routes'!$B$6:$B$2205,A496,'Material routes'!$C$6:$C$2205,"Transform input"))</x:f>
        <x:v>1</x:v>
      </x:c>
      <x:c r="J496" s="4" t="n">
        <x:f>COUNTIFS('Material routes'!$B$6:$B$2205,A496,'Material routes'!$C$6:$C$2205,"Output")</x:f>
        <x:v>1</x:v>
      </x:c>
      <x:c r="K496" s="4" t="n">
        <x:f>COUNTIFS('Material routes'!$B$6:$B$2205,A496,'Material routes'!$C$6:$C$2205,"Tool candidate")</x:f>
        <x:v>0</x:v>
      </x:c>
      <x:c r="L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6" s="4" t="str">
        <x:v>Bent-wire spectacle frame October 15 audit: candidate inputs / reusable prerequisites clarified. Structural coverage is not a qualified manufacturing recipe.</x:v>
      </x:c>
    </x:row>
    <x:row r="497" ht="115" customHeight="1">
      <x:c r="A497" s="4"/>
      <x:c r="B497" s="4"/>
      <x:c r="C497" s="4"/>
      <x:c r="D497" s="4"/>
      <x:c r="E497" s="4"/>
      <x:c r="F497" s="4"/>
      <x:c r="G497" s="4"/>
      <x:c r="H497" s="4"/>
      <x:c r="I497" s="4"/>
      <x:c r="J497" s="4"/>
      <x:c r="K497" s="4"/>
      <x:c r="L497" s="4"/>
      <x:c r="M497" s="4"/>
    </x:row>
    <x:row r="498" ht="115" customHeight="1">
      <x:c r="A498" s="4" t="str">
        <x:v>design.audit.proposal_audit_fired_ceramic_vessel_blank</x:v>
      </x:c>
      <x:c r="B498" s="4" t="str">
        <x:v>Fired ceramic vessel blank candidate preparation</x:v>
      </x:c>
      <x:c r="C498" s="4" t="str">
        <x:v>Material refinement</x:v>
      </x:c>
      <x:c r="D498" s="4" t="str">
        <x:v>Proposal</x:v>
      </x:c>
      <x:c r="E498" s="4" t="str">
        <x:v>Partial proposal</x:v>
      </x:c>
      <x:c r="F498" s="4" t="str">
        <x:v>Candidate preparation of Fired ceramic vessel blank</x:v>
      </x:c>
      <x:c r="G498" s="4" t="str">
        <x:v>Controlled-heating firing kiln or specialist glass hot-work station; Ceramic firing tray / Ceramic casting mold as applicable. Qualified power, heat and atmosphere required.</x:v>
      </x:c>
      <x:c r="H498" s="4" t="str">
        <x:f>IF(I498=0,"Unassigned",IF(SUMIFS('Material routes'!$Q$6:$Q$2205,'Material routes'!$B$6:$B$2205,A498)&gt;0,"Unassigned","T"&amp;_xlfn.MAXIFS('Material routes'!$P$6:$P$2205,'Material routes'!$B$6:$B$2205,A498)))</x:f>
        <x:v>T1</x:v>
      </x:c>
      <x:c r="I498" s="4" t="n">
        <x:f>SUM(COUNTIFS('Material routes'!$B$6:$B$2205,A498,'Material routes'!$C$6:$C$2205,"Ingredient candidate"),COUNTIFS('Material routes'!$B$6:$B$2205,A498,'Material routes'!$C$6:$C$2205,"Consumed input"),COUNTIFS('Material routes'!$B$6:$B$2205,A498,'Material routes'!$C$6:$C$2205,"Contained input"),COUNTIFS('Material routes'!$B$6:$B$2205,A498,'Material routes'!$C$6:$C$2205,"Transform input"))</x:f>
        <x:v>1</x:v>
      </x:c>
      <x:c r="J498" s="4" t="n">
        <x:f>COUNTIFS('Material routes'!$B$6:$B$2205,A498,'Material routes'!$C$6:$C$2205,"Output")</x:f>
        <x:v>1</x:v>
      </x:c>
      <x:c r="K498" s="4" t="n">
        <x:f>COUNTIFS('Material routes'!$B$6:$B$2205,A498,'Material routes'!$C$6:$C$2205,"Tool candidate")</x:f>
        <x:v>1</x:v>
      </x:c>
      <x:c r="L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8" s="4" t="str">
        <x:v>Fired ceramic vessel blank October 15 audit: candidate inputs / reusable prerequisites clarified. Structural coverage is not a qualified manufacturing recipe.</x:v>
      </x:c>
    </x:row>
    <x:row r="499" ht="115" customHeight="1">
      <x:c r="A499" s="4" t="str">
        <x:v>design.audit.proposal_audit_membrane_tension_hoop</x:v>
      </x:c>
      <x:c r="B499" s="4" t="str">
        <x:v>Membrane tension hoop candidate preparation</x:v>
      </x:c>
      <x:c r="C499" s="4" t="str">
        <x:v>Material refinement</x:v>
      </x:c>
      <x:c r="D499" s="4" t="str">
        <x:v>Proposal</x:v>
      </x:c>
      <x:c r="E499" s="4" t="str">
        <x:v>Partial proposal</x:v>
      </x:c>
      <x:c r="F499" s="4" t="str">
        <x:v>Candidate preparation of Membrane tension hoop</x:v>
      </x:c>
      <x:c r="G499" s="4" t="str">
        <x:v>Forge hearth, Anvil, Forging hammer, Smithing tongs, Metalworking file and Hand-cranked metal drill as applicable. Existing workshop bootstrap and controlled heating/cooling required; no free-water quench assumed.</x:v>
      </x:c>
      <x:c r="H499" s="4" t="str">
        <x:f>IF(I499=0,"Unassigned",IF(SUMIFS('Material routes'!$Q$6:$Q$2205,'Material routes'!$B$6:$B$2205,A499)&gt;0,"Unassigned","T"&amp;_xlfn.MAXIFS('Material routes'!$P$6:$P$2205,'Material routes'!$B$6:$B$2205,A499)))</x:f>
        <x:v>T2</x:v>
      </x:c>
      <x:c r="I499" s="4" t="n">
        <x:f>SUM(COUNTIFS('Material routes'!$B$6:$B$2205,A499,'Material routes'!$C$6:$C$2205,"Ingredient candidate"),COUNTIFS('Material routes'!$B$6:$B$2205,A499,'Material routes'!$C$6:$C$2205,"Consumed input"),COUNTIFS('Material routes'!$B$6:$B$2205,A499,'Material routes'!$C$6:$C$2205,"Contained input"),COUNTIFS('Material routes'!$B$6:$B$2205,A499,'Material routes'!$C$6:$C$2205,"Transform input"))</x:f>
        <x:v>2</x:v>
      </x:c>
      <x:c r="J499" s="4" t="n">
        <x:f>COUNTIFS('Material routes'!$B$6:$B$2205,A499,'Material routes'!$C$6:$C$2205,"Output")</x:f>
        <x:v>1</x:v>
      </x:c>
      <x:c r="K499" s="4" t="n">
        <x:f>COUNTIFS('Material routes'!$B$6:$B$2205,A499,'Material routes'!$C$6:$C$2205,"Tool candidate")</x:f>
        <x:v>0</x:v>
      </x:c>
      <x:c r="L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9" s="4" t="str">
        <x:v>Membrane tension hoop October 15 audit: candidate inputs / reusable prerequisites clarified. Structural coverage is not a qualified manufacturing recipe.</x:v>
      </x:c>
    </x:row>
    <x:row r="500" ht="115" customHeight="1">
      <x:c r="A500" s="4"/>
      <x:c r="B500" s="4"/>
      <x:c r="C500" s="4"/>
      <x:c r="D500" s="4"/>
      <x:c r="E500" s="4"/>
      <x:c r="F500" s="4"/>
      <x:c r="G500" s="4"/>
      <x:c r="H500" s="4"/>
      <x:c r="I500" s="4"/>
      <x:c r="J500" s="4"/>
      <x:c r="K500" s="4"/>
      <x:c r="L500" s="4"/>
      <x:c r="M500" s="4"/>
    </x:row>
    <x:row r="501" ht="115" customHeight="1">
      <x:c r="A501" s="4"/>
      <x:c r="B501" s="4"/>
      <x:c r="C501" s="4"/>
      <x:c r="D501" s="4"/>
      <x:c r="E501" s="4"/>
      <x:c r="F501" s="4"/>
      <x:c r="G501" s="4"/>
      <x:c r="H501" s="4"/>
      <x:c r="I501" s="4"/>
      <x:c r="J501" s="4"/>
      <x:c r="K501" s="4"/>
      <x:c r="L501" s="4"/>
      <x:c r="M501" s="4"/>
    </x:row>
    <x:row r="502" ht="115" customHeight="1">
      <x:c r="A502" s="4" t="str">
        <x:v>design.audit.proposal_audit_cut_metal_reed_set</x:v>
      </x:c>
      <x:c r="B502" s="4" t="str">
        <x:v>Cut metal reed set candidate preparation</x:v>
      </x:c>
      <x:c r="C502" s="4" t="str">
        <x:v>Material refinement</x:v>
      </x:c>
      <x:c r="D502" s="4" t="str">
        <x:v>Proposal</x:v>
      </x:c>
      <x:c r="E502" s="4" t="str">
        <x:v>Partial proposal</x:v>
      </x:c>
      <x:c r="F502" s="4" t="str">
        <x:v>Candidate preparation of Cut metal reed set</x:v>
      </x:c>
      <x:c r="G502" s="4" t="str">
        <x:v>Forge hearth, Anvil, Forging hammer, Smithing tongs, Metalworking file and Hand-cranked metal drill as applicable. Existing workshop bootstrap and controlled heating/cooling required; no free-water quench assumed.</x:v>
      </x:c>
      <x:c r="H502" s="4" t="str">
        <x:f>IF(I502=0,"Unassigned",IF(SUMIFS('Material routes'!$Q$6:$Q$2205,'Material routes'!$B$6:$B$2205,A502)&gt;0,"Unassigned","T"&amp;_xlfn.MAXIFS('Material routes'!$P$6:$P$2205,'Material routes'!$B$6:$B$2205,A502)))</x:f>
        <x:v>T3</x:v>
      </x:c>
      <x:c r="I502" s="4" t="n">
        <x:f>SUM(COUNTIFS('Material routes'!$B$6:$B$2205,A502,'Material routes'!$C$6:$C$2205,"Ingredient candidate"),COUNTIFS('Material routes'!$B$6:$B$2205,A502,'Material routes'!$C$6:$C$2205,"Consumed input"),COUNTIFS('Material routes'!$B$6:$B$2205,A502,'Material routes'!$C$6:$C$2205,"Contained input"),COUNTIFS('Material routes'!$B$6:$B$2205,A502,'Material routes'!$C$6:$C$2205,"Transform input"))</x:f>
        <x:v>1</x:v>
      </x:c>
      <x:c r="J502" s="4" t="n">
        <x:f>COUNTIFS('Material routes'!$B$6:$B$2205,A502,'Material routes'!$C$6:$C$2205,"Output")</x:f>
        <x:v>1</x:v>
      </x:c>
      <x:c r="K502" s="4" t="n">
        <x:f>COUNTIFS('Material routes'!$B$6:$B$2205,A502,'Material routes'!$C$6:$C$2205,"Tool candidate")</x:f>
        <x:v>0</x:v>
      </x:c>
      <x:c r="L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2" s="4" t="str">
        <x:v>Cut metal reed set October 15 audit: candidate inputs / reusable prerequisites clarified. Structural coverage is not a qualified manufacturing recipe.</x:v>
      </x:c>
    </x:row>
    <x:row r="503" ht="115" customHeight="1">
      <x:c r="A503" s="4" t="str">
        <x:v>design.audit.proposal_audit_ceramic_whistle_mouthpiece</x:v>
      </x:c>
      <x:c r="B503" s="4" t="str">
        <x:v>Ceramic whistle mouthpiece candidate preparation</x:v>
      </x:c>
      <x:c r="C503" s="4" t="str">
        <x:v>Material refinement</x:v>
      </x:c>
      <x:c r="D503" s="4" t="str">
        <x:v>Proposal</x:v>
      </x:c>
      <x:c r="E503" s="4" t="str">
        <x:v>Partial proposal</x:v>
      </x:c>
      <x:c r="F503" s="4" t="str">
        <x:v>Candidate preparation of Ceramic whistle mouthpiece</x:v>
      </x:c>
      <x:c r="G503" s="4" t="str">
        <x:v>Controlled-heating firing kiln or specialist glass hot-work station; Ceramic firing tray / Ceramic casting mold as applicable. Qualified power, heat and atmosphere required.</x:v>
      </x:c>
      <x:c r="H503" s="4" t="str">
        <x:f>IF(I503=0,"Unassigned",IF(SUMIFS('Material routes'!$Q$6:$Q$2205,'Material routes'!$B$6:$B$2205,A503)&gt;0,"Unassigned","T"&amp;_xlfn.MAXIFS('Material routes'!$P$6:$P$2205,'Material routes'!$B$6:$B$2205,A503)))</x:f>
        <x:v>T1</x:v>
      </x:c>
      <x:c r="I503" s="4" t="n">
        <x:f>SUM(COUNTIFS('Material routes'!$B$6:$B$2205,A503,'Material routes'!$C$6:$C$2205,"Ingredient candidate"),COUNTIFS('Material routes'!$B$6:$B$2205,A503,'Material routes'!$C$6:$C$2205,"Consumed input"),COUNTIFS('Material routes'!$B$6:$B$2205,A503,'Material routes'!$C$6:$C$2205,"Contained input"),COUNTIFS('Material routes'!$B$6:$B$2205,A503,'Material routes'!$C$6:$C$2205,"Transform input"))</x:f>
        <x:v>1</x:v>
      </x:c>
      <x:c r="J503" s="4" t="n">
        <x:f>COUNTIFS('Material routes'!$B$6:$B$2205,A503,'Material routes'!$C$6:$C$2205,"Output")</x:f>
        <x:v>1</x:v>
      </x:c>
      <x:c r="K503" s="4" t="n">
        <x:f>COUNTIFS('Material routes'!$B$6:$B$2205,A503,'Material routes'!$C$6:$C$2205,"Tool candidate")</x:f>
        <x:v>0</x:v>
      </x:c>
      <x:c r="L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3" s="4" t="str">
        <x:v>Ceramic whistle mouthpiece October 15 audit: candidate inputs / reusable prerequisites clarified. Structural coverage is not a qualified manufacturing recipe.</x:v>
      </x:c>
    </x:row>
    <x:row r="504" ht="115" customHeight="1">
      <x:c r="A504" s="4" t="str">
        <x:v>design.audit.proposal_audit_threaded_drive_screw</x:v>
      </x:c>
      <x:c r="B504" s="4" t="str">
        <x:v>Threaded drive screw candidate preparation</x:v>
      </x:c>
      <x:c r="C504" s="4" t="str">
        <x:v>Material refinement</x:v>
      </x:c>
      <x:c r="D504" s="4" t="str">
        <x:v>Proposal</x:v>
      </x:c>
      <x:c r="E504" s="4" t="str">
        <x:v>Partial proposal</x:v>
      </x:c>
      <x:c r="F504" s="4" t="str">
        <x:v>Candidate preparation of Threaded drive screw</x:v>
      </x:c>
      <x:c r="G504" s="4" t="str">
        <x:v>Forge hearth, Anvil, Forging hammer, Smithing tongs, Metalworking file and Hand-cranked metal drill as applicable. Existing workshop bootstrap and controlled heating/cooling required; no free-water quench assumed.</x:v>
      </x:c>
      <x:c r="H504" s="4" t="str">
        <x:f>IF(I504=0,"Unassigned",IF(SUMIFS('Material routes'!$Q$6:$Q$2205,'Material routes'!$B$6:$B$2205,A504)&gt;0,"Unassigned","T"&amp;_xlfn.MAXIFS('Material routes'!$P$6:$P$2205,'Material routes'!$B$6:$B$2205,A504)))</x:f>
        <x:v>T2</x:v>
      </x:c>
      <x:c r="I504" s="4" t="n">
        <x:f>SUM(COUNTIFS('Material routes'!$B$6:$B$2205,A504,'Material routes'!$C$6:$C$2205,"Ingredient candidate"),COUNTIFS('Material routes'!$B$6:$B$2205,A504,'Material routes'!$C$6:$C$2205,"Consumed input"),COUNTIFS('Material routes'!$B$6:$B$2205,A504,'Material routes'!$C$6:$C$2205,"Contained input"),COUNTIFS('Material routes'!$B$6:$B$2205,A504,'Material routes'!$C$6:$C$2205,"Transform input"))</x:f>
        <x:v>1</x:v>
      </x:c>
      <x:c r="J504" s="4" t="n">
        <x:f>COUNTIFS('Material routes'!$B$6:$B$2205,A504,'Material routes'!$C$6:$C$2205,"Output")</x:f>
        <x:v>1</x:v>
      </x:c>
      <x:c r="K504" s="4" t="n">
        <x:f>COUNTIFS('Material routes'!$B$6:$B$2205,A504,'Material routes'!$C$6:$C$2205,"Tool candidate")</x:f>
        <x:v>0</x:v>
      </x:c>
      <x:c r="L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4" s="4" t="str">
        <x:v>Threaded drive screw October 15 audit: candidate inputs / reusable prerequisites clarified. Structural coverage is not a qualified manufacturing recipe.</x:v>
      </x:c>
    </x:row>
    <x:row r="505" ht="115" customHeight="1">
      <x:c r="A505" s="4" t="str">
        <x:v>design.audit.proposal_audit_hand_drill_spindle</x:v>
      </x:c>
      <x:c r="B505" s="4" t="str">
        <x:v>Hand-drill spindle candidate preparation</x:v>
      </x:c>
      <x:c r="C505" s="4" t="str">
        <x:v>Material refinement</x:v>
      </x:c>
      <x:c r="D505" s="4" t="str">
        <x:v>Proposal</x:v>
      </x:c>
      <x:c r="E505" s="4" t="str">
        <x:v>Partial proposal</x:v>
      </x:c>
      <x:c r="F505" s="4" t="str">
        <x:v>Candidate preparation of Hand-drill spindle</x:v>
      </x:c>
      <x:c r="G505" s="4" t="str">
        <x:v>Forge hearth, Anvil, Forging hammer, Smithing tongs, Metalworking file and Hand-cranked metal drill as applicable. Existing workshop bootstrap and controlled heating/cooling required; no free-water quench assumed.</x:v>
      </x:c>
      <x:c r="H505" s="4" t="str">
        <x:f>IF(I505=0,"Unassigned",IF(SUMIFS('Material routes'!$Q$6:$Q$2205,'Material routes'!$B$6:$B$2205,A505)&gt;0,"Unassigned","T"&amp;_xlfn.MAXIFS('Material routes'!$P$6:$P$2205,'Material routes'!$B$6:$B$2205,A505)))</x:f>
        <x:v>T2</x:v>
      </x:c>
      <x:c r="I505" s="4" t="n">
        <x:f>SUM(COUNTIFS('Material routes'!$B$6:$B$2205,A505,'Material routes'!$C$6:$C$2205,"Ingredient candidate"),COUNTIFS('Material routes'!$B$6:$B$2205,A505,'Material routes'!$C$6:$C$2205,"Consumed input"),COUNTIFS('Material routes'!$B$6:$B$2205,A505,'Material routes'!$C$6:$C$2205,"Contained input"),COUNTIFS('Material routes'!$B$6:$B$2205,A505,'Material routes'!$C$6:$C$2205,"Transform input"))</x:f>
        <x:v>1</x:v>
      </x:c>
      <x:c r="J505" s="4" t="n">
        <x:f>COUNTIFS('Material routes'!$B$6:$B$2205,A505,'Material routes'!$C$6:$C$2205,"Output")</x:f>
        <x:v>1</x:v>
      </x:c>
      <x:c r="K505" s="4" t="n">
        <x:f>COUNTIFS('Material routes'!$B$6:$B$2205,A505,'Material routes'!$C$6:$C$2205,"Tool candidate")</x:f>
        <x:v>0</x:v>
      </x:c>
      <x:c r="L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5" s="4" t="str">
        <x:v>Hand-drill spindle October 15 audit: candidate inputs / reusable prerequisites clarified. Structural coverage is not a qualified manufacturing recipe.</x:v>
      </x:c>
    </x:row>
    <x:row r="506" ht="115" customHeight="1">
      <x:c r="A506" s="4" t="str">
        <x:v>design.audit.proposal_audit_replaceable_drill_bit_insert</x:v>
      </x:c>
      <x:c r="B506" s="4" t="str">
        <x:v>Replaceable drill-bit insert candidate preparation</x:v>
      </x:c>
      <x:c r="C506" s="4" t="str">
        <x:v>Material refinement</x:v>
      </x:c>
      <x:c r="D506" s="4" t="str">
        <x:v>Proposal</x:v>
      </x:c>
      <x:c r="E506" s="4" t="str">
        <x:v>Partial proposal</x:v>
      </x:c>
      <x:c r="F506" s="4" t="str">
        <x:v>Candidate preparation of Replaceable drill-bit insert</x:v>
      </x:c>
      <x:c r="G506" s="4" t="str">
        <x:v>Forge hearth, Anvil, Forging hammer, Smithing tongs, Metalworking file and Hand-cranked metal drill as applicable. Existing workshop bootstrap and controlled heating/cooling required; no free-water quench assumed.</x:v>
      </x:c>
      <x:c r="H506" s="4" t="str">
        <x:f>IF(I506=0,"Unassigned",IF(SUMIFS('Material routes'!$Q$6:$Q$2205,'Material routes'!$B$6:$B$2205,A506)&gt;0,"Unassigned","T"&amp;_xlfn.MAXIFS('Material routes'!$P$6:$P$2205,'Material routes'!$B$6:$B$2205,A506)))</x:f>
        <x:v>T2</x:v>
      </x:c>
      <x:c r="I506" s="4" t="n">
        <x:f>SUM(COUNTIFS('Material routes'!$B$6:$B$2205,A506,'Material routes'!$C$6:$C$2205,"Ingredient candidate"),COUNTIFS('Material routes'!$B$6:$B$2205,A506,'Material routes'!$C$6:$C$2205,"Consumed input"),COUNTIFS('Material routes'!$B$6:$B$2205,A506,'Material routes'!$C$6:$C$2205,"Contained input"),COUNTIFS('Material routes'!$B$6:$B$2205,A506,'Material routes'!$C$6:$C$2205,"Transform input"))</x:f>
        <x:v>1</x:v>
      </x:c>
      <x:c r="J506" s="4" t="n">
        <x:f>COUNTIFS('Material routes'!$B$6:$B$2205,A506,'Material routes'!$C$6:$C$2205,"Output")</x:f>
        <x:v>1</x:v>
      </x:c>
      <x:c r="K506" s="4" t="n">
        <x:f>COUNTIFS('Material routes'!$B$6:$B$2205,A506,'Material routes'!$C$6:$C$2205,"Tool candidate")</x:f>
        <x:v>0</x:v>
      </x:c>
      <x:c r="L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6" s="4" t="str">
        <x:v>Replaceable drill-bit insert October 15 audit: candidate inputs / reusable prerequisites clarified. Structural coverage is not a qualified manufacturing recipe.</x:v>
      </x:c>
    </x:row>
    <x:row r="507" ht="115" customHeight="1">
      <x:c r="A507" s="4" t="str">
        <x:v>design.audit.proposal_audit_compact_latch_and_trigger_pack</x:v>
      </x:c>
      <x:c r="B507" s="4" t="str">
        <x:v>Compact latch and trigger pack candidate preparation</x:v>
      </x:c>
      <x:c r="C507" s="4" t="str">
        <x:v>Material refinement</x:v>
      </x:c>
      <x:c r="D507" s="4" t="str">
        <x:v>Proposal</x:v>
      </x:c>
      <x:c r="E507" s="4" t="str">
        <x:v>Partial proposal</x:v>
      </x:c>
      <x:c r="F507" s="4" t="str">
        <x:v>Candidate preparation of Compact latch and trigger pack</x:v>
      </x:c>
      <x:c r="G507" s="4" t="str">
        <x:v>Forge hearth, Anvil, Forging hammer, Smithing tongs, Metalworking file and Hand-cranked metal drill as applicable. Existing workshop bootstrap and controlled heating/cooling required; no free-water quench assumed.</x:v>
      </x:c>
      <x:c r="H507" s="4" t="str">
        <x:f>IF(I507=0,"Unassigned",IF(SUMIFS('Material routes'!$Q$6:$Q$2205,'Material routes'!$B$6:$B$2205,A507)&gt;0,"Unassigned","T"&amp;_xlfn.MAXIFS('Material routes'!$P$6:$P$2205,'Material routes'!$B$6:$B$2205,A507)))</x:f>
        <x:v>T3</x:v>
      </x:c>
      <x:c r="I507" s="4" t="n">
        <x:f>SUM(COUNTIFS('Material routes'!$B$6:$B$2205,A507,'Material routes'!$C$6:$C$2205,"Ingredient candidate"),COUNTIFS('Material routes'!$B$6:$B$2205,A507,'Material routes'!$C$6:$C$2205,"Consumed input"),COUNTIFS('Material routes'!$B$6:$B$2205,A507,'Material routes'!$C$6:$C$2205,"Contained input"),COUNTIFS('Material routes'!$B$6:$B$2205,A507,'Material routes'!$C$6:$C$2205,"Transform input"))</x:f>
        <x:v>2</x:v>
      </x:c>
      <x:c r="J507" s="4" t="n">
        <x:f>COUNTIFS('Material routes'!$B$6:$B$2205,A507,'Material routes'!$C$6:$C$2205,"Output")</x:f>
        <x:v>1</x:v>
      </x:c>
      <x:c r="K507" s="4" t="n">
        <x:f>COUNTIFS('Material routes'!$B$6:$B$2205,A507,'Material routes'!$C$6:$C$2205,"Tool candidate")</x:f>
        <x:v>0</x:v>
      </x:c>
      <x:c r="L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7" s="4" t="str">
        <x:v>Compact latch and trigger pack October 15 audit: candidate inputs / reusable prerequisites clarified. Structural coverage is not a qualified manufacturing recipe.</x:v>
      </x:c>
    </x:row>
    <x:row r="508" ht="115" customHeight="1">
      <x:c r="A508" s="4" t="str">
        <x:v>design.audit.proposal_audit_valve_poppet_blank</x:v>
      </x:c>
      <x:c r="B508" s="4" t="str">
        <x:v>Valve poppet blank candidate preparation</x:v>
      </x:c>
      <x:c r="C508" s="4" t="str">
        <x:v>Material refinement</x:v>
      </x:c>
      <x:c r="D508" s="4" t="str">
        <x:v>Proposal</x:v>
      </x:c>
      <x:c r="E508" s="4" t="str">
        <x:v>Partial proposal</x:v>
      </x:c>
      <x:c r="F508" s="4" t="str">
        <x:v>Candidate preparation of Valve poppet blank</x:v>
      </x:c>
      <x:c r="G508" s="4" t="str">
        <x:v>Forge hearth, Anvil, Forging hammer, Smithing tongs, Metalworking file and Hand-cranked metal drill as applicable. Existing workshop bootstrap and controlled heating/cooling required; no free-water quench assumed.</x:v>
      </x:c>
      <x:c r="H508" s="4" t="str">
        <x:f>IF(I508=0,"Unassigned",IF(SUMIFS('Material routes'!$Q$6:$Q$2205,'Material routes'!$B$6:$B$2205,A508)&gt;0,"Unassigned","T"&amp;_xlfn.MAXIFS('Material routes'!$P$6:$P$2205,'Material routes'!$B$6:$B$2205,A508)))</x:f>
        <x:v>T2</x:v>
      </x:c>
      <x:c r="I508" s="4" t="n">
        <x:f>SUM(COUNTIFS('Material routes'!$B$6:$B$2205,A508,'Material routes'!$C$6:$C$2205,"Ingredient candidate"),COUNTIFS('Material routes'!$B$6:$B$2205,A508,'Material routes'!$C$6:$C$2205,"Consumed input"),COUNTIFS('Material routes'!$B$6:$B$2205,A508,'Material routes'!$C$6:$C$2205,"Contained input"),COUNTIFS('Material routes'!$B$6:$B$2205,A508,'Material routes'!$C$6:$C$2205,"Transform input"))</x:f>
        <x:v>1</x:v>
      </x:c>
      <x:c r="J508" s="4" t="n">
        <x:f>COUNTIFS('Material routes'!$B$6:$B$2205,A508,'Material routes'!$C$6:$C$2205,"Output")</x:f>
        <x:v>1</x:v>
      </x:c>
      <x:c r="K508" s="4" t="n">
        <x:f>COUNTIFS('Material routes'!$B$6:$B$2205,A508,'Material routes'!$C$6:$C$2205,"Tool candidate")</x:f>
        <x:v>0</x:v>
      </x:c>
      <x:c r="L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8" s="4" t="str">
        <x:v>Valve poppet blank October 15 audit: candidate inputs / reusable prerequisites clarified. Structural coverage is not a qualified manufacturing recipe.</x:v>
      </x:c>
    </x:row>
    <x:row r="509" ht="115" customHeight="1">
      <x:c r="A509" s="4" t="str">
        <x:v>design.audit.proposal_audit_fitted_pressure_barrel_module</x:v>
      </x:c>
      <x:c r="B509" s="4" t="str">
        <x:v>Fitted pressure-barrel module candidate preparation</x:v>
      </x:c>
      <x:c r="C509" s="4" t="str">
        <x:v>Material refinement</x:v>
      </x:c>
      <x:c r="D509" s="4" t="str">
        <x:v>Proposal</x:v>
      </x:c>
      <x:c r="E509" s="4" t="str">
        <x:v>Partial proposal</x:v>
      </x:c>
      <x:c r="F509" s="4" t="str">
        <x:v>Candidate preparation of Fitted pressure-barrel module</x:v>
      </x:c>
      <x:c r="G509" s="4" t="str">
        <x:v>Controlled-heating firing kiln or specialist glass hot-work station; Ceramic firing tray / Ceramic casting mold as applicable. Qualified power, heat and atmosphere required.</x:v>
      </x:c>
      <x:c r="H509" s="4" t="str">
        <x:f>IF(I509=0,"Unassigned",IF(SUMIFS('Material routes'!$Q$6:$Q$2205,'Material routes'!$B$6:$B$2205,A509)&gt;0,"Unassigned","T"&amp;_xlfn.MAXIFS('Material routes'!$P$6:$P$2205,'Material routes'!$B$6:$B$2205,A509)))</x:f>
        <x:v>T3</x:v>
      </x:c>
      <x:c r="I509" s="4" t="n">
        <x:f>SUM(COUNTIFS('Material routes'!$B$6:$B$2205,A509,'Material routes'!$C$6:$C$2205,"Ingredient candidate"),COUNTIFS('Material routes'!$B$6:$B$2205,A509,'Material routes'!$C$6:$C$2205,"Consumed input"),COUNTIFS('Material routes'!$B$6:$B$2205,A509,'Material routes'!$C$6:$C$2205,"Contained input"),COUNTIFS('Material routes'!$B$6:$B$2205,A509,'Material routes'!$C$6:$C$2205,"Transform input"))</x:f>
        <x:v>2</x:v>
      </x:c>
      <x:c r="J509" s="4" t="n">
        <x:f>COUNTIFS('Material routes'!$B$6:$B$2205,A509,'Material routes'!$C$6:$C$2205,"Output")</x:f>
        <x:v>1</x:v>
      </x:c>
      <x:c r="K509" s="4" t="n">
        <x:f>COUNTIFS('Material routes'!$B$6:$B$2205,A509,'Material routes'!$C$6:$C$2205,"Tool candidate")</x:f>
        <x:v>2</x:v>
      </x:c>
      <x:c r="L5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9" s="4" t="str">
        <x:v>Fitted pressure-barrel module October 15 audit: candidate inputs / reusable prerequisites clarified. Structural coverage is not a qualified manufacturing recipe.</x:v>
      </x:c>
    </x:row>
    <x:row r="510" ht="115" customHeight="1">
      <x:c r="A510" s="4" t="str">
        <x:v>design.audit.proposal_audit_ceramic_backed_control_switch</x:v>
      </x:c>
      <x:c r="B510" s="4" t="str">
        <x:v>Ceramic-backed control switch candidate preparation</x:v>
      </x:c>
      <x:c r="C510" s="4" t="str">
        <x:v>Material refinement</x:v>
      </x:c>
      <x:c r="D510" s="4" t="str">
        <x:v>Proposal</x:v>
      </x:c>
      <x:c r="E510" s="4" t="str">
        <x:v>Partial proposal</x:v>
      </x:c>
      <x:c r="F510" s="4" t="str">
        <x:v>Candidate preparation of Ceramic-backed control switch</x:v>
      </x:c>
      <x:c r="G510" s="4" t="str">
        <x:v>Controlled-heating firing kiln or specialist glass hot-work station; Ceramic firing tray / Ceramic casting mold as applicable. Qualified power, heat and atmosphere required.</x:v>
      </x:c>
      <x:c r="H510" s="4" t="str">
        <x:f>IF(I510=0,"Unassigned",IF(SUMIFS('Material routes'!$Q$6:$Q$2205,'Material routes'!$B$6:$B$2205,A510)&gt;0,"Unassigned","T"&amp;_xlfn.MAXIFS('Material routes'!$P$6:$P$2205,'Material routes'!$B$6:$B$2205,A510)))</x:f>
        <x:v>T3</x:v>
      </x:c>
      <x:c r="I510" s="4" t="n">
        <x:f>SUM(COUNTIFS('Material routes'!$B$6:$B$2205,A510,'Material routes'!$C$6:$C$2205,"Ingredient candidate"),COUNTIFS('Material routes'!$B$6:$B$2205,A510,'Material routes'!$C$6:$C$2205,"Consumed input"),COUNTIFS('Material routes'!$B$6:$B$2205,A510,'Material routes'!$C$6:$C$2205,"Contained input"),COUNTIFS('Material routes'!$B$6:$B$2205,A510,'Material routes'!$C$6:$C$2205,"Transform input"))</x:f>
        <x:v>3</x:v>
      </x:c>
      <x:c r="J510" s="4" t="n">
        <x:f>COUNTIFS('Material routes'!$B$6:$B$2205,A510,'Material routes'!$C$6:$C$2205,"Output")</x:f>
        <x:v>1</x:v>
      </x:c>
      <x:c r="K510" s="4" t="n">
        <x:f>COUNTIFS('Material routes'!$B$6:$B$2205,A510,'Material routes'!$C$6:$C$2205,"Tool candidate")</x:f>
        <x:v>0</x:v>
      </x:c>
      <x:c r="L5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0" s="4" t="str">
        <x:v>Ceramic-backed control switch October 15 audit: candidate inputs / reusable prerequisites clarified. Structural coverage is not a qualified manufacturing recipe.</x:v>
      </x:c>
    </x:row>
    <x:row r="511" ht="115" customHeight="1">
      <x:c r="A511" s="4" t="str">
        <x:v>design.audit.proposal_audit_fitted_machine_casing</x:v>
      </x:c>
      <x:c r="B511" s="4" t="str">
        <x:v>Fitted machine casing candidate preparation</x:v>
      </x:c>
      <x:c r="C511" s="4" t="str">
        <x:v>Material refinement</x:v>
      </x:c>
      <x:c r="D511" s="4" t="str">
        <x:v>Proposal</x:v>
      </x:c>
      <x:c r="E511" s="4" t="str">
        <x:v>Partial proposal</x:v>
      </x:c>
      <x:c r="F511" s="4" t="str">
        <x:v>Candidate preparation of Fitted machine casing</x:v>
      </x:c>
      <x:c r="G511" s="4" t="str">
        <x:v>Forge hearth, Anvil, Forging hammer, Smithing tongs, Metalworking file and Hand-cranked metal drill as applicable. Existing workshop bootstrap and controlled heating/cooling required; no free-water quench assumed.</x:v>
      </x:c>
      <x:c r="H511" s="4" t="str">
        <x:f>IF(I511=0,"Unassigned",IF(SUMIFS('Material routes'!$Q$6:$Q$2205,'Material routes'!$B$6:$B$2205,A511)&gt;0,"Unassigned","T"&amp;_xlfn.MAXIFS('Material routes'!$P$6:$P$2205,'Material routes'!$B$6:$B$2205,A511)))</x:f>
        <x:v>T2</x:v>
      </x:c>
      <x:c r="I511" s="4" t="n">
        <x:f>SUM(COUNTIFS('Material routes'!$B$6:$B$2205,A511,'Material routes'!$C$6:$C$2205,"Ingredient candidate"),COUNTIFS('Material routes'!$B$6:$B$2205,A511,'Material routes'!$C$6:$C$2205,"Consumed input"),COUNTIFS('Material routes'!$B$6:$B$2205,A511,'Material routes'!$C$6:$C$2205,"Contained input"),COUNTIFS('Material routes'!$B$6:$B$2205,A511,'Material routes'!$C$6:$C$2205,"Transform input"))</x:f>
        <x:v>1</x:v>
      </x:c>
      <x:c r="J511" s="4" t="n">
        <x:f>COUNTIFS('Material routes'!$B$6:$B$2205,A511,'Material routes'!$C$6:$C$2205,"Output")</x:f>
        <x:v>1</x:v>
      </x:c>
      <x:c r="K511" s="4" t="n">
        <x:f>COUNTIFS('Material routes'!$B$6:$B$2205,A511,'Material routes'!$C$6:$C$2205,"Tool candidate")</x:f>
        <x:v>0</x:v>
      </x:c>
      <x:c r="L5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1" s="4" t="str">
        <x:v>Fitted machine casing October 15 audit: candidate inputs / reusable prerequisites clarified. Structural coverage is not a qualified manufacturing recipe.</x:v>
      </x:c>
    </x:row>
    <x:row r="512" ht="115" customHeight="1">
      <x:c r="A512" s="4" t="str">
        <x:v>design.audit.proposal_audit_supported_iron_heating_element</x:v>
      </x:c>
      <x:c r="B512" s="4" t="str">
        <x:v>Supported iron heating element candidate preparation</x:v>
      </x:c>
      <x:c r="C512" s="4" t="str">
        <x:v>Material refinement</x:v>
      </x:c>
      <x:c r="D512" s="4" t="str">
        <x:v>Proposal</x:v>
      </x:c>
      <x:c r="E512" s="4" t="str">
        <x:v>Partial proposal</x:v>
      </x:c>
      <x:c r="F512" s="4" t="str">
        <x:v>Candidate preparation of Supported iron heating element</x:v>
      </x:c>
      <x:c r="G512" s="4" t="str">
        <x:v>Controlled-heating firing kiln or specialist glass hot-work station; Ceramic firing tray / Ceramic casting mold as applicable. Qualified power, heat and atmosphere required.</x:v>
      </x:c>
      <x:c r="H512" s="4" t="str">
        <x:f>IF(I512=0,"Unassigned",IF(SUMIFS('Material routes'!$Q$6:$Q$2205,'Material routes'!$B$6:$B$2205,A512)&gt;0,"Unassigned","T"&amp;_xlfn.MAXIFS('Material routes'!$P$6:$P$2205,'Material routes'!$B$6:$B$2205,A512)))</x:f>
        <x:v>T2</x:v>
      </x:c>
      <x:c r="I512" s="4" t="n">
        <x:f>SUM(COUNTIFS('Material routes'!$B$6:$B$2205,A512,'Material routes'!$C$6:$C$2205,"Ingredient candidate"),COUNTIFS('Material routes'!$B$6:$B$2205,A512,'Material routes'!$C$6:$C$2205,"Consumed input"),COUNTIFS('Material routes'!$B$6:$B$2205,A512,'Material routes'!$C$6:$C$2205,"Contained input"),COUNTIFS('Material routes'!$B$6:$B$2205,A512,'Material routes'!$C$6:$C$2205,"Transform input"))</x:f>
        <x:v>2</x:v>
      </x:c>
      <x:c r="J512" s="4" t="n">
        <x:f>COUNTIFS('Material routes'!$B$6:$B$2205,A512,'Material routes'!$C$6:$C$2205,"Output")</x:f>
        <x:v>1</x:v>
      </x:c>
      <x:c r="K512" s="4" t="n">
        <x:f>COUNTIFS('Material routes'!$B$6:$B$2205,A512,'Material routes'!$C$6:$C$2205,"Tool candidate")</x:f>
        <x:v>0</x:v>
      </x:c>
      <x:c r="L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2" s="4" t="str">
        <x:v>Supported iron heating element October 15 audit: candidate inputs / reusable prerequisites clarified. Structural coverage is not a qualified manufacturing recipe.</x:v>
      </x:c>
    </x:row>
    <x:row r="513" ht="115" customHeight="1">
      <x:c r="A513" s="4" t="str">
        <x:v>design.audit.proposal_audit_controlled_heating_firing_kiln</x:v>
      </x:c>
      <x:c r="B513" s="4" t="str">
        <x:v>Controlled-heating firing kiln candidate preparation</x:v>
      </x:c>
      <x:c r="C513" s="4" t="str">
        <x:v>Finished-item crafting</x:v>
      </x:c>
      <x:c r="D513" s="4" t="str">
        <x:v>Proposal</x:v>
      </x:c>
      <x:c r="E513" s="4" t="str">
        <x:v>Partial proposal</x:v>
      </x:c>
      <x:c r="F513" s="4" t="str">
        <x:v>Candidate preparation of Controlled-heating firing kiln</x:v>
      </x:c>
      <x:c r="G513" s="4" t="str">
        <x:v>Specialist engineering workshop; insulation, pressure or control qualification as applicable. Power/working medium and operating theory unresolved.</x:v>
      </x:c>
      <x:c r="H513" s="4" t="str">
        <x:f>IF(I513=0,"Unassigned",IF(SUMIFS('Material routes'!$Q$6:$Q$2205,'Material routes'!$B$6:$B$2205,A513)&gt;0,"Unassigned","T"&amp;_xlfn.MAXIFS('Material routes'!$P$6:$P$2205,'Material routes'!$B$6:$B$2205,A513)))</x:f>
        <x:v>T4</x:v>
      </x:c>
      <x:c r="I513" s="4" t="n">
        <x:f>SUM(COUNTIFS('Material routes'!$B$6:$B$2205,A513,'Material routes'!$C$6:$C$2205,"Ingredient candidate"),COUNTIFS('Material routes'!$B$6:$B$2205,A513,'Material routes'!$C$6:$C$2205,"Consumed input"),COUNTIFS('Material routes'!$B$6:$B$2205,A513,'Material routes'!$C$6:$C$2205,"Contained input"),COUNTIFS('Material routes'!$B$6:$B$2205,A513,'Material routes'!$C$6:$C$2205,"Transform input"))</x:f>
        <x:v>4</x:v>
      </x:c>
      <x:c r="J513" s="4" t="n">
        <x:f>COUNTIFS('Material routes'!$B$6:$B$2205,A513,'Material routes'!$C$6:$C$2205,"Output")</x:f>
        <x:v>1</x:v>
      </x:c>
      <x:c r="K513" s="4" t="n">
        <x:f>COUNTIFS('Material routes'!$B$6:$B$2205,A513,'Material routes'!$C$6:$C$2205,"Tool candidate")</x:f>
        <x:v>0</x:v>
      </x:c>
      <x:c r="L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3" s="4" t="str">
        <x:v>Candidate stationary kiln. Qualified external power, thermal controls and atmosphere management remain unresolved. October 15 audit: candidate inputs / reusable prerequisites clarified. Structural coverage is not a qualified manufacturing recipe.</x:v>
      </x:c>
    </x:row>
    <x:row r="514" ht="115" customHeight="1">
      <x:c r="A514" s="4" t="str">
        <x:v>design.audit.proposal_audit_metalworking_hand_saw</x:v>
      </x:c>
      <x:c r="B514" s="4" t="str">
        <x:v>Metalworking hand saw candidate preparation</x:v>
      </x:c>
      <x:c r="C514" s="4" t="str">
        <x:v>Finished-item crafting</x:v>
      </x:c>
      <x:c r="D514" s="4" t="str">
        <x:v>Proposal</x:v>
      </x:c>
      <x:c r="E514" s="4" t="str">
        <x:v>Partial proposal</x:v>
      </x:c>
      <x:c r="F514" s="4" t="str">
        <x:v>Candidate preparation of Metalworking hand saw</x:v>
      </x:c>
      <x:c r="G514" s="4" t="str">
        <x:v>Forge hearth, Anvil, Forging hammer, Smithing tongs, Metalworking file and Hand-cranked metal drill as applicable. Existing workshop bootstrap and controlled heating/cooling required; no free-water quench assumed.</x:v>
      </x:c>
      <x:c r="H514" s="4" t="str">
        <x:f>IF(I514=0,"Unassigned",IF(SUMIFS('Material routes'!$Q$6:$Q$2205,'Material routes'!$B$6:$B$2205,A514)&gt;0,"Unassigned","T"&amp;_xlfn.MAXIFS('Material routes'!$P$6:$P$2205,'Material routes'!$B$6:$B$2205,A514)))</x:f>
        <x:v>T3</x:v>
      </x:c>
      <x:c r="I514" s="4" t="n">
        <x:f>SUM(COUNTIFS('Material routes'!$B$6:$B$2205,A514,'Material routes'!$C$6:$C$2205,"Ingredient candidate"),COUNTIFS('Material routes'!$B$6:$B$2205,A514,'Material routes'!$C$6:$C$2205,"Consumed input"),COUNTIFS('Material routes'!$B$6:$B$2205,A514,'Material routes'!$C$6:$C$2205,"Contained input"),COUNTIFS('Material routes'!$B$6:$B$2205,A514,'Material routes'!$C$6:$C$2205,"Transform input"))</x:f>
        <x:v>2</x:v>
      </x:c>
      <x:c r="J514" s="4" t="n">
        <x:f>COUNTIFS('Material routes'!$B$6:$B$2205,A514,'Material routes'!$C$6:$C$2205,"Output")</x:f>
        <x:v>1</x:v>
      </x:c>
      <x:c r="K514" s="4" t="n">
        <x:f>COUNTIFS('Material routes'!$B$6:$B$2205,A514,'Material routes'!$C$6:$C$2205,"Tool candidate")</x:f>
        <x:v>0</x:v>
      </x:c>
      <x:c r="L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4" s="4" t="str">
        <x:v>Metalworking hand saw October 15 audit: candidate inputs / reusable prerequisites clarified. Structural coverage is not a qualified manufacturing recipe.</x:v>
      </x:c>
    </x:row>
    <x:row r="515" ht="115" customHeight="1">
      <x:c r="A515" s="4" t="str">
        <x:v>design.audit.proposal_audit_workshop_winding_mandrel</x:v>
      </x:c>
      <x:c r="B515" s="4" t="str">
        <x:v>Workshop winding mandrel candidate preparation</x:v>
      </x:c>
      <x:c r="C515" s="4" t="str">
        <x:v>Finished-item crafting</x:v>
      </x:c>
      <x:c r="D515" s="4" t="str">
        <x:v>Proposal</x:v>
      </x:c>
      <x:c r="E515" s="4" t="str">
        <x:v>Partial proposal</x:v>
      </x:c>
      <x:c r="F515" s="4" t="str">
        <x:v>Candidate preparation of Workshop winding mandrel</x:v>
      </x:c>
      <x:c r="G515" s="4" t="str">
        <x:v>Forge hearth, Anvil, Forging hammer, Smithing tongs, Metalworking file and Hand-cranked metal drill as applicable. Existing workshop bootstrap and controlled heating/cooling required; no free-water quench assumed.</x:v>
      </x:c>
      <x:c r="H515" s="4" t="str">
        <x:f>IF(I515=0,"Unassigned",IF(SUMIFS('Material routes'!$Q$6:$Q$2205,'Material routes'!$B$6:$B$2205,A515)&gt;0,"Unassigned","T"&amp;_xlfn.MAXIFS('Material routes'!$P$6:$P$2205,'Material routes'!$B$6:$B$2205,A515)))</x:f>
        <x:v>T2</x:v>
      </x:c>
      <x:c r="I515" s="4" t="n">
        <x:f>SUM(COUNTIFS('Material routes'!$B$6:$B$2205,A515,'Material routes'!$C$6:$C$2205,"Ingredient candidate"),COUNTIFS('Material routes'!$B$6:$B$2205,A515,'Material routes'!$C$6:$C$2205,"Consumed input"),COUNTIFS('Material routes'!$B$6:$B$2205,A515,'Material routes'!$C$6:$C$2205,"Contained input"),COUNTIFS('Material routes'!$B$6:$B$2205,A515,'Material routes'!$C$6:$C$2205,"Transform input"))</x:f>
        <x:v>1</x:v>
      </x:c>
      <x:c r="J515" s="4" t="n">
        <x:f>COUNTIFS('Material routes'!$B$6:$B$2205,A515,'Material routes'!$C$6:$C$2205,"Output")</x:f>
        <x:v>1</x:v>
      </x:c>
      <x:c r="K515" s="4" t="n">
        <x:f>COUNTIFS('Material routes'!$B$6:$B$2205,A515,'Material routes'!$C$6:$C$2205,"Tool candidate")</x:f>
        <x:v>0</x:v>
      </x:c>
      <x:c r="L5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5" s="4" t="str">
        <x:v>Workshop winding mandrel October 15 audit: candidate inputs / reusable prerequisites clarified. Structural coverage is not a qualified manufacturing recipe.</x:v>
      </x:c>
    </x:row>
    <x:row r="516" ht="115" customHeight="1">
      <x:c r="A516" s="4" t="str">
        <x:v>design.audit.proposal_audit_food_preparation_screen</x:v>
      </x:c>
      <x:c r="B516" s="4" t="str">
        <x:v>Food preparation screen candidate preparation</x:v>
      </x:c>
      <x:c r="C516" s="4" t="str">
        <x:v>Finished-item crafting</x:v>
      </x:c>
      <x:c r="D516" s="4" t="str">
        <x:v>Proposal</x:v>
      </x:c>
      <x:c r="E516" s="4" t="str">
        <x:v>Partial proposal</x:v>
      </x:c>
      <x:c r="F516" s="4" t="str">
        <x:v>Candidate preparation of Food preparation screen</x:v>
      </x:c>
      <x:c r="G516" s="4" t="str">
        <x:v>Husk-sheet cutting shears, pressure fixtures and dedicated preparation surfaces. Very low hide/fur yield; no ordinary cloth or plant inputs.</x:v>
      </x:c>
      <x:c r="H516" s="4" t="str">
        <x:f>IF(I516=0,"Unassigned",IF(SUMIFS('Material routes'!$Q$6:$Q$2205,'Material routes'!$B$6:$B$2205,A516)&gt;0,"Unassigned","T"&amp;_xlfn.MAXIFS('Material routes'!$P$6:$P$2205,'Material routes'!$B$6:$B$2205,A516)))</x:f>
        <x:v>T1</x:v>
      </x:c>
      <x:c r="I516" s="4" t="n">
        <x:f>SUM(COUNTIFS('Material routes'!$B$6:$B$2205,A516,'Material routes'!$C$6:$C$2205,"Ingredient candidate"),COUNTIFS('Material routes'!$B$6:$B$2205,A516,'Material routes'!$C$6:$C$2205,"Consumed input"),COUNTIFS('Material routes'!$B$6:$B$2205,A516,'Material routes'!$C$6:$C$2205,"Contained input"),COUNTIFS('Material routes'!$B$6:$B$2205,A516,'Material routes'!$C$6:$C$2205,"Transform input"))</x:f>
        <x:v>2</x:v>
      </x:c>
      <x:c r="J516" s="4" t="n">
        <x:f>COUNTIFS('Material routes'!$B$6:$B$2205,A516,'Material routes'!$C$6:$C$2205,"Output")</x:f>
        <x:v>1</x:v>
      </x:c>
      <x:c r="K516" s="4" t="n">
        <x:f>COUNTIFS('Material routes'!$B$6:$B$2205,A516,'Material routes'!$C$6:$C$2205,"Tool candidate")</x:f>
        <x:v>0</x:v>
      </x:c>
      <x:c r="L5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6" s="4" t="str">
        <x:v>Open tendon lattice for contained food separation; no ordinary cloth or industrial chemical contact. October 15 audit: candidate inputs / reusable prerequisites clarified. Structural coverage is not a qualified manufacturing recipe.</x:v>
      </x:c>
    </x:row>
    <x:row r="517" ht="115" customHeight="1">
      <x:c r="A517" s="4" t="str">
        <x:v>design.audit.proposal_audit_metal_glassworking_blowpipe</x:v>
      </x:c>
      <x:c r="B517" s="4" t="str">
        <x:v>Metal glassworking blowpipe candidate preparation</x:v>
      </x:c>
      <x:c r="C517" s="4" t="str">
        <x:v>Finished-item crafting</x:v>
      </x:c>
      <x:c r="D517" s="4" t="str">
        <x:v>Proposal</x:v>
      </x:c>
      <x:c r="E517" s="4" t="str">
        <x:v>Partial proposal</x:v>
      </x:c>
      <x:c r="F517" s="4" t="str">
        <x:v>Candidate preparation of Metal glassworking blowpipe</x:v>
      </x:c>
      <x:c r="G517" s="4" t="str">
        <x:v>Forge hearth, Anvil, Forging hammer, Smithing tongs, Metalworking file and Hand-cranked metal drill as applicable. Existing workshop bootstrap and controlled heating/cooling required; no free-water quench assumed.</x:v>
      </x:c>
      <x:c r="H517" s="4" t="str">
        <x:f>IF(I517=0,"Unassigned",IF(SUMIFS('Material routes'!$Q$6:$Q$2205,'Material routes'!$B$6:$B$2205,A517)&gt;0,"Unassigned","T"&amp;_xlfn.MAXIFS('Material routes'!$P$6:$P$2205,'Material routes'!$B$6:$B$2205,A517)))</x:f>
        <x:v>T3</x:v>
      </x:c>
      <x:c r="I517" s="4" t="n">
        <x:f>SUM(COUNTIFS('Material routes'!$B$6:$B$2205,A517,'Material routes'!$C$6:$C$2205,"Ingredient candidate"),COUNTIFS('Material routes'!$B$6:$B$2205,A517,'Material routes'!$C$6:$C$2205,"Consumed input"),COUNTIFS('Material routes'!$B$6:$B$2205,A517,'Material routes'!$C$6:$C$2205,"Contained input"),COUNTIFS('Material routes'!$B$6:$B$2205,A517,'Material routes'!$C$6:$C$2205,"Transform input"))</x:f>
        <x:v>2</x:v>
      </x:c>
      <x:c r="J517" s="4" t="n">
        <x:f>COUNTIFS('Material routes'!$B$6:$B$2205,A517,'Material routes'!$C$6:$C$2205,"Output")</x:f>
        <x:v>1</x:v>
      </x:c>
      <x:c r="K517" s="4" t="n">
        <x:f>COUNTIFS('Material routes'!$B$6:$B$2205,A517,'Material routes'!$C$6:$C$2205,"Tool candidate")</x:f>
        <x:v>0</x:v>
      </x:c>
      <x:c r="L5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7" s="4" t="str">
        <x:v>Candidate hot-work tool for forming glass vessels; qualified heat and working atmosphere required. October 15 audit: candidate inputs / reusable prerequisites clarified. Structural coverage is not a qualified manufacturing recipe.</x:v>
      </x:c>
    </x:row>
    <x:row r="518" ht="115" customHeight="1">
      <x:c r="A518" s="4" t="str">
        <x:v>design.audit.proposal_wind_turbine</x:v>
      </x:c>
      <x:c r="B518" s="4" t="str">
        <x:v>Salvaged wind turbine candidate preparation</x:v>
      </x:c>
      <x:c r="C518" s="4" t="str">
        <x:v>Recovery assembly</x:v>
      </x:c>
      <x:c r="D518" s="4" t="str">
        <x:v>Proposal</x:v>
      </x:c>
      <x:c r="E518" s="4" t="str">
        <x:v>Partial proposal</x:v>
      </x:c>
      <x:c r="F518" s="4" t="str">
        <x:v>Candidate preparation of Salvaged wind turbine</x:v>
      </x:c>
      <x:c r="G518" s="4" t="str">
        <x:v>Forge hearth, Anvil, Forging hammer, Smithing tongs, Metalworking file and Hand-cranked metal drill as applicable. Existing workshop bootstrap and controlled heating/cooling required; no free-water quench assumed.</x:v>
      </x:c>
      <x:c r="H518" s="4" t="str">
        <x:f>IF(I518=0,"Unassigned",IF(SUMIFS('Material routes'!$Q$6:$Q$2205,'Material routes'!$B$6:$B$2205,A518)&gt;0,"Unassigned","T"&amp;_xlfn.MAXIFS('Material routes'!$P$6:$P$2205,'Material routes'!$B$6:$B$2205,A518)))</x:f>
        <x:v>Unassigned</x:v>
      </x:c>
      <x:c r="I518" s="4" t="n">
        <x:f>SUM(COUNTIFS('Material routes'!$B$6:$B$2205,A518,'Material routes'!$C$6:$C$2205,"Ingredient candidate"),COUNTIFS('Material routes'!$B$6:$B$2205,A518,'Material routes'!$C$6:$C$2205,"Consumed input"),COUNTIFS('Material routes'!$B$6:$B$2205,A518,'Material routes'!$C$6:$C$2205,"Contained input"),COUNTIFS('Material routes'!$B$6:$B$2205,A518,'Material routes'!$C$6:$C$2205,"Transform input"))</x:f>
        <x:v>4</x:v>
      </x:c>
      <x:c r="J518" s="4" t="n">
        <x:f>COUNTIFS('Material routes'!$B$6:$B$2205,A518,'Material routes'!$C$6:$C$2205,"Output")</x:f>
        <x:v>1</x:v>
      </x:c>
      <x:c r="K518" s="4" t="n">
        <x:f>COUNTIFS('Material routes'!$B$6:$B$2205,A518,'Material routes'!$C$6:$C$2205,"Tool candidate")</x:f>
        <x:v>0</x:v>
      </x:c>
      <x:c r="L5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8" s="4" t="str">
        <x:v>Reassembly from compatible recovered mechanisms; not manufacture of their internals. Mounting, braking, grounding and output qualification remain open. October 15 audit: candidate inputs / reusable prerequisites clarified. Structural coverage is not a qualified manufacturing recipe.</x:v>
      </x:c>
    </x:row>
    <x:row r="519" ht="115" customHeight="1">
      <x:c r="A519" s="4"/>
      <x:c r="B519" s="4"/>
      <x:c r="C519" s="4"/>
      <x:c r="D519" s="4"/>
      <x:c r="E519" s="4"/>
      <x:c r="F519" s="4"/>
      <x:c r="G519" s="4"/>
      <x:c r="H519" s="4"/>
      <x:c r="I519" s="4"/>
      <x:c r="J519" s="4"/>
      <x:c r="K519" s="4"/>
      <x:c r="L519" s="4"/>
      <x:c r="M519" s="4"/>
    </x:row>
    <x:row r="520" ht="115" customHeight="1">
      <x:c r="A520" s="4" t="str">
        <x:v>design.audit.equipment_cloak</x:v>
      </x:c>
      <x:c r="B520" s="4" t="str">
        <x:v>Cloak candidate preparation</x:v>
      </x:c>
      <x:c r="C520" s="4" t="str">
        <x:v>Finished-item crafting</x:v>
      </x:c>
      <x:c r="D520" s="4" t="str">
        <x:v>Proposal</x:v>
      </x:c>
      <x:c r="E520" s="4" t="str">
        <x:v>Partial proposal</x:v>
      </x:c>
      <x:c r="F520" s="4" t="str">
        <x:v>Candidate preparation of Cloak</x:v>
      </x:c>
      <x:c r="G520" s="4" t="str">
        <x:v>Forge hearth, Anvil, Forging hammer, Smithing tongs, Metalworking file and Hand-cranked metal drill as applicable. Existing workshop bootstrap and controlled heating/cooling required; no free-water quench assumed.</x:v>
      </x:c>
      <x:c r="H520" s="4" t="str">
        <x:f>IF(I520=0,"Unassigned",IF(SUMIFS('Material routes'!$Q$6:$Q$2205,'Material routes'!$B$6:$B$2205,A520)&gt;0,"Unassigned","T"&amp;_xlfn.MAXIFS('Material routes'!$P$6:$P$2205,'Material routes'!$B$6:$B$2205,A520)))</x:f>
        <x:v>T3</x:v>
      </x:c>
      <x:c r="I520" s="4" t="n">
        <x:f>SUM(COUNTIFS('Material routes'!$B$6:$B$2205,A520,'Material routes'!$C$6:$C$2205,"Ingredient candidate"),COUNTIFS('Material routes'!$B$6:$B$2205,A520,'Material routes'!$C$6:$C$2205,"Consumed input"),COUNTIFS('Material routes'!$B$6:$B$2205,A520,'Material routes'!$C$6:$C$2205,"Contained input"),COUNTIFS('Material routes'!$B$6:$B$2205,A520,'Material routes'!$C$6:$C$2205,"Transform input"))</x:f>
        <x:v>3</x:v>
      </x:c>
      <x:c r="J520" s="4" t="n">
        <x:f>COUNTIFS('Material routes'!$B$6:$B$2205,A520,'Material routes'!$C$6:$C$2205,"Output")</x:f>
        <x:v>1</x:v>
      </x:c>
      <x:c r="K520" s="4" t="n">
        <x:f>COUNTIFS('Material routes'!$B$6:$B$2205,A520,'Material routes'!$C$6:$C$2205,"Tool candidate")</x:f>
        <x:v>0</x:v>
      </x:c>
      <x:c r="L5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0" s="4" t="str">
        <x:v>Partial design only. Exact materials, joining, fit and qualification remain open. October 15 audit: candidate inputs / reusable prerequisites clarified. Structural coverage is not a qualified manufacturing recipe.</x:v>
      </x:c>
    </x:row>
    <x:row r="521" ht="115" customHeight="1">
      <x:c r="A521" s="4" t="str">
        <x:v>design.audit.equipment_digging_tool</x:v>
      </x:c>
      <x:c r="B521" s="4" t="str">
        <x:v>Digging shovel axe candidate preparation</x:v>
      </x:c>
      <x:c r="C521" s="4" t="str">
        <x:v>Finished-item crafting</x:v>
      </x:c>
      <x:c r="D521" s="4" t="str">
        <x:v>Proposal</x:v>
      </x:c>
      <x:c r="E521" s="4" t="str">
        <x:v>Partial proposal</x:v>
      </x:c>
      <x:c r="F521" s="4" t="str">
        <x:v>Candidate preparation of Digging shovel axe</x:v>
      </x:c>
      <x:c r="G521" s="4" t="str">
        <x:v>Forge hearth, Anvil, Forging hammer, Smithing tongs, Metalworking file and Hand-cranked metal drill as applicable. Existing workshop bootstrap and controlled heating/cooling required; no free-water quench assumed.</x:v>
      </x:c>
      <x:c r="H521" s="4" t="str">
        <x:f>IF(I521=0,"Unassigned",IF(SUMIFS('Material routes'!$Q$6:$Q$2205,'Material routes'!$B$6:$B$2205,A521)&gt;0,"Unassigned","T"&amp;_xlfn.MAXIFS('Material routes'!$P$6:$P$2205,'Material routes'!$B$6:$B$2205,A521)))</x:f>
        <x:v>T3</x:v>
      </x:c>
      <x:c r="I521" s="4" t="n">
        <x:f>SUM(COUNTIFS('Material routes'!$B$6:$B$2205,A521,'Material routes'!$C$6:$C$2205,"Ingredient candidate"),COUNTIFS('Material routes'!$B$6:$B$2205,A521,'Material routes'!$C$6:$C$2205,"Consumed input"),COUNTIFS('Material routes'!$B$6:$B$2205,A521,'Material routes'!$C$6:$C$2205,"Contained input"),COUNTIFS('Material routes'!$B$6:$B$2205,A521,'Material routes'!$C$6:$C$2205,"Transform input"))</x:f>
        <x:v>3</x:v>
      </x:c>
      <x:c r="J521" s="4" t="n">
        <x:f>COUNTIFS('Material routes'!$B$6:$B$2205,A521,'Material routes'!$C$6:$C$2205,"Output")</x:f>
        <x:v>1</x:v>
      </x:c>
      <x:c r="K521" s="4" t="n">
        <x:f>COUNTIFS('Material routes'!$B$6:$B$2205,A521,'Material routes'!$C$6:$C$2205,"Tool candidate")</x:f>
        <x:v>0</x:v>
      </x:c>
      <x:c r="L5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1" s="4" t="str">
        <x:v>Partial design only. Exact materials, joining, fit and qualification remain open. October 15 audit: candidate inputs / reusable prerequisites clarified. Structural coverage is not a qualified manufacturing recipe.</x:v>
      </x:c>
    </x:row>
    <x:row r="522" ht="115" customHeight="1">
      <x:c r="A522" s="4" t="str">
        <x:v>design.audit.tool_micro_dust_harvester</x:v>
      </x:c>
      <x:c r="B522" s="4" t="str">
        <x:v>Dust canister candidate preparation</x:v>
      </x:c>
      <x:c r="C522" s="4" t="str">
        <x:v>Finished-item crafting</x:v>
      </x:c>
      <x:c r="D522" s="4" t="str">
        <x:v>Proposal</x:v>
      </x:c>
      <x:c r="E522" s="4" t="str">
        <x:v>Partial proposal</x:v>
      </x:c>
      <x:c r="F522" s="4" t="str">
        <x:v>Candidate preparation of Dust canister</x:v>
      </x:c>
      <x:c r="G522" s="4" t="str">
        <x:v>Specialist engineering workshop; insulation, pressure or control qualification as applicable. Power/working medium and operating theory unresolved.</x:v>
      </x:c>
      <x:c r="H522" s="4" t="str">
        <x:f>IF(I522=0,"Unassigned",IF(SUMIFS('Material routes'!$Q$6:$Q$2205,'Material routes'!$B$6:$B$2205,A522)&gt;0,"Unassigned","T"&amp;_xlfn.MAXIFS('Material routes'!$P$6:$P$2205,'Material routes'!$B$6:$B$2205,A522)))</x:f>
        <x:v>T3</x:v>
      </x:c>
      <x:c r="I522" s="4" t="n">
        <x:f>SUM(COUNTIFS('Material routes'!$B$6:$B$2205,A522,'Material routes'!$C$6:$C$2205,"Ingredient candidate"),COUNTIFS('Material routes'!$B$6:$B$2205,A522,'Material routes'!$C$6:$C$2205,"Consumed input"),COUNTIFS('Material routes'!$B$6:$B$2205,A522,'Material routes'!$C$6:$C$2205,"Contained input"),COUNTIFS('Material routes'!$B$6:$B$2205,A522,'Material routes'!$C$6:$C$2205,"Transform input"))</x:f>
        <x:v>4</x:v>
      </x:c>
      <x:c r="J522" s="4" t="n">
        <x:f>COUNTIFS('Material routes'!$B$6:$B$2205,A522,'Material routes'!$C$6:$C$2205,"Output")</x:f>
        <x:v>1</x:v>
      </x:c>
      <x:c r="K522" s="4" t="n">
        <x:f>COUNTIFS('Material routes'!$B$6:$B$2205,A522,'Material routes'!$C$6:$C$2205,"Tool candidate")</x:f>
        <x:v>0</x:v>
      </x:c>
      <x:c r="L5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2"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3" ht="115" customHeight="1">
      <x:c r="A523" s="4" t="str">
        <x:v>design.audit.equipment_grappling_hook</x:v>
      </x:c>
      <x:c r="B523" s="4" t="str">
        <x:v>Grappling hook candidate preparation</x:v>
      </x:c>
      <x:c r="C523" s="4" t="str">
        <x:v>Finished-item crafting</x:v>
      </x:c>
      <x:c r="D523" s="4" t="str">
        <x:v>Proposal</x:v>
      </x:c>
      <x:c r="E523" s="4" t="str">
        <x:v>Partial proposal</x:v>
      </x:c>
      <x:c r="F523" s="4" t="str">
        <x:v>Candidate preparation of Grappling hook</x:v>
      </x:c>
      <x:c r="G523" s="4" t="str">
        <x:v>Forge hearth, Anvil, Forging hammer, Smithing tongs, Metalworking file and Hand-cranked metal drill as applicable. Existing workshop bootstrap and controlled heating/cooling required; no free-water quench assumed.</x:v>
      </x:c>
      <x:c r="H523" s="4" t="str">
        <x:f>IF(I523=0,"Unassigned",IF(SUMIFS('Material routes'!$Q$6:$Q$2205,'Material routes'!$B$6:$B$2205,A523)&gt;0,"Unassigned","T"&amp;_xlfn.MAXIFS('Material routes'!$P$6:$P$2205,'Material routes'!$B$6:$B$2205,A523)))</x:f>
        <x:v>T2</x:v>
      </x:c>
      <x:c r="I523" s="4" t="n">
        <x:f>SUM(COUNTIFS('Material routes'!$B$6:$B$2205,A523,'Material routes'!$C$6:$C$2205,"Ingredient candidate"),COUNTIFS('Material routes'!$B$6:$B$2205,A523,'Material routes'!$C$6:$C$2205,"Consumed input"),COUNTIFS('Material routes'!$B$6:$B$2205,A523,'Material routes'!$C$6:$C$2205,"Contained input"),COUNTIFS('Material routes'!$B$6:$B$2205,A523,'Material routes'!$C$6:$C$2205,"Transform input"))</x:f>
        <x:v>2</x:v>
      </x:c>
      <x:c r="J523" s="4" t="n">
        <x:f>COUNTIFS('Material routes'!$B$6:$B$2205,A523,'Material routes'!$C$6:$C$2205,"Output")</x:f>
        <x:v>1</x:v>
      </x:c>
      <x:c r="K523" s="4" t="n">
        <x:f>COUNTIFS('Material routes'!$B$6:$B$2205,A523,'Material routes'!$C$6:$C$2205,"Tool candidate")</x:f>
        <x:v>0</x:v>
      </x:c>
      <x:c r="L5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3" s="4" t="str">
        <x:v>Partial design only. Exact materials, joining, fit and qualification remain open. October 15 audit: candidate inputs / reusable prerequisites clarified. Structural coverage is not a qualified manufacturing recipe.</x:v>
      </x:c>
    </x:row>
    <x:row r="524" ht="115" customHeight="1">
      <x:c r="A524" s="4"/>
      <x:c r="B524" s="4"/>
      <x:c r="C524" s="4"/>
      <x:c r="D524" s="4"/>
      <x:c r="E524" s="4"/>
      <x:c r="F524" s="4"/>
      <x:c r="G524" s="4"/>
      <x:c r="H524" s="4"/>
      <x:c r="I524" s="4"/>
      <x:c r="J524" s="4"/>
      <x:c r="K524" s="4"/>
      <x:c r="L524" s="4"/>
      <x:c r="M524" s="4"/>
    </x:row>
    <x:row r="525" ht="115" customHeight="1">
      <x:c r="A525" s="4" t="str">
        <x:v>design.audit.tool_popup_camp</x:v>
      </x:c>
      <x:c r="B525" s="4" t="str">
        <x:v>Pop-up camp candidate preparation</x:v>
      </x:c>
      <x:c r="C525" s="4" t="str">
        <x:v>Kit assembly</x:v>
      </x:c>
      <x:c r="D525" s="4" t="str">
        <x:v>Proposal</x:v>
      </x:c>
      <x:c r="E525" s="4" t="str">
        <x:v>Partial proposal</x:v>
      </x:c>
      <x:c r="F525" s="4" t="str">
        <x:v>Candidate preparation of Pop-up camp</x:v>
      </x:c>
      <x:c r="G525" s="4" t="str">
        <x:v>Forge hearth, Anvil, Forging hammer, Smithing tongs, Metalworking file and Hand-cranked metal drill as applicable. Existing workshop bootstrap and controlled heating/cooling required; no free-water quench assumed.</x:v>
      </x:c>
      <x:c r="H525" s="4" t="str">
        <x:f>IF(I525=0,"Unassigned",IF(SUMIFS('Material routes'!$Q$6:$Q$2205,'Material routes'!$B$6:$B$2205,A525)&gt;0,"Unassigned","T"&amp;_xlfn.MAXIFS('Material routes'!$P$6:$P$2205,'Material routes'!$B$6:$B$2205,A525)))</x:f>
        <x:v>Unassigned</x:v>
      </x:c>
      <x:c r="I525" s="4" t="n">
        <x:f>SUM(COUNTIFS('Material routes'!$B$6:$B$2205,A525,'Material routes'!$C$6:$C$2205,"Ingredient candidate"),COUNTIFS('Material routes'!$B$6:$B$2205,A525,'Material routes'!$C$6:$C$2205,"Consumed input"),COUNTIFS('Material routes'!$B$6:$B$2205,A525,'Material routes'!$C$6:$C$2205,"Contained input"),COUNTIFS('Material routes'!$B$6:$B$2205,A525,'Material routes'!$C$6:$C$2205,"Transform input"))</x:f>
        <x:v>10</x:v>
      </x:c>
      <x:c r="J525" s="4" t="n">
        <x:f>COUNTIFS('Material routes'!$B$6:$B$2205,A525,'Material routes'!$C$6:$C$2205,"Output")</x:f>
        <x:v>1</x:v>
      </x:c>
      <x:c r="K525" s="4" t="n">
        <x:f>COUNTIFS('Material routes'!$B$6:$B$2205,A525,'Material routes'!$C$6:$C$2205,"Tool candidate")</x:f>
        <x:v>0</x:v>
      </x:c>
      <x:c r="L5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5" s="4" t="str">
        <x:v>Partial design only. Exact materials, joining, fit and qualification remain open. October 15 audit: candidate inputs / reusable prerequisites clarified. Structural coverage is not a qualified manufacturing recipe.</x:v>
      </x:c>
    </x:row>
    <x:row r="526" ht="115" customHeight="1">
      <x:c r="A526" s="4" t="str">
        <x:v>design.audit.proposal_gear_magnets</x:v>
      </x:c>
      <x:c r="B526" s="4" t="str">
        <x:v>Field magnets candidate preparation</x:v>
      </x:c>
      <x:c r="C526" s="4" t="str">
        <x:v>Finished-item crafting</x:v>
      </x:c>
      <x:c r="D526" s="4" t="str">
        <x:v>Proposal</x:v>
      </x:c>
      <x:c r="E526" s="4" t="str">
        <x:v>Partial proposal</x:v>
      </x:c>
      <x:c r="F526" s="4" t="str">
        <x:v>Candidate preparation of Field magnets</x:v>
      </x:c>
      <x:c r="G526" s="4" t="str">
        <x:v>Forge hearth, Anvil, Forging hammer, Smithing tongs, Metalworking file and Hand-cranked metal drill as applicable. Existing workshop bootstrap and controlled heating/cooling required; no free-water quench assumed.</x:v>
      </x:c>
      <x:c r="H526" s="4" t="str">
        <x:f>IF(I526=0,"Unassigned",IF(SUMIFS('Material routes'!$Q$6:$Q$2205,'Material routes'!$B$6:$B$2205,A526)&gt;0,"Unassigned","T"&amp;_xlfn.MAXIFS('Material routes'!$P$6:$P$2205,'Material routes'!$B$6:$B$2205,A526)))</x:f>
        <x:v>T3</x:v>
      </x:c>
      <x:c r="I526" s="4" t="n">
        <x:f>SUM(COUNTIFS('Material routes'!$B$6:$B$2205,A526,'Material routes'!$C$6:$C$2205,"Ingredient candidate"),COUNTIFS('Material routes'!$B$6:$B$2205,A526,'Material routes'!$C$6:$C$2205,"Consumed input"),COUNTIFS('Material routes'!$B$6:$B$2205,A526,'Material routes'!$C$6:$C$2205,"Contained input"),COUNTIFS('Material routes'!$B$6:$B$2205,A526,'Material routes'!$C$6:$C$2205,"Transform input"))</x:f>
        <x:v>2</x:v>
      </x:c>
      <x:c r="J526" s="4" t="n">
        <x:f>COUNTIFS('Material routes'!$B$6:$B$2205,A526,'Material routes'!$C$6:$C$2205,"Output")</x:f>
        <x:v>1</x:v>
      </x:c>
      <x:c r="K526" s="4" t="n">
        <x:f>COUNTIFS('Material routes'!$B$6:$B$2205,A526,'Material routes'!$C$6:$C$2205,"Tool candidate")</x:f>
        <x:v>0</x:v>
      </x:c>
      <x:c r="L5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6" s="4" t="str">
        <x:v>Partial design only. Exact materials, joining, fit and qualification remain open. October 15 audit: candidate inputs / reusable prerequisites clarified. Structural coverage is not a qualified manufacturing recipe.</x:v>
      </x:c>
    </x:row>
    <x:row r="527" ht="115" customHeight="1">
      <x:c r="A527" s="4"/>
      <x:c r="B527" s="4"/>
      <x:c r="C527" s="4"/>
      <x:c r="D527" s="4"/>
      <x:c r="E527" s="4"/>
      <x:c r="F527" s="4"/>
      <x:c r="G527" s="4"/>
      <x:c r="H527" s="4"/>
      <x:c r="I527" s="4"/>
      <x:c r="J527" s="4"/>
      <x:c r="K527" s="4"/>
      <x:c r="L527" s="4"/>
      <x:c r="M527" s="4"/>
    </x:row>
    <x:row r="528" ht="115" customHeight="1">
      <x:c r="A528" s="4"/>
      <x:c r="B528" s="4"/>
      <x:c r="C528" s="4"/>
      <x:c r="D528" s="4"/>
      <x:c r="E528" s="4"/>
      <x:c r="F528" s="4"/>
      <x:c r="G528" s="4"/>
      <x:c r="H528" s="4"/>
      <x:c r="I528" s="4"/>
      <x:c r="J528" s="4"/>
      <x:c r="K528" s="4"/>
      <x:c r="L528" s="4"/>
      <x:c r="M528" s="4"/>
    </x:row>
    <x:row r="529" ht="115" customHeight="1">
      <x:c r="A529" s="4" t="str">
        <x:v>design.audit.proposal_container_reagent_bottle</x:v>
      </x:c>
      <x:c r="B529" s="4" t="str">
        <x:v>Opaque reagent bottle candidate preparation</x:v>
      </x:c>
      <x:c r="C529" s="4" t="str">
        <x:v>Finished-item crafting</x:v>
      </x:c>
      <x:c r="D529" s="4" t="inlineStr">
        <x:is>
          <x:t xml:space="preserve">Retired</x:t>
        </x:is>
      </x:c>
      <x:c r="E529" s="4" t="inlineStr">
        <x:is>
          <x:t xml:space="preserve">Withdrawn container proposal</x:t>
        </x:is>
      </x:c>
      <x:c r="F52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29" s="4" t="inlineStr">
        <x:is>
          <x:t xml:space="preserve">No dedicated station required for found salvage</x:t>
        </x:is>
      </x:c>
      <x:c r="H529" s="4" t="str">
        <x:f>IF(I529=0,"Unassigned",IF(SUMIFS('Material routes'!$Q$6:$Q$2205,'Material routes'!$B$6:$B$2205,A529)&gt;0,"Unassigned","T"&amp;_xlfn.MAXIFS('Material routes'!$P$6:$P$2205,'Material routes'!$B$6:$B$2205,A529)))</x:f>
        <x:v>T2</x:v>
      </x:c>
      <x:c r="I529" s="4" t="n">
        <x:f>SUM(COUNTIFS('Material routes'!$B$6:$B$2205,A529,'Material routes'!$C$6:$C$2205,"Ingredient candidate"),COUNTIFS('Material routes'!$B$6:$B$2205,A529,'Material routes'!$C$6:$C$2205,"Consumed input"),COUNTIFS('Material routes'!$B$6:$B$2205,A529,'Material routes'!$C$6:$C$2205,"Contained input"),COUNTIFS('Material routes'!$B$6:$B$2205,A529,'Material routes'!$C$6:$C$2205,"Transform input"))</x:f>
        <x:v>2</x:v>
      </x:c>
      <x:c r="J529" s="4" t="n">
        <x:f>COUNTIFS('Material routes'!$B$6:$B$2205,A529,'Material routes'!$C$6:$C$2205,"Output")</x:f>
        <x:v>1</x:v>
      </x:c>
      <x:c r="K529" s="4" t="n">
        <x:f>COUNTIFS('Material routes'!$B$6:$B$2205,A529,'Material routes'!$C$6:$C$2205,"Tool candidate")</x:f>
        <x:v>0</x:v>
      </x:c>
      <x:c r="L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9" s="4" t="inlineStr">
        <x:is>
          <x:t xml:space="preserve">Possible salvage reuse remains undecided</x:t>
        </x:is>
      </x:c>
    </x:row>
    <x:row r="530" ht="115" customHeight="1">
      <x:c r="A530" s="4"/>
      <x:c r="B530" s="4"/>
      <x:c r="C530" s="4"/>
      <x:c r="D530" s="4"/>
      <x:c r="E530" s="4"/>
      <x:c r="F530" s="4"/>
      <x:c r="G530" s="4"/>
      <x:c r="H530" s="4"/>
      <x:c r="I530" s="4"/>
      <x:c r="J530" s="4"/>
      <x:c r="K530" s="4"/>
      <x:c r="L530" s="4"/>
      <x:c r="M530" s="4"/>
    </x:row>
    <x:row r="531" ht="115" customHeight="1">
      <x:c r="A531" s="4"/>
      <x:c r="B531" s="4"/>
      <x:c r="C531" s="4"/>
      <x:c r="D531" s="4"/>
      <x:c r="E531" s="4"/>
      <x:c r="F531" s="4"/>
      <x:c r="G531" s="4"/>
      <x:c r="H531" s="4"/>
      <x:c r="I531" s="4"/>
      <x:c r="J531" s="4"/>
      <x:c r="K531" s="4"/>
      <x:c r="L531" s="4"/>
      <x:c r="M531" s="4"/>
    </x:row>
    <x:row r="532" ht="115" customHeight="1">
      <x:c r="A532" s="4"/>
      <x:c r="B532" s="4"/>
      <x:c r="C532" s="4"/>
      <x:c r="D532" s="4"/>
      <x:c r="E532" s="4"/>
      <x:c r="F532" s="4"/>
      <x:c r="G532" s="4"/>
      <x:c r="H532" s="4"/>
      <x:c r="I532" s="4"/>
      <x:c r="J532" s="4"/>
      <x:c r="K532" s="4"/>
      <x:c r="L532" s="4"/>
      <x:c r="M532" s="4"/>
    </x:row>
    <x:row r="533" ht="115" customHeight="1">
      <x:c r="A533" s="4"/>
      <x:c r="B533" s="4"/>
      <x:c r="C533" s="4"/>
      <x:c r="D533" s="4"/>
      <x:c r="E533" s="4"/>
      <x:c r="F533" s="4"/>
      <x:c r="G533" s="4"/>
      <x:c r="H533" s="4"/>
      <x:c r="I533" s="4"/>
      <x:c r="J533" s="4"/>
      <x:c r="K533" s="4"/>
      <x:c r="L533" s="4"/>
      <x:c r="M533" s="4"/>
    </x:row>
    <x:row r="534" ht="115" customHeight="1">
      <x:c r="A534" s="4" t="str">
        <x:v>design.audit.proposal_container_lined_canister</x:v>
      </x:c>
      <x:c r="B534" s="4" t="str">
        <x:v>Glass-lined haul canister candidate preparation</x:v>
      </x:c>
      <x:c r="C534" s="4" t="str">
        <x:v>Finished-item crafting</x:v>
      </x:c>
      <x:c r="D534" s="4" t="inlineStr">
        <x:is>
          <x:t xml:space="preserve">Retired</x:t>
        </x:is>
      </x:c>
      <x:c r="E534" s="4" t="inlineStr">
        <x:is>
          <x:t xml:space="preserve">Withdrawn container proposal</x:t>
        </x:is>
      </x:c>
      <x:c r="F53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34" s="4" t="inlineStr">
        <x:is>
          <x:t xml:space="preserve">No dedicated station required for found salvage</x:t>
        </x:is>
      </x:c>
      <x:c r="H534" s="4" t="str">
        <x:f>IF(I534=0,"Unassigned",IF(SUMIFS('Material routes'!$Q$6:$Q$2205,'Material routes'!$B$6:$B$2205,A534)&gt;0,"Unassigned","T"&amp;_xlfn.MAXIFS('Material routes'!$P$6:$P$2205,'Material routes'!$B$6:$B$2205,A534)))</x:f>
        <x:v>T4</x:v>
      </x:c>
      <x:c r="I534" s="4" t="n">
        <x:f>SUM(COUNTIFS('Material routes'!$B$6:$B$2205,A534,'Material routes'!$C$6:$C$2205,"Ingredient candidate"),COUNTIFS('Material routes'!$B$6:$B$2205,A534,'Material routes'!$C$6:$C$2205,"Consumed input"),COUNTIFS('Material routes'!$B$6:$B$2205,A534,'Material routes'!$C$6:$C$2205,"Contained input"),COUNTIFS('Material routes'!$B$6:$B$2205,A534,'Material routes'!$C$6:$C$2205,"Transform input"))</x:f>
        <x:v>4</x:v>
      </x:c>
      <x:c r="J534" s="4" t="n">
        <x:f>COUNTIFS('Material routes'!$B$6:$B$2205,A534,'Material routes'!$C$6:$C$2205,"Output")</x:f>
        <x:v>1</x:v>
      </x:c>
      <x:c r="K534" s="4" t="n">
        <x:f>COUNTIFS('Material routes'!$B$6:$B$2205,A534,'Material routes'!$C$6:$C$2205,"Tool candidate")</x:f>
        <x:v>0</x:v>
      </x:c>
      <x:c r="L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4" s="4" t="inlineStr">
        <x:is>
          <x:t xml:space="preserve">Possible salvage reuse remains undecided</x:t>
        </x:is>
      </x:c>
    </x:row>
    <x:row r="535" ht="115" customHeight="1">
      <x:c r="A535" s="4" t="str">
        <x:v>design.audit.proposal_container_ceramic_jar</x:v>
      </x:c>
      <x:c r="B535" s="4" t="str">
        <x:v>Glazed ceramic reagent jar candidate preparation</x:v>
      </x:c>
      <x:c r="C535" s="4" t="str">
        <x:v>Finished-item crafting</x:v>
      </x:c>
      <x:c r="D535" s="4" t="inlineStr">
        <x:is>
          <x:t xml:space="preserve">Retired</x:t>
        </x:is>
      </x:c>
      <x:c r="E535" s="4" t="inlineStr">
        <x:is>
          <x:t xml:space="preserve">Withdrawn container proposal</x:t>
        </x:is>
      </x:c>
      <x:c r="F5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35" s="4" t="inlineStr">
        <x:is>
          <x:t xml:space="preserve">No dedicated station required for found salvage</x:t>
        </x:is>
      </x:c>
      <x:c r="H535" s="4" t="str">
        <x:f>IF(I535=0,"Unassigned",IF(SUMIFS('Material routes'!$Q$6:$Q$2205,'Material routes'!$B$6:$B$2205,A535)&gt;0,"Unassigned","T"&amp;_xlfn.MAXIFS('Material routes'!$P$6:$P$2205,'Material routes'!$B$6:$B$2205,A535)))</x:f>
        <x:v>T3</x:v>
      </x:c>
      <x:c r="I535" s="4" t="n">
        <x:f>SUM(COUNTIFS('Material routes'!$B$6:$B$2205,A535,'Material routes'!$C$6:$C$2205,"Ingredient candidate"),COUNTIFS('Material routes'!$B$6:$B$2205,A535,'Material routes'!$C$6:$C$2205,"Consumed input"),COUNTIFS('Material routes'!$B$6:$B$2205,A535,'Material routes'!$C$6:$C$2205,"Contained input"),COUNTIFS('Material routes'!$B$6:$B$2205,A535,'Material routes'!$C$6:$C$2205,"Transform input"))</x:f>
        <x:v>3</x:v>
      </x:c>
      <x:c r="J535" s="4" t="n">
        <x:f>COUNTIFS('Material routes'!$B$6:$B$2205,A535,'Material routes'!$C$6:$C$2205,"Output")</x:f>
        <x:v>1</x:v>
      </x:c>
      <x:c r="K535" s="4" t="n">
        <x:f>COUNTIFS('Material routes'!$B$6:$B$2205,A535,'Material routes'!$C$6:$C$2205,"Tool candidate")</x:f>
        <x:v>0</x:v>
      </x:c>
      <x:c r="L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5" s="4" t="inlineStr">
        <x:is>
          <x:t xml:space="preserve">Possible salvage reuse remains undecided</x:t>
        </x:is>
      </x:c>
    </x:row>
    <x:row r="536" ht="115" customHeight="1">
      <x:c r="A536" s="4" t="str">
        <x:v>design.audit.proposal_container_bulk_ichor</x:v>
      </x:c>
      <x:c r="B536" s="4" t="str">
        <x:v>Bulk ichor vessel candidate preparation</x:v>
      </x:c>
      <x:c r="C536" s="4" t="str">
        <x:v>Finished-item crafting</x:v>
      </x:c>
      <x:c r="D536" s="4" t="str">
        <x:v>Proposal</x:v>
      </x:c>
      <x:c r="E536" s="4" t="str">
        <x:v>Partial proposal</x:v>
      </x:c>
      <x:c r="F536" s="4" t="str">
        <x:v>Candidate preparation of Bulk ichor vessel</x:v>
      </x:c>
      <x:c r="G536" s="4" t="str">
        <x:v>Forge hearth, Anvil, Forging hammer, Smithing tongs, Metalworking file and Hand-cranked metal drill as applicable. Existing workshop bootstrap and controlled heating/cooling required; no free-water quench assumed.</x:v>
      </x:c>
      <x:c r="H536" s="4" t="str">
        <x:f>IF(I536=0,"Unassigned",IF(SUMIFS('Material routes'!$Q$6:$Q$2205,'Material routes'!$B$6:$B$2205,A536)&gt;0,"Unassigned","T"&amp;_xlfn.MAXIFS('Material routes'!$P$6:$P$2205,'Material routes'!$B$6:$B$2205,A536)))</x:f>
        <x:v>T4</x:v>
      </x:c>
      <x:c r="I536" s="4" t="n">
        <x:f>SUM(COUNTIFS('Material routes'!$B$6:$B$2205,A536,'Material routes'!$C$6:$C$2205,"Ingredient candidate"),COUNTIFS('Material routes'!$B$6:$B$2205,A536,'Material routes'!$C$6:$C$2205,"Consumed input"),COUNTIFS('Material routes'!$B$6:$B$2205,A536,'Material routes'!$C$6:$C$2205,"Contained input"),COUNTIFS('Material routes'!$B$6:$B$2205,A536,'Material routes'!$C$6:$C$2205,"Transform input"))</x:f>
        <x:v>4</x:v>
      </x:c>
      <x:c r="J536" s="4" t="n">
        <x:f>COUNTIFS('Material routes'!$B$6:$B$2205,A536,'Material routes'!$C$6:$C$2205,"Output")</x:f>
        <x:v>1</x:v>
      </x:c>
      <x:c r="K536" s="4" t="n">
        <x:f>COUNTIFS('Material routes'!$B$6:$B$2205,A536,'Material routes'!$C$6:$C$2205,"Tool candidate")</x:f>
        <x:v>0</x:v>
      </x:c>
      <x:c r="L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6" s="4" t="str">
        <x:v>Partial design only. Exact materials, joining, fit and qualification remain open. October 15 audit: candidate inputs / reusable prerequisites clarified. Structural coverage is not a qualified manufacturing recipe.</x:v>
      </x:c>
    </x:row>
    <x:row r="537" ht="115" customHeight="1">
      <x:c r="A537" s="4"/>
      <x:c r="B537" s="4"/>
      <x:c r="C537" s="4"/>
      <x:c r="D537" s="4"/>
      <x:c r="E537" s="4"/>
      <x:c r="F537" s="4"/>
      <x:c r="G537" s="4"/>
      <x:c r="H537" s="4"/>
      <x:c r="I537" s="4"/>
      <x:c r="J537" s="4"/>
      <x:c r="K537" s="4"/>
      <x:c r="L537" s="4"/>
      <x:c r="M537" s="4"/>
    </x:row>
    <x:row r="538" ht="115" customHeight="1">
      <x:c r="A538" s="4"/>
      <x:c r="B538" s="4"/>
      <x:c r="C538" s="4"/>
      <x:c r="D538" s="4"/>
      <x:c r="E538" s="4"/>
      <x:c r="F538" s="4"/>
      <x:c r="G538" s="4"/>
      <x:c r="H538" s="4"/>
      <x:c r="I538" s="4"/>
      <x:c r="J538" s="4"/>
      <x:c r="K538" s="4"/>
      <x:c r="L538" s="4"/>
      <x:c r="M538" s="4"/>
    </x:row>
    <x:row r="539" ht="115" customHeight="1">
      <x:c r="A539" s="4" t="str">
        <x:v>design.audit.proposal_container_field_chest</x:v>
      </x:c>
      <x:c r="B539" s="4" t="str">
        <x:v>Locking field chest candidate preparation</x:v>
      </x:c>
      <x:c r="C539" s="4" t="str">
        <x:v>Finished-item crafting</x:v>
      </x:c>
      <x:c r="D539" s="4" t="str">
        <x:v>Proposal</x:v>
      </x:c>
      <x:c r="E539" s="4" t="str">
        <x:v>Partial proposal</x:v>
      </x:c>
      <x:c r="F539" s="4" t="str">
        <x:v>Candidate preparation of Locking field chest</x:v>
      </x:c>
      <x:c r="G539" s="4" t="str">
        <x:v>Forge hearth, Anvil, Forging hammer, Smithing tongs, Metalworking file and Hand-cranked metal drill as applicable. Existing workshop bootstrap and controlled heating/cooling required; no free-water quench assumed.</x:v>
      </x:c>
      <x:c r="H539" s="4" t="str">
        <x:f>IF(I539=0,"Unassigned",IF(SUMIFS('Material routes'!$Q$6:$Q$2205,'Material routes'!$B$6:$B$2205,A539)&gt;0,"Unassigned","T"&amp;_xlfn.MAXIFS('Material routes'!$P$6:$P$2205,'Material routes'!$B$6:$B$2205,A539)))</x:f>
        <x:v>T4</x:v>
      </x:c>
      <x:c r="I539" s="4" t="n">
        <x:f>SUM(COUNTIFS('Material routes'!$B$6:$B$2205,A539,'Material routes'!$C$6:$C$2205,"Ingredient candidate"),COUNTIFS('Material routes'!$B$6:$B$2205,A539,'Material routes'!$C$6:$C$2205,"Consumed input"),COUNTIFS('Material routes'!$B$6:$B$2205,A539,'Material routes'!$C$6:$C$2205,"Contained input"),COUNTIFS('Material routes'!$B$6:$B$2205,A539,'Material routes'!$C$6:$C$2205,"Transform input"))</x:f>
        <x:v>3</x:v>
      </x:c>
      <x:c r="J539" s="4" t="n">
        <x:f>COUNTIFS('Material routes'!$B$6:$B$2205,A539,'Material routes'!$C$6:$C$2205,"Output")</x:f>
        <x:v>1</x:v>
      </x:c>
      <x:c r="K539" s="4" t="n">
        <x:f>COUNTIFS('Material routes'!$B$6:$B$2205,A539,'Material routes'!$C$6:$C$2205,"Tool candidate")</x:f>
        <x:v>0</x:v>
      </x:c>
      <x:c r="L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9" s="4" t="str">
        <x:v>Partial design only. Exact materials, joining, fit and qualification remain open. October 15 audit: candidate inputs / reusable prerequisites clarified. Structural coverage is not a qualified manufacturing recipe.</x:v>
      </x:c>
    </x:row>
    <x:row r="540" ht="115" customHeight="1">
      <x:c r="A540" s="4"/>
      <x:c r="B540" s="4"/>
      <x:c r="C540" s="4"/>
      <x:c r="D540" s="4"/>
      <x:c r="E540" s="4"/>
      <x:c r="F540" s="4"/>
      <x:c r="G540" s="4"/>
      <x:c r="H540" s="4"/>
      <x:c r="I540" s="4"/>
      <x:c r="J540" s="4"/>
      <x:c r="K540" s="4"/>
      <x:c r="L540" s="4"/>
      <x:c r="M540" s="4"/>
    </x:row>
    <x:row r="541" ht="115" customHeight="1">
      <x:c r="A541" s="4" t="str">
        <x:v>design.audit.proposal_container_draw_tube</x:v>
      </x:c>
      <x:c r="B541" s="4" t="str">
        <x:v>Glass draw tube candidate preparation</x:v>
      </x:c>
      <x:c r="C541" s="4" t="str">
        <x:v>Finished-item crafting</x:v>
      </x:c>
      <x:c r="D541" s="4" t="inlineStr">
        <x:is>
          <x:t xml:space="preserve">Retired</x:t>
        </x:is>
      </x:c>
      <x:c r="E541" s="4" t="inlineStr">
        <x:is>
          <x:t xml:space="preserve">Withdrawn container proposal</x:t>
        </x:is>
      </x:c>
      <x:c r="F54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41" s="4" t="inlineStr">
        <x:is>
          <x:t xml:space="preserve">No dedicated station required for found salvage</x:t>
        </x:is>
      </x:c>
      <x:c r="H541" s="4" t="str">
        <x:f>IF(I541=0,"Unassigned",IF(SUMIFS('Material routes'!$Q$6:$Q$2205,'Material routes'!$B$6:$B$2205,A541)&gt;0,"Unassigned","T"&amp;_xlfn.MAXIFS('Material routes'!$P$6:$P$2205,'Material routes'!$B$6:$B$2205,A541)))</x:f>
        <x:v>T1</x:v>
      </x:c>
      <x:c r="I541" s="4" t="n">
        <x:f>SUM(COUNTIFS('Material routes'!$B$6:$B$2205,A541,'Material routes'!$C$6:$C$2205,"Ingredient candidate"),COUNTIFS('Material routes'!$B$6:$B$2205,A541,'Material routes'!$C$6:$C$2205,"Consumed input"),COUNTIFS('Material routes'!$B$6:$B$2205,A541,'Material routes'!$C$6:$C$2205,"Contained input"),COUNTIFS('Material routes'!$B$6:$B$2205,A541,'Material routes'!$C$6:$C$2205,"Transform input"))</x:f>
        <x:v>1</x:v>
      </x:c>
      <x:c r="J541" s="4" t="n">
        <x:f>COUNTIFS('Material routes'!$B$6:$B$2205,A541,'Material routes'!$C$6:$C$2205,"Output")</x:f>
        <x:v>1</x:v>
      </x:c>
      <x:c r="K541" s="4" t="n">
        <x:f>COUNTIFS('Material routes'!$B$6:$B$2205,A541,'Material routes'!$C$6:$C$2205,"Tool candidate")</x:f>
        <x:v>0</x:v>
      </x:c>
      <x:c r="L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1" s="4" t="inlineStr">
        <x:is>
          <x:t xml:space="preserve">Possible salvage reuse remains undecided</x:t>
        </x:is>
      </x:c>
    </x:row>
    <x:row r="542" ht="115" customHeight="1">
      <x:c r="A542" s="4"/>
      <x:c r="B542" s="4"/>
      <x:c r="C542" s="4"/>
      <x:c r="D542" s="4"/>
      <x:c r="E542" s="4"/>
      <x:c r="F542" s="4"/>
      <x:c r="G542" s="4"/>
      <x:c r="H542" s="4"/>
      <x:c r="I542" s="4"/>
      <x:c r="J542" s="4"/>
      <x:c r="K542" s="4"/>
      <x:c r="L542" s="4"/>
      <x:c r="M542" s="4"/>
    </x:row>
    <x:row r="543" ht="115" customHeight="1">
      <x:c r="A543" s="4"/>
      <x:c r="B543" s="4"/>
      <x:c r="C543" s="4"/>
      <x:c r="D543" s="4"/>
      <x:c r="E543" s="4"/>
      <x:c r="F543" s="4"/>
      <x:c r="G543" s="4"/>
      <x:c r="H543" s="4"/>
      <x:c r="I543" s="4"/>
      <x:c r="J543" s="4"/>
      <x:c r="K543" s="4"/>
      <x:c r="L543" s="4"/>
      <x:c r="M543" s="4"/>
    </x:row>
    <x:row r="544" ht="115" customHeight="1">
      <x:c r="A544" s="4" t="str">
        <x:v>design.audit.proposal_gear_helmet</x:v>
      </x:c>
      <x:c r="B544" s="4" t="str">
        <x:v>Helmet candidate preparation</x:v>
      </x:c>
      <x:c r="C544" s="4" t="str">
        <x:v>Finished-item crafting</x:v>
      </x:c>
      <x:c r="D544" s="4" t="str">
        <x:v>Proposal</x:v>
      </x:c>
      <x:c r="E544" s="4" t="str">
        <x:v>Partial proposal</x:v>
      </x:c>
      <x:c r="F544" s="4" t="str">
        <x:v>Candidate preparation of Helmet</x:v>
      </x:c>
      <x:c r="G544" s="4" t="str">
        <x:v>Forge hearth, Anvil, Forging hammer, Smithing tongs, Metalworking file and Hand-cranked metal drill as applicable. Existing workshop bootstrap and controlled heating/cooling required; no free-water quench assumed.</x:v>
      </x:c>
      <x:c r="H544" s="4" t="str">
        <x:f>IF(I544=0,"Unassigned",IF(SUMIFS('Material routes'!$Q$6:$Q$2205,'Material routes'!$B$6:$B$2205,A544)&gt;0,"Unassigned","T"&amp;_xlfn.MAXIFS('Material routes'!$P$6:$P$2205,'Material routes'!$B$6:$B$2205,A544)))</x:f>
        <x:v>T3</x:v>
      </x:c>
      <x:c r="I544" s="4" t="n">
        <x:f>SUM(COUNTIFS('Material routes'!$B$6:$B$2205,A544,'Material routes'!$C$6:$C$2205,"Ingredient candidate"),COUNTIFS('Material routes'!$B$6:$B$2205,A544,'Material routes'!$C$6:$C$2205,"Consumed input"),COUNTIFS('Material routes'!$B$6:$B$2205,A544,'Material routes'!$C$6:$C$2205,"Contained input"),COUNTIFS('Material routes'!$B$6:$B$2205,A544,'Material routes'!$C$6:$C$2205,"Transform input"))</x:f>
        <x:v>2</x:v>
      </x:c>
      <x:c r="J544" s="4" t="n">
        <x:f>COUNTIFS('Material routes'!$B$6:$B$2205,A544,'Material routes'!$C$6:$C$2205,"Output")</x:f>
        <x:v>1</x:v>
      </x:c>
      <x:c r="K544" s="4" t="n">
        <x:f>COUNTIFS('Material routes'!$B$6:$B$2205,A544,'Material routes'!$C$6:$C$2205,"Tool candidate")</x:f>
        <x:v>0</x:v>
      </x:c>
      <x:c r="L5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4" s="4" t="str">
        <x:v>Partial design only. Exact materials, joining, fit and qualification remain open. October 15 audit: candidate inputs / reusable prerequisites clarified. Structural coverage is not a qualified manufacturing recipe.</x:v>
      </x:c>
    </x:row>
    <x:row r="545" ht="115" customHeight="1">
      <x:c r="A545" s="4" t="str">
        <x:v>design.audit.proposal_gear_leg_armor</x:v>
      </x:c>
      <x:c r="B545" s="4" t="str">
        <x:v>Leg armor candidate preparation</x:v>
      </x:c>
      <x:c r="C545" s="4" t="str">
        <x:v>Finished-item crafting</x:v>
      </x:c>
      <x:c r="D545" s="4" t="str">
        <x:v>Proposal</x:v>
      </x:c>
      <x:c r="E545" s="4" t="str">
        <x:v>Partial proposal</x:v>
      </x:c>
      <x:c r="F545" s="4" t="str">
        <x:v>Candidate preparation of Leg armor</x:v>
      </x:c>
      <x:c r="G545" s="4" t="str">
        <x:v>Forge hearth, Anvil, Forging hammer, Smithing tongs, Metalworking file and Hand-cranked metal drill as applicable. Existing workshop bootstrap and controlled heating/cooling required; no free-water quench assumed.</x:v>
      </x:c>
      <x:c r="H545" s="4" t="str">
        <x:f>IF(I545=0,"Unassigned",IF(SUMIFS('Material routes'!$Q$6:$Q$2205,'Material routes'!$B$6:$B$2205,A545)&gt;0,"Unassigned","T"&amp;_xlfn.MAXIFS('Material routes'!$P$6:$P$2205,'Material routes'!$B$6:$B$2205,A545)))</x:f>
        <x:v>T3</x:v>
      </x:c>
      <x:c r="I545" s="4" t="n">
        <x:f>SUM(COUNTIFS('Material routes'!$B$6:$B$2205,A545,'Material routes'!$C$6:$C$2205,"Ingredient candidate"),COUNTIFS('Material routes'!$B$6:$B$2205,A545,'Material routes'!$C$6:$C$2205,"Consumed input"),COUNTIFS('Material routes'!$B$6:$B$2205,A545,'Material routes'!$C$6:$C$2205,"Contained input"),COUNTIFS('Material routes'!$B$6:$B$2205,A545,'Material routes'!$C$6:$C$2205,"Transform input"))</x:f>
        <x:v>3</x:v>
      </x:c>
      <x:c r="J545" s="4" t="n">
        <x:f>COUNTIFS('Material routes'!$B$6:$B$2205,A545,'Material routes'!$C$6:$C$2205,"Output")</x:f>
        <x:v>1</x:v>
      </x:c>
      <x:c r="K545" s="4" t="n">
        <x:f>COUNTIFS('Material routes'!$B$6:$B$2205,A545,'Material routes'!$C$6:$C$2205,"Tool candidate")</x:f>
        <x:v>0</x:v>
      </x:c>
      <x:c r="L5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5" s="4" t="str">
        <x:v>Partial design only. Exact materials, joining, fit and qualification remain open. October 15 audit: candidate inputs / reusable prerequisites clarified. Structural coverage is not a qualified manufacturing recipe.</x:v>
      </x:c>
    </x:row>
    <x:row r="546" ht="115" customHeight="1">
      <x:c r="A546" s="4"/>
      <x:c r="B546" s="4"/>
      <x:c r="C546" s="4"/>
      <x:c r="D546" s="4"/>
      <x:c r="E546" s="4"/>
      <x:c r="F546" s="4"/>
      <x:c r="G546" s="4"/>
      <x:c r="H546" s="4"/>
      <x:c r="I546" s="4"/>
      <x:c r="J546" s="4"/>
      <x:c r="K546" s="4"/>
      <x:c r="L546" s="4"/>
      <x:c r="M546" s="4"/>
    </x:row>
    <x:row r="547" ht="115" customHeight="1">
      <x:c r="A547" s="4"/>
      <x:c r="B547" s="4"/>
      <x:c r="C547" s="4"/>
      <x:c r="D547" s="4"/>
      <x:c r="E547" s="4"/>
      <x:c r="F547" s="4"/>
      <x:c r="G547" s="4"/>
      <x:c r="H547" s="4"/>
      <x:c r="I547" s="4"/>
      <x:c r="J547" s="4"/>
      <x:c r="K547" s="4"/>
      <x:c r="L547" s="4"/>
      <x:c r="M547" s="4"/>
    </x:row>
    <x:row r="548" ht="115" customHeight="1">
      <x:c r="A548" s="4" t="str">
        <x:v>design.audit.proposal_gear_backpack</x:v>
      </x:c>
      <x:c r="B548" s="4" t="str">
        <x:v>Backpack candidate preparation</x:v>
      </x:c>
      <x:c r="C548" s="4" t="str">
        <x:v>Finished-item crafting</x:v>
      </x:c>
      <x:c r="D548" s="4" t="str">
        <x:v>Proposal</x:v>
      </x:c>
      <x:c r="E548" s="4" t="str">
        <x:v>Partial proposal</x:v>
      </x:c>
      <x:c r="F548" s="4" t="str">
        <x:v>Candidate preparation of Backpack</x:v>
      </x:c>
      <x:c r="G548" s="4" t="str">
        <x:v>Forge hearth, Anvil, Forging hammer, Smithing tongs, Metalworking file and Hand-cranked metal drill as applicable. Existing workshop bootstrap and controlled heating/cooling required; no free-water quench assumed.</x:v>
      </x:c>
      <x:c r="H548" s="4" t="str">
        <x:f>IF(I548=0,"Unassigned",IF(SUMIFS('Material routes'!$Q$6:$Q$2205,'Material routes'!$B$6:$B$2205,A548)&gt;0,"Unassigned","T"&amp;_xlfn.MAXIFS('Material routes'!$P$6:$P$2205,'Material routes'!$B$6:$B$2205,A548)))</x:f>
        <x:v>T3</x:v>
      </x:c>
      <x:c r="I548" s="4" t="n">
        <x:f>SUM(COUNTIFS('Material routes'!$B$6:$B$2205,A548,'Material routes'!$C$6:$C$2205,"Ingredient candidate"),COUNTIFS('Material routes'!$B$6:$B$2205,A548,'Material routes'!$C$6:$C$2205,"Consumed input"),COUNTIFS('Material routes'!$B$6:$B$2205,A548,'Material routes'!$C$6:$C$2205,"Contained input"),COUNTIFS('Material routes'!$B$6:$B$2205,A548,'Material routes'!$C$6:$C$2205,"Transform input"))</x:f>
        <x:v>3</x:v>
      </x:c>
      <x:c r="J548" s="4" t="n">
        <x:f>COUNTIFS('Material routes'!$B$6:$B$2205,A548,'Material routes'!$C$6:$C$2205,"Output")</x:f>
        <x:v>1</x:v>
      </x:c>
      <x:c r="K548" s="4" t="n">
        <x:f>COUNTIFS('Material routes'!$B$6:$B$2205,A548,'Material routes'!$C$6:$C$2205,"Tool candidate")</x:f>
        <x:v>0</x:v>
      </x:c>
      <x:c r="L5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8" s="4" t="str">
        <x:v>Partial design only. Exact materials, joining, fit and qualification remain open. October 15 audit: candidate inputs / reusable prerequisites clarified. Structural coverage is not a qualified manufacturing recipe.</x:v>
      </x:c>
    </x:row>
    <x:row r="549" ht="115" customHeight="1">
      <x:c r="A549" s="4" t="str">
        <x:v>design.audit.proposal_gear_special_plates</x:v>
      </x:c>
      <x:c r="B549" s="4" t="str">
        <x:v>Specialized armor plates candidate preparation</x:v>
      </x:c>
      <x:c r="C549" s="4" t="str">
        <x:v>Finished-item crafting</x:v>
      </x:c>
      <x:c r="D549" s="4" t="str">
        <x:v>Proposal</x:v>
      </x:c>
      <x:c r="E549" s="4" t="str">
        <x:v>Partial proposal</x:v>
      </x:c>
      <x:c r="F549" s="4" t="str">
        <x:v>Candidate preparation of Specialized armor plates</x:v>
      </x:c>
      <x:c r="G549" s="4" t="str">
        <x:v>Forge hearth, Anvil, Forging hammer, Smithing tongs, Metalworking file and Hand-cranked metal drill as applicable. Existing workshop bootstrap and controlled heating/cooling required; no free-water quench assumed.</x:v>
      </x:c>
      <x:c r="H549" s="4" t="str">
        <x:f>IF(I549=0,"Unassigned",IF(SUMIFS('Material routes'!$Q$6:$Q$2205,'Material routes'!$B$6:$B$2205,A549)&gt;0,"Unassigned","T"&amp;_xlfn.MAXIFS('Material routes'!$P$6:$P$2205,'Material routes'!$B$6:$B$2205,A549)))</x:f>
        <x:v>T4</x:v>
      </x:c>
      <x:c r="I549" s="4" t="n">
        <x:f>SUM(COUNTIFS('Material routes'!$B$6:$B$2205,A549,'Material routes'!$C$6:$C$2205,"Ingredient candidate"),COUNTIFS('Material routes'!$B$6:$B$2205,A549,'Material routes'!$C$6:$C$2205,"Consumed input"),COUNTIFS('Material routes'!$B$6:$B$2205,A549,'Material routes'!$C$6:$C$2205,"Contained input"),COUNTIFS('Material routes'!$B$6:$B$2205,A549,'Material routes'!$C$6:$C$2205,"Transform input"))</x:f>
        <x:v>2</x:v>
      </x:c>
      <x:c r="J549" s="4" t="n">
        <x:f>COUNTIFS('Material routes'!$B$6:$B$2205,A549,'Material routes'!$C$6:$C$2205,"Output")</x:f>
        <x:v>1</x:v>
      </x:c>
      <x:c r="K549" s="4" t="n">
        <x:f>COUNTIFS('Material routes'!$B$6:$B$2205,A549,'Material routes'!$C$6:$C$2205,"Tool candidate")</x:f>
        <x:v>0</x:v>
      </x:c>
      <x:c r="L5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9" s="4" t="str">
        <x:v>Partial design only. Exact materials, joining, fit and qualification remain open. October 15 audit: candidate inputs / reusable prerequisites clarified. Structural coverage is not a qualified manufacturing recipe.</x:v>
      </x:c>
    </x:row>
    <x:row r="550" ht="115" customHeight="1">
      <x:c r="A550" s="4"/>
      <x:c r="B550" s="4"/>
      <x:c r="C550" s="4"/>
      <x:c r="D550" s="4"/>
      <x:c r="E550" s="4"/>
      <x:c r="F550" s="4"/>
      <x:c r="G550" s="4"/>
      <x:c r="H550" s="4"/>
      <x:c r="I550" s="4"/>
      <x:c r="J550" s="4"/>
      <x:c r="K550" s="4"/>
      <x:c r="L550" s="4"/>
      <x:c r="M550" s="4"/>
    </x:row>
    <x:row r="551" ht="115" customHeight="1">
      <x:c r="A551" s="4" t="str">
        <x:v>design.audit.proposal_weapon_caltrops</x:v>
      </x:c>
      <x:c r="B551" s="4" t="str">
        <x:v>Caltrops candidate preparation</x:v>
      </x:c>
      <x:c r="C551" s="4" t="str">
        <x:v>Finished-item crafting</x:v>
      </x:c>
      <x:c r="D551" s="4" t="str">
        <x:v>Proposal</x:v>
      </x:c>
      <x:c r="E551" s="4" t="str">
        <x:v>Partial proposal</x:v>
      </x:c>
      <x:c r="F551" s="4" t="str">
        <x:v>Candidate preparation of Caltrops</x:v>
      </x:c>
      <x:c r="G551" s="4" t="str">
        <x:v>Forge hearth, Anvil, Forging hammer, Smithing tongs, Metalworking file and Hand-cranked metal drill as applicable. Existing workshop bootstrap and controlled heating/cooling required; no free-water quench assumed.</x:v>
      </x:c>
      <x:c r="H551" s="4" t="str">
        <x:f>IF(I551=0,"Unassigned",IF(SUMIFS('Material routes'!$Q$6:$Q$2205,'Material routes'!$B$6:$B$2205,A551)&gt;0,"Unassigned","T"&amp;_xlfn.MAXIFS('Material routes'!$P$6:$P$2205,'Material routes'!$B$6:$B$2205,A551)))</x:f>
        <x:v>T2</x:v>
      </x:c>
      <x:c r="I551" s="4" t="n">
        <x:f>SUM(COUNTIFS('Material routes'!$B$6:$B$2205,A551,'Material routes'!$C$6:$C$2205,"Ingredient candidate"),COUNTIFS('Material routes'!$B$6:$B$2205,A551,'Material routes'!$C$6:$C$2205,"Consumed input"),COUNTIFS('Material routes'!$B$6:$B$2205,A551,'Material routes'!$C$6:$C$2205,"Contained input"),COUNTIFS('Material routes'!$B$6:$B$2205,A551,'Material routes'!$C$6:$C$2205,"Transform input"))</x:f>
        <x:v>1</x:v>
      </x:c>
      <x:c r="J551" s="4" t="n">
        <x:f>COUNTIFS('Material routes'!$B$6:$B$2205,A551,'Material routes'!$C$6:$C$2205,"Output")</x:f>
        <x:v>1</x:v>
      </x:c>
      <x:c r="K551" s="4" t="n">
        <x:f>COUNTIFS('Material routes'!$B$6:$B$2205,A551,'Material routes'!$C$6:$C$2205,"Tool candidate")</x:f>
        <x:v>0</x:v>
      </x:c>
      <x:c r="L5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1" s="4" t="str">
        <x:v>Partial design only. Exact materials, joining, fit and qualification remain open. October 15 audit: candidate inputs / reusable prerequisites clarified. Structural coverage is not a qualified manufacturing recipe.</x:v>
      </x:c>
    </x:row>
    <x:row r="552" ht="115" customHeight="1">
      <x:c r="A552" s="4" t="str">
        <x:v>design.audit.proposal_fashion_special_spectacles</x:v>
      </x:c>
      <x:c r="B552" s="4" t="str">
        <x:v>Specialized spectacles candidate preparation</x:v>
      </x:c>
      <x:c r="C552" s="4" t="str">
        <x:v>Finished-item crafting</x:v>
      </x:c>
      <x:c r="D552" s="4" t="str">
        <x:v>Proposal</x:v>
      </x:c>
      <x:c r="E552" s="4" t="str">
        <x:v>Partial proposal</x:v>
      </x:c>
      <x:c r="F552" s="4" t="str">
        <x:v>Candidate preparation of Specialized spectacles</x:v>
      </x:c>
      <x:c r="G552" s="4" t="str">
        <x:v>Forge hearth, Anvil, Forging hammer, Smithing tongs, Metalworking file and Hand-cranked metal drill as applicable. Existing workshop bootstrap and controlled heating/cooling required; no free-water quench assumed.</x:v>
      </x:c>
      <x:c r="H552" s="4" t="str">
        <x:f>IF(I552=0,"Unassigned",IF(SUMIFS('Material routes'!$Q$6:$Q$2205,'Material routes'!$B$6:$B$2205,A552)&gt;0,"Unassigned","T"&amp;_xlfn.MAXIFS('Material routes'!$P$6:$P$2205,'Material routes'!$B$6:$B$2205,A552)))</x:f>
        <x:v>T3</x:v>
      </x:c>
      <x:c r="I552" s="4" t="n">
        <x:f>SUM(COUNTIFS('Material routes'!$B$6:$B$2205,A552,'Material routes'!$C$6:$C$2205,"Ingredient candidate"),COUNTIFS('Material routes'!$B$6:$B$2205,A552,'Material routes'!$C$6:$C$2205,"Consumed input"),COUNTIFS('Material routes'!$B$6:$B$2205,A552,'Material routes'!$C$6:$C$2205,"Contained input"),COUNTIFS('Material routes'!$B$6:$B$2205,A552,'Material routes'!$C$6:$C$2205,"Transform input"))</x:f>
        <x:v>3</x:v>
      </x:c>
      <x:c r="J552" s="4" t="n">
        <x:f>COUNTIFS('Material routes'!$B$6:$B$2205,A552,'Material routes'!$C$6:$C$2205,"Output")</x:f>
        <x:v>1</x:v>
      </x:c>
      <x:c r="K552" s="4" t="n">
        <x:f>COUNTIFS('Material routes'!$B$6:$B$2205,A552,'Material routes'!$C$6:$C$2205,"Tool candidate")</x:f>
        <x:v>0</x:v>
      </x:c>
      <x:c r="L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2" s="4" t="str">
        <x:v>Partial design only. Exact materials, joining, fit and qualification remain open. October 15 audit: candidate inputs / reusable prerequisites clarified. Structural coverage is not a qualified manufacturing recipe.</x:v>
      </x:c>
    </x:row>
    <x:row r="553" ht="115" customHeight="1">
      <x:c r="A553" s="4" t="str">
        <x:v>design.audit.proposal_fashion_eyeglasses</x:v>
      </x:c>
      <x:c r="B553" s="4" t="str">
        <x:v>Eyeglasses candidate preparation</x:v>
      </x:c>
      <x:c r="C553" s="4" t="str">
        <x:v>Finished-item crafting</x:v>
      </x:c>
      <x:c r="D553" s="4" t="str">
        <x:v>Proposal</x:v>
      </x:c>
      <x:c r="E553" s="4" t="str">
        <x:v>Partial proposal</x:v>
      </x:c>
      <x:c r="F553" s="4" t="str">
        <x:v>Candidate preparation of Eyeglasses</x:v>
      </x:c>
      <x:c r="G553" s="4" t="str">
        <x:v>Forge hearth, Anvil, Forging hammer, Smithing tongs, Metalworking file and Hand-cranked metal drill as applicable. Existing workshop bootstrap and controlled heating/cooling required; no free-water quench assumed.</x:v>
      </x:c>
      <x:c r="H553" s="4" t="str">
        <x:f>IF(I553=0,"Unassigned",IF(SUMIFS('Material routes'!$Q$6:$Q$2205,'Material routes'!$B$6:$B$2205,A553)&gt;0,"Unassigned","T"&amp;_xlfn.MAXIFS('Material routes'!$P$6:$P$2205,'Material routes'!$B$6:$B$2205,A553)))</x:f>
        <x:v>T3</x:v>
      </x:c>
      <x:c r="I553" s="4" t="n">
        <x:f>SUM(COUNTIFS('Material routes'!$B$6:$B$2205,A553,'Material routes'!$C$6:$C$2205,"Ingredient candidate"),COUNTIFS('Material routes'!$B$6:$B$2205,A553,'Material routes'!$C$6:$C$2205,"Consumed input"),COUNTIFS('Material routes'!$B$6:$B$2205,A553,'Material routes'!$C$6:$C$2205,"Contained input"),COUNTIFS('Material routes'!$B$6:$B$2205,A553,'Material routes'!$C$6:$C$2205,"Transform input"))</x:f>
        <x:v>3</x:v>
      </x:c>
      <x:c r="J553" s="4" t="n">
        <x:f>COUNTIFS('Material routes'!$B$6:$B$2205,A553,'Material routes'!$C$6:$C$2205,"Output")</x:f>
        <x:v>1</x:v>
      </x:c>
      <x:c r="K553" s="4" t="n">
        <x:f>COUNTIFS('Material routes'!$B$6:$B$2205,A553,'Material routes'!$C$6:$C$2205,"Tool candidate")</x:f>
        <x:v>0</x:v>
      </x:c>
      <x:c r="L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3" s="4" t="str">
        <x:v>Partial design only. Exact materials, joining, fit and qualification remain open. October 15 audit: candidate inputs / reusable prerequisites clarified. Structural coverage is not a qualified manufacturing recipe.</x:v>
      </x:c>
    </x:row>
    <x:row r="554" ht="115" customHeight="1">
      <x:c r="A554" s="4"/>
      <x:c r="B554" s="4"/>
      <x:c r="C554" s="4"/>
      <x:c r="D554" s="4"/>
      <x:c r="E554" s="4"/>
      <x:c r="F554" s="4"/>
      <x:c r="G554" s="4"/>
      <x:c r="H554" s="4"/>
      <x:c r="I554" s="4"/>
      <x:c r="J554" s="4"/>
      <x:c r="K554" s="4"/>
      <x:c r="L554" s="4"/>
      <x:c r="M554" s="4"/>
    </x:row>
    <x:row r="555" ht="115" customHeight="1">
      <x:c r="A555" s="4" t="str">
        <x:v>design.audit.proposal_fashion_husk_garment</x:v>
      </x:c>
      <x:c r="B555" s="4" t="str">
        <x:v>Elaborate husk-fiber wear candidate preparation</x:v>
      </x:c>
      <x:c r="C555" s="4" t="str">
        <x:v>Finished-item crafting</x:v>
      </x:c>
      <x:c r="D555" s="4" t="str">
        <x:v>Proposal</x:v>
      </x:c>
      <x:c r="E555" s="4" t="str">
        <x:v>Partial proposal</x:v>
      </x:c>
      <x:c r="F555" s="4" t="str">
        <x:v>Candidate preparation of Elaborate husk-fiber wear</x:v>
      </x:c>
      <x:c r="G555" s="4" t="str">
        <x:v>Husk-sheet cutting shears, pressure fixtures and dedicated preparation surfaces. Very low hide/fur yield; no ordinary cloth or plant inputs.</x:v>
      </x:c>
      <x:c r="H555" s="4" t="str">
        <x:f>IF(I555=0,"Unassigned",IF(SUMIFS('Material routes'!$Q$6:$Q$2205,'Material routes'!$B$6:$B$2205,A555)&gt;0,"Unassigned","T"&amp;_xlfn.MAXIFS('Material routes'!$P$6:$P$2205,'Material routes'!$B$6:$B$2205,A555)))</x:f>
        <x:v>T3</x:v>
      </x:c>
      <x:c r="I555" s="4" t="n">
        <x:f>SUM(COUNTIFS('Material routes'!$B$6:$B$2205,A555,'Material routes'!$C$6:$C$2205,"Ingredient candidate"),COUNTIFS('Material routes'!$B$6:$B$2205,A555,'Material routes'!$C$6:$C$2205,"Consumed input"),COUNTIFS('Material routes'!$B$6:$B$2205,A555,'Material routes'!$C$6:$C$2205,"Contained input"),COUNTIFS('Material routes'!$B$6:$B$2205,A555,'Material routes'!$C$6:$C$2205,"Transform input"))</x:f>
        <x:v>3</x:v>
      </x:c>
      <x:c r="J555" s="4" t="n">
        <x:f>COUNTIFS('Material routes'!$B$6:$B$2205,A555,'Material routes'!$C$6:$C$2205,"Output")</x:f>
        <x:v>1</x:v>
      </x:c>
      <x:c r="K555" s="4" t="n">
        <x:f>COUNTIFS('Material routes'!$B$6:$B$2205,A555,'Material routes'!$C$6:$C$2205,"Tool candidate")</x:f>
        <x:v>0</x:v>
      </x:c>
      <x:c r="L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5" s="4" t="str">
        <x:v>Partial design only. Exact materials, joining, fit and qualification remain open. October 15 audit: candidate inputs / reusable prerequisites clarified. Structural coverage is not a qualified manufacturing recipe.</x:v>
      </x:c>
    </x:row>
    <x:row r="556" ht="115" customHeight="1">
      <x:c r="A556" s="4" t="str">
        <x:v>design.audit.proposal_fashion_fur_garment</x:v>
      </x:c>
      <x:c r="B556" s="4" t="str">
        <x:v>Elaborate fur wear candidate preparation</x:v>
      </x:c>
      <x:c r="C556" s="4" t="str">
        <x:v>Finished-item crafting</x:v>
      </x:c>
      <x:c r="D556" s="4" t="str">
        <x:v>Proposal</x:v>
      </x:c>
      <x:c r="E556" s="4" t="str">
        <x:v>Partial proposal</x:v>
      </x:c>
      <x:c r="F556" s="4" t="str">
        <x:v>Candidate preparation of Elaborate fur wear</x:v>
      </x:c>
      <x:c r="G556" s="4" t="str">
        <x:v>Husk-sheet cutting shears, pressure fixtures and dedicated preparation surfaces. Very low hide/fur yield; no ordinary cloth or plant inputs.</x:v>
      </x:c>
      <x:c r="H556" s="4" t="str">
        <x:f>IF(I556=0,"Unassigned",IF(SUMIFS('Material routes'!$Q$6:$Q$2205,'Material routes'!$B$6:$B$2205,A556)&gt;0,"Unassigned","T"&amp;_xlfn.MAXIFS('Material routes'!$P$6:$P$2205,'Material routes'!$B$6:$B$2205,A556)))</x:f>
        <x:v>T4</x:v>
      </x:c>
      <x:c r="I556" s="4" t="n">
        <x:f>SUM(COUNTIFS('Material routes'!$B$6:$B$2205,A556,'Material routes'!$C$6:$C$2205,"Ingredient candidate"),COUNTIFS('Material routes'!$B$6:$B$2205,A556,'Material routes'!$C$6:$C$2205,"Consumed input"),COUNTIFS('Material routes'!$B$6:$B$2205,A556,'Material routes'!$C$6:$C$2205,"Contained input"),COUNTIFS('Material routes'!$B$6:$B$2205,A556,'Material routes'!$C$6:$C$2205,"Transform input"))</x:f>
        <x:v>3</x:v>
      </x:c>
      <x:c r="J556" s="4" t="n">
        <x:f>COUNTIFS('Material routes'!$B$6:$B$2205,A556,'Material routes'!$C$6:$C$2205,"Output")</x:f>
        <x:v>1</x:v>
      </x:c>
      <x:c r="K556" s="4" t="n">
        <x:f>COUNTIFS('Material routes'!$B$6:$B$2205,A556,'Material routes'!$C$6:$C$2205,"Tool candidate")</x:f>
        <x:v>0</x:v>
      </x:c>
      <x:c r="L5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6" s="4" t="str">
        <x:v>Partial design only. Exact materials, joining, fit and qualification remain open. October 15 audit: candidate inputs / reusable prerequisites clarified. Structural coverage is not a qualified manufacturing recipe.</x:v>
      </x:c>
    </x:row>
    <x:row r="557" ht="115" customHeight="1">
      <x:c r="A557" s="4" t="str">
        <x:v>design.audit.proposal_fashion_hide_garment</x:v>
      </x:c>
      <x:c r="B557" s="4" t="str">
        <x:v>Elaborate hide wear candidate preparation</x:v>
      </x:c>
      <x:c r="C557" s="4" t="str">
        <x:v>Finished-item crafting</x:v>
      </x:c>
      <x:c r="D557" s="4" t="str">
        <x:v>Proposal</x:v>
      </x:c>
      <x:c r="E557" s="4" t="str">
        <x:v>Partial proposal</x:v>
      </x:c>
      <x:c r="F557" s="4" t="str">
        <x:v>Candidate preparation of Elaborate hide wear</x:v>
      </x:c>
      <x:c r="G557" s="4" t="str">
        <x:v>Husk-sheet cutting shears, pressure fixtures and dedicated preparation surfaces. Very low hide/fur yield; no ordinary cloth or plant inputs.</x:v>
      </x:c>
      <x:c r="H557" s="4" t="str">
        <x:f>IF(I557=0,"Unassigned",IF(SUMIFS('Material routes'!$Q$6:$Q$2205,'Material routes'!$B$6:$B$2205,A557)&gt;0,"Unassigned","T"&amp;_xlfn.MAXIFS('Material routes'!$P$6:$P$2205,'Material routes'!$B$6:$B$2205,A557)))</x:f>
        <x:v>T4</x:v>
      </x:c>
      <x:c r="I557" s="4" t="n">
        <x:f>SUM(COUNTIFS('Material routes'!$B$6:$B$2205,A557,'Material routes'!$C$6:$C$2205,"Ingredient candidate"),COUNTIFS('Material routes'!$B$6:$B$2205,A557,'Material routes'!$C$6:$C$2205,"Consumed input"),COUNTIFS('Material routes'!$B$6:$B$2205,A557,'Material routes'!$C$6:$C$2205,"Contained input"),COUNTIFS('Material routes'!$B$6:$B$2205,A557,'Material routes'!$C$6:$C$2205,"Transform input"))</x:f>
        <x:v>3</x:v>
      </x:c>
      <x:c r="J557" s="4" t="n">
        <x:f>COUNTIFS('Material routes'!$B$6:$B$2205,A557,'Material routes'!$C$6:$C$2205,"Output")</x:f>
        <x:v>1</x:v>
      </x:c>
      <x:c r="K557" s="4" t="n">
        <x:f>COUNTIFS('Material routes'!$B$6:$B$2205,A557,'Material routes'!$C$6:$C$2205,"Tool candidate")</x:f>
        <x:v>0</x:v>
      </x:c>
      <x:c r="L5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7" s="4" t="str">
        <x:v>Partial design only. Exact materials, joining, fit and qualification remain open. October 15 audit: candidate inputs / reusable prerequisites clarified. Structural coverage is not a qualified manufacturing recipe.</x:v>
      </x:c>
    </x:row>
    <x:row r="558" ht="115" customHeight="1">
      <x:c r="A558" s="4" t="str">
        <x:v>design.audit.proposal_gear_simple_wraps</x:v>
      </x:c>
      <x:c r="B558" s="4" t="str">
        <x:v>Simple everyday wraps candidate preparation</x:v>
      </x:c>
      <x:c r="C558" s="4" t="str">
        <x:v>Finished-item crafting</x:v>
      </x:c>
      <x:c r="D558" s="4" t="str">
        <x:v>Proposal</x:v>
      </x:c>
      <x:c r="E558" s="4" t="str">
        <x:v>Partial proposal</x:v>
      </x:c>
      <x:c r="F558" s="4" t="str">
        <x:v>Candidate preparation of Simple everyday wraps</x:v>
      </x:c>
      <x:c r="G558" s="4" t="str">
        <x:v>Forge hearth, Anvil, Forging hammer, Smithing tongs, Metalworking file and Hand-cranked metal drill as applicable. Existing workshop bootstrap and controlled heating/cooling required; no free-water quench assumed.</x:v>
      </x:c>
      <x:c r="H558" s="4" t="str">
        <x:f>IF(I558=0,"Unassigned",IF(SUMIFS('Material routes'!$Q$6:$Q$2205,'Material routes'!$B$6:$B$2205,A558)&gt;0,"Unassigned","T"&amp;_xlfn.MAXIFS('Material routes'!$P$6:$P$2205,'Material routes'!$B$6:$B$2205,A558)))</x:f>
        <x:v>T3</x:v>
      </x:c>
      <x:c r="I558" s="4" t="n">
        <x:f>SUM(COUNTIFS('Material routes'!$B$6:$B$2205,A558,'Material routes'!$C$6:$C$2205,"Ingredient candidate"),COUNTIFS('Material routes'!$B$6:$B$2205,A558,'Material routes'!$C$6:$C$2205,"Consumed input"),COUNTIFS('Material routes'!$B$6:$B$2205,A558,'Material routes'!$C$6:$C$2205,"Contained input"),COUNTIFS('Material routes'!$B$6:$B$2205,A558,'Material routes'!$C$6:$C$2205,"Transform input"))</x:f>
        <x:v>2</x:v>
      </x:c>
      <x:c r="J558" s="4" t="n">
        <x:f>COUNTIFS('Material routes'!$B$6:$B$2205,A558,'Material routes'!$C$6:$C$2205,"Output")</x:f>
        <x:v>1</x:v>
      </x:c>
      <x:c r="K558" s="4" t="n">
        <x:f>COUNTIFS('Material routes'!$B$6:$B$2205,A558,'Material routes'!$C$6:$C$2205,"Tool candidate")</x:f>
        <x:v>0</x:v>
      </x:c>
      <x:c r="L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8" s="4" t="str">
        <x:v>Partial design only. Exact materials, joining, fit and qualification remain open. October 15 audit: candidate inputs / reusable prerequisites clarified. Structural coverage is not a qualified manufacturing recipe.</x:v>
      </x:c>
    </x:row>
    <x:row r="559" ht="115" customHeight="1">
      <x:c r="A559" s="4" t="str">
        <x:v>design.audit.proposal_canister_harness</x:v>
      </x:c>
      <x:c r="B559" s="4" t="str">
        <x:v>Fitted canister harness candidate preparation</x:v>
      </x:c>
      <x:c r="C559" s="4" t="str">
        <x:v>Finished-item crafting</x:v>
      </x:c>
      <x:c r="D559" s="4" t="str">
        <x:v>Proposal</x:v>
      </x:c>
      <x:c r="E559" s="4" t="str">
        <x:v>Partial proposal</x:v>
      </x:c>
      <x:c r="F559" s="4" t="str">
        <x:v>Candidate preparation of Fitted canister harness</x:v>
      </x:c>
      <x:c r="G559" s="4" t="str">
        <x:v>Forge hearth, Anvil, Forging hammer, Smithing tongs, Metalworking file and Hand-cranked metal drill as applicable. Existing workshop bootstrap and controlled heating/cooling required; no free-water quench assumed.</x:v>
      </x:c>
      <x:c r="H559" s="4" t="str">
        <x:f>IF(I559=0,"Unassigned",IF(SUMIFS('Material routes'!$Q$6:$Q$2205,'Material routes'!$B$6:$B$2205,A559)&gt;0,"Unassigned","T"&amp;_xlfn.MAXIFS('Material routes'!$P$6:$P$2205,'Material routes'!$B$6:$B$2205,A559)))</x:f>
        <x:v>T3</x:v>
      </x:c>
      <x:c r="I559" s="4" t="n">
        <x:f>SUM(COUNTIFS('Material routes'!$B$6:$B$2205,A559,'Material routes'!$C$6:$C$2205,"Ingredient candidate"),COUNTIFS('Material routes'!$B$6:$B$2205,A559,'Material routes'!$C$6:$C$2205,"Consumed input"),COUNTIFS('Material routes'!$B$6:$B$2205,A559,'Material routes'!$C$6:$C$2205,"Contained input"),COUNTIFS('Material routes'!$B$6:$B$2205,A559,'Material routes'!$C$6:$C$2205,"Transform input"))</x:f>
        <x:v>3</x:v>
      </x:c>
      <x:c r="J559" s="4" t="n">
        <x:f>COUNTIFS('Material routes'!$B$6:$B$2205,A559,'Material routes'!$C$6:$C$2205,"Output")</x:f>
        <x:v>1</x:v>
      </x:c>
      <x:c r="K559" s="4" t="n">
        <x:f>COUNTIFS('Material routes'!$B$6:$B$2205,A559,'Material routes'!$C$6:$C$2205,"Tool candidate")</x:f>
        <x:v>0</x:v>
      </x:c>
      <x:c r="L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9" s="4" t="str">
        <x:v>Partial design only. Exact materials, joining, fit and qualification remain open. October 15 audit: candidate inputs / reusable prerequisites clarified. Structural coverage is not a qualified manufacturing recipe.</x:v>
      </x:c>
    </x:row>
    <x:row r="560" ht="115" customHeight="1">
      <x:c r="A560" s="4" t="str">
        <x:v>design.audit.proposal_canister_inspection_gauge</x:v>
      </x:c>
      <x:c r="B560" s="4" t="str">
        <x:v>Seal inspection gauge candidate preparation</x:v>
      </x:c>
      <x:c r="C560" s="4" t="str">
        <x:v>Finished-item crafting</x:v>
      </x:c>
      <x:c r="D560" s="4" t="str">
        <x:v>Proposal</x:v>
      </x:c>
      <x:c r="E560" s="4" t="str">
        <x:v>Partial proposal</x:v>
      </x:c>
      <x:c r="F560" s="4" t="str">
        <x:v>Candidate preparation of Seal inspection gauge</x:v>
      </x:c>
      <x:c r="G560" s="4" t="str">
        <x:v>Forge hearth, Anvil, Forging hammer, Smithing tongs, Metalworking file and Hand-cranked metal drill as applicable. Existing workshop bootstrap and controlled heating/cooling required; no free-water quench assumed.</x:v>
      </x:c>
      <x:c r="H560" s="4" t="str">
        <x:f>IF(I560=0,"Unassigned",IF(SUMIFS('Material routes'!$Q$6:$Q$2205,'Material routes'!$B$6:$B$2205,A560)&gt;0,"Unassigned","T"&amp;_xlfn.MAXIFS('Material routes'!$P$6:$P$2205,'Material routes'!$B$6:$B$2205,A560)))</x:f>
        <x:v>T2</x:v>
      </x:c>
      <x:c r="I560" s="4" t="n">
        <x:f>SUM(COUNTIFS('Material routes'!$B$6:$B$2205,A560,'Material routes'!$C$6:$C$2205,"Ingredient candidate"),COUNTIFS('Material routes'!$B$6:$B$2205,A560,'Material routes'!$C$6:$C$2205,"Consumed input"),COUNTIFS('Material routes'!$B$6:$B$2205,A560,'Material routes'!$C$6:$C$2205,"Contained input"),COUNTIFS('Material routes'!$B$6:$B$2205,A560,'Material routes'!$C$6:$C$2205,"Transform input"))</x:f>
        <x:v>2</x:v>
      </x:c>
      <x:c r="J560" s="4" t="n">
        <x:f>COUNTIFS('Material routes'!$B$6:$B$2205,A560,'Material routes'!$C$6:$C$2205,"Output")</x:f>
        <x:v>1</x:v>
      </x:c>
      <x:c r="K560" s="4" t="n">
        <x:f>COUNTIFS('Material routes'!$B$6:$B$2205,A560,'Material routes'!$C$6:$C$2205,"Tool candidate")</x:f>
        <x:v>0</x:v>
      </x:c>
      <x:c r="L5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0" s="4" t="str">
        <x:v>Partial design only. Exact materials, joining, fit and qualification remain open. October 15 audit: candidate inputs / reusable prerequisites clarified. Structural coverage is not a qualified manufacturing recipe.</x:v>
      </x:c>
    </x:row>
    <x:row r="561" ht="115" customHeight="1">
      <x:c r="A561" s="4" t="str">
        <x:v>design.audit.proposal_canister_service_kit</x:v>
      </x:c>
      <x:c r="B561" s="4" t="str">
        <x:v>Canister service kit candidate preparation</x:v>
      </x:c>
      <x:c r="C561" s="4" t="str">
        <x:v>Finished-item crafting</x:v>
      </x:c>
      <x:c r="D561" s="4" t="str">
        <x:v>Proposal</x:v>
      </x:c>
      <x:c r="E561" s="4" t="str">
        <x:v>Partial proposal</x:v>
      </x:c>
      <x:c r="F561" s="4" t="str">
        <x:v>Candidate preparation of Canister service kit</x:v>
      </x:c>
      <x:c r="G561" s="4" t="str">
        <x:v>Forge hearth, Anvil, Forging hammer, Smithing tongs, Metalworking file and Hand-cranked metal drill as applicable. Existing workshop bootstrap and controlled heating/cooling required; no free-water quench assumed.</x:v>
      </x:c>
      <x:c r="H561" s="4" t="str">
        <x:f>IF(I561=0,"Unassigned",IF(SUMIFS('Material routes'!$Q$6:$Q$2205,'Material routes'!$B$6:$B$2205,A561)&gt;0,"Unassigned","T"&amp;_xlfn.MAXIFS('Material routes'!$P$6:$P$2205,'Material routes'!$B$6:$B$2205,A561)))</x:f>
        <x:v>Unassigned</x:v>
      </x:c>
      <x:c r="I561" s="4" t="n">
        <x:f>SUM(COUNTIFS('Material routes'!$B$6:$B$2205,A561,'Material routes'!$C$6:$C$2205,"Ingredient candidate"),COUNTIFS('Material routes'!$B$6:$B$2205,A561,'Material routes'!$C$6:$C$2205,"Consumed input"),COUNTIFS('Material routes'!$B$6:$B$2205,A561,'Material routes'!$C$6:$C$2205,"Contained input"),COUNTIFS('Material routes'!$B$6:$B$2205,A561,'Material routes'!$C$6:$C$2205,"Transform input"))</x:f>
        <x:v>4</x:v>
      </x:c>
      <x:c r="J561" s="4" t="n">
        <x:f>COUNTIFS('Material routes'!$B$6:$B$2205,A561,'Material routes'!$C$6:$C$2205,"Output")</x:f>
        <x:v>1</x:v>
      </x:c>
      <x:c r="K561" s="4" t="n">
        <x:f>COUNTIFS('Material routes'!$B$6:$B$2205,A561,'Material routes'!$C$6:$C$2205,"Tool candidate")</x:f>
        <x:v>0</x:v>
      </x:c>
      <x:c r="L5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1" s="4" t="str">
        <x:v>Partial design only. Exact materials, joining, fit and qualification remain open. October 15 audit: candidate inputs / reusable prerequisites clarified. Structural coverage is not a qualified manufacturing recipe.</x:v>
      </x:c>
    </x:row>
    <x:row r="562" ht="115" customHeight="1">
      <x:c r="A562" s="4" t="str">
        <x:v>design.audit.proposal_culture_icon</x:v>
      </x:c>
      <x:c r="B562" s="4" t="str">
        <x:v>Preserver icon token candidate preparation</x:v>
      </x:c>
      <x:c r="C562" s="4" t="str">
        <x:v>Finished-item crafting</x:v>
      </x:c>
      <x:c r="D562" s="4" t="str">
        <x:v>Proposal</x:v>
      </x:c>
      <x:c r="E562" s="4" t="str">
        <x:v>Partial proposal</x:v>
      </x:c>
      <x:c r="F562" s="4" t="str">
        <x:v>Candidate preparation of Preserver icon token</x:v>
      </x:c>
      <x:c r="G562" s="4" t="str">
        <x:v>Forge hearth, Anvil, Forging hammer, Smithing tongs, Metalworking file and Hand-cranked metal drill as applicable. Existing workshop bootstrap and controlled heating/cooling required; no free-water quench assumed.</x:v>
      </x:c>
      <x:c r="H562" s="4" t="str">
        <x:f>IF(I562=0,"Unassigned",IF(SUMIFS('Material routes'!$Q$6:$Q$2205,'Material routes'!$B$6:$B$2205,A562)&gt;0,"Unassigned","T"&amp;_xlfn.MAXIFS('Material routes'!$P$6:$P$2205,'Material routes'!$B$6:$B$2205,A562)))</x:f>
        <x:v>T2</x:v>
      </x:c>
      <x:c r="I562" s="4" t="n">
        <x:f>SUM(COUNTIFS('Material routes'!$B$6:$B$2205,A562,'Material routes'!$C$6:$C$2205,"Ingredient candidate"),COUNTIFS('Material routes'!$B$6:$B$2205,A562,'Material routes'!$C$6:$C$2205,"Consumed input"),COUNTIFS('Material routes'!$B$6:$B$2205,A562,'Material routes'!$C$6:$C$2205,"Contained input"),COUNTIFS('Material routes'!$B$6:$B$2205,A562,'Material routes'!$C$6:$C$2205,"Transform input"))</x:f>
        <x:v>3</x:v>
      </x:c>
      <x:c r="J562" s="4" t="n">
        <x:f>COUNTIFS('Material routes'!$B$6:$B$2205,A562,'Material routes'!$C$6:$C$2205,"Output")</x:f>
        <x:v>1</x:v>
      </x:c>
      <x:c r="K562" s="4" t="n">
        <x:f>COUNTIFS('Material routes'!$B$6:$B$2205,A562,'Material routes'!$C$6:$C$2205,"Tool candidate")</x:f>
        <x:v>0</x:v>
      </x:c>
      <x:c r="L5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2" s="4" t="str">
        <x:v>Partial design only. Exact materials, joining, fit and qualification remain open. October 15 audit: candidate inputs / reusable prerequisites clarified. Structural coverage is not a qualified manufacturing recipe.</x:v>
      </x:c>
    </x:row>
    <x:row r="563" ht="115" customHeight="1">
      <x:c r="A563" s="4" t="str">
        <x:v>design.audit.proposal_culture_shrine</x:v>
      </x:c>
      <x:c r="B563" s="4" t="str">
        <x:v>Household shrine plaque candidate preparation</x:v>
      </x:c>
      <x:c r="C563" s="4" t="str">
        <x:v>Finished-item crafting</x:v>
      </x:c>
      <x:c r="D563" s="4" t="str">
        <x:v>Proposal</x:v>
      </x:c>
      <x:c r="E563" s="4" t="str">
        <x:v>Partial proposal</x:v>
      </x:c>
      <x:c r="F563" s="4" t="str">
        <x:v>Candidate preparation of Household shrine plaque</x:v>
      </x:c>
      <x:c r="G563" s="4" t="str">
        <x:v>Forge hearth, Anvil, Forging hammer, Smithing tongs, Metalworking file and Hand-cranked metal drill as applicable. Existing workshop bootstrap and controlled heating/cooling required; no free-water quench assumed.</x:v>
      </x:c>
      <x:c r="H563" s="4" t="str">
        <x:f>IF(I563=0,"Unassigned",IF(SUMIFS('Material routes'!$Q$6:$Q$2205,'Material routes'!$B$6:$B$2205,A563)&gt;0,"Unassigned","T"&amp;_xlfn.MAXIFS('Material routes'!$P$6:$P$2205,'Material routes'!$B$6:$B$2205,A563)))</x:f>
        <x:v>T2</x:v>
      </x:c>
      <x:c r="I563" s="4" t="n">
        <x:f>SUM(COUNTIFS('Material routes'!$B$6:$B$2205,A563,'Material routes'!$C$6:$C$2205,"Ingredient candidate"),COUNTIFS('Material routes'!$B$6:$B$2205,A563,'Material routes'!$C$6:$C$2205,"Consumed input"),COUNTIFS('Material routes'!$B$6:$B$2205,A563,'Material routes'!$C$6:$C$2205,"Contained input"),COUNTIFS('Material routes'!$B$6:$B$2205,A563,'Material routes'!$C$6:$C$2205,"Transform input"))</x:f>
        <x:v>3</x:v>
      </x:c>
      <x:c r="J563" s="4" t="n">
        <x:f>COUNTIFS('Material routes'!$B$6:$B$2205,A563,'Material routes'!$C$6:$C$2205,"Output")</x:f>
        <x:v>1</x:v>
      </x:c>
      <x:c r="K563" s="4" t="n">
        <x:f>COUNTIFS('Material routes'!$B$6:$B$2205,A563,'Material routes'!$C$6:$C$2205,"Tool candidate")</x:f>
        <x:v>0</x:v>
      </x:c>
      <x:c r="L5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3" s="4" t="str">
        <x:v>Partial design only. Exact materials, joining, fit and qualification remain open. October 15 audit: candidate inputs / reusable prerequisites clarified. Structural coverage is not a qualified manufacturing recipe.</x:v>
      </x:c>
    </x:row>
    <x:row r="564" ht="115" customHeight="1">
      <x:c r="A564" s="4"/>
      <x:c r="B564" s="4"/>
      <x:c r="C564" s="4"/>
      <x:c r="D564" s="4"/>
      <x:c r="E564" s="4"/>
      <x:c r="F564" s="4"/>
      <x:c r="G564" s="4"/>
      <x:c r="H564" s="4"/>
      <x:c r="I564" s="4"/>
      <x:c r="J564" s="4"/>
      <x:c r="K564" s="4"/>
      <x:c r="L564" s="4"/>
      <x:c r="M564" s="4"/>
    </x:row>
    <x:row r="565" ht="115" customHeight="1">
      <x:c r="A565" s="4" t="str">
        <x:v>design.audit.proposal_culture_reliquary</x:v>
      </x:c>
      <x:c r="B565" s="4" t="str">
        <x:v>Relic case candidate preparation</x:v>
      </x:c>
      <x:c r="C565" s="4" t="str">
        <x:v>Finished-item crafting</x:v>
      </x:c>
      <x:c r="D565" s="4" t="str">
        <x:v>Proposal</x:v>
      </x:c>
      <x:c r="E565" s="4" t="str">
        <x:v>Partial proposal</x:v>
      </x:c>
      <x:c r="F565" s="4" t="str">
        <x:v>Candidate preparation of Relic case</x:v>
      </x:c>
      <x:c r="G565" s="4" t="str">
        <x:v>Forge hearth, Anvil, Forging hammer, Smithing tongs, Metalworking file and Hand-cranked metal drill as applicable. Existing workshop bootstrap and controlled heating/cooling required; no free-water quench assumed.</x:v>
      </x:c>
      <x:c r="H565" s="4" t="str">
        <x:f>IF(I565=0,"Unassigned",IF(SUMIFS('Material routes'!$Q$6:$Q$2205,'Material routes'!$B$6:$B$2205,A565)&gt;0,"Unassigned","T"&amp;_xlfn.MAXIFS('Material routes'!$P$6:$P$2205,'Material routes'!$B$6:$B$2205,A565)))</x:f>
        <x:v>T3</x:v>
      </x:c>
      <x:c r="I565" s="4" t="n">
        <x:f>SUM(COUNTIFS('Material routes'!$B$6:$B$2205,A565,'Material routes'!$C$6:$C$2205,"Ingredient candidate"),COUNTIFS('Material routes'!$B$6:$B$2205,A565,'Material routes'!$C$6:$C$2205,"Consumed input"),COUNTIFS('Material routes'!$B$6:$B$2205,A565,'Material routes'!$C$6:$C$2205,"Contained input"),COUNTIFS('Material routes'!$B$6:$B$2205,A565,'Material routes'!$C$6:$C$2205,"Transform input"))</x:f>
        <x:v>3</x:v>
      </x:c>
      <x:c r="J565" s="4" t="n">
        <x:f>COUNTIFS('Material routes'!$B$6:$B$2205,A565,'Material routes'!$C$6:$C$2205,"Output")</x:f>
        <x:v>1</x:v>
      </x:c>
      <x:c r="K565" s="4" t="n">
        <x:f>COUNTIFS('Material routes'!$B$6:$B$2205,A565,'Material routes'!$C$6:$C$2205,"Tool candidate")</x:f>
        <x:v>0</x:v>
      </x:c>
      <x:c r="L5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5" s="4" t="str">
        <x:v>Partial design only. Exact materials, joining, fit and qualification remain open. October 15 audit: candidate inputs / reusable prerequisites clarified. Structural coverage is not a qualified manufacturing recipe.</x:v>
      </x:c>
    </x:row>
    <x:row r="566" ht="115" customHeight="1">
      <x:c r="A566" s="4" t="str">
        <x:v>design.audit.proposal_culture_offering</x:v>
      </x:c>
      <x:c r="B566" s="4" t="str">
        <x:v>Votive shell token candidate preparation</x:v>
      </x:c>
      <x:c r="C566" s="4" t="str">
        <x:v>Finished-item crafting</x:v>
      </x:c>
      <x:c r="D566" s="4" t="str">
        <x:v>Proposal</x:v>
      </x:c>
      <x:c r="E566" s="4" t="str">
        <x:v>Partial proposal</x:v>
      </x:c>
      <x:c r="F566" s="4" t="str">
        <x:v>Candidate preparation of Votive shell token</x:v>
      </x:c>
      <x:c r="G566" s="4" t="str">
        <x:v>Husk-sheet cutting shears, Hand-cranked metal drill and Ceramic abrasive disc as applicable; compatible contained biological preparation and low-yield material handling required.</x:v>
      </x:c>
      <x:c r="H566" s="4" t="str">
        <x:f>IF(I566=0,"Unassigned",IF(SUMIFS('Material routes'!$Q$6:$Q$2205,'Material routes'!$B$6:$B$2205,A566)&gt;0,"Unassigned","T"&amp;_xlfn.MAXIFS('Material routes'!$P$6:$P$2205,'Material routes'!$B$6:$B$2205,A566)))</x:f>
        <x:v>T2</x:v>
      </x:c>
      <x:c r="I566" s="4" t="n">
        <x:f>SUM(COUNTIFS('Material routes'!$B$6:$B$2205,A566,'Material routes'!$C$6:$C$2205,"Ingredient candidate"),COUNTIFS('Material routes'!$B$6:$B$2205,A566,'Material routes'!$C$6:$C$2205,"Consumed input"),COUNTIFS('Material routes'!$B$6:$B$2205,A566,'Material routes'!$C$6:$C$2205,"Contained input"),COUNTIFS('Material routes'!$B$6:$B$2205,A566,'Material routes'!$C$6:$C$2205,"Transform input"))</x:f>
        <x:v>3</x:v>
      </x:c>
      <x:c r="J566" s="4" t="n">
        <x:f>COUNTIFS('Material routes'!$B$6:$B$2205,A566,'Material routes'!$C$6:$C$2205,"Output")</x:f>
        <x:v>1</x:v>
      </x:c>
      <x:c r="K566" s="4" t="n">
        <x:f>COUNTIFS('Material routes'!$B$6:$B$2205,A566,'Material routes'!$C$6:$C$2205,"Tool candidate")</x:f>
        <x:v>0</x:v>
      </x:c>
      <x:c r="L5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6" s="4" t="str">
        <x:v>Partial design only. Exact materials, joining, fit and qualification remain open. October 15 audit: candidate inputs / reusable prerequisites clarified. Structural coverage is not a qualified manufacturing recipe.</x:v>
      </x:c>
    </x:row>
    <x:row r="567" ht="115" customHeight="1">
      <x:c r="A567" s="4" t="str">
        <x:v>design.audit.proposal_culture_badge</x:v>
      </x:c>
      <x:c r="B567" s="4" t="str">
        <x:v>Civic office badge candidate preparation</x:v>
      </x:c>
      <x:c r="C567" s="4" t="str">
        <x:v>Finished-item crafting</x:v>
      </x:c>
      <x:c r="D567" s="4" t="str">
        <x:v>Proposal</x:v>
      </x:c>
      <x:c r="E567" s="4" t="str">
        <x:v>Partial proposal</x:v>
      </x:c>
      <x:c r="F567" s="4" t="str">
        <x:v>Candidate preparation of Civic office badge</x:v>
      </x:c>
      <x:c r="G567" s="4" t="str">
        <x:v>Forge hearth, Anvil, Forging hammer, Smithing tongs, Metalworking file and Hand-cranked metal drill as applicable. Existing workshop bootstrap and controlled heating/cooling required; no free-water quench assumed.</x:v>
      </x:c>
      <x:c r="H567" s="4" t="str">
        <x:f>IF(I567=0,"Unassigned",IF(SUMIFS('Material routes'!$Q$6:$Q$2205,'Material routes'!$B$6:$B$2205,A567)&gt;0,"Unassigned","T"&amp;_xlfn.MAXIFS('Material routes'!$P$6:$P$2205,'Material routes'!$B$6:$B$2205,A567)))</x:f>
        <x:v>T2</x:v>
      </x:c>
      <x:c r="I567" s="4" t="n">
        <x:f>SUM(COUNTIFS('Material routes'!$B$6:$B$2205,A567,'Material routes'!$C$6:$C$2205,"Ingredient candidate"),COUNTIFS('Material routes'!$B$6:$B$2205,A567,'Material routes'!$C$6:$C$2205,"Consumed input"),COUNTIFS('Material routes'!$B$6:$B$2205,A567,'Material routes'!$C$6:$C$2205,"Contained input"),COUNTIFS('Material routes'!$B$6:$B$2205,A567,'Material routes'!$C$6:$C$2205,"Transform input"))</x:f>
        <x:v>3</x:v>
      </x:c>
      <x:c r="J567" s="4" t="n">
        <x:f>COUNTIFS('Material routes'!$B$6:$B$2205,A567,'Material routes'!$C$6:$C$2205,"Output")</x:f>
        <x:v>1</x:v>
      </x:c>
      <x:c r="K567" s="4" t="n">
        <x:f>COUNTIFS('Material routes'!$B$6:$B$2205,A567,'Material routes'!$C$6:$C$2205,"Tool candidate")</x:f>
        <x:v>0</x:v>
      </x:c>
      <x:c r="L5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7" s="4" t="str">
        <x:v>Partial design only. Exact materials, joining, fit and qualification remain open. October 15 audit: candidate inputs / reusable prerequisites clarified. Structural coverage is not a qualified manufacturing recipe.</x:v>
      </x:c>
    </x:row>
    <x:row r="568" ht="115" customHeight="1">
      <x:c r="A568" s="4" t="str">
        <x:v>design.audit.proposal_culture_stamp</x:v>
      </x:c>
      <x:c r="B568" s="4" t="str">
        <x:v>Official seal stamp candidate preparation</x:v>
      </x:c>
      <x:c r="C568" s="4" t="str">
        <x:v>Finished-item crafting</x:v>
      </x:c>
      <x:c r="D568" s="4" t="str">
        <x:v>Proposal</x:v>
      </x:c>
      <x:c r="E568" s="4" t="str">
        <x:v>Partial proposal</x:v>
      </x:c>
      <x:c r="F568" s="4" t="str">
        <x:v>Candidate preparation of Official seal stamp</x:v>
      </x:c>
      <x:c r="G568" s="4" t="str">
        <x:v>Forge hearth, Anvil, Forging hammer, Smithing tongs, Metalworking file and Hand-cranked metal drill as applicable. Existing workshop bootstrap and controlled heating/cooling required; no free-water quench assumed.</x:v>
      </x:c>
      <x:c r="H568" s="4" t="str">
        <x:f>IF(I568=0,"Unassigned",IF(SUMIFS('Material routes'!$Q$6:$Q$2205,'Material routes'!$B$6:$B$2205,A568)&gt;0,"Unassigned","T"&amp;_xlfn.MAXIFS('Material routes'!$P$6:$P$2205,'Material routes'!$B$6:$B$2205,A568)))</x:f>
        <x:v>T3</x:v>
      </x:c>
      <x:c r="I568" s="4" t="n">
        <x:f>SUM(COUNTIFS('Material routes'!$B$6:$B$2205,A568,'Material routes'!$C$6:$C$2205,"Ingredient candidate"),COUNTIFS('Material routes'!$B$6:$B$2205,A568,'Material routes'!$C$6:$C$2205,"Consumed input"),COUNTIFS('Material routes'!$B$6:$B$2205,A568,'Material routes'!$C$6:$C$2205,"Contained input"),COUNTIFS('Material routes'!$B$6:$B$2205,A568,'Material routes'!$C$6:$C$2205,"Transform input"))</x:f>
        <x:v>2</x:v>
      </x:c>
      <x:c r="J568" s="4" t="n">
        <x:f>COUNTIFS('Material routes'!$B$6:$B$2205,A568,'Material routes'!$C$6:$C$2205,"Output")</x:f>
        <x:v>1</x:v>
      </x:c>
      <x:c r="K568" s="4" t="n">
        <x:f>COUNTIFS('Material routes'!$B$6:$B$2205,A568,'Material routes'!$C$6:$C$2205,"Tool candidate")</x:f>
        <x:v>0</x:v>
      </x:c>
      <x:c r="L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8" s="4" t="str">
        <x:v>Partial design only. Exact materials, joining, fit and qualification remain open. October 15 audit: candidate inputs / reusable prerequisites clarified. Structural coverage is not a qualified manufacturing recipe.</x:v>
      </x:c>
    </x:row>
    <x:row r="569" ht="115" customHeight="1">
      <x:c r="A569" s="4"/>
      <x:c r="B569" s="4"/>
      <x:c r="C569" s="4"/>
      <x:c r="D569" s="4"/>
      <x:c r="E569" s="4"/>
      <x:c r="F569" s="4"/>
      <x:c r="G569" s="4"/>
      <x:c r="H569" s="4"/>
      <x:c r="I569" s="4"/>
      <x:c r="J569" s="4"/>
      <x:c r="K569" s="4"/>
      <x:c r="L569" s="4"/>
      <x:c r="M569" s="4"/>
    </x:row>
    <x:row r="570" ht="115" customHeight="1">
      <x:c r="A570" s="4"/>
      <x:c r="B570" s="4"/>
      <x:c r="C570" s="4"/>
      <x:c r="D570" s="4"/>
      <x:c r="E570" s="4"/>
      <x:c r="F570" s="4"/>
      <x:c r="G570" s="4"/>
      <x:c r="H570" s="4"/>
      <x:c r="I570" s="4"/>
      <x:c r="J570" s="4"/>
      <x:c r="K570" s="4"/>
      <x:c r="L570" s="4"/>
      <x:c r="M570" s="4"/>
    </x:row>
    <x:row r="571" ht="115" customHeight="1">
      <x:c r="A571" s="4"/>
      <x:c r="B571" s="4"/>
      <x:c r="C571" s="4"/>
      <x:c r="D571" s="4"/>
      <x:c r="E571" s="4"/>
      <x:c r="F571" s="4"/>
      <x:c r="G571" s="4"/>
      <x:c r="H571" s="4"/>
      <x:c r="I571" s="4"/>
      <x:c r="J571" s="4"/>
      <x:c r="K571" s="4"/>
      <x:c r="L571" s="4"/>
      <x:c r="M571" s="4"/>
    </x:row>
    <x:row r="572" ht="115" customHeight="1">
      <x:c r="A572" s="4"/>
      <x:c r="B572" s="4"/>
      <x:c r="C572" s="4"/>
      <x:c r="D572" s="4"/>
      <x:c r="E572" s="4"/>
      <x:c r="F572" s="4"/>
      <x:c r="G572" s="4"/>
      <x:c r="H572" s="4"/>
      <x:c r="I572" s="4"/>
      <x:c r="J572" s="4"/>
      <x:c r="K572" s="4"/>
      <x:c r="L572" s="4"/>
      <x:c r="M572" s="4"/>
    </x:row>
    <x:row r="573" ht="115" customHeight="1">
      <x:c r="A573" s="4" t="str">
        <x:v>design.audit.proposal_culture_pilgrim_die</x:v>
      </x:c>
      <x:c r="B573" s="4" t="str">
        <x:v>Pilgrimage marking die candidate preparation</x:v>
      </x:c>
      <x:c r="C573" s="4" t="str">
        <x:v>Finished-item crafting</x:v>
      </x:c>
      <x:c r="D573" s="4" t="str">
        <x:v>Proposal</x:v>
      </x:c>
      <x:c r="E573" s="4" t="str">
        <x:v>Partial proposal</x:v>
      </x:c>
      <x:c r="F573" s="4" t="str">
        <x:v>Candidate preparation of Pilgrimage marking die</x:v>
      </x:c>
      <x:c r="G573" s="4" t="str">
        <x:v>Forge hearth, Anvil, Forging hammer, Smithing tongs, Metalworking file and Hand-cranked metal drill as applicable. Existing workshop bootstrap and controlled heating/cooling required; no free-water quench assumed.</x:v>
      </x:c>
      <x:c r="H573" s="4" t="str">
        <x:f>IF(I573=0,"Unassigned",IF(SUMIFS('Material routes'!$Q$6:$Q$2205,'Material routes'!$B$6:$B$2205,A573)&gt;0,"Unassigned","T"&amp;_xlfn.MAXIFS('Material routes'!$P$6:$P$2205,'Material routes'!$B$6:$B$2205,A573)))</x:f>
        <x:v>T2</x:v>
      </x:c>
      <x:c r="I573" s="4" t="n">
        <x:f>SUM(COUNTIFS('Material routes'!$B$6:$B$2205,A573,'Material routes'!$C$6:$C$2205,"Ingredient candidate"),COUNTIFS('Material routes'!$B$6:$B$2205,A573,'Material routes'!$C$6:$C$2205,"Consumed input"),COUNTIFS('Material routes'!$B$6:$B$2205,A573,'Material routes'!$C$6:$C$2205,"Contained input"),COUNTIFS('Material routes'!$B$6:$B$2205,A573,'Material routes'!$C$6:$C$2205,"Transform input"))</x:f>
        <x:v>1</x:v>
      </x:c>
      <x:c r="J573" s="4" t="n">
        <x:f>COUNTIFS('Material routes'!$B$6:$B$2205,A573,'Material routes'!$C$6:$C$2205,"Output")</x:f>
        <x:v>1</x:v>
      </x:c>
      <x:c r="K573" s="4" t="n">
        <x:f>COUNTIFS('Material routes'!$B$6:$B$2205,A573,'Material routes'!$C$6:$C$2205,"Tool candidate")</x:f>
        <x:v>0</x:v>
      </x:c>
      <x:c r="L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3" s="4" t="str">
        <x:v>Partial design only. Exact materials, joining, fit and qualification remain open. October 15 audit: candidate inputs / reusable prerequisites clarified. Structural coverage is not a qualified manufacturing recipe.</x:v>
      </x:c>
    </x:row>
    <x:row r="574" ht="115" customHeight="1">
      <x:c r="A574" s="4" t="str">
        <x:v>design.audit.proposal_culture_memorial</x:v>
      </x:c>
      <x:c r="B574" s="4" t="str">
        <x:v>Memorial name plate candidate preparation</x:v>
      </x:c>
      <x:c r="C574" s="4" t="str">
        <x:v>Finished-item crafting</x:v>
      </x:c>
      <x:c r="D574" s="4" t="str">
        <x:v>Proposal</x:v>
      </x:c>
      <x:c r="E574" s="4" t="str">
        <x:v>Partial proposal</x:v>
      </x:c>
      <x:c r="F574" s="4" t="str">
        <x:v>Candidate preparation of Memorial name plate</x:v>
      </x:c>
      <x:c r="G574" s="4" t="str">
        <x:v>Forge hearth, Anvil, Forging hammer, Smithing tongs, Metalworking file and Hand-cranked metal drill as applicable. Existing workshop bootstrap and controlled heating/cooling required; no free-water quench assumed.</x:v>
      </x:c>
      <x:c r="H574" s="4" t="str">
        <x:f>IF(I574=0,"Unassigned",IF(SUMIFS('Material routes'!$Q$6:$Q$2205,'Material routes'!$B$6:$B$2205,A574)&gt;0,"Unassigned","T"&amp;_xlfn.MAXIFS('Material routes'!$P$6:$P$2205,'Material routes'!$B$6:$B$2205,A574)))</x:f>
        <x:v>T2</x:v>
      </x:c>
      <x:c r="I574" s="4" t="n">
        <x:f>SUM(COUNTIFS('Material routes'!$B$6:$B$2205,A574,'Material routes'!$C$6:$C$2205,"Ingredient candidate"),COUNTIFS('Material routes'!$B$6:$B$2205,A574,'Material routes'!$C$6:$C$2205,"Consumed input"),COUNTIFS('Material routes'!$B$6:$B$2205,A574,'Material routes'!$C$6:$C$2205,"Contained input"),COUNTIFS('Material routes'!$B$6:$B$2205,A574,'Material routes'!$C$6:$C$2205,"Transform input"))</x:f>
        <x:v>3</x:v>
      </x:c>
      <x:c r="J574" s="4" t="n">
        <x:f>COUNTIFS('Material routes'!$B$6:$B$2205,A574,'Material routes'!$C$6:$C$2205,"Output")</x:f>
        <x:v>1</x:v>
      </x:c>
      <x:c r="K574" s="4" t="n">
        <x:f>COUNTIFS('Material routes'!$B$6:$B$2205,A574,'Material routes'!$C$6:$C$2205,"Tool candidate")</x:f>
        <x:v>0</x:v>
      </x:c>
      <x:c r="L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4" s="4" t="str">
        <x:v>Partial design only. Exact materials, joining, fit and qualification remain open. October 15 audit: candidate inputs / reusable prerequisites clarified. Structural coverage is not a qualified manufacturing recipe.</x:v>
      </x:c>
    </x:row>
    <x:row r="575" ht="115" customHeight="1">
      <x:c r="A575" s="4" t="str">
        <x:v>design.audit.proposal_culture_oath_ring</x:v>
      </x:c>
      <x:c r="B575" s="4" t="str">
        <x:v>Oath exchange ring candidate preparation</x:v>
      </x:c>
      <x:c r="C575" s="4" t="str">
        <x:v>Finished-item crafting</x:v>
      </x:c>
      <x:c r="D575" s="4" t="str">
        <x:v>Proposal</x:v>
      </x:c>
      <x:c r="E575" s="4" t="str">
        <x:v>Partial proposal</x:v>
      </x:c>
      <x:c r="F575" s="4" t="str">
        <x:v>Candidate preparation of Oath exchange ring</x:v>
      </x:c>
      <x:c r="G575" s="4" t="str">
        <x:v>Forge hearth, Anvil, Forging hammer, Smithing tongs, Metalworking file and Hand-cranked metal drill as applicable. Existing workshop bootstrap and controlled heating/cooling required; no free-water quench assumed.</x:v>
      </x:c>
      <x:c r="H575" s="4" t="str">
        <x:f>IF(I575=0,"Unassigned",IF(SUMIFS('Material routes'!$Q$6:$Q$2205,'Material routes'!$B$6:$B$2205,A575)&gt;0,"Unassigned","T"&amp;_xlfn.MAXIFS('Material routes'!$P$6:$P$2205,'Material routes'!$B$6:$B$2205,A575)))</x:f>
        <x:v>T2</x:v>
      </x:c>
      <x:c r="I575" s="4" t="n">
        <x:f>SUM(COUNTIFS('Material routes'!$B$6:$B$2205,A575,'Material routes'!$C$6:$C$2205,"Ingredient candidate"),COUNTIFS('Material routes'!$B$6:$B$2205,A575,'Material routes'!$C$6:$C$2205,"Consumed input"),COUNTIFS('Material routes'!$B$6:$B$2205,A575,'Material routes'!$C$6:$C$2205,"Contained input"),COUNTIFS('Material routes'!$B$6:$B$2205,A575,'Material routes'!$C$6:$C$2205,"Transform input"))</x:f>
        <x:v>3</x:v>
      </x:c>
      <x:c r="J575" s="4" t="n">
        <x:f>COUNTIFS('Material routes'!$B$6:$B$2205,A575,'Material routes'!$C$6:$C$2205,"Output")</x:f>
        <x:v>1</x:v>
      </x:c>
      <x:c r="K575" s="4" t="n">
        <x:f>COUNTIFS('Material routes'!$B$6:$B$2205,A575,'Material routes'!$C$6:$C$2205,"Tool candidate")</x:f>
        <x:v>0</x:v>
      </x:c>
      <x:c r="L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5" s="4" t="str">
        <x:v>Partial design only. Exact materials, joining, fit and qualification remain open. October 15 audit: candidate inputs / reusable prerequisites clarified. Structural coverage is not a qualified manufacturing recipe.</x:v>
      </x:c>
    </x:row>
    <x:row r="576" ht="115" customHeight="1">
      <x:c r="A576" s="4" t="str">
        <x:v>design.audit.proposal_culture_milestone</x:v>
      </x:c>
      <x:c r="B576" s="4" t="str">
        <x:v>Life-event charm candidate preparation</x:v>
      </x:c>
      <x:c r="C576" s="4" t="str">
        <x:v>Finished-item crafting</x:v>
      </x:c>
      <x:c r="D576" s="4" t="str">
        <x:v>Proposal</x:v>
      </x:c>
      <x:c r="E576" s="4" t="str">
        <x:v>Partial proposal</x:v>
      </x:c>
      <x:c r="F576" s="4" t="str">
        <x:v>Candidate preparation of Life-event charm</x:v>
      </x:c>
      <x:c r="G576" s="4" t="str">
        <x:v>Forge hearth, Anvil, Forging hammer, Smithing tongs, Metalworking file and Hand-cranked metal drill as applicable. Existing workshop bootstrap and controlled heating/cooling required; no free-water quench assumed.</x:v>
      </x:c>
      <x:c r="H576" s="4" t="str">
        <x:f>IF(I576=0,"Unassigned",IF(SUMIFS('Material routes'!$Q$6:$Q$2205,'Material routes'!$B$6:$B$2205,A576)&gt;0,"Unassigned","T"&amp;_xlfn.MAXIFS('Material routes'!$P$6:$P$2205,'Material routes'!$B$6:$B$2205,A576)))</x:f>
        <x:v>T2</x:v>
      </x:c>
      <x:c r="I576" s="4" t="n">
        <x:f>SUM(COUNTIFS('Material routes'!$B$6:$B$2205,A576,'Material routes'!$C$6:$C$2205,"Ingredient candidate"),COUNTIFS('Material routes'!$B$6:$B$2205,A576,'Material routes'!$C$6:$C$2205,"Consumed input"),COUNTIFS('Material routes'!$B$6:$B$2205,A576,'Material routes'!$C$6:$C$2205,"Contained input"),COUNTIFS('Material routes'!$B$6:$B$2205,A576,'Material routes'!$C$6:$C$2205,"Transform input"))</x:f>
        <x:v>3</x:v>
      </x:c>
      <x:c r="J576" s="4" t="n">
        <x:f>COUNTIFS('Material routes'!$B$6:$B$2205,A576,'Material routes'!$C$6:$C$2205,"Output")</x:f>
        <x:v>1</x:v>
      </x:c>
      <x:c r="K576" s="4" t="n">
        <x:f>COUNTIFS('Material routes'!$B$6:$B$2205,A576,'Material routes'!$C$6:$C$2205,"Tool candidate")</x:f>
        <x:v>0</x:v>
      </x:c>
      <x:c r="L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6" s="4" t="str">
        <x:v>Partial design only. Exact materials, joining, fit and qualification remain open. October 15 audit: candidate inputs / reusable prerequisites clarified. Structural coverage is not a qualified manufacturing recipe.</x:v>
      </x:c>
    </x:row>
    <x:row r="577" ht="115" customHeight="1">
      <x:c r="A577" s="4" t="str">
        <x:v>design.audit.proposal_culture_rattle</x:v>
      </x:c>
      <x:c r="B577" s="4" t="str">
        <x:v>Ceremonial shell rattle candidate preparation</x:v>
      </x:c>
      <x:c r="C577" s="4" t="str">
        <x:v>Finished-item crafting</x:v>
      </x:c>
      <x:c r="D577" s="4" t="str">
        <x:v>Proposal</x:v>
      </x:c>
      <x:c r="E577" s="4" t="str">
        <x:v>Partial proposal</x:v>
      </x:c>
      <x:c r="F577" s="4" t="str">
        <x:v>Candidate preparation of Ceremonial shell rattle</x:v>
      </x:c>
      <x:c r="G577" s="4" t="str">
        <x:v>Metalworking file and assembly/tuning fixtures; tension jigs and shears for listed biological membranes; controlled kiln for ceramic forms. No wood or ordinary cloth.</x:v>
      </x:c>
      <x:c r="H577" s="4" t="str">
        <x:f>IF(I577=0,"Unassigned",IF(SUMIFS('Material routes'!$Q$6:$Q$2205,'Material routes'!$B$6:$B$2205,A577)&gt;0,"Unassigned","T"&amp;_xlfn.MAXIFS('Material routes'!$P$6:$P$2205,'Material routes'!$B$6:$B$2205,A577)))</x:f>
        <x:v>T1</x:v>
      </x:c>
      <x:c r="I577" s="4" t="n">
        <x:f>SUM(COUNTIFS('Material routes'!$B$6:$B$2205,A577,'Material routes'!$C$6:$C$2205,"Ingredient candidate"),COUNTIFS('Material routes'!$B$6:$B$2205,A577,'Material routes'!$C$6:$C$2205,"Consumed input"),COUNTIFS('Material routes'!$B$6:$B$2205,A577,'Material routes'!$C$6:$C$2205,"Contained input"),COUNTIFS('Material routes'!$B$6:$B$2205,A577,'Material routes'!$C$6:$C$2205,"Transform input"))</x:f>
        <x:v>3</x:v>
      </x:c>
      <x:c r="J577" s="4" t="n">
        <x:f>COUNTIFS('Material routes'!$B$6:$B$2205,A577,'Material routes'!$C$6:$C$2205,"Output")</x:f>
        <x:v>1</x:v>
      </x:c>
      <x:c r="K577" s="4" t="n">
        <x:f>COUNTIFS('Material routes'!$B$6:$B$2205,A577,'Material routes'!$C$6:$C$2205,"Tool candidate")</x:f>
        <x:v>0</x:v>
      </x:c>
      <x:c r="L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7" s="4" t="str">
        <x:v>Partial design only. Exact materials, joining, fit and qualification remain open. October 15 audit: candidate inputs / reusable prerequisites clarified. Structural coverage is not a qualified manufacturing recipe.</x:v>
      </x:c>
    </x:row>
    <x:row r="578" ht="115" customHeight="1">
      <x:c r="A578" s="4" t="str">
        <x:v>design.audit.proposal_culture_gift_case</x:v>
      </x:c>
      <x:c r="B578" s="4" t="str">
        <x:v>Ceremonial gift case candidate preparation</x:v>
      </x:c>
      <x:c r="C578" s="4" t="str">
        <x:v>Finished-item crafting</x:v>
      </x:c>
      <x:c r="D578" s="4" t="str">
        <x:v>Proposal</x:v>
      </x:c>
      <x:c r="E578" s="4" t="str">
        <x:v>Partial proposal</x:v>
      </x:c>
      <x:c r="F578" s="4" t="str">
        <x:v>Candidate preparation of Ceremonial gift case</x:v>
      </x:c>
      <x:c r="G578" s="4" t="str">
        <x:v>Forge hearth, Anvil, Forging hammer, Smithing tongs, Metalworking file and Hand-cranked metal drill as applicable. Existing workshop bootstrap and controlled heating/cooling required; no free-water quench assumed.</x:v>
      </x:c>
      <x:c r="H578" s="4" t="str">
        <x:f>IF(I578=0,"Unassigned",IF(SUMIFS('Material routes'!$Q$6:$Q$2205,'Material routes'!$B$6:$B$2205,A578)&gt;0,"Unassigned","T"&amp;_xlfn.MAXIFS('Material routes'!$P$6:$P$2205,'Material routes'!$B$6:$B$2205,A578)))</x:f>
        <x:v>T3</x:v>
      </x:c>
      <x:c r="I578" s="4" t="n">
        <x:f>SUM(COUNTIFS('Material routes'!$B$6:$B$2205,A578,'Material routes'!$C$6:$C$2205,"Ingredient candidate"),COUNTIFS('Material routes'!$B$6:$B$2205,A578,'Material routes'!$C$6:$C$2205,"Consumed input"),COUNTIFS('Material routes'!$B$6:$B$2205,A578,'Material routes'!$C$6:$C$2205,"Contained input"),COUNTIFS('Material routes'!$B$6:$B$2205,A578,'Material routes'!$C$6:$C$2205,"Transform input"))</x:f>
        <x:v>3</x:v>
      </x:c>
      <x:c r="J578" s="4" t="n">
        <x:f>COUNTIFS('Material routes'!$B$6:$B$2205,A578,'Material routes'!$C$6:$C$2205,"Output")</x:f>
        <x:v>1</x:v>
      </x:c>
      <x:c r="K578" s="4" t="n">
        <x:f>COUNTIFS('Material routes'!$B$6:$B$2205,A578,'Material routes'!$C$6:$C$2205,"Tool candidate")</x:f>
        <x:v>0</x:v>
      </x:c>
      <x:c r="L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8" s="4" t="str">
        <x:v>Partial design only. Exact materials, joining, fit and qualification remain open. October 15 audit: candidate inputs / reusable prerequisites clarified. Structural coverage is not a qualified manufacturing recipe.</x:v>
      </x:c>
    </x:row>
    <x:row r="579" ht="115" customHeight="1">
      <x:c r="A579" s="4" t="str">
        <x:v>design.audit.proposal_culture_bowl</x:v>
      </x:c>
      <x:c r="B579" s="4" t="str">
        <x:v>Everyday shell bowl candidate preparation</x:v>
      </x:c>
      <x:c r="C579" s="4" t="str">
        <x:v>Finished-item crafting</x:v>
      </x:c>
      <x:c r="D579" s="4" t="str">
        <x:v>Proposal</x:v>
      </x:c>
      <x:c r="E579" s="4" t="str">
        <x:v>Partial proposal</x:v>
      </x:c>
      <x:c r="F579" s="4" t="str">
        <x:v>Candidate preparation of Everyday shell bowl</x:v>
      </x:c>
      <x:c r="G579" s="4" t="str">
        <x:v>Forge hearth, Anvil, Forging hammer, Smithing tongs, Metalworking file and Hand-cranked metal drill as applicable. Existing workshop bootstrap and controlled heating/cooling required; no free-water quench assumed.</x:v>
      </x:c>
      <x:c r="H579" s="4" t="str">
        <x:f>IF(I579=0,"Unassigned",IF(SUMIFS('Material routes'!$Q$6:$Q$2205,'Material routes'!$B$6:$B$2205,A579)&gt;0,"Unassigned","T"&amp;_xlfn.MAXIFS('Material routes'!$P$6:$P$2205,'Material routes'!$B$6:$B$2205,A579)))</x:f>
        <x:v>T1</x:v>
      </x:c>
      <x:c r="I579" s="4" t="n">
        <x:f>SUM(COUNTIFS('Material routes'!$B$6:$B$2205,A579,'Material routes'!$C$6:$C$2205,"Ingredient candidate"),COUNTIFS('Material routes'!$B$6:$B$2205,A579,'Material routes'!$C$6:$C$2205,"Consumed input"),COUNTIFS('Material routes'!$B$6:$B$2205,A579,'Material routes'!$C$6:$C$2205,"Contained input"),COUNTIFS('Material routes'!$B$6:$B$2205,A579,'Material routes'!$C$6:$C$2205,"Transform input"))</x:f>
        <x:v>1</x:v>
      </x:c>
      <x:c r="J579" s="4" t="n">
        <x:f>COUNTIFS('Material routes'!$B$6:$B$2205,A579,'Material routes'!$C$6:$C$2205,"Output")</x:f>
        <x:v>1</x:v>
      </x:c>
      <x:c r="K579" s="4" t="n">
        <x:f>COUNTIFS('Material routes'!$B$6:$B$2205,A579,'Material routes'!$C$6:$C$2205,"Tool candidate")</x:f>
        <x:v>0</x:v>
      </x:c>
      <x:c r="L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9" s="4" t="str">
        <x:v>Partial design only. Exact materials, joining, fit and qualification remain open. October 15 audit: candidate inputs / reusable prerequisites clarified. Structural coverage is not a qualified manufacturing recipe.</x:v>
      </x:c>
    </x:row>
    <x:row r="580" ht="115" customHeight="1">
      <x:c r="A580" s="4" t="str">
        <x:v>design.audit.proposal_culture_spoon</x:v>
      </x:c>
      <x:c r="B580" s="4" t="str">
        <x:v>Algae spoon / scraper candidate preparation</x:v>
      </x:c>
      <x:c r="C580" s="4" t="str">
        <x:v>Finished-item crafting</x:v>
      </x:c>
      <x:c r="D580" s="4" t="str">
        <x:v>Proposal</x:v>
      </x:c>
      <x:c r="E580" s="4" t="str">
        <x:v>Partial proposal</x:v>
      </x:c>
      <x:c r="F580" s="4" t="str">
        <x:v>Candidate preparation of Algae spoon / scraper</x:v>
      </x:c>
      <x:c r="G580" s="4" t="str">
        <x:v>Forge hearth, Anvil, Forging hammer, Smithing tongs, Metalworking file and Hand-cranked metal drill as applicable. Existing workshop bootstrap and controlled heating/cooling required; no free-water quench assumed.</x:v>
      </x:c>
      <x:c r="H580" s="4" t="str">
        <x:f>IF(I580=0,"Unassigned",IF(SUMIFS('Material routes'!$Q$6:$Q$2205,'Material routes'!$B$6:$B$2205,A580)&gt;0,"Unassigned","T"&amp;_xlfn.MAXIFS('Material routes'!$P$6:$P$2205,'Material routes'!$B$6:$B$2205,A580)))</x:f>
        <x:v>T1</x:v>
      </x:c>
      <x:c r="I580" s="4" t="n">
        <x:f>SUM(COUNTIFS('Material routes'!$B$6:$B$2205,A580,'Material routes'!$C$6:$C$2205,"Ingredient candidate"),COUNTIFS('Material routes'!$B$6:$B$2205,A580,'Material routes'!$C$6:$C$2205,"Consumed input"),COUNTIFS('Material routes'!$B$6:$B$2205,A580,'Material routes'!$C$6:$C$2205,"Contained input"),COUNTIFS('Material routes'!$B$6:$B$2205,A580,'Material routes'!$C$6:$C$2205,"Transform input"))</x:f>
        <x:v>1</x:v>
      </x:c>
      <x:c r="J580" s="4" t="n">
        <x:f>COUNTIFS('Material routes'!$B$6:$B$2205,A580,'Material routes'!$C$6:$C$2205,"Output")</x:f>
        <x:v>1</x:v>
      </x:c>
      <x:c r="K580" s="4" t="n">
        <x:f>COUNTIFS('Material routes'!$B$6:$B$2205,A580,'Material routes'!$C$6:$C$2205,"Tool candidate")</x:f>
        <x:v>0</x:v>
      </x:c>
      <x:c r="L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0" s="4" t="str">
        <x:v>Partial design only. Exact materials, joining, fit and qualification remain open. October 15 audit: candidate inputs / reusable prerequisites clarified. Structural coverage is not a qualified manufacturing recipe.</x:v>
      </x:c>
    </x:row>
    <x:row r="581" ht="115" customHeight="1">
      <x:c r="A581" s="4" t="str">
        <x:v>design.audit.proposal_culture_brush</x:v>
      </x:c>
      <x:c r="B581" s="4" t="str">
        <x:v>Dust brush candidate preparation</x:v>
      </x:c>
      <x:c r="C581" s="4" t="str">
        <x:v>Finished-item crafting</x:v>
      </x:c>
      <x:c r="D581" s="4" t="str">
        <x:v>Proposal</x:v>
      </x:c>
      <x:c r="E581" s="4" t="str">
        <x:v>Partial proposal</x:v>
      </x:c>
      <x:c r="F581" s="4" t="str">
        <x:v>Candidate preparation of Dust brush</x:v>
      </x:c>
      <x:c r="G581" s="4" t="str">
        <x:v>Husk-sheet cutting shears, pressure fixtures and dedicated preparation surfaces. Very low hide/fur yield; no ordinary cloth or plant inputs.</x:v>
      </x:c>
      <x:c r="H581" s="4" t="str">
        <x:f>IF(I581=0,"Unassigned",IF(SUMIFS('Material routes'!$Q$6:$Q$2205,'Material routes'!$B$6:$B$2205,A581)&gt;0,"Unassigned","T"&amp;_xlfn.MAXIFS('Material routes'!$P$6:$P$2205,'Material routes'!$B$6:$B$2205,A581)))</x:f>
        <x:v>T3</x:v>
      </x:c>
      <x:c r="I581" s="4" t="n">
        <x:f>SUM(COUNTIFS('Material routes'!$B$6:$B$2205,A581,'Material routes'!$C$6:$C$2205,"Ingredient candidate"),COUNTIFS('Material routes'!$B$6:$B$2205,A581,'Material routes'!$C$6:$C$2205,"Consumed input"),COUNTIFS('Material routes'!$B$6:$B$2205,A581,'Material routes'!$C$6:$C$2205,"Contained input"),COUNTIFS('Material routes'!$B$6:$B$2205,A581,'Material routes'!$C$6:$C$2205,"Transform input"))</x:f>
        <x:v>2</x:v>
      </x:c>
      <x:c r="J581" s="4" t="n">
        <x:f>COUNTIFS('Material routes'!$B$6:$B$2205,A581,'Material routes'!$C$6:$C$2205,"Output")</x:f>
        <x:v>1</x:v>
      </x:c>
      <x:c r="K581" s="4" t="n">
        <x:f>COUNTIFS('Material routes'!$B$6:$B$2205,A581,'Material routes'!$C$6:$C$2205,"Tool candidate")</x:f>
        <x:v>0</x:v>
      </x:c>
      <x:c r="L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1" s="4" t="str">
        <x:v>Partial design only. Exact materials, joining, fit and qualification remain open. October 15 audit: candidate inputs / reusable prerequisites clarified. Structural coverage is not a qualified manufacturing recipe.</x:v>
      </x:c>
    </x:row>
    <x:row r="582" ht="115" customHeight="1">
      <x:c r="A582" s="4" t="str">
        <x:v>design.audit.proposal_culture_comb</x:v>
      </x:c>
      <x:c r="B582" s="4" t="str">
        <x:v>Shell comb candidate preparation</x:v>
      </x:c>
      <x:c r="C582" s="4" t="str">
        <x:v>Finished-item crafting</x:v>
      </x:c>
      <x:c r="D582" s="4" t="str">
        <x:v>Proposal</x:v>
      </x:c>
      <x:c r="E582" s="4" t="str">
        <x:v>Partial proposal</x:v>
      </x:c>
      <x:c r="F582" s="4" t="str">
        <x:v>Candidate preparation of Shell comb</x:v>
      </x:c>
      <x:c r="G582" s="4" t="str">
        <x:v>Forge hearth, Anvil, Forging hammer, Smithing tongs, Metalworking file and Hand-cranked metal drill as applicable. Existing workshop bootstrap and controlled heating/cooling required; no free-water quench assumed.</x:v>
      </x:c>
      <x:c r="H582" s="4" t="str">
        <x:f>IF(I582=0,"Unassigned",IF(SUMIFS('Material routes'!$Q$6:$Q$2205,'Material routes'!$B$6:$B$2205,A582)&gt;0,"Unassigned","T"&amp;_xlfn.MAXIFS('Material routes'!$P$6:$P$2205,'Material routes'!$B$6:$B$2205,A582)))</x:f>
        <x:v>T1</x:v>
      </x:c>
      <x:c r="I582" s="4" t="n">
        <x:f>SUM(COUNTIFS('Material routes'!$B$6:$B$2205,A582,'Material routes'!$C$6:$C$2205,"Ingredient candidate"),COUNTIFS('Material routes'!$B$6:$B$2205,A582,'Material routes'!$C$6:$C$2205,"Consumed input"),COUNTIFS('Material routes'!$B$6:$B$2205,A582,'Material routes'!$C$6:$C$2205,"Contained input"),COUNTIFS('Material routes'!$B$6:$B$2205,A582,'Material routes'!$C$6:$C$2205,"Transform input"))</x:f>
        <x:v>1</x:v>
      </x:c>
      <x:c r="J582" s="4" t="n">
        <x:f>COUNTIFS('Material routes'!$B$6:$B$2205,A582,'Material routes'!$C$6:$C$2205,"Output")</x:f>
        <x:v>1</x:v>
      </x:c>
      <x:c r="K582" s="4" t="n">
        <x:f>COUNTIFS('Material routes'!$B$6:$B$2205,A582,'Material routes'!$C$6:$C$2205,"Tool candidate")</x:f>
        <x:v>0</x:v>
      </x:c>
      <x:c r="L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2" s="4" t="str">
        <x:v>Partial design only. Exact materials, joining, fit and qualification remain open. October 15 audit: candidate inputs / reusable prerequisites clarified. Structural coverage is not a qualified manufacturing recipe.</x:v>
      </x:c>
    </x:row>
    <x:row r="583" ht="115" customHeight="1">
      <x:c r="A583" s="4"/>
      <x:c r="B583" s="4"/>
      <x:c r="C583" s="4"/>
      <x:c r="D583" s="4"/>
      <x:c r="E583" s="4"/>
      <x:c r="F583" s="4"/>
      <x:c r="G583" s="4"/>
      <x:c r="H583" s="4"/>
      <x:c r="I583" s="4"/>
      <x:c r="J583" s="4"/>
      <x:c r="K583" s="4"/>
      <x:c r="L583" s="4"/>
      <x:c r="M583" s="4"/>
    </x:row>
    <x:row r="584" ht="115" customHeight="1">
      <x:c r="A584" s="4" t="str">
        <x:v>design.audit.proposal_culture_stylus</x:v>
      </x:c>
      <x:c r="B584" s="4" t="str">
        <x:v>Marking stylus candidate preparation</x:v>
      </x:c>
      <x:c r="C584" s="4" t="str">
        <x:v>Finished-item crafting</x:v>
      </x:c>
      <x:c r="D584" s="4" t="str">
        <x:v>Proposal</x:v>
      </x:c>
      <x:c r="E584" s="4" t="str">
        <x:v>Partial proposal</x:v>
      </x:c>
      <x:c r="F584" s="4" t="str">
        <x:v>Candidate preparation of Marking stylus</x:v>
      </x:c>
      <x:c r="G584" s="4" t="str">
        <x:v>Forge hearth, Anvil, Forging hammer, Smithing tongs, Metalworking file and Hand-cranked metal drill as applicable. Existing workshop bootstrap and controlled heating/cooling required; no free-water quench assumed.</x:v>
      </x:c>
      <x:c r="H584" s="4" t="str">
        <x:f>IF(I584=0,"Unassigned",IF(SUMIFS('Material routes'!$Q$6:$Q$2205,'Material routes'!$B$6:$B$2205,A584)&gt;0,"Unassigned","T"&amp;_xlfn.MAXIFS('Material routes'!$P$6:$P$2205,'Material routes'!$B$6:$B$2205,A584)))</x:f>
        <x:v>T2</x:v>
      </x:c>
      <x:c r="I584" s="4" t="n">
        <x:f>SUM(COUNTIFS('Material routes'!$B$6:$B$2205,A584,'Material routes'!$C$6:$C$2205,"Ingredient candidate"),COUNTIFS('Material routes'!$B$6:$B$2205,A584,'Material routes'!$C$6:$C$2205,"Consumed input"),COUNTIFS('Material routes'!$B$6:$B$2205,A584,'Material routes'!$C$6:$C$2205,"Contained input"),COUNTIFS('Material routes'!$B$6:$B$2205,A584,'Material routes'!$C$6:$C$2205,"Transform input"))</x:f>
        <x:v>1</x:v>
      </x:c>
      <x:c r="J584" s="4" t="n">
        <x:f>COUNTIFS('Material routes'!$B$6:$B$2205,A584,'Material routes'!$C$6:$C$2205,"Output")</x:f>
        <x:v>1</x:v>
      </x:c>
      <x:c r="K584" s="4" t="n">
        <x:f>COUNTIFS('Material routes'!$B$6:$B$2205,A584,'Material routes'!$C$6:$C$2205,"Tool candidate")</x:f>
        <x:v>0</x:v>
      </x:c>
      <x:c r="L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4" s="4" t="str">
        <x:v>Partial design only. Exact materials, joining, fit and qualification remain open. October 15 audit: candidate inputs / reusable prerequisites clarified. Structural coverage is not a qualified manufacturing recipe.</x:v>
      </x:c>
    </x:row>
    <x:row r="585" ht="115" customHeight="1">
      <x:c r="A585" s="4" t="str">
        <x:v>design.audit.proposal_ceramic_cup</x:v>
      </x:c>
      <x:c r="B585" s="4" t="str">
        <x:v>Small ceramic cup candidate preparation</x:v>
      </x:c>
      <x:c r="C585" s="4" t="str">
        <x:v>Finished-item crafting</x:v>
      </x:c>
      <x:c r="D585" s="4" t="str">
        <x:v>Proposal</x:v>
      </x:c>
      <x:c r="E585" s="4" t="str">
        <x:v>Partial proposal</x:v>
      </x:c>
      <x:c r="F585" s="4" t="str">
        <x:v>Candidate preparation of Small ceramic cup</x:v>
      </x:c>
      <x:c r="G585" s="4" t="str">
        <x:v>Controlled-heating firing kiln or specialist glass hot-work station; Ceramic firing tray / Ceramic casting mold as applicable. Qualified power, heat and atmosphere required.</x:v>
      </x:c>
      <x:c r="H585" s="4" t="str">
        <x:f>IF(I585=0,"Unassigned",IF(SUMIFS('Material routes'!$Q$6:$Q$2205,'Material routes'!$B$6:$B$2205,A585)&gt;0,"Unassigned","T"&amp;_xlfn.MAXIFS('Material routes'!$P$6:$P$2205,'Material routes'!$B$6:$B$2205,A585)))</x:f>
        <x:v>T1</x:v>
      </x:c>
      <x:c r="I585" s="4" t="n">
        <x:f>SUM(COUNTIFS('Material routes'!$B$6:$B$2205,A585,'Material routes'!$C$6:$C$2205,"Ingredient candidate"),COUNTIFS('Material routes'!$B$6:$B$2205,A585,'Material routes'!$C$6:$C$2205,"Consumed input"),COUNTIFS('Material routes'!$B$6:$B$2205,A585,'Material routes'!$C$6:$C$2205,"Contained input"),COUNTIFS('Material routes'!$B$6:$B$2205,A585,'Material routes'!$C$6:$C$2205,"Transform input"))</x:f>
        <x:v>2</x:v>
      </x:c>
      <x:c r="J585" s="4" t="n">
        <x:f>COUNTIFS('Material routes'!$B$6:$B$2205,A585,'Material routes'!$C$6:$C$2205,"Output")</x:f>
        <x:v>1</x:v>
      </x:c>
      <x:c r="K585" s="4" t="n">
        <x:f>COUNTIFS('Material routes'!$B$6:$B$2205,A585,'Material routes'!$C$6:$C$2205,"Tool candidate")</x:f>
        <x:v>0</x:v>
      </x:c>
      <x:c r="L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5" s="4" t="str">
        <x:v>Partial design only. Exact materials, joining, fit and qualification remain open. October 15 audit: candidate inputs / reusable prerequisites clarified. Structural coverage is not a qualified manufacturing recipe.</x:v>
      </x:c>
    </x:row>
    <x:row r="586" ht="115" customHeight="1">
      <x:c r="A586" s="4" t="str">
        <x:v>design.audit.proposal_ceramic_plate</x:v>
      </x:c>
      <x:c r="B586" s="4" t="str">
        <x:v>Ceramic serving plate candidate preparation</x:v>
      </x:c>
      <x:c r="C586" s="4" t="str">
        <x:v>Finished-item crafting</x:v>
      </x:c>
      <x:c r="D586" s="4" t="str">
        <x:v>Proposal</x:v>
      </x:c>
      <x:c r="E586" s="4" t="str">
        <x:v>Partial proposal</x:v>
      </x:c>
      <x:c r="F586" s="4" t="str">
        <x:v>Candidate preparation of Ceramic serving plate</x:v>
      </x:c>
      <x:c r="G586" s="4" t="str">
        <x:v>Controlled-heating firing kiln or specialist glass hot-work station; Ceramic firing tray / Ceramic casting mold as applicable. Qualified power, heat and atmosphere required.</x:v>
      </x:c>
      <x:c r="H586" s="4" t="str">
        <x:f>IF(I586=0,"Unassigned",IF(SUMIFS('Material routes'!$Q$6:$Q$2205,'Material routes'!$B$6:$B$2205,A586)&gt;0,"Unassigned","T"&amp;_xlfn.MAXIFS('Material routes'!$P$6:$P$2205,'Material routes'!$B$6:$B$2205,A586)))</x:f>
        <x:v>T1</x:v>
      </x:c>
      <x:c r="I586" s="4" t="n">
        <x:f>SUM(COUNTIFS('Material routes'!$B$6:$B$2205,A586,'Material routes'!$C$6:$C$2205,"Ingredient candidate"),COUNTIFS('Material routes'!$B$6:$B$2205,A586,'Material routes'!$C$6:$C$2205,"Consumed input"),COUNTIFS('Material routes'!$B$6:$B$2205,A586,'Material routes'!$C$6:$C$2205,"Contained input"),COUNTIFS('Material routes'!$B$6:$B$2205,A586,'Material routes'!$C$6:$C$2205,"Transform input"))</x:f>
        <x:v>2</x:v>
      </x:c>
      <x:c r="J586" s="4" t="n">
        <x:f>COUNTIFS('Material routes'!$B$6:$B$2205,A586,'Material routes'!$C$6:$C$2205,"Output")</x:f>
        <x:v>1</x:v>
      </x:c>
      <x:c r="K586" s="4" t="n">
        <x:f>COUNTIFS('Material routes'!$B$6:$B$2205,A586,'Material routes'!$C$6:$C$2205,"Tool candidate")</x:f>
        <x:v>0</x:v>
      </x:c>
      <x:c r="L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6" s="4" t="str">
        <x:v>Partial design only. Exact materials, joining, fit and qualification remain open. October 15 audit: candidate inputs / reusable prerequisites clarified. Structural coverage is not a qualified manufacturing recipe.</x:v>
      </x:c>
    </x:row>
    <x:row r="587" ht="115" customHeight="1">
      <x:c r="A587" s="4" t="str">
        <x:v>design.audit.proposal_ceramic_storage_crock</x:v>
      </x:c>
      <x:c r="B587" s="4" t="str">
        <x:v>Ceramic dry-storage crock candidate preparation</x:v>
      </x:c>
      <x:c r="C587" s="4" t="str">
        <x:v>Finished-item crafting</x:v>
      </x:c>
      <x:c r="D587" s="4" t="str">
        <x:v>Proposal</x:v>
      </x:c>
      <x:c r="E587" s="4" t="str">
        <x:v>Partial proposal</x:v>
      </x:c>
      <x:c r="F587" s="4" t="str">
        <x:v>Candidate preparation of Ceramic dry-storage crock</x:v>
      </x:c>
      <x:c r="G587" s="4" t="str">
        <x:v>Controlled-heating firing kiln or specialist glass hot-work station; Ceramic firing tray / Ceramic casting mold as applicable. Qualified power, heat and atmosphere required.</x:v>
      </x:c>
      <x:c r="H587" s="4" t="str">
        <x:f>IF(I587=0,"Unassigned",IF(SUMIFS('Material routes'!$Q$6:$Q$2205,'Material routes'!$B$6:$B$2205,A587)&gt;0,"Unassigned","T"&amp;_xlfn.MAXIFS('Material routes'!$P$6:$P$2205,'Material routes'!$B$6:$B$2205,A587)))</x:f>
        <x:v>T3</x:v>
      </x:c>
      <x:c r="I587" s="4" t="n">
        <x:f>SUM(COUNTIFS('Material routes'!$B$6:$B$2205,A587,'Material routes'!$C$6:$C$2205,"Ingredient candidate"),COUNTIFS('Material routes'!$B$6:$B$2205,A587,'Material routes'!$C$6:$C$2205,"Consumed input"),COUNTIFS('Material routes'!$B$6:$B$2205,A587,'Material routes'!$C$6:$C$2205,"Contained input"),COUNTIFS('Material routes'!$B$6:$B$2205,A587,'Material routes'!$C$6:$C$2205,"Transform input"))</x:f>
        <x:v>2</x:v>
      </x:c>
      <x:c r="J587" s="4" t="n">
        <x:f>COUNTIFS('Material routes'!$B$6:$B$2205,A587,'Material routes'!$C$6:$C$2205,"Output")</x:f>
        <x:v>1</x:v>
      </x:c>
      <x:c r="K587" s="4" t="n">
        <x:f>COUNTIFS('Material routes'!$B$6:$B$2205,A587,'Material routes'!$C$6:$C$2205,"Tool candidate")</x:f>
        <x:v>0</x:v>
      </x:c>
      <x:c r="L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7" s="4" t="str">
        <x:v>Partial design only. Exact materials, joining, fit and qualification remain open. October 15 audit: candidate inputs / reusable prerequisites clarified. Structural coverage is not a qualified manufacturing recipe.</x:v>
      </x:c>
    </x:row>
    <x:row r="588" ht="115" customHeight="1">
      <x:c r="A588" s="4" t="str">
        <x:v>design.audit.proposal_ceramic_casting_mold</x:v>
      </x:c>
      <x:c r="B588" s="4" t="str">
        <x:v>Ceramic casting mold candidate preparation</x:v>
      </x:c>
      <x:c r="C588" s="4" t="str">
        <x:v>Finished-item crafting</x:v>
      </x:c>
      <x:c r="D588" s="4" t="str">
        <x:v>Proposal</x:v>
      </x:c>
      <x:c r="E588" s="4" t="str">
        <x:v>Partial proposal</x:v>
      </x:c>
      <x:c r="F588" s="4" t="str">
        <x:v>Candidate preparation of Ceramic casting mold</x:v>
      </x:c>
      <x:c r="G588" s="4" t="str">
        <x:v>Controlled-heating firing kiln or specialist glass hot-work station; Ceramic firing tray / Ceramic casting mold as applicable. Qualified power, heat and atmosphere required.</x:v>
      </x:c>
      <x:c r="H588" s="4" t="str">
        <x:f>IF(I588=0,"Unassigned",IF(SUMIFS('Material routes'!$Q$6:$Q$2205,'Material routes'!$B$6:$B$2205,A588)&gt;0,"Unassigned","T"&amp;_xlfn.MAXIFS('Material routes'!$P$6:$P$2205,'Material routes'!$B$6:$B$2205,A588)))</x:f>
        <x:v>T1</x:v>
      </x:c>
      <x:c r="I588" s="4" t="n">
        <x:f>SUM(COUNTIFS('Material routes'!$B$6:$B$2205,A588,'Material routes'!$C$6:$C$2205,"Ingredient candidate"),COUNTIFS('Material routes'!$B$6:$B$2205,A588,'Material routes'!$C$6:$C$2205,"Consumed input"),COUNTIFS('Material routes'!$B$6:$B$2205,A588,'Material routes'!$C$6:$C$2205,"Contained input"),COUNTIFS('Material routes'!$B$6:$B$2205,A588,'Material routes'!$C$6:$C$2205,"Transform input"))</x:f>
        <x:v>2</x:v>
      </x:c>
      <x:c r="J588" s="4" t="n">
        <x:f>COUNTIFS('Material routes'!$B$6:$B$2205,A588,'Material routes'!$C$6:$C$2205,"Output")</x:f>
        <x:v>1</x:v>
      </x:c>
      <x:c r="K588" s="4" t="n">
        <x:f>COUNTIFS('Material routes'!$B$6:$B$2205,A588,'Material routes'!$C$6:$C$2205,"Tool candidate")</x:f>
        <x:v>0</x:v>
      </x:c>
      <x:c r="L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8" s="4" t="str">
        <x:v>Partial design only. Exact materials, joining, fit and qualification remain open. October 15 audit: candidate inputs / reusable prerequisites clarified. Structural coverage is not a qualified manufacturing recipe.</x:v>
      </x:c>
    </x:row>
    <x:row r="589" ht="115" customHeight="1">
      <x:c r="A589" s="4" t="str">
        <x:v>design.audit.proposal_ceramic_mortar</x:v>
      </x:c>
      <x:c r="B589" s="4" t="str">
        <x:v>Ceramic grinding mortar candidate preparation</x:v>
      </x:c>
      <x:c r="C589" s="4" t="str">
        <x:v>Finished-item crafting</x:v>
      </x:c>
      <x:c r="D589" s="4" t="str">
        <x:v>Proposal</x:v>
      </x:c>
      <x:c r="E589" s="4" t="str">
        <x:v>Partial proposal</x:v>
      </x:c>
      <x:c r="F589" s="4" t="str">
        <x:v>Candidate preparation of Ceramic grinding mortar</x:v>
      </x:c>
      <x:c r="G589" s="4" t="str">
        <x:v>Controlled-heating firing kiln or specialist glass hot-work station; Ceramic firing tray / Ceramic casting mold as applicable. Qualified power, heat and atmosphere required.</x:v>
      </x:c>
      <x:c r="H589" s="4" t="str">
        <x:f>IF(I589=0,"Unassigned",IF(SUMIFS('Material routes'!$Q$6:$Q$2205,'Material routes'!$B$6:$B$2205,A589)&gt;0,"Unassigned","T"&amp;_xlfn.MAXIFS('Material routes'!$P$6:$P$2205,'Material routes'!$B$6:$B$2205,A589)))</x:f>
        <x:v>T1</x:v>
      </x:c>
      <x:c r="I589" s="4" t="n">
        <x:f>SUM(COUNTIFS('Material routes'!$B$6:$B$2205,A589,'Material routes'!$C$6:$C$2205,"Ingredient candidate"),COUNTIFS('Material routes'!$B$6:$B$2205,A589,'Material routes'!$C$6:$C$2205,"Consumed input"),COUNTIFS('Material routes'!$B$6:$B$2205,A589,'Material routes'!$C$6:$C$2205,"Contained input"),COUNTIFS('Material routes'!$B$6:$B$2205,A589,'Material routes'!$C$6:$C$2205,"Transform input"))</x:f>
        <x:v>2</x:v>
      </x:c>
      <x:c r="J589" s="4" t="n">
        <x:f>COUNTIFS('Material routes'!$B$6:$B$2205,A589,'Material routes'!$C$6:$C$2205,"Output")</x:f>
        <x:v>1</x:v>
      </x:c>
      <x:c r="K589" s="4" t="n">
        <x:f>COUNTIFS('Material routes'!$B$6:$B$2205,A589,'Material routes'!$C$6:$C$2205,"Tool candidate")</x:f>
        <x:v>0</x:v>
      </x:c>
      <x:c r="L5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9" s="4" t="str">
        <x:v>Partial design only. Exact materials, joining, fit and qualification remain open. October 15 audit: candidate inputs / reusable prerequisites clarified. Structural coverage is not a qualified manufacturing recipe.</x:v>
      </x:c>
    </x:row>
    <x:row r="590" ht="115" customHeight="1">
      <x:c r="A590" s="4" t="str">
        <x:v>design.audit.proposal_ceramic_pestle</x:v>
      </x:c>
      <x:c r="B590" s="4" t="str">
        <x:v>Ceramic pestle candidate preparation</x:v>
      </x:c>
      <x:c r="C590" s="4" t="str">
        <x:v>Finished-item crafting</x:v>
      </x:c>
      <x:c r="D590" s="4" t="str">
        <x:v>Proposal</x:v>
      </x:c>
      <x:c r="E590" s="4" t="str">
        <x:v>Partial proposal</x:v>
      </x:c>
      <x:c r="F590" s="4" t="str">
        <x:v>Candidate preparation of Ceramic pestle</x:v>
      </x:c>
      <x:c r="G590" s="4" t="str">
        <x:v>Controlled-heating firing kiln or specialist glass hot-work station; Ceramic firing tray / Ceramic casting mold as applicable. Qualified power, heat and atmosphere required.</x:v>
      </x:c>
      <x:c r="H590" s="4" t="str">
        <x:f>IF(I590=0,"Unassigned",IF(SUMIFS('Material routes'!$Q$6:$Q$2205,'Material routes'!$B$6:$B$2205,A590)&gt;0,"Unassigned","T"&amp;_xlfn.MAXIFS('Material routes'!$P$6:$P$2205,'Material routes'!$B$6:$B$2205,A590)))</x:f>
        <x:v>T1</x:v>
      </x:c>
      <x:c r="I590" s="4" t="n">
        <x:f>SUM(COUNTIFS('Material routes'!$B$6:$B$2205,A590,'Material routes'!$C$6:$C$2205,"Ingredient candidate"),COUNTIFS('Material routes'!$B$6:$B$2205,A590,'Material routes'!$C$6:$C$2205,"Consumed input"),COUNTIFS('Material routes'!$B$6:$B$2205,A590,'Material routes'!$C$6:$C$2205,"Contained input"),COUNTIFS('Material routes'!$B$6:$B$2205,A590,'Material routes'!$C$6:$C$2205,"Transform input"))</x:f>
        <x:v>2</x:v>
      </x:c>
      <x:c r="J590" s="4" t="n">
        <x:f>COUNTIFS('Material routes'!$B$6:$B$2205,A590,'Material routes'!$C$6:$C$2205,"Output")</x:f>
        <x:v>1</x:v>
      </x:c>
      <x:c r="K590" s="4" t="n">
        <x:f>COUNTIFS('Material routes'!$B$6:$B$2205,A590,'Material routes'!$C$6:$C$2205,"Tool candidate")</x:f>
        <x:v>0</x:v>
      </x:c>
      <x:c r="L5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0" s="4" t="str">
        <x:v>Partial design only. Exact materials, joining, fit and qualification remain open. October 15 audit: candidate inputs / reusable prerequisites clarified. Structural coverage is not a qualified manufacturing recipe.</x:v>
      </x:c>
    </x:row>
    <x:row r="591" ht="115" customHeight="1">
      <x:c r="A591" s="4" t="str">
        <x:v>design.audit.proposal_ceramic_firing_tray</x:v>
      </x:c>
      <x:c r="B591" s="4" t="str">
        <x:v>Ceramic firing tray candidate preparation</x:v>
      </x:c>
      <x:c r="C591" s="4" t="str">
        <x:v>Finished-item crafting</x:v>
      </x:c>
      <x:c r="D591" s="4" t="str">
        <x:v>Proposal</x:v>
      </x:c>
      <x:c r="E591" s="4" t="str">
        <x:v>Partial proposal</x:v>
      </x:c>
      <x:c r="F591" s="4" t="str">
        <x:v>Candidate preparation of Ceramic firing tray</x:v>
      </x:c>
      <x:c r="G591" s="4" t="str">
        <x:v>Controlled-heating firing kiln or specialist glass hot-work station; Ceramic firing tray / Ceramic casting mold as applicable. Qualified power, heat and atmosphere required.</x:v>
      </x:c>
      <x:c r="H591" s="4" t="str">
        <x:f>IF(I591=0,"Unassigned",IF(SUMIFS('Material routes'!$Q$6:$Q$2205,'Material routes'!$B$6:$B$2205,A591)&gt;0,"Unassigned","T"&amp;_xlfn.MAXIFS('Material routes'!$P$6:$P$2205,'Material routes'!$B$6:$B$2205,A591)))</x:f>
        <x:v>T1</x:v>
      </x:c>
      <x:c r="I591" s="4" t="n">
        <x:f>SUM(COUNTIFS('Material routes'!$B$6:$B$2205,A591,'Material routes'!$C$6:$C$2205,"Ingredient candidate"),COUNTIFS('Material routes'!$B$6:$B$2205,A591,'Material routes'!$C$6:$C$2205,"Consumed input"),COUNTIFS('Material routes'!$B$6:$B$2205,A591,'Material routes'!$C$6:$C$2205,"Contained input"),COUNTIFS('Material routes'!$B$6:$B$2205,A591,'Material routes'!$C$6:$C$2205,"Transform input"))</x:f>
        <x:v>2</x:v>
      </x:c>
      <x:c r="J591" s="4" t="n">
        <x:f>COUNTIFS('Material routes'!$B$6:$B$2205,A591,'Material routes'!$C$6:$C$2205,"Output")</x:f>
        <x:v>1</x:v>
      </x:c>
      <x:c r="K591" s="4" t="n">
        <x:f>COUNTIFS('Material routes'!$B$6:$B$2205,A591,'Material routes'!$C$6:$C$2205,"Tool candidate")</x:f>
        <x:v>0</x:v>
      </x:c>
      <x:c r="L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1" s="4" t="str">
        <x:v>Partial design only. Exact materials, joining, fit and qualification remain open. October 15 audit: candidate inputs / reusable prerequisites clarified. Structural coverage is not a qualified manufacturing recipe.</x:v>
      </x:c>
    </x:row>
    <x:row r="592" ht="115" customHeight="1">
      <x:c r="A592" s="4" t="str">
        <x:v>design.audit.proposal_ceramic_votive_plaque</x:v>
      </x:c>
      <x:c r="B592" s="4" t="str">
        <x:v>Ceramic votive plaque candidate preparation</x:v>
      </x:c>
      <x:c r="C592" s="4" t="str">
        <x:v>Finished-item crafting</x:v>
      </x:c>
      <x:c r="D592" s="4" t="str">
        <x:v>Proposal</x:v>
      </x:c>
      <x:c r="E592" s="4" t="str">
        <x:v>Partial proposal</x:v>
      </x:c>
      <x:c r="F592" s="4" t="str">
        <x:v>Candidate preparation of Ceramic votive plaque</x:v>
      </x:c>
      <x:c r="G592" s="4" t="str">
        <x:v>Controlled-heating firing kiln or specialist glass hot-work station; Ceramic firing tray / Ceramic casting mold as applicable. Qualified power, heat and atmosphere required.</x:v>
      </x:c>
      <x:c r="H592" s="4" t="str">
        <x:f>IF(I592=0,"Unassigned",IF(SUMIFS('Material routes'!$Q$6:$Q$2205,'Material routes'!$B$6:$B$2205,A592)&gt;0,"Unassigned","T"&amp;_xlfn.MAXIFS('Material routes'!$P$6:$P$2205,'Material routes'!$B$6:$B$2205,A592)))</x:f>
        <x:v>T1</x:v>
      </x:c>
      <x:c r="I592" s="4" t="n">
        <x:f>SUM(COUNTIFS('Material routes'!$B$6:$B$2205,A592,'Material routes'!$C$6:$C$2205,"Ingredient candidate"),COUNTIFS('Material routes'!$B$6:$B$2205,A592,'Material routes'!$C$6:$C$2205,"Consumed input"),COUNTIFS('Material routes'!$B$6:$B$2205,A592,'Material routes'!$C$6:$C$2205,"Contained input"),COUNTIFS('Material routes'!$B$6:$B$2205,A592,'Material routes'!$C$6:$C$2205,"Transform input"))</x:f>
        <x:v>2</x:v>
      </x:c>
      <x:c r="J592" s="4" t="n">
        <x:f>COUNTIFS('Material routes'!$B$6:$B$2205,A592,'Material routes'!$C$6:$C$2205,"Output")</x:f>
        <x:v>1</x:v>
      </x:c>
      <x:c r="K592" s="4" t="n">
        <x:f>COUNTIFS('Material routes'!$B$6:$B$2205,A592,'Material routes'!$C$6:$C$2205,"Tool candidate")</x:f>
        <x:v>0</x:v>
      </x:c>
      <x:c r="L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2" s="4" t="str">
        <x:v>Partial design only. Exact materials, joining, fit and qualification remain open. October 15 audit: candidate inputs / reusable prerequisites clarified. Structural coverage is not a qualified manufacturing recipe.</x:v>
      </x:c>
    </x:row>
    <x:row r="593" ht="115" customHeight="1">
      <x:c r="A593" s="4" t="str">
        <x:v>design.audit.proposal_ceramic_figurine</x:v>
      </x:c>
      <x:c r="B593" s="4" t="str">
        <x:v>Ceramic commemorative figurine candidate preparation</x:v>
      </x:c>
      <x:c r="C593" s="4" t="str">
        <x:v>Finished-item crafting</x:v>
      </x:c>
      <x:c r="D593" s="4" t="str">
        <x:v>Proposal</x:v>
      </x:c>
      <x:c r="E593" s="4" t="str">
        <x:v>Partial proposal</x:v>
      </x:c>
      <x:c r="F593" s="4" t="str">
        <x:v>Candidate preparation of Ceramic commemorative figurine</x:v>
      </x:c>
      <x:c r="G593" s="4" t="str">
        <x:v>Controlled-heating firing kiln or specialist glass hot-work station; Ceramic firing tray / Ceramic casting mold as applicable. Qualified power, heat and atmosphere required.</x:v>
      </x:c>
      <x:c r="H593" s="4" t="str">
        <x:f>IF(I593=0,"Unassigned",IF(SUMIFS('Material routes'!$Q$6:$Q$2205,'Material routes'!$B$6:$B$2205,A593)&gt;0,"Unassigned","T"&amp;_xlfn.MAXIFS('Material routes'!$P$6:$P$2205,'Material routes'!$B$6:$B$2205,A593)))</x:f>
        <x:v>T1</x:v>
      </x:c>
      <x:c r="I593" s="4" t="n">
        <x:f>SUM(COUNTIFS('Material routes'!$B$6:$B$2205,A593,'Material routes'!$C$6:$C$2205,"Ingredient candidate"),COUNTIFS('Material routes'!$B$6:$B$2205,A593,'Material routes'!$C$6:$C$2205,"Consumed input"),COUNTIFS('Material routes'!$B$6:$B$2205,A593,'Material routes'!$C$6:$C$2205,"Contained input"),COUNTIFS('Material routes'!$B$6:$B$2205,A593,'Material routes'!$C$6:$C$2205,"Transform input"))</x:f>
        <x:v>2</x:v>
      </x:c>
      <x:c r="J593" s="4" t="n">
        <x:f>COUNTIFS('Material routes'!$B$6:$B$2205,A593,'Material routes'!$C$6:$C$2205,"Output")</x:f>
        <x:v>1</x:v>
      </x:c>
      <x:c r="K593" s="4" t="n">
        <x:f>COUNTIFS('Material routes'!$B$6:$B$2205,A593,'Material routes'!$C$6:$C$2205,"Tool candidate")</x:f>
        <x:v>0</x:v>
      </x:c>
      <x:c r="L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3" s="4" t="str">
        <x:v>Partial design only. Exact materials, joining, fit and qualification remain open. October 15 audit: candidate inputs / reusable prerequisites clarified. Structural coverage is not a qualified manufacturing recipe.</x:v>
      </x:c>
    </x:row>
    <x:row r="594" ht="115" customHeight="1">
      <x:c r="A594" s="4" t="str">
        <x:v>design.audit.proposal_ceramic_ceremony_bowl</x:v>
      </x:c>
      <x:c r="B594" s="4" t="str">
        <x:v>Ceremonial ceramic bowl candidate preparation</x:v>
      </x:c>
      <x:c r="C594" s="4" t="str">
        <x:v>Finished-item crafting</x:v>
      </x:c>
      <x:c r="D594" s="4" t="str">
        <x:v>Proposal</x:v>
      </x:c>
      <x:c r="E594" s="4" t="str">
        <x:v>Partial proposal</x:v>
      </x:c>
      <x:c r="F594" s="4" t="str">
        <x:v>Candidate preparation of Ceremonial ceramic bowl</x:v>
      </x:c>
      <x:c r="G594" s="4" t="str">
        <x:v>Controlled-heating firing kiln or specialist glass hot-work station; Ceramic firing tray / Ceramic casting mold as applicable. Qualified power, heat and atmosphere required.</x:v>
      </x:c>
      <x:c r="H594" s="4" t="str">
        <x:f>IF(I594=0,"Unassigned",IF(SUMIFS('Material routes'!$Q$6:$Q$2205,'Material routes'!$B$6:$B$2205,A594)&gt;0,"Unassigned","T"&amp;_xlfn.MAXIFS('Material routes'!$P$6:$P$2205,'Material routes'!$B$6:$B$2205,A594)))</x:f>
        <x:v>T1</x:v>
      </x:c>
      <x:c r="I594" s="4" t="n">
        <x:f>SUM(COUNTIFS('Material routes'!$B$6:$B$2205,A594,'Material routes'!$C$6:$C$2205,"Ingredient candidate"),COUNTIFS('Material routes'!$B$6:$B$2205,A594,'Material routes'!$C$6:$C$2205,"Consumed input"),COUNTIFS('Material routes'!$B$6:$B$2205,A594,'Material routes'!$C$6:$C$2205,"Contained input"),COUNTIFS('Material routes'!$B$6:$B$2205,A594,'Material routes'!$C$6:$C$2205,"Transform input"))</x:f>
        <x:v>2</x:v>
      </x:c>
      <x:c r="J594" s="4" t="n">
        <x:f>COUNTIFS('Material routes'!$B$6:$B$2205,A594,'Material routes'!$C$6:$C$2205,"Output")</x:f>
        <x:v>1</x:v>
      </x:c>
      <x:c r="K594" s="4" t="n">
        <x:f>COUNTIFS('Material routes'!$B$6:$B$2205,A594,'Material routes'!$C$6:$C$2205,"Tool candidate")</x:f>
        <x:v>0</x:v>
      </x:c>
      <x:c r="L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4" s="4" t="str">
        <x:v>Partial design only. Exact materials, joining, fit and qualification remain open. October 15 audit: candidate inputs / reusable prerequisites clarified. Structural coverage is not a qualified manufacturing recipe.</x:v>
      </x:c>
    </x:row>
    <x:row r="595" ht="115" customHeight="1">
      <x:c r="A595" s="4" t="str">
        <x:v>design.audit.proposal_ceramic_armor_insert</x:v>
      </x:c>
      <x:c r="B595" s="4" t="str">
        <x:v>Specialist ceramic armor insert candidate preparation</x:v>
      </x:c>
      <x:c r="C595" s="4" t="str">
        <x:v>Finished-item crafting</x:v>
      </x:c>
      <x:c r="D595" s="4" t="str">
        <x:v>Proposal</x:v>
      </x:c>
      <x:c r="E595" s="4" t="str">
        <x:v>Partial proposal</x:v>
      </x:c>
      <x:c r="F595" s="4" t="str">
        <x:v>Candidate preparation of Specialist ceramic armor insert</x:v>
      </x:c>
      <x:c r="G595" s="4" t="str">
        <x:v>Controlled-heating firing kiln or specialist glass hot-work station; Ceramic firing tray / Ceramic casting mold as applicable. Qualified power, heat and atmosphere required.</x:v>
      </x:c>
      <x:c r="H595" s="4" t="str">
        <x:f>IF(I595=0,"Unassigned",IF(SUMIFS('Material routes'!$Q$6:$Q$2205,'Material routes'!$B$6:$B$2205,A595)&gt;0,"Unassigned","T"&amp;_xlfn.MAXIFS('Material routes'!$P$6:$P$2205,'Material routes'!$B$6:$B$2205,A595)))</x:f>
        <x:v>T3</x:v>
      </x:c>
      <x:c r="I595" s="4" t="n">
        <x:f>SUM(COUNTIFS('Material routes'!$B$6:$B$2205,A595,'Material routes'!$C$6:$C$2205,"Ingredient candidate"),COUNTIFS('Material routes'!$B$6:$B$2205,A595,'Material routes'!$C$6:$C$2205,"Consumed input"),COUNTIFS('Material routes'!$B$6:$B$2205,A595,'Material routes'!$C$6:$C$2205,"Contained input"),COUNTIFS('Material routes'!$B$6:$B$2205,A595,'Material routes'!$C$6:$C$2205,"Transform input"))</x:f>
        <x:v>2</x:v>
      </x:c>
      <x:c r="J595" s="4" t="n">
        <x:f>COUNTIFS('Material routes'!$B$6:$B$2205,A595,'Material routes'!$C$6:$C$2205,"Output")</x:f>
        <x:v>1</x:v>
      </x:c>
      <x:c r="K595" s="4" t="n">
        <x:f>COUNTIFS('Material routes'!$B$6:$B$2205,A595,'Material routes'!$C$6:$C$2205,"Tool candidate")</x:f>
        <x:v>0</x:v>
      </x:c>
      <x:c r="L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5" s="4" t="str">
        <x:v>Partial design only. Exact materials, joining, fit and qualification remain open. October 15 audit: candidate inputs / reusable prerequisites clarified. Structural coverage is not a qualified manufacturing recipe.</x:v>
      </x:c>
    </x:row>
    <x:row r="596" ht="115" customHeight="1">
      <x:c r="A596" s="4" t="str">
        <x:v>design.audit.proposal_ceramic_grinding_disc</x:v>
      </x:c>
      <x:c r="B596" s="4" t="str">
        <x:v>Ceramic abrasive disc candidate preparation</x:v>
      </x:c>
      <x:c r="C596" s="4" t="str">
        <x:v>Finished-item crafting</x:v>
      </x:c>
      <x:c r="D596" s="4" t="str">
        <x:v>Proposal</x:v>
      </x:c>
      <x:c r="E596" s="4" t="str">
        <x:v>Partial proposal</x:v>
      </x:c>
      <x:c r="F596" s="4" t="str">
        <x:v>Candidate preparation of Ceramic abrasive disc</x:v>
      </x:c>
      <x:c r="G596" s="4" t="str">
        <x:v>Controlled-heating firing kiln or specialist glass hot-work station; Ceramic firing tray / Ceramic casting mold as applicable. Qualified power, heat and atmosphere required.</x:v>
      </x:c>
      <x:c r="H596" s="4" t="str">
        <x:f>IF(I596=0,"Unassigned",IF(SUMIFS('Material routes'!$Q$6:$Q$2205,'Material routes'!$B$6:$B$2205,A596)&gt;0,"Unassigned","T"&amp;_xlfn.MAXIFS('Material routes'!$P$6:$P$2205,'Material routes'!$B$6:$B$2205,A596)))</x:f>
        <x:v>T2</x:v>
      </x:c>
      <x:c r="I596" s="4" t="n">
        <x:f>SUM(COUNTIFS('Material routes'!$B$6:$B$2205,A596,'Material routes'!$C$6:$C$2205,"Ingredient candidate"),COUNTIFS('Material routes'!$B$6:$B$2205,A596,'Material routes'!$C$6:$C$2205,"Consumed input"),COUNTIFS('Material routes'!$B$6:$B$2205,A596,'Material routes'!$C$6:$C$2205,"Contained input"),COUNTIFS('Material routes'!$B$6:$B$2205,A596,'Material routes'!$C$6:$C$2205,"Transform input"))</x:f>
        <x:v>2</x:v>
      </x:c>
      <x:c r="J596" s="4" t="n">
        <x:f>COUNTIFS('Material routes'!$B$6:$B$2205,A596,'Material routes'!$C$6:$C$2205,"Output")</x:f>
        <x:v>1</x:v>
      </x:c>
      <x:c r="K596" s="4" t="n">
        <x:f>COUNTIFS('Material routes'!$B$6:$B$2205,A596,'Material routes'!$C$6:$C$2205,"Tool candidate")</x:f>
        <x:v>0</x:v>
      </x:c>
      <x:c r="L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6" s="4" t="str">
        <x:v>Partial design only. Exact materials, joining, fit and qualification remain open. October 15 audit: candidate inputs / reusable prerequisites clarified. Structural coverage is not a qualified manufacturing recipe.</x:v>
      </x:c>
    </x:row>
    <x:row r="597" ht="115" customHeight="1">
      <x:c r="A597" s="4" t="str">
        <x:v>design.audit.proposal_fire_striker</x:v>
      </x:c>
      <x:c r="B597" s="4" t="str">
        <x:v>Flint striking tool candidate preparation</x:v>
      </x:c>
      <x:c r="C597" s="4" t="str">
        <x:v>Finished-item crafting</x:v>
      </x:c>
      <x:c r="D597" s="4" t="str">
        <x:v>Proposal</x:v>
      </x:c>
      <x:c r="E597" s="4" t="str">
        <x:v>Partial proposal</x:v>
      </x:c>
      <x:c r="F597" s="4" t="str">
        <x:v>Candidate preparation of Flint striking tool</x:v>
      </x:c>
      <x:c r="G597" s="4" t="str">
        <x:v>Forge hearth, Anvil, Forging hammer, Smithing tongs, Metalworking file and Hand-cranked metal drill as applicable. Existing workshop bootstrap and controlled heating/cooling required; no free-water quench assumed.</x:v>
      </x:c>
      <x:c r="H597" s="4" t="str">
        <x:f>IF(I597=0,"Unassigned",IF(SUMIFS('Material routes'!$Q$6:$Q$2205,'Material routes'!$B$6:$B$2205,A597)&gt;0,"Unassigned","T"&amp;_xlfn.MAXIFS('Material routes'!$P$6:$P$2205,'Material routes'!$B$6:$B$2205,A597)))</x:f>
        <x:v>T2</x:v>
      </x:c>
      <x:c r="I597" s="4" t="n">
        <x:f>SUM(COUNTIFS('Material routes'!$B$6:$B$2205,A597,'Material routes'!$C$6:$C$2205,"Ingredient candidate"),COUNTIFS('Material routes'!$B$6:$B$2205,A597,'Material routes'!$C$6:$C$2205,"Consumed input"),COUNTIFS('Material routes'!$B$6:$B$2205,A597,'Material routes'!$C$6:$C$2205,"Contained input"),COUNTIFS('Material routes'!$B$6:$B$2205,A597,'Material routes'!$C$6:$C$2205,"Transform input"))</x:f>
        <x:v>2</x:v>
      </x:c>
      <x:c r="J597" s="4" t="n">
        <x:f>COUNTIFS('Material routes'!$B$6:$B$2205,A597,'Material routes'!$C$6:$C$2205,"Output")</x:f>
        <x:v>1</x:v>
      </x:c>
      <x:c r="K597" s="4" t="n">
        <x:f>COUNTIFS('Material routes'!$B$6:$B$2205,A597,'Material routes'!$C$6:$C$2205,"Tool candidate")</x:f>
        <x:v>0</x:v>
      </x:c>
      <x:c r="L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7" s="4" t="str">
        <x:v>Partial design only. Exact materials, joining, fit and qualification remain open. October 15 audit: candidate inputs / reusable prerequisites clarified. Structural coverage is not a qualified manufacturing recipe.</x:v>
      </x:c>
    </x:row>
    <x:row r="598" ht="115" customHeight="1">
      <x:c r="A598" s="4" t="str">
        <x:v>design.audit.proposal_fire_cooking_pot</x:v>
      </x:c>
      <x:c r="B598" s="4" t="str">
        <x:v>Ceramic cooking pot candidate preparation</x:v>
      </x:c>
      <x:c r="C598" s="4" t="str">
        <x:v>Finished-item crafting</x:v>
      </x:c>
      <x:c r="D598" s="4" t="str">
        <x:v>Proposal</x:v>
      </x:c>
      <x:c r="E598" s="4" t="str">
        <x:v>Partial proposal</x:v>
      </x:c>
      <x:c r="F598" s="4" t="str">
        <x:v>Candidate preparation of Ceramic cooking pot</x:v>
      </x:c>
      <x:c r="G598" s="4" t="str">
        <x:v>Controlled-heating firing kiln or specialist glass hot-work station; Ceramic firing tray / Ceramic casting mold as applicable. Qualified power, heat and atmosphere required.</x:v>
      </x:c>
      <x:c r="H598" s="4" t="str">
        <x:f>IF(I598=0,"Unassigned",IF(SUMIFS('Material routes'!$Q$6:$Q$2205,'Material routes'!$B$6:$B$2205,A598)&gt;0,"Unassigned","T"&amp;_xlfn.MAXIFS('Material routes'!$P$6:$P$2205,'Material routes'!$B$6:$B$2205,A598)))</x:f>
        <x:v>T1</x:v>
      </x:c>
      <x:c r="I598" s="4" t="n">
        <x:f>SUM(COUNTIFS('Material routes'!$B$6:$B$2205,A598,'Material routes'!$C$6:$C$2205,"Ingredient candidate"),COUNTIFS('Material routes'!$B$6:$B$2205,A598,'Material routes'!$C$6:$C$2205,"Consumed input"),COUNTIFS('Material routes'!$B$6:$B$2205,A598,'Material routes'!$C$6:$C$2205,"Contained input"),COUNTIFS('Material routes'!$B$6:$B$2205,A598,'Material routes'!$C$6:$C$2205,"Transform input"))</x:f>
        <x:v>2</x:v>
      </x:c>
      <x:c r="J598" s="4" t="n">
        <x:f>COUNTIFS('Material routes'!$B$6:$B$2205,A598,'Material routes'!$C$6:$C$2205,"Output")</x:f>
        <x:v>1</x:v>
      </x:c>
      <x:c r="K598" s="4" t="n">
        <x:f>COUNTIFS('Material routes'!$B$6:$B$2205,A598,'Material routes'!$C$6:$C$2205,"Tool candidate")</x:f>
        <x:v>1</x:v>
      </x:c>
      <x:c r="L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8" s="4" t="str">
        <x:v>Partial design only. Exact materials, joining, fit and qualification remain open. October 15 audit: candidate inputs / reusable prerequisites clarified. Structural coverage is not a qualified manufacturing recipe.</x:v>
      </x:c>
    </x:row>
    <x:row r="599" ht="115" customHeight="1">
      <x:c r="A599" s="4"/>
      <x:c r="B599" s="4"/>
      <x:c r="C599" s="4"/>
      <x:c r="D599" s="4"/>
      <x:c r="E599" s="4"/>
      <x:c r="F599" s="4"/>
      <x:c r="G599" s="4"/>
      <x:c r="H599" s="4"/>
      <x:c r="I599" s="4"/>
      <x:c r="J599" s="4"/>
      <x:c r="K599" s="4"/>
      <x:c r="L599" s="4"/>
      <x:c r="M599" s="4"/>
    </x:row>
    <x:row r="600" ht="115" customHeight="1">
      <x:c r="A600" s="4" t="str">
        <x:v>design.audit.proposal_fire_lidded_pan</x:v>
      </x:c>
      <x:c r="B600" s="4" t="str">
        <x:v>Lidded cooking pan candidate preparation</x:v>
      </x:c>
      <x:c r="C600" s="4" t="str">
        <x:v>Finished-item crafting</x:v>
      </x:c>
      <x:c r="D600" s="4" t="str">
        <x:v>Proposal</x:v>
      </x:c>
      <x:c r="E600" s="4" t="str">
        <x:v>Partial proposal</x:v>
      </x:c>
      <x:c r="F600" s="4" t="str">
        <x:v>Candidate preparation of Lidded cooking pan</x:v>
      </x:c>
      <x:c r="G600" s="4" t="str">
        <x:v>Forge hearth, Anvil, Forging hammer, Smithing tongs, Metalworking file and Hand-cranked metal drill as applicable. Existing workshop bootstrap and controlled heating/cooling required; no free-water quench assumed.</x:v>
      </x:c>
      <x:c r="H600" s="4" t="str">
        <x:f>IF(I600=0,"Unassigned",IF(SUMIFS('Material routes'!$Q$6:$Q$2205,'Material routes'!$B$6:$B$2205,A600)&gt;0,"Unassigned","T"&amp;_xlfn.MAXIFS('Material routes'!$P$6:$P$2205,'Material routes'!$B$6:$B$2205,A600)))</x:f>
        <x:v>T3</x:v>
      </x:c>
      <x:c r="I600" s="4" t="n">
        <x:f>SUM(COUNTIFS('Material routes'!$B$6:$B$2205,A600,'Material routes'!$C$6:$C$2205,"Ingredient candidate"),COUNTIFS('Material routes'!$B$6:$B$2205,A600,'Material routes'!$C$6:$C$2205,"Consumed input"),COUNTIFS('Material routes'!$B$6:$B$2205,A600,'Material routes'!$C$6:$C$2205,"Contained input"),COUNTIFS('Material routes'!$B$6:$B$2205,A600,'Material routes'!$C$6:$C$2205,"Transform input"))</x:f>
        <x:v>3</x:v>
      </x:c>
      <x:c r="J600" s="4" t="n">
        <x:f>COUNTIFS('Material routes'!$B$6:$B$2205,A600,'Material routes'!$C$6:$C$2205,"Output")</x:f>
        <x:v>1</x:v>
      </x:c>
      <x:c r="K600" s="4" t="n">
        <x:f>COUNTIFS('Material routes'!$B$6:$B$2205,A600,'Material routes'!$C$6:$C$2205,"Tool candidate")</x:f>
        <x:v>0</x:v>
      </x:c>
      <x:c r="L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0" s="4" t="str">
        <x:v>Partial design only. Exact materials, joining, fit and qualification remain open. October 15 audit: candidate inputs / reusable prerequisites clarified. Structural coverage is not a qualified manufacturing recipe.</x:v>
      </x:c>
    </x:row>
    <x:row r="601" ht="115" customHeight="1">
      <x:c r="A601" s="4" t="str">
        <x:v>design.audit.proposal_fire_rack</x:v>
      </x:c>
      <x:c r="B601" s="4" t="str">
        <x:v>Cooking rack candidate preparation</x:v>
      </x:c>
      <x:c r="C601" s="4" t="str">
        <x:v>Finished-item crafting</x:v>
      </x:c>
      <x:c r="D601" s="4" t="str">
        <x:v>Proposal</x:v>
      </x:c>
      <x:c r="E601" s="4" t="str">
        <x:v>Partial proposal</x:v>
      </x:c>
      <x:c r="F601" s="4" t="str">
        <x:v>Candidate preparation of Cooking rack</x:v>
      </x:c>
      <x:c r="G601" s="4" t="str">
        <x:v>Forge hearth, Anvil, Forging hammer, Smithing tongs, Metalworking file and Hand-cranked metal drill as applicable. Existing workshop bootstrap and controlled heating/cooling required; no free-water quench assumed.</x:v>
      </x:c>
      <x:c r="H601" s="4" t="str">
        <x:f>IF(I601=0,"Unassigned",IF(SUMIFS('Material routes'!$Q$6:$Q$2205,'Material routes'!$B$6:$B$2205,A601)&gt;0,"Unassigned","T"&amp;_xlfn.MAXIFS('Material routes'!$P$6:$P$2205,'Material routes'!$B$6:$B$2205,A601)))</x:f>
        <x:v>T2</x:v>
      </x:c>
      <x:c r="I601" s="4" t="n">
        <x:f>SUM(COUNTIFS('Material routes'!$B$6:$B$2205,A601,'Material routes'!$C$6:$C$2205,"Ingredient candidate"),COUNTIFS('Material routes'!$B$6:$B$2205,A601,'Material routes'!$C$6:$C$2205,"Consumed input"),COUNTIFS('Material routes'!$B$6:$B$2205,A601,'Material routes'!$C$6:$C$2205,"Contained input"),COUNTIFS('Material routes'!$B$6:$B$2205,A601,'Material routes'!$C$6:$C$2205,"Transform input"))</x:f>
        <x:v>1</x:v>
      </x:c>
      <x:c r="J601" s="4" t="n">
        <x:f>COUNTIFS('Material routes'!$B$6:$B$2205,A601,'Material routes'!$C$6:$C$2205,"Output")</x:f>
        <x:v>1</x:v>
      </x:c>
      <x:c r="K601" s="4" t="n">
        <x:f>COUNTIFS('Material routes'!$B$6:$B$2205,A601,'Material routes'!$C$6:$C$2205,"Tool candidate")</x:f>
        <x:v>0</x:v>
      </x:c>
      <x:c r="L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1" s="4" t="str">
        <x:v>Partial design only. Exact materials, joining, fit and qualification remain open. October 15 audit: candidate inputs / reusable prerequisites clarified. Structural coverage is not a qualified manufacturing recipe.</x:v>
      </x:c>
    </x:row>
    <x:row r="602" ht="115" customHeight="1">
      <x:c r="A602" s="4" t="str">
        <x:v>design.audit.proposal_fire_pot_stand</x:v>
      </x:c>
      <x:c r="B602" s="4" t="str">
        <x:v>Cooking pot stand candidate preparation</x:v>
      </x:c>
      <x:c r="C602" s="4" t="str">
        <x:v>Finished-item crafting</x:v>
      </x:c>
      <x:c r="D602" s="4" t="str">
        <x:v>Proposal</x:v>
      </x:c>
      <x:c r="E602" s="4" t="str">
        <x:v>Partial proposal</x:v>
      </x:c>
      <x:c r="F602" s="4" t="str">
        <x:v>Candidate preparation of Cooking pot stand</x:v>
      </x:c>
      <x:c r="G602" s="4" t="str">
        <x:v>Forge hearth, Anvil, Forging hammer, Smithing tongs, Metalworking file and Hand-cranked metal drill as applicable. Existing workshop bootstrap and controlled heating/cooling required; no free-water quench assumed.</x:v>
      </x:c>
      <x:c r="H602" s="4" t="str">
        <x:f>IF(I602=0,"Unassigned",IF(SUMIFS('Material routes'!$Q$6:$Q$2205,'Material routes'!$B$6:$B$2205,A602)&gt;0,"Unassigned","T"&amp;_xlfn.MAXIFS('Material routes'!$P$6:$P$2205,'Material routes'!$B$6:$B$2205,A602)))</x:f>
        <x:v>T2</x:v>
      </x:c>
      <x:c r="I602" s="4" t="n">
        <x:f>SUM(COUNTIFS('Material routes'!$B$6:$B$2205,A602,'Material routes'!$C$6:$C$2205,"Ingredient candidate"),COUNTIFS('Material routes'!$B$6:$B$2205,A602,'Material routes'!$C$6:$C$2205,"Consumed input"),COUNTIFS('Material routes'!$B$6:$B$2205,A602,'Material routes'!$C$6:$C$2205,"Contained input"),COUNTIFS('Material routes'!$B$6:$B$2205,A602,'Material routes'!$C$6:$C$2205,"Transform input"))</x:f>
        <x:v>1</x:v>
      </x:c>
      <x:c r="J602" s="4" t="n">
        <x:f>COUNTIFS('Material routes'!$B$6:$B$2205,A602,'Material routes'!$C$6:$C$2205,"Output")</x:f>
        <x:v>1</x:v>
      </x:c>
      <x:c r="K602" s="4" t="n">
        <x:f>COUNTIFS('Material routes'!$B$6:$B$2205,A602,'Material routes'!$C$6:$C$2205,"Tool candidate")</x:f>
        <x:v>0</x:v>
      </x:c>
      <x:c r="L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2" s="4" t="str">
        <x:v>Partial design only. Exact materials, joining, fit and qualification remain open. October 15 audit: candidate inputs / reusable prerequisites clarified. Structural coverage is not a qualified manufacturing recipe.</x:v>
      </x:c>
    </x:row>
    <x:row r="603" ht="115" customHeight="1">
      <x:c r="A603" s="4" t="str">
        <x:v>design.audit.proposal_fire_tongs</x:v>
      </x:c>
      <x:c r="B603" s="4" t="str">
        <x:v>Cooking tongs candidate preparation</x:v>
      </x:c>
      <x:c r="C603" s="4" t="str">
        <x:v>Finished-item crafting</x:v>
      </x:c>
      <x:c r="D603" s="4" t="str">
        <x:v>Proposal</x:v>
      </x:c>
      <x:c r="E603" s="4" t="str">
        <x:v>Partial proposal</x:v>
      </x:c>
      <x:c r="F603" s="4" t="str">
        <x:v>Candidate preparation of Cooking tongs</x:v>
      </x:c>
      <x:c r="G603" s="4" t="str">
        <x:v>Forge hearth, Anvil, Forging hammer, Smithing tongs, Metalworking file and Hand-cranked metal drill as applicable. Existing workshop bootstrap and controlled heating/cooling required; no free-water quench assumed.</x:v>
      </x:c>
      <x:c r="H603" s="4" t="str">
        <x:f>IF(I603=0,"Unassigned",IF(SUMIFS('Material routes'!$Q$6:$Q$2205,'Material routes'!$B$6:$B$2205,A603)&gt;0,"Unassigned","T"&amp;_xlfn.MAXIFS('Material routes'!$P$6:$P$2205,'Material routes'!$B$6:$B$2205,A603)))</x:f>
        <x:v>T3</x:v>
      </x:c>
      <x:c r="I603" s="4" t="n">
        <x:f>SUM(COUNTIFS('Material routes'!$B$6:$B$2205,A603,'Material routes'!$C$6:$C$2205,"Ingredient candidate"),COUNTIFS('Material routes'!$B$6:$B$2205,A603,'Material routes'!$C$6:$C$2205,"Consumed input"),COUNTIFS('Material routes'!$B$6:$B$2205,A603,'Material routes'!$C$6:$C$2205,"Contained input"),COUNTIFS('Material routes'!$B$6:$B$2205,A603,'Material routes'!$C$6:$C$2205,"Transform input"))</x:f>
        <x:v>2</x:v>
      </x:c>
      <x:c r="J603" s="4" t="n">
        <x:f>COUNTIFS('Material routes'!$B$6:$B$2205,A603,'Material routes'!$C$6:$C$2205,"Output")</x:f>
        <x:v>1</x:v>
      </x:c>
      <x:c r="K603" s="4" t="n">
        <x:f>COUNTIFS('Material routes'!$B$6:$B$2205,A603,'Material routes'!$C$6:$C$2205,"Tool candidate")</x:f>
        <x:v>0</x:v>
      </x:c>
      <x:c r="L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3" s="4" t="str">
        <x:v>Partial design only. Exact materials, joining, fit and qualification remain open. October 15 audit: candidate inputs / reusable prerequisites clarified. Structural coverage is not a qualified manufacturing recipe.</x:v>
      </x:c>
    </x:row>
    <x:row r="604" ht="115" customHeight="1">
      <x:c r="A604" s="4"/>
      <x:c r="B604" s="4"/>
      <x:c r="C604" s="4"/>
      <x:c r="D604" s="4"/>
      <x:c r="E604" s="4"/>
      <x:c r="F604" s="4"/>
      <x:c r="G604" s="4"/>
      <x:c r="H604" s="4"/>
      <x:c r="I604" s="4"/>
      <x:c r="J604" s="4"/>
      <x:c r="K604" s="4"/>
      <x:c r="L604" s="4"/>
      <x:c r="M604" s="4"/>
    </x:row>
    <x:row r="605" ht="115" customHeight="1">
      <x:c r="A605" s="4" t="str">
        <x:v>design.audit.proposal_fire_glow_holder</x:v>
      </x:c>
      <x:c r="B605" s="4" t="str">
        <x:v>Shuttered glow-stone holder candidate preparation</x:v>
      </x:c>
      <x:c r="C605" s="4" t="str">
        <x:v>Finished-item crafting</x:v>
      </x:c>
      <x:c r="D605" s="4" t="str">
        <x:v>Proposal</x:v>
      </x:c>
      <x:c r="E605" s="4" t="str">
        <x:v>Partial proposal</x:v>
      </x:c>
      <x:c r="F605" s="4" t="str">
        <x:v>Candidate preparation of Shuttered glow-stone holder</x:v>
      </x:c>
      <x:c r="G605" s="4" t="str">
        <x:v>Forge hearth, Anvil, Forging hammer, Smithing tongs, Metalworking file and Hand-cranked metal drill as applicable. Existing workshop bootstrap and controlled heating/cooling required; no free-water quench assumed.</x:v>
      </x:c>
      <x:c r="H605" s="4" t="str">
        <x:f>IF(I605=0,"Unassigned",IF(SUMIFS('Material routes'!$Q$6:$Q$2205,'Material routes'!$B$6:$B$2205,A605)&gt;0,"Unassigned","T"&amp;_xlfn.MAXIFS('Material routes'!$P$6:$P$2205,'Material routes'!$B$6:$B$2205,A605)))</x:f>
        <x:v>T3</x:v>
      </x:c>
      <x:c r="I605" s="4" t="n">
        <x:f>SUM(COUNTIFS('Material routes'!$B$6:$B$2205,A605,'Material routes'!$C$6:$C$2205,"Ingredient candidate"),COUNTIFS('Material routes'!$B$6:$B$2205,A605,'Material routes'!$C$6:$C$2205,"Consumed input"),COUNTIFS('Material routes'!$B$6:$B$2205,A605,'Material routes'!$C$6:$C$2205,"Contained input"),COUNTIFS('Material routes'!$B$6:$B$2205,A605,'Material routes'!$C$6:$C$2205,"Transform input"))</x:f>
        <x:v>3</x:v>
      </x:c>
      <x:c r="J605" s="4" t="n">
        <x:f>COUNTIFS('Material routes'!$B$6:$B$2205,A605,'Material routes'!$C$6:$C$2205,"Output")</x:f>
        <x:v>1</x:v>
      </x:c>
      <x:c r="K605" s="4" t="n">
        <x:f>COUNTIFS('Material routes'!$B$6:$B$2205,A605,'Material routes'!$C$6:$C$2205,"Tool candidate")</x:f>
        <x:v>0</x:v>
      </x:c>
      <x:c r="L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5" s="4" t="str">
        <x:v>Partial design only. Exact materials, joining, fit and qualification remain open. October 15 audit: candidate inputs / reusable prerequisites clarified. Structural coverage is not a qualified manufacturing recipe.</x:v>
      </x:c>
    </x:row>
    <x:row r="606" ht="115" customHeight="1">
      <x:c r="A606" s="4" t="str">
        <x:v>design.audit.proposal_wind_hand_sail</x:v>
      </x:c>
      <x:c r="B606" s="4" t="str">
        <x:v>Collapsible handheld wind sail candidate preparation</x:v>
      </x:c>
      <x:c r="C606" s="4" t="str">
        <x:v>Finished-item crafting</x:v>
      </x:c>
      <x:c r="D606" s="4" t="str">
        <x:v>Proposal</x:v>
      </x:c>
      <x:c r="E606" s="4" t="str">
        <x:v>Partial proposal</x:v>
      </x:c>
      <x:c r="F606" s="4" t="str">
        <x:v>Candidate preparation of Collapsible handheld wind sail</x:v>
      </x:c>
      <x:c r="G606" s="4" t="str">
        <x:v>Husk-sheet cutting shears, pressure fixtures and dedicated preparation surfaces. Very low hide/fur yield; no ordinary cloth or plant inputs.</x:v>
      </x:c>
      <x:c r="H606" s="4" t="str">
        <x:f>IF(I606=0,"Unassigned",IF(SUMIFS('Material routes'!$Q$6:$Q$2205,'Material routes'!$B$6:$B$2205,A606)&gt;0,"Unassigned","T"&amp;_xlfn.MAXIFS('Material routes'!$P$6:$P$2205,'Material routes'!$B$6:$B$2205,A606)))</x:f>
        <x:v>T4</x:v>
      </x:c>
      <x:c r="I606" s="4" t="n">
        <x:f>SUM(COUNTIFS('Material routes'!$B$6:$B$2205,A606,'Material routes'!$C$6:$C$2205,"Ingredient candidate"),COUNTIFS('Material routes'!$B$6:$B$2205,A606,'Material routes'!$C$6:$C$2205,"Consumed input"),COUNTIFS('Material routes'!$B$6:$B$2205,A606,'Material routes'!$C$6:$C$2205,"Contained input"),COUNTIFS('Material routes'!$B$6:$B$2205,A606,'Material routes'!$C$6:$C$2205,"Transform input"))</x:f>
        <x:v>3</x:v>
      </x:c>
      <x:c r="J606" s="4" t="n">
        <x:f>COUNTIFS('Material routes'!$B$6:$B$2205,A606,'Material routes'!$C$6:$C$2205,"Output")</x:f>
        <x:v>1</x:v>
      </x:c>
      <x:c r="K606" s="4" t="n">
        <x:f>COUNTIFS('Material routes'!$B$6:$B$2205,A606,'Material routes'!$C$6:$C$2205,"Tool candidate")</x:f>
        <x:v>0</x:v>
      </x:c>
      <x:c r="L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6" s="4" t="str">
        <x:v>Partial design only. Exact materials, joining, fit and qualification remain open. October 15 audit: candidate inputs / reusable prerequisites clarified. Structural coverage is not a qualified manufacturing recipe.</x:v>
      </x:c>
    </x:row>
    <x:row r="607" ht="115" customHeight="1">
      <x:c r="A607" s="4" t="str">
        <x:v>design.audit.proposal_wind_dirtboard</x:v>
      </x:c>
      <x:c r="B607" s="4" t="str">
        <x:v>Four-wheel all-terrain dirtboard candidate preparation</x:v>
      </x:c>
      <x:c r="C607" s="4" t="str">
        <x:v>Finished-item crafting</x:v>
      </x:c>
      <x:c r="D607" s="4" t="str">
        <x:v>Proposal</x:v>
      </x:c>
      <x:c r="E607" s="4" t="str">
        <x:v>Partial proposal</x:v>
      </x:c>
      <x:c r="F607" s="4" t="str">
        <x:v>Candidate preparation of Four-wheel all-terrain dirtboard</x:v>
      </x:c>
      <x:c r="G607" s="4" t="str">
        <x:v>Forge hearth, Anvil, Forging hammer, Smithing tongs, Metalworking file and Hand-cranked metal drill as applicable. Existing workshop bootstrap and controlled heating/cooling required; no free-water quench assumed.</x:v>
      </x:c>
      <x:c r="H607" s="4" t="str">
        <x:f>IF(I607=0,"Unassigned",IF(SUMIFS('Material routes'!$Q$6:$Q$2205,'Material routes'!$B$6:$B$2205,A607)&gt;0,"Unassigned","T"&amp;_xlfn.MAXIFS('Material routes'!$P$6:$P$2205,'Material routes'!$B$6:$B$2205,A607)))</x:f>
        <x:v>T4</x:v>
      </x:c>
      <x:c r="I607" s="4" t="n">
        <x:f>SUM(COUNTIFS('Material routes'!$B$6:$B$2205,A607,'Material routes'!$C$6:$C$2205,"Ingredient candidate"),COUNTIFS('Material routes'!$B$6:$B$2205,A607,'Material routes'!$C$6:$C$2205,"Consumed input"),COUNTIFS('Material routes'!$B$6:$B$2205,A607,'Material routes'!$C$6:$C$2205,"Contained input"),COUNTIFS('Material routes'!$B$6:$B$2205,A607,'Material routes'!$C$6:$C$2205,"Transform input"))</x:f>
        <x:v>5</x:v>
      </x:c>
      <x:c r="J607" s="4" t="n">
        <x:f>COUNTIFS('Material routes'!$B$6:$B$2205,A607,'Material routes'!$C$6:$C$2205,"Output")</x:f>
        <x:v>1</x:v>
      </x:c>
      <x:c r="K607" s="4" t="n">
        <x:f>COUNTIFS('Material routes'!$B$6:$B$2205,A607,'Material routes'!$C$6:$C$2205,"Tool candidate")</x:f>
        <x:v>0</x:v>
      </x:c>
      <x:c r="L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7" s="4" t="str">
        <x:v>Partial design only. Exact materials, joining, fit and qualification remain open. October 15 audit: candidate inputs / reusable prerequisites clarified. Structural coverage is not a qualified manufacturing recipe.</x:v>
      </x:c>
    </x:row>
    <x:row r="608" ht="115" customHeight="1">
      <x:c r="A608" s="4" t="str">
        <x:v>design.audit.proposal_legger_sling</x:v>
      </x:c>
      <x:c r="B608" s="4" t="str">
        <x:v>Legger cargo sling candidate preparation</x:v>
      </x:c>
      <x:c r="C608" s="4" t="str">
        <x:v>Finished-item crafting</x:v>
      </x:c>
      <x:c r="D608" s="4" t="str">
        <x:v>Proposal</x:v>
      </x:c>
      <x:c r="E608" s="4" t="str">
        <x:v>Partial proposal</x:v>
      </x:c>
      <x:c r="F608" s="4" t="str">
        <x:v>Candidate preparation of Legger cargo sling</x:v>
      </x:c>
      <x:c r="G608" s="4" t="str">
        <x:v>Forge hearth, Anvil, Forging hammer, Smithing tongs, Metalworking file and Hand-cranked metal drill as applicable. Existing workshop bootstrap and controlled heating/cooling required; no free-water quench assumed.</x:v>
      </x:c>
      <x:c r="H608" s="4" t="str">
        <x:f>IF(I608=0,"Unassigned",IF(SUMIFS('Material routes'!$Q$6:$Q$2205,'Material routes'!$B$6:$B$2205,A608)&gt;0,"Unassigned","T"&amp;_xlfn.MAXIFS('Material routes'!$P$6:$P$2205,'Material routes'!$B$6:$B$2205,A608)))</x:f>
        <x:v>T3</x:v>
      </x:c>
      <x:c r="I608" s="4" t="n">
        <x:f>SUM(COUNTIFS('Material routes'!$B$6:$B$2205,A608,'Material routes'!$C$6:$C$2205,"Ingredient candidate"),COUNTIFS('Material routes'!$B$6:$B$2205,A608,'Material routes'!$C$6:$C$2205,"Consumed input"),COUNTIFS('Material routes'!$B$6:$B$2205,A608,'Material routes'!$C$6:$C$2205,"Contained input"),COUNTIFS('Material routes'!$B$6:$B$2205,A608,'Material routes'!$C$6:$C$2205,"Transform input"))</x:f>
        <x:v>3</x:v>
      </x:c>
      <x:c r="J608" s="4" t="n">
        <x:f>COUNTIFS('Material routes'!$B$6:$B$2205,A608,'Material routes'!$C$6:$C$2205,"Output")</x:f>
        <x:v>1</x:v>
      </x:c>
      <x:c r="K608" s="4" t="n">
        <x:f>COUNTIFS('Material routes'!$B$6:$B$2205,A608,'Material routes'!$C$6:$C$2205,"Tool candidate")</x:f>
        <x:v>0</x:v>
      </x:c>
      <x:c r="L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8" s="4" t="str">
        <x:v>Partial design only. Exact materials, joining, fit and qualification remain open. October 15 audit: candidate inputs / reusable prerequisites clarified. Structural coverage is not a qualified manufacturing recipe.</x:v>
      </x:c>
    </x:row>
    <x:row r="609" ht="115" customHeight="1">
      <x:c r="A609" s="4" t="str">
        <x:v>design.audit.proposal_legger_cradle</x:v>
      </x:c>
      <x:c r="B609" s="4" t="str">
        <x:v>Legger rigid cargo cradle candidate preparation</x:v>
      </x:c>
      <x:c r="C609" s="4" t="str">
        <x:v>Finished-item crafting</x:v>
      </x:c>
      <x:c r="D609" s="4" t="str">
        <x:v>Proposal</x:v>
      </x:c>
      <x:c r="E609" s="4" t="str">
        <x:v>Partial proposal</x:v>
      </x:c>
      <x:c r="F609" s="4" t="str">
        <x:v>Candidate preparation of Legger rigid cargo cradle</x:v>
      </x:c>
      <x:c r="G609" s="4" t="str">
        <x:v>Forge hearth, Anvil, Forging hammer, Smithing tongs, Metalworking file and Hand-cranked metal drill as applicable. Existing workshop bootstrap and controlled heating/cooling required; no free-water quench assumed.</x:v>
      </x:c>
      <x:c r="H609" s="4" t="str">
        <x:f>IF(I609=0,"Unassigned",IF(SUMIFS('Material routes'!$Q$6:$Q$2205,'Material routes'!$B$6:$B$2205,A609)&gt;0,"Unassigned","T"&amp;_xlfn.MAXIFS('Material routes'!$P$6:$P$2205,'Material routes'!$B$6:$B$2205,A609)))</x:f>
        <x:v>T3</x:v>
      </x:c>
      <x:c r="I609" s="4" t="n">
        <x:f>SUM(COUNTIFS('Material routes'!$B$6:$B$2205,A609,'Material routes'!$C$6:$C$2205,"Ingredient candidate"),COUNTIFS('Material routes'!$B$6:$B$2205,A609,'Material routes'!$C$6:$C$2205,"Consumed input"),COUNTIFS('Material routes'!$B$6:$B$2205,A609,'Material routes'!$C$6:$C$2205,"Contained input"),COUNTIFS('Material routes'!$B$6:$B$2205,A609,'Material routes'!$C$6:$C$2205,"Transform input"))</x:f>
        <x:v>3</x:v>
      </x:c>
      <x:c r="J609" s="4" t="n">
        <x:f>COUNTIFS('Material routes'!$B$6:$B$2205,A609,'Material routes'!$C$6:$C$2205,"Output")</x:f>
        <x:v>1</x:v>
      </x:c>
      <x:c r="K609" s="4" t="n">
        <x:f>COUNTIFS('Material routes'!$B$6:$B$2205,A609,'Material routes'!$C$6:$C$2205,"Tool candidate")</x:f>
        <x:v>0</x:v>
      </x:c>
      <x:c r="L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9" s="4" t="str">
        <x:v>Partial design only. Exact materials, joining, fit and qualification remain open. October 15 audit: candidate inputs / reusable prerequisites clarified. Structural coverage is not a qualified manufacturing recipe.</x:v>
      </x:c>
    </x:row>
    <x:row r="610" ht="115" customHeight="1">
      <x:c r="A610" s="4" t="str">
        <x:v>design.audit.proposal_legger_belly_pan</x:v>
      </x:c>
      <x:c r="B610" s="4" t="str">
        <x:v>Legger chassis belly pan candidate preparation</x:v>
      </x:c>
      <x:c r="C610" s="4" t="str">
        <x:v>Finished-item crafting</x:v>
      </x:c>
      <x:c r="D610" s="4" t="str">
        <x:v>Proposal</x:v>
      </x:c>
      <x:c r="E610" s="4" t="str">
        <x:v>Partial proposal</x:v>
      </x:c>
      <x:c r="F610" s="4" t="str">
        <x:v>Candidate preparation of Legger chassis belly pan</x:v>
      </x:c>
      <x:c r="G610" s="4" t="str">
        <x:v>Forge hearth, Anvil, Forging hammer, Smithing tongs, Metalworking file and Hand-cranked metal drill as applicable. Existing workshop bootstrap and controlled heating/cooling required; no free-water quench assumed.</x:v>
      </x:c>
      <x:c r="H610" s="4" t="str">
        <x:f>IF(I610=0,"Unassigned",IF(SUMIFS('Material routes'!$Q$6:$Q$2205,'Material routes'!$B$6:$B$2205,A610)&gt;0,"Unassigned","T"&amp;_xlfn.MAXIFS('Material routes'!$P$6:$P$2205,'Material routes'!$B$6:$B$2205,A610)))</x:f>
        <x:v>T3</x:v>
      </x:c>
      <x:c r="I610" s="4" t="n">
        <x:f>SUM(COUNTIFS('Material routes'!$B$6:$B$2205,A610,'Material routes'!$C$6:$C$2205,"Ingredient candidate"),COUNTIFS('Material routes'!$B$6:$B$2205,A610,'Material routes'!$C$6:$C$2205,"Consumed input"),COUNTIFS('Material routes'!$B$6:$B$2205,A610,'Material routes'!$C$6:$C$2205,"Contained input"),COUNTIFS('Material routes'!$B$6:$B$2205,A610,'Material routes'!$C$6:$C$2205,"Transform input"))</x:f>
        <x:v>3</x:v>
      </x:c>
      <x:c r="J610" s="4" t="n">
        <x:f>COUNTIFS('Material routes'!$B$6:$B$2205,A610,'Material routes'!$C$6:$C$2205,"Output")</x:f>
        <x:v>1</x:v>
      </x:c>
      <x:c r="K610" s="4" t="n">
        <x:f>COUNTIFS('Material routes'!$B$6:$B$2205,A610,'Material routes'!$C$6:$C$2205,"Tool candidate")</x:f>
        <x:v>0</x:v>
      </x:c>
      <x:c r="L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0" s="4" t="str">
        <x:v>Partial design only. Exact materials, joining, fit and qualification remain open. October 15 audit: candidate inputs / reusable prerequisites clarified. Structural coverage is not a qualified manufacturing recipe.</x:v>
      </x:c>
    </x:row>
    <x:row r="611" ht="115" customHeight="1">
      <x:c r="A611" s="4" t="str">
        <x:v>design.audit.proposal_legger_shell_guard</x:v>
      </x:c>
      <x:c r="B611" s="4" t="str">
        <x:v>Chitin chassis guard candidate preparation</x:v>
      </x:c>
      <x:c r="C611" s="4" t="str">
        <x:v>Finished-item crafting</x:v>
      </x:c>
      <x:c r="D611" s="4" t="str">
        <x:v>Proposal</x:v>
      </x:c>
      <x:c r="E611" s="4" t="str">
        <x:v>Partial proposal</x:v>
      </x:c>
      <x:c r="F611" s="4" t="str">
        <x:v>Candidate preparation of Chitin chassis guard</x:v>
      </x:c>
      <x:c r="G611" s="4" t="str">
        <x:v>Husk-sheet cutting shears, Hand-cranked metal drill and Ceramic abrasive disc as applicable; compatible contained biological preparation and low-yield material handling required.</x:v>
      </x:c>
      <x:c r="H611" s="4" t="str">
        <x:f>IF(I611=0,"Unassigned",IF(SUMIFS('Material routes'!$Q$6:$Q$2205,'Material routes'!$B$6:$B$2205,A611)&gt;0,"Unassigned","T"&amp;_xlfn.MAXIFS('Material routes'!$P$6:$P$2205,'Material routes'!$B$6:$B$2205,A611)))</x:f>
        <x:v>T3</x:v>
      </x:c>
      <x:c r="I611" s="4" t="n">
        <x:f>SUM(COUNTIFS('Material routes'!$B$6:$B$2205,A611,'Material routes'!$C$6:$C$2205,"Ingredient candidate"),COUNTIFS('Material routes'!$B$6:$B$2205,A611,'Material routes'!$C$6:$C$2205,"Consumed input"),COUNTIFS('Material routes'!$B$6:$B$2205,A611,'Material routes'!$C$6:$C$2205,"Contained input"),COUNTIFS('Material routes'!$B$6:$B$2205,A611,'Material routes'!$C$6:$C$2205,"Transform input"))</x:f>
        <x:v>2</x:v>
      </x:c>
      <x:c r="J611" s="4" t="n">
        <x:f>COUNTIFS('Material routes'!$B$6:$B$2205,A611,'Material routes'!$C$6:$C$2205,"Output")</x:f>
        <x:v>1</x:v>
      </x:c>
      <x:c r="K611" s="4" t="n">
        <x:f>COUNTIFS('Material routes'!$B$6:$B$2205,A611,'Material routes'!$C$6:$C$2205,"Tool candidate")</x:f>
        <x:v>0</x:v>
      </x:c>
      <x:c r="L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1" s="4" t="str">
        <x:v>Partial design only. Exact materials, joining, fit and qualification remain open. October 15 audit: candidate inputs / reusable prerequisites clarified. Structural coverage is not a qualified manufacturing recipe.</x:v>
      </x:c>
    </x:row>
    <x:row r="612" ht="115" customHeight="1">
      <x:c r="A612" s="4" t="str">
        <x:v>design.audit.proposal_legger_iron_guard</x:v>
      </x:c>
      <x:c r="B612" s="4" t="str">
        <x:v>Iron chassis guard candidate preparation</x:v>
      </x:c>
      <x:c r="C612" s="4" t="str">
        <x:v>Finished-item crafting</x:v>
      </x:c>
      <x:c r="D612" s="4" t="str">
        <x:v>Proposal</x:v>
      </x:c>
      <x:c r="E612" s="4" t="str">
        <x:v>Partial proposal</x:v>
      </x:c>
      <x:c r="F612" s="4" t="str">
        <x:v>Candidate preparation of Iron chassis guard</x:v>
      </x:c>
      <x:c r="G612" s="4" t="str">
        <x:v>Forge hearth, Anvil, Forging hammer, Smithing tongs, Metalworking file and Hand-cranked metal drill as applicable. Existing workshop bootstrap and controlled heating/cooling required; no free-water quench assumed.</x:v>
      </x:c>
      <x:c r="H612" s="4" t="str">
        <x:f>IF(I612=0,"Unassigned",IF(SUMIFS('Material routes'!$Q$6:$Q$2205,'Material routes'!$B$6:$B$2205,A612)&gt;0,"Unassigned","T"&amp;_xlfn.MAXIFS('Material routes'!$P$6:$P$2205,'Material routes'!$B$6:$B$2205,A612)))</x:f>
        <x:v>T3</x:v>
      </x:c>
      <x:c r="I612" s="4" t="n">
        <x:f>SUM(COUNTIFS('Material routes'!$B$6:$B$2205,A612,'Material routes'!$C$6:$C$2205,"Ingredient candidate"),COUNTIFS('Material routes'!$B$6:$B$2205,A612,'Material routes'!$C$6:$C$2205,"Consumed input"),COUNTIFS('Material routes'!$B$6:$B$2205,A612,'Material routes'!$C$6:$C$2205,"Contained input"),COUNTIFS('Material routes'!$B$6:$B$2205,A612,'Material routes'!$C$6:$C$2205,"Transform input"))</x:f>
        <x:v>3</x:v>
      </x:c>
      <x:c r="J612" s="4" t="n">
        <x:f>COUNTIFS('Material routes'!$B$6:$B$2205,A612,'Material routes'!$C$6:$C$2205,"Output")</x:f>
        <x:v>1</x:v>
      </x:c>
      <x:c r="K612" s="4" t="n">
        <x:f>COUNTIFS('Material routes'!$B$6:$B$2205,A612,'Material routes'!$C$6:$C$2205,"Tool candidate")</x:f>
        <x:v>0</x:v>
      </x:c>
      <x:c r="L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2" s="4" t="str">
        <x:v>Partial design only. Exact materials, joining, fit and qualification remain open. October 15 audit: candidate inputs / reusable prerequisites clarified. Structural coverage is not a qualified manufacturing recipe.</x:v>
      </x:c>
    </x:row>
    <x:row r="613" ht="115" customHeight="1">
      <x:c r="A613" s="4"/>
      <x:c r="B613" s="4"/>
      <x:c r="C613" s="4"/>
      <x:c r="D613" s="4"/>
      <x:c r="E613" s="4"/>
      <x:c r="F613" s="4"/>
      <x:c r="G613" s="4"/>
      <x:c r="H613" s="4"/>
      <x:c r="I613" s="4"/>
      <x:c r="J613" s="4"/>
      <x:c r="K613" s="4"/>
      <x:c r="L613" s="4"/>
      <x:c r="M613" s="4"/>
    </x:row>
    <x:row r="614" ht="115" customHeight="1">
      <x:c r="A614" s="4" t="str">
        <x:v>design.audit.proposal_legger_ceramic_backing</x:v>
      </x:c>
      <x:c r="B614" s="4" t="str">
        <x:v>Ceramic armor backing insert candidate preparation</x:v>
      </x:c>
      <x:c r="C614" s="4" t="str">
        <x:v>Finished-item crafting</x:v>
      </x:c>
      <x:c r="D614" s="4" t="str">
        <x:v>Proposal</x:v>
      </x:c>
      <x:c r="E614" s="4" t="str">
        <x:v>Partial proposal</x:v>
      </x:c>
      <x:c r="F614" s="4" t="str">
        <x:v>Candidate preparation of Ceramic armor backing insert</x:v>
      </x:c>
      <x:c r="G614" s="4" t="str">
        <x:v>Controlled-heating firing kiln or specialist glass hot-work station; Ceramic firing tray / Ceramic casting mold as applicable. Qualified power, heat and atmosphere required.</x:v>
      </x:c>
      <x:c r="H614" s="4" t="str">
        <x:f>IF(I614=0,"Unassigned",IF(SUMIFS('Material routes'!$Q$6:$Q$2205,'Material routes'!$B$6:$B$2205,A614)&gt;0,"Unassigned","T"&amp;_xlfn.MAXIFS('Material routes'!$P$6:$P$2205,'Material routes'!$B$6:$B$2205,A614)))</x:f>
        <x:v>T3</x:v>
      </x:c>
      <x:c r="I614" s="4" t="n">
        <x:f>SUM(COUNTIFS('Material routes'!$B$6:$B$2205,A614,'Material routes'!$C$6:$C$2205,"Ingredient candidate"),COUNTIFS('Material routes'!$B$6:$B$2205,A614,'Material routes'!$C$6:$C$2205,"Consumed input"),COUNTIFS('Material routes'!$B$6:$B$2205,A614,'Material routes'!$C$6:$C$2205,"Contained input"),COUNTIFS('Material routes'!$B$6:$B$2205,A614,'Material routes'!$C$6:$C$2205,"Transform input"))</x:f>
        <x:v>2</x:v>
      </x:c>
      <x:c r="J614" s="4" t="n">
        <x:f>COUNTIFS('Material routes'!$B$6:$B$2205,A614,'Material routes'!$C$6:$C$2205,"Output")</x:f>
        <x:v>1</x:v>
      </x:c>
      <x:c r="K614" s="4" t="n">
        <x:f>COUNTIFS('Material routes'!$B$6:$B$2205,A614,'Material routes'!$C$6:$C$2205,"Tool candidate")</x:f>
        <x:v>0</x:v>
      </x:c>
      <x:c r="L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4" s="4" t="str">
        <x:v>Partial design only. Exact materials, joining, fit and qualification remain open. October 15 audit: candidate inputs / reusable prerequisites clarified. Structural coverage is not a qualified manufacturing recipe.</x:v>
      </x:c>
    </x:row>
    <x:row r="615" ht="115" customHeight="1">
      <x:c r="A615" s="4"/>
      <x:c r="B615" s="4"/>
      <x:c r="C615" s="4"/>
      <x:c r="D615" s="4"/>
      <x:c r="E615" s="4"/>
      <x:c r="F615" s="4"/>
      <x:c r="G615" s="4"/>
      <x:c r="H615" s="4"/>
      <x:c r="I615" s="4"/>
      <x:c r="J615" s="4"/>
      <x:c r="K615" s="4"/>
      <x:c r="L615" s="4"/>
      <x:c r="M615" s="4"/>
    </x:row>
    <x:row r="616" ht="115" customHeight="1">
      <x:c r="A616" s="4"/>
      <x:c r="B616" s="4"/>
      <x:c r="C616" s="4"/>
      <x:c r="D616" s="4"/>
      <x:c r="E616" s="4"/>
      <x:c r="F616" s="4"/>
      <x:c r="G616" s="4"/>
      <x:c r="H616" s="4"/>
      <x:c r="I616" s="4"/>
      <x:c r="J616" s="4"/>
      <x:c r="K616" s="4"/>
      <x:c r="L616" s="4"/>
      <x:c r="M616" s="4"/>
    </x:row>
    <x:row r="617" ht="115" customHeight="1">
      <x:c r="A617" s="4"/>
      <x:c r="B617" s="4"/>
      <x:c r="C617" s="4"/>
      <x:c r="D617" s="4"/>
      <x:c r="E617" s="4"/>
      <x:c r="F617" s="4"/>
      <x:c r="G617" s="4"/>
      <x:c r="H617" s="4"/>
      <x:c r="I617" s="4"/>
      <x:c r="J617" s="4"/>
      <x:c r="K617" s="4"/>
      <x:c r="L617" s="4"/>
      <x:c r="M617" s="4"/>
    </x:row>
    <x:row r="618" ht="115" customHeight="1">
      <x:c r="A618" s="4" t="str">
        <x:v>design.audit.proposal_legger_board_bracket</x:v>
      </x:c>
      <x:c r="B618" s="4" t="str">
        <x:v>Legger dirtboard carrying bracket candidate preparation</x:v>
      </x:c>
      <x:c r="C618" s="4" t="str">
        <x:v>Finished-item crafting</x:v>
      </x:c>
      <x:c r="D618" s="4" t="str">
        <x:v>Proposal</x:v>
      </x:c>
      <x:c r="E618" s="4" t="str">
        <x:v>Partial proposal</x:v>
      </x:c>
      <x:c r="F618" s="4" t="str">
        <x:v>Candidate preparation of Legger dirtboard carrying bracket</x:v>
      </x:c>
      <x:c r="G618" s="4" t="str">
        <x:v>Forge hearth, Anvil, Forging hammer, Smithing tongs, Metalworking file and Hand-cranked metal drill as applicable. Existing workshop bootstrap and controlled heating/cooling required; no free-water quench assumed.</x:v>
      </x:c>
      <x:c r="H618" s="4" t="str">
        <x:f>IF(I618=0,"Unassigned",IF(SUMIFS('Material routes'!$Q$6:$Q$2205,'Material routes'!$B$6:$B$2205,A618)&gt;0,"Unassigned","T"&amp;_xlfn.MAXIFS('Material routes'!$P$6:$P$2205,'Material routes'!$B$6:$B$2205,A618)))</x:f>
        <x:v>T3</x:v>
      </x:c>
      <x:c r="I618" s="4" t="n">
        <x:f>SUM(COUNTIFS('Material routes'!$B$6:$B$2205,A618,'Material routes'!$C$6:$C$2205,"Ingredient candidate"),COUNTIFS('Material routes'!$B$6:$B$2205,A618,'Material routes'!$C$6:$C$2205,"Consumed input"),COUNTIFS('Material routes'!$B$6:$B$2205,A618,'Material routes'!$C$6:$C$2205,"Contained input"),COUNTIFS('Material routes'!$B$6:$B$2205,A618,'Material routes'!$C$6:$C$2205,"Transform input"))</x:f>
        <x:v>2</x:v>
      </x:c>
      <x:c r="J618" s="4" t="n">
        <x:f>COUNTIFS('Material routes'!$B$6:$B$2205,A618,'Material routes'!$C$6:$C$2205,"Output")</x:f>
        <x:v>1</x:v>
      </x:c>
      <x:c r="K618" s="4" t="n">
        <x:f>COUNTIFS('Material routes'!$B$6:$B$2205,A618,'Material routes'!$C$6:$C$2205,"Tool candidate")</x:f>
        <x:v>0</x:v>
      </x:c>
      <x:c r="L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8" s="4" t="str">
        <x:v>Partial design only. Exact materials, joining, fit and qualification remain open. October 15 audit: candidate inputs / reusable prerequisites clarified. Structural coverage is not a qualified manufacturing recipe.</x:v>
      </x:c>
    </x:row>
    <x:row r="619" ht="115" customHeight="1">
      <x:c r="A619" s="4" t="str">
        <x:v>design.audit.proposal_legger_grease_applicator</x:v>
      </x:c>
      <x:c r="B619" s="4" t="str">
        <x:v>Joint grease applicator candidate preparation</x:v>
      </x:c>
      <x:c r="C619" s="4" t="str">
        <x:v>Finished-item crafting</x:v>
      </x:c>
      <x:c r="D619" s="4" t="str">
        <x:v>Proposal</x:v>
      </x:c>
      <x:c r="E619" s="4" t="str">
        <x:v>Partial proposal</x:v>
      </x:c>
      <x:c r="F619" s="4" t="str">
        <x:v>Candidate preparation of Joint grease applicator</x:v>
      </x:c>
      <x:c r="G619" s="4" t="str">
        <x:v>Forge hearth, Anvil, Forging hammer, Smithing tongs, Metalworking file and Hand-cranked metal drill as applicable. Existing workshop bootstrap and controlled heating/cooling required; no free-water quench assumed.</x:v>
      </x:c>
      <x:c r="H619" s="4" t="str">
        <x:f>IF(I619=0,"Unassigned",IF(SUMIFS('Material routes'!$Q$6:$Q$2205,'Material routes'!$B$6:$B$2205,A619)&gt;0,"Unassigned","T"&amp;_xlfn.MAXIFS('Material routes'!$P$6:$P$2205,'Material routes'!$B$6:$B$2205,A619)))</x:f>
        <x:v>T4</x:v>
      </x:c>
      <x:c r="I619" s="4" t="n">
        <x:f>SUM(COUNTIFS('Material routes'!$B$6:$B$2205,A619,'Material routes'!$C$6:$C$2205,"Ingredient candidate"),COUNTIFS('Material routes'!$B$6:$B$2205,A619,'Material routes'!$C$6:$C$2205,"Consumed input"),COUNTIFS('Material routes'!$B$6:$B$2205,A619,'Material routes'!$C$6:$C$2205,"Contained input"),COUNTIFS('Material routes'!$B$6:$B$2205,A619,'Material routes'!$C$6:$C$2205,"Transform input"))</x:f>
        <x:v>3</x:v>
      </x:c>
      <x:c r="J619" s="4" t="n">
        <x:f>COUNTIFS('Material routes'!$B$6:$B$2205,A619,'Material routes'!$C$6:$C$2205,"Output")</x:f>
        <x:v>1</x:v>
      </x:c>
      <x:c r="K619" s="4" t="n">
        <x:f>COUNTIFS('Material routes'!$B$6:$B$2205,A619,'Material routes'!$C$6:$C$2205,"Tool candidate")</x:f>
        <x:v>0</x:v>
      </x:c>
      <x:c r="L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9" s="4" t="str">
        <x:v>Partial design only. Exact materials, joining, fit and qualification remain open. October 15 audit: candidate inputs / reusable prerequisites clarified. Structural coverage is not a qualified manufacturing recipe.</x:v>
      </x:c>
    </x:row>
    <x:row r="620" ht="115" customHeight="1">
      <x:c r="A620" s="4" t="str">
        <x:v>design.audit.proposal_legger_service_pick</x:v>
      </x:c>
      <x:c r="B620" s="4" t="str">
        <x:v>Joint-service cleaning pick candidate preparation</x:v>
      </x:c>
      <x:c r="C620" s="4" t="str">
        <x:v>Finished-item crafting</x:v>
      </x:c>
      <x:c r="D620" s="4" t="str">
        <x:v>Proposal</x:v>
      </x:c>
      <x:c r="E620" s="4" t="str">
        <x:v>Partial proposal</x:v>
      </x:c>
      <x:c r="F620" s="4" t="str">
        <x:v>Candidate preparation of Joint-service cleaning pick</x:v>
      </x:c>
      <x:c r="G620" s="4" t="str">
        <x:v>Forge hearth, Anvil, Forging hammer, Smithing tongs, Metalworking file and Hand-cranked metal drill as applicable. Existing workshop bootstrap and controlled heating/cooling required; no free-water quench assumed.</x:v>
      </x:c>
      <x:c r="H620" s="4" t="str">
        <x:f>IF(I620=0,"Unassigned",IF(SUMIFS('Material routes'!$Q$6:$Q$2205,'Material routes'!$B$6:$B$2205,A620)&gt;0,"Unassigned","T"&amp;_xlfn.MAXIFS('Material routes'!$P$6:$P$2205,'Material routes'!$B$6:$B$2205,A620)))</x:f>
        <x:v>T3</x:v>
      </x:c>
      <x:c r="I620" s="4" t="n">
        <x:f>SUM(COUNTIFS('Material routes'!$B$6:$B$2205,A620,'Material routes'!$C$6:$C$2205,"Ingredient candidate"),COUNTIFS('Material routes'!$B$6:$B$2205,A620,'Material routes'!$C$6:$C$2205,"Consumed input"),COUNTIFS('Material routes'!$B$6:$B$2205,A620,'Material routes'!$C$6:$C$2205,"Contained input"),COUNTIFS('Material routes'!$B$6:$B$2205,A620,'Material routes'!$C$6:$C$2205,"Transform input"))</x:f>
        <x:v>2</x:v>
      </x:c>
      <x:c r="J620" s="4" t="n">
        <x:f>COUNTIFS('Material routes'!$B$6:$B$2205,A620,'Material routes'!$C$6:$C$2205,"Output")</x:f>
        <x:v>1</x:v>
      </x:c>
      <x:c r="K620" s="4" t="n">
        <x:f>COUNTIFS('Material routes'!$B$6:$B$2205,A620,'Material routes'!$C$6:$C$2205,"Tool candidate")</x:f>
        <x:v>0</x:v>
      </x:c>
      <x:c r="L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0" s="4" t="str">
        <x:v>Partial design only. Exact materials, joining, fit and qualification remain open. October 15 audit: candidate inputs / reusable prerequisites clarified. Structural coverage is not a qualified manufacturing recipe.</x:v>
      </x:c>
    </x:row>
    <x:row r="621" ht="115" customHeight="1">
      <x:c r="A621" s="4" t="str">
        <x:v>design.audit.proposal_legger_bearing_puller</x:v>
      </x:c>
      <x:c r="B621" s="4" t="str">
        <x:v>Matched bearing-removal tool candidate preparation</x:v>
      </x:c>
      <x:c r="C621" s="4" t="str">
        <x:v>Finished-item crafting</x:v>
      </x:c>
      <x:c r="D621" s="4" t="str">
        <x:v>Proposal</x:v>
      </x:c>
      <x:c r="E621" s="4" t="str">
        <x:v>Partial proposal</x:v>
      </x:c>
      <x:c r="F621" s="4" t="str">
        <x:v>Candidate preparation of Matched bearing-removal tool</x:v>
      </x:c>
      <x:c r="G621" s="4" t="str">
        <x:v>Forge hearth, Anvil, Forging hammer, Smithing tongs, Metalworking file and Hand-cranked metal drill as applicable. Existing workshop bootstrap and controlled heating/cooling required; no free-water quench assumed.</x:v>
      </x:c>
      <x:c r="H621" s="4" t="str">
        <x:f>IF(I621=0,"Unassigned",IF(SUMIFS('Material routes'!$Q$6:$Q$2205,'Material routes'!$B$6:$B$2205,A621)&gt;0,"Unassigned","T"&amp;_xlfn.MAXIFS('Material routes'!$P$6:$P$2205,'Material routes'!$B$6:$B$2205,A621)))</x:f>
        <x:v>T3</x:v>
      </x:c>
      <x:c r="I621" s="4" t="n">
        <x:f>SUM(COUNTIFS('Material routes'!$B$6:$B$2205,A621,'Material routes'!$C$6:$C$2205,"Ingredient candidate"),COUNTIFS('Material routes'!$B$6:$B$2205,A621,'Material routes'!$C$6:$C$2205,"Consumed input"),COUNTIFS('Material routes'!$B$6:$B$2205,A621,'Material routes'!$C$6:$C$2205,"Contained input"),COUNTIFS('Material routes'!$B$6:$B$2205,A621,'Material routes'!$C$6:$C$2205,"Transform input"))</x:f>
        <x:v>2</x:v>
      </x:c>
      <x:c r="J621" s="4" t="n">
        <x:f>COUNTIFS('Material routes'!$B$6:$B$2205,A621,'Material routes'!$C$6:$C$2205,"Output")</x:f>
        <x:v>1</x:v>
      </x:c>
      <x:c r="K621" s="4" t="n">
        <x:f>COUNTIFS('Material routes'!$B$6:$B$2205,A621,'Material routes'!$C$6:$C$2205,"Tool candidate")</x:f>
        <x:v>0</x:v>
      </x:c>
      <x:c r="L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1" s="4" t="str">
        <x:v>Partial design only. Exact materials, joining, fit and qualification remain open. October 15 audit: candidate inputs / reusable prerequisites clarified. Structural coverage is not a qualified manufacturing recipe.</x:v>
      </x:c>
    </x:row>
    <x:row r="622" ht="115" customHeight="1">
      <x:c r="A622" s="4" t="str">
        <x:v>design.audit.proposal_legger_alignment_gauge</x:v>
      </x:c>
      <x:c r="B622" s="4" t="str">
        <x:v>Legger alignment gauge candidate preparation</x:v>
      </x:c>
      <x:c r="C622" s="4" t="str">
        <x:v>Finished-item crafting</x:v>
      </x:c>
      <x:c r="D622" s="4" t="str">
        <x:v>Proposal</x:v>
      </x:c>
      <x:c r="E622" s="4" t="str">
        <x:v>Partial proposal</x:v>
      </x:c>
      <x:c r="F622" s="4" t="str">
        <x:v>Candidate preparation of Legger alignment gauge</x:v>
      </x:c>
      <x:c r="G622" s="4" t="str">
        <x:v>Forge hearth, Anvil, Forging hammer, Smithing tongs, Metalworking file and Hand-cranked metal drill as applicable. Existing workshop bootstrap and controlled heating/cooling required; no free-water quench assumed.</x:v>
      </x:c>
      <x:c r="H622" s="4" t="str">
        <x:f>IF(I622=0,"Unassigned",IF(SUMIFS('Material routes'!$Q$6:$Q$2205,'Material routes'!$B$6:$B$2205,A622)&gt;0,"Unassigned","T"&amp;_xlfn.MAXIFS('Material routes'!$P$6:$P$2205,'Material routes'!$B$6:$B$2205,A622)))</x:f>
        <x:v>T2</x:v>
      </x:c>
      <x:c r="I622" s="4" t="n">
        <x:f>SUM(COUNTIFS('Material routes'!$B$6:$B$2205,A622,'Material routes'!$C$6:$C$2205,"Ingredient candidate"),COUNTIFS('Material routes'!$B$6:$B$2205,A622,'Material routes'!$C$6:$C$2205,"Consumed input"),COUNTIFS('Material routes'!$B$6:$B$2205,A622,'Material routes'!$C$6:$C$2205,"Contained input"),COUNTIFS('Material routes'!$B$6:$B$2205,A622,'Material routes'!$C$6:$C$2205,"Transform input"))</x:f>
        <x:v>1</x:v>
      </x:c>
      <x:c r="J622" s="4" t="n">
        <x:f>COUNTIFS('Material routes'!$B$6:$B$2205,A622,'Material routes'!$C$6:$C$2205,"Output")</x:f>
        <x:v>1</x:v>
      </x:c>
      <x:c r="K622" s="4" t="n">
        <x:f>COUNTIFS('Material routes'!$B$6:$B$2205,A622,'Material routes'!$C$6:$C$2205,"Tool candidate")</x:f>
        <x:v>1</x:v>
      </x:c>
      <x:c r="L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2" s="4" t="str">
        <x:v>Partial design only. Exact materials, joining, fit and qualification remain open. October 15 audit: candidate inputs / reusable prerequisites clarified. Structural coverage is not a qualified manufacturing recipe.</x:v>
      </x:c>
    </x:row>
    <x:row r="623" ht="115" customHeight="1">
      <x:c r="A623" s="4"/>
      <x:c r="B623" s="4"/>
      <x:c r="C623" s="4"/>
      <x:c r="D623" s="4"/>
      <x:c r="E623" s="4"/>
      <x:c r="F623" s="4"/>
      <x:c r="G623" s="4"/>
      <x:c r="H623" s="4"/>
      <x:c r="I623" s="4"/>
      <x:c r="J623" s="4"/>
      <x:c r="K623" s="4"/>
      <x:c r="L623" s="4"/>
      <x:c r="M623" s="4"/>
    </x:row>
    <x:row r="624" ht="115" customHeight="1">
      <x:c r="A624" s="4" t="str">
        <x:v>design.audit.proposal_legger_edge_guard</x:v>
      </x:c>
      <x:c r="B624" s="4" t="str">
        <x:v>Chassis leading-edge guard candidate preparation</x:v>
      </x:c>
      <x:c r="C624" s="4" t="str">
        <x:v>Finished-item crafting</x:v>
      </x:c>
      <x:c r="D624" s="4" t="str">
        <x:v>Proposal</x:v>
      </x:c>
      <x:c r="E624" s="4" t="str">
        <x:v>Partial proposal</x:v>
      </x:c>
      <x:c r="F624" s="4" t="str">
        <x:v>Candidate preparation of Chassis leading-edge guard</x:v>
      </x:c>
      <x:c r="G624" s="4" t="str">
        <x:v>Forge hearth, Anvil, Forging hammer, Smithing tongs, Metalworking file and Hand-cranked metal drill as applicable. Existing workshop bootstrap and controlled heating/cooling required; no free-water quench assumed.</x:v>
      </x:c>
      <x:c r="H624" s="4" t="str">
        <x:f>IF(I624=0,"Unassigned",IF(SUMIFS('Material routes'!$Q$6:$Q$2205,'Material routes'!$B$6:$B$2205,A624)&gt;0,"Unassigned","T"&amp;_xlfn.MAXIFS('Material routes'!$P$6:$P$2205,'Material routes'!$B$6:$B$2205,A624)))</x:f>
        <x:v>T3</x:v>
      </x:c>
      <x:c r="I624" s="4" t="n">
        <x:f>SUM(COUNTIFS('Material routes'!$B$6:$B$2205,A624,'Material routes'!$C$6:$C$2205,"Ingredient candidate"),COUNTIFS('Material routes'!$B$6:$B$2205,A624,'Material routes'!$C$6:$C$2205,"Consumed input"),COUNTIFS('Material routes'!$B$6:$B$2205,A624,'Material routes'!$C$6:$C$2205,"Contained input"),COUNTIFS('Material routes'!$B$6:$B$2205,A624,'Material routes'!$C$6:$C$2205,"Transform input"))</x:f>
        <x:v>3</x:v>
      </x:c>
      <x:c r="J624" s="4" t="n">
        <x:f>COUNTIFS('Material routes'!$B$6:$B$2205,A624,'Material routes'!$C$6:$C$2205,"Output")</x:f>
        <x:v>1</x:v>
      </x:c>
      <x:c r="K624" s="4" t="n">
        <x:f>COUNTIFS('Material routes'!$B$6:$B$2205,A624,'Material routes'!$C$6:$C$2205,"Tool candidate")</x:f>
        <x:v>0</x:v>
      </x:c>
      <x:c r="L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4" s="4" t="str">
        <x:v>Partial design only. Exact materials, joining, fit and qualification remain open. October 15 audit: candidate inputs / reusable prerequisites clarified. Structural coverage is not a qualified manufacturing recipe.</x:v>
      </x:c>
    </x:row>
    <x:row r="625" ht="115" customHeight="1">
      <x:c r="A625" s="4" t="str">
        <x:v>design.audit.proposal_legger_instrument_guard</x:v>
      </x:c>
      <x:c r="B625" s="4" t="str">
        <x:v>Instrument-face guard candidate preparation</x:v>
      </x:c>
      <x:c r="C625" s="4" t="str">
        <x:v>Finished-item crafting</x:v>
      </x:c>
      <x:c r="D625" s="4" t="str">
        <x:v>Proposal</x:v>
      </x:c>
      <x:c r="E625" s="4" t="str">
        <x:v>Partial proposal</x:v>
      </x:c>
      <x:c r="F625" s="4" t="str">
        <x:v>Candidate preparation of Instrument-face guard</x:v>
      </x:c>
      <x:c r="G625" s="4" t="str">
        <x:v>Forge hearth, Anvil, Forging hammer, Smithing tongs, Metalworking file and Hand-cranked metal drill as applicable. Existing workshop bootstrap and controlled heating/cooling required; no free-water quench assumed.</x:v>
      </x:c>
      <x:c r="H625" s="4" t="str">
        <x:f>IF(I625=0,"Unassigned",IF(SUMIFS('Material routes'!$Q$6:$Q$2205,'Material routes'!$B$6:$B$2205,A625)&gt;0,"Unassigned","T"&amp;_xlfn.MAXIFS('Material routes'!$P$6:$P$2205,'Material routes'!$B$6:$B$2205,A625)))</x:f>
        <x:v>T3</x:v>
      </x:c>
      <x:c r="I625" s="4" t="n">
        <x:f>SUM(COUNTIFS('Material routes'!$B$6:$B$2205,A625,'Material routes'!$C$6:$C$2205,"Ingredient candidate"),COUNTIFS('Material routes'!$B$6:$B$2205,A625,'Material routes'!$C$6:$C$2205,"Consumed input"),COUNTIFS('Material routes'!$B$6:$B$2205,A625,'Material routes'!$C$6:$C$2205,"Contained input"),COUNTIFS('Material routes'!$B$6:$B$2205,A625,'Material routes'!$C$6:$C$2205,"Transform input"))</x:f>
        <x:v>3</x:v>
      </x:c>
      <x:c r="J625" s="4" t="n">
        <x:f>COUNTIFS('Material routes'!$B$6:$B$2205,A625,'Material routes'!$C$6:$C$2205,"Output")</x:f>
        <x:v>1</x:v>
      </x:c>
      <x:c r="K625" s="4" t="n">
        <x:f>COUNTIFS('Material routes'!$B$6:$B$2205,A625,'Material routes'!$C$6:$C$2205,"Tool candidate")</x:f>
        <x:v>0</x:v>
      </x:c>
      <x:c r="L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5" s="4" t="str">
        <x:v>Partial design only. Exact materials, joining, fit and qualification remain open. October 15 audit: candidate inputs / reusable prerequisites clarified. Structural coverage is not a qualified manufacturing recipe.</x:v>
      </x:c>
    </x:row>
    <x:row r="626" ht="115" customHeight="1">
      <x:c r="A626" s="4" t="str">
        <x:v>design.audit.proposal_legger_seam_guard</x:v>
      </x:c>
      <x:c r="B626" s="4" t="str">
        <x:v>Armor seam-cover strip candidate preparation</x:v>
      </x:c>
      <x:c r="C626" s="4" t="str">
        <x:v>Finished-item crafting</x:v>
      </x:c>
      <x:c r="D626" s="4" t="str">
        <x:v>Proposal</x:v>
      </x:c>
      <x:c r="E626" s="4" t="str">
        <x:v>Partial proposal</x:v>
      </x:c>
      <x:c r="F626" s="4" t="str">
        <x:v>Candidate preparation of Armor seam-cover strip</x:v>
      </x:c>
      <x:c r="G626" s="4" t="str">
        <x:v>Forge hearth, Anvil, Forging hammer, Smithing tongs, Metalworking file and Hand-cranked metal drill as applicable. Existing workshop bootstrap and controlled heating/cooling required; no free-water quench assumed.</x:v>
      </x:c>
      <x:c r="H626" s="4" t="str">
        <x:f>IF(I626=0,"Unassigned",IF(SUMIFS('Material routes'!$Q$6:$Q$2205,'Material routes'!$B$6:$B$2205,A626)&gt;0,"Unassigned","T"&amp;_xlfn.MAXIFS('Material routes'!$P$6:$P$2205,'Material routes'!$B$6:$B$2205,A626)))</x:f>
        <x:v>T3</x:v>
      </x:c>
      <x:c r="I626" s="4" t="n">
        <x:f>SUM(COUNTIFS('Material routes'!$B$6:$B$2205,A626,'Material routes'!$C$6:$C$2205,"Ingredient candidate"),COUNTIFS('Material routes'!$B$6:$B$2205,A626,'Material routes'!$C$6:$C$2205,"Consumed input"),COUNTIFS('Material routes'!$B$6:$B$2205,A626,'Material routes'!$C$6:$C$2205,"Contained input"),COUNTIFS('Material routes'!$B$6:$B$2205,A626,'Material routes'!$C$6:$C$2205,"Transform input"))</x:f>
        <x:v>3</x:v>
      </x:c>
      <x:c r="J626" s="4" t="n">
        <x:f>COUNTIFS('Material routes'!$B$6:$B$2205,A626,'Material routes'!$C$6:$C$2205,"Output")</x:f>
        <x:v>1</x:v>
      </x:c>
      <x:c r="K626" s="4" t="n">
        <x:f>COUNTIFS('Material routes'!$B$6:$B$2205,A626,'Material routes'!$C$6:$C$2205,"Tool candidate")</x:f>
        <x:v>0</x:v>
      </x:c>
      <x:c r="L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6" s="4" t="str">
        <x:v>Partial design only. Exact materials, joining, fit and qualification remain open. October 15 audit: candidate inputs / reusable prerequisites clarified. Structural coverage is not a qualified manufacturing recipe.</x:v>
      </x:c>
    </x:row>
    <x:row r="627" ht="115" customHeight="1">
      <x:c r="A627" s="4" t="str">
        <x:v>design.audit.proposal_legger_impact_cap</x:v>
      </x:c>
      <x:c r="B627" s="4" t="str">
        <x:v>Sacrificial impact cap candidate preparation</x:v>
      </x:c>
      <x:c r="C627" s="4" t="str">
        <x:v>Finished-item crafting</x:v>
      </x:c>
      <x:c r="D627" s="4" t="str">
        <x:v>Proposal</x:v>
      </x:c>
      <x:c r="E627" s="4" t="str">
        <x:v>Partial proposal</x:v>
      </x:c>
      <x:c r="F627" s="4" t="str">
        <x:v>Candidate preparation of Sacrificial impact cap</x:v>
      </x:c>
      <x:c r="G627" s="4" t="str">
        <x:v>Husk-sheet cutting shears, Hand-cranked metal drill and Ceramic abrasive disc as applicable; compatible contained biological preparation and low-yield material handling required.</x:v>
      </x:c>
      <x:c r="H627" s="4" t="str">
        <x:f>IF(I627=0,"Unassigned",IF(SUMIFS('Material routes'!$Q$6:$Q$2205,'Material routes'!$B$6:$B$2205,A627)&gt;0,"Unassigned","T"&amp;_xlfn.MAXIFS('Material routes'!$P$6:$P$2205,'Material routes'!$B$6:$B$2205,A627)))</x:f>
        <x:v>T3</x:v>
      </x:c>
      <x:c r="I627" s="4" t="n">
        <x:f>SUM(COUNTIFS('Material routes'!$B$6:$B$2205,A627,'Material routes'!$C$6:$C$2205,"Ingredient candidate"),COUNTIFS('Material routes'!$B$6:$B$2205,A627,'Material routes'!$C$6:$C$2205,"Consumed input"),COUNTIFS('Material routes'!$B$6:$B$2205,A627,'Material routes'!$C$6:$C$2205,"Contained input"),COUNTIFS('Material routes'!$B$6:$B$2205,A627,'Material routes'!$C$6:$C$2205,"Transform input"))</x:f>
        <x:v>3</x:v>
      </x:c>
      <x:c r="J627" s="4" t="n">
        <x:f>COUNTIFS('Material routes'!$B$6:$B$2205,A627,'Material routes'!$C$6:$C$2205,"Output")</x:f>
        <x:v>1</x:v>
      </x:c>
      <x:c r="K627" s="4" t="n">
        <x:f>COUNTIFS('Material routes'!$B$6:$B$2205,A627,'Material routes'!$C$6:$C$2205,"Tool candidate")</x:f>
        <x:v>0</x:v>
      </x:c>
      <x:c r="L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7" s="4" t="str">
        <x:v>Partial design only. Exact materials, joining, fit and qualification remain open. October 15 audit: candidate inputs / reusable prerequisites clarified. Structural coverage is not a qualified manufacturing recipe.</x:v>
      </x:c>
    </x:row>
    <x:row r="628" ht="115" customHeight="1">
      <x:c r="A628" s="4" t="str">
        <x:v>design.audit.proposal_legger_fragment_liner</x:v>
      </x:c>
      <x:c r="B628" s="4" t="str">
        <x:v>Pressed-husk fragment liner candidate preparation</x:v>
      </x:c>
      <x:c r="C628" s="4" t="str">
        <x:v>Finished-item crafting</x:v>
      </x:c>
      <x:c r="D628" s="4" t="str">
        <x:v>Proposal</x:v>
      </x:c>
      <x:c r="E628" s="4" t="str">
        <x:v>Partial proposal</x:v>
      </x:c>
      <x:c r="F628" s="4" t="str">
        <x:v>Candidate preparation of Pressed-husk fragment liner</x:v>
      </x:c>
      <x:c r="G628" s="4" t="str">
        <x:v>Husk-sheet cutting shears, pressure fixtures and dedicated preparation surfaces. Very low hide/fur yield; no ordinary cloth or plant inputs.</x:v>
      </x:c>
      <x:c r="H628" s="4" t="str">
        <x:f>IF(I628=0,"Unassigned",IF(SUMIFS('Material routes'!$Q$6:$Q$2205,'Material routes'!$B$6:$B$2205,A628)&gt;0,"Unassigned","T"&amp;_xlfn.MAXIFS('Material routes'!$P$6:$P$2205,'Material routes'!$B$6:$B$2205,A628)))</x:f>
        <x:v>T3</x:v>
      </x:c>
      <x:c r="I628" s="4" t="n">
        <x:f>SUM(COUNTIFS('Material routes'!$B$6:$B$2205,A628,'Material routes'!$C$6:$C$2205,"Ingredient candidate"),COUNTIFS('Material routes'!$B$6:$B$2205,A628,'Material routes'!$C$6:$C$2205,"Consumed input"),COUNTIFS('Material routes'!$B$6:$B$2205,A628,'Material routes'!$C$6:$C$2205,"Contained input"),COUNTIFS('Material routes'!$B$6:$B$2205,A628,'Material routes'!$C$6:$C$2205,"Transform input"))</x:f>
        <x:v>2</x:v>
      </x:c>
      <x:c r="J628" s="4" t="n">
        <x:f>COUNTIFS('Material routes'!$B$6:$B$2205,A628,'Material routes'!$C$6:$C$2205,"Output")</x:f>
        <x:v>1</x:v>
      </x:c>
      <x:c r="K628" s="4" t="n">
        <x:f>COUNTIFS('Material routes'!$B$6:$B$2205,A628,'Material routes'!$C$6:$C$2205,"Tool candidate")</x:f>
        <x:v>0</x:v>
      </x:c>
      <x:c r="L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8" s="4" t="str">
        <x:v>Partial design only. Exact materials, joining, fit and qualification remain open. October 15 audit: candidate inputs / reusable prerequisites clarified. Structural coverage is not a qualified manufacturing recipe.</x:v>
      </x:c>
    </x:row>
    <x:row r="629" ht="115" customHeight="1">
      <x:c r="A629" s="4"/>
      <x:c r="B629" s="4"/>
      <x:c r="C629" s="4"/>
      <x:c r="D629" s="4"/>
      <x:c r="E629" s="4"/>
      <x:c r="F629" s="4"/>
      <x:c r="G629" s="4"/>
      <x:c r="H629" s="4"/>
      <x:c r="I629" s="4"/>
      <x:c r="J629" s="4"/>
      <x:c r="K629" s="4"/>
      <x:c r="L629" s="4"/>
      <x:c r="M629" s="4"/>
    </x:row>
    <x:row r="630" ht="115" customHeight="1">
      <x:c r="A630" s="4" t="str">
        <x:v>design.audit.proposal_food_dense_drink</x:v>
      </x:c>
      <x:c r="B630" s="4" t="str">
        <x:v>Dense Phagia nutrient drink candidate preparation</x:v>
      </x:c>
      <x:c r="C630" s="4" t="str">
        <x:v>Finished-item crafting</x:v>
      </x:c>
      <x:c r="D630" s="4" t="str">
        <x:v>Proposal</x:v>
      </x:c>
      <x:c r="E630" s="4" t="str">
        <x:v>Partial proposal</x:v>
      </x:c>
      <x:c r="F630" s="4" t="str">
        <x:v>Candidate preparation of Dense Phagia nutrient drink</x:v>
      </x:c>
      <x:c r="G630" s="4" t="str">
        <x:v>Contained food-only vessels, Food preparation screen and dedicated food tools. Species/culture/mineral edibility and storage qualification unresolved.</x:v>
      </x:c>
      <x:c r="H630" s="4" t="str">
        <x:f>IF(I630=0,"Unassigned",IF(SUMIFS('Material routes'!$Q$6:$Q$2205,'Material routes'!$B$6:$B$2205,A630)&gt;0,"Unassigned","T"&amp;_xlfn.MAXIFS('Material routes'!$P$6:$P$2205,'Material routes'!$B$6:$B$2205,A630)))</x:f>
        <x:v>T2</x:v>
      </x:c>
      <x:c r="I630" s="4" t="n">
        <x:f>SUM(COUNTIFS('Material routes'!$B$6:$B$2205,A630,'Material routes'!$C$6:$C$2205,"Ingredient candidate"),COUNTIFS('Material routes'!$B$6:$B$2205,A630,'Material routes'!$C$6:$C$2205,"Consumed input"),COUNTIFS('Material routes'!$B$6:$B$2205,A630,'Material routes'!$C$6:$C$2205,"Contained input"),COUNTIFS('Material routes'!$B$6:$B$2205,A630,'Material routes'!$C$6:$C$2205,"Transform input"))</x:f>
        <x:v>2</x:v>
      </x:c>
      <x:c r="J630" s="4" t="n">
        <x:f>COUNTIFS('Material routes'!$B$6:$B$2205,A630,'Material routes'!$C$6:$C$2205,"Output")</x:f>
        <x:v>1</x:v>
      </x:c>
      <x:c r="K630" s="4" t="n">
        <x:f>COUNTIFS('Material routes'!$B$6:$B$2205,A630,'Material routes'!$C$6:$C$2205,"Tool candidate")</x:f>
        <x:v>0</x:v>
      </x:c>
      <x:c r="L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0" s="4" t="str">
        <x:v>Partial design only. Exact materials, joining, fit and qualification remain open. October 15 audit: candidate inputs / reusable prerequisites clarified. Structural coverage is not a qualified manufacturing recipe.</x:v>
      </x:c>
    </x:row>
    <x:row r="631" ht="115" customHeight="1">
      <x:c r="A631" s="4" t="str">
        <x:v>design.audit.proposal_food_ration_bar</x:v>
      </x:c>
      <x:c r="B631" s="4" t="str">
        <x:v>Phagia ration bar candidate preparation</x:v>
      </x:c>
      <x:c r="C631" s="4" t="str">
        <x:v>Finished-item crafting</x:v>
      </x:c>
      <x:c r="D631" s="4" t="str">
        <x:v>Proposal</x:v>
      </x:c>
      <x:c r="E631" s="4" t="str">
        <x:v>Partial proposal</x:v>
      </x:c>
      <x:c r="F631" s="4" t="str">
        <x:v>Candidate preparation of Phagia ration bar</x:v>
      </x:c>
      <x:c r="G631" s="4" t="str">
        <x:v>Contained food-only vessels, Food preparation screen and dedicated food tools. Species/culture/mineral edibility and storage qualification unresolved.</x:v>
      </x:c>
      <x:c r="H631" s="4" t="str">
        <x:f>IF(I631=0,"Unassigned",IF(SUMIFS('Material routes'!$Q$6:$Q$2205,'Material routes'!$B$6:$B$2205,A631)&gt;0,"Unassigned","T"&amp;_xlfn.MAXIFS('Material routes'!$P$6:$P$2205,'Material routes'!$B$6:$B$2205,A631)))</x:f>
        <x:v>T1</x:v>
      </x:c>
      <x:c r="I631" s="4" t="n">
        <x:f>SUM(COUNTIFS('Material routes'!$B$6:$B$2205,A631,'Material routes'!$C$6:$C$2205,"Ingredient candidate"),COUNTIFS('Material routes'!$B$6:$B$2205,A631,'Material routes'!$C$6:$C$2205,"Consumed input"),COUNTIFS('Material routes'!$B$6:$B$2205,A631,'Material routes'!$C$6:$C$2205,"Contained input"),COUNTIFS('Material routes'!$B$6:$B$2205,A631,'Material routes'!$C$6:$C$2205,"Transform input"))</x:f>
        <x:v>2</x:v>
      </x:c>
      <x:c r="J631" s="4" t="n">
        <x:f>COUNTIFS('Material routes'!$B$6:$B$2205,A631,'Material routes'!$C$6:$C$2205,"Output")</x:f>
        <x:v>1</x:v>
      </x:c>
      <x:c r="K631" s="4" t="n">
        <x:f>COUNTIFS('Material routes'!$B$6:$B$2205,A631,'Material routes'!$C$6:$C$2205,"Tool candidate")</x:f>
        <x:v>1</x:v>
      </x:c>
      <x:c r="L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1" s="4" t="str">
        <x:v>Partial design only. Exact materials, joining, fit and qualification remain open. October 15 audit: candidate inputs / reusable prerequisites clarified. Structural coverage is not a qualified manufacturing recipe.</x:v>
      </x:c>
    </x:row>
    <x:row r="632" ht="115" customHeight="1">
      <x:c r="A632" s="4" t="str">
        <x:v>design.audit.proposal_food_dried_bar</x:v>
      </x:c>
      <x:c r="B632" s="4" t="str">
        <x:v>Dried Phagia travel bar candidate preparation</x:v>
      </x:c>
      <x:c r="C632" s="4" t="str">
        <x:v>Finished-item crafting</x:v>
      </x:c>
      <x:c r="D632" s="4" t="str">
        <x:v>Proposal</x:v>
      </x:c>
      <x:c r="E632" s="4" t="str">
        <x:v>Partial proposal</x:v>
      </x:c>
      <x:c r="F632" s="4" t="str">
        <x:v>Candidate preparation of Dried Phagia travel bar</x:v>
      </x:c>
      <x:c r="G632" s="4" t="str">
        <x:v>Contained food-only vessels, Food preparation screen and dedicated food tools. Species/culture/mineral edibility and storage qualification unresolved.</x:v>
      </x:c>
      <x:c r="H632" s="4" t="str">
        <x:f>IF(I632=0,"Unassigned",IF(SUMIFS('Material routes'!$Q$6:$Q$2205,'Material routes'!$B$6:$B$2205,A632)&gt;0,"Unassigned","T"&amp;_xlfn.MAXIFS('Material routes'!$P$6:$P$2205,'Material routes'!$B$6:$B$2205,A632)))</x:f>
        <x:v>T1</x:v>
      </x:c>
      <x:c r="I632" s="4" t="n">
        <x:f>SUM(COUNTIFS('Material routes'!$B$6:$B$2205,A632,'Material routes'!$C$6:$C$2205,"Ingredient candidate"),COUNTIFS('Material routes'!$B$6:$B$2205,A632,'Material routes'!$C$6:$C$2205,"Consumed input"),COUNTIFS('Material routes'!$B$6:$B$2205,A632,'Material routes'!$C$6:$C$2205,"Contained input"),COUNTIFS('Material routes'!$B$6:$B$2205,A632,'Material routes'!$C$6:$C$2205,"Transform input"))</x:f>
        <x:v>2</x:v>
      </x:c>
      <x:c r="J632" s="4" t="n">
        <x:f>COUNTIFS('Material routes'!$B$6:$B$2205,A632,'Material routes'!$C$6:$C$2205,"Output")</x:f>
        <x:v>1</x:v>
      </x:c>
      <x:c r="K632" s="4" t="n">
        <x:f>COUNTIFS('Material routes'!$B$6:$B$2205,A632,'Material routes'!$C$6:$C$2205,"Tool candidate")</x:f>
        <x:v>0</x:v>
      </x:c>
      <x:c r="L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2" s="4" t="str">
        <x:v>Partial design only. Exact materials, joining, fit and qualification remain open. October 15 audit: candidate inputs / reusable prerequisites clarified. Structural coverage is not a qualified manufacturing recipe.</x:v>
      </x:c>
    </x:row>
    <x:row r="633" ht="115" customHeight="1">
      <x:c r="A633" s="4" t="str">
        <x:v>design.audit.proposal_food_meal_paste</x:v>
      </x:c>
      <x:c r="B633" s="4" t="str">
        <x:v>Prepared Phagia meal paste candidate preparation</x:v>
      </x:c>
      <x:c r="C633" s="4" t="str">
        <x:v>Finished-item crafting</x:v>
      </x:c>
      <x:c r="D633" s="4" t="str">
        <x:v>Proposal</x:v>
      </x:c>
      <x:c r="E633" s="4" t="str">
        <x:v>Partial proposal</x:v>
      </x:c>
      <x:c r="F633" s="4" t="str">
        <x:v>Candidate preparation of Prepared Phagia meal paste</x:v>
      </x:c>
      <x:c r="G633" s="4" t="str">
        <x:v>Contained food-only vessels, Food preparation screen and dedicated food tools. Species/culture/mineral edibility and storage qualification unresolved.</x:v>
      </x:c>
      <x:c r="H633" s="4" t="str">
        <x:f>IF(I633=0,"Unassigned",IF(SUMIFS('Material routes'!$Q$6:$Q$2205,'Material routes'!$B$6:$B$2205,A633)&gt;0,"Unassigned","T"&amp;_xlfn.MAXIFS('Material routes'!$P$6:$P$2205,'Material routes'!$B$6:$B$2205,A633)))</x:f>
        <x:v>T1</x:v>
      </x:c>
      <x:c r="I633" s="4" t="n">
        <x:f>SUM(COUNTIFS('Material routes'!$B$6:$B$2205,A633,'Material routes'!$C$6:$C$2205,"Ingredient candidate"),COUNTIFS('Material routes'!$B$6:$B$2205,A633,'Material routes'!$C$6:$C$2205,"Consumed input"),COUNTIFS('Material routes'!$B$6:$B$2205,A633,'Material routes'!$C$6:$C$2205,"Contained input"),COUNTIFS('Material routes'!$B$6:$B$2205,A633,'Material routes'!$C$6:$C$2205,"Transform input"))</x:f>
        <x:v>2</x:v>
      </x:c>
      <x:c r="J633" s="4" t="n">
        <x:f>COUNTIFS('Material routes'!$B$6:$B$2205,A633,'Material routes'!$C$6:$C$2205,"Output")</x:f>
        <x:v>1</x:v>
      </x:c>
      <x:c r="K633" s="4" t="n">
        <x:f>COUNTIFS('Material routes'!$B$6:$B$2205,A633,'Material routes'!$C$6:$C$2205,"Tool candidate")</x:f>
        <x:v>0</x:v>
      </x:c>
      <x:c r="L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3" s="4" t="str">
        <x:v>Partial design only. Exact materials, joining, fit and qualification remain open. October 15 audit: candidate inputs / reusable prerequisites clarified. Structural coverage is not a qualified manufacturing recipe.</x:v>
      </x:c>
    </x:row>
    <x:row r="634" ht="115" customHeight="1">
      <x:c r="A634" s="4"/>
      <x:c r="B634" s="4"/>
      <x:c r="C634" s="4"/>
      <x:c r="D634" s="4"/>
      <x:c r="E634" s="4"/>
      <x:c r="F634" s="4"/>
      <x:c r="G634" s="4"/>
      <x:c r="H634" s="4"/>
      <x:c r="I634" s="4"/>
      <x:c r="J634" s="4"/>
      <x:c r="K634" s="4"/>
      <x:c r="L634" s="4"/>
      <x:c r="M634" s="4"/>
    </x:row>
    <x:row r="635" ht="115" customHeight="1">
      <x:c r="A635" s="4" t="str">
        <x:v>design.audit.proposal_food_fauna_flake_dish</x:v>
      </x:c>
      <x:c r="B635" s="4" t="str">
        <x:v>Phagia and edible-fauna flake delicacy candidate preparation</x:v>
      </x:c>
      <x:c r="C635" s="4" t="str">
        <x:v>Finished-item crafting</x:v>
      </x:c>
      <x:c r="D635" s="4" t="str">
        <x:v>Proposal</x:v>
      </x:c>
      <x:c r="E635" s="4" t="str">
        <x:v>Partial proposal</x:v>
      </x:c>
      <x:c r="F635" s="4" t="str">
        <x:v>Candidate preparation of Phagia and edible-fauna flake delicacy</x:v>
      </x:c>
      <x:c r="G635" s="4" t="str">
        <x:v>Contained food-only vessels, Food preparation screen and dedicated food tools. Species/culture/mineral edibility and storage qualification unresolved.</x:v>
      </x:c>
      <x:c r="H635" s="4" t="str">
        <x:f>IF(I635=0,"Unassigned",IF(SUMIFS('Material routes'!$Q$6:$Q$2205,'Material routes'!$B$6:$B$2205,A635)&gt;0,"Unassigned","T"&amp;_xlfn.MAXIFS('Material routes'!$P$6:$P$2205,'Material routes'!$B$6:$B$2205,A635)))</x:f>
        <x:v>T1</x:v>
      </x:c>
      <x:c r="I635" s="4" t="n">
        <x:f>SUM(COUNTIFS('Material routes'!$B$6:$B$2205,A635,'Material routes'!$C$6:$C$2205,"Ingredient candidate"),COUNTIFS('Material routes'!$B$6:$B$2205,A635,'Material routes'!$C$6:$C$2205,"Consumed input"),COUNTIFS('Material routes'!$B$6:$B$2205,A635,'Material routes'!$C$6:$C$2205,"Contained input"),COUNTIFS('Material routes'!$B$6:$B$2205,A635,'Material routes'!$C$6:$C$2205,"Transform input"))</x:f>
        <x:v>2</x:v>
      </x:c>
      <x:c r="J635" s="4" t="n">
        <x:f>COUNTIFS('Material routes'!$B$6:$B$2205,A635,'Material routes'!$C$6:$C$2205,"Output")</x:f>
        <x:v>1</x:v>
      </x:c>
      <x:c r="K635" s="4" t="n">
        <x:f>COUNTIFS('Material routes'!$B$6:$B$2205,A635,'Material routes'!$C$6:$C$2205,"Tool candidate")</x:f>
        <x:v>0</x:v>
      </x:c>
      <x:c r="L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5" s="4" t="str">
        <x:v>Partial design only. Exact materials, joining, fit and qualification remain open. October 15 audit: candidate inputs / reusable prerequisites clarified. Structural coverage is not a qualified manufacturing recipe.</x:v>
      </x:c>
    </x:row>
    <x:row r="636" ht="115" customHeight="1">
      <x:c r="A636" s="4" t="str">
        <x:v>design.audit.proposal_food_layered_delicacy</x:v>
      </x:c>
      <x:c r="B636" s="4" t="str">
        <x:v>Layered Phagia-fauna delicacy candidate preparation</x:v>
      </x:c>
      <x:c r="C636" s="4" t="str">
        <x:v>Finished-item crafting</x:v>
      </x:c>
      <x:c r="D636" s="4" t="str">
        <x:v>Proposal</x:v>
      </x:c>
      <x:c r="E636" s="4" t="str">
        <x:v>Partial proposal</x:v>
      </x:c>
      <x:c r="F636" s="4" t="str">
        <x:v>Candidate preparation of Layered Phagia-fauna delicacy</x:v>
      </x:c>
      <x:c r="G636" s="4" t="str">
        <x:v>Contained food-only vessels, Food preparation screen and dedicated food tools. Species/culture/mineral edibility and storage qualification unresolved.</x:v>
      </x:c>
      <x:c r="H636" s="4" t="str">
        <x:f>IF(I636=0,"Unassigned",IF(SUMIFS('Material routes'!$Q$6:$Q$2205,'Material routes'!$B$6:$B$2205,A636)&gt;0,"Unassigned","T"&amp;_xlfn.MAXIFS('Material routes'!$P$6:$P$2205,'Material routes'!$B$6:$B$2205,A636)))</x:f>
        <x:v>T2</x:v>
      </x:c>
      <x:c r="I636" s="4" t="n">
        <x:f>SUM(COUNTIFS('Material routes'!$B$6:$B$2205,A636,'Material routes'!$C$6:$C$2205,"Ingredient candidate"),COUNTIFS('Material routes'!$B$6:$B$2205,A636,'Material routes'!$C$6:$C$2205,"Consumed input"),COUNTIFS('Material routes'!$B$6:$B$2205,A636,'Material routes'!$C$6:$C$2205,"Contained input"),COUNTIFS('Material routes'!$B$6:$B$2205,A636,'Material routes'!$C$6:$C$2205,"Transform input"))</x:f>
        <x:v>2</x:v>
      </x:c>
      <x:c r="J636" s="4" t="n">
        <x:f>COUNTIFS('Material routes'!$B$6:$B$2205,A636,'Material routes'!$C$6:$C$2205,"Output")</x:f>
        <x:v>1</x:v>
      </x:c>
      <x:c r="K636" s="4" t="n">
        <x:f>COUNTIFS('Material routes'!$B$6:$B$2205,A636,'Material routes'!$C$6:$C$2205,"Tool candidate")</x:f>
        <x:v>0</x:v>
      </x:c>
      <x:c r="L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6" s="4" t="str">
        <x:v>Partial design only. Exact materials, joining, fit and qualification remain open. October 15 audit: candidate inputs / reusable prerequisites clarified. Structural coverage is not a qualified manufacturing recipe.</x:v>
      </x:c>
    </x:row>
    <x:row r="637" ht="115" customHeight="1">
      <x:c r="A637" s="4" t="str">
        <x:v>design.audit.proposal_food_crisp_delicacy</x:v>
      </x:c>
      <x:c r="B637" s="4" t="str">
        <x:v>Crisp Phagia-fauna wafer candidate preparation</x:v>
      </x:c>
      <x:c r="C637" s="4" t="str">
        <x:v>Finished-item crafting</x:v>
      </x:c>
      <x:c r="D637" s="4" t="str">
        <x:v>Proposal</x:v>
      </x:c>
      <x:c r="E637" s="4" t="str">
        <x:v>Partial proposal</x:v>
      </x:c>
      <x:c r="F637" s="4" t="str">
        <x:v>Candidate preparation of Crisp Phagia-fauna wafer</x:v>
      </x:c>
      <x:c r="G637" s="4" t="str">
        <x:v>Contained food-only vessels, Food preparation screen and dedicated food tools. Species/culture/mineral edibility and storage qualification unresolved.</x:v>
      </x:c>
      <x:c r="H637" s="4" t="str">
        <x:f>IF(I637=0,"Unassigned",IF(SUMIFS('Material routes'!$Q$6:$Q$2205,'Material routes'!$B$6:$B$2205,A637)&gt;0,"Unassigned","T"&amp;_xlfn.MAXIFS('Material routes'!$P$6:$P$2205,'Material routes'!$B$6:$B$2205,A637)))</x:f>
        <x:v>T1</x:v>
      </x:c>
      <x:c r="I637" s="4" t="n">
        <x:f>SUM(COUNTIFS('Material routes'!$B$6:$B$2205,A637,'Material routes'!$C$6:$C$2205,"Ingredient candidate"),COUNTIFS('Material routes'!$B$6:$B$2205,A637,'Material routes'!$C$6:$C$2205,"Consumed input"),COUNTIFS('Material routes'!$B$6:$B$2205,A637,'Material routes'!$C$6:$C$2205,"Contained input"),COUNTIFS('Material routes'!$B$6:$B$2205,A637,'Material routes'!$C$6:$C$2205,"Transform input"))</x:f>
        <x:v>2</x:v>
      </x:c>
      <x:c r="J637" s="4" t="n">
        <x:f>COUNTIFS('Material routes'!$B$6:$B$2205,A637,'Material routes'!$C$6:$C$2205,"Output")</x:f>
        <x:v>1</x:v>
      </x:c>
      <x:c r="K637" s="4" t="n">
        <x:f>COUNTIFS('Material routes'!$B$6:$B$2205,A637,'Material routes'!$C$6:$C$2205,"Tool candidate")</x:f>
        <x:v>0</x:v>
      </x:c>
      <x:c r="L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7" s="4" t="str">
        <x:v>Partial design only. Exact materials, joining, fit and qualification remain open. October 15 audit: candidate inputs / reusable prerequisites clarified. Structural coverage is not a qualified manufacturing recipe.</x:v>
      </x:c>
    </x:row>
    <x:row r="638" ht="115" customHeight="1">
      <x:c r="A638" s="4" t="str">
        <x:v>design.audit.proposal_food_drink_flask</x:v>
      </x:c>
      <x:c r="B638" s="4" t="str">
        <x:v>Reusable Phagia drinking flask candidate preparation</x:v>
      </x:c>
      <x:c r="C638" s="4" t="str">
        <x:v>Finished-item crafting</x:v>
      </x:c>
      <x:c r="D638" s="4" t="str">
        <x:v>Proposal</x:v>
      </x:c>
      <x:c r="E638" s="4" t="str">
        <x:v>Partial proposal</x:v>
      </x:c>
      <x:c r="F638" s="4" t="str">
        <x:v>Candidate preparation of Reusable Phagia drinking flask</x:v>
      </x:c>
      <x:c r="G638" s="4" t="str">
        <x:v>Controlled-heating firing kiln or specialist glass hot-work station; Ceramic firing tray / Ceramic casting mold as applicable. Qualified power, heat and atmosphere required.</x:v>
      </x:c>
      <x:c r="H638" s="4" t="str">
        <x:f>IF(I638=0,"Unassigned",IF(SUMIFS('Material routes'!$Q$6:$Q$2205,'Material routes'!$B$6:$B$2205,A638)&gt;0,"Unassigned","T"&amp;_xlfn.MAXIFS('Material routes'!$P$6:$P$2205,'Material routes'!$B$6:$B$2205,A638)))</x:f>
        <x:v>T3</x:v>
      </x:c>
      <x:c r="I638" s="4" t="n">
        <x:f>SUM(COUNTIFS('Material routes'!$B$6:$B$2205,A638,'Material routes'!$C$6:$C$2205,"Ingredient candidate"),COUNTIFS('Material routes'!$B$6:$B$2205,A638,'Material routes'!$C$6:$C$2205,"Consumed input"),COUNTIFS('Material routes'!$B$6:$B$2205,A638,'Material routes'!$C$6:$C$2205,"Contained input"),COUNTIFS('Material routes'!$B$6:$B$2205,A638,'Material routes'!$C$6:$C$2205,"Transform input"))</x:f>
        <x:v>3</x:v>
      </x:c>
      <x:c r="J638" s="4" t="n">
        <x:f>COUNTIFS('Material routes'!$B$6:$B$2205,A638,'Material routes'!$C$6:$C$2205,"Output")</x:f>
        <x:v>1</x:v>
      </x:c>
      <x:c r="K638" s="4" t="n">
        <x:f>COUNTIFS('Material routes'!$B$6:$B$2205,A638,'Material routes'!$C$6:$C$2205,"Tool candidate")</x:f>
        <x:v>0</x:v>
      </x:c>
      <x:c r="L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8" s="4" t="str">
        <x:v>Partial design only. Exact materials, joining, fit and qualification remain open. October 15 audit: candidate inputs / reusable prerequisites clarified. Structural coverage is not a qualified manufacturing recipe.</x:v>
      </x:c>
    </x:row>
    <x:row r="639" ht="115" customHeight="1">
      <x:c r="A639" s="4" t="str">
        <x:v>design.audit.proposal_food_bar_case</x:v>
      </x:c>
      <x:c r="B639" s="4" t="str">
        <x:v>Phagia ration-bar case candidate preparation</x:v>
      </x:c>
      <x:c r="C639" s="4" t="str">
        <x:v>Finished-item crafting</x:v>
      </x:c>
      <x:c r="D639" s="4" t="str">
        <x:v>Proposal</x:v>
      </x:c>
      <x:c r="E639" s="4" t="str">
        <x:v>Partial proposal</x:v>
      </x:c>
      <x:c r="F639" s="4" t="str">
        <x:v>Candidate preparation of Phagia ration-bar case</x:v>
      </x:c>
      <x:c r="G639" s="4" t="str">
        <x:v>Forge hearth, Anvil, Forging hammer, Smithing tongs, Metalworking file and Hand-cranked metal drill as applicable. Existing workshop bootstrap and controlled heating/cooling required; no free-water quench assumed.</x:v>
      </x:c>
      <x:c r="H639" s="4" t="str">
        <x:f>IF(I639=0,"Unassigned",IF(SUMIFS('Material routes'!$Q$6:$Q$2205,'Material routes'!$B$6:$B$2205,A639)&gt;0,"Unassigned","T"&amp;_xlfn.MAXIFS('Material routes'!$P$6:$P$2205,'Material routes'!$B$6:$B$2205,A639)))</x:f>
        <x:v>T3</x:v>
      </x:c>
      <x:c r="I639" s="4" t="n">
        <x:f>SUM(COUNTIFS('Material routes'!$B$6:$B$2205,A639,'Material routes'!$C$6:$C$2205,"Ingredient candidate"),COUNTIFS('Material routes'!$B$6:$B$2205,A639,'Material routes'!$C$6:$C$2205,"Consumed input"),COUNTIFS('Material routes'!$B$6:$B$2205,A639,'Material routes'!$C$6:$C$2205,"Contained input"),COUNTIFS('Material routes'!$B$6:$B$2205,A639,'Material routes'!$C$6:$C$2205,"Transform input"))</x:f>
        <x:v>2</x:v>
      </x:c>
      <x:c r="J639" s="4" t="n">
        <x:f>COUNTIFS('Material routes'!$B$6:$B$2205,A639,'Material routes'!$C$6:$C$2205,"Output")</x:f>
        <x:v>1</x:v>
      </x:c>
      <x:c r="K639" s="4" t="n">
        <x:f>COUNTIFS('Material routes'!$B$6:$B$2205,A639,'Material routes'!$C$6:$C$2205,"Tool candidate")</x:f>
        <x:v>0</x:v>
      </x:c>
      <x:c r="L6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9" s="4" t="str">
        <x:v>Partial design only. Exact materials, joining, fit and qualification remain open. October 15 audit: candidate inputs / reusable prerequisites clarified. Structural coverage is not a qualified manufacturing recipe.</x:v>
      </x:c>
    </x:row>
    <x:row r="640" ht="115" customHeight="1">
      <x:c r="A640" s="4"/>
      <x:c r="B640" s="4"/>
      <x:c r="C640" s="4"/>
      <x:c r="D640" s="4"/>
      <x:c r="E640" s="4"/>
      <x:c r="F640" s="4"/>
      <x:c r="G640" s="4"/>
      <x:c r="H640" s="4"/>
      <x:c r="I640" s="4"/>
      <x:c r="J640" s="4"/>
      <x:c r="K640" s="4"/>
      <x:c r="L640" s="4"/>
      <x:c r="M640" s="4"/>
    </x:row>
    <x:row r="641" ht="115" customHeight="1">
      <x:c r="A641" s="4" t="str">
        <x:v>design.audit.author_communication_crude_two_way_radio</x:v>
      </x:c>
      <x:c r="B641" s="4" t="str">
        <x:v>Crude two-way radio candidate preparation</x:v>
      </x:c>
      <x:c r="C641" s="4" t="str">
        <x:v>Finished-item crafting</x:v>
      </x:c>
      <x:c r="D641" s="4" t="str">
        <x:v>Proposal</x:v>
      </x:c>
      <x:c r="E641" s="4" t="str">
        <x:v>Partial proposal</x:v>
      </x:c>
      <x:c r="F641" s="4" t="str">
        <x:v>Candidate preparation of Crude two-way radio</x:v>
      </x:c>
      <x:c r="G641" s="4" t="str">
        <x:v>Specialist engineering workshop; insulation, pressure or control qualification as applicable. Power/working medium and operating theory unresolved.</x:v>
      </x:c>
      <x:c r="H641" s="4" t="str">
        <x:f>IF(I641=0,"Unassigned",IF(SUMIFS('Material routes'!$Q$6:$Q$2205,'Material routes'!$B$6:$B$2205,A641)&gt;0,"Unassigned","T"&amp;_xlfn.MAXIFS('Material routes'!$P$6:$P$2205,'Material routes'!$B$6:$B$2205,A641)))</x:f>
        <x:v>Unassigned</x:v>
      </x:c>
      <x:c r="I641" s="4" t="n">
        <x:f>SUM(COUNTIFS('Material routes'!$B$6:$B$2205,A641,'Material routes'!$C$6:$C$2205,"Ingredient candidate"),COUNTIFS('Material routes'!$B$6:$B$2205,A641,'Material routes'!$C$6:$C$2205,"Consumed input"),COUNTIFS('Material routes'!$B$6:$B$2205,A641,'Material routes'!$C$6:$C$2205,"Contained input"),COUNTIFS('Material routes'!$B$6:$B$2205,A641,'Material routes'!$C$6:$C$2205,"Transform input"))</x:f>
        <x:v>7</x:v>
      </x:c>
      <x:c r="J641" s="4" t="n">
        <x:f>COUNTIFS('Material routes'!$B$6:$B$2205,A641,'Material routes'!$C$6:$C$2205,"Output")</x:f>
        <x:v>1</x:v>
      </x:c>
      <x:c r="K641" s="4" t="n">
        <x:f>COUNTIFS('Material routes'!$B$6:$B$2205,A641,'Material routes'!$C$6:$C$2205,"Tool candidate")</x:f>
        <x:v>1</x:v>
      </x:c>
      <x:c r="L6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1" s="4" t="str">
        <x:v>Partial design only. Exact materials, joining, fit and qualification remain open. October 15 audit: candidate inputs / reusable prerequisites clarified. Structural coverage is not a qualified manufacturing recipe.</x:v>
      </x:c>
    </x:row>
    <x:row r="642" ht="115" customHeight="1">
      <x:c r="A642" s="4"/>
      <x:c r="B642" s="4"/>
      <x:c r="C642" s="4"/>
      <x:c r="D642" s="4"/>
      <x:c r="E642" s="4"/>
      <x:c r="F642" s="4"/>
      <x:c r="G642" s="4"/>
      <x:c r="H642" s="4"/>
      <x:c r="I642" s="4"/>
      <x:c r="J642" s="4"/>
      <x:c r="K642" s="4"/>
      <x:c r="L642" s="4"/>
      <x:c r="M642" s="4"/>
    </x:row>
    <x:row r="643" ht="115" customHeight="1">
      <x:c r="A643" s="4" t="str">
        <x:v>design.audit.author_electrical_magnetic_inhibitor</x:v>
      </x:c>
      <x:c r="B643" s="4" t="str">
        <x:v>Magnetic field inhibitor candidate preparation</x:v>
      </x:c>
      <x:c r="C643" s="4" t="str">
        <x:v>Finished-item crafting</x:v>
      </x:c>
      <x:c r="D643" s="4" t="str">
        <x:v>Proposal</x:v>
      </x:c>
      <x:c r="E643" s="4" t="str">
        <x:v>Partial proposal</x:v>
      </x:c>
      <x:c r="F643" s="4" t="str">
        <x:v>Candidate preparation of Magnetic field inhibitor</x:v>
      </x:c>
      <x:c r="G643" s="4" t="str">
        <x:v>Specialist engineering workshop; insulation, pressure or control qualification as applicable. Power/working medium and operating theory unresolved.</x:v>
      </x:c>
      <x:c r="H643" s="4" t="str">
        <x:f>IF(I643=0,"Unassigned",IF(SUMIFS('Material routes'!$Q$6:$Q$2205,'Material routes'!$B$6:$B$2205,A643)&gt;0,"Unassigned","T"&amp;_xlfn.MAXIFS('Material routes'!$P$6:$P$2205,'Material routes'!$B$6:$B$2205,A643)))</x:f>
        <x:v>Unassigned</x:v>
      </x:c>
      <x:c r="I643" s="4" t="n">
        <x:f>SUM(COUNTIFS('Material routes'!$B$6:$B$2205,A643,'Material routes'!$C$6:$C$2205,"Ingredient candidate"),COUNTIFS('Material routes'!$B$6:$B$2205,A643,'Material routes'!$C$6:$C$2205,"Consumed input"),COUNTIFS('Material routes'!$B$6:$B$2205,A643,'Material routes'!$C$6:$C$2205,"Contained input"),COUNTIFS('Material routes'!$B$6:$B$2205,A643,'Material routes'!$C$6:$C$2205,"Transform input"))</x:f>
        <x:v>5</x:v>
      </x:c>
      <x:c r="J643" s="4" t="n">
        <x:f>COUNTIFS('Material routes'!$B$6:$B$2205,A643,'Material routes'!$C$6:$C$2205,"Output")</x:f>
        <x:v>1</x:v>
      </x:c>
      <x:c r="K643" s="4" t="n">
        <x:f>COUNTIFS('Material routes'!$B$6:$B$2205,A643,'Material routes'!$C$6:$C$2205,"Tool candidate")</x:f>
        <x:v>0</x:v>
      </x:c>
      <x:c r="L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3" s="4" t="str">
        <x:v>Partial design only. Exact materials, joining, fit and qualification remain open. October 15 audit: candidate inputs / reusable prerequisites clarified. Structural coverage is not a qualified manufacturing recipe.</x:v>
      </x:c>
    </x:row>
    <x:row r="644" ht="115" customHeight="1">
      <x:c r="A644" s="4" t="str">
        <x:v>design.audit.author_electrical_magnetic_enhancer</x:v>
      </x:c>
      <x:c r="B644" s="4" t="str">
        <x:v>Magnetic field enhancer candidate preparation</x:v>
      </x:c>
      <x:c r="C644" s="4" t="str">
        <x:v>Finished-item crafting</x:v>
      </x:c>
      <x:c r="D644" s="4" t="str">
        <x:v>Proposal</x:v>
      </x:c>
      <x:c r="E644" s="4" t="str">
        <x:v>Partial proposal</x:v>
      </x:c>
      <x:c r="F644" s="4" t="str">
        <x:v>Candidate preparation of Magnetic field enhancer</x:v>
      </x:c>
      <x:c r="G644" s="4" t="str">
        <x:v>Specialist engineering workshop; insulation, pressure or control qualification as applicable. Power/working medium and operating theory unresolved.</x:v>
      </x:c>
      <x:c r="H644" s="4" t="str">
        <x:f>IF(I644=0,"Unassigned",IF(SUMIFS('Material routes'!$Q$6:$Q$2205,'Material routes'!$B$6:$B$2205,A644)&gt;0,"Unassigned","T"&amp;_xlfn.MAXIFS('Material routes'!$P$6:$P$2205,'Material routes'!$B$6:$B$2205,A644)))</x:f>
        <x:v>Unassigned</x:v>
      </x:c>
      <x:c r="I644" s="4" t="n">
        <x:f>SUM(COUNTIFS('Material routes'!$B$6:$B$2205,A644,'Material routes'!$C$6:$C$2205,"Ingredient candidate"),COUNTIFS('Material routes'!$B$6:$B$2205,A644,'Material routes'!$C$6:$C$2205,"Consumed input"),COUNTIFS('Material routes'!$B$6:$B$2205,A644,'Material routes'!$C$6:$C$2205,"Contained input"),COUNTIFS('Material routes'!$B$6:$B$2205,A644,'Material routes'!$C$6:$C$2205,"Transform input"))</x:f>
        <x:v>5</x:v>
      </x:c>
      <x:c r="J644" s="4" t="n">
        <x:f>COUNTIFS('Material routes'!$B$6:$B$2205,A644,'Material routes'!$C$6:$C$2205,"Output")</x:f>
        <x:v>1</x:v>
      </x:c>
      <x:c r="K644" s="4" t="n">
        <x:f>COUNTIFS('Material routes'!$B$6:$B$2205,A644,'Material routes'!$C$6:$C$2205,"Tool candidate")</x:f>
        <x:v>0</x:v>
      </x:c>
      <x:c r="L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4" s="4" t="str">
        <x:v>Partial design only. Exact materials, joining, fit and qualification remain open. October 15 audit: candidate inputs / reusable prerequisites clarified. Structural coverage is not a qualified manufacturing recipe.</x:v>
      </x:c>
    </x:row>
    <x:row r="645" ht="115" customHeight="1">
      <x:c r="A645" s="4" t="str">
        <x:v>design.audit.author_electrical_static_enhancer</x:v>
      </x:c>
      <x:c r="B645" s="4" t="str">
        <x:v>Static-electricity field enhancer candidate preparation</x:v>
      </x:c>
      <x:c r="C645" s="4" t="str">
        <x:v>Finished-item crafting</x:v>
      </x:c>
      <x:c r="D645" s="4" t="str">
        <x:v>Proposal</x:v>
      </x:c>
      <x:c r="E645" s="4" t="str">
        <x:v>Partial proposal</x:v>
      </x:c>
      <x:c r="F645" s="4" t="str">
        <x:v>Candidate preparation of Static-electricity field enhancer</x:v>
      </x:c>
      <x:c r="G645" s="4" t="str">
        <x:v>Specialist engineering workshop; insulation, pressure or control qualification as applicable. Power/working medium and operating theory unresolved.</x:v>
      </x:c>
      <x:c r="H645" s="4" t="str">
        <x:f>IF(I645=0,"Unassigned",IF(SUMIFS('Material routes'!$Q$6:$Q$2205,'Material routes'!$B$6:$B$2205,A645)&gt;0,"Unassigned","T"&amp;_xlfn.MAXIFS('Material routes'!$P$6:$P$2205,'Material routes'!$B$6:$B$2205,A645)))</x:f>
        <x:v>Unassigned</x:v>
      </x:c>
      <x:c r="I645" s="4" t="n">
        <x:f>SUM(COUNTIFS('Material routes'!$B$6:$B$2205,A645,'Material routes'!$C$6:$C$2205,"Ingredient candidate"),COUNTIFS('Material routes'!$B$6:$B$2205,A645,'Material routes'!$C$6:$C$2205,"Consumed input"),COUNTIFS('Material routes'!$B$6:$B$2205,A645,'Material routes'!$C$6:$C$2205,"Contained input"),COUNTIFS('Material routes'!$B$6:$B$2205,A645,'Material routes'!$C$6:$C$2205,"Transform input"))</x:f>
        <x:v>5</x:v>
      </x:c>
      <x:c r="J645" s="4" t="n">
        <x:f>COUNTIFS('Material routes'!$B$6:$B$2205,A645,'Material routes'!$C$6:$C$2205,"Output")</x:f>
        <x:v>1</x:v>
      </x:c>
      <x:c r="K645" s="4" t="n">
        <x:f>COUNTIFS('Material routes'!$B$6:$B$2205,A645,'Material routes'!$C$6:$C$2205,"Tool candidate")</x:f>
        <x:v>0</x:v>
      </x:c>
      <x:c r="L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5" s="4" t="str">
        <x:v>Partial design only. Exact materials, joining, fit and qualification remain open. October 15 audit: candidate inputs / reusable prerequisites clarified. Structural coverage is not a qualified manufacturing recipe.</x:v>
      </x:c>
    </x:row>
    <x:row r="646" ht="115" customHeight="1">
      <x:c r="A646" s="4" t="str">
        <x:v>design.audit.author_electrical_static_disruptor</x:v>
      </x:c>
      <x:c r="B646" s="4" t="str">
        <x:v>Static-electricity field disruptor candidate preparation</x:v>
      </x:c>
      <x:c r="C646" s="4" t="str">
        <x:v>Finished-item crafting</x:v>
      </x:c>
      <x:c r="D646" s="4" t="str">
        <x:v>Proposal</x:v>
      </x:c>
      <x:c r="E646" s="4" t="str">
        <x:v>Partial proposal</x:v>
      </x:c>
      <x:c r="F646" s="4" t="str">
        <x:v>Candidate preparation of Static-electricity field disruptor</x:v>
      </x:c>
      <x:c r="G646" s="4" t="str">
        <x:v>Specialist engineering workshop; insulation, pressure or control qualification as applicable. Power/working medium and operating theory unresolved.</x:v>
      </x:c>
      <x:c r="H646" s="4" t="str">
        <x:f>IF(I646=0,"Unassigned",IF(SUMIFS('Material routes'!$Q$6:$Q$2205,'Material routes'!$B$6:$B$2205,A646)&gt;0,"Unassigned","T"&amp;_xlfn.MAXIFS('Material routes'!$P$6:$P$2205,'Material routes'!$B$6:$B$2205,A646)))</x:f>
        <x:v>Unassigned</x:v>
      </x:c>
      <x:c r="I646" s="4" t="n">
        <x:f>SUM(COUNTIFS('Material routes'!$B$6:$B$2205,A646,'Material routes'!$C$6:$C$2205,"Ingredient candidate"),COUNTIFS('Material routes'!$B$6:$B$2205,A646,'Material routes'!$C$6:$C$2205,"Consumed input"),COUNTIFS('Material routes'!$B$6:$B$2205,A646,'Material routes'!$C$6:$C$2205,"Contained input"),COUNTIFS('Material routes'!$B$6:$B$2205,A646,'Material routes'!$C$6:$C$2205,"Transform input"))</x:f>
        <x:v>5</x:v>
      </x:c>
      <x:c r="J646" s="4" t="n">
        <x:f>COUNTIFS('Material routes'!$B$6:$B$2205,A646,'Material routes'!$C$6:$C$2205,"Output")</x:f>
        <x:v>1</x:v>
      </x:c>
      <x:c r="K646" s="4" t="n">
        <x:f>COUNTIFS('Material routes'!$B$6:$B$2205,A646,'Material routes'!$C$6:$C$2205,"Tool candidate")</x:f>
        <x:v>0</x:v>
      </x:c>
      <x:c r="L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6" s="4" t="str">
        <x:v>Partial design only. Exact materials, joining, fit and qualification remain open. October 15 audit: candidate inputs / reusable prerequisites clarified. Structural coverage is not a qualified manufacturing recipe.</x:v>
      </x:c>
    </x:row>
    <x:row r="647" ht="115" customHeight="1">
      <x:c r="A647" s="4" t="str">
        <x:v>design.audit.author_electrical_arc_ray_gun</x:v>
      </x:c>
      <x:c r="B647" s="4" t="str">
        <x:v>Arc ray gun candidate preparation</x:v>
      </x:c>
      <x:c r="C647" s="4" t="str">
        <x:v>Finished-item crafting</x:v>
      </x:c>
      <x:c r="D647" s="4" t="str">
        <x:v>Proposal</x:v>
      </x:c>
      <x:c r="E647" s="4" t="str">
        <x:v>Partial proposal</x:v>
      </x:c>
      <x:c r="F647" s="4" t="str">
        <x:v>Candidate preparation of Arc ray gun</x:v>
      </x:c>
      <x:c r="G647" s="4" t="str">
        <x:v>Specialist engineering workshop; insulation, pressure or control qualification as applicable. Power/working medium and operating theory unresolved.</x:v>
      </x:c>
      <x:c r="H647" s="4" t="str">
        <x:f>IF(I647=0,"Unassigned",IF(SUMIFS('Material routes'!$Q$6:$Q$2205,'Material routes'!$B$6:$B$2205,A647)&gt;0,"Unassigned","T"&amp;_xlfn.MAXIFS('Material routes'!$P$6:$P$2205,'Material routes'!$B$6:$B$2205,A647)))</x:f>
        <x:v>Unassigned</x:v>
      </x:c>
      <x:c r="I647" s="4" t="n">
        <x:f>SUM(COUNTIFS('Material routes'!$B$6:$B$2205,A647,'Material routes'!$C$6:$C$2205,"Ingredient candidate"),COUNTIFS('Material routes'!$B$6:$B$2205,A647,'Material routes'!$C$6:$C$2205,"Consumed input"),COUNTIFS('Material routes'!$B$6:$B$2205,A647,'Material routes'!$C$6:$C$2205,"Contained input"),COUNTIFS('Material routes'!$B$6:$B$2205,A647,'Material routes'!$C$6:$C$2205,"Transform input"))</x:f>
        <x:v>5</x:v>
      </x:c>
      <x:c r="J647" s="4" t="n">
        <x:f>COUNTIFS('Material routes'!$B$6:$B$2205,A647,'Material routes'!$C$6:$C$2205,"Output")</x:f>
        <x:v>1</x:v>
      </x:c>
      <x:c r="K647" s="4" t="n">
        <x:f>COUNTIFS('Material routes'!$B$6:$B$2205,A647,'Material routes'!$C$6:$C$2205,"Tool candidate")</x:f>
        <x:v>0</x:v>
      </x:c>
      <x:c r="L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7" s="4" t="str">
        <x:v>Partial design only. Exact materials, joining, fit and qualification remain open. October 15 audit: candidate inputs / reusable prerequisites clarified. Structural coverage is not a qualified manufacturing recipe.</x:v>
      </x:c>
    </x:row>
    <x:row r="648" ht="115" customHeight="1">
      <x:c r="A648" s="4" t="str">
        <x:v>design.audit.author_electrical_insulated_suit</x:v>
      </x:c>
      <x:c r="B648" s="4" t="str">
        <x:v>Electrical insulating suit candidate preparation</x:v>
      </x:c>
      <x:c r="C648" s="4" t="str">
        <x:v>Finished-item crafting</x:v>
      </x:c>
      <x:c r="D648" s="4" t="str">
        <x:v>Proposal</x:v>
      </x:c>
      <x:c r="E648" s="4" t="str">
        <x:v>Partial proposal</x:v>
      </x:c>
      <x:c r="F648" s="4" t="str">
        <x:v>Candidate preparation of Electrical insulating suit</x:v>
      </x:c>
      <x:c r="G648" s="4" t="str">
        <x:v>Forge hearth, Anvil, Forging hammer, Smithing tongs, Metalworking file and Hand-cranked metal drill as applicable. Existing workshop bootstrap and controlled heating/cooling required; no free-water quench assumed.</x:v>
      </x:c>
      <x:c r="H648" s="4" t="str">
        <x:f>IF(I648=0,"Unassigned",IF(SUMIFS('Material routes'!$Q$6:$Q$2205,'Material routes'!$B$6:$B$2205,A648)&gt;0,"Unassigned","T"&amp;_xlfn.MAXIFS('Material routes'!$P$6:$P$2205,'Material routes'!$B$6:$B$2205,A648)))</x:f>
        <x:v>T3</x:v>
      </x:c>
      <x:c r="I648" s="4" t="n">
        <x:f>SUM(COUNTIFS('Material routes'!$B$6:$B$2205,A648,'Material routes'!$C$6:$C$2205,"Ingredient candidate"),COUNTIFS('Material routes'!$B$6:$B$2205,A648,'Material routes'!$C$6:$C$2205,"Consumed input"),COUNTIFS('Material routes'!$B$6:$B$2205,A648,'Material routes'!$C$6:$C$2205,"Contained input"),COUNTIFS('Material routes'!$B$6:$B$2205,A648,'Material routes'!$C$6:$C$2205,"Transform input"))</x:f>
        <x:v>4</x:v>
      </x:c>
      <x:c r="J648" s="4" t="n">
        <x:f>COUNTIFS('Material routes'!$B$6:$B$2205,A648,'Material routes'!$C$6:$C$2205,"Output")</x:f>
        <x:v>1</x:v>
      </x:c>
      <x:c r="K648" s="4" t="n">
        <x:f>COUNTIFS('Material routes'!$B$6:$B$2205,A648,'Material routes'!$C$6:$C$2205,"Tool candidate")</x:f>
        <x:v>0</x:v>
      </x:c>
      <x:c r="L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8" s="4" t="str">
        <x:v>Partial design only. Exact materials, joining, fit and qualification remain open. October 15 audit: candidate inputs / reusable prerequisites clarified. Structural coverage is not a qualified manufacturing recipe.</x:v>
      </x:c>
    </x:row>
    <x:row r="649" ht="115" customHeight="1">
      <x:c r="A649" s="4" t="str">
        <x:v>design.audit.author_electrical_insulated_boots</x:v>
      </x:c>
      <x:c r="B649" s="4" t="str">
        <x:v>Electrical insulating boots candidate preparation</x:v>
      </x:c>
      <x:c r="C649" s="4" t="str">
        <x:v>Finished-item crafting</x:v>
      </x:c>
      <x:c r="D649" s="4" t="str">
        <x:v>Proposal</x:v>
      </x:c>
      <x:c r="E649" s="4" t="str">
        <x:v>Partial proposal</x:v>
      </x:c>
      <x:c r="F649" s="4" t="str">
        <x:v>Candidate preparation of Electrical insulating boots</x:v>
      </x:c>
      <x:c r="G649" s="4" t="str">
        <x:v>Forge hearth, Anvil, Forging hammer, Smithing tongs, Metalworking file and Hand-cranked metal drill as applicable. Existing workshop bootstrap and controlled heating/cooling required; no free-water quench assumed.</x:v>
      </x:c>
      <x:c r="H649" s="4" t="str">
        <x:f>IF(I649=0,"Unassigned",IF(SUMIFS('Material routes'!$Q$6:$Q$2205,'Material routes'!$B$6:$B$2205,A649)&gt;0,"Unassigned","T"&amp;_xlfn.MAXIFS('Material routes'!$P$6:$P$2205,'Material routes'!$B$6:$B$2205,A649)))</x:f>
        <x:v>T3</x:v>
      </x:c>
      <x:c r="I649" s="4" t="n">
        <x:f>SUM(COUNTIFS('Material routes'!$B$6:$B$2205,A649,'Material routes'!$C$6:$C$2205,"Ingredient candidate"),COUNTIFS('Material routes'!$B$6:$B$2205,A649,'Material routes'!$C$6:$C$2205,"Consumed input"),COUNTIFS('Material routes'!$B$6:$B$2205,A649,'Material routes'!$C$6:$C$2205,"Contained input"),COUNTIFS('Material routes'!$B$6:$B$2205,A649,'Material routes'!$C$6:$C$2205,"Transform input"))</x:f>
        <x:v>3</x:v>
      </x:c>
      <x:c r="J649" s="4" t="n">
        <x:f>COUNTIFS('Material routes'!$B$6:$B$2205,A649,'Material routes'!$C$6:$C$2205,"Output")</x:f>
        <x:v>1</x:v>
      </x:c>
      <x:c r="K649" s="4" t="n">
        <x:f>COUNTIFS('Material routes'!$B$6:$B$2205,A649,'Material routes'!$C$6:$C$2205,"Tool candidate")</x:f>
        <x:v>0</x:v>
      </x:c>
      <x:c r="L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9" s="4" t="str">
        <x:v>Partial design only. Exact materials, joining, fit and qualification remain open. October 15 audit: candidate inputs / reusable prerequisites clarified. Structural coverage is not a qualified manufacturing recipe.</x:v>
      </x:c>
    </x:row>
    <x:row r="650" ht="115" customHeight="1">
      <x:c r="A650" s="4"/>
      <x:c r="B650" s="4"/>
      <x:c r="C650" s="4"/>
      <x:c r="D650" s="4"/>
      <x:c r="E650" s="4"/>
      <x:c r="F650" s="4"/>
      <x:c r="G650" s="4"/>
      <x:c r="H650" s="4"/>
      <x:c r="I650" s="4"/>
      <x:c r="J650" s="4"/>
      <x:c r="K650" s="4"/>
      <x:c r="L650" s="4"/>
      <x:c r="M650" s="4"/>
    </x:row>
    <x:row r="651" ht="115" customHeight="1">
      <x:c r="A651" s="4" t="str">
        <x:v>design.audit.proposal_forging_tongs</x:v>
      </x:c>
      <x:c r="B651" s="4" t="str">
        <x:v>Smithing tongs candidate preparation</x:v>
      </x:c>
      <x:c r="C651" s="4" t="str">
        <x:v>Finished-item crafting</x:v>
      </x:c>
      <x:c r="D651" s="4" t="str">
        <x:v>Proposal</x:v>
      </x:c>
      <x:c r="E651" s="4" t="str">
        <x:v>Partial proposal</x:v>
      </x:c>
      <x:c r="F651" s="4" t="str">
        <x:v>Candidate preparation of Smithing tongs</x:v>
      </x:c>
      <x:c r="G651" s="4" t="str">
        <x:v>Forge hearth, Anvil, Forging hammer, Smithing tongs, Metalworking file and Hand-cranked metal drill as applicable. Existing workshop bootstrap and controlled heating/cooling required; no free-water quench assumed.</x:v>
      </x:c>
      <x:c r="H651" s="4" t="str">
        <x:f>IF(I651=0,"Unassigned",IF(SUMIFS('Material routes'!$Q$6:$Q$2205,'Material routes'!$B$6:$B$2205,A651)&gt;0,"Unassigned","T"&amp;_xlfn.MAXIFS('Material routes'!$P$6:$P$2205,'Material routes'!$B$6:$B$2205,A651)))</x:f>
        <x:v>T3</x:v>
      </x:c>
      <x:c r="I651" s="4" t="n">
        <x:f>SUM(COUNTIFS('Material routes'!$B$6:$B$2205,A651,'Material routes'!$C$6:$C$2205,"Ingredient candidate"),COUNTIFS('Material routes'!$B$6:$B$2205,A651,'Material routes'!$C$6:$C$2205,"Consumed input"),COUNTIFS('Material routes'!$B$6:$B$2205,A651,'Material routes'!$C$6:$C$2205,"Contained input"),COUNTIFS('Material routes'!$B$6:$B$2205,A651,'Material routes'!$C$6:$C$2205,"Transform input"))</x:f>
        <x:v>2</x:v>
      </x:c>
      <x:c r="J651" s="4" t="n">
        <x:f>COUNTIFS('Material routes'!$B$6:$B$2205,A651,'Material routes'!$C$6:$C$2205,"Output")</x:f>
        <x:v>1</x:v>
      </x:c>
      <x:c r="K651" s="4" t="n">
        <x:f>COUNTIFS('Material routes'!$B$6:$B$2205,A651,'Material routes'!$C$6:$C$2205,"Tool candidate")</x:f>
        <x:v>0</x:v>
      </x:c>
      <x:c r="L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1" s="4" t="str">
        <x:v>Partial design only. Exact materials, joining, fit and qualification remain open. October 15 audit: candidate inputs / reusable prerequisites clarified. Structural coverage is not a qualified manufacturing recipe.</x:v>
      </x:c>
    </x:row>
    <x:row r="652" ht="115" customHeight="1">
      <x:c r="A652" s="4" t="str">
        <x:v>design.audit.proposal_forging_sledge</x:v>
      </x:c>
      <x:c r="B652" s="4" t="str">
        <x:v>Forging sledge candidate preparation</x:v>
      </x:c>
      <x:c r="C652" s="4" t="str">
        <x:v>Finished-item crafting</x:v>
      </x:c>
      <x:c r="D652" s="4" t="str">
        <x:v>Proposal</x:v>
      </x:c>
      <x:c r="E652" s="4" t="str">
        <x:v>Partial proposal</x:v>
      </x:c>
      <x:c r="F652" s="4" t="str">
        <x:v>Candidate preparation of Forging sledge</x:v>
      </x:c>
      <x:c r="G652" s="4" t="str">
        <x:v>Forge hearth, Anvil, Forging hammer, Smithing tongs, Metalworking file and Hand-cranked metal drill as applicable. Existing workshop bootstrap and controlled heating/cooling required; no free-water quench assumed.</x:v>
      </x:c>
      <x:c r="H652" s="4" t="str">
        <x:f>IF(I652=0,"Unassigned",IF(SUMIFS('Material routes'!$Q$6:$Q$2205,'Material routes'!$B$6:$B$2205,A652)&gt;0,"Unassigned","T"&amp;_xlfn.MAXIFS('Material routes'!$P$6:$P$2205,'Material routes'!$B$6:$B$2205,A652)))</x:f>
        <x:v>T3</x:v>
      </x:c>
      <x:c r="I652" s="4" t="n">
        <x:f>SUM(COUNTIFS('Material routes'!$B$6:$B$2205,A652,'Material routes'!$C$6:$C$2205,"Ingredient candidate"),COUNTIFS('Material routes'!$B$6:$B$2205,A652,'Material routes'!$C$6:$C$2205,"Consumed input"),COUNTIFS('Material routes'!$B$6:$B$2205,A652,'Material routes'!$C$6:$C$2205,"Contained input"),COUNTIFS('Material routes'!$B$6:$B$2205,A652,'Material routes'!$C$6:$C$2205,"Transform input"))</x:f>
        <x:v>2</x:v>
      </x:c>
      <x:c r="J652" s="4" t="n">
        <x:f>COUNTIFS('Material routes'!$B$6:$B$2205,A652,'Material routes'!$C$6:$C$2205,"Output")</x:f>
        <x:v>1</x:v>
      </x:c>
      <x:c r="K652" s="4" t="n">
        <x:f>COUNTIFS('Material routes'!$B$6:$B$2205,A652,'Material routes'!$C$6:$C$2205,"Tool candidate")</x:f>
        <x:v>0</x:v>
      </x:c>
      <x:c r="L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2" s="4" t="str">
        <x:v>Partial design only. Exact materials, joining, fit and qualification remain open. October 15 audit: candidate inputs / reusable prerequisites clarified. Structural coverage is not a qualified manufacturing recipe.</x:v>
      </x:c>
    </x:row>
    <x:row r="653" ht="115" customHeight="1">
      <x:c r="A653" s="4" t="str">
        <x:v>design.audit.proposal_forging_hot_cut</x:v>
      </x:c>
      <x:c r="B653" s="4" t="str">
        <x:v>Hot-cut chisel candidate preparation</x:v>
      </x:c>
      <x:c r="C653" s="4" t="str">
        <x:v>Finished-item crafting</x:v>
      </x:c>
      <x:c r="D653" s="4" t="str">
        <x:v>Proposal</x:v>
      </x:c>
      <x:c r="E653" s="4" t="str">
        <x:v>Partial proposal</x:v>
      </x:c>
      <x:c r="F653" s="4" t="str">
        <x:v>Candidate preparation of Hot-cut chisel</x:v>
      </x:c>
      <x:c r="G653" s="4" t="str">
        <x:v>Forge hearth, Anvil, Forging hammer, Smithing tongs, Metalworking file and Hand-cranked metal drill as applicable. Existing workshop bootstrap and controlled heating/cooling required; no free-water quench assumed.</x:v>
      </x:c>
      <x:c r="H653" s="4" t="str">
        <x:f>IF(I653=0,"Unassigned",IF(SUMIFS('Material routes'!$Q$6:$Q$2205,'Material routes'!$B$6:$B$2205,A653)&gt;0,"Unassigned","T"&amp;_xlfn.MAXIFS('Material routes'!$P$6:$P$2205,'Material routes'!$B$6:$B$2205,A653)))</x:f>
        <x:v>T2</x:v>
      </x:c>
      <x:c r="I653" s="4" t="n">
        <x:f>SUM(COUNTIFS('Material routes'!$B$6:$B$2205,A653,'Material routes'!$C$6:$C$2205,"Ingredient candidate"),COUNTIFS('Material routes'!$B$6:$B$2205,A653,'Material routes'!$C$6:$C$2205,"Consumed input"),COUNTIFS('Material routes'!$B$6:$B$2205,A653,'Material routes'!$C$6:$C$2205,"Contained input"),COUNTIFS('Material routes'!$B$6:$B$2205,A653,'Material routes'!$C$6:$C$2205,"Transform input"))</x:f>
        <x:v>1</x:v>
      </x:c>
      <x:c r="J653" s="4" t="n">
        <x:f>COUNTIFS('Material routes'!$B$6:$B$2205,A653,'Material routes'!$C$6:$C$2205,"Output")</x:f>
        <x:v>1</x:v>
      </x:c>
      <x:c r="K653" s="4" t="n">
        <x:f>COUNTIFS('Material routes'!$B$6:$B$2205,A653,'Material routes'!$C$6:$C$2205,"Tool candidate")</x:f>
        <x:v>0</x:v>
      </x:c>
      <x:c r="L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3" s="4" t="str">
        <x:v>Partial design only. Exact materials, joining, fit and qualification remain open. October 15 audit: candidate inputs / reusable prerequisites clarified. Structural coverage is not a qualified manufacturing recipe.</x:v>
      </x:c>
    </x:row>
    <x:row r="654" ht="115" customHeight="1">
      <x:c r="A654" s="4" t="str">
        <x:v>design.audit.proposal_forging_punch</x:v>
      </x:c>
      <x:c r="B654" s="4" t="str">
        <x:v>Forging punch candidate preparation</x:v>
      </x:c>
      <x:c r="C654" s="4" t="str">
        <x:v>Finished-item crafting</x:v>
      </x:c>
      <x:c r="D654" s="4" t="str">
        <x:v>Proposal</x:v>
      </x:c>
      <x:c r="E654" s="4" t="str">
        <x:v>Partial proposal</x:v>
      </x:c>
      <x:c r="F654" s="4" t="str">
        <x:v>Candidate preparation of Forging punch</x:v>
      </x:c>
      <x:c r="G654" s="4" t="str">
        <x:v>Forge hearth, Anvil, Forging hammer, Smithing tongs, Metalworking file and Hand-cranked metal drill as applicable. Existing workshop bootstrap and controlled heating/cooling required; no free-water quench assumed.</x:v>
      </x:c>
      <x:c r="H654" s="4" t="str">
        <x:f>IF(I654=0,"Unassigned",IF(SUMIFS('Material routes'!$Q$6:$Q$2205,'Material routes'!$B$6:$B$2205,A654)&gt;0,"Unassigned","T"&amp;_xlfn.MAXIFS('Material routes'!$P$6:$P$2205,'Material routes'!$B$6:$B$2205,A654)))</x:f>
        <x:v>T2</x:v>
      </x:c>
      <x:c r="I654" s="4" t="n">
        <x:f>SUM(COUNTIFS('Material routes'!$B$6:$B$2205,A654,'Material routes'!$C$6:$C$2205,"Ingredient candidate"),COUNTIFS('Material routes'!$B$6:$B$2205,A654,'Material routes'!$C$6:$C$2205,"Consumed input"),COUNTIFS('Material routes'!$B$6:$B$2205,A654,'Material routes'!$C$6:$C$2205,"Contained input"),COUNTIFS('Material routes'!$B$6:$B$2205,A654,'Material routes'!$C$6:$C$2205,"Transform input"))</x:f>
        <x:v>1</x:v>
      </x:c>
      <x:c r="J654" s="4" t="n">
        <x:f>COUNTIFS('Material routes'!$B$6:$B$2205,A654,'Material routes'!$C$6:$C$2205,"Output")</x:f>
        <x:v>1</x:v>
      </x:c>
      <x:c r="K654" s="4" t="n">
        <x:f>COUNTIFS('Material routes'!$B$6:$B$2205,A654,'Material routes'!$C$6:$C$2205,"Tool candidate")</x:f>
        <x:v>0</x:v>
      </x:c>
      <x:c r="L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4" s="4" t="str">
        <x:v>Partial design only. Exact materials, joining, fit and qualification remain open. October 15 audit: candidate inputs / reusable prerequisites clarified. Structural coverage is not a qualified manufacturing recipe.</x:v>
      </x:c>
    </x:row>
    <x:row r="655" ht="115" customHeight="1">
      <x:c r="A655" s="4" t="str">
        <x:v>design.audit.proposal_forging_drift</x:v>
      </x:c>
      <x:c r="B655" s="4" t="str">
        <x:v>Forming drift candidate preparation</x:v>
      </x:c>
      <x:c r="C655" s="4" t="str">
        <x:v>Finished-item crafting</x:v>
      </x:c>
      <x:c r="D655" s="4" t="str">
        <x:v>Proposal</x:v>
      </x:c>
      <x:c r="E655" s="4" t="str">
        <x:v>Partial proposal</x:v>
      </x:c>
      <x:c r="F655" s="4" t="str">
        <x:v>Candidate preparation of Forming drift</x:v>
      </x:c>
      <x:c r="G655" s="4" t="str">
        <x:v>Forge hearth, Anvil, Forging hammer, Smithing tongs, Metalworking file and Hand-cranked metal drill as applicable. Existing workshop bootstrap and controlled heating/cooling required; no free-water quench assumed.</x:v>
      </x:c>
      <x:c r="H655" s="4" t="str">
        <x:f>IF(I655=0,"Unassigned",IF(SUMIFS('Material routes'!$Q$6:$Q$2205,'Material routes'!$B$6:$B$2205,A655)&gt;0,"Unassigned","T"&amp;_xlfn.MAXIFS('Material routes'!$P$6:$P$2205,'Material routes'!$B$6:$B$2205,A655)))</x:f>
        <x:v>T2</x:v>
      </x:c>
      <x:c r="I655" s="4" t="n">
        <x:f>SUM(COUNTIFS('Material routes'!$B$6:$B$2205,A655,'Material routes'!$C$6:$C$2205,"Ingredient candidate"),COUNTIFS('Material routes'!$B$6:$B$2205,A655,'Material routes'!$C$6:$C$2205,"Consumed input"),COUNTIFS('Material routes'!$B$6:$B$2205,A655,'Material routes'!$C$6:$C$2205,"Contained input"),COUNTIFS('Material routes'!$B$6:$B$2205,A655,'Material routes'!$C$6:$C$2205,"Transform input"))</x:f>
        <x:v>1</x:v>
      </x:c>
      <x:c r="J655" s="4" t="n">
        <x:f>COUNTIFS('Material routes'!$B$6:$B$2205,A655,'Material routes'!$C$6:$C$2205,"Output")</x:f>
        <x:v>1</x:v>
      </x:c>
      <x:c r="K655" s="4" t="n">
        <x:f>COUNTIFS('Material routes'!$B$6:$B$2205,A655,'Material routes'!$C$6:$C$2205,"Tool candidate")</x:f>
        <x:v>0</x:v>
      </x:c>
      <x:c r="L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5" s="4" t="str">
        <x:v>Partial design only. Exact materials, joining, fit and qualification remain open. October 15 audit: candidate inputs / reusable prerequisites clarified. Structural coverage is not a qualified manufacturing recipe.</x:v>
      </x:c>
    </x:row>
    <x:row r="656" ht="115" customHeight="1">
      <x:c r="A656" s="4" t="str">
        <x:v>design.audit.proposal_forging_swage_block</x:v>
      </x:c>
      <x:c r="B656" s="4" t="str">
        <x:v>Swage block candidate preparation</x:v>
      </x:c>
      <x:c r="C656" s="4" t="str">
        <x:v>Finished-item crafting</x:v>
      </x:c>
      <x:c r="D656" s="4" t="str">
        <x:v>Proposal</x:v>
      </x:c>
      <x:c r="E656" s="4" t="str">
        <x:v>Partial proposal</x:v>
      </x:c>
      <x:c r="F656" s="4" t="str">
        <x:v>Candidate preparation of Swage block</x:v>
      </x:c>
      <x:c r="G656" s="4" t="str">
        <x:v>Forge hearth, Anvil, Forging hammer, Smithing tongs, Metalworking file and Hand-cranked metal drill as applicable. Existing workshop bootstrap and controlled heating/cooling required; no free-water quench assumed.</x:v>
      </x:c>
      <x:c r="H656" s="4" t="str">
        <x:f>IF(I656=0,"Unassigned",IF(SUMIFS('Material routes'!$Q$6:$Q$2205,'Material routes'!$B$6:$B$2205,A656)&gt;0,"Unassigned","T"&amp;_xlfn.MAXIFS('Material routes'!$P$6:$P$2205,'Material routes'!$B$6:$B$2205,A656)))</x:f>
        <x:v>T2</x:v>
      </x:c>
      <x:c r="I656" s="4" t="n">
        <x:f>SUM(COUNTIFS('Material routes'!$B$6:$B$2205,A656,'Material routes'!$C$6:$C$2205,"Ingredient candidate"),COUNTIFS('Material routes'!$B$6:$B$2205,A656,'Material routes'!$C$6:$C$2205,"Consumed input"),COUNTIFS('Material routes'!$B$6:$B$2205,A656,'Material routes'!$C$6:$C$2205,"Contained input"),COUNTIFS('Material routes'!$B$6:$B$2205,A656,'Material routes'!$C$6:$C$2205,"Transform input"))</x:f>
        <x:v>1</x:v>
      </x:c>
      <x:c r="J656" s="4" t="n">
        <x:f>COUNTIFS('Material routes'!$B$6:$B$2205,A656,'Material routes'!$C$6:$C$2205,"Output")</x:f>
        <x:v>1</x:v>
      </x:c>
      <x:c r="K656" s="4" t="n">
        <x:f>COUNTIFS('Material routes'!$B$6:$B$2205,A656,'Material routes'!$C$6:$C$2205,"Tool candidate")</x:f>
        <x:v>0</x:v>
      </x:c>
      <x:c r="L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6" s="4" t="str">
        <x:v>Partial design only. Exact materials, joining, fit and qualification remain open. October 15 audit: candidate inputs / reusable prerequisites clarified. Structural coverage is not a qualified manufacturing recipe.</x:v>
      </x:c>
    </x:row>
    <x:row r="657" ht="115" customHeight="1">
      <x:c r="A657" s="4" t="str">
        <x:v>design.audit.proposal_forging_file</x:v>
      </x:c>
      <x:c r="B657" s="4" t="str">
        <x:v>Metalworking file candidate preparation</x:v>
      </x:c>
      <x:c r="C657" s="4" t="str">
        <x:v>Finished-item crafting</x:v>
      </x:c>
      <x:c r="D657" s="4" t="str">
        <x:v>Proposal</x:v>
      </x:c>
      <x:c r="E657" s="4" t="str">
        <x:v>Partial proposal</x:v>
      </x:c>
      <x:c r="F657" s="4" t="str">
        <x:v>Candidate preparation of Metalworking file</x:v>
      </x:c>
      <x:c r="G657" s="4" t="str">
        <x:v>Forge hearth, Anvil, Forging hammer, Smithing tongs, Metalworking file and Hand-cranked metal drill as applicable. Existing workshop bootstrap and controlled heating/cooling required; no free-water quench assumed.</x:v>
      </x:c>
      <x:c r="H657" s="4" t="str">
        <x:f>IF(I657=0,"Unassigned",IF(SUMIFS('Material routes'!$Q$6:$Q$2205,'Material routes'!$B$6:$B$2205,A657)&gt;0,"Unassigned","T"&amp;_xlfn.MAXIFS('Material routes'!$P$6:$P$2205,'Material routes'!$B$6:$B$2205,A657)))</x:f>
        <x:v>T3</x:v>
      </x:c>
      <x:c r="I657" s="4" t="n">
        <x:f>SUM(COUNTIFS('Material routes'!$B$6:$B$2205,A657,'Material routes'!$C$6:$C$2205,"Ingredient candidate"),COUNTIFS('Material routes'!$B$6:$B$2205,A657,'Material routes'!$C$6:$C$2205,"Consumed input"),COUNTIFS('Material routes'!$B$6:$B$2205,A657,'Material routes'!$C$6:$C$2205,"Contained input"),COUNTIFS('Material routes'!$B$6:$B$2205,A657,'Material routes'!$C$6:$C$2205,"Transform input"))</x:f>
        <x:v>2</x:v>
      </x:c>
      <x:c r="J657" s="4" t="n">
        <x:f>COUNTIFS('Material routes'!$B$6:$B$2205,A657,'Material routes'!$C$6:$C$2205,"Output")</x:f>
        <x:v>1</x:v>
      </x:c>
      <x:c r="K657" s="4" t="n">
        <x:f>COUNTIFS('Material routes'!$B$6:$B$2205,A657,'Material routes'!$C$6:$C$2205,"Tool candidate")</x:f>
        <x:v>0</x:v>
      </x:c>
      <x:c r="L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7" s="4" t="str">
        <x:v>Partial design only. Exact materials, joining, fit and qualification remain open. October 15 audit: candidate inputs / reusable prerequisites clarified. Structural coverage is not a qualified manufacturing recipe.</x:v>
      </x:c>
    </x:row>
    <x:row r="658" ht="115" customHeight="1">
      <x:c r="A658" s="4"/>
      <x:c r="B658" s="4"/>
      <x:c r="C658" s="4"/>
      <x:c r="D658" s="4"/>
      <x:c r="E658" s="4"/>
      <x:c r="F658" s="4"/>
      <x:c r="G658" s="4"/>
      <x:c r="H658" s="4"/>
      <x:c r="I658" s="4"/>
      <x:c r="J658" s="4"/>
      <x:c r="K658" s="4"/>
      <x:c r="L658" s="4"/>
      <x:c r="M658" s="4"/>
    </x:row>
    <x:row r="659" ht="115" customHeight="1">
      <x:c r="A659" s="4"/>
      <x:c r="B659" s="4"/>
      <x:c r="C659" s="4"/>
      <x:c r="D659" s="4"/>
      <x:c r="E659" s="4"/>
      <x:c r="F659" s="4"/>
      <x:c r="G659" s="4"/>
      <x:c r="H659" s="4"/>
      <x:c r="I659" s="4"/>
      <x:c r="J659" s="4"/>
      <x:c r="K659" s="4"/>
      <x:c r="L659" s="4"/>
      <x:c r="M659" s="4"/>
    </x:row>
    <x:row r="660" ht="115" customHeight="1">
      <x:c r="A660" s="4"/>
      <x:c r="B660" s="4"/>
      <x:c r="C660" s="4"/>
      <x:c r="D660" s="4"/>
      <x:c r="E660" s="4"/>
      <x:c r="F660" s="4"/>
      <x:c r="G660" s="4"/>
      <x:c r="H660" s="4"/>
      <x:c r="I660" s="4"/>
      <x:c r="J660" s="4"/>
      <x:c r="K660" s="4"/>
      <x:c r="L660" s="4"/>
      <x:c r="M660" s="4"/>
    </x:row>
  </x:sheetData>
  <x:dataValidations count="2">
    <x:dataValidation type="list" sqref="D6:D1005">
      <x:formula1>"Proposal,Concept outline,Needs tier review,Withheld,Existing recipe,Existing process reference"</x:formula1>
    </x:dataValidation>
    <x:dataValidation type="list" sqref="E6:E1005">
      <x:formula1>"Partial proposal,Concept outline,Withheld,Authored recipe list,Documented process reference"</x:formula1>
    </x:dataValidation>
  </x:dataValidations>
  <x:pageMargins left="0.7" right="0.7" top="0.75" bottom="0.75" header="0.3" footer="0.3"/>
  <x:tableParts count="1">
    <x:tablePart xmlns:r="http://schemas.openxmlformats.org/officeDocument/2006/relationships" r:id="R9673ab35e6fc4e0f"/>
  </x:tableParts>
</x:worksheet>
</file>

<file path=xl/worksheets/sheet17.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8" hidden="0" customWidth="1"/>
    <x:col min="2" max="2" width="18" hidden="0" customWidth="1"/>
    <x:col min="3" max="3" width="25" hidden="0" customWidth="1"/>
    <x:col min="4" max="4" width="25" hidden="0" customWidth="1"/>
    <x:col min="5" max="5" width="25" hidden="0" customWidth="1"/>
    <x:col min="6" max="6" width="38" hidden="0" customWidth="1"/>
    <x:col min="7" max="7" width="18" hidden="0" customWidth="1"/>
    <x:col min="8" max="8" width="25" hidden="0" customWidth="1"/>
    <x:col min="9" max="9" width="25" hidden="0" customWidth="1"/>
    <x:col min="10" max="10" width="48" hidden="0" customWidth="1"/>
    <x:col min="11" max="11" width="28" hidden="0" customWidth="1"/>
    <x:col min="12" max="12" width="28" hidden="0" customWidth="1"/>
    <x:col min="13" max="13" width="28" hidden="0" customWidth="1"/>
    <x:col min="14" max="14" width="18" hidden="0" customWidth="1"/>
    <x:col min="15" max="15" width="25" hidden="0" customWidth="1"/>
    <x:col min="16" max="16" width="18" hidden="0" customWidth="1"/>
    <x:col min="17" max="17" width="25" hidden="0" customWidth="1"/>
    <x:col min="18" max="18" width="47" hidden="0" customWidth="1"/>
    <x:col min="19" max="19" width="47" hidden="0" customWidth="1"/>
    <x:col min="20" max="20" width="47" hidden="0" customWidth="1"/>
    <x:col min="21" max="21" width="45" hidden="0" customWidth="1"/>
    <x:col min="22" max="22" width="48" hidden="0" customWidth="1"/>
  </x:cols>
  <x:sheetData>
    <x:row r="2">
      <x:c r="A2" s="2" t="str">
        <x:v>Crafting browser</x:v>
      </x:c>
    </x:row>
    <x:row r="3">
      <x:c r="A3" t="str">
        <x:v>Filter Input item/name to see what it can make. Filter Output item/name to see requirements. Filter Recipe ID to keep alternatives separate.</x:v>
      </x:c>
    </x:row>
    <x:row r="5" ht="42" customHeight="1">
      <x:c r="A5" s="64" t="str">
        <x:v>Input name</x:v>
      </x:c>
      <x:c r="B5" s="64" t="str">
        <x:v>Input tier</x:v>
      </x:c>
      <x:c r="C5" s="64" t="str">
        <x:v>Input type</x:v>
      </x:c>
      <x:c r="D5" s="64" t="str">
        <x:v>Input category</x:v>
      </x:c>
      <x:c r="E5" s="64" t="str">
        <x:v>Relationship</x:v>
      </x:c>
      <x:c r="F5" s="64" t="str">
        <x:v>Output name</x:v>
      </x:c>
      <x:c r="G5" s="64" t="str">
        <x:v>Output tier</x:v>
      </x:c>
      <x:c r="H5" s="64" t="str">
        <x:v>Output type</x:v>
      </x:c>
      <x:c r="I5" s="64" t="str">
        <x:v>Output category</x:v>
      </x:c>
      <x:c r="J5" s="64" t="str">
        <x:v>Recipe ID</x:v>
      </x:c>
      <x:c r="K5" s="64" t="str">
        <x:v>Route kind</x:v>
      </x:c>
      <x:c r="L5" s="64" t="str">
        <x:v>Route status</x:v>
      </x:c>
      <x:c r="M5" s="64" t="str">
        <x:v>Completeness</x:v>
      </x:c>
      <x:c r="N5" s="64" t="str">
        <x:v>Input quantity</x:v>
      </x:c>
      <x:c r="O5" s="64" t="str">
        <x:v>Input unit</x:v>
      </x:c>
      <x:c r="P5" s="64" t="str">
        <x:v>Output quantity</x:v>
      </x:c>
      <x:c r="Q5" s="64" t="str">
        <x:v>Output unit</x:v>
      </x:c>
      <x:c r="R5" s="64" t="str">
        <x:v>Tier interpretation</x:v>
      </x:c>
      <x:c r="S5" s="64" t="str">
        <x:v>Input item ID</x:v>
      </x:c>
      <x:c r="T5" s="64" t="str">
        <x:v>Output item ID</x:v>
      </x:c>
      <x:c r="U5" s="64" t="str">
        <x:v>Input link ID</x:v>
      </x:c>
      <x:c r="V5" s="64" t="str">
        <x:v>Output link ID</x:v>
      </x:c>
    </x:row>
    <x:row r="6" ht="85" customHeight="1">
      <x:c r="A6" s="4" t="str">
        <x:f>IFERROR(INDEX('Material routes'!$E$6:$E$2205,MATCH(U6,'Material routes'!$A$6:$A$2205,0)),"MISSING ID")</x:f>
        <x:v>Magnetite-rich stone</x:v>
      </x:c>
      <x:c r="B6" s="4" t="str">
        <x:f>IFERROR(INDEX('Material routes'!$F$6:$F$2205,MATCH(U6,'Material routes'!$A$6:$A$2205,0)),"MISSING ID")</x:f>
        <x:v>T0</x:v>
      </x:c>
      <x:c r="C6" s="4" t="str">
        <x:f>IFERROR(INDEX('Material routes'!$H$6:$H$2205,MATCH(U6,'Material routes'!$A$6:$A$2205,0)),"MISSING ID")</x:f>
        <x:v>Raw material</x:v>
      </x:c>
      <x:c r="D6" s="4" t="str">
        <x:f>IFERROR(INDEX('Material routes'!$G$6:$G$2205,MATCH(U6,'Material routes'!$A$6:$A$2205,0)),"MISSING ID")</x:f>
        <x:v>Mineral resources</x:v>
      </x:c>
      <x:c r="E6" s="4" t="str">
        <x:f>IFERROR(INDEX('Material routes'!$C$6:$C$2205,MATCH(U6,'Material routes'!$A$6:$A$2205,0)),"MISSING ID")</x:f>
        <x:v>Ingredient candidate</x:v>
      </x:c>
      <x:c r="F6" s="4" t="str">
        <x:f>IFERROR(INDEX('Material routes'!$E$6:$E$2205,MATCH(V6,'Material routes'!$A$6:$A$2205,0)),"MISSING ID")</x:f>
        <x:v>Iron-rich mineral feed</x:v>
      </x:c>
      <x:c r="G6" s="4" t="str">
        <x:f>IFERROR(INDEX('Material routes'!$F$6:$F$2205,MATCH(V6,'Material routes'!$A$6:$A$2205,0)),"MISSING ID")</x:f>
        <x:v>T1</x:v>
      </x:c>
      <x:c r="H6" s="4" t="str">
        <x:f>IFERROR(INDEX('Material routes'!$H$6:$H$2205,MATCH(V6,'Material routes'!$A$6:$A$2205,0)),"MISSING ID")</x:f>
        <x:v>Processed material</x:v>
      </x:c>
      <x:c r="I6" s="4" t="str">
        <x:f>IFERROR(INDEX('Material routes'!$G$6:$G$2205,MATCH(V6,'Material routes'!$A$6:$A$2205,0)),"MISSING ID")</x:f>
        <x:v>Manufactured stock</x:v>
      </x:c>
      <x:c r="J6" s="4" t="str">
        <x:f>IFERROR(INDEX('Material routes'!$B$6:$B$2205,MATCH(U6,'Material routes'!$A$6:$A$2205,0)),"MISSING ID")</x:f>
        <x:v>design.refine.natural.iron_feed</x:v>
      </x:c>
      <x:c r="K6" s="4" t="str">
        <x:f>IFERROR(INDEX('Crafting recipes'!$C$6:$C$1005,MATCH(J6,'Crafting recipes'!$A$6:$A$1005,0)),"MISSING ID")</x:f>
        <x:v>Material refinement</x:v>
      </x:c>
      <x:c r="L6" s="4" t="str">
        <x:f>IFERROR(INDEX('Material routes'!$K$6:$K$2205,MATCH(U6,'Material routes'!$A$6:$A$2205,0)),"MISSING ID")</x:f>
        <x:v>Proposal</x:v>
      </x:c>
      <x:c r="M6" s="4" t="str">
        <x:f>IFERROR(INDEX('Material routes'!$M$6:$M$2205,MATCH(U6,'Material routes'!$A$6:$A$2205,0)),"MISSING ID")</x:f>
        <x:v>Partial proposal</x:v>
      </x:c>
      <x:c r="N6" s="4" t="str">
        <x:f>IF(IFERROR(INDEX('Material routes'!$I$6:$I$1005,MATCH(U6,'Material routes'!$A$6:$A$1005,0)),"MISSING ID")=0,"",IFERROR(INDEX('Material routes'!$I$6:$I$1005,MATCH(U6,'Material routes'!$A$6:$A$1005,0)),"MISSING ID"))</x:f>
      </x:c>
      <x:c r="O6" s="4" t="str">
        <x:f>IFERROR(INDEX('Material routes'!$J$6:$J$2205,MATCH(U6,'Material routes'!$A$6:$A$2205,0)),"MISSING ID")</x:f>
        <x:v>Unspecified</x:v>
      </x:c>
      <x:c r="P6" s="4" t="str">
        <x:f>IF(IFERROR(INDEX('Material routes'!$I$6:$I$1005,MATCH(V6,'Material routes'!$A$6:$A$1005,0)),"MISSING ID")=0,"",IFERROR(INDEX('Material routes'!$I$6:$I$1005,MATCH(V6,'Material routes'!$A$6:$A$1005,0)),"MISSING ID"))</x:f>
      </x:c>
      <x:c r="Q6" s="4" t="str">
        <x:f>IFERROR(INDEX('Material routes'!$J$6:$J$2205,MATCH(V6,'Material routes'!$A$6:$A$2205,0)),"MISSING ID")</x:f>
        <x:v>Unspecified</x:v>
      </x:c>
      <x:c r="R6" s="4" t="str">
        <x:f>IF(L6="Withheld","Withheld premise",IF(E6="Tool candidate","Reusable prerequisite",IF(K6="Raw entry preparation","Entry-resource preparation",IF(G6="Not applicable",IF(IFERROR(INDEX('Items'!$AI$6:$AI$1005,MATCH(T6,'Items'!$A$6:$A$1005,0)),"MISSING ID")="Finished item","Finished endpoint",IF(IFERROR(INDEX('Items'!$AI$6:$AI$1005,MATCH(T6,'Items'!$A$6:$A$1005,0)),"MISSING ID")="Currency","Currency / no refinement tier","Recovered output / tier not applicable")),IF(OR(IFERROR(INDEX('Crafting recipes'!$H$6:$H$1005,MATCH(J6,'Crafting recipes'!$A$6:$A$1005,0)),"Unassigned")="Unassigned",G6="Unassigned"),"Tier unresolved",IF(IFERROR(VALUE(RIGHT(G6,1))-VALUE(RIGHT(IFERROR(INDEX('Crafting recipes'!$H$6:$H$1005,MATCH(J6,'Crafting recipes'!$A$6:$A$1005,0)),"Unassigned"),1)),0)=1,IF(B6=IFERROR(INDEX('Crafting recipes'!$H$6:$H$1005,MATCH(J6,'Crafting recipes'!$A$6:$A$1005,0)),"Unassigned"),"Advances one material tier","Lower-tier ingredient; route advances one tier"),"Needs tier review"))))))</x:f>
        <x:v>Advances one material tier</x:v>
      </x:c>
      <x:c r="S6" s="4" t="str">
        <x:f>IFERROR(INDEX('Material routes'!$D$6:$D$2205,MATCH(U6,'Material routes'!$A$6:$A$2205,0)),"MISSING ID")</x:f>
        <x:v>proposal.natural.magnetite</x:v>
      </x:c>
      <x:c r="T6" s="4" t="str">
        <x:f>IFERROR(INDEX('Material routes'!$D$6:$D$2205,MATCH(V6,'Material routes'!$A$6:$A$2205,0)),"MISSING ID")</x:f>
        <x:v>proposal.natural.iron_feed</x:v>
      </x:c>
      <x:c r="U6" s="4" t="str">
        <x:v>material.route.001</x:v>
      </x:c>
      <x:c r="V6" s="4" t="str">
        <x:v>output.design.refine.natural.iron_feed</x:v>
      </x:c>
    </x:row>
    <x:row r="7" ht="85" customHeight="1">
      <x:c r="A7" s="4" t="str">
        <x:f>IFERROR(INDEX('Material routes'!$E$6:$E$2205,MATCH(U7,'Material routes'!$A$6:$A$2205,0)),"MISSING ID")</x:f>
        <x:v>Emery-bearing lumps</x:v>
      </x:c>
      <x:c r="B7" s="4" t="str">
        <x:f>IFERROR(INDEX('Material routes'!$F$6:$F$2205,MATCH(U7,'Material routes'!$A$6:$A$2205,0)),"MISSING ID")</x:f>
        <x:v>T0</x:v>
      </x:c>
      <x:c r="C7" s="4" t="str">
        <x:f>IFERROR(INDEX('Material routes'!$H$6:$H$2205,MATCH(U7,'Material routes'!$A$6:$A$2205,0)),"MISSING ID")</x:f>
        <x:v>Raw material</x:v>
      </x:c>
      <x:c r="D7" s="4" t="str">
        <x:f>IFERROR(INDEX('Material routes'!$G$6:$G$2205,MATCH(U7,'Material routes'!$A$6:$A$2205,0)),"MISSING ID")</x:f>
        <x:v>Mineral resources</x:v>
      </x:c>
      <x:c r="E7" s="4" t="str">
        <x:f>IFERROR(INDEX('Material routes'!$C$6:$C$2205,MATCH(U7,'Material routes'!$A$6:$A$2205,0)),"MISSING ID")</x:f>
        <x:v>Ingredient candidate</x:v>
      </x:c>
      <x:c r="F7" s="4" t="str">
        <x:f>IFERROR(INDEX('Material routes'!$E$6:$E$2205,MATCH(V7,'Material routes'!$A$6:$A$2205,0)),"MISSING ID")</x:f>
        <x:v>Graded abrasive grit</x:v>
      </x:c>
      <x:c r="G7" s="4" t="str">
        <x:f>IFERROR(INDEX('Material routes'!$F$6:$F$2205,MATCH(V7,'Material routes'!$A$6:$A$2205,0)),"MISSING ID")</x:f>
        <x:v>T1</x:v>
      </x:c>
      <x:c r="H7" s="4" t="str">
        <x:f>IFERROR(INDEX('Material routes'!$H$6:$H$2205,MATCH(V7,'Material routes'!$A$6:$A$2205,0)),"MISSING ID")</x:f>
        <x:v>Processed material</x:v>
      </x:c>
      <x:c r="I7" s="4" t="str">
        <x:f>IFERROR(INDEX('Material routes'!$G$6:$G$2205,MATCH(V7,'Material routes'!$A$6:$A$2205,0)),"MISSING ID")</x:f>
        <x:v>Manufactured stock</x:v>
      </x:c>
      <x:c r="J7" s="4" t="str">
        <x:f>IFERROR(INDEX('Material routes'!$B$6:$B$2205,MATCH(U7,'Material routes'!$A$6:$A$2205,0)),"MISSING ID")</x:f>
        <x:v>design.refine.natural.abrasive</x:v>
      </x:c>
      <x:c r="K7" s="4" t="str">
        <x:f>IFERROR(INDEX('Crafting recipes'!$C$6:$C$1005,MATCH(J7,'Crafting recipes'!$A$6:$A$1005,0)),"MISSING ID")</x:f>
        <x:v>Material refinement</x:v>
      </x:c>
      <x:c r="L7" s="4" t="str">
        <x:f>IFERROR(INDEX('Material routes'!$K$6:$K$2205,MATCH(U7,'Material routes'!$A$6:$A$2205,0)),"MISSING ID")</x:f>
        <x:v>Proposal</x:v>
      </x:c>
      <x:c r="M7" s="4" t="str">
        <x:f>IFERROR(INDEX('Material routes'!$M$6:$M$2205,MATCH(U7,'Material routes'!$A$6:$A$2205,0)),"MISSING ID")</x:f>
        <x:v>Partial proposal</x:v>
      </x:c>
      <x:c r="N7" s="4" t="str">
        <x:f>IF(IFERROR(INDEX('Material routes'!$I$6:$I$1005,MATCH(U7,'Material routes'!$A$6:$A$1005,0)),"MISSING ID")=0,"",IFERROR(INDEX('Material routes'!$I$6:$I$1005,MATCH(U7,'Material routes'!$A$6:$A$1005,0)),"MISSING ID"))</x:f>
      </x:c>
      <x:c r="O7" s="4" t="str">
        <x:f>IFERROR(INDEX('Material routes'!$J$6:$J$2205,MATCH(U7,'Material routes'!$A$6:$A$2205,0)),"MISSING ID")</x:f>
        <x:v>Unspecified</x:v>
      </x:c>
      <x:c r="P7" s="4" t="str">
        <x:f>IF(IFERROR(INDEX('Material routes'!$I$6:$I$1005,MATCH(V7,'Material routes'!$A$6:$A$1005,0)),"MISSING ID")=0,"",IFERROR(INDEX('Material routes'!$I$6:$I$1005,MATCH(V7,'Material routes'!$A$6:$A$1005,0)),"MISSING ID"))</x:f>
      </x:c>
      <x:c r="Q7" s="4" t="str">
        <x:f>IFERROR(INDEX('Material routes'!$J$6:$J$2205,MATCH(V7,'Material routes'!$A$6:$A$2205,0)),"MISSING ID")</x:f>
        <x:v>Unspecified</x:v>
      </x:c>
      <x:c r="R7" s="4" t="str">
        <x:f>IF(L7="Withheld","Withheld premise",IF(E7="Tool candidate","Reusable prerequisite",IF(K7="Raw entry preparation","Entry-resource preparation",IF(G7="Not applicable",IF(IFERROR(INDEX('Items'!$AI$6:$AI$1005,MATCH(T7,'Items'!$A$6:$A$1005,0)),"MISSING ID")="Finished item","Finished endpoint",IF(IFERROR(INDEX('Items'!$AI$6:$AI$1005,MATCH(T7,'Items'!$A$6:$A$1005,0)),"MISSING ID")="Currency","Currency / no refinement tier","Recovered output / tier not applicable")),IF(OR(IFERROR(INDEX('Crafting recipes'!$H$6:$H$1005,MATCH(J7,'Crafting recipes'!$A$6:$A$1005,0)),"Unassigned")="Unassigned",G7="Unassigned"),"Tier unresolved",IF(IFERROR(VALUE(RIGHT(G7,1))-VALUE(RIGHT(IFERROR(INDEX('Crafting recipes'!$H$6:$H$1005,MATCH(J7,'Crafting recipes'!$A$6:$A$1005,0)),"Unassigned"),1)),0)=1,IF(B7=IFERROR(INDEX('Crafting recipes'!$H$6:$H$1005,MATCH(J7,'Crafting recipes'!$A$6:$A$1005,0)),"Unassigned"),"Advances one material tier","Lower-tier ingredient; route advances one tier"),"Needs tier review"))))))</x:f>
        <x:v>Advances one material tier</x:v>
      </x:c>
      <x:c r="S7" s="4" t="str">
        <x:f>IFERROR(INDEX('Material routes'!$D$6:$D$2205,MATCH(U7,'Material routes'!$A$6:$A$2205,0)),"MISSING ID")</x:f>
        <x:v>proposal.raw.emery</x:v>
      </x:c>
      <x:c r="T7" s="4" t="str">
        <x:f>IFERROR(INDEX('Material routes'!$D$6:$D$2205,MATCH(V7,'Material routes'!$A$6:$A$2205,0)),"MISSING ID")</x:f>
        <x:v>proposal.natural.abrasive</x:v>
      </x:c>
      <x:c r="U7" s="4" t="str">
        <x:v>material.route.003</x:v>
      </x:c>
      <x:c r="V7" s="4" t="str">
        <x:v>output.design.refine.natural.abrasive</x:v>
      </x:c>
    </x:row>
    <x:row r="8" ht="85" customHeight="1">
      <x:c r="A8" s="4" t="str">
        <x:f>IFERROR(INDEX('Material routes'!$E$6:$E$2205,MATCH(U8,'Material routes'!$A$6:$A$2205,0)),"MISSING ID")</x:f>
        <x:v>Graphite-bearing stone</x:v>
      </x:c>
      <x:c r="B8" s="4" t="str">
        <x:f>IFERROR(INDEX('Material routes'!$F$6:$F$2205,MATCH(U8,'Material routes'!$A$6:$A$2205,0)),"MISSING ID")</x:f>
        <x:v>T0</x:v>
      </x:c>
      <x:c r="C8" s="4" t="str">
        <x:f>IFERROR(INDEX('Material routes'!$H$6:$H$2205,MATCH(U8,'Material routes'!$A$6:$A$2205,0)),"MISSING ID")</x:f>
        <x:v>Raw material</x:v>
      </x:c>
      <x:c r="D8" s="4" t="str">
        <x:f>IFERROR(INDEX('Material routes'!$G$6:$G$2205,MATCH(U8,'Material routes'!$A$6:$A$2205,0)),"MISSING ID")</x:f>
        <x:v>Mineral resources</x:v>
      </x:c>
      <x:c r="E8" s="4" t="str">
        <x:f>IFERROR(INDEX('Material routes'!$C$6:$C$2205,MATCH(U8,'Material routes'!$A$6:$A$2205,0)),"MISSING ID")</x:f>
        <x:v>Ingredient candidate</x:v>
      </x:c>
      <x:c r="F8" s="4" t="str">
        <x:f>IFERROR(INDEX('Material routes'!$E$6:$E$2205,MATCH(V8,'Material routes'!$A$6:$A$2205,0)),"MISSING ID")</x:f>
        <x:v>Graded graphite flakes</x:v>
      </x:c>
      <x:c r="G8" s="4" t="str">
        <x:f>IFERROR(INDEX('Material routes'!$F$6:$F$2205,MATCH(V8,'Material routes'!$A$6:$A$2205,0)),"MISSING ID")</x:f>
        <x:v>T1</x:v>
      </x:c>
      <x:c r="H8" s="4" t="str">
        <x:f>IFERROR(INDEX('Material routes'!$H$6:$H$2205,MATCH(V8,'Material routes'!$A$6:$A$2205,0)),"MISSING ID")</x:f>
        <x:v>Processed material</x:v>
      </x:c>
      <x:c r="I8" s="4" t="str">
        <x:f>IFERROR(INDEX('Material routes'!$G$6:$G$2205,MATCH(V8,'Material routes'!$A$6:$A$2205,0)),"MISSING ID")</x:f>
        <x:v>Manufactured stock</x:v>
      </x:c>
      <x:c r="J8" s="4" t="str">
        <x:f>IFERROR(INDEX('Material routes'!$B$6:$B$2205,MATCH(U8,'Material routes'!$A$6:$A$2205,0)),"MISSING ID")</x:f>
        <x:v>design.refine.natural.carbon</x:v>
      </x:c>
      <x:c r="K8" s="4" t="str">
        <x:f>IFERROR(INDEX('Crafting recipes'!$C$6:$C$1005,MATCH(J8,'Crafting recipes'!$A$6:$A$1005,0)),"MISSING ID")</x:f>
        <x:v>Material refinement</x:v>
      </x:c>
      <x:c r="L8" s="4" t="str">
        <x:f>IFERROR(INDEX('Material routes'!$K$6:$K$2205,MATCH(U8,'Material routes'!$A$6:$A$2205,0)),"MISSING ID")</x:f>
        <x:v>Proposal</x:v>
      </x:c>
      <x:c r="M8" s="4" t="str">
        <x:f>IFERROR(INDEX('Material routes'!$M$6:$M$2205,MATCH(U8,'Material routes'!$A$6:$A$2205,0)),"MISSING ID")</x:f>
        <x:v>Partial proposal</x:v>
      </x:c>
      <x:c r="N8" s="4" t="str">
        <x:f>IF(IFERROR(INDEX('Material routes'!$I$6:$I$1005,MATCH(U8,'Material routes'!$A$6:$A$1005,0)),"MISSING ID")=0,"",IFERROR(INDEX('Material routes'!$I$6:$I$1005,MATCH(U8,'Material routes'!$A$6:$A$1005,0)),"MISSING ID"))</x:f>
      </x:c>
      <x:c r="O8" s="4" t="str">
        <x:f>IFERROR(INDEX('Material routes'!$J$6:$J$2205,MATCH(U8,'Material routes'!$A$6:$A$2205,0)),"MISSING ID")</x:f>
        <x:v>Unspecified</x:v>
      </x:c>
      <x:c r="P8" s="4" t="str">
        <x:f>IF(IFERROR(INDEX('Material routes'!$I$6:$I$1005,MATCH(V8,'Material routes'!$A$6:$A$1005,0)),"MISSING ID")=0,"",IFERROR(INDEX('Material routes'!$I$6:$I$1005,MATCH(V8,'Material routes'!$A$6:$A$1005,0)),"MISSING ID"))</x:f>
      </x:c>
      <x:c r="Q8" s="4" t="str">
        <x:f>IFERROR(INDEX('Material routes'!$J$6:$J$2205,MATCH(V8,'Material routes'!$A$6:$A$2205,0)),"MISSING ID")</x:f>
        <x:v>Unspecified</x:v>
      </x:c>
      <x:c r="R8" s="4" t="str">
        <x:f>IF(L8="Withheld","Withheld premise",IF(E8="Tool candidate","Reusable prerequisite",IF(K8="Raw entry preparation","Entry-resource preparation",IF(G8="Not applicable",IF(IFERROR(INDEX('Items'!$AI$6:$AI$1005,MATCH(T8,'Items'!$A$6:$A$1005,0)),"MISSING ID")="Finished item","Finished endpoint",IF(IFERROR(INDEX('Items'!$AI$6:$AI$1005,MATCH(T8,'Items'!$A$6:$A$1005,0)),"MISSING ID")="Currency","Currency / no refinement tier","Recovered output / tier not applicable")),IF(OR(IFERROR(INDEX('Crafting recipes'!$H$6:$H$1005,MATCH(J8,'Crafting recipes'!$A$6:$A$1005,0)),"Unassigned")="Unassigned",G8="Unassigned"),"Tier unresolved",IF(IFERROR(VALUE(RIGHT(G8,1))-VALUE(RIGHT(IFERROR(INDEX('Crafting recipes'!$H$6:$H$1005,MATCH(J8,'Crafting recipes'!$A$6:$A$1005,0)),"Unassigned"),1)),0)=1,IF(B8=IFERROR(INDEX('Crafting recipes'!$H$6:$H$1005,MATCH(J8,'Crafting recipes'!$A$6:$A$1005,0)),"Unassigned"),"Advances one material tier","Lower-tier ingredient; route advances one tier"),"Needs tier review"))))))</x:f>
        <x:v>Advances one material tier</x:v>
      </x:c>
      <x:c r="S8" s="4" t="str">
        <x:f>IFERROR(INDEX('Material routes'!$D$6:$D$2205,MATCH(U8,'Material routes'!$A$6:$A$2205,0)),"MISSING ID")</x:f>
        <x:v>proposal.natural.graphite</x:v>
      </x:c>
      <x:c r="T8" s="4" t="str">
        <x:f>IFERROR(INDEX('Material routes'!$D$6:$D$2205,MATCH(V8,'Material routes'!$A$6:$A$2205,0)),"MISSING ID")</x:f>
        <x:v>proposal.natural.carbon</x:v>
      </x:c>
      <x:c r="U8" s="4" t="str">
        <x:v>material.route.004</x:v>
      </x:c>
      <x:c r="V8" s="4" t="str">
        <x:v>output.design.refine.natural.carbon</x:v>
      </x:c>
    </x:row>
    <x:row r="9" ht="85" customHeight="1">
      <x:c r="A9" s="4" t="str">
        <x:f>IFERROR(INDEX('Material routes'!$E$6:$E$2205,MATCH(U9,'Material routes'!$A$6:$A$2205,0)),"MISSING ID")</x:f>
        <x:v>Carbonate stone</x:v>
      </x:c>
      <x:c r="B9" s="4" t="str">
        <x:f>IFERROR(INDEX('Material routes'!$F$6:$F$2205,MATCH(U9,'Material routes'!$A$6:$A$2205,0)),"MISSING ID")</x:f>
        <x:v>T0</x:v>
      </x:c>
      <x:c r="C9" s="4" t="str">
        <x:f>IFERROR(INDEX('Material routes'!$H$6:$H$2205,MATCH(U9,'Material routes'!$A$6:$A$2205,0)),"MISSING ID")</x:f>
        <x:v>Raw material</x:v>
      </x:c>
      <x:c r="D9" s="4" t="str">
        <x:f>IFERROR(INDEX('Material routes'!$G$6:$G$2205,MATCH(U9,'Material routes'!$A$6:$A$2205,0)),"MISSING ID")</x:f>
        <x:v>Mineral resources</x:v>
      </x:c>
      <x:c r="E9" s="4" t="str">
        <x:f>IFERROR(INDEX('Material routes'!$C$6:$C$2205,MATCH(U9,'Material routes'!$A$6:$A$2205,0)),"MISSING ID")</x:f>
        <x:v>Ingredient candidate</x:v>
      </x:c>
      <x:c r="F9" s="4" t="str">
        <x:f>IFERROR(INDEX('Material routes'!$E$6:$E$2205,MATCH(V9,'Material routes'!$A$6:$A$2205,0)),"MISSING ID")</x:f>
        <x:v>Calcined mineral binder</x:v>
      </x:c>
      <x:c r="G9" s="4" t="str">
        <x:f>IFERROR(INDEX('Material routes'!$F$6:$F$2205,MATCH(V9,'Material routes'!$A$6:$A$2205,0)),"MISSING ID")</x:f>
        <x:v>T1</x:v>
      </x:c>
      <x:c r="H9" s="4" t="str">
        <x:f>IFERROR(INDEX('Material routes'!$H$6:$H$2205,MATCH(V9,'Material routes'!$A$6:$A$2205,0)),"MISSING ID")</x:f>
        <x:v>Processed material</x:v>
      </x:c>
      <x:c r="I9" s="4" t="str">
        <x:f>IFERROR(INDEX('Material routes'!$G$6:$G$2205,MATCH(V9,'Material routes'!$A$6:$A$2205,0)),"MISSING ID")</x:f>
        <x:v>Manufactured stock</x:v>
      </x:c>
      <x:c r="J9" s="4" t="str">
        <x:f>IFERROR(INDEX('Material routes'!$B$6:$B$2205,MATCH(U9,'Material routes'!$A$6:$A$2205,0)),"MISSING ID")</x:f>
        <x:v>design.refine.natural.lime</x:v>
      </x:c>
      <x:c r="K9" s="4" t="str">
        <x:f>IFERROR(INDEX('Crafting recipes'!$C$6:$C$1005,MATCH(J9,'Crafting recipes'!$A$6:$A$1005,0)),"MISSING ID")</x:f>
        <x:v>Material refinement</x:v>
      </x:c>
      <x:c r="L9" s="4" t="str">
        <x:f>IFERROR(INDEX('Material routes'!$K$6:$K$2205,MATCH(U9,'Material routes'!$A$6:$A$2205,0)),"MISSING ID")</x:f>
        <x:v>Proposal</x:v>
      </x:c>
      <x:c r="M9" s="4" t="str">
        <x:f>IFERROR(INDEX('Material routes'!$M$6:$M$2205,MATCH(U9,'Material routes'!$A$6:$A$2205,0)),"MISSING ID")</x:f>
        <x:v>Partial proposal</x:v>
      </x:c>
      <x:c r="N9" s="4" t="str">
        <x:f>IF(IFERROR(INDEX('Material routes'!$I$6:$I$1005,MATCH(U9,'Material routes'!$A$6:$A$1005,0)),"MISSING ID")=0,"",IFERROR(INDEX('Material routes'!$I$6:$I$1005,MATCH(U9,'Material routes'!$A$6:$A$1005,0)),"MISSING ID"))</x:f>
      </x:c>
      <x:c r="O9" s="4" t="str">
        <x:f>IFERROR(INDEX('Material routes'!$J$6:$J$2205,MATCH(U9,'Material routes'!$A$6:$A$2205,0)),"MISSING ID")</x:f>
        <x:v>Unspecified</x:v>
      </x:c>
      <x:c r="P9" s="4" t="str">
        <x:f>IF(IFERROR(INDEX('Material routes'!$I$6:$I$1005,MATCH(V9,'Material routes'!$A$6:$A$1005,0)),"MISSING ID")=0,"",IFERROR(INDEX('Material routes'!$I$6:$I$1005,MATCH(V9,'Material routes'!$A$6:$A$1005,0)),"MISSING ID"))</x:f>
      </x:c>
      <x:c r="Q9" s="4" t="str">
        <x:f>IFERROR(INDEX('Material routes'!$J$6:$J$2205,MATCH(V9,'Material routes'!$A$6:$A$2205,0)),"MISSING ID")</x:f>
        <x:v>Unspecified</x:v>
      </x:c>
      <x:c r="R9" s="4" t="str">
        <x:f>IF(L9="Withheld","Withheld premise",IF(E9="Tool candidate","Reusable prerequisite",IF(K9="Raw entry preparation","Entry-resource preparation",IF(G9="Not applicable",IF(IFERROR(INDEX('Items'!$AI$6:$AI$1005,MATCH(T9,'Items'!$A$6:$A$1005,0)),"MISSING ID")="Finished item","Finished endpoint",IF(IFERROR(INDEX('Items'!$AI$6:$AI$1005,MATCH(T9,'Items'!$A$6:$A$1005,0)),"MISSING ID")="Currency","Currency / no refinement tier","Recovered output / tier not applicable")),IF(OR(IFERROR(INDEX('Crafting recipes'!$H$6:$H$1005,MATCH(J9,'Crafting recipes'!$A$6:$A$1005,0)),"Unassigned")="Unassigned",G9="Unassigned"),"Tier unresolved",IF(IFERROR(VALUE(RIGHT(G9,1))-VALUE(RIGHT(IFERROR(INDEX('Crafting recipes'!$H$6:$H$1005,MATCH(J9,'Crafting recipes'!$A$6:$A$1005,0)),"Unassigned"),1)),0)=1,IF(B9=IFERROR(INDEX('Crafting recipes'!$H$6:$H$1005,MATCH(J9,'Crafting recipes'!$A$6:$A$1005,0)),"Unassigned"),"Advances one material tier","Lower-tier ingredient; route advances one tier"),"Needs tier review"))))))</x:f>
        <x:v>Advances one material tier</x:v>
      </x:c>
      <x:c r="S9" s="4" t="str">
        <x:f>IFERROR(INDEX('Material routes'!$D$6:$D$2205,MATCH(U9,'Material routes'!$A$6:$A$2205,0)),"MISSING ID")</x:f>
        <x:v>proposal.natural.carbonate</x:v>
      </x:c>
      <x:c r="T9" s="4" t="str">
        <x:f>IFERROR(INDEX('Material routes'!$D$6:$D$2205,MATCH(V9,'Material routes'!$A$6:$A$2205,0)),"MISSING ID")</x:f>
        <x:v>proposal.natural.lime</x:v>
      </x:c>
      <x:c r="U9" s="4" t="str">
        <x:v>material.route.005</x:v>
      </x:c>
      <x:c r="V9" s="4" t="str">
        <x:v>output.design.refine.natural.lime</x:v>
      </x:c>
    </x:row>
    <x:row r="10" ht="85" customHeight="1">
      <x:c r="A10" s="4" t="str">
        <x:f>IFERROR(INDEX('Material routes'!$E$6:$E$2205,MATCH(U10,'Material routes'!$A$6:$A$2205,0)),"MISSING ID")</x:f>
        <x:v>Broken ceramic shards</x:v>
      </x:c>
      <x:c r="B10" s="4" t="str">
        <x:f>IFERROR(INDEX('Material routes'!$F$6:$F$2205,MATCH(U10,'Material routes'!$A$6:$A$2205,0)),"MISSING ID")</x:f>
        <x:v>T0</x:v>
      </x:c>
      <x:c r="C10" s="4" t="str">
        <x:f>IFERROR(INDEX('Material routes'!$H$6:$H$2205,MATCH(U10,'Material routes'!$A$6:$A$2205,0)),"MISSING ID")</x:f>
        <x:v>Raw material</x:v>
      </x:c>
      <x:c r="D10" s="4" t="str">
        <x:f>IFERROR(INDEX('Material routes'!$G$6:$G$2205,MATCH(U10,'Material routes'!$A$6:$A$2205,0)),"MISSING ID")</x:f>
        <x:v>Salvage</x:v>
      </x:c>
      <x:c r="E10" s="4" t="str">
        <x:f>IFERROR(INDEX('Material routes'!$C$6:$C$2205,MATCH(U10,'Material routes'!$A$6:$A$2205,0)),"MISSING ID")</x:f>
        <x:v>Ingredient candidate</x:v>
      </x:c>
      <x:c r="F10" s="4" t="str">
        <x:f>IFERROR(INDEX('Material routes'!$E$6:$E$2205,MATCH(V10,'Material routes'!$A$6:$A$2205,0)),"MISSING ID")</x:f>
        <x:v>Crushed fired ceramic grit</x:v>
      </x:c>
      <x:c r="G10" s="4" t="str">
        <x:f>IFERROR(INDEX('Material routes'!$F$6:$F$2205,MATCH(V10,'Material routes'!$A$6:$A$2205,0)),"MISSING ID")</x:f>
        <x:v>T1</x:v>
      </x:c>
      <x:c r="H10" s="4" t="str">
        <x:f>IFERROR(INDEX('Material routes'!$H$6:$H$2205,MATCH(V10,'Material routes'!$A$6:$A$2205,0)),"MISSING ID")</x:f>
        <x:v>Processed material</x:v>
      </x:c>
      <x:c r="I10" s="4" t="str">
        <x:f>IFERROR(INDEX('Material routes'!$G$6:$G$2205,MATCH(V10,'Material routes'!$A$6:$A$2205,0)),"MISSING ID")</x:f>
        <x:v>Manufactured stock</x:v>
      </x:c>
      <x:c r="J10" s="4" t="str">
        <x:f>IFERROR(INDEX('Material routes'!$B$6:$B$2205,MATCH(U10,'Material routes'!$A$6:$A$2205,0)),"MISSING ID")</x:f>
        <x:v>design.refine.ceramic.grog</x:v>
      </x:c>
      <x:c r="K10" s="4" t="str">
        <x:f>IFERROR(INDEX('Crafting recipes'!$C$6:$C$1005,MATCH(J10,'Crafting recipes'!$A$6:$A$1005,0)),"MISSING ID")</x:f>
        <x:v>Material refinement</x:v>
      </x:c>
      <x:c r="L10" s="4" t="str">
        <x:f>IFERROR(INDEX('Material routes'!$K$6:$K$2205,MATCH(U10,'Material routes'!$A$6:$A$2205,0)),"MISSING ID")</x:f>
        <x:v>Proposal</x:v>
      </x:c>
      <x:c r="M10" s="4" t="str">
        <x:f>IFERROR(INDEX('Material routes'!$M$6:$M$2205,MATCH(U10,'Material routes'!$A$6:$A$2205,0)),"MISSING ID")</x:f>
        <x:v>Partial proposal</x:v>
      </x:c>
      <x:c r="N10" s="4" t="str">
        <x:f>IF(IFERROR(INDEX('Material routes'!$I$6:$I$1005,MATCH(U10,'Material routes'!$A$6:$A$1005,0)),"MISSING ID")=0,"",IFERROR(INDEX('Material routes'!$I$6:$I$1005,MATCH(U10,'Material routes'!$A$6:$A$1005,0)),"MISSING ID"))</x:f>
      </x:c>
      <x:c r="O10" s="4" t="str">
        <x:f>IFERROR(INDEX('Material routes'!$J$6:$J$2205,MATCH(U10,'Material routes'!$A$6:$A$2205,0)),"MISSING ID")</x:f>
        <x:v>Unspecified</x:v>
      </x:c>
      <x:c r="P10" s="4" t="str">
        <x:f>IF(IFERROR(INDEX('Material routes'!$I$6:$I$1005,MATCH(V10,'Material routes'!$A$6:$A$1005,0)),"MISSING ID")=0,"",IFERROR(INDEX('Material routes'!$I$6:$I$1005,MATCH(V10,'Material routes'!$A$6:$A$1005,0)),"MISSING ID"))</x:f>
      </x:c>
      <x:c r="Q10" s="4" t="str">
        <x:f>IFERROR(INDEX('Material routes'!$J$6:$J$2205,MATCH(V10,'Material routes'!$A$6:$A$2205,0)),"MISSING ID")</x:f>
        <x:v>Unspecified</x:v>
      </x:c>
      <x:c r="R10" s="4" t="str">
        <x:f>IF(L10="Withheld","Withheld premise",IF(E10="Tool candidate","Reusable prerequisite",IF(K10="Raw entry preparation","Entry-resource preparation",IF(G10="Not applicable",IF(IFERROR(INDEX('Items'!$AI$6:$AI$1005,MATCH(T10,'Items'!$A$6:$A$1005,0)),"MISSING ID")="Finished item","Finished endpoint",IF(IFERROR(INDEX('Items'!$AI$6:$AI$1005,MATCH(T10,'Items'!$A$6:$A$1005,0)),"MISSING ID")="Currency","Currency / no refinement tier","Recovered output / tier not applicable")),IF(OR(IFERROR(INDEX('Crafting recipes'!$H$6:$H$1005,MATCH(J10,'Crafting recipes'!$A$6:$A$1005,0)),"Unassigned")="Unassigned",G10="Unassigned"),"Tier unresolved",IF(IFERROR(VALUE(RIGHT(G10,1))-VALUE(RIGHT(IFERROR(INDEX('Crafting recipes'!$H$6:$H$1005,MATCH(J10,'Crafting recipes'!$A$6:$A$1005,0)),"Unassigned"),1)),0)=1,IF(B10=IFERROR(INDEX('Crafting recipes'!$H$6:$H$1005,MATCH(J10,'Crafting recipes'!$A$6:$A$1005,0)),"Unassigned"),"Advances one material tier","Lower-tier ingredient; route advances one tier"),"Needs tier review"))))))</x:f>
        <x:v>Advances one material tier</x:v>
      </x:c>
      <x:c r="S10" s="4" t="str">
        <x:f>IFERROR(INDEX('Material routes'!$D$6:$D$2205,MATCH(U10,'Material routes'!$A$6:$A$2205,0)),"MISSING ID")</x:f>
        <x:v>proposal.raw.ceramic_shards</x:v>
      </x:c>
      <x:c r="T10" s="4" t="str">
        <x:f>IFERROR(INDEX('Material routes'!$D$6:$D$2205,MATCH(V10,'Material routes'!$A$6:$A$2205,0)),"MISSING ID")</x:f>
        <x:v>proposal.ceramic.grog</x:v>
      </x:c>
      <x:c r="U10" s="4" t="str">
        <x:v>material.route.006</x:v>
      </x:c>
      <x:c r="V10" s="4" t="str">
        <x:v>output.design.refine.ceramic.grog</x:v>
      </x:c>
    </x:row>
    <x:row r="11" ht="85" customHeight="1">
      <x:c r="A11" s="4"/>
      <x:c r="B11" s="4"/>
      <x:c r="C11" s="4"/>
      <x:c r="D11" s="4"/>
      <x:c r="E11" s="4"/>
      <x:c r="F11" s="4"/>
      <x:c r="G11" s="4"/>
      <x:c r="H11" s="4"/>
      <x:c r="I11" s="4"/>
      <x:c r="J11" s="4"/>
      <x:c r="K11" s="4"/>
      <x:c r="L11" s="4"/>
      <x:c r="M11" s="4"/>
      <x:c r="N11" s="4"/>
      <x:c r="O11" s="4"/>
      <x:c r="P11" s="4"/>
      <x:c r="Q11" s="4"/>
      <x:c r="R11" s="4"/>
      <x:c r="S11" s="4"/>
      <x:c r="T11" s="4"/>
      <x:c r="U11" s="4"/>
      <x:c r="V11" s="4"/>
    </x:row>
    <x:row r="12" ht="85" customHeight="1">
      <x:c r="A12" s="4"/>
      <x:c r="B12" s="4"/>
      <x:c r="C12" s="4"/>
      <x:c r="D12" s="4"/>
      <x:c r="E12" s="4"/>
      <x:c r="F12" s="4"/>
      <x:c r="G12" s="4"/>
      <x:c r="H12" s="4"/>
      <x:c r="I12" s="4"/>
      <x:c r="J12" s="4"/>
      <x:c r="K12" s="4"/>
      <x:c r="L12" s="4"/>
      <x:c r="M12" s="4"/>
      <x:c r="N12" s="4"/>
      <x:c r="O12" s="4"/>
      <x:c r="P12" s="4"/>
      <x:c r="Q12" s="4"/>
      <x:c r="R12" s="4"/>
      <x:c r="S12" s="4"/>
      <x:c r="T12" s="4"/>
      <x:c r="U12" s="4"/>
      <x:c r="V12" s="4"/>
    </x:row>
    <x:row r="13" ht="85" customHeight="1">
      <x:c r="A13" s="4" t="str">
        <x:f>IFERROR(INDEX('Material routes'!$E$6:$E$2205,MATCH(U13,'Material routes'!$A$6:$A$2205,0)),"MISSING ID")</x:f>
        <x:v>Raw hide</x:v>
      </x:c>
      <x:c r="B13" s="4" t="str">
        <x:f>IFERROR(INDEX('Material routes'!$F$6:$F$2205,MATCH(U13,'Material routes'!$A$6:$A$2205,0)),"MISSING ID")</x:f>
        <x:v>T0</x:v>
      </x:c>
      <x:c r="C13" s="4" t="str">
        <x:f>IFERROR(INDEX('Material routes'!$H$6:$H$2205,MATCH(U13,'Material routes'!$A$6:$A$2205,0)),"MISSING ID")</x:f>
        <x:v>Raw material</x:v>
      </x:c>
      <x:c r="D13" s="4" t="str">
        <x:f>IFERROR(INDEX('Material routes'!$G$6:$G$2205,MATCH(U13,'Material routes'!$A$6:$A$2205,0)),"MISSING ID")</x:f>
        <x:v>Biological resources</x:v>
      </x:c>
      <x:c r="E13" s="4" t="str">
        <x:f>IFERROR(INDEX('Material routes'!$C$6:$C$2205,MATCH(U13,'Material routes'!$A$6:$A$2205,0)),"MISSING ID")</x:f>
        <x:v>Ingredient candidate</x:v>
      </x:c>
      <x:c r="F13" s="4" t="str">
        <x:f>IFERROR(INDEX('Material routes'!$E$6:$E$2205,MATCH(V13,'Material routes'!$A$6:$A$2205,0)),"MISSING ID")</x:f>
        <x:v>Processed hide material</x:v>
      </x:c>
      <x:c r="G13" s="4" t="str">
        <x:f>IFERROR(INDEX('Material routes'!$F$6:$F$2205,MATCH(V13,'Material routes'!$A$6:$A$2205,0)),"MISSING ID")</x:f>
        <x:v>T1</x:v>
      </x:c>
      <x:c r="H13" s="4" t="str">
        <x:f>IFERROR(INDEX('Material routes'!$H$6:$H$2205,MATCH(V13,'Material routes'!$A$6:$A$2205,0)),"MISSING ID")</x:f>
        <x:v>Processed material</x:v>
      </x:c>
      <x:c r="I13" s="4" t="str">
        <x:f>IFERROR(INDEX('Material routes'!$G$6:$G$2205,MATCH(V13,'Material routes'!$A$6:$A$2205,0)),"MISSING ID")</x:f>
        <x:v>Crafting components</x:v>
      </x:c>
      <x:c r="J13" s="4" t="str">
        <x:f>IFERROR(INDEX('Material routes'!$B$6:$B$2205,MATCH(U13,'Material routes'!$A$6:$A$2205,0)),"MISSING ID")</x:f>
        <x:v>design.refine.bio.hide_material</x:v>
      </x:c>
      <x:c r="K13" s="4" t="str">
        <x:f>IFERROR(INDEX('Crafting recipes'!$C$6:$C$1005,MATCH(J13,'Crafting recipes'!$A$6:$A$1005,0)),"MISSING ID")</x:f>
        <x:v>Material refinement</x:v>
      </x:c>
      <x:c r="L13" s="4" t="str">
        <x:f>IFERROR(INDEX('Material routes'!$K$6:$K$2205,MATCH(U13,'Material routes'!$A$6:$A$2205,0)),"MISSING ID")</x:f>
        <x:v>Proposal</x:v>
      </x:c>
      <x:c r="M13" s="4" t="str">
        <x:f>IFERROR(INDEX('Material routes'!$M$6:$M$2205,MATCH(U13,'Material routes'!$A$6:$A$2205,0)),"MISSING ID")</x:f>
        <x:v>Partial proposal</x:v>
      </x:c>
      <x:c r="N13" s="4" t="str">
        <x:f>IF(IFERROR(INDEX('Material routes'!$I$6:$I$1005,MATCH(U13,'Material routes'!$A$6:$A$1005,0)),"MISSING ID")=0,"",IFERROR(INDEX('Material routes'!$I$6:$I$1005,MATCH(U13,'Material routes'!$A$6:$A$1005,0)),"MISSING ID"))</x:f>
      </x:c>
      <x:c r="O13" s="4" t="str">
        <x:f>IFERROR(INDEX('Material routes'!$J$6:$J$2205,MATCH(U13,'Material routes'!$A$6:$A$2205,0)),"MISSING ID")</x:f>
        <x:v>Unspecified</x:v>
      </x:c>
      <x:c r="P13" s="4" t="str">
        <x:f>IF(IFERROR(INDEX('Material routes'!$I$6:$I$1005,MATCH(V13,'Material routes'!$A$6:$A$1005,0)),"MISSING ID")=0,"",IFERROR(INDEX('Material routes'!$I$6:$I$1005,MATCH(V13,'Material routes'!$A$6:$A$1005,0)),"MISSING ID"))</x:f>
      </x:c>
      <x:c r="Q13" s="4" t="str">
        <x:f>IFERROR(INDEX('Material routes'!$J$6:$J$2205,MATCH(V13,'Material routes'!$A$6:$A$2205,0)),"MISSING ID")</x:f>
        <x:v>Unspecified</x:v>
      </x:c>
      <x:c r="R13" s="4" t="str">
        <x:f>IF(L13="Withheld","Withheld premise",IF(E13="Tool candidate","Reusable prerequisite",IF(K13="Raw entry preparation","Entry-resource preparation",IF(G13="Not applicable",IF(IFERROR(INDEX('Items'!$AI$6:$AI$1005,MATCH(T13,'Items'!$A$6:$A$1005,0)),"MISSING ID")="Finished item","Finished endpoint",IF(IFERROR(INDEX('Items'!$AI$6:$AI$1005,MATCH(T13,'Items'!$A$6:$A$1005,0)),"MISSING ID")="Currency","Currency / no refinement tier","Recovered output / tier not applicable")),IF(OR(IFERROR(INDEX('Crafting recipes'!$H$6:$H$1005,MATCH(J13,'Crafting recipes'!$A$6:$A$1005,0)),"Unassigned")="Unassigned",G13="Unassigned"),"Tier unresolved",IF(IFERROR(VALUE(RIGHT(G13,1))-VALUE(RIGHT(IFERROR(INDEX('Crafting recipes'!$H$6:$H$1005,MATCH(J13,'Crafting recipes'!$A$6:$A$1005,0)),"Unassigned"),1)),0)=1,IF(B13=IFERROR(INDEX('Crafting recipes'!$H$6:$H$1005,MATCH(J13,'Crafting recipes'!$A$6:$A$1005,0)),"Unassigned"),"Advances one material tier","Lower-tier ingredient; route advances one tier"),"Needs tier review"))))))</x:f>
        <x:v>Advances one material tier</x:v>
      </x:c>
      <x:c r="S13" s="4" t="str">
        <x:f>IFERROR(INDEX('Material routes'!$D$6:$D$2205,MATCH(U13,'Material routes'!$A$6:$A$2205,0)),"MISSING ID")</x:f>
        <x:v>proposal.bio.hide</x:v>
      </x:c>
      <x:c r="T13" s="4" t="str">
        <x:f>IFERROR(INDEX('Material routes'!$D$6:$D$2205,MATCH(V13,'Material routes'!$A$6:$A$2205,0)),"MISSING ID")</x:f>
        <x:v>proposal.bio.hide_material</x:v>
      </x:c>
      <x:c r="U13" s="4" t="str">
        <x:v>material.route.009</x:v>
      </x:c>
      <x:c r="V13" s="4" t="str">
        <x:v>output.design.refine.bio.hide_material</x:v>
      </x:c>
    </x:row>
    <x:row r="14" ht="85" customHeight="1">
      <x:c r="A14" s="4" t="str">
        <x:f>IFERROR(INDEX('Material routes'!$E$6:$E$2205,MATCH(U14,'Material routes'!$A$6:$A$2205,0)),"MISSING ID")</x:f>
        <x:v>Shed underfur</x:v>
      </x:c>
      <x:c r="B14" s="4" t="str">
        <x:f>IFERROR(INDEX('Material routes'!$F$6:$F$2205,MATCH(U14,'Material routes'!$A$6:$A$2205,0)),"MISSING ID")</x:f>
        <x:v>T0</x:v>
      </x:c>
      <x:c r="C14" s="4" t="str">
        <x:f>IFERROR(INDEX('Material routes'!$H$6:$H$2205,MATCH(U14,'Material routes'!$A$6:$A$2205,0)),"MISSING ID")</x:f>
        <x:v>Raw material</x:v>
      </x:c>
      <x:c r="D14" s="4" t="str">
        <x:f>IFERROR(INDEX('Material routes'!$G$6:$G$2205,MATCH(U14,'Material routes'!$A$6:$A$2205,0)),"MISSING ID")</x:f>
        <x:v>Biological resources</x:v>
      </x:c>
      <x:c r="E14" s="4" t="str">
        <x:f>IFERROR(INDEX('Material routes'!$C$6:$C$2205,MATCH(U14,'Material routes'!$A$6:$A$2205,0)),"MISSING ID")</x:f>
        <x:v>Ingredient candidate</x:v>
      </x:c>
      <x:c r="F14" s="4" t="str">
        <x:f>IFERROR(INDEX('Material routes'!$E$6:$E$2205,MATCH(V14,'Material routes'!$A$6:$A$2205,0)),"MISSING ID")</x:f>
        <x:v>Pressed fur-fiber material</x:v>
      </x:c>
      <x:c r="G14" s="4" t="str">
        <x:f>IFERROR(INDEX('Material routes'!$F$6:$F$2205,MATCH(V14,'Material routes'!$A$6:$A$2205,0)),"MISSING ID")</x:f>
        <x:v>T1</x:v>
      </x:c>
      <x:c r="H14" s="4" t="str">
        <x:f>IFERROR(INDEX('Material routes'!$H$6:$H$2205,MATCH(V14,'Material routes'!$A$6:$A$2205,0)),"MISSING ID")</x:f>
        <x:v>Processed material</x:v>
      </x:c>
      <x:c r="I14" s="4" t="str">
        <x:f>IFERROR(INDEX('Material routes'!$G$6:$G$2205,MATCH(V14,'Material routes'!$A$6:$A$2205,0)),"MISSING ID")</x:f>
        <x:v>Crafting components</x:v>
      </x:c>
      <x:c r="J14" s="4" t="str">
        <x:f>IFERROR(INDEX('Material routes'!$B$6:$B$2205,MATCH(U14,'Material routes'!$A$6:$A$2205,0)),"MISSING ID")</x:f>
        <x:v>design.refine.bio.liner</x:v>
      </x:c>
      <x:c r="K14" s="4" t="str">
        <x:f>IFERROR(INDEX('Crafting recipes'!$C$6:$C$1005,MATCH(J14,'Crafting recipes'!$A$6:$A$1005,0)),"MISSING ID")</x:f>
        <x:v>Material refinement</x:v>
      </x:c>
      <x:c r="L14" s="4" t="str">
        <x:f>IFERROR(INDEX('Material routes'!$K$6:$K$2205,MATCH(U14,'Material routes'!$A$6:$A$2205,0)),"MISSING ID")</x:f>
        <x:v>Proposal</x:v>
      </x:c>
      <x:c r="M14" s="4" t="str">
        <x:f>IFERROR(INDEX('Material routes'!$M$6:$M$2205,MATCH(U14,'Material routes'!$A$6:$A$2205,0)),"MISSING ID")</x:f>
        <x:v>Partial proposal</x:v>
      </x:c>
      <x:c r="N14" s="4" t="str">
        <x:f>IF(IFERROR(INDEX('Material routes'!$I$6:$I$1005,MATCH(U14,'Material routes'!$A$6:$A$1005,0)),"MISSING ID")=0,"",IFERROR(INDEX('Material routes'!$I$6:$I$1005,MATCH(U14,'Material routes'!$A$6:$A$1005,0)),"MISSING ID"))</x:f>
      </x:c>
      <x:c r="O14" s="4" t="str">
        <x:f>IFERROR(INDEX('Material routes'!$J$6:$J$2205,MATCH(U14,'Material routes'!$A$6:$A$2205,0)),"MISSING ID")</x:f>
        <x:v>Unspecified</x:v>
      </x:c>
      <x:c r="P14" s="4" t="str">
        <x:f>IF(IFERROR(INDEX('Material routes'!$I$6:$I$1005,MATCH(V14,'Material routes'!$A$6:$A$1005,0)),"MISSING ID")=0,"",IFERROR(INDEX('Material routes'!$I$6:$I$1005,MATCH(V14,'Material routes'!$A$6:$A$1005,0)),"MISSING ID"))</x:f>
      </x:c>
      <x:c r="Q14" s="4" t="str">
        <x:f>IFERROR(INDEX('Material routes'!$J$6:$J$2205,MATCH(V14,'Material routes'!$A$6:$A$2205,0)),"MISSING ID")</x:f>
        <x:v>Unspecified</x:v>
      </x:c>
      <x:c r="R14" s="4" t="str">
        <x:f>IF(L14="Withheld","Withheld premise",IF(E14="Tool candidate","Reusable prerequisite",IF(K14="Raw entry preparation","Entry-resource preparation",IF(G14="Not applicable",IF(IFERROR(INDEX('Items'!$AI$6:$AI$1005,MATCH(T14,'Items'!$A$6:$A$1005,0)),"MISSING ID")="Finished item","Finished endpoint",IF(IFERROR(INDEX('Items'!$AI$6:$AI$1005,MATCH(T14,'Items'!$A$6:$A$1005,0)),"MISSING ID")="Currency","Currency / no refinement tier","Recovered output / tier not applicable")),IF(OR(IFERROR(INDEX('Crafting recipes'!$H$6:$H$1005,MATCH(J14,'Crafting recipes'!$A$6:$A$1005,0)),"Unassigned")="Unassigned",G14="Unassigned"),"Tier unresolved",IF(IFERROR(VALUE(RIGHT(G14,1))-VALUE(RIGHT(IFERROR(INDEX('Crafting recipes'!$H$6:$H$1005,MATCH(J14,'Crafting recipes'!$A$6:$A$1005,0)),"Unassigned"),1)),0)=1,IF(B14=IFERROR(INDEX('Crafting recipes'!$H$6:$H$1005,MATCH(J14,'Crafting recipes'!$A$6:$A$1005,0)),"Unassigned"),"Advances one material tier","Lower-tier ingredient; route advances one tier"),"Needs tier review"))))))</x:f>
        <x:v>Advances one material tier</x:v>
      </x:c>
      <x:c r="S14" s="4" t="str">
        <x:f>IFERROR(INDEX('Material routes'!$D$6:$D$2205,MATCH(U14,'Material routes'!$A$6:$A$2205,0)),"MISSING ID")</x:f>
        <x:v>proposal.bio.underfur</x:v>
      </x:c>
      <x:c r="T14" s="4" t="str">
        <x:f>IFERROR(INDEX('Material routes'!$D$6:$D$2205,MATCH(V14,'Material routes'!$A$6:$A$2205,0)),"MISSING ID")</x:f>
        <x:v>proposal.bio.liner</x:v>
      </x:c>
      <x:c r="U14" s="4" t="str">
        <x:v>material.route.010</x:v>
      </x:c>
      <x:c r="V14" s="4" t="str">
        <x:v>output.design.refine.bio.liner</x:v>
      </x:c>
    </x:row>
    <x:row r="15" ht="85" customHeight="1">
      <x:c r="A15" s="4" t="str">
        <x:f>IFERROR(INDEX('Material routes'!$E$6:$E$2205,MATCH(U15,'Material routes'!$A$6:$A$2205,0)),"MISSING ID")</x:f>
        <x:v>Dried tendon bundles</x:v>
      </x:c>
      <x:c r="B15" s="4" t="str">
        <x:f>IFERROR(INDEX('Material routes'!$F$6:$F$2205,MATCH(U15,'Material routes'!$A$6:$A$2205,0)),"MISSING ID")</x:f>
        <x:v>T0</x:v>
      </x:c>
      <x:c r="C15" s="4" t="str">
        <x:f>IFERROR(INDEX('Material routes'!$H$6:$H$2205,MATCH(U15,'Material routes'!$A$6:$A$2205,0)),"MISSING ID")</x:f>
        <x:v>Raw material</x:v>
      </x:c>
      <x:c r="D15" s="4" t="str">
        <x:f>IFERROR(INDEX('Material routes'!$G$6:$G$2205,MATCH(U15,'Material routes'!$A$6:$A$2205,0)),"MISSING ID")</x:f>
        <x:v>Biological resources</x:v>
      </x:c>
      <x:c r="E15" s="4" t="str">
        <x:f>IFERROR(INDEX('Material routes'!$C$6:$C$2205,MATCH(U15,'Material routes'!$A$6:$A$2205,0)),"MISSING ID")</x:f>
        <x:v>Ingredient candidate</x:v>
      </x:c>
      <x:c r="F15" s="4" t="str">
        <x:f>IFERROR(INDEX('Material routes'!$E$6:$E$2205,MATCH(V15,'Material routes'!$A$6:$A$2205,0)),"MISSING ID")</x:f>
        <x:v>Tendon cord</x:v>
      </x:c>
      <x:c r="G15" s="4" t="str">
        <x:f>IFERROR(INDEX('Material routes'!$F$6:$F$2205,MATCH(V15,'Material routes'!$A$6:$A$2205,0)),"MISSING ID")</x:f>
        <x:v>T1</x:v>
      </x:c>
      <x:c r="H15" s="4" t="str">
        <x:f>IFERROR(INDEX('Material routes'!$H$6:$H$2205,MATCH(V15,'Material routes'!$A$6:$A$2205,0)),"MISSING ID")</x:f>
        <x:v>Crafting component</x:v>
      </x:c>
      <x:c r="I15" s="4" t="str">
        <x:f>IFERROR(INDEX('Material routes'!$G$6:$G$2205,MATCH(V15,'Material routes'!$A$6:$A$2205,0)),"MISSING ID")</x:f>
        <x:v>Crafting components</x:v>
      </x:c>
      <x:c r="J15" s="4" t="str">
        <x:f>IFERROR(INDEX('Material routes'!$B$6:$B$2205,MATCH(U15,'Material routes'!$A$6:$A$2205,0)),"MISSING ID")</x:f>
        <x:v>design.refine.bio.cord</x:v>
      </x:c>
      <x:c r="K15" s="4" t="str">
        <x:f>IFERROR(INDEX('Crafting recipes'!$C$6:$C$1005,MATCH(J15,'Crafting recipes'!$A$6:$A$1005,0)),"MISSING ID")</x:f>
        <x:v>Material refinement</x:v>
      </x:c>
      <x:c r="L15" s="4" t="str">
        <x:f>IFERROR(INDEX('Material routes'!$K$6:$K$2205,MATCH(U15,'Material routes'!$A$6:$A$2205,0)),"MISSING ID")</x:f>
        <x:v>Proposal</x:v>
      </x:c>
      <x:c r="M15" s="4" t="str">
        <x:f>IFERROR(INDEX('Material routes'!$M$6:$M$2205,MATCH(U15,'Material routes'!$A$6:$A$2205,0)),"MISSING ID")</x:f>
        <x:v>Partial proposal</x:v>
      </x:c>
      <x:c r="N15" s="4" t="str">
        <x:f>IF(IFERROR(INDEX('Material routes'!$I$6:$I$1005,MATCH(U15,'Material routes'!$A$6:$A$1005,0)),"MISSING ID")=0,"",IFERROR(INDEX('Material routes'!$I$6:$I$1005,MATCH(U15,'Material routes'!$A$6:$A$1005,0)),"MISSING ID"))</x:f>
      </x:c>
      <x:c r="O15" s="4" t="str">
        <x:f>IFERROR(INDEX('Material routes'!$J$6:$J$2205,MATCH(U15,'Material routes'!$A$6:$A$2205,0)),"MISSING ID")</x:f>
        <x:v>Unspecified</x:v>
      </x:c>
      <x:c r="P15" s="4" t="str">
        <x:f>IF(IFERROR(INDEX('Material routes'!$I$6:$I$1005,MATCH(V15,'Material routes'!$A$6:$A$1005,0)),"MISSING ID")=0,"",IFERROR(INDEX('Material routes'!$I$6:$I$1005,MATCH(V15,'Material routes'!$A$6:$A$1005,0)),"MISSING ID"))</x:f>
      </x:c>
      <x:c r="Q15" s="4" t="str">
        <x:f>IFERROR(INDEX('Material routes'!$J$6:$J$2205,MATCH(V15,'Material routes'!$A$6:$A$2205,0)),"MISSING ID")</x:f>
        <x:v>Unspecified</x:v>
      </x:c>
      <x:c r="R15" s="4" t="str">
        <x:f>IF(L15="Withheld","Withheld premise",IF(E15="Tool candidate","Reusable prerequisite",IF(K15="Raw entry preparation","Entry-resource preparation",IF(G15="Not applicable",IF(IFERROR(INDEX('Items'!$AI$6:$AI$1005,MATCH(T15,'Items'!$A$6:$A$1005,0)),"MISSING ID")="Finished item","Finished endpoint",IF(IFERROR(INDEX('Items'!$AI$6:$AI$1005,MATCH(T15,'Items'!$A$6:$A$1005,0)),"MISSING ID")="Currency","Currency / no refinement tier","Recovered output / tier not applicable")),IF(OR(IFERROR(INDEX('Crafting recipes'!$H$6:$H$1005,MATCH(J15,'Crafting recipes'!$A$6:$A$1005,0)),"Unassigned")="Unassigned",G15="Unassigned"),"Tier unresolved",IF(IFERROR(VALUE(RIGHT(G15,1))-VALUE(RIGHT(IFERROR(INDEX('Crafting recipes'!$H$6:$H$1005,MATCH(J15,'Crafting recipes'!$A$6:$A$1005,0)),"Unassigned"),1)),0)=1,IF(B15=IFERROR(INDEX('Crafting recipes'!$H$6:$H$1005,MATCH(J15,'Crafting recipes'!$A$6:$A$1005,0)),"Unassigned"),"Advances one material tier","Lower-tier ingredient; route advances one tier"),"Needs tier review"))))))</x:f>
        <x:v>Advances one material tier</x:v>
      </x:c>
      <x:c r="S15" s="4" t="str">
        <x:f>IFERROR(INDEX('Material routes'!$D$6:$D$2205,MATCH(U15,'Material routes'!$A$6:$A$2205,0)),"MISSING ID")</x:f>
        <x:v>proposal.bio.tendon</x:v>
      </x:c>
      <x:c r="T15" s="4" t="str">
        <x:f>IFERROR(INDEX('Material routes'!$D$6:$D$2205,MATCH(V15,'Material routes'!$A$6:$A$2205,0)),"MISSING ID")</x:f>
        <x:v>proposal.bio.cord</x:v>
      </x:c>
      <x:c r="U15" s="4" t="str">
        <x:v>material.route.011</x:v>
      </x:c>
      <x:c r="V15" s="4" t="str">
        <x:v>output.design.refine.bio.cord</x:v>
      </x:c>
    </x:row>
    <x:row r="16" ht="85" customHeight="1">
      <x:c r="A16" s="4" t="str">
        <x:f>IFERROR(INDEX('Material routes'!$E$6:$E$2205,MATCH(U16,'Material routes'!$A$6:$A$2205,0)),"MISSING ID")</x:f>
        <x:v>Dried joint membrane</x:v>
      </x:c>
      <x:c r="B16" s="4" t="str">
        <x:f>IFERROR(INDEX('Material routes'!$F$6:$F$2205,MATCH(U16,'Material routes'!$A$6:$A$2205,0)),"MISSING ID")</x:f>
        <x:v>T0</x:v>
      </x:c>
      <x:c r="C16" s="4" t="str">
        <x:f>IFERROR(INDEX('Material routes'!$H$6:$H$2205,MATCH(U16,'Material routes'!$A$6:$A$2205,0)),"MISSING ID")</x:f>
        <x:v>Raw material</x:v>
      </x:c>
      <x:c r="D16" s="4" t="str">
        <x:f>IFERROR(INDEX('Material routes'!$G$6:$G$2205,MATCH(U16,'Material routes'!$A$6:$A$2205,0)),"MISSING ID")</x:f>
        <x:v>Biological resources</x:v>
      </x:c>
      <x:c r="E16" s="4" t="str">
        <x:f>IFERROR(INDEX('Material routes'!$C$6:$C$2205,MATCH(U16,'Material routes'!$A$6:$A$2205,0)),"MISSING ID")</x:f>
        <x:v>Ingredient candidate</x:v>
      </x:c>
      <x:c r="F16" s="4" t="str">
        <x:f>IFERROR(INDEX('Material routes'!$E$6:$E$2205,MATCH(V16,'Material routes'!$A$6:$A$2205,0)),"MISSING ID")</x:f>
        <x:v>Membrane seal patches</x:v>
      </x:c>
      <x:c r="G16" s="4" t="str">
        <x:f>IFERROR(INDEX('Material routes'!$F$6:$F$2205,MATCH(V16,'Material routes'!$A$6:$A$2205,0)),"MISSING ID")</x:f>
        <x:v>T1</x:v>
      </x:c>
      <x:c r="H16" s="4" t="str">
        <x:f>IFERROR(INDEX('Material routes'!$H$6:$H$2205,MATCH(V16,'Material routes'!$A$6:$A$2205,0)),"MISSING ID")</x:f>
        <x:v>Crafting component</x:v>
      </x:c>
      <x:c r="I16" s="4" t="str">
        <x:f>IFERROR(INDEX('Material routes'!$G$6:$G$2205,MATCH(V16,'Material routes'!$A$6:$A$2205,0)),"MISSING ID")</x:f>
        <x:v>Crafting components</x:v>
      </x:c>
      <x:c r="J16" s="4" t="str">
        <x:f>IFERROR(INDEX('Material routes'!$B$6:$B$2205,MATCH(U16,'Material routes'!$A$6:$A$2205,0)),"MISSING ID")</x:f>
        <x:v>design.refine.bio.seal</x:v>
      </x:c>
      <x:c r="K16" s="4" t="str">
        <x:f>IFERROR(INDEX('Crafting recipes'!$C$6:$C$1005,MATCH(J16,'Crafting recipes'!$A$6:$A$1005,0)),"MISSING ID")</x:f>
        <x:v>Material refinement</x:v>
      </x:c>
      <x:c r="L16" s="4" t="str">
        <x:f>IFERROR(INDEX('Material routes'!$K$6:$K$2205,MATCH(U16,'Material routes'!$A$6:$A$2205,0)),"MISSING ID")</x:f>
        <x:v>Proposal</x:v>
      </x:c>
      <x:c r="M16" s="4" t="str">
        <x:f>IFERROR(INDEX('Material routes'!$M$6:$M$2205,MATCH(U16,'Material routes'!$A$6:$A$2205,0)),"MISSING ID")</x:f>
        <x:v>Partial proposal</x:v>
      </x:c>
      <x:c r="N16" s="4" t="str">
        <x:f>IF(IFERROR(INDEX('Material routes'!$I$6:$I$1005,MATCH(U16,'Material routes'!$A$6:$A$1005,0)),"MISSING ID")=0,"",IFERROR(INDEX('Material routes'!$I$6:$I$1005,MATCH(U16,'Material routes'!$A$6:$A$1005,0)),"MISSING ID"))</x:f>
      </x:c>
      <x:c r="O16" s="4" t="str">
        <x:f>IFERROR(INDEX('Material routes'!$J$6:$J$2205,MATCH(U16,'Material routes'!$A$6:$A$2205,0)),"MISSING ID")</x:f>
        <x:v>Unspecified</x:v>
      </x:c>
      <x:c r="P16" s="4" t="str">
        <x:f>IF(IFERROR(INDEX('Material routes'!$I$6:$I$1005,MATCH(V16,'Material routes'!$A$6:$A$1005,0)),"MISSING ID")=0,"",IFERROR(INDEX('Material routes'!$I$6:$I$1005,MATCH(V16,'Material routes'!$A$6:$A$1005,0)),"MISSING ID"))</x:f>
      </x:c>
      <x:c r="Q16" s="4" t="str">
        <x:f>IFERROR(INDEX('Material routes'!$J$6:$J$2205,MATCH(V16,'Material routes'!$A$6:$A$2205,0)),"MISSING ID")</x:f>
        <x:v>Unspecified</x:v>
      </x:c>
      <x:c r="R16" s="4" t="str">
        <x:f>IF(L16="Withheld","Withheld premise",IF(E16="Tool candidate","Reusable prerequisite",IF(K16="Raw entry preparation","Entry-resource preparation",IF(G16="Not applicable",IF(IFERROR(INDEX('Items'!$AI$6:$AI$1005,MATCH(T16,'Items'!$A$6:$A$1005,0)),"MISSING ID")="Finished item","Finished endpoint",IF(IFERROR(INDEX('Items'!$AI$6:$AI$1005,MATCH(T16,'Items'!$A$6:$A$1005,0)),"MISSING ID")="Currency","Currency / no refinement tier","Recovered output / tier not applicable")),IF(OR(IFERROR(INDEX('Crafting recipes'!$H$6:$H$1005,MATCH(J16,'Crafting recipes'!$A$6:$A$1005,0)),"Unassigned")="Unassigned",G16="Unassigned"),"Tier unresolved",IF(IFERROR(VALUE(RIGHT(G16,1))-VALUE(RIGHT(IFERROR(INDEX('Crafting recipes'!$H$6:$H$1005,MATCH(J16,'Crafting recipes'!$A$6:$A$1005,0)),"Unassigned"),1)),0)=1,IF(B16=IFERROR(INDEX('Crafting recipes'!$H$6:$H$1005,MATCH(J16,'Crafting recipes'!$A$6:$A$1005,0)),"Unassigned"),"Advances one material tier","Lower-tier ingredient; route advances one tier"),"Needs tier review"))))))</x:f>
        <x:v>Advances one material tier</x:v>
      </x:c>
      <x:c r="S16" s="4" t="str">
        <x:f>IFERROR(INDEX('Material routes'!$D$6:$D$2205,MATCH(U16,'Material routes'!$A$6:$A$2205,0)),"MISSING ID")</x:f>
        <x:v>proposal.bio.membrane</x:v>
      </x:c>
      <x:c r="T16" s="4" t="str">
        <x:f>IFERROR(INDEX('Material routes'!$D$6:$D$2205,MATCH(V16,'Material routes'!$A$6:$A$2205,0)),"MISSING ID")</x:f>
        <x:v>proposal.bio.seal</x:v>
      </x:c>
      <x:c r="U16" s="4" t="str">
        <x:v>material.route.012</x:v>
      </x:c>
      <x:c r="V16" s="4" t="str">
        <x:v>output.design.refine.bio.seal</x:v>
      </x:c>
    </x:row>
    <x:row r="17" ht="85" customHeight="1">
      <x:c r="A17" s="4" t="str">
        <x:f>IFERROR(INDEX('Material routes'!$E$6:$E$2205,MATCH(U17,'Material routes'!$A$6:$A$2205,0)),"MISSING ID")</x:f>
        <x:v>Scraped icore fibers</x:v>
      </x:c>
      <x:c r="B17" s="4" t="str">
        <x:f>IFERROR(INDEX('Material routes'!$F$6:$F$2205,MATCH(U17,'Material routes'!$A$6:$A$2205,0)),"MISSING ID")</x:f>
        <x:v>T0</x:v>
      </x:c>
      <x:c r="C17" s="4" t="str">
        <x:f>IFERROR(INDEX('Material routes'!$H$6:$H$2205,MATCH(U17,'Material routes'!$A$6:$A$2205,0)),"MISSING ID")</x:f>
        <x:v>Raw material</x:v>
      </x:c>
      <x:c r="D17" s="4" t="str">
        <x:f>IFERROR(INDEX('Material routes'!$G$6:$G$2205,MATCH(U17,'Material routes'!$A$6:$A$2205,0)),"MISSING ID")</x:f>
        <x:v>Biological resources</x:v>
      </x:c>
      <x:c r="E17" s="4" t="str">
        <x:f>IFERROR(INDEX('Material routes'!$C$6:$C$2205,MATCH(U17,'Material routes'!$A$6:$A$2205,0)),"MISSING ID")</x:f>
        <x:v>Ingredient candidate</x:v>
      </x:c>
      <x:c r="F17" s="4" t="str">
        <x:f>IFERROR(INDEX('Material routes'!$E$6:$E$2205,MATCH(V17,'Material routes'!$A$6:$A$2205,0)),"MISSING ID")</x:f>
        <x:v>Pressed husk-fiber textile material</x:v>
      </x:c>
      <x:c r="G17" s="4" t="str">
        <x:f>IFERROR(INDEX('Material routes'!$F$6:$F$2205,MATCH(V17,'Material routes'!$A$6:$A$2205,0)),"MISSING ID")</x:f>
        <x:v>T1</x:v>
      </x:c>
      <x:c r="H17" s="4" t="str">
        <x:f>IFERROR(INDEX('Material routes'!$H$6:$H$2205,MATCH(V17,'Material routes'!$A$6:$A$2205,0)),"MISSING ID")</x:f>
        <x:v>Processed material</x:v>
      </x:c>
      <x:c r="I17" s="4" t="str">
        <x:f>IFERROR(INDEX('Material routes'!$G$6:$G$2205,MATCH(V17,'Material routes'!$A$6:$A$2205,0)),"MISSING ID")</x:f>
        <x:v>Crafting components</x:v>
      </x:c>
      <x:c r="J17" s="4" t="str">
        <x:f>IFERROR(INDEX('Material routes'!$B$6:$B$2205,MATCH(U17,'Material routes'!$A$6:$A$2205,0)),"MISSING ID")</x:f>
        <x:v>design.refine.bio.pressed_husk</x:v>
      </x:c>
      <x:c r="K17" s="4" t="str">
        <x:f>IFERROR(INDEX('Crafting recipes'!$C$6:$C$1005,MATCH(J17,'Crafting recipes'!$A$6:$A$1005,0)),"MISSING ID")</x:f>
        <x:v>Material refinement</x:v>
      </x:c>
      <x:c r="L17" s="4" t="str">
        <x:f>IFERROR(INDEX('Material routes'!$K$6:$K$2205,MATCH(U17,'Material routes'!$A$6:$A$2205,0)),"MISSING ID")</x:f>
        <x:v>Proposal</x:v>
      </x:c>
      <x:c r="M17" s="4" t="str">
        <x:f>IFERROR(INDEX('Material routes'!$M$6:$M$2205,MATCH(U17,'Material routes'!$A$6:$A$2205,0)),"MISSING ID")</x:f>
        <x:v>Partial proposal</x:v>
      </x:c>
      <x:c r="N17" s="4" t="str">
        <x:f>IF(IFERROR(INDEX('Material routes'!$I$6:$I$1005,MATCH(U17,'Material routes'!$A$6:$A$1005,0)),"MISSING ID")=0,"",IFERROR(INDEX('Material routes'!$I$6:$I$1005,MATCH(U17,'Material routes'!$A$6:$A$1005,0)),"MISSING ID"))</x:f>
      </x:c>
      <x:c r="O17" s="4" t="str">
        <x:f>IFERROR(INDEX('Material routes'!$J$6:$J$2205,MATCH(U17,'Material routes'!$A$6:$A$2205,0)),"MISSING ID")</x:f>
        <x:v>Unspecified</x:v>
      </x:c>
      <x:c r="P17" s="4" t="str">
        <x:f>IF(IFERROR(INDEX('Material routes'!$I$6:$I$1005,MATCH(V17,'Material routes'!$A$6:$A$1005,0)),"MISSING ID")=0,"",IFERROR(INDEX('Material routes'!$I$6:$I$1005,MATCH(V17,'Material routes'!$A$6:$A$1005,0)),"MISSING ID"))</x:f>
      </x:c>
      <x:c r="Q17" s="4" t="str">
        <x:f>IFERROR(INDEX('Material routes'!$J$6:$J$2205,MATCH(V17,'Material routes'!$A$6:$A$2205,0)),"MISSING ID")</x:f>
        <x:v>Unspecified</x:v>
      </x:c>
      <x:c r="R17" s="4" t="str">
        <x:f>IF(L17="Withheld","Withheld premise",IF(E17="Tool candidate","Reusable prerequisite",IF(K17="Raw entry preparation","Entry-resource preparation",IF(G17="Not applicable",IF(IFERROR(INDEX('Items'!$AI$6:$AI$1005,MATCH(T17,'Items'!$A$6:$A$1005,0)),"MISSING ID")="Finished item","Finished endpoint",IF(IFERROR(INDEX('Items'!$AI$6:$AI$1005,MATCH(T17,'Items'!$A$6:$A$1005,0)),"MISSING ID")="Currency","Currency / no refinement tier","Recovered output / tier not applicable")),IF(OR(IFERROR(INDEX('Crafting recipes'!$H$6:$H$1005,MATCH(J17,'Crafting recipes'!$A$6:$A$1005,0)),"Unassigned")="Unassigned",G17="Unassigned"),"Tier unresolved",IF(IFERROR(VALUE(RIGHT(G17,1))-VALUE(RIGHT(IFERROR(INDEX('Crafting recipes'!$H$6:$H$1005,MATCH(J17,'Crafting recipes'!$A$6:$A$1005,0)),"Unassigned"),1)),0)=1,IF(B17=IFERROR(INDEX('Crafting recipes'!$H$6:$H$1005,MATCH(J17,'Crafting recipes'!$A$6:$A$1005,0)),"Unassigned"),"Advances one material tier","Lower-tier ingredient; route advances one tier"),"Needs tier review"))))))</x:f>
        <x:v>Advances one material tier</x:v>
      </x:c>
      <x:c r="S17" s="4" t="str">
        <x:f>IFERROR(INDEX('Material routes'!$D$6:$D$2205,MATCH(U17,'Material routes'!$A$6:$A$2205,0)),"MISSING ID")</x:f>
        <x:v>proposal.bio.icore_fibers</x:v>
      </x:c>
      <x:c r="T17" s="4" t="str">
        <x:f>IFERROR(INDEX('Material routes'!$D$6:$D$2205,MATCH(V17,'Material routes'!$A$6:$A$2205,0)),"MISSING ID")</x:f>
        <x:v>proposal.bio.pressed_husk</x:v>
      </x:c>
      <x:c r="U17" s="4" t="str">
        <x:v>material.route.013</x:v>
      </x:c>
      <x:c r="V17" s="4" t="str">
        <x:v>output.design.refine.bio.pressed_husk</x:v>
      </x:c>
    </x:row>
    <x:row r="18" ht="85" customHeight="1">
      <x:c r="A18" s="4" t="str">
        <x:f>IFERROR(INDEX('Material routes'!$E$6:$E$2205,MATCH(U18,'Material routes'!$A$6:$A$2205,0)),"MISSING ID")</x:f>
        <x:v>Delicate inner wing</x:v>
      </x:c>
      <x:c r="B18" s="4" t="str">
        <x:f>IFERROR(INDEX('Material routes'!$F$6:$F$2205,MATCH(U18,'Material routes'!$A$6:$A$2205,0)),"MISSING ID")</x:f>
        <x:v>T0</x:v>
      </x:c>
      <x:c r="C18" s="4" t="str">
        <x:f>IFERROR(INDEX('Material routes'!$H$6:$H$2205,MATCH(U18,'Material routes'!$A$6:$A$2205,0)),"MISSING ID")</x:f>
        <x:v>Raw material</x:v>
      </x:c>
      <x:c r="D18" s="4" t="str">
        <x:f>IFERROR(INDEX('Material routes'!$G$6:$G$2205,MATCH(U18,'Material routes'!$A$6:$A$2205,0)),"MISSING ID")</x:f>
        <x:v>Biological resources</x:v>
      </x:c>
      <x:c r="E18" s="4" t="str">
        <x:f>IFERROR(INDEX('Material routes'!$C$6:$C$2205,MATCH(U18,'Material routes'!$A$6:$A$2205,0)),"MISSING ID")</x:f>
        <x:v>Ingredient candidate</x:v>
      </x:c>
      <x:c r="F18" s="4" t="str">
        <x:f>IFERROR(INDEX('Material routes'!$E$6:$E$2205,MATCH(V18,'Material routes'!$A$6:$A$2205,0)),"MISSING ID")</x:f>
        <x:v>Prepared wing shade panel</x:v>
      </x:c>
      <x:c r="G18" s="4" t="str">
        <x:f>IFERROR(INDEX('Material routes'!$F$6:$F$2205,MATCH(V18,'Material routes'!$A$6:$A$2205,0)),"MISSING ID")</x:f>
        <x:v>T1</x:v>
      </x:c>
      <x:c r="H18" s="4" t="str">
        <x:f>IFERROR(INDEX('Material routes'!$H$6:$H$2205,MATCH(V18,'Material routes'!$A$6:$A$2205,0)),"MISSING ID")</x:f>
        <x:v>Crafting component</x:v>
      </x:c>
      <x:c r="I18" s="4" t="str">
        <x:f>IFERROR(INDEX('Material routes'!$G$6:$G$2205,MATCH(V18,'Material routes'!$A$6:$A$2205,0)),"MISSING ID")</x:f>
        <x:v>Salvage</x:v>
      </x:c>
      <x:c r="J18" s="4" t="str">
        <x:f>IFERROR(INDEX('Material routes'!$B$6:$B$2205,MATCH(U18,'Material routes'!$A$6:$A$2205,0)),"MISSING ID")</x:f>
        <x:v>design.refine.bio.wing_panel</x:v>
      </x:c>
      <x:c r="K18" s="4" t="str">
        <x:f>IFERROR(INDEX('Crafting recipes'!$C$6:$C$1005,MATCH(J18,'Crafting recipes'!$A$6:$A$1005,0)),"MISSING ID")</x:f>
        <x:v>Material refinement</x:v>
      </x:c>
      <x:c r="L18" s="4" t="str">
        <x:f>IFERROR(INDEX('Material routes'!$K$6:$K$2205,MATCH(U18,'Material routes'!$A$6:$A$2205,0)),"MISSING ID")</x:f>
        <x:v>Proposal</x:v>
      </x:c>
      <x:c r="M18" s="4" t="str">
        <x:f>IFERROR(INDEX('Material routes'!$M$6:$M$2205,MATCH(U18,'Material routes'!$A$6:$A$2205,0)),"MISSING ID")</x:f>
        <x:v>Partial proposal</x:v>
      </x:c>
      <x:c r="N18" s="4" t="str">
        <x:f>IF(IFERROR(INDEX('Material routes'!$I$6:$I$1005,MATCH(U18,'Material routes'!$A$6:$A$1005,0)),"MISSING ID")=0,"",IFERROR(INDEX('Material routes'!$I$6:$I$1005,MATCH(U18,'Material routes'!$A$6:$A$1005,0)),"MISSING ID"))</x:f>
      </x:c>
      <x:c r="O18" s="4" t="str">
        <x:f>IFERROR(INDEX('Material routes'!$J$6:$J$2205,MATCH(U18,'Material routes'!$A$6:$A$2205,0)),"MISSING ID")</x:f>
        <x:v>Unspecified</x:v>
      </x:c>
      <x:c r="P18" s="4" t="str">
        <x:f>IF(IFERROR(INDEX('Material routes'!$I$6:$I$1005,MATCH(V18,'Material routes'!$A$6:$A$1005,0)),"MISSING ID")=0,"",IFERROR(INDEX('Material routes'!$I$6:$I$1005,MATCH(V18,'Material routes'!$A$6:$A$1005,0)),"MISSING ID"))</x:f>
      </x:c>
      <x:c r="Q18" s="4" t="str">
        <x:f>IFERROR(INDEX('Material routes'!$J$6:$J$2205,MATCH(V18,'Material routes'!$A$6:$A$2205,0)),"MISSING ID")</x:f>
        <x:v>Unspecified</x:v>
      </x:c>
      <x:c r="R18" s="4" t="str">
        <x:f>IF(L18="Withheld","Withheld premise",IF(E18="Tool candidate","Reusable prerequisite",IF(K18="Raw entry preparation","Entry-resource preparation",IF(G18="Not applicable",IF(IFERROR(INDEX('Items'!$AI$6:$AI$1005,MATCH(T18,'Items'!$A$6:$A$1005,0)),"MISSING ID")="Finished item","Finished endpoint",IF(IFERROR(INDEX('Items'!$AI$6:$AI$1005,MATCH(T18,'Items'!$A$6:$A$1005,0)),"MISSING ID")="Currency","Currency / no refinement tier","Recovered output / tier not applicable")),IF(OR(IFERROR(INDEX('Crafting recipes'!$H$6:$H$1005,MATCH(J18,'Crafting recipes'!$A$6:$A$1005,0)),"Unassigned")="Unassigned",G18="Unassigned"),"Tier unresolved",IF(IFERROR(VALUE(RIGHT(G18,1))-VALUE(RIGHT(IFERROR(INDEX('Crafting recipes'!$H$6:$H$1005,MATCH(J18,'Crafting recipes'!$A$6:$A$1005,0)),"Unassigned"),1)),0)=1,IF(B18=IFERROR(INDEX('Crafting recipes'!$H$6:$H$1005,MATCH(J18,'Crafting recipes'!$A$6:$A$1005,0)),"Unassigned"),"Advances one material tier","Lower-tier ingredient; route advances one tier"),"Needs tier review"))))))</x:f>
        <x:v>Advances one material tier</x:v>
      </x:c>
      <x:c r="S18" s="4" t="str">
        <x:f>IFERROR(INDEX('Material routes'!$D$6:$D$2205,MATCH(U18,'Material routes'!$A$6:$A$2205,0)),"MISSING ID")</x:f>
        <x:v>proposal.bio.inner_wing</x:v>
      </x:c>
      <x:c r="T18" s="4" t="str">
        <x:f>IFERROR(INDEX('Material routes'!$D$6:$D$2205,MATCH(V18,'Material routes'!$A$6:$A$2205,0)),"MISSING ID")</x:f>
        <x:v>proposal.bio.wing_panel</x:v>
      </x:c>
      <x:c r="U18" s="4" t="str">
        <x:v>material.route.014</x:v>
      </x:c>
      <x:c r="V18" s="4" t="str">
        <x:v>output.design.refine.bio.wing_panel</x:v>
      </x:c>
    </x:row>
    <x:row r="19" ht="85" customHeight="1">
      <x:c r="A19" s="4" t="str">
        <x:f>IFERROR(INDEX('Material routes'!$E$6:$E$2205,MATCH(U19,'Material routes'!$A$6:$A$2205,0)),"MISSING ID")</x:f>
        <x:v>Delicate inner wing</x:v>
      </x:c>
      <x:c r="B19" s="4" t="str">
        <x:f>IFERROR(INDEX('Material routes'!$F$6:$F$2205,MATCH(U19,'Material routes'!$A$6:$A$2205,0)),"MISSING ID")</x:f>
        <x:v>T0</x:v>
      </x:c>
      <x:c r="C19" s="4" t="str">
        <x:f>IFERROR(INDEX('Material routes'!$H$6:$H$2205,MATCH(U19,'Material routes'!$A$6:$A$2205,0)),"MISSING ID")</x:f>
        <x:v>Raw material</x:v>
      </x:c>
      <x:c r="D19" s="4" t="str">
        <x:f>IFERROR(INDEX('Material routes'!$G$6:$G$2205,MATCH(U19,'Material routes'!$A$6:$A$2205,0)),"MISSING ID")</x:f>
        <x:v>Biological resources</x:v>
      </x:c>
      <x:c r="E19" s="4" t="str">
        <x:f>IFERROR(INDEX('Material routes'!$C$6:$C$2205,MATCH(U19,'Material routes'!$A$6:$A$2205,0)),"MISSING ID")</x:f>
        <x:v>Ingredient candidate</x:v>
      </x:c>
      <x:c r="F19" s="4" t="str">
        <x:f>IFERROR(INDEX('Material routes'!$E$6:$E$2205,MATCH(V19,'Material routes'!$A$6:$A$2205,0)),"MISSING ID")</x:f>
        <x:v>Prepared insect-wing sail panel</x:v>
      </x:c>
      <x:c r="G19" s="4" t="str">
        <x:f>IFERROR(INDEX('Material routes'!$F$6:$F$2205,MATCH(V19,'Material routes'!$A$6:$A$2205,0)),"MISSING ID")</x:f>
        <x:v>T1</x:v>
      </x:c>
      <x:c r="H19" s="4" t="str">
        <x:f>IFERROR(INDEX('Material routes'!$H$6:$H$2205,MATCH(V19,'Material routes'!$A$6:$A$2205,0)),"MISSING ID")</x:f>
        <x:v>Crafting component</x:v>
      </x:c>
      <x:c r="I19" s="4" t="str">
        <x:f>IFERROR(INDEX('Material routes'!$G$6:$G$2205,MATCH(V19,'Material routes'!$A$6:$A$2205,0)),"MISSING ID")</x:f>
        <x:v>Salvage</x:v>
      </x:c>
      <x:c r="J19" s="4" t="str">
        <x:f>IFERROR(INDEX('Material routes'!$B$6:$B$2205,MATCH(U19,'Material routes'!$A$6:$A$2205,0)),"MISSING ID")</x:f>
        <x:v>design.refine.wind.sail_panel</x:v>
      </x:c>
      <x:c r="K19" s="4" t="str">
        <x:f>IFERROR(INDEX('Crafting recipes'!$C$6:$C$1005,MATCH(J19,'Crafting recipes'!$A$6:$A$1005,0)),"MISSING ID")</x:f>
        <x:v>Material refinement</x:v>
      </x:c>
      <x:c r="L19" s="4" t="str">
        <x:f>IFERROR(INDEX('Material routes'!$K$6:$K$2205,MATCH(U19,'Material routes'!$A$6:$A$2205,0)),"MISSING ID")</x:f>
        <x:v>Proposal</x:v>
      </x:c>
      <x:c r="M19" s="4" t="str">
        <x:f>IFERROR(INDEX('Material routes'!$M$6:$M$2205,MATCH(U19,'Material routes'!$A$6:$A$2205,0)),"MISSING ID")</x:f>
        <x:v>Partial proposal</x:v>
      </x:c>
      <x:c r="N19" s="4" t="str">
        <x:f>IF(IFERROR(INDEX('Material routes'!$I$6:$I$1005,MATCH(U19,'Material routes'!$A$6:$A$1005,0)),"MISSING ID")=0,"",IFERROR(INDEX('Material routes'!$I$6:$I$1005,MATCH(U19,'Material routes'!$A$6:$A$1005,0)),"MISSING ID"))</x:f>
      </x:c>
      <x:c r="O19" s="4" t="str">
        <x:f>IFERROR(INDEX('Material routes'!$J$6:$J$2205,MATCH(U19,'Material routes'!$A$6:$A$2205,0)),"MISSING ID")</x:f>
        <x:v>Unspecified</x:v>
      </x:c>
      <x:c r="P19" s="4" t="str">
        <x:f>IF(IFERROR(INDEX('Material routes'!$I$6:$I$1005,MATCH(V19,'Material routes'!$A$6:$A$1005,0)),"MISSING ID")=0,"",IFERROR(INDEX('Material routes'!$I$6:$I$1005,MATCH(V19,'Material routes'!$A$6:$A$1005,0)),"MISSING ID"))</x:f>
      </x:c>
      <x:c r="Q19" s="4" t="str">
        <x:f>IFERROR(INDEX('Material routes'!$J$6:$J$2205,MATCH(V19,'Material routes'!$A$6:$A$2205,0)),"MISSING ID")</x:f>
        <x:v>Unspecified</x:v>
      </x:c>
      <x:c r="R19" s="4" t="str">
        <x:f>IF(L19="Withheld","Withheld premise",IF(E19="Tool candidate","Reusable prerequisite",IF(K19="Raw entry preparation","Entry-resource preparation",IF(G19="Not applicable",IF(IFERROR(INDEX('Items'!$AI$6:$AI$1005,MATCH(T19,'Items'!$A$6:$A$1005,0)),"MISSING ID")="Finished item","Finished endpoint",IF(IFERROR(INDEX('Items'!$AI$6:$AI$1005,MATCH(T19,'Items'!$A$6:$A$1005,0)),"MISSING ID")="Currency","Currency / no refinement tier","Recovered output / tier not applicable")),IF(OR(IFERROR(INDEX('Crafting recipes'!$H$6:$H$1005,MATCH(J19,'Crafting recipes'!$A$6:$A$1005,0)),"Unassigned")="Unassigned",G19="Unassigned"),"Tier unresolved",IF(IFERROR(VALUE(RIGHT(G19,1))-VALUE(RIGHT(IFERROR(INDEX('Crafting recipes'!$H$6:$H$1005,MATCH(J19,'Crafting recipes'!$A$6:$A$1005,0)),"Unassigned"),1)),0)=1,IF(B19=IFERROR(INDEX('Crafting recipes'!$H$6:$H$1005,MATCH(J19,'Crafting recipes'!$A$6:$A$1005,0)),"Unassigned"),"Advances one material tier","Lower-tier ingredient; route advances one tier"),"Needs tier review"))))))</x:f>
        <x:v>Advances one material tier</x:v>
      </x:c>
      <x:c r="S19" s="4" t="str">
        <x:f>IFERROR(INDEX('Material routes'!$D$6:$D$2205,MATCH(U19,'Material routes'!$A$6:$A$2205,0)),"MISSING ID")</x:f>
        <x:v>proposal.bio.inner_wing</x:v>
      </x:c>
      <x:c r="T19" s="4" t="str">
        <x:f>IFERROR(INDEX('Material routes'!$D$6:$D$2205,MATCH(V19,'Material routes'!$A$6:$A$2205,0)),"MISSING ID")</x:f>
        <x:v>proposal.wind.sail_panel</x:v>
      </x:c>
      <x:c r="U19" s="4" t="str">
        <x:v>material.route.015</x:v>
      </x:c>
      <x:c r="V19" s="4" t="str">
        <x:v>output.design.refine.wind.sail_panel</x:v>
      </x:c>
    </x:row>
    <x:row r="20" ht="85" customHeight="1">
      <x:c r="A20" s="4" t="str">
        <x:f>IFERROR(INDEX('Material routes'!$E$6:$E$2205,MATCH(U20,'Material routes'!$A$6:$A$2205,0)),"MISSING ID")</x:f>
        <x:v>Joint-lubricating secretion</x:v>
      </x:c>
      <x:c r="B20" s="4" t="str">
        <x:f>IFERROR(INDEX('Material routes'!$F$6:$F$2205,MATCH(U20,'Material routes'!$A$6:$A$2205,0)),"MISSING ID")</x:f>
        <x:v>T0</x:v>
      </x:c>
      <x:c r="C20" s="4" t="str">
        <x:f>IFERROR(INDEX('Material routes'!$H$6:$H$2205,MATCH(U20,'Material routes'!$A$6:$A$2205,0)),"MISSING ID")</x:f>
        <x:v>Chemical material</x:v>
      </x:c>
      <x:c r="D20" s="4" t="str">
        <x:f>IFERROR(INDEX('Material routes'!$G$6:$G$2205,MATCH(U20,'Material routes'!$A$6:$A$2205,0)),"MISSING ID")</x:f>
        <x:v>Biological resources</x:v>
      </x:c>
      <x:c r="E20" s="4" t="str">
        <x:f>IFERROR(INDEX('Material routes'!$C$6:$C$2205,MATCH(U20,'Material routes'!$A$6:$A$2205,0)),"MISSING ID")</x:f>
        <x:v>Ingredient candidate</x:v>
      </x:c>
      <x:c r="F20" s="4" t="str">
        <x:f>IFERROR(INDEX('Material routes'!$E$6:$E$2205,MATCH(V20,'Material routes'!$A$6:$A$2205,0)),"MISSING ID")</x:f>
        <x:v>Clarified faunal lubricant base</x:v>
      </x:c>
      <x:c r="G20" s="4" t="str">
        <x:f>IFERROR(INDEX('Material routes'!$F$6:$F$2205,MATCH(V20,'Material routes'!$A$6:$A$2205,0)),"MISSING ID")</x:f>
        <x:v>T1</x:v>
      </x:c>
      <x:c r="H20" s="4" t="str">
        <x:f>IFERROR(INDEX('Material routes'!$H$6:$H$2205,MATCH(V20,'Material routes'!$A$6:$A$2205,0)),"MISSING ID")</x:f>
        <x:v>Chemical material</x:v>
      </x:c>
      <x:c r="I20" s="4" t="str">
        <x:f>IFERROR(INDEX('Material routes'!$G$6:$G$2205,MATCH(V20,'Material routes'!$A$6:$A$2205,0)),"MISSING ID")</x:f>
        <x:v>Crafting components</x:v>
      </x:c>
      <x:c r="J20" s="4" t="str">
        <x:f>IFERROR(INDEX('Material routes'!$B$6:$B$2205,MATCH(U20,'Material routes'!$A$6:$A$2205,0)),"MISSING ID")</x:f>
        <x:v>design.refine.lubricant.base</x:v>
      </x:c>
      <x:c r="K20" s="4" t="str">
        <x:f>IFERROR(INDEX('Crafting recipes'!$C$6:$C$1005,MATCH(J20,'Crafting recipes'!$A$6:$A$1005,0)),"MISSING ID")</x:f>
        <x:v>Material refinement</x:v>
      </x:c>
      <x:c r="L20" s="4" t="str">
        <x:f>IFERROR(INDEX('Material routes'!$K$6:$K$2205,MATCH(U20,'Material routes'!$A$6:$A$2205,0)),"MISSING ID")</x:f>
        <x:v>Proposal</x:v>
      </x:c>
      <x:c r="M20" s="4" t="str">
        <x:f>IFERROR(INDEX('Material routes'!$M$6:$M$2205,MATCH(U20,'Material routes'!$A$6:$A$2205,0)),"MISSING ID")</x:f>
        <x:v>Partial proposal</x:v>
      </x:c>
      <x:c r="N20" s="4" t="str">
        <x:f>IF(IFERROR(INDEX('Material routes'!$I$6:$I$1005,MATCH(U20,'Material routes'!$A$6:$A$1005,0)),"MISSING ID")=0,"",IFERROR(INDEX('Material routes'!$I$6:$I$1005,MATCH(U20,'Material routes'!$A$6:$A$1005,0)),"MISSING ID"))</x:f>
      </x:c>
      <x:c r="O20" s="4" t="str">
        <x:f>IFERROR(INDEX('Material routes'!$J$6:$J$2205,MATCH(U20,'Material routes'!$A$6:$A$2205,0)),"MISSING ID")</x:f>
        <x:v>Unspecified</x:v>
      </x:c>
      <x:c r="P20" s="4" t="str">
        <x:f>IF(IFERROR(INDEX('Material routes'!$I$6:$I$1005,MATCH(V20,'Material routes'!$A$6:$A$1005,0)),"MISSING ID")=0,"",IFERROR(INDEX('Material routes'!$I$6:$I$1005,MATCH(V20,'Material routes'!$A$6:$A$1005,0)),"MISSING ID"))</x:f>
      </x:c>
      <x:c r="Q20" s="4" t="str">
        <x:f>IFERROR(INDEX('Material routes'!$J$6:$J$2205,MATCH(V20,'Material routes'!$A$6:$A$2205,0)),"MISSING ID")</x:f>
        <x:v>Unspecified</x:v>
      </x:c>
      <x:c r="R20" s="4" t="str">
        <x:f>IF(L20="Withheld","Withheld premise",IF(E20="Tool candidate","Reusable prerequisite",IF(K20="Raw entry preparation","Entry-resource preparation",IF(G20="Not applicable",IF(IFERROR(INDEX('Items'!$AI$6:$AI$1005,MATCH(T20,'Items'!$A$6:$A$1005,0)),"MISSING ID")="Finished item","Finished endpoint",IF(IFERROR(INDEX('Items'!$AI$6:$AI$1005,MATCH(T20,'Items'!$A$6:$A$1005,0)),"MISSING ID")="Currency","Currency / no refinement tier","Recovered output / tier not applicable")),IF(OR(IFERROR(INDEX('Crafting recipes'!$H$6:$H$1005,MATCH(J20,'Crafting recipes'!$A$6:$A$1005,0)),"Unassigned")="Unassigned",G20="Unassigned"),"Tier unresolved",IF(IFERROR(VALUE(RIGHT(G20,1))-VALUE(RIGHT(IFERROR(INDEX('Crafting recipes'!$H$6:$H$1005,MATCH(J20,'Crafting recipes'!$A$6:$A$1005,0)),"Unassigned"),1)),0)=1,IF(B20=IFERROR(INDEX('Crafting recipes'!$H$6:$H$1005,MATCH(J20,'Crafting recipes'!$A$6:$A$1005,0)),"Unassigned"),"Advances one material tier","Lower-tier ingredient; route advances one tier"),"Needs tier review"))))))</x:f>
        <x:v>Advances one material tier</x:v>
      </x:c>
      <x:c r="S20" s="4" t="str">
        <x:f>IFERROR(INDEX('Material routes'!$D$6:$D$2205,MATCH(U20,'Material routes'!$A$6:$A$2205,0)),"MISSING ID")</x:f>
        <x:v>proposal.chemical.joint_lubricant</x:v>
      </x:c>
      <x:c r="T20" s="4" t="str">
        <x:f>IFERROR(INDEX('Material routes'!$D$6:$D$2205,MATCH(V20,'Material routes'!$A$6:$A$2205,0)),"MISSING ID")</x:f>
        <x:v>proposal.lubricant.base</x:v>
      </x:c>
      <x:c r="U20" s="4" t="str">
        <x:v>material.route.016</x:v>
      </x:c>
      <x:c r="V20" s="4" t="str">
        <x:v>output.design.refine.lubricant.base</x:v>
      </x:c>
    </x:row>
    <x:row r="21" ht="85" customHeight="1">
      <x:c r="A21" s="4" t="str">
        <x:f>IFERROR(INDEX('Material routes'!$E$6:$E$2205,MATCH(U21,'Material routes'!$A$6:$A$2205,0)),"MISSING ID")</x:f>
        <x:v>Faunal chemical material (unspecified)</x:v>
      </x:c>
      <x:c r="B21" s="4" t="str">
        <x:f>IFERROR(INDEX('Material routes'!$F$6:$F$2205,MATCH(U21,'Material routes'!$A$6:$A$2205,0)),"MISSING ID")</x:f>
        <x:v>T0</x:v>
      </x:c>
      <x:c r="C21" s="4" t="str">
        <x:f>IFERROR(INDEX('Material routes'!$H$6:$H$2205,MATCH(U21,'Material routes'!$A$6:$A$2205,0)),"MISSING ID")</x:f>
        <x:v>Chemical material</x:v>
      </x:c>
      <x:c r="D21" s="4" t="str">
        <x:f>IFERROR(INDEX('Material routes'!$G$6:$G$2205,MATCH(U21,'Material routes'!$A$6:$A$2205,0)),"MISSING ID")</x:f>
        <x:v>Biological resources</x:v>
      </x:c>
      <x:c r="E21" s="4" t="str">
        <x:f>IFERROR(INDEX('Material routes'!$C$6:$C$2205,MATCH(U21,'Material routes'!$A$6:$A$2205,0)),"MISSING ID")</x:f>
        <x:v>Ingredient candidate</x:v>
      </x:c>
      <x:c r="F21" s="4" t="str">
        <x:f>IFERROR(INDEX('Material routes'!$E$6:$E$2205,MATCH(V21,'Material routes'!$A$6:$A$2205,0)),"MISSING ID")</x:f>
        <x:v>Prepared secretion thickener</x:v>
      </x:c>
      <x:c r="G21" s="4" t="str">
        <x:f>IFERROR(INDEX('Material routes'!$F$6:$F$2205,MATCH(V21,'Material routes'!$A$6:$A$2205,0)),"MISSING ID")</x:f>
        <x:v>T1</x:v>
      </x:c>
      <x:c r="H21" s="4" t="str">
        <x:f>IFERROR(INDEX('Material routes'!$H$6:$H$2205,MATCH(V21,'Material routes'!$A$6:$A$2205,0)),"MISSING ID")</x:f>
        <x:v>Chemical material</x:v>
      </x:c>
      <x:c r="I21" s="4" t="str">
        <x:f>IFERROR(INDEX('Material routes'!$G$6:$G$2205,MATCH(V21,'Material routes'!$A$6:$A$2205,0)),"MISSING ID")</x:f>
        <x:v>Crafting components</x:v>
      </x:c>
      <x:c r="J21" s="4" t="str">
        <x:f>IFERROR(INDEX('Material routes'!$B$6:$B$2205,MATCH(U21,'Material routes'!$A$6:$A$2205,0)),"MISSING ID")</x:f>
        <x:v>design.refine.lubricant.thickener</x:v>
      </x:c>
      <x:c r="K21" s="4" t="str">
        <x:f>IFERROR(INDEX('Crafting recipes'!$C$6:$C$1005,MATCH(J21,'Crafting recipes'!$A$6:$A$1005,0)),"MISSING ID")</x:f>
        <x:v>Material refinement</x:v>
      </x:c>
      <x:c r="L21" s="4" t="str">
        <x:f>IFERROR(INDEX('Material routes'!$K$6:$K$2205,MATCH(U21,'Material routes'!$A$6:$A$2205,0)),"MISSING ID")</x:f>
        <x:v>Proposal</x:v>
      </x:c>
      <x:c r="M21" s="4" t="str">
        <x:f>IFERROR(INDEX('Material routes'!$M$6:$M$2205,MATCH(U21,'Material routes'!$A$6:$A$2205,0)),"MISSING ID")</x:f>
        <x:v>Partial proposal</x:v>
      </x:c>
      <x:c r="N21" s="4" t="str">
        <x:f>IF(IFERROR(INDEX('Material routes'!$I$6:$I$1005,MATCH(U21,'Material routes'!$A$6:$A$1005,0)),"MISSING ID")=0,"",IFERROR(INDEX('Material routes'!$I$6:$I$1005,MATCH(U21,'Material routes'!$A$6:$A$1005,0)),"MISSING ID"))</x:f>
      </x:c>
      <x:c r="O21" s="4" t="str">
        <x:f>IFERROR(INDEX('Material routes'!$J$6:$J$2205,MATCH(U21,'Material routes'!$A$6:$A$2205,0)),"MISSING ID")</x:f>
        <x:v>Unspecified</x:v>
      </x:c>
      <x:c r="P21" s="4" t="str">
        <x:f>IF(IFERROR(INDEX('Material routes'!$I$6:$I$1005,MATCH(V21,'Material routes'!$A$6:$A$1005,0)),"MISSING ID")=0,"",IFERROR(INDEX('Material routes'!$I$6:$I$1005,MATCH(V21,'Material routes'!$A$6:$A$1005,0)),"MISSING ID"))</x:f>
      </x:c>
      <x:c r="Q21" s="4" t="str">
        <x:f>IFERROR(INDEX('Material routes'!$J$6:$J$2205,MATCH(V21,'Material routes'!$A$6:$A$2205,0)),"MISSING ID")</x:f>
        <x:v>Unspecified</x:v>
      </x:c>
      <x:c r="R21" s="4" t="str">
        <x:f>IF(L21="Withheld","Withheld premise",IF(E21="Tool candidate","Reusable prerequisite",IF(K21="Raw entry preparation","Entry-resource preparation",IF(G21="Not applicable",IF(IFERROR(INDEX('Items'!$AI$6:$AI$1005,MATCH(T21,'Items'!$A$6:$A$1005,0)),"MISSING ID")="Finished item","Finished endpoint",IF(IFERROR(INDEX('Items'!$AI$6:$AI$1005,MATCH(T21,'Items'!$A$6:$A$1005,0)),"MISSING ID")="Currency","Currency / no refinement tier","Recovered output / tier not applicable")),IF(OR(IFERROR(INDEX('Crafting recipes'!$H$6:$H$1005,MATCH(J21,'Crafting recipes'!$A$6:$A$1005,0)),"Unassigned")="Unassigned",G21="Unassigned"),"Tier unresolved",IF(IFERROR(VALUE(RIGHT(G21,1))-VALUE(RIGHT(IFERROR(INDEX('Crafting recipes'!$H$6:$H$1005,MATCH(J21,'Crafting recipes'!$A$6:$A$1005,0)),"Unassigned"),1)),0)=1,IF(B21=IFERROR(INDEX('Crafting recipes'!$H$6:$H$1005,MATCH(J21,'Crafting recipes'!$A$6:$A$1005,0)),"Unassigned"),"Advances one material tier","Lower-tier ingredient; route advances one tier"),"Needs tier review"))))))</x:f>
        <x:v>Advances one material tier</x:v>
      </x:c>
      <x:c r="S21" s="4" t="str">
        <x:f>IFERROR(INDEX('Material routes'!$D$6:$D$2205,MATCH(U21,'Material routes'!$A$6:$A$2205,0)),"MISSING ID")</x:f>
        <x:v>proposal.bio.chemical_material</x:v>
      </x:c>
      <x:c r="T21" s="4" t="str">
        <x:f>IFERROR(INDEX('Material routes'!$D$6:$D$2205,MATCH(V21,'Material routes'!$A$6:$A$2205,0)),"MISSING ID")</x:f>
        <x:v>proposal.lubricant.thickener</x:v>
      </x:c>
      <x:c r="U21" s="4" t="str">
        <x:v>material.route.017</x:v>
      </x:c>
      <x:c r="V21" s="4" t="str">
        <x:v>output.design.refine.lubricant.thickener</x:v>
      </x:c>
    </x:row>
    <x:row r="22" ht="85" customHeight="1">
      <x:c r="A22" s="4" t="str">
        <x:f>IFERROR(INDEX('Material routes'!$E$6:$E$2205,MATCH(U22,'Material routes'!$A$6:$A$2205,0)),"MISSING ID")</x:f>
        <x:v>Ironstone Ore</x:v>
      </x:c>
      <x:c r="B22" s="4" t="str">
        <x:f>IFERROR(INDEX('Material routes'!$F$6:$F$2205,MATCH(U22,'Material routes'!$A$6:$A$2205,0)),"MISSING ID")</x:f>
        <x:v>T0</x:v>
      </x:c>
      <x:c r="C22" s="4" t="str">
        <x:f>IFERROR(INDEX('Material routes'!$H$6:$H$2205,MATCH(U22,'Material routes'!$A$6:$A$2205,0)),"MISSING ID")</x:f>
        <x:v>Raw material</x:v>
      </x:c>
      <x:c r="D22" s="4" t="str">
        <x:f>IFERROR(INDEX('Material routes'!$G$6:$G$2205,MATCH(U22,'Material routes'!$A$6:$A$2205,0)),"MISSING ID")</x:f>
        <x:v>Mineral resources</x:v>
      </x:c>
      <x:c r="E22" s="4" t="str">
        <x:f>IFERROR(INDEX('Material routes'!$C$6:$C$2205,MATCH(U22,'Material routes'!$A$6:$A$2205,0)),"MISSING ID")</x:f>
        <x:v>Ingredient candidate</x:v>
      </x:c>
      <x:c r="F22" s="4" t="str">
        <x:f>IFERROR(INDEX('Material routes'!$E$6:$E$2205,MATCH(V22,'Material routes'!$A$6:$A$2205,0)),"MISSING ID")</x:f>
        <x:v>Smelted iron bloom</x:v>
      </x:c>
      <x:c r="G22" s="4" t="str">
        <x:f>IFERROR(INDEX('Material routes'!$F$6:$F$2205,MATCH(V22,'Material routes'!$A$6:$A$2205,0)),"MISSING ID")</x:f>
        <x:v>T1</x:v>
      </x:c>
      <x:c r="H22" s="4" t="str">
        <x:f>IFERROR(INDEX('Material routes'!$H$6:$H$2205,MATCH(V22,'Material routes'!$A$6:$A$2205,0)),"MISSING ID")</x:f>
        <x:v>Processed material</x:v>
      </x:c>
      <x:c r="I22" s="4" t="str">
        <x:f>IFERROR(INDEX('Material routes'!$G$6:$G$2205,MATCH(V22,'Material routes'!$A$6:$A$2205,0)),"MISSING ID")</x:f>
        <x:v>Manufactured stock</x:v>
      </x:c>
      <x:c r="J22" s="4" t="str">
        <x:f>IFERROR(INDEX('Material routes'!$B$6:$B$2205,MATCH(U22,'Material routes'!$A$6:$A$2205,0)),"MISSING ID")</x:f>
        <x:v>design.refine.t1.iron_bloom</x:v>
      </x:c>
      <x:c r="K22" s="4" t="str">
        <x:f>IFERROR(INDEX('Crafting recipes'!$C$6:$C$1005,MATCH(J22,'Crafting recipes'!$A$6:$A$1005,0)),"MISSING ID")</x:f>
        <x:v>Material refinement</x:v>
      </x:c>
      <x:c r="L22" s="4" t="str">
        <x:f>IFERROR(INDEX('Material routes'!$K$6:$K$2205,MATCH(U22,'Material routes'!$A$6:$A$2205,0)),"MISSING ID")</x:f>
        <x:v>Proposal</x:v>
      </x:c>
      <x:c r="M22" s="4" t="str">
        <x:f>IFERROR(INDEX('Material routes'!$M$6:$M$2205,MATCH(U22,'Material routes'!$A$6:$A$2205,0)),"MISSING ID")</x:f>
        <x:v>Partial proposal</x:v>
      </x:c>
      <x:c r="N22" s="4" t="str">
        <x:f>IF(IFERROR(INDEX('Material routes'!$I$6:$I$1005,MATCH(U22,'Material routes'!$A$6:$A$1005,0)),"MISSING ID")=0,"",IFERROR(INDEX('Material routes'!$I$6:$I$1005,MATCH(U22,'Material routes'!$A$6:$A$1005,0)),"MISSING ID"))</x:f>
      </x:c>
      <x:c r="O22" s="4" t="str">
        <x:f>IFERROR(INDEX('Material routes'!$J$6:$J$2205,MATCH(U22,'Material routes'!$A$6:$A$2205,0)),"MISSING ID")</x:f>
        <x:v>Unspecified</x:v>
      </x:c>
      <x:c r="P22" s="4" t="str">
        <x:f>IF(IFERROR(INDEX('Material routes'!$I$6:$I$1005,MATCH(V22,'Material routes'!$A$6:$A$1005,0)),"MISSING ID")=0,"",IFERROR(INDEX('Material routes'!$I$6:$I$1005,MATCH(V22,'Material routes'!$A$6:$A$1005,0)),"MISSING ID"))</x:f>
      </x:c>
      <x:c r="Q22" s="4" t="str">
        <x:f>IFERROR(INDEX('Material routes'!$J$6:$J$2205,MATCH(V22,'Material routes'!$A$6:$A$2205,0)),"MISSING ID")</x:f>
        <x:v>Unspecified</x:v>
      </x:c>
      <x:c r="R22" s="4" t="str">
        <x:f>IF(L22="Withheld","Withheld premise",IF(E22="Tool candidate","Reusable prerequisite",IF(K22="Raw entry preparation","Entry-resource preparation",IF(G22="Not applicable",IF(IFERROR(INDEX('Items'!$AI$6:$AI$1005,MATCH(T22,'Items'!$A$6:$A$1005,0)),"MISSING ID")="Finished item","Finished endpoint",IF(IFERROR(INDEX('Items'!$AI$6:$AI$1005,MATCH(T22,'Items'!$A$6:$A$1005,0)),"MISSING ID")="Currency","Currency / no refinement tier","Recovered output / tier not applicable")),IF(OR(IFERROR(INDEX('Crafting recipes'!$H$6:$H$1005,MATCH(J22,'Crafting recipes'!$A$6:$A$1005,0)),"Unassigned")="Unassigned",G22="Unassigned"),"Tier unresolved",IF(IFERROR(VALUE(RIGHT(G22,1))-VALUE(RIGHT(IFERROR(INDEX('Crafting recipes'!$H$6:$H$1005,MATCH(J22,'Crafting recipes'!$A$6:$A$1005,0)),"Unassigned"),1)),0)=1,IF(B22=IFERROR(INDEX('Crafting recipes'!$H$6:$H$1005,MATCH(J22,'Crafting recipes'!$A$6:$A$1005,0)),"Unassigned"),"Advances one material tier","Lower-tier ingredient; route advances one tier"),"Needs tier review"))))))</x:f>
        <x:v>Advances one material tier</x:v>
      </x:c>
      <x:c r="S22" s="4" t="str">
        <x:f>IFERROR(INDEX('Material routes'!$D$6:$D$2205,MATCH(U22,'Material routes'!$A$6:$A$2205,0)),"MISSING ID")</x:f>
        <x:v>resource.ironstone_ore</x:v>
      </x:c>
      <x:c r="T22" s="4" t="str">
        <x:f>IFERROR(INDEX('Material routes'!$D$6:$D$2205,MATCH(V22,'Material routes'!$A$6:$A$2205,0)),"MISSING ID")</x:f>
        <x:v>proposal.t1.iron_bloom</x:v>
      </x:c>
      <x:c r="U22" s="4" t="str">
        <x:v>material.route.018</x:v>
      </x:c>
      <x:c r="V22" s="4" t="str">
        <x:v>output.design.refine.t1.iron_bloom</x:v>
      </x:c>
    </x:row>
    <x:row r="23" ht="85" customHeight="1">
      <x:c r="A23" s="4" t="str">
        <x:f>IFERROR(INDEX('Material routes'!$E$6:$E$2205,MATCH(U23,'Material routes'!$A$6:$A$2205,0)),"MISSING ID")</x:f>
        <x:v>Raw copper lump</x:v>
      </x:c>
      <x:c r="B23" s="4" t="str">
        <x:f>IFERROR(INDEX('Material routes'!$F$6:$F$2205,MATCH(U23,'Material routes'!$A$6:$A$2205,0)),"MISSING ID")</x:f>
        <x:v>T0</x:v>
      </x:c>
      <x:c r="C23" s="4" t="str">
        <x:f>IFERROR(INDEX('Material routes'!$H$6:$H$2205,MATCH(U23,'Material routes'!$A$6:$A$2205,0)),"MISSING ID")</x:f>
        <x:v>Processed material</x:v>
      </x:c>
      <x:c r="D23" s="4" t="str">
        <x:f>IFERROR(INDEX('Material routes'!$G$6:$G$2205,MATCH(U23,'Material routes'!$A$6:$A$2205,0)),"MISSING ID")</x:f>
        <x:v>Mineral resources</x:v>
      </x:c>
      <x:c r="E23" s="4" t="str">
        <x:f>IFERROR(INDEX('Material routes'!$C$6:$C$2205,MATCH(U23,'Material routes'!$A$6:$A$2205,0)),"MISSING ID")</x:f>
        <x:v>Ingredient candidate</x:v>
      </x:c>
      <x:c r="F23" s="4" t="str">
        <x:f>IFERROR(INDEX('Material routes'!$E$6:$E$2205,MATCH(V23,'Material routes'!$A$6:$A$2205,0)),"MISSING ID")</x:f>
        <x:v>Refined copper cake</x:v>
      </x:c>
      <x:c r="G23" s="4" t="str">
        <x:f>IFERROR(INDEX('Material routes'!$F$6:$F$2205,MATCH(V23,'Material routes'!$A$6:$A$2205,0)),"MISSING ID")</x:f>
        <x:v>T1</x:v>
      </x:c>
      <x:c r="H23" s="4" t="str">
        <x:f>IFERROR(INDEX('Material routes'!$H$6:$H$2205,MATCH(V23,'Material routes'!$A$6:$A$2205,0)),"MISSING ID")</x:f>
        <x:v>Processed material</x:v>
      </x:c>
      <x:c r="I23" s="4" t="str">
        <x:f>IFERROR(INDEX('Material routes'!$G$6:$G$2205,MATCH(V23,'Material routes'!$A$6:$A$2205,0)),"MISSING ID")</x:f>
        <x:v>Manufactured stock</x:v>
      </x:c>
      <x:c r="J23" s="4" t="str">
        <x:f>IFERROR(INDEX('Material routes'!$B$6:$B$2205,MATCH(U23,'Material routes'!$A$6:$A$2205,0)),"MISSING ID")</x:f>
        <x:v>design.refine.t1.copper_cake</x:v>
      </x:c>
      <x:c r="K23" s="4" t="str">
        <x:f>IFERROR(INDEX('Crafting recipes'!$C$6:$C$1005,MATCH(J23,'Crafting recipes'!$A$6:$A$1005,0)),"MISSING ID")</x:f>
        <x:v>Material refinement</x:v>
      </x:c>
      <x:c r="L23" s="4" t="str">
        <x:f>IFERROR(INDEX('Material routes'!$K$6:$K$2205,MATCH(U23,'Material routes'!$A$6:$A$2205,0)),"MISSING ID")</x:f>
        <x:v>Proposal</x:v>
      </x:c>
      <x:c r="M23" s="4" t="str">
        <x:f>IFERROR(INDEX('Material routes'!$M$6:$M$2205,MATCH(U23,'Material routes'!$A$6:$A$2205,0)),"MISSING ID")</x:f>
        <x:v>Partial proposal</x:v>
      </x:c>
      <x:c r="N23" s="4" t="str">
        <x:f>IF(IFERROR(INDEX('Material routes'!$I$6:$I$1005,MATCH(U23,'Material routes'!$A$6:$A$1005,0)),"MISSING ID")=0,"",IFERROR(INDEX('Material routes'!$I$6:$I$1005,MATCH(U23,'Material routes'!$A$6:$A$1005,0)),"MISSING ID"))</x:f>
      </x:c>
      <x:c r="O23" s="4" t="str">
        <x:f>IFERROR(INDEX('Material routes'!$J$6:$J$2205,MATCH(U23,'Material routes'!$A$6:$A$2205,0)),"MISSING ID")</x:f>
        <x:v>Unspecified</x:v>
      </x:c>
      <x:c r="P23" s="4" t="str">
        <x:f>IF(IFERROR(INDEX('Material routes'!$I$6:$I$1005,MATCH(V23,'Material routes'!$A$6:$A$1005,0)),"MISSING ID")=0,"",IFERROR(INDEX('Material routes'!$I$6:$I$1005,MATCH(V23,'Material routes'!$A$6:$A$1005,0)),"MISSING ID"))</x:f>
      </x:c>
      <x:c r="Q23" s="4" t="str">
        <x:f>IFERROR(INDEX('Material routes'!$J$6:$J$2205,MATCH(V23,'Material routes'!$A$6:$A$2205,0)),"MISSING ID")</x:f>
        <x:v>Unspecified</x:v>
      </x:c>
      <x:c r="R23" s="4" t="str">
        <x:f>IF(L23="Withheld","Withheld premise",IF(E23="Tool candidate","Reusable prerequisite",IF(K23="Raw entry preparation","Entry-resource preparation",IF(G23="Not applicable",IF(IFERROR(INDEX('Items'!$AI$6:$AI$1005,MATCH(T23,'Items'!$A$6:$A$1005,0)),"MISSING ID")="Finished item","Finished endpoint",IF(IFERROR(INDEX('Items'!$AI$6:$AI$1005,MATCH(T23,'Items'!$A$6:$A$1005,0)),"MISSING ID")="Currency","Currency / no refinement tier","Recovered output / tier not applicable")),IF(OR(IFERROR(INDEX('Crafting recipes'!$H$6:$H$1005,MATCH(J23,'Crafting recipes'!$A$6:$A$1005,0)),"Unassigned")="Unassigned",G23="Unassigned"),"Tier unresolved",IF(IFERROR(VALUE(RIGHT(G23,1))-VALUE(RIGHT(IFERROR(INDEX('Crafting recipes'!$H$6:$H$1005,MATCH(J23,'Crafting recipes'!$A$6:$A$1005,0)),"Unassigned"),1)),0)=1,IF(B23=IFERROR(INDEX('Crafting recipes'!$H$6:$H$1005,MATCH(J23,'Crafting recipes'!$A$6:$A$1005,0)),"Unassigned"),"Advances one material tier","Lower-tier ingredient; route advances one tier"),"Needs tier review"))))))</x:f>
        <x:v>Advances one material tier</x:v>
      </x:c>
      <x:c r="S23" s="4" t="str">
        <x:f>IFERROR(INDEX('Material routes'!$D$6:$D$2205,MATCH(U23,'Material routes'!$A$6:$A$2205,0)),"MISSING ID")</x:f>
        <x:v>proposal.natural.raw_copper</x:v>
      </x:c>
      <x:c r="T23" s="4" t="str">
        <x:f>IFERROR(INDEX('Material routes'!$D$6:$D$2205,MATCH(V23,'Material routes'!$A$6:$A$2205,0)),"MISSING ID")</x:f>
        <x:v>proposal.t1.copper_cake</x:v>
      </x:c>
      <x:c r="U23" s="4" t="str">
        <x:v>material.route.019</x:v>
      </x:c>
      <x:c r="V23" s="4" t="str">
        <x:v>output.design.refine.t1.copper_cake</x:v>
      </x:c>
    </x:row>
    <x:row r="24" ht="85" customHeight="1">
      <x:c r="A24" s="4" t="str">
        <x:f>IFERROR(INDEX('Material routes'!$E$6:$E$2205,MATCH(U24,'Material routes'!$A$6:$A$2205,0)),"MISSING ID")</x:f>
        <x:v>Salvaged brass fragments</x:v>
      </x:c>
      <x:c r="B24" s="4" t="str">
        <x:f>IFERROR(INDEX('Material routes'!$F$6:$F$2205,MATCH(U24,'Material routes'!$A$6:$A$2205,0)),"MISSING ID")</x:f>
        <x:v>T0</x:v>
      </x:c>
      <x:c r="C24" s="4" t="str">
        <x:f>IFERROR(INDEX('Material routes'!$H$6:$H$2205,MATCH(U24,'Material routes'!$A$6:$A$2205,0)),"MISSING ID")</x:f>
        <x:v>Raw material</x:v>
      </x:c>
      <x:c r="D24" s="4" t="str">
        <x:f>IFERROR(INDEX('Material routes'!$G$6:$G$2205,MATCH(U24,'Material routes'!$A$6:$A$2205,0)),"MISSING ID")</x:f>
        <x:v>Salvage</x:v>
      </x:c>
      <x:c r="E24" s="4" t="str">
        <x:f>IFERROR(INDEX('Material routes'!$C$6:$C$2205,MATCH(U24,'Material routes'!$A$6:$A$2205,0)),"MISSING ID")</x:f>
        <x:v>Ingredient candidate</x:v>
      </x:c>
      <x:c r="F24" s="4" t="str">
        <x:f>IFERROR(INDEX('Material routes'!$E$6:$E$2205,MATCH(V24,'Material routes'!$A$6:$A$2205,0)),"MISSING ID")</x:f>
        <x:v>Reclaimed brass billet</x:v>
      </x:c>
      <x:c r="G24" s="4" t="str">
        <x:f>IFERROR(INDEX('Material routes'!$F$6:$F$2205,MATCH(V24,'Material routes'!$A$6:$A$2205,0)),"MISSING ID")</x:f>
        <x:v>T1</x:v>
      </x:c>
      <x:c r="H24" s="4" t="str">
        <x:f>IFERROR(INDEX('Material routes'!$H$6:$H$2205,MATCH(V24,'Material routes'!$A$6:$A$2205,0)),"MISSING ID")</x:f>
        <x:v>Processed material</x:v>
      </x:c>
      <x:c r="I24" s="4" t="str">
        <x:f>IFERROR(INDEX('Material routes'!$G$6:$G$2205,MATCH(V24,'Material routes'!$A$6:$A$2205,0)),"MISSING ID")</x:f>
        <x:v>Manufactured stock</x:v>
      </x:c>
      <x:c r="J24" s="4" t="str">
        <x:f>IFERROR(INDEX('Material routes'!$B$6:$B$2205,MATCH(U24,'Material routes'!$A$6:$A$2205,0)),"MISSING ID")</x:f>
        <x:v>design.refine.t1.brass_billet</x:v>
      </x:c>
      <x:c r="K24" s="4" t="str">
        <x:f>IFERROR(INDEX('Crafting recipes'!$C$6:$C$1005,MATCH(J24,'Crafting recipes'!$A$6:$A$1005,0)),"MISSING ID")</x:f>
        <x:v>Material refinement</x:v>
      </x:c>
      <x:c r="L24" s="4" t="str">
        <x:f>IFERROR(INDEX('Material routes'!$K$6:$K$2205,MATCH(U24,'Material routes'!$A$6:$A$2205,0)),"MISSING ID")</x:f>
        <x:v>Proposal</x:v>
      </x:c>
      <x:c r="M24" s="4" t="str">
        <x:f>IFERROR(INDEX('Material routes'!$M$6:$M$2205,MATCH(U24,'Material routes'!$A$6:$A$2205,0)),"MISSING ID")</x:f>
        <x:v>Partial proposal</x:v>
      </x:c>
      <x:c r="N24" s="4" t="str">
        <x:f>IF(IFERROR(INDEX('Material routes'!$I$6:$I$1005,MATCH(U24,'Material routes'!$A$6:$A$1005,0)),"MISSING ID")=0,"",IFERROR(INDEX('Material routes'!$I$6:$I$1005,MATCH(U24,'Material routes'!$A$6:$A$1005,0)),"MISSING ID"))</x:f>
      </x:c>
      <x:c r="O24" s="4" t="str">
        <x:f>IFERROR(INDEX('Material routes'!$J$6:$J$2205,MATCH(U24,'Material routes'!$A$6:$A$2205,0)),"MISSING ID")</x:f>
        <x:v>Unspecified</x:v>
      </x:c>
      <x:c r="P24" s="4" t="str">
        <x:f>IF(IFERROR(INDEX('Material routes'!$I$6:$I$1005,MATCH(V24,'Material routes'!$A$6:$A$1005,0)),"MISSING ID")=0,"",IFERROR(INDEX('Material routes'!$I$6:$I$1005,MATCH(V24,'Material routes'!$A$6:$A$1005,0)),"MISSING ID"))</x:f>
      </x:c>
      <x:c r="Q24" s="4" t="str">
        <x:f>IFERROR(INDEX('Material routes'!$J$6:$J$2205,MATCH(V24,'Material routes'!$A$6:$A$2205,0)),"MISSING ID")</x:f>
        <x:v>Unspecified</x:v>
      </x:c>
      <x:c r="R24" s="4" t="str">
        <x:f>IF(L24="Withheld","Withheld premise",IF(E24="Tool candidate","Reusable prerequisite",IF(K24="Raw entry preparation","Entry-resource preparation",IF(G24="Not applicable",IF(IFERROR(INDEX('Items'!$AI$6:$AI$1005,MATCH(T24,'Items'!$A$6:$A$1005,0)),"MISSING ID")="Finished item","Finished endpoint",IF(IFERROR(INDEX('Items'!$AI$6:$AI$1005,MATCH(T24,'Items'!$A$6:$A$1005,0)),"MISSING ID")="Currency","Currency / no refinement tier","Recovered output / tier not applicable")),IF(OR(IFERROR(INDEX('Crafting recipes'!$H$6:$H$1005,MATCH(J24,'Crafting recipes'!$A$6:$A$1005,0)),"Unassigned")="Unassigned",G24="Unassigned"),"Tier unresolved",IF(IFERROR(VALUE(RIGHT(G24,1))-VALUE(RIGHT(IFERROR(INDEX('Crafting recipes'!$H$6:$H$1005,MATCH(J24,'Crafting recipes'!$A$6:$A$1005,0)),"Unassigned"),1)),0)=1,IF(B24=IFERROR(INDEX('Crafting recipes'!$H$6:$H$1005,MATCH(J24,'Crafting recipes'!$A$6:$A$1005,0)),"Unassigned"),"Advances one material tier","Lower-tier ingredient; route advances one tier"),"Needs tier review"))))))</x:f>
        <x:v>Advances one material tier</x:v>
      </x:c>
      <x:c r="S24" s="4" t="str">
        <x:f>IFERROR(INDEX('Material routes'!$D$6:$D$2205,MATCH(U24,'Material routes'!$A$6:$A$2205,0)),"MISSING ID")</x:f>
        <x:v>proposal.raw.brass_scrap</x:v>
      </x:c>
      <x:c r="T24" s="4" t="str">
        <x:f>IFERROR(INDEX('Material routes'!$D$6:$D$2205,MATCH(V24,'Material routes'!$A$6:$A$2205,0)),"MISSING ID")</x:f>
        <x:v>proposal.t1.brass_billet</x:v>
      </x:c>
      <x:c r="U24" s="4" t="str">
        <x:v>material.route.020</x:v>
      </x:c>
      <x:c r="V24" s="4" t="str">
        <x:v>output.design.refine.t1.brass_billet</x:v>
      </x:c>
    </x:row>
    <x:row r="25" ht="85" customHeight="1">
      <x:c r="A25" s="4" t="str">
        <x:f>IFERROR(INDEX('Material routes'!$E$6:$E$2205,MATCH(U25,'Material routes'!$A$6:$A$2205,0)),"MISSING ID")</x:f>
        <x:v>Salvaged bronze fragments</x:v>
      </x:c>
      <x:c r="B25" s="4" t="str">
        <x:f>IFERROR(INDEX('Material routes'!$F$6:$F$2205,MATCH(U25,'Material routes'!$A$6:$A$2205,0)),"MISSING ID")</x:f>
        <x:v>T0</x:v>
      </x:c>
      <x:c r="C25" s="4" t="str">
        <x:f>IFERROR(INDEX('Material routes'!$H$6:$H$2205,MATCH(U25,'Material routes'!$A$6:$A$2205,0)),"MISSING ID")</x:f>
        <x:v>Raw material</x:v>
      </x:c>
      <x:c r="D25" s="4" t="str">
        <x:f>IFERROR(INDEX('Material routes'!$G$6:$G$2205,MATCH(U25,'Material routes'!$A$6:$A$2205,0)),"MISSING ID")</x:f>
        <x:v>Salvage</x:v>
      </x:c>
      <x:c r="E25" s="4" t="str">
        <x:f>IFERROR(INDEX('Material routes'!$C$6:$C$2205,MATCH(U25,'Material routes'!$A$6:$A$2205,0)),"MISSING ID")</x:f>
        <x:v>Ingredient candidate</x:v>
      </x:c>
      <x:c r="F25" s="4" t="str">
        <x:f>IFERROR(INDEX('Material routes'!$E$6:$E$2205,MATCH(V25,'Material routes'!$A$6:$A$2205,0)),"MISSING ID")</x:f>
        <x:v>Reclaimed bronze billet</x:v>
      </x:c>
      <x:c r="G25" s="4" t="str">
        <x:f>IFERROR(INDEX('Material routes'!$F$6:$F$2205,MATCH(V25,'Material routes'!$A$6:$A$2205,0)),"MISSING ID")</x:f>
        <x:v>T1</x:v>
      </x:c>
      <x:c r="H25" s="4" t="str">
        <x:f>IFERROR(INDEX('Material routes'!$H$6:$H$2205,MATCH(V25,'Material routes'!$A$6:$A$2205,0)),"MISSING ID")</x:f>
        <x:v>Processed material</x:v>
      </x:c>
      <x:c r="I25" s="4" t="str">
        <x:f>IFERROR(INDEX('Material routes'!$G$6:$G$2205,MATCH(V25,'Material routes'!$A$6:$A$2205,0)),"MISSING ID")</x:f>
        <x:v>Manufactured stock</x:v>
      </x:c>
      <x:c r="J25" s="4" t="str">
        <x:f>IFERROR(INDEX('Material routes'!$B$6:$B$2205,MATCH(U25,'Material routes'!$A$6:$A$2205,0)),"MISSING ID")</x:f>
        <x:v>design.refine.t1.bronze_billet</x:v>
      </x:c>
      <x:c r="K25" s="4" t="str">
        <x:f>IFERROR(INDEX('Crafting recipes'!$C$6:$C$1005,MATCH(J25,'Crafting recipes'!$A$6:$A$1005,0)),"MISSING ID")</x:f>
        <x:v>Material refinement</x:v>
      </x:c>
      <x:c r="L25" s="4" t="str">
        <x:f>IFERROR(INDEX('Material routes'!$K$6:$K$2205,MATCH(U25,'Material routes'!$A$6:$A$2205,0)),"MISSING ID")</x:f>
        <x:v>Proposal</x:v>
      </x:c>
      <x:c r="M25" s="4" t="str">
        <x:f>IFERROR(INDEX('Material routes'!$M$6:$M$2205,MATCH(U25,'Material routes'!$A$6:$A$2205,0)),"MISSING ID")</x:f>
        <x:v>Partial proposal</x:v>
      </x:c>
      <x:c r="N25" s="4" t="str">
        <x:f>IF(IFERROR(INDEX('Material routes'!$I$6:$I$1005,MATCH(U25,'Material routes'!$A$6:$A$1005,0)),"MISSING ID")=0,"",IFERROR(INDEX('Material routes'!$I$6:$I$1005,MATCH(U25,'Material routes'!$A$6:$A$1005,0)),"MISSING ID"))</x:f>
      </x:c>
      <x:c r="O25" s="4" t="str">
        <x:f>IFERROR(INDEX('Material routes'!$J$6:$J$2205,MATCH(U25,'Material routes'!$A$6:$A$2205,0)),"MISSING ID")</x:f>
        <x:v>Unspecified</x:v>
      </x:c>
      <x:c r="P25" s="4" t="str">
        <x:f>IF(IFERROR(INDEX('Material routes'!$I$6:$I$1005,MATCH(V25,'Material routes'!$A$6:$A$1005,0)),"MISSING ID")=0,"",IFERROR(INDEX('Material routes'!$I$6:$I$1005,MATCH(V25,'Material routes'!$A$6:$A$1005,0)),"MISSING ID"))</x:f>
      </x:c>
      <x:c r="Q25" s="4" t="str">
        <x:f>IFERROR(INDEX('Material routes'!$J$6:$J$2205,MATCH(V25,'Material routes'!$A$6:$A$2205,0)),"MISSING ID")</x:f>
        <x:v>Unspecified</x:v>
      </x:c>
      <x:c r="R25" s="4" t="str">
        <x:f>IF(L25="Withheld","Withheld premise",IF(E25="Tool candidate","Reusable prerequisite",IF(K25="Raw entry preparation","Entry-resource preparation",IF(G25="Not applicable",IF(IFERROR(INDEX('Items'!$AI$6:$AI$1005,MATCH(T25,'Items'!$A$6:$A$1005,0)),"MISSING ID")="Finished item","Finished endpoint",IF(IFERROR(INDEX('Items'!$AI$6:$AI$1005,MATCH(T25,'Items'!$A$6:$A$1005,0)),"MISSING ID")="Currency","Currency / no refinement tier","Recovered output / tier not applicable")),IF(OR(IFERROR(INDEX('Crafting recipes'!$H$6:$H$1005,MATCH(J25,'Crafting recipes'!$A$6:$A$1005,0)),"Unassigned")="Unassigned",G25="Unassigned"),"Tier unresolved",IF(IFERROR(VALUE(RIGHT(G25,1))-VALUE(RIGHT(IFERROR(INDEX('Crafting recipes'!$H$6:$H$1005,MATCH(J25,'Crafting recipes'!$A$6:$A$1005,0)),"Unassigned"),1)),0)=1,IF(B25=IFERROR(INDEX('Crafting recipes'!$H$6:$H$1005,MATCH(J25,'Crafting recipes'!$A$6:$A$1005,0)),"Unassigned"),"Advances one material tier","Lower-tier ingredient; route advances one tier"),"Needs tier review"))))))</x:f>
        <x:v>Advances one material tier</x:v>
      </x:c>
      <x:c r="S25" s="4" t="str">
        <x:f>IFERROR(INDEX('Material routes'!$D$6:$D$2205,MATCH(U25,'Material routes'!$A$6:$A$2205,0)),"MISSING ID")</x:f>
        <x:v>proposal.raw.bronze_scrap</x:v>
      </x:c>
      <x:c r="T25" s="4" t="str">
        <x:f>IFERROR(INDEX('Material routes'!$D$6:$D$2205,MATCH(V25,'Material routes'!$A$6:$A$2205,0)),"MISSING ID")</x:f>
        <x:v>proposal.t1.bronze_billet</x:v>
      </x:c>
      <x:c r="U25" s="4" t="str">
        <x:v>material.route.021</x:v>
      </x:c>
      <x:c r="V25" s="4" t="str">
        <x:v>output.design.refine.t1.bronze_billet</x:v>
      </x:c>
    </x:row>
    <x:row r="26" ht="85" customHeight="1">
      <x:c r="A26" s="4" t="str">
        <x:f>IFERROR(INDEX('Material routes'!$E$6:$E$2205,MATCH(U26,'Material routes'!$A$6:$A$2205,0)),"MISSING ID")</x:f>
        <x:v>Silica-rich grit</x:v>
      </x:c>
      <x:c r="B26" s="4" t="str">
        <x:f>IFERROR(INDEX('Material routes'!$F$6:$F$2205,MATCH(U26,'Material routes'!$A$6:$A$2205,0)),"MISSING ID")</x:f>
        <x:v>T0</x:v>
      </x:c>
      <x:c r="C26" s="4" t="str">
        <x:f>IFERROR(INDEX('Material routes'!$H$6:$H$2205,MATCH(U26,'Material routes'!$A$6:$A$2205,0)),"MISSING ID")</x:f>
        <x:v>Raw material</x:v>
      </x:c>
      <x:c r="D26" s="4" t="str">
        <x:f>IFERROR(INDEX('Material routes'!$G$6:$G$2205,MATCH(U26,'Material routes'!$A$6:$A$2205,0)),"MISSING ID")</x:f>
        <x:v>Mineral resources</x:v>
      </x:c>
      <x:c r="E26" s="4" t="str">
        <x:f>IFERROR(INDEX('Material routes'!$C$6:$C$2205,MATCH(U26,'Material routes'!$A$6:$A$2205,0)),"MISSING ID")</x:f>
        <x:v>Ingredient candidate</x:v>
      </x:c>
      <x:c r="F26" s="4" t="str">
        <x:f>IFERROR(INDEX('Material routes'!$E$6:$E$2205,MATCH(V26,'Material routes'!$A$6:$A$2205,0)),"MISSING ID")</x:f>
        <x:v>Opaque mineral-glass stock</x:v>
      </x:c>
      <x:c r="G26" s="4" t="str">
        <x:f>IFERROR(INDEX('Material routes'!$F$6:$F$2205,MATCH(V26,'Material routes'!$A$6:$A$2205,0)),"MISSING ID")</x:f>
        <x:v>T1</x:v>
      </x:c>
      <x:c r="H26" s="4" t="str">
        <x:f>IFERROR(INDEX('Material routes'!$H$6:$H$2205,MATCH(V26,'Material routes'!$A$6:$A$2205,0)),"MISSING ID")</x:f>
        <x:v>Processed material</x:v>
      </x:c>
      <x:c r="I26" s="4" t="str">
        <x:f>IFERROR(INDEX('Material routes'!$G$6:$G$2205,MATCH(V26,'Material routes'!$A$6:$A$2205,0)),"MISSING ID")</x:f>
        <x:v>Manufactured stock</x:v>
      </x:c>
      <x:c r="J26" s="4" t="str">
        <x:f>IFERROR(INDEX('Material routes'!$B$6:$B$2205,MATCH(U26,'Material routes'!$A$6:$A$2205,0)),"MISSING ID")</x:f>
        <x:v>design.refine.t1.opaque_glass</x:v>
      </x:c>
      <x:c r="K26" s="4" t="str">
        <x:f>IFERROR(INDEX('Crafting recipes'!$C$6:$C$1005,MATCH(J26,'Crafting recipes'!$A$6:$A$1005,0)),"MISSING ID")</x:f>
        <x:v>Material refinement</x:v>
      </x:c>
      <x:c r="L26" s="4" t="str">
        <x:f>IFERROR(INDEX('Material routes'!$K$6:$K$2205,MATCH(U26,'Material routes'!$A$6:$A$2205,0)),"MISSING ID")</x:f>
        <x:v>Proposal</x:v>
      </x:c>
      <x:c r="M26" s="4" t="str">
        <x:f>IFERROR(INDEX('Material routes'!$M$6:$M$2205,MATCH(U26,'Material routes'!$A$6:$A$2205,0)),"MISSING ID")</x:f>
        <x:v>Partial proposal</x:v>
      </x:c>
      <x:c r="N26" s="4" t="str">
        <x:f>IF(IFERROR(INDEX('Material routes'!$I$6:$I$1005,MATCH(U26,'Material routes'!$A$6:$A$1005,0)),"MISSING ID")=0,"",IFERROR(INDEX('Material routes'!$I$6:$I$1005,MATCH(U26,'Material routes'!$A$6:$A$1005,0)),"MISSING ID"))</x:f>
      </x:c>
      <x:c r="O26" s="4" t="str">
        <x:f>IFERROR(INDEX('Material routes'!$J$6:$J$2205,MATCH(U26,'Material routes'!$A$6:$A$2205,0)),"MISSING ID")</x:f>
        <x:v>Unspecified</x:v>
      </x:c>
      <x:c r="P26" s="4" t="str">
        <x:f>IF(IFERROR(INDEX('Material routes'!$I$6:$I$1005,MATCH(V26,'Material routes'!$A$6:$A$1005,0)),"MISSING ID")=0,"",IFERROR(INDEX('Material routes'!$I$6:$I$1005,MATCH(V26,'Material routes'!$A$6:$A$1005,0)),"MISSING ID"))</x:f>
      </x:c>
      <x:c r="Q26" s="4" t="str">
        <x:f>IFERROR(INDEX('Material routes'!$J$6:$J$2205,MATCH(V26,'Material routes'!$A$6:$A$2205,0)),"MISSING ID")</x:f>
        <x:v>Unspecified</x:v>
      </x:c>
      <x:c r="R26" s="4" t="str">
        <x:f>IF(L26="Withheld","Withheld premise",IF(E26="Tool candidate","Reusable prerequisite",IF(K26="Raw entry preparation","Entry-resource preparation",IF(G26="Not applicable",IF(IFERROR(INDEX('Items'!$AI$6:$AI$1005,MATCH(T26,'Items'!$A$6:$A$1005,0)),"MISSING ID")="Finished item","Finished endpoint",IF(IFERROR(INDEX('Items'!$AI$6:$AI$1005,MATCH(T26,'Items'!$A$6:$A$1005,0)),"MISSING ID")="Currency","Currency / no refinement tier","Recovered output / tier not applicable")),IF(OR(IFERROR(INDEX('Crafting recipes'!$H$6:$H$1005,MATCH(J26,'Crafting recipes'!$A$6:$A$1005,0)),"Unassigned")="Unassigned",G26="Unassigned"),"Tier unresolved",IF(IFERROR(VALUE(RIGHT(G26,1))-VALUE(RIGHT(IFERROR(INDEX('Crafting recipes'!$H$6:$H$1005,MATCH(J26,'Crafting recipes'!$A$6:$A$1005,0)),"Unassigned"),1)),0)=1,IF(B26=IFERROR(INDEX('Crafting recipes'!$H$6:$H$1005,MATCH(J26,'Crafting recipes'!$A$6:$A$1005,0)),"Unassigned"),"Advances one material tier","Lower-tier ingredient; route advances one tier"),"Needs tier review"))))))</x:f>
        <x:v>Advances one material tier</x:v>
      </x:c>
      <x:c r="S26" s="4" t="str">
        <x:f>IFERROR(INDEX('Material routes'!$D$6:$D$2205,MATCH(U26,'Material routes'!$A$6:$A$2205,0)),"MISSING ID")</x:f>
        <x:v>proposal.natural.silica</x:v>
      </x:c>
      <x:c r="T26" s="4" t="str">
        <x:f>IFERROR(INDEX('Material routes'!$D$6:$D$2205,MATCH(V26,'Material routes'!$A$6:$A$2205,0)),"MISSING ID")</x:f>
        <x:v>proposal.t1.opaque_glass</x:v>
      </x:c>
      <x:c r="U26" s="4" t="str">
        <x:v>material.route.022</x:v>
      </x:c>
      <x:c r="V26" s="4" t="str">
        <x:v>output.design.refine.t1.opaque_glass</x:v>
      </x:c>
    </x:row>
    <x:row r="27" ht="85" customHeight="1">
      <x:c r="A27" s="4" t="str">
        <x:f>IFERROR(INDEX('Material routes'!$E$6:$E$2205,MATCH(U27,'Material routes'!$A$6:$A$2205,0)),"MISSING ID")</x:f>
        <x:v>Silica-rich grit</x:v>
      </x:c>
      <x:c r="B27" s="4" t="str">
        <x:f>IFERROR(INDEX('Material routes'!$F$6:$F$2205,MATCH(U27,'Material routes'!$A$6:$A$2205,0)),"MISSING ID")</x:f>
        <x:v>T0</x:v>
      </x:c>
      <x:c r="C27" s="4" t="str">
        <x:f>IFERROR(INDEX('Material routes'!$H$6:$H$2205,MATCH(U27,'Material routes'!$A$6:$A$2205,0)),"MISSING ID")</x:f>
        <x:v>Raw material</x:v>
      </x:c>
      <x:c r="D27" s="4" t="str">
        <x:f>IFERROR(INDEX('Material routes'!$G$6:$G$2205,MATCH(U27,'Material routes'!$A$6:$A$2205,0)),"MISSING ID")</x:f>
        <x:v>Mineral resources</x:v>
      </x:c>
      <x:c r="E27" s="4" t="str">
        <x:f>IFERROR(INDEX('Material routes'!$C$6:$C$2205,MATCH(U27,'Material routes'!$A$6:$A$2205,0)),"MISSING ID")</x:f>
        <x:v>Ingredient candidate</x:v>
      </x:c>
      <x:c r="F27" s="4" t="str">
        <x:f>IFERROR(INDEX('Material routes'!$E$6:$E$2205,MATCH(V27,'Material routes'!$A$6:$A$2205,0)),"MISSING ID")</x:f>
        <x:v>Rough clear-glass blank</x:v>
      </x:c>
      <x:c r="G27" s="4" t="str">
        <x:f>IFERROR(INDEX('Material routes'!$F$6:$F$2205,MATCH(V27,'Material routes'!$A$6:$A$2205,0)),"MISSING ID")</x:f>
        <x:v>T1</x:v>
      </x:c>
      <x:c r="H27" s="4" t="str">
        <x:f>IFERROR(INDEX('Material routes'!$H$6:$H$2205,MATCH(V27,'Material routes'!$A$6:$A$2205,0)),"MISSING ID")</x:f>
        <x:v>Processed material</x:v>
      </x:c>
      <x:c r="I27" s="4" t="str">
        <x:f>IFERROR(INDEX('Material routes'!$G$6:$G$2205,MATCH(V27,'Material routes'!$A$6:$A$2205,0)),"MISSING ID")</x:f>
        <x:v>Manufactured stock</x:v>
      </x:c>
      <x:c r="J27" s="4" t="str">
        <x:f>IFERROR(INDEX('Material routes'!$B$6:$B$2205,MATCH(U27,'Material routes'!$A$6:$A$2205,0)),"MISSING ID")</x:f>
        <x:v>design.refine.t1.clear_glass_blank</x:v>
      </x:c>
      <x:c r="K27" s="4" t="str">
        <x:f>IFERROR(INDEX('Crafting recipes'!$C$6:$C$1005,MATCH(J27,'Crafting recipes'!$A$6:$A$1005,0)),"MISSING ID")</x:f>
        <x:v>Material refinement</x:v>
      </x:c>
      <x:c r="L27" s="4" t="str">
        <x:f>IFERROR(INDEX('Material routes'!$K$6:$K$2205,MATCH(U27,'Material routes'!$A$6:$A$2205,0)),"MISSING ID")</x:f>
        <x:v>Proposal</x:v>
      </x:c>
      <x:c r="M27" s="4" t="str">
        <x:f>IFERROR(INDEX('Material routes'!$M$6:$M$2205,MATCH(U27,'Material routes'!$A$6:$A$2205,0)),"MISSING ID")</x:f>
        <x:v>Partial proposal</x:v>
      </x:c>
      <x:c r="N27" s="4" t="str">
        <x:f>IF(IFERROR(INDEX('Material routes'!$I$6:$I$1005,MATCH(U27,'Material routes'!$A$6:$A$1005,0)),"MISSING ID")=0,"",IFERROR(INDEX('Material routes'!$I$6:$I$1005,MATCH(U27,'Material routes'!$A$6:$A$1005,0)),"MISSING ID"))</x:f>
      </x:c>
      <x:c r="O27" s="4" t="str">
        <x:f>IFERROR(INDEX('Material routes'!$J$6:$J$2205,MATCH(U27,'Material routes'!$A$6:$A$2205,0)),"MISSING ID")</x:f>
        <x:v>Unspecified</x:v>
      </x:c>
      <x:c r="P27" s="4" t="str">
        <x:f>IF(IFERROR(INDEX('Material routes'!$I$6:$I$1005,MATCH(V27,'Material routes'!$A$6:$A$1005,0)),"MISSING ID")=0,"",IFERROR(INDEX('Material routes'!$I$6:$I$1005,MATCH(V27,'Material routes'!$A$6:$A$1005,0)),"MISSING ID"))</x:f>
      </x:c>
      <x:c r="Q27" s="4" t="str">
        <x:f>IFERROR(INDEX('Material routes'!$J$6:$J$2205,MATCH(V27,'Material routes'!$A$6:$A$2205,0)),"MISSING ID")</x:f>
        <x:v>Unspecified</x:v>
      </x:c>
      <x:c r="R27" s="4" t="str">
        <x:f>IF(L27="Withheld","Withheld premise",IF(E27="Tool candidate","Reusable prerequisite",IF(K27="Raw entry preparation","Entry-resource preparation",IF(G27="Not applicable",IF(IFERROR(INDEX('Items'!$AI$6:$AI$1005,MATCH(T27,'Items'!$A$6:$A$1005,0)),"MISSING ID")="Finished item","Finished endpoint",IF(IFERROR(INDEX('Items'!$AI$6:$AI$1005,MATCH(T27,'Items'!$A$6:$A$1005,0)),"MISSING ID")="Currency","Currency / no refinement tier","Recovered output / tier not applicable")),IF(OR(IFERROR(INDEX('Crafting recipes'!$H$6:$H$1005,MATCH(J27,'Crafting recipes'!$A$6:$A$1005,0)),"Unassigned")="Unassigned",G27="Unassigned"),"Tier unresolved",IF(IFERROR(VALUE(RIGHT(G27,1))-VALUE(RIGHT(IFERROR(INDEX('Crafting recipes'!$H$6:$H$1005,MATCH(J27,'Crafting recipes'!$A$6:$A$1005,0)),"Unassigned"),1)),0)=1,IF(B27=IFERROR(INDEX('Crafting recipes'!$H$6:$H$1005,MATCH(J27,'Crafting recipes'!$A$6:$A$1005,0)),"Unassigned"),"Advances one material tier","Lower-tier ingredient; route advances one tier"),"Needs tier review"))))))</x:f>
        <x:v>Advances one material tier</x:v>
      </x:c>
      <x:c r="S27" s="4" t="str">
        <x:f>IFERROR(INDEX('Material routes'!$D$6:$D$2205,MATCH(U27,'Material routes'!$A$6:$A$2205,0)),"MISSING ID")</x:f>
        <x:v>proposal.natural.silica</x:v>
      </x:c>
      <x:c r="T27" s="4" t="str">
        <x:f>IFERROR(INDEX('Material routes'!$D$6:$D$2205,MATCH(V27,'Material routes'!$A$6:$A$2205,0)),"MISSING ID")</x:f>
        <x:v>proposal.t1.clear_glass_blank</x:v>
      </x:c>
      <x:c r="U27" s="4" t="str">
        <x:v>material.route.023</x:v>
      </x:c>
      <x:c r="V27" s="4" t="str">
        <x:v>output.design.refine.t1.clear_glass_blank</x:v>
      </x:c>
    </x:row>
    <x:row r="28" ht="85" customHeight="1">
      <x:c r="A28" s="4"/>
      <x:c r="B28" s="4"/>
      <x:c r="C28" s="4"/>
      <x:c r="D28" s="4"/>
      <x:c r="E28" s="4"/>
      <x:c r="F28" s="4"/>
      <x:c r="G28" s="4"/>
      <x:c r="H28" s="4"/>
      <x:c r="I28" s="4"/>
      <x:c r="J28" s="4"/>
      <x:c r="K28" s="4"/>
      <x:c r="L28" s="4"/>
      <x:c r="M28" s="4"/>
      <x:c r="N28" s="4"/>
      <x:c r="O28" s="4"/>
      <x:c r="P28" s="4"/>
      <x:c r="Q28" s="4"/>
      <x:c r="R28" s="4"/>
      <x:c r="S28" s="4"/>
      <x:c r="T28" s="4"/>
      <x:c r="U28" s="4"/>
      <x:c r="V28" s="4"/>
    </x:row>
    <x:row r="29" ht="85" customHeight="1">
      <x:c r="A29" s="4"/>
      <x:c r="B29" s="4"/>
      <x:c r="C29" s="4"/>
      <x:c r="D29" s="4"/>
      <x:c r="E29" s="4"/>
      <x:c r="F29" s="4"/>
      <x:c r="G29" s="4"/>
      <x:c r="H29" s="4"/>
      <x:c r="I29" s="4"/>
      <x:c r="J29" s="4"/>
      <x:c r="K29" s="4"/>
      <x:c r="L29" s="4"/>
      <x:c r="M29" s="4"/>
      <x:c r="N29" s="4"/>
      <x:c r="O29" s="4"/>
      <x:c r="P29" s="4"/>
      <x:c r="Q29" s="4"/>
      <x:c r="R29" s="4"/>
      <x:c r="S29" s="4"/>
      <x:c r="T29" s="4"/>
      <x:c r="U29" s="4"/>
      <x:c r="V29" s="4"/>
    </x:row>
    <x:row r="30" ht="85" customHeight="1">
      <x:c r="A30" s="4"/>
      <x:c r="B30" s="4"/>
      <x:c r="C30" s="4"/>
      <x:c r="D30" s="4"/>
      <x:c r="E30" s="4"/>
      <x:c r="F30" s="4"/>
      <x:c r="G30" s="4"/>
      <x:c r="H30" s="4"/>
      <x:c r="I30" s="4"/>
      <x:c r="J30" s="4"/>
      <x:c r="K30" s="4"/>
      <x:c r="L30" s="4"/>
      <x:c r="M30" s="4"/>
      <x:c r="N30" s="4"/>
      <x:c r="O30" s="4"/>
      <x:c r="P30" s="4"/>
      <x:c r="Q30" s="4"/>
      <x:c r="R30" s="4"/>
      <x:c r="S30" s="4"/>
      <x:c r="T30" s="4"/>
      <x:c r="U30" s="4"/>
      <x:c r="V30" s="4"/>
    </x:row>
    <x:row r="31" ht="85" customHeight="1">
      <x:c r="A31" s="4" t="str">
        <x:f>IFERROR(INDEX('Material routes'!$E$6:$E$2205,MATCH(U31,'Material routes'!$A$6:$A$2205,0)),"MISSING ID")</x:f>
        <x:v>Dense barite lumps</x:v>
      </x:c>
      <x:c r="B31" s="4" t="str">
        <x:f>IFERROR(INDEX('Material routes'!$F$6:$F$2205,MATCH(U31,'Material routes'!$A$6:$A$2205,0)),"MISSING ID")</x:f>
        <x:v>T0</x:v>
      </x:c>
      <x:c r="C31" s="4" t="str">
        <x:f>IFERROR(INDEX('Material routes'!$H$6:$H$2205,MATCH(U31,'Material routes'!$A$6:$A$2205,0)),"MISSING ID")</x:f>
        <x:v>Raw material</x:v>
      </x:c>
      <x:c r="D31" s="4" t="str">
        <x:f>IFERROR(INDEX('Material routes'!$G$6:$G$2205,MATCH(U31,'Material routes'!$A$6:$A$2205,0)),"MISSING ID")</x:f>
        <x:v>Mineral resources</x:v>
      </x:c>
      <x:c r="E31" s="4" t="str">
        <x:f>IFERROR(INDEX('Material routes'!$C$6:$C$2205,MATCH(U31,'Material routes'!$A$6:$A$2205,0)),"MISSING ID")</x:f>
        <x:v>Ingredient candidate</x:v>
      </x:c>
      <x:c r="F31" s="4" t="str">
        <x:f>IFERROR(INDEX('Material routes'!$E$6:$E$2205,MATCH(V31,'Material routes'!$A$6:$A$2205,0)),"MISSING ID")</x:f>
        <x:v>Graded mineral filler</x:v>
      </x:c>
      <x:c r="G31" s="4" t="str">
        <x:f>IFERROR(INDEX('Material routes'!$F$6:$F$2205,MATCH(V31,'Material routes'!$A$6:$A$2205,0)),"MISSING ID")</x:f>
        <x:v>T1</x:v>
      </x:c>
      <x:c r="H31" s="4" t="str">
        <x:f>IFERROR(INDEX('Material routes'!$H$6:$H$2205,MATCH(V31,'Material routes'!$A$6:$A$2205,0)),"MISSING ID")</x:f>
        <x:v>Processed material</x:v>
      </x:c>
      <x:c r="I31" s="4" t="str">
        <x:f>IFERROR(INDEX('Material routes'!$G$6:$G$2205,MATCH(V31,'Material routes'!$A$6:$A$2205,0)),"MISSING ID")</x:f>
        <x:v>Manufactured stock</x:v>
      </x:c>
      <x:c r="J31" s="4" t="str">
        <x:f>IFERROR(INDEX('Material routes'!$B$6:$B$2205,MATCH(U31,'Material routes'!$A$6:$A$2205,0)),"MISSING ID")</x:f>
        <x:v>design.refine.t1.mineral_filler</x:v>
      </x:c>
      <x:c r="K31" s="4" t="str">
        <x:f>IFERROR(INDEX('Crafting recipes'!$C$6:$C$1005,MATCH(J31,'Crafting recipes'!$A$6:$A$1005,0)),"MISSING ID")</x:f>
        <x:v>Material refinement</x:v>
      </x:c>
      <x:c r="L31" s="4" t="str">
        <x:f>IFERROR(INDEX('Material routes'!$K$6:$K$2205,MATCH(U31,'Material routes'!$A$6:$A$2205,0)),"MISSING ID")</x:f>
        <x:v>Proposal</x:v>
      </x:c>
      <x:c r="M31" s="4" t="str">
        <x:f>IFERROR(INDEX('Material routes'!$M$6:$M$2205,MATCH(U31,'Material routes'!$A$6:$A$2205,0)),"MISSING ID")</x:f>
        <x:v>Partial proposal</x:v>
      </x:c>
      <x:c r="N31" s="4" t="str">
        <x:f>IF(IFERROR(INDEX('Material routes'!$I$6:$I$1005,MATCH(U31,'Material routes'!$A$6:$A$1005,0)),"MISSING ID")=0,"",IFERROR(INDEX('Material routes'!$I$6:$I$1005,MATCH(U31,'Material routes'!$A$6:$A$1005,0)),"MISSING ID"))</x:f>
      </x:c>
      <x:c r="O31" s="4" t="str">
        <x:f>IFERROR(INDEX('Material routes'!$J$6:$J$2205,MATCH(U31,'Material routes'!$A$6:$A$2205,0)),"MISSING ID")</x:f>
        <x:v>Unspecified</x:v>
      </x:c>
      <x:c r="P31" s="4" t="str">
        <x:f>IF(IFERROR(INDEX('Material routes'!$I$6:$I$1005,MATCH(V31,'Material routes'!$A$6:$A$1005,0)),"MISSING ID")=0,"",IFERROR(INDEX('Material routes'!$I$6:$I$1005,MATCH(V31,'Material routes'!$A$6:$A$1005,0)),"MISSING ID"))</x:f>
      </x:c>
      <x:c r="Q31" s="4" t="str">
        <x:f>IFERROR(INDEX('Material routes'!$J$6:$J$2205,MATCH(V31,'Material routes'!$A$6:$A$2205,0)),"MISSING ID")</x:f>
        <x:v>Unspecified</x:v>
      </x:c>
      <x:c r="R31" s="4" t="str">
        <x:f>IF(L31="Withheld","Withheld premise",IF(E31="Tool candidate","Reusable prerequisite",IF(K31="Raw entry preparation","Entry-resource preparation",IF(G31="Not applicable",IF(IFERROR(INDEX('Items'!$AI$6:$AI$1005,MATCH(T31,'Items'!$A$6:$A$1005,0)),"MISSING ID")="Finished item","Finished endpoint",IF(IFERROR(INDEX('Items'!$AI$6:$AI$1005,MATCH(T31,'Items'!$A$6:$A$1005,0)),"MISSING ID")="Currency","Currency / no refinement tier","Recovered output / tier not applicable")),IF(OR(IFERROR(INDEX('Crafting recipes'!$H$6:$H$1005,MATCH(J31,'Crafting recipes'!$A$6:$A$1005,0)),"Unassigned")="Unassigned",G31="Unassigned"),"Tier unresolved",IF(IFERROR(VALUE(RIGHT(G31,1))-VALUE(RIGHT(IFERROR(INDEX('Crafting recipes'!$H$6:$H$1005,MATCH(J31,'Crafting recipes'!$A$6:$A$1005,0)),"Unassigned"),1)),0)=1,IF(B31=IFERROR(INDEX('Crafting recipes'!$H$6:$H$1005,MATCH(J31,'Crafting recipes'!$A$6:$A$1005,0)),"Unassigned"),"Advances one material tier","Lower-tier ingredient; route advances one tier"),"Needs tier review"))))))</x:f>
        <x:v>Advances one material tier</x:v>
      </x:c>
      <x:c r="S31" s="4" t="str">
        <x:f>IFERROR(INDEX('Material routes'!$D$6:$D$2205,MATCH(U31,'Material routes'!$A$6:$A$2205,0)),"MISSING ID")</x:f>
        <x:v>proposal.raw.barite</x:v>
      </x:c>
      <x:c r="T31" s="4" t="str">
        <x:f>IFERROR(INDEX('Material routes'!$D$6:$D$2205,MATCH(V31,'Material routes'!$A$6:$A$2205,0)),"MISSING ID")</x:f>
        <x:v>proposal.t1.mineral_filler</x:v>
      </x:c>
      <x:c r="U31" s="4" t="str">
        <x:v>material.route.027</x:v>
      </x:c>
      <x:c r="V31" s="4" t="str">
        <x:v>output.design.refine.t1.mineral_filler</x:v>
      </x:c>
    </x:row>
    <x:row r="32" ht="85" customHeight="1">
      <x:c r="A32" s="4" t="str">
        <x:f>IFERROR(INDEX('Material routes'!$E$6:$E$2205,MATCH(U32,'Material routes'!$A$6:$A$2205,0)),"MISSING ID")</x:f>
        <x:v>Broken glass pieces</x:v>
      </x:c>
      <x:c r="B32" s="4" t="str">
        <x:f>IFERROR(INDEX('Material routes'!$F$6:$F$2205,MATCH(U32,'Material routes'!$A$6:$A$2205,0)),"MISSING ID")</x:f>
        <x:v>T0</x:v>
      </x:c>
      <x:c r="C32" s="4" t="str">
        <x:f>IFERROR(INDEX('Material routes'!$H$6:$H$2205,MATCH(U32,'Material routes'!$A$6:$A$2205,0)),"MISSING ID")</x:f>
        <x:v>Raw material</x:v>
      </x:c>
      <x:c r="D32" s="4" t="str">
        <x:f>IFERROR(INDEX('Material routes'!$G$6:$G$2205,MATCH(U32,'Material routes'!$A$6:$A$2205,0)),"MISSING ID")</x:f>
        <x:v>Salvage</x:v>
      </x:c>
      <x:c r="E32" s="4" t="str">
        <x:f>IFERROR(INDEX('Material routes'!$C$6:$C$2205,MATCH(U32,'Material routes'!$A$6:$A$2205,0)),"MISSING ID")</x:f>
        <x:v>Ingredient candidate</x:v>
      </x:c>
      <x:c r="F32" s="4" t="str">
        <x:f>IFERROR(INDEX('Material routes'!$E$6:$E$2205,MATCH(V32,'Material routes'!$A$6:$A$2205,0)),"MISSING ID")</x:f>
        <x:v>Sorted glass remelt feed</x:v>
      </x:c>
      <x:c r="G32" s="4" t="str">
        <x:f>IFERROR(INDEX('Material routes'!$F$6:$F$2205,MATCH(V32,'Material routes'!$A$6:$A$2205,0)),"MISSING ID")</x:f>
        <x:v>T1</x:v>
      </x:c>
      <x:c r="H32" s="4" t="str">
        <x:f>IFERROR(INDEX('Material routes'!$H$6:$H$2205,MATCH(V32,'Material routes'!$A$6:$A$2205,0)),"MISSING ID")</x:f>
        <x:v>Processed material</x:v>
      </x:c>
      <x:c r="I32" s="4" t="str">
        <x:f>IFERROR(INDEX('Material routes'!$G$6:$G$2205,MATCH(V32,'Material routes'!$A$6:$A$2205,0)),"MISSING ID")</x:f>
        <x:v>Manufactured stock</x:v>
      </x:c>
      <x:c r="J32" s="4" t="str">
        <x:f>IFERROR(INDEX('Material routes'!$B$6:$B$2205,MATCH(U32,'Material routes'!$A$6:$A$2205,0)),"MISSING ID")</x:f>
        <x:v>design.refine.t1.glass_feed</x:v>
      </x:c>
      <x:c r="K32" s="4" t="str">
        <x:f>IFERROR(INDEX('Crafting recipes'!$C$6:$C$1005,MATCH(J32,'Crafting recipes'!$A$6:$A$1005,0)),"MISSING ID")</x:f>
        <x:v>Material refinement</x:v>
      </x:c>
      <x:c r="L32" s="4" t="str">
        <x:f>IFERROR(INDEX('Material routes'!$K$6:$K$2205,MATCH(U32,'Material routes'!$A$6:$A$2205,0)),"MISSING ID")</x:f>
        <x:v>Proposal</x:v>
      </x:c>
      <x:c r="M32" s="4" t="str">
        <x:f>IFERROR(INDEX('Material routes'!$M$6:$M$2205,MATCH(U32,'Material routes'!$A$6:$A$2205,0)),"MISSING ID")</x:f>
        <x:v>Partial proposal</x:v>
      </x:c>
      <x:c r="N32" s="4" t="str">
        <x:f>IF(IFERROR(INDEX('Material routes'!$I$6:$I$1005,MATCH(U32,'Material routes'!$A$6:$A$1005,0)),"MISSING ID")=0,"",IFERROR(INDEX('Material routes'!$I$6:$I$1005,MATCH(U32,'Material routes'!$A$6:$A$1005,0)),"MISSING ID"))</x:f>
      </x:c>
      <x:c r="O32" s="4" t="str">
        <x:f>IFERROR(INDEX('Material routes'!$J$6:$J$2205,MATCH(U32,'Material routes'!$A$6:$A$2205,0)),"MISSING ID")</x:f>
        <x:v>Unspecified</x:v>
      </x:c>
      <x:c r="P32" s="4" t="str">
        <x:f>IF(IFERROR(INDEX('Material routes'!$I$6:$I$1005,MATCH(V32,'Material routes'!$A$6:$A$1005,0)),"MISSING ID")=0,"",IFERROR(INDEX('Material routes'!$I$6:$I$1005,MATCH(V32,'Material routes'!$A$6:$A$1005,0)),"MISSING ID"))</x:f>
      </x:c>
      <x:c r="Q32" s="4" t="str">
        <x:f>IFERROR(INDEX('Material routes'!$J$6:$J$2205,MATCH(V32,'Material routes'!$A$6:$A$2205,0)),"MISSING ID")</x:f>
        <x:v>Unspecified</x:v>
      </x:c>
      <x:c r="R32" s="4" t="str">
        <x:f>IF(L32="Withheld","Withheld premise",IF(E32="Tool candidate","Reusable prerequisite",IF(K32="Raw entry preparation","Entry-resource preparation",IF(G32="Not applicable",IF(IFERROR(INDEX('Items'!$AI$6:$AI$1005,MATCH(T32,'Items'!$A$6:$A$1005,0)),"MISSING ID")="Finished item","Finished endpoint",IF(IFERROR(INDEX('Items'!$AI$6:$AI$1005,MATCH(T32,'Items'!$A$6:$A$1005,0)),"MISSING ID")="Currency","Currency / no refinement tier","Recovered output / tier not applicable")),IF(OR(IFERROR(INDEX('Crafting recipes'!$H$6:$H$1005,MATCH(J32,'Crafting recipes'!$A$6:$A$1005,0)),"Unassigned")="Unassigned",G32="Unassigned"),"Tier unresolved",IF(IFERROR(VALUE(RIGHT(G32,1))-VALUE(RIGHT(IFERROR(INDEX('Crafting recipes'!$H$6:$H$1005,MATCH(J32,'Crafting recipes'!$A$6:$A$1005,0)),"Unassigned"),1)),0)=1,IF(B32=IFERROR(INDEX('Crafting recipes'!$H$6:$H$1005,MATCH(J32,'Crafting recipes'!$A$6:$A$1005,0)),"Unassigned"),"Advances one material tier","Lower-tier ingredient; route advances one tier"),"Needs tier review"))))))</x:f>
        <x:v>Advances one material tier</x:v>
      </x:c>
      <x:c r="S32" s="4" t="str">
        <x:f>IFERROR(INDEX('Material routes'!$D$6:$D$2205,MATCH(U32,'Material routes'!$A$6:$A$2205,0)),"MISSING ID")</x:f>
        <x:v>proposal.raw.glass_shards</x:v>
      </x:c>
      <x:c r="T32" s="4" t="str">
        <x:f>IFERROR(INDEX('Material routes'!$D$6:$D$2205,MATCH(V32,'Material routes'!$A$6:$A$2205,0)),"MISSING ID")</x:f>
        <x:v>proposal.t1.glass_feed</x:v>
      </x:c>
      <x:c r="U32" s="4" t="str">
        <x:v>material.route.028</x:v>
      </x:c>
      <x:c r="V32" s="4" t="str">
        <x:v>output.design.refine.t1.glass_feed</x:v>
      </x:c>
    </x:row>
    <x:row r="33" ht="85" customHeight="1">
      <x:c r="A33" s="4" t="str">
        <x:f>IFERROR(INDEX('Material routes'!$E$6:$E$2205,MATCH(U33,'Material routes'!$A$6:$A$2205,0)),"MISSING ID")</x:f>
        <x:v>Mica sheets</x:v>
      </x:c>
      <x:c r="B33" s="4" t="str">
        <x:f>IFERROR(INDEX('Material routes'!$F$6:$F$2205,MATCH(U33,'Material routes'!$A$6:$A$2205,0)),"MISSING ID")</x:f>
        <x:v>T0</x:v>
      </x:c>
      <x:c r="C33" s="4" t="str">
        <x:f>IFERROR(INDEX('Material routes'!$H$6:$H$2205,MATCH(U33,'Material routes'!$A$6:$A$2205,0)),"MISSING ID")</x:f>
        <x:v>Raw material</x:v>
      </x:c>
      <x:c r="D33" s="4" t="str">
        <x:f>IFERROR(INDEX('Material routes'!$G$6:$G$2205,MATCH(U33,'Material routes'!$A$6:$A$2205,0)),"MISSING ID")</x:f>
        <x:v>Salvage</x:v>
      </x:c>
      <x:c r="E33" s="4" t="str">
        <x:f>IFERROR(INDEX('Material routes'!$C$6:$C$2205,MATCH(U33,'Material routes'!$A$6:$A$2205,0)),"MISSING ID")</x:f>
        <x:v>Ingredient candidate</x:v>
      </x:c>
      <x:c r="F33" s="4" t="str">
        <x:f>IFERROR(INDEX('Material routes'!$E$6:$E$2205,MATCH(V33,'Material routes'!$A$6:$A$2205,0)),"MISSING ID")</x:f>
        <x:v>Separated mica flake grade</x:v>
      </x:c>
      <x:c r="G33" s="4" t="str">
        <x:f>IFERROR(INDEX('Material routes'!$F$6:$F$2205,MATCH(V33,'Material routes'!$A$6:$A$2205,0)),"MISSING ID")</x:f>
        <x:v>T1</x:v>
      </x:c>
      <x:c r="H33" s="4" t="str">
        <x:f>IFERROR(INDEX('Material routes'!$H$6:$H$2205,MATCH(V33,'Material routes'!$A$6:$A$2205,0)),"MISSING ID")</x:f>
        <x:v>Processed material</x:v>
      </x:c>
      <x:c r="I33" s="4" t="str">
        <x:f>IFERROR(INDEX('Material routes'!$G$6:$G$2205,MATCH(V33,'Material routes'!$A$6:$A$2205,0)),"MISSING ID")</x:f>
        <x:v>Manufactured stock</x:v>
      </x:c>
      <x:c r="J33" s="4" t="str">
        <x:f>IFERROR(INDEX('Material routes'!$B$6:$B$2205,MATCH(U33,'Material routes'!$A$6:$A$2205,0)),"MISSING ID")</x:f>
        <x:v>design.refine.t1.mica_flakes</x:v>
      </x:c>
      <x:c r="K33" s="4" t="str">
        <x:f>IFERROR(INDEX('Crafting recipes'!$C$6:$C$1005,MATCH(J33,'Crafting recipes'!$A$6:$A$1005,0)),"MISSING ID")</x:f>
        <x:v>Material refinement</x:v>
      </x:c>
      <x:c r="L33" s="4" t="str">
        <x:f>IFERROR(INDEX('Material routes'!$K$6:$K$2205,MATCH(U33,'Material routes'!$A$6:$A$2205,0)),"MISSING ID")</x:f>
        <x:v>Proposal</x:v>
      </x:c>
      <x:c r="M33" s="4" t="str">
        <x:f>IFERROR(INDEX('Material routes'!$M$6:$M$2205,MATCH(U33,'Material routes'!$A$6:$A$2205,0)),"MISSING ID")</x:f>
        <x:v>Partial proposal</x:v>
      </x:c>
      <x:c r="N33" s="4" t="str">
        <x:f>IF(IFERROR(INDEX('Material routes'!$I$6:$I$1005,MATCH(U33,'Material routes'!$A$6:$A$1005,0)),"MISSING ID")=0,"",IFERROR(INDEX('Material routes'!$I$6:$I$1005,MATCH(U33,'Material routes'!$A$6:$A$1005,0)),"MISSING ID"))</x:f>
      </x:c>
      <x:c r="O33" s="4" t="str">
        <x:f>IFERROR(INDEX('Material routes'!$J$6:$J$2205,MATCH(U33,'Material routes'!$A$6:$A$2205,0)),"MISSING ID")</x:f>
        <x:v>Unspecified</x:v>
      </x:c>
      <x:c r="P33" s="4" t="str">
        <x:f>IF(IFERROR(INDEX('Material routes'!$I$6:$I$1005,MATCH(V33,'Material routes'!$A$6:$A$1005,0)),"MISSING ID")=0,"",IFERROR(INDEX('Material routes'!$I$6:$I$1005,MATCH(V33,'Material routes'!$A$6:$A$1005,0)),"MISSING ID"))</x:f>
      </x:c>
      <x:c r="Q33" s="4" t="str">
        <x:f>IFERROR(INDEX('Material routes'!$J$6:$J$2205,MATCH(V33,'Material routes'!$A$6:$A$2205,0)),"MISSING ID")</x:f>
        <x:v>Unspecified</x:v>
      </x:c>
      <x:c r="R33" s="4" t="str">
        <x:f>IF(L33="Withheld","Withheld premise",IF(E33="Tool candidate","Reusable prerequisite",IF(K33="Raw entry preparation","Entry-resource preparation",IF(G33="Not applicable",IF(IFERROR(INDEX('Items'!$AI$6:$AI$1005,MATCH(T33,'Items'!$A$6:$A$1005,0)),"MISSING ID")="Finished item","Finished endpoint",IF(IFERROR(INDEX('Items'!$AI$6:$AI$1005,MATCH(T33,'Items'!$A$6:$A$1005,0)),"MISSING ID")="Currency","Currency / no refinement tier","Recovered output / tier not applicable")),IF(OR(IFERROR(INDEX('Crafting recipes'!$H$6:$H$1005,MATCH(J33,'Crafting recipes'!$A$6:$A$1005,0)),"Unassigned")="Unassigned",G33="Unassigned"),"Tier unresolved",IF(IFERROR(VALUE(RIGHT(G33,1))-VALUE(RIGHT(IFERROR(INDEX('Crafting recipes'!$H$6:$H$1005,MATCH(J33,'Crafting recipes'!$A$6:$A$1005,0)),"Unassigned"),1)),0)=1,IF(B33=IFERROR(INDEX('Crafting recipes'!$H$6:$H$1005,MATCH(J33,'Crafting recipes'!$A$6:$A$1005,0)),"Unassigned"),"Advances one material tier","Lower-tier ingredient; route advances one tier"),"Needs tier review"))))))</x:f>
        <x:v>Advances one material tier</x:v>
      </x:c>
      <x:c r="S33" s="4" t="str">
        <x:f>IFERROR(INDEX('Material routes'!$D$6:$D$2205,MATCH(U33,'Material routes'!$A$6:$A$2205,0)),"MISSING ID")</x:f>
        <x:v>proposal.natural.mica</x:v>
      </x:c>
      <x:c r="T33" s="4" t="str">
        <x:f>IFERROR(INDEX('Material routes'!$D$6:$D$2205,MATCH(V33,'Material routes'!$A$6:$A$2205,0)),"MISSING ID")</x:f>
        <x:v>proposal.t1.mica_flakes</x:v>
      </x:c>
      <x:c r="U33" s="4" t="str">
        <x:v>material.route.029</x:v>
      </x:c>
      <x:c r="V33" s="4" t="str">
        <x:v>output.design.refine.t1.mica_flakes</x:v>
      </x:c>
    </x:row>
    <x:row r="34" ht="85" customHeight="1">
      <x:c r="A34" s="4" t="str">
        <x:f>IFERROR(INDEX('Material routes'!$E$6:$E$2205,MATCH(U34,'Material routes'!$A$6:$A$2205,0)),"MISSING ID")</x:f>
        <x:v>Scraped chitin fibers</x:v>
      </x:c>
      <x:c r="B34" s="4" t="str">
        <x:f>IFERROR(INDEX('Material routes'!$F$6:$F$2205,MATCH(U34,'Material routes'!$A$6:$A$2205,0)),"MISSING ID")</x:f>
        <x:v>T0</x:v>
      </x:c>
      <x:c r="C34" s="4" t="str">
        <x:f>IFERROR(INDEX('Material routes'!$H$6:$H$2205,MATCH(U34,'Material routes'!$A$6:$A$2205,0)),"MISSING ID")</x:f>
        <x:v>Raw material</x:v>
      </x:c>
      <x:c r="D34" s="4" t="str">
        <x:f>IFERROR(INDEX('Material routes'!$G$6:$G$2205,MATCH(U34,'Material routes'!$A$6:$A$2205,0)),"MISSING ID")</x:f>
        <x:v>Biological resources</x:v>
      </x:c>
      <x:c r="E34" s="4" t="str">
        <x:f>IFERROR(INDEX('Material routes'!$C$6:$C$2205,MATCH(U34,'Material routes'!$A$6:$A$2205,0)),"MISSING ID")</x:f>
        <x:v>Ingredient candidate</x:v>
      </x:c>
      <x:c r="F34" s="4" t="str">
        <x:f>IFERROR(INDEX('Material routes'!$E$6:$E$2205,MATCH(V34,'Material routes'!$A$6:$A$2205,0)),"MISSING ID")</x:f>
        <x:v>Prepared husk-fiber pulp</x:v>
      </x:c>
      <x:c r="G34" s="4" t="str">
        <x:f>IFERROR(INDEX('Material routes'!$F$6:$F$2205,MATCH(V34,'Material routes'!$A$6:$A$2205,0)),"MISSING ID")</x:f>
        <x:v>T1</x:v>
      </x:c>
      <x:c r="H34" s="4" t="str">
        <x:f>IFERROR(INDEX('Material routes'!$H$6:$H$2205,MATCH(V34,'Material routes'!$A$6:$A$2205,0)),"MISSING ID")</x:f>
        <x:v>Processed material</x:v>
      </x:c>
      <x:c r="I34" s="4" t="str">
        <x:f>IFERROR(INDEX('Material routes'!$G$6:$G$2205,MATCH(V34,'Material routes'!$A$6:$A$2205,0)),"MISSING ID")</x:f>
        <x:v>Manufactured stock</x:v>
      </x:c>
      <x:c r="J34" s="4" t="str">
        <x:f>IFERROR(INDEX('Material routes'!$B$6:$B$2205,MATCH(U34,'Material routes'!$A$6:$A$2205,0)),"MISSING ID")</x:f>
        <x:v>design.refine.t1.husk_pulp</x:v>
      </x:c>
      <x:c r="K34" s="4" t="str">
        <x:f>IFERROR(INDEX('Crafting recipes'!$C$6:$C$1005,MATCH(J34,'Crafting recipes'!$A$6:$A$1005,0)),"MISSING ID")</x:f>
        <x:v>Material refinement</x:v>
      </x:c>
      <x:c r="L34" s="4" t="str">
        <x:f>IFERROR(INDEX('Material routes'!$K$6:$K$2205,MATCH(U34,'Material routes'!$A$6:$A$2205,0)),"MISSING ID")</x:f>
        <x:v>Proposal</x:v>
      </x:c>
      <x:c r="M34" s="4" t="str">
        <x:f>IFERROR(INDEX('Material routes'!$M$6:$M$2205,MATCH(U34,'Material routes'!$A$6:$A$2205,0)),"MISSING ID")</x:f>
        <x:v>Partial proposal</x:v>
      </x:c>
      <x:c r="N34" s="4" t="str">
        <x:f>IF(IFERROR(INDEX('Material routes'!$I$6:$I$1005,MATCH(U34,'Material routes'!$A$6:$A$1005,0)),"MISSING ID")=0,"",IFERROR(INDEX('Material routes'!$I$6:$I$1005,MATCH(U34,'Material routes'!$A$6:$A$1005,0)),"MISSING ID"))</x:f>
      </x:c>
      <x:c r="O34" s="4" t="str">
        <x:f>IFERROR(INDEX('Material routes'!$J$6:$J$2205,MATCH(U34,'Material routes'!$A$6:$A$2205,0)),"MISSING ID")</x:f>
        <x:v>Unspecified</x:v>
      </x:c>
      <x:c r="P34" s="4" t="str">
        <x:f>IF(IFERROR(INDEX('Material routes'!$I$6:$I$1005,MATCH(V34,'Material routes'!$A$6:$A$1005,0)),"MISSING ID")=0,"",IFERROR(INDEX('Material routes'!$I$6:$I$1005,MATCH(V34,'Material routes'!$A$6:$A$1005,0)),"MISSING ID"))</x:f>
      </x:c>
      <x:c r="Q34" s="4" t="str">
        <x:f>IFERROR(INDEX('Material routes'!$J$6:$J$2205,MATCH(V34,'Material routes'!$A$6:$A$2205,0)),"MISSING ID")</x:f>
        <x:v>Unspecified</x:v>
      </x:c>
      <x:c r="R34" s="4" t="str">
        <x:f>IF(L34="Withheld","Withheld premise",IF(E34="Tool candidate","Reusable prerequisite",IF(K34="Raw entry preparation","Entry-resource preparation",IF(G34="Not applicable",IF(IFERROR(INDEX('Items'!$AI$6:$AI$1005,MATCH(T34,'Items'!$A$6:$A$1005,0)),"MISSING ID")="Finished item","Finished endpoint",IF(IFERROR(INDEX('Items'!$AI$6:$AI$1005,MATCH(T34,'Items'!$A$6:$A$1005,0)),"MISSING ID")="Currency","Currency / no refinement tier","Recovered output / tier not applicable")),IF(OR(IFERROR(INDEX('Crafting recipes'!$H$6:$H$1005,MATCH(J34,'Crafting recipes'!$A$6:$A$1005,0)),"Unassigned")="Unassigned",G34="Unassigned"),"Tier unresolved",IF(IFERROR(VALUE(RIGHT(G34,1))-VALUE(RIGHT(IFERROR(INDEX('Crafting recipes'!$H$6:$H$1005,MATCH(J34,'Crafting recipes'!$A$6:$A$1005,0)),"Unassigned"),1)),0)=1,IF(B34=IFERROR(INDEX('Crafting recipes'!$H$6:$H$1005,MATCH(J34,'Crafting recipes'!$A$6:$A$1005,0)),"Unassigned"),"Advances one material tier","Lower-tier ingredient; route advances one tier"),"Needs tier review"))))))</x:f>
        <x:v>Advances one material tier</x:v>
      </x:c>
      <x:c r="S34" s="4" t="str">
        <x:f>IFERROR(INDEX('Material routes'!$D$6:$D$2205,MATCH(U34,'Material routes'!$A$6:$A$2205,0)),"MISSING ID")</x:f>
        <x:v>proposal.bio.chitin_fibers</x:v>
      </x:c>
      <x:c r="T34" s="4" t="str">
        <x:f>IFERROR(INDEX('Material routes'!$D$6:$D$2205,MATCH(V34,'Material routes'!$A$6:$A$2205,0)),"MISSING ID")</x:f>
        <x:v>proposal.t1.husk_pulp</x:v>
      </x:c>
      <x:c r="U34" s="4" t="str">
        <x:v>material.route.030</x:v>
      </x:c>
      <x:c r="V34" s="4" t="str">
        <x:v>output.design.refine.t1.husk_pulp</x:v>
      </x:c>
    </x:row>
    <x:row r="35" ht="85" customHeight="1">
      <x:c r="A35" s="4" t="str">
        <x:f>IFERROR(INDEX('Material routes'!$E$6:$E$2205,MATCH(U35,'Material routes'!$A$6:$A$2205,0)),"MISSING ID")</x:f>
        <x:v>Coarse sensory bristles</x:v>
      </x:c>
      <x:c r="B35" s="4" t="str">
        <x:f>IFERROR(INDEX('Material routes'!$F$6:$F$2205,MATCH(U35,'Material routes'!$A$6:$A$2205,0)),"MISSING ID")</x:f>
        <x:v>T0</x:v>
      </x:c>
      <x:c r="C35" s="4" t="str">
        <x:f>IFERROR(INDEX('Material routes'!$H$6:$H$2205,MATCH(U35,'Material routes'!$A$6:$A$2205,0)),"MISSING ID")</x:f>
        <x:v>Raw material</x:v>
      </x:c>
      <x:c r="D35" s="4" t="str">
        <x:f>IFERROR(INDEX('Material routes'!$G$6:$G$2205,MATCH(U35,'Material routes'!$A$6:$A$2205,0)),"MISSING ID")</x:f>
        <x:v>Biological resources</x:v>
      </x:c>
      <x:c r="E35" s="4" t="str">
        <x:f>IFERROR(INDEX('Material routes'!$C$6:$C$2205,MATCH(U35,'Material routes'!$A$6:$A$2205,0)),"MISSING ID")</x:f>
        <x:v>Ingredient candidate</x:v>
      </x:c>
      <x:c r="F35" s="4" t="str">
        <x:f>IFERROR(INDEX('Material routes'!$E$6:$E$2205,MATCH(V35,'Material routes'!$A$6:$A$2205,0)),"MISSING ID")</x:f>
        <x:v>Clean graded bristle bundles</x:v>
      </x:c>
      <x:c r="G35" s="4" t="str">
        <x:f>IFERROR(INDEX('Material routes'!$F$6:$F$2205,MATCH(V35,'Material routes'!$A$6:$A$2205,0)),"MISSING ID")</x:f>
        <x:v>T1</x:v>
      </x:c>
      <x:c r="H35" s="4" t="str">
        <x:f>IFERROR(INDEX('Material routes'!$H$6:$H$2205,MATCH(V35,'Material routes'!$A$6:$A$2205,0)),"MISSING ID")</x:f>
        <x:v>Processed material</x:v>
      </x:c>
      <x:c r="I35" s="4" t="str">
        <x:f>IFERROR(INDEX('Material routes'!$G$6:$G$2205,MATCH(V35,'Material routes'!$A$6:$A$2205,0)),"MISSING ID")</x:f>
        <x:v>Manufactured stock</x:v>
      </x:c>
      <x:c r="J35" s="4" t="str">
        <x:f>IFERROR(INDEX('Material routes'!$B$6:$B$2205,MATCH(U35,'Material routes'!$A$6:$A$2205,0)),"MISSING ID")</x:f>
        <x:v>design.refine.t1.bristle_bundle</x:v>
      </x:c>
      <x:c r="K35" s="4" t="str">
        <x:f>IFERROR(INDEX('Crafting recipes'!$C$6:$C$1005,MATCH(J35,'Crafting recipes'!$A$6:$A$1005,0)),"MISSING ID")</x:f>
        <x:v>Material refinement</x:v>
      </x:c>
      <x:c r="L35" s="4" t="str">
        <x:f>IFERROR(INDEX('Material routes'!$K$6:$K$2205,MATCH(U35,'Material routes'!$A$6:$A$2205,0)),"MISSING ID")</x:f>
        <x:v>Proposal</x:v>
      </x:c>
      <x:c r="M35" s="4" t="str">
        <x:f>IFERROR(INDEX('Material routes'!$M$6:$M$2205,MATCH(U35,'Material routes'!$A$6:$A$2205,0)),"MISSING ID")</x:f>
        <x:v>Partial proposal</x:v>
      </x:c>
      <x:c r="N35" s="4" t="str">
        <x:f>IF(IFERROR(INDEX('Material routes'!$I$6:$I$1005,MATCH(U35,'Material routes'!$A$6:$A$1005,0)),"MISSING ID")=0,"",IFERROR(INDEX('Material routes'!$I$6:$I$1005,MATCH(U35,'Material routes'!$A$6:$A$1005,0)),"MISSING ID"))</x:f>
      </x:c>
      <x:c r="O35" s="4" t="str">
        <x:f>IFERROR(INDEX('Material routes'!$J$6:$J$2205,MATCH(U35,'Material routes'!$A$6:$A$2205,0)),"MISSING ID")</x:f>
        <x:v>Unspecified</x:v>
      </x:c>
      <x:c r="P35" s="4" t="str">
        <x:f>IF(IFERROR(INDEX('Material routes'!$I$6:$I$1005,MATCH(V35,'Material routes'!$A$6:$A$1005,0)),"MISSING ID")=0,"",IFERROR(INDEX('Material routes'!$I$6:$I$1005,MATCH(V35,'Material routes'!$A$6:$A$1005,0)),"MISSING ID"))</x:f>
      </x:c>
      <x:c r="Q35" s="4" t="str">
        <x:f>IFERROR(INDEX('Material routes'!$J$6:$J$2205,MATCH(V35,'Material routes'!$A$6:$A$2205,0)),"MISSING ID")</x:f>
        <x:v>Unspecified</x:v>
      </x:c>
      <x:c r="R35" s="4" t="str">
        <x:f>IF(L35="Withheld","Withheld premise",IF(E35="Tool candidate","Reusable prerequisite",IF(K35="Raw entry preparation","Entry-resource preparation",IF(G35="Not applicable",IF(IFERROR(INDEX('Items'!$AI$6:$AI$1005,MATCH(T35,'Items'!$A$6:$A$1005,0)),"MISSING ID")="Finished item","Finished endpoint",IF(IFERROR(INDEX('Items'!$AI$6:$AI$1005,MATCH(T35,'Items'!$A$6:$A$1005,0)),"MISSING ID")="Currency","Currency / no refinement tier","Recovered output / tier not applicable")),IF(OR(IFERROR(INDEX('Crafting recipes'!$H$6:$H$1005,MATCH(J35,'Crafting recipes'!$A$6:$A$1005,0)),"Unassigned")="Unassigned",G35="Unassigned"),"Tier unresolved",IF(IFERROR(VALUE(RIGHT(G35,1))-VALUE(RIGHT(IFERROR(INDEX('Crafting recipes'!$H$6:$H$1005,MATCH(J35,'Crafting recipes'!$A$6:$A$1005,0)),"Unassigned"),1)),0)=1,IF(B35=IFERROR(INDEX('Crafting recipes'!$H$6:$H$1005,MATCH(J35,'Crafting recipes'!$A$6:$A$1005,0)),"Unassigned"),"Advances one material tier","Lower-tier ingredient; route advances one tier"),"Needs tier review"))))))</x:f>
        <x:v>Advances one material tier</x:v>
      </x:c>
      <x:c r="S35" s="4" t="str">
        <x:f>IFERROR(INDEX('Material routes'!$D$6:$D$2205,MATCH(U35,'Material routes'!$A$6:$A$2205,0)),"MISSING ID")</x:f>
        <x:v>proposal.bio.bristles</x:v>
      </x:c>
      <x:c r="T35" s="4" t="str">
        <x:f>IFERROR(INDEX('Material routes'!$D$6:$D$2205,MATCH(V35,'Material routes'!$A$6:$A$2205,0)),"MISSING ID")</x:f>
        <x:v>proposal.t1.bristle_bundle</x:v>
      </x:c>
      <x:c r="U35" s="4" t="str">
        <x:v>material.route.031</x:v>
      </x:c>
      <x:c r="V35" s="4" t="str">
        <x:v>output.design.refine.t1.bristle_bundle</x:v>
      </x:c>
    </x:row>
    <x:row r="36" ht="85" customHeight="1">
      <x:c r="A36" s="4" t="str">
        <x:f>IFERROR(INDEX('Material routes'!$E$6:$E$2205,MATCH(U36,'Material routes'!$A$6:$A$2205,0)),"MISSING ID")</x:f>
        <x:v>Shell husks / shed plates</x:v>
      </x:c>
      <x:c r="B36" s="4" t="str">
        <x:f>IFERROR(INDEX('Material routes'!$F$6:$F$2205,MATCH(U36,'Material routes'!$A$6:$A$2205,0)),"MISSING ID")</x:f>
        <x:v>T0</x:v>
      </x:c>
      <x:c r="C36" s="4" t="str">
        <x:f>IFERROR(INDEX('Material routes'!$H$6:$H$2205,MATCH(U36,'Material routes'!$A$6:$A$2205,0)),"MISSING ID")</x:f>
        <x:v>Raw material</x:v>
      </x:c>
      <x:c r="D36" s="4" t="str">
        <x:f>IFERROR(INDEX('Material routes'!$G$6:$G$2205,MATCH(U36,'Material routes'!$A$6:$A$2205,0)),"MISSING ID")</x:f>
        <x:v>Biological resources</x:v>
      </x:c>
      <x:c r="E36" s="4" t="str">
        <x:f>IFERROR(INDEX('Material routes'!$C$6:$C$2205,MATCH(U36,'Material routes'!$A$6:$A$2205,0)),"MISSING ID")</x:f>
        <x:v>Ingredient candidate</x:v>
      </x:c>
      <x:c r="F36" s="4" t="str">
        <x:f>IFERROR(INDEX('Material routes'!$E$6:$E$2205,MATCH(V36,'Material routes'!$A$6:$A$2205,0)),"MISSING ID")</x:f>
        <x:v>Separated shell lamina stock</x:v>
      </x:c>
      <x:c r="G36" s="4" t="str">
        <x:f>IFERROR(INDEX('Material routes'!$F$6:$F$2205,MATCH(V36,'Material routes'!$A$6:$A$2205,0)),"MISSING ID")</x:f>
        <x:v>T1</x:v>
      </x:c>
      <x:c r="H36" s="4" t="str">
        <x:f>IFERROR(INDEX('Material routes'!$H$6:$H$2205,MATCH(V36,'Material routes'!$A$6:$A$2205,0)),"MISSING ID")</x:f>
        <x:v>Processed material</x:v>
      </x:c>
      <x:c r="I36" s="4" t="str">
        <x:f>IFERROR(INDEX('Material routes'!$G$6:$G$2205,MATCH(V36,'Material routes'!$A$6:$A$2205,0)),"MISSING ID")</x:f>
        <x:v>Manufactured stock</x:v>
      </x:c>
      <x:c r="J36" s="4" t="str">
        <x:f>IFERROR(INDEX('Material routes'!$B$6:$B$2205,MATCH(U36,'Material routes'!$A$6:$A$2205,0)),"MISSING ID")</x:f>
        <x:v>design.refine.t1.shell_lamina</x:v>
      </x:c>
      <x:c r="K36" s="4" t="str">
        <x:f>IFERROR(INDEX('Crafting recipes'!$C$6:$C$1005,MATCH(J36,'Crafting recipes'!$A$6:$A$1005,0)),"MISSING ID")</x:f>
        <x:v>Material refinement</x:v>
      </x:c>
      <x:c r="L36" s="4" t="str">
        <x:f>IFERROR(INDEX('Material routes'!$K$6:$K$2205,MATCH(U36,'Material routes'!$A$6:$A$2205,0)),"MISSING ID")</x:f>
        <x:v>Proposal</x:v>
      </x:c>
      <x:c r="M36" s="4" t="str">
        <x:f>IFERROR(INDEX('Material routes'!$M$6:$M$2205,MATCH(U36,'Material routes'!$A$6:$A$2205,0)),"MISSING ID")</x:f>
        <x:v>Partial proposal</x:v>
      </x:c>
      <x:c r="N36" s="4" t="str">
        <x:f>IF(IFERROR(INDEX('Material routes'!$I$6:$I$1005,MATCH(U36,'Material routes'!$A$6:$A$1005,0)),"MISSING ID")=0,"",IFERROR(INDEX('Material routes'!$I$6:$I$1005,MATCH(U36,'Material routes'!$A$6:$A$1005,0)),"MISSING ID"))</x:f>
      </x:c>
      <x:c r="O36" s="4" t="str">
        <x:f>IFERROR(INDEX('Material routes'!$J$6:$J$2205,MATCH(U36,'Material routes'!$A$6:$A$2205,0)),"MISSING ID")</x:f>
        <x:v>Unspecified</x:v>
      </x:c>
      <x:c r="P36" s="4" t="str">
        <x:f>IF(IFERROR(INDEX('Material routes'!$I$6:$I$1005,MATCH(V36,'Material routes'!$A$6:$A$1005,0)),"MISSING ID")=0,"",IFERROR(INDEX('Material routes'!$I$6:$I$1005,MATCH(V36,'Material routes'!$A$6:$A$1005,0)),"MISSING ID"))</x:f>
      </x:c>
      <x:c r="Q36" s="4" t="str">
        <x:f>IFERROR(INDEX('Material routes'!$J$6:$J$2205,MATCH(V36,'Material routes'!$A$6:$A$2205,0)),"MISSING ID")</x:f>
        <x:v>Unspecified</x:v>
      </x:c>
      <x:c r="R36" s="4" t="str">
        <x:f>IF(L36="Withheld","Withheld premise",IF(E36="Tool candidate","Reusable prerequisite",IF(K36="Raw entry preparation","Entry-resource preparation",IF(G36="Not applicable",IF(IFERROR(INDEX('Items'!$AI$6:$AI$1005,MATCH(T36,'Items'!$A$6:$A$1005,0)),"MISSING ID")="Finished item","Finished endpoint",IF(IFERROR(INDEX('Items'!$AI$6:$AI$1005,MATCH(T36,'Items'!$A$6:$A$1005,0)),"MISSING ID")="Currency","Currency / no refinement tier","Recovered output / tier not applicable")),IF(OR(IFERROR(INDEX('Crafting recipes'!$H$6:$H$1005,MATCH(J36,'Crafting recipes'!$A$6:$A$1005,0)),"Unassigned")="Unassigned",G36="Unassigned"),"Tier unresolved",IF(IFERROR(VALUE(RIGHT(G36,1))-VALUE(RIGHT(IFERROR(INDEX('Crafting recipes'!$H$6:$H$1005,MATCH(J36,'Crafting recipes'!$A$6:$A$1005,0)),"Unassigned"),1)),0)=1,IF(B36=IFERROR(INDEX('Crafting recipes'!$H$6:$H$1005,MATCH(J36,'Crafting recipes'!$A$6:$A$1005,0)),"Unassigned"),"Advances one material tier","Lower-tier ingredient; route advances one tier"),"Needs tier review"))))))</x:f>
        <x:v>Advances one material tier</x:v>
      </x:c>
      <x:c r="S36" s="4" t="str">
        <x:f>IFERROR(INDEX('Material routes'!$D$6:$D$2205,MATCH(U36,'Material routes'!$A$6:$A$2205,0)),"MISSING ID")</x:f>
        <x:v>proposal.bio.shell</x:v>
      </x:c>
      <x:c r="T36" s="4" t="str">
        <x:f>IFERROR(INDEX('Material routes'!$D$6:$D$2205,MATCH(V36,'Material routes'!$A$6:$A$2205,0)),"MISSING ID")</x:f>
        <x:v>proposal.t1.shell_lamina</x:v>
      </x:c>
      <x:c r="U36" s="4" t="str">
        <x:v>material.route.032</x:v>
      </x:c>
      <x:c r="V36" s="4" t="str">
        <x:v>output.design.refine.t1.shell_lamina</x:v>
      </x:c>
    </x:row>
    <x:row r="37" ht="85" customHeight="1">
      <x:c r="A37" s="4" t="str">
        <x:f>IFERROR(INDEX('Material routes'!$E$6:$E$2205,MATCH(U37,'Material routes'!$A$6:$A$2205,0)),"MISSING ID")</x:f>
        <x:v>Fauna horn cores</x:v>
      </x:c>
      <x:c r="B37" s="4" t="str">
        <x:f>IFERROR(INDEX('Material routes'!$F$6:$F$2205,MATCH(U37,'Material routes'!$A$6:$A$2205,0)),"MISSING ID")</x:f>
        <x:v>T0</x:v>
      </x:c>
      <x:c r="C37" s="4" t="str">
        <x:f>IFERROR(INDEX('Material routes'!$H$6:$H$2205,MATCH(U37,'Material routes'!$A$6:$A$2205,0)),"MISSING ID")</x:f>
        <x:v>Raw material</x:v>
      </x:c>
      <x:c r="D37" s="4" t="str">
        <x:f>IFERROR(INDEX('Material routes'!$G$6:$G$2205,MATCH(U37,'Material routes'!$A$6:$A$2205,0)),"MISSING ID")</x:f>
        <x:v>Biological resources</x:v>
      </x:c>
      <x:c r="E37" s="4" t="str">
        <x:f>IFERROR(INDEX('Material routes'!$C$6:$C$2205,MATCH(U37,'Material routes'!$A$6:$A$2205,0)),"MISSING ID")</x:f>
        <x:v>Ingredient candidate</x:v>
      </x:c>
      <x:c r="F37" s="4" t="str">
        <x:f>IFERROR(INDEX('Material routes'!$E$6:$E$2205,MATCH(V37,'Material routes'!$A$6:$A$2205,0)),"MISSING ID")</x:f>
        <x:v>Shaped fauna hard-part blanks</x:v>
      </x:c>
      <x:c r="G37" s="4" t="str">
        <x:f>IFERROR(INDEX('Material routes'!$F$6:$F$2205,MATCH(V37,'Material routes'!$A$6:$A$2205,0)),"MISSING ID")</x:f>
        <x:v>T1</x:v>
      </x:c>
      <x:c r="H37" s="4" t="str">
        <x:f>IFERROR(INDEX('Material routes'!$H$6:$H$2205,MATCH(V37,'Material routes'!$A$6:$A$2205,0)),"MISSING ID")</x:f>
        <x:v>Processed material</x:v>
      </x:c>
      <x:c r="I37" s="4" t="str">
        <x:f>IFERROR(INDEX('Material routes'!$G$6:$G$2205,MATCH(V37,'Material routes'!$A$6:$A$2205,0)),"MISSING ID")</x:f>
        <x:v>Manufactured stock</x:v>
      </x:c>
      <x:c r="J37" s="4" t="str">
        <x:f>IFERROR(INDEX('Material routes'!$B$6:$B$2205,MATCH(U37,'Material routes'!$A$6:$A$2205,0)),"MISSING ID")</x:f>
        <x:v>design.refine.t1.hardpart_blank</x:v>
      </x:c>
      <x:c r="K37" s="4" t="str">
        <x:f>IFERROR(INDEX('Crafting recipes'!$C$6:$C$1005,MATCH(J37,'Crafting recipes'!$A$6:$A$1005,0)),"MISSING ID")</x:f>
        <x:v>Material refinement</x:v>
      </x:c>
      <x:c r="L37" s="4" t="str">
        <x:f>IFERROR(INDEX('Material routes'!$K$6:$K$2205,MATCH(U37,'Material routes'!$A$6:$A$2205,0)),"MISSING ID")</x:f>
        <x:v>Proposal</x:v>
      </x:c>
      <x:c r="M37" s="4" t="str">
        <x:f>IFERROR(INDEX('Material routes'!$M$6:$M$2205,MATCH(U37,'Material routes'!$A$6:$A$2205,0)),"MISSING ID")</x:f>
        <x:v>Partial proposal</x:v>
      </x:c>
      <x:c r="N37" s="4" t="str">
        <x:f>IF(IFERROR(INDEX('Material routes'!$I$6:$I$1005,MATCH(U37,'Material routes'!$A$6:$A$1005,0)),"MISSING ID")=0,"",IFERROR(INDEX('Material routes'!$I$6:$I$1005,MATCH(U37,'Material routes'!$A$6:$A$1005,0)),"MISSING ID"))</x:f>
      </x:c>
      <x:c r="O37" s="4" t="str">
        <x:f>IFERROR(INDEX('Material routes'!$J$6:$J$2205,MATCH(U37,'Material routes'!$A$6:$A$2205,0)),"MISSING ID")</x:f>
        <x:v>Unspecified</x:v>
      </x:c>
      <x:c r="P37" s="4" t="str">
        <x:f>IF(IFERROR(INDEX('Material routes'!$I$6:$I$1005,MATCH(V37,'Material routes'!$A$6:$A$1005,0)),"MISSING ID")=0,"",IFERROR(INDEX('Material routes'!$I$6:$I$1005,MATCH(V37,'Material routes'!$A$6:$A$1005,0)),"MISSING ID"))</x:f>
      </x:c>
      <x:c r="Q37" s="4" t="str">
        <x:f>IFERROR(INDEX('Material routes'!$J$6:$J$2205,MATCH(V37,'Material routes'!$A$6:$A$2205,0)),"MISSING ID")</x:f>
        <x:v>Unspecified</x:v>
      </x:c>
      <x:c r="R37" s="4" t="str">
        <x:f>IF(L37="Withheld","Withheld premise",IF(E37="Tool candidate","Reusable prerequisite",IF(K37="Raw entry preparation","Entry-resource preparation",IF(G37="Not applicable",IF(IFERROR(INDEX('Items'!$AI$6:$AI$1005,MATCH(T37,'Items'!$A$6:$A$1005,0)),"MISSING ID")="Finished item","Finished endpoint",IF(IFERROR(INDEX('Items'!$AI$6:$AI$1005,MATCH(T37,'Items'!$A$6:$A$1005,0)),"MISSING ID")="Currency","Currency / no refinement tier","Recovered output / tier not applicable")),IF(OR(IFERROR(INDEX('Crafting recipes'!$H$6:$H$1005,MATCH(J37,'Crafting recipes'!$A$6:$A$1005,0)),"Unassigned")="Unassigned",G37="Unassigned"),"Tier unresolved",IF(IFERROR(VALUE(RIGHT(G37,1))-VALUE(RIGHT(IFERROR(INDEX('Crafting recipes'!$H$6:$H$1005,MATCH(J37,'Crafting recipes'!$A$6:$A$1005,0)),"Unassigned"),1)),0)=1,IF(B37=IFERROR(INDEX('Crafting recipes'!$H$6:$H$1005,MATCH(J37,'Crafting recipes'!$A$6:$A$1005,0)),"Unassigned"),"Advances one material tier","Lower-tier ingredient; route advances one tier"),"Needs tier review"))))))</x:f>
        <x:v>Advances one material tier</x:v>
      </x:c>
      <x:c r="S37" s="4" t="str">
        <x:f>IFERROR(INDEX('Material routes'!$D$6:$D$2205,MATCH(U37,'Material routes'!$A$6:$A$2205,0)),"MISSING ID")</x:f>
        <x:v>proposal.raw.horn_core</x:v>
      </x:c>
      <x:c r="T37" s="4" t="str">
        <x:f>IFERROR(INDEX('Material routes'!$D$6:$D$2205,MATCH(V37,'Material routes'!$A$6:$A$2205,0)),"MISSING ID")</x:f>
        <x:v>proposal.t1.hardpart_blank</x:v>
      </x:c>
      <x:c r="U37" s="4" t="str">
        <x:v>material.route.033</x:v>
      </x:c>
      <x:c r="V37" s="4" t="str">
        <x:v>output.design.refine.t1.hardpart_blank</x:v>
      </x:c>
    </x:row>
    <x:row r="38" ht="85" customHeight="1">
      <x:c r="A38" s="4" t="str">
        <x:f>IFERROR(INDEX('Material routes'!$E$6:$E$2205,MATCH(U38,'Material routes'!$A$6:$A$2205,0)),"MISSING ID")</x:f>
        <x:v>Dry mineral salts</x:v>
      </x:c>
      <x:c r="B38" s="4" t="str">
        <x:f>IFERROR(INDEX('Material routes'!$F$6:$F$2205,MATCH(U38,'Material routes'!$A$6:$A$2205,0)),"MISSING ID")</x:f>
        <x:v>T0</x:v>
      </x:c>
      <x:c r="C38" s="4" t="str">
        <x:f>IFERROR(INDEX('Material routes'!$H$6:$H$2205,MATCH(U38,'Material routes'!$A$6:$A$2205,0)),"MISSING ID")</x:f>
        <x:v>Raw material</x:v>
      </x:c>
      <x:c r="D38" s="4" t="str">
        <x:f>IFERROR(INDEX('Material routes'!$G$6:$G$2205,MATCH(U38,'Material routes'!$A$6:$A$2205,0)),"MISSING ID")</x:f>
        <x:v>Mineral resources</x:v>
      </x:c>
      <x:c r="E38" s="4" t="str">
        <x:f>IFERROR(INDEX('Material routes'!$C$6:$C$2205,MATCH(U38,'Material routes'!$A$6:$A$2205,0)),"MISSING ID")</x:f>
        <x:v>Ingredient candidate</x:v>
      </x:c>
      <x:c r="F38" s="4" t="str">
        <x:f>IFERROR(INDEX('Material routes'!$E$6:$E$2205,MATCH(V38,'Material routes'!$A$6:$A$2205,0)),"MISSING ID")</x:f>
        <x:v>Graded process salts</x:v>
      </x:c>
      <x:c r="G38" s="4" t="str">
        <x:f>IFERROR(INDEX('Material routes'!$F$6:$F$2205,MATCH(V38,'Material routes'!$A$6:$A$2205,0)),"MISSING ID")</x:f>
        <x:v>T1</x:v>
      </x:c>
      <x:c r="H38" s="4" t="str">
        <x:f>IFERROR(INDEX('Material routes'!$H$6:$H$2205,MATCH(V38,'Material routes'!$A$6:$A$2205,0)),"MISSING ID")</x:f>
        <x:v>Processed material</x:v>
      </x:c>
      <x:c r="I38" s="4" t="str">
        <x:f>IFERROR(INDEX('Material routes'!$G$6:$G$2205,MATCH(V38,'Material routes'!$A$6:$A$2205,0)),"MISSING ID")</x:f>
        <x:v>Manufactured stock</x:v>
      </x:c>
      <x:c r="J38" s="4" t="str">
        <x:f>IFERROR(INDEX('Material routes'!$B$6:$B$2205,MATCH(U38,'Material routes'!$A$6:$A$2205,0)),"MISSING ID")</x:f>
        <x:v>design.refine.t1.process_salts</x:v>
      </x:c>
      <x:c r="K38" s="4" t="str">
        <x:f>IFERROR(INDEX('Crafting recipes'!$C$6:$C$1005,MATCH(J38,'Crafting recipes'!$A$6:$A$1005,0)),"MISSING ID")</x:f>
        <x:v>Material refinement</x:v>
      </x:c>
      <x:c r="L38" s="4" t="str">
        <x:f>IFERROR(INDEX('Material routes'!$K$6:$K$2205,MATCH(U38,'Material routes'!$A$6:$A$2205,0)),"MISSING ID")</x:f>
        <x:v>Proposal</x:v>
      </x:c>
      <x:c r="M38" s="4" t="str">
        <x:f>IFERROR(INDEX('Material routes'!$M$6:$M$2205,MATCH(U38,'Material routes'!$A$6:$A$2205,0)),"MISSING ID")</x:f>
        <x:v>Partial proposal</x:v>
      </x:c>
      <x:c r="N38" s="4" t="str">
        <x:f>IF(IFERROR(INDEX('Material routes'!$I$6:$I$1005,MATCH(U38,'Material routes'!$A$6:$A$1005,0)),"MISSING ID")=0,"",IFERROR(INDEX('Material routes'!$I$6:$I$1005,MATCH(U38,'Material routes'!$A$6:$A$1005,0)),"MISSING ID"))</x:f>
      </x:c>
      <x:c r="O38" s="4" t="str">
        <x:f>IFERROR(INDEX('Material routes'!$J$6:$J$2205,MATCH(U38,'Material routes'!$A$6:$A$2205,0)),"MISSING ID")</x:f>
        <x:v>Unspecified</x:v>
      </x:c>
      <x:c r="P38" s="4" t="str">
        <x:f>IF(IFERROR(INDEX('Material routes'!$I$6:$I$1005,MATCH(V38,'Material routes'!$A$6:$A$1005,0)),"MISSING ID")=0,"",IFERROR(INDEX('Material routes'!$I$6:$I$1005,MATCH(V38,'Material routes'!$A$6:$A$1005,0)),"MISSING ID"))</x:f>
      </x:c>
      <x:c r="Q38" s="4" t="str">
        <x:f>IFERROR(INDEX('Material routes'!$J$6:$J$2205,MATCH(V38,'Material routes'!$A$6:$A$2205,0)),"MISSING ID")</x:f>
        <x:v>Unspecified</x:v>
      </x:c>
      <x:c r="R38" s="4" t="str">
        <x:f>IF(L38="Withheld","Withheld premise",IF(E38="Tool candidate","Reusable prerequisite",IF(K38="Raw entry preparation","Entry-resource preparation",IF(G38="Not applicable",IF(IFERROR(INDEX('Items'!$AI$6:$AI$1005,MATCH(T38,'Items'!$A$6:$A$1005,0)),"MISSING ID")="Finished item","Finished endpoint",IF(IFERROR(INDEX('Items'!$AI$6:$AI$1005,MATCH(T38,'Items'!$A$6:$A$1005,0)),"MISSING ID")="Currency","Currency / no refinement tier","Recovered output / tier not applicable")),IF(OR(IFERROR(INDEX('Crafting recipes'!$H$6:$H$1005,MATCH(J38,'Crafting recipes'!$A$6:$A$1005,0)),"Unassigned")="Unassigned",G38="Unassigned"),"Tier unresolved",IF(IFERROR(VALUE(RIGHT(G38,1))-VALUE(RIGHT(IFERROR(INDEX('Crafting recipes'!$H$6:$H$1005,MATCH(J38,'Crafting recipes'!$A$6:$A$1005,0)),"Unassigned"),1)),0)=1,IF(B38=IFERROR(INDEX('Crafting recipes'!$H$6:$H$1005,MATCH(J38,'Crafting recipes'!$A$6:$A$1005,0)),"Unassigned"),"Advances one material tier","Lower-tier ingredient; route advances one tier"),"Needs tier review"))))))</x:f>
        <x:v>Advances one material tier</x:v>
      </x:c>
      <x:c r="S38" s="4" t="str">
        <x:f>IFERROR(INDEX('Material routes'!$D$6:$D$2205,MATCH(U38,'Material routes'!$A$6:$A$2205,0)),"MISSING ID")</x:f>
        <x:v>proposal.natural.salts</x:v>
      </x:c>
      <x:c r="T38" s="4" t="str">
        <x:f>IFERROR(INDEX('Material routes'!$D$6:$D$2205,MATCH(V38,'Material routes'!$A$6:$A$2205,0)),"MISSING ID")</x:f>
        <x:v>proposal.t1.process_salts</x:v>
      </x:c>
      <x:c r="U38" s="4" t="str">
        <x:v>material.route.034</x:v>
      </x:c>
      <x:c r="V38" s="4" t="str">
        <x:v>output.design.refine.t1.process_salts</x:v>
      </x:c>
    </x:row>
    <x:row r="39" ht="85" customHeight="1">
      <x:c r="A39" s="4" t="str">
        <x:f>IFERROR(INDEX('Material routes'!$E$6:$E$2205,MATCH(U39,'Material routes'!$A$6:$A$2205,0)),"MISSING ID")</x:f>
        <x:v>Faunal liquid material (unspecified)</x:v>
      </x:c>
      <x:c r="B39" s="4" t="str">
        <x:f>IFERROR(INDEX('Material routes'!$F$6:$F$2205,MATCH(U39,'Material routes'!$A$6:$A$2205,0)),"MISSING ID")</x:f>
        <x:v>T0</x:v>
      </x:c>
      <x:c r="C39" s="4" t="str">
        <x:f>IFERROR(INDEX('Material routes'!$H$6:$H$2205,MATCH(U39,'Material routes'!$A$6:$A$2205,0)),"MISSING ID")</x:f>
        <x:v>Chemical material</x:v>
      </x:c>
      <x:c r="D39" s="4" t="str">
        <x:f>IFERROR(INDEX('Material routes'!$G$6:$G$2205,MATCH(U39,'Material routes'!$A$6:$A$2205,0)),"MISSING ID")</x:f>
        <x:v>Biological resources</x:v>
      </x:c>
      <x:c r="E39" s="4" t="str">
        <x:f>IFERROR(INDEX('Material routes'!$C$6:$C$2205,MATCH(U39,'Material routes'!$A$6:$A$2205,0)),"MISSING ID")</x:f>
        <x:v>Ingredient candidate</x:v>
      </x:c>
      <x:c r="F39" s="4" t="str">
        <x:f>IFERROR(INDEX('Material routes'!$E$6:$E$2205,MATCH(V39,'Material routes'!$A$6:$A$2205,0)),"MISSING ID")</x:f>
        <x:v>Selected faunal carrier fraction</x:v>
      </x:c>
      <x:c r="G39" s="4" t="str">
        <x:f>IFERROR(INDEX('Material routes'!$F$6:$F$2205,MATCH(V39,'Material routes'!$A$6:$A$2205,0)),"MISSING ID")</x:f>
        <x:v>T1</x:v>
      </x:c>
      <x:c r="H39" s="4" t="str">
        <x:f>IFERROR(INDEX('Material routes'!$H$6:$H$2205,MATCH(V39,'Material routes'!$A$6:$A$2205,0)),"MISSING ID")</x:f>
        <x:v>Chemical material</x:v>
      </x:c>
      <x:c r="I39" s="4" t="str">
        <x:f>IFERROR(INDEX('Material routes'!$G$6:$G$2205,MATCH(V39,'Material routes'!$A$6:$A$2205,0)),"MISSING ID")</x:f>
        <x:v>Crafting components</x:v>
      </x:c>
      <x:c r="J39" s="4" t="str">
        <x:f>IFERROR(INDEX('Material routes'!$B$6:$B$2205,MATCH(U39,'Material routes'!$A$6:$A$2205,0)),"MISSING ID")</x:f>
        <x:v>design.refine.t1.faunal_carrier</x:v>
      </x:c>
      <x:c r="K39" s="4" t="str">
        <x:f>IFERROR(INDEX('Crafting recipes'!$C$6:$C$1005,MATCH(J39,'Crafting recipes'!$A$6:$A$1005,0)),"MISSING ID")</x:f>
        <x:v>Material refinement</x:v>
      </x:c>
      <x:c r="L39" s="4" t="str">
        <x:f>IFERROR(INDEX('Material routes'!$K$6:$K$2205,MATCH(U39,'Material routes'!$A$6:$A$2205,0)),"MISSING ID")</x:f>
        <x:v>Proposal</x:v>
      </x:c>
      <x:c r="M39" s="4" t="str">
        <x:f>IFERROR(INDEX('Material routes'!$M$6:$M$2205,MATCH(U39,'Material routes'!$A$6:$A$2205,0)),"MISSING ID")</x:f>
        <x:v>Partial proposal</x:v>
      </x:c>
      <x:c r="N39" s="4" t="str">
        <x:f>IF(IFERROR(INDEX('Material routes'!$I$6:$I$1005,MATCH(U39,'Material routes'!$A$6:$A$1005,0)),"MISSING ID")=0,"",IFERROR(INDEX('Material routes'!$I$6:$I$1005,MATCH(U39,'Material routes'!$A$6:$A$1005,0)),"MISSING ID"))</x:f>
      </x:c>
      <x:c r="O39" s="4" t="str">
        <x:f>IFERROR(INDEX('Material routes'!$J$6:$J$2205,MATCH(U39,'Material routes'!$A$6:$A$2205,0)),"MISSING ID")</x:f>
        <x:v>Unspecified</x:v>
      </x:c>
      <x:c r="P39" s="4" t="str">
        <x:f>IF(IFERROR(INDEX('Material routes'!$I$6:$I$1005,MATCH(V39,'Material routes'!$A$6:$A$1005,0)),"MISSING ID")=0,"",IFERROR(INDEX('Material routes'!$I$6:$I$1005,MATCH(V39,'Material routes'!$A$6:$A$1005,0)),"MISSING ID"))</x:f>
      </x:c>
      <x:c r="Q39" s="4" t="str">
        <x:f>IFERROR(INDEX('Material routes'!$J$6:$J$2205,MATCH(V39,'Material routes'!$A$6:$A$2205,0)),"MISSING ID")</x:f>
        <x:v>Unspecified</x:v>
      </x:c>
      <x:c r="R39" s="4" t="str">
        <x:f>IF(L39="Withheld","Withheld premise",IF(E39="Tool candidate","Reusable prerequisite",IF(K39="Raw entry preparation","Entry-resource preparation",IF(G39="Not applicable",IF(IFERROR(INDEX('Items'!$AI$6:$AI$1005,MATCH(T39,'Items'!$A$6:$A$1005,0)),"MISSING ID")="Finished item","Finished endpoint",IF(IFERROR(INDEX('Items'!$AI$6:$AI$1005,MATCH(T39,'Items'!$A$6:$A$1005,0)),"MISSING ID")="Currency","Currency / no refinement tier","Recovered output / tier not applicable")),IF(OR(IFERROR(INDEX('Crafting recipes'!$H$6:$H$1005,MATCH(J39,'Crafting recipes'!$A$6:$A$1005,0)),"Unassigned")="Unassigned",G39="Unassigned"),"Tier unresolved",IF(IFERROR(VALUE(RIGHT(G39,1))-VALUE(RIGHT(IFERROR(INDEX('Crafting recipes'!$H$6:$H$1005,MATCH(J39,'Crafting recipes'!$A$6:$A$1005,0)),"Unassigned"),1)),0)=1,IF(B39=IFERROR(INDEX('Crafting recipes'!$H$6:$H$1005,MATCH(J39,'Crafting recipes'!$A$6:$A$1005,0)),"Unassigned"),"Advances one material tier","Lower-tier ingredient; route advances one tier"),"Needs tier review"))))))</x:f>
        <x:v>Advances one material tier</x:v>
      </x:c>
      <x:c r="S39" s="4" t="str">
        <x:f>IFERROR(INDEX('Material routes'!$D$6:$D$2205,MATCH(U39,'Material routes'!$A$6:$A$2205,0)),"MISSING ID")</x:f>
        <x:v>proposal.bio.liquid_material</x:v>
      </x:c>
      <x:c r="T39" s="4" t="str">
        <x:f>IFERROR(INDEX('Material routes'!$D$6:$D$2205,MATCH(V39,'Material routes'!$A$6:$A$2205,0)),"MISSING ID")</x:f>
        <x:v>proposal.t1.faunal_carrier</x:v>
      </x:c>
      <x:c r="U39" s="4" t="str">
        <x:v>material.route.035</x:v>
      </x:c>
      <x:c r="V39" s="4" t="str">
        <x:v>output.design.refine.t1.faunal_carrier</x:v>
      </x:c>
    </x:row>
    <x:row r="40" ht="85" customHeight="1">
      <x:c r="A40" s="4" t="str">
        <x:f>IFERROR(INDEX('Material routes'!$E$6:$E$2205,MATCH(U40,'Material routes'!$A$6:$A$2205,0)),"MISSING ID")</x:f>
        <x:v>Shell-binding secretion</x:v>
      </x:c>
      <x:c r="B40" s="4" t="str">
        <x:f>IFERROR(INDEX('Material routes'!$F$6:$F$2205,MATCH(U40,'Material routes'!$A$6:$A$2205,0)),"MISSING ID")</x:f>
        <x:v>T0</x:v>
      </x:c>
      <x:c r="C40" s="4" t="str">
        <x:f>IFERROR(INDEX('Material routes'!$H$6:$H$2205,MATCH(U40,'Material routes'!$A$6:$A$2205,0)),"MISSING ID")</x:f>
        <x:v>Chemical material</x:v>
      </x:c>
      <x:c r="D40" s="4" t="str">
        <x:f>IFERROR(INDEX('Material routes'!$G$6:$G$2205,MATCH(U40,'Material routes'!$A$6:$A$2205,0)),"MISSING ID")</x:f>
        <x:v>Biological resources</x:v>
      </x:c>
      <x:c r="E40" s="4" t="str">
        <x:f>IFERROR(INDEX('Material routes'!$C$6:$C$2205,MATCH(U40,'Material routes'!$A$6:$A$2205,0)),"MISSING ID")</x:f>
        <x:v>Ingredient candidate</x:v>
      </x:c>
      <x:c r="F40" s="4" t="str">
        <x:f>IFERROR(INDEX('Material routes'!$E$6:$E$2205,MATCH(V40,'Material routes'!$A$6:$A$2205,0)),"MISSING ID")</x:f>
        <x:v>Prepared shell-binding adhesive</x:v>
      </x:c>
      <x:c r="G40" s="4" t="str">
        <x:f>IFERROR(INDEX('Material routes'!$F$6:$F$2205,MATCH(V40,'Material routes'!$A$6:$A$2205,0)),"MISSING ID")</x:f>
        <x:v>T1</x:v>
      </x:c>
      <x:c r="H40" s="4" t="str">
        <x:f>IFERROR(INDEX('Material routes'!$H$6:$H$2205,MATCH(V40,'Material routes'!$A$6:$A$2205,0)),"MISSING ID")</x:f>
        <x:v>Chemical material</x:v>
      </x:c>
      <x:c r="I40" s="4" t="str">
        <x:f>IFERROR(INDEX('Material routes'!$G$6:$G$2205,MATCH(V40,'Material routes'!$A$6:$A$2205,0)),"MISSING ID")</x:f>
        <x:v>Crafting components</x:v>
      </x:c>
      <x:c r="J40" s="4" t="str">
        <x:f>IFERROR(INDEX('Material routes'!$B$6:$B$2205,MATCH(U40,'Material routes'!$A$6:$A$2205,0)),"MISSING ID")</x:f>
        <x:v>design.refine.t1.shell_adhesive</x:v>
      </x:c>
      <x:c r="K40" s="4" t="str">
        <x:f>IFERROR(INDEX('Crafting recipes'!$C$6:$C$1005,MATCH(J40,'Crafting recipes'!$A$6:$A$1005,0)),"MISSING ID")</x:f>
        <x:v>Material refinement</x:v>
      </x:c>
      <x:c r="L40" s="4" t="str">
        <x:f>IFERROR(INDEX('Material routes'!$K$6:$K$2205,MATCH(U40,'Material routes'!$A$6:$A$2205,0)),"MISSING ID")</x:f>
        <x:v>Proposal</x:v>
      </x:c>
      <x:c r="M40" s="4" t="str">
        <x:f>IFERROR(INDEX('Material routes'!$M$6:$M$2205,MATCH(U40,'Material routes'!$A$6:$A$2205,0)),"MISSING ID")</x:f>
        <x:v>Partial proposal</x:v>
      </x:c>
      <x:c r="N40" s="4" t="str">
        <x:f>IF(IFERROR(INDEX('Material routes'!$I$6:$I$1005,MATCH(U40,'Material routes'!$A$6:$A$1005,0)),"MISSING ID")=0,"",IFERROR(INDEX('Material routes'!$I$6:$I$1005,MATCH(U40,'Material routes'!$A$6:$A$1005,0)),"MISSING ID"))</x:f>
      </x:c>
      <x:c r="O40" s="4" t="str">
        <x:f>IFERROR(INDEX('Material routes'!$J$6:$J$2205,MATCH(U40,'Material routes'!$A$6:$A$2205,0)),"MISSING ID")</x:f>
        <x:v>Unspecified</x:v>
      </x:c>
      <x:c r="P40" s="4" t="str">
        <x:f>IF(IFERROR(INDEX('Material routes'!$I$6:$I$1005,MATCH(V40,'Material routes'!$A$6:$A$1005,0)),"MISSING ID")=0,"",IFERROR(INDEX('Material routes'!$I$6:$I$1005,MATCH(V40,'Material routes'!$A$6:$A$1005,0)),"MISSING ID"))</x:f>
      </x:c>
      <x:c r="Q40" s="4" t="str">
        <x:f>IFERROR(INDEX('Material routes'!$J$6:$J$2205,MATCH(V40,'Material routes'!$A$6:$A$2205,0)),"MISSING ID")</x:f>
        <x:v>Unspecified</x:v>
      </x:c>
      <x:c r="R40" s="4" t="str">
        <x:f>IF(L40="Withheld","Withheld premise",IF(E40="Tool candidate","Reusable prerequisite",IF(K40="Raw entry preparation","Entry-resource preparation",IF(G40="Not applicable",IF(IFERROR(INDEX('Items'!$AI$6:$AI$1005,MATCH(T40,'Items'!$A$6:$A$1005,0)),"MISSING ID")="Finished item","Finished endpoint",IF(IFERROR(INDEX('Items'!$AI$6:$AI$1005,MATCH(T40,'Items'!$A$6:$A$1005,0)),"MISSING ID")="Currency","Currency / no refinement tier","Recovered output / tier not applicable")),IF(OR(IFERROR(INDEX('Crafting recipes'!$H$6:$H$1005,MATCH(J40,'Crafting recipes'!$A$6:$A$1005,0)),"Unassigned")="Unassigned",G40="Unassigned"),"Tier unresolved",IF(IFERROR(VALUE(RIGHT(G40,1))-VALUE(RIGHT(IFERROR(INDEX('Crafting recipes'!$H$6:$H$1005,MATCH(J40,'Crafting recipes'!$A$6:$A$1005,0)),"Unassigned"),1)),0)=1,IF(B40=IFERROR(INDEX('Crafting recipes'!$H$6:$H$1005,MATCH(J40,'Crafting recipes'!$A$6:$A$1005,0)),"Unassigned"),"Advances one material tier","Lower-tier ingredient; route advances one tier"),"Needs tier review"))))))</x:f>
        <x:v>Advances one material tier</x:v>
      </x:c>
      <x:c r="S40" s="4" t="str">
        <x:f>IFERROR(INDEX('Material routes'!$D$6:$D$2205,MATCH(U40,'Material routes'!$A$6:$A$2205,0)),"MISSING ID")</x:f>
        <x:v>proposal.chemical.shell_binder</x:v>
      </x:c>
      <x:c r="T40" s="4" t="str">
        <x:f>IFERROR(INDEX('Material routes'!$D$6:$D$2205,MATCH(V40,'Material routes'!$A$6:$A$2205,0)),"MISSING ID")</x:f>
        <x:v>proposal.t1.shell_adhesive</x:v>
      </x:c>
      <x:c r="U40" s="4" t="str">
        <x:v>material.route.036</x:v>
      </x:c>
      <x:c r="V40" s="4" t="str">
        <x:v>output.design.refine.t1.shell_adhesive</x:v>
      </x:c>
    </x:row>
    <x:row r="41" ht="85" customHeight="1">
      <x:c r="A41" s="4" t="str">
        <x:f>IFERROR(INDEX('Material routes'!$E$6:$E$2205,MATCH(U41,'Material routes'!$A$6:$A$2205,0)),"MISSING ID")</x:f>
        <x:v>Mineral clotting compound</x:v>
      </x:c>
      <x:c r="B41" s="4" t="str">
        <x:f>IFERROR(INDEX('Material routes'!$F$6:$F$2205,MATCH(U41,'Material routes'!$A$6:$A$2205,0)),"MISSING ID")</x:f>
        <x:v>T0</x:v>
      </x:c>
      <x:c r="C41" s="4" t="str">
        <x:f>IFERROR(INDEX('Material routes'!$H$6:$H$2205,MATCH(U41,'Material routes'!$A$6:$A$2205,0)),"MISSING ID")</x:f>
        <x:v>Chemical material</x:v>
      </x:c>
      <x:c r="D41" s="4" t="str">
        <x:f>IFERROR(INDEX('Material routes'!$G$6:$G$2205,MATCH(U41,'Material routes'!$A$6:$A$2205,0)),"MISSING ID")</x:f>
        <x:v>Biological resources</x:v>
      </x:c>
      <x:c r="E41" s="4" t="str">
        <x:f>IFERROR(INDEX('Material routes'!$C$6:$C$2205,MATCH(U41,'Material routes'!$A$6:$A$2205,0)),"MISSING ID")</x:f>
        <x:v>Ingredient candidate</x:v>
      </x:c>
      <x:c r="F41" s="4" t="str">
        <x:f>IFERROR(INDEX('Material routes'!$E$6:$E$2205,MATCH(V41,'Material routes'!$A$6:$A$2205,0)),"MISSING ID")</x:f>
        <x:v>Prepared clot-seal compound</x:v>
      </x:c>
      <x:c r="G41" s="4" t="str">
        <x:f>IFERROR(INDEX('Material routes'!$F$6:$F$2205,MATCH(V41,'Material routes'!$A$6:$A$2205,0)),"MISSING ID")</x:f>
        <x:v>T1</x:v>
      </x:c>
      <x:c r="H41" s="4" t="str">
        <x:f>IFERROR(INDEX('Material routes'!$H$6:$H$2205,MATCH(V41,'Material routes'!$A$6:$A$2205,0)),"MISSING ID")</x:f>
        <x:v>Chemical material</x:v>
      </x:c>
      <x:c r="I41" s="4" t="str">
        <x:f>IFERROR(INDEX('Material routes'!$G$6:$G$2205,MATCH(V41,'Material routes'!$A$6:$A$2205,0)),"MISSING ID")</x:f>
        <x:v>Crafting components</x:v>
      </x:c>
      <x:c r="J41" s="4" t="str">
        <x:f>IFERROR(INDEX('Material routes'!$B$6:$B$2205,MATCH(U41,'Material routes'!$A$6:$A$2205,0)),"MISSING ID")</x:f>
        <x:v>design.refine.t1.clot_seal</x:v>
      </x:c>
      <x:c r="K41" s="4" t="str">
        <x:f>IFERROR(INDEX('Crafting recipes'!$C$6:$C$1005,MATCH(J41,'Crafting recipes'!$A$6:$A$1005,0)),"MISSING ID")</x:f>
        <x:v>Material refinement</x:v>
      </x:c>
      <x:c r="L41" s="4" t="str">
        <x:f>IFERROR(INDEX('Material routes'!$K$6:$K$2205,MATCH(U41,'Material routes'!$A$6:$A$2205,0)),"MISSING ID")</x:f>
        <x:v>Proposal</x:v>
      </x:c>
      <x:c r="M41" s="4" t="str">
        <x:f>IFERROR(INDEX('Material routes'!$M$6:$M$2205,MATCH(U41,'Material routes'!$A$6:$A$2205,0)),"MISSING ID")</x:f>
        <x:v>Partial proposal</x:v>
      </x:c>
      <x:c r="N41" s="4" t="str">
        <x:f>IF(IFERROR(INDEX('Material routes'!$I$6:$I$1005,MATCH(U41,'Material routes'!$A$6:$A$1005,0)),"MISSING ID")=0,"",IFERROR(INDEX('Material routes'!$I$6:$I$1005,MATCH(U41,'Material routes'!$A$6:$A$1005,0)),"MISSING ID"))</x:f>
      </x:c>
      <x:c r="O41" s="4" t="str">
        <x:f>IFERROR(INDEX('Material routes'!$J$6:$J$2205,MATCH(U41,'Material routes'!$A$6:$A$2205,0)),"MISSING ID")</x:f>
        <x:v>Unspecified</x:v>
      </x:c>
      <x:c r="P41" s="4" t="str">
        <x:f>IF(IFERROR(INDEX('Material routes'!$I$6:$I$1005,MATCH(V41,'Material routes'!$A$6:$A$1005,0)),"MISSING ID")=0,"",IFERROR(INDEX('Material routes'!$I$6:$I$1005,MATCH(V41,'Material routes'!$A$6:$A$1005,0)),"MISSING ID"))</x:f>
      </x:c>
      <x:c r="Q41" s="4" t="str">
        <x:f>IFERROR(INDEX('Material routes'!$J$6:$J$2205,MATCH(V41,'Material routes'!$A$6:$A$2205,0)),"MISSING ID")</x:f>
        <x:v>Unspecified</x:v>
      </x:c>
      <x:c r="R41" s="4" t="str">
        <x:f>IF(L41="Withheld","Withheld premise",IF(E41="Tool candidate","Reusable prerequisite",IF(K41="Raw entry preparation","Entry-resource preparation",IF(G41="Not applicable",IF(IFERROR(INDEX('Items'!$AI$6:$AI$1005,MATCH(T41,'Items'!$A$6:$A$1005,0)),"MISSING ID")="Finished item","Finished endpoint",IF(IFERROR(INDEX('Items'!$AI$6:$AI$1005,MATCH(T41,'Items'!$A$6:$A$1005,0)),"MISSING ID")="Currency","Currency / no refinement tier","Recovered output / tier not applicable")),IF(OR(IFERROR(INDEX('Crafting recipes'!$H$6:$H$1005,MATCH(J41,'Crafting recipes'!$A$6:$A$1005,0)),"Unassigned")="Unassigned",G41="Unassigned"),"Tier unresolved",IF(IFERROR(VALUE(RIGHT(G41,1))-VALUE(RIGHT(IFERROR(INDEX('Crafting recipes'!$H$6:$H$1005,MATCH(J41,'Crafting recipes'!$A$6:$A$1005,0)),"Unassigned"),1)),0)=1,IF(B41=IFERROR(INDEX('Crafting recipes'!$H$6:$H$1005,MATCH(J41,'Crafting recipes'!$A$6:$A$1005,0)),"Unassigned"),"Advances one material tier","Lower-tier ingredient; route advances one tier"),"Needs tier review"))))))</x:f>
        <x:v>Advances one material tier</x:v>
      </x:c>
      <x:c r="S41" s="4" t="str">
        <x:f>IFERROR(INDEX('Material routes'!$D$6:$D$2205,MATCH(U41,'Material routes'!$A$6:$A$2205,0)),"MISSING ID")</x:f>
        <x:v>proposal.chemical.clotting_compound</x:v>
      </x:c>
      <x:c r="T41" s="4" t="str">
        <x:f>IFERROR(INDEX('Material routes'!$D$6:$D$2205,MATCH(V41,'Material routes'!$A$6:$A$2205,0)),"MISSING ID")</x:f>
        <x:v>proposal.t1.clot_seal</x:v>
      </x:c>
      <x:c r="U41" s="4" t="str">
        <x:v>material.route.037</x:v>
      </x:c>
      <x:c r="V41" s="4" t="str">
        <x:v>output.design.refine.t1.clot_seal</x:v>
      </x:c>
    </x:row>
    <x:row r="42" ht="85" customHeight="1">
      <x:c r="A42" s="4" t="str">
        <x:f>IFERROR(INDEX('Material routes'!$E$6:$E$2205,MATCH(U42,'Material routes'!$A$6:$A$2205,0)),"MISSING ID")</x:f>
        <x:v>Garnet</x:v>
      </x:c>
      <x:c r="B42" s="4" t="str">
        <x:f>IFERROR(INDEX('Material routes'!$F$6:$F$2205,MATCH(U42,'Material routes'!$A$6:$A$2205,0)),"MISSING ID")</x:f>
        <x:v>T0</x:v>
      </x:c>
      <x:c r="C42" s="4" t="str">
        <x:f>IFERROR(INDEX('Material routes'!$H$6:$H$2205,MATCH(U42,'Material routes'!$A$6:$A$2205,0)),"MISSING ID")</x:f>
        <x:v>Gem material</x:v>
      </x:c>
      <x:c r="D42" s="4" t="str">
        <x:f>IFERROR(INDEX('Material routes'!$G$6:$G$2205,MATCH(U42,'Material routes'!$A$6:$A$2205,0)),"MISSING ID")</x:f>
        <x:v>Mineral resources</x:v>
      </x:c>
      <x:c r="E42" s="4" t="str">
        <x:f>IFERROR(INDEX('Material routes'!$C$6:$C$2205,MATCH(U42,'Material routes'!$A$6:$A$2205,0)),"MISSING ID")</x:f>
        <x:v>Ingredient candidate</x:v>
      </x:c>
      <x:c r="F42" s="4" t="str">
        <x:f>IFERROR(INDEX('Material routes'!$E$6:$E$2205,MATCH(V42,'Material routes'!$A$6:$A$2205,0)),"MISSING ID")</x:f>
        <x:v>Cut gemstone preform</x:v>
      </x:c>
      <x:c r="G42" s="4" t="str">
        <x:f>IFERROR(INDEX('Material routes'!$F$6:$F$2205,MATCH(V42,'Material routes'!$A$6:$A$2205,0)),"MISSING ID")</x:f>
        <x:v>T1</x:v>
      </x:c>
      <x:c r="H42" s="4" t="str">
        <x:f>IFERROR(INDEX('Material routes'!$H$6:$H$2205,MATCH(V42,'Material routes'!$A$6:$A$2205,0)),"MISSING ID")</x:f>
        <x:v>Processed material</x:v>
      </x:c>
      <x:c r="I42" s="4" t="str">
        <x:f>IFERROR(INDEX('Material routes'!$G$6:$G$2205,MATCH(V42,'Material routes'!$A$6:$A$2205,0)),"MISSING ID")</x:f>
        <x:v>Manufactured stock</x:v>
      </x:c>
      <x:c r="J42" s="4" t="str">
        <x:f>IFERROR(INDEX('Material routes'!$B$6:$B$2205,MATCH(U42,'Material routes'!$A$6:$A$2205,0)),"MISSING ID")</x:f>
        <x:v>design.refine.t1.gem_preform</x:v>
      </x:c>
      <x:c r="K42" s="4" t="str">
        <x:f>IFERROR(INDEX('Crafting recipes'!$C$6:$C$1005,MATCH(J42,'Crafting recipes'!$A$6:$A$1005,0)),"MISSING ID")</x:f>
        <x:v>Material refinement</x:v>
      </x:c>
      <x:c r="L42" s="4" t="str">
        <x:f>IFERROR(INDEX('Material routes'!$K$6:$K$2205,MATCH(U42,'Material routes'!$A$6:$A$2205,0)),"MISSING ID")</x:f>
        <x:v>Proposal</x:v>
      </x:c>
      <x:c r="M42" s="4" t="str">
        <x:f>IFERROR(INDEX('Material routes'!$M$6:$M$2205,MATCH(U42,'Material routes'!$A$6:$A$2205,0)),"MISSING ID")</x:f>
        <x:v>Partial proposal</x:v>
      </x:c>
      <x:c r="N42" s="4" t="str">
        <x:f>IF(IFERROR(INDEX('Material routes'!$I$6:$I$1005,MATCH(U42,'Material routes'!$A$6:$A$1005,0)),"MISSING ID")=0,"",IFERROR(INDEX('Material routes'!$I$6:$I$1005,MATCH(U42,'Material routes'!$A$6:$A$1005,0)),"MISSING ID"))</x:f>
      </x:c>
      <x:c r="O42" s="4" t="str">
        <x:f>IFERROR(INDEX('Material routes'!$J$6:$J$2205,MATCH(U42,'Material routes'!$A$6:$A$2205,0)),"MISSING ID")</x:f>
        <x:v>Unspecified</x:v>
      </x:c>
      <x:c r="P42" s="4" t="str">
        <x:f>IF(IFERROR(INDEX('Material routes'!$I$6:$I$1005,MATCH(V42,'Material routes'!$A$6:$A$1005,0)),"MISSING ID")=0,"",IFERROR(INDEX('Material routes'!$I$6:$I$1005,MATCH(V42,'Material routes'!$A$6:$A$1005,0)),"MISSING ID"))</x:f>
      </x:c>
      <x:c r="Q42" s="4" t="str">
        <x:f>IFERROR(INDEX('Material routes'!$J$6:$J$2205,MATCH(V42,'Material routes'!$A$6:$A$2205,0)),"MISSING ID")</x:f>
        <x:v>Unspecified</x:v>
      </x:c>
      <x:c r="R42" s="4" t="str">
        <x:f>IF(L42="Withheld","Withheld premise",IF(E42="Tool candidate","Reusable prerequisite",IF(K42="Raw entry preparation","Entry-resource preparation",IF(G42="Not applicable",IF(IFERROR(INDEX('Items'!$AI$6:$AI$1005,MATCH(T42,'Items'!$A$6:$A$1005,0)),"MISSING ID")="Finished item","Finished endpoint",IF(IFERROR(INDEX('Items'!$AI$6:$AI$1005,MATCH(T42,'Items'!$A$6:$A$1005,0)),"MISSING ID")="Currency","Currency / no refinement tier","Recovered output / tier not applicable")),IF(OR(IFERROR(INDEX('Crafting recipes'!$H$6:$H$1005,MATCH(J42,'Crafting recipes'!$A$6:$A$1005,0)),"Unassigned")="Unassigned",G42="Unassigned"),"Tier unresolved",IF(IFERROR(VALUE(RIGHT(G42,1))-VALUE(RIGHT(IFERROR(INDEX('Crafting recipes'!$H$6:$H$1005,MATCH(J42,'Crafting recipes'!$A$6:$A$1005,0)),"Unassigned"),1)),0)=1,IF(B42=IFERROR(INDEX('Crafting recipes'!$H$6:$H$1005,MATCH(J42,'Crafting recipes'!$A$6:$A$1005,0)),"Unassigned"),"Advances one material tier","Lower-tier ingredient; route advances one tier"),"Needs tier review"))))))</x:f>
        <x:v>Advances one material tier</x:v>
      </x:c>
      <x:c r="S42" s="4" t="str">
        <x:f>IFERROR(INDEX('Material routes'!$D$6:$D$2205,MATCH(U42,'Material routes'!$A$6:$A$2205,0)),"MISSING ID")</x:f>
        <x:v>proposal.gem.garnet</x:v>
      </x:c>
      <x:c r="T42" s="4" t="str">
        <x:f>IFERROR(INDEX('Material routes'!$D$6:$D$2205,MATCH(V42,'Material routes'!$A$6:$A$2205,0)),"MISSING ID")</x:f>
        <x:v>proposal.t1.gem_preform</x:v>
      </x:c>
      <x:c r="U42" s="4" t="str">
        <x:v>material.route.038</x:v>
      </x:c>
      <x:c r="V42" s="4" t="str">
        <x:v>output.design.refine.t1.gem_preform</x:v>
      </x:c>
    </x:row>
    <x:row r="43" ht="85" customHeight="1">
      <x:c r="A43" s="4" t="str">
        <x:f>IFERROR(INDEX('Material routes'!$E$6:$E$2205,MATCH(U43,'Material routes'!$A$6:$A$2205,0)),"MISSING ID")</x:f>
        <x:v>Clear quartz</x:v>
      </x:c>
      <x:c r="B43" s="4" t="str">
        <x:f>IFERROR(INDEX('Material routes'!$F$6:$F$2205,MATCH(U43,'Material routes'!$A$6:$A$2205,0)),"MISSING ID")</x:f>
        <x:v>T0</x:v>
      </x:c>
      <x:c r="C43" s="4" t="str">
        <x:f>IFERROR(INDEX('Material routes'!$H$6:$H$2205,MATCH(U43,'Material routes'!$A$6:$A$2205,0)),"MISSING ID")</x:f>
        <x:v>Gem material</x:v>
      </x:c>
      <x:c r="D43" s="4" t="str">
        <x:f>IFERROR(INDEX('Material routes'!$G$6:$G$2205,MATCH(U43,'Material routes'!$A$6:$A$2205,0)),"MISSING ID")</x:f>
        <x:v>Mineral resources</x:v>
      </x:c>
      <x:c r="E43" s="4" t="str">
        <x:f>IFERROR(INDEX('Material routes'!$C$6:$C$2205,MATCH(U43,'Material routes'!$A$6:$A$2205,0)),"MISSING ID")</x:f>
        <x:v>Ingredient candidate</x:v>
      </x:c>
      <x:c r="F43" s="4" t="str">
        <x:f>IFERROR(INDEX('Material routes'!$E$6:$E$2205,MATCH(V43,'Material routes'!$A$6:$A$2205,0)),"MISSING ID")</x:f>
        <x:v>Graded stone inlay chips</x:v>
      </x:c>
      <x:c r="G43" s="4" t="str">
        <x:f>IFERROR(INDEX('Material routes'!$F$6:$F$2205,MATCH(V43,'Material routes'!$A$6:$A$2205,0)),"MISSING ID")</x:f>
        <x:v>T1</x:v>
      </x:c>
      <x:c r="H43" s="4" t="str">
        <x:f>IFERROR(INDEX('Material routes'!$H$6:$H$2205,MATCH(V43,'Material routes'!$A$6:$A$2205,0)),"MISSING ID")</x:f>
        <x:v>Processed material</x:v>
      </x:c>
      <x:c r="I43" s="4" t="str">
        <x:f>IFERROR(INDEX('Material routes'!$G$6:$G$2205,MATCH(V43,'Material routes'!$A$6:$A$2205,0)),"MISSING ID")</x:f>
        <x:v>Manufactured stock</x:v>
      </x:c>
      <x:c r="J43" s="4" t="str">
        <x:f>IFERROR(INDEX('Material routes'!$B$6:$B$2205,MATCH(U43,'Material routes'!$A$6:$A$2205,0)),"MISSING ID")</x:f>
        <x:v>design.refine.t1.gem_chips</x:v>
      </x:c>
      <x:c r="K43" s="4" t="str">
        <x:f>IFERROR(INDEX('Crafting recipes'!$C$6:$C$1005,MATCH(J43,'Crafting recipes'!$A$6:$A$1005,0)),"MISSING ID")</x:f>
        <x:v>Material refinement</x:v>
      </x:c>
      <x:c r="L43" s="4" t="str">
        <x:f>IFERROR(INDEX('Material routes'!$K$6:$K$2205,MATCH(U43,'Material routes'!$A$6:$A$2205,0)),"MISSING ID")</x:f>
        <x:v>Proposal</x:v>
      </x:c>
      <x:c r="M43" s="4" t="str">
        <x:f>IFERROR(INDEX('Material routes'!$M$6:$M$2205,MATCH(U43,'Material routes'!$A$6:$A$2205,0)),"MISSING ID")</x:f>
        <x:v>Partial proposal</x:v>
      </x:c>
      <x:c r="N43" s="4" t="str">
        <x:f>IF(IFERROR(INDEX('Material routes'!$I$6:$I$1005,MATCH(U43,'Material routes'!$A$6:$A$1005,0)),"MISSING ID")=0,"",IFERROR(INDEX('Material routes'!$I$6:$I$1005,MATCH(U43,'Material routes'!$A$6:$A$1005,0)),"MISSING ID"))</x:f>
      </x:c>
      <x:c r="O43" s="4" t="str">
        <x:f>IFERROR(INDEX('Material routes'!$J$6:$J$2205,MATCH(U43,'Material routes'!$A$6:$A$2205,0)),"MISSING ID")</x:f>
        <x:v>Unspecified</x:v>
      </x:c>
      <x:c r="P43" s="4" t="str">
        <x:f>IF(IFERROR(INDEX('Material routes'!$I$6:$I$1005,MATCH(V43,'Material routes'!$A$6:$A$1005,0)),"MISSING ID")=0,"",IFERROR(INDEX('Material routes'!$I$6:$I$1005,MATCH(V43,'Material routes'!$A$6:$A$1005,0)),"MISSING ID"))</x:f>
      </x:c>
      <x:c r="Q43" s="4" t="str">
        <x:f>IFERROR(INDEX('Material routes'!$J$6:$J$2205,MATCH(V43,'Material routes'!$A$6:$A$2205,0)),"MISSING ID")</x:f>
        <x:v>Unspecified</x:v>
      </x:c>
      <x:c r="R43" s="4" t="str">
        <x:f>IF(L43="Withheld","Withheld premise",IF(E43="Tool candidate","Reusable prerequisite",IF(K43="Raw entry preparation","Entry-resource preparation",IF(G43="Not applicable",IF(IFERROR(INDEX('Items'!$AI$6:$AI$1005,MATCH(T43,'Items'!$A$6:$A$1005,0)),"MISSING ID")="Finished item","Finished endpoint",IF(IFERROR(INDEX('Items'!$AI$6:$AI$1005,MATCH(T43,'Items'!$A$6:$A$1005,0)),"MISSING ID")="Currency","Currency / no refinement tier","Recovered output / tier not applicable")),IF(OR(IFERROR(INDEX('Crafting recipes'!$H$6:$H$1005,MATCH(J43,'Crafting recipes'!$A$6:$A$1005,0)),"Unassigned")="Unassigned",G43="Unassigned"),"Tier unresolved",IF(IFERROR(VALUE(RIGHT(G43,1))-VALUE(RIGHT(IFERROR(INDEX('Crafting recipes'!$H$6:$H$1005,MATCH(J43,'Crafting recipes'!$A$6:$A$1005,0)),"Unassigned"),1)),0)=1,IF(B43=IFERROR(INDEX('Crafting recipes'!$H$6:$H$1005,MATCH(J43,'Crafting recipes'!$A$6:$A$1005,0)),"Unassigned"),"Advances one material tier","Lower-tier ingredient; route advances one tier"),"Needs tier review"))))))</x:f>
        <x:v>Advances one material tier</x:v>
      </x:c>
      <x:c r="S43" s="4" t="str">
        <x:f>IFERROR(INDEX('Material routes'!$D$6:$D$2205,MATCH(U43,'Material routes'!$A$6:$A$2205,0)),"MISSING ID")</x:f>
        <x:v>proposal.gem.clear_quartz</x:v>
      </x:c>
      <x:c r="T43" s="4" t="str">
        <x:f>IFERROR(INDEX('Material routes'!$D$6:$D$2205,MATCH(V43,'Material routes'!$A$6:$A$2205,0)),"MISSING ID")</x:f>
        <x:v>proposal.t1.gem_chips</x:v>
      </x:c>
      <x:c r="U43" s="4" t="str">
        <x:v>material.route.039</x:v>
      </x:c>
      <x:c r="V43" s="4" t="str">
        <x:v>output.design.refine.t1.gem_chips</x:v>
      </x:c>
    </x:row>
    <x:row r="44" ht="85" customHeight="1">
      <x:c r="A44" s="4" t="str">
        <x:f>IFERROR(INDEX('Material routes'!$E$6:$E$2205,MATCH(U44,'Material routes'!$A$6:$A$2205,0)),"MISSING ID")</x:f>
        <x:v>Shell husks / shed plates</x:v>
      </x:c>
      <x:c r="B44" s="4" t="str">
        <x:f>IFERROR(INDEX('Material routes'!$F$6:$F$2205,MATCH(U44,'Material routes'!$A$6:$A$2205,0)),"MISSING ID")</x:f>
        <x:v>T0</x:v>
      </x:c>
      <x:c r="C44" s="4" t="str">
        <x:f>IFERROR(INDEX('Material routes'!$H$6:$H$2205,MATCH(U44,'Material routes'!$A$6:$A$2205,0)),"MISSING ID")</x:f>
        <x:v>Raw material</x:v>
      </x:c>
      <x:c r="D44" s="4" t="str">
        <x:f>IFERROR(INDEX('Material routes'!$G$6:$G$2205,MATCH(U44,'Material routes'!$A$6:$A$2205,0)),"MISSING ID")</x:f>
        <x:v>Biological resources</x:v>
      </x:c>
      <x:c r="E44" s="4" t="str">
        <x:f>IFERROR(INDEX('Material routes'!$C$6:$C$2205,MATCH(U44,'Material routes'!$A$6:$A$2205,0)),"MISSING ID")</x:f>
        <x:v>Ingredient candidate</x:v>
      </x:c>
      <x:c r="F44" s="4" t="str">
        <x:f>IFERROR(INDEX('Material routes'!$E$6:$E$2205,MATCH(V44,'Material routes'!$A$6:$A$2205,0)),"MISSING ID")</x:f>
        <x:v>Burnished shell inlay scales</x:v>
      </x:c>
      <x:c r="G44" s="4" t="str">
        <x:f>IFERROR(INDEX('Material routes'!$F$6:$F$2205,MATCH(V44,'Material routes'!$A$6:$A$2205,0)),"MISSING ID")</x:f>
        <x:v>T1</x:v>
      </x:c>
      <x:c r="H44" s="4" t="str">
        <x:f>IFERROR(INDEX('Material routes'!$H$6:$H$2205,MATCH(V44,'Material routes'!$A$6:$A$2205,0)),"MISSING ID")</x:f>
        <x:v>Processed material</x:v>
      </x:c>
      <x:c r="I44" s="4" t="str">
        <x:f>IFERROR(INDEX('Material routes'!$G$6:$G$2205,MATCH(V44,'Material routes'!$A$6:$A$2205,0)),"MISSING ID")</x:f>
        <x:v>Manufactured stock</x:v>
      </x:c>
      <x:c r="J44" s="4" t="str">
        <x:f>IFERROR(INDEX('Material routes'!$B$6:$B$2205,MATCH(U44,'Material routes'!$A$6:$A$2205,0)),"MISSING ID")</x:f>
        <x:v>design.refine.t1.shell_inlay</x:v>
      </x:c>
      <x:c r="K44" s="4" t="str">
        <x:f>IFERROR(INDEX('Crafting recipes'!$C$6:$C$1005,MATCH(J44,'Crafting recipes'!$A$6:$A$1005,0)),"MISSING ID")</x:f>
        <x:v>Material refinement</x:v>
      </x:c>
      <x:c r="L44" s="4" t="str">
        <x:f>IFERROR(INDEX('Material routes'!$K$6:$K$2205,MATCH(U44,'Material routes'!$A$6:$A$2205,0)),"MISSING ID")</x:f>
        <x:v>Proposal</x:v>
      </x:c>
      <x:c r="M44" s="4" t="str">
        <x:f>IFERROR(INDEX('Material routes'!$M$6:$M$2205,MATCH(U44,'Material routes'!$A$6:$A$2205,0)),"MISSING ID")</x:f>
        <x:v>Partial proposal</x:v>
      </x:c>
      <x:c r="N44" s="4" t="str">
        <x:f>IF(IFERROR(INDEX('Material routes'!$I$6:$I$1005,MATCH(U44,'Material routes'!$A$6:$A$1005,0)),"MISSING ID")=0,"",IFERROR(INDEX('Material routes'!$I$6:$I$1005,MATCH(U44,'Material routes'!$A$6:$A$1005,0)),"MISSING ID"))</x:f>
      </x:c>
      <x:c r="O44" s="4" t="str">
        <x:f>IFERROR(INDEX('Material routes'!$J$6:$J$2205,MATCH(U44,'Material routes'!$A$6:$A$2205,0)),"MISSING ID")</x:f>
        <x:v>Unspecified</x:v>
      </x:c>
      <x:c r="P44" s="4" t="str">
        <x:f>IF(IFERROR(INDEX('Material routes'!$I$6:$I$1005,MATCH(V44,'Material routes'!$A$6:$A$1005,0)),"MISSING ID")=0,"",IFERROR(INDEX('Material routes'!$I$6:$I$1005,MATCH(V44,'Material routes'!$A$6:$A$1005,0)),"MISSING ID"))</x:f>
      </x:c>
      <x:c r="Q44" s="4" t="str">
        <x:f>IFERROR(INDEX('Material routes'!$J$6:$J$2205,MATCH(V44,'Material routes'!$A$6:$A$2205,0)),"MISSING ID")</x:f>
        <x:v>Unspecified</x:v>
      </x:c>
      <x:c r="R44" s="4" t="str">
        <x:f>IF(L44="Withheld","Withheld premise",IF(E44="Tool candidate","Reusable prerequisite",IF(K44="Raw entry preparation","Entry-resource preparation",IF(G44="Not applicable",IF(IFERROR(INDEX('Items'!$AI$6:$AI$1005,MATCH(T44,'Items'!$A$6:$A$1005,0)),"MISSING ID")="Finished item","Finished endpoint",IF(IFERROR(INDEX('Items'!$AI$6:$AI$1005,MATCH(T44,'Items'!$A$6:$A$1005,0)),"MISSING ID")="Currency","Currency / no refinement tier","Recovered output / tier not applicable")),IF(OR(IFERROR(INDEX('Crafting recipes'!$H$6:$H$1005,MATCH(J44,'Crafting recipes'!$A$6:$A$1005,0)),"Unassigned")="Unassigned",G44="Unassigned"),"Tier unresolved",IF(IFERROR(VALUE(RIGHT(G44,1))-VALUE(RIGHT(IFERROR(INDEX('Crafting recipes'!$H$6:$H$1005,MATCH(J44,'Crafting recipes'!$A$6:$A$1005,0)),"Unassigned"),1)),0)=1,IF(B44=IFERROR(INDEX('Crafting recipes'!$H$6:$H$1005,MATCH(J44,'Crafting recipes'!$A$6:$A$1005,0)),"Unassigned"),"Advances one material tier","Lower-tier ingredient; route advances one tier"),"Needs tier review"))))))</x:f>
        <x:v>Advances one material tier</x:v>
      </x:c>
      <x:c r="S44" s="4" t="str">
        <x:f>IFERROR(INDEX('Material routes'!$D$6:$D$2205,MATCH(U44,'Material routes'!$A$6:$A$2205,0)),"MISSING ID")</x:f>
        <x:v>proposal.bio.shell</x:v>
      </x:c>
      <x:c r="T44" s="4" t="str">
        <x:f>IFERROR(INDEX('Material routes'!$D$6:$D$2205,MATCH(V44,'Material routes'!$A$6:$A$2205,0)),"MISSING ID")</x:f>
        <x:v>proposal.t1.shell_inlay</x:v>
      </x:c>
      <x:c r="U44" s="4" t="str">
        <x:v>material.route.040</x:v>
      </x:c>
      <x:c r="V44" s="4" t="str">
        <x:v>output.design.refine.t1.shell_inlay</x:v>
      </x:c>
    </x:row>
    <x:row r="45" ht="85" customHeight="1">
      <x:c r="A45" s="4" t="str">
        <x:f>IFERROR(INDEX('Material routes'!$E$6:$E$2205,MATCH(U45,'Material routes'!$A$6:$A$2205,0)),"MISSING ID")</x:f>
        <x:v>Mica sheets</x:v>
      </x:c>
      <x:c r="B45" s="4" t="str">
        <x:f>IFERROR(INDEX('Material routes'!$F$6:$F$2205,MATCH(U45,'Material routes'!$A$6:$A$2205,0)),"MISSING ID")</x:f>
        <x:v>T0</x:v>
      </x:c>
      <x:c r="C45" s="4" t="str">
        <x:f>IFERROR(INDEX('Material routes'!$H$6:$H$2205,MATCH(U45,'Material routes'!$A$6:$A$2205,0)),"MISSING ID")</x:f>
        <x:v>Raw material</x:v>
      </x:c>
      <x:c r="D45" s="4" t="str">
        <x:f>IFERROR(INDEX('Material routes'!$G$6:$G$2205,MATCH(U45,'Material routes'!$A$6:$A$2205,0)),"MISSING ID")</x:f>
        <x:v>Salvage</x:v>
      </x:c>
      <x:c r="E45" s="4" t="str">
        <x:f>IFERROR(INDEX('Material routes'!$C$6:$C$2205,MATCH(U45,'Material routes'!$A$6:$A$2205,0)),"MISSING ID")</x:f>
        <x:v>Ingredient candidate</x:v>
      </x:c>
      <x:c r="F45" s="4" t="str">
        <x:f>IFERROR(INDEX('Material routes'!$E$6:$E$2205,MATCH(V45,'Material routes'!$A$6:$A$2205,0)),"MISSING ID")</x:f>
        <x:v>Sized mica viewing sheet</x:v>
      </x:c>
      <x:c r="G45" s="4" t="str">
        <x:f>IFERROR(INDEX('Material routes'!$F$6:$F$2205,MATCH(V45,'Material routes'!$A$6:$A$2205,0)),"MISSING ID")</x:f>
        <x:v>T1</x:v>
      </x:c>
      <x:c r="H45" s="4" t="str">
        <x:f>IFERROR(INDEX('Material routes'!$H$6:$H$2205,MATCH(V45,'Material routes'!$A$6:$A$2205,0)),"MISSING ID")</x:f>
        <x:v>Processed material</x:v>
      </x:c>
      <x:c r="I45" s="4" t="str">
        <x:f>IFERROR(INDEX('Material routes'!$G$6:$G$2205,MATCH(V45,'Material routes'!$A$6:$A$2205,0)),"MISSING ID")</x:f>
        <x:v>Manufactured stock</x:v>
      </x:c>
      <x:c r="J45" s="4" t="str">
        <x:f>IFERROR(INDEX('Material routes'!$B$6:$B$2205,MATCH(U45,'Material routes'!$A$6:$A$2205,0)),"MISSING ID")</x:f>
        <x:v>design.refine.t1.mica_window</x:v>
      </x:c>
      <x:c r="K45" s="4" t="str">
        <x:f>IFERROR(INDEX('Crafting recipes'!$C$6:$C$1005,MATCH(J45,'Crafting recipes'!$A$6:$A$1005,0)),"MISSING ID")</x:f>
        <x:v>Material refinement</x:v>
      </x:c>
      <x:c r="L45" s="4" t="str">
        <x:f>IFERROR(INDEX('Material routes'!$K$6:$K$2205,MATCH(U45,'Material routes'!$A$6:$A$2205,0)),"MISSING ID")</x:f>
        <x:v>Proposal</x:v>
      </x:c>
      <x:c r="M45" s="4" t="str">
        <x:f>IFERROR(INDEX('Material routes'!$M$6:$M$2205,MATCH(U45,'Material routes'!$A$6:$A$2205,0)),"MISSING ID")</x:f>
        <x:v>Partial proposal</x:v>
      </x:c>
      <x:c r="N45" s="4" t="str">
        <x:f>IF(IFERROR(INDEX('Material routes'!$I$6:$I$1005,MATCH(U45,'Material routes'!$A$6:$A$1005,0)),"MISSING ID")=0,"",IFERROR(INDEX('Material routes'!$I$6:$I$1005,MATCH(U45,'Material routes'!$A$6:$A$1005,0)),"MISSING ID"))</x:f>
      </x:c>
      <x:c r="O45" s="4" t="str">
        <x:f>IFERROR(INDEX('Material routes'!$J$6:$J$2205,MATCH(U45,'Material routes'!$A$6:$A$2205,0)),"MISSING ID")</x:f>
        <x:v>Unspecified</x:v>
      </x:c>
      <x:c r="P45" s="4" t="str">
        <x:f>IF(IFERROR(INDEX('Material routes'!$I$6:$I$1005,MATCH(V45,'Material routes'!$A$6:$A$1005,0)),"MISSING ID")=0,"",IFERROR(INDEX('Material routes'!$I$6:$I$1005,MATCH(V45,'Material routes'!$A$6:$A$1005,0)),"MISSING ID"))</x:f>
      </x:c>
      <x:c r="Q45" s="4" t="str">
        <x:f>IFERROR(INDEX('Material routes'!$J$6:$J$2205,MATCH(V45,'Material routes'!$A$6:$A$2205,0)),"MISSING ID")</x:f>
        <x:v>Unspecified</x:v>
      </x:c>
      <x:c r="R45" s="4" t="str">
        <x:f>IF(L45="Withheld","Withheld premise",IF(E45="Tool candidate","Reusable prerequisite",IF(K45="Raw entry preparation","Entry-resource preparation",IF(G45="Not applicable",IF(IFERROR(INDEX('Items'!$AI$6:$AI$1005,MATCH(T45,'Items'!$A$6:$A$1005,0)),"MISSING ID")="Finished item","Finished endpoint",IF(IFERROR(INDEX('Items'!$AI$6:$AI$1005,MATCH(T45,'Items'!$A$6:$A$1005,0)),"MISSING ID")="Currency","Currency / no refinement tier","Recovered output / tier not applicable")),IF(OR(IFERROR(INDEX('Crafting recipes'!$H$6:$H$1005,MATCH(J45,'Crafting recipes'!$A$6:$A$1005,0)),"Unassigned")="Unassigned",G45="Unassigned"),"Tier unresolved",IF(IFERROR(VALUE(RIGHT(G45,1))-VALUE(RIGHT(IFERROR(INDEX('Crafting recipes'!$H$6:$H$1005,MATCH(J45,'Crafting recipes'!$A$6:$A$1005,0)),"Unassigned"),1)),0)=1,IF(B45=IFERROR(INDEX('Crafting recipes'!$H$6:$H$1005,MATCH(J45,'Crafting recipes'!$A$6:$A$1005,0)),"Unassigned"),"Advances one material tier","Lower-tier ingredient; route advances one tier"),"Needs tier review"))))))</x:f>
        <x:v>Advances one material tier</x:v>
      </x:c>
      <x:c r="S45" s="4" t="str">
        <x:f>IFERROR(INDEX('Material routes'!$D$6:$D$2205,MATCH(U45,'Material routes'!$A$6:$A$2205,0)),"MISSING ID")</x:f>
        <x:v>proposal.natural.mica</x:v>
      </x:c>
      <x:c r="T45" s="4" t="str">
        <x:f>IFERROR(INDEX('Material routes'!$D$6:$D$2205,MATCH(V45,'Material routes'!$A$6:$A$2205,0)),"MISSING ID")</x:f>
        <x:v>proposal.t1.mica_window</x:v>
      </x:c>
      <x:c r="U45" s="4" t="str">
        <x:v>material.route.041</x:v>
      </x:c>
      <x:c r="V45" s="4" t="str">
        <x:v>output.design.refine.t1.mica_window</x:v>
      </x:c>
    </x:row>
    <x:row r="46" ht="85" customHeight="1">
      <x:c r="A46" s="4"/>
      <x:c r="B46" s="4"/>
      <x:c r="C46" s="4"/>
      <x:c r="D46" s="4"/>
      <x:c r="E46" s="4"/>
      <x:c r="F46" s="4"/>
      <x:c r="G46" s="4"/>
      <x:c r="H46" s="4"/>
      <x:c r="I46" s="4"/>
      <x:c r="J46" s="4"/>
      <x:c r="K46" s="4"/>
      <x:c r="L46" s="4"/>
      <x:c r="M46" s="4"/>
      <x:c r="N46" s="4"/>
      <x:c r="O46" s="4"/>
      <x:c r="P46" s="4"/>
      <x:c r="Q46" s="4"/>
      <x:c r="R46" s="4"/>
      <x:c r="S46" s="4"/>
      <x:c r="T46" s="4"/>
      <x:c r="U46" s="4"/>
      <x:c r="V46" s="4"/>
    </x:row>
    <x:row r="47" ht="85" customHeight="1">
      <x:c r="A47" s="4" t="str">
        <x:f>IFERROR(INDEX('Material routes'!$E$6:$E$2205,MATCH(U47,'Material routes'!$A$6:$A$2205,0)),"MISSING ID")</x:f>
        <x:v>Smelted iron bloom</x:v>
      </x:c>
      <x:c r="B47" s="4" t="str">
        <x:f>IFERROR(INDEX('Material routes'!$F$6:$F$2205,MATCH(U47,'Material routes'!$A$6:$A$2205,0)),"MISSING ID")</x:f>
        <x:v>T1</x:v>
      </x:c>
      <x:c r="C47" s="4" t="str">
        <x:f>IFERROR(INDEX('Material routes'!$H$6:$H$2205,MATCH(U47,'Material routes'!$A$6:$A$2205,0)),"MISSING ID")</x:f>
        <x:v>Processed material</x:v>
      </x:c>
      <x:c r="D47" s="4" t="str">
        <x:f>IFERROR(INDEX('Material routes'!$G$6:$G$2205,MATCH(U47,'Material routes'!$A$6:$A$2205,0)),"MISSING ID")</x:f>
        <x:v>Manufactured stock</x:v>
      </x:c>
      <x:c r="E47" s="4" t="str">
        <x:f>IFERROR(INDEX('Material routes'!$C$6:$C$2205,MATCH(U47,'Material routes'!$A$6:$A$2205,0)),"MISSING ID")</x:f>
        <x:v>Ingredient candidate</x:v>
      </x:c>
      <x:c r="F47" s="4" t="str">
        <x:f>IFERROR(INDEX('Material routes'!$E$6:$E$2205,MATCH(V47,'Material routes'!$A$6:$A$2205,0)),"MISSING ID")</x:f>
        <x:v>Worked iron stock</x:v>
      </x:c>
      <x:c r="G47" s="4" t="str">
        <x:f>IFERROR(INDEX('Material routes'!$F$6:$F$2205,MATCH(V47,'Material routes'!$A$6:$A$2205,0)),"MISSING ID")</x:f>
        <x:v>T2</x:v>
      </x:c>
      <x:c r="H47" s="4" t="str">
        <x:f>IFERROR(INDEX('Material routes'!$H$6:$H$2205,MATCH(V47,'Material routes'!$A$6:$A$2205,0)),"MISSING ID")</x:f>
        <x:v>Processed material</x:v>
      </x:c>
      <x:c r="I47" s="4" t="str">
        <x:f>IFERROR(INDEX('Material routes'!$G$6:$G$2205,MATCH(V47,'Material routes'!$A$6:$A$2205,0)),"MISSING ID")</x:f>
        <x:v>Manufactured stock</x:v>
      </x:c>
      <x:c r="J47" s="4" t="str">
        <x:f>IFERROR(INDEX('Material routes'!$B$6:$B$2205,MATCH(U47,'Material routes'!$A$6:$A$2205,0)),"MISSING ID")</x:f>
        <x:v>design.refine.natural.iron_stock</x:v>
      </x:c>
      <x:c r="K47" s="4" t="str">
        <x:f>IFERROR(INDEX('Crafting recipes'!$C$6:$C$1005,MATCH(J47,'Crafting recipes'!$A$6:$A$1005,0)),"MISSING ID")</x:f>
        <x:v>Material refinement</x:v>
      </x:c>
      <x:c r="L47" s="4" t="str">
        <x:f>IFERROR(INDEX('Material routes'!$K$6:$K$2205,MATCH(U47,'Material routes'!$A$6:$A$2205,0)),"MISSING ID")</x:f>
        <x:v>Proposal</x:v>
      </x:c>
      <x:c r="M47" s="4" t="str">
        <x:f>IFERROR(INDEX('Material routes'!$M$6:$M$2205,MATCH(U47,'Material routes'!$A$6:$A$2205,0)),"MISSING ID")</x:f>
        <x:v>Partial proposal</x:v>
      </x:c>
      <x:c r="N47" s="4" t="str">
        <x:f>IF(IFERROR(INDEX('Material routes'!$I$6:$I$1005,MATCH(U47,'Material routes'!$A$6:$A$1005,0)),"MISSING ID")=0,"",IFERROR(INDEX('Material routes'!$I$6:$I$1005,MATCH(U47,'Material routes'!$A$6:$A$1005,0)),"MISSING ID"))</x:f>
      </x:c>
      <x:c r="O47" s="4" t="str">
        <x:f>IFERROR(INDEX('Material routes'!$J$6:$J$2205,MATCH(U47,'Material routes'!$A$6:$A$2205,0)),"MISSING ID")</x:f>
        <x:v>Unspecified</x:v>
      </x:c>
      <x:c r="P47" s="4" t="str">
        <x:f>IF(IFERROR(INDEX('Material routes'!$I$6:$I$1005,MATCH(V47,'Material routes'!$A$6:$A$1005,0)),"MISSING ID")=0,"",IFERROR(INDEX('Material routes'!$I$6:$I$1005,MATCH(V47,'Material routes'!$A$6:$A$1005,0)),"MISSING ID"))</x:f>
      </x:c>
      <x:c r="Q47" s="4" t="str">
        <x:f>IFERROR(INDEX('Material routes'!$J$6:$J$2205,MATCH(V47,'Material routes'!$A$6:$A$2205,0)),"MISSING ID")</x:f>
        <x:v>Unspecified</x:v>
      </x:c>
      <x:c r="R47" s="4" t="str">
        <x:f>IF(L47="Withheld","Withheld premise",IF(E47="Tool candidate","Reusable prerequisite",IF(K47="Raw entry preparation","Entry-resource preparation",IF(G47="Not applicable",IF(IFERROR(INDEX('Items'!$AI$6:$AI$1005,MATCH(T47,'Items'!$A$6:$A$1005,0)),"MISSING ID")="Finished item","Finished endpoint",IF(IFERROR(INDEX('Items'!$AI$6:$AI$1005,MATCH(T47,'Items'!$A$6:$A$1005,0)),"MISSING ID")="Currency","Currency / no refinement tier","Recovered output / tier not applicable")),IF(OR(IFERROR(INDEX('Crafting recipes'!$H$6:$H$1005,MATCH(J47,'Crafting recipes'!$A$6:$A$1005,0)),"Unassigned")="Unassigned",G47="Unassigned"),"Tier unresolved",IF(IFERROR(VALUE(RIGHT(G47,1))-VALUE(RIGHT(IFERROR(INDEX('Crafting recipes'!$H$6:$H$1005,MATCH(J47,'Crafting recipes'!$A$6:$A$1005,0)),"Unassigned"),1)),0)=1,IF(B47=IFERROR(INDEX('Crafting recipes'!$H$6:$H$1005,MATCH(J47,'Crafting recipes'!$A$6:$A$1005,0)),"Unassigned"),"Advances one material tier","Lower-tier ingredient; route advances one tier"),"Needs tier review"))))))</x:f>
        <x:v>Advances one material tier</x:v>
      </x:c>
      <x:c r="S47" s="4" t="str">
        <x:f>IFERROR(INDEX('Material routes'!$D$6:$D$2205,MATCH(U47,'Material routes'!$A$6:$A$2205,0)),"MISSING ID")</x:f>
        <x:v>proposal.t1.iron_bloom</x:v>
      </x:c>
      <x:c r="T47" s="4" t="str">
        <x:f>IFERROR(INDEX('Material routes'!$D$6:$D$2205,MATCH(V47,'Material routes'!$A$6:$A$2205,0)),"MISSING ID")</x:f>
        <x:v>proposal.natural.iron_stock</x:v>
      </x:c>
      <x:c r="U47" s="4" t="str">
        <x:v>material.route.043</x:v>
      </x:c>
      <x:c r="V47" s="4" t="str">
        <x:v>output.design.refine.natural.iron_stock</x:v>
      </x:c>
    </x:row>
    <x:row r="48" ht="85" customHeight="1">
      <x:c r="A48" s="4" t="str">
        <x:f>IFERROR(INDEX('Material routes'!$E$6:$E$2205,MATCH(U48,'Material routes'!$A$6:$A$2205,0)),"MISSING ID")</x:f>
        <x:v>Separated shell lamina stock</x:v>
      </x:c>
      <x:c r="B48" s="4" t="str">
        <x:f>IFERROR(INDEX('Material routes'!$F$6:$F$2205,MATCH(U48,'Material routes'!$A$6:$A$2205,0)),"MISSING ID")</x:f>
        <x:v>T1</x:v>
      </x:c>
      <x:c r="C48" s="4" t="str">
        <x:f>IFERROR(INDEX('Material routes'!$H$6:$H$2205,MATCH(U48,'Material routes'!$A$6:$A$2205,0)),"MISSING ID")</x:f>
        <x:v>Processed material</x:v>
      </x:c>
      <x:c r="D48" s="4" t="str">
        <x:f>IFERROR(INDEX('Material routes'!$G$6:$G$2205,MATCH(U48,'Material routes'!$A$6:$A$2205,0)),"MISSING ID")</x:f>
        <x:v>Manufactured stock</x:v>
      </x:c>
      <x:c r="E48" s="4" t="str">
        <x:f>IFERROR(INDEX('Material routes'!$C$6:$C$2205,MATCH(U48,'Material routes'!$A$6:$A$2205,0)),"MISSING ID")</x:f>
        <x:v>Ingredient candidate</x:v>
      </x:c>
      <x:c r="F48" s="4" t="str">
        <x:f>IFERROR(INDEX('Material routes'!$E$6:$E$2205,MATCH(V48,'Material routes'!$A$6:$A$2205,0)),"MISSING ID")</x:f>
        <x:v>Shell laminate</x:v>
      </x:c>
      <x:c r="G48" s="4" t="str">
        <x:f>IFERROR(INDEX('Material routes'!$F$6:$F$2205,MATCH(V48,'Material routes'!$A$6:$A$2205,0)),"MISSING ID")</x:f>
        <x:v>T2</x:v>
      </x:c>
      <x:c r="H48" s="4" t="str">
        <x:f>IFERROR(INDEX('Material routes'!$H$6:$H$2205,MATCH(V48,'Material routes'!$A$6:$A$2205,0)),"MISSING ID")</x:f>
        <x:v>Crafting component</x:v>
      </x:c>
      <x:c r="I48" s="4" t="str">
        <x:f>IFERROR(INDEX('Material routes'!$G$6:$G$2205,MATCH(V48,'Material routes'!$A$6:$A$2205,0)),"MISSING ID")</x:f>
        <x:v>Crafting components</x:v>
      </x:c>
      <x:c r="J48" s="4" t="str">
        <x:f>IFERROR(INDEX('Material routes'!$B$6:$B$2205,MATCH(U48,'Material routes'!$A$6:$A$2205,0)),"MISSING ID")</x:f>
        <x:v>design.refine.bio.laminate</x:v>
      </x:c>
      <x:c r="K48" s="4" t="str">
        <x:f>IFERROR(INDEX('Crafting recipes'!$C$6:$C$1005,MATCH(J48,'Crafting recipes'!$A$6:$A$1005,0)),"MISSING ID")</x:f>
        <x:v>Material refinement</x:v>
      </x:c>
      <x:c r="L48" s="4" t="str">
        <x:f>IFERROR(INDEX('Material routes'!$K$6:$K$2205,MATCH(U48,'Material routes'!$A$6:$A$2205,0)),"MISSING ID")</x:f>
        <x:v>Proposal</x:v>
      </x:c>
      <x:c r="M48" s="4" t="str">
        <x:f>IFERROR(INDEX('Material routes'!$M$6:$M$2205,MATCH(U48,'Material routes'!$A$6:$A$2205,0)),"MISSING ID")</x:f>
        <x:v>Partial proposal</x:v>
      </x:c>
      <x:c r="N48" s="4" t="str">
        <x:f>IF(IFERROR(INDEX('Material routes'!$I$6:$I$1005,MATCH(U48,'Material routes'!$A$6:$A$1005,0)),"MISSING ID")=0,"",IFERROR(INDEX('Material routes'!$I$6:$I$1005,MATCH(U48,'Material routes'!$A$6:$A$1005,0)),"MISSING ID"))</x:f>
      </x:c>
      <x:c r="O48" s="4" t="str">
        <x:f>IFERROR(INDEX('Material routes'!$J$6:$J$2205,MATCH(U48,'Material routes'!$A$6:$A$2205,0)),"MISSING ID")</x:f>
        <x:v>Unspecified</x:v>
      </x:c>
      <x:c r="P48" s="4" t="str">
        <x:f>IF(IFERROR(INDEX('Material routes'!$I$6:$I$1005,MATCH(V48,'Material routes'!$A$6:$A$1005,0)),"MISSING ID")=0,"",IFERROR(INDEX('Material routes'!$I$6:$I$1005,MATCH(V48,'Material routes'!$A$6:$A$1005,0)),"MISSING ID"))</x:f>
      </x:c>
      <x:c r="Q48" s="4" t="str">
        <x:f>IFERROR(INDEX('Material routes'!$J$6:$J$2205,MATCH(V48,'Material routes'!$A$6:$A$2205,0)),"MISSING ID")</x:f>
        <x:v>Unspecified</x:v>
      </x:c>
      <x:c r="R48" s="4" t="str">
        <x:f>IF(L48="Withheld","Withheld premise",IF(E48="Tool candidate","Reusable prerequisite",IF(K48="Raw entry preparation","Entry-resource preparation",IF(G48="Not applicable",IF(IFERROR(INDEX('Items'!$AI$6:$AI$1005,MATCH(T48,'Items'!$A$6:$A$1005,0)),"MISSING ID")="Finished item","Finished endpoint",IF(IFERROR(INDEX('Items'!$AI$6:$AI$1005,MATCH(T48,'Items'!$A$6:$A$1005,0)),"MISSING ID")="Currency","Currency / no refinement tier","Recovered output / tier not applicable")),IF(OR(IFERROR(INDEX('Crafting recipes'!$H$6:$H$1005,MATCH(J48,'Crafting recipes'!$A$6:$A$1005,0)),"Unassigned")="Unassigned",G48="Unassigned"),"Tier unresolved",IF(IFERROR(VALUE(RIGHT(G48,1))-VALUE(RIGHT(IFERROR(INDEX('Crafting recipes'!$H$6:$H$1005,MATCH(J48,'Crafting recipes'!$A$6:$A$1005,0)),"Unassigned"),1)),0)=1,IF(B48=IFERROR(INDEX('Crafting recipes'!$H$6:$H$1005,MATCH(J48,'Crafting recipes'!$A$6:$A$1005,0)),"Unassigned"),"Advances one material tier","Lower-tier ingredient; route advances one tier"),"Needs tier review"))))))</x:f>
        <x:v>Advances one material tier</x:v>
      </x:c>
      <x:c r="S48" s="4" t="str">
        <x:f>IFERROR(INDEX('Material routes'!$D$6:$D$2205,MATCH(U48,'Material routes'!$A$6:$A$2205,0)),"MISSING ID")</x:f>
        <x:v>proposal.t1.shell_lamina</x:v>
      </x:c>
      <x:c r="T48" s="4" t="str">
        <x:f>IFERROR(INDEX('Material routes'!$D$6:$D$2205,MATCH(V48,'Material routes'!$A$6:$A$2205,0)),"MISSING ID")</x:f>
        <x:v>proposal.bio.laminate</x:v>
      </x:c>
      <x:c r="U48" s="4" t="str">
        <x:v>material.route.044</x:v>
      </x:c>
      <x:c r="V48" s="4" t="str">
        <x:v>output.design.refine.bio.laminate</x:v>
      </x:c>
    </x:row>
    <x:row r="49" ht="85" customHeight="1">
      <x:c r="A49" s="4" t="str">
        <x:f>IFERROR(INDEX('Material routes'!$E$6:$E$2205,MATCH(U49,'Material routes'!$A$6:$A$2205,0)),"MISSING ID")</x:f>
        <x:v>Prepared shell-binding adhesive</x:v>
      </x:c>
      <x:c r="B49" s="4" t="str">
        <x:f>IFERROR(INDEX('Material routes'!$F$6:$F$2205,MATCH(U49,'Material routes'!$A$6:$A$2205,0)),"MISSING ID")</x:f>
        <x:v>T1</x:v>
      </x:c>
      <x:c r="C49" s="4" t="str">
        <x:f>IFERROR(INDEX('Material routes'!$H$6:$H$2205,MATCH(U49,'Material routes'!$A$6:$A$2205,0)),"MISSING ID")</x:f>
        <x:v>Chemical material</x:v>
      </x:c>
      <x:c r="D49" s="4" t="str">
        <x:f>IFERROR(INDEX('Material routes'!$G$6:$G$2205,MATCH(U49,'Material routes'!$A$6:$A$2205,0)),"MISSING ID")</x:f>
        <x:v>Crafting components</x:v>
      </x:c>
      <x:c r="E49" s="4" t="str">
        <x:f>IFERROR(INDEX('Material routes'!$C$6:$C$2205,MATCH(U49,'Material routes'!$A$6:$A$2205,0)),"MISSING ID")</x:f>
        <x:v>Ingredient candidate</x:v>
      </x:c>
      <x:c r="F49" s="4" t="str">
        <x:f>IFERROR(INDEX('Material routes'!$E$6:$E$2205,MATCH(V49,'Material routes'!$A$6:$A$2205,0)),"MISSING ID")</x:f>
        <x:v>Shell laminate</x:v>
      </x:c>
      <x:c r="G49" s="4" t="str">
        <x:f>IFERROR(INDEX('Material routes'!$F$6:$F$2205,MATCH(V49,'Material routes'!$A$6:$A$2205,0)),"MISSING ID")</x:f>
        <x:v>T2</x:v>
      </x:c>
      <x:c r="H49" s="4" t="str">
        <x:f>IFERROR(INDEX('Material routes'!$H$6:$H$2205,MATCH(V49,'Material routes'!$A$6:$A$2205,0)),"MISSING ID")</x:f>
        <x:v>Crafting component</x:v>
      </x:c>
      <x:c r="I49" s="4" t="str">
        <x:f>IFERROR(INDEX('Material routes'!$G$6:$G$2205,MATCH(V49,'Material routes'!$A$6:$A$2205,0)),"MISSING ID")</x:f>
        <x:v>Crafting components</x:v>
      </x:c>
      <x:c r="J49" s="4" t="str">
        <x:f>IFERROR(INDEX('Material routes'!$B$6:$B$2205,MATCH(U49,'Material routes'!$A$6:$A$2205,0)),"MISSING ID")</x:f>
        <x:v>design.refine.bio.laminate</x:v>
      </x:c>
      <x:c r="K49" s="4" t="str">
        <x:f>IFERROR(INDEX('Crafting recipes'!$C$6:$C$1005,MATCH(J49,'Crafting recipes'!$A$6:$A$1005,0)),"MISSING ID")</x:f>
        <x:v>Material refinement</x:v>
      </x:c>
      <x:c r="L49" s="4" t="str">
        <x:f>IFERROR(INDEX('Material routes'!$K$6:$K$2205,MATCH(U49,'Material routes'!$A$6:$A$2205,0)),"MISSING ID")</x:f>
        <x:v>Proposal</x:v>
      </x:c>
      <x:c r="M49" s="4" t="str">
        <x:f>IFERROR(INDEX('Material routes'!$M$6:$M$2205,MATCH(U49,'Material routes'!$A$6:$A$2205,0)),"MISSING ID")</x:f>
        <x:v>Partial proposal</x:v>
      </x:c>
      <x:c r="N49" s="4" t="str">
        <x:f>IF(IFERROR(INDEX('Material routes'!$I$6:$I$1005,MATCH(U49,'Material routes'!$A$6:$A$1005,0)),"MISSING ID")=0,"",IFERROR(INDEX('Material routes'!$I$6:$I$1005,MATCH(U49,'Material routes'!$A$6:$A$1005,0)),"MISSING ID"))</x:f>
      </x:c>
      <x:c r="O49" s="4" t="str">
        <x:f>IFERROR(INDEX('Material routes'!$J$6:$J$2205,MATCH(U49,'Material routes'!$A$6:$A$2205,0)),"MISSING ID")</x:f>
        <x:v>Unspecified</x:v>
      </x:c>
      <x:c r="P49" s="4" t="str">
        <x:f>IF(IFERROR(INDEX('Material routes'!$I$6:$I$1005,MATCH(V49,'Material routes'!$A$6:$A$1005,0)),"MISSING ID")=0,"",IFERROR(INDEX('Material routes'!$I$6:$I$1005,MATCH(V49,'Material routes'!$A$6:$A$1005,0)),"MISSING ID"))</x:f>
      </x:c>
      <x:c r="Q49" s="4" t="str">
        <x:f>IFERROR(INDEX('Material routes'!$J$6:$J$2205,MATCH(V49,'Material routes'!$A$6:$A$2205,0)),"MISSING ID")</x:f>
        <x:v>Unspecified</x:v>
      </x:c>
      <x:c r="R49" s="4" t="str">
        <x:f>IF(L49="Withheld","Withheld premise",IF(E49="Tool candidate","Reusable prerequisite",IF(K49="Raw entry preparation","Entry-resource preparation",IF(G49="Not applicable",IF(IFERROR(INDEX('Items'!$AI$6:$AI$1005,MATCH(T49,'Items'!$A$6:$A$1005,0)),"MISSING ID")="Finished item","Finished endpoint",IF(IFERROR(INDEX('Items'!$AI$6:$AI$1005,MATCH(T49,'Items'!$A$6:$A$1005,0)),"MISSING ID")="Currency","Currency / no refinement tier","Recovered output / tier not applicable")),IF(OR(IFERROR(INDEX('Crafting recipes'!$H$6:$H$1005,MATCH(J49,'Crafting recipes'!$A$6:$A$1005,0)),"Unassigned")="Unassigned",G49="Unassigned"),"Tier unresolved",IF(IFERROR(VALUE(RIGHT(G49,1))-VALUE(RIGHT(IFERROR(INDEX('Crafting recipes'!$H$6:$H$1005,MATCH(J49,'Crafting recipes'!$A$6:$A$1005,0)),"Unassigned"),1)),0)=1,IF(B49=IFERROR(INDEX('Crafting recipes'!$H$6:$H$1005,MATCH(J49,'Crafting recipes'!$A$6:$A$1005,0)),"Unassigned"),"Advances one material tier","Lower-tier ingredient; route advances one tier"),"Needs tier review"))))))</x:f>
        <x:v>Advances one material tier</x:v>
      </x:c>
      <x:c r="S49" s="4" t="str">
        <x:f>IFERROR(INDEX('Material routes'!$D$6:$D$2205,MATCH(U49,'Material routes'!$A$6:$A$2205,0)),"MISSING ID")</x:f>
        <x:v>proposal.t1.shell_adhesive</x:v>
      </x:c>
      <x:c r="T49" s="4" t="str">
        <x:f>IFERROR(INDEX('Material routes'!$D$6:$D$2205,MATCH(V49,'Material routes'!$A$6:$A$2205,0)),"MISSING ID")</x:f>
        <x:v>proposal.bio.laminate</x:v>
      </x:c>
      <x:c r="U49" s="4" t="str">
        <x:v>material.route.045</x:v>
      </x:c>
      <x:c r="V49" s="4" t="str">
        <x:v>output.design.refine.bio.laminate</x:v>
      </x:c>
    </x:row>
    <x:row r="50" ht="85" customHeight="1">
      <x:c r="A50" s="4" t="str">
        <x:f>IFERROR(INDEX('Material routes'!$E$6:$E$2205,MATCH(U50,'Material routes'!$A$6:$A$2205,0)),"MISSING ID")</x:f>
        <x:v>Clarified faunal lubricant base</x:v>
      </x:c>
      <x:c r="B50" s="4" t="str">
        <x:f>IFERROR(INDEX('Material routes'!$F$6:$F$2205,MATCH(U50,'Material routes'!$A$6:$A$2205,0)),"MISSING ID")</x:f>
        <x:v>T1</x:v>
      </x:c>
      <x:c r="C50" s="4" t="str">
        <x:f>IFERROR(INDEX('Material routes'!$H$6:$H$2205,MATCH(U50,'Material routes'!$A$6:$A$2205,0)),"MISSING ID")</x:f>
        <x:v>Chemical material</x:v>
      </x:c>
      <x:c r="D50" s="4" t="str">
        <x:f>IFERROR(INDEX('Material routes'!$G$6:$G$2205,MATCH(U50,'Material routes'!$A$6:$A$2205,0)),"MISSING ID")</x:f>
        <x:v>Crafting components</x:v>
      </x:c>
      <x:c r="E50" s="4" t="str">
        <x:f>IFERROR(INDEX('Material routes'!$C$6:$C$2205,MATCH(U50,'Material routes'!$A$6:$A$2205,0)),"MISSING ID")</x:f>
        <x:v>Ingredient candidate</x:v>
      </x:c>
      <x:c r="F50" s="4" t="str">
        <x:f>IFERROR(INDEX('Material routes'!$E$6:$E$2205,MATCH(V50,'Material routes'!$A$6:$A$2205,0)),"MISSING ID")</x:f>
        <x:v>Faunal joint grease</x:v>
      </x:c>
      <x:c r="G50" s="4" t="str">
        <x:f>IFERROR(INDEX('Material routes'!$F$6:$F$2205,MATCH(V50,'Material routes'!$A$6:$A$2205,0)),"MISSING ID")</x:f>
        <x:v>T2</x:v>
      </x:c>
      <x:c r="H50" s="4" t="str">
        <x:f>IFERROR(INDEX('Material routes'!$H$6:$H$2205,MATCH(V50,'Material routes'!$A$6:$A$2205,0)),"MISSING ID")</x:f>
        <x:v>Chemical material</x:v>
      </x:c>
      <x:c r="I50" s="4" t="str">
        <x:f>IFERROR(INDEX('Material routes'!$G$6:$G$2205,MATCH(V50,'Material routes'!$A$6:$A$2205,0)),"MISSING ID")</x:f>
        <x:v>Crafting components</x:v>
      </x:c>
      <x:c r="J50" s="4" t="str">
        <x:f>IFERROR(INDEX('Material routes'!$B$6:$B$2205,MATCH(U50,'Material routes'!$A$6:$A$2205,0)),"MISSING ID")</x:f>
        <x:v>design.refine.lubricant.joint_grease</x:v>
      </x:c>
      <x:c r="K50" s="4" t="str">
        <x:f>IFERROR(INDEX('Crafting recipes'!$C$6:$C$1005,MATCH(J50,'Crafting recipes'!$A$6:$A$1005,0)),"MISSING ID")</x:f>
        <x:v>Material refinement</x:v>
      </x:c>
      <x:c r="L50" s="4" t="str">
        <x:f>IFERROR(INDEX('Material routes'!$K$6:$K$2205,MATCH(U50,'Material routes'!$A$6:$A$2205,0)),"MISSING ID")</x:f>
        <x:v>Proposal</x:v>
      </x:c>
      <x:c r="M50" s="4" t="str">
        <x:f>IFERROR(INDEX('Material routes'!$M$6:$M$2205,MATCH(U50,'Material routes'!$A$6:$A$2205,0)),"MISSING ID")</x:f>
        <x:v>Partial proposal</x:v>
      </x:c>
      <x:c r="N50" s="4" t="str">
        <x:f>IF(IFERROR(INDEX('Material routes'!$I$6:$I$1005,MATCH(U50,'Material routes'!$A$6:$A$1005,0)),"MISSING ID")=0,"",IFERROR(INDEX('Material routes'!$I$6:$I$1005,MATCH(U50,'Material routes'!$A$6:$A$1005,0)),"MISSING ID"))</x:f>
      </x:c>
      <x:c r="O50" s="4" t="str">
        <x:f>IFERROR(INDEX('Material routes'!$J$6:$J$2205,MATCH(U50,'Material routes'!$A$6:$A$2205,0)),"MISSING ID")</x:f>
        <x:v>Unspecified</x:v>
      </x:c>
      <x:c r="P50" s="4" t="str">
        <x:f>IF(IFERROR(INDEX('Material routes'!$I$6:$I$1005,MATCH(V50,'Material routes'!$A$6:$A$1005,0)),"MISSING ID")=0,"",IFERROR(INDEX('Material routes'!$I$6:$I$1005,MATCH(V50,'Material routes'!$A$6:$A$1005,0)),"MISSING ID"))</x:f>
      </x:c>
      <x:c r="Q50" s="4" t="str">
        <x:f>IFERROR(INDEX('Material routes'!$J$6:$J$2205,MATCH(V50,'Material routes'!$A$6:$A$2205,0)),"MISSING ID")</x:f>
        <x:v>Unspecified</x:v>
      </x:c>
      <x:c r="R50" s="4" t="str">
        <x:f>IF(L50="Withheld","Withheld premise",IF(E50="Tool candidate","Reusable prerequisite",IF(K50="Raw entry preparation","Entry-resource preparation",IF(G50="Not applicable",IF(IFERROR(INDEX('Items'!$AI$6:$AI$1005,MATCH(T50,'Items'!$A$6:$A$1005,0)),"MISSING ID")="Finished item","Finished endpoint",IF(IFERROR(INDEX('Items'!$AI$6:$AI$1005,MATCH(T50,'Items'!$A$6:$A$1005,0)),"MISSING ID")="Currency","Currency / no refinement tier","Recovered output / tier not applicable")),IF(OR(IFERROR(INDEX('Crafting recipes'!$H$6:$H$1005,MATCH(J50,'Crafting recipes'!$A$6:$A$1005,0)),"Unassigned")="Unassigned",G50="Unassigned"),"Tier unresolved",IF(IFERROR(VALUE(RIGHT(G50,1))-VALUE(RIGHT(IFERROR(INDEX('Crafting recipes'!$H$6:$H$1005,MATCH(J50,'Crafting recipes'!$A$6:$A$1005,0)),"Unassigned"),1)),0)=1,IF(B50=IFERROR(INDEX('Crafting recipes'!$H$6:$H$1005,MATCH(J50,'Crafting recipes'!$A$6:$A$1005,0)),"Unassigned"),"Advances one material tier","Lower-tier ingredient; route advances one tier"),"Needs tier review"))))))</x:f>
        <x:v>Advances one material tier</x:v>
      </x:c>
      <x:c r="S50" s="4" t="str">
        <x:f>IFERROR(INDEX('Material routes'!$D$6:$D$2205,MATCH(U50,'Material routes'!$A$6:$A$2205,0)),"MISSING ID")</x:f>
        <x:v>proposal.lubricant.base</x:v>
      </x:c>
      <x:c r="T50" s="4" t="str">
        <x:f>IFERROR(INDEX('Material routes'!$D$6:$D$2205,MATCH(V50,'Material routes'!$A$6:$A$2205,0)),"MISSING ID")</x:f>
        <x:v>proposal.lubricant.joint_grease</x:v>
      </x:c>
      <x:c r="U50" s="4" t="str">
        <x:v>material.route.046</x:v>
      </x:c>
      <x:c r="V50" s="4" t="str">
        <x:v>output.design.refine.lubricant.joint_grease</x:v>
      </x:c>
    </x:row>
    <x:row r="51" ht="85" customHeight="1">
      <x:c r="A51" s="4" t="str">
        <x:f>IFERROR(INDEX('Material routes'!$E$6:$E$2205,MATCH(U51,'Material routes'!$A$6:$A$2205,0)),"MISSING ID")</x:f>
        <x:v>Prepared secretion thickener</x:v>
      </x:c>
      <x:c r="B51" s="4" t="str">
        <x:f>IFERROR(INDEX('Material routes'!$F$6:$F$2205,MATCH(U51,'Material routes'!$A$6:$A$2205,0)),"MISSING ID")</x:f>
        <x:v>T1</x:v>
      </x:c>
      <x:c r="C51" s="4" t="str">
        <x:f>IFERROR(INDEX('Material routes'!$H$6:$H$2205,MATCH(U51,'Material routes'!$A$6:$A$2205,0)),"MISSING ID")</x:f>
        <x:v>Chemical material</x:v>
      </x:c>
      <x:c r="D51" s="4" t="str">
        <x:f>IFERROR(INDEX('Material routes'!$G$6:$G$2205,MATCH(U51,'Material routes'!$A$6:$A$2205,0)),"MISSING ID")</x:f>
        <x:v>Crafting components</x:v>
      </x:c>
      <x:c r="E51" s="4" t="str">
        <x:f>IFERROR(INDEX('Material routes'!$C$6:$C$2205,MATCH(U51,'Material routes'!$A$6:$A$2205,0)),"MISSING ID")</x:f>
        <x:v>Ingredient candidate</x:v>
      </x:c>
      <x:c r="F51" s="4" t="str">
        <x:f>IFERROR(INDEX('Material routes'!$E$6:$E$2205,MATCH(V51,'Material routes'!$A$6:$A$2205,0)),"MISSING ID")</x:f>
        <x:v>Faunal joint grease</x:v>
      </x:c>
      <x:c r="G51" s="4" t="str">
        <x:f>IFERROR(INDEX('Material routes'!$F$6:$F$2205,MATCH(V51,'Material routes'!$A$6:$A$2205,0)),"MISSING ID")</x:f>
        <x:v>T2</x:v>
      </x:c>
      <x:c r="H51" s="4" t="str">
        <x:f>IFERROR(INDEX('Material routes'!$H$6:$H$2205,MATCH(V51,'Material routes'!$A$6:$A$2205,0)),"MISSING ID")</x:f>
        <x:v>Chemical material</x:v>
      </x:c>
      <x:c r="I51" s="4" t="str">
        <x:f>IFERROR(INDEX('Material routes'!$G$6:$G$2205,MATCH(V51,'Material routes'!$A$6:$A$2205,0)),"MISSING ID")</x:f>
        <x:v>Crafting components</x:v>
      </x:c>
      <x:c r="J51" s="4" t="str">
        <x:f>IFERROR(INDEX('Material routes'!$B$6:$B$2205,MATCH(U51,'Material routes'!$A$6:$A$2205,0)),"MISSING ID")</x:f>
        <x:v>design.refine.lubricant.joint_grease</x:v>
      </x:c>
      <x:c r="K51" s="4" t="str">
        <x:f>IFERROR(INDEX('Crafting recipes'!$C$6:$C$1005,MATCH(J51,'Crafting recipes'!$A$6:$A$1005,0)),"MISSING ID")</x:f>
        <x:v>Material refinement</x:v>
      </x:c>
      <x:c r="L51" s="4" t="str">
        <x:f>IFERROR(INDEX('Material routes'!$K$6:$K$2205,MATCH(U51,'Material routes'!$A$6:$A$2205,0)),"MISSING ID")</x:f>
        <x:v>Proposal</x:v>
      </x:c>
      <x:c r="M51" s="4" t="str">
        <x:f>IFERROR(INDEX('Material routes'!$M$6:$M$2205,MATCH(U51,'Material routes'!$A$6:$A$2205,0)),"MISSING ID")</x:f>
        <x:v>Partial proposal</x:v>
      </x:c>
      <x:c r="N51" s="4" t="str">
        <x:f>IF(IFERROR(INDEX('Material routes'!$I$6:$I$1005,MATCH(U51,'Material routes'!$A$6:$A$1005,0)),"MISSING ID")=0,"",IFERROR(INDEX('Material routes'!$I$6:$I$1005,MATCH(U51,'Material routes'!$A$6:$A$1005,0)),"MISSING ID"))</x:f>
      </x:c>
      <x:c r="O51" s="4" t="str">
        <x:f>IFERROR(INDEX('Material routes'!$J$6:$J$2205,MATCH(U51,'Material routes'!$A$6:$A$2205,0)),"MISSING ID")</x:f>
        <x:v>Unspecified</x:v>
      </x:c>
      <x:c r="P51" s="4" t="str">
        <x:f>IF(IFERROR(INDEX('Material routes'!$I$6:$I$1005,MATCH(V51,'Material routes'!$A$6:$A$1005,0)),"MISSING ID")=0,"",IFERROR(INDEX('Material routes'!$I$6:$I$1005,MATCH(V51,'Material routes'!$A$6:$A$1005,0)),"MISSING ID"))</x:f>
      </x:c>
      <x:c r="Q51" s="4" t="str">
        <x:f>IFERROR(INDEX('Material routes'!$J$6:$J$2205,MATCH(V51,'Material routes'!$A$6:$A$2205,0)),"MISSING ID")</x:f>
        <x:v>Unspecified</x:v>
      </x:c>
      <x:c r="R51" s="4" t="str">
        <x:f>IF(L51="Withheld","Withheld premise",IF(E51="Tool candidate","Reusable prerequisite",IF(K51="Raw entry preparation","Entry-resource preparation",IF(G51="Not applicable",IF(IFERROR(INDEX('Items'!$AI$6:$AI$1005,MATCH(T51,'Items'!$A$6:$A$1005,0)),"MISSING ID")="Finished item","Finished endpoint",IF(IFERROR(INDEX('Items'!$AI$6:$AI$1005,MATCH(T51,'Items'!$A$6:$A$1005,0)),"MISSING ID")="Currency","Currency / no refinement tier","Recovered output / tier not applicable")),IF(OR(IFERROR(INDEX('Crafting recipes'!$H$6:$H$1005,MATCH(J51,'Crafting recipes'!$A$6:$A$1005,0)),"Unassigned")="Unassigned",G51="Unassigned"),"Tier unresolved",IF(IFERROR(VALUE(RIGHT(G51,1))-VALUE(RIGHT(IFERROR(INDEX('Crafting recipes'!$H$6:$H$1005,MATCH(J51,'Crafting recipes'!$A$6:$A$1005,0)),"Unassigned"),1)),0)=1,IF(B51=IFERROR(INDEX('Crafting recipes'!$H$6:$H$1005,MATCH(J51,'Crafting recipes'!$A$6:$A$1005,0)),"Unassigned"),"Advances one material tier","Lower-tier ingredient; route advances one tier"),"Needs tier review"))))))</x:f>
        <x:v>Advances one material tier</x:v>
      </x:c>
      <x:c r="S51" s="4" t="str">
        <x:f>IFERROR(INDEX('Material routes'!$D$6:$D$2205,MATCH(U51,'Material routes'!$A$6:$A$2205,0)),"MISSING ID")</x:f>
        <x:v>proposal.lubricant.thickener</x:v>
      </x:c>
      <x:c r="T51" s="4" t="str">
        <x:f>IFERROR(INDEX('Material routes'!$D$6:$D$2205,MATCH(V51,'Material routes'!$A$6:$A$2205,0)),"MISSING ID")</x:f>
        <x:v>proposal.lubricant.joint_grease</x:v>
      </x:c>
      <x:c r="U51" s="4" t="str">
        <x:v>material.route.047</x:v>
      </x:c>
      <x:c r="V51" s="4" t="str">
        <x:v>output.design.refine.lubricant.joint_grease</x:v>
      </x:c>
    </x:row>
    <x:row r="52" ht="85" customHeight="1">
      <x:c r="A52" s="4" t="str">
        <x:f>IFERROR(INDEX('Material routes'!$E$6:$E$2205,MATCH(U52,'Material routes'!$A$6:$A$2205,0)),"MISSING ID")</x:f>
        <x:v>Ironstone Ore</x:v>
      </x:c>
      <x:c r="B52" s="4" t="str">
        <x:f>IFERROR(INDEX('Material routes'!$F$6:$F$2205,MATCH(U52,'Material routes'!$A$6:$A$2205,0)),"MISSING ID")</x:f>
        <x:v>T0</x:v>
      </x:c>
      <x:c r="C52" s="4" t="str">
        <x:f>IFERROR(INDEX('Material routes'!$H$6:$H$2205,MATCH(U52,'Material routes'!$A$6:$A$2205,0)),"MISSING ID")</x:f>
        <x:v>Raw material</x:v>
      </x:c>
      <x:c r="D52" s="4" t="str">
        <x:f>IFERROR(INDEX('Material routes'!$G$6:$G$2205,MATCH(U52,'Material routes'!$A$6:$A$2205,0)),"MISSING ID")</x:f>
        <x:v>Mineral resources</x:v>
      </x:c>
      <x:c r="E52" s="4" t="str">
        <x:f>IFERROR(INDEX('Material routes'!$C$6:$C$2205,MATCH(U52,'Material routes'!$A$6:$A$2205,0)),"MISSING ID")</x:f>
        <x:v>Consumed input</x:v>
      </x:c>
      <x:c r="F52" s="4" t="str">
        <x:f>IFERROR(INDEX('Material routes'!$E$6:$E$2205,MATCH(V52,'Material routes'!$A$6:$A$2205,0)),"MISSING ID")</x:f>
        <x:v>Empty Arc Battery</x:v>
      </x:c>
      <x:c r="G52" s="4" t="str">
        <x:f>IFERROR(INDEX('Material routes'!$F$6:$F$2205,MATCH(V52,'Material routes'!$A$6:$A$2205,0)),"MISSING ID")</x:f>
        <x:v>Not applicable</x:v>
      </x:c>
      <x:c r="H52" s="4" t="str">
        <x:f>IFERROR(INDEX('Material routes'!$H$6:$H$2205,MATCH(V52,'Material routes'!$A$6:$A$2205,0)),"MISSING ID")</x:f>
        <x:v>Energy storage</x:v>
      </x:c>
      <x:c r="I52" s="4" t="str">
        <x:f>IFERROR(INDEX('Material routes'!$G$6:$G$2205,MATCH(V52,'Material routes'!$A$6:$A$2205,0)),"MISSING ID")</x:f>
        <x:v>Salvage</x:v>
      </x:c>
      <x:c r="J52" s="4" t="str">
        <x:f>IFERROR(INDEX('Material routes'!$B$6:$B$2205,MATCH(U52,'Material routes'!$A$6:$A$2205,0)),"MISSING ID")</x:f>
        <x:v>camp.empty-arc-battery.v1</x:v>
      </x:c>
      <x:c r="K52" s="4" t="str">
        <x:f>IFERROR(INDEX('Crafting recipes'!$C$6:$C$1005,MATCH(J52,'Crafting recipes'!$A$6:$A$1005,0)),"MISSING ID")</x:f>
        <x:v>Existing trial craft</x:v>
      </x:c>
      <x:c r="L52" s="4" t="str">
        <x:f>IFERROR(INDEX('Material routes'!$K$6:$K$2205,MATCH(U52,'Material routes'!$A$6:$A$2205,0)),"MISSING ID")</x:f>
        <x:v>Existing recipe</x:v>
      </x:c>
      <x:c r="M52" s="4" t="str">
        <x:f>IFERROR(INDEX('Material routes'!$M$6:$M$2205,MATCH(U52,'Material routes'!$A$6:$A$2205,0)),"MISSING ID")</x:f>
        <x:v>Authored recipe list</x:v>
      </x:c>
      <x:c r="N52" s="4" t="n">
        <x:f>IF(IFERROR(INDEX('Material routes'!$I$6:$I$2205,MATCH(U52,'Material routes'!$A$6:$A$2205,0)),"MISSING ID")=0,"",IFERROR(INDEX('Material routes'!$I$6:$I$2205,MATCH(U52,'Material routes'!$A$6:$A$2205,0)),"MISSING ID"))</x:f>
        <x:v>4</x:v>
      </x:c>
      <x:c r="O52" s="4" t="str">
        <x:f>IFERROR(INDEX('Material routes'!$J$6:$J$2205,MATCH(U52,'Material routes'!$A$6:$A$2205,0)),"MISSING ID")</x:f>
        <x:v>Item</x:v>
      </x:c>
      <x:c r="P52" s="4" t="n">
        <x:f>IF(IFERROR(INDEX('Material routes'!$I$6:$I$2205,MATCH(V52,'Material routes'!$A$6:$A$2205,0)),"MISSING ID")=0,"",IFERROR(INDEX('Material routes'!$I$6:$I$2205,MATCH(V52,'Material routes'!$A$6:$A$2205,0)),"MISSING ID"))</x:f>
        <x:v>1</x:v>
      </x:c>
      <x:c r="Q52" s="4" t="str">
        <x:f>IFERROR(INDEX('Material routes'!$J$6:$J$2205,MATCH(V52,'Material routes'!$A$6:$A$2205,0)),"MISSING ID")</x:f>
        <x:v>Item</x:v>
      </x:c>
      <x:c r="R52" s="4" t="str">
        <x:f>IF(L52="Withheld","Withheld premise",IF(E52="Tool candidate","Reusable prerequisite",IF(K52="Raw entry preparation","Entry-resource preparation",IF(G52="Not applicable",IF(IFERROR(INDEX('Items'!$AI$6:$AI$1005,MATCH(T52,'Items'!$A$6:$A$1005,0)),"MISSING ID")="Finished item","Finished endpoint",IF(IFERROR(INDEX('Items'!$AI$6:$AI$1005,MATCH(T52,'Items'!$A$6:$A$1005,0)),"MISSING ID")="Currency","Currency / no refinement tier","Recovered output / tier not applicable")),IF(OR(IFERROR(INDEX('Crafting recipes'!$H$6:$H$1005,MATCH(J52,'Crafting recipes'!$A$6:$A$1005,0)),"Unassigned")="Unassigned",G52="Unassigned"),"Tier unresolved",IF(IFERROR(VALUE(RIGHT(G52,1))-VALUE(RIGHT(IFERROR(INDEX('Crafting recipes'!$H$6:$H$1005,MATCH(J52,'Crafting recipes'!$A$6:$A$1005,0)),"Unassigned"),1)),0)=1,IF(B52=IFERROR(INDEX('Crafting recipes'!$H$6:$H$1005,MATCH(J52,'Crafting recipes'!$A$6:$A$1005,0)),"Unassigned"),"Advances one material tier","Lower-tier ingredient; route advances one tier"),"Needs tier review"))))))</x:f>
        <x:v>Finished endpoint</x:v>
      </x:c>
      <x:c r="S52" s="4" t="str">
        <x:f>IFERROR(INDEX('Material routes'!$D$6:$D$2205,MATCH(U52,'Material routes'!$A$6:$A$2205,0)),"MISSING ID")</x:f>
        <x:v>resource.ironstone_ore</x:v>
      </x:c>
      <x:c r="T52" s="4" t="str">
        <x:f>IFERROR(INDEX('Material routes'!$D$6:$D$2205,MATCH(V52,'Material routes'!$A$6:$A$2205,0)),"MISSING ID")</x:f>
        <x:v>equipment.arc_battery_empty</x:v>
      </x:c>
      <x:c r="U52" s="4" t="str">
        <x:v>source.recipe.line.6</x:v>
      </x:c>
      <x:c r="V52" s="4" t="str">
        <x:v>source.recipe.line.7</x:v>
      </x:c>
    </x:row>
    <x:row r="53" ht="85" customHeight="1">
      <x:c r="A53" s="4" t="str">
        <x:f>IFERROR(INDEX('Material routes'!$E$6:$E$2205,MATCH(U53,'Material routes'!$A$6:$A$2205,0)),"MISSING ID")</x:f>
        <x:v>Ironstone Ore</x:v>
      </x:c>
      <x:c r="B53" s="4" t="str">
        <x:f>IFERROR(INDEX('Material routes'!$F$6:$F$2205,MATCH(U53,'Material routes'!$A$6:$A$2205,0)),"MISSING ID")</x:f>
        <x:v>T0</x:v>
      </x:c>
      <x:c r="C53" s="4" t="str">
        <x:f>IFERROR(INDEX('Material routes'!$H$6:$H$2205,MATCH(U53,'Material routes'!$A$6:$A$2205,0)),"MISSING ID")</x:f>
        <x:v>Raw material</x:v>
      </x:c>
      <x:c r="D53" s="4" t="str">
        <x:f>IFERROR(INDEX('Material routes'!$G$6:$G$2205,MATCH(U53,'Material routes'!$A$6:$A$2205,0)),"MISSING ID")</x:f>
        <x:v>Mineral resources</x:v>
      </x:c>
      <x:c r="E53" s="4" t="str">
        <x:f>IFERROR(INDEX('Material routes'!$C$6:$C$2205,MATCH(U53,'Material routes'!$A$6:$A$2205,0)),"MISSING ID")</x:f>
        <x:v>Consumed input</x:v>
      </x:c>
      <x:c r="F53" s="4" t="str">
        <x:f>IFERROR(INDEX('Material routes'!$E$6:$E$2205,MATCH(V53,'Material routes'!$A$6:$A$2205,0)),"MISSING ID")</x:f>
        <x:v>Coarse Aggregate</x:v>
      </x:c>
      <x:c r="G53" s="4" t="str">
        <x:f>IFERROR(INDEX('Material routes'!$F$6:$F$2205,MATCH(V53,'Material routes'!$A$6:$A$2205,0)),"MISSING ID")</x:f>
        <x:v>T1</x:v>
      </x:c>
      <x:c r="H53" s="4" t="str">
        <x:f>IFERROR(INDEX('Material routes'!$H$6:$H$2205,MATCH(V53,'Material routes'!$A$6:$A$2205,0)),"MISSING ID")</x:f>
        <x:v>Processed material</x:v>
      </x:c>
      <x:c r="I53" s="4" t="str">
        <x:f>IFERROR(INDEX('Material routes'!$G$6:$G$2205,MATCH(V53,'Material routes'!$A$6:$A$2205,0)),"MISSING ID")</x:f>
        <x:v>Manufactured stock</x:v>
      </x:c>
      <x:c r="J53" s="4" t="str">
        <x:f>IFERROR(INDEX('Material routes'!$B$6:$B$2205,MATCH(U53,'Material routes'!$A$6:$A$2205,0)),"MISSING ID")</x:f>
        <x:v>lab.ironstone.dry-sort</x:v>
      </x:c>
      <x:c r="K53" s="4" t="str">
        <x:f>IFERROR(INDEX('Crafting recipes'!$C$6:$C$1005,MATCH(J53,'Crafting recipes'!$A$6:$A$1005,0)),"MISSING ID")</x:f>
        <x:v>Existing trial craft</x:v>
      </x:c>
      <x:c r="L53" s="4" t="str">
        <x:f>IFERROR(INDEX('Material routes'!$K$6:$K$2205,MATCH(U53,'Material routes'!$A$6:$A$2205,0)),"MISSING ID")</x:f>
        <x:v>Existing recipe</x:v>
      </x:c>
      <x:c r="M53" s="4" t="str">
        <x:f>IFERROR(INDEX('Material routes'!$M$6:$M$2205,MATCH(U53,'Material routes'!$A$6:$A$2205,0)),"MISSING ID")</x:f>
        <x:v>Authored recipe list</x:v>
      </x:c>
      <x:c r="N53" s="4" t="n">
        <x:f>IF(IFERROR(INDEX('Material routes'!$I$6:$I$2205,MATCH(U53,'Material routes'!$A$6:$A$2205,0)),"MISSING ID")=0,"",IFERROR(INDEX('Material routes'!$I$6:$I$2205,MATCH(U53,'Material routes'!$A$6:$A$2205,0)),"MISSING ID"))</x:f>
        <x:v>4</x:v>
      </x:c>
      <x:c r="O53" s="4" t="str">
        <x:f>IFERROR(INDEX('Material routes'!$J$6:$J$2205,MATCH(U53,'Material routes'!$A$6:$A$2205,0)),"MISSING ID")</x:f>
        <x:v>Item</x:v>
      </x:c>
      <x:c r="P53" s="4" t="n">
        <x:f>IF(IFERROR(INDEX('Material routes'!$I$6:$I$2205,MATCH(V53,'Material routes'!$A$6:$A$2205,0)),"MISSING ID")=0,"",IFERROR(INDEX('Material routes'!$I$6:$I$2205,MATCH(V53,'Material routes'!$A$6:$A$2205,0)),"MISSING ID"))</x:f>
        <x:v>2</x:v>
      </x:c>
      <x:c r="Q53" s="4" t="str">
        <x:f>IFERROR(INDEX('Material routes'!$J$6:$J$2205,MATCH(V53,'Material routes'!$A$6:$A$2205,0)),"MISSING ID")</x:f>
        <x:v>Item</x:v>
      </x:c>
      <x:c r="R53" s="4" t="str">
        <x:f>IF(L53="Withheld","Withheld premise",IF(E53="Tool candidate","Reusable prerequisite",IF(K53="Raw entry preparation","Entry-resource preparation",IF(G53="Not applicable",IF(IFERROR(INDEX('Items'!$AI$6:$AI$1005,MATCH(T53,'Items'!$A$6:$A$1005,0)),"MISSING ID")="Finished item","Finished endpoint",IF(IFERROR(INDEX('Items'!$AI$6:$AI$1005,MATCH(T53,'Items'!$A$6:$A$1005,0)),"MISSING ID")="Currency","Currency / no refinement tier","Recovered output / tier not applicable")),IF(OR(IFERROR(INDEX('Crafting recipes'!$H$6:$H$1005,MATCH(J53,'Crafting recipes'!$A$6:$A$1005,0)),"Unassigned")="Unassigned",G53="Unassigned"),"Tier unresolved",IF(IFERROR(VALUE(RIGHT(G53,1))-VALUE(RIGHT(IFERROR(INDEX('Crafting recipes'!$H$6:$H$1005,MATCH(J53,'Crafting recipes'!$A$6:$A$1005,0)),"Unassigned"),1)),0)=1,IF(B53=IFERROR(INDEX('Crafting recipes'!$H$6:$H$1005,MATCH(J53,'Crafting recipes'!$A$6:$A$1005,0)),"Unassigned"),"Advances one material tier","Lower-tier ingredient; route advances one tier"),"Needs tier review"))))))</x:f>
        <x:v>Advances one material tier</x:v>
      </x:c>
      <x:c r="S53" s="4" t="str">
        <x:f>IFERROR(INDEX('Material routes'!$D$6:$D$2205,MATCH(U53,'Material routes'!$A$6:$A$2205,0)),"MISSING ID")</x:f>
        <x:v>resource.ironstone_ore</x:v>
      </x:c>
      <x:c r="T53" s="4" t="str">
        <x:f>IFERROR(INDEX('Material routes'!$D$6:$D$2205,MATCH(V53,'Material routes'!$A$6:$A$2205,0)),"MISSING ID")</x:f>
        <x:v>lab.ironstone.aggregate</x:v>
      </x:c>
      <x:c r="U53" s="4" t="str">
        <x:v>material.route.002</x:v>
      </x:c>
      <x:c r="V53" s="4" t="str">
        <x:v>source.recipe.line.9</x:v>
      </x:c>
    </x:row>
    <x:row r="54" ht="85" customHeight="1">
      <x:c r="A54" s="4" t="str">
        <x:f>IFERROR(INDEX('Material routes'!$E$6:$E$2205,MATCH(U54,'Material routes'!$A$6:$A$2205,0)),"MISSING ID")</x:f>
        <x:v>Ironstone Ore</x:v>
      </x:c>
      <x:c r="B54" s="4" t="str">
        <x:f>IFERROR(INDEX('Material routes'!$F$6:$F$2205,MATCH(U54,'Material routes'!$A$6:$A$2205,0)),"MISSING ID")</x:f>
        <x:v>T0</x:v>
      </x:c>
      <x:c r="C54" s="4" t="str">
        <x:f>IFERROR(INDEX('Material routes'!$H$6:$H$2205,MATCH(U54,'Material routes'!$A$6:$A$2205,0)),"MISSING ID")</x:f>
        <x:v>Raw material</x:v>
      </x:c>
      <x:c r="D54" s="4" t="str">
        <x:f>IFERROR(INDEX('Material routes'!$G$6:$G$2205,MATCH(U54,'Material routes'!$A$6:$A$2205,0)),"MISSING ID")</x:f>
        <x:v>Mineral resources</x:v>
      </x:c>
      <x:c r="E54" s="4" t="str">
        <x:f>IFERROR(INDEX('Material routes'!$C$6:$C$2205,MATCH(U54,'Material routes'!$A$6:$A$2205,0)),"MISSING ID")</x:f>
        <x:v>Consumed input</x:v>
      </x:c>
      <x:c r="F54" s="4" t="str">
        <x:f>IFERROR(INDEX('Material routes'!$E$6:$E$2205,MATCH(V54,'Material routes'!$A$6:$A$2205,0)),"MISSING ID")</x:f>
        <x:v>Iron-rich Concentrate</x:v>
      </x:c>
      <x:c r="G54" s="4" t="str">
        <x:f>IFERROR(INDEX('Material routes'!$F$6:$F$2205,MATCH(V54,'Material routes'!$A$6:$A$2205,0)),"MISSING ID")</x:f>
        <x:v>T1</x:v>
      </x:c>
      <x:c r="H54" s="4" t="str">
        <x:f>IFERROR(INDEX('Material routes'!$H$6:$H$2205,MATCH(V54,'Material routes'!$A$6:$A$2205,0)),"MISSING ID")</x:f>
        <x:v>Processed material</x:v>
      </x:c>
      <x:c r="I54" s="4" t="str">
        <x:f>IFERROR(INDEX('Material routes'!$G$6:$G$2205,MATCH(V54,'Material routes'!$A$6:$A$2205,0)),"MISSING ID")</x:f>
        <x:v>Manufactured stock</x:v>
      </x:c>
      <x:c r="J54" s="4" t="str">
        <x:f>IFERROR(INDEX('Material routes'!$B$6:$B$2205,MATCH(U54,'Material routes'!$A$6:$A$2205,0)),"MISSING ID")</x:f>
        <x:v>lab.ironstone.dry-sort</x:v>
      </x:c>
      <x:c r="K54" s="4" t="str">
        <x:f>IFERROR(INDEX('Crafting recipes'!$C$6:$C$1005,MATCH(J54,'Crafting recipes'!$A$6:$A$1005,0)),"MISSING ID")</x:f>
        <x:v>Existing trial craft</x:v>
      </x:c>
      <x:c r="L54" s="4" t="str">
        <x:f>IFERROR(INDEX('Material routes'!$K$6:$K$2205,MATCH(U54,'Material routes'!$A$6:$A$2205,0)),"MISSING ID")</x:f>
        <x:v>Existing recipe</x:v>
      </x:c>
      <x:c r="M54" s="4" t="str">
        <x:f>IFERROR(INDEX('Material routes'!$M$6:$M$2205,MATCH(U54,'Material routes'!$A$6:$A$2205,0)),"MISSING ID")</x:f>
        <x:v>Authored recipe list</x:v>
      </x:c>
      <x:c r="N54" s="4" t="n">
        <x:f>IF(IFERROR(INDEX('Material routes'!$I$6:$I$2205,MATCH(U54,'Material routes'!$A$6:$A$2205,0)),"MISSING ID")=0,"",IFERROR(INDEX('Material routes'!$I$6:$I$2205,MATCH(U54,'Material routes'!$A$6:$A$2205,0)),"MISSING ID"))</x:f>
        <x:v>4</x:v>
      </x:c>
      <x:c r="O54" s="4" t="str">
        <x:f>IFERROR(INDEX('Material routes'!$J$6:$J$2205,MATCH(U54,'Material routes'!$A$6:$A$2205,0)),"MISSING ID")</x:f>
        <x:v>Item</x:v>
      </x:c>
      <x:c r="P54" s="4" t="n">
        <x:f>IF(IFERROR(INDEX('Material routes'!$I$6:$I$2205,MATCH(V54,'Material routes'!$A$6:$A$2205,0)),"MISSING ID")=0,"",IFERROR(INDEX('Material routes'!$I$6:$I$2205,MATCH(V54,'Material routes'!$A$6:$A$2205,0)),"MISSING ID"))</x:f>
        <x:v>1</x:v>
      </x:c>
      <x:c r="Q54" s="4" t="str">
        <x:f>IFERROR(INDEX('Material routes'!$J$6:$J$2205,MATCH(V54,'Material routes'!$A$6:$A$2205,0)),"MISSING ID")</x:f>
        <x:v>Item</x:v>
      </x:c>
      <x:c r="R54" s="4" t="str">
        <x:f>IF(L54="Withheld","Withheld premise",IF(E54="Tool candidate","Reusable prerequisite",IF(K54="Raw entry preparation","Entry-resource preparation",IF(G54="Not applicable",IF(IFERROR(INDEX('Items'!$AI$6:$AI$1005,MATCH(T54,'Items'!$A$6:$A$1005,0)),"MISSING ID")="Finished item","Finished endpoint",IF(IFERROR(INDEX('Items'!$AI$6:$AI$1005,MATCH(T54,'Items'!$A$6:$A$1005,0)),"MISSING ID")="Currency","Currency / no refinement tier","Recovered output / tier not applicable")),IF(OR(IFERROR(INDEX('Crafting recipes'!$H$6:$H$1005,MATCH(J54,'Crafting recipes'!$A$6:$A$1005,0)),"Unassigned")="Unassigned",G54="Unassigned"),"Tier unresolved",IF(IFERROR(VALUE(RIGHT(G54,1))-VALUE(RIGHT(IFERROR(INDEX('Crafting recipes'!$H$6:$H$1005,MATCH(J54,'Crafting recipes'!$A$6:$A$1005,0)),"Unassigned"),1)),0)=1,IF(B54=IFERROR(INDEX('Crafting recipes'!$H$6:$H$1005,MATCH(J54,'Crafting recipes'!$A$6:$A$1005,0)),"Unassigned"),"Advances one material tier","Lower-tier ingredient; route advances one tier"),"Needs tier review"))))))</x:f>
        <x:v>Advances one material tier</x:v>
      </x:c>
      <x:c r="S54" s="4" t="str">
        <x:f>IFERROR(INDEX('Material routes'!$D$6:$D$2205,MATCH(U54,'Material routes'!$A$6:$A$2205,0)),"MISSING ID")</x:f>
        <x:v>resource.ironstone_ore</x:v>
      </x:c>
      <x:c r="T54" s="4" t="str">
        <x:f>IFERROR(INDEX('Material routes'!$D$6:$D$2205,MATCH(V54,'Material routes'!$A$6:$A$2205,0)),"MISSING ID")</x:f>
        <x:v>lab.ironstone.concentrate</x:v>
      </x:c>
      <x:c r="U54" s="4" t="str">
        <x:v>material.route.002</x:v>
      </x:c>
      <x:c r="V54" s="4" t="str">
        <x:v>source.recipe.line.10</x:v>
      </x:c>
    </x:row>
    <x:row r="55" ht="85" customHeight="1">
      <x:c r="A55" s="4" t="str">
        <x:f>IFERROR(INDEX('Material routes'!$E$6:$E$2205,MATCH(U55,'Material routes'!$A$6:$A$2205,0)),"MISSING ID")</x:f>
        <x:v>Ironstone Ore</x:v>
      </x:c>
      <x:c r="B55" s="4" t="str">
        <x:f>IFERROR(INDEX('Material routes'!$F$6:$F$2205,MATCH(U55,'Material routes'!$A$6:$A$2205,0)),"MISSING ID")</x:f>
        <x:v>T0</x:v>
      </x:c>
      <x:c r="C55" s="4" t="str">
        <x:f>IFERROR(INDEX('Material routes'!$H$6:$H$2205,MATCH(U55,'Material routes'!$A$6:$A$2205,0)),"MISSING ID")</x:f>
        <x:v>Raw material</x:v>
      </x:c>
      <x:c r="D55" s="4" t="str">
        <x:f>IFERROR(INDEX('Material routes'!$G$6:$G$2205,MATCH(U55,'Material routes'!$A$6:$A$2205,0)),"MISSING ID")</x:f>
        <x:v>Mineral resources</x:v>
      </x:c>
      <x:c r="E55" s="4" t="str">
        <x:f>IFERROR(INDEX('Material routes'!$C$6:$C$2205,MATCH(U55,'Material routes'!$A$6:$A$2205,0)),"MISSING ID")</x:f>
        <x:v>Consumed input</x:v>
      </x:c>
      <x:c r="F55" s="4" t="str">
        <x:f>IFERROR(INDEX('Material routes'!$E$6:$E$2205,MATCH(V55,'Material routes'!$A$6:$A$2205,0)),"MISSING ID")</x:f>
        <x:v>Mineral Sand</x:v>
      </x:c>
      <x:c r="G55" s="4" t="str">
        <x:f>IFERROR(INDEX('Material routes'!$F$6:$F$2205,MATCH(V55,'Material routes'!$A$6:$A$2205,0)),"MISSING ID")</x:f>
        <x:v>T1</x:v>
      </x:c>
      <x:c r="H55" s="4" t="str">
        <x:f>IFERROR(INDEX('Material routes'!$H$6:$H$2205,MATCH(V55,'Material routes'!$A$6:$A$2205,0)),"MISSING ID")</x:f>
        <x:v>Processed material</x:v>
      </x:c>
      <x:c r="I55" s="4" t="str">
        <x:f>IFERROR(INDEX('Material routes'!$G$6:$G$2205,MATCH(V55,'Material routes'!$A$6:$A$2205,0)),"MISSING ID")</x:f>
        <x:v>Manufactured stock</x:v>
      </x:c>
      <x:c r="J55" s="4" t="str">
        <x:f>IFERROR(INDEX('Material routes'!$B$6:$B$2205,MATCH(U55,'Material routes'!$A$6:$A$2205,0)),"MISSING ID")</x:f>
        <x:v>lab.ironstone.dry-sort</x:v>
      </x:c>
      <x:c r="K55" s="4" t="str">
        <x:f>IFERROR(INDEX('Crafting recipes'!$C$6:$C$1005,MATCH(J55,'Crafting recipes'!$A$6:$A$1005,0)),"MISSING ID")</x:f>
        <x:v>Existing trial craft</x:v>
      </x:c>
      <x:c r="L55" s="4" t="str">
        <x:f>IFERROR(INDEX('Material routes'!$K$6:$K$2205,MATCH(U55,'Material routes'!$A$6:$A$2205,0)),"MISSING ID")</x:f>
        <x:v>Existing recipe</x:v>
      </x:c>
      <x:c r="M55" s="4" t="str">
        <x:f>IFERROR(INDEX('Material routes'!$M$6:$M$2205,MATCH(U55,'Material routes'!$A$6:$A$2205,0)),"MISSING ID")</x:f>
        <x:v>Authored recipe list</x:v>
      </x:c>
      <x:c r="N55" s="4" t="n">
        <x:f>IF(IFERROR(INDEX('Material routes'!$I$6:$I$2205,MATCH(U55,'Material routes'!$A$6:$A$2205,0)),"MISSING ID")=0,"",IFERROR(INDEX('Material routes'!$I$6:$I$2205,MATCH(U55,'Material routes'!$A$6:$A$2205,0)),"MISSING ID"))</x:f>
        <x:v>4</x:v>
      </x:c>
      <x:c r="O55" s="4" t="str">
        <x:f>IFERROR(INDEX('Material routes'!$J$6:$J$2205,MATCH(U55,'Material routes'!$A$6:$A$2205,0)),"MISSING ID")</x:f>
        <x:v>Item</x:v>
      </x:c>
      <x:c r="P55" s="4" t="n">
        <x:f>IF(IFERROR(INDEX('Material routes'!$I$6:$I$2205,MATCH(V55,'Material routes'!$A$6:$A$2205,0)),"MISSING ID")=0,"",IFERROR(INDEX('Material routes'!$I$6:$I$2205,MATCH(V55,'Material routes'!$A$6:$A$2205,0)),"MISSING ID"))</x:f>
        <x:v>1</x:v>
      </x:c>
      <x:c r="Q55" s="4" t="str">
        <x:f>IFERROR(INDEX('Material routes'!$J$6:$J$2205,MATCH(V55,'Material routes'!$A$6:$A$2205,0)),"MISSING ID")</x:f>
        <x:v>Item</x:v>
      </x:c>
      <x:c r="R55" s="4" t="str">
        <x:f>IF(L55="Withheld","Withheld premise",IF(E55="Tool candidate","Reusable prerequisite",IF(K55="Raw entry preparation","Entry-resource preparation",IF(G55="Not applicable",IF(IFERROR(INDEX('Items'!$AI$6:$AI$1005,MATCH(T55,'Items'!$A$6:$A$1005,0)),"MISSING ID")="Finished item","Finished endpoint",IF(IFERROR(INDEX('Items'!$AI$6:$AI$1005,MATCH(T55,'Items'!$A$6:$A$1005,0)),"MISSING ID")="Currency","Currency / no refinement tier","Recovered output / tier not applicable")),IF(OR(IFERROR(INDEX('Crafting recipes'!$H$6:$H$1005,MATCH(J55,'Crafting recipes'!$A$6:$A$1005,0)),"Unassigned")="Unassigned",G55="Unassigned"),"Tier unresolved",IF(IFERROR(VALUE(RIGHT(G55,1))-VALUE(RIGHT(IFERROR(INDEX('Crafting recipes'!$H$6:$H$1005,MATCH(J55,'Crafting recipes'!$A$6:$A$1005,0)),"Unassigned"),1)),0)=1,IF(B55=IFERROR(INDEX('Crafting recipes'!$H$6:$H$1005,MATCH(J55,'Crafting recipes'!$A$6:$A$1005,0)),"Unassigned"),"Advances one material tier","Lower-tier ingredient; route advances one tier"),"Needs tier review"))))))</x:f>
        <x:v>Advances one material tier</x:v>
      </x:c>
      <x:c r="S55" s="4" t="str">
        <x:f>IFERROR(INDEX('Material routes'!$D$6:$D$2205,MATCH(U55,'Material routes'!$A$6:$A$2205,0)),"MISSING ID")</x:f>
        <x:v>resource.ironstone_ore</x:v>
      </x:c>
      <x:c r="T55" s="4" t="str">
        <x:f>IFERROR(INDEX('Material routes'!$D$6:$D$2205,MATCH(V55,'Material routes'!$A$6:$A$2205,0)),"MISSING ID")</x:f>
        <x:v>lab.ironstone.sand</x:v>
      </x:c>
      <x:c r="U55" s="4" t="str">
        <x:v>material.route.002</x:v>
      </x:c>
      <x:c r="V55" s="4" t="str">
        <x:v>source.recipe.line.11</x:v>
      </x:c>
    </x:row>
    <x:row r="56" ht="85" customHeight="1">
      <x:c r="A56" s="4" t="str">
        <x:f>IFERROR(INDEX('Material routes'!$E$6:$E$2205,MATCH(U56,'Material routes'!$A$6:$A$2205,0)),"MISSING ID")</x:f>
        <x:v>Ironstone Ore</x:v>
      </x:c>
      <x:c r="B56" s="4" t="str">
        <x:f>IFERROR(INDEX('Material routes'!$F$6:$F$2205,MATCH(U56,'Material routes'!$A$6:$A$2205,0)),"MISSING ID")</x:f>
        <x:v>T0</x:v>
      </x:c>
      <x:c r="C56" s="4" t="str">
        <x:f>IFERROR(INDEX('Material routes'!$H$6:$H$2205,MATCH(U56,'Material routes'!$A$6:$A$2205,0)),"MISSING ID")</x:f>
        <x:v>Raw material</x:v>
      </x:c>
      <x:c r="D56" s="4" t="str">
        <x:f>IFERROR(INDEX('Material routes'!$G$6:$G$2205,MATCH(U56,'Material routes'!$A$6:$A$2205,0)),"MISSING ID")</x:f>
        <x:v>Mineral resources</x:v>
      </x:c>
      <x:c r="E56" s="4" t="str">
        <x:f>IFERROR(INDEX('Material routes'!$C$6:$C$2205,MATCH(U56,'Material routes'!$A$6:$A$2205,0)),"MISSING ID")</x:f>
        <x:v>Consumed input</x:v>
      </x:c>
      <x:c r="F56" s="4" t="str">
        <x:f>IFERROR(INDEX('Material routes'!$E$6:$E$2205,MATCH(V56,'Material routes'!$A$6:$A$2205,0)),"MISSING ID")</x:f>
        <x:v>Mineral Dust</x:v>
      </x:c>
      <x:c r="G56" s="4" t="str">
        <x:f>IFERROR(INDEX('Material routes'!$F$6:$F$2205,MATCH(V56,'Material routes'!$A$6:$A$2205,0)),"MISSING ID")</x:f>
        <x:v>T1</x:v>
      </x:c>
      <x:c r="H56" s="4" t="str">
        <x:f>IFERROR(INDEX('Material routes'!$H$6:$H$2205,MATCH(V56,'Material routes'!$A$6:$A$2205,0)),"MISSING ID")</x:f>
        <x:v>Processed material</x:v>
      </x:c>
      <x:c r="I56" s="4" t="str">
        <x:f>IFERROR(INDEX('Material routes'!$G$6:$G$2205,MATCH(V56,'Material routes'!$A$6:$A$2205,0)),"MISSING ID")</x:f>
        <x:v>Manufactured stock</x:v>
      </x:c>
      <x:c r="J56" s="4" t="str">
        <x:f>IFERROR(INDEX('Material routes'!$B$6:$B$2205,MATCH(U56,'Material routes'!$A$6:$A$2205,0)),"MISSING ID")</x:f>
        <x:v>lab.ironstone.dry-sort</x:v>
      </x:c>
      <x:c r="K56" s="4" t="str">
        <x:f>IFERROR(INDEX('Crafting recipes'!$C$6:$C$1005,MATCH(J56,'Crafting recipes'!$A$6:$A$1005,0)),"MISSING ID")</x:f>
        <x:v>Existing trial craft</x:v>
      </x:c>
      <x:c r="L56" s="4" t="str">
        <x:f>IFERROR(INDEX('Material routes'!$K$6:$K$2205,MATCH(U56,'Material routes'!$A$6:$A$2205,0)),"MISSING ID")</x:f>
        <x:v>Existing recipe</x:v>
      </x:c>
      <x:c r="M56" s="4" t="str">
        <x:f>IFERROR(INDEX('Material routes'!$M$6:$M$2205,MATCH(U56,'Material routes'!$A$6:$A$2205,0)),"MISSING ID")</x:f>
        <x:v>Authored recipe list</x:v>
      </x:c>
      <x:c r="N56" s="4" t="n">
        <x:f>IF(IFERROR(INDEX('Material routes'!$I$6:$I$2205,MATCH(U56,'Material routes'!$A$6:$A$2205,0)),"MISSING ID")=0,"",IFERROR(INDEX('Material routes'!$I$6:$I$2205,MATCH(U56,'Material routes'!$A$6:$A$2205,0)),"MISSING ID"))</x:f>
        <x:v>4</x:v>
      </x:c>
      <x:c r="O56" s="4" t="str">
        <x:f>IFERROR(INDEX('Material routes'!$J$6:$J$2205,MATCH(U56,'Material routes'!$A$6:$A$2205,0)),"MISSING ID")</x:f>
        <x:v>Item</x:v>
      </x:c>
      <x:c r="P56" s="4" t="n">
        <x:f>IF(IFERROR(INDEX('Material routes'!$I$6:$I$2205,MATCH(V56,'Material routes'!$A$6:$A$2205,0)),"MISSING ID")=0,"",IFERROR(INDEX('Material routes'!$I$6:$I$2205,MATCH(V56,'Material routes'!$A$6:$A$2205,0)),"MISSING ID"))</x:f>
        <x:v>2</x:v>
      </x:c>
      <x:c r="Q56" s="4" t="str">
        <x:f>IFERROR(INDEX('Material routes'!$J$6:$J$2205,MATCH(V56,'Material routes'!$A$6:$A$2205,0)),"MISSING ID")</x:f>
        <x:v>Item</x:v>
      </x:c>
      <x:c r="R56" s="4" t="str">
        <x:f>IF(L56="Withheld","Withheld premise",IF(E56="Tool candidate","Reusable prerequisite",IF(K56="Raw entry preparation","Entry-resource preparation",IF(G56="Not applicable",IF(IFERROR(INDEX('Items'!$AI$6:$AI$1005,MATCH(T56,'Items'!$A$6:$A$1005,0)),"MISSING ID")="Finished item","Finished endpoint",IF(IFERROR(INDEX('Items'!$AI$6:$AI$1005,MATCH(T56,'Items'!$A$6:$A$1005,0)),"MISSING ID")="Currency","Currency / no refinement tier","Recovered output / tier not applicable")),IF(OR(IFERROR(INDEX('Crafting recipes'!$H$6:$H$1005,MATCH(J56,'Crafting recipes'!$A$6:$A$1005,0)),"Unassigned")="Unassigned",G56="Unassigned"),"Tier unresolved",IF(IFERROR(VALUE(RIGHT(G56,1))-VALUE(RIGHT(IFERROR(INDEX('Crafting recipes'!$H$6:$H$1005,MATCH(J56,'Crafting recipes'!$A$6:$A$1005,0)),"Unassigned"),1)),0)=1,IF(B56=IFERROR(INDEX('Crafting recipes'!$H$6:$H$1005,MATCH(J56,'Crafting recipes'!$A$6:$A$1005,0)),"Unassigned"),"Advances one material tier","Lower-tier ingredient; route advances one tier"),"Needs tier review"))))))</x:f>
        <x:v>Advances one material tier</x:v>
      </x:c>
      <x:c r="S56" s="4" t="str">
        <x:f>IFERROR(INDEX('Material routes'!$D$6:$D$2205,MATCH(U56,'Material routes'!$A$6:$A$2205,0)),"MISSING ID")</x:f>
        <x:v>resource.ironstone_ore</x:v>
      </x:c>
      <x:c r="T56" s="4" t="str">
        <x:f>IFERROR(INDEX('Material routes'!$D$6:$D$2205,MATCH(V56,'Material routes'!$A$6:$A$2205,0)),"MISSING ID")</x:f>
        <x:v>lab.ironstone.mineral_dust</x:v>
      </x:c>
      <x:c r="U56" s="4" t="str">
        <x:v>material.route.002</x:v>
      </x:c>
      <x:c r="V56" s="4" t="str">
        <x:v>source.recipe.line.12</x:v>
      </x:c>
    </x:row>
    <x:row r="57" ht="85" customHeight="1">
      <x:c r="A57" s="4" t="str">
        <x:f>IFERROR(INDEX('Material routes'!$E$6:$E$2205,MATCH(U57,'Material routes'!$A$6:$A$2205,0)),"MISSING ID")</x:f>
        <x:v>Empty Arc Battery</x:v>
      </x:c>
      <x:c r="B57" s="4" t="str">
        <x:f>IFERROR(INDEX('Material routes'!$F$6:$F$2205,MATCH(U57,'Material routes'!$A$6:$A$2205,0)),"MISSING ID")</x:f>
        <x:v>Not applicable</x:v>
      </x:c>
      <x:c r="C57" s="4" t="str">
        <x:f>IFERROR(INDEX('Material routes'!$H$6:$H$2205,MATCH(U57,'Material routes'!$A$6:$A$2205,0)),"MISSING ID")</x:f>
        <x:v>Energy storage</x:v>
      </x:c>
      <x:c r="D57" s="4" t="str">
        <x:f>IFERROR(INDEX('Material routes'!$G$6:$G$2205,MATCH(U57,'Material routes'!$A$6:$A$2205,0)),"MISSING ID")</x:f>
        <x:v>Salvage</x:v>
      </x:c>
      <x:c r="E57" s="4" t="str">
        <x:f>IFERROR(INDEX('Material routes'!$C$6:$C$2205,MATCH(U57,'Material routes'!$A$6:$A$2205,0)),"MISSING ID")</x:f>
        <x:v>Transform input</x:v>
      </x:c>
      <x:c r="F57" s="4" t="str">
        <x:f>IFERROR(INDEX('Material routes'!$E$6:$E$2205,MATCH(V57,'Material routes'!$A$6:$A$2205,0)),"MISSING ID")</x:f>
        <x:v>Charged Arc Battery</x:v>
      </x:c>
      <x:c r="G57" s="4" t="str">
        <x:f>IFERROR(INDEX('Material routes'!$F$6:$F$2205,MATCH(V57,'Material routes'!$A$6:$A$2205,0)),"MISSING ID")</x:f>
        <x:v>Not applicable</x:v>
      </x:c>
      <x:c r="H57" s="4" t="str">
        <x:f>IFERROR(INDEX('Material routes'!$H$6:$H$2205,MATCH(V57,'Material routes'!$A$6:$A$2205,0)),"MISSING ID")</x:f>
        <x:v>Energy storage</x:v>
      </x:c>
      <x:c r="I57" s="4" t="str">
        <x:f>IFERROR(INDEX('Material routes'!$G$6:$G$2205,MATCH(V57,'Material routes'!$A$6:$A$2205,0)),"MISSING ID")</x:f>
        <x:v>Tools</x:v>
      </x:c>
      <x:c r="J57" s="4" t="str">
        <x:f>IFERROR(INDEX('Material routes'!$B$6:$B$2205,MATCH(U57,'Material routes'!$A$6:$A$2205,0)),"MISSING ID")</x:f>
        <x:v>reference.refinery-charge</x:v>
      </x:c>
      <x:c r="K57" s="4" t="str">
        <x:f>IFERROR(INDEX('Crafting recipes'!$C$6:$C$1005,MATCH(J57,'Crafting recipes'!$A$6:$A$1005,0)),"MISSING ID")</x:f>
        <x:v>Contained-content refill</x:v>
      </x:c>
      <x:c r="L57" s="4" t="str">
        <x:f>IFERROR(INDEX('Material routes'!$K$6:$K$2205,MATCH(U57,'Material routes'!$A$6:$A$2205,0)),"MISSING ID")</x:f>
        <x:v>Existing process reference</x:v>
      </x:c>
      <x:c r="M57" s="4" t="str">
        <x:f>IFERROR(INDEX('Material routes'!$M$6:$M$2205,MATCH(U57,'Material routes'!$A$6:$A$2205,0)),"MISSING ID")</x:f>
        <x:v>Documented process reference</x:v>
      </x:c>
      <x:c r="N57" s="4" t="n">
        <x:f>IF(IFERROR(INDEX('Material routes'!$I$6:$I$2205,MATCH(U57,'Material routes'!$A$6:$A$2205,0)),"MISSING ID")=0,"",IFERROR(INDEX('Material routes'!$I$6:$I$2205,MATCH(U57,'Material routes'!$A$6:$A$2205,0)),"MISSING ID"))</x:f>
        <x:v>1</x:v>
      </x:c>
      <x:c r="O57" s="4" t="str">
        <x:f>IFERROR(INDEX('Material routes'!$J$6:$J$2205,MATCH(U57,'Material routes'!$A$6:$A$2205,0)),"MISSING ID")</x:f>
        <x:v>Item</x:v>
      </x:c>
      <x:c r="P57" s="4" t="n">
        <x:f>IF(IFERROR(INDEX('Material routes'!$I$6:$I$2205,MATCH(V57,'Material routes'!$A$6:$A$2205,0)),"MISSING ID")=0,"",IFERROR(INDEX('Material routes'!$I$6:$I$2205,MATCH(V57,'Material routes'!$A$6:$A$2205,0)),"MISSING ID"))</x:f>
        <x:v>1</x:v>
      </x:c>
      <x:c r="Q57" s="4" t="str">
        <x:f>IFERROR(INDEX('Material routes'!$J$6:$J$2205,MATCH(V57,'Material routes'!$A$6:$A$2205,0)),"MISSING ID")</x:f>
        <x:v>Item</x:v>
      </x:c>
      <x:c r="R57" s="4" t="str">
        <x:f>IF(L57="Withheld","Withheld premise",IF(E57="Tool candidate","Reusable prerequisite",IF(K57="Raw entry preparation","Entry-resource preparation",IF(G57="Not applicable",IF(IFERROR(INDEX('Items'!$AI$6:$AI$1005,MATCH(T57,'Items'!$A$6:$A$1005,0)),"MISSING ID")="Finished item","Finished endpoint",IF(IFERROR(INDEX('Items'!$AI$6:$AI$1005,MATCH(T57,'Items'!$A$6:$A$1005,0)),"MISSING ID")="Currency","Currency / no refinement tier","Recovered output / tier not applicable")),IF(OR(IFERROR(INDEX('Crafting recipes'!$H$6:$H$1005,MATCH(J57,'Crafting recipes'!$A$6:$A$1005,0)),"Unassigned")="Unassigned",G57="Unassigned"),"Tier unresolved",IF(IFERROR(VALUE(RIGHT(G57,1))-VALUE(RIGHT(IFERROR(INDEX('Crafting recipes'!$H$6:$H$1005,MATCH(J57,'Crafting recipes'!$A$6:$A$1005,0)),"Unassigned"),1)),0)=1,IF(B57=IFERROR(INDEX('Crafting recipes'!$H$6:$H$1005,MATCH(J57,'Crafting recipes'!$A$6:$A$1005,0)),"Unassigned"),"Advances one material tier","Lower-tier ingredient; route advances one tier"),"Needs tier review"))))))</x:f>
        <x:v>Finished endpoint</x:v>
      </x:c>
      <x:c r="S57" s="4" t="str">
        <x:f>IFERROR(INDEX('Material routes'!$D$6:$D$2205,MATCH(U57,'Material routes'!$A$6:$A$2205,0)),"MISSING ID")</x:f>
        <x:v>equipment.arc_battery_empty</x:v>
      </x:c>
      <x:c r="T57" s="4" t="str">
        <x:f>IFERROR(INDEX('Material routes'!$D$6:$D$2205,MATCH(V57,'Material routes'!$A$6:$A$2205,0)),"MISSING ID")</x:f>
        <x:v>equipment.arc_battery_charged</x:v>
      </x:c>
      <x:c r="U57" s="4" t="str">
        <x:v>source.recipe.line.13</x:v>
      </x:c>
      <x:c r="V57" s="4" t="str">
        <x:v>source.recipe.line.15</x:v>
      </x:c>
    </x:row>
    <x:row r="58" ht="85" customHeight="1">
      <x:c r="A58" s="4" t="str">
        <x:f>IFERROR(INDEX('Material routes'!$E$6:$E$2205,MATCH(U58,'Material routes'!$A$6:$A$2205,0)),"MISSING ID")</x:f>
        <x:v>Airborne Dust</x:v>
      </x:c>
      <x:c r="B58" s="4" t="str">
        <x:f>IFERROR(INDEX('Material routes'!$F$6:$F$2205,MATCH(U58,'Material routes'!$A$6:$A$2205,0)),"MISSING ID")</x:f>
        <x:v>T0</x:v>
      </x:c>
      <x:c r="C58" s="4" t="str">
        <x:f>IFERROR(INDEX('Material routes'!$H$6:$H$2205,MATCH(U58,'Material routes'!$A$6:$A$2205,0)),"MISSING ID")</x:f>
        <x:v>Raw material</x:v>
      </x:c>
      <x:c r="D58" s="4" t="str">
        <x:f>IFERROR(INDEX('Material routes'!$G$6:$G$2205,MATCH(U58,'Material routes'!$A$6:$A$2205,0)),"MISSING ID")</x:f>
        <x:v>Atmospheric resources</x:v>
      </x:c>
      <x:c r="E58" s="4" t="str">
        <x:f>IFERROR(INDEX('Material routes'!$C$6:$C$2205,MATCH(U58,'Material routes'!$A$6:$A$2205,0)),"MISSING ID")</x:f>
        <x:v>Contained input</x:v>
      </x:c>
      <x:c r="F58" s="4" t="str">
        <x:f>IFERROR(INDEX('Material routes'!$E$6:$E$2205,MATCH(V58,'Material routes'!$A$6:$A$2205,0)),"MISSING ID")</x:f>
        <x:v>Charged Arc Battery</x:v>
      </x:c>
      <x:c r="G58" s="4" t="str">
        <x:f>IFERROR(INDEX('Material routes'!$F$6:$F$2205,MATCH(V58,'Material routes'!$A$6:$A$2205,0)),"MISSING ID")</x:f>
        <x:v>Not applicable</x:v>
      </x:c>
      <x:c r="H58" s="4" t="str">
        <x:f>IFERROR(INDEX('Material routes'!$H$6:$H$2205,MATCH(V58,'Material routes'!$A$6:$A$2205,0)),"MISSING ID")</x:f>
        <x:v>Energy storage</x:v>
      </x:c>
      <x:c r="I58" s="4" t="str">
        <x:f>IFERROR(INDEX('Material routes'!$G$6:$G$2205,MATCH(V58,'Material routes'!$A$6:$A$2205,0)),"MISSING ID")</x:f>
        <x:v>Tools</x:v>
      </x:c>
      <x:c r="J58" s="4" t="str">
        <x:f>IFERROR(INDEX('Material routes'!$B$6:$B$2205,MATCH(U58,'Material routes'!$A$6:$A$2205,0)),"MISSING ID")</x:f>
        <x:v>reference.refinery-charge</x:v>
      </x:c>
      <x:c r="K58" s="4" t="str">
        <x:f>IFERROR(INDEX('Crafting recipes'!$C$6:$C$1005,MATCH(J58,'Crafting recipes'!$A$6:$A$1005,0)),"MISSING ID")</x:f>
        <x:v>Contained-content refill</x:v>
      </x:c>
      <x:c r="L58" s="4" t="str">
        <x:f>IFERROR(INDEX('Material routes'!$K$6:$K$2205,MATCH(U58,'Material routes'!$A$6:$A$2205,0)),"MISSING ID")</x:f>
        <x:v>Existing process reference</x:v>
      </x:c>
      <x:c r="M58" s="4" t="str">
        <x:f>IFERROR(INDEX('Material routes'!$M$6:$M$2205,MATCH(U58,'Material routes'!$A$6:$A$2205,0)),"MISSING ID")</x:f>
        <x:v>Documented process reference</x:v>
      </x:c>
      <x:c r="N58" s="4" t="n">
        <x:f>IF(IFERROR(INDEX('Material routes'!$I$6:$I$2205,MATCH(U58,'Material routes'!$A$6:$A$2205,0)),"MISSING ID")=0,"",IFERROR(INDEX('Material routes'!$I$6:$I$2205,MATCH(U58,'Material routes'!$A$6:$A$2205,0)),"MISSING ID"))</x:f>
        <x:v>10</x:v>
      </x:c>
      <x:c r="O58" s="4" t="str">
        <x:f>IFERROR(INDEX('Material routes'!$J$6:$J$2205,MATCH(U58,'Material routes'!$A$6:$A$2205,0)),"MISSING ID")</x:f>
        <x:v>Contained game units</x:v>
      </x:c>
      <x:c r="P58" s="4" t="n">
        <x:f>IF(IFERROR(INDEX('Material routes'!$I$6:$I$2205,MATCH(V58,'Material routes'!$A$6:$A$2205,0)),"MISSING ID")=0,"",IFERROR(INDEX('Material routes'!$I$6:$I$2205,MATCH(V58,'Material routes'!$A$6:$A$2205,0)),"MISSING ID"))</x:f>
        <x:v>1</x:v>
      </x:c>
      <x:c r="Q58" s="4" t="str">
        <x:f>IFERROR(INDEX('Material routes'!$J$6:$J$2205,MATCH(V58,'Material routes'!$A$6:$A$2205,0)),"MISSING ID")</x:f>
        <x:v>Item</x:v>
      </x:c>
      <x:c r="R58" s="4" t="str">
        <x:f>IF(L58="Withheld","Withheld premise",IF(E58="Tool candidate","Reusable prerequisite",IF(K58="Raw entry preparation","Entry-resource preparation",IF(G58="Not applicable",IF(IFERROR(INDEX('Items'!$AI$6:$AI$1005,MATCH(T58,'Items'!$A$6:$A$1005,0)),"MISSING ID")="Finished item","Finished endpoint",IF(IFERROR(INDEX('Items'!$AI$6:$AI$1005,MATCH(T58,'Items'!$A$6:$A$1005,0)),"MISSING ID")="Currency","Currency / no refinement tier","Recovered output / tier not applicable")),IF(OR(IFERROR(INDEX('Crafting recipes'!$H$6:$H$1005,MATCH(J58,'Crafting recipes'!$A$6:$A$1005,0)),"Unassigned")="Unassigned",G58="Unassigned"),"Tier unresolved",IF(IFERROR(VALUE(RIGHT(G58,1))-VALUE(RIGHT(IFERROR(INDEX('Crafting recipes'!$H$6:$H$1005,MATCH(J58,'Crafting recipes'!$A$6:$A$1005,0)),"Unassigned"),1)),0)=1,IF(B58=IFERROR(INDEX('Crafting recipes'!$H$6:$H$1005,MATCH(J58,'Crafting recipes'!$A$6:$A$1005,0)),"Unassigned"),"Advances one material tier","Lower-tier ingredient; route advances one tier"),"Needs tier review"))))))</x:f>
        <x:v>Finished endpoint</x:v>
      </x:c>
      <x:c r="S58" s="4" t="str">
        <x:f>IFERROR(INDEX('Material routes'!$D$6:$D$2205,MATCH(U58,'Material routes'!$A$6:$A$2205,0)),"MISSING ID")</x:f>
        <x:v>resource.airborne_dust</x:v>
      </x:c>
      <x:c r="T58" s="4" t="str">
        <x:f>IFERROR(INDEX('Material routes'!$D$6:$D$2205,MATCH(V58,'Material routes'!$A$6:$A$2205,0)),"MISSING ID")</x:f>
        <x:v>equipment.arc_battery_charged</x:v>
      </x:c>
      <x:c r="U58" s="4" t="str">
        <x:v>source.recipe.line.14</x:v>
      </x:c>
      <x:c r="V58" s="4" t="str">
        <x:v>source.recipe.line.15</x:v>
      </x:c>
    </x:row>
    <x:row r="59" ht="85" customHeight="1">
      <x:c r="A59" s="4" t="str">
        <x:f>IFERROR(INDEX('Material routes'!$E$6:$E$2205,MATCH(U59,'Material routes'!$A$6:$A$2205,0)),"MISSING ID")</x:f>
        <x:v>Iron-rich mineral feed</x:v>
      </x:c>
      <x:c r="B59" s="4" t="str">
        <x:f>IFERROR(INDEX('Material routes'!$F$6:$F$2205,MATCH(U59,'Material routes'!$A$6:$A$2205,0)),"MISSING ID")</x:f>
        <x:v>T1</x:v>
      </x:c>
      <x:c r="C59" s="4" t="str">
        <x:f>IFERROR(INDEX('Material routes'!$H$6:$H$2205,MATCH(U59,'Material routes'!$A$6:$A$2205,0)),"MISSING ID")</x:f>
        <x:v>Processed material</x:v>
      </x:c>
      <x:c r="D59" s="4" t="str">
        <x:f>IFERROR(INDEX('Material routes'!$G$6:$G$2205,MATCH(U59,'Material routes'!$A$6:$A$2205,0)),"MISSING ID")</x:f>
        <x:v>Manufactured stock</x:v>
      </x:c>
      <x:c r="E59" s="4" t="str">
        <x:f>IFERROR(INDEX('Material routes'!$C$6:$C$2205,MATCH(U59,'Material routes'!$A$6:$A$2205,0)),"MISSING ID")</x:f>
        <x:v>Ingredient candidate</x:v>
      </x:c>
      <x:c r="F59" s="4" t="str">
        <x:f>IFERROR(INDEX('Material routes'!$E$6:$E$2205,MATCH(V59,'Material routes'!$A$6:$A$2205,0)),"MISSING ID")</x:f>
        <x:v>Worked iron stock</x:v>
      </x:c>
      <x:c r="G59" s="4" t="str">
        <x:f>IFERROR(INDEX('Material routes'!$F$6:$F$2205,MATCH(V59,'Material routes'!$A$6:$A$2205,0)),"MISSING ID")</x:f>
        <x:v>T2</x:v>
      </x:c>
      <x:c r="H59" s="4" t="str">
        <x:f>IFERROR(INDEX('Material routes'!$H$6:$H$2205,MATCH(V59,'Material routes'!$A$6:$A$2205,0)),"MISSING ID")</x:f>
        <x:v>Processed material</x:v>
      </x:c>
      <x:c r="I59" s="4" t="str">
        <x:f>IFERROR(INDEX('Material routes'!$G$6:$G$2205,MATCH(V59,'Material routes'!$A$6:$A$2205,0)),"MISSING ID")</x:f>
        <x:v>Manufactured stock</x:v>
      </x:c>
      <x:c r="J59" s="4" t="str">
        <x:f>IFERROR(INDEX('Material routes'!$B$6:$B$2205,MATCH(U59,'Material routes'!$A$6:$A$2205,0)),"MISSING ID")</x:f>
        <x:v>outline.resource_chain.7</x:v>
      </x:c>
      <x:c r="K59" s="4" t="str">
        <x:f>IFERROR(INDEX('Crafting recipes'!$C$6:$C$1005,MATCH(J59,'Crafting recipes'!$A$6:$A$1005,0)),"MISSING ID")</x:f>
        <x:v>Material refinement</x:v>
      </x:c>
      <x:c r="L59" s="4" t="str">
        <x:f>IFERROR(INDEX('Material routes'!$K$6:$K$2205,MATCH(U59,'Material routes'!$A$6:$A$2205,0)),"MISSING ID")</x:f>
        <x:v>Concept outline</x:v>
      </x:c>
      <x:c r="M59" s="4" t="str">
        <x:f>IFERROR(INDEX('Material routes'!$M$6:$M$2205,MATCH(U59,'Material routes'!$A$6:$A$2205,0)),"MISSING ID")</x:f>
        <x:v>Concept outline</x:v>
      </x:c>
      <x:c r="N59" s="4" t="str">
        <x:f>IF(IFERROR(INDEX('Material routes'!$I$6:$I$1005,MATCH(U59,'Material routes'!$A$6:$A$1005,0)),"MISSING ID")=0,"",IFERROR(INDEX('Material routes'!$I$6:$I$1005,MATCH(U59,'Material routes'!$A$6:$A$1005,0)),"MISSING ID"))</x:f>
      </x:c>
      <x:c r="O59" s="4" t="str">
        <x:f>IFERROR(INDEX('Material routes'!$J$6:$J$2205,MATCH(U59,'Material routes'!$A$6:$A$2205,0)),"MISSING ID")</x:f>
        <x:v>Unspecified</x:v>
      </x:c>
      <x:c r="P59" s="4" t="str">
        <x:f>IF(IFERROR(INDEX('Material routes'!$I$6:$I$1005,MATCH(V59,'Material routes'!$A$6:$A$1005,0)),"MISSING ID")=0,"",IFERROR(INDEX('Material routes'!$I$6:$I$1005,MATCH(V59,'Material routes'!$A$6:$A$1005,0)),"MISSING ID"))</x:f>
      </x:c>
      <x:c r="Q59" s="4" t="str">
        <x:f>IFERROR(INDEX('Material routes'!$J$6:$J$2205,MATCH(V59,'Material routes'!$A$6:$A$2205,0)),"MISSING ID")</x:f>
        <x:v>Unspecified</x:v>
      </x:c>
      <x:c r="R59" s="4" t="str">
        <x:f>IF(L59="Withheld","Withheld premise",IF(E59="Tool candidate","Reusable prerequisite",IF(K59="Raw entry preparation","Entry-resource preparation",IF(G59="Not applicable",IF(IFERROR(INDEX('Items'!$AI$6:$AI$1005,MATCH(T59,'Items'!$A$6:$A$1005,0)),"MISSING ID")="Finished item","Finished endpoint",IF(IFERROR(INDEX('Items'!$AI$6:$AI$1005,MATCH(T59,'Items'!$A$6:$A$1005,0)),"MISSING ID")="Currency","Currency / no refinement tier","Recovered output / tier not applicable")),IF(OR(IFERROR(INDEX('Crafting recipes'!$H$6:$H$1005,MATCH(J59,'Crafting recipes'!$A$6:$A$1005,0)),"Unassigned")="Unassigned",G59="Unassigned"),"Tier unresolved",IF(IFERROR(VALUE(RIGHT(G59,1))-VALUE(RIGHT(IFERROR(INDEX('Crafting recipes'!$H$6:$H$1005,MATCH(J59,'Crafting recipes'!$A$6:$A$1005,0)),"Unassigned"),1)),0)=1,IF(B59=IFERROR(INDEX('Crafting recipes'!$H$6:$H$1005,MATCH(J59,'Crafting recipes'!$A$6:$A$1005,0)),"Unassigned"),"Advances one material tier","Lower-tier ingredient; route advances one tier"),"Needs tier review"))))))</x:f>
        <x:v>Advances one material tier</x:v>
      </x:c>
      <x:c r="S59" s="4" t="str">
        <x:f>IFERROR(INDEX('Material routes'!$D$6:$D$2205,MATCH(U59,'Material routes'!$A$6:$A$2205,0)),"MISSING ID")</x:f>
        <x:v>proposal.natural.iron_feed</x:v>
      </x:c>
      <x:c r="T59" s="4" t="str">
        <x:f>IFERROR(INDEX('Material routes'!$D$6:$D$2205,MATCH(V59,'Material routes'!$A$6:$A$2205,0)),"MISSING ID")</x:f>
        <x:v>proposal.natural.iron_stock</x:v>
      </x:c>
      <x:c r="U59" s="4" t="str">
        <x:v>outline.input.7</x:v>
      </x:c>
      <x:c r="V59" s="4" t="str">
        <x:v>outline.output.7</x:v>
      </x:c>
    </x:row>
    <x:row r="60" ht="85" customHeight="1">
      <x:c r="A60" s="4" t="str">
        <x:f>IFERROR(INDEX('Material routes'!$E$6:$E$2205,MATCH(U60,'Material routes'!$A$6:$A$2205,0)),"MISSING ID")</x:f>
        <x:v>Silica-rich grit</x:v>
      </x:c>
      <x:c r="B60" s="4" t="str">
        <x:f>IFERROR(INDEX('Material routes'!$F$6:$F$2205,MATCH(U60,'Material routes'!$A$6:$A$2205,0)),"MISSING ID")</x:f>
        <x:v>T0</x:v>
      </x:c>
      <x:c r="C60" s="4" t="str">
        <x:f>IFERROR(INDEX('Material routes'!$H$6:$H$2205,MATCH(U60,'Material routes'!$A$6:$A$2205,0)),"MISSING ID")</x:f>
        <x:v>Raw material</x:v>
      </x:c>
      <x:c r="D60" s="4" t="str">
        <x:f>IFERROR(INDEX('Material routes'!$G$6:$G$2205,MATCH(U60,'Material routes'!$A$6:$A$2205,0)),"MISSING ID")</x:f>
        <x:v>Mineral resources</x:v>
      </x:c>
      <x:c r="E60" s="4" t="str">
        <x:f>IFERROR(INDEX('Material routes'!$C$6:$C$2205,MATCH(U60,'Material routes'!$A$6:$A$2205,0)),"MISSING ID")</x:f>
        <x:v>Ingredient candidate</x:v>
      </x:c>
      <x:c r="F60" s="4" t="str">
        <x:f>IFERROR(INDEX('Material routes'!$E$6:$E$2205,MATCH(V60,'Material routes'!$A$6:$A$2205,0)),"MISSING ID")</x:f>
        <x:v>Graded abrasive grit</x:v>
      </x:c>
      <x:c r="G60" s="4" t="str">
        <x:f>IFERROR(INDEX('Material routes'!$F$6:$F$2205,MATCH(V60,'Material routes'!$A$6:$A$2205,0)),"MISSING ID")</x:f>
        <x:v>T1</x:v>
      </x:c>
      <x:c r="H60" s="4" t="str">
        <x:f>IFERROR(INDEX('Material routes'!$H$6:$H$2205,MATCH(V60,'Material routes'!$A$6:$A$2205,0)),"MISSING ID")</x:f>
        <x:v>Processed material</x:v>
      </x:c>
      <x:c r="I60" s="4" t="str">
        <x:f>IFERROR(INDEX('Material routes'!$G$6:$G$2205,MATCH(V60,'Material routes'!$A$6:$A$2205,0)),"MISSING ID")</x:f>
        <x:v>Manufactured stock</x:v>
      </x:c>
      <x:c r="J60" s="4" t="str">
        <x:f>IFERROR(INDEX('Material routes'!$B$6:$B$2205,MATCH(U60,'Material routes'!$A$6:$A$2205,0)),"MISSING ID")</x:f>
        <x:v>outline.resource_chain.8</x:v>
      </x:c>
      <x:c r="K60" s="4" t="str">
        <x:f>IFERROR(INDEX('Crafting recipes'!$C$6:$C$1005,MATCH(J60,'Crafting recipes'!$A$6:$A$1005,0)),"MISSING ID")</x:f>
        <x:v>Material refinement</x:v>
      </x:c>
      <x:c r="L60" s="4" t="str">
        <x:f>IFERROR(INDEX('Material routes'!$K$6:$K$2205,MATCH(U60,'Material routes'!$A$6:$A$2205,0)),"MISSING ID")</x:f>
        <x:v>Concept outline</x:v>
      </x:c>
      <x:c r="M60" s="4" t="str">
        <x:f>IFERROR(INDEX('Material routes'!$M$6:$M$2205,MATCH(U60,'Material routes'!$A$6:$A$2205,0)),"MISSING ID")</x:f>
        <x:v>Concept outline</x:v>
      </x:c>
      <x:c r="N60" s="4" t="str">
        <x:f>IF(IFERROR(INDEX('Material routes'!$I$6:$I$1005,MATCH(U60,'Material routes'!$A$6:$A$1005,0)),"MISSING ID")=0,"",IFERROR(INDEX('Material routes'!$I$6:$I$1005,MATCH(U60,'Material routes'!$A$6:$A$1005,0)),"MISSING ID"))</x:f>
      </x:c>
      <x:c r="O60" s="4" t="str">
        <x:f>IFERROR(INDEX('Material routes'!$J$6:$J$2205,MATCH(U60,'Material routes'!$A$6:$A$2205,0)),"MISSING ID")</x:f>
        <x:v>Unspecified</x:v>
      </x:c>
      <x:c r="P60" s="4" t="str">
        <x:f>IF(IFERROR(INDEX('Material routes'!$I$6:$I$1005,MATCH(V60,'Material routes'!$A$6:$A$1005,0)),"MISSING ID")=0,"",IFERROR(INDEX('Material routes'!$I$6:$I$1005,MATCH(V60,'Material routes'!$A$6:$A$1005,0)),"MISSING ID"))</x:f>
      </x:c>
      <x:c r="Q60" s="4" t="str">
        <x:f>IFERROR(INDEX('Material routes'!$J$6:$J$2205,MATCH(V60,'Material routes'!$A$6:$A$2205,0)),"MISSING ID")</x:f>
        <x:v>Unspecified</x:v>
      </x:c>
      <x:c r="R60" s="4" t="str">
        <x:f>IF(L60="Withheld","Withheld premise",IF(E60="Tool candidate","Reusable prerequisite",IF(K60="Raw entry preparation","Entry-resource preparation",IF(G60="Not applicable",IF(IFERROR(INDEX('Items'!$AI$6:$AI$1005,MATCH(T60,'Items'!$A$6:$A$1005,0)),"MISSING ID")="Finished item","Finished endpoint",IF(IFERROR(INDEX('Items'!$AI$6:$AI$1005,MATCH(T60,'Items'!$A$6:$A$1005,0)),"MISSING ID")="Currency","Currency / no refinement tier","Recovered output / tier not applicable")),IF(OR(IFERROR(INDEX('Crafting recipes'!$H$6:$H$1005,MATCH(J60,'Crafting recipes'!$A$6:$A$1005,0)),"Unassigned")="Unassigned",G60="Unassigned"),"Tier unresolved",IF(IFERROR(VALUE(RIGHT(G60,1))-VALUE(RIGHT(IFERROR(INDEX('Crafting recipes'!$H$6:$H$1005,MATCH(J60,'Crafting recipes'!$A$6:$A$1005,0)),"Unassigned"),1)),0)=1,IF(B60=IFERROR(INDEX('Crafting recipes'!$H$6:$H$1005,MATCH(J60,'Crafting recipes'!$A$6:$A$1005,0)),"Unassigned"),"Advances one material tier","Lower-tier ingredient; route advances one tier"),"Needs tier review"))))))</x:f>
        <x:v>Advances one material tier</x:v>
      </x:c>
      <x:c r="S60" s="4" t="str">
        <x:f>IFERROR(INDEX('Material routes'!$D$6:$D$2205,MATCH(U60,'Material routes'!$A$6:$A$2205,0)),"MISSING ID")</x:f>
        <x:v>proposal.natural.silica</x:v>
      </x:c>
      <x:c r="T60" s="4" t="str">
        <x:f>IFERROR(INDEX('Material routes'!$D$6:$D$2205,MATCH(V60,'Material routes'!$A$6:$A$2205,0)),"MISSING ID")</x:f>
        <x:v>proposal.natural.abrasive</x:v>
      </x:c>
      <x:c r="U60" s="4" t="str">
        <x:v>outline.input.8</x:v>
      </x:c>
      <x:c r="V60" s="4" t="str">
        <x:v>outline.output.8</x:v>
      </x:c>
    </x:row>
    <x:row r="61" ht="85" customHeight="1">
      <x:c r="A61" s="4" t="str">
        <x:f>IFERROR(INDEX('Material routes'!$E$6:$E$2205,MATCH(U61,'Material routes'!$A$6:$A$2205,0)),"MISSING ID")</x:f>
        <x:v>Alumina-rich rock</x:v>
      </x:c>
      <x:c r="B61" s="4" t="str">
        <x:f>IFERROR(INDEX('Material routes'!$F$6:$F$2205,MATCH(U61,'Material routes'!$A$6:$A$2205,0)),"MISSING ID")</x:f>
        <x:v>T0</x:v>
      </x:c>
      <x:c r="C61" s="4" t="str">
        <x:f>IFERROR(INDEX('Material routes'!$H$6:$H$2205,MATCH(U61,'Material routes'!$A$6:$A$2205,0)),"MISSING ID")</x:f>
        <x:v>Raw material</x:v>
      </x:c>
      <x:c r="D61" s="4" t="str">
        <x:f>IFERROR(INDEX('Material routes'!$G$6:$G$2205,MATCH(U61,'Material routes'!$A$6:$A$2205,0)),"MISSING ID")</x:f>
        <x:v>Mineral resources</x:v>
      </x:c>
      <x:c r="E61" s="4" t="str">
        <x:f>IFERROR(INDEX('Material routes'!$C$6:$C$2205,MATCH(U61,'Material routes'!$A$6:$A$2205,0)),"MISSING ID")</x:f>
        <x:v>Ingredient candidate</x:v>
      </x:c>
      <x:c r="F61" s="4" t="str">
        <x:f>IFERROR(INDEX('Material routes'!$E$6:$E$2205,MATCH(V61,'Material routes'!$A$6:$A$2205,0)),"MISSING ID")</x:f>
        <x:v>Insulating ceramic blanks</x:v>
      </x:c>
      <x:c r="G61" s="4" t="str">
        <x:f>IFERROR(INDEX('Material routes'!$F$6:$F$2205,MATCH(V61,'Material routes'!$A$6:$A$2205,0)),"MISSING ID")</x:f>
        <x:v>T2</x:v>
      </x:c>
      <x:c r="H61" s="4" t="str">
        <x:f>IFERROR(INDEX('Material routes'!$H$6:$H$2205,MATCH(V61,'Material routes'!$A$6:$A$2205,0)),"MISSING ID")</x:f>
        <x:v>Processed material</x:v>
      </x:c>
      <x:c r="I61" s="4" t="str">
        <x:f>IFERROR(INDEX('Material routes'!$G$6:$G$2205,MATCH(V61,'Material routes'!$A$6:$A$2205,0)),"MISSING ID")</x:f>
        <x:v>Manufactured stock</x:v>
      </x:c>
      <x:c r="J61" s="4" t="str">
        <x:f>IFERROR(INDEX('Material routes'!$B$6:$B$2205,MATCH(U61,'Material routes'!$A$6:$A$2205,0)),"MISSING ID")</x:f>
        <x:v>outline.resource_chain.9</x:v>
      </x:c>
      <x:c r="K61" s="4" t="str">
        <x:f>IFERROR(INDEX('Crafting recipes'!$C$6:$C$1005,MATCH(J61,'Crafting recipes'!$A$6:$A$1005,0)),"MISSING ID")</x:f>
        <x:v>Material refinement</x:v>
      </x:c>
      <x:c r="L61" s="4" t="str">
        <x:f>IFERROR(INDEX('Material routes'!$K$6:$K$2205,MATCH(U61,'Material routes'!$A$6:$A$2205,0)),"MISSING ID")</x:f>
        <x:v>Needs tier review</x:v>
      </x:c>
      <x:c r="M61" s="4" t="str">
        <x:f>IFERROR(INDEX('Material routes'!$M$6:$M$2205,MATCH(U61,'Material routes'!$A$6:$A$2205,0)),"MISSING ID")</x:f>
        <x:v>Concept outline</x:v>
      </x:c>
      <x:c r="N61" s="4" t="str">
        <x:f>IF(IFERROR(INDEX('Material routes'!$I$6:$I$1005,MATCH(U61,'Material routes'!$A$6:$A$1005,0)),"MISSING ID")=0,"",IFERROR(INDEX('Material routes'!$I$6:$I$1005,MATCH(U61,'Material routes'!$A$6:$A$1005,0)),"MISSING ID"))</x:f>
      </x:c>
      <x:c r="O61" s="4" t="str">
        <x:f>IFERROR(INDEX('Material routes'!$J$6:$J$2205,MATCH(U61,'Material routes'!$A$6:$A$2205,0)),"MISSING ID")</x:f>
        <x:v>Unspecified</x:v>
      </x:c>
      <x:c r="P61" s="4" t="str">
        <x:f>IF(IFERROR(INDEX('Material routes'!$I$6:$I$1005,MATCH(V61,'Material routes'!$A$6:$A$1005,0)),"MISSING ID")=0,"",IFERROR(INDEX('Material routes'!$I$6:$I$1005,MATCH(V61,'Material routes'!$A$6:$A$1005,0)),"MISSING ID"))</x:f>
      </x:c>
      <x:c r="Q61" s="4" t="str">
        <x:f>IFERROR(INDEX('Material routes'!$J$6:$J$2205,MATCH(V61,'Material routes'!$A$6:$A$2205,0)),"MISSING ID")</x:f>
        <x:v>Unspecified</x:v>
      </x:c>
      <x:c r="R61" s="4" t="str">
        <x:f>IF(L61="Withheld","Withheld premise",IF(E61="Tool candidate","Reusable prerequisite",IF(K61="Raw entry preparation","Entry-resource preparation",IF(G61="Not applicable",IF(IFERROR(INDEX('Items'!$AI$6:$AI$1005,MATCH(T61,'Items'!$A$6:$A$1005,0)),"MISSING ID")="Finished item","Finished endpoint",IF(IFERROR(INDEX('Items'!$AI$6:$AI$1005,MATCH(T61,'Items'!$A$6:$A$1005,0)),"MISSING ID")="Currency","Currency / no refinement tier","Recovered output / tier not applicable")),IF(OR(IFERROR(INDEX('Crafting recipes'!$H$6:$H$1005,MATCH(J61,'Crafting recipes'!$A$6:$A$1005,0)),"Unassigned")="Unassigned",G61="Unassigned"),"Tier unresolved",IF(IFERROR(VALUE(RIGHT(G61,1))-VALUE(RIGHT(IFERROR(INDEX('Crafting recipes'!$H$6:$H$1005,MATCH(J61,'Crafting recipes'!$A$6:$A$1005,0)),"Unassigned"),1)),0)=1,IF(B61=IFERROR(INDEX('Crafting recipes'!$H$6:$H$1005,MATCH(J61,'Crafting recipes'!$A$6:$A$1005,0)),"Unassigned"),"Advances one material tier","Lower-tier ingredient; route advances one tier"),"Needs tier review"))))))</x:f>
        <x:v>Needs tier review</x:v>
      </x:c>
      <x:c r="S61" s="4" t="str">
        <x:f>IFERROR(INDEX('Material routes'!$D$6:$D$2205,MATCH(U61,'Material routes'!$A$6:$A$2205,0)),"MISSING ID")</x:f>
        <x:v>proposal.natural.alumina</x:v>
      </x:c>
      <x:c r="T61" s="4" t="str">
        <x:f>IFERROR(INDEX('Material routes'!$D$6:$D$2205,MATCH(V61,'Material routes'!$A$6:$A$2205,0)),"MISSING ID")</x:f>
        <x:v>proposal.natural.ceramic</x:v>
      </x:c>
      <x:c r="U61" s="4" t="str">
        <x:v>outline.input.9</x:v>
      </x:c>
      <x:c r="V61" s="4" t="str">
        <x:v>outline.output.9</x:v>
      </x:c>
    </x:row>
    <x:row r="62" ht="85" customHeight="1">
      <x:c r="A62" s="4" t="str">
        <x:f>IFERROR(INDEX('Material routes'!$E$6:$E$2205,MATCH(U62,'Material routes'!$A$6:$A$2205,0)),"MISSING ID")</x:f>
        <x:v>Shell husks / shed plates</x:v>
      </x:c>
      <x:c r="B62" s="4" t="str">
        <x:f>IFERROR(INDEX('Material routes'!$F$6:$F$2205,MATCH(U62,'Material routes'!$A$6:$A$2205,0)),"MISSING ID")</x:f>
        <x:v>T0</x:v>
      </x:c>
      <x:c r="C62" s="4" t="str">
        <x:f>IFERROR(INDEX('Material routes'!$H$6:$H$2205,MATCH(U62,'Material routes'!$A$6:$A$2205,0)),"MISSING ID")</x:f>
        <x:v>Raw material</x:v>
      </x:c>
      <x:c r="D62" s="4" t="str">
        <x:f>IFERROR(INDEX('Material routes'!$G$6:$G$2205,MATCH(U62,'Material routes'!$A$6:$A$2205,0)),"MISSING ID")</x:f>
        <x:v>Biological resources</x:v>
      </x:c>
      <x:c r="E62" s="4" t="str">
        <x:f>IFERROR(INDEX('Material routes'!$C$6:$C$2205,MATCH(U62,'Material routes'!$A$6:$A$2205,0)),"MISSING ID")</x:f>
        <x:v>Ingredient candidate</x:v>
      </x:c>
      <x:c r="F62" s="4" t="str">
        <x:f>IFERROR(INDEX('Material routes'!$E$6:$E$2205,MATCH(V62,'Material routes'!$A$6:$A$2205,0)),"MISSING ID")</x:f>
        <x:v>Shell laminate</x:v>
      </x:c>
      <x:c r="G62" s="4" t="str">
        <x:f>IFERROR(INDEX('Material routes'!$F$6:$F$2205,MATCH(V62,'Material routes'!$A$6:$A$2205,0)),"MISSING ID")</x:f>
        <x:v>T2</x:v>
      </x:c>
      <x:c r="H62" s="4" t="str">
        <x:f>IFERROR(INDEX('Material routes'!$H$6:$H$2205,MATCH(V62,'Material routes'!$A$6:$A$2205,0)),"MISSING ID")</x:f>
        <x:v>Crafting component</x:v>
      </x:c>
      <x:c r="I62" s="4" t="str">
        <x:f>IFERROR(INDEX('Material routes'!$G$6:$G$2205,MATCH(V62,'Material routes'!$A$6:$A$2205,0)),"MISSING ID")</x:f>
        <x:v>Crafting components</x:v>
      </x:c>
      <x:c r="J62" s="4" t="str">
        <x:f>IFERROR(INDEX('Material routes'!$B$6:$B$2205,MATCH(U62,'Material routes'!$A$6:$A$2205,0)),"MISSING ID")</x:f>
        <x:v>outline.resource_chain.12</x:v>
      </x:c>
      <x:c r="K62" s="4" t="str">
        <x:f>IFERROR(INDEX('Crafting recipes'!$C$6:$C$1005,MATCH(J62,'Crafting recipes'!$A$6:$A$1005,0)),"MISSING ID")</x:f>
        <x:v>Material refinement</x:v>
      </x:c>
      <x:c r="L62" s="4" t="str">
        <x:f>IFERROR(INDEX('Material routes'!$K$6:$K$2205,MATCH(U62,'Material routes'!$A$6:$A$2205,0)),"MISSING ID")</x:f>
        <x:v>Needs tier review</x:v>
      </x:c>
      <x:c r="M62" s="4" t="str">
        <x:f>IFERROR(INDEX('Material routes'!$M$6:$M$2205,MATCH(U62,'Material routes'!$A$6:$A$2205,0)),"MISSING ID")</x:f>
        <x:v>Concept outline</x:v>
      </x:c>
      <x:c r="N62" s="4" t="str">
        <x:f>IF(IFERROR(INDEX('Material routes'!$I$6:$I$1005,MATCH(U62,'Material routes'!$A$6:$A$1005,0)),"MISSING ID")=0,"",IFERROR(INDEX('Material routes'!$I$6:$I$1005,MATCH(U62,'Material routes'!$A$6:$A$1005,0)),"MISSING ID"))</x:f>
      </x:c>
      <x:c r="O62" s="4" t="str">
        <x:f>IFERROR(INDEX('Material routes'!$J$6:$J$2205,MATCH(U62,'Material routes'!$A$6:$A$2205,0)),"MISSING ID")</x:f>
        <x:v>Unspecified</x:v>
      </x:c>
      <x:c r="P62" s="4" t="str">
        <x:f>IF(IFERROR(INDEX('Material routes'!$I$6:$I$1005,MATCH(V62,'Material routes'!$A$6:$A$1005,0)),"MISSING ID")=0,"",IFERROR(INDEX('Material routes'!$I$6:$I$1005,MATCH(V62,'Material routes'!$A$6:$A$1005,0)),"MISSING ID"))</x:f>
      </x:c>
      <x:c r="Q62" s="4" t="str">
        <x:f>IFERROR(INDEX('Material routes'!$J$6:$J$2205,MATCH(V62,'Material routes'!$A$6:$A$2205,0)),"MISSING ID")</x:f>
        <x:v>Unspecified</x:v>
      </x:c>
      <x:c r="R62" s="4" t="str">
        <x:f>IF(L62="Withheld","Withheld premise",IF(E62="Tool candidate","Reusable prerequisite",IF(K62="Raw entry preparation","Entry-resource preparation",IF(G62="Not applicable",IF(IFERROR(INDEX('Items'!$AI$6:$AI$1005,MATCH(T62,'Items'!$A$6:$A$1005,0)),"MISSING ID")="Finished item","Finished endpoint",IF(IFERROR(INDEX('Items'!$AI$6:$AI$1005,MATCH(T62,'Items'!$A$6:$A$1005,0)),"MISSING ID")="Currency","Currency / no refinement tier","Recovered output / tier not applicable")),IF(OR(IFERROR(INDEX('Crafting recipes'!$H$6:$H$1005,MATCH(J62,'Crafting recipes'!$A$6:$A$1005,0)),"Unassigned")="Unassigned",G62="Unassigned"),"Tier unresolved",IF(IFERROR(VALUE(RIGHT(G62,1))-VALUE(RIGHT(IFERROR(INDEX('Crafting recipes'!$H$6:$H$1005,MATCH(J62,'Crafting recipes'!$A$6:$A$1005,0)),"Unassigned"),1)),0)=1,IF(B62=IFERROR(INDEX('Crafting recipes'!$H$6:$H$1005,MATCH(J62,'Crafting recipes'!$A$6:$A$1005,0)),"Unassigned"),"Advances one material tier","Lower-tier ingredient; route advances one tier"),"Needs tier review"))))))</x:f>
        <x:v>Needs tier review</x:v>
      </x:c>
      <x:c r="S62" s="4" t="str">
        <x:f>IFERROR(INDEX('Material routes'!$D$6:$D$2205,MATCH(U62,'Material routes'!$A$6:$A$2205,0)),"MISSING ID")</x:f>
        <x:v>proposal.bio.shell</x:v>
      </x:c>
      <x:c r="T62" s="4" t="str">
        <x:f>IFERROR(INDEX('Material routes'!$D$6:$D$2205,MATCH(V62,'Material routes'!$A$6:$A$2205,0)),"MISSING ID")</x:f>
        <x:v>proposal.bio.laminate</x:v>
      </x:c>
      <x:c r="U62" s="4" t="str">
        <x:v>outline.input.12</x:v>
      </x:c>
      <x:c r="V62" s="4" t="str">
        <x:v>outline.output.12</x:v>
      </x:c>
    </x:row>
    <x:row r="63" ht="85" customHeight="1">
      <x:c r="A63" s="4" t="str">
        <x:f>IFERROR(INDEX('Material routes'!$E$6:$E$2205,MATCH(U63,'Material routes'!$A$6:$A$2205,0)),"MISSING ID")</x:f>
        <x:v>Coarse sensory bristles</x:v>
      </x:c>
      <x:c r="B63" s="4" t="str">
        <x:f>IFERROR(INDEX('Material routes'!$F$6:$F$2205,MATCH(U63,'Material routes'!$A$6:$A$2205,0)),"MISSING ID")</x:f>
        <x:v>T0</x:v>
      </x:c>
      <x:c r="C63" s="4" t="str">
        <x:f>IFERROR(INDEX('Material routes'!$H$6:$H$2205,MATCH(U63,'Material routes'!$A$6:$A$2205,0)),"MISSING ID")</x:f>
        <x:v>Raw material</x:v>
      </x:c>
      <x:c r="D63" s="4" t="str">
        <x:f>IFERROR(INDEX('Material routes'!$G$6:$G$2205,MATCH(U63,'Material routes'!$A$6:$A$2205,0)),"MISSING ID")</x:f>
        <x:v>Biological resources</x:v>
      </x:c>
      <x:c r="E63" s="4" t="str">
        <x:f>IFERROR(INDEX('Material routes'!$C$6:$C$2205,MATCH(U63,'Material routes'!$A$6:$A$2205,0)),"MISSING ID")</x:f>
        <x:v>Ingredient candidate</x:v>
      </x:c>
      <x:c r="F63" s="4" t="str">
        <x:f>IFERROR(INDEX('Material routes'!$E$6:$E$2205,MATCH(V63,'Material routes'!$A$6:$A$2205,0)),"MISSING ID")</x:f>
        <x:v>Bristle brush strips</x:v>
      </x:c>
      <x:c r="G63" s="4" t="str">
        <x:f>IFERROR(INDEX('Material routes'!$F$6:$F$2205,MATCH(V63,'Material routes'!$A$6:$A$2205,0)),"MISSING ID")</x:f>
        <x:v>T2</x:v>
      </x:c>
      <x:c r="H63" s="4" t="str">
        <x:f>IFERROR(INDEX('Material routes'!$H$6:$H$2205,MATCH(V63,'Material routes'!$A$6:$A$2205,0)),"MISSING ID")</x:f>
        <x:v>Crafting component</x:v>
      </x:c>
      <x:c r="I63" s="4" t="str">
        <x:f>IFERROR(INDEX('Material routes'!$G$6:$G$2205,MATCH(V63,'Material routes'!$A$6:$A$2205,0)),"MISSING ID")</x:f>
        <x:v>Crafting components</x:v>
      </x:c>
      <x:c r="J63" s="4" t="str">
        <x:f>IFERROR(INDEX('Material routes'!$B$6:$B$2205,MATCH(U63,'Material routes'!$A$6:$A$2205,0)),"MISSING ID")</x:f>
        <x:v>outline.resource_chain.14</x:v>
      </x:c>
      <x:c r="K63" s="4" t="str">
        <x:f>IFERROR(INDEX('Crafting recipes'!$C$6:$C$1005,MATCH(J63,'Crafting recipes'!$A$6:$A$1005,0)),"MISSING ID")</x:f>
        <x:v>Material refinement</x:v>
      </x:c>
      <x:c r="L63" s="4" t="str">
        <x:f>IFERROR(INDEX('Material routes'!$K$6:$K$2205,MATCH(U63,'Material routes'!$A$6:$A$2205,0)),"MISSING ID")</x:f>
        <x:v>Needs tier review</x:v>
      </x:c>
      <x:c r="M63" s="4" t="str">
        <x:f>IFERROR(INDEX('Material routes'!$M$6:$M$2205,MATCH(U63,'Material routes'!$A$6:$A$2205,0)),"MISSING ID")</x:f>
        <x:v>Concept outline</x:v>
      </x:c>
      <x:c r="N63" s="4" t="str">
        <x:f>IF(IFERROR(INDEX('Material routes'!$I$6:$I$1005,MATCH(U63,'Material routes'!$A$6:$A$1005,0)),"MISSING ID")=0,"",IFERROR(INDEX('Material routes'!$I$6:$I$1005,MATCH(U63,'Material routes'!$A$6:$A$1005,0)),"MISSING ID"))</x:f>
      </x:c>
      <x:c r="O63" s="4" t="str">
        <x:f>IFERROR(INDEX('Material routes'!$J$6:$J$2205,MATCH(U63,'Material routes'!$A$6:$A$2205,0)),"MISSING ID")</x:f>
        <x:v>Unspecified</x:v>
      </x:c>
      <x:c r="P63" s="4" t="str">
        <x:f>IF(IFERROR(INDEX('Material routes'!$I$6:$I$1005,MATCH(V63,'Material routes'!$A$6:$A$1005,0)),"MISSING ID")=0,"",IFERROR(INDEX('Material routes'!$I$6:$I$1005,MATCH(V63,'Material routes'!$A$6:$A$1005,0)),"MISSING ID"))</x:f>
      </x:c>
      <x:c r="Q63" s="4" t="str">
        <x:f>IFERROR(INDEX('Material routes'!$J$6:$J$2205,MATCH(V63,'Material routes'!$A$6:$A$2205,0)),"MISSING ID")</x:f>
        <x:v>Unspecified</x:v>
      </x:c>
      <x:c r="R63" s="4" t="str">
        <x:f>IF(L63="Withheld","Withheld premise",IF(E63="Tool candidate","Reusable prerequisite",IF(K63="Raw entry preparation","Entry-resource preparation",IF(G63="Not applicable",IF(IFERROR(INDEX('Items'!$AI$6:$AI$1005,MATCH(T63,'Items'!$A$6:$A$1005,0)),"MISSING ID")="Finished item","Finished endpoint",IF(IFERROR(INDEX('Items'!$AI$6:$AI$1005,MATCH(T63,'Items'!$A$6:$A$1005,0)),"MISSING ID")="Currency","Currency / no refinement tier","Recovered output / tier not applicable")),IF(OR(IFERROR(INDEX('Crafting recipes'!$H$6:$H$1005,MATCH(J63,'Crafting recipes'!$A$6:$A$1005,0)),"Unassigned")="Unassigned",G63="Unassigned"),"Tier unresolved",IF(IFERROR(VALUE(RIGHT(G63,1))-VALUE(RIGHT(IFERROR(INDEX('Crafting recipes'!$H$6:$H$1005,MATCH(J63,'Crafting recipes'!$A$6:$A$1005,0)),"Unassigned"),1)),0)=1,IF(B63=IFERROR(INDEX('Crafting recipes'!$H$6:$H$1005,MATCH(J63,'Crafting recipes'!$A$6:$A$1005,0)),"Unassigned"),"Advances one material tier","Lower-tier ingredient; route advances one tier"),"Needs tier review"))))))</x:f>
        <x:v>Needs tier review</x:v>
      </x:c>
      <x:c r="S63" s="4" t="str">
        <x:f>IFERROR(INDEX('Material routes'!$D$6:$D$2205,MATCH(U63,'Material routes'!$A$6:$A$2205,0)),"MISSING ID")</x:f>
        <x:v>proposal.bio.bristles</x:v>
      </x:c>
      <x:c r="T63" s="4" t="str">
        <x:f>IFERROR(INDEX('Material routes'!$D$6:$D$2205,MATCH(V63,'Material routes'!$A$6:$A$2205,0)),"MISSING ID")</x:f>
        <x:v>proposal.bio.brush</x:v>
      </x:c>
      <x:c r="U63" s="4" t="str">
        <x:v>outline.input.14</x:v>
      </x:c>
      <x:c r="V63" s="4" t="str">
        <x:v>outline.output.14</x:v>
      </x:c>
    </x:row>
    <x:row r="64" ht="85" customHeight="1">
      <x:c r="A64" s="4" t="str">
        <x:f>IFERROR(INDEX('Material routes'!$E$6:$E$2205,MATCH(U64,'Material routes'!$A$6:$A$2205,0)),"MISSING ID")</x:f>
        <x:v>Dense jaw plates</x:v>
      </x:c>
      <x:c r="B64" s="4" t="str">
        <x:f>IFERROR(INDEX('Material routes'!$F$6:$F$2205,MATCH(U64,'Material routes'!$A$6:$A$2205,0)),"MISSING ID")</x:f>
        <x:v>T0</x:v>
      </x:c>
      <x:c r="C64" s="4" t="str">
        <x:f>IFERROR(INDEX('Material routes'!$H$6:$H$2205,MATCH(U64,'Material routes'!$A$6:$A$2205,0)),"MISSING ID")</x:f>
        <x:v>Raw material</x:v>
      </x:c>
      <x:c r="D64" s="4" t="str">
        <x:f>IFERROR(INDEX('Material routes'!$G$6:$G$2205,MATCH(U64,'Material routes'!$A$6:$A$2205,0)),"MISSING ID")</x:f>
        <x:v>Biological resources</x:v>
      </x:c>
      <x:c r="E64" s="4" t="str">
        <x:f>IFERROR(INDEX('Material routes'!$C$6:$C$2205,MATCH(U64,'Material routes'!$A$6:$A$2205,0)),"MISSING ID")</x:f>
        <x:v>Ingredient candidate</x:v>
      </x:c>
      <x:c r="F64" s="4" t="str">
        <x:f>IFERROR(INDEX('Material routes'!$E$6:$E$2205,MATCH(V64,'Material routes'!$A$6:$A$2205,0)),"MISSING ID")</x:f>
        <x:v>Jaw cutting insert</x:v>
      </x:c>
      <x:c r="G64" s="4" t="str">
        <x:f>IFERROR(INDEX('Material routes'!$F$6:$F$2205,MATCH(V64,'Material routes'!$A$6:$A$2205,0)),"MISSING ID")</x:f>
        <x:v>T2</x:v>
      </x:c>
      <x:c r="H64" s="4" t="str">
        <x:f>IFERROR(INDEX('Material routes'!$H$6:$H$2205,MATCH(V64,'Material routes'!$A$6:$A$2205,0)),"MISSING ID")</x:f>
        <x:v>Crafting component</x:v>
      </x:c>
      <x:c r="I64" s="4" t="str">
        <x:f>IFERROR(INDEX('Material routes'!$G$6:$G$2205,MATCH(V64,'Material routes'!$A$6:$A$2205,0)),"MISSING ID")</x:f>
        <x:v>Crafting components</x:v>
      </x:c>
      <x:c r="J64" s="4" t="str">
        <x:f>IFERROR(INDEX('Material routes'!$B$6:$B$2205,MATCH(U64,'Material routes'!$A$6:$A$2205,0)),"MISSING ID")</x:f>
        <x:v>outline.resource_chain.16</x:v>
      </x:c>
      <x:c r="K64" s="4" t="str">
        <x:f>IFERROR(INDEX('Crafting recipes'!$C$6:$C$1005,MATCH(J64,'Crafting recipes'!$A$6:$A$1005,0)),"MISSING ID")</x:f>
        <x:v>Material refinement</x:v>
      </x:c>
      <x:c r="L64" s="4" t="str">
        <x:f>IFERROR(INDEX('Material routes'!$K$6:$K$2205,MATCH(U64,'Material routes'!$A$6:$A$2205,0)),"MISSING ID")</x:f>
        <x:v>Needs tier review</x:v>
      </x:c>
      <x:c r="M64" s="4" t="str">
        <x:f>IFERROR(INDEX('Material routes'!$M$6:$M$2205,MATCH(U64,'Material routes'!$A$6:$A$2205,0)),"MISSING ID")</x:f>
        <x:v>Concept outline</x:v>
      </x:c>
      <x:c r="N64" s="4" t="str">
        <x:f>IF(IFERROR(INDEX('Material routes'!$I$6:$I$1005,MATCH(U64,'Material routes'!$A$6:$A$1005,0)),"MISSING ID")=0,"",IFERROR(INDEX('Material routes'!$I$6:$I$1005,MATCH(U64,'Material routes'!$A$6:$A$1005,0)),"MISSING ID"))</x:f>
      </x:c>
      <x:c r="O64" s="4" t="str">
        <x:f>IFERROR(INDEX('Material routes'!$J$6:$J$2205,MATCH(U64,'Material routes'!$A$6:$A$2205,0)),"MISSING ID")</x:f>
        <x:v>Unspecified</x:v>
      </x:c>
      <x:c r="P64" s="4" t="str">
        <x:f>IF(IFERROR(INDEX('Material routes'!$I$6:$I$1005,MATCH(V64,'Material routes'!$A$6:$A$1005,0)),"MISSING ID")=0,"",IFERROR(INDEX('Material routes'!$I$6:$I$1005,MATCH(V64,'Material routes'!$A$6:$A$1005,0)),"MISSING ID"))</x:f>
      </x:c>
      <x:c r="Q64" s="4" t="str">
        <x:f>IFERROR(INDEX('Material routes'!$J$6:$J$2205,MATCH(V64,'Material routes'!$A$6:$A$2205,0)),"MISSING ID")</x:f>
        <x:v>Unspecified</x:v>
      </x:c>
      <x:c r="R64" s="4" t="str">
        <x:f>IF(L64="Withheld","Withheld premise",IF(E64="Tool candidate","Reusable prerequisite",IF(K64="Raw entry preparation","Entry-resource preparation",IF(G64="Not applicable",IF(IFERROR(INDEX('Items'!$AI$6:$AI$1005,MATCH(T64,'Items'!$A$6:$A$1005,0)),"MISSING ID")="Finished item","Finished endpoint",IF(IFERROR(INDEX('Items'!$AI$6:$AI$1005,MATCH(T64,'Items'!$A$6:$A$1005,0)),"MISSING ID")="Currency","Currency / no refinement tier","Recovered output / tier not applicable")),IF(OR(IFERROR(INDEX('Crafting recipes'!$H$6:$H$1005,MATCH(J64,'Crafting recipes'!$A$6:$A$1005,0)),"Unassigned")="Unassigned",G64="Unassigned"),"Tier unresolved",IF(IFERROR(VALUE(RIGHT(G64,1))-VALUE(RIGHT(IFERROR(INDEX('Crafting recipes'!$H$6:$H$1005,MATCH(J64,'Crafting recipes'!$A$6:$A$1005,0)),"Unassigned"),1)),0)=1,IF(B64=IFERROR(INDEX('Crafting recipes'!$H$6:$H$1005,MATCH(J64,'Crafting recipes'!$A$6:$A$1005,0)),"Unassigned"),"Advances one material tier","Lower-tier ingredient; route advances one tier"),"Needs tier review"))))))</x:f>
        <x:v>Needs tier review</x:v>
      </x:c>
      <x:c r="S64" s="4" t="str">
        <x:f>IFERROR(INDEX('Material routes'!$D$6:$D$2205,MATCH(U64,'Material routes'!$A$6:$A$2205,0)),"MISSING ID")</x:f>
        <x:v>proposal.bio.jaw</x:v>
      </x:c>
      <x:c r="T64" s="4" t="str">
        <x:f>IFERROR(INDEX('Material routes'!$D$6:$D$2205,MATCH(V64,'Material routes'!$A$6:$A$2205,0)),"MISSING ID")</x:f>
        <x:v>proposal.bio.insert</x:v>
      </x:c>
      <x:c r="U64" s="4" t="str">
        <x:v>outline.input.16</x:v>
      </x:c>
      <x:c r="V64" s="4" t="str">
        <x:v>outline.output.16</x:v>
      </x:c>
    </x:row>
    <x:row r="65" ht="85" customHeight="1">
      <x:c r="A65" s="4" t="str">
        <x:f>IFERROR(INDEX('Material routes'!$E$6:$E$2205,MATCH(U65,'Material routes'!$A$6:$A$2205,0)),"MISSING ID")</x:f>
        <x:v>Unverified fat-like tissue concept</x:v>
      </x:c>
      <x:c r="B65" s="4" t="str">
        <x:f>IFERROR(INDEX('Material routes'!$F$6:$F$2205,MATCH(U65,'Material routes'!$A$6:$A$2205,0)),"MISSING ID")</x:f>
        <x:v>Unassigned</x:v>
      </x:c>
      <x:c r="C65" s="4" t="str">
        <x:f>IFERROR(INDEX('Material routes'!$H$6:$H$2205,MATCH(U65,'Material routes'!$A$6:$A$2205,0)),"MISSING ID")</x:f>
        <x:v>Raw material</x:v>
      </x:c>
      <x:c r="D65" s="4" t="str">
        <x:f>IFERROR(INDEX('Material routes'!$G$6:$G$2205,MATCH(U65,'Material routes'!$A$6:$A$2205,0)),"MISSING ID")</x:f>
        <x:v>Biological resources</x:v>
      </x:c>
      <x:c r="E65" s="4" t="str">
        <x:f>IFERROR(INDEX('Material routes'!$C$6:$C$2205,MATCH(U65,'Material routes'!$A$6:$A$2205,0)),"MISSING ID")</x:f>
        <x:v>Ingredient candidate</x:v>
      </x:c>
      <x:c r="F65" s="4" t="str">
        <x:f>IFERROR(INDEX('Material routes'!$E$6:$E$2205,MATCH(V65,'Material routes'!$A$6:$A$2205,0)),"MISSING ID")</x:f>
        <x:v>Solid biological wax</x:v>
      </x:c>
      <x:c r="G65" s="4" t="str">
        <x:f>IFERROR(INDEX('Material routes'!$F$6:$F$2205,MATCH(V65,'Material routes'!$A$6:$A$2205,0)),"MISSING ID")</x:f>
        <x:v>Unassigned</x:v>
      </x:c>
      <x:c r="H65" s="4" t="str">
        <x:f>IFERROR(INDEX('Material routes'!$H$6:$H$2205,MATCH(V65,'Material routes'!$A$6:$A$2205,0)),"MISSING ID")</x:f>
        <x:v>Processed material</x:v>
      </x:c>
      <x:c r="I65" s="4" t="str">
        <x:f>IFERROR(INDEX('Material routes'!$G$6:$G$2205,MATCH(V65,'Material routes'!$A$6:$A$2205,0)),"MISSING ID")</x:f>
        <x:v>Crafting components</x:v>
      </x:c>
      <x:c r="J65" s="4" t="str">
        <x:f>IFERROR(INDEX('Material routes'!$B$6:$B$2205,MATCH(U65,'Material routes'!$A$6:$A$2205,0)),"MISSING ID")</x:f>
        <x:v>outline.resource_chain.18</x:v>
      </x:c>
      <x:c r="K65" s="4" t="str">
        <x:f>IFERROR(INDEX('Crafting recipes'!$C$6:$C$1005,MATCH(J65,'Crafting recipes'!$A$6:$A$1005,0)),"MISSING ID")</x:f>
        <x:v>Material refinement</x:v>
      </x:c>
      <x:c r="L65" s="4" t="str">
        <x:f>IFERROR(INDEX('Material routes'!$K$6:$K$2205,MATCH(U65,'Material routes'!$A$6:$A$2205,0)),"MISSING ID")</x:f>
        <x:v>Withheld</x:v>
      </x:c>
      <x:c r="M65" s="4" t="str">
        <x:f>IFERROR(INDEX('Material routes'!$M$6:$M$2205,MATCH(U65,'Material routes'!$A$6:$A$2205,0)),"MISSING ID")</x:f>
        <x:v>Withheld</x:v>
      </x:c>
      <x:c r="N65" s="4" t="str">
        <x:f>IF(IFERROR(INDEX('Material routes'!$I$6:$I$1005,MATCH(U65,'Material routes'!$A$6:$A$1005,0)),"MISSING ID")=0,"",IFERROR(INDEX('Material routes'!$I$6:$I$1005,MATCH(U65,'Material routes'!$A$6:$A$1005,0)),"MISSING ID"))</x:f>
      </x:c>
      <x:c r="O65" s="4" t="str">
        <x:f>IFERROR(INDEX('Material routes'!$J$6:$J$2205,MATCH(U65,'Material routes'!$A$6:$A$2205,0)),"MISSING ID")</x:f>
        <x:v>Unspecified</x:v>
      </x:c>
      <x:c r="P65" s="4" t="str">
        <x:f>IF(IFERROR(INDEX('Material routes'!$I$6:$I$1005,MATCH(V65,'Material routes'!$A$6:$A$1005,0)),"MISSING ID")=0,"",IFERROR(INDEX('Material routes'!$I$6:$I$1005,MATCH(V65,'Material routes'!$A$6:$A$1005,0)),"MISSING ID"))</x:f>
      </x:c>
      <x:c r="Q65" s="4" t="str">
        <x:f>IFERROR(INDEX('Material routes'!$J$6:$J$2205,MATCH(V65,'Material routes'!$A$6:$A$2205,0)),"MISSING ID")</x:f>
        <x:v>Unspecified</x:v>
      </x:c>
      <x:c r="R65" s="4" t="str">
        <x:f>IF(L65="Withheld","Withheld premise",IF(E65="Tool candidate","Reusable prerequisite",IF(K65="Raw entry preparation","Entry-resource preparation",IF(G65="Not applicable",IF(IFERROR(INDEX('Items'!$AI$6:$AI$1005,MATCH(T65,'Items'!$A$6:$A$1005,0)),"MISSING ID")="Finished item","Finished endpoint",IF(IFERROR(INDEX('Items'!$AI$6:$AI$1005,MATCH(T65,'Items'!$A$6:$A$1005,0)),"MISSING ID")="Currency","Currency / no refinement tier","Recovered output / tier not applicable")),IF(OR(IFERROR(INDEX('Crafting recipes'!$H$6:$H$1005,MATCH(J65,'Crafting recipes'!$A$6:$A$1005,0)),"Unassigned")="Unassigned",G65="Unassigned"),"Tier unresolved",IF(IFERROR(VALUE(RIGHT(G65,1))-VALUE(RIGHT(IFERROR(INDEX('Crafting recipes'!$H$6:$H$1005,MATCH(J65,'Crafting recipes'!$A$6:$A$1005,0)),"Unassigned"),1)),0)=1,IF(B65=IFERROR(INDEX('Crafting recipes'!$H$6:$H$1005,MATCH(J65,'Crafting recipes'!$A$6:$A$1005,0)),"Unassigned"),"Advances one material tier","Lower-tier ingredient; route advances one tier"),"Needs tier review"))))))</x:f>
        <x:v>Withheld premise</x:v>
      </x:c>
      <x:c r="S65" s="4" t="str">
        <x:f>IFERROR(INDEX('Material routes'!$D$6:$D$2205,MATCH(U65,'Material routes'!$A$6:$A$2205,0)),"MISSING ID")</x:f>
        <x:v>proposal.bio.fat</x:v>
      </x:c>
      <x:c r="T65" s="4" t="str">
        <x:f>IFERROR(INDEX('Material routes'!$D$6:$D$2205,MATCH(V65,'Material routes'!$A$6:$A$2205,0)),"MISSING ID")</x:f>
        <x:v>proposal.bio.wax</x:v>
      </x:c>
      <x:c r="U65" s="4" t="str">
        <x:v>outline.input.18</x:v>
      </x:c>
      <x:c r="V65" s="4" t="str">
        <x:v>outline.output.18</x:v>
      </x:c>
    </x:row>
    <x:row r="66" ht="85" customHeight="1">
      <x:c r="A66" s="4" t="str">
        <x:f>IFERROR(INDEX('Material routes'!$E$6:$E$2205,MATCH(U66,'Material routes'!$A$6:$A$2205,0)),"MISSING ID")</x:f>
        <x:v>Charge-organ tissue</x:v>
      </x:c>
      <x:c r="B66" s="4" t="str">
        <x:f>IFERROR(INDEX('Material routes'!$F$6:$F$2205,MATCH(U66,'Material routes'!$A$6:$A$2205,0)),"MISSING ID")</x:f>
        <x:v>T0</x:v>
      </x:c>
      <x:c r="C66" s="4" t="str">
        <x:f>IFERROR(INDEX('Material routes'!$H$6:$H$2205,MATCH(U66,'Material routes'!$A$6:$A$2205,0)),"MISSING ID")</x:f>
        <x:v>Raw material</x:v>
      </x:c>
      <x:c r="D66" s="4" t="str">
        <x:f>IFERROR(INDEX('Material routes'!$G$6:$G$2205,MATCH(U66,'Material routes'!$A$6:$A$2205,0)),"MISSING ID")</x:f>
        <x:v>Biological resources</x:v>
      </x:c>
      <x:c r="E66" s="4" t="str">
        <x:f>IFERROR(INDEX('Material routes'!$C$6:$C$2205,MATCH(U66,'Material routes'!$A$6:$A$2205,0)),"MISSING ID")</x:f>
        <x:v>Ingredient candidate</x:v>
      </x:c>
      <x:c r="F66" s="4" t="str">
        <x:f>IFERROR(INDEX('Material routes'!$E$6:$E$2205,MATCH(V66,'Material routes'!$A$6:$A$2205,0)),"MISSING ID")</x:f>
        <x:v>Dry organ electrode scaffold</x:v>
      </x:c>
      <x:c r="G66" s="4" t="str">
        <x:f>IFERROR(INDEX('Material routes'!$F$6:$F$2205,MATCH(V66,'Material routes'!$A$6:$A$2205,0)),"MISSING ID")</x:f>
        <x:v>T1</x:v>
      </x:c>
      <x:c r="H66" s="4" t="str">
        <x:f>IFERROR(INDEX('Material routes'!$H$6:$H$2205,MATCH(V66,'Material routes'!$A$6:$A$2205,0)),"MISSING ID")</x:f>
        <x:v>Crafting component</x:v>
      </x:c>
      <x:c r="I66" s="4" t="str">
        <x:f>IFERROR(INDEX('Material routes'!$G$6:$G$2205,MATCH(V66,'Material routes'!$A$6:$A$2205,0)),"MISSING ID")</x:f>
        <x:v>Crafting components</x:v>
      </x:c>
      <x:c r="J66" s="4" t="str">
        <x:f>IFERROR(INDEX('Material routes'!$B$6:$B$2205,MATCH(U66,'Material routes'!$A$6:$A$2205,0)),"MISSING ID")</x:f>
        <x:v>outline.resource_chain.19</x:v>
      </x:c>
      <x:c r="K66" s="4" t="str">
        <x:f>IFERROR(INDEX('Crafting recipes'!$C$6:$C$1005,MATCH(J66,'Crafting recipes'!$A$6:$A$1005,0)),"MISSING ID")</x:f>
        <x:v>Material refinement</x:v>
      </x:c>
      <x:c r="L66" s="4" t="str">
        <x:f>IFERROR(INDEX('Material routes'!$K$6:$K$2205,MATCH(U66,'Material routes'!$A$6:$A$2205,0)),"MISSING ID")</x:f>
        <x:v>Concept outline</x:v>
      </x:c>
      <x:c r="M66" s="4" t="str">
        <x:f>IFERROR(INDEX('Material routes'!$M$6:$M$2205,MATCH(U66,'Material routes'!$A$6:$A$2205,0)),"MISSING ID")</x:f>
        <x:v>Concept outline</x:v>
      </x:c>
      <x:c r="N66" s="4" t="str">
        <x:f>IF(IFERROR(INDEX('Material routes'!$I$6:$I$1005,MATCH(U66,'Material routes'!$A$6:$A$1005,0)),"MISSING ID")=0,"",IFERROR(INDEX('Material routes'!$I$6:$I$1005,MATCH(U66,'Material routes'!$A$6:$A$1005,0)),"MISSING ID"))</x:f>
      </x:c>
      <x:c r="O66" s="4" t="str">
        <x:f>IFERROR(INDEX('Material routes'!$J$6:$J$2205,MATCH(U66,'Material routes'!$A$6:$A$2205,0)),"MISSING ID")</x:f>
        <x:v>Unspecified</x:v>
      </x:c>
      <x:c r="P66" s="4" t="str">
        <x:f>IF(IFERROR(INDEX('Material routes'!$I$6:$I$1005,MATCH(V66,'Material routes'!$A$6:$A$1005,0)),"MISSING ID")=0,"",IFERROR(INDEX('Material routes'!$I$6:$I$1005,MATCH(V66,'Material routes'!$A$6:$A$1005,0)),"MISSING ID"))</x:f>
      </x:c>
      <x:c r="Q66" s="4" t="str">
        <x:f>IFERROR(INDEX('Material routes'!$J$6:$J$2205,MATCH(V66,'Material routes'!$A$6:$A$2205,0)),"MISSING ID")</x:f>
        <x:v>Unspecified</x:v>
      </x:c>
      <x:c r="R66" s="4" t="str">
        <x:f>IF(L66="Withheld","Withheld premise",IF(E66="Tool candidate","Reusable prerequisite",IF(K66="Raw entry preparation","Entry-resource preparation",IF(G66="Not applicable",IF(IFERROR(INDEX('Items'!$AI$6:$AI$1005,MATCH(T66,'Items'!$A$6:$A$1005,0)),"MISSING ID")="Finished item","Finished endpoint",IF(IFERROR(INDEX('Items'!$AI$6:$AI$1005,MATCH(T66,'Items'!$A$6:$A$1005,0)),"MISSING ID")="Currency","Currency / no refinement tier","Recovered output / tier not applicable")),IF(OR(IFERROR(INDEX('Crafting recipes'!$H$6:$H$1005,MATCH(J66,'Crafting recipes'!$A$6:$A$1005,0)),"Unassigned")="Unassigned",G66="Unassigned"),"Tier unresolved",IF(IFERROR(VALUE(RIGHT(G66,1))-VALUE(RIGHT(IFERROR(INDEX('Crafting recipes'!$H$6:$H$1005,MATCH(J66,'Crafting recipes'!$A$6:$A$1005,0)),"Unassigned"),1)),0)=1,IF(B66=IFERROR(INDEX('Crafting recipes'!$H$6:$H$1005,MATCH(J66,'Crafting recipes'!$A$6:$A$1005,0)),"Unassigned"),"Advances one material tier","Lower-tier ingredient; route advances one tier"),"Needs tier review"))))))</x:f>
        <x:v>Advances one material tier</x:v>
      </x:c>
      <x:c r="S66" s="4" t="str">
        <x:f>IFERROR(INDEX('Material routes'!$D$6:$D$2205,MATCH(U66,'Material routes'!$A$6:$A$2205,0)),"MISSING ID")</x:f>
        <x:v>proposal.bio.organ</x:v>
      </x:c>
      <x:c r="T66" s="4" t="str">
        <x:f>IFERROR(INDEX('Material routes'!$D$6:$D$2205,MATCH(V66,'Material routes'!$A$6:$A$2205,0)),"MISSING ID")</x:f>
        <x:v>proposal.bio.electrode</x:v>
      </x:c>
      <x:c r="U66" s="4" t="str">
        <x:v>outline.input.19</x:v>
      </x:c>
      <x:c r="V66" s="4" t="str">
        <x:v>outline.output.19</x:v>
      </x:c>
    </x:row>
    <x:row r="67" ht="85" customHeight="1">
      <x:c r="A67" s="4"/>
      <x:c r="B67" s="4"/>
      <x:c r="C67" s="4"/>
      <x:c r="D67" s="4"/>
      <x:c r="E67" s="4"/>
      <x:c r="F67" s="4"/>
      <x:c r="G67" s="4"/>
      <x:c r="H67" s="4"/>
      <x:c r="I67" s="4"/>
      <x:c r="J67" s="4"/>
      <x:c r="K67" s="4"/>
      <x:c r="L67" s="4"/>
      <x:c r="M67" s="4"/>
      <x:c r="N67" s="4"/>
      <x:c r="O67" s="4"/>
      <x:c r="P67" s="4"/>
      <x:c r="Q67" s="4"/>
      <x:c r="R67" s="4"/>
      <x:c r="S67" s="4"/>
      <x:c r="T67" s="4"/>
      <x:c r="U67" s="4"/>
      <x:c r="V67" s="4"/>
    </x:row>
    <x:row r="68" ht="85" customHeight="1">
      <x:c r="A68" s="4"/>
      <x:c r="B68" s="4"/>
      <x:c r="C68" s="4"/>
      <x:c r="D68" s="4"/>
      <x:c r="E68" s="4"/>
      <x:c r="F68" s="4"/>
      <x:c r="G68" s="4"/>
      <x:c r="H68" s="4"/>
      <x:c r="I68" s="4"/>
      <x:c r="J68" s="4"/>
      <x:c r="K68" s="4"/>
      <x:c r="L68" s="4"/>
      <x:c r="M68" s="4"/>
      <x:c r="N68" s="4"/>
      <x:c r="O68" s="4"/>
      <x:c r="P68" s="4"/>
      <x:c r="Q68" s="4"/>
      <x:c r="R68" s="4"/>
      <x:c r="S68" s="4"/>
      <x:c r="T68" s="4"/>
      <x:c r="U68" s="4"/>
      <x:c r="V68" s="4"/>
    </x:row>
    <x:row r="69" ht="85" customHeight="1">
      <x:c r="A69" s="4" t="str">
        <x:f>IFERROR(INDEX('Material routes'!$E$6:$E$2205,MATCH(U69,'Material routes'!$A$6:$A$2205,0)),"MISSING ID")</x:f>
        <x:v>Unprocessed copper-rich stone</x:v>
      </x:c>
      <x:c r="B69" s="4" t="str">
        <x:f>IFERROR(INDEX('Material routes'!$F$6:$F$2205,MATCH(U69,'Material routes'!$A$6:$A$2205,0)),"MISSING ID")</x:f>
        <x:v>T0</x:v>
      </x:c>
      <x:c r="C69" s="4" t="str">
        <x:f>IFERROR(INDEX('Material routes'!$H$6:$H$2205,MATCH(U69,'Material routes'!$A$6:$A$2205,0)),"MISSING ID")</x:f>
        <x:v>Raw material</x:v>
      </x:c>
      <x:c r="D69" s="4" t="str">
        <x:f>IFERROR(INDEX('Material routes'!$G$6:$G$2205,MATCH(U69,'Material routes'!$A$6:$A$2205,0)),"MISSING ID")</x:f>
        <x:v>Mineral resources</x:v>
      </x:c>
      <x:c r="E69" s="4" t="str">
        <x:f>IFERROR(INDEX('Material routes'!$C$6:$C$2205,MATCH(U69,'Material routes'!$A$6:$A$2205,0)),"MISSING ID")</x:f>
        <x:v>Ingredient candidate</x:v>
      </x:c>
      <x:c r="F69" s="4" t="str">
        <x:f>IFERROR(INDEX('Material routes'!$E$6:$E$2205,MATCH(V69,'Material routes'!$A$6:$A$2205,0)),"MISSING ID")</x:f>
        <x:v>Copper ore</x:v>
      </x:c>
      <x:c r="G69" s="4" t="str">
        <x:f>IFERROR(INDEX('Material routes'!$F$6:$F$2205,MATCH(V69,'Material routes'!$A$6:$A$2205,0)),"MISSING ID")</x:f>
        <x:v>T1</x:v>
      </x:c>
      <x:c r="H69" s="4" t="str">
        <x:f>IFERROR(INDEX('Material routes'!$H$6:$H$2205,MATCH(V69,'Material routes'!$A$6:$A$2205,0)),"MISSING ID")</x:f>
        <x:v>Raw material</x:v>
      </x:c>
      <x:c r="I69" s="4" t="str">
        <x:f>IFERROR(INDEX('Material routes'!$G$6:$G$2205,MATCH(V69,'Material routes'!$A$6:$A$2205,0)),"MISSING ID")</x:f>
        <x:v>Mineral resources</x:v>
      </x:c>
      <x:c r="J69" s="4" t="str">
        <x:f>IFERROR(INDEX('Material routes'!$B$6:$B$2205,MATCH(U69,'Material routes'!$A$6:$A$2205,0)),"MISSING ID")</x:f>
        <x:v>outline.resource_chain.22</x:v>
      </x:c>
      <x:c r="K69" s="4" t="str">
        <x:f>IFERROR(INDEX('Crafting recipes'!$C$6:$C$1005,MATCH(J69,'Crafting recipes'!$A$6:$A$1005,0)),"MISSING ID")</x:f>
        <x:v>Material refinement</x:v>
      </x:c>
      <x:c r="L69" s="4" t="str">
        <x:f>IFERROR(INDEX('Material routes'!$K$6:$K$2205,MATCH(U69,'Material routes'!$A$6:$A$2205,0)),"MISSING ID")</x:f>
        <x:v>Concept outline</x:v>
      </x:c>
      <x:c r="M69" s="4" t="str">
        <x:f>IFERROR(INDEX('Material routes'!$M$6:$M$2205,MATCH(U69,'Material routes'!$A$6:$A$2205,0)),"MISSING ID")</x:f>
        <x:v>Concept outline</x:v>
      </x:c>
      <x:c r="N69" s="4" t="str">
        <x:f>IF(IFERROR(INDEX('Material routes'!$I$6:$I$1005,MATCH(U69,'Material routes'!$A$6:$A$1005,0)),"MISSING ID")=0,"",IFERROR(INDEX('Material routes'!$I$6:$I$1005,MATCH(U69,'Material routes'!$A$6:$A$1005,0)),"MISSING ID"))</x:f>
      </x:c>
      <x:c r="O69" s="4" t="str">
        <x:f>IFERROR(INDEX('Material routes'!$J$6:$J$2205,MATCH(U69,'Material routes'!$A$6:$A$2205,0)),"MISSING ID")</x:f>
        <x:v>Unspecified</x:v>
      </x:c>
      <x:c r="P69" s="4" t="str">
        <x:f>IF(IFERROR(INDEX('Material routes'!$I$6:$I$1005,MATCH(V69,'Material routes'!$A$6:$A$1005,0)),"MISSING ID")=0,"",IFERROR(INDEX('Material routes'!$I$6:$I$1005,MATCH(V69,'Material routes'!$A$6:$A$1005,0)),"MISSING ID"))</x:f>
      </x:c>
      <x:c r="Q69" s="4" t="str">
        <x:f>IFERROR(INDEX('Material routes'!$J$6:$J$2205,MATCH(V69,'Material routes'!$A$6:$A$2205,0)),"MISSING ID")</x:f>
        <x:v>Unspecified</x:v>
      </x:c>
      <x:c r="R69" s="4" t="str">
        <x:f>IF(L69="Withheld","Withheld premise",IF(E69="Tool candidate","Reusable prerequisite",IF(K69="Raw entry preparation","Entry-resource preparation",IF(G69="Not applicable",IF(IFERROR(INDEX('Items'!$AI$6:$AI$1005,MATCH(T69,'Items'!$A$6:$A$1005,0)),"MISSING ID")="Finished item","Finished endpoint",IF(IFERROR(INDEX('Items'!$AI$6:$AI$1005,MATCH(T69,'Items'!$A$6:$A$1005,0)),"MISSING ID")="Currency","Currency / no refinement tier","Recovered output / tier not applicable")),IF(OR(IFERROR(INDEX('Crafting recipes'!$H$6:$H$1005,MATCH(J69,'Crafting recipes'!$A$6:$A$1005,0)),"Unassigned")="Unassigned",G69="Unassigned"),"Tier unresolved",IF(IFERROR(VALUE(RIGHT(G69,1))-VALUE(RIGHT(IFERROR(INDEX('Crafting recipes'!$H$6:$H$1005,MATCH(J69,'Crafting recipes'!$A$6:$A$1005,0)),"Unassigned"),1)),0)=1,IF(B69=IFERROR(INDEX('Crafting recipes'!$H$6:$H$1005,MATCH(J69,'Crafting recipes'!$A$6:$A$1005,0)),"Unassigned"),"Advances one material tier","Lower-tier ingredient; route advances one tier"),"Needs tier review"))))))</x:f>
        <x:v>Advances one material tier</x:v>
      </x:c>
      <x:c r="S69" s="4" t="str">
        <x:f>IFERROR(INDEX('Material routes'!$D$6:$D$2205,MATCH(U69,'Material routes'!$A$6:$A$2205,0)),"MISSING ID")</x:f>
        <x:v>proposal.natural.copper_stone</x:v>
      </x:c>
      <x:c r="T69" s="4" t="str">
        <x:f>IFERROR(INDEX('Material routes'!$D$6:$D$2205,MATCH(V69,'Material routes'!$A$6:$A$2205,0)),"MISSING ID")</x:f>
        <x:v>proposal.natural.copper_ore</x:v>
      </x:c>
      <x:c r="U69" s="4" t="str">
        <x:v>outline.input.22</x:v>
      </x:c>
      <x:c r="V69" s="4" t="str">
        <x:v>outline.output.22</x:v>
      </x:c>
    </x:row>
    <x:row r="70" ht="85" customHeight="1">
      <x:c r="A70" s="4" t="str">
        <x:f>IFERROR(INDEX('Material routes'!$E$6:$E$2205,MATCH(U70,'Material routes'!$A$6:$A$2205,0)),"MISSING ID")</x:f>
        <x:v>Copper ore</x:v>
      </x:c>
      <x:c r="B70" s="4" t="str">
        <x:f>IFERROR(INDEX('Material routes'!$F$6:$F$2205,MATCH(U70,'Material routes'!$A$6:$A$2205,0)),"MISSING ID")</x:f>
        <x:v>T1</x:v>
      </x:c>
      <x:c r="C70" s="4" t="str">
        <x:f>IFERROR(INDEX('Material routes'!$H$6:$H$2205,MATCH(U70,'Material routes'!$A$6:$A$2205,0)),"MISSING ID")</x:f>
        <x:v>Raw material</x:v>
      </x:c>
      <x:c r="D70" s="4" t="str">
        <x:f>IFERROR(INDEX('Material routes'!$G$6:$G$2205,MATCH(U70,'Material routes'!$A$6:$A$2205,0)),"MISSING ID")</x:f>
        <x:v>Mineral resources</x:v>
      </x:c>
      <x:c r="E70" s="4" t="str">
        <x:f>IFERROR(INDEX('Material routes'!$C$6:$C$2205,MATCH(U70,'Material routes'!$A$6:$A$2205,0)),"MISSING ID")</x:f>
        <x:v>Ingredient candidate</x:v>
      </x:c>
      <x:c r="F70" s="4" t="str">
        <x:f>IFERROR(INDEX('Material routes'!$E$6:$E$2205,MATCH(V70,'Material routes'!$A$6:$A$2205,0)),"MISSING ID")</x:f>
        <x:v>Raw copper lump</x:v>
      </x:c>
      <x:c r="G70" s="4" t="str">
        <x:f>IFERROR(INDEX('Material routes'!$F$6:$F$2205,MATCH(V70,'Material routes'!$A$6:$A$2205,0)),"MISSING ID")</x:f>
        <x:v>T0</x:v>
      </x:c>
      <x:c r="H70" s="4" t="str">
        <x:f>IFERROR(INDEX('Material routes'!$H$6:$H$2205,MATCH(V70,'Material routes'!$A$6:$A$2205,0)),"MISSING ID")</x:f>
        <x:v>Processed material</x:v>
      </x:c>
      <x:c r="I70" s="4" t="str">
        <x:f>IFERROR(INDEX('Material routes'!$G$6:$G$2205,MATCH(V70,'Material routes'!$A$6:$A$2205,0)),"MISSING ID")</x:f>
        <x:v>Mineral resources</x:v>
      </x:c>
      <x:c r="J70" s="4" t="str">
        <x:f>IFERROR(INDEX('Material routes'!$B$6:$B$2205,MATCH(U70,'Material routes'!$A$6:$A$2205,0)),"MISSING ID")</x:f>
        <x:v>outline.resource_chain.23</x:v>
      </x:c>
      <x:c r="K70" s="4" t="str">
        <x:f>IFERROR(INDEX('Crafting recipes'!$C$6:$C$1005,MATCH(J70,'Crafting recipes'!$A$6:$A$1005,0)),"MISSING ID")</x:f>
        <x:v>Material refinement</x:v>
      </x:c>
      <x:c r="L70" s="4" t="str">
        <x:f>IFERROR(INDEX('Material routes'!$K$6:$K$2205,MATCH(U70,'Material routes'!$A$6:$A$2205,0)),"MISSING ID")</x:f>
        <x:v>Needs tier review</x:v>
      </x:c>
      <x:c r="M70" s="4" t="str">
        <x:f>IFERROR(INDEX('Material routes'!$M$6:$M$2205,MATCH(U70,'Material routes'!$A$6:$A$2205,0)),"MISSING ID")</x:f>
        <x:v>Concept outline</x:v>
      </x:c>
      <x:c r="N70" s="4" t="str">
        <x:f>IF(IFERROR(INDEX('Material routes'!$I$6:$I$1005,MATCH(U70,'Material routes'!$A$6:$A$1005,0)),"MISSING ID")=0,"",IFERROR(INDEX('Material routes'!$I$6:$I$1005,MATCH(U70,'Material routes'!$A$6:$A$1005,0)),"MISSING ID"))</x:f>
      </x:c>
      <x:c r="O70" s="4" t="str">
        <x:f>IFERROR(INDEX('Material routes'!$J$6:$J$2205,MATCH(U70,'Material routes'!$A$6:$A$2205,0)),"MISSING ID")</x:f>
        <x:v>Unspecified</x:v>
      </x:c>
      <x:c r="P70" s="4" t="str">
        <x:f>IF(IFERROR(INDEX('Material routes'!$I$6:$I$1005,MATCH(V70,'Material routes'!$A$6:$A$1005,0)),"MISSING ID")=0,"",IFERROR(INDEX('Material routes'!$I$6:$I$1005,MATCH(V70,'Material routes'!$A$6:$A$1005,0)),"MISSING ID"))</x:f>
      </x:c>
      <x:c r="Q70" s="4" t="str">
        <x:f>IFERROR(INDEX('Material routes'!$J$6:$J$2205,MATCH(V70,'Material routes'!$A$6:$A$2205,0)),"MISSING ID")</x:f>
        <x:v>Unspecified</x:v>
      </x:c>
      <x:c r="R70" s="4" t="str">
        <x:f>IF(L70="Withheld","Withheld premise",IF(E70="Tool candidate","Reusable prerequisite",IF(K70="Raw entry preparation","Entry-resource preparation",IF(G70="Not applicable",IF(IFERROR(INDEX('Items'!$AI$6:$AI$1005,MATCH(T70,'Items'!$A$6:$A$1005,0)),"MISSING ID")="Finished item","Finished endpoint",IF(IFERROR(INDEX('Items'!$AI$6:$AI$1005,MATCH(T70,'Items'!$A$6:$A$1005,0)),"MISSING ID")="Currency","Currency / no refinement tier","Recovered output / tier not applicable")),IF(OR(IFERROR(INDEX('Crafting recipes'!$H$6:$H$1005,MATCH(J70,'Crafting recipes'!$A$6:$A$1005,0)),"Unassigned")="Unassigned",G70="Unassigned"),"Tier unresolved",IF(IFERROR(VALUE(RIGHT(G70,1))-VALUE(RIGHT(IFERROR(INDEX('Crafting recipes'!$H$6:$H$1005,MATCH(J70,'Crafting recipes'!$A$6:$A$1005,0)),"Unassigned"),1)),0)=1,IF(B70=IFERROR(INDEX('Crafting recipes'!$H$6:$H$1005,MATCH(J70,'Crafting recipes'!$A$6:$A$1005,0)),"Unassigned"),"Advances one material tier","Lower-tier ingredient; route advances one tier"),"Needs tier review"))))))</x:f>
        <x:v>Needs tier review</x:v>
      </x:c>
      <x:c r="S70" s="4" t="str">
        <x:f>IFERROR(INDEX('Material routes'!$D$6:$D$2205,MATCH(U70,'Material routes'!$A$6:$A$2205,0)),"MISSING ID")</x:f>
        <x:v>proposal.natural.copper_ore</x:v>
      </x:c>
      <x:c r="T70" s="4" t="str">
        <x:f>IFERROR(INDEX('Material routes'!$D$6:$D$2205,MATCH(V70,'Material routes'!$A$6:$A$2205,0)),"MISSING ID")</x:f>
        <x:v>proposal.natural.raw_copper</x:v>
      </x:c>
      <x:c r="U70" s="4" t="str">
        <x:v>outline.input.23</x:v>
      </x:c>
      <x:c r="V70" s="4" t="str">
        <x:v>outline.output.23</x:v>
      </x:c>
    </x:row>
    <x:row r="71" ht="85" customHeight="1">
      <x:c r="A71" s="4" t="str">
        <x:f>IFERROR(INDEX('Material routes'!$E$6:$E$2205,MATCH(U71,'Material routes'!$A$6:$A$2205,0)),"MISSING ID")</x:f>
        <x:v>Magnesium-bearing rock</x:v>
      </x:c>
      <x:c r="B71" s="4" t="str">
        <x:f>IFERROR(INDEX('Material routes'!$F$6:$F$2205,MATCH(U71,'Material routes'!$A$6:$A$2205,0)),"MISSING ID")</x:f>
        <x:v>T0</x:v>
      </x:c>
      <x:c r="C71" s="4" t="str">
        <x:f>IFERROR(INDEX('Material routes'!$H$6:$H$2205,MATCH(U71,'Material routes'!$A$6:$A$2205,0)),"MISSING ID")</x:f>
        <x:v>Raw material</x:v>
      </x:c>
      <x:c r="D71" s="4" t="str">
        <x:f>IFERROR(INDEX('Material routes'!$G$6:$G$2205,MATCH(U71,'Material routes'!$A$6:$A$2205,0)),"MISSING ID")</x:f>
        <x:v>Mineral resources</x:v>
      </x:c>
      <x:c r="E71" s="4" t="str">
        <x:f>IFERROR(INDEX('Material routes'!$C$6:$C$2205,MATCH(U71,'Material routes'!$A$6:$A$2205,0)),"MISSING ID")</x:f>
        <x:v>Ingredient candidate</x:v>
      </x:c>
      <x:c r="F71" s="4" t="str">
        <x:f>IFERROR(INDEX('Material routes'!$E$6:$E$2205,MATCH(V71,'Material routes'!$A$6:$A$2205,0)),"MISSING ID")</x:f>
        <x:v>Raw magnesium metal</x:v>
      </x:c>
      <x:c r="G71" s="4" t="str">
        <x:f>IFERROR(INDEX('Material routes'!$F$6:$F$2205,MATCH(V71,'Material routes'!$A$6:$A$2205,0)),"MISSING ID")</x:f>
        <x:v>T0</x:v>
      </x:c>
      <x:c r="H71" s="4" t="str">
        <x:f>IFERROR(INDEX('Material routes'!$H$6:$H$2205,MATCH(V71,'Material routes'!$A$6:$A$2205,0)),"MISSING ID")</x:f>
        <x:v>Processed material</x:v>
      </x:c>
      <x:c r="I71" s="4" t="str">
        <x:f>IFERROR(INDEX('Material routes'!$G$6:$G$2205,MATCH(V71,'Material routes'!$A$6:$A$2205,0)),"MISSING ID")</x:f>
        <x:v>Mineral resources</x:v>
      </x:c>
      <x:c r="J71" s="4" t="str">
        <x:f>IFERROR(INDEX('Material routes'!$B$6:$B$2205,MATCH(U71,'Material routes'!$A$6:$A$2205,0)),"MISSING ID")</x:f>
        <x:v>outline.resource_chain.24</x:v>
      </x:c>
      <x:c r="K71" s="4" t="str">
        <x:f>IFERROR(INDEX('Crafting recipes'!$C$6:$C$1005,MATCH(J71,'Crafting recipes'!$A$6:$A$1005,0)),"MISSING ID")</x:f>
        <x:v>Material refinement</x:v>
      </x:c>
      <x:c r="L71" s="4" t="str">
        <x:f>IFERROR(INDEX('Material routes'!$K$6:$K$2205,MATCH(U71,'Material routes'!$A$6:$A$2205,0)),"MISSING ID")</x:f>
        <x:v>Needs tier review</x:v>
      </x:c>
      <x:c r="M71" s="4" t="str">
        <x:f>IFERROR(INDEX('Material routes'!$M$6:$M$2205,MATCH(U71,'Material routes'!$A$6:$A$2205,0)),"MISSING ID")</x:f>
        <x:v>Concept outline</x:v>
      </x:c>
      <x:c r="N71" s="4" t="str">
        <x:f>IF(IFERROR(INDEX('Material routes'!$I$6:$I$1005,MATCH(U71,'Material routes'!$A$6:$A$1005,0)),"MISSING ID")=0,"",IFERROR(INDEX('Material routes'!$I$6:$I$1005,MATCH(U71,'Material routes'!$A$6:$A$1005,0)),"MISSING ID"))</x:f>
      </x:c>
      <x:c r="O71" s="4" t="str">
        <x:f>IFERROR(INDEX('Material routes'!$J$6:$J$2205,MATCH(U71,'Material routes'!$A$6:$A$2205,0)),"MISSING ID")</x:f>
        <x:v>Unspecified</x:v>
      </x:c>
      <x:c r="P71" s="4" t="str">
        <x:f>IF(IFERROR(INDEX('Material routes'!$I$6:$I$1005,MATCH(V71,'Material routes'!$A$6:$A$1005,0)),"MISSING ID")=0,"",IFERROR(INDEX('Material routes'!$I$6:$I$1005,MATCH(V71,'Material routes'!$A$6:$A$1005,0)),"MISSING ID"))</x:f>
      </x:c>
      <x:c r="Q71" s="4" t="str">
        <x:f>IFERROR(INDEX('Material routes'!$J$6:$J$2205,MATCH(V71,'Material routes'!$A$6:$A$2205,0)),"MISSING ID")</x:f>
        <x:v>Unspecified</x:v>
      </x:c>
      <x:c r="R71" s="4" t="str">
        <x:f>IF(L71="Withheld","Withheld premise",IF(E71="Tool candidate","Reusable prerequisite",IF(K71="Raw entry preparation","Entry-resource preparation",IF(G71="Not applicable",IF(IFERROR(INDEX('Items'!$AI$6:$AI$1005,MATCH(T71,'Items'!$A$6:$A$1005,0)),"MISSING ID")="Finished item","Finished endpoint",IF(IFERROR(INDEX('Items'!$AI$6:$AI$1005,MATCH(T71,'Items'!$A$6:$A$1005,0)),"MISSING ID")="Currency","Currency / no refinement tier","Recovered output / tier not applicable")),IF(OR(IFERROR(INDEX('Crafting recipes'!$H$6:$H$1005,MATCH(J71,'Crafting recipes'!$A$6:$A$1005,0)),"Unassigned")="Unassigned",G71="Unassigned"),"Tier unresolved",IF(IFERROR(VALUE(RIGHT(G71,1))-VALUE(RIGHT(IFERROR(INDEX('Crafting recipes'!$H$6:$H$1005,MATCH(J71,'Crafting recipes'!$A$6:$A$1005,0)),"Unassigned"),1)),0)=1,IF(B71=IFERROR(INDEX('Crafting recipes'!$H$6:$H$1005,MATCH(J71,'Crafting recipes'!$A$6:$A$1005,0)),"Unassigned"),"Advances one material tier","Lower-tier ingredient; route advances one tier"),"Needs tier review"))))))</x:f>
        <x:v>Needs tier review</x:v>
      </x:c>
      <x:c r="S71" s="4" t="str">
        <x:f>IFERROR(INDEX('Material routes'!$D$6:$D$2205,MATCH(U71,'Material routes'!$A$6:$A$2205,0)),"MISSING ID")</x:f>
        <x:v>proposal.natural.magnesium_rock</x:v>
      </x:c>
      <x:c r="T71" s="4" t="str">
        <x:f>IFERROR(INDEX('Material routes'!$D$6:$D$2205,MATCH(V71,'Material routes'!$A$6:$A$2205,0)),"MISSING ID")</x:f>
        <x:v>proposal.natural.raw_magnesium</x:v>
      </x:c>
      <x:c r="U71" s="4" t="str">
        <x:v>outline.input.24</x:v>
      </x:c>
      <x:c r="V71" s="4" t="str">
        <x:v>outline.output.24</x:v>
      </x:c>
    </x:row>
    <x:row r="72" ht="85" customHeight="1">
      <x:c r="A72" s="4" t="str">
        <x:f>IFERROR(INDEX('Material routes'!$E$6:$E$2205,MATCH(U72,'Material routes'!$A$6:$A$2205,0)),"MISSING ID")</x:f>
        <x:v>Raw hematite</x:v>
      </x:c>
      <x:c r="B72" s="4" t="str">
        <x:f>IFERROR(INDEX('Material routes'!$F$6:$F$2205,MATCH(U72,'Material routes'!$A$6:$A$2205,0)),"MISSING ID")</x:f>
        <x:v>T0</x:v>
      </x:c>
      <x:c r="C72" s="4" t="str">
        <x:f>IFERROR(INDEX('Material routes'!$H$6:$H$2205,MATCH(U72,'Material routes'!$A$6:$A$2205,0)),"MISSING ID")</x:f>
        <x:v>Raw material</x:v>
      </x:c>
      <x:c r="D72" s="4" t="str">
        <x:f>IFERROR(INDEX('Material routes'!$G$6:$G$2205,MATCH(U72,'Material routes'!$A$6:$A$2205,0)),"MISSING ID")</x:f>
        <x:v>Mineral resources</x:v>
      </x:c>
      <x:c r="E72" s="4" t="str">
        <x:f>IFERROR(INDEX('Material routes'!$C$6:$C$2205,MATCH(U72,'Material routes'!$A$6:$A$2205,0)),"MISSING ID")</x:f>
        <x:v>Ingredient candidate</x:v>
      </x:c>
      <x:c r="F72" s="4" t="str">
        <x:f>IFERROR(INDEX('Material routes'!$E$6:$E$2205,MATCH(V72,'Material routes'!$A$6:$A$2205,0)),"MISSING ID")</x:f>
        <x:v>Iron-rich mineral feed</x:v>
      </x:c>
      <x:c r="G72" s="4" t="str">
        <x:f>IFERROR(INDEX('Material routes'!$F$6:$F$2205,MATCH(V72,'Material routes'!$A$6:$A$2205,0)),"MISSING ID")</x:f>
        <x:v>T1</x:v>
      </x:c>
      <x:c r="H72" s="4" t="str">
        <x:f>IFERROR(INDEX('Material routes'!$H$6:$H$2205,MATCH(V72,'Material routes'!$A$6:$A$2205,0)),"MISSING ID")</x:f>
        <x:v>Processed material</x:v>
      </x:c>
      <x:c r="I72" s="4" t="str">
        <x:f>IFERROR(INDEX('Material routes'!$G$6:$G$2205,MATCH(V72,'Material routes'!$A$6:$A$2205,0)),"MISSING ID")</x:f>
        <x:v>Manufactured stock</x:v>
      </x:c>
      <x:c r="J72" s="4" t="str">
        <x:f>IFERROR(INDEX('Material routes'!$B$6:$B$2205,MATCH(U72,'Material routes'!$A$6:$A$2205,0)),"MISSING ID")</x:f>
        <x:v>outline.resource_chain.25</x:v>
      </x:c>
      <x:c r="K72" s="4" t="str">
        <x:f>IFERROR(INDEX('Crafting recipes'!$C$6:$C$1005,MATCH(J72,'Crafting recipes'!$A$6:$A$1005,0)),"MISSING ID")</x:f>
        <x:v>Material refinement</x:v>
      </x:c>
      <x:c r="L72" s="4" t="str">
        <x:f>IFERROR(INDEX('Material routes'!$K$6:$K$2205,MATCH(U72,'Material routes'!$A$6:$A$2205,0)),"MISSING ID")</x:f>
        <x:v>Concept outline</x:v>
      </x:c>
      <x:c r="M72" s="4" t="str">
        <x:f>IFERROR(INDEX('Material routes'!$M$6:$M$2205,MATCH(U72,'Material routes'!$A$6:$A$2205,0)),"MISSING ID")</x:f>
        <x:v>Concept outline</x:v>
      </x:c>
      <x:c r="N72" s="4" t="str">
        <x:f>IF(IFERROR(INDEX('Material routes'!$I$6:$I$1005,MATCH(U72,'Material routes'!$A$6:$A$1005,0)),"MISSING ID")=0,"",IFERROR(INDEX('Material routes'!$I$6:$I$1005,MATCH(U72,'Material routes'!$A$6:$A$1005,0)),"MISSING ID"))</x:f>
      </x:c>
      <x:c r="O72" s="4" t="str">
        <x:f>IFERROR(INDEX('Material routes'!$J$6:$J$2205,MATCH(U72,'Material routes'!$A$6:$A$2205,0)),"MISSING ID")</x:f>
        <x:v>Unspecified</x:v>
      </x:c>
      <x:c r="P72" s="4" t="str">
        <x:f>IF(IFERROR(INDEX('Material routes'!$I$6:$I$1005,MATCH(V72,'Material routes'!$A$6:$A$1005,0)),"MISSING ID")=0,"",IFERROR(INDEX('Material routes'!$I$6:$I$1005,MATCH(V72,'Material routes'!$A$6:$A$1005,0)),"MISSING ID"))</x:f>
      </x:c>
      <x:c r="Q72" s="4" t="str">
        <x:f>IFERROR(INDEX('Material routes'!$J$6:$J$2205,MATCH(V72,'Material routes'!$A$6:$A$2205,0)),"MISSING ID")</x:f>
        <x:v>Unspecified</x:v>
      </x:c>
      <x:c r="R72" s="4" t="str">
        <x:f>IF(L72="Withheld","Withheld premise",IF(E72="Tool candidate","Reusable prerequisite",IF(K72="Raw entry preparation","Entry-resource preparation",IF(G72="Not applicable",IF(IFERROR(INDEX('Items'!$AI$6:$AI$1005,MATCH(T72,'Items'!$A$6:$A$1005,0)),"MISSING ID")="Finished item","Finished endpoint",IF(IFERROR(INDEX('Items'!$AI$6:$AI$1005,MATCH(T72,'Items'!$A$6:$A$1005,0)),"MISSING ID")="Currency","Currency / no refinement tier","Recovered output / tier not applicable")),IF(OR(IFERROR(INDEX('Crafting recipes'!$H$6:$H$1005,MATCH(J72,'Crafting recipes'!$A$6:$A$1005,0)),"Unassigned")="Unassigned",G72="Unassigned"),"Tier unresolved",IF(IFERROR(VALUE(RIGHT(G72,1))-VALUE(RIGHT(IFERROR(INDEX('Crafting recipes'!$H$6:$H$1005,MATCH(J72,'Crafting recipes'!$A$6:$A$1005,0)),"Unassigned"),1)),0)=1,IF(B72=IFERROR(INDEX('Crafting recipes'!$H$6:$H$1005,MATCH(J72,'Crafting recipes'!$A$6:$A$1005,0)),"Unassigned"),"Advances one material tier","Lower-tier ingredient; route advances one tier"),"Needs tier review"))))))</x:f>
        <x:v>Advances one material tier</x:v>
      </x:c>
      <x:c r="S72" s="4" t="str">
        <x:f>IFERROR(INDEX('Material routes'!$D$6:$D$2205,MATCH(U72,'Material routes'!$A$6:$A$2205,0)),"MISSING ID")</x:f>
        <x:v>proposal.natural.hematite</x:v>
      </x:c>
      <x:c r="T72" s="4" t="str">
        <x:f>IFERROR(INDEX('Material routes'!$D$6:$D$2205,MATCH(V72,'Material routes'!$A$6:$A$2205,0)),"MISSING ID")</x:f>
        <x:v>proposal.natural.iron_feed</x:v>
      </x:c>
      <x:c r="U72" s="4" t="str">
        <x:v>outline.input.25</x:v>
      </x:c>
      <x:c r="V72" s="4" t="str">
        <x:v>outline.output.25</x:v>
      </x:c>
    </x:row>
    <x:row r="73" ht="85" customHeight="1">
      <x:c r="A73" s="4" t="str">
        <x:f>IFERROR(INDEX('Material routes'!$E$6:$E$2205,MATCH(U73,'Material routes'!$A$6:$A$2205,0)),"MISSING ID")</x:f>
        <x:v>Dried tendon bundles</x:v>
      </x:c>
      <x:c r="B73" s="4" t="str">
        <x:f>IFERROR(INDEX('Material routes'!$F$6:$F$2205,MATCH(U73,'Material routes'!$A$6:$A$2205,0)),"MISSING ID")</x:f>
        <x:v>T0</x:v>
      </x:c>
      <x:c r="C73" s="4" t="str">
        <x:f>IFERROR(INDEX('Material routes'!$H$6:$H$2205,MATCH(U73,'Material routes'!$A$6:$A$2205,0)),"MISSING ID")</x:f>
        <x:v>Raw material</x:v>
      </x:c>
      <x:c r="D73" s="4" t="str">
        <x:f>IFERROR(INDEX('Material routes'!$G$6:$G$2205,MATCH(U73,'Material routes'!$A$6:$A$2205,0)),"MISSING ID")</x:f>
        <x:v>Biological resources</x:v>
      </x:c>
      <x:c r="E73" s="4" t="str">
        <x:f>IFERROR(INDEX('Material routes'!$C$6:$C$2205,MATCH(U73,'Material routes'!$A$6:$A$2205,0)),"MISSING ID")</x:f>
        <x:v>Ingredient candidate</x:v>
      </x:c>
      <x:c r="F73" s="4" t="str">
        <x:f>IFERROR(INDEX('Material routes'!$E$6:$E$2205,MATCH(V73,'Material routes'!$A$6:$A$2205,0)),"MISSING ID")</x:f>
        <x:v>Charcoal</x:v>
      </x:c>
      <x:c r="G73" s="4" t="str">
        <x:f>IFERROR(INDEX('Material routes'!$F$6:$F$2205,MATCH(V73,'Material routes'!$A$6:$A$2205,0)),"MISSING ID")</x:f>
        <x:v>T1</x:v>
      </x:c>
      <x:c r="H73" s="4" t="str">
        <x:f>IFERROR(INDEX('Material routes'!$H$6:$H$2205,MATCH(V73,'Material routes'!$A$6:$A$2205,0)),"MISSING ID")</x:f>
        <x:v>Processed material</x:v>
      </x:c>
      <x:c r="I73" s="4" t="str">
        <x:f>IFERROR(INDEX('Material routes'!$G$6:$G$2205,MATCH(V73,'Material routes'!$A$6:$A$2205,0)),"MISSING ID")</x:f>
        <x:v>Manufactured stock</x:v>
      </x:c>
      <x:c r="J73" s="4" t="str">
        <x:f>IFERROR(INDEX('Material routes'!$B$6:$B$2205,MATCH(U73,'Material routes'!$A$6:$A$2205,0)),"MISSING ID")</x:f>
        <x:v>outline.resource_chain.26</x:v>
      </x:c>
      <x:c r="K73" s="4" t="str">
        <x:f>IFERROR(INDEX('Crafting recipes'!$C$6:$C$1005,MATCH(J73,'Crafting recipes'!$A$6:$A$1005,0)),"MISSING ID")</x:f>
        <x:v>Material refinement</x:v>
      </x:c>
      <x:c r="L73" s="4" t="str">
        <x:f>IFERROR(INDEX('Material routes'!$K$6:$K$2205,MATCH(U73,'Material routes'!$A$6:$A$2205,0)),"MISSING ID")</x:f>
        <x:v>Concept outline</x:v>
      </x:c>
      <x:c r="M73" s="4" t="str">
        <x:f>IFERROR(INDEX('Material routes'!$M$6:$M$2205,MATCH(U73,'Material routes'!$A$6:$A$2205,0)),"MISSING ID")</x:f>
        <x:v>Concept outline</x:v>
      </x:c>
      <x:c r="N73" s="4" t="str">
        <x:f>IF(IFERROR(INDEX('Material routes'!$I$6:$I$1005,MATCH(U73,'Material routes'!$A$6:$A$1005,0)),"MISSING ID")=0,"",IFERROR(INDEX('Material routes'!$I$6:$I$1005,MATCH(U73,'Material routes'!$A$6:$A$1005,0)),"MISSING ID"))</x:f>
      </x:c>
      <x:c r="O73" s="4" t="str">
        <x:f>IFERROR(INDEX('Material routes'!$J$6:$J$2205,MATCH(U73,'Material routes'!$A$6:$A$2205,0)),"MISSING ID")</x:f>
        <x:v>Unspecified</x:v>
      </x:c>
      <x:c r="P73" s="4" t="str">
        <x:f>IF(IFERROR(INDEX('Material routes'!$I$6:$I$1005,MATCH(V73,'Material routes'!$A$6:$A$1005,0)),"MISSING ID")=0,"",IFERROR(INDEX('Material routes'!$I$6:$I$1005,MATCH(V73,'Material routes'!$A$6:$A$1005,0)),"MISSING ID"))</x:f>
      </x:c>
      <x:c r="Q73" s="4" t="str">
        <x:f>IFERROR(INDEX('Material routes'!$J$6:$J$2205,MATCH(V73,'Material routes'!$A$6:$A$2205,0)),"MISSING ID")</x:f>
        <x:v>Unspecified</x:v>
      </x:c>
      <x:c r="R73" s="4" t="str">
        <x:f>IF(L73="Withheld","Withheld premise",IF(E73="Tool candidate","Reusable prerequisite",IF(K73="Raw entry preparation","Entry-resource preparation",IF(G73="Not applicable",IF(IFERROR(INDEX('Items'!$AI$6:$AI$1005,MATCH(T73,'Items'!$A$6:$A$1005,0)),"MISSING ID")="Finished item","Finished endpoint",IF(IFERROR(INDEX('Items'!$AI$6:$AI$1005,MATCH(T73,'Items'!$A$6:$A$1005,0)),"MISSING ID")="Currency","Currency / no refinement tier","Recovered output / tier not applicable")),IF(OR(IFERROR(INDEX('Crafting recipes'!$H$6:$H$1005,MATCH(J73,'Crafting recipes'!$A$6:$A$1005,0)),"Unassigned")="Unassigned",G73="Unassigned"),"Tier unresolved",IF(IFERROR(VALUE(RIGHT(G73,1))-VALUE(RIGHT(IFERROR(INDEX('Crafting recipes'!$H$6:$H$1005,MATCH(J73,'Crafting recipes'!$A$6:$A$1005,0)),"Unassigned"),1)),0)=1,IF(B73=IFERROR(INDEX('Crafting recipes'!$H$6:$H$1005,MATCH(J73,'Crafting recipes'!$A$6:$A$1005,0)),"Unassigned"),"Advances one material tier","Lower-tier ingredient; route advances one tier"),"Needs tier review"))))))</x:f>
        <x:v>Advances one material tier</x:v>
      </x:c>
      <x:c r="S73" s="4" t="str">
        <x:f>IFERROR(INDEX('Material routes'!$D$6:$D$2205,MATCH(U73,'Material routes'!$A$6:$A$2205,0)),"MISSING ID")</x:f>
        <x:v>proposal.bio.tendon</x:v>
      </x:c>
      <x:c r="T73" s="4" t="str">
        <x:f>IFERROR(INDEX('Material routes'!$D$6:$D$2205,MATCH(V73,'Material routes'!$A$6:$A$2205,0)),"MISSING ID")</x:f>
        <x:v>proposal.natural.charcoal</x:v>
      </x:c>
      <x:c r="U73" s="4" t="str">
        <x:v>outline.input.26</x:v>
      </x:c>
      <x:c r="V73" s="4" t="str">
        <x:v>outline.output.26</x:v>
      </x:c>
    </x:row>
    <x:row r="74" ht="85" customHeight="1">
      <x:c r="A74" s="4"/>
      <x:c r="B74" s="4"/>
      <x:c r="C74" s="4"/>
      <x:c r="D74" s="4"/>
      <x:c r="E74" s="4"/>
      <x:c r="F74" s="4"/>
      <x:c r="G74" s="4"/>
      <x:c r="H74" s="4"/>
      <x:c r="I74" s="4"/>
      <x:c r="J74" s="4"/>
      <x:c r="K74" s="4"/>
      <x:c r="L74" s="4"/>
      <x:c r="M74" s="4"/>
      <x:c r="N74" s="4"/>
      <x:c r="O74" s="4"/>
      <x:c r="P74" s="4"/>
      <x:c r="Q74" s="4"/>
      <x:c r="R74" s="4"/>
      <x:c r="S74" s="4"/>
      <x:c r="T74" s="4"/>
      <x:c r="U74" s="4"/>
      <x:c r="V74" s="4"/>
    </x:row>
    <x:row r="75" ht="85" customHeight="1">
      <x:c r="A75" s="4" t="str">
        <x:f>IFERROR(INDEX('Material routes'!$E$6:$E$2205,MATCH(U75,'Material routes'!$A$6:$A$2205,0)),"MISSING ID")</x:f>
        <x:v>Shell husks / shed plates</x:v>
      </x:c>
      <x:c r="B75" s="4" t="str">
        <x:f>IFERROR(INDEX('Material routes'!$F$6:$F$2205,MATCH(U75,'Material routes'!$A$6:$A$2205,0)),"MISSING ID")</x:f>
        <x:v>T0</x:v>
      </x:c>
      <x:c r="C75" s="4" t="str">
        <x:f>IFERROR(INDEX('Material routes'!$H$6:$H$2205,MATCH(U75,'Material routes'!$A$6:$A$2205,0)),"MISSING ID")</x:f>
        <x:v>Raw material</x:v>
      </x:c>
      <x:c r="D75" s="4" t="str">
        <x:f>IFERROR(INDEX('Material routes'!$G$6:$G$2205,MATCH(U75,'Material routes'!$A$6:$A$2205,0)),"MISSING ID")</x:f>
        <x:v>Biological resources</x:v>
      </x:c>
      <x:c r="E75" s="4" t="str">
        <x:f>IFERROR(INDEX('Material routes'!$C$6:$C$2205,MATCH(U75,'Material routes'!$A$6:$A$2205,0)),"MISSING ID")</x:f>
        <x:v>Ingredient candidate</x:v>
      </x:c>
      <x:c r="F75" s="4" t="str">
        <x:f>IFERROR(INDEX('Material routes'!$E$6:$E$2205,MATCH(V75,'Material routes'!$A$6:$A$2205,0)),"MISSING ID")</x:f>
        <x:v>Scraped chitin fibers</x:v>
      </x:c>
      <x:c r="G75" s="4" t="str">
        <x:f>IFERROR(INDEX('Material routes'!$F$6:$F$2205,MATCH(V75,'Material routes'!$A$6:$A$2205,0)),"MISSING ID")</x:f>
        <x:v>T0</x:v>
      </x:c>
      <x:c r="H75" s="4" t="str">
        <x:f>IFERROR(INDEX('Material routes'!$H$6:$H$2205,MATCH(V75,'Material routes'!$A$6:$A$2205,0)),"MISSING ID")</x:f>
        <x:v>Raw material</x:v>
      </x:c>
      <x:c r="I75" s="4" t="str">
        <x:f>IFERROR(INDEX('Material routes'!$G$6:$G$2205,MATCH(V75,'Material routes'!$A$6:$A$2205,0)),"MISSING ID")</x:f>
        <x:v>Biological resources</x:v>
      </x:c>
      <x:c r="J75" s="4" t="str">
        <x:f>IFERROR(INDEX('Material routes'!$B$6:$B$2205,MATCH(U75,'Material routes'!$A$6:$A$2205,0)),"MISSING ID")</x:f>
        <x:v>outline.resource_chain.28</x:v>
      </x:c>
      <x:c r="K75" s="4" t="str">
        <x:f>IFERROR(INDEX('Crafting recipes'!$C$6:$C$1005,MATCH(J75,'Crafting recipes'!$A$6:$A$1005,0)),"MISSING ID")</x:f>
        <x:v>Raw entry preparation</x:v>
      </x:c>
      <x:c r="L75" s="4" t="str">
        <x:f>IFERROR(INDEX('Material routes'!$K$6:$K$2205,MATCH(U75,'Material routes'!$A$6:$A$2205,0)),"MISSING ID")</x:f>
        <x:v>Concept outline</x:v>
      </x:c>
      <x:c r="M75" s="4" t="str">
        <x:f>IFERROR(INDEX('Material routes'!$M$6:$M$2205,MATCH(U75,'Material routes'!$A$6:$A$2205,0)),"MISSING ID")</x:f>
        <x:v>Concept outline</x:v>
      </x:c>
      <x:c r="N75" s="4" t="str">
        <x:f>IF(IFERROR(INDEX('Material routes'!$I$6:$I$1005,MATCH(U75,'Material routes'!$A$6:$A$1005,0)),"MISSING ID")=0,"",IFERROR(INDEX('Material routes'!$I$6:$I$1005,MATCH(U75,'Material routes'!$A$6:$A$1005,0)),"MISSING ID"))</x:f>
      </x:c>
      <x:c r="O75" s="4" t="str">
        <x:f>IFERROR(INDEX('Material routes'!$J$6:$J$2205,MATCH(U75,'Material routes'!$A$6:$A$2205,0)),"MISSING ID")</x:f>
        <x:v>Unspecified</x:v>
      </x:c>
      <x:c r="P75" s="4" t="str">
        <x:f>IF(IFERROR(INDEX('Material routes'!$I$6:$I$1005,MATCH(V75,'Material routes'!$A$6:$A$1005,0)),"MISSING ID")=0,"",IFERROR(INDEX('Material routes'!$I$6:$I$1005,MATCH(V75,'Material routes'!$A$6:$A$1005,0)),"MISSING ID"))</x:f>
      </x:c>
      <x:c r="Q75" s="4" t="str">
        <x:f>IFERROR(INDEX('Material routes'!$J$6:$J$2205,MATCH(V75,'Material routes'!$A$6:$A$2205,0)),"MISSING ID")</x:f>
        <x:v>Unspecified</x:v>
      </x:c>
      <x:c r="R75" s="4" t="str">
        <x:f>IF(L75="Withheld","Withheld premise",IF(E75="Tool candidate","Reusable prerequisite",IF(K75="Raw entry preparation","Entry-resource preparation",IF(G75="Not applicable",IF(IFERROR(INDEX('Items'!$AI$6:$AI$1005,MATCH(T75,'Items'!$A$6:$A$1005,0)),"MISSING ID")="Finished item","Finished endpoint",IF(IFERROR(INDEX('Items'!$AI$6:$AI$1005,MATCH(T75,'Items'!$A$6:$A$1005,0)),"MISSING ID")="Currency","Currency / no refinement tier","Recovered output / tier not applicable")),IF(OR(IFERROR(INDEX('Crafting recipes'!$H$6:$H$1005,MATCH(J75,'Crafting recipes'!$A$6:$A$1005,0)),"Unassigned")="Unassigned",G75="Unassigned"),"Tier unresolved",IF(IFERROR(VALUE(RIGHT(G75,1))-VALUE(RIGHT(IFERROR(INDEX('Crafting recipes'!$H$6:$H$1005,MATCH(J75,'Crafting recipes'!$A$6:$A$1005,0)),"Unassigned"),1)),0)=1,IF(B75=IFERROR(INDEX('Crafting recipes'!$H$6:$H$1005,MATCH(J75,'Crafting recipes'!$A$6:$A$1005,0)),"Unassigned"),"Advances one material tier","Lower-tier ingredient; route advances one tier"),"Needs tier review"))))))</x:f>
        <x:v>Entry-resource preparation</x:v>
      </x:c>
      <x:c r="S75" s="4" t="str">
        <x:f>IFERROR(INDEX('Material routes'!$D$6:$D$2205,MATCH(U75,'Material routes'!$A$6:$A$2205,0)),"MISSING ID")</x:f>
        <x:v>proposal.bio.shell</x:v>
      </x:c>
      <x:c r="T75" s="4" t="str">
        <x:f>IFERROR(INDEX('Material routes'!$D$6:$D$2205,MATCH(V75,'Material routes'!$A$6:$A$2205,0)),"MISSING ID")</x:f>
        <x:v>proposal.bio.chitin_fibers</x:v>
      </x:c>
      <x:c r="U75" s="4" t="str">
        <x:v>outline.input.28</x:v>
      </x:c>
      <x:c r="V75" s="4" t="str">
        <x:v>outline.output.28</x:v>
      </x:c>
    </x:row>
    <x:row r="76" ht="85" customHeight="1">
      <x:c r="A76" s="4" t="str">
        <x:f>IFERROR(INDEX('Material routes'!$E$6:$E$2205,MATCH(U76,'Material routes'!$A$6:$A$2205,0)),"MISSING ID")</x:f>
        <x:v>Shell husks / shed plates</x:v>
      </x:c>
      <x:c r="B76" s="4" t="str">
        <x:f>IFERROR(INDEX('Material routes'!$F$6:$F$2205,MATCH(U76,'Material routes'!$A$6:$A$2205,0)),"MISSING ID")</x:f>
        <x:v>T0</x:v>
      </x:c>
      <x:c r="C76" s="4" t="str">
        <x:f>IFERROR(INDEX('Material routes'!$H$6:$H$2205,MATCH(U76,'Material routes'!$A$6:$A$2205,0)),"MISSING ID")</x:f>
        <x:v>Raw material</x:v>
      </x:c>
      <x:c r="D76" s="4" t="str">
        <x:f>IFERROR(INDEX('Material routes'!$G$6:$G$2205,MATCH(U76,'Material routes'!$A$6:$A$2205,0)),"MISSING ID")</x:f>
        <x:v>Biological resources</x:v>
      </x:c>
      <x:c r="E76" s="4" t="str">
        <x:f>IFERROR(INDEX('Material routes'!$C$6:$C$2205,MATCH(U76,'Material routes'!$A$6:$A$2205,0)),"MISSING ID")</x:f>
        <x:v>Ingredient candidate</x:v>
      </x:c>
      <x:c r="F76" s="4" t="str">
        <x:f>IFERROR(INDEX('Material routes'!$E$6:$E$2205,MATCH(V76,'Material routes'!$A$6:$A$2205,0)),"MISSING ID")</x:f>
        <x:v>Scraped icore fibers</x:v>
      </x:c>
      <x:c r="G76" s="4" t="str">
        <x:f>IFERROR(INDEX('Material routes'!$F$6:$F$2205,MATCH(V76,'Material routes'!$A$6:$A$2205,0)),"MISSING ID")</x:f>
        <x:v>T0</x:v>
      </x:c>
      <x:c r="H76" s="4" t="str">
        <x:f>IFERROR(INDEX('Material routes'!$H$6:$H$2205,MATCH(V76,'Material routes'!$A$6:$A$2205,0)),"MISSING ID")</x:f>
        <x:v>Raw material</x:v>
      </x:c>
      <x:c r="I76" s="4" t="str">
        <x:f>IFERROR(INDEX('Material routes'!$G$6:$G$2205,MATCH(V76,'Material routes'!$A$6:$A$2205,0)),"MISSING ID")</x:f>
        <x:v>Biological resources</x:v>
      </x:c>
      <x:c r="J76" s="4" t="str">
        <x:f>IFERROR(INDEX('Material routes'!$B$6:$B$2205,MATCH(U76,'Material routes'!$A$6:$A$2205,0)),"MISSING ID")</x:f>
        <x:v>outline.resource_chain.29</x:v>
      </x:c>
      <x:c r="K76" s="4" t="str">
        <x:f>IFERROR(INDEX('Crafting recipes'!$C$6:$C$1005,MATCH(J76,'Crafting recipes'!$A$6:$A$1005,0)),"MISSING ID")</x:f>
        <x:v>Raw entry preparation</x:v>
      </x:c>
      <x:c r="L76" s="4" t="str">
        <x:f>IFERROR(INDEX('Material routes'!$K$6:$K$2205,MATCH(U76,'Material routes'!$A$6:$A$2205,0)),"MISSING ID")</x:f>
        <x:v>Concept outline</x:v>
      </x:c>
      <x:c r="M76" s="4" t="str">
        <x:f>IFERROR(INDEX('Material routes'!$M$6:$M$2205,MATCH(U76,'Material routes'!$A$6:$A$2205,0)),"MISSING ID")</x:f>
        <x:v>Concept outline</x:v>
      </x:c>
      <x:c r="N76" s="4" t="str">
        <x:f>IF(IFERROR(INDEX('Material routes'!$I$6:$I$1005,MATCH(U76,'Material routes'!$A$6:$A$1005,0)),"MISSING ID")=0,"",IFERROR(INDEX('Material routes'!$I$6:$I$1005,MATCH(U76,'Material routes'!$A$6:$A$1005,0)),"MISSING ID"))</x:f>
      </x:c>
      <x:c r="O76" s="4" t="str">
        <x:f>IFERROR(INDEX('Material routes'!$J$6:$J$2205,MATCH(U76,'Material routes'!$A$6:$A$2205,0)),"MISSING ID")</x:f>
        <x:v>Unspecified</x:v>
      </x:c>
      <x:c r="P76" s="4" t="str">
        <x:f>IF(IFERROR(INDEX('Material routes'!$I$6:$I$1005,MATCH(V76,'Material routes'!$A$6:$A$1005,0)),"MISSING ID")=0,"",IFERROR(INDEX('Material routes'!$I$6:$I$1005,MATCH(V76,'Material routes'!$A$6:$A$1005,0)),"MISSING ID"))</x:f>
      </x:c>
      <x:c r="Q76" s="4" t="str">
        <x:f>IFERROR(INDEX('Material routes'!$J$6:$J$2205,MATCH(V76,'Material routes'!$A$6:$A$2205,0)),"MISSING ID")</x:f>
        <x:v>Unspecified</x:v>
      </x:c>
      <x:c r="R76" s="4" t="str">
        <x:f>IF(L76="Withheld","Withheld premise",IF(E76="Tool candidate","Reusable prerequisite",IF(K76="Raw entry preparation","Entry-resource preparation",IF(G76="Not applicable",IF(IFERROR(INDEX('Items'!$AI$6:$AI$1005,MATCH(T76,'Items'!$A$6:$A$1005,0)),"MISSING ID")="Finished item","Finished endpoint",IF(IFERROR(INDEX('Items'!$AI$6:$AI$1005,MATCH(T76,'Items'!$A$6:$A$1005,0)),"MISSING ID")="Currency","Currency / no refinement tier","Recovered output / tier not applicable")),IF(OR(IFERROR(INDEX('Crafting recipes'!$H$6:$H$1005,MATCH(J76,'Crafting recipes'!$A$6:$A$1005,0)),"Unassigned")="Unassigned",G76="Unassigned"),"Tier unresolved",IF(IFERROR(VALUE(RIGHT(G76,1))-VALUE(RIGHT(IFERROR(INDEX('Crafting recipes'!$H$6:$H$1005,MATCH(J76,'Crafting recipes'!$A$6:$A$1005,0)),"Unassigned"),1)),0)=1,IF(B76=IFERROR(INDEX('Crafting recipes'!$H$6:$H$1005,MATCH(J76,'Crafting recipes'!$A$6:$A$1005,0)),"Unassigned"),"Advances one material tier","Lower-tier ingredient; route advances one tier"),"Needs tier review"))))))</x:f>
        <x:v>Entry-resource preparation</x:v>
      </x:c>
      <x:c r="S76" s="4" t="str">
        <x:f>IFERROR(INDEX('Material routes'!$D$6:$D$2205,MATCH(U76,'Material routes'!$A$6:$A$2205,0)),"MISSING ID")</x:f>
        <x:v>proposal.bio.shell</x:v>
      </x:c>
      <x:c r="T76" s="4" t="str">
        <x:f>IFERROR(INDEX('Material routes'!$D$6:$D$2205,MATCH(V76,'Material routes'!$A$6:$A$2205,0)),"MISSING ID")</x:f>
        <x:v>proposal.bio.icore_fibers</x:v>
      </x:c>
      <x:c r="U76" s="4" t="str">
        <x:v>outline.input.29</x:v>
      </x:c>
      <x:c r="V76" s="4" t="str">
        <x:v>outline.output.29</x:v>
      </x:c>
    </x:row>
    <x:row r="77" ht="85" customHeight="1">
      <x:c r="A77" s="4"/>
      <x:c r="B77" s="4"/>
      <x:c r="C77" s="4"/>
      <x:c r="D77" s="4"/>
      <x:c r="E77" s="4"/>
      <x:c r="F77" s="4"/>
      <x:c r="G77" s="4"/>
      <x:c r="H77" s="4"/>
      <x:c r="I77" s="4"/>
      <x:c r="J77" s="4"/>
      <x:c r="K77" s="4"/>
      <x:c r="L77" s="4"/>
      <x:c r="M77" s="4"/>
      <x:c r="N77" s="4"/>
      <x:c r="O77" s="4"/>
      <x:c r="P77" s="4"/>
      <x:c r="Q77" s="4"/>
      <x:c r="R77" s="4"/>
      <x:c r="S77" s="4"/>
      <x:c r="T77" s="4"/>
      <x:c r="U77" s="4"/>
      <x:c r="V77" s="4"/>
    </x:row>
    <x:row r="78" ht="85" customHeight="1">
      <x:c r="A78" s="4"/>
      <x:c r="B78" s="4"/>
      <x:c r="C78" s="4"/>
      <x:c r="D78" s="4"/>
      <x:c r="E78" s="4"/>
      <x:c r="F78" s="4"/>
      <x:c r="G78" s="4"/>
      <x:c r="H78" s="4"/>
      <x:c r="I78" s="4"/>
      <x:c r="J78" s="4"/>
      <x:c r="K78" s="4"/>
      <x:c r="L78" s="4"/>
      <x:c r="M78" s="4"/>
      <x:c r="N78" s="4"/>
      <x:c r="O78" s="4"/>
      <x:c r="P78" s="4"/>
      <x:c r="Q78" s="4"/>
      <x:c r="R78" s="4"/>
      <x:c r="S78" s="4"/>
      <x:c r="T78" s="4"/>
      <x:c r="U78" s="4"/>
      <x:c r="V78" s="4"/>
    </x:row>
    <x:row r="79" ht="85" customHeight="1">
      <x:c r="A79" s="4" t="str">
        <x:f>IFERROR(INDEX('Material routes'!$E$6:$E$2205,MATCH(U79,'Material routes'!$A$6:$A$2205,0)),"MISSING ID")</x:f>
        <x:v>Scraped chitin fibers</x:v>
      </x:c>
      <x:c r="B79" s="4" t="str">
        <x:f>IFERROR(INDEX('Material routes'!$F$6:$F$2205,MATCH(U79,'Material routes'!$A$6:$A$2205,0)),"MISSING ID")</x:f>
        <x:v>T0</x:v>
      </x:c>
      <x:c r="C79" s="4" t="str">
        <x:f>IFERROR(INDEX('Material routes'!$H$6:$H$2205,MATCH(U79,'Material routes'!$A$6:$A$2205,0)),"MISSING ID")</x:f>
        <x:v>Raw material</x:v>
      </x:c>
      <x:c r="D79" s="4" t="str">
        <x:f>IFERROR(INDEX('Material routes'!$G$6:$G$2205,MATCH(U79,'Material routes'!$A$6:$A$2205,0)),"MISSING ID")</x:f>
        <x:v>Biological resources</x:v>
      </x:c>
      <x:c r="E79" s="4" t="str">
        <x:f>IFERROR(INDEX('Material routes'!$C$6:$C$2205,MATCH(U79,'Material routes'!$A$6:$A$2205,0)),"MISSING ID")</x:f>
        <x:v>Ingredient candidate</x:v>
      </x:c>
      <x:c r="F79" s="4" t="str">
        <x:f>IFERROR(INDEX('Material routes'!$E$6:$E$2205,MATCH(V79,'Material routes'!$A$6:$A$2205,0)),"MISSING ID")</x:f>
        <x:v>Pressed husk-fiber textile material</x:v>
      </x:c>
      <x:c r="G79" s="4" t="str">
        <x:f>IFERROR(INDEX('Material routes'!$F$6:$F$2205,MATCH(V79,'Material routes'!$A$6:$A$2205,0)),"MISSING ID")</x:f>
        <x:v>T1</x:v>
      </x:c>
      <x:c r="H79" s="4" t="str">
        <x:f>IFERROR(INDEX('Material routes'!$H$6:$H$2205,MATCH(V79,'Material routes'!$A$6:$A$2205,0)),"MISSING ID")</x:f>
        <x:v>Processed material</x:v>
      </x:c>
      <x:c r="I79" s="4" t="str">
        <x:f>IFERROR(INDEX('Material routes'!$G$6:$G$2205,MATCH(V79,'Material routes'!$A$6:$A$2205,0)),"MISSING ID")</x:f>
        <x:v>Crafting components</x:v>
      </x:c>
      <x:c r="J79" s="4" t="str">
        <x:f>IFERROR(INDEX('Material routes'!$B$6:$B$2205,MATCH(U79,'Material routes'!$A$6:$A$2205,0)),"MISSING ID")</x:f>
        <x:v>outline.resource_chain.32</x:v>
      </x:c>
      <x:c r="K79" s="4" t="str">
        <x:f>IFERROR(INDEX('Crafting recipes'!$C$6:$C$1005,MATCH(J79,'Crafting recipes'!$A$6:$A$1005,0)),"MISSING ID")</x:f>
        <x:v>Material refinement</x:v>
      </x:c>
      <x:c r="L79" s="4" t="str">
        <x:f>IFERROR(INDEX('Material routes'!$K$6:$K$2205,MATCH(U79,'Material routes'!$A$6:$A$2205,0)),"MISSING ID")</x:f>
        <x:v>Concept outline</x:v>
      </x:c>
      <x:c r="M79" s="4" t="str">
        <x:f>IFERROR(INDEX('Material routes'!$M$6:$M$2205,MATCH(U79,'Material routes'!$A$6:$A$2205,0)),"MISSING ID")</x:f>
        <x:v>Concept outline</x:v>
      </x:c>
      <x:c r="N79" s="4" t="str">
        <x:f>IF(IFERROR(INDEX('Material routes'!$I$6:$I$1005,MATCH(U79,'Material routes'!$A$6:$A$1005,0)),"MISSING ID")=0,"",IFERROR(INDEX('Material routes'!$I$6:$I$1005,MATCH(U79,'Material routes'!$A$6:$A$1005,0)),"MISSING ID"))</x:f>
      </x:c>
      <x:c r="O79" s="4" t="str">
        <x:f>IFERROR(INDEX('Material routes'!$J$6:$J$2205,MATCH(U79,'Material routes'!$A$6:$A$2205,0)),"MISSING ID")</x:f>
        <x:v>Unspecified</x:v>
      </x:c>
      <x:c r="P79" s="4" t="str">
        <x:f>IF(IFERROR(INDEX('Material routes'!$I$6:$I$1005,MATCH(V79,'Material routes'!$A$6:$A$1005,0)),"MISSING ID")=0,"",IFERROR(INDEX('Material routes'!$I$6:$I$1005,MATCH(V79,'Material routes'!$A$6:$A$1005,0)),"MISSING ID"))</x:f>
      </x:c>
      <x:c r="Q79" s="4" t="str">
        <x:f>IFERROR(INDEX('Material routes'!$J$6:$J$2205,MATCH(V79,'Material routes'!$A$6:$A$2205,0)),"MISSING ID")</x:f>
        <x:v>Unspecified</x:v>
      </x:c>
      <x:c r="R79" s="4" t="str">
        <x:f>IF(L79="Withheld","Withheld premise",IF(E79="Tool candidate","Reusable prerequisite",IF(K79="Raw entry preparation","Entry-resource preparation",IF(G79="Not applicable",IF(IFERROR(INDEX('Items'!$AI$6:$AI$1005,MATCH(T79,'Items'!$A$6:$A$1005,0)),"MISSING ID")="Finished item","Finished endpoint",IF(IFERROR(INDEX('Items'!$AI$6:$AI$1005,MATCH(T79,'Items'!$A$6:$A$1005,0)),"MISSING ID")="Currency","Currency / no refinement tier","Recovered output / tier not applicable")),IF(OR(IFERROR(INDEX('Crafting recipes'!$H$6:$H$1005,MATCH(J79,'Crafting recipes'!$A$6:$A$1005,0)),"Unassigned")="Unassigned",G79="Unassigned"),"Tier unresolved",IF(IFERROR(VALUE(RIGHT(G79,1))-VALUE(RIGHT(IFERROR(INDEX('Crafting recipes'!$H$6:$H$1005,MATCH(J79,'Crafting recipes'!$A$6:$A$1005,0)),"Unassigned"),1)),0)=1,IF(B79=IFERROR(INDEX('Crafting recipes'!$H$6:$H$1005,MATCH(J79,'Crafting recipes'!$A$6:$A$1005,0)),"Unassigned"),"Advances one material tier","Lower-tier ingredient; route advances one tier"),"Needs tier review"))))))</x:f>
        <x:v>Advances one material tier</x:v>
      </x:c>
      <x:c r="S79" s="4" t="str">
        <x:f>IFERROR(INDEX('Material routes'!$D$6:$D$2205,MATCH(U79,'Material routes'!$A$6:$A$2205,0)),"MISSING ID")</x:f>
        <x:v>proposal.bio.chitin_fibers</x:v>
      </x:c>
      <x:c r="T79" s="4" t="str">
        <x:f>IFERROR(INDEX('Material routes'!$D$6:$D$2205,MATCH(V79,'Material routes'!$A$6:$A$2205,0)),"MISSING ID")</x:f>
        <x:v>proposal.bio.pressed_husk</x:v>
      </x:c>
      <x:c r="U79" s="4" t="str">
        <x:v>outline.input.32</x:v>
      </x:c>
      <x:c r="V79" s="4" t="str">
        <x:v>outline.output.32</x:v>
      </x:c>
    </x:row>
    <x:row r="80" ht="85" customHeight="1">
      <x:c r="A80" s="4"/>
      <x:c r="B80" s="4"/>
      <x:c r="C80" s="4"/>
      <x:c r="D80" s="4"/>
      <x:c r="E80" s="4"/>
      <x:c r="F80" s="4"/>
      <x:c r="G80" s="4"/>
      <x:c r="H80" s="4"/>
      <x:c r="I80" s="4"/>
      <x:c r="J80" s="4"/>
      <x:c r="K80" s="4"/>
      <x:c r="L80" s="4"/>
      <x:c r="M80" s="4"/>
      <x:c r="N80" s="4"/>
      <x:c r="O80" s="4"/>
      <x:c r="P80" s="4"/>
      <x:c r="Q80" s="4"/>
      <x:c r="R80" s="4"/>
      <x:c r="S80" s="4"/>
      <x:c r="T80" s="4"/>
      <x:c r="U80" s="4"/>
      <x:c r="V80" s="4"/>
    </x:row>
    <x:row r="81" ht="85" customHeight="1">
      <x:c r="A81" s="4" t="str">
        <x:f>IFERROR(INDEX('Material routes'!$E$6:$E$2205,MATCH(U81,'Material routes'!$A$6:$A$2205,0)),"MISSING ID")</x:f>
        <x:v>Shell laminate</x:v>
      </x:c>
      <x:c r="B81" s="4" t="str">
        <x:f>IFERROR(INDEX('Material routes'!$F$6:$F$2205,MATCH(U81,'Material routes'!$A$6:$A$2205,0)),"MISSING ID")</x:f>
        <x:v>T2</x:v>
      </x:c>
      <x:c r="C81" s="4" t="str">
        <x:f>IFERROR(INDEX('Material routes'!$H$6:$H$2205,MATCH(U81,'Material routes'!$A$6:$A$2205,0)),"MISSING ID")</x:f>
        <x:v>Crafting component</x:v>
      </x:c>
      <x:c r="D81" s="4" t="str">
        <x:f>IFERROR(INDEX('Material routes'!$G$6:$G$2205,MATCH(U81,'Material routes'!$A$6:$A$2205,0)),"MISSING ID")</x:f>
        <x:v>Crafting components</x:v>
      </x:c>
      <x:c r="E81" s="4" t="str">
        <x:f>IFERROR(INDEX('Material routes'!$C$6:$C$2205,MATCH(U81,'Material routes'!$A$6:$A$2205,0)),"MISSING ID")</x:f>
        <x:v>Ingredient candidate</x:v>
      </x:c>
      <x:c r="F81" s="4" t="str">
        <x:f>IFERROR(INDEX('Material routes'!$E$6:$E$2205,MATCH(V81,'Material routes'!$A$6:$A$2205,0)),"MISSING ID")</x:f>
        <x:v>Chest armor</x:v>
      </x:c>
      <x:c r="G81" s="4" t="str">
        <x:f>IFERROR(INDEX('Material routes'!$F$6:$F$2205,MATCH(V81,'Material routes'!$A$6:$A$2205,0)),"MISSING ID")</x:f>
        <x:v>Not applicable</x:v>
      </x:c>
      <x:c r="H81" s="4" t="str">
        <x:f>IFERROR(INDEX('Material routes'!$H$6:$H$2205,MATCH(V81,'Material routes'!$A$6:$A$2205,0)),"MISSING ID")</x:f>
        <x:v>Armor</x:v>
      </x:c>
      <x:c r="I81" s="4" t="str">
        <x:f>IFERROR(INDEX('Material routes'!$G$6:$G$2205,MATCH(V81,'Material routes'!$A$6:$A$2205,0)),"MISSING ID")</x:f>
        <x:v>Armor</x:v>
      </x:c>
      <x:c r="J81" s="4" t="str">
        <x:f>IFERROR(INDEX('Material routes'!$B$6:$B$2205,MATCH(U81,'Material routes'!$A$6:$A$2205,0)),"MISSING ID")</x:f>
        <x:v>design.finished.shell_armor</x:v>
      </x:c>
      <x:c r="K81" s="4" t="str">
        <x:f>IFERROR(INDEX('Crafting recipes'!$C$6:$C$1005,MATCH(J81,'Crafting recipes'!$A$6:$A$1005,0)),"MISSING ID")</x:f>
        <x:v>Finished-item crafting</x:v>
      </x:c>
      <x:c r="L81" s="4" t="str">
        <x:f>IFERROR(INDEX('Material routes'!$K$6:$K$2205,MATCH(U81,'Material routes'!$A$6:$A$2205,0)),"MISSING ID")</x:f>
        <x:v>Proposal</x:v>
      </x:c>
      <x:c r="M81" s="4" t="str">
        <x:f>IFERROR(INDEX('Material routes'!$M$6:$M$2205,MATCH(U81,'Material routes'!$A$6:$A$2205,0)),"MISSING ID")</x:f>
        <x:v>Partial proposal</x:v>
      </x:c>
      <x:c r="N81" s="4" t="str">
        <x:f>IF(IFERROR(INDEX('Material routes'!$I$6:$I$1005,MATCH(U81,'Material routes'!$A$6:$A$1005,0)),"MISSING ID")=0,"",IFERROR(INDEX('Material routes'!$I$6:$I$1005,MATCH(U81,'Material routes'!$A$6:$A$1005,0)),"MISSING ID"))</x:f>
      </x:c>
      <x:c r="O81" s="4" t="str">
        <x:f>IFERROR(INDEX('Material routes'!$J$6:$J$2205,MATCH(U81,'Material routes'!$A$6:$A$2205,0)),"MISSING ID")</x:f>
        <x:v>Unspecified</x:v>
      </x:c>
      <x:c r="P81" s="4" t="str">
        <x:f>IF(IFERROR(INDEX('Material routes'!$I$6:$I$1005,MATCH(V81,'Material routes'!$A$6:$A$1005,0)),"MISSING ID")=0,"",IFERROR(INDEX('Material routes'!$I$6:$I$1005,MATCH(V81,'Material routes'!$A$6:$A$1005,0)),"MISSING ID"))</x:f>
      </x:c>
      <x:c r="Q81" s="4" t="str">
        <x:f>IFERROR(INDEX('Material routes'!$J$6:$J$2205,MATCH(V81,'Material routes'!$A$6:$A$2205,0)),"MISSING ID")</x:f>
        <x:v>Unspecified</x:v>
      </x:c>
      <x:c r="R81" s="4" t="str">
        <x:f>IF(L81="Withheld","Withheld premise",IF(E81="Tool candidate","Reusable prerequisite",IF(K81="Raw entry preparation","Entry-resource preparation",IF(G81="Not applicable",IF(IFERROR(INDEX('Items'!$AI$6:$AI$1005,MATCH(T81,'Items'!$A$6:$A$1005,0)),"MISSING ID")="Finished item","Finished endpoint",IF(IFERROR(INDEX('Items'!$AI$6:$AI$1005,MATCH(T81,'Items'!$A$6:$A$1005,0)),"MISSING ID")="Currency","Currency / no refinement tier","Recovered output / tier not applicable")),IF(OR(IFERROR(INDEX('Crafting recipes'!$H$6:$H$1005,MATCH(J81,'Crafting recipes'!$A$6:$A$1005,0)),"Unassigned")="Unassigned",G81="Unassigned"),"Tier unresolved",IF(IFERROR(VALUE(RIGHT(G81,1))-VALUE(RIGHT(IFERROR(INDEX('Crafting recipes'!$H$6:$H$1005,MATCH(J81,'Crafting recipes'!$A$6:$A$1005,0)),"Unassigned"),1)),0)=1,IF(B81=IFERROR(INDEX('Crafting recipes'!$H$6:$H$1005,MATCH(J81,'Crafting recipes'!$A$6:$A$1005,0)),"Unassigned"),"Advances one material tier","Lower-tier ingredient; route advances one tier"),"Needs tier review"))))))</x:f>
        <x:v>Finished endpoint</x:v>
      </x:c>
      <x:c r="S81" s="4" t="str">
        <x:f>IFERROR(INDEX('Material routes'!$D$6:$D$2205,MATCH(U81,'Material routes'!$A$6:$A$2205,0)),"MISSING ID")</x:f>
        <x:v>proposal.bio.laminate</x:v>
      </x:c>
      <x:c r="T81" s="4" t="str">
        <x:f>IFERROR(INDEX('Material routes'!$D$6:$D$2205,MATCH(V81,'Material routes'!$A$6:$A$2205,0)),"MISSING ID")</x:f>
        <x:v>proposal.gear.chest_armor</x:v>
      </x:c>
      <x:c r="U81" s="4" t="str">
        <x:v>finished.input.shell_armor</x:v>
      </x:c>
      <x:c r="V81" s="4" t="str">
        <x:v>finished.output.shell_armor</x:v>
      </x:c>
    </x:row>
    <x:row r="82" ht="85" customHeight="1">
      <x:c r="A82" s="4" t="str">
        <x:f>IFERROR(INDEX('Material routes'!$E$6:$E$2205,MATCH(U82,'Material routes'!$A$6:$A$2205,0)),"MISSING ID")</x:f>
        <x:v>Prepared ceramic body feed</x:v>
      </x:c>
      <x:c r="B82" s="4" t="str">
        <x:f>IFERROR(INDEX('Material routes'!$F$6:$F$2205,MATCH(U82,'Material routes'!$A$6:$A$2205,0)),"MISSING ID")</x:f>
        <x:v>T1</x:v>
      </x:c>
      <x:c r="C82" s="4" t="str">
        <x:f>IFERROR(INDEX('Material routes'!$H$6:$H$2205,MATCH(U82,'Material routes'!$A$6:$A$2205,0)),"MISSING ID")</x:f>
        <x:v>Processed material</x:v>
      </x:c>
      <x:c r="D82" s="4" t="str">
        <x:f>IFERROR(INDEX('Material routes'!$G$6:$G$2205,MATCH(U82,'Material routes'!$A$6:$A$2205,0)),"MISSING ID")</x:f>
        <x:v>Manufactured stock</x:v>
      </x:c>
      <x:c r="E82" s="4" t="str">
        <x:f>IFERROR(INDEX('Material routes'!$C$6:$C$2205,MATCH(U82,'Material routes'!$A$6:$A$2205,0)),"MISSING ID")</x:f>
        <x:v>Ingredient candidate</x:v>
      </x:c>
      <x:c r="F82" s="4" t="str">
        <x:f>IFERROR(INDEX('Material routes'!$E$6:$E$2205,MATCH(V82,'Material routes'!$A$6:$A$2205,0)),"MISSING ID")</x:f>
        <x:v>Plain ceramic eating bowl</x:v>
      </x:c>
      <x:c r="G82" s="4" t="str">
        <x:f>IFERROR(INDEX('Material routes'!$F$6:$F$2205,MATCH(V82,'Material routes'!$A$6:$A$2205,0)),"MISSING ID")</x:f>
        <x:v>Not applicable</x:v>
      </x:c>
      <x:c r="H82" s="4" t="str">
        <x:f>IFERROR(INDEX('Material routes'!$H$6:$H$2205,MATCH(V82,'Material routes'!$A$6:$A$2205,0)),"MISSING ID")</x:f>
        <x:v>Household utensil</x:v>
      </x:c>
      <x:c r="I82" s="4" t="str">
        <x:f>IFERROR(INDEX('Material routes'!$G$6:$G$2205,MATCH(V82,'Material routes'!$A$6:$A$2205,0)),"MISSING ID")</x:f>
        <x:v>Salvage</x:v>
      </x:c>
      <x:c r="J82" s="4" t="str">
        <x:f>IFERROR(INDEX('Material routes'!$B$6:$B$2205,MATCH(U82,'Material routes'!$A$6:$A$2205,0)),"MISSING ID")</x:f>
        <x:v>design.finished.ceramic_bowl</x:v>
      </x:c>
      <x:c r="K82" s="4" t="str">
        <x:f>IFERROR(INDEX('Crafting recipes'!$C$6:$C$1005,MATCH(J82,'Crafting recipes'!$A$6:$A$1005,0)),"MISSING ID")</x:f>
        <x:v>Finished-item crafting</x:v>
      </x:c>
      <x:c r="L82" s="4" t="str">
        <x:f>IFERROR(INDEX('Material routes'!$K$6:$K$2205,MATCH(U82,'Material routes'!$A$6:$A$2205,0)),"MISSING ID")</x:f>
        <x:v>Proposal</x:v>
      </x:c>
      <x:c r="M82" s="4" t="str">
        <x:f>IFERROR(INDEX('Material routes'!$M$6:$M$2205,MATCH(U82,'Material routes'!$A$6:$A$2205,0)),"MISSING ID")</x:f>
        <x:v>Partial proposal</x:v>
      </x:c>
      <x:c r="N82" s="4" t="str">
        <x:f>IF(IFERROR(INDEX('Material routes'!$I$6:$I$1005,MATCH(U82,'Material routes'!$A$6:$A$1005,0)),"MISSING ID")=0,"",IFERROR(INDEX('Material routes'!$I$6:$I$1005,MATCH(U82,'Material routes'!$A$6:$A$1005,0)),"MISSING ID"))</x:f>
      </x:c>
      <x:c r="O82" s="4" t="str">
        <x:f>IFERROR(INDEX('Material routes'!$J$6:$J$2205,MATCH(U82,'Material routes'!$A$6:$A$2205,0)),"MISSING ID")</x:f>
        <x:v>Unspecified</x:v>
      </x:c>
      <x:c r="P82" s="4" t="str">
        <x:f>IF(IFERROR(INDEX('Material routes'!$I$6:$I$1005,MATCH(V82,'Material routes'!$A$6:$A$1005,0)),"MISSING ID")=0,"",IFERROR(INDEX('Material routes'!$I$6:$I$1005,MATCH(V82,'Material routes'!$A$6:$A$1005,0)),"MISSING ID"))</x:f>
      </x:c>
      <x:c r="Q82" s="4" t="str">
        <x:f>IFERROR(INDEX('Material routes'!$J$6:$J$2205,MATCH(V82,'Material routes'!$A$6:$A$2205,0)),"MISSING ID")</x:f>
        <x:v>Unspecified</x:v>
      </x:c>
      <x:c r="R82" s="4" t="str">
        <x:f>IF(L82="Withheld","Withheld premise",IF(E82="Tool candidate","Reusable prerequisite",IF(K82="Raw entry preparation","Entry-resource preparation",IF(G82="Not applicable",IF(IFERROR(INDEX('Items'!$AI$6:$AI$1005,MATCH(T82,'Items'!$A$6:$A$1005,0)),"MISSING ID")="Finished item","Finished endpoint",IF(IFERROR(INDEX('Items'!$AI$6:$AI$1005,MATCH(T82,'Items'!$A$6:$A$1005,0)),"MISSING ID")="Currency","Currency / no refinement tier","Recovered output / tier not applicable")),IF(OR(IFERROR(INDEX('Crafting recipes'!$H$6:$H$1005,MATCH(J82,'Crafting recipes'!$A$6:$A$1005,0)),"Unassigned")="Unassigned",G82="Unassigned"),"Tier unresolved",IF(IFERROR(VALUE(RIGHT(G82,1))-VALUE(RIGHT(IFERROR(INDEX('Crafting recipes'!$H$6:$H$1005,MATCH(J82,'Crafting recipes'!$A$6:$A$1005,0)),"Unassigned"),1)),0)=1,IF(B82=IFERROR(INDEX('Crafting recipes'!$H$6:$H$1005,MATCH(J82,'Crafting recipes'!$A$6:$A$1005,0)),"Unassigned"),"Advances one material tier","Lower-tier ingredient; route advances one tier"),"Needs tier review"))))))</x:f>
        <x:v>Finished endpoint</x:v>
      </x:c>
      <x:c r="S82" s="4" t="str">
        <x:f>IFERROR(INDEX('Material routes'!$D$6:$D$2205,MATCH(U82,'Material routes'!$A$6:$A$2205,0)),"MISSING ID")</x:f>
        <x:v>proposal.ceramic.body_feed</x:v>
      </x:c>
      <x:c r="T82" s="4" t="str">
        <x:f>IFERROR(INDEX('Material routes'!$D$6:$D$2205,MATCH(V82,'Material routes'!$A$6:$A$2205,0)),"MISSING ID")</x:f>
        <x:v>proposal.ceramic.bowl</x:v>
      </x:c>
      <x:c r="U82" s="4" t="str">
        <x:v>finished.input.ceramic_bowl</x:v>
      </x:c>
      <x:c r="V82" s="4" t="str">
        <x:v>finished.output.ceramic_bowl</x:v>
      </x:c>
    </x:row>
    <x:row r="83" ht="85" customHeight="1">
      <x:c r="A83" s="4"/>
      <x:c r="B83" s="4"/>
      <x:c r="C83" s="4"/>
      <x:c r="D83" s="4"/>
      <x:c r="E83" s="4"/>
      <x:c r="F83" s="4"/>
      <x:c r="G83" s="4"/>
      <x:c r="H83" s="4"/>
      <x:c r="I83" s="4"/>
      <x:c r="J83" s="4"/>
      <x:c r="K83" s="4"/>
      <x:c r="L83" s="4"/>
      <x:c r="M83" s="4"/>
      <x:c r="N83" s="4"/>
      <x:c r="O83" s="4"/>
      <x:c r="P83" s="4"/>
      <x:c r="Q83" s="4"/>
      <x:c r="R83" s="4"/>
      <x:c r="S83" s="4"/>
      <x:c r="T83" s="4"/>
      <x:c r="U83" s="4"/>
      <x:c r="V83" s="4"/>
    </x:row>
    <x:row r="84" ht="85" customHeight="1">
      <x:c r="A84" s="4"/>
      <x:c r="B84" s="4"/>
      <x:c r="C84" s="4"/>
      <x:c r="D84" s="4"/>
      <x:c r="E84" s="4"/>
      <x:c r="F84" s="4"/>
      <x:c r="G84" s="4"/>
      <x:c r="H84" s="4"/>
      <x:c r="I84" s="4"/>
      <x:c r="J84" s="4"/>
      <x:c r="K84" s="4"/>
      <x:c r="L84" s="4"/>
      <x:c r="M84" s="4"/>
      <x:c r="N84" s="4"/>
      <x:c r="O84" s="4"/>
      <x:c r="P84" s="4"/>
      <x:c r="Q84" s="4"/>
      <x:c r="R84" s="4"/>
      <x:c r="S84" s="4"/>
      <x:c r="T84" s="4"/>
      <x:c r="U84" s="4"/>
      <x:c r="V84" s="4"/>
    </x:row>
    <x:row r="85" ht="105" customHeight="1">
      <x:c r="A85" s="4"/>
      <x:c r="B85" s="4"/>
      <x:c r="C85" s="4"/>
      <x:c r="D85" s="4"/>
      <x:c r="E85" s="4"/>
      <x:c r="F85" s="4"/>
      <x:c r="G85" s="4"/>
      <x:c r="H85" s="4"/>
      <x:c r="I85" s="4"/>
      <x:c r="J85" s="4"/>
      <x:c r="K85" s="4"/>
      <x:c r="L85" s="4"/>
      <x:c r="M85" s="4"/>
      <x:c r="N85" s="4"/>
      <x:c r="O85" s="4"/>
      <x:c r="P85" s="4"/>
      <x:c r="Q85" s="4"/>
      <x:c r="R85" s="4"/>
      <x:c r="S85" s="4"/>
      <x:c r="T85" s="4"/>
      <x:c r="U85" s="4"/>
      <x:c r="V85" s="4"/>
    </x:row>
    <x:row r="86" ht="105" customHeight="1">
      <x:c r="A86" s="4"/>
      <x:c r="B86" s="4"/>
      <x:c r="C86" s="4"/>
      <x:c r="D86" s="4"/>
      <x:c r="E86" s="4"/>
      <x:c r="F86" s="4"/>
      <x:c r="G86" s="4"/>
      <x:c r="H86" s="4"/>
      <x:c r="I86" s="4"/>
      <x:c r="J86" s="4"/>
      <x:c r="K86" s="4"/>
      <x:c r="L86" s="4"/>
      <x:c r="M86" s="4"/>
      <x:c r="N86" s="4"/>
      <x:c r="O86" s="4"/>
      <x:c r="P86" s="4"/>
      <x:c r="Q86" s="4"/>
      <x:c r="R86" s="4"/>
      <x:c r="S86" s="4"/>
      <x:c r="T86" s="4"/>
      <x:c r="U86" s="4"/>
      <x:c r="V86" s="4"/>
    </x:row>
    <x:row r="87" ht="105" customHeight="1">
      <x:c r="A87" s="4" t="str">
        <x:f>IFERROR(INDEX('Material routes'!$E$6:$E$2205,MATCH(U87,'Material routes'!$A$6:$A$2205,0)),"MISSING ID")</x:f>
        <x:v>Alumina-rich rock</x:v>
      </x:c>
      <x:c r="B87" s="4" t="str">
        <x:f>IFERROR(INDEX('Material routes'!$F$6:$F$2205,MATCH(U87,'Material routes'!$A$6:$A$2205,0)),"MISSING ID")</x:f>
        <x:v>T0</x:v>
      </x:c>
      <x:c r="C87" s="4" t="str">
        <x:f>IFERROR(INDEX('Material routes'!$H$6:$H$2205,MATCH(U87,'Material routes'!$A$6:$A$2205,0)),"MISSING ID")</x:f>
        <x:v>Raw material</x:v>
      </x:c>
      <x:c r="D87" s="4" t="str">
        <x:f>IFERROR(INDEX('Material routes'!$G$6:$G$2205,MATCH(U87,'Material routes'!$A$6:$A$2205,0)),"MISSING ID")</x:f>
        <x:v>Mineral resources</x:v>
      </x:c>
      <x:c r="E87" s="4" t="str">
        <x:f>IFERROR(INDEX('Material routes'!$C$6:$C$2205,MATCH(U87,'Material routes'!$A$6:$A$2205,0)),"MISSING ID")</x:f>
        <x:v>Ingredient candidate</x:v>
      </x:c>
      <x:c r="F87" s="4" t="str">
        <x:f>IFERROR(INDEX('Material routes'!$E$6:$E$2205,MATCH(V87,'Material routes'!$A$6:$A$2205,0)),"MISSING ID")</x:f>
        <x:v>Graded refractory mineral feed</x:v>
      </x:c>
      <x:c r="G87" s="4" t="str">
        <x:f>IFERROR(INDEX('Material routes'!$F$6:$F$2205,MATCH(V87,'Material routes'!$A$6:$A$2205,0)),"MISSING ID")</x:f>
        <x:v>T1</x:v>
      </x:c>
      <x:c r="H87" s="4" t="str">
        <x:f>IFERROR(INDEX('Material routes'!$H$6:$H$2205,MATCH(V87,'Material routes'!$A$6:$A$2205,0)),"MISSING ID")</x:f>
        <x:v>Processed material</x:v>
      </x:c>
      <x:c r="I87" s="4" t="str">
        <x:f>IFERROR(INDEX('Material routes'!$G$6:$G$2205,MATCH(V87,'Material routes'!$A$6:$A$2205,0)),"MISSING ID")</x:f>
        <x:v>Manufactured stock</x:v>
      </x:c>
      <x:c r="J87" s="4" t="str">
        <x:f>IFERROR(INDEX('Material routes'!$B$6:$B$2205,MATCH(U87,'Material routes'!$A$6:$A$2205,0)),"MISSING ID")</x:f>
        <x:v>design.branch.branch.refractory_feed</x:v>
      </x:c>
      <x:c r="K87" s="4" t="str">
        <x:f>IFERROR(INDEX('Crafting recipes'!$C$6:$C$1005,MATCH(J87,'Crafting recipes'!$A$6:$A$1005,0)),"MISSING ID")</x:f>
        <x:v>Material refinement</x:v>
      </x:c>
      <x:c r="L87" s="4" t="str">
        <x:f>IFERROR(INDEX('Material routes'!$K$6:$K$2205,MATCH(U87,'Material routes'!$A$6:$A$2205,0)),"MISSING ID")</x:f>
        <x:v>Proposal</x:v>
      </x:c>
      <x:c r="M87" s="4" t="str">
        <x:f>IFERROR(INDEX('Material routes'!$M$6:$M$2205,MATCH(U87,'Material routes'!$A$6:$A$2205,0)),"MISSING ID")</x:f>
        <x:v>Partial proposal</x:v>
      </x:c>
      <x:c r="N87" s="4" t="str">
        <x:f>IF(IFERROR(INDEX('Material routes'!$I$6:$I$1005,MATCH(U87,'Material routes'!$A$6:$A$1005,0)),"MISSING ID")=0,"",IFERROR(INDEX('Material routes'!$I$6:$I$1005,MATCH(U87,'Material routes'!$A$6:$A$1005,0)),"MISSING ID"))</x:f>
      </x:c>
      <x:c r="O87" s="4" t="str">
        <x:f>IFERROR(INDEX('Material routes'!$J$6:$J$2205,MATCH(U87,'Material routes'!$A$6:$A$2205,0)),"MISSING ID")</x:f>
        <x:v>Unspecified</x:v>
      </x:c>
      <x:c r="P87" s="4" t="str">
        <x:f>IF(IFERROR(INDEX('Material routes'!$I$6:$I$1005,MATCH(V87,'Material routes'!$A$6:$A$1005,0)),"MISSING ID")=0,"",IFERROR(INDEX('Material routes'!$I$6:$I$1005,MATCH(V87,'Material routes'!$A$6:$A$1005,0)),"MISSING ID"))</x:f>
      </x:c>
      <x:c r="Q87" s="4" t="str">
        <x:f>IFERROR(INDEX('Material routes'!$J$6:$J$2205,MATCH(V87,'Material routes'!$A$6:$A$2205,0)),"MISSING ID")</x:f>
        <x:v>Unspecified</x:v>
      </x:c>
      <x:c r="R87" s="4" t="str">
        <x:f>IF(L87="Withheld","Withheld premise",IF(E87="Tool candidate","Reusable prerequisite",IF(K87="Raw entry preparation","Entry-resource preparation",IF(G87="Not applicable",IF(IFERROR(INDEX('Items'!$AI$6:$AI$1005,MATCH(T87,'Items'!$A$6:$A$1005,0)),"MISSING ID")="Finished item","Finished endpoint",IF(IFERROR(INDEX('Items'!$AI$6:$AI$1005,MATCH(T87,'Items'!$A$6:$A$1005,0)),"MISSING ID")="Currency","Currency / no refinement tier","Recovered output / tier not applicable")),IF(OR(IFERROR(INDEX('Crafting recipes'!$H$6:$H$1005,MATCH(J87,'Crafting recipes'!$A$6:$A$1005,0)),"MISSING ID")="Unassigned",G87="Unassigned"),"Tier unresolved",IF(IFERROR(VALUE(RIGHT(G87,1))-VALUE(RIGHT(IFERROR(INDEX('Crafting recipes'!$H$6:$H$1005,MATCH(J87,'Crafting recipes'!$A$6:$A$1005,0)),"MISSING ID"),1)),0)=1,IF(B87=IFERROR(INDEX('Crafting recipes'!$H$6:$H$1005,MATCH(J87,'Crafting recipes'!$A$6:$A$1005,0)),"MISSING ID"),"Advances one material tier","Lower-tier ingredient; route advances one tier"),"Needs tier review"))))))</x:f>
        <x:v>Advances one material tier</x:v>
      </x:c>
      <x:c r="S87" s="4" t="str">
        <x:f>IFERROR(INDEX('Material routes'!$D$6:$D$2205,MATCH(U87,'Material routes'!$A$6:$A$2205,0)),"MISSING ID")</x:f>
        <x:v>proposal.natural.alumina</x:v>
      </x:c>
      <x:c r="T87" s="4" t="str">
        <x:f>IFERROR(INDEX('Material routes'!$D$6:$D$2205,MATCH(V87,'Material routes'!$A$6:$A$2205,0)),"MISSING ID")</x:f>
        <x:v>proposal.branch.refractory_feed</x:v>
      </x:c>
      <x:c r="U87" s="4" t="str">
        <x:v>design.branch.branch.refractory_feed.in.1</x:v>
      </x:c>
      <x:c r="V87" s="4" t="str">
        <x:v>design.branch.branch.refractory_feed.out</x:v>
      </x:c>
    </x:row>
    <x:row r="88" ht="105" customHeight="1">
      <x:c r="A88" s="4"/>
      <x:c r="B88" s="4"/>
      <x:c r="C88" s="4"/>
      <x:c r="D88" s="4"/>
      <x:c r="E88" s="4"/>
      <x:c r="F88" s="4"/>
      <x:c r="G88" s="4"/>
      <x:c r="H88" s="4"/>
      <x:c r="I88" s="4"/>
      <x:c r="J88" s="4"/>
      <x:c r="K88" s="4"/>
      <x:c r="L88" s="4"/>
      <x:c r="M88" s="4"/>
      <x:c r="N88" s="4"/>
      <x:c r="O88" s="4"/>
      <x:c r="P88" s="4"/>
      <x:c r="Q88" s="4"/>
      <x:c r="R88" s="4"/>
      <x:c r="S88" s="4"/>
      <x:c r="T88" s="4"/>
      <x:c r="U88" s="4"/>
      <x:c r="V88" s="4"/>
    </x:row>
    <x:row r="89" ht="105" customHeight="1">
      <x:c r="A89" s="4" t="str">
        <x:f>IFERROR(INDEX('Material routes'!$E$6:$E$2205,MATCH(U89,'Material routes'!$A$6:$A$2205,0)),"MISSING ID")</x:f>
        <x:v>Elastic-joint secretion</x:v>
      </x:c>
      <x:c r="B89" s="4" t="str">
        <x:f>IFERROR(INDEX('Material routes'!$F$6:$F$2205,MATCH(U89,'Material routes'!$A$6:$A$2205,0)),"MISSING ID")</x:f>
        <x:v>T0</x:v>
      </x:c>
      <x:c r="C89" s="4" t="str">
        <x:f>IFERROR(INDEX('Material routes'!$H$6:$H$2205,MATCH(U89,'Material routes'!$A$6:$A$2205,0)),"MISSING ID")</x:f>
        <x:v>Chemical material</x:v>
      </x:c>
      <x:c r="D89" s="4" t="str">
        <x:f>IFERROR(INDEX('Material routes'!$G$6:$G$2205,MATCH(U89,'Material routes'!$A$6:$A$2205,0)),"MISSING ID")</x:f>
        <x:v>Biological resources</x:v>
      </x:c>
      <x:c r="E89" s="4" t="str">
        <x:f>IFERROR(INDEX('Material routes'!$C$6:$C$2205,MATCH(U89,'Material routes'!$A$6:$A$2205,0)),"MISSING ID")</x:f>
        <x:v>Ingredient candidate</x:v>
      </x:c>
      <x:c r="F89" s="4" t="str">
        <x:f>IFERROR(INDEX('Material routes'!$E$6:$E$2205,MATCH(V89,'Material routes'!$A$6:$A$2205,0)),"MISSING ID")</x:f>
        <x:v>Prepared flexible faunal binder</x:v>
      </x:c>
      <x:c r="G89" s="4" t="str">
        <x:f>IFERROR(INDEX('Material routes'!$F$6:$F$2205,MATCH(V89,'Material routes'!$A$6:$A$2205,0)),"MISSING ID")</x:f>
        <x:v>T1</x:v>
      </x:c>
      <x:c r="H89" s="4" t="str">
        <x:f>IFERROR(INDEX('Material routes'!$H$6:$H$2205,MATCH(V89,'Material routes'!$A$6:$A$2205,0)),"MISSING ID")</x:f>
        <x:v>Chemical material</x:v>
      </x:c>
      <x:c r="I89" s="4" t="str">
        <x:f>IFERROR(INDEX('Material routes'!$G$6:$G$2205,MATCH(V89,'Material routes'!$A$6:$A$2205,0)),"MISSING ID")</x:f>
        <x:v>Crafting components</x:v>
      </x:c>
      <x:c r="J89" s="4" t="str">
        <x:f>IFERROR(INDEX('Material routes'!$B$6:$B$2205,MATCH(U89,'Material routes'!$A$6:$A$2205,0)),"MISSING ID")</x:f>
        <x:v>design.branch.branch.flex_binder</x:v>
      </x:c>
      <x:c r="K89" s="4" t="str">
        <x:f>IFERROR(INDEX('Crafting recipes'!$C$6:$C$1005,MATCH(J89,'Crafting recipes'!$A$6:$A$1005,0)),"MISSING ID")</x:f>
        <x:v>Material refinement</x:v>
      </x:c>
      <x:c r="L89" s="4" t="str">
        <x:f>IFERROR(INDEX('Material routes'!$K$6:$K$2205,MATCH(U89,'Material routes'!$A$6:$A$2205,0)),"MISSING ID")</x:f>
        <x:v>Proposal</x:v>
      </x:c>
      <x:c r="M89" s="4" t="str">
        <x:f>IFERROR(INDEX('Material routes'!$M$6:$M$2205,MATCH(U89,'Material routes'!$A$6:$A$2205,0)),"MISSING ID")</x:f>
        <x:v>Partial proposal</x:v>
      </x:c>
      <x:c r="N89" s="4" t="str">
        <x:f>IF(IFERROR(INDEX('Material routes'!$I$6:$I$1005,MATCH(U89,'Material routes'!$A$6:$A$1005,0)),"MISSING ID")=0,"",IFERROR(INDEX('Material routes'!$I$6:$I$1005,MATCH(U89,'Material routes'!$A$6:$A$1005,0)),"MISSING ID"))</x:f>
      </x:c>
      <x:c r="O89" s="4" t="str">
        <x:f>IFERROR(INDEX('Material routes'!$J$6:$J$2205,MATCH(U89,'Material routes'!$A$6:$A$2205,0)),"MISSING ID")</x:f>
        <x:v>Unspecified</x:v>
      </x:c>
      <x:c r="P89" s="4" t="str">
        <x:f>IF(IFERROR(INDEX('Material routes'!$I$6:$I$1005,MATCH(V89,'Material routes'!$A$6:$A$1005,0)),"MISSING ID")=0,"",IFERROR(INDEX('Material routes'!$I$6:$I$1005,MATCH(V89,'Material routes'!$A$6:$A$1005,0)),"MISSING ID"))</x:f>
      </x:c>
      <x:c r="Q89" s="4" t="str">
        <x:f>IFERROR(INDEX('Material routes'!$J$6:$J$2205,MATCH(V89,'Material routes'!$A$6:$A$2205,0)),"MISSING ID")</x:f>
        <x:v>Unspecified</x:v>
      </x:c>
      <x:c r="R89" s="4" t="str">
        <x:f>IF(L89="Withheld","Withheld premise",IF(E89="Tool candidate","Reusable prerequisite",IF(K89="Raw entry preparation","Entry-resource preparation",IF(G89="Not applicable",IF(IFERROR(INDEX('Items'!$AI$6:$AI$1005,MATCH(T89,'Items'!$A$6:$A$1005,0)),"MISSING ID")="Finished item","Finished endpoint",IF(IFERROR(INDEX('Items'!$AI$6:$AI$1005,MATCH(T89,'Items'!$A$6:$A$1005,0)),"MISSING ID")="Currency","Currency / no refinement tier","Recovered output / tier not applicable")),IF(OR(IFERROR(INDEX('Crafting recipes'!$H$6:$H$1005,MATCH(J89,'Crafting recipes'!$A$6:$A$1005,0)),"MISSING ID")="Unassigned",G89="Unassigned"),"Tier unresolved",IF(IFERROR(VALUE(RIGHT(G89,1))-VALUE(RIGHT(IFERROR(INDEX('Crafting recipes'!$H$6:$H$1005,MATCH(J89,'Crafting recipes'!$A$6:$A$1005,0)),"MISSING ID"),1)),0)=1,IF(B89=IFERROR(INDEX('Crafting recipes'!$H$6:$H$1005,MATCH(J89,'Crafting recipes'!$A$6:$A$1005,0)),"MISSING ID"),"Advances one material tier","Lower-tier ingredient; route advances one tier"),"Needs tier review"))))))</x:f>
        <x:v>Advances one material tier</x:v>
      </x:c>
      <x:c r="S89" s="4" t="str">
        <x:f>IFERROR(INDEX('Material routes'!$D$6:$D$2205,MATCH(U89,'Material routes'!$A$6:$A$2205,0)),"MISSING ID")</x:f>
        <x:v>proposal.branch.elastic_secretion</x:v>
      </x:c>
      <x:c r="T89" s="4" t="str">
        <x:f>IFERROR(INDEX('Material routes'!$D$6:$D$2205,MATCH(V89,'Material routes'!$A$6:$A$2205,0)),"MISSING ID")</x:f>
        <x:v>proposal.branch.flex_binder</x:v>
      </x:c>
      <x:c r="U89" s="4" t="str">
        <x:v>design.branch.branch.flex_binder.in.1</x:v>
      </x:c>
      <x:c r="V89" s="4" t="str">
        <x:v>design.branch.branch.flex_binder.out</x:v>
      </x:c>
    </x:row>
    <x:row r="90" ht="105" customHeight="1">
      <x:c r="A90" s="4" t="str">
        <x:f>IFERROR(INDEX('Material routes'!$E$6:$E$2205,MATCH(U90,'Material routes'!$A$6:$A$2205,0)),"MISSING ID")</x:f>
        <x:v>Digestive etchant</x:v>
      </x:c>
      <x:c r="B90" s="4" t="str">
        <x:f>IFERROR(INDEX('Material routes'!$F$6:$F$2205,MATCH(U90,'Material routes'!$A$6:$A$2205,0)),"MISSING ID")</x:f>
        <x:v>T0</x:v>
      </x:c>
      <x:c r="C90" s="4" t="str">
        <x:f>IFERROR(INDEX('Material routes'!$H$6:$H$2205,MATCH(U90,'Material routes'!$A$6:$A$2205,0)),"MISSING ID")</x:f>
        <x:v>Chemical material</x:v>
      </x:c>
      <x:c r="D90" s="4" t="str">
        <x:f>IFERROR(INDEX('Material routes'!$G$6:$G$2205,MATCH(U90,'Material routes'!$A$6:$A$2205,0)),"MISSING ID")</x:f>
        <x:v>Biological resources</x:v>
      </x:c>
      <x:c r="E90" s="4" t="str">
        <x:f>IFERROR(INDEX('Material routes'!$C$6:$C$2205,MATCH(U90,'Material routes'!$A$6:$A$2205,0)),"MISSING ID")</x:f>
        <x:v>Ingredient candidate</x:v>
      </x:c>
      <x:c r="F90" s="4" t="str">
        <x:f>IFERROR(INDEX('Material routes'!$E$6:$E$2205,MATCH(V90,'Material routes'!$A$6:$A$2205,0)),"MISSING ID")</x:f>
        <x:v>Conditioned faunal etchant</x:v>
      </x:c>
      <x:c r="G90" s="4" t="str">
        <x:f>IFERROR(INDEX('Material routes'!$F$6:$F$2205,MATCH(V90,'Material routes'!$A$6:$A$2205,0)),"MISSING ID")</x:f>
        <x:v>T1</x:v>
      </x:c>
      <x:c r="H90" s="4" t="str">
        <x:f>IFERROR(INDEX('Material routes'!$H$6:$H$2205,MATCH(V90,'Material routes'!$A$6:$A$2205,0)),"MISSING ID")</x:f>
        <x:v>Chemical material</x:v>
      </x:c>
      <x:c r="I90" s="4" t="str">
        <x:f>IFERROR(INDEX('Material routes'!$G$6:$G$2205,MATCH(V90,'Material routes'!$A$6:$A$2205,0)),"MISSING ID")</x:f>
        <x:v>Crafting components</x:v>
      </x:c>
      <x:c r="J90" s="4" t="str">
        <x:f>IFERROR(INDEX('Material routes'!$B$6:$B$2205,MATCH(U90,'Material routes'!$A$6:$A$2205,0)),"MISSING ID")</x:f>
        <x:v>design.branch.branch.etchant</x:v>
      </x:c>
      <x:c r="K90" s="4" t="str">
        <x:f>IFERROR(INDEX('Crafting recipes'!$C$6:$C$1005,MATCH(J90,'Crafting recipes'!$A$6:$A$1005,0)),"MISSING ID")</x:f>
        <x:v>Material refinement</x:v>
      </x:c>
      <x:c r="L90" s="4" t="str">
        <x:f>IFERROR(INDEX('Material routes'!$K$6:$K$2205,MATCH(U90,'Material routes'!$A$6:$A$2205,0)),"MISSING ID")</x:f>
        <x:v>Proposal</x:v>
      </x:c>
      <x:c r="M90" s="4" t="str">
        <x:f>IFERROR(INDEX('Material routes'!$M$6:$M$2205,MATCH(U90,'Material routes'!$A$6:$A$2205,0)),"MISSING ID")</x:f>
        <x:v>Partial proposal</x:v>
      </x:c>
      <x:c r="N90" s="4" t="str">
        <x:f>IF(IFERROR(INDEX('Material routes'!$I$6:$I$1005,MATCH(U90,'Material routes'!$A$6:$A$1005,0)),"MISSING ID")=0,"",IFERROR(INDEX('Material routes'!$I$6:$I$1005,MATCH(U90,'Material routes'!$A$6:$A$1005,0)),"MISSING ID"))</x:f>
      </x:c>
      <x:c r="O90" s="4" t="str">
        <x:f>IFERROR(INDEX('Material routes'!$J$6:$J$2205,MATCH(U90,'Material routes'!$A$6:$A$2205,0)),"MISSING ID")</x:f>
        <x:v>Unspecified</x:v>
      </x:c>
      <x:c r="P90" s="4" t="str">
        <x:f>IF(IFERROR(INDEX('Material routes'!$I$6:$I$1005,MATCH(V90,'Material routes'!$A$6:$A$1005,0)),"MISSING ID")=0,"",IFERROR(INDEX('Material routes'!$I$6:$I$1005,MATCH(V90,'Material routes'!$A$6:$A$1005,0)),"MISSING ID"))</x:f>
      </x:c>
      <x:c r="Q90" s="4" t="str">
        <x:f>IFERROR(INDEX('Material routes'!$J$6:$J$2205,MATCH(V90,'Material routes'!$A$6:$A$2205,0)),"MISSING ID")</x:f>
        <x:v>Unspecified</x:v>
      </x:c>
      <x:c r="R90" s="4" t="str">
        <x:f>IF(L90="Withheld","Withheld premise",IF(E90="Tool candidate","Reusable prerequisite",IF(K90="Raw entry preparation","Entry-resource preparation",IF(G90="Not applicable",IF(IFERROR(INDEX('Items'!$AI$6:$AI$1005,MATCH(T90,'Items'!$A$6:$A$1005,0)),"MISSING ID")="Finished item","Finished endpoint",IF(IFERROR(INDEX('Items'!$AI$6:$AI$1005,MATCH(T90,'Items'!$A$6:$A$1005,0)),"MISSING ID")="Currency","Currency / no refinement tier","Recovered output / tier not applicable")),IF(OR(IFERROR(INDEX('Crafting recipes'!$H$6:$H$1005,MATCH(J90,'Crafting recipes'!$A$6:$A$1005,0)),"MISSING ID")="Unassigned",G90="Unassigned"),"Tier unresolved",IF(IFERROR(VALUE(RIGHT(G90,1))-VALUE(RIGHT(IFERROR(INDEX('Crafting recipes'!$H$6:$H$1005,MATCH(J90,'Crafting recipes'!$A$6:$A$1005,0)),"MISSING ID"),1)),0)=1,IF(B90=IFERROR(INDEX('Crafting recipes'!$H$6:$H$1005,MATCH(J90,'Crafting recipes'!$A$6:$A$1005,0)),"MISSING ID"),"Advances one material tier","Lower-tier ingredient; route advances one tier"),"Needs tier review"))))))</x:f>
        <x:v>Advances one material tier</x:v>
      </x:c>
      <x:c r="S90" s="4" t="str">
        <x:f>IFERROR(INDEX('Material routes'!$D$6:$D$2205,MATCH(U90,'Material routes'!$A$6:$A$2205,0)),"MISSING ID")</x:f>
        <x:v>proposal.chemical.digestive_etchant</x:v>
      </x:c>
      <x:c r="T90" s="4" t="str">
        <x:f>IFERROR(INDEX('Material routes'!$D$6:$D$2205,MATCH(V90,'Material routes'!$A$6:$A$2205,0)),"MISSING ID")</x:f>
        <x:v>proposal.branch.etchant</x:v>
      </x:c>
      <x:c r="U90" s="4" t="str">
        <x:v>design.branch.branch.etchant.in.1</x:v>
      </x:c>
      <x:c r="V90" s="4" t="str">
        <x:v>design.branch.branch.etchant.out</x:v>
      </x:c>
    </x:row>
    <x:row r="91" ht="105" customHeight="1">
      <x:c r="A91" s="4" t="str">
        <x:f>IFERROR(INDEX('Material routes'!$E$6:$E$2205,MATCH(U91,'Material routes'!$A$6:$A$2205,0)),"MISSING ID")</x:f>
        <x:v>Smelted iron bloom</x:v>
      </x:c>
      <x:c r="B91" s="4" t="str">
        <x:f>IFERROR(INDEX('Material routes'!$F$6:$F$2205,MATCH(U91,'Material routes'!$A$6:$A$2205,0)),"MISSING ID")</x:f>
        <x:v>T1</x:v>
      </x:c>
      <x:c r="C91" s="4" t="str">
        <x:f>IFERROR(INDEX('Material routes'!$H$6:$H$2205,MATCH(U91,'Material routes'!$A$6:$A$2205,0)),"MISSING ID")</x:f>
        <x:v>Processed material</x:v>
      </x:c>
      <x:c r="D91" s="4" t="str">
        <x:f>IFERROR(INDEX('Material routes'!$G$6:$G$2205,MATCH(U91,'Material routes'!$A$6:$A$2205,0)),"MISSING ID")</x:f>
        <x:v>Manufactured stock</x:v>
      </x:c>
      <x:c r="E91" s="4" t="str">
        <x:f>IFERROR(INDEX('Material routes'!$C$6:$C$2205,MATCH(U91,'Material routes'!$A$6:$A$2205,0)),"MISSING ID")</x:f>
        <x:v>Ingredient candidate</x:v>
      </x:c>
      <x:c r="F91" s="4" t="str">
        <x:f>IFERROR(INDEX('Material routes'!$E$6:$E$2205,MATCH(V91,'Material routes'!$A$6:$A$2205,0)),"MISSING ID")</x:f>
        <x:v>Steel stock</x:v>
      </x:c>
      <x:c r="G91" s="4" t="str">
        <x:f>IFERROR(INDEX('Material routes'!$F$6:$F$2205,MATCH(V91,'Material routes'!$A$6:$A$2205,0)),"MISSING ID")</x:f>
        <x:v>T2</x:v>
      </x:c>
      <x:c r="H91" s="4" t="str">
        <x:f>IFERROR(INDEX('Material routes'!$H$6:$H$2205,MATCH(V91,'Material routes'!$A$6:$A$2205,0)),"MISSING ID")</x:f>
        <x:v>Processed material</x:v>
      </x:c>
      <x:c r="I91" s="4" t="str">
        <x:f>IFERROR(INDEX('Material routes'!$G$6:$G$2205,MATCH(V91,'Material routes'!$A$6:$A$2205,0)),"MISSING ID")</x:f>
        <x:v>Manufactured stock</x:v>
      </x:c>
      <x:c r="J91" s="4" t="str">
        <x:f>IFERROR(INDEX('Material routes'!$B$6:$B$2205,MATCH(U91,'Material routes'!$A$6:$A$2205,0)),"MISSING ID")</x:f>
        <x:v>design.branch.metallurgy.steel_stock</x:v>
      </x:c>
      <x:c r="K91" s="4" t="str">
        <x:f>IFERROR(INDEX('Crafting recipes'!$C$6:$C$1005,MATCH(J91,'Crafting recipes'!$A$6:$A$1005,0)),"MISSING ID")</x:f>
        <x:v>Material refinement</x:v>
      </x:c>
      <x:c r="L91" s="4" t="str">
        <x:f>IFERROR(INDEX('Material routes'!$K$6:$K$2205,MATCH(U91,'Material routes'!$A$6:$A$2205,0)),"MISSING ID")</x:f>
        <x:v>Proposal</x:v>
      </x:c>
      <x:c r="M91" s="4" t="str">
        <x:f>IFERROR(INDEX('Material routes'!$M$6:$M$2205,MATCH(U91,'Material routes'!$A$6:$A$2205,0)),"MISSING ID")</x:f>
        <x:v>Partial proposal</x:v>
      </x:c>
      <x:c r="N91" s="4" t="str">
        <x:f>IF(IFERROR(INDEX('Material routes'!$I$6:$I$1005,MATCH(U91,'Material routes'!$A$6:$A$1005,0)),"MISSING ID")=0,"",IFERROR(INDEX('Material routes'!$I$6:$I$1005,MATCH(U91,'Material routes'!$A$6:$A$1005,0)),"MISSING ID"))</x:f>
      </x:c>
      <x:c r="O91" s="4" t="str">
        <x:f>IFERROR(INDEX('Material routes'!$J$6:$J$2205,MATCH(U91,'Material routes'!$A$6:$A$2205,0)),"MISSING ID")</x:f>
        <x:v>Unspecified</x:v>
      </x:c>
      <x:c r="P91" s="4" t="str">
        <x:f>IF(IFERROR(INDEX('Material routes'!$I$6:$I$1005,MATCH(V91,'Material routes'!$A$6:$A$1005,0)),"MISSING ID")=0,"",IFERROR(INDEX('Material routes'!$I$6:$I$1005,MATCH(V91,'Material routes'!$A$6:$A$1005,0)),"MISSING ID"))</x:f>
      </x:c>
      <x:c r="Q91" s="4" t="str">
        <x:f>IFERROR(INDEX('Material routes'!$J$6:$J$2205,MATCH(V91,'Material routes'!$A$6:$A$2205,0)),"MISSING ID")</x:f>
        <x:v>Unspecified</x:v>
      </x:c>
      <x:c r="R91" s="4" t="str">
        <x:f>IF(L91="Withheld","Withheld premise",IF(E91="Tool candidate","Reusable prerequisite",IF(K91="Raw entry preparation","Entry-resource preparation",IF(G91="Not applicable",IF(IFERROR(INDEX('Items'!$AI$6:$AI$1005,MATCH(T91,'Items'!$A$6:$A$1005,0)),"MISSING ID")="Finished item","Finished endpoint",IF(IFERROR(INDEX('Items'!$AI$6:$AI$1005,MATCH(T91,'Items'!$A$6:$A$1005,0)),"MISSING ID")="Currency","Currency / no refinement tier","Recovered output / tier not applicable")),IF(OR(IFERROR(INDEX('Crafting recipes'!$H$6:$H$1005,MATCH(J91,'Crafting recipes'!$A$6:$A$1005,0)),"MISSING ID")="Unassigned",G91="Unassigned"),"Tier unresolved",IF(IFERROR(VALUE(RIGHT(G91,1))-VALUE(RIGHT(IFERROR(INDEX('Crafting recipes'!$H$6:$H$1005,MATCH(J91,'Crafting recipes'!$A$6:$A$1005,0)),"MISSING ID"),1)),0)=1,IF(B91=IFERROR(INDEX('Crafting recipes'!$H$6:$H$1005,MATCH(J91,'Crafting recipes'!$A$6:$A$1005,0)),"MISSING ID"),"Advances one material tier","Lower-tier ingredient; route advances one tier"),"Needs tier review"))))))</x:f>
        <x:v>Advances one material tier</x:v>
      </x:c>
      <x:c r="S91" s="4" t="str">
        <x:f>IFERROR(INDEX('Material routes'!$D$6:$D$2205,MATCH(U91,'Material routes'!$A$6:$A$2205,0)),"MISSING ID")</x:f>
        <x:v>proposal.t1.iron_bloom</x:v>
      </x:c>
      <x:c r="T91" s="4" t="str">
        <x:f>IFERROR(INDEX('Material routes'!$D$6:$D$2205,MATCH(V91,'Material routes'!$A$6:$A$2205,0)),"MISSING ID")</x:f>
        <x:v>author.metallurgy.steel_stock</x:v>
      </x:c>
      <x:c r="U91" s="4" t="str">
        <x:v>design.branch.metallurgy.steel_stock.in.1</x:v>
      </x:c>
      <x:c r="V91" s="4" t="str">
        <x:v>design.branch.metallurgy.steel_stock.out</x:v>
      </x:c>
    </x:row>
    <x:row r="92" ht="105" customHeight="1">
      <x:c r="A92" s="4" t="str">
        <x:f>IFERROR(INDEX('Material routes'!$E$6:$E$2205,MATCH(U92,'Material routes'!$A$6:$A$2205,0)),"MISSING ID")</x:f>
        <x:v>Graded graphite flakes</x:v>
      </x:c>
      <x:c r="B92" s="4" t="str">
        <x:f>IFERROR(INDEX('Material routes'!$F$6:$F$2205,MATCH(U92,'Material routes'!$A$6:$A$2205,0)),"MISSING ID")</x:f>
        <x:v>T1</x:v>
      </x:c>
      <x:c r="C92" s="4" t="str">
        <x:f>IFERROR(INDEX('Material routes'!$H$6:$H$2205,MATCH(U92,'Material routes'!$A$6:$A$2205,0)),"MISSING ID")</x:f>
        <x:v>Processed material</x:v>
      </x:c>
      <x:c r="D92" s="4" t="str">
        <x:f>IFERROR(INDEX('Material routes'!$G$6:$G$2205,MATCH(U92,'Material routes'!$A$6:$A$2205,0)),"MISSING ID")</x:f>
        <x:v>Manufactured stock</x:v>
      </x:c>
      <x:c r="E92" s="4" t="str">
        <x:f>IFERROR(INDEX('Material routes'!$C$6:$C$2205,MATCH(U92,'Material routes'!$A$6:$A$2205,0)),"MISSING ID")</x:f>
        <x:v>Ingredient candidate</x:v>
      </x:c>
      <x:c r="F92" s="4" t="str">
        <x:f>IFERROR(INDEX('Material routes'!$E$6:$E$2205,MATCH(V92,'Material routes'!$A$6:$A$2205,0)),"MISSING ID")</x:f>
        <x:v>Steel stock</x:v>
      </x:c>
      <x:c r="G92" s="4" t="str">
        <x:f>IFERROR(INDEX('Material routes'!$F$6:$F$2205,MATCH(V92,'Material routes'!$A$6:$A$2205,0)),"MISSING ID")</x:f>
        <x:v>T2</x:v>
      </x:c>
      <x:c r="H92" s="4" t="str">
        <x:f>IFERROR(INDEX('Material routes'!$H$6:$H$2205,MATCH(V92,'Material routes'!$A$6:$A$2205,0)),"MISSING ID")</x:f>
        <x:v>Processed material</x:v>
      </x:c>
      <x:c r="I92" s="4" t="str">
        <x:f>IFERROR(INDEX('Material routes'!$G$6:$G$2205,MATCH(V92,'Material routes'!$A$6:$A$2205,0)),"MISSING ID")</x:f>
        <x:v>Manufactured stock</x:v>
      </x:c>
      <x:c r="J92" s="4" t="str">
        <x:f>IFERROR(INDEX('Material routes'!$B$6:$B$2205,MATCH(U92,'Material routes'!$A$6:$A$2205,0)),"MISSING ID")</x:f>
        <x:v>design.branch.metallurgy.steel_stock</x:v>
      </x:c>
      <x:c r="K92" s="4" t="str">
        <x:f>IFERROR(INDEX('Crafting recipes'!$C$6:$C$1005,MATCH(J92,'Crafting recipes'!$A$6:$A$1005,0)),"MISSING ID")</x:f>
        <x:v>Material refinement</x:v>
      </x:c>
      <x:c r="L92" s="4" t="str">
        <x:f>IFERROR(INDEX('Material routes'!$K$6:$K$2205,MATCH(U92,'Material routes'!$A$6:$A$2205,0)),"MISSING ID")</x:f>
        <x:v>Proposal</x:v>
      </x:c>
      <x:c r="M92" s="4" t="str">
        <x:f>IFERROR(INDEX('Material routes'!$M$6:$M$2205,MATCH(U92,'Material routes'!$A$6:$A$2205,0)),"MISSING ID")</x:f>
        <x:v>Partial proposal</x:v>
      </x:c>
      <x:c r="N92" s="4" t="str">
        <x:f>IF(IFERROR(INDEX('Material routes'!$I$6:$I$1005,MATCH(U92,'Material routes'!$A$6:$A$1005,0)),"MISSING ID")=0,"",IFERROR(INDEX('Material routes'!$I$6:$I$1005,MATCH(U92,'Material routes'!$A$6:$A$1005,0)),"MISSING ID"))</x:f>
      </x:c>
      <x:c r="O92" s="4" t="str">
        <x:f>IFERROR(INDEX('Material routes'!$J$6:$J$2205,MATCH(U92,'Material routes'!$A$6:$A$2205,0)),"MISSING ID")</x:f>
        <x:v>Unspecified</x:v>
      </x:c>
      <x:c r="P92" s="4" t="str">
        <x:f>IF(IFERROR(INDEX('Material routes'!$I$6:$I$1005,MATCH(V92,'Material routes'!$A$6:$A$1005,0)),"MISSING ID")=0,"",IFERROR(INDEX('Material routes'!$I$6:$I$1005,MATCH(V92,'Material routes'!$A$6:$A$1005,0)),"MISSING ID"))</x:f>
      </x:c>
      <x:c r="Q92" s="4" t="str">
        <x:f>IFERROR(INDEX('Material routes'!$J$6:$J$2205,MATCH(V92,'Material routes'!$A$6:$A$2205,0)),"MISSING ID")</x:f>
        <x:v>Unspecified</x:v>
      </x:c>
      <x:c r="R92" s="4" t="str">
        <x:f>IF(L92="Withheld","Withheld premise",IF(E92="Tool candidate","Reusable prerequisite",IF(K92="Raw entry preparation","Entry-resource preparation",IF(G92="Not applicable",IF(IFERROR(INDEX('Items'!$AI$6:$AI$1005,MATCH(T92,'Items'!$A$6:$A$1005,0)),"MISSING ID")="Finished item","Finished endpoint",IF(IFERROR(INDEX('Items'!$AI$6:$AI$1005,MATCH(T92,'Items'!$A$6:$A$1005,0)),"MISSING ID")="Currency","Currency / no refinement tier","Recovered output / tier not applicable")),IF(OR(IFERROR(INDEX('Crafting recipes'!$H$6:$H$1005,MATCH(J92,'Crafting recipes'!$A$6:$A$1005,0)),"MISSING ID")="Unassigned",G92="Unassigned"),"Tier unresolved",IF(IFERROR(VALUE(RIGHT(G92,1))-VALUE(RIGHT(IFERROR(INDEX('Crafting recipes'!$H$6:$H$1005,MATCH(J92,'Crafting recipes'!$A$6:$A$1005,0)),"MISSING ID"),1)),0)=1,IF(B92=IFERROR(INDEX('Crafting recipes'!$H$6:$H$1005,MATCH(J92,'Crafting recipes'!$A$6:$A$1005,0)),"MISSING ID"),"Advances one material tier","Lower-tier ingredient; route advances one tier"),"Needs tier review"))))))</x:f>
        <x:v>Advances one material tier</x:v>
      </x:c>
      <x:c r="S92" s="4" t="str">
        <x:f>IFERROR(INDEX('Material routes'!$D$6:$D$2205,MATCH(U92,'Material routes'!$A$6:$A$2205,0)),"MISSING ID")</x:f>
        <x:v>proposal.natural.carbon</x:v>
      </x:c>
      <x:c r="T92" s="4" t="str">
        <x:f>IFERROR(INDEX('Material routes'!$D$6:$D$2205,MATCH(V92,'Material routes'!$A$6:$A$2205,0)),"MISSING ID")</x:f>
        <x:v>author.metallurgy.steel_stock</x:v>
      </x:c>
      <x:c r="U92" s="4" t="str">
        <x:v>design.branch.metallurgy.steel_stock.in.2</x:v>
      </x:c>
      <x:c r="V92" s="4" t="str">
        <x:v>design.branch.metallurgy.steel_stock.out</x:v>
      </x:c>
    </x:row>
    <x:row r="93" ht="105" customHeight="1">
      <x:c r="A93" s="4" t="str">
        <x:f>IFERROR(INDEX('Material routes'!$E$6:$E$2205,MATCH(U93,'Material routes'!$A$6:$A$2205,0)),"MISSING ID")</x:f>
        <x:v>Prepared metallurgical flux</x:v>
      </x:c>
      <x:c r="B93" s="4" t="str">
        <x:f>IFERROR(INDEX('Material routes'!$F$6:$F$2205,MATCH(U93,'Material routes'!$A$6:$A$2205,0)),"MISSING ID")</x:f>
        <x:v>T1</x:v>
      </x:c>
      <x:c r="C93" s="4" t="str">
        <x:f>IFERROR(INDEX('Material routes'!$H$6:$H$2205,MATCH(U93,'Material routes'!$A$6:$A$2205,0)),"MISSING ID")</x:f>
        <x:v>Processed material</x:v>
      </x:c>
      <x:c r="D93" s="4" t="str">
        <x:f>IFERROR(INDEX('Material routes'!$G$6:$G$2205,MATCH(U93,'Material routes'!$A$6:$A$2205,0)),"MISSING ID")</x:f>
        <x:v>Crafting components</x:v>
      </x:c>
      <x:c r="E93" s="4" t="str">
        <x:f>IFERROR(INDEX('Material routes'!$C$6:$C$2205,MATCH(U93,'Material routes'!$A$6:$A$2205,0)),"MISSING ID")</x:f>
        <x:v>Ingredient candidate</x:v>
      </x:c>
      <x:c r="F93" s="4" t="str">
        <x:f>IFERROR(INDEX('Material routes'!$E$6:$E$2205,MATCH(V93,'Material routes'!$A$6:$A$2205,0)),"MISSING ID")</x:f>
        <x:v>Steel stock</x:v>
      </x:c>
      <x:c r="G93" s="4" t="str">
        <x:f>IFERROR(INDEX('Material routes'!$F$6:$F$2205,MATCH(V93,'Material routes'!$A$6:$A$2205,0)),"MISSING ID")</x:f>
        <x:v>T2</x:v>
      </x:c>
      <x:c r="H93" s="4" t="str">
        <x:f>IFERROR(INDEX('Material routes'!$H$6:$H$2205,MATCH(V93,'Material routes'!$A$6:$A$2205,0)),"MISSING ID")</x:f>
        <x:v>Processed material</x:v>
      </x:c>
      <x:c r="I93" s="4" t="str">
        <x:f>IFERROR(INDEX('Material routes'!$G$6:$G$2205,MATCH(V93,'Material routes'!$A$6:$A$2205,0)),"MISSING ID")</x:f>
        <x:v>Manufactured stock</x:v>
      </x:c>
      <x:c r="J93" s="4" t="str">
        <x:f>IFERROR(INDEX('Material routes'!$B$6:$B$2205,MATCH(U93,'Material routes'!$A$6:$A$2205,0)),"MISSING ID")</x:f>
        <x:v>design.branch.metallurgy.steel_stock</x:v>
      </x:c>
      <x:c r="K93" s="4" t="str">
        <x:f>IFERROR(INDEX('Crafting recipes'!$C$6:$C$1005,MATCH(J93,'Crafting recipes'!$A$6:$A$1005,0)),"MISSING ID")</x:f>
        <x:v>Material refinement</x:v>
      </x:c>
      <x:c r="L93" s="4" t="str">
        <x:f>IFERROR(INDEX('Material routes'!$K$6:$K$2205,MATCH(U93,'Material routes'!$A$6:$A$2205,0)),"MISSING ID")</x:f>
        <x:v>Proposal</x:v>
      </x:c>
      <x:c r="M93" s="4" t="str">
        <x:f>IFERROR(INDEX('Material routes'!$M$6:$M$2205,MATCH(U93,'Material routes'!$A$6:$A$2205,0)),"MISSING ID")</x:f>
        <x:v>Partial proposal</x:v>
      </x:c>
      <x:c r="N93" s="4" t="str">
        <x:f>IF(IFERROR(INDEX('Material routes'!$I$6:$I$1005,MATCH(U93,'Material routes'!$A$6:$A$1005,0)),"MISSING ID")=0,"",IFERROR(INDEX('Material routes'!$I$6:$I$1005,MATCH(U93,'Material routes'!$A$6:$A$1005,0)),"MISSING ID"))</x:f>
      </x:c>
      <x:c r="O93" s="4" t="str">
        <x:f>IFERROR(INDEX('Material routes'!$J$6:$J$2205,MATCH(U93,'Material routes'!$A$6:$A$2205,0)),"MISSING ID")</x:f>
        <x:v>Unspecified</x:v>
      </x:c>
      <x:c r="P93" s="4" t="str">
        <x:f>IF(IFERROR(INDEX('Material routes'!$I$6:$I$1005,MATCH(V93,'Material routes'!$A$6:$A$1005,0)),"MISSING ID")=0,"",IFERROR(INDEX('Material routes'!$I$6:$I$1005,MATCH(V93,'Material routes'!$A$6:$A$1005,0)),"MISSING ID"))</x:f>
      </x:c>
      <x:c r="Q93" s="4" t="str">
        <x:f>IFERROR(INDEX('Material routes'!$J$6:$J$2205,MATCH(V93,'Material routes'!$A$6:$A$2205,0)),"MISSING ID")</x:f>
        <x:v>Unspecified</x:v>
      </x:c>
      <x:c r="R93" s="4" t="str">
        <x:f>IF(L93="Withheld","Withheld premise",IF(E93="Tool candidate","Reusable prerequisite",IF(K93="Raw entry preparation","Entry-resource preparation",IF(G93="Not applicable",IF(IFERROR(INDEX('Items'!$AI$6:$AI$1005,MATCH(T93,'Items'!$A$6:$A$1005,0)),"MISSING ID")="Finished item","Finished endpoint",IF(IFERROR(INDEX('Items'!$AI$6:$AI$1005,MATCH(T93,'Items'!$A$6:$A$1005,0)),"MISSING ID")="Currency","Currency / no refinement tier","Recovered output / tier not applicable")),IF(OR(IFERROR(INDEX('Crafting recipes'!$H$6:$H$1005,MATCH(J93,'Crafting recipes'!$A$6:$A$1005,0)),"MISSING ID")="Unassigned",G93="Unassigned"),"Tier unresolved",IF(IFERROR(VALUE(RIGHT(G93,1))-VALUE(RIGHT(IFERROR(INDEX('Crafting recipes'!$H$6:$H$1005,MATCH(J93,'Crafting recipes'!$A$6:$A$1005,0)),"MISSING ID"),1)),0)=1,IF(B93=IFERROR(INDEX('Crafting recipes'!$H$6:$H$1005,MATCH(J93,'Crafting recipes'!$A$6:$A$1005,0)),"MISSING ID"),"Advances one material tier","Lower-tier ingredient; route advances one tier"),"Needs tier review"))))))</x:f>
        <x:v>Advances one material tier</x:v>
      </x:c>
      <x:c r="S93" s="4" t="str">
        <x:f>IFERROR(INDEX('Material routes'!$D$6:$D$2205,MATCH(U93,'Material routes'!$A$6:$A$2205,0)),"MISSING ID")</x:f>
        <x:v>proposal.branch.flux</x:v>
      </x:c>
      <x:c r="T93" s="4" t="str">
        <x:f>IFERROR(INDEX('Material routes'!$D$6:$D$2205,MATCH(V93,'Material routes'!$A$6:$A$2205,0)),"MISSING ID")</x:f>
        <x:v>author.metallurgy.steel_stock</x:v>
      </x:c>
      <x:c r="U93" s="4" t="str">
        <x:v>design.branch.metallurgy.steel_stock.in.3</x:v>
      </x:c>
      <x:c r="V93" s="4" t="str">
        <x:v>design.branch.metallurgy.steel_stock.out</x:v>
      </x:c>
    </x:row>
    <x:row r="94" ht="105" customHeight="1">
      <x:c r="A94" s="4" t="str">
        <x:f>IFERROR(INDEX('Material routes'!$E$6:$E$2205,MATCH(U94,'Material routes'!$A$6:$A$2205,0)),"MISSING ID")</x:f>
        <x:v>Manganese-bearing alloy feed</x:v>
      </x:c>
      <x:c r="B94" s="4" t="str">
        <x:f>IFERROR(INDEX('Material routes'!$F$6:$F$2205,MATCH(U94,'Material routes'!$A$6:$A$2205,0)),"MISSING ID")</x:f>
        <x:v>T1</x:v>
      </x:c>
      <x:c r="C94" s="4" t="str">
        <x:f>IFERROR(INDEX('Material routes'!$H$6:$H$2205,MATCH(U94,'Material routes'!$A$6:$A$2205,0)),"MISSING ID")</x:f>
        <x:v>Processed material</x:v>
      </x:c>
      <x:c r="D94" s="4" t="str">
        <x:f>IFERROR(INDEX('Material routes'!$G$6:$G$2205,MATCH(U94,'Material routes'!$A$6:$A$2205,0)),"MISSING ID")</x:f>
        <x:v>Manufactured stock</x:v>
      </x:c>
      <x:c r="E94" s="4" t="str">
        <x:f>IFERROR(INDEX('Material routes'!$C$6:$C$2205,MATCH(U94,'Material routes'!$A$6:$A$2205,0)),"MISSING ID")</x:f>
        <x:v>Ingredient candidate</x:v>
      </x:c>
      <x:c r="F94" s="4" t="str">
        <x:f>IFERROR(INDEX('Material routes'!$E$6:$E$2205,MATCH(V94,'Material routes'!$A$6:$A$2205,0)),"MISSING ID")</x:f>
        <x:v>Prepared manganese alloying stock</x:v>
      </x:c>
      <x:c r="G94" s="4" t="str">
        <x:f>IFERROR(INDEX('Material routes'!$F$6:$F$2205,MATCH(V94,'Material routes'!$A$6:$A$2205,0)),"MISSING ID")</x:f>
        <x:v>T2</x:v>
      </x:c>
      <x:c r="H94" s="4" t="str">
        <x:f>IFERROR(INDEX('Material routes'!$H$6:$H$2205,MATCH(V94,'Material routes'!$A$6:$A$2205,0)),"MISSING ID")</x:f>
        <x:v>Processed material</x:v>
      </x:c>
      <x:c r="I94" s="4" t="str">
        <x:f>IFERROR(INDEX('Material routes'!$G$6:$G$2205,MATCH(V94,'Material routes'!$A$6:$A$2205,0)),"MISSING ID")</x:f>
        <x:v>Manufactured stock</x:v>
      </x:c>
      <x:c r="J94" s="4" t="str">
        <x:f>IFERROR(INDEX('Material routes'!$B$6:$B$2205,MATCH(U94,'Material routes'!$A$6:$A$2205,0)),"MISSING ID")</x:f>
        <x:v>design.branch.branch.alloy_addition</x:v>
      </x:c>
      <x:c r="K94" s="4" t="str">
        <x:f>IFERROR(INDEX('Crafting recipes'!$C$6:$C$1005,MATCH(J94,'Crafting recipes'!$A$6:$A$1005,0)),"MISSING ID")</x:f>
        <x:v>Material refinement</x:v>
      </x:c>
      <x:c r="L94" s="4" t="str">
        <x:f>IFERROR(INDEX('Material routes'!$K$6:$K$2205,MATCH(U94,'Material routes'!$A$6:$A$2205,0)),"MISSING ID")</x:f>
        <x:v>Proposal</x:v>
      </x:c>
      <x:c r="M94" s="4" t="str">
        <x:f>IFERROR(INDEX('Material routes'!$M$6:$M$2205,MATCH(U94,'Material routes'!$A$6:$A$2205,0)),"MISSING ID")</x:f>
        <x:v>Partial proposal</x:v>
      </x:c>
      <x:c r="N94" s="4" t="str">
        <x:f>IF(IFERROR(INDEX('Material routes'!$I$6:$I$1005,MATCH(U94,'Material routes'!$A$6:$A$1005,0)),"MISSING ID")=0,"",IFERROR(INDEX('Material routes'!$I$6:$I$1005,MATCH(U94,'Material routes'!$A$6:$A$1005,0)),"MISSING ID"))</x:f>
      </x:c>
      <x:c r="O94" s="4" t="str">
        <x:f>IFERROR(INDEX('Material routes'!$J$6:$J$2205,MATCH(U94,'Material routes'!$A$6:$A$2205,0)),"MISSING ID")</x:f>
        <x:v>Unspecified</x:v>
      </x:c>
      <x:c r="P94" s="4" t="str">
        <x:f>IF(IFERROR(INDEX('Material routes'!$I$6:$I$1005,MATCH(V94,'Material routes'!$A$6:$A$1005,0)),"MISSING ID")=0,"",IFERROR(INDEX('Material routes'!$I$6:$I$1005,MATCH(V94,'Material routes'!$A$6:$A$1005,0)),"MISSING ID"))</x:f>
      </x:c>
      <x:c r="Q94" s="4" t="str">
        <x:f>IFERROR(INDEX('Material routes'!$J$6:$J$2205,MATCH(V94,'Material routes'!$A$6:$A$2205,0)),"MISSING ID")</x:f>
        <x:v>Unspecified</x:v>
      </x:c>
      <x:c r="R94" s="4" t="str">
        <x:f>IF(L94="Withheld","Withheld premise",IF(E94="Tool candidate","Reusable prerequisite",IF(K94="Raw entry preparation","Entry-resource preparation",IF(G94="Not applicable",IF(IFERROR(INDEX('Items'!$AI$6:$AI$1005,MATCH(T94,'Items'!$A$6:$A$1005,0)),"MISSING ID")="Finished item","Finished endpoint",IF(IFERROR(INDEX('Items'!$AI$6:$AI$1005,MATCH(T94,'Items'!$A$6:$A$1005,0)),"MISSING ID")="Currency","Currency / no refinement tier","Recovered output / tier not applicable")),IF(OR(IFERROR(INDEX('Crafting recipes'!$H$6:$H$1005,MATCH(J94,'Crafting recipes'!$A$6:$A$1005,0)),"MISSING ID")="Unassigned",G94="Unassigned"),"Tier unresolved",IF(IFERROR(VALUE(RIGHT(G94,1))-VALUE(RIGHT(IFERROR(INDEX('Crafting recipes'!$H$6:$H$1005,MATCH(J94,'Crafting recipes'!$A$6:$A$1005,0)),"MISSING ID"),1)),0)=1,IF(B94=IFERROR(INDEX('Crafting recipes'!$H$6:$H$1005,MATCH(J94,'Crafting recipes'!$A$6:$A$1005,0)),"MISSING ID"),"Advances one material tier","Lower-tier ingredient; route advances one tier"),"Needs tier review"))))))</x:f>
        <x:v>Advances one material tier</x:v>
      </x:c>
      <x:c r="S94" s="4" t="str">
        <x:f>IFERROR(INDEX('Material routes'!$D$6:$D$2205,MATCH(U94,'Material routes'!$A$6:$A$2205,0)),"MISSING ID")</x:f>
        <x:v>proposal.branch.manganese_feed</x:v>
      </x:c>
      <x:c r="T94" s="4" t="str">
        <x:f>IFERROR(INDEX('Material routes'!$D$6:$D$2205,MATCH(V94,'Material routes'!$A$6:$A$2205,0)),"MISSING ID")</x:f>
        <x:v>proposal.branch.alloy_addition</x:v>
      </x:c>
      <x:c r="U94" s="4" t="str">
        <x:v>design.branch.branch.alloy_addition.in.1</x:v>
      </x:c>
      <x:c r="V94" s="4" t="str">
        <x:v>design.branch.branch.alloy_addition.out</x:v>
      </x:c>
    </x:row>
    <x:row r="95" ht="105" customHeight="1">
      <x:c r="A95" s="4" t="str">
        <x:f>IFERROR(INDEX('Material routes'!$E$6:$E$2205,MATCH(U95,'Material routes'!$A$6:$A$2205,0)),"MISSING ID")</x:f>
        <x:v>Graded graphite flakes</x:v>
      </x:c>
      <x:c r="B95" s="4" t="str">
        <x:f>IFERROR(INDEX('Material routes'!$F$6:$F$2205,MATCH(U95,'Material routes'!$A$6:$A$2205,0)),"MISSING ID")</x:f>
        <x:v>T1</x:v>
      </x:c>
      <x:c r="C95" s="4" t="str">
        <x:f>IFERROR(INDEX('Material routes'!$H$6:$H$2205,MATCH(U95,'Material routes'!$A$6:$A$2205,0)),"MISSING ID")</x:f>
        <x:v>Processed material</x:v>
      </x:c>
      <x:c r="D95" s="4" t="str">
        <x:f>IFERROR(INDEX('Material routes'!$G$6:$G$2205,MATCH(U95,'Material routes'!$A$6:$A$2205,0)),"MISSING ID")</x:f>
        <x:v>Manufactured stock</x:v>
      </x:c>
      <x:c r="E95" s="4" t="str">
        <x:f>IFERROR(INDEX('Material routes'!$C$6:$C$2205,MATCH(U95,'Material routes'!$A$6:$A$2205,0)),"MISSING ID")</x:f>
        <x:v>Ingredient candidate</x:v>
      </x:c>
      <x:c r="F95" s="4" t="str">
        <x:f>IFERROR(INDEX('Material routes'!$E$6:$E$2205,MATCH(V95,'Material routes'!$A$6:$A$2205,0)),"MISSING ID")</x:f>
        <x:v>Prepared manganese alloying stock</x:v>
      </x:c>
      <x:c r="G95" s="4" t="str">
        <x:f>IFERROR(INDEX('Material routes'!$F$6:$F$2205,MATCH(V95,'Material routes'!$A$6:$A$2205,0)),"MISSING ID")</x:f>
        <x:v>T2</x:v>
      </x:c>
      <x:c r="H95" s="4" t="str">
        <x:f>IFERROR(INDEX('Material routes'!$H$6:$H$2205,MATCH(V95,'Material routes'!$A$6:$A$2205,0)),"MISSING ID")</x:f>
        <x:v>Processed material</x:v>
      </x:c>
      <x:c r="I95" s="4" t="str">
        <x:f>IFERROR(INDEX('Material routes'!$G$6:$G$2205,MATCH(V95,'Material routes'!$A$6:$A$2205,0)),"MISSING ID")</x:f>
        <x:v>Manufactured stock</x:v>
      </x:c>
      <x:c r="J95" s="4" t="str">
        <x:f>IFERROR(INDEX('Material routes'!$B$6:$B$2205,MATCH(U95,'Material routes'!$A$6:$A$2205,0)),"MISSING ID")</x:f>
        <x:v>design.branch.branch.alloy_addition</x:v>
      </x:c>
      <x:c r="K95" s="4" t="str">
        <x:f>IFERROR(INDEX('Crafting recipes'!$C$6:$C$1005,MATCH(J95,'Crafting recipes'!$A$6:$A$1005,0)),"MISSING ID")</x:f>
        <x:v>Material refinement</x:v>
      </x:c>
      <x:c r="L95" s="4" t="str">
        <x:f>IFERROR(INDEX('Material routes'!$K$6:$K$2205,MATCH(U95,'Material routes'!$A$6:$A$2205,0)),"MISSING ID")</x:f>
        <x:v>Proposal</x:v>
      </x:c>
      <x:c r="M95" s="4" t="str">
        <x:f>IFERROR(INDEX('Material routes'!$M$6:$M$2205,MATCH(U95,'Material routes'!$A$6:$A$2205,0)),"MISSING ID")</x:f>
        <x:v>Partial proposal</x:v>
      </x:c>
      <x:c r="N95" s="4" t="str">
        <x:f>IF(IFERROR(INDEX('Material routes'!$I$6:$I$1005,MATCH(U95,'Material routes'!$A$6:$A$1005,0)),"MISSING ID")=0,"",IFERROR(INDEX('Material routes'!$I$6:$I$1005,MATCH(U95,'Material routes'!$A$6:$A$1005,0)),"MISSING ID"))</x:f>
      </x:c>
      <x:c r="O95" s="4" t="str">
        <x:f>IFERROR(INDEX('Material routes'!$J$6:$J$2205,MATCH(U95,'Material routes'!$A$6:$A$2205,0)),"MISSING ID")</x:f>
        <x:v>Unspecified</x:v>
      </x:c>
      <x:c r="P95" s="4" t="str">
        <x:f>IF(IFERROR(INDEX('Material routes'!$I$6:$I$1005,MATCH(V95,'Material routes'!$A$6:$A$1005,0)),"MISSING ID")=0,"",IFERROR(INDEX('Material routes'!$I$6:$I$1005,MATCH(V95,'Material routes'!$A$6:$A$1005,0)),"MISSING ID"))</x:f>
      </x:c>
      <x:c r="Q95" s="4" t="str">
        <x:f>IFERROR(INDEX('Material routes'!$J$6:$J$2205,MATCH(V95,'Material routes'!$A$6:$A$2205,0)),"MISSING ID")</x:f>
        <x:v>Unspecified</x:v>
      </x:c>
      <x:c r="R95" s="4" t="str">
        <x:f>IF(L95="Withheld","Withheld premise",IF(E95="Tool candidate","Reusable prerequisite",IF(K95="Raw entry preparation","Entry-resource preparation",IF(G95="Not applicable",IF(IFERROR(INDEX('Items'!$AI$6:$AI$1005,MATCH(T95,'Items'!$A$6:$A$1005,0)),"MISSING ID")="Finished item","Finished endpoint",IF(IFERROR(INDEX('Items'!$AI$6:$AI$1005,MATCH(T95,'Items'!$A$6:$A$1005,0)),"MISSING ID")="Currency","Currency / no refinement tier","Recovered output / tier not applicable")),IF(OR(IFERROR(INDEX('Crafting recipes'!$H$6:$H$1005,MATCH(J95,'Crafting recipes'!$A$6:$A$1005,0)),"MISSING ID")="Unassigned",G95="Unassigned"),"Tier unresolved",IF(IFERROR(VALUE(RIGHT(G95,1))-VALUE(RIGHT(IFERROR(INDEX('Crafting recipes'!$H$6:$H$1005,MATCH(J95,'Crafting recipes'!$A$6:$A$1005,0)),"MISSING ID"),1)),0)=1,IF(B95=IFERROR(INDEX('Crafting recipes'!$H$6:$H$1005,MATCH(J95,'Crafting recipes'!$A$6:$A$1005,0)),"MISSING ID"),"Advances one material tier","Lower-tier ingredient; route advances one tier"),"Needs tier review"))))))</x:f>
        <x:v>Advances one material tier</x:v>
      </x:c>
      <x:c r="S95" s="4" t="str">
        <x:f>IFERROR(INDEX('Material routes'!$D$6:$D$2205,MATCH(U95,'Material routes'!$A$6:$A$2205,0)),"MISSING ID")</x:f>
        <x:v>proposal.natural.carbon</x:v>
      </x:c>
      <x:c r="T95" s="4" t="str">
        <x:f>IFERROR(INDEX('Material routes'!$D$6:$D$2205,MATCH(V95,'Material routes'!$A$6:$A$2205,0)),"MISSING ID")</x:f>
        <x:v>proposal.branch.alloy_addition</x:v>
      </x:c>
      <x:c r="U95" s="4" t="str">
        <x:v>design.branch.branch.alloy_addition.in.2</x:v>
      </x:c>
      <x:c r="V95" s="4" t="str">
        <x:v>design.branch.branch.alloy_addition.out</x:v>
      </x:c>
    </x:row>
    <x:row r="96" ht="105" customHeight="1">
      <x:c r="A96" s="4" t="str">
        <x:f>IFERROR(INDEX('Material routes'!$E$6:$E$2205,MATCH(U96,'Material routes'!$A$6:$A$2205,0)),"MISSING ID")</x:f>
        <x:v>Prepared metallurgical flux</x:v>
      </x:c>
      <x:c r="B96" s="4" t="str">
        <x:f>IFERROR(INDEX('Material routes'!$F$6:$F$2205,MATCH(U96,'Material routes'!$A$6:$A$2205,0)),"MISSING ID")</x:f>
        <x:v>T1</x:v>
      </x:c>
      <x:c r="C96" s="4" t="str">
        <x:f>IFERROR(INDEX('Material routes'!$H$6:$H$2205,MATCH(U96,'Material routes'!$A$6:$A$2205,0)),"MISSING ID")</x:f>
        <x:v>Processed material</x:v>
      </x:c>
      <x:c r="D96" s="4" t="str">
        <x:f>IFERROR(INDEX('Material routes'!$G$6:$G$2205,MATCH(U96,'Material routes'!$A$6:$A$2205,0)),"MISSING ID")</x:f>
        <x:v>Crafting components</x:v>
      </x:c>
      <x:c r="E96" s="4" t="str">
        <x:f>IFERROR(INDEX('Material routes'!$C$6:$C$2205,MATCH(U96,'Material routes'!$A$6:$A$2205,0)),"MISSING ID")</x:f>
        <x:v>Ingredient candidate</x:v>
      </x:c>
      <x:c r="F96" s="4" t="str">
        <x:f>IFERROR(INDEX('Material routes'!$E$6:$E$2205,MATCH(V96,'Material routes'!$A$6:$A$2205,0)),"MISSING ID")</x:f>
        <x:v>Prepared manganese alloying stock</x:v>
      </x:c>
      <x:c r="G96" s="4" t="str">
        <x:f>IFERROR(INDEX('Material routes'!$F$6:$F$2205,MATCH(V96,'Material routes'!$A$6:$A$2205,0)),"MISSING ID")</x:f>
        <x:v>T2</x:v>
      </x:c>
      <x:c r="H96" s="4" t="str">
        <x:f>IFERROR(INDEX('Material routes'!$H$6:$H$2205,MATCH(V96,'Material routes'!$A$6:$A$2205,0)),"MISSING ID")</x:f>
        <x:v>Processed material</x:v>
      </x:c>
      <x:c r="I96" s="4" t="str">
        <x:f>IFERROR(INDEX('Material routes'!$G$6:$G$2205,MATCH(V96,'Material routes'!$A$6:$A$2205,0)),"MISSING ID")</x:f>
        <x:v>Manufactured stock</x:v>
      </x:c>
      <x:c r="J96" s="4" t="str">
        <x:f>IFERROR(INDEX('Material routes'!$B$6:$B$2205,MATCH(U96,'Material routes'!$A$6:$A$2205,0)),"MISSING ID")</x:f>
        <x:v>design.branch.branch.alloy_addition</x:v>
      </x:c>
      <x:c r="K96" s="4" t="str">
        <x:f>IFERROR(INDEX('Crafting recipes'!$C$6:$C$1005,MATCH(J96,'Crafting recipes'!$A$6:$A$1005,0)),"MISSING ID")</x:f>
        <x:v>Material refinement</x:v>
      </x:c>
      <x:c r="L96" s="4" t="str">
        <x:f>IFERROR(INDEX('Material routes'!$K$6:$K$2205,MATCH(U96,'Material routes'!$A$6:$A$2205,0)),"MISSING ID")</x:f>
        <x:v>Proposal</x:v>
      </x:c>
      <x:c r="M96" s="4" t="str">
        <x:f>IFERROR(INDEX('Material routes'!$M$6:$M$2205,MATCH(U96,'Material routes'!$A$6:$A$2205,0)),"MISSING ID")</x:f>
        <x:v>Partial proposal</x:v>
      </x:c>
      <x:c r="N96" s="4" t="str">
        <x:f>IF(IFERROR(INDEX('Material routes'!$I$6:$I$1005,MATCH(U96,'Material routes'!$A$6:$A$1005,0)),"MISSING ID")=0,"",IFERROR(INDEX('Material routes'!$I$6:$I$1005,MATCH(U96,'Material routes'!$A$6:$A$1005,0)),"MISSING ID"))</x:f>
      </x:c>
      <x:c r="O96" s="4" t="str">
        <x:f>IFERROR(INDEX('Material routes'!$J$6:$J$2205,MATCH(U96,'Material routes'!$A$6:$A$2205,0)),"MISSING ID")</x:f>
        <x:v>Unspecified</x:v>
      </x:c>
      <x:c r="P96" s="4" t="str">
        <x:f>IF(IFERROR(INDEX('Material routes'!$I$6:$I$1005,MATCH(V96,'Material routes'!$A$6:$A$1005,0)),"MISSING ID")=0,"",IFERROR(INDEX('Material routes'!$I$6:$I$1005,MATCH(V96,'Material routes'!$A$6:$A$1005,0)),"MISSING ID"))</x:f>
      </x:c>
      <x:c r="Q96" s="4" t="str">
        <x:f>IFERROR(INDEX('Material routes'!$J$6:$J$2205,MATCH(V96,'Material routes'!$A$6:$A$2205,0)),"MISSING ID")</x:f>
        <x:v>Unspecified</x:v>
      </x:c>
      <x:c r="R96" s="4" t="str">
        <x:f>IF(L96="Withheld","Withheld premise",IF(E96="Tool candidate","Reusable prerequisite",IF(K96="Raw entry preparation","Entry-resource preparation",IF(G96="Not applicable",IF(IFERROR(INDEX('Items'!$AI$6:$AI$1005,MATCH(T96,'Items'!$A$6:$A$1005,0)),"MISSING ID")="Finished item","Finished endpoint",IF(IFERROR(INDEX('Items'!$AI$6:$AI$1005,MATCH(T96,'Items'!$A$6:$A$1005,0)),"MISSING ID")="Currency","Currency / no refinement tier","Recovered output / tier not applicable")),IF(OR(IFERROR(INDEX('Crafting recipes'!$H$6:$H$1005,MATCH(J96,'Crafting recipes'!$A$6:$A$1005,0)),"MISSING ID")="Unassigned",G96="Unassigned"),"Tier unresolved",IF(IFERROR(VALUE(RIGHT(G96,1))-VALUE(RIGHT(IFERROR(INDEX('Crafting recipes'!$H$6:$H$1005,MATCH(J96,'Crafting recipes'!$A$6:$A$1005,0)),"MISSING ID"),1)),0)=1,IF(B96=IFERROR(INDEX('Crafting recipes'!$H$6:$H$1005,MATCH(J96,'Crafting recipes'!$A$6:$A$1005,0)),"MISSING ID"),"Advances one material tier","Lower-tier ingredient; route advances one tier"),"Needs tier review"))))))</x:f>
        <x:v>Advances one material tier</x:v>
      </x:c>
      <x:c r="S96" s="4" t="str">
        <x:f>IFERROR(INDEX('Material routes'!$D$6:$D$2205,MATCH(U96,'Material routes'!$A$6:$A$2205,0)),"MISSING ID")</x:f>
        <x:v>proposal.branch.flux</x:v>
      </x:c>
      <x:c r="T96" s="4" t="str">
        <x:f>IFERROR(INDEX('Material routes'!$D$6:$D$2205,MATCH(V96,'Material routes'!$A$6:$A$2205,0)),"MISSING ID")</x:f>
        <x:v>proposal.branch.alloy_addition</x:v>
      </x:c>
      <x:c r="U96" s="4" t="str">
        <x:v>design.branch.branch.alloy_addition.in.3</x:v>
      </x:c>
      <x:c r="V96" s="4" t="str">
        <x:v>design.branch.branch.alloy_addition.out</x:v>
      </x:c>
    </x:row>
    <x:row r="97" ht="105" customHeight="1">
      <x:c r="A97" s="4" t="str">
        <x:f>IFERROR(INDEX('Material routes'!$E$6:$E$2205,MATCH(U97,'Material routes'!$A$6:$A$2205,0)),"MISSING ID")</x:f>
        <x:v>Refined copper cake</x:v>
      </x:c>
      <x:c r="B97" s="4" t="str">
        <x:f>IFERROR(INDEX('Material routes'!$F$6:$F$2205,MATCH(U97,'Material routes'!$A$6:$A$2205,0)),"MISSING ID")</x:f>
        <x:v>T1</x:v>
      </x:c>
      <x:c r="C97" s="4" t="str">
        <x:f>IFERROR(INDEX('Material routes'!$H$6:$H$2205,MATCH(U97,'Material routes'!$A$6:$A$2205,0)),"MISSING ID")</x:f>
        <x:v>Processed material</x:v>
      </x:c>
      <x:c r="D97" s="4" t="str">
        <x:f>IFERROR(INDEX('Material routes'!$G$6:$G$2205,MATCH(U97,'Material routes'!$A$6:$A$2205,0)),"MISSING ID")</x:f>
        <x:v>Manufactured stock</x:v>
      </x:c>
      <x:c r="E97" s="4" t="str">
        <x:f>IFERROR(INDEX('Material routes'!$C$6:$C$2205,MATCH(U97,'Material routes'!$A$6:$A$2205,0)),"MISSING ID")</x:f>
        <x:v>Ingredient candidate</x:v>
      </x:c>
      <x:c r="F97" s="4" t="str">
        <x:f>IFERROR(INDEX('Material routes'!$E$6:$E$2205,MATCH(V97,'Material routes'!$A$6:$A$2205,0)),"MISSING ID")</x:f>
        <x:v>Drawn copper stock</x:v>
      </x:c>
      <x:c r="G97" s="4" t="str">
        <x:f>IFERROR(INDEX('Material routes'!$F$6:$F$2205,MATCH(V97,'Material routes'!$A$6:$A$2205,0)),"MISSING ID")</x:f>
        <x:v>T2</x:v>
      </x:c>
      <x:c r="H97" s="4" t="str">
        <x:f>IFERROR(INDEX('Material routes'!$H$6:$H$2205,MATCH(V97,'Material routes'!$A$6:$A$2205,0)),"MISSING ID")</x:f>
        <x:v>Processed material</x:v>
      </x:c>
      <x:c r="I97" s="4" t="str">
        <x:f>IFERROR(INDEX('Material routes'!$G$6:$G$2205,MATCH(V97,'Material routes'!$A$6:$A$2205,0)),"MISSING ID")</x:f>
        <x:v>Manufactured stock</x:v>
      </x:c>
      <x:c r="J97" s="4" t="str">
        <x:f>IFERROR(INDEX('Material routes'!$B$6:$B$2205,MATCH(U97,'Material routes'!$A$6:$A$2205,0)),"MISSING ID")</x:f>
        <x:v>design.branch.branch.drawn_copper</x:v>
      </x:c>
      <x:c r="K97" s="4" t="str">
        <x:f>IFERROR(INDEX('Crafting recipes'!$C$6:$C$1005,MATCH(J97,'Crafting recipes'!$A$6:$A$1005,0)),"MISSING ID")</x:f>
        <x:v>Material refinement</x:v>
      </x:c>
      <x:c r="L97" s="4" t="str">
        <x:f>IFERROR(INDEX('Material routes'!$K$6:$K$2205,MATCH(U97,'Material routes'!$A$6:$A$2205,0)),"MISSING ID")</x:f>
        <x:v>Proposal</x:v>
      </x:c>
      <x:c r="M97" s="4" t="str">
        <x:f>IFERROR(INDEX('Material routes'!$M$6:$M$2205,MATCH(U97,'Material routes'!$A$6:$A$2205,0)),"MISSING ID")</x:f>
        <x:v>Partial proposal</x:v>
      </x:c>
      <x:c r="N97" s="4" t="str">
        <x:f>IF(IFERROR(INDEX('Material routes'!$I$6:$I$1005,MATCH(U97,'Material routes'!$A$6:$A$1005,0)),"MISSING ID")=0,"",IFERROR(INDEX('Material routes'!$I$6:$I$1005,MATCH(U97,'Material routes'!$A$6:$A$1005,0)),"MISSING ID"))</x:f>
      </x:c>
      <x:c r="O97" s="4" t="str">
        <x:f>IFERROR(INDEX('Material routes'!$J$6:$J$2205,MATCH(U97,'Material routes'!$A$6:$A$2205,0)),"MISSING ID")</x:f>
        <x:v>Unspecified</x:v>
      </x:c>
      <x:c r="P97" s="4" t="str">
        <x:f>IF(IFERROR(INDEX('Material routes'!$I$6:$I$1005,MATCH(V97,'Material routes'!$A$6:$A$1005,0)),"MISSING ID")=0,"",IFERROR(INDEX('Material routes'!$I$6:$I$1005,MATCH(V97,'Material routes'!$A$6:$A$1005,0)),"MISSING ID"))</x:f>
      </x:c>
      <x:c r="Q97" s="4" t="str">
        <x:f>IFERROR(INDEX('Material routes'!$J$6:$J$2205,MATCH(V97,'Material routes'!$A$6:$A$2205,0)),"MISSING ID")</x:f>
        <x:v>Unspecified</x:v>
      </x:c>
      <x:c r="R97" s="4" t="str">
        <x:f>IF(L97="Withheld","Withheld premise",IF(E97="Tool candidate","Reusable prerequisite",IF(K97="Raw entry preparation","Entry-resource preparation",IF(G97="Not applicable",IF(IFERROR(INDEX('Items'!$AI$6:$AI$1005,MATCH(T97,'Items'!$A$6:$A$1005,0)),"MISSING ID")="Finished item","Finished endpoint",IF(IFERROR(INDEX('Items'!$AI$6:$AI$1005,MATCH(T97,'Items'!$A$6:$A$1005,0)),"MISSING ID")="Currency","Currency / no refinement tier","Recovered output / tier not applicable")),IF(OR(IFERROR(INDEX('Crafting recipes'!$H$6:$H$1005,MATCH(J97,'Crafting recipes'!$A$6:$A$1005,0)),"MISSING ID")="Unassigned",G97="Unassigned"),"Tier unresolved",IF(IFERROR(VALUE(RIGHT(G97,1))-VALUE(RIGHT(IFERROR(INDEX('Crafting recipes'!$H$6:$H$1005,MATCH(J97,'Crafting recipes'!$A$6:$A$1005,0)),"MISSING ID"),1)),0)=1,IF(B97=IFERROR(INDEX('Crafting recipes'!$H$6:$H$1005,MATCH(J97,'Crafting recipes'!$A$6:$A$1005,0)),"MISSING ID"),"Advances one material tier","Lower-tier ingredient; route advances one tier"),"Needs tier review"))))))</x:f>
        <x:v>Advances one material tier</x:v>
      </x:c>
      <x:c r="S97" s="4" t="str">
        <x:f>IFERROR(INDEX('Material routes'!$D$6:$D$2205,MATCH(U97,'Material routes'!$A$6:$A$2205,0)),"MISSING ID")</x:f>
        <x:v>proposal.t1.copper_cake</x:v>
      </x:c>
      <x:c r="T97" s="4" t="str">
        <x:f>IFERROR(INDEX('Material routes'!$D$6:$D$2205,MATCH(V97,'Material routes'!$A$6:$A$2205,0)),"MISSING ID")</x:f>
        <x:v>proposal.branch.drawn_copper</x:v>
      </x:c>
      <x:c r="U97" s="4" t="str">
        <x:v>design.branch.branch.drawn_copper.in.1</x:v>
      </x:c>
      <x:c r="V97" s="4" t="str">
        <x:v>design.branch.branch.drawn_copper.out</x:v>
      </x:c>
    </x:row>
    <x:row r="98" ht="105" customHeight="1">
      <x:c r="A98" s="4" t="str">
        <x:f>IFERROR(INDEX('Material routes'!$E$6:$E$2205,MATCH(U98,'Material routes'!$A$6:$A$2205,0)),"MISSING ID")</x:f>
        <x:v>Reclaimed bronze billet</x:v>
      </x:c>
      <x:c r="B98" s="4" t="str">
        <x:f>IFERROR(INDEX('Material routes'!$F$6:$F$2205,MATCH(U98,'Material routes'!$A$6:$A$2205,0)),"MISSING ID")</x:f>
        <x:v>T1</x:v>
      </x:c>
      <x:c r="C98" s="4" t="str">
        <x:f>IFERROR(INDEX('Material routes'!$H$6:$H$2205,MATCH(U98,'Material routes'!$A$6:$A$2205,0)),"MISSING ID")</x:f>
        <x:v>Processed material</x:v>
      </x:c>
      <x:c r="D98" s="4" t="str">
        <x:f>IFERROR(INDEX('Material routes'!$G$6:$G$2205,MATCH(U98,'Material routes'!$A$6:$A$2205,0)),"MISSING ID")</x:f>
        <x:v>Manufactured stock</x:v>
      </x:c>
      <x:c r="E98" s="4" t="str">
        <x:f>IFERROR(INDEX('Material routes'!$C$6:$C$2205,MATCH(U98,'Material routes'!$A$6:$A$2205,0)),"MISSING ID")</x:f>
        <x:v>Ingredient candidate</x:v>
      </x:c>
      <x:c r="F98" s="4" t="str">
        <x:f>IFERROR(INDEX('Material routes'!$E$6:$E$2205,MATCH(V98,'Material routes'!$A$6:$A$2205,0)),"MISSING ID")</x:f>
        <x:v>Prepared bronze bearing stock</x:v>
      </x:c>
      <x:c r="G98" s="4" t="str">
        <x:f>IFERROR(INDEX('Material routes'!$F$6:$F$2205,MATCH(V98,'Material routes'!$A$6:$A$2205,0)),"MISSING ID")</x:f>
        <x:v>T2</x:v>
      </x:c>
      <x:c r="H98" s="4" t="str">
        <x:f>IFERROR(INDEX('Material routes'!$H$6:$H$2205,MATCH(V98,'Material routes'!$A$6:$A$2205,0)),"MISSING ID")</x:f>
        <x:v>Processed material</x:v>
      </x:c>
      <x:c r="I98" s="4" t="str">
        <x:f>IFERROR(INDEX('Material routes'!$G$6:$G$2205,MATCH(V98,'Material routes'!$A$6:$A$2205,0)),"MISSING ID")</x:f>
        <x:v>Manufactured stock</x:v>
      </x:c>
      <x:c r="J98" s="4" t="str">
        <x:f>IFERROR(INDEX('Material routes'!$B$6:$B$2205,MATCH(U98,'Material routes'!$A$6:$A$2205,0)),"MISSING ID")</x:f>
        <x:v>design.branch.branch.bearing_bronze</x:v>
      </x:c>
      <x:c r="K98" s="4" t="str">
        <x:f>IFERROR(INDEX('Crafting recipes'!$C$6:$C$1005,MATCH(J98,'Crafting recipes'!$A$6:$A$1005,0)),"MISSING ID")</x:f>
        <x:v>Material refinement</x:v>
      </x:c>
      <x:c r="L98" s="4" t="str">
        <x:f>IFERROR(INDEX('Material routes'!$K$6:$K$2205,MATCH(U98,'Material routes'!$A$6:$A$2205,0)),"MISSING ID")</x:f>
        <x:v>Proposal</x:v>
      </x:c>
      <x:c r="M98" s="4" t="str">
        <x:f>IFERROR(INDEX('Material routes'!$M$6:$M$2205,MATCH(U98,'Material routes'!$A$6:$A$2205,0)),"MISSING ID")</x:f>
        <x:v>Partial proposal</x:v>
      </x:c>
      <x:c r="N98" s="4" t="str">
        <x:f>IF(IFERROR(INDEX('Material routes'!$I$6:$I$1005,MATCH(U98,'Material routes'!$A$6:$A$1005,0)),"MISSING ID")=0,"",IFERROR(INDEX('Material routes'!$I$6:$I$1005,MATCH(U98,'Material routes'!$A$6:$A$1005,0)),"MISSING ID"))</x:f>
      </x:c>
      <x:c r="O98" s="4" t="str">
        <x:f>IFERROR(INDEX('Material routes'!$J$6:$J$2205,MATCH(U98,'Material routes'!$A$6:$A$2205,0)),"MISSING ID")</x:f>
        <x:v>Unspecified</x:v>
      </x:c>
      <x:c r="P98" s="4" t="str">
        <x:f>IF(IFERROR(INDEX('Material routes'!$I$6:$I$1005,MATCH(V98,'Material routes'!$A$6:$A$1005,0)),"MISSING ID")=0,"",IFERROR(INDEX('Material routes'!$I$6:$I$1005,MATCH(V98,'Material routes'!$A$6:$A$1005,0)),"MISSING ID"))</x:f>
      </x:c>
      <x:c r="Q98" s="4" t="str">
        <x:f>IFERROR(INDEX('Material routes'!$J$6:$J$2205,MATCH(V98,'Material routes'!$A$6:$A$2205,0)),"MISSING ID")</x:f>
        <x:v>Unspecified</x:v>
      </x:c>
      <x:c r="R98" s="4" t="str">
        <x:f>IF(L98="Withheld","Withheld premise",IF(E98="Tool candidate","Reusable prerequisite",IF(K98="Raw entry preparation","Entry-resource preparation",IF(G98="Not applicable",IF(IFERROR(INDEX('Items'!$AI$6:$AI$1005,MATCH(T98,'Items'!$A$6:$A$1005,0)),"MISSING ID")="Finished item","Finished endpoint",IF(IFERROR(INDEX('Items'!$AI$6:$AI$1005,MATCH(T98,'Items'!$A$6:$A$1005,0)),"MISSING ID")="Currency","Currency / no refinement tier","Recovered output / tier not applicable")),IF(OR(IFERROR(INDEX('Crafting recipes'!$H$6:$H$1005,MATCH(J98,'Crafting recipes'!$A$6:$A$1005,0)),"MISSING ID")="Unassigned",G98="Unassigned"),"Tier unresolved",IF(IFERROR(VALUE(RIGHT(G98,1))-VALUE(RIGHT(IFERROR(INDEX('Crafting recipes'!$H$6:$H$1005,MATCH(J98,'Crafting recipes'!$A$6:$A$1005,0)),"MISSING ID"),1)),0)=1,IF(B98=IFERROR(INDEX('Crafting recipes'!$H$6:$H$1005,MATCH(J98,'Crafting recipes'!$A$6:$A$1005,0)),"MISSING ID"),"Advances one material tier","Lower-tier ingredient; route advances one tier"),"Needs tier review"))))))</x:f>
        <x:v>Advances one material tier</x:v>
      </x:c>
      <x:c r="S98" s="4" t="str">
        <x:f>IFERROR(INDEX('Material routes'!$D$6:$D$2205,MATCH(U98,'Material routes'!$A$6:$A$2205,0)),"MISSING ID")</x:f>
        <x:v>proposal.t1.bronze_billet</x:v>
      </x:c>
      <x:c r="T98" s="4" t="str">
        <x:f>IFERROR(INDEX('Material routes'!$D$6:$D$2205,MATCH(V98,'Material routes'!$A$6:$A$2205,0)),"MISSING ID")</x:f>
        <x:v>proposal.branch.bearing_bronze</x:v>
      </x:c>
      <x:c r="U98" s="4" t="str">
        <x:v>design.branch.branch.bearing_bronze.in.1</x:v>
      </x:c>
      <x:c r="V98" s="4" t="str">
        <x:v>design.branch.branch.bearing_bronze.out</x:v>
      </x:c>
    </x:row>
    <x:row r="99" ht="105" customHeight="1">
      <x:c r="A99" s="4" t="str">
        <x:f>IFERROR(INDEX('Material routes'!$E$6:$E$2205,MATCH(U99,'Material routes'!$A$6:$A$2205,0)),"MISSING ID")</x:f>
        <x:v>Prepared ceramic body feed</x:v>
      </x:c>
      <x:c r="B99" s="4" t="str">
        <x:f>IFERROR(INDEX('Material routes'!$F$6:$F$2205,MATCH(U99,'Material routes'!$A$6:$A$2205,0)),"MISSING ID")</x:f>
        <x:v>T1</x:v>
      </x:c>
      <x:c r="C99" s="4" t="str">
        <x:f>IFERROR(INDEX('Material routes'!$H$6:$H$2205,MATCH(U99,'Material routes'!$A$6:$A$2205,0)),"MISSING ID")</x:f>
        <x:v>Processed material</x:v>
      </x:c>
      <x:c r="D99" s="4" t="str">
        <x:f>IFERROR(INDEX('Material routes'!$G$6:$G$2205,MATCH(U99,'Material routes'!$A$6:$A$2205,0)),"MISSING ID")</x:f>
        <x:v>Manufactured stock</x:v>
      </x:c>
      <x:c r="E99" s="4" t="str">
        <x:f>IFERROR(INDEX('Material routes'!$C$6:$C$2205,MATCH(U99,'Material routes'!$A$6:$A$2205,0)),"MISSING ID")</x:f>
        <x:v>Ingredient candidate</x:v>
      </x:c>
      <x:c r="F99" s="4" t="str">
        <x:f>IFERROR(INDEX('Material routes'!$E$6:$E$2205,MATCH(V99,'Material routes'!$A$6:$A$2205,0)),"MISSING ID")</x:f>
        <x:v>Insulating ceramic blanks</x:v>
      </x:c>
      <x:c r="G99" s="4" t="str">
        <x:f>IFERROR(INDEX('Material routes'!$F$6:$F$2205,MATCH(V99,'Material routes'!$A$6:$A$2205,0)),"MISSING ID")</x:f>
        <x:v>T2</x:v>
      </x:c>
      <x:c r="H99" s="4" t="str">
        <x:f>IFERROR(INDEX('Material routes'!$H$6:$H$2205,MATCH(V99,'Material routes'!$A$6:$A$2205,0)),"MISSING ID")</x:f>
        <x:v>Processed material</x:v>
      </x:c>
      <x:c r="I99" s="4" t="str">
        <x:f>IFERROR(INDEX('Material routes'!$G$6:$G$2205,MATCH(V99,'Material routes'!$A$6:$A$2205,0)),"MISSING ID")</x:f>
        <x:v>Manufactured stock</x:v>
      </x:c>
      <x:c r="J99" s="4" t="str">
        <x:f>IFERROR(INDEX('Material routes'!$B$6:$B$2205,MATCH(U99,'Material routes'!$A$6:$A$2205,0)),"MISSING ID")</x:f>
        <x:v>design.branch.natural.ceramic</x:v>
      </x:c>
      <x:c r="K99" s="4" t="str">
        <x:f>IFERROR(INDEX('Crafting recipes'!$C$6:$C$1005,MATCH(J99,'Crafting recipes'!$A$6:$A$1005,0)),"MISSING ID")</x:f>
        <x:v>Material refinement</x:v>
      </x:c>
      <x:c r="L99" s="4" t="str">
        <x:f>IFERROR(INDEX('Material routes'!$K$6:$K$2205,MATCH(U99,'Material routes'!$A$6:$A$2205,0)),"MISSING ID")</x:f>
        <x:v>Proposal</x:v>
      </x:c>
      <x:c r="M99" s="4" t="str">
        <x:f>IFERROR(INDEX('Material routes'!$M$6:$M$2205,MATCH(U99,'Material routes'!$A$6:$A$2205,0)),"MISSING ID")</x:f>
        <x:v>Partial proposal</x:v>
      </x:c>
      <x:c r="N99" s="4" t="str">
        <x:f>IF(IFERROR(INDEX('Material routes'!$I$6:$I$1005,MATCH(U99,'Material routes'!$A$6:$A$1005,0)),"MISSING ID")=0,"",IFERROR(INDEX('Material routes'!$I$6:$I$1005,MATCH(U99,'Material routes'!$A$6:$A$1005,0)),"MISSING ID"))</x:f>
      </x:c>
      <x:c r="O99" s="4" t="str">
        <x:f>IFERROR(INDEX('Material routes'!$J$6:$J$2205,MATCH(U99,'Material routes'!$A$6:$A$2205,0)),"MISSING ID")</x:f>
        <x:v>Unspecified</x:v>
      </x:c>
      <x:c r="P99" s="4" t="str">
        <x:f>IF(IFERROR(INDEX('Material routes'!$I$6:$I$1005,MATCH(V99,'Material routes'!$A$6:$A$1005,0)),"MISSING ID")=0,"",IFERROR(INDEX('Material routes'!$I$6:$I$1005,MATCH(V99,'Material routes'!$A$6:$A$1005,0)),"MISSING ID"))</x:f>
      </x:c>
      <x:c r="Q99" s="4" t="str">
        <x:f>IFERROR(INDEX('Material routes'!$J$6:$J$2205,MATCH(V99,'Material routes'!$A$6:$A$2205,0)),"MISSING ID")</x:f>
        <x:v>Unspecified</x:v>
      </x:c>
      <x:c r="R99" s="4" t="str">
        <x:f>IF(L99="Withheld","Withheld premise",IF(E99="Tool candidate","Reusable prerequisite",IF(K99="Raw entry preparation","Entry-resource preparation",IF(G99="Not applicable",IF(IFERROR(INDEX('Items'!$AI$6:$AI$1005,MATCH(T99,'Items'!$A$6:$A$1005,0)),"MISSING ID")="Finished item","Finished endpoint",IF(IFERROR(INDEX('Items'!$AI$6:$AI$1005,MATCH(T99,'Items'!$A$6:$A$1005,0)),"MISSING ID")="Currency","Currency / no refinement tier","Recovered output / tier not applicable")),IF(OR(IFERROR(INDEX('Crafting recipes'!$H$6:$H$1005,MATCH(J99,'Crafting recipes'!$A$6:$A$1005,0)),"MISSING ID")="Unassigned",G99="Unassigned"),"Tier unresolved",IF(IFERROR(VALUE(RIGHT(G99,1))-VALUE(RIGHT(IFERROR(INDEX('Crafting recipes'!$H$6:$H$1005,MATCH(J99,'Crafting recipes'!$A$6:$A$1005,0)),"MISSING ID"),1)),0)=1,IF(B99=IFERROR(INDEX('Crafting recipes'!$H$6:$H$1005,MATCH(J99,'Crafting recipes'!$A$6:$A$1005,0)),"MISSING ID"),"Advances one material tier","Lower-tier ingredient; route advances one tier"),"Needs tier review"))))))</x:f>
        <x:v>Advances one material tier</x:v>
      </x:c>
      <x:c r="S99" s="4" t="str">
        <x:f>IFERROR(INDEX('Material routes'!$D$6:$D$2205,MATCH(U99,'Material routes'!$A$6:$A$2205,0)),"MISSING ID")</x:f>
        <x:v>proposal.ceramic.body_feed</x:v>
      </x:c>
      <x:c r="T99" s="4" t="str">
        <x:f>IFERROR(INDEX('Material routes'!$D$6:$D$2205,MATCH(V99,'Material routes'!$A$6:$A$2205,0)),"MISSING ID")</x:f>
        <x:v>proposal.natural.ceramic</x:v>
      </x:c>
      <x:c r="U99" s="4" t="str">
        <x:v>design.branch.natural.ceramic.in.1</x:v>
      </x:c>
      <x:c r="V99" s="4" t="str">
        <x:v>design.branch.natural.ceramic.out</x:v>
      </x:c>
    </x:row>
    <x:row r="100" ht="105" customHeight="1">
      <x:c r="A100" s="4" t="str">
        <x:f>IFERROR(INDEX('Material routes'!$E$6:$E$2205,MATCH(U100,'Material routes'!$A$6:$A$2205,0)),"MISSING ID")</x:f>
        <x:v>Prepared glaze feed</x:v>
      </x:c>
      <x:c r="B100" s="4" t="str">
        <x:f>IFERROR(INDEX('Material routes'!$F$6:$F$2205,MATCH(U100,'Material routes'!$A$6:$A$2205,0)),"MISSING ID")</x:f>
        <x:v>T1</x:v>
      </x:c>
      <x:c r="C100" s="4" t="str">
        <x:f>IFERROR(INDEX('Material routes'!$H$6:$H$2205,MATCH(U100,'Material routes'!$A$6:$A$2205,0)),"MISSING ID")</x:f>
        <x:v>Processed material</x:v>
      </x:c>
      <x:c r="D100" s="4" t="str">
        <x:f>IFERROR(INDEX('Material routes'!$G$6:$G$2205,MATCH(U100,'Material routes'!$A$6:$A$2205,0)),"MISSING ID")</x:f>
        <x:v>Manufactured stock</x:v>
      </x:c>
      <x:c r="E100" s="4" t="str">
        <x:f>IFERROR(INDEX('Material routes'!$C$6:$C$2205,MATCH(U100,'Material routes'!$A$6:$A$2205,0)),"MISSING ID")</x:f>
        <x:v>Ingredient candidate</x:v>
      </x:c>
      <x:c r="F100" s="4" t="str">
        <x:f>IFERROR(INDEX('Material routes'!$E$6:$E$2205,MATCH(V100,'Material routes'!$A$6:$A$2205,0)),"MISSING ID")</x:f>
        <x:v>Insulating ceramic blanks</x:v>
      </x:c>
      <x:c r="G100" s="4" t="str">
        <x:f>IFERROR(INDEX('Material routes'!$F$6:$F$2205,MATCH(V100,'Material routes'!$A$6:$A$2205,0)),"MISSING ID")</x:f>
        <x:v>T2</x:v>
      </x:c>
      <x:c r="H100" s="4" t="str">
        <x:f>IFERROR(INDEX('Material routes'!$H$6:$H$2205,MATCH(V100,'Material routes'!$A$6:$A$2205,0)),"MISSING ID")</x:f>
        <x:v>Processed material</x:v>
      </x:c>
      <x:c r="I100" s="4" t="str">
        <x:f>IFERROR(INDEX('Material routes'!$G$6:$G$2205,MATCH(V100,'Material routes'!$A$6:$A$2205,0)),"MISSING ID")</x:f>
        <x:v>Manufactured stock</x:v>
      </x:c>
      <x:c r="J100" s="4" t="str">
        <x:f>IFERROR(INDEX('Material routes'!$B$6:$B$2205,MATCH(U100,'Material routes'!$A$6:$A$2205,0)),"MISSING ID")</x:f>
        <x:v>design.branch.natural.ceramic</x:v>
      </x:c>
      <x:c r="K100" s="4" t="str">
        <x:f>IFERROR(INDEX('Crafting recipes'!$C$6:$C$1005,MATCH(J100,'Crafting recipes'!$A$6:$A$1005,0)),"MISSING ID")</x:f>
        <x:v>Material refinement</x:v>
      </x:c>
      <x:c r="L100" s="4" t="str">
        <x:f>IFERROR(INDEX('Material routes'!$K$6:$K$2205,MATCH(U100,'Material routes'!$A$6:$A$2205,0)),"MISSING ID")</x:f>
        <x:v>Proposal</x:v>
      </x:c>
      <x:c r="M100" s="4" t="str">
        <x:f>IFERROR(INDEX('Material routes'!$M$6:$M$2205,MATCH(U100,'Material routes'!$A$6:$A$2205,0)),"MISSING ID")</x:f>
        <x:v>Partial proposal</x:v>
      </x:c>
      <x:c r="N100" s="4" t="str">
        <x:f>IF(IFERROR(INDEX('Material routes'!$I$6:$I$1005,MATCH(U100,'Material routes'!$A$6:$A$1005,0)),"MISSING ID")=0,"",IFERROR(INDEX('Material routes'!$I$6:$I$1005,MATCH(U100,'Material routes'!$A$6:$A$1005,0)),"MISSING ID"))</x:f>
      </x:c>
      <x:c r="O100" s="4" t="str">
        <x:f>IFERROR(INDEX('Material routes'!$J$6:$J$2205,MATCH(U100,'Material routes'!$A$6:$A$2205,0)),"MISSING ID")</x:f>
        <x:v>Unspecified</x:v>
      </x:c>
      <x:c r="P100" s="4" t="str">
        <x:f>IF(IFERROR(INDEX('Material routes'!$I$6:$I$1005,MATCH(V100,'Material routes'!$A$6:$A$1005,0)),"MISSING ID")=0,"",IFERROR(INDEX('Material routes'!$I$6:$I$1005,MATCH(V100,'Material routes'!$A$6:$A$1005,0)),"MISSING ID"))</x:f>
      </x:c>
      <x:c r="Q100" s="4" t="str">
        <x:f>IFERROR(INDEX('Material routes'!$J$6:$J$2205,MATCH(V100,'Material routes'!$A$6:$A$2205,0)),"MISSING ID")</x:f>
        <x:v>Unspecified</x:v>
      </x:c>
      <x:c r="R100" s="4" t="str">
        <x:f>IF(L100="Withheld","Withheld premise",IF(E100="Tool candidate","Reusable prerequisite",IF(K100="Raw entry preparation","Entry-resource preparation",IF(G100="Not applicable",IF(IFERROR(INDEX('Items'!$AI$6:$AI$1005,MATCH(T100,'Items'!$A$6:$A$1005,0)),"MISSING ID")="Finished item","Finished endpoint",IF(IFERROR(INDEX('Items'!$AI$6:$AI$1005,MATCH(T100,'Items'!$A$6:$A$1005,0)),"MISSING ID")="Currency","Currency / no refinement tier","Recovered output / tier not applicable")),IF(OR(IFERROR(INDEX('Crafting recipes'!$H$6:$H$1005,MATCH(J100,'Crafting recipes'!$A$6:$A$1005,0)),"MISSING ID")="Unassigned",G100="Unassigned"),"Tier unresolved",IF(IFERROR(VALUE(RIGHT(G100,1))-VALUE(RIGHT(IFERROR(INDEX('Crafting recipes'!$H$6:$H$1005,MATCH(J100,'Crafting recipes'!$A$6:$A$1005,0)),"MISSING ID"),1)),0)=1,IF(B100=IFERROR(INDEX('Crafting recipes'!$H$6:$H$1005,MATCH(J100,'Crafting recipes'!$A$6:$A$1005,0)),"MISSING ID"),"Advances one material tier","Lower-tier ingredient; route advances one tier"),"Needs tier review"))))))</x:f>
        <x:v>Advances one material tier</x:v>
      </x:c>
      <x:c r="S100" s="4" t="str">
        <x:f>IFERROR(INDEX('Material routes'!$D$6:$D$2205,MATCH(U100,'Material routes'!$A$6:$A$2205,0)),"MISSING ID")</x:f>
        <x:v>proposal.ceramic.glaze_feed</x:v>
      </x:c>
      <x:c r="T100" s="4" t="str">
        <x:f>IFERROR(INDEX('Material routes'!$D$6:$D$2205,MATCH(V100,'Material routes'!$A$6:$A$2205,0)),"MISSING ID")</x:f>
        <x:v>proposal.natural.ceramic</x:v>
      </x:c>
      <x:c r="U100" s="4" t="str">
        <x:v>design.branch.natural.ceramic.in.2</x:v>
      </x:c>
      <x:c r="V100" s="4" t="str">
        <x:v>design.branch.natural.ceramic.out</x:v>
      </x:c>
    </x:row>
    <x:row r="101" ht="105" customHeight="1">
      <x:c r="A101" s="4" t="str">
        <x:f>IFERROR(INDEX('Material routes'!$E$6:$E$2205,MATCH(U101,'Material routes'!$A$6:$A$2205,0)),"MISSING ID")</x:f>
        <x:v>Graded refractory mineral feed</x:v>
      </x:c>
      <x:c r="B101" s="4" t="str">
        <x:f>IFERROR(INDEX('Material routes'!$F$6:$F$2205,MATCH(U101,'Material routes'!$A$6:$A$2205,0)),"MISSING ID")</x:f>
        <x:v>T1</x:v>
      </x:c>
      <x:c r="C101" s="4" t="str">
        <x:f>IFERROR(INDEX('Material routes'!$H$6:$H$2205,MATCH(U101,'Material routes'!$A$6:$A$2205,0)),"MISSING ID")</x:f>
        <x:v>Processed material</x:v>
      </x:c>
      <x:c r="D101" s="4" t="str">
        <x:f>IFERROR(INDEX('Material routes'!$G$6:$G$2205,MATCH(U101,'Material routes'!$A$6:$A$2205,0)),"MISSING ID")</x:f>
        <x:v>Manufactured stock</x:v>
      </x:c>
      <x:c r="E101" s="4" t="str">
        <x:f>IFERROR(INDEX('Material routes'!$C$6:$C$2205,MATCH(U101,'Material routes'!$A$6:$A$2205,0)),"MISSING ID")</x:f>
        <x:v>Ingredient candidate</x:v>
      </x:c>
      <x:c r="F101" s="4" t="str">
        <x:f>IFERROR(INDEX('Material routes'!$E$6:$E$2205,MATCH(V101,'Material routes'!$A$6:$A$2205,0)),"MISSING ID")</x:f>
        <x:v>Refractory ceramic stock</x:v>
      </x:c>
      <x:c r="G101" s="4" t="str">
        <x:f>IFERROR(INDEX('Material routes'!$F$6:$F$2205,MATCH(V101,'Material routes'!$A$6:$A$2205,0)),"MISSING ID")</x:f>
        <x:v>T2</x:v>
      </x:c>
      <x:c r="H101" s="4" t="str">
        <x:f>IFERROR(INDEX('Material routes'!$H$6:$H$2205,MATCH(V101,'Material routes'!$A$6:$A$2205,0)),"MISSING ID")</x:f>
        <x:v>Processed material</x:v>
      </x:c>
      <x:c r="I101" s="4" t="str">
        <x:f>IFERROR(INDEX('Material routes'!$G$6:$G$2205,MATCH(V101,'Material routes'!$A$6:$A$2205,0)),"MISSING ID")</x:f>
        <x:v>Manufactured stock</x:v>
      </x:c>
      <x:c r="J101" s="4" t="str">
        <x:f>IFERROR(INDEX('Material routes'!$B$6:$B$2205,MATCH(U101,'Material routes'!$A$6:$A$2205,0)),"MISSING ID")</x:f>
        <x:v>design.branch.branch.refractory_ceramic</x:v>
      </x:c>
      <x:c r="K101" s="4" t="str">
        <x:f>IFERROR(INDEX('Crafting recipes'!$C$6:$C$1005,MATCH(J101,'Crafting recipes'!$A$6:$A$1005,0)),"MISSING ID")</x:f>
        <x:v>Material refinement</x:v>
      </x:c>
      <x:c r="L101" s="4" t="str">
        <x:f>IFERROR(INDEX('Material routes'!$K$6:$K$2205,MATCH(U101,'Material routes'!$A$6:$A$2205,0)),"MISSING ID")</x:f>
        <x:v>Proposal</x:v>
      </x:c>
      <x:c r="M101" s="4" t="str">
        <x:f>IFERROR(INDEX('Material routes'!$M$6:$M$2205,MATCH(U101,'Material routes'!$A$6:$A$2205,0)),"MISSING ID")</x:f>
        <x:v>Partial proposal</x:v>
      </x:c>
      <x:c r="N101" s="4" t="str">
        <x:f>IF(IFERROR(INDEX('Material routes'!$I$6:$I$1005,MATCH(U101,'Material routes'!$A$6:$A$1005,0)),"MISSING ID")=0,"",IFERROR(INDEX('Material routes'!$I$6:$I$1005,MATCH(U101,'Material routes'!$A$6:$A$1005,0)),"MISSING ID"))</x:f>
      </x:c>
      <x:c r="O101" s="4" t="str">
        <x:f>IFERROR(INDEX('Material routes'!$J$6:$J$2205,MATCH(U101,'Material routes'!$A$6:$A$2205,0)),"MISSING ID")</x:f>
        <x:v>Unspecified</x:v>
      </x:c>
      <x:c r="P101" s="4" t="str">
        <x:f>IF(IFERROR(INDEX('Material routes'!$I$6:$I$1005,MATCH(V101,'Material routes'!$A$6:$A$1005,0)),"MISSING ID")=0,"",IFERROR(INDEX('Material routes'!$I$6:$I$1005,MATCH(V101,'Material routes'!$A$6:$A$1005,0)),"MISSING ID"))</x:f>
      </x:c>
      <x:c r="Q101" s="4" t="str">
        <x:f>IFERROR(INDEX('Material routes'!$J$6:$J$2205,MATCH(V101,'Material routes'!$A$6:$A$2205,0)),"MISSING ID")</x:f>
        <x:v>Unspecified</x:v>
      </x:c>
      <x:c r="R101" s="4" t="str">
        <x:f>IF(L101="Withheld","Withheld premise",IF(E101="Tool candidate","Reusable prerequisite",IF(K101="Raw entry preparation","Entry-resource preparation",IF(G101="Not applicable",IF(IFERROR(INDEX('Items'!$AI$6:$AI$1005,MATCH(T101,'Items'!$A$6:$A$1005,0)),"MISSING ID")="Finished item","Finished endpoint",IF(IFERROR(INDEX('Items'!$AI$6:$AI$1005,MATCH(T101,'Items'!$A$6:$A$1005,0)),"MISSING ID")="Currency","Currency / no refinement tier","Recovered output / tier not applicable")),IF(OR(IFERROR(INDEX('Crafting recipes'!$H$6:$H$1005,MATCH(J101,'Crafting recipes'!$A$6:$A$1005,0)),"MISSING ID")="Unassigned",G101="Unassigned"),"Tier unresolved",IF(IFERROR(VALUE(RIGHT(G101,1))-VALUE(RIGHT(IFERROR(INDEX('Crafting recipes'!$H$6:$H$1005,MATCH(J101,'Crafting recipes'!$A$6:$A$1005,0)),"MISSING ID"),1)),0)=1,IF(B101=IFERROR(INDEX('Crafting recipes'!$H$6:$H$1005,MATCH(J101,'Crafting recipes'!$A$6:$A$1005,0)),"MISSING ID"),"Advances one material tier","Lower-tier ingredient; route advances one tier"),"Needs tier review"))))))</x:f>
        <x:v>Advances one material tier</x:v>
      </x:c>
      <x:c r="S101" s="4" t="str">
        <x:f>IFERROR(INDEX('Material routes'!$D$6:$D$2205,MATCH(U101,'Material routes'!$A$6:$A$2205,0)),"MISSING ID")</x:f>
        <x:v>proposal.branch.refractory_feed</x:v>
      </x:c>
      <x:c r="T101" s="4" t="str">
        <x:f>IFERROR(INDEX('Material routes'!$D$6:$D$2205,MATCH(V101,'Material routes'!$A$6:$A$2205,0)),"MISSING ID")</x:f>
        <x:v>proposal.branch.refractory_ceramic</x:v>
      </x:c>
      <x:c r="U101" s="4" t="str">
        <x:v>design.branch.branch.refractory_ceramic.in.1</x:v>
      </x:c>
      <x:c r="V101" s="4" t="str">
        <x:v>design.branch.branch.refractory_ceramic.out</x:v>
      </x:c>
    </x:row>
    <x:row r="102" ht="105" customHeight="1">
      <x:c r="A102" s="4" t="str">
        <x:f>IFERROR(INDEX('Material routes'!$E$6:$E$2205,MATCH(U102,'Material routes'!$A$6:$A$2205,0)),"MISSING ID")</x:f>
        <x:v>Crushed fired ceramic grit</x:v>
      </x:c>
      <x:c r="B102" s="4" t="str">
        <x:f>IFERROR(INDEX('Material routes'!$F$6:$F$2205,MATCH(U102,'Material routes'!$A$6:$A$2205,0)),"MISSING ID")</x:f>
        <x:v>T1</x:v>
      </x:c>
      <x:c r="C102" s="4" t="str">
        <x:f>IFERROR(INDEX('Material routes'!$H$6:$H$2205,MATCH(U102,'Material routes'!$A$6:$A$2205,0)),"MISSING ID")</x:f>
        <x:v>Processed material</x:v>
      </x:c>
      <x:c r="D102" s="4" t="str">
        <x:f>IFERROR(INDEX('Material routes'!$G$6:$G$2205,MATCH(U102,'Material routes'!$A$6:$A$2205,0)),"MISSING ID")</x:f>
        <x:v>Manufactured stock</x:v>
      </x:c>
      <x:c r="E102" s="4" t="str">
        <x:f>IFERROR(INDEX('Material routes'!$C$6:$C$2205,MATCH(U102,'Material routes'!$A$6:$A$2205,0)),"MISSING ID")</x:f>
        <x:v>Ingredient candidate</x:v>
      </x:c>
      <x:c r="F102" s="4" t="str">
        <x:f>IFERROR(INDEX('Material routes'!$E$6:$E$2205,MATCH(V102,'Material routes'!$A$6:$A$2205,0)),"MISSING ID")</x:f>
        <x:v>Refractory ceramic stock</x:v>
      </x:c>
      <x:c r="G102" s="4" t="str">
        <x:f>IFERROR(INDEX('Material routes'!$F$6:$F$2205,MATCH(V102,'Material routes'!$A$6:$A$2205,0)),"MISSING ID")</x:f>
        <x:v>T2</x:v>
      </x:c>
      <x:c r="H102" s="4" t="str">
        <x:f>IFERROR(INDEX('Material routes'!$H$6:$H$2205,MATCH(V102,'Material routes'!$A$6:$A$2205,0)),"MISSING ID")</x:f>
        <x:v>Processed material</x:v>
      </x:c>
      <x:c r="I102" s="4" t="str">
        <x:f>IFERROR(INDEX('Material routes'!$G$6:$G$2205,MATCH(V102,'Material routes'!$A$6:$A$2205,0)),"MISSING ID")</x:f>
        <x:v>Manufactured stock</x:v>
      </x:c>
      <x:c r="J102" s="4" t="str">
        <x:f>IFERROR(INDEX('Material routes'!$B$6:$B$2205,MATCH(U102,'Material routes'!$A$6:$A$2205,0)),"MISSING ID")</x:f>
        <x:v>design.branch.branch.refractory_ceramic</x:v>
      </x:c>
      <x:c r="K102" s="4" t="str">
        <x:f>IFERROR(INDEX('Crafting recipes'!$C$6:$C$1005,MATCH(J102,'Crafting recipes'!$A$6:$A$1005,0)),"MISSING ID")</x:f>
        <x:v>Material refinement</x:v>
      </x:c>
      <x:c r="L102" s="4" t="str">
        <x:f>IFERROR(INDEX('Material routes'!$K$6:$K$2205,MATCH(U102,'Material routes'!$A$6:$A$2205,0)),"MISSING ID")</x:f>
        <x:v>Proposal</x:v>
      </x:c>
      <x:c r="M102" s="4" t="str">
        <x:f>IFERROR(INDEX('Material routes'!$M$6:$M$2205,MATCH(U102,'Material routes'!$A$6:$A$2205,0)),"MISSING ID")</x:f>
        <x:v>Partial proposal</x:v>
      </x:c>
      <x:c r="N102" s="4" t="str">
        <x:f>IF(IFERROR(INDEX('Material routes'!$I$6:$I$1005,MATCH(U102,'Material routes'!$A$6:$A$1005,0)),"MISSING ID")=0,"",IFERROR(INDEX('Material routes'!$I$6:$I$1005,MATCH(U102,'Material routes'!$A$6:$A$1005,0)),"MISSING ID"))</x:f>
      </x:c>
      <x:c r="O102" s="4" t="str">
        <x:f>IFERROR(INDEX('Material routes'!$J$6:$J$2205,MATCH(U102,'Material routes'!$A$6:$A$2205,0)),"MISSING ID")</x:f>
        <x:v>Unspecified</x:v>
      </x:c>
      <x:c r="P102" s="4" t="str">
        <x:f>IF(IFERROR(INDEX('Material routes'!$I$6:$I$1005,MATCH(V102,'Material routes'!$A$6:$A$1005,0)),"MISSING ID")=0,"",IFERROR(INDEX('Material routes'!$I$6:$I$1005,MATCH(V102,'Material routes'!$A$6:$A$1005,0)),"MISSING ID"))</x:f>
      </x:c>
      <x:c r="Q102" s="4" t="str">
        <x:f>IFERROR(INDEX('Material routes'!$J$6:$J$2205,MATCH(V102,'Material routes'!$A$6:$A$2205,0)),"MISSING ID")</x:f>
        <x:v>Unspecified</x:v>
      </x:c>
      <x:c r="R102" s="4" t="str">
        <x:f>IF(L102="Withheld","Withheld premise",IF(E102="Tool candidate","Reusable prerequisite",IF(K102="Raw entry preparation","Entry-resource preparation",IF(G102="Not applicable",IF(IFERROR(INDEX('Items'!$AI$6:$AI$1005,MATCH(T102,'Items'!$A$6:$A$1005,0)),"MISSING ID")="Finished item","Finished endpoint",IF(IFERROR(INDEX('Items'!$AI$6:$AI$1005,MATCH(T102,'Items'!$A$6:$A$1005,0)),"MISSING ID")="Currency","Currency / no refinement tier","Recovered output / tier not applicable")),IF(OR(IFERROR(INDEX('Crafting recipes'!$H$6:$H$1005,MATCH(J102,'Crafting recipes'!$A$6:$A$1005,0)),"MISSING ID")="Unassigned",G102="Unassigned"),"Tier unresolved",IF(IFERROR(VALUE(RIGHT(G102,1))-VALUE(RIGHT(IFERROR(INDEX('Crafting recipes'!$H$6:$H$1005,MATCH(J102,'Crafting recipes'!$A$6:$A$1005,0)),"MISSING ID"),1)),0)=1,IF(B102=IFERROR(INDEX('Crafting recipes'!$H$6:$H$1005,MATCH(J102,'Crafting recipes'!$A$6:$A$1005,0)),"MISSING ID"),"Advances one material tier","Lower-tier ingredient; route advances one tier"),"Needs tier review"))))))</x:f>
        <x:v>Advances one material tier</x:v>
      </x:c>
      <x:c r="S102" s="4" t="str">
        <x:f>IFERROR(INDEX('Material routes'!$D$6:$D$2205,MATCH(U102,'Material routes'!$A$6:$A$2205,0)),"MISSING ID")</x:f>
        <x:v>proposal.ceramic.grog</x:v>
      </x:c>
      <x:c r="T102" s="4" t="str">
        <x:f>IFERROR(INDEX('Material routes'!$D$6:$D$2205,MATCH(V102,'Material routes'!$A$6:$A$2205,0)),"MISSING ID")</x:f>
        <x:v>proposal.branch.refractory_ceramic</x:v>
      </x:c>
      <x:c r="U102" s="4" t="str">
        <x:v>design.branch.branch.refractory_ceramic.in.2</x:v>
      </x:c>
      <x:c r="V102" s="4" t="str">
        <x:v>design.branch.branch.refractory_ceramic.out</x:v>
      </x:c>
    </x:row>
    <x:row r="103" ht="105" customHeight="1">
      <x:c r="A103" s="4" t="str">
        <x:f>IFERROR(INDEX('Material routes'!$E$6:$E$2205,MATCH(U103,'Material routes'!$A$6:$A$2205,0)),"MISSING ID")</x:f>
        <x:v>Calcined mineral binder</x:v>
      </x:c>
      <x:c r="B103" s="4" t="str">
        <x:f>IFERROR(INDEX('Material routes'!$F$6:$F$2205,MATCH(U103,'Material routes'!$A$6:$A$2205,0)),"MISSING ID")</x:f>
        <x:v>T1</x:v>
      </x:c>
      <x:c r="C103" s="4" t="str">
        <x:f>IFERROR(INDEX('Material routes'!$H$6:$H$2205,MATCH(U103,'Material routes'!$A$6:$A$2205,0)),"MISSING ID")</x:f>
        <x:v>Processed material</x:v>
      </x:c>
      <x:c r="D103" s="4" t="str">
        <x:f>IFERROR(INDEX('Material routes'!$G$6:$G$2205,MATCH(U103,'Material routes'!$A$6:$A$2205,0)),"MISSING ID")</x:f>
        <x:v>Manufactured stock</x:v>
      </x:c>
      <x:c r="E103" s="4" t="str">
        <x:f>IFERROR(INDEX('Material routes'!$C$6:$C$2205,MATCH(U103,'Material routes'!$A$6:$A$2205,0)),"MISSING ID")</x:f>
        <x:v>Ingredient candidate</x:v>
      </x:c>
      <x:c r="F103" s="4" t="str">
        <x:f>IFERROR(INDEX('Material routes'!$E$6:$E$2205,MATCH(V103,'Material routes'!$A$6:$A$2205,0)),"MISSING ID")</x:f>
        <x:v>Refractory ceramic stock</x:v>
      </x:c>
      <x:c r="G103" s="4" t="str">
        <x:f>IFERROR(INDEX('Material routes'!$F$6:$F$2205,MATCH(V103,'Material routes'!$A$6:$A$2205,0)),"MISSING ID")</x:f>
        <x:v>T2</x:v>
      </x:c>
      <x:c r="H103" s="4" t="str">
        <x:f>IFERROR(INDEX('Material routes'!$H$6:$H$2205,MATCH(V103,'Material routes'!$A$6:$A$2205,0)),"MISSING ID")</x:f>
        <x:v>Processed material</x:v>
      </x:c>
      <x:c r="I103" s="4" t="str">
        <x:f>IFERROR(INDEX('Material routes'!$G$6:$G$2205,MATCH(V103,'Material routes'!$A$6:$A$2205,0)),"MISSING ID")</x:f>
        <x:v>Manufactured stock</x:v>
      </x:c>
      <x:c r="J103" s="4" t="str">
        <x:f>IFERROR(INDEX('Material routes'!$B$6:$B$2205,MATCH(U103,'Material routes'!$A$6:$A$2205,0)),"MISSING ID")</x:f>
        <x:v>design.branch.branch.refractory_ceramic</x:v>
      </x:c>
      <x:c r="K103" s="4" t="str">
        <x:f>IFERROR(INDEX('Crafting recipes'!$C$6:$C$1005,MATCH(J103,'Crafting recipes'!$A$6:$A$1005,0)),"MISSING ID")</x:f>
        <x:v>Material refinement</x:v>
      </x:c>
      <x:c r="L103" s="4" t="str">
        <x:f>IFERROR(INDEX('Material routes'!$K$6:$K$2205,MATCH(U103,'Material routes'!$A$6:$A$2205,0)),"MISSING ID")</x:f>
        <x:v>Proposal</x:v>
      </x:c>
      <x:c r="M103" s="4" t="str">
        <x:f>IFERROR(INDEX('Material routes'!$M$6:$M$2205,MATCH(U103,'Material routes'!$A$6:$A$2205,0)),"MISSING ID")</x:f>
        <x:v>Partial proposal</x:v>
      </x:c>
      <x:c r="N103" s="4" t="str">
        <x:f>IF(IFERROR(INDEX('Material routes'!$I$6:$I$1005,MATCH(U103,'Material routes'!$A$6:$A$1005,0)),"MISSING ID")=0,"",IFERROR(INDEX('Material routes'!$I$6:$I$1005,MATCH(U103,'Material routes'!$A$6:$A$1005,0)),"MISSING ID"))</x:f>
      </x:c>
      <x:c r="O103" s="4" t="str">
        <x:f>IFERROR(INDEX('Material routes'!$J$6:$J$2205,MATCH(U103,'Material routes'!$A$6:$A$2205,0)),"MISSING ID")</x:f>
        <x:v>Unspecified</x:v>
      </x:c>
      <x:c r="P103" s="4" t="str">
        <x:f>IF(IFERROR(INDEX('Material routes'!$I$6:$I$1005,MATCH(V103,'Material routes'!$A$6:$A$1005,0)),"MISSING ID")=0,"",IFERROR(INDEX('Material routes'!$I$6:$I$1005,MATCH(V103,'Material routes'!$A$6:$A$1005,0)),"MISSING ID"))</x:f>
      </x:c>
      <x:c r="Q103" s="4" t="str">
        <x:f>IFERROR(INDEX('Material routes'!$J$6:$J$2205,MATCH(V103,'Material routes'!$A$6:$A$2205,0)),"MISSING ID")</x:f>
        <x:v>Unspecified</x:v>
      </x:c>
      <x:c r="R103" s="4" t="str">
        <x:f>IF(L103="Withheld","Withheld premise",IF(E103="Tool candidate","Reusable prerequisite",IF(K103="Raw entry preparation","Entry-resource preparation",IF(G103="Not applicable",IF(IFERROR(INDEX('Items'!$AI$6:$AI$1005,MATCH(T103,'Items'!$A$6:$A$1005,0)),"MISSING ID")="Finished item","Finished endpoint",IF(IFERROR(INDEX('Items'!$AI$6:$AI$1005,MATCH(T103,'Items'!$A$6:$A$1005,0)),"MISSING ID")="Currency","Currency / no refinement tier","Recovered output / tier not applicable")),IF(OR(IFERROR(INDEX('Crafting recipes'!$H$6:$H$1005,MATCH(J103,'Crafting recipes'!$A$6:$A$1005,0)),"MISSING ID")="Unassigned",G103="Unassigned"),"Tier unresolved",IF(IFERROR(VALUE(RIGHT(G103,1))-VALUE(RIGHT(IFERROR(INDEX('Crafting recipes'!$H$6:$H$1005,MATCH(J103,'Crafting recipes'!$A$6:$A$1005,0)),"MISSING ID"),1)),0)=1,IF(B103=IFERROR(INDEX('Crafting recipes'!$H$6:$H$1005,MATCH(J103,'Crafting recipes'!$A$6:$A$1005,0)),"MISSING ID"),"Advances one material tier","Lower-tier ingredient; route advances one tier"),"Needs tier review"))))))</x:f>
        <x:v>Advances one material tier</x:v>
      </x:c>
      <x:c r="S103" s="4" t="str">
        <x:f>IFERROR(INDEX('Material routes'!$D$6:$D$2205,MATCH(U103,'Material routes'!$A$6:$A$2205,0)),"MISSING ID")</x:f>
        <x:v>proposal.natural.lime</x:v>
      </x:c>
      <x:c r="T103" s="4" t="str">
        <x:f>IFERROR(INDEX('Material routes'!$D$6:$D$2205,MATCH(V103,'Material routes'!$A$6:$A$2205,0)),"MISSING ID")</x:f>
        <x:v>proposal.branch.refractory_ceramic</x:v>
      </x:c>
      <x:c r="U103" s="4" t="str">
        <x:v>design.branch.branch.refractory_ceramic.in.3</x:v>
      </x:c>
      <x:c r="V103" s="4" t="str">
        <x:v>design.branch.branch.refractory_ceramic.out</x:v>
      </x:c>
    </x:row>
    <x:row r="104" ht="105" customHeight="1">
      <x:c r="A104" s="4" t="str">
        <x:f>IFERROR(INDEX('Material routes'!$E$6:$E$2205,MATCH(U104,'Material routes'!$A$6:$A$2205,0)),"MISSING ID")</x:f>
        <x:v>Opaque mineral-glass stock</x:v>
      </x:c>
      <x:c r="B104" s="4" t="str">
        <x:f>IFERROR(INDEX('Material routes'!$F$6:$F$2205,MATCH(U104,'Material routes'!$A$6:$A$2205,0)),"MISSING ID")</x:f>
        <x:v>T1</x:v>
      </x:c>
      <x:c r="C104" s="4" t="str">
        <x:f>IFERROR(INDEX('Material routes'!$H$6:$H$2205,MATCH(U104,'Material routes'!$A$6:$A$2205,0)),"MISSING ID")</x:f>
        <x:v>Processed material</x:v>
      </x:c>
      <x:c r="D104" s="4" t="str">
        <x:f>IFERROR(INDEX('Material routes'!$G$6:$G$2205,MATCH(U104,'Material routes'!$A$6:$A$2205,0)),"MISSING ID")</x:f>
        <x:v>Manufactured stock</x:v>
      </x:c>
      <x:c r="E104" s="4" t="str">
        <x:f>IFERROR(INDEX('Material routes'!$C$6:$C$2205,MATCH(U104,'Material routes'!$A$6:$A$2205,0)),"MISSING ID")</x:f>
        <x:v>Ingredient candidate</x:v>
      </x:c>
      <x:c r="F104" s="4" t="str">
        <x:f>IFERROR(INDEX('Material routes'!$E$6:$E$2205,MATCH(V104,'Material routes'!$A$6:$A$2205,0)),"MISSING ID")</x:f>
        <x:v>Formed opaque glass sheet</x:v>
      </x:c>
      <x:c r="G104" s="4" t="str">
        <x:f>IFERROR(INDEX('Material routes'!$F$6:$F$2205,MATCH(V104,'Material routes'!$A$6:$A$2205,0)),"MISSING ID")</x:f>
        <x:v>T2</x:v>
      </x:c>
      <x:c r="H104" s="4" t="str">
        <x:f>IFERROR(INDEX('Material routes'!$H$6:$H$2205,MATCH(V104,'Material routes'!$A$6:$A$2205,0)),"MISSING ID")</x:f>
        <x:v>Processed material</x:v>
      </x:c>
      <x:c r="I104" s="4" t="str">
        <x:f>IFERROR(INDEX('Material routes'!$G$6:$G$2205,MATCH(V104,'Material routes'!$A$6:$A$2205,0)),"MISSING ID")</x:f>
        <x:v>Manufactured stock</x:v>
      </x:c>
      <x:c r="J104" s="4" t="str">
        <x:f>IFERROR(INDEX('Material routes'!$B$6:$B$2205,MATCH(U104,'Material routes'!$A$6:$A$2205,0)),"MISSING ID")</x:f>
        <x:v>design.branch.branch.opaque_sheet</x:v>
      </x:c>
      <x:c r="K104" s="4" t="str">
        <x:f>IFERROR(INDEX('Crafting recipes'!$C$6:$C$1005,MATCH(J104,'Crafting recipes'!$A$6:$A$1005,0)),"MISSING ID")</x:f>
        <x:v>Material refinement</x:v>
      </x:c>
      <x:c r="L104" s="4" t="str">
        <x:f>IFERROR(INDEX('Material routes'!$K$6:$K$2205,MATCH(U104,'Material routes'!$A$6:$A$2205,0)),"MISSING ID")</x:f>
        <x:v>Proposal</x:v>
      </x:c>
      <x:c r="M104" s="4" t="str">
        <x:f>IFERROR(INDEX('Material routes'!$M$6:$M$2205,MATCH(U104,'Material routes'!$A$6:$A$2205,0)),"MISSING ID")</x:f>
        <x:v>Partial proposal</x:v>
      </x:c>
      <x:c r="N104" s="4" t="str">
        <x:f>IF(IFERROR(INDEX('Material routes'!$I$6:$I$1005,MATCH(U104,'Material routes'!$A$6:$A$1005,0)),"MISSING ID")=0,"",IFERROR(INDEX('Material routes'!$I$6:$I$1005,MATCH(U104,'Material routes'!$A$6:$A$1005,0)),"MISSING ID"))</x:f>
      </x:c>
      <x:c r="O104" s="4" t="str">
        <x:f>IFERROR(INDEX('Material routes'!$J$6:$J$2205,MATCH(U104,'Material routes'!$A$6:$A$2205,0)),"MISSING ID")</x:f>
        <x:v>Unspecified</x:v>
      </x:c>
      <x:c r="P104" s="4" t="str">
        <x:f>IF(IFERROR(INDEX('Material routes'!$I$6:$I$1005,MATCH(V104,'Material routes'!$A$6:$A$1005,0)),"MISSING ID")=0,"",IFERROR(INDEX('Material routes'!$I$6:$I$1005,MATCH(V104,'Material routes'!$A$6:$A$1005,0)),"MISSING ID"))</x:f>
      </x:c>
      <x:c r="Q104" s="4" t="str">
        <x:f>IFERROR(INDEX('Material routes'!$J$6:$J$2205,MATCH(V104,'Material routes'!$A$6:$A$2205,0)),"MISSING ID")</x:f>
        <x:v>Unspecified</x:v>
      </x:c>
      <x:c r="R104" s="4" t="str">
        <x:f>IF(L104="Withheld","Withheld premise",IF(E104="Tool candidate","Reusable prerequisite",IF(K104="Raw entry preparation","Entry-resource preparation",IF(G104="Not applicable",IF(IFERROR(INDEX('Items'!$AI$6:$AI$1005,MATCH(T104,'Items'!$A$6:$A$1005,0)),"MISSING ID")="Finished item","Finished endpoint",IF(IFERROR(INDEX('Items'!$AI$6:$AI$1005,MATCH(T104,'Items'!$A$6:$A$1005,0)),"MISSING ID")="Currency","Currency / no refinement tier","Recovered output / tier not applicable")),IF(OR(IFERROR(INDEX('Crafting recipes'!$H$6:$H$1005,MATCH(J104,'Crafting recipes'!$A$6:$A$1005,0)),"MISSING ID")="Unassigned",G104="Unassigned"),"Tier unresolved",IF(IFERROR(VALUE(RIGHT(G104,1))-VALUE(RIGHT(IFERROR(INDEX('Crafting recipes'!$H$6:$H$1005,MATCH(J104,'Crafting recipes'!$A$6:$A$1005,0)),"MISSING ID"),1)),0)=1,IF(B104=IFERROR(INDEX('Crafting recipes'!$H$6:$H$1005,MATCH(J104,'Crafting recipes'!$A$6:$A$1005,0)),"MISSING ID"),"Advances one material tier","Lower-tier ingredient; route advances one tier"),"Needs tier review"))))))</x:f>
        <x:v>Advances one material tier</x:v>
      </x:c>
      <x:c r="S104" s="4" t="str">
        <x:f>IFERROR(INDEX('Material routes'!$D$6:$D$2205,MATCH(U104,'Material routes'!$A$6:$A$2205,0)),"MISSING ID")</x:f>
        <x:v>proposal.t1.opaque_glass</x:v>
      </x:c>
      <x:c r="T104" s="4" t="str">
        <x:f>IFERROR(INDEX('Material routes'!$D$6:$D$2205,MATCH(V104,'Material routes'!$A$6:$A$2205,0)),"MISSING ID")</x:f>
        <x:v>proposal.branch.opaque_sheet</x:v>
      </x:c>
      <x:c r="U104" s="4" t="str">
        <x:v>design.branch.branch.opaque_sheet.in.1</x:v>
      </x:c>
      <x:c r="V104" s="4" t="str">
        <x:v>design.branch.branch.opaque_sheet.out</x:v>
      </x:c>
    </x:row>
    <x:row r="105" ht="105" customHeight="1">
      <x:c r="A105" s="4" t="str">
        <x:f>IFERROR(INDEX('Material routes'!$E$6:$E$2205,MATCH(U105,'Material routes'!$A$6:$A$2205,0)),"MISSING ID")</x:f>
        <x:v>Rough clear-glass blank</x:v>
      </x:c>
      <x:c r="B105" s="4" t="str">
        <x:f>IFERROR(INDEX('Material routes'!$F$6:$F$2205,MATCH(U105,'Material routes'!$A$6:$A$2205,0)),"MISSING ID")</x:f>
        <x:v>T1</x:v>
      </x:c>
      <x:c r="C105" s="4" t="str">
        <x:f>IFERROR(INDEX('Material routes'!$H$6:$H$2205,MATCH(U105,'Material routes'!$A$6:$A$2205,0)),"MISSING ID")</x:f>
        <x:v>Processed material</x:v>
      </x:c>
      <x:c r="D105" s="4" t="str">
        <x:f>IFERROR(INDEX('Material routes'!$G$6:$G$2205,MATCH(U105,'Material routes'!$A$6:$A$2205,0)),"MISSING ID")</x:f>
        <x:v>Manufactured stock</x:v>
      </x:c>
      <x:c r="E105" s="4" t="str">
        <x:f>IFERROR(INDEX('Material routes'!$C$6:$C$2205,MATCH(U105,'Material routes'!$A$6:$A$2205,0)),"MISSING ID")</x:f>
        <x:v>Ingredient candidate</x:v>
      </x:c>
      <x:c r="F105" s="4" t="str">
        <x:f>IFERROR(INDEX('Material routes'!$E$6:$E$2205,MATCH(V105,'Material routes'!$A$6:$A$2205,0)),"MISSING ID")</x:f>
        <x:v>Selected viewing-glass stock</x:v>
      </x:c>
      <x:c r="G105" s="4" t="str">
        <x:f>IFERROR(INDEX('Material routes'!$F$6:$F$2205,MATCH(V105,'Material routes'!$A$6:$A$2205,0)),"MISSING ID")</x:f>
        <x:v>T2</x:v>
      </x:c>
      <x:c r="H105" s="4" t="str">
        <x:f>IFERROR(INDEX('Material routes'!$H$6:$H$2205,MATCH(V105,'Material routes'!$A$6:$A$2205,0)),"MISSING ID")</x:f>
        <x:v>Processed material</x:v>
      </x:c>
      <x:c r="I105" s="4" t="str">
        <x:f>IFERROR(INDEX('Material routes'!$G$6:$G$2205,MATCH(V105,'Material routes'!$A$6:$A$2205,0)),"MISSING ID")</x:f>
        <x:v>Manufactured stock</x:v>
      </x:c>
      <x:c r="J105" s="4" t="str">
        <x:f>IFERROR(INDEX('Material routes'!$B$6:$B$2205,MATCH(U105,'Material routes'!$A$6:$A$2205,0)),"MISSING ID")</x:f>
        <x:v>design.branch.branch.viewing_glass</x:v>
      </x:c>
      <x:c r="K105" s="4" t="str">
        <x:f>IFERROR(INDEX('Crafting recipes'!$C$6:$C$1005,MATCH(J105,'Crafting recipes'!$A$6:$A$1005,0)),"MISSING ID")</x:f>
        <x:v>Material refinement</x:v>
      </x:c>
      <x:c r="L105" s="4" t="str">
        <x:f>IFERROR(INDEX('Material routes'!$K$6:$K$2205,MATCH(U105,'Material routes'!$A$6:$A$2205,0)),"MISSING ID")</x:f>
        <x:v>Proposal</x:v>
      </x:c>
      <x:c r="M105" s="4" t="str">
        <x:f>IFERROR(INDEX('Material routes'!$M$6:$M$2205,MATCH(U105,'Material routes'!$A$6:$A$2205,0)),"MISSING ID")</x:f>
        <x:v>Partial proposal</x:v>
      </x:c>
      <x:c r="N105" s="4" t="str">
        <x:f>IF(IFERROR(INDEX('Material routes'!$I$6:$I$1005,MATCH(U105,'Material routes'!$A$6:$A$1005,0)),"MISSING ID")=0,"",IFERROR(INDEX('Material routes'!$I$6:$I$1005,MATCH(U105,'Material routes'!$A$6:$A$1005,0)),"MISSING ID"))</x:f>
      </x:c>
      <x:c r="O105" s="4" t="str">
        <x:f>IFERROR(INDEX('Material routes'!$J$6:$J$2205,MATCH(U105,'Material routes'!$A$6:$A$2205,0)),"MISSING ID")</x:f>
        <x:v>Unspecified</x:v>
      </x:c>
      <x:c r="P105" s="4" t="str">
        <x:f>IF(IFERROR(INDEX('Material routes'!$I$6:$I$1005,MATCH(V105,'Material routes'!$A$6:$A$1005,0)),"MISSING ID")=0,"",IFERROR(INDEX('Material routes'!$I$6:$I$1005,MATCH(V105,'Material routes'!$A$6:$A$1005,0)),"MISSING ID"))</x:f>
      </x:c>
      <x:c r="Q105" s="4" t="str">
        <x:f>IFERROR(INDEX('Material routes'!$J$6:$J$2205,MATCH(V105,'Material routes'!$A$6:$A$2205,0)),"MISSING ID")</x:f>
        <x:v>Unspecified</x:v>
      </x:c>
      <x:c r="R105" s="4" t="str">
        <x:f>IF(L105="Withheld","Withheld premise",IF(E105="Tool candidate","Reusable prerequisite",IF(K105="Raw entry preparation","Entry-resource preparation",IF(G105="Not applicable",IF(IFERROR(INDEX('Items'!$AI$6:$AI$1005,MATCH(T105,'Items'!$A$6:$A$1005,0)),"MISSING ID")="Finished item","Finished endpoint",IF(IFERROR(INDEX('Items'!$AI$6:$AI$1005,MATCH(T105,'Items'!$A$6:$A$1005,0)),"MISSING ID")="Currency","Currency / no refinement tier","Recovered output / tier not applicable")),IF(OR(IFERROR(INDEX('Crafting recipes'!$H$6:$H$1005,MATCH(J105,'Crafting recipes'!$A$6:$A$1005,0)),"MISSING ID")="Unassigned",G105="Unassigned"),"Tier unresolved",IF(IFERROR(VALUE(RIGHT(G105,1))-VALUE(RIGHT(IFERROR(INDEX('Crafting recipes'!$H$6:$H$1005,MATCH(J105,'Crafting recipes'!$A$6:$A$1005,0)),"MISSING ID"),1)),0)=1,IF(B105=IFERROR(INDEX('Crafting recipes'!$H$6:$H$1005,MATCH(J105,'Crafting recipes'!$A$6:$A$1005,0)),"MISSING ID"),"Advances one material tier","Lower-tier ingredient; route advances one tier"),"Needs tier review"))))))</x:f>
        <x:v>Advances one material tier</x:v>
      </x:c>
      <x:c r="S105" s="4" t="str">
        <x:f>IFERROR(INDEX('Material routes'!$D$6:$D$2205,MATCH(U105,'Material routes'!$A$6:$A$2205,0)),"MISSING ID")</x:f>
        <x:v>proposal.t1.clear_glass_blank</x:v>
      </x:c>
      <x:c r="T105" s="4" t="str">
        <x:f>IFERROR(INDEX('Material routes'!$D$6:$D$2205,MATCH(V105,'Material routes'!$A$6:$A$2205,0)),"MISSING ID")</x:f>
        <x:v>proposal.branch.viewing_glass</x:v>
      </x:c>
      <x:c r="U105" s="4" t="str">
        <x:v>design.branch.branch.viewing_glass.in.1</x:v>
      </x:c>
      <x:c r="V105" s="4" t="str">
        <x:v>design.branch.branch.viewing_glass.out</x:v>
      </x:c>
    </x:row>
    <x:row r="106" ht="105" customHeight="1">
      <x:c r="A106" s="4" t="str">
        <x:f>IFERROR(INDEX('Material routes'!$E$6:$E$2205,MATCH(U106,'Material routes'!$A$6:$A$2205,0)),"MISSING ID")</x:f>
        <x:v>Pressed husk-fiber textile material</x:v>
      </x:c>
      <x:c r="B106" s="4" t="str">
        <x:f>IFERROR(INDEX('Material routes'!$F$6:$F$2205,MATCH(U106,'Material routes'!$A$6:$A$2205,0)),"MISSING ID")</x:f>
        <x:v>T1</x:v>
      </x:c>
      <x:c r="C106" s="4" t="str">
        <x:f>IFERROR(INDEX('Material routes'!$H$6:$H$2205,MATCH(U106,'Material routes'!$A$6:$A$2205,0)),"MISSING ID")</x:f>
        <x:v>Processed material</x:v>
      </x:c>
      <x:c r="D106" s="4" t="str">
        <x:f>IFERROR(INDEX('Material routes'!$G$6:$G$2205,MATCH(U106,'Material routes'!$A$6:$A$2205,0)),"MISSING ID")</x:f>
        <x:v>Crafting components</x:v>
      </x:c>
      <x:c r="E106" s="4" t="str">
        <x:f>IFERROR(INDEX('Material routes'!$C$6:$C$2205,MATCH(U106,'Material routes'!$A$6:$A$2205,0)),"MISSING ID")</x:f>
        <x:v>Ingredient candidate</x:v>
      </x:c>
      <x:c r="F106" s="4" t="str">
        <x:f>IFERROR(INDEX('Material routes'!$E$6:$E$2205,MATCH(V106,'Material routes'!$A$6:$A$2205,0)),"MISSING ID")</x:f>
        <x:v>Bonded husk sheet</x:v>
      </x:c>
      <x:c r="G106" s="4" t="str">
        <x:f>IFERROR(INDEX('Material routes'!$F$6:$F$2205,MATCH(V106,'Material routes'!$A$6:$A$2205,0)),"MISSING ID")</x:f>
        <x:v>T2</x:v>
      </x:c>
      <x:c r="H106" s="4" t="str">
        <x:f>IFERROR(INDEX('Material routes'!$H$6:$H$2205,MATCH(V106,'Material routes'!$A$6:$A$2205,0)),"MISSING ID")</x:f>
        <x:v>Processed material</x:v>
      </x:c>
      <x:c r="I106" s="4" t="str">
        <x:f>IFERROR(INDEX('Material routes'!$G$6:$G$2205,MATCH(V106,'Material routes'!$A$6:$A$2205,0)),"MISSING ID")</x:f>
        <x:v>Manufactured stock</x:v>
      </x:c>
      <x:c r="J106" s="4" t="str">
        <x:f>IFERROR(INDEX('Material routes'!$B$6:$B$2205,MATCH(U106,'Material routes'!$A$6:$A$2205,0)),"MISSING ID")</x:f>
        <x:v>design.branch.branch.husk_sheet</x:v>
      </x:c>
      <x:c r="K106" s="4" t="str">
        <x:f>IFERROR(INDEX('Crafting recipes'!$C$6:$C$1005,MATCH(J106,'Crafting recipes'!$A$6:$A$1005,0)),"MISSING ID")</x:f>
        <x:v>Material refinement</x:v>
      </x:c>
      <x:c r="L106" s="4" t="str">
        <x:f>IFERROR(INDEX('Material routes'!$K$6:$K$2205,MATCH(U106,'Material routes'!$A$6:$A$2205,0)),"MISSING ID")</x:f>
        <x:v>Proposal</x:v>
      </x:c>
      <x:c r="M106" s="4" t="str">
        <x:f>IFERROR(INDEX('Material routes'!$M$6:$M$2205,MATCH(U106,'Material routes'!$A$6:$A$2205,0)),"MISSING ID")</x:f>
        <x:v>Partial proposal</x:v>
      </x:c>
      <x:c r="N106" s="4" t="str">
        <x:f>IF(IFERROR(INDEX('Material routes'!$I$6:$I$1005,MATCH(U106,'Material routes'!$A$6:$A$1005,0)),"MISSING ID")=0,"",IFERROR(INDEX('Material routes'!$I$6:$I$1005,MATCH(U106,'Material routes'!$A$6:$A$1005,0)),"MISSING ID"))</x:f>
      </x:c>
      <x:c r="O106" s="4" t="str">
        <x:f>IFERROR(INDEX('Material routes'!$J$6:$J$2205,MATCH(U106,'Material routes'!$A$6:$A$2205,0)),"MISSING ID")</x:f>
        <x:v>Unspecified</x:v>
      </x:c>
      <x:c r="P106" s="4" t="str">
        <x:f>IF(IFERROR(INDEX('Material routes'!$I$6:$I$1005,MATCH(V106,'Material routes'!$A$6:$A$1005,0)),"MISSING ID")=0,"",IFERROR(INDEX('Material routes'!$I$6:$I$1005,MATCH(V106,'Material routes'!$A$6:$A$1005,0)),"MISSING ID"))</x:f>
      </x:c>
      <x:c r="Q106" s="4" t="str">
        <x:f>IFERROR(INDEX('Material routes'!$J$6:$J$2205,MATCH(V106,'Material routes'!$A$6:$A$2205,0)),"MISSING ID")</x:f>
        <x:v>Unspecified</x:v>
      </x:c>
      <x:c r="R106" s="4" t="str">
        <x:f>IF(L106="Withheld","Withheld premise",IF(E106="Tool candidate","Reusable prerequisite",IF(K106="Raw entry preparation","Entry-resource preparation",IF(G106="Not applicable",IF(IFERROR(INDEX('Items'!$AI$6:$AI$1005,MATCH(T106,'Items'!$A$6:$A$1005,0)),"MISSING ID")="Finished item","Finished endpoint",IF(IFERROR(INDEX('Items'!$AI$6:$AI$1005,MATCH(T106,'Items'!$A$6:$A$1005,0)),"MISSING ID")="Currency","Currency / no refinement tier","Recovered output / tier not applicable")),IF(OR(IFERROR(INDEX('Crafting recipes'!$H$6:$H$1005,MATCH(J106,'Crafting recipes'!$A$6:$A$1005,0)),"MISSING ID")="Unassigned",G106="Unassigned"),"Tier unresolved",IF(IFERROR(VALUE(RIGHT(G106,1))-VALUE(RIGHT(IFERROR(INDEX('Crafting recipes'!$H$6:$H$1005,MATCH(J106,'Crafting recipes'!$A$6:$A$1005,0)),"MISSING ID"),1)),0)=1,IF(B106=IFERROR(INDEX('Crafting recipes'!$H$6:$H$1005,MATCH(J106,'Crafting recipes'!$A$6:$A$1005,0)),"MISSING ID"),"Advances one material tier","Lower-tier ingredient; route advances one tier"),"Needs tier review"))))))</x:f>
        <x:v>Advances one material tier</x:v>
      </x:c>
      <x:c r="S106" s="4" t="str">
        <x:f>IFERROR(INDEX('Material routes'!$D$6:$D$2205,MATCH(U106,'Material routes'!$A$6:$A$2205,0)),"MISSING ID")</x:f>
        <x:v>proposal.bio.pressed_husk</x:v>
      </x:c>
      <x:c r="T106" s="4" t="str">
        <x:f>IFERROR(INDEX('Material routes'!$D$6:$D$2205,MATCH(V106,'Material routes'!$A$6:$A$2205,0)),"MISSING ID")</x:f>
        <x:v>proposal.branch.husk_sheet</x:v>
      </x:c>
      <x:c r="U106" s="4" t="str">
        <x:v>design.branch.branch.husk_sheet.in.1</x:v>
      </x:c>
      <x:c r="V106" s="4" t="str">
        <x:v>design.branch.branch.husk_sheet.out</x:v>
      </x:c>
    </x:row>
    <x:row r="107" ht="105" customHeight="1">
      <x:c r="A107" s="4" t="str">
        <x:f>IFERROR(INDEX('Material routes'!$E$6:$E$2205,MATCH(U107,'Material routes'!$A$6:$A$2205,0)),"MISSING ID")</x:f>
        <x:v>Prepared shell-binding adhesive</x:v>
      </x:c>
      <x:c r="B107" s="4" t="str">
        <x:f>IFERROR(INDEX('Material routes'!$F$6:$F$2205,MATCH(U107,'Material routes'!$A$6:$A$2205,0)),"MISSING ID")</x:f>
        <x:v>T1</x:v>
      </x:c>
      <x:c r="C107" s="4" t="str">
        <x:f>IFERROR(INDEX('Material routes'!$H$6:$H$2205,MATCH(U107,'Material routes'!$A$6:$A$2205,0)),"MISSING ID")</x:f>
        <x:v>Chemical material</x:v>
      </x:c>
      <x:c r="D107" s="4" t="str">
        <x:f>IFERROR(INDEX('Material routes'!$G$6:$G$2205,MATCH(U107,'Material routes'!$A$6:$A$2205,0)),"MISSING ID")</x:f>
        <x:v>Crafting components</x:v>
      </x:c>
      <x:c r="E107" s="4" t="str">
        <x:f>IFERROR(INDEX('Material routes'!$C$6:$C$2205,MATCH(U107,'Material routes'!$A$6:$A$2205,0)),"MISSING ID")</x:f>
        <x:v>Ingredient candidate</x:v>
      </x:c>
      <x:c r="F107" s="4" t="str">
        <x:f>IFERROR(INDEX('Material routes'!$E$6:$E$2205,MATCH(V107,'Material routes'!$A$6:$A$2205,0)),"MISSING ID")</x:f>
        <x:v>Bonded husk sheet</x:v>
      </x:c>
      <x:c r="G107" s="4" t="str">
        <x:f>IFERROR(INDEX('Material routes'!$F$6:$F$2205,MATCH(V107,'Material routes'!$A$6:$A$2205,0)),"MISSING ID")</x:f>
        <x:v>T2</x:v>
      </x:c>
      <x:c r="H107" s="4" t="str">
        <x:f>IFERROR(INDEX('Material routes'!$H$6:$H$2205,MATCH(V107,'Material routes'!$A$6:$A$2205,0)),"MISSING ID")</x:f>
        <x:v>Processed material</x:v>
      </x:c>
      <x:c r="I107" s="4" t="str">
        <x:f>IFERROR(INDEX('Material routes'!$G$6:$G$2205,MATCH(V107,'Material routes'!$A$6:$A$2205,0)),"MISSING ID")</x:f>
        <x:v>Manufactured stock</x:v>
      </x:c>
      <x:c r="J107" s="4" t="str">
        <x:f>IFERROR(INDEX('Material routes'!$B$6:$B$2205,MATCH(U107,'Material routes'!$A$6:$A$2205,0)),"MISSING ID")</x:f>
        <x:v>design.branch.branch.husk_sheet</x:v>
      </x:c>
      <x:c r="K107" s="4" t="str">
        <x:f>IFERROR(INDEX('Crafting recipes'!$C$6:$C$1005,MATCH(J107,'Crafting recipes'!$A$6:$A$1005,0)),"MISSING ID")</x:f>
        <x:v>Material refinement</x:v>
      </x:c>
      <x:c r="L107" s="4" t="str">
        <x:f>IFERROR(INDEX('Material routes'!$K$6:$K$2205,MATCH(U107,'Material routes'!$A$6:$A$2205,0)),"MISSING ID")</x:f>
        <x:v>Proposal</x:v>
      </x:c>
      <x:c r="M107" s="4" t="str">
        <x:f>IFERROR(INDEX('Material routes'!$M$6:$M$2205,MATCH(U107,'Material routes'!$A$6:$A$2205,0)),"MISSING ID")</x:f>
        <x:v>Partial proposal</x:v>
      </x:c>
      <x:c r="N107" s="4" t="str">
        <x:f>IF(IFERROR(INDEX('Material routes'!$I$6:$I$1005,MATCH(U107,'Material routes'!$A$6:$A$1005,0)),"MISSING ID")=0,"",IFERROR(INDEX('Material routes'!$I$6:$I$1005,MATCH(U107,'Material routes'!$A$6:$A$1005,0)),"MISSING ID"))</x:f>
      </x:c>
      <x:c r="O107" s="4" t="str">
        <x:f>IFERROR(INDEX('Material routes'!$J$6:$J$2205,MATCH(U107,'Material routes'!$A$6:$A$2205,0)),"MISSING ID")</x:f>
        <x:v>Unspecified</x:v>
      </x:c>
      <x:c r="P107" s="4" t="str">
        <x:f>IF(IFERROR(INDEX('Material routes'!$I$6:$I$1005,MATCH(V107,'Material routes'!$A$6:$A$1005,0)),"MISSING ID")=0,"",IFERROR(INDEX('Material routes'!$I$6:$I$1005,MATCH(V107,'Material routes'!$A$6:$A$1005,0)),"MISSING ID"))</x:f>
      </x:c>
      <x:c r="Q107" s="4" t="str">
        <x:f>IFERROR(INDEX('Material routes'!$J$6:$J$2205,MATCH(V107,'Material routes'!$A$6:$A$2205,0)),"MISSING ID")</x:f>
        <x:v>Unspecified</x:v>
      </x:c>
      <x:c r="R107" s="4" t="str">
        <x:f>IF(L107="Withheld","Withheld premise",IF(E107="Tool candidate","Reusable prerequisite",IF(K107="Raw entry preparation","Entry-resource preparation",IF(G107="Not applicable",IF(IFERROR(INDEX('Items'!$AI$6:$AI$1005,MATCH(T107,'Items'!$A$6:$A$1005,0)),"MISSING ID")="Finished item","Finished endpoint",IF(IFERROR(INDEX('Items'!$AI$6:$AI$1005,MATCH(T107,'Items'!$A$6:$A$1005,0)),"MISSING ID")="Currency","Currency / no refinement tier","Recovered output / tier not applicable")),IF(OR(IFERROR(INDEX('Crafting recipes'!$H$6:$H$1005,MATCH(J107,'Crafting recipes'!$A$6:$A$1005,0)),"MISSING ID")="Unassigned",G107="Unassigned"),"Tier unresolved",IF(IFERROR(VALUE(RIGHT(G107,1))-VALUE(RIGHT(IFERROR(INDEX('Crafting recipes'!$H$6:$H$1005,MATCH(J107,'Crafting recipes'!$A$6:$A$1005,0)),"MISSING ID"),1)),0)=1,IF(B107=IFERROR(INDEX('Crafting recipes'!$H$6:$H$1005,MATCH(J107,'Crafting recipes'!$A$6:$A$1005,0)),"MISSING ID"),"Advances one material tier","Lower-tier ingredient; route advances one tier"),"Needs tier review"))))))</x:f>
        <x:v>Advances one material tier</x:v>
      </x:c>
      <x:c r="S107" s="4" t="str">
        <x:f>IFERROR(INDEX('Material routes'!$D$6:$D$2205,MATCH(U107,'Material routes'!$A$6:$A$2205,0)),"MISSING ID")</x:f>
        <x:v>proposal.t1.shell_adhesive</x:v>
      </x:c>
      <x:c r="T107" s="4" t="str">
        <x:f>IFERROR(INDEX('Material routes'!$D$6:$D$2205,MATCH(V107,'Material routes'!$A$6:$A$2205,0)),"MISSING ID")</x:f>
        <x:v>proposal.branch.husk_sheet</x:v>
      </x:c>
      <x:c r="U107" s="4" t="str">
        <x:v>design.branch.branch.husk_sheet.in.2</x:v>
      </x:c>
      <x:c r="V107" s="4" t="str">
        <x:v>design.branch.branch.husk_sheet.out</x:v>
      </x:c>
    </x:row>
    <x:row r="108" ht="105" customHeight="1">
      <x:c r="A108" s="4" t="str">
        <x:f>IFERROR(INDEX('Material routes'!$E$6:$E$2205,MATCH(U108,'Material routes'!$A$6:$A$2205,0)),"MISSING ID")</x:f>
        <x:v>Prepared insect-wing sail panel</x:v>
      </x:c>
      <x:c r="B108" s="4" t="str">
        <x:f>IFERROR(INDEX('Material routes'!$F$6:$F$2205,MATCH(U108,'Material routes'!$A$6:$A$2205,0)),"MISSING ID")</x:f>
        <x:v>T1</x:v>
      </x:c>
      <x:c r="C108" s="4" t="str">
        <x:f>IFERROR(INDEX('Material routes'!$H$6:$H$2205,MATCH(U108,'Material routes'!$A$6:$A$2205,0)),"MISSING ID")</x:f>
        <x:v>Crafting component</x:v>
      </x:c>
      <x:c r="D108" s="4" t="str">
        <x:f>IFERROR(INDEX('Material routes'!$G$6:$G$2205,MATCH(U108,'Material routes'!$A$6:$A$2205,0)),"MISSING ID")</x:f>
        <x:v>Salvage</x:v>
      </x:c>
      <x:c r="E108" s="4" t="str">
        <x:f>IFERROR(INDEX('Material routes'!$C$6:$C$2205,MATCH(U108,'Material routes'!$A$6:$A$2205,0)),"MISSING ID")</x:f>
        <x:v>Ingredient candidate</x:v>
      </x:c>
      <x:c r="F108" s="4" t="str">
        <x:f>IFERROR(INDEX('Material routes'!$E$6:$E$2205,MATCH(V108,'Material routes'!$A$6:$A$2205,0)),"MISSING ID")</x:f>
        <x:v>Reinforced wing membrane</x:v>
      </x:c>
      <x:c r="G108" s="4" t="str">
        <x:f>IFERROR(INDEX('Material routes'!$F$6:$F$2205,MATCH(V108,'Material routes'!$A$6:$A$2205,0)),"MISSING ID")</x:f>
        <x:v>T2</x:v>
      </x:c>
      <x:c r="H108" s="4" t="str">
        <x:f>IFERROR(INDEX('Material routes'!$H$6:$H$2205,MATCH(V108,'Material routes'!$A$6:$A$2205,0)),"MISSING ID")</x:f>
        <x:v>Processed material</x:v>
      </x:c>
      <x:c r="I108" s="4" t="str">
        <x:f>IFERROR(INDEX('Material routes'!$G$6:$G$2205,MATCH(V108,'Material routes'!$A$6:$A$2205,0)),"MISSING ID")</x:f>
        <x:v>Manufactured stock</x:v>
      </x:c>
      <x:c r="J108" s="4" t="str">
        <x:f>IFERROR(INDEX('Material routes'!$B$6:$B$2205,MATCH(U108,'Material routes'!$A$6:$A$2205,0)),"MISSING ID")</x:f>
        <x:v>design.branch.branch.wing_membrane</x:v>
      </x:c>
      <x:c r="K108" s="4" t="str">
        <x:f>IFERROR(INDEX('Crafting recipes'!$C$6:$C$1005,MATCH(J108,'Crafting recipes'!$A$6:$A$1005,0)),"MISSING ID")</x:f>
        <x:v>Material refinement</x:v>
      </x:c>
      <x:c r="L108" s="4" t="str">
        <x:f>IFERROR(INDEX('Material routes'!$K$6:$K$2205,MATCH(U108,'Material routes'!$A$6:$A$2205,0)),"MISSING ID")</x:f>
        <x:v>Proposal</x:v>
      </x:c>
      <x:c r="M108" s="4" t="str">
        <x:f>IFERROR(INDEX('Material routes'!$M$6:$M$2205,MATCH(U108,'Material routes'!$A$6:$A$2205,0)),"MISSING ID")</x:f>
        <x:v>Partial proposal</x:v>
      </x:c>
      <x:c r="N108" s="4" t="str">
        <x:f>IF(IFERROR(INDEX('Material routes'!$I$6:$I$1005,MATCH(U108,'Material routes'!$A$6:$A$1005,0)),"MISSING ID")=0,"",IFERROR(INDEX('Material routes'!$I$6:$I$1005,MATCH(U108,'Material routes'!$A$6:$A$1005,0)),"MISSING ID"))</x:f>
      </x:c>
      <x:c r="O108" s="4" t="str">
        <x:f>IFERROR(INDEX('Material routes'!$J$6:$J$2205,MATCH(U108,'Material routes'!$A$6:$A$2205,0)),"MISSING ID")</x:f>
        <x:v>Unspecified</x:v>
      </x:c>
      <x:c r="P108" s="4" t="str">
        <x:f>IF(IFERROR(INDEX('Material routes'!$I$6:$I$1005,MATCH(V108,'Material routes'!$A$6:$A$1005,0)),"MISSING ID")=0,"",IFERROR(INDEX('Material routes'!$I$6:$I$1005,MATCH(V108,'Material routes'!$A$6:$A$1005,0)),"MISSING ID"))</x:f>
      </x:c>
      <x:c r="Q108" s="4" t="str">
        <x:f>IFERROR(INDEX('Material routes'!$J$6:$J$2205,MATCH(V108,'Material routes'!$A$6:$A$2205,0)),"MISSING ID")</x:f>
        <x:v>Unspecified</x:v>
      </x:c>
      <x:c r="R108" s="4" t="str">
        <x:f>IF(L108="Withheld","Withheld premise",IF(E108="Tool candidate","Reusable prerequisite",IF(K108="Raw entry preparation","Entry-resource preparation",IF(G108="Not applicable",IF(IFERROR(INDEX('Items'!$AI$6:$AI$1005,MATCH(T108,'Items'!$A$6:$A$1005,0)),"MISSING ID")="Finished item","Finished endpoint",IF(IFERROR(INDEX('Items'!$AI$6:$AI$1005,MATCH(T108,'Items'!$A$6:$A$1005,0)),"MISSING ID")="Currency","Currency / no refinement tier","Recovered output / tier not applicable")),IF(OR(IFERROR(INDEX('Crafting recipes'!$H$6:$H$1005,MATCH(J108,'Crafting recipes'!$A$6:$A$1005,0)),"MISSING ID")="Unassigned",G108="Unassigned"),"Tier unresolved",IF(IFERROR(VALUE(RIGHT(G108,1))-VALUE(RIGHT(IFERROR(INDEX('Crafting recipes'!$H$6:$H$1005,MATCH(J108,'Crafting recipes'!$A$6:$A$1005,0)),"MISSING ID"),1)),0)=1,IF(B108=IFERROR(INDEX('Crafting recipes'!$H$6:$H$1005,MATCH(J108,'Crafting recipes'!$A$6:$A$1005,0)),"MISSING ID"),"Advances one material tier","Lower-tier ingredient; route advances one tier"),"Needs tier review"))))))</x:f>
        <x:v>Advances one material tier</x:v>
      </x:c>
      <x:c r="S108" s="4" t="str">
        <x:f>IFERROR(INDEX('Material routes'!$D$6:$D$2205,MATCH(U108,'Material routes'!$A$6:$A$2205,0)),"MISSING ID")</x:f>
        <x:v>proposal.wind.sail_panel</x:v>
      </x:c>
      <x:c r="T108" s="4" t="str">
        <x:f>IFERROR(INDEX('Material routes'!$D$6:$D$2205,MATCH(V108,'Material routes'!$A$6:$A$2205,0)),"MISSING ID")</x:f>
        <x:v>proposal.branch.wing_membrane</x:v>
      </x:c>
      <x:c r="U108" s="4" t="str">
        <x:v>design.branch.branch.wing_membrane.in.1</x:v>
      </x:c>
      <x:c r="V108" s="4" t="str">
        <x:v>design.branch.branch.wing_membrane.out</x:v>
      </x:c>
    </x:row>
    <x:row r="109" ht="105" customHeight="1">
      <x:c r="A109" s="4" t="str">
        <x:f>IFERROR(INDEX('Material routes'!$E$6:$E$2205,MATCH(U109,'Material routes'!$A$6:$A$2205,0)),"MISSING ID")</x:f>
        <x:v>Tendon cord</x:v>
      </x:c>
      <x:c r="B109" s="4" t="str">
        <x:f>IFERROR(INDEX('Material routes'!$F$6:$F$2205,MATCH(U109,'Material routes'!$A$6:$A$2205,0)),"MISSING ID")</x:f>
        <x:v>T1</x:v>
      </x:c>
      <x:c r="C109" s="4" t="str">
        <x:f>IFERROR(INDEX('Material routes'!$H$6:$H$2205,MATCH(U109,'Material routes'!$A$6:$A$2205,0)),"MISSING ID")</x:f>
        <x:v>Crafting component</x:v>
      </x:c>
      <x:c r="D109" s="4" t="str">
        <x:f>IFERROR(INDEX('Material routes'!$G$6:$G$2205,MATCH(U109,'Material routes'!$A$6:$A$2205,0)),"MISSING ID")</x:f>
        <x:v>Crafting components</x:v>
      </x:c>
      <x:c r="E109" s="4" t="str">
        <x:f>IFERROR(INDEX('Material routes'!$C$6:$C$2205,MATCH(U109,'Material routes'!$A$6:$A$2205,0)),"MISSING ID")</x:f>
        <x:v>Ingredient candidate</x:v>
      </x:c>
      <x:c r="F109" s="4" t="str">
        <x:f>IFERROR(INDEX('Material routes'!$E$6:$E$2205,MATCH(V109,'Material routes'!$A$6:$A$2205,0)),"MISSING ID")</x:f>
        <x:v>Reinforced wing membrane</x:v>
      </x:c>
      <x:c r="G109" s="4" t="str">
        <x:f>IFERROR(INDEX('Material routes'!$F$6:$F$2205,MATCH(V109,'Material routes'!$A$6:$A$2205,0)),"MISSING ID")</x:f>
        <x:v>T2</x:v>
      </x:c>
      <x:c r="H109" s="4" t="str">
        <x:f>IFERROR(INDEX('Material routes'!$H$6:$H$2205,MATCH(V109,'Material routes'!$A$6:$A$2205,0)),"MISSING ID")</x:f>
        <x:v>Processed material</x:v>
      </x:c>
      <x:c r="I109" s="4" t="str">
        <x:f>IFERROR(INDEX('Material routes'!$G$6:$G$2205,MATCH(V109,'Material routes'!$A$6:$A$2205,0)),"MISSING ID")</x:f>
        <x:v>Manufactured stock</x:v>
      </x:c>
      <x:c r="J109" s="4" t="str">
        <x:f>IFERROR(INDEX('Material routes'!$B$6:$B$2205,MATCH(U109,'Material routes'!$A$6:$A$2205,0)),"MISSING ID")</x:f>
        <x:v>design.branch.branch.wing_membrane</x:v>
      </x:c>
      <x:c r="K109" s="4" t="str">
        <x:f>IFERROR(INDEX('Crafting recipes'!$C$6:$C$1005,MATCH(J109,'Crafting recipes'!$A$6:$A$1005,0)),"MISSING ID")</x:f>
        <x:v>Material refinement</x:v>
      </x:c>
      <x:c r="L109" s="4" t="str">
        <x:f>IFERROR(INDEX('Material routes'!$K$6:$K$2205,MATCH(U109,'Material routes'!$A$6:$A$2205,0)),"MISSING ID")</x:f>
        <x:v>Proposal</x:v>
      </x:c>
      <x:c r="M109" s="4" t="str">
        <x:f>IFERROR(INDEX('Material routes'!$M$6:$M$2205,MATCH(U109,'Material routes'!$A$6:$A$2205,0)),"MISSING ID")</x:f>
        <x:v>Partial proposal</x:v>
      </x:c>
      <x:c r="N109" s="4" t="str">
        <x:f>IF(IFERROR(INDEX('Material routes'!$I$6:$I$1005,MATCH(U109,'Material routes'!$A$6:$A$1005,0)),"MISSING ID")=0,"",IFERROR(INDEX('Material routes'!$I$6:$I$1005,MATCH(U109,'Material routes'!$A$6:$A$1005,0)),"MISSING ID"))</x:f>
      </x:c>
      <x:c r="O109" s="4" t="str">
        <x:f>IFERROR(INDEX('Material routes'!$J$6:$J$2205,MATCH(U109,'Material routes'!$A$6:$A$2205,0)),"MISSING ID")</x:f>
        <x:v>Unspecified</x:v>
      </x:c>
      <x:c r="P109" s="4" t="str">
        <x:f>IF(IFERROR(INDEX('Material routes'!$I$6:$I$1005,MATCH(V109,'Material routes'!$A$6:$A$1005,0)),"MISSING ID")=0,"",IFERROR(INDEX('Material routes'!$I$6:$I$1005,MATCH(V109,'Material routes'!$A$6:$A$1005,0)),"MISSING ID"))</x:f>
      </x:c>
      <x:c r="Q109" s="4" t="str">
        <x:f>IFERROR(INDEX('Material routes'!$J$6:$J$2205,MATCH(V109,'Material routes'!$A$6:$A$2205,0)),"MISSING ID")</x:f>
        <x:v>Unspecified</x:v>
      </x:c>
      <x:c r="R109" s="4" t="str">
        <x:f>IF(L109="Withheld","Withheld premise",IF(E109="Tool candidate","Reusable prerequisite",IF(K109="Raw entry preparation","Entry-resource preparation",IF(G109="Not applicable",IF(IFERROR(INDEX('Items'!$AI$6:$AI$1005,MATCH(T109,'Items'!$A$6:$A$1005,0)),"MISSING ID")="Finished item","Finished endpoint",IF(IFERROR(INDEX('Items'!$AI$6:$AI$1005,MATCH(T109,'Items'!$A$6:$A$1005,0)),"MISSING ID")="Currency","Currency / no refinement tier","Recovered output / tier not applicable")),IF(OR(IFERROR(INDEX('Crafting recipes'!$H$6:$H$1005,MATCH(J109,'Crafting recipes'!$A$6:$A$1005,0)),"MISSING ID")="Unassigned",G109="Unassigned"),"Tier unresolved",IF(IFERROR(VALUE(RIGHT(G109,1))-VALUE(RIGHT(IFERROR(INDEX('Crafting recipes'!$H$6:$H$1005,MATCH(J109,'Crafting recipes'!$A$6:$A$1005,0)),"MISSING ID"),1)),0)=1,IF(B109=IFERROR(INDEX('Crafting recipes'!$H$6:$H$1005,MATCH(J109,'Crafting recipes'!$A$6:$A$1005,0)),"MISSING ID"),"Advances one material tier","Lower-tier ingredient; route advances one tier"),"Needs tier review"))))))</x:f>
        <x:v>Advances one material tier</x:v>
      </x:c>
      <x:c r="S109" s="4" t="str">
        <x:f>IFERROR(INDEX('Material routes'!$D$6:$D$2205,MATCH(U109,'Material routes'!$A$6:$A$2205,0)),"MISSING ID")</x:f>
        <x:v>proposal.bio.cord</x:v>
      </x:c>
      <x:c r="T109" s="4" t="str">
        <x:f>IFERROR(INDEX('Material routes'!$D$6:$D$2205,MATCH(V109,'Material routes'!$A$6:$A$2205,0)),"MISSING ID")</x:f>
        <x:v>proposal.branch.wing_membrane</x:v>
      </x:c>
      <x:c r="U109" s="4" t="str">
        <x:v>design.branch.branch.wing_membrane.in.2</x:v>
      </x:c>
      <x:c r="V109" s="4" t="str">
        <x:v>design.branch.branch.wing_membrane.out</x:v>
      </x:c>
    </x:row>
    <x:row r="110" ht="105" customHeight="1">
      <x:c r="A110" s="4" t="str">
        <x:f>IFERROR(INDEX('Material routes'!$E$6:$E$2205,MATCH(U110,'Material routes'!$A$6:$A$2205,0)),"MISSING ID")</x:f>
        <x:v>Prepared flexible faunal binder</x:v>
      </x:c>
      <x:c r="B110" s="4" t="str">
        <x:f>IFERROR(INDEX('Material routes'!$F$6:$F$2205,MATCH(U110,'Material routes'!$A$6:$A$2205,0)),"MISSING ID")</x:f>
        <x:v>T1</x:v>
      </x:c>
      <x:c r="C110" s="4" t="str">
        <x:f>IFERROR(INDEX('Material routes'!$H$6:$H$2205,MATCH(U110,'Material routes'!$A$6:$A$2205,0)),"MISSING ID")</x:f>
        <x:v>Chemical material</x:v>
      </x:c>
      <x:c r="D110" s="4" t="str">
        <x:f>IFERROR(INDEX('Material routes'!$G$6:$G$2205,MATCH(U110,'Material routes'!$A$6:$A$2205,0)),"MISSING ID")</x:f>
        <x:v>Crafting components</x:v>
      </x:c>
      <x:c r="E110" s="4" t="str">
        <x:f>IFERROR(INDEX('Material routes'!$C$6:$C$2205,MATCH(U110,'Material routes'!$A$6:$A$2205,0)),"MISSING ID")</x:f>
        <x:v>Ingredient candidate</x:v>
      </x:c>
      <x:c r="F110" s="4" t="str">
        <x:f>IFERROR(INDEX('Material routes'!$E$6:$E$2205,MATCH(V110,'Material routes'!$A$6:$A$2205,0)),"MISSING ID")</x:f>
        <x:v>Reinforced wing membrane</x:v>
      </x:c>
      <x:c r="G110" s="4" t="str">
        <x:f>IFERROR(INDEX('Material routes'!$F$6:$F$2205,MATCH(V110,'Material routes'!$A$6:$A$2205,0)),"MISSING ID")</x:f>
        <x:v>T2</x:v>
      </x:c>
      <x:c r="H110" s="4" t="str">
        <x:f>IFERROR(INDEX('Material routes'!$H$6:$H$2205,MATCH(V110,'Material routes'!$A$6:$A$2205,0)),"MISSING ID")</x:f>
        <x:v>Processed material</x:v>
      </x:c>
      <x:c r="I110" s="4" t="str">
        <x:f>IFERROR(INDEX('Material routes'!$G$6:$G$2205,MATCH(V110,'Material routes'!$A$6:$A$2205,0)),"MISSING ID")</x:f>
        <x:v>Manufactured stock</x:v>
      </x:c>
      <x:c r="J110" s="4" t="str">
        <x:f>IFERROR(INDEX('Material routes'!$B$6:$B$2205,MATCH(U110,'Material routes'!$A$6:$A$2205,0)),"MISSING ID")</x:f>
        <x:v>design.branch.branch.wing_membrane</x:v>
      </x:c>
      <x:c r="K110" s="4" t="str">
        <x:f>IFERROR(INDEX('Crafting recipes'!$C$6:$C$1005,MATCH(J110,'Crafting recipes'!$A$6:$A$1005,0)),"MISSING ID")</x:f>
        <x:v>Material refinement</x:v>
      </x:c>
      <x:c r="L110" s="4" t="str">
        <x:f>IFERROR(INDEX('Material routes'!$K$6:$K$2205,MATCH(U110,'Material routes'!$A$6:$A$2205,0)),"MISSING ID")</x:f>
        <x:v>Proposal</x:v>
      </x:c>
      <x:c r="M110" s="4" t="str">
        <x:f>IFERROR(INDEX('Material routes'!$M$6:$M$2205,MATCH(U110,'Material routes'!$A$6:$A$2205,0)),"MISSING ID")</x:f>
        <x:v>Partial proposal</x:v>
      </x:c>
      <x:c r="N110" s="4" t="str">
        <x:f>IF(IFERROR(INDEX('Material routes'!$I$6:$I$1005,MATCH(U110,'Material routes'!$A$6:$A$1005,0)),"MISSING ID")=0,"",IFERROR(INDEX('Material routes'!$I$6:$I$1005,MATCH(U110,'Material routes'!$A$6:$A$1005,0)),"MISSING ID"))</x:f>
      </x:c>
      <x:c r="O110" s="4" t="str">
        <x:f>IFERROR(INDEX('Material routes'!$J$6:$J$2205,MATCH(U110,'Material routes'!$A$6:$A$2205,0)),"MISSING ID")</x:f>
        <x:v>Unspecified</x:v>
      </x:c>
      <x:c r="P110" s="4" t="str">
        <x:f>IF(IFERROR(INDEX('Material routes'!$I$6:$I$1005,MATCH(V110,'Material routes'!$A$6:$A$1005,0)),"MISSING ID")=0,"",IFERROR(INDEX('Material routes'!$I$6:$I$1005,MATCH(V110,'Material routes'!$A$6:$A$1005,0)),"MISSING ID"))</x:f>
      </x:c>
      <x:c r="Q110" s="4" t="str">
        <x:f>IFERROR(INDEX('Material routes'!$J$6:$J$2205,MATCH(V110,'Material routes'!$A$6:$A$2205,0)),"MISSING ID")</x:f>
        <x:v>Unspecified</x:v>
      </x:c>
      <x:c r="R110" s="4" t="str">
        <x:f>IF(L110="Withheld","Withheld premise",IF(E110="Tool candidate","Reusable prerequisite",IF(K110="Raw entry preparation","Entry-resource preparation",IF(G110="Not applicable",IF(IFERROR(INDEX('Items'!$AI$6:$AI$1005,MATCH(T110,'Items'!$A$6:$A$1005,0)),"MISSING ID")="Finished item","Finished endpoint",IF(IFERROR(INDEX('Items'!$AI$6:$AI$1005,MATCH(T110,'Items'!$A$6:$A$1005,0)),"MISSING ID")="Currency","Currency / no refinement tier","Recovered output / tier not applicable")),IF(OR(IFERROR(INDEX('Crafting recipes'!$H$6:$H$1005,MATCH(J110,'Crafting recipes'!$A$6:$A$1005,0)),"MISSING ID")="Unassigned",G110="Unassigned"),"Tier unresolved",IF(IFERROR(VALUE(RIGHT(G110,1))-VALUE(RIGHT(IFERROR(INDEX('Crafting recipes'!$H$6:$H$1005,MATCH(J110,'Crafting recipes'!$A$6:$A$1005,0)),"MISSING ID"),1)),0)=1,IF(B110=IFERROR(INDEX('Crafting recipes'!$H$6:$H$1005,MATCH(J110,'Crafting recipes'!$A$6:$A$1005,0)),"MISSING ID"),"Advances one material tier","Lower-tier ingredient; route advances one tier"),"Needs tier review"))))))</x:f>
        <x:v>Advances one material tier</x:v>
      </x:c>
      <x:c r="S110" s="4" t="str">
        <x:f>IFERROR(INDEX('Material routes'!$D$6:$D$2205,MATCH(U110,'Material routes'!$A$6:$A$2205,0)),"MISSING ID")</x:f>
        <x:v>proposal.branch.flex_binder</x:v>
      </x:c>
      <x:c r="T110" s="4" t="str">
        <x:f>IFERROR(INDEX('Material routes'!$D$6:$D$2205,MATCH(V110,'Material routes'!$A$6:$A$2205,0)),"MISSING ID")</x:f>
        <x:v>proposal.branch.wing_membrane</x:v>
      </x:c>
      <x:c r="U110" s="4" t="str">
        <x:v>design.branch.branch.wing_membrane.in.3</x:v>
      </x:c>
      <x:c r="V110" s="4" t="str">
        <x:v>design.branch.branch.wing_membrane.out</x:v>
      </x:c>
    </x:row>
    <x:row r="111" ht="105" customHeight="1">
      <x:c r="A111" s="4" t="str">
        <x:f>IFERROR(INDEX('Material routes'!$E$6:$E$2205,MATCH(U111,'Material routes'!$A$6:$A$2205,0)),"MISSING ID")</x:f>
        <x:v>Prepared clot-seal compound</x:v>
      </x:c>
      <x:c r="B111" s="4" t="str">
        <x:f>IFERROR(INDEX('Material routes'!$F$6:$F$2205,MATCH(U111,'Material routes'!$A$6:$A$2205,0)),"MISSING ID")</x:f>
        <x:v>T1</x:v>
      </x:c>
      <x:c r="C111" s="4" t="str">
        <x:f>IFERROR(INDEX('Material routes'!$H$6:$H$2205,MATCH(U111,'Material routes'!$A$6:$A$2205,0)),"MISSING ID")</x:f>
        <x:v>Chemical material</x:v>
      </x:c>
      <x:c r="D111" s="4" t="str">
        <x:f>IFERROR(INDEX('Material routes'!$G$6:$G$2205,MATCH(U111,'Material routes'!$A$6:$A$2205,0)),"MISSING ID")</x:f>
        <x:v>Crafting components</x:v>
      </x:c>
      <x:c r="E111" s="4" t="str">
        <x:f>IFERROR(INDEX('Material routes'!$C$6:$C$2205,MATCH(U111,'Material routes'!$A$6:$A$2205,0)),"MISSING ID")</x:f>
        <x:v>Ingredient candidate</x:v>
      </x:c>
      <x:c r="F111" s="4" t="str">
        <x:f>IFERROR(INDEX('Material routes'!$E$6:$E$2205,MATCH(V111,'Material routes'!$A$6:$A$2205,0)),"MISSING ID")</x:f>
        <x:v>Filled faunal seal compound</x:v>
      </x:c>
      <x:c r="G111" s="4" t="str">
        <x:f>IFERROR(INDEX('Material routes'!$F$6:$F$2205,MATCH(V111,'Material routes'!$A$6:$A$2205,0)),"MISSING ID")</x:f>
        <x:v>T2</x:v>
      </x:c>
      <x:c r="H111" s="4" t="str">
        <x:f>IFERROR(INDEX('Material routes'!$H$6:$H$2205,MATCH(V111,'Material routes'!$A$6:$A$2205,0)),"MISSING ID")</x:f>
        <x:v>Chemical material</x:v>
      </x:c>
      <x:c r="I111" s="4" t="str">
        <x:f>IFERROR(INDEX('Material routes'!$G$6:$G$2205,MATCH(V111,'Material routes'!$A$6:$A$2205,0)),"MISSING ID")</x:f>
        <x:v>Crafting components</x:v>
      </x:c>
      <x:c r="J111" s="4" t="str">
        <x:f>IFERROR(INDEX('Material routes'!$B$6:$B$2205,MATCH(U111,'Material routes'!$A$6:$A$2205,0)),"MISSING ID")</x:f>
        <x:v>design.branch.branch.filled_seal</x:v>
      </x:c>
      <x:c r="K111" s="4" t="str">
        <x:f>IFERROR(INDEX('Crafting recipes'!$C$6:$C$1005,MATCH(J111,'Crafting recipes'!$A$6:$A$1005,0)),"MISSING ID")</x:f>
        <x:v>Material refinement</x:v>
      </x:c>
      <x:c r="L111" s="4" t="str">
        <x:f>IFERROR(INDEX('Material routes'!$K$6:$K$2205,MATCH(U111,'Material routes'!$A$6:$A$2205,0)),"MISSING ID")</x:f>
        <x:v>Proposal</x:v>
      </x:c>
      <x:c r="M111" s="4" t="str">
        <x:f>IFERROR(INDEX('Material routes'!$M$6:$M$2205,MATCH(U111,'Material routes'!$A$6:$A$2205,0)),"MISSING ID")</x:f>
        <x:v>Partial proposal</x:v>
      </x:c>
      <x:c r="N111" s="4" t="str">
        <x:f>IF(IFERROR(INDEX('Material routes'!$I$6:$I$1005,MATCH(U111,'Material routes'!$A$6:$A$1005,0)),"MISSING ID")=0,"",IFERROR(INDEX('Material routes'!$I$6:$I$1005,MATCH(U111,'Material routes'!$A$6:$A$1005,0)),"MISSING ID"))</x:f>
      </x:c>
      <x:c r="O111" s="4" t="str">
        <x:f>IFERROR(INDEX('Material routes'!$J$6:$J$2205,MATCH(U111,'Material routes'!$A$6:$A$2205,0)),"MISSING ID")</x:f>
        <x:v>Unspecified</x:v>
      </x:c>
      <x:c r="P111" s="4" t="str">
        <x:f>IF(IFERROR(INDEX('Material routes'!$I$6:$I$1005,MATCH(V111,'Material routes'!$A$6:$A$1005,0)),"MISSING ID")=0,"",IFERROR(INDEX('Material routes'!$I$6:$I$1005,MATCH(V111,'Material routes'!$A$6:$A$1005,0)),"MISSING ID"))</x:f>
      </x:c>
      <x:c r="Q111" s="4" t="str">
        <x:f>IFERROR(INDEX('Material routes'!$J$6:$J$2205,MATCH(V111,'Material routes'!$A$6:$A$2205,0)),"MISSING ID")</x:f>
        <x:v>Unspecified</x:v>
      </x:c>
      <x:c r="R111" s="4" t="str">
        <x:f>IF(L111="Withheld","Withheld premise",IF(E111="Tool candidate","Reusable prerequisite",IF(K111="Raw entry preparation","Entry-resource preparation",IF(G111="Not applicable",IF(IFERROR(INDEX('Items'!$AI$6:$AI$1005,MATCH(T111,'Items'!$A$6:$A$1005,0)),"MISSING ID")="Finished item","Finished endpoint",IF(IFERROR(INDEX('Items'!$AI$6:$AI$1005,MATCH(T111,'Items'!$A$6:$A$1005,0)),"MISSING ID")="Currency","Currency / no refinement tier","Recovered output / tier not applicable")),IF(OR(IFERROR(INDEX('Crafting recipes'!$H$6:$H$1005,MATCH(J111,'Crafting recipes'!$A$6:$A$1005,0)),"MISSING ID")="Unassigned",G111="Unassigned"),"Tier unresolved",IF(IFERROR(VALUE(RIGHT(G111,1))-VALUE(RIGHT(IFERROR(INDEX('Crafting recipes'!$H$6:$H$1005,MATCH(J111,'Crafting recipes'!$A$6:$A$1005,0)),"MISSING ID"),1)),0)=1,IF(B111=IFERROR(INDEX('Crafting recipes'!$H$6:$H$1005,MATCH(J111,'Crafting recipes'!$A$6:$A$1005,0)),"MISSING ID"),"Advances one material tier","Lower-tier ingredient; route advances one tier"),"Needs tier review"))))))</x:f>
        <x:v>Advances one material tier</x:v>
      </x:c>
      <x:c r="S111" s="4" t="str">
        <x:f>IFERROR(INDEX('Material routes'!$D$6:$D$2205,MATCH(U111,'Material routes'!$A$6:$A$2205,0)),"MISSING ID")</x:f>
        <x:v>proposal.t1.clot_seal</x:v>
      </x:c>
      <x:c r="T111" s="4" t="str">
        <x:f>IFERROR(INDEX('Material routes'!$D$6:$D$2205,MATCH(V111,'Material routes'!$A$6:$A$2205,0)),"MISSING ID")</x:f>
        <x:v>proposal.branch.filled_seal</x:v>
      </x:c>
      <x:c r="U111" s="4" t="str">
        <x:v>design.branch.branch.filled_seal.in.1</x:v>
      </x:c>
      <x:c r="V111" s="4" t="str">
        <x:v>design.branch.branch.filled_seal.out</x:v>
      </x:c>
    </x:row>
    <x:row r="112" ht="105" customHeight="1">
      <x:c r="A112" s="4" t="str">
        <x:f>IFERROR(INDEX('Material routes'!$E$6:$E$2205,MATCH(U112,'Material routes'!$A$6:$A$2205,0)),"MISSING ID")</x:f>
        <x:v>Graded mineral filler</x:v>
      </x:c>
      <x:c r="B112" s="4" t="str">
        <x:f>IFERROR(INDEX('Material routes'!$F$6:$F$2205,MATCH(U112,'Material routes'!$A$6:$A$2205,0)),"MISSING ID")</x:f>
        <x:v>T1</x:v>
      </x:c>
      <x:c r="C112" s="4" t="str">
        <x:f>IFERROR(INDEX('Material routes'!$H$6:$H$2205,MATCH(U112,'Material routes'!$A$6:$A$2205,0)),"MISSING ID")</x:f>
        <x:v>Processed material</x:v>
      </x:c>
      <x:c r="D112" s="4" t="str">
        <x:f>IFERROR(INDEX('Material routes'!$G$6:$G$2205,MATCH(U112,'Material routes'!$A$6:$A$2205,0)),"MISSING ID")</x:f>
        <x:v>Manufactured stock</x:v>
      </x:c>
      <x:c r="E112" s="4" t="str">
        <x:f>IFERROR(INDEX('Material routes'!$C$6:$C$2205,MATCH(U112,'Material routes'!$A$6:$A$2205,0)),"MISSING ID")</x:f>
        <x:v>Ingredient candidate</x:v>
      </x:c>
      <x:c r="F112" s="4" t="str">
        <x:f>IFERROR(INDEX('Material routes'!$E$6:$E$2205,MATCH(V112,'Material routes'!$A$6:$A$2205,0)),"MISSING ID")</x:f>
        <x:v>Filled faunal seal compound</x:v>
      </x:c>
      <x:c r="G112" s="4" t="str">
        <x:f>IFERROR(INDEX('Material routes'!$F$6:$F$2205,MATCH(V112,'Material routes'!$A$6:$A$2205,0)),"MISSING ID")</x:f>
        <x:v>T2</x:v>
      </x:c>
      <x:c r="H112" s="4" t="str">
        <x:f>IFERROR(INDEX('Material routes'!$H$6:$H$2205,MATCH(V112,'Material routes'!$A$6:$A$2205,0)),"MISSING ID")</x:f>
        <x:v>Chemical material</x:v>
      </x:c>
      <x:c r="I112" s="4" t="str">
        <x:f>IFERROR(INDEX('Material routes'!$G$6:$G$2205,MATCH(V112,'Material routes'!$A$6:$A$2205,0)),"MISSING ID")</x:f>
        <x:v>Crafting components</x:v>
      </x:c>
      <x:c r="J112" s="4" t="str">
        <x:f>IFERROR(INDEX('Material routes'!$B$6:$B$2205,MATCH(U112,'Material routes'!$A$6:$A$2205,0)),"MISSING ID")</x:f>
        <x:v>design.branch.branch.filled_seal</x:v>
      </x:c>
      <x:c r="K112" s="4" t="str">
        <x:f>IFERROR(INDEX('Crafting recipes'!$C$6:$C$1005,MATCH(J112,'Crafting recipes'!$A$6:$A$1005,0)),"MISSING ID")</x:f>
        <x:v>Material refinement</x:v>
      </x:c>
      <x:c r="L112" s="4" t="str">
        <x:f>IFERROR(INDEX('Material routes'!$K$6:$K$2205,MATCH(U112,'Material routes'!$A$6:$A$2205,0)),"MISSING ID")</x:f>
        <x:v>Proposal</x:v>
      </x:c>
      <x:c r="M112" s="4" t="str">
        <x:f>IFERROR(INDEX('Material routes'!$M$6:$M$2205,MATCH(U112,'Material routes'!$A$6:$A$2205,0)),"MISSING ID")</x:f>
        <x:v>Partial proposal</x:v>
      </x:c>
      <x:c r="N112" s="4" t="str">
        <x:f>IF(IFERROR(INDEX('Material routes'!$I$6:$I$1005,MATCH(U112,'Material routes'!$A$6:$A$1005,0)),"MISSING ID")=0,"",IFERROR(INDEX('Material routes'!$I$6:$I$1005,MATCH(U112,'Material routes'!$A$6:$A$1005,0)),"MISSING ID"))</x:f>
      </x:c>
      <x:c r="O112" s="4" t="str">
        <x:f>IFERROR(INDEX('Material routes'!$J$6:$J$2205,MATCH(U112,'Material routes'!$A$6:$A$2205,0)),"MISSING ID")</x:f>
        <x:v>Unspecified</x:v>
      </x:c>
      <x:c r="P112" s="4" t="str">
        <x:f>IF(IFERROR(INDEX('Material routes'!$I$6:$I$1005,MATCH(V112,'Material routes'!$A$6:$A$1005,0)),"MISSING ID")=0,"",IFERROR(INDEX('Material routes'!$I$6:$I$1005,MATCH(V112,'Material routes'!$A$6:$A$1005,0)),"MISSING ID"))</x:f>
      </x:c>
      <x:c r="Q112" s="4" t="str">
        <x:f>IFERROR(INDEX('Material routes'!$J$6:$J$2205,MATCH(V112,'Material routes'!$A$6:$A$2205,0)),"MISSING ID")</x:f>
        <x:v>Unspecified</x:v>
      </x:c>
      <x:c r="R112" s="4" t="str">
        <x:f>IF(L112="Withheld","Withheld premise",IF(E112="Tool candidate","Reusable prerequisite",IF(K112="Raw entry preparation","Entry-resource preparation",IF(G112="Not applicable",IF(IFERROR(INDEX('Items'!$AI$6:$AI$1005,MATCH(T112,'Items'!$A$6:$A$1005,0)),"MISSING ID")="Finished item","Finished endpoint",IF(IFERROR(INDEX('Items'!$AI$6:$AI$1005,MATCH(T112,'Items'!$A$6:$A$1005,0)),"MISSING ID")="Currency","Currency / no refinement tier","Recovered output / tier not applicable")),IF(OR(IFERROR(INDEX('Crafting recipes'!$H$6:$H$1005,MATCH(J112,'Crafting recipes'!$A$6:$A$1005,0)),"MISSING ID")="Unassigned",G112="Unassigned"),"Tier unresolved",IF(IFERROR(VALUE(RIGHT(G112,1))-VALUE(RIGHT(IFERROR(INDEX('Crafting recipes'!$H$6:$H$1005,MATCH(J112,'Crafting recipes'!$A$6:$A$1005,0)),"MISSING ID"),1)),0)=1,IF(B112=IFERROR(INDEX('Crafting recipes'!$H$6:$H$1005,MATCH(J112,'Crafting recipes'!$A$6:$A$1005,0)),"MISSING ID"),"Advances one material tier","Lower-tier ingredient; route advances one tier"),"Needs tier review"))))))</x:f>
        <x:v>Advances one material tier</x:v>
      </x:c>
      <x:c r="S112" s="4" t="str">
        <x:f>IFERROR(INDEX('Material routes'!$D$6:$D$2205,MATCH(U112,'Material routes'!$A$6:$A$2205,0)),"MISSING ID")</x:f>
        <x:v>proposal.t1.mineral_filler</x:v>
      </x:c>
      <x:c r="T112" s="4" t="str">
        <x:f>IFERROR(INDEX('Material routes'!$D$6:$D$2205,MATCH(V112,'Material routes'!$A$6:$A$2205,0)),"MISSING ID")</x:f>
        <x:v>proposal.branch.filled_seal</x:v>
      </x:c>
      <x:c r="U112" s="4" t="str">
        <x:v>design.branch.branch.filled_seal.in.2</x:v>
      </x:c>
      <x:c r="V112" s="4" t="str">
        <x:v>design.branch.branch.filled_seal.out</x:v>
      </x:c>
    </x:row>
    <x:row r="113" ht="105" customHeight="1">
      <x:c r="A113" s="4" t="str">
        <x:f>IFERROR(INDEX('Material routes'!$E$6:$E$2205,MATCH(U113,'Material routes'!$A$6:$A$2205,0)),"MISSING ID")</x:f>
        <x:v>Prepared flexible faunal binder</x:v>
      </x:c>
      <x:c r="B113" s="4" t="str">
        <x:f>IFERROR(INDEX('Material routes'!$F$6:$F$2205,MATCH(U113,'Material routes'!$A$6:$A$2205,0)),"MISSING ID")</x:f>
        <x:v>T1</x:v>
      </x:c>
      <x:c r="C113" s="4" t="str">
        <x:f>IFERROR(INDEX('Material routes'!$H$6:$H$2205,MATCH(U113,'Material routes'!$A$6:$A$2205,0)),"MISSING ID")</x:f>
        <x:v>Chemical material</x:v>
      </x:c>
      <x:c r="D113" s="4" t="str">
        <x:f>IFERROR(INDEX('Material routes'!$G$6:$G$2205,MATCH(U113,'Material routes'!$A$6:$A$2205,0)),"MISSING ID")</x:f>
        <x:v>Crafting components</x:v>
      </x:c>
      <x:c r="E113" s="4" t="str">
        <x:f>IFERROR(INDEX('Material routes'!$C$6:$C$2205,MATCH(U113,'Material routes'!$A$6:$A$2205,0)),"MISSING ID")</x:f>
        <x:v>Ingredient candidate</x:v>
      </x:c>
      <x:c r="F113" s="4" t="str">
        <x:f>IFERROR(INDEX('Material routes'!$E$6:$E$2205,MATCH(V113,'Material routes'!$A$6:$A$2205,0)),"MISSING ID")</x:f>
        <x:v>Flexible membrane-bonding compound</x:v>
      </x:c>
      <x:c r="G113" s="4" t="str">
        <x:f>IFERROR(INDEX('Material routes'!$F$6:$F$2205,MATCH(V113,'Material routes'!$A$6:$A$2205,0)),"MISSING ID")</x:f>
        <x:v>T2</x:v>
      </x:c>
      <x:c r="H113" s="4" t="str">
        <x:f>IFERROR(INDEX('Material routes'!$H$6:$H$2205,MATCH(V113,'Material routes'!$A$6:$A$2205,0)),"MISSING ID")</x:f>
        <x:v>Chemical material</x:v>
      </x:c>
      <x:c r="I113" s="4" t="str">
        <x:f>IFERROR(INDEX('Material routes'!$G$6:$G$2205,MATCH(V113,'Material routes'!$A$6:$A$2205,0)),"MISSING ID")</x:f>
        <x:v>Crafting components</x:v>
      </x:c>
      <x:c r="J113" s="4" t="str">
        <x:f>IFERROR(INDEX('Material routes'!$B$6:$B$2205,MATCH(U113,'Material routes'!$A$6:$A$2205,0)),"MISSING ID")</x:f>
        <x:v>design.branch.branch.flex_bond</x:v>
      </x:c>
      <x:c r="K113" s="4" t="str">
        <x:f>IFERROR(INDEX('Crafting recipes'!$C$6:$C$1005,MATCH(J113,'Crafting recipes'!$A$6:$A$1005,0)),"MISSING ID")</x:f>
        <x:v>Material refinement</x:v>
      </x:c>
      <x:c r="L113" s="4" t="str">
        <x:f>IFERROR(INDEX('Material routes'!$K$6:$K$2205,MATCH(U113,'Material routes'!$A$6:$A$2205,0)),"MISSING ID")</x:f>
        <x:v>Proposal</x:v>
      </x:c>
      <x:c r="M113" s="4" t="str">
        <x:f>IFERROR(INDEX('Material routes'!$M$6:$M$2205,MATCH(U113,'Material routes'!$A$6:$A$2205,0)),"MISSING ID")</x:f>
        <x:v>Partial proposal</x:v>
      </x:c>
      <x:c r="N113" s="4" t="str">
        <x:f>IF(IFERROR(INDEX('Material routes'!$I$6:$I$1005,MATCH(U113,'Material routes'!$A$6:$A$1005,0)),"MISSING ID")=0,"",IFERROR(INDEX('Material routes'!$I$6:$I$1005,MATCH(U113,'Material routes'!$A$6:$A$1005,0)),"MISSING ID"))</x:f>
      </x:c>
      <x:c r="O113" s="4" t="str">
        <x:f>IFERROR(INDEX('Material routes'!$J$6:$J$2205,MATCH(U113,'Material routes'!$A$6:$A$2205,0)),"MISSING ID")</x:f>
        <x:v>Unspecified</x:v>
      </x:c>
      <x:c r="P113" s="4" t="str">
        <x:f>IF(IFERROR(INDEX('Material routes'!$I$6:$I$1005,MATCH(V113,'Material routes'!$A$6:$A$1005,0)),"MISSING ID")=0,"",IFERROR(INDEX('Material routes'!$I$6:$I$1005,MATCH(V113,'Material routes'!$A$6:$A$1005,0)),"MISSING ID"))</x:f>
      </x:c>
      <x:c r="Q113" s="4" t="str">
        <x:f>IFERROR(INDEX('Material routes'!$J$6:$J$2205,MATCH(V113,'Material routes'!$A$6:$A$2205,0)),"MISSING ID")</x:f>
        <x:v>Unspecified</x:v>
      </x:c>
      <x:c r="R113" s="4" t="str">
        <x:f>IF(L113="Withheld","Withheld premise",IF(E113="Tool candidate","Reusable prerequisite",IF(K113="Raw entry preparation","Entry-resource preparation",IF(G113="Not applicable",IF(IFERROR(INDEX('Items'!$AI$6:$AI$1005,MATCH(T113,'Items'!$A$6:$A$1005,0)),"MISSING ID")="Finished item","Finished endpoint",IF(IFERROR(INDEX('Items'!$AI$6:$AI$1005,MATCH(T113,'Items'!$A$6:$A$1005,0)),"MISSING ID")="Currency","Currency / no refinement tier","Recovered output / tier not applicable")),IF(OR(IFERROR(INDEX('Crafting recipes'!$H$6:$H$1005,MATCH(J113,'Crafting recipes'!$A$6:$A$1005,0)),"MISSING ID")="Unassigned",G113="Unassigned"),"Tier unresolved",IF(IFERROR(VALUE(RIGHT(G113,1))-VALUE(RIGHT(IFERROR(INDEX('Crafting recipes'!$H$6:$H$1005,MATCH(J113,'Crafting recipes'!$A$6:$A$1005,0)),"MISSING ID"),1)),0)=1,IF(B113=IFERROR(INDEX('Crafting recipes'!$H$6:$H$1005,MATCH(J113,'Crafting recipes'!$A$6:$A$1005,0)),"MISSING ID"),"Advances one material tier","Lower-tier ingredient; route advances one tier"),"Needs tier review"))))))</x:f>
        <x:v>Advances one material tier</x:v>
      </x:c>
      <x:c r="S113" s="4" t="str">
        <x:f>IFERROR(INDEX('Material routes'!$D$6:$D$2205,MATCH(U113,'Material routes'!$A$6:$A$2205,0)),"MISSING ID")</x:f>
        <x:v>proposal.branch.flex_binder</x:v>
      </x:c>
      <x:c r="T113" s="4" t="str">
        <x:f>IFERROR(INDEX('Material routes'!$D$6:$D$2205,MATCH(V113,'Material routes'!$A$6:$A$2205,0)),"MISSING ID")</x:f>
        <x:v>proposal.branch.flex_bond</x:v>
      </x:c>
      <x:c r="U113" s="4" t="str">
        <x:v>design.branch.branch.flex_bond.in.1</x:v>
      </x:c>
      <x:c r="V113" s="4" t="str">
        <x:v>design.branch.branch.flex_bond.out</x:v>
      </x:c>
    </x:row>
    <x:row r="114" ht="105" customHeight="1">
      <x:c r="A114" s="4" t="str">
        <x:f>IFERROR(INDEX('Material routes'!$E$6:$E$2205,MATCH(U114,'Material routes'!$A$6:$A$2205,0)),"MISSING ID")</x:f>
        <x:v>Selected faunal carrier fraction</x:v>
      </x:c>
      <x:c r="B114" s="4" t="str">
        <x:f>IFERROR(INDEX('Material routes'!$F$6:$F$2205,MATCH(U114,'Material routes'!$A$6:$A$2205,0)),"MISSING ID")</x:f>
        <x:v>T1</x:v>
      </x:c>
      <x:c r="C114" s="4" t="str">
        <x:f>IFERROR(INDEX('Material routes'!$H$6:$H$2205,MATCH(U114,'Material routes'!$A$6:$A$2205,0)),"MISSING ID")</x:f>
        <x:v>Chemical material</x:v>
      </x:c>
      <x:c r="D114" s="4" t="str">
        <x:f>IFERROR(INDEX('Material routes'!$G$6:$G$2205,MATCH(U114,'Material routes'!$A$6:$A$2205,0)),"MISSING ID")</x:f>
        <x:v>Crafting components</x:v>
      </x:c>
      <x:c r="E114" s="4" t="str">
        <x:f>IFERROR(INDEX('Material routes'!$C$6:$C$2205,MATCH(U114,'Material routes'!$A$6:$A$2205,0)),"MISSING ID")</x:f>
        <x:v>Ingredient candidate</x:v>
      </x:c>
      <x:c r="F114" s="4" t="str">
        <x:f>IFERROR(INDEX('Material routes'!$E$6:$E$2205,MATCH(V114,'Material routes'!$A$6:$A$2205,0)),"MISSING ID")</x:f>
        <x:v>Flexible membrane-bonding compound</x:v>
      </x:c>
      <x:c r="G114" s="4" t="str">
        <x:f>IFERROR(INDEX('Material routes'!$F$6:$F$2205,MATCH(V114,'Material routes'!$A$6:$A$2205,0)),"MISSING ID")</x:f>
        <x:v>T2</x:v>
      </x:c>
      <x:c r="H114" s="4" t="str">
        <x:f>IFERROR(INDEX('Material routes'!$H$6:$H$2205,MATCH(V114,'Material routes'!$A$6:$A$2205,0)),"MISSING ID")</x:f>
        <x:v>Chemical material</x:v>
      </x:c>
      <x:c r="I114" s="4" t="str">
        <x:f>IFERROR(INDEX('Material routes'!$G$6:$G$2205,MATCH(V114,'Material routes'!$A$6:$A$2205,0)),"MISSING ID")</x:f>
        <x:v>Crafting components</x:v>
      </x:c>
      <x:c r="J114" s="4" t="str">
        <x:f>IFERROR(INDEX('Material routes'!$B$6:$B$2205,MATCH(U114,'Material routes'!$A$6:$A$2205,0)),"MISSING ID")</x:f>
        <x:v>design.branch.branch.flex_bond</x:v>
      </x:c>
      <x:c r="K114" s="4" t="str">
        <x:f>IFERROR(INDEX('Crafting recipes'!$C$6:$C$1005,MATCH(J114,'Crafting recipes'!$A$6:$A$1005,0)),"MISSING ID")</x:f>
        <x:v>Material refinement</x:v>
      </x:c>
      <x:c r="L114" s="4" t="str">
        <x:f>IFERROR(INDEX('Material routes'!$K$6:$K$2205,MATCH(U114,'Material routes'!$A$6:$A$2205,0)),"MISSING ID")</x:f>
        <x:v>Proposal</x:v>
      </x:c>
      <x:c r="M114" s="4" t="str">
        <x:f>IFERROR(INDEX('Material routes'!$M$6:$M$2205,MATCH(U114,'Material routes'!$A$6:$A$2205,0)),"MISSING ID")</x:f>
        <x:v>Partial proposal</x:v>
      </x:c>
      <x:c r="N114" s="4" t="str">
        <x:f>IF(IFERROR(INDEX('Material routes'!$I$6:$I$1005,MATCH(U114,'Material routes'!$A$6:$A$1005,0)),"MISSING ID")=0,"",IFERROR(INDEX('Material routes'!$I$6:$I$1005,MATCH(U114,'Material routes'!$A$6:$A$1005,0)),"MISSING ID"))</x:f>
      </x:c>
      <x:c r="O114" s="4" t="str">
        <x:f>IFERROR(INDEX('Material routes'!$J$6:$J$2205,MATCH(U114,'Material routes'!$A$6:$A$2205,0)),"MISSING ID")</x:f>
        <x:v>Unspecified</x:v>
      </x:c>
      <x:c r="P114" s="4" t="str">
        <x:f>IF(IFERROR(INDEX('Material routes'!$I$6:$I$1005,MATCH(V114,'Material routes'!$A$6:$A$1005,0)),"MISSING ID")=0,"",IFERROR(INDEX('Material routes'!$I$6:$I$1005,MATCH(V114,'Material routes'!$A$6:$A$1005,0)),"MISSING ID"))</x:f>
      </x:c>
      <x:c r="Q114" s="4" t="str">
        <x:f>IFERROR(INDEX('Material routes'!$J$6:$J$2205,MATCH(V114,'Material routes'!$A$6:$A$2205,0)),"MISSING ID")</x:f>
        <x:v>Unspecified</x:v>
      </x:c>
      <x:c r="R114" s="4" t="str">
        <x:f>IF(L114="Withheld","Withheld premise",IF(E114="Tool candidate","Reusable prerequisite",IF(K114="Raw entry preparation","Entry-resource preparation",IF(G114="Not applicable",IF(IFERROR(INDEX('Items'!$AI$6:$AI$1005,MATCH(T114,'Items'!$A$6:$A$1005,0)),"MISSING ID")="Finished item","Finished endpoint",IF(IFERROR(INDEX('Items'!$AI$6:$AI$1005,MATCH(T114,'Items'!$A$6:$A$1005,0)),"MISSING ID")="Currency","Currency / no refinement tier","Recovered output / tier not applicable")),IF(OR(IFERROR(INDEX('Crafting recipes'!$H$6:$H$1005,MATCH(J114,'Crafting recipes'!$A$6:$A$1005,0)),"MISSING ID")="Unassigned",G114="Unassigned"),"Tier unresolved",IF(IFERROR(VALUE(RIGHT(G114,1))-VALUE(RIGHT(IFERROR(INDEX('Crafting recipes'!$H$6:$H$1005,MATCH(J114,'Crafting recipes'!$A$6:$A$1005,0)),"MISSING ID"),1)),0)=1,IF(B114=IFERROR(INDEX('Crafting recipes'!$H$6:$H$1005,MATCH(J114,'Crafting recipes'!$A$6:$A$1005,0)),"MISSING ID"),"Advances one material tier","Lower-tier ingredient; route advances one tier"),"Needs tier review"))))))</x:f>
        <x:v>Advances one material tier</x:v>
      </x:c>
      <x:c r="S114" s="4" t="str">
        <x:f>IFERROR(INDEX('Material routes'!$D$6:$D$2205,MATCH(U114,'Material routes'!$A$6:$A$2205,0)),"MISSING ID")</x:f>
        <x:v>proposal.t1.faunal_carrier</x:v>
      </x:c>
      <x:c r="T114" s="4" t="str">
        <x:f>IFERROR(INDEX('Material routes'!$D$6:$D$2205,MATCH(V114,'Material routes'!$A$6:$A$2205,0)),"MISSING ID")</x:f>
        <x:v>proposal.branch.flex_bond</x:v>
      </x:c>
      <x:c r="U114" s="4" t="str">
        <x:v>design.branch.branch.flex_bond.in.2</x:v>
      </x:c>
      <x:c r="V114" s="4" t="str">
        <x:v>design.branch.branch.flex_bond.out</x:v>
      </x:c>
    </x:row>
    <x:row r="115" ht="105" customHeight="1">
      <x:c r="A115" s="4" t="str">
        <x:f>IFERROR(INDEX('Material routes'!$E$6:$E$2205,MATCH(U115,'Material routes'!$A$6:$A$2205,0)),"MISSING ID")</x:f>
        <x:v>Prepared mineral pigment powder</x:v>
      </x:c>
      <x:c r="B115" s="4" t="str">
        <x:f>IFERROR(INDEX('Material routes'!$F$6:$F$2205,MATCH(U115,'Material routes'!$A$6:$A$2205,0)),"MISSING ID")</x:f>
        <x:v>T1</x:v>
      </x:c>
      <x:c r="C115" s="4" t="str">
        <x:f>IFERROR(INDEX('Material routes'!$H$6:$H$2205,MATCH(U115,'Material routes'!$A$6:$A$2205,0)),"MISSING ID")</x:f>
        <x:v>Processed material</x:v>
      </x:c>
      <x:c r="D115" s="4" t="str">
        <x:f>IFERROR(INDEX('Material routes'!$G$6:$G$2205,MATCH(U115,'Material routes'!$A$6:$A$2205,0)),"MISSING ID")</x:f>
        <x:v>Manufactured stock</x:v>
      </x:c>
      <x:c r="E115" s="4" t="str">
        <x:f>IFERROR(INDEX('Material routes'!$C$6:$C$2205,MATCH(U115,'Material routes'!$A$6:$A$2205,0)),"MISSING ID")</x:f>
        <x:v>Ingredient candidate</x:v>
      </x:c>
      <x:c r="F115" s="4" t="str">
        <x:f>IFERROR(INDEX('Material routes'!$E$6:$E$2205,MATCH(V115,'Material routes'!$A$6:$A$2205,0)),"MISSING ID")</x:f>
        <x:v>Mineral pigment coating</x:v>
      </x:c>
      <x:c r="G115" s="4" t="str">
        <x:f>IFERROR(INDEX('Material routes'!$F$6:$F$2205,MATCH(V115,'Material routes'!$A$6:$A$2205,0)),"MISSING ID")</x:f>
        <x:v>T2</x:v>
      </x:c>
      <x:c r="H115" s="4" t="str">
        <x:f>IFERROR(INDEX('Material routes'!$H$6:$H$2205,MATCH(V115,'Material routes'!$A$6:$A$2205,0)),"MISSING ID")</x:f>
        <x:v>Processed material</x:v>
      </x:c>
      <x:c r="I115" s="4" t="str">
        <x:f>IFERROR(INDEX('Material routes'!$G$6:$G$2205,MATCH(V115,'Material routes'!$A$6:$A$2205,0)),"MISSING ID")</x:f>
        <x:v>Manufactured stock</x:v>
      </x:c>
      <x:c r="J115" s="4" t="str">
        <x:f>IFERROR(INDEX('Material routes'!$B$6:$B$2205,MATCH(U115,'Material routes'!$A$6:$A$2205,0)),"MISSING ID")</x:f>
        <x:v>design.branch.branch.pigment_coating</x:v>
      </x:c>
      <x:c r="K115" s="4" t="str">
        <x:f>IFERROR(INDEX('Crafting recipes'!$C$6:$C$1005,MATCH(J115,'Crafting recipes'!$A$6:$A$1005,0)),"MISSING ID")</x:f>
        <x:v>Material refinement</x:v>
      </x:c>
      <x:c r="L115" s="4" t="str">
        <x:f>IFERROR(INDEX('Material routes'!$K$6:$K$2205,MATCH(U115,'Material routes'!$A$6:$A$2205,0)),"MISSING ID")</x:f>
        <x:v>Proposal</x:v>
      </x:c>
      <x:c r="M115" s="4" t="str">
        <x:f>IFERROR(INDEX('Material routes'!$M$6:$M$2205,MATCH(U115,'Material routes'!$A$6:$A$2205,0)),"MISSING ID")</x:f>
        <x:v>Partial proposal</x:v>
      </x:c>
      <x:c r="N115" s="4" t="str">
        <x:f>IF(IFERROR(INDEX('Material routes'!$I$6:$I$1005,MATCH(U115,'Material routes'!$A$6:$A$1005,0)),"MISSING ID")=0,"",IFERROR(INDEX('Material routes'!$I$6:$I$1005,MATCH(U115,'Material routes'!$A$6:$A$1005,0)),"MISSING ID"))</x:f>
      </x:c>
      <x:c r="O115" s="4" t="str">
        <x:f>IFERROR(INDEX('Material routes'!$J$6:$J$2205,MATCH(U115,'Material routes'!$A$6:$A$2205,0)),"MISSING ID")</x:f>
        <x:v>Unspecified</x:v>
      </x:c>
      <x:c r="P115" s="4" t="str">
        <x:f>IF(IFERROR(INDEX('Material routes'!$I$6:$I$1005,MATCH(V115,'Material routes'!$A$6:$A$1005,0)),"MISSING ID")=0,"",IFERROR(INDEX('Material routes'!$I$6:$I$1005,MATCH(V115,'Material routes'!$A$6:$A$1005,0)),"MISSING ID"))</x:f>
      </x:c>
      <x:c r="Q115" s="4" t="str">
        <x:f>IFERROR(INDEX('Material routes'!$J$6:$J$2205,MATCH(V115,'Material routes'!$A$6:$A$2205,0)),"MISSING ID")</x:f>
        <x:v>Unspecified</x:v>
      </x:c>
      <x:c r="R115" s="4" t="str">
        <x:f>IF(L115="Withheld","Withheld premise",IF(E115="Tool candidate","Reusable prerequisite",IF(K115="Raw entry preparation","Entry-resource preparation",IF(G115="Not applicable",IF(IFERROR(INDEX('Items'!$AI$6:$AI$1005,MATCH(T115,'Items'!$A$6:$A$1005,0)),"MISSING ID")="Finished item","Finished endpoint",IF(IFERROR(INDEX('Items'!$AI$6:$AI$1005,MATCH(T115,'Items'!$A$6:$A$1005,0)),"MISSING ID")="Currency","Currency / no refinement tier","Recovered output / tier not applicable")),IF(OR(IFERROR(INDEX('Crafting recipes'!$H$6:$H$1005,MATCH(J115,'Crafting recipes'!$A$6:$A$1005,0)),"MISSING ID")="Unassigned",G115="Unassigned"),"Tier unresolved",IF(IFERROR(VALUE(RIGHT(G115,1))-VALUE(RIGHT(IFERROR(INDEX('Crafting recipes'!$H$6:$H$1005,MATCH(J115,'Crafting recipes'!$A$6:$A$1005,0)),"MISSING ID"),1)),0)=1,IF(B115=IFERROR(INDEX('Crafting recipes'!$H$6:$H$1005,MATCH(J115,'Crafting recipes'!$A$6:$A$1005,0)),"MISSING ID"),"Advances one material tier","Lower-tier ingredient; route advances one tier"),"Needs tier review"))))))</x:f>
        <x:v>Advances one material tier</x:v>
      </x:c>
      <x:c r="S115" s="4" t="str">
        <x:f>IFERROR(INDEX('Material routes'!$D$6:$D$2205,MATCH(U115,'Material routes'!$A$6:$A$2205,0)),"MISSING ID")</x:f>
        <x:v>proposal.t1.pigment_powder</x:v>
      </x:c>
      <x:c r="T115" s="4" t="str">
        <x:f>IFERROR(INDEX('Material routes'!$D$6:$D$2205,MATCH(V115,'Material routes'!$A$6:$A$2205,0)),"MISSING ID")</x:f>
        <x:v>proposal.branch.pigment_coating</x:v>
      </x:c>
      <x:c r="U115" s="4" t="str">
        <x:v>design.branch.branch.pigment_coating.in.1</x:v>
      </x:c>
      <x:c r="V115" s="4" t="str">
        <x:v>design.branch.branch.pigment_coating.out</x:v>
      </x:c>
    </x:row>
    <x:row r="116" ht="105" customHeight="1">
      <x:c r="A116" s="4" t="str">
        <x:f>IFERROR(INDEX('Material routes'!$E$6:$E$2205,MATCH(U116,'Material routes'!$A$6:$A$2205,0)),"MISSING ID")</x:f>
        <x:v>Selected faunal carrier fraction</x:v>
      </x:c>
      <x:c r="B116" s="4" t="str">
        <x:f>IFERROR(INDEX('Material routes'!$F$6:$F$2205,MATCH(U116,'Material routes'!$A$6:$A$2205,0)),"MISSING ID")</x:f>
        <x:v>T1</x:v>
      </x:c>
      <x:c r="C116" s="4" t="str">
        <x:f>IFERROR(INDEX('Material routes'!$H$6:$H$2205,MATCH(U116,'Material routes'!$A$6:$A$2205,0)),"MISSING ID")</x:f>
        <x:v>Chemical material</x:v>
      </x:c>
      <x:c r="D116" s="4" t="str">
        <x:f>IFERROR(INDEX('Material routes'!$G$6:$G$2205,MATCH(U116,'Material routes'!$A$6:$A$2205,0)),"MISSING ID")</x:f>
        <x:v>Crafting components</x:v>
      </x:c>
      <x:c r="E116" s="4" t="str">
        <x:f>IFERROR(INDEX('Material routes'!$C$6:$C$2205,MATCH(U116,'Material routes'!$A$6:$A$2205,0)),"MISSING ID")</x:f>
        <x:v>Ingredient candidate</x:v>
      </x:c>
      <x:c r="F116" s="4" t="str">
        <x:f>IFERROR(INDEX('Material routes'!$E$6:$E$2205,MATCH(V116,'Material routes'!$A$6:$A$2205,0)),"MISSING ID")</x:f>
        <x:v>Mineral pigment coating</x:v>
      </x:c>
      <x:c r="G116" s="4" t="str">
        <x:f>IFERROR(INDEX('Material routes'!$F$6:$F$2205,MATCH(V116,'Material routes'!$A$6:$A$2205,0)),"MISSING ID")</x:f>
        <x:v>T2</x:v>
      </x:c>
      <x:c r="H116" s="4" t="str">
        <x:f>IFERROR(INDEX('Material routes'!$H$6:$H$2205,MATCH(V116,'Material routes'!$A$6:$A$2205,0)),"MISSING ID")</x:f>
        <x:v>Processed material</x:v>
      </x:c>
      <x:c r="I116" s="4" t="str">
        <x:f>IFERROR(INDEX('Material routes'!$G$6:$G$2205,MATCH(V116,'Material routes'!$A$6:$A$2205,0)),"MISSING ID")</x:f>
        <x:v>Manufactured stock</x:v>
      </x:c>
      <x:c r="J116" s="4" t="str">
        <x:f>IFERROR(INDEX('Material routes'!$B$6:$B$2205,MATCH(U116,'Material routes'!$A$6:$A$2205,0)),"MISSING ID")</x:f>
        <x:v>design.branch.branch.pigment_coating</x:v>
      </x:c>
      <x:c r="K116" s="4" t="str">
        <x:f>IFERROR(INDEX('Crafting recipes'!$C$6:$C$1005,MATCH(J116,'Crafting recipes'!$A$6:$A$1005,0)),"MISSING ID")</x:f>
        <x:v>Material refinement</x:v>
      </x:c>
      <x:c r="L116" s="4" t="str">
        <x:f>IFERROR(INDEX('Material routes'!$K$6:$K$2205,MATCH(U116,'Material routes'!$A$6:$A$2205,0)),"MISSING ID")</x:f>
        <x:v>Proposal</x:v>
      </x:c>
      <x:c r="M116" s="4" t="str">
        <x:f>IFERROR(INDEX('Material routes'!$M$6:$M$2205,MATCH(U116,'Material routes'!$A$6:$A$2205,0)),"MISSING ID")</x:f>
        <x:v>Partial proposal</x:v>
      </x:c>
      <x:c r="N116" s="4" t="str">
        <x:f>IF(IFERROR(INDEX('Material routes'!$I$6:$I$1005,MATCH(U116,'Material routes'!$A$6:$A$1005,0)),"MISSING ID")=0,"",IFERROR(INDEX('Material routes'!$I$6:$I$1005,MATCH(U116,'Material routes'!$A$6:$A$1005,0)),"MISSING ID"))</x:f>
      </x:c>
      <x:c r="O116" s="4" t="str">
        <x:f>IFERROR(INDEX('Material routes'!$J$6:$J$2205,MATCH(U116,'Material routes'!$A$6:$A$2205,0)),"MISSING ID")</x:f>
        <x:v>Unspecified</x:v>
      </x:c>
      <x:c r="P116" s="4" t="str">
        <x:f>IF(IFERROR(INDEX('Material routes'!$I$6:$I$1005,MATCH(V116,'Material routes'!$A$6:$A$1005,0)),"MISSING ID")=0,"",IFERROR(INDEX('Material routes'!$I$6:$I$1005,MATCH(V116,'Material routes'!$A$6:$A$1005,0)),"MISSING ID"))</x:f>
      </x:c>
      <x:c r="Q116" s="4" t="str">
        <x:f>IFERROR(INDEX('Material routes'!$J$6:$J$2205,MATCH(V116,'Material routes'!$A$6:$A$2205,0)),"MISSING ID")</x:f>
        <x:v>Unspecified</x:v>
      </x:c>
      <x:c r="R116" s="4" t="str">
        <x:f>IF(L116="Withheld","Withheld premise",IF(E116="Tool candidate","Reusable prerequisite",IF(K116="Raw entry preparation","Entry-resource preparation",IF(G116="Not applicable",IF(IFERROR(INDEX('Items'!$AI$6:$AI$1005,MATCH(T116,'Items'!$A$6:$A$1005,0)),"MISSING ID")="Finished item","Finished endpoint",IF(IFERROR(INDEX('Items'!$AI$6:$AI$1005,MATCH(T116,'Items'!$A$6:$A$1005,0)),"MISSING ID")="Currency","Currency / no refinement tier","Recovered output / tier not applicable")),IF(OR(IFERROR(INDEX('Crafting recipes'!$H$6:$H$1005,MATCH(J116,'Crafting recipes'!$A$6:$A$1005,0)),"MISSING ID")="Unassigned",G116="Unassigned"),"Tier unresolved",IF(IFERROR(VALUE(RIGHT(G116,1))-VALUE(RIGHT(IFERROR(INDEX('Crafting recipes'!$H$6:$H$1005,MATCH(J116,'Crafting recipes'!$A$6:$A$1005,0)),"MISSING ID"),1)),0)=1,IF(B116=IFERROR(INDEX('Crafting recipes'!$H$6:$H$1005,MATCH(J116,'Crafting recipes'!$A$6:$A$1005,0)),"MISSING ID"),"Advances one material tier","Lower-tier ingredient; route advances one tier"),"Needs tier review"))))))</x:f>
        <x:v>Advances one material tier</x:v>
      </x:c>
      <x:c r="S116" s="4" t="str">
        <x:f>IFERROR(INDEX('Material routes'!$D$6:$D$2205,MATCH(U116,'Material routes'!$A$6:$A$2205,0)),"MISSING ID")</x:f>
        <x:v>proposal.t1.faunal_carrier</x:v>
      </x:c>
      <x:c r="T116" s="4" t="str">
        <x:f>IFERROR(INDEX('Material routes'!$D$6:$D$2205,MATCH(V116,'Material routes'!$A$6:$A$2205,0)),"MISSING ID")</x:f>
        <x:v>proposal.branch.pigment_coating</x:v>
      </x:c>
      <x:c r="U116" s="4" t="str">
        <x:v>design.branch.branch.pigment_coating.in.2</x:v>
      </x:c>
      <x:c r="V116" s="4" t="str">
        <x:v>design.branch.branch.pigment_coating.out</x:v>
      </x:c>
    </x:row>
    <x:row r="117" ht="105" customHeight="1">
      <x:c r="A117" s="4" t="str">
        <x:f>IFERROR(INDEX('Material routes'!$E$6:$E$2205,MATCH(U117,'Material routes'!$A$6:$A$2205,0)),"MISSING ID")</x:f>
        <x:v>Prepared shell-binding adhesive</x:v>
      </x:c>
      <x:c r="B117" s="4" t="str">
        <x:f>IFERROR(INDEX('Material routes'!$F$6:$F$2205,MATCH(U117,'Material routes'!$A$6:$A$2205,0)),"MISSING ID")</x:f>
        <x:v>T1</x:v>
      </x:c>
      <x:c r="C117" s="4" t="str">
        <x:f>IFERROR(INDEX('Material routes'!$H$6:$H$2205,MATCH(U117,'Material routes'!$A$6:$A$2205,0)),"MISSING ID")</x:f>
        <x:v>Chemical material</x:v>
      </x:c>
      <x:c r="D117" s="4" t="str">
        <x:f>IFERROR(INDEX('Material routes'!$G$6:$G$2205,MATCH(U117,'Material routes'!$A$6:$A$2205,0)),"MISSING ID")</x:f>
        <x:v>Crafting components</x:v>
      </x:c>
      <x:c r="E117" s="4" t="str">
        <x:f>IFERROR(INDEX('Material routes'!$C$6:$C$2205,MATCH(U117,'Material routes'!$A$6:$A$2205,0)),"MISSING ID")</x:f>
        <x:v>Ingredient candidate</x:v>
      </x:c>
      <x:c r="F117" s="4" t="str">
        <x:f>IFERROR(INDEX('Material routes'!$E$6:$E$2205,MATCH(V117,'Material routes'!$A$6:$A$2205,0)),"MISSING ID")</x:f>
        <x:v>Filled shell-binding compound</x:v>
      </x:c>
      <x:c r="G117" s="4" t="str">
        <x:f>IFERROR(INDEX('Material routes'!$F$6:$F$2205,MATCH(V117,'Material routes'!$A$6:$A$2205,0)),"MISSING ID")</x:f>
        <x:v>T2</x:v>
      </x:c>
      <x:c r="H117" s="4" t="str">
        <x:f>IFERROR(INDEX('Material routes'!$H$6:$H$2205,MATCH(V117,'Material routes'!$A$6:$A$2205,0)),"MISSING ID")</x:f>
        <x:v>Chemical material</x:v>
      </x:c>
      <x:c r="I117" s="4" t="str">
        <x:f>IFERROR(INDEX('Material routes'!$G$6:$G$2205,MATCH(V117,'Material routes'!$A$6:$A$2205,0)),"MISSING ID")</x:f>
        <x:v>Crafting components</x:v>
      </x:c>
      <x:c r="J117" s="4" t="str">
        <x:f>IFERROR(INDEX('Material routes'!$B$6:$B$2205,MATCH(U117,'Material routes'!$A$6:$A$2205,0)),"MISSING ID")</x:f>
        <x:v>design.branch.branch.filled_binder</x:v>
      </x:c>
      <x:c r="K117" s="4" t="str">
        <x:f>IFERROR(INDEX('Crafting recipes'!$C$6:$C$1005,MATCH(J117,'Crafting recipes'!$A$6:$A$1005,0)),"MISSING ID")</x:f>
        <x:v>Material refinement</x:v>
      </x:c>
      <x:c r="L117" s="4" t="str">
        <x:f>IFERROR(INDEX('Material routes'!$K$6:$K$2205,MATCH(U117,'Material routes'!$A$6:$A$2205,0)),"MISSING ID")</x:f>
        <x:v>Proposal</x:v>
      </x:c>
      <x:c r="M117" s="4" t="str">
        <x:f>IFERROR(INDEX('Material routes'!$M$6:$M$2205,MATCH(U117,'Material routes'!$A$6:$A$2205,0)),"MISSING ID")</x:f>
        <x:v>Partial proposal</x:v>
      </x:c>
      <x:c r="N117" s="4" t="str">
        <x:f>IF(IFERROR(INDEX('Material routes'!$I$6:$I$1005,MATCH(U117,'Material routes'!$A$6:$A$1005,0)),"MISSING ID")=0,"",IFERROR(INDEX('Material routes'!$I$6:$I$1005,MATCH(U117,'Material routes'!$A$6:$A$1005,0)),"MISSING ID"))</x:f>
      </x:c>
      <x:c r="O117" s="4" t="str">
        <x:f>IFERROR(INDEX('Material routes'!$J$6:$J$2205,MATCH(U117,'Material routes'!$A$6:$A$2205,0)),"MISSING ID")</x:f>
        <x:v>Unspecified</x:v>
      </x:c>
      <x:c r="P117" s="4" t="str">
        <x:f>IF(IFERROR(INDEX('Material routes'!$I$6:$I$1005,MATCH(V117,'Material routes'!$A$6:$A$1005,0)),"MISSING ID")=0,"",IFERROR(INDEX('Material routes'!$I$6:$I$1005,MATCH(V117,'Material routes'!$A$6:$A$1005,0)),"MISSING ID"))</x:f>
      </x:c>
      <x:c r="Q117" s="4" t="str">
        <x:f>IFERROR(INDEX('Material routes'!$J$6:$J$2205,MATCH(V117,'Material routes'!$A$6:$A$2205,0)),"MISSING ID")</x:f>
        <x:v>Unspecified</x:v>
      </x:c>
      <x:c r="R117" s="4" t="str">
        <x:f>IF(L117="Withheld","Withheld premise",IF(E117="Tool candidate","Reusable prerequisite",IF(K117="Raw entry preparation","Entry-resource preparation",IF(G117="Not applicable",IF(IFERROR(INDEX('Items'!$AI$6:$AI$1005,MATCH(T117,'Items'!$A$6:$A$1005,0)),"MISSING ID")="Finished item","Finished endpoint",IF(IFERROR(INDEX('Items'!$AI$6:$AI$1005,MATCH(T117,'Items'!$A$6:$A$1005,0)),"MISSING ID")="Currency","Currency / no refinement tier","Recovered output / tier not applicable")),IF(OR(IFERROR(INDEX('Crafting recipes'!$H$6:$H$1005,MATCH(J117,'Crafting recipes'!$A$6:$A$1005,0)),"MISSING ID")="Unassigned",G117="Unassigned"),"Tier unresolved",IF(IFERROR(VALUE(RIGHT(G117,1))-VALUE(RIGHT(IFERROR(INDEX('Crafting recipes'!$H$6:$H$1005,MATCH(J117,'Crafting recipes'!$A$6:$A$1005,0)),"MISSING ID"),1)),0)=1,IF(B117=IFERROR(INDEX('Crafting recipes'!$H$6:$H$1005,MATCH(J117,'Crafting recipes'!$A$6:$A$1005,0)),"MISSING ID"),"Advances one material tier","Lower-tier ingredient; route advances one tier"),"Needs tier review"))))))</x:f>
        <x:v>Advances one material tier</x:v>
      </x:c>
      <x:c r="S117" s="4" t="str">
        <x:f>IFERROR(INDEX('Material routes'!$D$6:$D$2205,MATCH(U117,'Material routes'!$A$6:$A$2205,0)),"MISSING ID")</x:f>
        <x:v>proposal.t1.shell_adhesive</x:v>
      </x:c>
      <x:c r="T117" s="4" t="str">
        <x:f>IFERROR(INDEX('Material routes'!$D$6:$D$2205,MATCH(V117,'Material routes'!$A$6:$A$2205,0)),"MISSING ID")</x:f>
        <x:v>proposal.branch.filled_binder</x:v>
      </x:c>
      <x:c r="U117" s="4" t="str">
        <x:v>design.branch.branch.filled_binder.in.1</x:v>
      </x:c>
      <x:c r="V117" s="4" t="str">
        <x:v>design.branch.branch.filled_binder.out</x:v>
      </x:c>
    </x:row>
    <x:row r="118" ht="105" customHeight="1">
      <x:c r="A118" s="4" t="str">
        <x:f>IFERROR(INDEX('Material routes'!$E$6:$E$2205,MATCH(U118,'Material routes'!$A$6:$A$2205,0)),"MISSING ID")</x:f>
        <x:v>Graded mineral filler</x:v>
      </x:c>
      <x:c r="B118" s="4" t="str">
        <x:f>IFERROR(INDEX('Material routes'!$F$6:$F$2205,MATCH(U118,'Material routes'!$A$6:$A$2205,0)),"MISSING ID")</x:f>
        <x:v>T1</x:v>
      </x:c>
      <x:c r="C118" s="4" t="str">
        <x:f>IFERROR(INDEX('Material routes'!$H$6:$H$2205,MATCH(U118,'Material routes'!$A$6:$A$2205,0)),"MISSING ID")</x:f>
        <x:v>Processed material</x:v>
      </x:c>
      <x:c r="D118" s="4" t="str">
        <x:f>IFERROR(INDEX('Material routes'!$G$6:$G$2205,MATCH(U118,'Material routes'!$A$6:$A$2205,0)),"MISSING ID")</x:f>
        <x:v>Manufactured stock</x:v>
      </x:c>
      <x:c r="E118" s="4" t="str">
        <x:f>IFERROR(INDEX('Material routes'!$C$6:$C$2205,MATCH(U118,'Material routes'!$A$6:$A$2205,0)),"MISSING ID")</x:f>
        <x:v>Ingredient candidate</x:v>
      </x:c>
      <x:c r="F118" s="4" t="str">
        <x:f>IFERROR(INDEX('Material routes'!$E$6:$E$2205,MATCH(V118,'Material routes'!$A$6:$A$2205,0)),"MISSING ID")</x:f>
        <x:v>Filled shell-binding compound</x:v>
      </x:c>
      <x:c r="G118" s="4" t="str">
        <x:f>IFERROR(INDEX('Material routes'!$F$6:$F$2205,MATCH(V118,'Material routes'!$A$6:$A$2205,0)),"MISSING ID")</x:f>
        <x:v>T2</x:v>
      </x:c>
      <x:c r="H118" s="4" t="str">
        <x:f>IFERROR(INDEX('Material routes'!$H$6:$H$2205,MATCH(V118,'Material routes'!$A$6:$A$2205,0)),"MISSING ID")</x:f>
        <x:v>Chemical material</x:v>
      </x:c>
      <x:c r="I118" s="4" t="str">
        <x:f>IFERROR(INDEX('Material routes'!$G$6:$G$2205,MATCH(V118,'Material routes'!$A$6:$A$2205,0)),"MISSING ID")</x:f>
        <x:v>Crafting components</x:v>
      </x:c>
      <x:c r="J118" s="4" t="str">
        <x:f>IFERROR(INDEX('Material routes'!$B$6:$B$2205,MATCH(U118,'Material routes'!$A$6:$A$2205,0)),"MISSING ID")</x:f>
        <x:v>design.branch.branch.filled_binder</x:v>
      </x:c>
      <x:c r="K118" s="4" t="str">
        <x:f>IFERROR(INDEX('Crafting recipes'!$C$6:$C$1005,MATCH(J118,'Crafting recipes'!$A$6:$A$1005,0)),"MISSING ID")</x:f>
        <x:v>Material refinement</x:v>
      </x:c>
      <x:c r="L118" s="4" t="str">
        <x:f>IFERROR(INDEX('Material routes'!$K$6:$K$2205,MATCH(U118,'Material routes'!$A$6:$A$2205,0)),"MISSING ID")</x:f>
        <x:v>Proposal</x:v>
      </x:c>
      <x:c r="M118" s="4" t="str">
        <x:f>IFERROR(INDEX('Material routes'!$M$6:$M$2205,MATCH(U118,'Material routes'!$A$6:$A$2205,0)),"MISSING ID")</x:f>
        <x:v>Partial proposal</x:v>
      </x:c>
      <x:c r="N118" s="4" t="str">
        <x:f>IF(IFERROR(INDEX('Material routes'!$I$6:$I$1005,MATCH(U118,'Material routes'!$A$6:$A$1005,0)),"MISSING ID")=0,"",IFERROR(INDEX('Material routes'!$I$6:$I$1005,MATCH(U118,'Material routes'!$A$6:$A$1005,0)),"MISSING ID"))</x:f>
      </x:c>
      <x:c r="O118" s="4" t="str">
        <x:f>IFERROR(INDEX('Material routes'!$J$6:$J$2205,MATCH(U118,'Material routes'!$A$6:$A$2205,0)),"MISSING ID")</x:f>
        <x:v>Unspecified</x:v>
      </x:c>
      <x:c r="P118" s="4" t="str">
        <x:f>IF(IFERROR(INDEX('Material routes'!$I$6:$I$1005,MATCH(V118,'Material routes'!$A$6:$A$1005,0)),"MISSING ID")=0,"",IFERROR(INDEX('Material routes'!$I$6:$I$1005,MATCH(V118,'Material routes'!$A$6:$A$1005,0)),"MISSING ID"))</x:f>
      </x:c>
      <x:c r="Q118" s="4" t="str">
        <x:f>IFERROR(INDEX('Material routes'!$J$6:$J$2205,MATCH(V118,'Material routes'!$A$6:$A$2205,0)),"MISSING ID")</x:f>
        <x:v>Unspecified</x:v>
      </x:c>
      <x:c r="R118" s="4" t="str">
        <x:f>IF(L118="Withheld","Withheld premise",IF(E118="Tool candidate","Reusable prerequisite",IF(K118="Raw entry preparation","Entry-resource preparation",IF(G118="Not applicable",IF(IFERROR(INDEX('Items'!$AI$6:$AI$1005,MATCH(T118,'Items'!$A$6:$A$1005,0)),"MISSING ID")="Finished item","Finished endpoint",IF(IFERROR(INDEX('Items'!$AI$6:$AI$1005,MATCH(T118,'Items'!$A$6:$A$1005,0)),"MISSING ID")="Currency","Currency / no refinement tier","Recovered output / tier not applicable")),IF(OR(IFERROR(INDEX('Crafting recipes'!$H$6:$H$1005,MATCH(J118,'Crafting recipes'!$A$6:$A$1005,0)),"MISSING ID")="Unassigned",G118="Unassigned"),"Tier unresolved",IF(IFERROR(VALUE(RIGHT(G118,1))-VALUE(RIGHT(IFERROR(INDEX('Crafting recipes'!$H$6:$H$1005,MATCH(J118,'Crafting recipes'!$A$6:$A$1005,0)),"MISSING ID"),1)),0)=1,IF(B118=IFERROR(INDEX('Crafting recipes'!$H$6:$H$1005,MATCH(J118,'Crafting recipes'!$A$6:$A$1005,0)),"MISSING ID"),"Advances one material tier","Lower-tier ingredient; route advances one tier"),"Needs tier review"))))))</x:f>
        <x:v>Advances one material tier</x:v>
      </x:c>
      <x:c r="S118" s="4" t="str">
        <x:f>IFERROR(INDEX('Material routes'!$D$6:$D$2205,MATCH(U118,'Material routes'!$A$6:$A$2205,0)),"MISSING ID")</x:f>
        <x:v>proposal.t1.mineral_filler</x:v>
      </x:c>
      <x:c r="T118" s="4" t="str">
        <x:f>IFERROR(INDEX('Material routes'!$D$6:$D$2205,MATCH(V118,'Material routes'!$A$6:$A$2205,0)),"MISSING ID")</x:f>
        <x:v>proposal.branch.filled_binder</x:v>
      </x:c>
      <x:c r="U118" s="4" t="str">
        <x:v>design.branch.branch.filled_binder.in.2</x:v>
      </x:c>
      <x:c r="V118" s="4" t="str">
        <x:v>design.branch.branch.filled_binder.out</x:v>
      </x:c>
    </x:row>
    <x:row r="119" ht="105" customHeight="1">
      <x:c r="A119" s="4" t="str">
        <x:f>IFERROR(INDEX('Material routes'!$E$6:$E$2205,MATCH(U119,'Material routes'!$A$6:$A$2205,0)),"MISSING ID")</x:f>
        <x:v>Separated mica flake grade</x:v>
      </x:c>
      <x:c r="B119" s="4" t="str">
        <x:f>IFERROR(INDEX('Material routes'!$F$6:$F$2205,MATCH(U119,'Material routes'!$A$6:$A$2205,0)),"MISSING ID")</x:f>
        <x:v>T1</x:v>
      </x:c>
      <x:c r="C119" s="4" t="str">
        <x:f>IFERROR(INDEX('Material routes'!$H$6:$H$2205,MATCH(U119,'Material routes'!$A$6:$A$2205,0)),"MISSING ID")</x:f>
        <x:v>Processed material</x:v>
      </x:c>
      <x:c r="D119" s="4" t="str">
        <x:f>IFERROR(INDEX('Material routes'!$G$6:$G$2205,MATCH(U119,'Material routes'!$A$6:$A$2205,0)),"MISSING ID")</x:f>
        <x:v>Manufactured stock</x:v>
      </x:c>
      <x:c r="E119" s="4" t="str">
        <x:f>IFERROR(INDEX('Material routes'!$C$6:$C$2205,MATCH(U119,'Material routes'!$A$6:$A$2205,0)),"MISSING ID")</x:f>
        <x:v>Ingredient candidate</x:v>
      </x:c>
      <x:c r="F119" s="4" t="str">
        <x:f>IFERROR(INDEX('Material routes'!$E$6:$E$2205,MATCH(V119,'Material routes'!$A$6:$A$2205,0)),"MISSING ID")</x:f>
        <x:v>Mica composite sheet</x:v>
      </x:c>
      <x:c r="G119" s="4" t="str">
        <x:f>IFERROR(INDEX('Material routes'!$F$6:$F$2205,MATCH(V119,'Material routes'!$A$6:$A$2205,0)),"MISSING ID")</x:f>
        <x:v>T2</x:v>
      </x:c>
      <x:c r="H119" s="4" t="str">
        <x:f>IFERROR(INDEX('Material routes'!$H$6:$H$2205,MATCH(V119,'Material routes'!$A$6:$A$2205,0)),"MISSING ID")</x:f>
        <x:v>Processed material</x:v>
      </x:c>
      <x:c r="I119" s="4" t="str">
        <x:f>IFERROR(INDEX('Material routes'!$G$6:$G$2205,MATCH(V119,'Material routes'!$A$6:$A$2205,0)),"MISSING ID")</x:f>
        <x:v>Manufactured stock</x:v>
      </x:c>
      <x:c r="J119" s="4" t="str">
        <x:f>IFERROR(INDEX('Material routes'!$B$6:$B$2205,MATCH(U119,'Material routes'!$A$6:$A$2205,0)),"MISSING ID")</x:f>
        <x:v>design.branch.branch.mica_sheet</x:v>
      </x:c>
      <x:c r="K119" s="4" t="str">
        <x:f>IFERROR(INDEX('Crafting recipes'!$C$6:$C$1005,MATCH(J119,'Crafting recipes'!$A$6:$A$1005,0)),"MISSING ID")</x:f>
        <x:v>Material refinement</x:v>
      </x:c>
      <x:c r="L119" s="4" t="str">
        <x:f>IFERROR(INDEX('Material routes'!$K$6:$K$2205,MATCH(U119,'Material routes'!$A$6:$A$2205,0)),"MISSING ID")</x:f>
        <x:v>Proposal</x:v>
      </x:c>
      <x:c r="M119" s="4" t="str">
        <x:f>IFERROR(INDEX('Material routes'!$M$6:$M$2205,MATCH(U119,'Material routes'!$A$6:$A$2205,0)),"MISSING ID")</x:f>
        <x:v>Partial proposal</x:v>
      </x:c>
      <x:c r="N119" s="4" t="str">
        <x:f>IF(IFERROR(INDEX('Material routes'!$I$6:$I$1005,MATCH(U119,'Material routes'!$A$6:$A$1005,0)),"MISSING ID")=0,"",IFERROR(INDEX('Material routes'!$I$6:$I$1005,MATCH(U119,'Material routes'!$A$6:$A$1005,0)),"MISSING ID"))</x:f>
      </x:c>
      <x:c r="O119" s="4" t="str">
        <x:f>IFERROR(INDEX('Material routes'!$J$6:$J$2205,MATCH(U119,'Material routes'!$A$6:$A$2205,0)),"MISSING ID")</x:f>
        <x:v>Unspecified</x:v>
      </x:c>
      <x:c r="P119" s="4" t="str">
        <x:f>IF(IFERROR(INDEX('Material routes'!$I$6:$I$1005,MATCH(V119,'Material routes'!$A$6:$A$1005,0)),"MISSING ID")=0,"",IFERROR(INDEX('Material routes'!$I$6:$I$1005,MATCH(V119,'Material routes'!$A$6:$A$1005,0)),"MISSING ID"))</x:f>
      </x:c>
      <x:c r="Q119" s="4" t="str">
        <x:f>IFERROR(INDEX('Material routes'!$J$6:$J$2205,MATCH(V119,'Material routes'!$A$6:$A$2205,0)),"MISSING ID")</x:f>
        <x:v>Unspecified</x:v>
      </x:c>
      <x:c r="R119" s="4" t="str">
        <x:f>IF(L119="Withheld","Withheld premise",IF(E119="Tool candidate","Reusable prerequisite",IF(K119="Raw entry preparation","Entry-resource preparation",IF(G119="Not applicable",IF(IFERROR(INDEX('Items'!$AI$6:$AI$1005,MATCH(T119,'Items'!$A$6:$A$1005,0)),"MISSING ID")="Finished item","Finished endpoint",IF(IFERROR(INDEX('Items'!$AI$6:$AI$1005,MATCH(T119,'Items'!$A$6:$A$1005,0)),"MISSING ID")="Currency","Currency / no refinement tier","Recovered output / tier not applicable")),IF(OR(IFERROR(INDEX('Crafting recipes'!$H$6:$H$1005,MATCH(J119,'Crafting recipes'!$A$6:$A$1005,0)),"MISSING ID")="Unassigned",G119="Unassigned"),"Tier unresolved",IF(IFERROR(VALUE(RIGHT(G119,1))-VALUE(RIGHT(IFERROR(INDEX('Crafting recipes'!$H$6:$H$1005,MATCH(J119,'Crafting recipes'!$A$6:$A$1005,0)),"MISSING ID"),1)),0)=1,IF(B119=IFERROR(INDEX('Crafting recipes'!$H$6:$H$1005,MATCH(J119,'Crafting recipes'!$A$6:$A$1005,0)),"MISSING ID"),"Advances one material tier","Lower-tier ingredient; route advances one tier"),"Needs tier review"))))))</x:f>
        <x:v>Advances one material tier</x:v>
      </x:c>
      <x:c r="S119" s="4" t="str">
        <x:f>IFERROR(INDEX('Material routes'!$D$6:$D$2205,MATCH(U119,'Material routes'!$A$6:$A$2205,0)),"MISSING ID")</x:f>
        <x:v>proposal.t1.mica_flakes</x:v>
      </x:c>
      <x:c r="T119" s="4" t="str">
        <x:f>IFERROR(INDEX('Material routes'!$D$6:$D$2205,MATCH(V119,'Material routes'!$A$6:$A$2205,0)),"MISSING ID")</x:f>
        <x:v>proposal.branch.mica_sheet</x:v>
      </x:c>
      <x:c r="U119" s="4" t="str">
        <x:v>design.branch.branch.mica_sheet.in.1</x:v>
      </x:c>
      <x:c r="V119" s="4" t="str">
        <x:v>design.branch.branch.mica_sheet.out</x:v>
      </x:c>
    </x:row>
    <x:row r="120" ht="105" customHeight="1">
      <x:c r="A120" s="4" t="str">
        <x:f>IFERROR(INDEX('Material routes'!$E$6:$E$2205,MATCH(U120,'Material routes'!$A$6:$A$2205,0)),"MISSING ID")</x:f>
        <x:v>Prepared shell-binding adhesive</x:v>
      </x:c>
      <x:c r="B120" s="4" t="str">
        <x:f>IFERROR(INDEX('Material routes'!$F$6:$F$2205,MATCH(U120,'Material routes'!$A$6:$A$2205,0)),"MISSING ID")</x:f>
        <x:v>T1</x:v>
      </x:c>
      <x:c r="C120" s="4" t="str">
        <x:f>IFERROR(INDEX('Material routes'!$H$6:$H$2205,MATCH(U120,'Material routes'!$A$6:$A$2205,0)),"MISSING ID")</x:f>
        <x:v>Chemical material</x:v>
      </x:c>
      <x:c r="D120" s="4" t="str">
        <x:f>IFERROR(INDEX('Material routes'!$G$6:$G$2205,MATCH(U120,'Material routes'!$A$6:$A$2205,0)),"MISSING ID")</x:f>
        <x:v>Crafting components</x:v>
      </x:c>
      <x:c r="E120" s="4" t="str">
        <x:f>IFERROR(INDEX('Material routes'!$C$6:$C$2205,MATCH(U120,'Material routes'!$A$6:$A$2205,0)),"MISSING ID")</x:f>
        <x:v>Ingredient candidate</x:v>
      </x:c>
      <x:c r="F120" s="4" t="str">
        <x:f>IFERROR(INDEX('Material routes'!$E$6:$E$2205,MATCH(V120,'Material routes'!$A$6:$A$2205,0)),"MISSING ID")</x:f>
        <x:v>Mica composite sheet</x:v>
      </x:c>
      <x:c r="G120" s="4" t="str">
        <x:f>IFERROR(INDEX('Material routes'!$F$6:$F$2205,MATCH(V120,'Material routes'!$A$6:$A$2205,0)),"MISSING ID")</x:f>
        <x:v>T2</x:v>
      </x:c>
      <x:c r="H120" s="4" t="str">
        <x:f>IFERROR(INDEX('Material routes'!$H$6:$H$2205,MATCH(V120,'Material routes'!$A$6:$A$2205,0)),"MISSING ID")</x:f>
        <x:v>Processed material</x:v>
      </x:c>
      <x:c r="I120" s="4" t="str">
        <x:f>IFERROR(INDEX('Material routes'!$G$6:$G$2205,MATCH(V120,'Material routes'!$A$6:$A$2205,0)),"MISSING ID")</x:f>
        <x:v>Manufactured stock</x:v>
      </x:c>
      <x:c r="J120" s="4" t="str">
        <x:f>IFERROR(INDEX('Material routes'!$B$6:$B$2205,MATCH(U120,'Material routes'!$A$6:$A$2205,0)),"MISSING ID")</x:f>
        <x:v>design.branch.branch.mica_sheet</x:v>
      </x:c>
      <x:c r="K120" s="4" t="str">
        <x:f>IFERROR(INDEX('Crafting recipes'!$C$6:$C$1005,MATCH(J120,'Crafting recipes'!$A$6:$A$1005,0)),"MISSING ID")</x:f>
        <x:v>Material refinement</x:v>
      </x:c>
      <x:c r="L120" s="4" t="str">
        <x:f>IFERROR(INDEX('Material routes'!$K$6:$K$2205,MATCH(U120,'Material routes'!$A$6:$A$2205,0)),"MISSING ID")</x:f>
        <x:v>Proposal</x:v>
      </x:c>
      <x:c r="M120" s="4" t="str">
        <x:f>IFERROR(INDEX('Material routes'!$M$6:$M$2205,MATCH(U120,'Material routes'!$A$6:$A$2205,0)),"MISSING ID")</x:f>
        <x:v>Partial proposal</x:v>
      </x:c>
      <x:c r="N120" s="4" t="str">
        <x:f>IF(IFERROR(INDEX('Material routes'!$I$6:$I$1005,MATCH(U120,'Material routes'!$A$6:$A$1005,0)),"MISSING ID")=0,"",IFERROR(INDEX('Material routes'!$I$6:$I$1005,MATCH(U120,'Material routes'!$A$6:$A$1005,0)),"MISSING ID"))</x:f>
      </x:c>
      <x:c r="O120" s="4" t="str">
        <x:f>IFERROR(INDEX('Material routes'!$J$6:$J$2205,MATCH(U120,'Material routes'!$A$6:$A$2205,0)),"MISSING ID")</x:f>
        <x:v>Unspecified</x:v>
      </x:c>
      <x:c r="P120" s="4" t="str">
        <x:f>IF(IFERROR(INDEX('Material routes'!$I$6:$I$1005,MATCH(V120,'Material routes'!$A$6:$A$1005,0)),"MISSING ID")=0,"",IFERROR(INDEX('Material routes'!$I$6:$I$1005,MATCH(V120,'Material routes'!$A$6:$A$1005,0)),"MISSING ID"))</x:f>
      </x:c>
      <x:c r="Q120" s="4" t="str">
        <x:f>IFERROR(INDEX('Material routes'!$J$6:$J$2205,MATCH(V120,'Material routes'!$A$6:$A$2205,0)),"MISSING ID")</x:f>
        <x:v>Unspecified</x:v>
      </x:c>
      <x:c r="R120" s="4" t="str">
        <x:f>IF(L120="Withheld","Withheld premise",IF(E120="Tool candidate","Reusable prerequisite",IF(K120="Raw entry preparation","Entry-resource preparation",IF(G120="Not applicable",IF(IFERROR(INDEX('Items'!$AI$6:$AI$1005,MATCH(T120,'Items'!$A$6:$A$1005,0)),"MISSING ID")="Finished item","Finished endpoint",IF(IFERROR(INDEX('Items'!$AI$6:$AI$1005,MATCH(T120,'Items'!$A$6:$A$1005,0)),"MISSING ID")="Currency","Currency / no refinement tier","Recovered output / tier not applicable")),IF(OR(IFERROR(INDEX('Crafting recipes'!$H$6:$H$1005,MATCH(J120,'Crafting recipes'!$A$6:$A$1005,0)),"MISSING ID")="Unassigned",G120="Unassigned"),"Tier unresolved",IF(IFERROR(VALUE(RIGHT(G120,1))-VALUE(RIGHT(IFERROR(INDEX('Crafting recipes'!$H$6:$H$1005,MATCH(J120,'Crafting recipes'!$A$6:$A$1005,0)),"MISSING ID"),1)),0)=1,IF(B120=IFERROR(INDEX('Crafting recipes'!$H$6:$H$1005,MATCH(J120,'Crafting recipes'!$A$6:$A$1005,0)),"MISSING ID"),"Advances one material tier","Lower-tier ingredient; route advances one tier"),"Needs tier review"))))))</x:f>
        <x:v>Advances one material tier</x:v>
      </x:c>
      <x:c r="S120" s="4" t="str">
        <x:f>IFERROR(INDEX('Material routes'!$D$6:$D$2205,MATCH(U120,'Material routes'!$A$6:$A$2205,0)),"MISSING ID")</x:f>
        <x:v>proposal.t1.shell_adhesive</x:v>
      </x:c>
      <x:c r="T120" s="4" t="str">
        <x:f>IFERROR(INDEX('Material routes'!$D$6:$D$2205,MATCH(V120,'Material routes'!$A$6:$A$2205,0)),"MISSING ID")</x:f>
        <x:v>proposal.branch.mica_sheet</x:v>
      </x:c>
      <x:c r="U120" s="4" t="str">
        <x:v>design.branch.branch.mica_sheet.in.2</x:v>
      </x:c>
      <x:c r="V120" s="4" t="str">
        <x:v>design.branch.branch.mica_sheet.out</x:v>
      </x:c>
    </x:row>
    <x:row r="121" ht="105" customHeight="1">
      <x:c r="A121" s="4" t="str">
        <x:f>IFERROR(INDEX('Material routes'!$E$6:$E$2205,MATCH(U121,'Material routes'!$A$6:$A$2205,0)),"MISSING ID")</x:f>
        <x:v>Selected resonant-stone blank</x:v>
      </x:c>
      <x:c r="B121" s="4" t="str">
        <x:f>IFERROR(INDEX('Material routes'!$F$6:$F$2205,MATCH(U121,'Material routes'!$A$6:$A$2205,0)),"MISSING ID")</x:f>
        <x:v>T1</x:v>
      </x:c>
      <x:c r="C121" s="4" t="str">
        <x:f>IFERROR(INDEX('Material routes'!$H$6:$H$2205,MATCH(U121,'Material routes'!$A$6:$A$2205,0)),"MISSING ID")</x:f>
        <x:v>Processed material</x:v>
      </x:c>
      <x:c r="D121" s="4" t="str">
        <x:f>IFERROR(INDEX('Material routes'!$G$6:$G$2205,MATCH(U121,'Material routes'!$A$6:$A$2205,0)),"MISSING ID")</x:f>
        <x:v>Manufactured stock</x:v>
      </x:c>
      <x:c r="E121" s="4" t="str">
        <x:f>IFERROR(INDEX('Material routes'!$C$6:$C$2205,MATCH(U121,'Material routes'!$A$6:$A$2205,0)),"MISSING ID")</x:f>
        <x:v>Ingredient candidate</x:v>
      </x:c>
      <x:c r="F121" s="4" t="str">
        <x:f>IFERROR(INDEX('Material routes'!$E$6:$E$2205,MATCH(V121,'Material routes'!$A$6:$A$2205,0)),"MISSING ID")</x:f>
        <x:v>Tuned stone stock</x:v>
      </x:c>
      <x:c r="G121" s="4" t="str">
        <x:f>IFERROR(INDEX('Material routes'!$F$6:$F$2205,MATCH(V121,'Material routes'!$A$6:$A$2205,0)),"MISSING ID")</x:f>
        <x:v>T2</x:v>
      </x:c>
      <x:c r="H121" s="4" t="str">
        <x:f>IFERROR(INDEX('Material routes'!$H$6:$H$2205,MATCH(V121,'Material routes'!$A$6:$A$2205,0)),"MISSING ID")</x:f>
        <x:v>Processed material</x:v>
      </x:c>
      <x:c r="I121" s="4" t="str">
        <x:f>IFERROR(INDEX('Material routes'!$G$6:$G$2205,MATCH(V121,'Material routes'!$A$6:$A$2205,0)),"MISSING ID")</x:f>
        <x:v>Manufactured stock</x:v>
      </x:c>
      <x:c r="J121" s="4" t="str">
        <x:f>IFERROR(INDEX('Material routes'!$B$6:$B$2205,MATCH(U121,'Material routes'!$A$6:$A$2205,0)),"MISSING ID")</x:f>
        <x:v>design.branch.branch.tuned_stone</x:v>
      </x:c>
      <x:c r="K121" s="4" t="str">
        <x:f>IFERROR(INDEX('Crafting recipes'!$C$6:$C$1005,MATCH(J121,'Crafting recipes'!$A$6:$A$1005,0)),"MISSING ID")</x:f>
        <x:v>Material refinement</x:v>
      </x:c>
      <x:c r="L121" s="4" t="str">
        <x:f>IFERROR(INDEX('Material routes'!$K$6:$K$2205,MATCH(U121,'Material routes'!$A$6:$A$2205,0)),"MISSING ID")</x:f>
        <x:v>Proposal</x:v>
      </x:c>
      <x:c r="M121" s="4" t="str">
        <x:f>IFERROR(INDEX('Material routes'!$M$6:$M$2205,MATCH(U121,'Material routes'!$A$6:$A$2205,0)),"MISSING ID")</x:f>
        <x:v>Partial proposal</x:v>
      </x:c>
      <x:c r="N121" s="4" t="str">
        <x:f>IF(IFERROR(INDEX('Material routes'!$I$6:$I$1005,MATCH(U121,'Material routes'!$A$6:$A$1005,0)),"MISSING ID")=0,"",IFERROR(INDEX('Material routes'!$I$6:$I$1005,MATCH(U121,'Material routes'!$A$6:$A$1005,0)),"MISSING ID"))</x:f>
      </x:c>
      <x:c r="O121" s="4" t="str">
        <x:f>IFERROR(INDEX('Material routes'!$J$6:$J$2205,MATCH(U121,'Material routes'!$A$6:$A$2205,0)),"MISSING ID")</x:f>
        <x:v>Unspecified</x:v>
      </x:c>
      <x:c r="P121" s="4" t="str">
        <x:f>IF(IFERROR(INDEX('Material routes'!$I$6:$I$1005,MATCH(V121,'Material routes'!$A$6:$A$1005,0)),"MISSING ID")=0,"",IFERROR(INDEX('Material routes'!$I$6:$I$1005,MATCH(V121,'Material routes'!$A$6:$A$1005,0)),"MISSING ID"))</x:f>
      </x:c>
      <x:c r="Q121" s="4" t="str">
        <x:f>IFERROR(INDEX('Material routes'!$J$6:$J$2205,MATCH(V121,'Material routes'!$A$6:$A$2205,0)),"MISSING ID")</x:f>
        <x:v>Unspecified</x:v>
      </x:c>
      <x:c r="R121" s="4" t="str">
        <x:f>IF(L121="Withheld","Withheld premise",IF(E121="Tool candidate","Reusable prerequisite",IF(K121="Raw entry preparation","Entry-resource preparation",IF(G121="Not applicable",IF(IFERROR(INDEX('Items'!$AI$6:$AI$1005,MATCH(T121,'Items'!$A$6:$A$1005,0)),"MISSING ID")="Finished item","Finished endpoint",IF(IFERROR(INDEX('Items'!$AI$6:$AI$1005,MATCH(T121,'Items'!$A$6:$A$1005,0)),"MISSING ID")="Currency","Currency / no refinement tier","Recovered output / tier not applicable")),IF(OR(IFERROR(INDEX('Crafting recipes'!$H$6:$H$1005,MATCH(J121,'Crafting recipes'!$A$6:$A$1005,0)),"MISSING ID")="Unassigned",G121="Unassigned"),"Tier unresolved",IF(IFERROR(VALUE(RIGHT(G121,1))-VALUE(RIGHT(IFERROR(INDEX('Crafting recipes'!$H$6:$H$1005,MATCH(J121,'Crafting recipes'!$A$6:$A$1005,0)),"MISSING ID"),1)),0)=1,IF(B121=IFERROR(INDEX('Crafting recipes'!$H$6:$H$1005,MATCH(J121,'Crafting recipes'!$A$6:$A$1005,0)),"MISSING ID"),"Advances one material tier","Lower-tier ingredient; route advances one tier"),"Needs tier review"))))))</x:f>
        <x:v>Advances one material tier</x:v>
      </x:c>
      <x:c r="S121" s="4" t="str">
        <x:f>IFERROR(INDEX('Material routes'!$D$6:$D$2205,MATCH(U121,'Material routes'!$A$6:$A$2205,0)),"MISSING ID")</x:f>
        <x:v>proposal.t1.resonant_blank</x:v>
      </x:c>
      <x:c r="T121" s="4" t="str">
        <x:f>IFERROR(INDEX('Material routes'!$D$6:$D$2205,MATCH(V121,'Material routes'!$A$6:$A$2205,0)),"MISSING ID")</x:f>
        <x:v>proposal.branch.tuned_stone</x:v>
      </x:c>
      <x:c r="U121" s="4" t="str">
        <x:v>design.branch.branch.tuned_stone.in.1</x:v>
      </x:c>
      <x:c r="V121" s="4" t="str">
        <x:v>design.branch.branch.tuned_stone.out</x:v>
      </x:c>
    </x:row>
    <x:row r="122" ht="105" customHeight="1">
      <x:c r="A122" s="4" t="str">
        <x:f>IFERROR(INDEX('Material routes'!$E$6:$E$2205,MATCH(U122,'Material routes'!$A$6:$A$2205,0)),"MISSING ID")</x:f>
        <x:v>Graded abrasive grit</x:v>
      </x:c>
      <x:c r="B122" s="4" t="str">
        <x:f>IFERROR(INDEX('Material routes'!$F$6:$F$2205,MATCH(U122,'Material routes'!$A$6:$A$2205,0)),"MISSING ID")</x:f>
        <x:v>T1</x:v>
      </x:c>
      <x:c r="C122" s="4" t="str">
        <x:f>IFERROR(INDEX('Material routes'!$H$6:$H$2205,MATCH(U122,'Material routes'!$A$6:$A$2205,0)),"MISSING ID")</x:f>
        <x:v>Processed material</x:v>
      </x:c>
      <x:c r="D122" s="4" t="str">
        <x:f>IFERROR(INDEX('Material routes'!$G$6:$G$2205,MATCH(U122,'Material routes'!$A$6:$A$2205,0)),"MISSING ID")</x:f>
        <x:v>Manufactured stock</x:v>
      </x:c>
      <x:c r="E122" s="4" t="str">
        <x:f>IFERROR(INDEX('Material routes'!$C$6:$C$2205,MATCH(U122,'Material routes'!$A$6:$A$2205,0)),"MISSING ID")</x:f>
        <x:v>Ingredient candidate</x:v>
      </x:c>
      <x:c r="F122" s="4" t="str">
        <x:f>IFERROR(INDEX('Material routes'!$E$6:$E$2205,MATCH(V122,'Material routes'!$A$6:$A$2205,0)),"MISSING ID")</x:f>
        <x:v>Tuned stone stock</x:v>
      </x:c>
      <x:c r="G122" s="4" t="str">
        <x:f>IFERROR(INDEX('Material routes'!$F$6:$F$2205,MATCH(V122,'Material routes'!$A$6:$A$2205,0)),"MISSING ID")</x:f>
        <x:v>T2</x:v>
      </x:c>
      <x:c r="H122" s="4" t="str">
        <x:f>IFERROR(INDEX('Material routes'!$H$6:$H$2205,MATCH(V122,'Material routes'!$A$6:$A$2205,0)),"MISSING ID")</x:f>
        <x:v>Processed material</x:v>
      </x:c>
      <x:c r="I122" s="4" t="str">
        <x:f>IFERROR(INDEX('Material routes'!$G$6:$G$2205,MATCH(V122,'Material routes'!$A$6:$A$2205,0)),"MISSING ID")</x:f>
        <x:v>Manufactured stock</x:v>
      </x:c>
      <x:c r="J122" s="4" t="str">
        <x:f>IFERROR(INDEX('Material routes'!$B$6:$B$2205,MATCH(U122,'Material routes'!$A$6:$A$2205,0)),"MISSING ID")</x:f>
        <x:v>design.branch.branch.tuned_stone</x:v>
      </x:c>
      <x:c r="K122" s="4" t="str">
        <x:f>IFERROR(INDEX('Crafting recipes'!$C$6:$C$1005,MATCH(J122,'Crafting recipes'!$A$6:$A$1005,0)),"MISSING ID")</x:f>
        <x:v>Material refinement</x:v>
      </x:c>
      <x:c r="L122" s="4" t="str">
        <x:f>IFERROR(INDEX('Material routes'!$K$6:$K$2205,MATCH(U122,'Material routes'!$A$6:$A$2205,0)),"MISSING ID")</x:f>
        <x:v>Proposal</x:v>
      </x:c>
      <x:c r="M122" s="4" t="str">
        <x:f>IFERROR(INDEX('Material routes'!$M$6:$M$2205,MATCH(U122,'Material routes'!$A$6:$A$2205,0)),"MISSING ID")</x:f>
        <x:v>Partial proposal</x:v>
      </x:c>
      <x:c r="N122" s="4" t="str">
        <x:f>IF(IFERROR(INDEX('Material routes'!$I$6:$I$1005,MATCH(U122,'Material routes'!$A$6:$A$1005,0)),"MISSING ID")=0,"",IFERROR(INDEX('Material routes'!$I$6:$I$1005,MATCH(U122,'Material routes'!$A$6:$A$1005,0)),"MISSING ID"))</x:f>
      </x:c>
      <x:c r="O122" s="4" t="str">
        <x:f>IFERROR(INDEX('Material routes'!$J$6:$J$2205,MATCH(U122,'Material routes'!$A$6:$A$2205,0)),"MISSING ID")</x:f>
        <x:v>Unspecified</x:v>
      </x:c>
      <x:c r="P122" s="4" t="str">
        <x:f>IF(IFERROR(INDEX('Material routes'!$I$6:$I$1005,MATCH(V122,'Material routes'!$A$6:$A$1005,0)),"MISSING ID")=0,"",IFERROR(INDEX('Material routes'!$I$6:$I$1005,MATCH(V122,'Material routes'!$A$6:$A$1005,0)),"MISSING ID"))</x:f>
      </x:c>
      <x:c r="Q122" s="4" t="str">
        <x:f>IFERROR(INDEX('Material routes'!$J$6:$J$2205,MATCH(V122,'Material routes'!$A$6:$A$2205,0)),"MISSING ID")</x:f>
        <x:v>Unspecified</x:v>
      </x:c>
      <x:c r="R122" s="4" t="str">
        <x:f>IF(L122="Withheld","Withheld premise",IF(E122="Tool candidate","Reusable prerequisite",IF(K122="Raw entry preparation","Entry-resource preparation",IF(G122="Not applicable",IF(IFERROR(INDEX('Items'!$AI$6:$AI$1005,MATCH(T122,'Items'!$A$6:$A$1005,0)),"MISSING ID")="Finished item","Finished endpoint",IF(IFERROR(INDEX('Items'!$AI$6:$AI$1005,MATCH(T122,'Items'!$A$6:$A$1005,0)),"MISSING ID")="Currency","Currency / no refinement tier","Recovered output / tier not applicable")),IF(OR(IFERROR(INDEX('Crafting recipes'!$H$6:$H$1005,MATCH(J122,'Crafting recipes'!$A$6:$A$1005,0)),"MISSING ID")="Unassigned",G122="Unassigned"),"Tier unresolved",IF(IFERROR(VALUE(RIGHT(G122,1))-VALUE(RIGHT(IFERROR(INDEX('Crafting recipes'!$H$6:$H$1005,MATCH(J122,'Crafting recipes'!$A$6:$A$1005,0)),"MISSING ID"),1)),0)=1,IF(B122=IFERROR(INDEX('Crafting recipes'!$H$6:$H$1005,MATCH(J122,'Crafting recipes'!$A$6:$A$1005,0)),"MISSING ID"),"Advances one material tier","Lower-tier ingredient; route advances one tier"),"Needs tier review"))))))</x:f>
        <x:v>Advances one material tier</x:v>
      </x:c>
      <x:c r="S122" s="4" t="str">
        <x:f>IFERROR(INDEX('Material routes'!$D$6:$D$2205,MATCH(U122,'Material routes'!$A$6:$A$2205,0)),"MISSING ID")</x:f>
        <x:v>proposal.natural.abrasive</x:v>
      </x:c>
      <x:c r="T122" s="4" t="str">
        <x:f>IFERROR(INDEX('Material routes'!$D$6:$D$2205,MATCH(V122,'Material routes'!$A$6:$A$2205,0)),"MISSING ID")</x:f>
        <x:v>proposal.branch.tuned_stone</x:v>
      </x:c>
      <x:c r="U122" s="4" t="str">
        <x:v>design.branch.branch.tuned_stone.in.2</x:v>
      </x:c>
      <x:c r="V122" s="4" t="str">
        <x:v>design.branch.branch.tuned_stone.out</x:v>
      </x:c>
    </x:row>
    <x:row r="123" ht="105" customHeight="1">
      <x:c r="A123" s="4" t="str">
        <x:f>IFERROR(INDEX('Material routes'!$E$6:$E$2205,MATCH(U123,'Material routes'!$A$6:$A$2205,0)),"MISSING ID")</x:f>
        <x:v>Cut gemstone preform</x:v>
      </x:c>
      <x:c r="B123" s="4" t="str">
        <x:f>IFERROR(INDEX('Material routes'!$F$6:$F$2205,MATCH(U123,'Material routes'!$A$6:$A$2205,0)),"MISSING ID")</x:f>
        <x:v>T1</x:v>
      </x:c>
      <x:c r="C123" s="4" t="str">
        <x:f>IFERROR(INDEX('Material routes'!$H$6:$H$2205,MATCH(U123,'Material routes'!$A$6:$A$2205,0)),"MISSING ID")</x:f>
        <x:v>Processed material</x:v>
      </x:c>
      <x:c r="D123" s="4" t="str">
        <x:f>IFERROR(INDEX('Material routes'!$G$6:$G$2205,MATCH(U123,'Material routes'!$A$6:$A$2205,0)),"MISSING ID")</x:f>
        <x:v>Manufactured stock</x:v>
      </x:c>
      <x:c r="E123" s="4" t="str">
        <x:f>IFERROR(INDEX('Material routes'!$C$6:$C$2205,MATCH(U123,'Material routes'!$A$6:$A$2205,0)),"MISSING ID")</x:f>
        <x:v>Ingredient candidate</x:v>
      </x:c>
      <x:c r="F123" s="4" t="str">
        <x:f>IFERROR(INDEX('Material routes'!$E$6:$E$2205,MATCH(V123,'Material routes'!$A$6:$A$2205,0)),"MISSING ID")</x:f>
        <x:v>Polished gemstone blanks</x:v>
      </x:c>
      <x:c r="G123" s="4" t="str">
        <x:f>IFERROR(INDEX('Material routes'!$F$6:$F$2205,MATCH(V123,'Material routes'!$A$6:$A$2205,0)),"MISSING ID")</x:f>
        <x:v>T2</x:v>
      </x:c>
      <x:c r="H123" s="4" t="str">
        <x:f>IFERROR(INDEX('Material routes'!$H$6:$H$2205,MATCH(V123,'Material routes'!$A$6:$A$2205,0)),"MISSING ID")</x:f>
        <x:v>Processed material</x:v>
      </x:c>
      <x:c r="I123" s="4" t="str">
        <x:f>IFERROR(INDEX('Material routes'!$G$6:$G$2205,MATCH(V123,'Material routes'!$A$6:$A$2205,0)),"MISSING ID")</x:f>
        <x:v>Manufactured stock</x:v>
      </x:c>
      <x:c r="J123" s="4" t="str">
        <x:f>IFERROR(INDEX('Material routes'!$B$6:$B$2205,MATCH(U123,'Material routes'!$A$6:$A$2205,0)),"MISSING ID")</x:f>
        <x:v>design.branch.branch.polished_gem</x:v>
      </x:c>
      <x:c r="K123" s="4" t="str">
        <x:f>IFERROR(INDEX('Crafting recipes'!$C$6:$C$1005,MATCH(J123,'Crafting recipes'!$A$6:$A$1005,0)),"MISSING ID")</x:f>
        <x:v>Material refinement</x:v>
      </x:c>
      <x:c r="L123" s="4" t="str">
        <x:f>IFERROR(INDEX('Material routes'!$K$6:$K$2205,MATCH(U123,'Material routes'!$A$6:$A$2205,0)),"MISSING ID")</x:f>
        <x:v>Proposal</x:v>
      </x:c>
      <x:c r="M123" s="4" t="str">
        <x:f>IFERROR(INDEX('Material routes'!$M$6:$M$2205,MATCH(U123,'Material routes'!$A$6:$A$2205,0)),"MISSING ID")</x:f>
        <x:v>Partial proposal</x:v>
      </x:c>
      <x:c r="N123" s="4" t="str">
        <x:f>IF(IFERROR(INDEX('Material routes'!$I$6:$I$1005,MATCH(U123,'Material routes'!$A$6:$A$1005,0)),"MISSING ID")=0,"",IFERROR(INDEX('Material routes'!$I$6:$I$1005,MATCH(U123,'Material routes'!$A$6:$A$1005,0)),"MISSING ID"))</x:f>
      </x:c>
      <x:c r="O123" s="4" t="str">
        <x:f>IFERROR(INDEX('Material routes'!$J$6:$J$2205,MATCH(U123,'Material routes'!$A$6:$A$2205,0)),"MISSING ID")</x:f>
        <x:v>Unspecified</x:v>
      </x:c>
      <x:c r="P123" s="4" t="str">
        <x:f>IF(IFERROR(INDEX('Material routes'!$I$6:$I$1005,MATCH(V123,'Material routes'!$A$6:$A$1005,0)),"MISSING ID")=0,"",IFERROR(INDEX('Material routes'!$I$6:$I$1005,MATCH(V123,'Material routes'!$A$6:$A$1005,0)),"MISSING ID"))</x:f>
      </x:c>
      <x:c r="Q123" s="4" t="str">
        <x:f>IFERROR(INDEX('Material routes'!$J$6:$J$2205,MATCH(V123,'Material routes'!$A$6:$A$2205,0)),"MISSING ID")</x:f>
        <x:v>Unspecified</x:v>
      </x:c>
      <x:c r="R123" s="4" t="str">
        <x:f>IF(L123="Withheld","Withheld premise",IF(E123="Tool candidate","Reusable prerequisite",IF(K123="Raw entry preparation","Entry-resource preparation",IF(G123="Not applicable",IF(IFERROR(INDEX('Items'!$AI$6:$AI$1005,MATCH(T123,'Items'!$A$6:$A$1005,0)),"MISSING ID")="Finished item","Finished endpoint",IF(IFERROR(INDEX('Items'!$AI$6:$AI$1005,MATCH(T123,'Items'!$A$6:$A$1005,0)),"MISSING ID")="Currency","Currency / no refinement tier","Recovered output / tier not applicable")),IF(OR(IFERROR(INDEX('Crafting recipes'!$H$6:$H$1005,MATCH(J123,'Crafting recipes'!$A$6:$A$1005,0)),"MISSING ID")="Unassigned",G123="Unassigned"),"Tier unresolved",IF(IFERROR(VALUE(RIGHT(G123,1))-VALUE(RIGHT(IFERROR(INDEX('Crafting recipes'!$H$6:$H$1005,MATCH(J123,'Crafting recipes'!$A$6:$A$1005,0)),"MISSING ID"),1)),0)=1,IF(B123=IFERROR(INDEX('Crafting recipes'!$H$6:$H$1005,MATCH(J123,'Crafting recipes'!$A$6:$A$1005,0)),"MISSING ID"),"Advances one material tier","Lower-tier ingredient; route advances one tier"),"Needs tier review"))))))</x:f>
        <x:v>Advances one material tier</x:v>
      </x:c>
      <x:c r="S123" s="4" t="str">
        <x:f>IFERROR(INDEX('Material routes'!$D$6:$D$2205,MATCH(U123,'Material routes'!$A$6:$A$2205,0)),"MISSING ID")</x:f>
        <x:v>proposal.t1.gem_preform</x:v>
      </x:c>
      <x:c r="T123" s="4" t="str">
        <x:f>IFERROR(INDEX('Material routes'!$D$6:$D$2205,MATCH(V123,'Material routes'!$A$6:$A$2205,0)),"MISSING ID")</x:f>
        <x:v>proposal.branch.polished_gem</x:v>
      </x:c>
      <x:c r="U123" s="4" t="str">
        <x:v>design.branch.branch.polished_gem.in.1</x:v>
      </x:c>
      <x:c r="V123" s="4" t="str">
        <x:v>design.branch.branch.polished_gem.out</x:v>
      </x:c>
    </x:row>
    <x:row r="124" ht="105" customHeight="1">
      <x:c r="A124" s="4" t="str">
        <x:f>IFERROR(INDEX('Material routes'!$E$6:$E$2205,MATCH(U124,'Material routes'!$A$6:$A$2205,0)),"MISSING ID")</x:f>
        <x:v>Graded abrasive grit</x:v>
      </x:c>
      <x:c r="B124" s="4" t="str">
        <x:f>IFERROR(INDEX('Material routes'!$F$6:$F$2205,MATCH(U124,'Material routes'!$A$6:$A$2205,0)),"MISSING ID")</x:f>
        <x:v>T1</x:v>
      </x:c>
      <x:c r="C124" s="4" t="str">
        <x:f>IFERROR(INDEX('Material routes'!$H$6:$H$2205,MATCH(U124,'Material routes'!$A$6:$A$2205,0)),"MISSING ID")</x:f>
        <x:v>Processed material</x:v>
      </x:c>
      <x:c r="D124" s="4" t="str">
        <x:f>IFERROR(INDEX('Material routes'!$G$6:$G$2205,MATCH(U124,'Material routes'!$A$6:$A$2205,0)),"MISSING ID")</x:f>
        <x:v>Manufactured stock</x:v>
      </x:c>
      <x:c r="E124" s="4" t="str">
        <x:f>IFERROR(INDEX('Material routes'!$C$6:$C$2205,MATCH(U124,'Material routes'!$A$6:$A$2205,0)),"MISSING ID")</x:f>
        <x:v>Ingredient candidate</x:v>
      </x:c>
      <x:c r="F124" s="4" t="str">
        <x:f>IFERROR(INDEX('Material routes'!$E$6:$E$2205,MATCH(V124,'Material routes'!$A$6:$A$2205,0)),"MISSING ID")</x:f>
        <x:v>Polished gemstone blanks</x:v>
      </x:c>
      <x:c r="G124" s="4" t="str">
        <x:f>IFERROR(INDEX('Material routes'!$F$6:$F$2205,MATCH(V124,'Material routes'!$A$6:$A$2205,0)),"MISSING ID")</x:f>
        <x:v>T2</x:v>
      </x:c>
      <x:c r="H124" s="4" t="str">
        <x:f>IFERROR(INDEX('Material routes'!$H$6:$H$2205,MATCH(V124,'Material routes'!$A$6:$A$2205,0)),"MISSING ID")</x:f>
        <x:v>Processed material</x:v>
      </x:c>
      <x:c r="I124" s="4" t="str">
        <x:f>IFERROR(INDEX('Material routes'!$G$6:$G$2205,MATCH(V124,'Material routes'!$A$6:$A$2205,0)),"MISSING ID")</x:f>
        <x:v>Manufactured stock</x:v>
      </x:c>
      <x:c r="J124" s="4" t="str">
        <x:f>IFERROR(INDEX('Material routes'!$B$6:$B$2205,MATCH(U124,'Material routes'!$A$6:$A$2205,0)),"MISSING ID")</x:f>
        <x:v>design.branch.branch.polished_gem</x:v>
      </x:c>
      <x:c r="K124" s="4" t="str">
        <x:f>IFERROR(INDEX('Crafting recipes'!$C$6:$C$1005,MATCH(J124,'Crafting recipes'!$A$6:$A$1005,0)),"MISSING ID")</x:f>
        <x:v>Material refinement</x:v>
      </x:c>
      <x:c r="L124" s="4" t="str">
        <x:f>IFERROR(INDEX('Material routes'!$K$6:$K$2205,MATCH(U124,'Material routes'!$A$6:$A$2205,0)),"MISSING ID")</x:f>
        <x:v>Proposal</x:v>
      </x:c>
      <x:c r="M124" s="4" t="str">
        <x:f>IFERROR(INDEX('Material routes'!$M$6:$M$2205,MATCH(U124,'Material routes'!$A$6:$A$2205,0)),"MISSING ID")</x:f>
        <x:v>Partial proposal</x:v>
      </x:c>
      <x:c r="N124" s="4" t="str">
        <x:f>IF(IFERROR(INDEX('Material routes'!$I$6:$I$1005,MATCH(U124,'Material routes'!$A$6:$A$1005,0)),"MISSING ID")=0,"",IFERROR(INDEX('Material routes'!$I$6:$I$1005,MATCH(U124,'Material routes'!$A$6:$A$1005,0)),"MISSING ID"))</x:f>
      </x:c>
      <x:c r="O124" s="4" t="str">
        <x:f>IFERROR(INDEX('Material routes'!$J$6:$J$2205,MATCH(U124,'Material routes'!$A$6:$A$2205,0)),"MISSING ID")</x:f>
        <x:v>Unspecified</x:v>
      </x:c>
      <x:c r="P124" s="4" t="str">
        <x:f>IF(IFERROR(INDEX('Material routes'!$I$6:$I$1005,MATCH(V124,'Material routes'!$A$6:$A$1005,0)),"MISSING ID")=0,"",IFERROR(INDEX('Material routes'!$I$6:$I$1005,MATCH(V124,'Material routes'!$A$6:$A$1005,0)),"MISSING ID"))</x:f>
      </x:c>
      <x:c r="Q124" s="4" t="str">
        <x:f>IFERROR(INDEX('Material routes'!$J$6:$J$2205,MATCH(V124,'Material routes'!$A$6:$A$2205,0)),"MISSING ID")</x:f>
        <x:v>Unspecified</x:v>
      </x:c>
      <x:c r="R124" s="4" t="str">
        <x:f>IF(L124="Withheld","Withheld premise",IF(E124="Tool candidate","Reusable prerequisite",IF(K124="Raw entry preparation","Entry-resource preparation",IF(G124="Not applicable",IF(IFERROR(INDEX('Items'!$AI$6:$AI$1005,MATCH(T124,'Items'!$A$6:$A$1005,0)),"MISSING ID")="Finished item","Finished endpoint",IF(IFERROR(INDEX('Items'!$AI$6:$AI$1005,MATCH(T124,'Items'!$A$6:$A$1005,0)),"MISSING ID")="Currency","Currency / no refinement tier","Recovered output / tier not applicable")),IF(OR(IFERROR(INDEX('Crafting recipes'!$H$6:$H$1005,MATCH(J124,'Crafting recipes'!$A$6:$A$1005,0)),"MISSING ID")="Unassigned",G124="Unassigned"),"Tier unresolved",IF(IFERROR(VALUE(RIGHT(G124,1))-VALUE(RIGHT(IFERROR(INDEX('Crafting recipes'!$H$6:$H$1005,MATCH(J124,'Crafting recipes'!$A$6:$A$1005,0)),"MISSING ID"),1)),0)=1,IF(B124=IFERROR(INDEX('Crafting recipes'!$H$6:$H$1005,MATCH(J124,'Crafting recipes'!$A$6:$A$1005,0)),"MISSING ID"),"Advances one material tier","Lower-tier ingredient; route advances one tier"),"Needs tier review"))))))</x:f>
        <x:v>Advances one material tier</x:v>
      </x:c>
      <x:c r="S124" s="4" t="str">
        <x:f>IFERROR(INDEX('Material routes'!$D$6:$D$2205,MATCH(U124,'Material routes'!$A$6:$A$2205,0)),"MISSING ID")</x:f>
        <x:v>proposal.natural.abrasive</x:v>
      </x:c>
      <x:c r="T124" s="4" t="str">
        <x:f>IFERROR(INDEX('Material routes'!$D$6:$D$2205,MATCH(V124,'Material routes'!$A$6:$A$2205,0)),"MISSING ID")</x:f>
        <x:v>proposal.branch.polished_gem</x:v>
      </x:c>
      <x:c r="U124" s="4" t="str">
        <x:v>design.branch.branch.polished_gem.in.2</x:v>
      </x:c>
      <x:c r="V124" s="4" t="str">
        <x:v>design.branch.branch.polished_gem.out</x:v>
      </x:c>
    </x:row>
    <x:row r="125" ht="105" customHeight="1">
      <x:c r="A125" s="4" t="str">
        <x:f>IFERROR(INDEX('Material routes'!$E$6:$E$2205,MATCH(U125,'Material routes'!$A$6:$A$2205,0)),"MISSING ID")</x:f>
        <x:v>Conditioned faunal etchant</x:v>
      </x:c>
      <x:c r="B125" s="4" t="str">
        <x:f>IFERROR(INDEX('Material routes'!$F$6:$F$2205,MATCH(U125,'Material routes'!$A$6:$A$2205,0)),"MISSING ID")</x:f>
        <x:v>T1</x:v>
      </x:c>
      <x:c r="C125" s="4" t="str">
        <x:f>IFERROR(INDEX('Material routes'!$H$6:$H$2205,MATCH(U125,'Material routes'!$A$6:$A$2205,0)),"MISSING ID")</x:f>
        <x:v>Chemical material</x:v>
      </x:c>
      <x:c r="D125" s="4" t="str">
        <x:f>IFERROR(INDEX('Material routes'!$G$6:$G$2205,MATCH(U125,'Material routes'!$A$6:$A$2205,0)),"MISSING ID")</x:f>
        <x:v>Crafting components</x:v>
      </x:c>
      <x:c r="E125" s="4" t="str">
        <x:f>IFERROR(INDEX('Material routes'!$C$6:$C$2205,MATCH(U125,'Material routes'!$A$6:$A$2205,0)),"MISSING ID")</x:f>
        <x:v>Ingredient candidate</x:v>
      </x:c>
      <x:c r="F125" s="4" t="str">
        <x:f>IFERROR(INDEX('Material routes'!$E$6:$E$2205,MATCH(V125,'Material routes'!$A$6:$A$2205,0)),"MISSING ID")</x:f>
        <x:v>Advanced rust-removal compound</x:v>
      </x:c>
      <x:c r="G125" s="4" t="str">
        <x:f>IFERROR(INDEX('Material routes'!$F$6:$F$2205,MATCH(V125,'Material routes'!$A$6:$A$2205,0)),"MISSING ID")</x:f>
        <x:v>T2</x:v>
      </x:c>
      <x:c r="H125" s="4" t="str">
        <x:f>IFERROR(INDEX('Material routes'!$H$6:$H$2205,MATCH(V125,'Material routes'!$A$6:$A$2205,0)),"MISSING ID")</x:f>
        <x:v>Chemical material</x:v>
      </x:c>
      <x:c r="I125" s="4" t="str">
        <x:f>IFERROR(INDEX('Material routes'!$G$6:$G$2205,MATCH(V125,'Material routes'!$A$6:$A$2205,0)),"MISSING ID")</x:f>
        <x:v>Crafting components</x:v>
      </x:c>
      <x:c r="J125" s="4" t="str">
        <x:f>IFERROR(INDEX('Material routes'!$B$6:$B$2205,MATCH(U125,'Material routes'!$A$6:$A$2205,0)),"MISSING ID")</x:f>
        <x:v>design.branch.corrosion.advanced_remover</x:v>
      </x:c>
      <x:c r="K125" s="4" t="str">
        <x:f>IFERROR(INDEX('Crafting recipes'!$C$6:$C$1005,MATCH(J125,'Crafting recipes'!$A$6:$A$1005,0)),"MISSING ID")</x:f>
        <x:v>Material refinement</x:v>
      </x:c>
      <x:c r="L125" s="4" t="str">
        <x:f>IFERROR(INDEX('Material routes'!$K$6:$K$2205,MATCH(U125,'Material routes'!$A$6:$A$2205,0)),"MISSING ID")</x:f>
        <x:v>Proposal</x:v>
      </x:c>
      <x:c r="M125" s="4" t="str">
        <x:f>IFERROR(INDEX('Material routes'!$M$6:$M$2205,MATCH(U125,'Material routes'!$A$6:$A$2205,0)),"MISSING ID")</x:f>
        <x:v>Partial proposal</x:v>
      </x:c>
      <x:c r="N125" s="4" t="str">
        <x:f>IF(IFERROR(INDEX('Material routes'!$I$6:$I$1005,MATCH(U125,'Material routes'!$A$6:$A$1005,0)),"MISSING ID")=0,"",IFERROR(INDEX('Material routes'!$I$6:$I$1005,MATCH(U125,'Material routes'!$A$6:$A$1005,0)),"MISSING ID"))</x:f>
      </x:c>
      <x:c r="O125" s="4" t="str">
        <x:f>IFERROR(INDEX('Material routes'!$J$6:$J$2205,MATCH(U125,'Material routes'!$A$6:$A$2205,0)),"MISSING ID")</x:f>
        <x:v>Unspecified</x:v>
      </x:c>
      <x:c r="P125" s="4" t="str">
        <x:f>IF(IFERROR(INDEX('Material routes'!$I$6:$I$1005,MATCH(V125,'Material routes'!$A$6:$A$1005,0)),"MISSING ID")=0,"",IFERROR(INDEX('Material routes'!$I$6:$I$1005,MATCH(V125,'Material routes'!$A$6:$A$1005,0)),"MISSING ID"))</x:f>
      </x:c>
      <x:c r="Q125" s="4" t="str">
        <x:f>IFERROR(INDEX('Material routes'!$J$6:$J$2205,MATCH(V125,'Material routes'!$A$6:$A$2205,0)),"MISSING ID")</x:f>
        <x:v>Unspecified</x:v>
      </x:c>
      <x:c r="R125" s="4" t="str">
        <x:f>IF(L125="Withheld","Withheld premise",IF(E125="Tool candidate","Reusable prerequisite",IF(K125="Raw entry preparation","Entry-resource preparation",IF(G125="Not applicable",IF(IFERROR(INDEX('Items'!$AI$6:$AI$1005,MATCH(T125,'Items'!$A$6:$A$1005,0)),"MISSING ID")="Finished item","Finished endpoint",IF(IFERROR(INDEX('Items'!$AI$6:$AI$1005,MATCH(T125,'Items'!$A$6:$A$1005,0)),"MISSING ID")="Currency","Currency / no refinement tier","Recovered output / tier not applicable")),IF(OR(IFERROR(INDEX('Crafting recipes'!$H$6:$H$1005,MATCH(J125,'Crafting recipes'!$A$6:$A$1005,0)),"MISSING ID")="Unassigned",G125="Unassigned"),"Tier unresolved",IF(IFERROR(VALUE(RIGHT(G125,1))-VALUE(RIGHT(IFERROR(INDEX('Crafting recipes'!$H$6:$H$1005,MATCH(J125,'Crafting recipes'!$A$6:$A$1005,0)),"MISSING ID"),1)),0)=1,IF(B125=IFERROR(INDEX('Crafting recipes'!$H$6:$H$1005,MATCH(J125,'Crafting recipes'!$A$6:$A$1005,0)),"MISSING ID"),"Advances one material tier","Lower-tier ingredient; route advances one tier"),"Needs tier review"))))))</x:f>
        <x:v>Advances one material tier</x:v>
      </x:c>
      <x:c r="S125" s="4" t="str">
        <x:f>IFERROR(INDEX('Material routes'!$D$6:$D$2205,MATCH(U125,'Material routes'!$A$6:$A$2205,0)),"MISSING ID")</x:f>
        <x:v>proposal.branch.etchant</x:v>
      </x:c>
      <x:c r="T125" s="4" t="str">
        <x:f>IFERROR(INDEX('Material routes'!$D$6:$D$2205,MATCH(V125,'Material routes'!$A$6:$A$2205,0)),"MISSING ID")</x:f>
        <x:v>author.corrosion.advanced_remover</x:v>
      </x:c>
      <x:c r="U125" s="4" t="str">
        <x:v>design.branch.corrosion.advanced_remover.in.1</x:v>
      </x:c>
      <x:c r="V125" s="4" t="str">
        <x:v>design.branch.corrosion.advanced_remover.out</x:v>
      </x:c>
    </x:row>
    <x:row r="126" ht="105" customHeight="1">
      <x:c r="A126" s="4" t="str">
        <x:f>IFERROR(INDEX('Material routes'!$E$6:$E$2205,MATCH(U126,'Material routes'!$A$6:$A$2205,0)),"MISSING ID")</x:f>
        <x:v>Selected faunal carrier fraction</x:v>
      </x:c>
      <x:c r="B126" s="4" t="str">
        <x:f>IFERROR(INDEX('Material routes'!$F$6:$F$2205,MATCH(U126,'Material routes'!$A$6:$A$2205,0)),"MISSING ID")</x:f>
        <x:v>T1</x:v>
      </x:c>
      <x:c r="C126" s="4" t="str">
        <x:f>IFERROR(INDEX('Material routes'!$H$6:$H$2205,MATCH(U126,'Material routes'!$A$6:$A$2205,0)),"MISSING ID")</x:f>
        <x:v>Chemical material</x:v>
      </x:c>
      <x:c r="D126" s="4" t="str">
        <x:f>IFERROR(INDEX('Material routes'!$G$6:$G$2205,MATCH(U126,'Material routes'!$A$6:$A$2205,0)),"MISSING ID")</x:f>
        <x:v>Crafting components</x:v>
      </x:c>
      <x:c r="E126" s="4" t="str">
        <x:f>IFERROR(INDEX('Material routes'!$C$6:$C$2205,MATCH(U126,'Material routes'!$A$6:$A$2205,0)),"MISSING ID")</x:f>
        <x:v>Ingredient candidate</x:v>
      </x:c>
      <x:c r="F126" s="4" t="str">
        <x:f>IFERROR(INDEX('Material routes'!$E$6:$E$2205,MATCH(V126,'Material routes'!$A$6:$A$2205,0)),"MISSING ID")</x:f>
        <x:v>Advanced rust-removal compound</x:v>
      </x:c>
      <x:c r="G126" s="4" t="str">
        <x:f>IFERROR(INDEX('Material routes'!$F$6:$F$2205,MATCH(V126,'Material routes'!$A$6:$A$2205,0)),"MISSING ID")</x:f>
        <x:v>T2</x:v>
      </x:c>
      <x:c r="H126" s="4" t="str">
        <x:f>IFERROR(INDEX('Material routes'!$H$6:$H$2205,MATCH(V126,'Material routes'!$A$6:$A$2205,0)),"MISSING ID")</x:f>
        <x:v>Chemical material</x:v>
      </x:c>
      <x:c r="I126" s="4" t="str">
        <x:f>IFERROR(INDEX('Material routes'!$G$6:$G$2205,MATCH(V126,'Material routes'!$A$6:$A$2205,0)),"MISSING ID")</x:f>
        <x:v>Crafting components</x:v>
      </x:c>
      <x:c r="J126" s="4" t="str">
        <x:f>IFERROR(INDEX('Material routes'!$B$6:$B$2205,MATCH(U126,'Material routes'!$A$6:$A$2205,0)),"MISSING ID")</x:f>
        <x:v>design.branch.corrosion.advanced_remover</x:v>
      </x:c>
      <x:c r="K126" s="4" t="str">
        <x:f>IFERROR(INDEX('Crafting recipes'!$C$6:$C$1005,MATCH(J126,'Crafting recipes'!$A$6:$A$1005,0)),"MISSING ID")</x:f>
        <x:v>Material refinement</x:v>
      </x:c>
      <x:c r="L126" s="4" t="str">
        <x:f>IFERROR(INDEX('Material routes'!$K$6:$K$2205,MATCH(U126,'Material routes'!$A$6:$A$2205,0)),"MISSING ID")</x:f>
        <x:v>Proposal</x:v>
      </x:c>
      <x:c r="M126" s="4" t="str">
        <x:f>IFERROR(INDEX('Material routes'!$M$6:$M$2205,MATCH(U126,'Material routes'!$A$6:$A$2205,0)),"MISSING ID")</x:f>
        <x:v>Partial proposal</x:v>
      </x:c>
      <x:c r="N126" s="4" t="str">
        <x:f>IF(IFERROR(INDEX('Material routes'!$I$6:$I$1005,MATCH(U126,'Material routes'!$A$6:$A$1005,0)),"MISSING ID")=0,"",IFERROR(INDEX('Material routes'!$I$6:$I$1005,MATCH(U126,'Material routes'!$A$6:$A$1005,0)),"MISSING ID"))</x:f>
      </x:c>
      <x:c r="O126" s="4" t="str">
        <x:f>IFERROR(INDEX('Material routes'!$J$6:$J$2205,MATCH(U126,'Material routes'!$A$6:$A$2205,0)),"MISSING ID")</x:f>
        <x:v>Unspecified</x:v>
      </x:c>
      <x:c r="P126" s="4" t="str">
        <x:f>IF(IFERROR(INDEX('Material routes'!$I$6:$I$1005,MATCH(V126,'Material routes'!$A$6:$A$1005,0)),"MISSING ID")=0,"",IFERROR(INDEX('Material routes'!$I$6:$I$1005,MATCH(V126,'Material routes'!$A$6:$A$1005,0)),"MISSING ID"))</x:f>
      </x:c>
      <x:c r="Q126" s="4" t="str">
        <x:f>IFERROR(INDEX('Material routes'!$J$6:$J$2205,MATCH(V126,'Material routes'!$A$6:$A$2205,0)),"MISSING ID")</x:f>
        <x:v>Unspecified</x:v>
      </x:c>
      <x:c r="R126" s="4" t="str">
        <x:f>IF(L126="Withheld","Withheld premise",IF(E126="Tool candidate","Reusable prerequisite",IF(K126="Raw entry preparation","Entry-resource preparation",IF(G126="Not applicable",IF(IFERROR(INDEX('Items'!$AI$6:$AI$1005,MATCH(T126,'Items'!$A$6:$A$1005,0)),"MISSING ID")="Finished item","Finished endpoint",IF(IFERROR(INDEX('Items'!$AI$6:$AI$1005,MATCH(T126,'Items'!$A$6:$A$1005,0)),"MISSING ID")="Currency","Currency / no refinement tier","Recovered output / tier not applicable")),IF(OR(IFERROR(INDEX('Crafting recipes'!$H$6:$H$1005,MATCH(J126,'Crafting recipes'!$A$6:$A$1005,0)),"MISSING ID")="Unassigned",G126="Unassigned"),"Tier unresolved",IF(IFERROR(VALUE(RIGHT(G126,1))-VALUE(RIGHT(IFERROR(INDEX('Crafting recipes'!$H$6:$H$1005,MATCH(J126,'Crafting recipes'!$A$6:$A$1005,0)),"MISSING ID"),1)),0)=1,IF(B126=IFERROR(INDEX('Crafting recipes'!$H$6:$H$1005,MATCH(J126,'Crafting recipes'!$A$6:$A$1005,0)),"MISSING ID"),"Advances one material tier","Lower-tier ingredient; route advances one tier"),"Needs tier review"))))))</x:f>
        <x:v>Advances one material tier</x:v>
      </x:c>
      <x:c r="S126" s="4" t="str">
        <x:f>IFERROR(INDEX('Material routes'!$D$6:$D$2205,MATCH(U126,'Material routes'!$A$6:$A$2205,0)),"MISSING ID")</x:f>
        <x:v>proposal.t1.faunal_carrier</x:v>
      </x:c>
      <x:c r="T126" s="4" t="str">
        <x:f>IFERROR(INDEX('Material routes'!$D$6:$D$2205,MATCH(V126,'Material routes'!$A$6:$A$2205,0)),"MISSING ID")</x:f>
        <x:v>author.corrosion.advanced_remover</x:v>
      </x:c>
      <x:c r="U126" s="4" t="str">
        <x:v>design.branch.corrosion.advanced_remover.in.2</x:v>
      </x:c>
      <x:c r="V126" s="4" t="str">
        <x:v>design.branch.corrosion.advanced_remover.out</x:v>
      </x:c>
    </x:row>
    <x:row r="127" ht="105" customHeight="1">
      <x:c r="A127" s="4" t="str">
        <x:f>IFERROR(INDEX('Material routes'!$E$6:$E$2205,MATCH(U127,'Material routes'!$A$6:$A$2205,0)),"MISSING ID")</x:f>
        <x:v>Graded process salts</x:v>
      </x:c>
      <x:c r="B127" s="4" t="str">
        <x:f>IFERROR(INDEX('Material routes'!$F$6:$F$2205,MATCH(U127,'Material routes'!$A$6:$A$2205,0)),"MISSING ID")</x:f>
        <x:v>T1</x:v>
      </x:c>
      <x:c r="C127" s="4" t="str">
        <x:f>IFERROR(INDEX('Material routes'!$H$6:$H$2205,MATCH(U127,'Material routes'!$A$6:$A$2205,0)),"MISSING ID")</x:f>
        <x:v>Processed material</x:v>
      </x:c>
      <x:c r="D127" s="4" t="str">
        <x:f>IFERROR(INDEX('Material routes'!$G$6:$G$2205,MATCH(U127,'Material routes'!$A$6:$A$2205,0)),"MISSING ID")</x:f>
        <x:v>Manufactured stock</x:v>
      </x:c>
      <x:c r="E127" s="4" t="str">
        <x:f>IFERROR(INDEX('Material routes'!$C$6:$C$2205,MATCH(U127,'Material routes'!$A$6:$A$2205,0)),"MISSING ID")</x:f>
        <x:v>Ingredient candidate</x:v>
      </x:c>
      <x:c r="F127" s="4" t="str">
        <x:f>IFERROR(INDEX('Material routes'!$E$6:$E$2205,MATCH(V127,'Material routes'!$A$6:$A$2205,0)),"MISSING ID")</x:f>
        <x:v>Advanced rust-removal compound</x:v>
      </x:c>
      <x:c r="G127" s="4" t="str">
        <x:f>IFERROR(INDEX('Material routes'!$F$6:$F$2205,MATCH(V127,'Material routes'!$A$6:$A$2205,0)),"MISSING ID")</x:f>
        <x:v>T2</x:v>
      </x:c>
      <x:c r="H127" s="4" t="str">
        <x:f>IFERROR(INDEX('Material routes'!$H$6:$H$2205,MATCH(V127,'Material routes'!$A$6:$A$2205,0)),"MISSING ID")</x:f>
        <x:v>Chemical material</x:v>
      </x:c>
      <x:c r="I127" s="4" t="str">
        <x:f>IFERROR(INDEX('Material routes'!$G$6:$G$2205,MATCH(V127,'Material routes'!$A$6:$A$2205,0)),"MISSING ID")</x:f>
        <x:v>Crafting components</x:v>
      </x:c>
      <x:c r="J127" s="4" t="str">
        <x:f>IFERROR(INDEX('Material routes'!$B$6:$B$2205,MATCH(U127,'Material routes'!$A$6:$A$2205,0)),"MISSING ID")</x:f>
        <x:v>design.branch.corrosion.advanced_remover</x:v>
      </x:c>
      <x:c r="K127" s="4" t="str">
        <x:f>IFERROR(INDEX('Crafting recipes'!$C$6:$C$1005,MATCH(J127,'Crafting recipes'!$A$6:$A$1005,0)),"MISSING ID")</x:f>
        <x:v>Material refinement</x:v>
      </x:c>
      <x:c r="L127" s="4" t="str">
        <x:f>IFERROR(INDEX('Material routes'!$K$6:$K$2205,MATCH(U127,'Material routes'!$A$6:$A$2205,0)),"MISSING ID")</x:f>
        <x:v>Proposal</x:v>
      </x:c>
      <x:c r="M127" s="4" t="str">
        <x:f>IFERROR(INDEX('Material routes'!$M$6:$M$2205,MATCH(U127,'Material routes'!$A$6:$A$2205,0)),"MISSING ID")</x:f>
        <x:v>Partial proposal</x:v>
      </x:c>
      <x:c r="N127" s="4" t="str">
        <x:f>IF(IFERROR(INDEX('Material routes'!$I$6:$I$1005,MATCH(U127,'Material routes'!$A$6:$A$1005,0)),"MISSING ID")=0,"",IFERROR(INDEX('Material routes'!$I$6:$I$1005,MATCH(U127,'Material routes'!$A$6:$A$1005,0)),"MISSING ID"))</x:f>
      </x:c>
      <x:c r="O127" s="4" t="str">
        <x:f>IFERROR(INDEX('Material routes'!$J$6:$J$2205,MATCH(U127,'Material routes'!$A$6:$A$2205,0)),"MISSING ID")</x:f>
        <x:v>Unspecified</x:v>
      </x:c>
      <x:c r="P127" s="4" t="str">
        <x:f>IF(IFERROR(INDEX('Material routes'!$I$6:$I$1005,MATCH(V127,'Material routes'!$A$6:$A$1005,0)),"MISSING ID")=0,"",IFERROR(INDEX('Material routes'!$I$6:$I$1005,MATCH(V127,'Material routes'!$A$6:$A$1005,0)),"MISSING ID"))</x:f>
      </x:c>
      <x:c r="Q127" s="4" t="str">
        <x:f>IFERROR(INDEX('Material routes'!$J$6:$J$2205,MATCH(V127,'Material routes'!$A$6:$A$2205,0)),"MISSING ID")</x:f>
        <x:v>Unspecified</x:v>
      </x:c>
      <x:c r="R127" s="4" t="str">
        <x:f>IF(L127="Withheld","Withheld premise",IF(E127="Tool candidate","Reusable prerequisite",IF(K127="Raw entry preparation","Entry-resource preparation",IF(G127="Not applicable",IF(IFERROR(INDEX('Items'!$AI$6:$AI$1005,MATCH(T127,'Items'!$A$6:$A$1005,0)),"MISSING ID")="Finished item","Finished endpoint",IF(IFERROR(INDEX('Items'!$AI$6:$AI$1005,MATCH(T127,'Items'!$A$6:$A$1005,0)),"MISSING ID")="Currency","Currency / no refinement tier","Recovered output / tier not applicable")),IF(OR(IFERROR(INDEX('Crafting recipes'!$H$6:$H$1005,MATCH(J127,'Crafting recipes'!$A$6:$A$1005,0)),"MISSING ID")="Unassigned",G127="Unassigned"),"Tier unresolved",IF(IFERROR(VALUE(RIGHT(G127,1))-VALUE(RIGHT(IFERROR(INDEX('Crafting recipes'!$H$6:$H$1005,MATCH(J127,'Crafting recipes'!$A$6:$A$1005,0)),"MISSING ID"),1)),0)=1,IF(B127=IFERROR(INDEX('Crafting recipes'!$H$6:$H$1005,MATCH(J127,'Crafting recipes'!$A$6:$A$1005,0)),"MISSING ID"),"Advances one material tier","Lower-tier ingredient; route advances one tier"),"Needs tier review"))))))</x:f>
        <x:v>Advances one material tier</x:v>
      </x:c>
      <x:c r="S127" s="4" t="str">
        <x:f>IFERROR(INDEX('Material routes'!$D$6:$D$2205,MATCH(U127,'Material routes'!$A$6:$A$2205,0)),"MISSING ID")</x:f>
        <x:v>proposal.t1.process_salts</x:v>
      </x:c>
      <x:c r="T127" s="4" t="str">
        <x:f>IFERROR(INDEX('Material routes'!$D$6:$D$2205,MATCH(V127,'Material routes'!$A$6:$A$2205,0)),"MISSING ID")</x:f>
        <x:v>author.corrosion.advanced_remover</x:v>
      </x:c>
      <x:c r="U127" s="4" t="str">
        <x:v>design.branch.corrosion.advanced_remover.in.3</x:v>
      </x:c>
      <x:c r="V127" s="4" t="str">
        <x:v>design.branch.corrosion.advanced_remover.out</x:v>
      </x:c>
    </x:row>
    <x:row r="128" ht="105" customHeight="1">
      <x:c r="A128" s="4" t="str">
        <x:f>IFERROR(INDEX('Material routes'!$E$6:$E$2205,MATCH(U128,'Material routes'!$A$6:$A$2205,0)),"MISSING ID")</x:f>
        <x:v>Clarified faunal lubricant base</x:v>
      </x:c>
      <x:c r="B128" s="4" t="str">
        <x:f>IFERROR(INDEX('Material routes'!$F$6:$F$2205,MATCH(U128,'Material routes'!$A$6:$A$2205,0)),"MISSING ID")</x:f>
        <x:v>T1</x:v>
      </x:c>
      <x:c r="C128" s="4" t="str">
        <x:f>IFERROR(INDEX('Material routes'!$H$6:$H$2205,MATCH(U128,'Material routes'!$A$6:$A$2205,0)),"MISSING ID")</x:f>
        <x:v>Chemical material</x:v>
      </x:c>
      <x:c r="D128" s="4" t="str">
        <x:f>IFERROR(INDEX('Material routes'!$G$6:$G$2205,MATCH(U128,'Material routes'!$A$6:$A$2205,0)),"MISSING ID")</x:f>
        <x:v>Crafting components</x:v>
      </x:c>
      <x:c r="E128" s="4" t="str">
        <x:f>IFERROR(INDEX('Material routes'!$C$6:$C$2205,MATCH(U128,'Material routes'!$A$6:$A$2205,0)),"MISSING ID")</x:f>
        <x:v>Ingredient candidate</x:v>
      </x:c>
      <x:c r="F128" s="4" t="str">
        <x:f>IFERROR(INDEX('Material routes'!$E$6:$E$2205,MATCH(V128,'Material routes'!$A$6:$A$2205,0)),"MISSING ID")</x:f>
        <x:v>Fine mechanism oil</x:v>
      </x:c>
      <x:c r="G128" s="4" t="str">
        <x:f>IFERROR(INDEX('Material routes'!$F$6:$F$2205,MATCH(V128,'Material routes'!$A$6:$A$2205,0)),"MISSING ID")</x:f>
        <x:v>T2</x:v>
      </x:c>
      <x:c r="H128" s="4" t="str">
        <x:f>IFERROR(INDEX('Material routes'!$H$6:$H$2205,MATCH(V128,'Material routes'!$A$6:$A$2205,0)),"MISSING ID")</x:f>
        <x:v>Chemical material</x:v>
      </x:c>
      <x:c r="I128" s="4" t="str">
        <x:f>IFERROR(INDEX('Material routes'!$G$6:$G$2205,MATCH(V128,'Material routes'!$A$6:$A$2205,0)),"MISSING ID")</x:f>
        <x:v>Crafting components</x:v>
      </x:c>
      <x:c r="J128" s="4" t="str">
        <x:f>IFERROR(INDEX('Material routes'!$B$6:$B$2205,MATCH(U128,'Material routes'!$A$6:$A$2205,0)),"MISSING ID")</x:f>
        <x:v>design.branch.lubricant.precision_oil</x:v>
      </x:c>
      <x:c r="K128" s="4" t="str">
        <x:f>IFERROR(INDEX('Crafting recipes'!$C$6:$C$1005,MATCH(J128,'Crafting recipes'!$A$6:$A$1005,0)),"MISSING ID")</x:f>
        <x:v>Material refinement</x:v>
      </x:c>
      <x:c r="L128" s="4" t="str">
        <x:f>IFERROR(INDEX('Material routes'!$K$6:$K$2205,MATCH(U128,'Material routes'!$A$6:$A$2205,0)),"MISSING ID")</x:f>
        <x:v>Proposal</x:v>
      </x:c>
      <x:c r="M128" s="4" t="str">
        <x:f>IFERROR(INDEX('Material routes'!$M$6:$M$2205,MATCH(U128,'Material routes'!$A$6:$A$2205,0)),"MISSING ID")</x:f>
        <x:v>Partial proposal</x:v>
      </x:c>
      <x:c r="N128" s="4" t="str">
        <x:f>IF(IFERROR(INDEX('Material routes'!$I$6:$I$1005,MATCH(U128,'Material routes'!$A$6:$A$1005,0)),"MISSING ID")=0,"",IFERROR(INDEX('Material routes'!$I$6:$I$1005,MATCH(U128,'Material routes'!$A$6:$A$1005,0)),"MISSING ID"))</x:f>
      </x:c>
      <x:c r="O128" s="4" t="str">
        <x:f>IFERROR(INDEX('Material routes'!$J$6:$J$2205,MATCH(U128,'Material routes'!$A$6:$A$2205,0)),"MISSING ID")</x:f>
        <x:v>Unspecified</x:v>
      </x:c>
      <x:c r="P128" s="4" t="str">
        <x:f>IF(IFERROR(INDEX('Material routes'!$I$6:$I$1005,MATCH(V128,'Material routes'!$A$6:$A$1005,0)),"MISSING ID")=0,"",IFERROR(INDEX('Material routes'!$I$6:$I$1005,MATCH(V128,'Material routes'!$A$6:$A$1005,0)),"MISSING ID"))</x:f>
      </x:c>
      <x:c r="Q128" s="4" t="str">
        <x:f>IFERROR(INDEX('Material routes'!$J$6:$J$2205,MATCH(V128,'Material routes'!$A$6:$A$2205,0)),"MISSING ID")</x:f>
        <x:v>Unspecified</x:v>
      </x:c>
      <x:c r="R128" s="4" t="str">
        <x:f>IF(L128="Withheld","Withheld premise",IF(E128="Tool candidate","Reusable prerequisite",IF(K128="Raw entry preparation","Entry-resource preparation",IF(G128="Not applicable",IF(IFERROR(INDEX('Items'!$AI$6:$AI$1005,MATCH(T128,'Items'!$A$6:$A$1005,0)),"MISSING ID")="Finished item","Finished endpoint",IF(IFERROR(INDEX('Items'!$AI$6:$AI$1005,MATCH(T128,'Items'!$A$6:$A$1005,0)),"MISSING ID")="Currency","Currency / no refinement tier","Recovered output / tier not applicable")),IF(OR(IFERROR(INDEX('Crafting recipes'!$H$6:$H$1005,MATCH(J128,'Crafting recipes'!$A$6:$A$1005,0)),"MISSING ID")="Unassigned",G128="Unassigned"),"Tier unresolved",IF(IFERROR(VALUE(RIGHT(G128,1))-VALUE(RIGHT(IFERROR(INDEX('Crafting recipes'!$H$6:$H$1005,MATCH(J128,'Crafting recipes'!$A$6:$A$1005,0)),"MISSING ID"),1)),0)=1,IF(B128=IFERROR(INDEX('Crafting recipes'!$H$6:$H$1005,MATCH(J128,'Crafting recipes'!$A$6:$A$1005,0)),"MISSING ID"),"Advances one material tier","Lower-tier ingredient; route advances one tier"),"Needs tier review"))))))</x:f>
        <x:v>Advances one material tier</x:v>
      </x:c>
      <x:c r="S128" s="4" t="str">
        <x:f>IFERROR(INDEX('Material routes'!$D$6:$D$2205,MATCH(U128,'Material routes'!$A$6:$A$2205,0)),"MISSING ID")</x:f>
        <x:v>proposal.lubricant.base</x:v>
      </x:c>
      <x:c r="T128" s="4" t="str">
        <x:f>IFERROR(INDEX('Material routes'!$D$6:$D$2205,MATCH(V128,'Material routes'!$A$6:$A$2205,0)),"MISSING ID")</x:f>
        <x:v>proposal.lubricant.precision_oil</x:v>
      </x:c>
      <x:c r="U128" s="4" t="str">
        <x:v>design.branch.lubricant.precision_oil.in.1</x:v>
      </x:c>
      <x:c r="V128" s="4" t="str">
        <x:v>design.branch.lubricant.precision_oil.out</x:v>
      </x:c>
    </x:row>
    <x:row r="129" ht="105" customHeight="1">
      <x:c r="A129" s="4" t="str">
        <x:f>IFERROR(INDEX('Material routes'!$E$6:$E$2205,MATCH(U129,'Material routes'!$A$6:$A$2205,0)),"MISSING ID")</x:f>
        <x:v>Selected faunal carrier fraction</x:v>
      </x:c>
      <x:c r="B129" s="4" t="str">
        <x:f>IFERROR(INDEX('Material routes'!$F$6:$F$2205,MATCH(U129,'Material routes'!$A$6:$A$2205,0)),"MISSING ID")</x:f>
        <x:v>T1</x:v>
      </x:c>
      <x:c r="C129" s="4" t="str">
        <x:f>IFERROR(INDEX('Material routes'!$H$6:$H$2205,MATCH(U129,'Material routes'!$A$6:$A$2205,0)),"MISSING ID")</x:f>
        <x:v>Chemical material</x:v>
      </x:c>
      <x:c r="D129" s="4" t="str">
        <x:f>IFERROR(INDEX('Material routes'!$G$6:$G$2205,MATCH(U129,'Material routes'!$A$6:$A$2205,0)),"MISSING ID")</x:f>
        <x:v>Crafting components</x:v>
      </x:c>
      <x:c r="E129" s="4" t="str">
        <x:f>IFERROR(INDEX('Material routes'!$C$6:$C$2205,MATCH(U129,'Material routes'!$A$6:$A$2205,0)),"MISSING ID")</x:f>
        <x:v>Ingredient candidate</x:v>
      </x:c>
      <x:c r="F129" s="4" t="str">
        <x:f>IFERROR(INDEX('Material routes'!$E$6:$E$2205,MATCH(V129,'Material routes'!$A$6:$A$2205,0)),"MISSING ID")</x:f>
        <x:v>Fine mechanism oil</x:v>
      </x:c>
      <x:c r="G129" s="4" t="str">
        <x:f>IFERROR(INDEX('Material routes'!$F$6:$F$2205,MATCH(V129,'Material routes'!$A$6:$A$2205,0)),"MISSING ID")</x:f>
        <x:v>T2</x:v>
      </x:c>
      <x:c r="H129" s="4" t="str">
        <x:f>IFERROR(INDEX('Material routes'!$H$6:$H$2205,MATCH(V129,'Material routes'!$A$6:$A$2205,0)),"MISSING ID")</x:f>
        <x:v>Chemical material</x:v>
      </x:c>
      <x:c r="I129" s="4" t="str">
        <x:f>IFERROR(INDEX('Material routes'!$G$6:$G$2205,MATCH(V129,'Material routes'!$A$6:$A$2205,0)),"MISSING ID")</x:f>
        <x:v>Crafting components</x:v>
      </x:c>
      <x:c r="J129" s="4" t="str">
        <x:f>IFERROR(INDEX('Material routes'!$B$6:$B$2205,MATCH(U129,'Material routes'!$A$6:$A$2205,0)),"MISSING ID")</x:f>
        <x:v>design.branch.lubricant.precision_oil</x:v>
      </x:c>
      <x:c r="K129" s="4" t="str">
        <x:f>IFERROR(INDEX('Crafting recipes'!$C$6:$C$1005,MATCH(J129,'Crafting recipes'!$A$6:$A$1005,0)),"MISSING ID")</x:f>
        <x:v>Material refinement</x:v>
      </x:c>
      <x:c r="L129" s="4" t="str">
        <x:f>IFERROR(INDEX('Material routes'!$K$6:$K$2205,MATCH(U129,'Material routes'!$A$6:$A$2205,0)),"MISSING ID")</x:f>
        <x:v>Proposal</x:v>
      </x:c>
      <x:c r="M129" s="4" t="str">
        <x:f>IFERROR(INDEX('Material routes'!$M$6:$M$2205,MATCH(U129,'Material routes'!$A$6:$A$2205,0)),"MISSING ID")</x:f>
        <x:v>Partial proposal</x:v>
      </x:c>
      <x:c r="N129" s="4" t="str">
        <x:f>IF(IFERROR(INDEX('Material routes'!$I$6:$I$1005,MATCH(U129,'Material routes'!$A$6:$A$1005,0)),"MISSING ID")=0,"",IFERROR(INDEX('Material routes'!$I$6:$I$1005,MATCH(U129,'Material routes'!$A$6:$A$1005,0)),"MISSING ID"))</x:f>
      </x:c>
      <x:c r="O129" s="4" t="str">
        <x:f>IFERROR(INDEX('Material routes'!$J$6:$J$2205,MATCH(U129,'Material routes'!$A$6:$A$2205,0)),"MISSING ID")</x:f>
        <x:v>Unspecified</x:v>
      </x:c>
      <x:c r="P129" s="4" t="str">
        <x:f>IF(IFERROR(INDEX('Material routes'!$I$6:$I$1005,MATCH(V129,'Material routes'!$A$6:$A$1005,0)),"MISSING ID")=0,"",IFERROR(INDEX('Material routes'!$I$6:$I$1005,MATCH(V129,'Material routes'!$A$6:$A$1005,0)),"MISSING ID"))</x:f>
      </x:c>
      <x:c r="Q129" s="4" t="str">
        <x:f>IFERROR(INDEX('Material routes'!$J$6:$J$2205,MATCH(V129,'Material routes'!$A$6:$A$2205,0)),"MISSING ID")</x:f>
        <x:v>Unspecified</x:v>
      </x:c>
      <x:c r="R129" s="4" t="str">
        <x:f>IF(L129="Withheld","Withheld premise",IF(E129="Tool candidate","Reusable prerequisite",IF(K129="Raw entry preparation","Entry-resource preparation",IF(G129="Not applicable",IF(IFERROR(INDEX('Items'!$AI$6:$AI$1005,MATCH(T129,'Items'!$A$6:$A$1005,0)),"MISSING ID")="Finished item","Finished endpoint",IF(IFERROR(INDEX('Items'!$AI$6:$AI$1005,MATCH(T129,'Items'!$A$6:$A$1005,0)),"MISSING ID")="Currency","Currency / no refinement tier","Recovered output / tier not applicable")),IF(OR(IFERROR(INDEX('Crafting recipes'!$H$6:$H$1005,MATCH(J129,'Crafting recipes'!$A$6:$A$1005,0)),"MISSING ID")="Unassigned",G129="Unassigned"),"Tier unresolved",IF(IFERROR(VALUE(RIGHT(G129,1))-VALUE(RIGHT(IFERROR(INDEX('Crafting recipes'!$H$6:$H$1005,MATCH(J129,'Crafting recipes'!$A$6:$A$1005,0)),"MISSING ID"),1)),0)=1,IF(B129=IFERROR(INDEX('Crafting recipes'!$H$6:$H$1005,MATCH(J129,'Crafting recipes'!$A$6:$A$1005,0)),"MISSING ID"),"Advances one material tier","Lower-tier ingredient; route advances one tier"),"Needs tier review"))))))</x:f>
        <x:v>Advances one material tier</x:v>
      </x:c>
      <x:c r="S129" s="4" t="str">
        <x:f>IFERROR(INDEX('Material routes'!$D$6:$D$2205,MATCH(U129,'Material routes'!$A$6:$A$2205,0)),"MISSING ID")</x:f>
        <x:v>proposal.t1.faunal_carrier</x:v>
      </x:c>
      <x:c r="T129" s="4" t="str">
        <x:f>IFERROR(INDEX('Material routes'!$D$6:$D$2205,MATCH(V129,'Material routes'!$A$6:$A$2205,0)),"MISSING ID")</x:f>
        <x:v>proposal.lubricant.precision_oil</x:v>
      </x:c>
      <x:c r="U129" s="4" t="str">
        <x:v>design.branch.lubricant.precision_oil.in.2</x:v>
      </x:c>
      <x:c r="V129" s="4" t="str">
        <x:v>design.branch.lubricant.precision_oil.out</x:v>
      </x:c>
    </x:row>
    <x:row r="130" ht="105" customHeight="1">
      <x:c r="A130" s="4" t="str">
        <x:f>IFERROR(INDEX('Material routes'!$E$6:$E$2205,MATCH(U130,'Material routes'!$A$6:$A$2205,0)),"MISSING ID")</x:f>
        <x:v>Clarified faunal lubricant base</x:v>
      </x:c>
      <x:c r="B130" s="4" t="str">
        <x:f>IFERROR(INDEX('Material routes'!$F$6:$F$2205,MATCH(U130,'Material routes'!$A$6:$A$2205,0)),"MISSING ID")</x:f>
        <x:v>T1</x:v>
      </x:c>
      <x:c r="C130" s="4" t="str">
        <x:f>IFERROR(INDEX('Material routes'!$H$6:$H$2205,MATCH(U130,'Material routes'!$A$6:$A$2205,0)),"MISSING ID")</x:f>
        <x:v>Chemical material</x:v>
      </x:c>
      <x:c r="D130" s="4" t="str">
        <x:f>IFERROR(INDEX('Material routes'!$G$6:$G$2205,MATCH(U130,'Material routes'!$A$6:$A$2205,0)),"MISSING ID")</x:f>
        <x:v>Crafting components</x:v>
      </x:c>
      <x:c r="E130" s="4" t="str">
        <x:f>IFERROR(INDEX('Material routes'!$C$6:$C$2205,MATCH(U130,'Material routes'!$A$6:$A$2205,0)),"MISSING ID")</x:f>
        <x:v>Ingredient candidate</x:v>
      </x:c>
      <x:c r="F130" s="4" t="str">
        <x:f>IFERROR(INDEX('Material routes'!$E$6:$E$2205,MATCH(V130,'Material routes'!$A$6:$A$2205,0)),"MISSING ID")</x:f>
        <x:v>Graphite faunal grease</x:v>
      </x:c>
      <x:c r="G130" s="4" t="str">
        <x:f>IFERROR(INDEX('Material routes'!$F$6:$F$2205,MATCH(V130,'Material routes'!$A$6:$A$2205,0)),"MISSING ID")</x:f>
        <x:v>T2</x:v>
      </x:c>
      <x:c r="H130" s="4" t="str">
        <x:f>IFERROR(INDEX('Material routes'!$H$6:$H$2205,MATCH(V130,'Material routes'!$A$6:$A$2205,0)),"MISSING ID")</x:f>
        <x:v>Chemical material</x:v>
      </x:c>
      <x:c r="I130" s="4" t="str">
        <x:f>IFERROR(INDEX('Material routes'!$G$6:$G$2205,MATCH(V130,'Material routes'!$A$6:$A$2205,0)),"MISSING ID")</x:f>
        <x:v>Crafting components</x:v>
      </x:c>
      <x:c r="J130" s="4" t="str">
        <x:f>IFERROR(INDEX('Material routes'!$B$6:$B$2205,MATCH(U130,'Material routes'!$A$6:$A$2205,0)),"MISSING ID")</x:f>
        <x:v>design.branch.lubricant.graphite_grease</x:v>
      </x:c>
      <x:c r="K130" s="4" t="str">
        <x:f>IFERROR(INDEX('Crafting recipes'!$C$6:$C$1005,MATCH(J130,'Crafting recipes'!$A$6:$A$1005,0)),"MISSING ID")</x:f>
        <x:v>Material refinement</x:v>
      </x:c>
      <x:c r="L130" s="4" t="str">
        <x:f>IFERROR(INDEX('Material routes'!$K$6:$K$2205,MATCH(U130,'Material routes'!$A$6:$A$2205,0)),"MISSING ID")</x:f>
        <x:v>Proposal</x:v>
      </x:c>
      <x:c r="M130" s="4" t="str">
        <x:f>IFERROR(INDEX('Material routes'!$M$6:$M$2205,MATCH(U130,'Material routes'!$A$6:$A$2205,0)),"MISSING ID")</x:f>
        <x:v>Partial proposal</x:v>
      </x:c>
      <x:c r="N130" s="4" t="str">
        <x:f>IF(IFERROR(INDEX('Material routes'!$I$6:$I$1005,MATCH(U130,'Material routes'!$A$6:$A$1005,0)),"MISSING ID")=0,"",IFERROR(INDEX('Material routes'!$I$6:$I$1005,MATCH(U130,'Material routes'!$A$6:$A$1005,0)),"MISSING ID"))</x:f>
      </x:c>
      <x:c r="O130" s="4" t="str">
        <x:f>IFERROR(INDEX('Material routes'!$J$6:$J$2205,MATCH(U130,'Material routes'!$A$6:$A$2205,0)),"MISSING ID")</x:f>
        <x:v>Unspecified</x:v>
      </x:c>
      <x:c r="P130" s="4" t="str">
        <x:f>IF(IFERROR(INDEX('Material routes'!$I$6:$I$1005,MATCH(V130,'Material routes'!$A$6:$A$1005,0)),"MISSING ID")=0,"",IFERROR(INDEX('Material routes'!$I$6:$I$1005,MATCH(V130,'Material routes'!$A$6:$A$1005,0)),"MISSING ID"))</x:f>
      </x:c>
      <x:c r="Q130" s="4" t="str">
        <x:f>IFERROR(INDEX('Material routes'!$J$6:$J$2205,MATCH(V130,'Material routes'!$A$6:$A$2205,0)),"MISSING ID")</x:f>
        <x:v>Unspecified</x:v>
      </x:c>
      <x:c r="R130" s="4" t="str">
        <x:f>IF(L130="Withheld","Withheld premise",IF(E130="Tool candidate","Reusable prerequisite",IF(K130="Raw entry preparation","Entry-resource preparation",IF(G130="Not applicable",IF(IFERROR(INDEX('Items'!$AI$6:$AI$1005,MATCH(T130,'Items'!$A$6:$A$1005,0)),"MISSING ID")="Finished item","Finished endpoint",IF(IFERROR(INDEX('Items'!$AI$6:$AI$1005,MATCH(T130,'Items'!$A$6:$A$1005,0)),"MISSING ID")="Currency","Currency / no refinement tier","Recovered output / tier not applicable")),IF(OR(IFERROR(INDEX('Crafting recipes'!$H$6:$H$1005,MATCH(J130,'Crafting recipes'!$A$6:$A$1005,0)),"MISSING ID")="Unassigned",G130="Unassigned"),"Tier unresolved",IF(IFERROR(VALUE(RIGHT(G130,1))-VALUE(RIGHT(IFERROR(INDEX('Crafting recipes'!$H$6:$H$1005,MATCH(J130,'Crafting recipes'!$A$6:$A$1005,0)),"MISSING ID"),1)),0)=1,IF(B130=IFERROR(INDEX('Crafting recipes'!$H$6:$H$1005,MATCH(J130,'Crafting recipes'!$A$6:$A$1005,0)),"MISSING ID"),"Advances one material tier","Lower-tier ingredient; route advances one tier"),"Needs tier review"))))))</x:f>
        <x:v>Advances one material tier</x:v>
      </x:c>
      <x:c r="S130" s="4" t="str">
        <x:f>IFERROR(INDEX('Material routes'!$D$6:$D$2205,MATCH(U130,'Material routes'!$A$6:$A$2205,0)),"MISSING ID")</x:f>
        <x:v>proposal.lubricant.base</x:v>
      </x:c>
      <x:c r="T130" s="4" t="str">
        <x:f>IFERROR(INDEX('Material routes'!$D$6:$D$2205,MATCH(V130,'Material routes'!$A$6:$A$2205,0)),"MISSING ID")</x:f>
        <x:v>proposal.lubricant.graphite_grease</x:v>
      </x:c>
      <x:c r="U130" s="4" t="str">
        <x:v>design.branch.lubricant.graphite_grease.in.1</x:v>
      </x:c>
      <x:c r="V130" s="4" t="str">
        <x:v>design.branch.lubricant.graphite_grease.out</x:v>
      </x:c>
    </x:row>
    <x:row r="131" ht="105" customHeight="1">
      <x:c r="A131" s="4" t="str">
        <x:f>IFERROR(INDEX('Material routes'!$E$6:$E$2205,MATCH(U131,'Material routes'!$A$6:$A$2205,0)),"MISSING ID")</x:f>
        <x:v>Prepared secretion thickener</x:v>
      </x:c>
      <x:c r="B131" s="4" t="str">
        <x:f>IFERROR(INDEX('Material routes'!$F$6:$F$2205,MATCH(U131,'Material routes'!$A$6:$A$2205,0)),"MISSING ID")</x:f>
        <x:v>T1</x:v>
      </x:c>
      <x:c r="C131" s="4" t="str">
        <x:f>IFERROR(INDEX('Material routes'!$H$6:$H$2205,MATCH(U131,'Material routes'!$A$6:$A$2205,0)),"MISSING ID")</x:f>
        <x:v>Chemical material</x:v>
      </x:c>
      <x:c r="D131" s="4" t="str">
        <x:f>IFERROR(INDEX('Material routes'!$G$6:$G$2205,MATCH(U131,'Material routes'!$A$6:$A$2205,0)),"MISSING ID")</x:f>
        <x:v>Crafting components</x:v>
      </x:c>
      <x:c r="E131" s="4" t="str">
        <x:f>IFERROR(INDEX('Material routes'!$C$6:$C$2205,MATCH(U131,'Material routes'!$A$6:$A$2205,0)),"MISSING ID")</x:f>
        <x:v>Ingredient candidate</x:v>
      </x:c>
      <x:c r="F131" s="4" t="str">
        <x:f>IFERROR(INDEX('Material routes'!$E$6:$E$2205,MATCH(V131,'Material routes'!$A$6:$A$2205,0)),"MISSING ID")</x:f>
        <x:v>Graphite faunal grease</x:v>
      </x:c>
      <x:c r="G131" s="4" t="str">
        <x:f>IFERROR(INDEX('Material routes'!$F$6:$F$2205,MATCH(V131,'Material routes'!$A$6:$A$2205,0)),"MISSING ID")</x:f>
        <x:v>T2</x:v>
      </x:c>
      <x:c r="H131" s="4" t="str">
        <x:f>IFERROR(INDEX('Material routes'!$H$6:$H$2205,MATCH(V131,'Material routes'!$A$6:$A$2205,0)),"MISSING ID")</x:f>
        <x:v>Chemical material</x:v>
      </x:c>
      <x:c r="I131" s="4" t="str">
        <x:f>IFERROR(INDEX('Material routes'!$G$6:$G$2205,MATCH(V131,'Material routes'!$A$6:$A$2205,0)),"MISSING ID")</x:f>
        <x:v>Crafting components</x:v>
      </x:c>
      <x:c r="J131" s="4" t="str">
        <x:f>IFERROR(INDEX('Material routes'!$B$6:$B$2205,MATCH(U131,'Material routes'!$A$6:$A$2205,0)),"MISSING ID")</x:f>
        <x:v>design.branch.lubricant.graphite_grease</x:v>
      </x:c>
      <x:c r="K131" s="4" t="str">
        <x:f>IFERROR(INDEX('Crafting recipes'!$C$6:$C$1005,MATCH(J131,'Crafting recipes'!$A$6:$A$1005,0)),"MISSING ID")</x:f>
        <x:v>Material refinement</x:v>
      </x:c>
      <x:c r="L131" s="4" t="str">
        <x:f>IFERROR(INDEX('Material routes'!$K$6:$K$2205,MATCH(U131,'Material routes'!$A$6:$A$2205,0)),"MISSING ID")</x:f>
        <x:v>Proposal</x:v>
      </x:c>
      <x:c r="M131" s="4" t="str">
        <x:f>IFERROR(INDEX('Material routes'!$M$6:$M$2205,MATCH(U131,'Material routes'!$A$6:$A$2205,0)),"MISSING ID")</x:f>
        <x:v>Partial proposal</x:v>
      </x:c>
      <x:c r="N131" s="4" t="str">
        <x:f>IF(IFERROR(INDEX('Material routes'!$I$6:$I$1005,MATCH(U131,'Material routes'!$A$6:$A$1005,0)),"MISSING ID")=0,"",IFERROR(INDEX('Material routes'!$I$6:$I$1005,MATCH(U131,'Material routes'!$A$6:$A$1005,0)),"MISSING ID"))</x:f>
      </x:c>
      <x:c r="O131" s="4" t="str">
        <x:f>IFERROR(INDEX('Material routes'!$J$6:$J$2205,MATCH(U131,'Material routes'!$A$6:$A$2205,0)),"MISSING ID")</x:f>
        <x:v>Unspecified</x:v>
      </x:c>
      <x:c r="P131" s="4" t="str">
        <x:f>IF(IFERROR(INDEX('Material routes'!$I$6:$I$1005,MATCH(V131,'Material routes'!$A$6:$A$1005,0)),"MISSING ID")=0,"",IFERROR(INDEX('Material routes'!$I$6:$I$1005,MATCH(V131,'Material routes'!$A$6:$A$1005,0)),"MISSING ID"))</x:f>
      </x:c>
      <x:c r="Q131" s="4" t="str">
        <x:f>IFERROR(INDEX('Material routes'!$J$6:$J$2205,MATCH(V131,'Material routes'!$A$6:$A$2205,0)),"MISSING ID")</x:f>
        <x:v>Unspecified</x:v>
      </x:c>
      <x:c r="R131" s="4" t="str">
        <x:f>IF(L131="Withheld","Withheld premise",IF(E131="Tool candidate","Reusable prerequisite",IF(K131="Raw entry preparation","Entry-resource preparation",IF(G131="Not applicable",IF(IFERROR(INDEX('Items'!$AI$6:$AI$1005,MATCH(T131,'Items'!$A$6:$A$1005,0)),"MISSING ID")="Finished item","Finished endpoint",IF(IFERROR(INDEX('Items'!$AI$6:$AI$1005,MATCH(T131,'Items'!$A$6:$A$1005,0)),"MISSING ID")="Currency","Currency / no refinement tier","Recovered output / tier not applicable")),IF(OR(IFERROR(INDEX('Crafting recipes'!$H$6:$H$1005,MATCH(J131,'Crafting recipes'!$A$6:$A$1005,0)),"MISSING ID")="Unassigned",G131="Unassigned"),"Tier unresolved",IF(IFERROR(VALUE(RIGHT(G131,1))-VALUE(RIGHT(IFERROR(INDEX('Crafting recipes'!$H$6:$H$1005,MATCH(J131,'Crafting recipes'!$A$6:$A$1005,0)),"MISSING ID"),1)),0)=1,IF(B131=IFERROR(INDEX('Crafting recipes'!$H$6:$H$1005,MATCH(J131,'Crafting recipes'!$A$6:$A$1005,0)),"MISSING ID"),"Advances one material tier","Lower-tier ingredient; route advances one tier"),"Needs tier review"))))))</x:f>
        <x:v>Advances one material tier</x:v>
      </x:c>
      <x:c r="S131" s="4" t="str">
        <x:f>IFERROR(INDEX('Material routes'!$D$6:$D$2205,MATCH(U131,'Material routes'!$A$6:$A$2205,0)),"MISSING ID")</x:f>
        <x:v>proposal.lubricant.thickener</x:v>
      </x:c>
      <x:c r="T131" s="4" t="str">
        <x:f>IFERROR(INDEX('Material routes'!$D$6:$D$2205,MATCH(V131,'Material routes'!$A$6:$A$2205,0)),"MISSING ID")</x:f>
        <x:v>proposal.lubricant.graphite_grease</x:v>
      </x:c>
      <x:c r="U131" s="4" t="str">
        <x:v>design.branch.lubricant.graphite_grease.in.2</x:v>
      </x:c>
      <x:c r="V131" s="4" t="str">
        <x:v>design.branch.lubricant.graphite_grease.out</x:v>
      </x:c>
    </x:row>
    <x:row r="132" ht="105" customHeight="1">
      <x:c r="A132" s="4" t="str">
        <x:f>IFERROR(INDEX('Material routes'!$E$6:$E$2205,MATCH(U132,'Material routes'!$A$6:$A$2205,0)),"MISSING ID")</x:f>
        <x:v>Graded graphite flakes</x:v>
      </x:c>
      <x:c r="B132" s="4" t="str">
        <x:f>IFERROR(INDEX('Material routes'!$F$6:$F$2205,MATCH(U132,'Material routes'!$A$6:$A$2205,0)),"MISSING ID")</x:f>
        <x:v>T1</x:v>
      </x:c>
      <x:c r="C132" s="4" t="str">
        <x:f>IFERROR(INDEX('Material routes'!$H$6:$H$2205,MATCH(U132,'Material routes'!$A$6:$A$2205,0)),"MISSING ID")</x:f>
        <x:v>Processed material</x:v>
      </x:c>
      <x:c r="D132" s="4" t="str">
        <x:f>IFERROR(INDEX('Material routes'!$G$6:$G$2205,MATCH(U132,'Material routes'!$A$6:$A$2205,0)),"MISSING ID")</x:f>
        <x:v>Manufactured stock</x:v>
      </x:c>
      <x:c r="E132" s="4" t="str">
        <x:f>IFERROR(INDEX('Material routes'!$C$6:$C$2205,MATCH(U132,'Material routes'!$A$6:$A$2205,0)),"MISSING ID")</x:f>
        <x:v>Ingredient candidate</x:v>
      </x:c>
      <x:c r="F132" s="4" t="str">
        <x:f>IFERROR(INDEX('Material routes'!$E$6:$E$2205,MATCH(V132,'Material routes'!$A$6:$A$2205,0)),"MISSING ID")</x:f>
        <x:v>Graphite faunal grease</x:v>
      </x:c>
      <x:c r="G132" s="4" t="str">
        <x:f>IFERROR(INDEX('Material routes'!$F$6:$F$2205,MATCH(V132,'Material routes'!$A$6:$A$2205,0)),"MISSING ID")</x:f>
        <x:v>T2</x:v>
      </x:c>
      <x:c r="H132" s="4" t="str">
        <x:f>IFERROR(INDEX('Material routes'!$H$6:$H$2205,MATCH(V132,'Material routes'!$A$6:$A$2205,0)),"MISSING ID")</x:f>
        <x:v>Chemical material</x:v>
      </x:c>
      <x:c r="I132" s="4" t="str">
        <x:f>IFERROR(INDEX('Material routes'!$G$6:$G$2205,MATCH(V132,'Material routes'!$A$6:$A$2205,0)),"MISSING ID")</x:f>
        <x:v>Crafting components</x:v>
      </x:c>
      <x:c r="J132" s="4" t="str">
        <x:f>IFERROR(INDEX('Material routes'!$B$6:$B$2205,MATCH(U132,'Material routes'!$A$6:$A$2205,0)),"MISSING ID")</x:f>
        <x:v>design.branch.lubricant.graphite_grease</x:v>
      </x:c>
      <x:c r="K132" s="4" t="str">
        <x:f>IFERROR(INDEX('Crafting recipes'!$C$6:$C$1005,MATCH(J132,'Crafting recipes'!$A$6:$A$1005,0)),"MISSING ID")</x:f>
        <x:v>Material refinement</x:v>
      </x:c>
      <x:c r="L132" s="4" t="str">
        <x:f>IFERROR(INDEX('Material routes'!$K$6:$K$2205,MATCH(U132,'Material routes'!$A$6:$A$2205,0)),"MISSING ID")</x:f>
        <x:v>Proposal</x:v>
      </x:c>
      <x:c r="M132" s="4" t="str">
        <x:f>IFERROR(INDEX('Material routes'!$M$6:$M$2205,MATCH(U132,'Material routes'!$A$6:$A$2205,0)),"MISSING ID")</x:f>
        <x:v>Partial proposal</x:v>
      </x:c>
      <x:c r="N132" s="4" t="str">
        <x:f>IF(IFERROR(INDEX('Material routes'!$I$6:$I$1005,MATCH(U132,'Material routes'!$A$6:$A$1005,0)),"MISSING ID")=0,"",IFERROR(INDEX('Material routes'!$I$6:$I$1005,MATCH(U132,'Material routes'!$A$6:$A$1005,0)),"MISSING ID"))</x:f>
      </x:c>
      <x:c r="O132" s="4" t="str">
        <x:f>IFERROR(INDEX('Material routes'!$J$6:$J$2205,MATCH(U132,'Material routes'!$A$6:$A$2205,0)),"MISSING ID")</x:f>
        <x:v>Unspecified</x:v>
      </x:c>
      <x:c r="P132" s="4" t="str">
        <x:f>IF(IFERROR(INDEX('Material routes'!$I$6:$I$1005,MATCH(V132,'Material routes'!$A$6:$A$1005,0)),"MISSING ID")=0,"",IFERROR(INDEX('Material routes'!$I$6:$I$1005,MATCH(V132,'Material routes'!$A$6:$A$1005,0)),"MISSING ID"))</x:f>
      </x:c>
      <x:c r="Q132" s="4" t="str">
        <x:f>IFERROR(INDEX('Material routes'!$J$6:$J$2205,MATCH(V132,'Material routes'!$A$6:$A$2205,0)),"MISSING ID")</x:f>
        <x:v>Unspecified</x:v>
      </x:c>
      <x:c r="R132" s="4" t="str">
        <x:f>IF(L132="Withheld","Withheld premise",IF(E132="Tool candidate","Reusable prerequisite",IF(K132="Raw entry preparation","Entry-resource preparation",IF(G132="Not applicable",IF(IFERROR(INDEX('Items'!$AI$6:$AI$1005,MATCH(T132,'Items'!$A$6:$A$1005,0)),"MISSING ID")="Finished item","Finished endpoint",IF(IFERROR(INDEX('Items'!$AI$6:$AI$1005,MATCH(T132,'Items'!$A$6:$A$1005,0)),"MISSING ID")="Currency","Currency / no refinement tier","Recovered output / tier not applicable")),IF(OR(IFERROR(INDEX('Crafting recipes'!$H$6:$H$1005,MATCH(J132,'Crafting recipes'!$A$6:$A$1005,0)),"MISSING ID")="Unassigned",G132="Unassigned"),"Tier unresolved",IF(IFERROR(VALUE(RIGHT(G132,1))-VALUE(RIGHT(IFERROR(INDEX('Crafting recipes'!$H$6:$H$1005,MATCH(J132,'Crafting recipes'!$A$6:$A$1005,0)),"MISSING ID"),1)),0)=1,IF(B132=IFERROR(INDEX('Crafting recipes'!$H$6:$H$1005,MATCH(J132,'Crafting recipes'!$A$6:$A$1005,0)),"MISSING ID"),"Advances one material tier","Lower-tier ingredient; route advances one tier"),"Needs tier review"))))))</x:f>
        <x:v>Advances one material tier</x:v>
      </x:c>
      <x:c r="S132" s="4" t="str">
        <x:f>IFERROR(INDEX('Material routes'!$D$6:$D$2205,MATCH(U132,'Material routes'!$A$6:$A$2205,0)),"MISSING ID")</x:f>
        <x:v>proposal.natural.carbon</x:v>
      </x:c>
      <x:c r="T132" s="4" t="str">
        <x:f>IFERROR(INDEX('Material routes'!$D$6:$D$2205,MATCH(V132,'Material routes'!$A$6:$A$2205,0)),"MISSING ID")</x:f>
        <x:v>proposal.lubricant.graphite_grease</x:v>
      </x:c>
      <x:c r="U132" s="4" t="str">
        <x:v>design.branch.lubricant.graphite_grease.in.3</x:v>
      </x:c>
      <x:c r="V132" s="4" t="str">
        <x:v>design.branch.lubricant.graphite_grease.out</x:v>
      </x:c>
    </x:row>
    <x:row r="133" ht="105" customHeight="1">
      <x:c r="A133" s="4" t="str">
        <x:f>IFERROR(INDEX('Material routes'!$E$6:$E$2205,MATCH(U133,'Material routes'!$A$6:$A$2205,0)),"MISSING ID")</x:f>
        <x:v>Steel stock</x:v>
      </x:c>
      <x:c r="B133" s="4" t="str">
        <x:f>IFERROR(INDEX('Material routes'!$F$6:$F$2205,MATCH(U133,'Material routes'!$A$6:$A$2205,0)),"MISSING ID")</x:f>
        <x:v>T2</x:v>
      </x:c>
      <x:c r="C133" s="4" t="str">
        <x:f>IFERROR(INDEX('Material routes'!$H$6:$H$2205,MATCH(U133,'Material routes'!$A$6:$A$2205,0)),"MISSING ID")</x:f>
        <x:v>Processed material</x:v>
      </x:c>
      <x:c r="D133" s="4" t="str">
        <x:f>IFERROR(INDEX('Material routes'!$G$6:$G$2205,MATCH(U133,'Material routes'!$A$6:$A$2205,0)),"MISSING ID")</x:f>
        <x:v>Manufactured stock</x:v>
      </x:c>
      <x:c r="E133" s="4" t="str">
        <x:f>IFERROR(INDEX('Material routes'!$C$6:$C$2205,MATCH(U133,'Material routes'!$A$6:$A$2205,0)),"MISSING ID")</x:f>
        <x:v>Ingredient candidate</x:v>
      </x:c>
      <x:c r="F133" s="4" t="str">
        <x:f>IFERROR(INDEX('Material routes'!$E$6:$E$2205,MATCH(V133,'Material routes'!$A$6:$A$2205,0)),"MISSING ID")</x:f>
        <x:v>Steel-faced shell composite</x:v>
      </x:c>
      <x:c r="G133" s="4" t="str">
        <x:f>IFERROR(INDEX('Material routes'!$F$6:$F$2205,MATCH(V133,'Material routes'!$A$6:$A$2205,0)),"MISSING ID")</x:f>
        <x:v>T3</x:v>
      </x:c>
      <x:c r="H133" s="4" t="str">
        <x:f>IFERROR(INDEX('Material routes'!$H$6:$H$2205,MATCH(V133,'Material routes'!$A$6:$A$2205,0)),"MISSING ID")</x:f>
        <x:v>Processed material</x:v>
      </x:c>
      <x:c r="I133" s="4" t="str">
        <x:f>IFERROR(INDEX('Material routes'!$G$6:$G$2205,MATCH(V133,'Material routes'!$A$6:$A$2205,0)),"MISSING ID")</x:f>
        <x:v>Manufactured stock</x:v>
      </x:c>
      <x:c r="J133" s="4" t="str">
        <x:f>IFERROR(INDEX('Material routes'!$B$6:$B$2205,MATCH(U133,'Material routes'!$A$6:$A$2205,0)),"MISSING ID")</x:f>
        <x:v>design.branch.branch.steel_shell</x:v>
      </x:c>
      <x:c r="K133" s="4" t="str">
        <x:f>IFERROR(INDEX('Crafting recipes'!$C$6:$C$1005,MATCH(J133,'Crafting recipes'!$A$6:$A$1005,0)),"MISSING ID")</x:f>
        <x:v>Material refinement</x:v>
      </x:c>
      <x:c r="L133" s="4" t="str">
        <x:f>IFERROR(INDEX('Material routes'!$K$6:$K$2205,MATCH(U133,'Material routes'!$A$6:$A$2205,0)),"MISSING ID")</x:f>
        <x:v>Proposal</x:v>
      </x:c>
      <x:c r="M133" s="4" t="str">
        <x:f>IFERROR(INDEX('Material routes'!$M$6:$M$2205,MATCH(U133,'Material routes'!$A$6:$A$2205,0)),"MISSING ID")</x:f>
        <x:v>Partial proposal</x:v>
      </x:c>
      <x:c r="N133" s="4" t="str">
        <x:f>IF(IFERROR(INDEX('Material routes'!$I$6:$I$1005,MATCH(U133,'Material routes'!$A$6:$A$1005,0)),"MISSING ID")=0,"",IFERROR(INDEX('Material routes'!$I$6:$I$1005,MATCH(U133,'Material routes'!$A$6:$A$1005,0)),"MISSING ID"))</x:f>
      </x:c>
      <x:c r="O133" s="4" t="str">
        <x:f>IFERROR(INDEX('Material routes'!$J$6:$J$2205,MATCH(U133,'Material routes'!$A$6:$A$2205,0)),"MISSING ID")</x:f>
        <x:v>Unspecified</x:v>
      </x:c>
      <x:c r="P133" s="4" t="str">
        <x:f>IF(IFERROR(INDEX('Material routes'!$I$6:$I$1005,MATCH(V133,'Material routes'!$A$6:$A$1005,0)),"MISSING ID")=0,"",IFERROR(INDEX('Material routes'!$I$6:$I$1005,MATCH(V133,'Material routes'!$A$6:$A$1005,0)),"MISSING ID"))</x:f>
      </x:c>
      <x:c r="Q133" s="4" t="str">
        <x:f>IFERROR(INDEX('Material routes'!$J$6:$J$2205,MATCH(V133,'Material routes'!$A$6:$A$2205,0)),"MISSING ID")</x:f>
        <x:v>Unspecified</x:v>
      </x:c>
      <x:c r="R133" s="4" t="str">
        <x:f>IF(L133="Withheld","Withheld premise",IF(E133="Tool candidate","Reusable prerequisite",IF(K133="Raw entry preparation","Entry-resource preparation",IF(G133="Not applicable",IF(IFERROR(INDEX('Items'!$AI$6:$AI$1005,MATCH(T133,'Items'!$A$6:$A$1005,0)),"MISSING ID")="Finished item","Finished endpoint",IF(IFERROR(INDEX('Items'!$AI$6:$AI$1005,MATCH(T133,'Items'!$A$6:$A$1005,0)),"MISSING ID")="Currency","Currency / no refinement tier","Recovered output / tier not applicable")),IF(OR(IFERROR(INDEX('Crafting recipes'!$H$6:$H$1005,MATCH(J133,'Crafting recipes'!$A$6:$A$1005,0)),"MISSING ID")="Unassigned",G133="Unassigned"),"Tier unresolved",IF(IFERROR(VALUE(RIGHT(G133,1))-VALUE(RIGHT(IFERROR(INDEX('Crafting recipes'!$H$6:$H$1005,MATCH(J133,'Crafting recipes'!$A$6:$A$1005,0)),"MISSING ID"),1)),0)=1,IF(B133=IFERROR(INDEX('Crafting recipes'!$H$6:$H$1005,MATCH(J133,'Crafting recipes'!$A$6:$A$1005,0)),"MISSING ID"),"Advances one material tier","Lower-tier ingredient; route advances one tier"),"Needs tier review"))))))</x:f>
        <x:v>Advances one material tier</x:v>
      </x:c>
      <x:c r="S133" s="4" t="str">
        <x:f>IFERROR(INDEX('Material routes'!$D$6:$D$2205,MATCH(U133,'Material routes'!$A$6:$A$2205,0)),"MISSING ID")</x:f>
        <x:v>author.metallurgy.steel_stock</x:v>
      </x:c>
      <x:c r="T133" s="4" t="str">
        <x:f>IFERROR(INDEX('Material routes'!$D$6:$D$2205,MATCH(V133,'Material routes'!$A$6:$A$2205,0)),"MISSING ID")</x:f>
        <x:v>proposal.branch.steel_shell</x:v>
      </x:c>
      <x:c r="U133" s="4" t="str">
        <x:v>design.branch.branch.steel_shell.in.1</x:v>
      </x:c>
      <x:c r="V133" s="4" t="str">
        <x:v>design.branch.branch.steel_shell.out</x:v>
      </x:c>
    </x:row>
    <x:row r="134" ht="105" customHeight="1">
      <x:c r="A134" s="4" t="str">
        <x:f>IFERROR(INDEX('Material routes'!$E$6:$E$2205,MATCH(U134,'Material routes'!$A$6:$A$2205,0)),"MISSING ID")</x:f>
        <x:v>Shell laminate</x:v>
      </x:c>
      <x:c r="B134" s="4" t="str">
        <x:f>IFERROR(INDEX('Material routes'!$F$6:$F$2205,MATCH(U134,'Material routes'!$A$6:$A$2205,0)),"MISSING ID")</x:f>
        <x:v>T2</x:v>
      </x:c>
      <x:c r="C134" s="4" t="str">
        <x:f>IFERROR(INDEX('Material routes'!$H$6:$H$2205,MATCH(U134,'Material routes'!$A$6:$A$2205,0)),"MISSING ID")</x:f>
        <x:v>Crafting component</x:v>
      </x:c>
      <x:c r="D134" s="4" t="str">
        <x:f>IFERROR(INDEX('Material routes'!$G$6:$G$2205,MATCH(U134,'Material routes'!$A$6:$A$2205,0)),"MISSING ID")</x:f>
        <x:v>Crafting components</x:v>
      </x:c>
      <x:c r="E134" s="4" t="str">
        <x:f>IFERROR(INDEX('Material routes'!$C$6:$C$2205,MATCH(U134,'Material routes'!$A$6:$A$2205,0)),"MISSING ID")</x:f>
        <x:v>Ingredient candidate</x:v>
      </x:c>
      <x:c r="F134" s="4" t="str">
        <x:f>IFERROR(INDEX('Material routes'!$E$6:$E$2205,MATCH(V134,'Material routes'!$A$6:$A$2205,0)),"MISSING ID")</x:f>
        <x:v>Steel-faced shell composite</x:v>
      </x:c>
      <x:c r="G134" s="4" t="str">
        <x:f>IFERROR(INDEX('Material routes'!$F$6:$F$2205,MATCH(V134,'Material routes'!$A$6:$A$2205,0)),"MISSING ID")</x:f>
        <x:v>T3</x:v>
      </x:c>
      <x:c r="H134" s="4" t="str">
        <x:f>IFERROR(INDEX('Material routes'!$H$6:$H$2205,MATCH(V134,'Material routes'!$A$6:$A$2205,0)),"MISSING ID")</x:f>
        <x:v>Processed material</x:v>
      </x:c>
      <x:c r="I134" s="4" t="str">
        <x:f>IFERROR(INDEX('Material routes'!$G$6:$G$2205,MATCH(V134,'Material routes'!$A$6:$A$2205,0)),"MISSING ID")</x:f>
        <x:v>Manufactured stock</x:v>
      </x:c>
      <x:c r="J134" s="4" t="str">
        <x:f>IFERROR(INDEX('Material routes'!$B$6:$B$2205,MATCH(U134,'Material routes'!$A$6:$A$2205,0)),"MISSING ID")</x:f>
        <x:v>design.branch.branch.steel_shell</x:v>
      </x:c>
      <x:c r="K134" s="4" t="str">
        <x:f>IFERROR(INDEX('Crafting recipes'!$C$6:$C$1005,MATCH(J134,'Crafting recipes'!$A$6:$A$1005,0)),"MISSING ID")</x:f>
        <x:v>Material refinement</x:v>
      </x:c>
      <x:c r="L134" s="4" t="str">
        <x:f>IFERROR(INDEX('Material routes'!$K$6:$K$2205,MATCH(U134,'Material routes'!$A$6:$A$2205,0)),"MISSING ID")</x:f>
        <x:v>Proposal</x:v>
      </x:c>
      <x:c r="M134" s="4" t="str">
        <x:f>IFERROR(INDEX('Material routes'!$M$6:$M$2205,MATCH(U134,'Material routes'!$A$6:$A$2205,0)),"MISSING ID")</x:f>
        <x:v>Partial proposal</x:v>
      </x:c>
      <x:c r="N134" s="4" t="str">
        <x:f>IF(IFERROR(INDEX('Material routes'!$I$6:$I$1005,MATCH(U134,'Material routes'!$A$6:$A$1005,0)),"MISSING ID")=0,"",IFERROR(INDEX('Material routes'!$I$6:$I$1005,MATCH(U134,'Material routes'!$A$6:$A$1005,0)),"MISSING ID"))</x:f>
      </x:c>
      <x:c r="O134" s="4" t="str">
        <x:f>IFERROR(INDEX('Material routes'!$J$6:$J$2205,MATCH(U134,'Material routes'!$A$6:$A$2205,0)),"MISSING ID")</x:f>
        <x:v>Unspecified</x:v>
      </x:c>
      <x:c r="P134" s="4" t="str">
        <x:f>IF(IFERROR(INDEX('Material routes'!$I$6:$I$1005,MATCH(V134,'Material routes'!$A$6:$A$1005,0)),"MISSING ID")=0,"",IFERROR(INDEX('Material routes'!$I$6:$I$1005,MATCH(V134,'Material routes'!$A$6:$A$1005,0)),"MISSING ID"))</x:f>
      </x:c>
      <x:c r="Q134" s="4" t="str">
        <x:f>IFERROR(INDEX('Material routes'!$J$6:$J$2205,MATCH(V134,'Material routes'!$A$6:$A$2205,0)),"MISSING ID")</x:f>
        <x:v>Unspecified</x:v>
      </x:c>
      <x:c r="R134" s="4" t="str">
        <x:f>IF(L134="Withheld","Withheld premise",IF(E134="Tool candidate","Reusable prerequisite",IF(K134="Raw entry preparation","Entry-resource preparation",IF(G134="Not applicable",IF(IFERROR(INDEX('Items'!$AI$6:$AI$1005,MATCH(T134,'Items'!$A$6:$A$1005,0)),"MISSING ID")="Finished item","Finished endpoint",IF(IFERROR(INDEX('Items'!$AI$6:$AI$1005,MATCH(T134,'Items'!$A$6:$A$1005,0)),"MISSING ID")="Currency","Currency / no refinement tier","Recovered output / tier not applicable")),IF(OR(IFERROR(INDEX('Crafting recipes'!$H$6:$H$1005,MATCH(J134,'Crafting recipes'!$A$6:$A$1005,0)),"MISSING ID")="Unassigned",G134="Unassigned"),"Tier unresolved",IF(IFERROR(VALUE(RIGHT(G134,1))-VALUE(RIGHT(IFERROR(INDEX('Crafting recipes'!$H$6:$H$1005,MATCH(J134,'Crafting recipes'!$A$6:$A$1005,0)),"MISSING ID"),1)),0)=1,IF(B134=IFERROR(INDEX('Crafting recipes'!$H$6:$H$1005,MATCH(J134,'Crafting recipes'!$A$6:$A$1005,0)),"MISSING ID"),"Advances one material tier","Lower-tier ingredient; route advances one tier"),"Needs tier review"))))))</x:f>
        <x:v>Advances one material tier</x:v>
      </x:c>
      <x:c r="S134" s="4" t="str">
        <x:f>IFERROR(INDEX('Material routes'!$D$6:$D$2205,MATCH(U134,'Material routes'!$A$6:$A$2205,0)),"MISSING ID")</x:f>
        <x:v>proposal.bio.laminate</x:v>
      </x:c>
      <x:c r="T134" s="4" t="str">
        <x:f>IFERROR(INDEX('Material routes'!$D$6:$D$2205,MATCH(V134,'Material routes'!$A$6:$A$2205,0)),"MISSING ID")</x:f>
        <x:v>proposal.branch.steel_shell</x:v>
      </x:c>
      <x:c r="U134" s="4" t="str">
        <x:v>design.branch.branch.steel_shell.in.2</x:v>
      </x:c>
      <x:c r="V134" s="4" t="str">
        <x:v>design.branch.branch.steel_shell.out</x:v>
      </x:c>
    </x:row>
    <x:row r="135" ht="105" customHeight="1">
      <x:c r="A135" s="4" t="str">
        <x:f>IFERROR(INDEX('Material routes'!$E$6:$E$2205,MATCH(U135,'Material routes'!$A$6:$A$2205,0)),"MISSING ID")</x:f>
        <x:v>Filled shell-binding compound</x:v>
      </x:c>
      <x:c r="B135" s="4" t="str">
        <x:f>IFERROR(INDEX('Material routes'!$F$6:$F$2205,MATCH(U135,'Material routes'!$A$6:$A$2205,0)),"MISSING ID")</x:f>
        <x:v>T2</x:v>
      </x:c>
      <x:c r="C135" s="4" t="str">
        <x:f>IFERROR(INDEX('Material routes'!$H$6:$H$2205,MATCH(U135,'Material routes'!$A$6:$A$2205,0)),"MISSING ID")</x:f>
        <x:v>Chemical material</x:v>
      </x:c>
      <x:c r="D135" s="4" t="str">
        <x:f>IFERROR(INDEX('Material routes'!$G$6:$G$2205,MATCH(U135,'Material routes'!$A$6:$A$2205,0)),"MISSING ID")</x:f>
        <x:v>Crafting components</x:v>
      </x:c>
      <x:c r="E135" s="4" t="str">
        <x:f>IFERROR(INDEX('Material routes'!$C$6:$C$2205,MATCH(U135,'Material routes'!$A$6:$A$2205,0)),"MISSING ID")</x:f>
        <x:v>Ingredient candidate</x:v>
      </x:c>
      <x:c r="F135" s="4" t="str">
        <x:f>IFERROR(INDEX('Material routes'!$E$6:$E$2205,MATCH(V135,'Material routes'!$A$6:$A$2205,0)),"MISSING ID")</x:f>
        <x:v>Steel-faced shell composite</x:v>
      </x:c>
      <x:c r="G135" s="4" t="str">
        <x:f>IFERROR(INDEX('Material routes'!$F$6:$F$2205,MATCH(V135,'Material routes'!$A$6:$A$2205,0)),"MISSING ID")</x:f>
        <x:v>T3</x:v>
      </x:c>
      <x:c r="H135" s="4" t="str">
        <x:f>IFERROR(INDEX('Material routes'!$H$6:$H$2205,MATCH(V135,'Material routes'!$A$6:$A$2205,0)),"MISSING ID")</x:f>
        <x:v>Processed material</x:v>
      </x:c>
      <x:c r="I135" s="4" t="str">
        <x:f>IFERROR(INDEX('Material routes'!$G$6:$G$2205,MATCH(V135,'Material routes'!$A$6:$A$2205,0)),"MISSING ID")</x:f>
        <x:v>Manufactured stock</x:v>
      </x:c>
      <x:c r="J135" s="4" t="str">
        <x:f>IFERROR(INDEX('Material routes'!$B$6:$B$2205,MATCH(U135,'Material routes'!$A$6:$A$2205,0)),"MISSING ID")</x:f>
        <x:v>design.branch.branch.steel_shell</x:v>
      </x:c>
      <x:c r="K135" s="4" t="str">
        <x:f>IFERROR(INDEX('Crafting recipes'!$C$6:$C$1005,MATCH(J135,'Crafting recipes'!$A$6:$A$1005,0)),"MISSING ID")</x:f>
        <x:v>Material refinement</x:v>
      </x:c>
      <x:c r="L135" s="4" t="str">
        <x:f>IFERROR(INDEX('Material routes'!$K$6:$K$2205,MATCH(U135,'Material routes'!$A$6:$A$2205,0)),"MISSING ID")</x:f>
        <x:v>Proposal</x:v>
      </x:c>
      <x:c r="M135" s="4" t="str">
        <x:f>IFERROR(INDEX('Material routes'!$M$6:$M$2205,MATCH(U135,'Material routes'!$A$6:$A$2205,0)),"MISSING ID")</x:f>
        <x:v>Partial proposal</x:v>
      </x:c>
      <x:c r="N135" s="4" t="str">
        <x:f>IF(IFERROR(INDEX('Material routes'!$I$6:$I$1005,MATCH(U135,'Material routes'!$A$6:$A$1005,0)),"MISSING ID")=0,"",IFERROR(INDEX('Material routes'!$I$6:$I$1005,MATCH(U135,'Material routes'!$A$6:$A$1005,0)),"MISSING ID"))</x:f>
      </x:c>
      <x:c r="O135" s="4" t="str">
        <x:f>IFERROR(INDEX('Material routes'!$J$6:$J$2205,MATCH(U135,'Material routes'!$A$6:$A$2205,0)),"MISSING ID")</x:f>
        <x:v>Unspecified</x:v>
      </x:c>
      <x:c r="P135" s="4" t="str">
        <x:f>IF(IFERROR(INDEX('Material routes'!$I$6:$I$1005,MATCH(V135,'Material routes'!$A$6:$A$1005,0)),"MISSING ID")=0,"",IFERROR(INDEX('Material routes'!$I$6:$I$1005,MATCH(V135,'Material routes'!$A$6:$A$1005,0)),"MISSING ID"))</x:f>
      </x:c>
      <x:c r="Q135" s="4" t="str">
        <x:f>IFERROR(INDEX('Material routes'!$J$6:$J$2205,MATCH(V135,'Material routes'!$A$6:$A$2205,0)),"MISSING ID")</x:f>
        <x:v>Unspecified</x:v>
      </x:c>
      <x:c r="R135" s="4" t="str">
        <x:f>IF(L135="Withheld","Withheld premise",IF(E135="Tool candidate","Reusable prerequisite",IF(K135="Raw entry preparation","Entry-resource preparation",IF(G135="Not applicable",IF(IFERROR(INDEX('Items'!$AI$6:$AI$1005,MATCH(T135,'Items'!$A$6:$A$1005,0)),"MISSING ID")="Finished item","Finished endpoint",IF(IFERROR(INDEX('Items'!$AI$6:$AI$1005,MATCH(T135,'Items'!$A$6:$A$1005,0)),"MISSING ID")="Currency","Currency / no refinement tier","Recovered output / tier not applicable")),IF(OR(IFERROR(INDEX('Crafting recipes'!$H$6:$H$1005,MATCH(J135,'Crafting recipes'!$A$6:$A$1005,0)),"MISSING ID")="Unassigned",G135="Unassigned"),"Tier unresolved",IF(IFERROR(VALUE(RIGHT(G135,1))-VALUE(RIGHT(IFERROR(INDEX('Crafting recipes'!$H$6:$H$1005,MATCH(J135,'Crafting recipes'!$A$6:$A$1005,0)),"MISSING ID"),1)),0)=1,IF(B135=IFERROR(INDEX('Crafting recipes'!$H$6:$H$1005,MATCH(J135,'Crafting recipes'!$A$6:$A$1005,0)),"MISSING ID"),"Advances one material tier","Lower-tier ingredient; route advances one tier"),"Needs tier review"))))))</x:f>
        <x:v>Advances one material tier</x:v>
      </x:c>
      <x:c r="S135" s="4" t="str">
        <x:f>IFERROR(INDEX('Material routes'!$D$6:$D$2205,MATCH(U135,'Material routes'!$A$6:$A$2205,0)),"MISSING ID")</x:f>
        <x:v>proposal.branch.filled_binder</x:v>
      </x:c>
      <x:c r="T135" s="4" t="str">
        <x:f>IFERROR(INDEX('Material routes'!$D$6:$D$2205,MATCH(V135,'Material routes'!$A$6:$A$2205,0)),"MISSING ID")</x:f>
        <x:v>proposal.branch.steel_shell</x:v>
      </x:c>
      <x:c r="U135" s="4" t="str">
        <x:v>design.branch.branch.steel_shell.in.3</x:v>
      </x:c>
      <x:c r="V135" s="4" t="str">
        <x:v>design.branch.branch.steel_shell.out</x:v>
      </x:c>
    </x:row>
    <x:row r="136" ht="105" customHeight="1">
      <x:c r="A136" s="4" t="str">
        <x:f>IFERROR(INDEX('Material routes'!$E$6:$E$2205,MATCH(U136,'Material routes'!$A$6:$A$2205,0)),"MISSING ID")</x:f>
        <x:v>Steel stock</x:v>
      </x:c>
      <x:c r="B136" s="4" t="str">
        <x:f>IFERROR(INDEX('Material routes'!$F$6:$F$2205,MATCH(U136,'Material routes'!$A$6:$A$2205,0)),"MISSING ID")</x:f>
        <x:v>T2</x:v>
      </x:c>
      <x:c r="C136" s="4" t="str">
        <x:f>IFERROR(INDEX('Material routes'!$H$6:$H$2205,MATCH(U136,'Material routes'!$A$6:$A$2205,0)),"MISSING ID")</x:f>
        <x:v>Processed material</x:v>
      </x:c>
      <x:c r="D136" s="4" t="str">
        <x:f>IFERROR(INDEX('Material routes'!$G$6:$G$2205,MATCH(U136,'Material routes'!$A$6:$A$2205,0)),"MISSING ID")</x:f>
        <x:v>Manufactured stock</x:v>
      </x:c>
      <x:c r="E136" s="4" t="str">
        <x:f>IFERROR(INDEX('Material routes'!$C$6:$C$2205,MATCH(U136,'Material routes'!$A$6:$A$2205,0)),"MISSING ID")</x:f>
        <x:v>Ingredient candidate</x:v>
      </x:c>
      <x:c r="F136" s="4" t="str">
        <x:f>IFERROR(INDEX('Material routes'!$E$6:$E$2205,MATCH(V136,'Material routes'!$A$6:$A$2205,0)),"MISSING ID")</x:f>
        <x:v>Spring-grade steel stock</x:v>
      </x:c>
      <x:c r="G136" s="4" t="str">
        <x:f>IFERROR(INDEX('Material routes'!$F$6:$F$2205,MATCH(V136,'Material routes'!$A$6:$A$2205,0)),"MISSING ID")</x:f>
        <x:v>T3</x:v>
      </x:c>
      <x:c r="H136" s="4" t="str">
        <x:f>IFERROR(INDEX('Material routes'!$H$6:$H$2205,MATCH(V136,'Material routes'!$A$6:$A$2205,0)),"MISSING ID")</x:f>
        <x:v>Processed material</x:v>
      </x:c>
      <x:c r="I136" s="4" t="str">
        <x:f>IFERROR(INDEX('Material routes'!$G$6:$G$2205,MATCH(V136,'Material routes'!$A$6:$A$2205,0)),"MISSING ID")</x:f>
        <x:v>Manufactured stock</x:v>
      </x:c>
      <x:c r="J136" s="4" t="str">
        <x:f>IFERROR(INDEX('Material routes'!$B$6:$B$2205,MATCH(U136,'Material routes'!$A$6:$A$2205,0)),"MISSING ID")</x:f>
        <x:v>design.branch.branch.spring_steel</x:v>
      </x:c>
      <x:c r="K136" s="4" t="str">
        <x:f>IFERROR(INDEX('Crafting recipes'!$C$6:$C$1005,MATCH(J136,'Crafting recipes'!$A$6:$A$1005,0)),"MISSING ID")</x:f>
        <x:v>Material refinement</x:v>
      </x:c>
      <x:c r="L136" s="4" t="str">
        <x:f>IFERROR(INDEX('Material routes'!$K$6:$K$2205,MATCH(U136,'Material routes'!$A$6:$A$2205,0)),"MISSING ID")</x:f>
        <x:v>Proposal</x:v>
      </x:c>
      <x:c r="M136" s="4" t="str">
        <x:f>IFERROR(INDEX('Material routes'!$M$6:$M$2205,MATCH(U136,'Material routes'!$A$6:$A$2205,0)),"MISSING ID")</x:f>
        <x:v>Partial proposal</x:v>
      </x:c>
      <x:c r="N136" s="4" t="str">
        <x:f>IF(IFERROR(INDEX('Material routes'!$I$6:$I$1005,MATCH(U136,'Material routes'!$A$6:$A$1005,0)),"MISSING ID")=0,"",IFERROR(INDEX('Material routes'!$I$6:$I$1005,MATCH(U136,'Material routes'!$A$6:$A$1005,0)),"MISSING ID"))</x:f>
      </x:c>
      <x:c r="O136" s="4" t="str">
        <x:f>IFERROR(INDEX('Material routes'!$J$6:$J$2205,MATCH(U136,'Material routes'!$A$6:$A$2205,0)),"MISSING ID")</x:f>
        <x:v>Unspecified</x:v>
      </x:c>
      <x:c r="P136" s="4" t="str">
        <x:f>IF(IFERROR(INDEX('Material routes'!$I$6:$I$1005,MATCH(V136,'Material routes'!$A$6:$A$1005,0)),"MISSING ID")=0,"",IFERROR(INDEX('Material routes'!$I$6:$I$1005,MATCH(V136,'Material routes'!$A$6:$A$1005,0)),"MISSING ID"))</x:f>
      </x:c>
      <x:c r="Q136" s="4" t="str">
        <x:f>IFERROR(INDEX('Material routes'!$J$6:$J$2205,MATCH(V136,'Material routes'!$A$6:$A$2205,0)),"MISSING ID")</x:f>
        <x:v>Unspecified</x:v>
      </x:c>
      <x:c r="R136" s="4" t="str">
        <x:f>IF(L136="Withheld","Withheld premise",IF(E136="Tool candidate","Reusable prerequisite",IF(K136="Raw entry preparation","Entry-resource preparation",IF(G136="Not applicable",IF(IFERROR(INDEX('Items'!$AI$6:$AI$1005,MATCH(T136,'Items'!$A$6:$A$1005,0)),"MISSING ID")="Finished item","Finished endpoint",IF(IFERROR(INDEX('Items'!$AI$6:$AI$1005,MATCH(T136,'Items'!$A$6:$A$1005,0)),"MISSING ID")="Currency","Currency / no refinement tier","Recovered output / tier not applicable")),IF(OR(IFERROR(INDEX('Crafting recipes'!$H$6:$H$1005,MATCH(J136,'Crafting recipes'!$A$6:$A$1005,0)),"MISSING ID")="Unassigned",G136="Unassigned"),"Tier unresolved",IF(IFERROR(VALUE(RIGHT(G136,1))-VALUE(RIGHT(IFERROR(INDEX('Crafting recipes'!$H$6:$H$1005,MATCH(J136,'Crafting recipes'!$A$6:$A$1005,0)),"MISSING ID"),1)),0)=1,IF(B136=IFERROR(INDEX('Crafting recipes'!$H$6:$H$1005,MATCH(J136,'Crafting recipes'!$A$6:$A$1005,0)),"MISSING ID"),"Advances one material tier","Lower-tier ingredient; route advances one tier"),"Needs tier review"))))))</x:f>
        <x:v>Advances one material tier</x:v>
      </x:c>
      <x:c r="S136" s="4" t="str">
        <x:f>IFERROR(INDEX('Material routes'!$D$6:$D$2205,MATCH(U136,'Material routes'!$A$6:$A$2205,0)),"MISSING ID")</x:f>
        <x:v>author.metallurgy.steel_stock</x:v>
      </x:c>
      <x:c r="T136" s="4" t="str">
        <x:f>IFERROR(INDEX('Material routes'!$D$6:$D$2205,MATCH(V136,'Material routes'!$A$6:$A$2205,0)),"MISSING ID")</x:f>
        <x:v>proposal.branch.spring_steel</x:v>
      </x:c>
      <x:c r="U136" s="4" t="str">
        <x:v>design.branch.branch.spring_steel.in.1</x:v>
      </x:c>
      <x:c r="V136" s="4" t="str">
        <x:v>design.branch.branch.spring_steel.out</x:v>
      </x:c>
    </x:row>
    <x:row r="137" ht="105" customHeight="1">
      <x:c r="A137" s="4" t="str">
        <x:f>IFERROR(INDEX('Material routes'!$E$6:$E$2205,MATCH(U137,'Material routes'!$A$6:$A$2205,0)),"MISSING ID")</x:f>
        <x:v>Prepared manganese alloying stock</x:v>
      </x:c>
      <x:c r="B137" s="4" t="str">
        <x:f>IFERROR(INDEX('Material routes'!$F$6:$F$2205,MATCH(U137,'Material routes'!$A$6:$A$2205,0)),"MISSING ID")</x:f>
        <x:v>T2</x:v>
      </x:c>
      <x:c r="C137" s="4" t="str">
        <x:f>IFERROR(INDEX('Material routes'!$H$6:$H$2205,MATCH(U137,'Material routes'!$A$6:$A$2205,0)),"MISSING ID")</x:f>
        <x:v>Processed material</x:v>
      </x:c>
      <x:c r="D137" s="4" t="str">
        <x:f>IFERROR(INDEX('Material routes'!$G$6:$G$2205,MATCH(U137,'Material routes'!$A$6:$A$2205,0)),"MISSING ID")</x:f>
        <x:v>Manufactured stock</x:v>
      </x:c>
      <x:c r="E137" s="4" t="str">
        <x:f>IFERROR(INDEX('Material routes'!$C$6:$C$2205,MATCH(U137,'Material routes'!$A$6:$A$2205,0)),"MISSING ID")</x:f>
        <x:v>Ingredient candidate</x:v>
      </x:c>
      <x:c r="F137" s="4" t="str">
        <x:f>IFERROR(INDEX('Material routes'!$E$6:$E$2205,MATCH(V137,'Material routes'!$A$6:$A$2205,0)),"MISSING ID")</x:f>
        <x:v>Spring-grade steel stock</x:v>
      </x:c>
      <x:c r="G137" s="4" t="str">
        <x:f>IFERROR(INDEX('Material routes'!$F$6:$F$2205,MATCH(V137,'Material routes'!$A$6:$A$2205,0)),"MISSING ID")</x:f>
        <x:v>T3</x:v>
      </x:c>
      <x:c r="H137" s="4" t="str">
        <x:f>IFERROR(INDEX('Material routes'!$H$6:$H$2205,MATCH(V137,'Material routes'!$A$6:$A$2205,0)),"MISSING ID")</x:f>
        <x:v>Processed material</x:v>
      </x:c>
      <x:c r="I137" s="4" t="str">
        <x:f>IFERROR(INDEX('Material routes'!$G$6:$G$2205,MATCH(V137,'Material routes'!$A$6:$A$2205,0)),"MISSING ID")</x:f>
        <x:v>Manufactured stock</x:v>
      </x:c>
      <x:c r="J137" s="4" t="str">
        <x:f>IFERROR(INDEX('Material routes'!$B$6:$B$2205,MATCH(U137,'Material routes'!$A$6:$A$2205,0)),"MISSING ID")</x:f>
        <x:v>design.branch.branch.spring_steel</x:v>
      </x:c>
      <x:c r="K137" s="4" t="str">
        <x:f>IFERROR(INDEX('Crafting recipes'!$C$6:$C$1005,MATCH(J137,'Crafting recipes'!$A$6:$A$1005,0)),"MISSING ID")</x:f>
        <x:v>Material refinement</x:v>
      </x:c>
      <x:c r="L137" s="4" t="str">
        <x:f>IFERROR(INDEX('Material routes'!$K$6:$K$2205,MATCH(U137,'Material routes'!$A$6:$A$2205,0)),"MISSING ID")</x:f>
        <x:v>Proposal</x:v>
      </x:c>
      <x:c r="M137" s="4" t="str">
        <x:f>IFERROR(INDEX('Material routes'!$M$6:$M$2205,MATCH(U137,'Material routes'!$A$6:$A$2205,0)),"MISSING ID")</x:f>
        <x:v>Partial proposal</x:v>
      </x:c>
      <x:c r="N137" s="4" t="str">
        <x:f>IF(IFERROR(INDEX('Material routes'!$I$6:$I$1005,MATCH(U137,'Material routes'!$A$6:$A$1005,0)),"MISSING ID")=0,"",IFERROR(INDEX('Material routes'!$I$6:$I$1005,MATCH(U137,'Material routes'!$A$6:$A$1005,0)),"MISSING ID"))</x:f>
      </x:c>
      <x:c r="O137" s="4" t="str">
        <x:f>IFERROR(INDEX('Material routes'!$J$6:$J$2205,MATCH(U137,'Material routes'!$A$6:$A$2205,0)),"MISSING ID")</x:f>
        <x:v>Unspecified</x:v>
      </x:c>
      <x:c r="P137" s="4" t="str">
        <x:f>IF(IFERROR(INDEX('Material routes'!$I$6:$I$1005,MATCH(V137,'Material routes'!$A$6:$A$1005,0)),"MISSING ID")=0,"",IFERROR(INDEX('Material routes'!$I$6:$I$1005,MATCH(V137,'Material routes'!$A$6:$A$1005,0)),"MISSING ID"))</x:f>
      </x:c>
      <x:c r="Q137" s="4" t="str">
        <x:f>IFERROR(INDEX('Material routes'!$J$6:$J$2205,MATCH(V137,'Material routes'!$A$6:$A$2205,0)),"MISSING ID")</x:f>
        <x:v>Unspecified</x:v>
      </x:c>
      <x:c r="R137" s="4" t="str">
        <x:f>IF(L137="Withheld","Withheld premise",IF(E137="Tool candidate","Reusable prerequisite",IF(K137="Raw entry preparation","Entry-resource preparation",IF(G137="Not applicable",IF(IFERROR(INDEX('Items'!$AI$6:$AI$1005,MATCH(T137,'Items'!$A$6:$A$1005,0)),"MISSING ID")="Finished item","Finished endpoint",IF(IFERROR(INDEX('Items'!$AI$6:$AI$1005,MATCH(T137,'Items'!$A$6:$A$1005,0)),"MISSING ID")="Currency","Currency / no refinement tier","Recovered output / tier not applicable")),IF(OR(IFERROR(INDEX('Crafting recipes'!$H$6:$H$1005,MATCH(J137,'Crafting recipes'!$A$6:$A$1005,0)),"MISSING ID")="Unassigned",G137="Unassigned"),"Tier unresolved",IF(IFERROR(VALUE(RIGHT(G137,1))-VALUE(RIGHT(IFERROR(INDEX('Crafting recipes'!$H$6:$H$1005,MATCH(J137,'Crafting recipes'!$A$6:$A$1005,0)),"MISSING ID"),1)),0)=1,IF(B137=IFERROR(INDEX('Crafting recipes'!$H$6:$H$1005,MATCH(J137,'Crafting recipes'!$A$6:$A$1005,0)),"MISSING ID"),"Advances one material tier","Lower-tier ingredient; route advances one tier"),"Needs tier review"))))))</x:f>
        <x:v>Advances one material tier</x:v>
      </x:c>
      <x:c r="S137" s="4" t="str">
        <x:f>IFERROR(INDEX('Material routes'!$D$6:$D$2205,MATCH(U137,'Material routes'!$A$6:$A$2205,0)),"MISSING ID")</x:f>
        <x:v>proposal.branch.alloy_addition</x:v>
      </x:c>
      <x:c r="T137" s="4" t="str">
        <x:f>IFERROR(INDEX('Material routes'!$D$6:$D$2205,MATCH(V137,'Material routes'!$A$6:$A$2205,0)),"MISSING ID")</x:f>
        <x:v>proposal.branch.spring_steel</x:v>
      </x:c>
      <x:c r="U137" s="4" t="str">
        <x:v>design.branch.branch.spring_steel.in.2</x:v>
      </x:c>
      <x:c r="V137" s="4" t="str">
        <x:v>design.branch.branch.spring_steel.out</x:v>
      </x:c>
    </x:row>
    <x:row r="138" ht="105" customHeight="1">
      <x:c r="A138" s="4" t="str">
        <x:f>IFERROR(INDEX('Material routes'!$E$6:$E$2205,MATCH(U138,'Material routes'!$A$6:$A$2205,0)),"MISSING ID")</x:f>
        <x:v>Prepared metallurgical flux</x:v>
      </x:c>
      <x:c r="B138" s="4" t="str">
        <x:f>IFERROR(INDEX('Material routes'!$F$6:$F$2205,MATCH(U138,'Material routes'!$A$6:$A$2205,0)),"MISSING ID")</x:f>
        <x:v>T1</x:v>
      </x:c>
      <x:c r="C138" s="4" t="str">
        <x:f>IFERROR(INDEX('Material routes'!$H$6:$H$2205,MATCH(U138,'Material routes'!$A$6:$A$2205,0)),"MISSING ID")</x:f>
        <x:v>Processed material</x:v>
      </x:c>
      <x:c r="D138" s="4" t="str">
        <x:f>IFERROR(INDEX('Material routes'!$G$6:$G$2205,MATCH(U138,'Material routes'!$A$6:$A$2205,0)),"MISSING ID")</x:f>
        <x:v>Crafting components</x:v>
      </x:c>
      <x:c r="E138" s="4" t="str">
        <x:f>IFERROR(INDEX('Material routes'!$C$6:$C$2205,MATCH(U138,'Material routes'!$A$6:$A$2205,0)),"MISSING ID")</x:f>
        <x:v>Ingredient candidate</x:v>
      </x:c>
      <x:c r="F138" s="4" t="str">
        <x:f>IFERROR(INDEX('Material routes'!$E$6:$E$2205,MATCH(V138,'Material routes'!$A$6:$A$2205,0)),"MISSING ID")</x:f>
        <x:v>Spring-grade steel stock</x:v>
      </x:c>
      <x:c r="G138" s="4" t="str">
        <x:f>IFERROR(INDEX('Material routes'!$F$6:$F$2205,MATCH(V138,'Material routes'!$A$6:$A$2205,0)),"MISSING ID")</x:f>
        <x:v>T3</x:v>
      </x:c>
      <x:c r="H138" s="4" t="str">
        <x:f>IFERROR(INDEX('Material routes'!$H$6:$H$2205,MATCH(V138,'Material routes'!$A$6:$A$2205,0)),"MISSING ID")</x:f>
        <x:v>Processed material</x:v>
      </x:c>
      <x:c r="I138" s="4" t="str">
        <x:f>IFERROR(INDEX('Material routes'!$G$6:$G$2205,MATCH(V138,'Material routes'!$A$6:$A$2205,0)),"MISSING ID")</x:f>
        <x:v>Manufactured stock</x:v>
      </x:c>
      <x:c r="J138" s="4" t="str">
        <x:f>IFERROR(INDEX('Material routes'!$B$6:$B$2205,MATCH(U138,'Material routes'!$A$6:$A$2205,0)),"MISSING ID")</x:f>
        <x:v>design.branch.branch.spring_steel</x:v>
      </x:c>
      <x:c r="K138" s="4" t="str">
        <x:f>IFERROR(INDEX('Crafting recipes'!$C$6:$C$1005,MATCH(J138,'Crafting recipes'!$A$6:$A$1005,0)),"MISSING ID")</x:f>
        <x:v>Material refinement</x:v>
      </x:c>
      <x:c r="L138" s="4" t="str">
        <x:f>IFERROR(INDEX('Material routes'!$K$6:$K$2205,MATCH(U138,'Material routes'!$A$6:$A$2205,0)),"MISSING ID")</x:f>
        <x:v>Proposal</x:v>
      </x:c>
      <x:c r="M138" s="4" t="str">
        <x:f>IFERROR(INDEX('Material routes'!$M$6:$M$2205,MATCH(U138,'Material routes'!$A$6:$A$2205,0)),"MISSING ID")</x:f>
        <x:v>Partial proposal</x:v>
      </x:c>
      <x:c r="N138" s="4" t="str">
        <x:f>IF(IFERROR(INDEX('Material routes'!$I$6:$I$1005,MATCH(U138,'Material routes'!$A$6:$A$1005,0)),"MISSING ID")=0,"",IFERROR(INDEX('Material routes'!$I$6:$I$1005,MATCH(U138,'Material routes'!$A$6:$A$1005,0)),"MISSING ID"))</x:f>
      </x:c>
      <x:c r="O138" s="4" t="str">
        <x:f>IFERROR(INDEX('Material routes'!$J$6:$J$2205,MATCH(U138,'Material routes'!$A$6:$A$2205,0)),"MISSING ID")</x:f>
        <x:v>Unspecified</x:v>
      </x:c>
      <x:c r="P138" s="4" t="str">
        <x:f>IF(IFERROR(INDEX('Material routes'!$I$6:$I$1005,MATCH(V138,'Material routes'!$A$6:$A$1005,0)),"MISSING ID")=0,"",IFERROR(INDEX('Material routes'!$I$6:$I$1005,MATCH(V138,'Material routes'!$A$6:$A$1005,0)),"MISSING ID"))</x:f>
      </x:c>
      <x:c r="Q138" s="4" t="str">
        <x:f>IFERROR(INDEX('Material routes'!$J$6:$J$2205,MATCH(V138,'Material routes'!$A$6:$A$2205,0)),"MISSING ID")</x:f>
        <x:v>Unspecified</x:v>
      </x:c>
      <x:c r="R138" s="4" t="str">
        <x:f>IF(L138="Withheld","Withheld premise",IF(E138="Tool candidate","Reusable prerequisite",IF(K138="Raw entry preparation","Entry-resource preparation",IF(G138="Not applicable",IF(IFERROR(INDEX('Items'!$AI$6:$AI$1005,MATCH(T138,'Items'!$A$6:$A$1005,0)),"MISSING ID")="Finished item","Finished endpoint",IF(IFERROR(INDEX('Items'!$AI$6:$AI$1005,MATCH(T138,'Items'!$A$6:$A$1005,0)),"MISSING ID")="Currency","Currency / no refinement tier","Recovered output / tier not applicable")),IF(OR(IFERROR(INDEX('Crafting recipes'!$H$6:$H$1005,MATCH(J138,'Crafting recipes'!$A$6:$A$1005,0)),"MISSING ID")="Unassigned",G138="Unassigned"),"Tier unresolved",IF(IFERROR(VALUE(RIGHT(G138,1))-VALUE(RIGHT(IFERROR(INDEX('Crafting recipes'!$H$6:$H$1005,MATCH(J138,'Crafting recipes'!$A$6:$A$1005,0)),"MISSING ID"),1)),0)=1,IF(B138=IFERROR(INDEX('Crafting recipes'!$H$6:$H$1005,MATCH(J138,'Crafting recipes'!$A$6:$A$1005,0)),"MISSING ID"),"Advances one material tier","Lower-tier ingredient; route advances one tier"),"Needs tier review"))))))</x:f>
        <x:v>Lower-tier ingredient; route advances one tier</x:v>
      </x:c>
      <x:c r="S138" s="4" t="str">
        <x:f>IFERROR(INDEX('Material routes'!$D$6:$D$2205,MATCH(U138,'Material routes'!$A$6:$A$2205,0)),"MISSING ID")</x:f>
        <x:v>proposal.branch.flux</x:v>
      </x:c>
      <x:c r="T138" s="4" t="str">
        <x:f>IFERROR(INDEX('Material routes'!$D$6:$D$2205,MATCH(V138,'Material routes'!$A$6:$A$2205,0)),"MISSING ID")</x:f>
        <x:v>proposal.branch.spring_steel</x:v>
      </x:c>
      <x:c r="U138" s="4" t="str">
        <x:v>design.branch.branch.spring_steel.in.3</x:v>
      </x:c>
      <x:c r="V138" s="4" t="str">
        <x:v>design.branch.branch.spring_steel.out</x:v>
      </x:c>
    </x:row>
    <x:row r="139" ht="105" customHeight="1">
      <x:c r="A139" s="4" t="str">
        <x:f>IFERROR(INDEX('Material routes'!$E$6:$E$2205,MATCH(U139,'Material routes'!$A$6:$A$2205,0)),"MISSING ID")</x:f>
        <x:v>Drawn copper stock</x:v>
      </x:c>
      <x:c r="B139" s="4" t="str">
        <x:f>IFERROR(INDEX('Material routes'!$F$6:$F$2205,MATCH(U139,'Material routes'!$A$6:$A$2205,0)),"MISSING ID")</x:f>
        <x:v>T2</x:v>
      </x:c>
      <x:c r="C139" s="4" t="str">
        <x:f>IFERROR(INDEX('Material routes'!$H$6:$H$2205,MATCH(U139,'Material routes'!$A$6:$A$2205,0)),"MISSING ID")</x:f>
        <x:v>Processed material</x:v>
      </x:c>
      <x:c r="D139" s="4" t="str">
        <x:f>IFERROR(INDEX('Material routes'!$G$6:$G$2205,MATCH(U139,'Material routes'!$A$6:$A$2205,0)),"MISSING ID")</x:f>
        <x:v>Manufactured stock</x:v>
      </x:c>
      <x:c r="E139" s="4" t="str">
        <x:f>IFERROR(INDEX('Material routes'!$C$6:$C$2205,MATCH(U139,'Material routes'!$A$6:$A$2205,0)),"MISSING ID")</x:f>
        <x:v>Ingredient candidate</x:v>
      </x:c>
      <x:c r="F139" s="4" t="str">
        <x:f>IFERROR(INDEX('Material routes'!$E$6:$E$2205,MATCH(V139,'Material routes'!$A$6:$A$2205,0)),"MISSING ID")</x:f>
        <x:v>Insulated conductor stock</x:v>
      </x:c>
      <x:c r="G139" s="4" t="str">
        <x:f>IFERROR(INDEX('Material routes'!$F$6:$F$2205,MATCH(V139,'Material routes'!$A$6:$A$2205,0)),"MISSING ID")</x:f>
        <x:v>T3</x:v>
      </x:c>
      <x:c r="H139" s="4" t="str">
        <x:f>IFERROR(INDEX('Material routes'!$H$6:$H$2205,MATCH(V139,'Material routes'!$A$6:$A$2205,0)),"MISSING ID")</x:f>
        <x:v>Processed material</x:v>
      </x:c>
      <x:c r="I139" s="4" t="str">
        <x:f>IFERROR(INDEX('Material routes'!$G$6:$G$2205,MATCH(V139,'Material routes'!$A$6:$A$2205,0)),"MISSING ID")</x:f>
        <x:v>Manufactured stock</x:v>
      </x:c>
      <x:c r="J139" s="4" t="str">
        <x:f>IFERROR(INDEX('Material routes'!$B$6:$B$2205,MATCH(U139,'Material routes'!$A$6:$A$2205,0)),"MISSING ID")</x:f>
        <x:v>design.branch.branch.insulated_conductor</x:v>
      </x:c>
      <x:c r="K139" s="4" t="str">
        <x:f>IFERROR(INDEX('Crafting recipes'!$C$6:$C$1005,MATCH(J139,'Crafting recipes'!$A$6:$A$1005,0)),"MISSING ID")</x:f>
        <x:v>Material refinement</x:v>
      </x:c>
      <x:c r="L139" s="4" t="str">
        <x:f>IFERROR(INDEX('Material routes'!$K$6:$K$2205,MATCH(U139,'Material routes'!$A$6:$A$2205,0)),"MISSING ID")</x:f>
        <x:v>Proposal</x:v>
      </x:c>
      <x:c r="M139" s="4" t="str">
        <x:f>IFERROR(INDEX('Material routes'!$M$6:$M$2205,MATCH(U139,'Material routes'!$A$6:$A$2205,0)),"MISSING ID")</x:f>
        <x:v>Partial proposal</x:v>
      </x:c>
      <x:c r="N139" s="4" t="str">
        <x:f>IF(IFERROR(INDEX('Material routes'!$I$6:$I$1005,MATCH(U139,'Material routes'!$A$6:$A$1005,0)),"MISSING ID")=0,"",IFERROR(INDEX('Material routes'!$I$6:$I$1005,MATCH(U139,'Material routes'!$A$6:$A$1005,0)),"MISSING ID"))</x:f>
      </x:c>
      <x:c r="O139" s="4" t="str">
        <x:f>IFERROR(INDEX('Material routes'!$J$6:$J$2205,MATCH(U139,'Material routes'!$A$6:$A$2205,0)),"MISSING ID")</x:f>
        <x:v>Unspecified</x:v>
      </x:c>
      <x:c r="P139" s="4" t="str">
        <x:f>IF(IFERROR(INDEX('Material routes'!$I$6:$I$1005,MATCH(V139,'Material routes'!$A$6:$A$1005,0)),"MISSING ID")=0,"",IFERROR(INDEX('Material routes'!$I$6:$I$1005,MATCH(V139,'Material routes'!$A$6:$A$1005,0)),"MISSING ID"))</x:f>
      </x:c>
      <x:c r="Q139" s="4" t="str">
        <x:f>IFERROR(INDEX('Material routes'!$J$6:$J$2205,MATCH(V139,'Material routes'!$A$6:$A$2205,0)),"MISSING ID")</x:f>
        <x:v>Unspecified</x:v>
      </x:c>
      <x:c r="R139" s="4" t="str">
        <x:f>IF(L139="Withheld","Withheld premise",IF(E139="Tool candidate","Reusable prerequisite",IF(K139="Raw entry preparation","Entry-resource preparation",IF(G139="Not applicable",IF(IFERROR(INDEX('Items'!$AI$6:$AI$1005,MATCH(T139,'Items'!$A$6:$A$1005,0)),"MISSING ID")="Finished item","Finished endpoint",IF(IFERROR(INDEX('Items'!$AI$6:$AI$1005,MATCH(T139,'Items'!$A$6:$A$1005,0)),"MISSING ID")="Currency","Currency / no refinement tier","Recovered output / tier not applicable")),IF(OR(IFERROR(INDEX('Crafting recipes'!$H$6:$H$1005,MATCH(J139,'Crafting recipes'!$A$6:$A$1005,0)),"MISSING ID")="Unassigned",G139="Unassigned"),"Tier unresolved",IF(IFERROR(VALUE(RIGHT(G139,1))-VALUE(RIGHT(IFERROR(INDEX('Crafting recipes'!$H$6:$H$1005,MATCH(J139,'Crafting recipes'!$A$6:$A$1005,0)),"MISSING ID"),1)),0)=1,IF(B139=IFERROR(INDEX('Crafting recipes'!$H$6:$H$1005,MATCH(J139,'Crafting recipes'!$A$6:$A$1005,0)),"MISSING ID"),"Advances one material tier","Lower-tier ingredient; route advances one tier"),"Needs tier review"))))))</x:f>
        <x:v>Advances one material tier</x:v>
      </x:c>
      <x:c r="S139" s="4" t="str">
        <x:f>IFERROR(INDEX('Material routes'!$D$6:$D$2205,MATCH(U139,'Material routes'!$A$6:$A$2205,0)),"MISSING ID")</x:f>
        <x:v>proposal.branch.drawn_copper</x:v>
      </x:c>
      <x:c r="T139" s="4" t="str">
        <x:f>IFERROR(INDEX('Material routes'!$D$6:$D$2205,MATCH(V139,'Material routes'!$A$6:$A$2205,0)),"MISSING ID")</x:f>
        <x:v>proposal.branch.insulated_conductor</x:v>
      </x:c>
      <x:c r="U139" s="4" t="str">
        <x:v>design.branch.branch.insulated_conductor.in.1</x:v>
      </x:c>
      <x:c r="V139" s="4" t="str">
        <x:v>design.branch.branch.insulated_conductor.out</x:v>
      </x:c>
    </x:row>
    <x:row r="140" ht="105" customHeight="1">
      <x:c r="A140" s="4" t="str">
        <x:f>IFERROR(INDEX('Material routes'!$E$6:$E$2205,MATCH(U140,'Material routes'!$A$6:$A$2205,0)),"MISSING ID")</x:f>
        <x:v>Mica composite sheet</x:v>
      </x:c>
      <x:c r="B140" s="4" t="str">
        <x:f>IFERROR(INDEX('Material routes'!$F$6:$F$2205,MATCH(U140,'Material routes'!$A$6:$A$2205,0)),"MISSING ID")</x:f>
        <x:v>T2</x:v>
      </x:c>
      <x:c r="C140" s="4" t="str">
        <x:f>IFERROR(INDEX('Material routes'!$H$6:$H$2205,MATCH(U140,'Material routes'!$A$6:$A$2205,0)),"MISSING ID")</x:f>
        <x:v>Processed material</x:v>
      </x:c>
      <x:c r="D140" s="4" t="str">
        <x:f>IFERROR(INDEX('Material routes'!$G$6:$G$2205,MATCH(U140,'Material routes'!$A$6:$A$2205,0)),"MISSING ID")</x:f>
        <x:v>Manufactured stock</x:v>
      </x:c>
      <x:c r="E140" s="4" t="str">
        <x:f>IFERROR(INDEX('Material routes'!$C$6:$C$2205,MATCH(U140,'Material routes'!$A$6:$A$2205,0)),"MISSING ID")</x:f>
        <x:v>Ingredient candidate</x:v>
      </x:c>
      <x:c r="F140" s="4" t="str">
        <x:f>IFERROR(INDEX('Material routes'!$E$6:$E$2205,MATCH(V140,'Material routes'!$A$6:$A$2205,0)),"MISSING ID")</x:f>
        <x:v>Insulated conductor stock</x:v>
      </x:c>
      <x:c r="G140" s="4" t="str">
        <x:f>IFERROR(INDEX('Material routes'!$F$6:$F$2205,MATCH(V140,'Material routes'!$A$6:$A$2205,0)),"MISSING ID")</x:f>
        <x:v>T3</x:v>
      </x:c>
      <x:c r="H140" s="4" t="str">
        <x:f>IFERROR(INDEX('Material routes'!$H$6:$H$2205,MATCH(V140,'Material routes'!$A$6:$A$2205,0)),"MISSING ID")</x:f>
        <x:v>Processed material</x:v>
      </x:c>
      <x:c r="I140" s="4" t="str">
        <x:f>IFERROR(INDEX('Material routes'!$G$6:$G$2205,MATCH(V140,'Material routes'!$A$6:$A$2205,0)),"MISSING ID")</x:f>
        <x:v>Manufactured stock</x:v>
      </x:c>
      <x:c r="J140" s="4" t="str">
        <x:f>IFERROR(INDEX('Material routes'!$B$6:$B$2205,MATCH(U140,'Material routes'!$A$6:$A$2205,0)),"MISSING ID")</x:f>
        <x:v>design.branch.branch.insulated_conductor</x:v>
      </x:c>
      <x:c r="K140" s="4" t="str">
        <x:f>IFERROR(INDEX('Crafting recipes'!$C$6:$C$1005,MATCH(J140,'Crafting recipes'!$A$6:$A$1005,0)),"MISSING ID")</x:f>
        <x:v>Material refinement</x:v>
      </x:c>
      <x:c r="L140" s="4" t="str">
        <x:f>IFERROR(INDEX('Material routes'!$K$6:$K$2205,MATCH(U140,'Material routes'!$A$6:$A$2205,0)),"MISSING ID")</x:f>
        <x:v>Proposal</x:v>
      </x:c>
      <x:c r="M140" s="4" t="str">
        <x:f>IFERROR(INDEX('Material routes'!$M$6:$M$2205,MATCH(U140,'Material routes'!$A$6:$A$2205,0)),"MISSING ID")</x:f>
        <x:v>Partial proposal</x:v>
      </x:c>
      <x:c r="N140" s="4" t="str">
        <x:f>IF(IFERROR(INDEX('Material routes'!$I$6:$I$1005,MATCH(U140,'Material routes'!$A$6:$A$1005,0)),"MISSING ID")=0,"",IFERROR(INDEX('Material routes'!$I$6:$I$1005,MATCH(U140,'Material routes'!$A$6:$A$1005,0)),"MISSING ID"))</x:f>
      </x:c>
      <x:c r="O140" s="4" t="str">
        <x:f>IFERROR(INDEX('Material routes'!$J$6:$J$2205,MATCH(U140,'Material routes'!$A$6:$A$2205,0)),"MISSING ID")</x:f>
        <x:v>Unspecified</x:v>
      </x:c>
      <x:c r="P140" s="4" t="str">
        <x:f>IF(IFERROR(INDEX('Material routes'!$I$6:$I$1005,MATCH(V140,'Material routes'!$A$6:$A$1005,0)),"MISSING ID")=0,"",IFERROR(INDEX('Material routes'!$I$6:$I$1005,MATCH(V140,'Material routes'!$A$6:$A$1005,0)),"MISSING ID"))</x:f>
      </x:c>
      <x:c r="Q140" s="4" t="str">
        <x:f>IFERROR(INDEX('Material routes'!$J$6:$J$2205,MATCH(V140,'Material routes'!$A$6:$A$2205,0)),"MISSING ID")</x:f>
        <x:v>Unspecified</x:v>
      </x:c>
      <x:c r="R140" s="4" t="str">
        <x:f>IF(L140="Withheld","Withheld premise",IF(E140="Tool candidate","Reusable prerequisite",IF(K140="Raw entry preparation","Entry-resource preparation",IF(G140="Not applicable",IF(IFERROR(INDEX('Items'!$AI$6:$AI$1005,MATCH(T140,'Items'!$A$6:$A$1005,0)),"MISSING ID")="Finished item","Finished endpoint",IF(IFERROR(INDEX('Items'!$AI$6:$AI$1005,MATCH(T140,'Items'!$A$6:$A$1005,0)),"MISSING ID")="Currency","Currency / no refinement tier","Recovered output / tier not applicable")),IF(OR(IFERROR(INDEX('Crafting recipes'!$H$6:$H$1005,MATCH(J140,'Crafting recipes'!$A$6:$A$1005,0)),"MISSING ID")="Unassigned",G140="Unassigned"),"Tier unresolved",IF(IFERROR(VALUE(RIGHT(G140,1))-VALUE(RIGHT(IFERROR(INDEX('Crafting recipes'!$H$6:$H$1005,MATCH(J140,'Crafting recipes'!$A$6:$A$1005,0)),"MISSING ID"),1)),0)=1,IF(B140=IFERROR(INDEX('Crafting recipes'!$H$6:$H$1005,MATCH(J140,'Crafting recipes'!$A$6:$A$1005,0)),"MISSING ID"),"Advances one material tier","Lower-tier ingredient; route advances one tier"),"Needs tier review"))))))</x:f>
        <x:v>Advances one material tier</x:v>
      </x:c>
      <x:c r="S140" s="4" t="str">
        <x:f>IFERROR(INDEX('Material routes'!$D$6:$D$2205,MATCH(U140,'Material routes'!$A$6:$A$2205,0)),"MISSING ID")</x:f>
        <x:v>proposal.branch.mica_sheet</x:v>
      </x:c>
      <x:c r="T140" s="4" t="str">
        <x:f>IFERROR(INDEX('Material routes'!$D$6:$D$2205,MATCH(V140,'Material routes'!$A$6:$A$2205,0)),"MISSING ID")</x:f>
        <x:v>proposal.branch.insulated_conductor</x:v>
      </x:c>
      <x:c r="U140" s="4" t="str">
        <x:v>design.branch.branch.insulated_conductor.in.2</x:v>
      </x:c>
      <x:c r="V140" s="4" t="str">
        <x:v>design.branch.branch.insulated_conductor.out</x:v>
      </x:c>
    </x:row>
    <x:row r="141" ht="105" customHeight="1">
      <x:c r="A141" s="4" t="str">
        <x:f>IFERROR(INDEX('Material routes'!$E$6:$E$2205,MATCH(U141,'Material routes'!$A$6:$A$2205,0)),"MISSING ID")</x:f>
        <x:v>Flexible membrane-bonding compound</x:v>
      </x:c>
      <x:c r="B141" s="4" t="str">
        <x:f>IFERROR(INDEX('Material routes'!$F$6:$F$2205,MATCH(U141,'Material routes'!$A$6:$A$2205,0)),"MISSING ID")</x:f>
        <x:v>T2</x:v>
      </x:c>
      <x:c r="C141" s="4" t="str">
        <x:f>IFERROR(INDEX('Material routes'!$H$6:$H$2205,MATCH(U141,'Material routes'!$A$6:$A$2205,0)),"MISSING ID")</x:f>
        <x:v>Chemical material</x:v>
      </x:c>
      <x:c r="D141" s="4" t="str">
        <x:f>IFERROR(INDEX('Material routes'!$G$6:$G$2205,MATCH(U141,'Material routes'!$A$6:$A$2205,0)),"MISSING ID")</x:f>
        <x:v>Crafting components</x:v>
      </x:c>
      <x:c r="E141" s="4" t="str">
        <x:f>IFERROR(INDEX('Material routes'!$C$6:$C$2205,MATCH(U141,'Material routes'!$A$6:$A$2205,0)),"MISSING ID")</x:f>
        <x:v>Ingredient candidate</x:v>
      </x:c>
      <x:c r="F141" s="4" t="str">
        <x:f>IFERROR(INDEX('Material routes'!$E$6:$E$2205,MATCH(V141,'Material routes'!$A$6:$A$2205,0)),"MISSING ID")</x:f>
        <x:v>Insulated conductor stock</x:v>
      </x:c>
      <x:c r="G141" s="4" t="str">
        <x:f>IFERROR(INDEX('Material routes'!$F$6:$F$2205,MATCH(V141,'Material routes'!$A$6:$A$2205,0)),"MISSING ID")</x:f>
        <x:v>T3</x:v>
      </x:c>
      <x:c r="H141" s="4" t="str">
        <x:f>IFERROR(INDEX('Material routes'!$H$6:$H$2205,MATCH(V141,'Material routes'!$A$6:$A$2205,0)),"MISSING ID")</x:f>
        <x:v>Processed material</x:v>
      </x:c>
      <x:c r="I141" s="4" t="str">
        <x:f>IFERROR(INDEX('Material routes'!$G$6:$G$2205,MATCH(V141,'Material routes'!$A$6:$A$2205,0)),"MISSING ID")</x:f>
        <x:v>Manufactured stock</x:v>
      </x:c>
      <x:c r="J141" s="4" t="str">
        <x:f>IFERROR(INDEX('Material routes'!$B$6:$B$2205,MATCH(U141,'Material routes'!$A$6:$A$2205,0)),"MISSING ID")</x:f>
        <x:v>design.branch.branch.insulated_conductor</x:v>
      </x:c>
      <x:c r="K141" s="4" t="str">
        <x:f>IFERROR(INDEX('Crafting recipes'!$C$6:$C$1005,MATCH(J141,'Crafting recipes'!$A$6:$A$1005,0)),"MISSING ID")</x:f>
        <x:v>Material refinement</x:v>
      </x:c>
      <x:c r="L141" s="4" t="str">
        <x:f>IFERROR(INDEX('Material routes'!$K$6:$K$2205,MATCH(U141,'Material routes'!$A$6:$A$2205,0)),"MISSING ID")</x:f>
        <x:v>Proposal</x:v>
      </x:c>
      <x:c r="M141" s="4" t="str">
        <x:f>IFERROR(INDEX('Material routes'!$M$6:$M$2205,MATCH(U141,'Material routes'!$A$6:$A$2205,0)),"MISSING ID")</x:f>
        <x:v>Partial proposal</x:v>
      </x:c>
      <x:c r="N141" s="4" t="str">
        <x:f>IF(IFERROR(INDEX('Material routes'!$I$6:$I$1005,MATCH(U141,'Material routes'!$A$6:$A$1005,0)),"MISSING ID")=0,"",IFERROR(INDEX('Material routes'!$I$6:$I$1005,MATCH(U141,'Material routes'!$A$6:$A$1005,0)),"MISSING ID"))</x:f>
      </x:c>
      <x:c r="O141" s="4" t="str">
        <x:f>IFERROR(INDEX('Material routes'!$J$6:$J$2205,MATCH(U141,'Material routes'!$A$6:$A$2205,0)),"MISSING ID")</x:f>
        <x:v>Unspecified</x:v>
      </x:c>
      <x:c r="P141" s="4" t="str">
        <x:f>IF(IFERROR(INDEX('Material routes'!$I$6:$I$1005,MATCH(V141,'Material routes'!$A$6:$A$1005,0)),"MISSING ID")=0,"",IFERROR(INDEX('Material routes'!$I$6:$I$1005,MATCH(V141,'Material routes'!$A$6:$A$1005,0)),"MISSING ID"))</x:f>
      </x:c>
      <x:c r="Q141" s="4" t="str">
        <x:f>IFERROR(INDEX('Material routes'!$J$6:$J$2205,MATCH(V141,'Material routes'!$A$6:$A$2205,0)),"MISSING ID")</x:f>
        <x:v>Unspecified</x:v>
      </x:c>
      <x:c r="R141" s="4" t="str">
        <x:f>IF(L141="Withheld","Withheld premise",IF(E141="Tool candidate","Reusable prerequisite",IF(K141="Raw entry preparation","Entry-resource preparation",IF(G141="Not applicable",IF(IFERROR(INDEX('Items'!$AI$6:$AI$1005,MATCH(T141,'Items'!$A$6:$A$1005,0)),"MISSING ID")="Finished item","Finished endpoint",IF(IFERROR(INDEX('Items'!$AI$6:$AI$1005,MATCH(T141,'Items'!$A$6:$A$1005,0)),"MISSING ID")="Currency","Currency / no refinement tier","Recovered output / tier not applicable")),IF(OR(IFERROR(INDEX('Crafting recipes'!$H$6:$H$1005,MATCH(J141,'Crafting recipes'!$A$6:$A$1005,0)),"MISSING ID")="Unassigned",G141="Unassigned"),"Tier unresolved",IF(IFERROR(VALUE(RIGHT(G141,1))-VALUE(RIGHT(IFERROR(INDEX('Crafting recipes'!$H$6:$H$1005,MATCH(J141,'Crafting recipes'!$A$6:$A$1005,0)),"MISSING ID"),1)),0)=1,IF(B141=IFERROR(INDEX('Crafting recipes'!$H$6:$H$1005,MATCH(J141,'Crafting recipes'!$A$6:$A$1005,0)),"MISSING ID"),"Advances one material tier","Lower-tier ingredient; route advances one tier"),"Needs tier review"))))))</x:f>
        <x:v>Advances one material tier</x:v>
      </x:c>
      <x:c r="S141" s="4" t="str">
        <x:f>IFERROR(INDEX('Material routes'!$D$6:$D$2205,MATCH(U141,'Material routes'!$A$6:$A$2205,0)),"MISSING ID")</x:f>
        <x:v>proposal.branch.flex_bond</x:v>
      </x:c>
      <x:c r="T141" s="4" t="str">
        <x:f>IFERROR(INDEX('Material routes'!$D$6:$D$2205,MATCH(V141,'Material routes'!$A$6:$A$2205,0)),"MISSING ID")</x:f>
        <x:v>proposal.branch.insulated_conductor</x:v>
      </x:c>
      <x:c r="U141" s="4" t="str">
        <x:v>design.branch.branch.insulated_conductor.in.3</x:v>
      </x:c>
      <x:c r="V141" s="4" t="str">
        <x:v>design.branch.branch.insulated_conductor.out</x:v>
      </x:c>
    </x:row>
    <x:row r="142" ht="105" customHeight="1">
      <x:c r="A142" s="4" t="str">
        <x:f>IFERROR(INDEX('Material routes'!$E$6:$E$2205,MATCH(U142,'Material routes'!$A$6:$A$2205,0)),"MISSING ID")</x:f>
        <x:v>Insulating ceramic blanks</x:v>
      </x:c>
      <x:c r="B142" s="4" t="str">
        <x:f>IFERROR(INDEX('Material routes'!$F$6:$F$2205,MATCH(U142,'Material routes'!$A$6:$A$2205,0)),"MISSING ID")</x:f>
        <x:v>T2</x:v>
      </x:c>
      <x:c r="C142" s="4" t="str">
        <x:f>IFERROR(INDEX('Material routes'!$H$6:$H$2205,MATCH(U142,'Material routes'!$A$6:$A$2205,0)),"MISSING ID")</x:f>
        <x:v>Processed material</x:v>
      </x:c>
      <x:c r="D142" s="4" t="str">
        <x:f>IFERROR(INDEX('Material routes'!$G$6:$G$2205,MATCH(U142,'Material routes'!$A$6:$A$2205,0)),"MISSING ID")</x:f>
        <x:v>Manufactured stock</x:v>
      </x:c>
      <x:c r="E142" s="4" t="str">
        <x:f>IFERROR(INDEX('Material routes'!$C$6:$C$2205,MATCH(U142,'Material routes'!$A$6:$A$2205,0)),"MISSING ID")</x:f>
        <x:v>Ingredient candidate</x:v>
      </x:c>
      <x:c r="F142" s="4" t="str">
        <x:f>IFERROR(INDEX('Material routes'!$E$6:$E$2205,MATCH(V142,'Material routes'!$A$6:$A$2205,0)),"MISSING ID")</x:f>
        <x:v>Bonded ceramic-shell composite</x:v>
      </x:c>
      <x:c r="G142" s="4" t="str">
        <x:f>IFERROR(INDEX('Material routes'!$F$6:$F$2205,MATCH(V142,'Material routes'!$A$6:$A$2205,0)),"MISSING ID")</x:f>
        <x:v>T3</x:v>
      </x:c>
      <x:c r="H142" s="4" t="str">
        <x:f>IFERROR(INDEX('Material routes'!$H$6:$H$2205,MATCH(V142,'Material routes'!$A$6:$A$2205,0)),"MISSING ID")</x:f>
        <x:v>Processed material</x:v>
      </x:c>
      <x:c r="I142" s="4" t="str">
        <x:f>IFERROR(INDEX('Material routes'!$G$6:$G$2205,MATCH(V142,'Material routes'!$A$6:$A$2205,0)),"MISSING ID")</x:f>
        <x:v>Manufactured stock</x:v>
      </x:c>
      <x:c r="J142" s="4" t="str">
        <x:f>IFERROR(INDEX('Material routes'!$B$6:$B$2205,MATCH(U142,'Material routes'!$A$6:$A$2205,0)),"MISSING ID")</x:f>
        <x:v>design.branch.branch.ceramic_shell</x:v>
      </x:c>
      <x:c r="K142" s="4" t="str">
        <x:f>IFERROR(INDEX('Crafting recipes'!$C$6:$C$1005,MATCH(J142,'Crafting recipes'!$A$6:$A$1005,0)),"MISSING ID")</x:f>
        <x:v>Material refinement</x:v>
      </x:c>
      <x:c r="L142" s="4" t="str">
        <x:f>IFERROR(INDEX('Material routes'!$K$6:$K$2205,MATCH(U142,'Material routes'!$A$6:$A$2205,0)),"MISSING ID")</x:f>
        <x:v>Proposal</x:v>
      </x:c>
      <x:c r="M142" s="4" t="str">
        <x:f>IFERROR(INDEX('Material routes'!$M$6:$M$2205,MATCH(U142,'Material routes'!$A$6:$A$2205,0)),"MISSING ID")</x:f>
        <x:v>Partial proposal</x:v>
      </x:c>
      <x:c r="N142" s="4" t="str">
        <x:f>IF(IFERROR(INDEX('Material routes'!$I$6:$I$1005,MATCH(U142,'Material routes'!$A$6:$A$1005,0)),"MISSING ID")=0,"",IFERROR(INDEX('Material routes'!$I$6:$I$1005,MATCH(U142,'Material routes'!$A$6:$A$1005,0)),"MISSING ID"))</x:f>
      </x:c>
      <x:c r="O142" s="4" t="str">
        <x:f>IFERROR(INDEX('Material routes'!$J$6:$J$2205,MATCH(U142,'Material routes'!$A$6:$A$2205,0)),"MISSING ID")</x:f>
        <x:v>Unspecified</x:v>
      </x:c>
      <x:c r="P142" s="4" t="str">
        <x:f>IF(IFERROR(INDEX('Material routes'!$I$6:$I$1005,MATCH(V142,'Material routes'!$A$6:$A$1005,0)),"MISSING ID")=0,"",IFERROR(INDEX('Material routes'!$I$6:$I$1005,MATCH(V142,'Material routes'!$A$6:$A$1005,0)),"MISSING ID"))</x:f>
      </x:c>
      <x:c r="Q142" s="4" t="str">
        <x:f>IFERROR(INDEX('Material routes'!$J$6:$J$2205,MATCH(V142,'Material routes'!$A$6:$A$2205,0)),"MISSING ID")</x:f>
        <x:v>Unspecified</x:v>
      </x:c>
      <x:c r="R142" s="4" t="str">
        <x:f>IF(L142="Withheld","Withheld premise",IF(E142="Tool candidate","Reusable prerequisite",IF(K142="Raw entry preparation","Entry-resource preparation",IF(G142="Not applicable",IF(IFERROR(INDEX('Items'!$AI$6:$AI$1005,MATCH(T142,'Items'!$A$6:$A$1005,0)),"MISSING ID")="Finished item","Finished endpoint",IF(IFERROR(INDEX('Items'!$AI$6:$AI$1005,MATCH(T142,'Items'!$A$6:$A$1005,0)),"MISSING ID")="Currency","Currency / no refinement tier","Recovered output / tier not applicable")),IF(OR(IFERROR(INDEX('Crafting recipes'!$H$6:$H$1005,MATCH(J142,'Crafting recipes'!$A$6:$A$1005,0)),"MISSING ID")="Unassigned",G142="Unassigned"),"Tier unresolved",IF(IFERROR(VALUE(RIGHT(G142,1))-VALUE(RIGHT(IFERROR(INDEX('Crafting recipes'!$H$6:$H$1005,MATCH(J142,'Crafting recipes'!$A$6:$A$1005,0)),"MISSING ID"),1)),0)=1,IF(B142=IFERROR(INDEX('Crafting recipes'!$H$6:$H$1005,MATCH(J142,'Crafting recipes'!$A$6:$A$1005,0)),"MISSING ID"),"Advances one material tier","Lower-tier ingredient; route advances one tier"),"Needs tier review"))))))</x:f>
        <x:v>Advances one material tier</x:v>
      </x:c>
      <x:c r="S142" s="4" t="str">
        <x:f>IFERROR(INDEX('Material routes'!$D$6:$D$2205,MATCH(U142,'Material routes'!$A$6:$A$2205,0)),"MISSING ID")</x:f>
        <x:v>proposal.natural.ceramic</x:v>
      </x:c>
      <x:c r="T142" s="4" t="str">
        <x:f>IFERROR(INDEX('Material routes'!$D$6:$D$2205,MATCH(V142,'Material routes'!$A$6:$A$2205,0)),"MISSING ID")</x:f>
        <x:v>proposal.branch.ceramic_shell</x:v>
      </x:c>
      <x:c r="U142" s="4" t="str">
        <x:v>design.branch.branch.ceramic_shell.in.1</x:v>
      </x:c>
      <x:c r="V142" s="4" t="str">
        <x:v>design.branch.branch.ceramic_shell.out</x:v>
      </x:c>
    </x:row>
    <x:row r="143" ht="105" customHeight="1">
      <x:c r="A143" s="4" t="str">
        <x:f>IFERROR(INDEX('Material routes'!$E$6:$E$2205,MATCH(U143,'Material routes'!$A$6:$A$2205,0)),"MISSING ID")</x:f>
        <x:v>Shell laminate</x:v>
      </x:c>
      <x:c r="B143" s="4" t="str">
        <x:f>IFERROR(INDEX('Material routes'!$F$6:$F$2205,MATCH(U143,'Material routes'!$A$6:$A$2205,0)),"MISSING ID")</x:f>
        <x:v>T2</x:v>
      </x:c>
      <x:c r="C143" s="4" t="str">
        <x:f>IFERROR(INDEX('Material routes'!$H$6:$H$2205,MATCH(U143,'Material routes'!$A$6:$A$2205,0)),"MISSING ID")</x:f>
        <x:v>Crafting component</x:v>
      </x:c>
      <x:c r="D143" s="4" t="str">
        <x:f>IFERROR(INDEX('Material routes'!$G$6:$G$2205,MATCH(U143,'Material routes'!$A$6:$A$2205,0)),"MISSING ID")</x:f>
        <x:v>Crafting components</x:v>
      </x:c>
      <x:c r="E143" s="4" t="str">
        <x:f>IFERROR(INDEX('Material routes'!$C$6:$C$2205,MATCH(U143,'Material routes'!$A$6:$A$2205,0)),"MISSING ID")</x:f>
        <x:v>Ingredient candidate</x:v>
      </x:c>
      <x:c r="F143" s="4" t="str">
        <x:f>IFERROR(INDEX('Material routes'!$E$6:$E$2205,MATCH(V143,'Material routes'!$A$6:$A$2205,0)),"MISSING ID")</x:f>
        <x:v>Bonded ceramic-shell composite</x:v>
      </x:c>
      <x:c r="G143" s="4" t="str">
        <x:f>IFERROR(INDEX('Material routes'!$F$6:$F$2205,MATCH(V143,'Material routes'!$A$6:$A$2205,0)),"MISSING ID")</x:f>
        <x:v>T3</x:v>
      </x:c>
      <x:c r="H143" s="4" t="str">
        <x:f>IFERROR(INDEX('Material routes'!$H$6:$H$2205,MATCH(V143,'Material routes'!$A$6:$A$2205,0)),"MISSING ID")</x:f>
        <x:v>Processed material</x:v>
      </x:c>
      <x:c r="I143" s="4" t="str">
        <x:f>IFERROR(INDEX('Material routes'!$G$6:$G$2205,MATCH(V143,'Material routes'!$A$6:$A$2205,0)),"MISSING ID")</x:f>
        <x:v>Manufactured stock</x:v>
      </x:c>
      <x:c r="J143" s="4" t="str">
        <x:f>IFERROR(INDEX('Material routes'!$B$6:$B$2205,MATCH(U143,'Material routes'!$A$6:$A$2205,0)),"MISSING ID")</x:f>
        <x:v>design.branch.branch.ceramic_shell</x:v>
      </x:c>
      <x:c r="K143" s="4" t="str">
        <x:f>IFERROR(INDEX('Crafting recipes'!$C$6:$C$1005,MATCH(J143,'Crafting recipes'!$A$6:$A$1005,0)),"MISSING ID")</x:f>
        <x:v>Material refinement</x:v>
      </x:c>
      <x:c r="L143" s="4" t="str">
        <x:f>IFERROR(INDEX('Material routes'!$K$6:$K$2205,MATCH(U143,'Material routes'!$A$6:$A$2205,0)),"MISSING ID")</x:f>
        <x:v>Proposal</x:v>
      </x:c>
      <x:c r="M143" s="4" t="str">
        <x:f>IFERROR(INDEX('Material routes'!$M$6:$M$2205,MATCH(U143,'Material routes'!$A$6:$A$2205,0)),"MISSING ID")</x:f>
        <x:v>Partial proposal</x:v>
      </x:c>
      <x:c r="N143" s="4" t="str">
        <x:f>IF(IFERROR(INDEX('Material routes'!$I$6:$I$1005,MATCH(U143,'Material routes'!$A$6:$A$1005,0)),"MISSING ID")=0,"",IFERROR(INDEX('Material routes'!$I$6:$I$1005,MATCH(U143,'Material routes'!$A$6:$A$1005,0)),"MISSING ID"))</x:f>
      </x:c>
      <x:c r="O143" s="4" t="str">
        <x:f>IFERROR(INDEX('Material routes'!$J$6:$J$2205,MATCH(U143,'Material routes'!$A$6:$A$2205,0)),"MISSING ID")</x:f>
        <x:v>Unspecified</x:v>
      </x:c>
      <x:c r="P143" s="4" t="str">
        <x:f>IF(IFERROR(INDEX('Material routes'!$I$6:$I$1005,MATCH(V143,'Material routes'!$A$6:$A$1005,0)),"MISSING ID")=0,"",IFERROR(INDEX('Material routes'!$I$6:$I$1005,MATCH(V143,'Material routes'!$A$6:$A$1005,0)),"MISSING ID"))</x:f>
      </x:c>
      <x:c r="Q143" s="4" t="str">
        <x:f>IFERROR(INDEX('Material routes'!$J$6:$J$2205,MATCH(V143,'Material routes'!$A$6:$A$2205,0)),"MISSING ID")</x:f>
        <x:v>Unspecified</x:v>
      </x:c>
      <x:c r="R143" s="4" t="str">
        <x:f>IF(L143="Withheld","Withheld premise",IF(E143="Tool candidate","Reusable prerequisite",IF(K143="Raw entry preparation","Entry-resource preparation",IF(G143="Not applicable",IF(IFERROR(INDEX('Items'!$AI$6:$AI$1005,MATCH(T143,'Items'!$A$6:$A$1005,0)),"MISSING ID")="Finished item","Finished endpoint",IF(IFERROR(INDEX('Items'!$AI$6:$AI$1005,MATCH(T143,'Items'!$A$6:$A$1005,0)),"MISSING ID")="Currency","Currency / no refinement tier","Recovered output / tier not applicable")),IF(OR(IFERROR(INDEX('Crafting recipes'!$H$6:$H$1005,MATCH(J143,'Crafting recipes'!$A$6:$A$1005,0)),"MISSING ID")="Unassigned",G143="Unassigned"),"Tier unresolved",IF(IFERROR(VALUE(RIGHT(G143,1))-VALUE(RIGHT(IFERROR(INDEX('Crafting recipes'!$H$6:$H$1005,MATCH(J143,'Crafting recipes'!$A$6:$A$1005,0)),"MISSING ID"),1)),0)=1,IF(B143=IFERROR(INDEX('Crafting recipes'!$H$6:$H$1005,MATCH(J143,'Crafting recipes'!$A$6:$A$1005,0)),"MISSING ID"),"Advances one material tier","Lower-tier ingredient; route advances one tier"),"Needs tier review"))))))</x:f>
        <x:v>Advances one material tier</x:v>
      </x:c>
      <x:c r="S143" s="4" t="str">
        <x:f>IFERROR(INDEX('Material routes'!$D$6:$D$2205,MATCH(U143,'Material routes'!$A$6:$A$2205,0)),"MISSING ID")</x:f>
        <x:v>proposal.bio.laminate</x:v>
      </x:c>
      <x:c r="T143" s="4" t="str">
        <x:f>IFERROR(INDEX('Material routes'!$D$6:$D$2205,MATCH(V143,'Material routes'!$A$6:$A$2205,0)),"MISSING ID")</x:f>
        <x:v>proposal.branch.ceramic_shell</x:v>
      </x:c>
      <x:c r="U143" s="4" t="str">
        <x:v>design.branch.branch.ceramic_shell.in.2</x:v>
      </x:c>
      <x:c r="V143" s="4" t="str">
        <x:v>design.branch.branch.ceramic_shell.out</x:v>
      </x:c>
    </x:row>
    <x:row r="144" ht="105" customHeight="1">
      <x:c r="A144" s="4" t="str">
        <x:f>IFERROR(INDEX('Material routes'!$E$6:$E$2205,MATCH(U144,'Material routes'!$A$6:$A$2205,0)),"MISSING ID")</x:f>
        <x:v>Filled shell-binding compound</x:v>
      </x:c>
      <x:c r="B144" s="4" t="str">
        <x:f>IFERROR(INDEX('Material routes'!$F$6:$F$2205,MATCH(U144,'Material routes'!$A$6:$A$2205,0)),"MISSING ID")</x:f>
        <x:v>T2</x:v>
      </x:c>
      <x:c r="C144" s="4" t="str">
        <x:f>IFERROR(INDEX('Material routes'!$H$6:$H$2205,MATCH(U144,'Material routes'!$A$6:$A$2205,0)),"MISSING ID")</x:f>
        <x:v>Chemical material</x:v>
      </x:c>
      <x:c r="D144" s="4" t="str">
        <x:f>IFERROR(INDEX('Material routes'!$G$6:$G$2205,MATCH(U144,'Material routes'!$A$6:$A$2205,0)),"MISSING ID")</x:f>
        <x:v>Crafting components</x:v>
      </x:c>
      <x:c r="E144" s="4" t="str">
        <x:f>IFERROR(INDEX('Material routes'!$C$6:$C$2205,MATCH(U144,'Material routes'!$A$6:$A$2205,0)),"MISSING ID")</x:f>
        <x:v>Ingredient candidate</x:v>
      </x:c>
      <x:c r="F144" s="4" t="str">
        <x:f>IFERROR(INDEX('Material routes'!$E$6:$E$2205,MATCH(V144,'Material routes'!$A$6:$A$2205,0)),"MISSING ID")</x:f>
        <x:v>Bonded ceramic-shell composite</x:v>
      </x:c>
      <x:c r="G144" s="4" t="str">
        <x:f>IFERROR(INDEX('Material routes'!$F$6:$F$2205,MATCH(V144,'Material routes'!$A$6:$A$2205,0)),"MISSING ID")</x:f>
        <x:v>T3</x:v>
      </x:c>
      <x:c r="H144" s="4" t="str">
        <x:f>IFERROR(INDEX('Material routes'!$H$6:$H$2205,MATCH(V144,'Material routes'!$A$6:$A$2205,0)),"MISSING ID")</x:f>
        <x:v>Processed material</x:v>
      </x:c>
      <x:c r="I144" s="4" t="str">
        <x:f>IFERROR(INDEX('Material routes'!$G$6:$G$2205,MATCH(V144,'Material routes'!$A$6:$A$2205,0)),"MISSING ID")</x:f>
        <x:v>Manufactured stock</x:v>
      </x:c>
      <x:c r="J144" s="4" t="str">
        <x:f>IFERROR(INDEX('Material routes'!$B$6:$B$2205,MATCH(U144,'Material routes'!$A$6:$A$2205,0)),"MISSING ID")</x:f>
        <x:v>design.branch.branch.ceramic_shell</x:v>
      </x:c>
      <x:c r="K144" s="4" t="str">
        <x:f>IFERROR(INDEX('Crafting recipes'!$C$6:$C$1005,MATCH(J144,'Crafting recipes'!$A$6:$A$1005,0)),"MISSING ID")</x:f>
        <x:v>Material refinement</x:v>
      </x:c>
      <x:c r="L144" s="4" t="str">
        <x:f>IFERROR(INDEX('Material routes'!$K$6:$K$2205,MATCH(U144,'Material routes'!$A$6:$A$2205,0)),"MISSING ID")</x:f>
        <x:v>Proposal</x:v>
      </x:c>
      <x:c r="M144" s="4" t="str">
        <x:f>IFERROR(INDEX('Material routes'!$M$6:$M$2205,MATCH(U144,'Material routes'!$A$6:$A$2205,0)),"MISSING ID")</x:f>
        <x:v>Partial proposal</x:v>
      </x:c>
      <x:c r="N144" s="4" t="str">
        <x:f>IF(IFERROR(INDEX('Material routes'!$I$6:$I$1005,MATCH(U144,'Material routes'!$A$6:$A$1005,0)),"MISSING ID")=0,"",IFERROR(INDEX('Material routes'!$I$6:$I$1005,MATCH(U144,'Material routes'!$A$6:$A$1005,0)),"MISSING ID"))</x:f>
      </x:c>
      <x:c r="O144" s="4" t="str">
        <x:f>IFERROR(INDEX('Material routes'!$J$6:$J$2205,MATCH(U144,'Material routes'!$A$6:$A$2205,0)),"MISSING ID")</x:f>
        <x:v>Unspecified</x:v>
      </x:c>
      <x:c r="P144" s="4" t="str">
        <x:f>IF(IFERROR(INDEX('Material routes'!$I$6:$I$1005,MATCH(V144,'Material routes'!$A$6:$A$1005,0)),"MISSING ID")=0,"",IFERROR(INDEX('Material routes'!$I$6:$I$1005,MATCH(V144,'Material routes'!$A$6:$A$1005,0)),"MISSING ID"))</x:f>
      </x:c>
      <x:c r="Q144" s="4" t="str">
        <x:f>IFERROR(INDEX('Material routes'!$J$6:$J$2205,MATCH(V144,'Material routes'!$A$6:$A$2205,0)),"MISSING ID")</x:f>
        <x:v>Unspecified</x:v>
      </x:c>
      <x:c r="R144" s="4" t="str">
        <x:f>IF(L144="Withheld","Withheld premise",IF(E144="Tool candidate","Reusable prerequisite",IF(K144="Raw entry preparation","Entry-resource preparation",IF(G144="Not applicable",IF(IFERROR(INDEX('Items'!$AI$6:$AI$1005,MATCH(T144,'Items'!$A$6:$A$1005,0)),"MISSING ID")="Finished item","Finished endpoint",IF(IFERROR(INDEX('Items'!$AI$6:$AI$1005,MATCH(T144,'Items'!$A$6:$A$1005,0)),"MISSING ID")="Currency","Currency / no refinement tier","Recovered output / tier not applicable")),IF(OR(IFERROR(INDEX('Crafting recipes'!$H$6:$H$1005,MATCH(J144,'Crafting recipes'!$A$6:$A$1005,0)),"MISSING ID")="Unassigned",G144="Unassigned"),"Tier unresolved",IF(IFERROR(VALUE(RIGHT(G144,1))-VALUE(RIGHT(IFERROR(INDEX('Crafting recipes'!$H$6:$H$1005,MATCH(J144,'Crafting recipes'!$A$6:$A$1005,0)),"MISSING ID"),1)),0)=1,IF(B144=IFERROR(INDEX('Crafting recipes'!$H$6:$H$1005,MATCH(J144,'Crafting recipes'!$A$6:$A$1005,0)),"MISSING ID"),"Advances one material tier","Lower-tier ingredient; route advances one tier"),"Needs tier review"))))))</x:f>
        <x:v>Advances one material tier</x:v>
      </x:c>
      <x:c r="S144" s="4" t="str">
        <x:f>IFERROR(INDEX('Material routes'!$D$6:$D$2205,MATCH(U144,'Material routes'!$A$6:$A$2205,0)),"MISSING ID")</x:f>
        <x:v>proposal.branch.filled_binder</x:v>
      </x:c>
      <x:c r="T144" s="4" t="str">
        <x:f>IFERROR(INDEX('Material routes'!$D$6:$D$2205,MATCH(V144,'Material routes'!$A$6:$A$2205,0)),"MISSING ID")</x:f>
        <x:v>proposal.branch.ceramic_shell</x:v>
      </x:c>
      <x:c r="U144" s="4" t="str">
        <x:v>design.branch.branch.ceramic_shell.in.3</x:v>
      </x:c>
      <x:c r="V144" s="4" t="str">
        <x:v>design.branch.branch.ceramic_shell.out</x:v>
      </x:c>
    </x:row>
    <x:row r="145" ht="105" customHeight="1">
      <x:c r="A145" s="4" t="str">
        <x:f>IFERROR(INDEX('Material routes'!$E$6:$E$2205,MATCH(U145,'Material routes'!$A$6:$A$2205,0)),"MISSING ID")</x:f>
        <x:v>Selected viewing-glass stock</x:v>
      </x:c>
      <x:c r="B145" s="4" t="str">
        <x:f>IFERROR(INDEX('Material routes'!$F$6:$F$2205,MATCH(U145,'Material routes'!$A$6:$A$2205,0)),"MISSING ID")</x:f>
        <x:v>T2</x:v>
      </x:c>
      <x:c r="C145" s="4" t="str">
        <x:f>IFERROR(INDEX('Material routes'!$H$6:$H$2205,MATCH(U145,'Material routes'!$A$6:$A$2205,0)),"MISSING ID")</x:f>
        <x:v>Processed material</x:v>
      </x:c>
      <x:c r="D145" s="4" t="str">
        <x:f>IFERROR(INDEX('Material routes'!$G$6:$G$2205,MATCH(U145,'Material routes'!$A$6:$A$2205,0)),"MISSING ID")</x:f>
        <x:v>Manufactured stock</x:v>
      </x:c>
      <x:c r="E145" s="4" t="str">
        <x:f>IFERROR(INDEX('Material routes'!$C$6:$C$2205,MATCH(U145,'Material routes'!$A$6:$A$2205,0)),"MISSING ID")</x:f>
        <x:v>Ingredient candidate</x:v>
      </x:c>
      <x:c r="F145" s="4" t="str">
        <x:f>IFERROR(INDEX('Material routes'!$E$6:$E$2205,MATCH(V145,'Material routes'!$A$6:$A$2205,0)),"MISSING ID")</x:f>
        <x:v>Ground optical glass stock</x:v>
      </x:c>
      <x:c r="G145" s="4" t="str">
        <x:f>IFERROR(INDEX('Material routes'!$F$6:$F$2205,MATCH(V145,'Material routes'!$A$6:$A$2205,0)),"MISSING ID")</x:f>
        <x:v>T3</x:v>
      </x:c>
      <x:c r="H145" s="4" t="str">
        <x:f>IFERROR(INDEX('Material routes'!$H$6:$H$2205,MATCH(V145,'Material routes'!$A$6:$A$2205,0)),"MISSING ID")</x:f>
        <x:v>Processed material</x:v>
      </x:c>
      <x:c r="I145" s="4" t="str">
        <x:f>IFERROR(INDEX('Material routes'!$G$6:$G$2205,MATCH(V145,'Material routes'!$A$6:$A$2205,0)),"MISSING ID")</x:f>
        <x:v>Manufactured stock</x:v>
      </x:c>
      <x:c r="J145" s="4" t="str">
        <x:f>IFERROR(INDEX('Material routes'!$B$6:$B$2205,MATCH(U145,'Material routes'!$A$6:$A$2205,0)),"MISSING ID")</x:f>
        <x:v>design.branch.branch.optical_glass</x:v>
      </x:c>
      <x:c r="K145" s="4" t="str">
        <x:f>IFERROR(INDEX('Crafting recipes'!$C$6:$C$1005,MATCH(J145,'Crafting recipes'!$A$6:$A$1005,0)),"MISSING ID")</x:f>
        <x:v>Material refinement</x:v>
      </x:c>
      <x:c r="L145" s="4" t="str">
        <x:f>IFERROR(INDEX('Material routes'!$K$6:$K$2205,MATCH(U145,'Material routes'!$A$6:$A$2205,0)),"MISSING ID")</x:f>
        <x:v>Proposal</x:v>
      </x:c>
      <x:c r="M145" s="4" t="str">
        <x:f>IFERROR(INDEX('Material routes'!$M$6:$M$2205,MATCH(U145,'Material routes'!$A$6:$A$2205,0)),"MISSING ID")</x:f>
        <x:v>Partial proposal</x:v>
      </x:c>
      <x:c r="N145" s="4" t="str">
        <x:f>IF(IFERROR(INDEX('Material routes'!$I$6:$I$1005,MATCH(U145,'Material routes'!$A$6:$A$1005,0)),"MISSING ID")=0,"",IFERROR(INDEX('Material routes'!$I$6:$I$1005,MATCH(U145,'Material routes'!$A$6:$A$1005,0)),"MISSING ID"))</x:f>
      </x:c>
      <x:c r="O145" s="4" t="str">
        <x:f>IFERROR(INDEX('Material routes'!$J$6:$J$2205,MATCH(U145,'Material routes'!$A$6:$A$2205,0)),"MISSING ID")</x:f>
        <x:v>Unspecified</x:v>
      </x:c>
      <x:c r="P145" s="4" t="str">
        <x:f>IF(IFERROR(INDEX('Material routes'!$I$6:$I$1005,MATCH(V145,'Material routes'!$A$6:$A$1005,0)),"MISSING ID")=0,"",IFERROR(INDEX('Material routes'!$I$6:$I$1005,MATCH(V145,'Material routes'!$A$6:$A$1005,0)),"MISSING ID"))</x:f>
      </x:c>
      <x:c r="Q145" s="4" t="str">
        <x:f>IFERROR(INDEX('Material routes'!$J$6:$J$2205,MATCH(V145,'Material routes'!$A$6:$A$2205,0)),"MISSING ID")</x:f>
        <x:v>Unspecified</x:v>
      </x:c>
      <x:c r="R145" s="4" t="str">
        <x:f>IF(L145="Withheld","Withheld premise",IF(E145="Tool candidate","Reusable prerequisite",IF(K145="Raw entry preparation","Entry-resource preparation",IF(G145="Not applicable",IF(IFERROR(INDEX('Items'!$AI$6:$AI$1005,MATCH(T145,'Items'!$A$6:$A$1005,0)),"MISSING ID")="Finished item","Finished endpoint",IF(IFERROR(INDEX('Items'!$AI$6:$AI$1005,MATCH(T145,'Items'!$A$6:$A$1005,0)),"MISSING ID")="Currency","Currency / no refinement tier","Recovered output / tier not applicable")),IF(OR(IFERROR(INDEX('Crafting recipes'!$H$6:$H$1005,MATCH(J145,'Crafting recipes'!$A$6:$A$1005,0)),"MISSING ID")="Unassigned",G145="Unassigned"),"Tier unresolved",IF(IFERROR(VALUE(RIGHT(G145,1))-VALUE(RIGHT(IFERROR(INDEX('Crafting recipes'!$H$6:$H$1005,MATCH(J145,'Crafting recipes'!$A$6:$A$1005,0)),"MISSING ID"),1)),0)=1,IF(B145=IFERROR(INDEX('Crafting recipes'!$H$6:$H$1005,MATCH(J145,'Crafting recipes'!$A$6:$A$1005,0)),"MISSING ID"),"Advances one material tier","Lower-tier ingredient; route advances one tier"),"Needs tier review"))))))</x:f>
        <x:v>Advances one material tier</x:v>
      </x:c>
      <x:c r="S145" s="4" t="str">
        <x:f>IFERROR(INDEX('Material routes'!$D$6:$D$2205,MATCH(U145,'Material routes'!$A$6:$A$2205,0)),"MISSING ID")</x:f>
        <x:v>proposal.branch.viewing_glass</x:v>
      </x:c>
      <x:c r="T145" s="4" t="str">
        <x:f>IFERROR(INDEX('Material routes'!$D$6:$D$2205,MATCH(V145,'Material routes'!$A$6:$A$2205,0)),"MISSING ID")</x:f>
        <x:v>proposal.branch.optical_glass</x:v>
      </x:c>
      <x:c r="U145" s="4" t="str">
        <x:v>design.branch.branch.optical_glass.in.1</x:v>
      </x:c>
      <x:c r="V145" s="4" t="str">
        <x:v>design.branch.branch.optical_glass.out</x:v>
      </x:c>
    </x:row>
    <x:row r="146" ht="105" customHeight="1">
      <x:c r="A146" s="4" t="str">
        <x:f>IFERROR(INDEX('Material routes'!$E$6:$E$2205,MATCH(U146,'Material routes'!$A$6:$A$2205,0)),"MISSING ID")</x:f>
        <x:v>Graded abrasive grit</x:v>
      </x:c>
      <x:c r="B146" s="4" t="str">
        <x:f>IFERROR(INDEX('Material routes'!$F$6:$F$2205,MATCH(U146,'Material routes'!$A$6:$A$2205,0)),"MISSING ID")</x:f>
        <x:v>T1</x:v>
      </x:c>
      <x:c r="C146" s="4" t="str">
        <x:f>IFERROR(INDEX('Material routes'!$H$6:$H$2205,MATCH(U146,'Material routes'!$A$6:$A$2205,0)),"MISSING ID")</x:f>
        <x:v>Processed material</x:v>
      </x:c>
      <x:c r="D146" s="4" t="str">
        <x:f>IFERROR(INDEX('Material routes'!$G$6:$G$2205,MATCH(U146,'Material routes'!$A$6:$A$2205,0)),"MISSING ID")</x:f>
        <x:v>Manufactured stock</x:v>
      </x:c>
      <x:c r="E146" s="4" t="str">
        <x:f>IFERROR(INDEX('Material routes'!$C$6:$C$2205,MATCH(U146,'Material routes'!$A$6:$A$2205,0)),"MISSING ID")</x:f>
        <x:v>Ingredient candidate</x:v>
      </x:c>
      <x:c r="F146" s="4" t="str">
        <x:f>IFERROR(INDEX('Material routes'!$E$6:$E$2205,MATCH(V146,'Material routes'!$A$6:$A$2205,0)),"MISSING ID")</x:f>
        <x:v>Ground optical glass stock</x:v>
      </x:c>
      <x:c r="G146" s="4" t="str">
        <x:f>IFERROR(INDEX('Material routes'!$F$6:$F$2205,MATCH(V146,'Material routes'!$A$6:$A$2205,0)),"MISSING ID")</x:f>
        <x:v>T3</x:v>
      </x:c>
      <x:c r="H146" s="4" t="str">
        <x:f>IFERROR(INDEX('Material routes'!$H$6:$H$2205,MATCH(V146,'Material routes'!$A$6:$A$2205,0)),"MISSING ID")</x:f>
        <x:v>Processed material</x:v>
      </x:c>
      <x:c r="I146" s="4" t="str">
        <x:f>IFERROR(INDEX('Material routes'!$G$6:$G$2205,MATCH(V146,'Material routes'!$A$6:$A$2205,0)),"MISSING ID")</x:f>
        <x:v>Manufactured stock</x:v>
      </x:c>
      <x:c r="J146" s="4" t="str">
        <x:f>IFERROR(INDEX('Material routes'!$B$6:$B$2205,MATCH(U146,'Material routes'!$A$6:$A$2205,0)),"MISSING ID")</x:f>
        <x:v>design.branch.branch.optical_glass</x:v>
      </x:c>
      <x:c r="K146" s="4" t="str">
        <x:f>IFERROR(INDEX('Crafting recipes'!$C$6:$C$1005,MATCH(J146,'Crafting recipes'!$A$6:$A$1005,0)),"MISSING ID")</x:f>
        <x:v>Material refinement</x:v>
      </x:c>
      <x:c r="L146" s="4" t="str">
        <x:f>IFERROR(INDEX('Material routes'!$K$6:$K$2205,MATCH(U146,'Material routes'!$A$6:$A$2205,0)),"MISSING ID")</x:f>
        <x:v>Proposal</x:v>
      </x:c>
      <x:c r="M146" s="4" t="str">
        <x:f>IFERROR(INDEX('Material routes'!$M$6:$M$2205,MATCH(U146,'Material routes'!$A$6:$A$2205,0)),"MISSING ID")</x:f>
        <x:v>Partial proposal</x:v>
      </x:c>
      <x:c r="N146" s="4" t="str">
        <x:f>IF(IFERROR(INDEX('Material routes'!$I$6:$I$1005,MATCH(U146,'Material routes'!$A$6:$A$1005,0)),"MISSING ID")=0,"",IFERROR(INDEX('Material routes'!$I$6:$I$1005,MATCH(U146,'Material routes'!$A$6:$A$1005,0)),"MISSING ID"))</x:f>
      </x:c>
      <x:c r="O146" s="4" t="str">
        <x:f>IFERROR(INDEX('Material routes'!$J$6:$J$2205,MATCH(U146,'Material routes'!$A$6:$A$2205,0)),"MISSING ID")</x:f>
        <x:v>Unspecified</x:v>
      </x:c>
      <x:c r="P146" s="4" t="str">
        <x:f>IF(IFERROR(INDEX('Material routes'!$I$6:$I$1005,MATCH(V146,'Material routes'!$A$6:$A$1005,0)),"MISSING ID")=0,"",IFERROR(INDEX('Material routes'!$I$6:$I$1005,MATCH(V146,'Material routes'!$A$6:$A$1005,0)),"MISSING ID"))</x:f>
      </x:c>
      <x:c r="Q146" s="4" t="str">
        <x:f>IFERROR(INDEX('Material routes'!$J$6:$J$2205,MATCH(V146,'Material routes'!$A$6:$A$2205,0)),"MISSING ID")</x:f>
        <x:v>Unspecified</x:v>
      </x:c>
      <x:c r="R146" s="4" t="str">
        <x:f>IF(L146="Withheld","Withheld premise",IF(E146="Tool candidate","Reusable prerequisite",IF(K146="Raw entry preparation","Entry-resource preparation",IF(G146="Not applicable",IF(IFERROR(INDEX('Items'!$AI$6:$AI$1005,MATCH(T146,'Items'!$A$6:$A$1005,0)),"MISSING ID")="Finished item","Finished endpoint",IF(IFERROR(INDEX('Items'!$AI$6:$AI$1005,MATCH(T146,'Items'!$A$6:$A$1005,0)),"MISSING ID")="Currency","Currency / no refinement tier","Recovered output / tier not applicable")),IF(OR(IFERROR(INDEX('Crafting recipes'!$H$6:$H$1005,MATCH(J146,'Crafting recipes'!$A$6:$A$1005,0)),"MISSING ID")="Unassigned",G146="Unassigned"),"Tier unresolved",IF(IFERROR(VALUE(RIGHT(G146,1))-VALUE(RIGHT(IFERROR(INDEX('Crafting recipes'!$H$6:$H$1005,MATCH(J146,'Crafting recipes'!$A$6:$A$1005,0)),"MISSING ID"),1)),0)=1,IF(B146=IFERROR(INDEX('Crafting recipes'!$H$6:$H$1005,MATCH(J146,'Crafting recipes'!$A$6:$A$1005,0)),"MISSING ID"),"Advances one material tier","Lower-tier ingredient; route advances one tier"),"Needs tier review"))))))</x:f>
        <x:v>Lower-tier ingredient; route advances one tier</x:v>
      </x:c>
      <x:c r="S146" s="4" t="str">
        <x:f>IFERROR(INDEX('Material routes'!$D$6:$D$2205,MATCH(U146,'Material routes'!$A$6:$A$2205,0)),"MISSING ID")</x:f>
        <x:v>proposal.natural.abrasive</x:v>
      </x:c>
      <x:c r="T146" s="4" t="str">
        <x:f>IFERROR(INDEX('Material routes'!$D$6:$D$2205,MATCH(V146,'Material routes'!$A$6:$A$2205,0)),"MISSING ID")</x:f>
        <x:v>proposal.branch.optical_glass</x:v>
      </x:c>
      <x:c r="U146" s="4" t="str">
        <x:v>design.branch.branch.optical_glass.in.2</x:v>
      </x:c>
      <x:c r="V146" s="4" t="str">
        <x:v>design.branch.branch.optical_glass.out</x:v>
      </x:c>
    </x:row>
    <x:row r="147" ht="105" customHeight="1">
      <x:c r="A147" s="4" t="str">
        <x:f>IFERROR(INDEX('Material routes'!$E$6:$E$2205,MATCH(U147,'Material routes'!$A$6:$A$2205,0)),"MISSING ID")</x:f>
        <x:v>Bonded husk sheet</x:v>
      </x:c>
      <x:c r="B147" s="4" t="str">
        <x:f>IFERROR(INDEX('Material routes'!$F$6:$F$2205,MATCH(U147,'Material routes'!$A$6:$A$2205,0)),"MISSING ID")</x:f>
        <x:v>T2</x:v>
      </x:c>
      <x:c r="C147" s="4" t="str">
        <x:f>IFERROR(INDEX('Material routes'!$H$6:$H$2205,MATCH(U147,'Material routes'!$A$6:$A$2205,0)),"MISSING ID")</x:f>
        <x:v>Processed material</x:v>
      </x:c>
      <x:c r="D147" s="4" t="str">
        <x:f>IFERROR(INDEX('Material routes'!$G$6:$G$2205,MATCH(U147,'Material routes'!$A$6:$A$2205,0)),"MISSING ID")</x:f>
        <x:v>Manufactured stock</x:v>
      </x:c>
      <x:c r="E147" s="4" t="str">
        <x:f>IFERROR(INDEX('Material routes'!$C$6:$C$2205,MATCH(U147,'Material routes'!$A$6:$A$2205,0)),"MISSING ID")</x:f>
        <x:v>Ingredient candidate</x:v>
      </x:c>
      <x:c r="F147" s="4" t="str">
        <x:f>IFERROR(INDEX('Material routes'!$E$6:$E$2205,MATCH(V147,'Material routes'!$A$6:$A$2205,0)),"MISSING ID")</x:f>
        <x:v>Layered husk composite stock</x:v>
      </x:c>
      <x:c r="G147" s="4" t="str">
        <x:f>IFERROR(INDEX('Material routes'!$F$6:$F$2205,MATCH(V147,'Material routes'!$A$6:$A$2205,0)),"MISSING ID")</x:f>
        <x:v>T3</x:v>
      </x:c>
      <x:c r="H147" s="4" t="str">
        <x:f>IFERROR(INDEX('Material routes'!$H$6:$H$2205,MATCH(V147,'Material routes'!$A$6:$A$2205,0)),"MISSING ID")</x:f>
        <x:v>Processed material</x:v>
      </x:c>
      <x:c r="I147" s="4" t="str">
        <x:f>IFERROR(INDEX('Material routes'!$G$6:$G$2205,MATCH(V147,'Material routes'!$A$6:$A$2205,0)),"MISSING ID")</x:f>
        <x:v>Manufactured stock</x:v>
      </x:c>
      <x:c r="J147" s="4" t="str">
        <x:f>IFERROR(INDEX('Material routes'!$B$6:$B$2205,MATCH(U147,'Material routes'!$A$6:$A$2205,0)),"MISSING ID")</x:f>
        <x:v>design.branch.branch.husk_composite</x:v>
      </x:c>
      <x:c r="K147" s="4" t="str">
        <x:f>IFERROR(INDEX('Crafting recipes'!$C$6:$C$1005,MATCH(J147,'Crafting recipes'!$A$6:$A$1005,0)),"MISSING ID")</x:f>
        <x:v>Material refinement</x:v>
      </x:c>
      <x:c r="L147" s="4" t="str">
        <x:f>IFERROR(INDEX('Material routes'!$K$6:$K$2205,MATCH(U147,'Material routes'!$A$6:$A$2205,0)),"MISSING ID")</x:f>
        <x:v>Proposal</x:v>
      </x:c>
      <x:c r="M147" s="4" t="str">
        <x:f>IFERROR(INDEX('Material routes'!$M$6:$M$2205,MATCH(U147,'Material routes'!$A$6:$A$2205,0)),"MISSING ID")</x:f>
        <x:v>Partial proposal</x:v>
      </x:c>
      <x:c r="N147" s="4" t="str">
        <x:f>IF(IFERROR(INDEX('Material routes'!$I$6:$I$1005,MATCH(U147,'Material routes'!$A$6:$A$1005,0)),"MISSING ID")=0,"",IFERROR(INDEX('Material routes'!$I$6:$I$1005,MATCH(U147,'Material routes'!$A$6:$A$1005,0)),"MISSING ID"))</x:f>
      </x:c>
      <x:c r="O147" s="4" t="str">
        <x:f>IFERROR(INDEX('Material routes'!$J$6:$J$2205,MATCH(U147,'Material routes'!$A$6:$A$2205,0)),"MISSING ID")</x:f>
        <x:v>Unspecified</x:v>
      </x:c>
      <x:c r="P147" s="4" t="str">
        <x:f>IF(IFERROR(INDEX('Material routes'!$I$6:$I$1005,MATCH(V147,'Material routes'!$A$6:$A$1005,0)),"MISSING ID")=0,"",IFERROR(INDEX('Material routes'!$I$6:$I$1005,MATCH(V147,'Material routes'!$A$6:$A$1005,0)),"MISSING ID"))</x:f>
      </x:c>
      <x:c r="Q147" s="4" t="str">
        <x:f>IFERROR(INDEX('Material routes'!$J$6:$J$2205,MATCH(V147,'Material routes'!$A$6:$A$2205,0)),"MISSING ID")</x:f>
        <x:v>Unspecified</x:v>
      </x:c>
      <x:c r="R147" s="4" t="str">
        <x:f>IF(L147="Withheld","Withheld premise",IF(E147="Tool candidate","Reusable prerequisite",IF(K147="Raw entry preparation","Entry-resource preparation",IF(G147="Not applicable",IF(IFERROR(INDEX('Items'!$AI$6:$AI$1005,MATCH(T147,'Items'!$A$6:$A$1005,0)),"MISSING ID")="Finished item","Finished endpoint",IF(IFERROR(INDEX('Items'!$AI$6:$AI$1005,MATCH(T147,'Items'!$A$6:$A$1005,0)),"MISSING ID")="Currency","Currency / no refinement tier","Recovered output / tier not applicable")),IF(OR(IFERROR(INDEX('Crafting recipes'!$H$6:$H$1005,MATCH(J147,'Crafting recipes'!$A$6:$A$1005,0)),"MISSING ID")="Unassigned",G147="Unassigned"),"Tier unresolved",IF(IFERROR(VALUE(RIGHT(G147,1))-VALUE(RIGHT(IFERROR(INDEX('Crafting recipes'!$H$6:$H$1005,MATCH(J147,'Crafting recipes'!$A$6:$A$1005,0)),"MISSING ID"),1)),0)=1,IF(B147=IFERROR(INDEX('Crafting recipes'!$H$6:$H$1005,MATCH(J147,'Crafting recipes'!$A$6:$A$1005,0)),"MISSING ID"),"Advances one material tier","Lower-tier ingredient; route advances one tier"),"Needs tier review"))))))</x:f>
        <x:v>Advances one material tier</x:v>
      </x:c>
      <x:c r="S147" s="4" t="str">
        <x:f>IFERROR(INDEX('Material routes'!$D$6:$D$2205,MATCH(U147,'Material routes'!$A$6:$A$2205,0)),"MISSING ID")</x:f>
        <x:v>proposal.branch.husk_sheet</x:v>
      </x:c>
      <x:c r="T147" s="4" t="str">
        <x:f>IFERROR(INDEX('Material routes'!$D$6:$D$2205,MATCH(V147,'Material routes'!$A$6:$A$2205,0)),"MISSING ID")</x:f>
        <x:v>proposal.branch.husk_composite</x:v>
      </x:c>
      <x:c r="U147" s="4" t="str">
        <x:v>design.branch.branch.husk_composite.in.1</x:v>
      </x:c>
      <x:c r="V147" s="4" t="str">
        <x:v>design.branch.branch.husk_composite.out</x:v>
      </x:c>
    </x:row>
    <x:row r="148" ht="105" customHeight="1">
      <x:c r="A148" s="4" t="str">
        <x:f>IFERROR(INDEX('Material routes'!$E$6:$E$2205,MATCH(U148,'Material routes'!$A$6:$A$2205,0)),"MISSING ID")</x:f>
        <x:v>Filled shell-binding compound</x:v>
      </x:c>
      <x:c r="B148" s="4" t="str">
        <x:f>IFERROR(INDEX('Material routes'!$F$6:$F$2205,MATCH(U148,'Material routes'!$A$6:$A$2205,0)),"MISSING ID")</x:f>
        <x:v>T2</x:v>
      </x:c>
      <x:c r="C148" s="4" t="str">
        <x:f>IFERROR(INDEX('Material routes'!$H$6:$H$2205,MATCH(U148,'Material routes'!$A$6:$A$2205,0)),"MISSING ID")</x:f>
        <x:v>Chemical material</x:v>
      </x:c>
      <x:c r="D148" s="4" t="str">
        <x:f>IFERROR(INDEX('Material routes'!$G$6:$G$2205,MATCH(U148,'Material routes'!$A$6:$A$2205,0)),"MISSING ID")</x:f>
        <x:v>Crafting components</x:v>
      </x:c>
      <x:c r="E148" s="4" t="str">
        <x:f>IFERROR(INDEX('Material routes'!$C$6:$C$2205,MATCH(U148,'Material routes'!$A$6:$A$2205,0)),"MISSING ID")</x:f>
        <x:v>Ingredient candidate</x:v>
      </x:c>
      <x:c r="F148" s="4" t="str">
        <x:f>IFERROR(INDEX('Material routes'!$E$6:$E$2205,MATCH(V148,'Material routes'!$A$6:$A$2205,0)),"MISSING ID")</x:f>
        <x:v>Layered husk composite stock</x:v>
      </x:c>
      <x:c r="G148" s="4" t="str">
        <x:f>IFERROR(INDEX('Material routes'!$F$6:$F$2205,MATCH(V148,'Material routes'!$A$6:$A$2205,0)),"MISSING ID")</x:f>
        <x:v>T3</x:v>
      </x:c>
      <x:c r="H148" s="4" t="str">
        <x:f>IFERROR(INDEX('Material routes'!$H$6:$H$2205,MATCH(V148,'Material routes'!$A$6:$A$2205,0)),"MISSING ID")</x:f>
        <x:v>Processed material</x:v>
      </x:c>
      <x:c r="I148" s="4" t="str">
        <x:f>IFERROR(INDEX('Material routes'!$G$6:$G$2205,MATCH(V148,'Material routes'!$A$6:$A$2205,0)),"MISSING ID")</x:f>
        <x:v>Manufactured stock</x:v>
      </x:c>
      <x:c r="J148" s="4" t="str">
        <x:f>IFERROR(INDEX('Material routes'!$B$6:$B$2205,MATCH(U148,'Material routes'!$A$6:$A$2205,0)),"MISSING ID")</x:f>
        <x:v>design.branch.branch.husk_composite</x:v>
      </x:c>
      <x:c r="K148" s="4" t="str">
        <x:f>IFERROR(INDEX('Crafting recipes'!$C$6:$C$1005,MATCH(J148,'Crafting recipes'!$A$6:$A$1005,0)),"MISSING ID")</x:f>
        <x:v>Material refinement</x:v>
      </x:c>
      <x:c r="L148" s="4" t="str">
        <x:f>IFERROR(INDEX('Material routes'!$K$6:$K$2205,MATCH(U148,'Material routes'!$A$6:$A$2205,0)),"MISSING ID")</x:f>
        <x:v>Proposal</x:v>
      </x:c>
      <x:c r="M148" s="4" t="str">
        <x:f>IFERROR(INDEX('Material routes'!$M$6:$M$2205,MATCH(U148,'Material routes'!$A$6:$A$2205,0)),"MISSING ID")</x:f>
        <x:v>Partial proposal</x:v>
      </x:c>
      <x:c r="N148" s="4" t="str">
        <x:f>IF(IFERROR(INDEX('Material routes'!$I$6:$I$1005,MATCH(U148,'Material routes'!$A$6:$A$1005,0)),"MISSING ID")=0,"",IFERROR(INDEX('Material routes'!$I$6:$I$1005,MATCH(U148,'Material routes'!$A$6:$A$1005,0)),"MISSING ID"))</x:f>
      </x:c>
      <x:c r="O148" s="4" t="str">
        <x:f>IFERROR(INDEX('Material routes'!$J$6:$J$2205,MATCH(U148,'Material routes'!$A$6:$A$2205,0)),"MISSING ID")</x:f>
        <x:v>Unspecified</x:v>
      </x:c>
      <x:c r="P148" s="4" t="str">
        <x:f>IF(IFERROR(INDEX('Material routes'!$I$6:$I$1005,MATCH(V148,'Material routes'!$A$6:$A$1005,0)),"MISSING ID")=0,"",IFERROR(INDEX('Material routes'!$I$6:$I$1005,MATCH(V148,'Material routes'!$A$6:$A$1005,0)),"MISSING ID"))</x:f>
      </x:c>
      <x:c r="Q148" s="4" t="str">
        <x:f>IFERROR(INDEX('Material routes'!$J$6:$J$2205,MATCH(V148,'Material routes'!$A$6:$A$2205,0)),"MISSING ID")</x:f>
        <x:v>Unspecified</x:v>
      </x:c>
      <x:c r="R148" s="4" t="str">
        <x:f>IF(L148="Withheld","Withheld premise",IF(E148="Tool candidate","Reusable prerequisite",IF(K148="Raw entry preparation","Entry-resource preparation",IF(G148="Not applicable",IF(IFERROR(INDEX('Items'!$AI$6:$AI$1005,MATCH(T148,'Items'!$A$6:$A$1005,0)),"MISSING ID")="Finished item","Finished endpoint",IF(IFERROR(INDEX('Items'!$AI$6:$AI$1005,MATCH(T148,'Items'!$A$6:$A$1005,0)),"MISSING ID")="Currency","Currency / no refinement tier","Recovered output / tier not applicable")),IF(OR(IFERROR(INDEX('Crafting recipes'!$H$6:$H$1005,MATCH(J148,'Crafting recipes'!$A$6:$A$1005,0)),"MISSING ID")="Unassigned",G148="Unassigned"),"Tier unresolved",IF(IFERROR(VALUE(RIGHT(G148,1))-VALUE(RIGHT(IFERROR(INDEX('Crafting recipes'!$H$6:$H$1005,MATCH(J148,'Crafting recipes'!$A$6:$A$1005,0)),"MISSING ID"),1)),0)=1,IF(B148=IFERROR(INDEX('Crafting recipes'!$H$6:$H$1005,MATCH(J148,'Crafting recipes'!$A$6:$A$1005,0)),"MISSING ID"),"Advances one material tier","Lower-tier ingredient; route advances one tier"),"Needs tier review"))))))</x:f>
        <x:v>Advances one material tier</x:v>
      </x:c>
      <x:c r="S148" s="4" t="str">
        <x:f>IFERROR(INDEX('Material routes'!$D$6:$D$2205,MATCH(U148,'Material routes'!$A$6:$A$2205,0)),"MISSING ID")</x:f>
        <x:v>proposal.branch.filled_binder</x:v>
      </x:c>
      <x:c r="T148" s="4" t="str">
        <x:f>IFERROR(INDEX('Material routes'!$D$6:$D$2205,MATCH(V148,'Material routes'!$A$6:$A$2205,0)),"MISSING ID")</x:f>
        <x:v>proposal.branch.husk_composite</x:v>
      </x:c>
      <x:c r="U148" s="4" t="str">
        <x:v>design.branch.branch.husk_composite.in.2</x:v>
      </x:c>
      <x:c r="V148" s="4" t="str">
        <x:v>design.branch.branch.husk_composite.out</x:v>
      </x:c>
    </x:row>
    <x:row r="149" ht="105" customHeight="1">
      <x:c r="A149" s="4" t="str">
        <x:f>IFERROR(INDEX('Material routes'!$E$6:$E$2205,MATCH(U149,'Material routes'!$A$6:$A$2205,0)),"MISSING ID")</x:f>
        <x:v>Filled faunal seal compound</x:v>
      </x:c>
      <x:c r="B149" s="4" t="str">
        <x:f>IFERROR(INDEX('Material routes'!$F$6:$F$2205,MATCH(U149,'Material routes'!$A$6:$A$2205,0)),"MISSING ID")</x:f>
        <x:v>T2</x:v>
      </x:c>
      <x:c r="C149" s="4" t="str">
        <x:f>IFERROR(INDEX('Material routes'!$H$6:$H$2205,MATCH(U149,'Material routes'!$A$6:$A$2205,0)),"MISSING ID")</x:f>
        <x:v>Chemical material</x:v>
      </x:c>
      <x:c r="D149" s="4" t="str">
        <x:f>IFERROR(INDEX('Material routes'!$G$6:$G$2205,MATCH(U149,'Material routes'!$A$6:$A$2205,0)),"MISSING ID")</x:f>
        <x:v>Crafting components</x:v>
      </x:c>
      <x:c r="E149" s="4" t="str">
        <x:f>IFERROR(INDEX('Material routes'!$C$6:$C$2205,MATCH(U149,'Material routes'!$A$6:$A$2205,0)),"MISSING ID")</x:f>
        <x:v>Ingredient candidate</x:v>
      </x:c>
      <x:c r="F149" s="4" t="str">
        <x:f>IFERROR(INDEX('Material routes'!$E$6:$E$2205,MATCH(V149,'Material routes'!$A$6:$A$2205,0)),"MISSING ID")</x:f>
        <x:v>Reinforced sealing sheet</x:v>
      </x:c>
      <x:c r="G149" s="4" t="str">
        <x:f>IFERROR(INDEX('Material routes'!$F$6:$F$2205,MATCH(V149,'Material routes'!$A$6:$A$2205,0)),"MISSING ID")</x:f>
        <x:v>T3</x:v>
      </x:c>
      <x:c r="H149" s="4" t="str">
        <x:f>IFERROR(INDEX('Material routes'!$H$6:$H$2205,MATCH(V149,'Material routes'!$A$6:$A$2205,0)),"MISSING ID")</x:f>
        <x:v>Processed material</x:v>
      </x:c>
      <x:c r="I149" s="4" t="str">
        <x:f>IFERROR(INDEX('Material routes'!$G$6:$G$2205,MATCH(V149,'Material routes'!$A$6:$A$2205,0)),"MISSING ID")</x:f>
        <x:v>Manufactured stock</x:v>
      </x:c>
      <x:c r="J149" s="4" t="str">
        <x:f>IFERROR(INDEX('Material routes'!$B$6:$B$2205,MATCH(U149,'Material routes'!$A$6:$A$2205,0)),"MISSING ID")</x:f>
        <x:v>design.branch.branch.sealing_sheet</x:v>
      </x:c>
      <x:c r="K149" s="4" t="str">
        <x:f>IFERROR(INDEX('Crafting recipes'!$C$6:$C$1005,MATCH(J149,'Crafting recipes'!$A$6:$A$1005,0)),"MISSING ID")</x:f>
        <x:v>Material refinement</x:v>
      </x:c>
      <x:c r="L149" s="4" t="str">
        <x:f>IFERROR(INDEX('Material routes'!$K$6:$K$2205,MATCH(U149,'Material routes'!$A$6:$A$2205,0)),"MISSING ID")</x:f>
        <x:v>Proposal</x:v>
      </x:c>
      <x:c r="M149" s="4" t="str">
        <x:f>IFERROR(INDEX('Material routes'!$M$6:$M$2205,MATCH(U149,'Material routes'!$A$6:$A$2205,0)),"MISSING ID")</x:f>
        <x:v>Partial proposal</x:v>
      </x:c>
      <x:c r="N149" s="4" t="str">
        <x:f>IF(IFERROR(INDEX('Material routes'!$I$6:$I$1005,MATCH(U149,'Material routes'!$A$6:$A$1005,0)),"MISSING ID")=0,"",IFERROR(INDEX('Material routes'!$I$6:$I$1005,MATCH(U149,'Material routes'!$A$6:$A$1005,0)),"MISSING ID"))</x:f>
      </x:c>
      <x:c r="O149" s="4" t="str">
        <x:f>IFERROR(INDEX('Material routes'!$J$6:$J$2205,MATCH(U149,'Material routes'!$A$6:$A$2205,0)),"MISSING ID")</x:f>
        <x:v>Unspecified</x:v>
      </x:c>
      <x:c r="P149" s="4" t="str">
        <x:f>IF(IFERROR(INDEX('Material routes'!$I$6:$I$1005,MATCH(V149,'Material routes'!$A$6:$A$1005,0)),"MISSING ID")=0,"",IFERROR(INDEX('Material routes'!$I$6:$I$1005,MATCH(V149,'Material routes'!$A$6:$A$1005,0)),"MISSING ID"))</x:f>
      </x:c>
      <x:c r="Q149" s="4" t="str">
        <x:f>IFERROR(INDEX('Material routes'!$J$6:$J$2205,MATCH(V149,'Material routes'!$A$6:$A$2205,0)),"MISSING ID")</x:f>
        <x:v>Unspecified</x:v>
      </x:c>
      <x:c r="R149" s="4" t="str">
        <x:f>IF(L149="Withheld","Withheld premise",IF(E149="Tool candidate","Reusable prerequisite",IF(K149="Raw entry preparation","Entry-resource preparation",IF(G149="Not applicable",IF(IFERROR(INDEX('Items'!$AI$6:$AI$1005,MATCH(T149,'Items'!$A$6:$A$1005,0)),"MISSING ID")="Finished item","Finished endpoint",IF(IFERROR(INDEX('Items'!$AI$6:$AI$1005,MATCH(T149,'Items'!$A$6:$A$1005,0)),"MISSING ID")="Currency","Currency / no refinement tier","Recovered output / tier not applicable")),IF(OR(IFERROR(INDEX('Crafting recipes'!$H$6:$H$1005,MATCH(J149,'Crafting recipes'!$A$6:$A$1005,0)),"MISSING ID")="Unassigned",G149="Unassigned"),"Tier unresolved",IF(IFERROR(VALUE(RIGHT(G149,1))-VALUE(RIGHT(IFERROR(INDEX('Crafting recipes'!$H$6:$H$1005,MATCH(J149,'Crafting recipes'!$A$6:$A$1005,0)),"MISSING ID"),1)),0)=1,IF(B149=IFERROR(INDEX('Crafting recipes'!$H$6:$H$1005,MATCH(J149,'Crafting recipes'!$A$6:$A$1005,0)),"MISSING ID"),"Advances one material tier","Lower-tier ingredient; route advances one tier"),"Needs tier review"))))))</x:f>
        <x:v>Advances one material tier</x:v>
      </x:c>
      <x:c r="S149" s="4" t="str">
        <x:f>IFERROR(INDEX('Material routes'!$D$6:$D$2205,MATCH(U149,'Material routes'!$A$6:$A$2205,0)),"MISSING ID")</x:f>
        <x:v>proposal.branch.filled_seal</x:v>
      </x:c>
      <x:c r="T149" s="4" t="str">
        <x:f>IFERROR(INDEX('Material routes'!$D$6:$D$2205,MATCH(V149,'Material routes'!$A$6:$A$2205,0)),"MISSING ID")</x:f>
        <x:v>proposal.branch.sealing_sheet</x:v>
      </x:c>
      <x:c r="U149" s="4" t="str">
        <x:v>design.branch.branch.sealing_sheet.in.1</x:v>
      </x:c>
      <x:c r="V149" s="4" t="str">
        <x:v>design.branch.branch.sealing_sheet.out</x:v>
      </x:c>
    </x:row>
    <x:row r="150" ht="105" customHeight="1">
      <x:c r="A150" s="4" t="str">
        <x:f>IFERROR(INDEX('Material routes'!$E$6:$E$2205,MATCH(U150,'Material routes'!$A$6:$A$2205,0)),"MISSING ID")</x:f>
        <x:v>Mica composite sheet</x:v>
      </x:c>
      <x:c r="B150" s="4" t="str">
        <x:f>IFERROR(INDEX('Material routes'!$F$6:$F$2205,MATCH(U150,'Material routes'!$A$6:$A$2205,0)),"MISSING ID")</x:f>
        <x:v>T2</x:v>
      </x:c>
      <x:c r="C150" s="4" t="str">
        <x:f>IFERROR(INDEX('Material routes'!$H$6:$H$2205,MATCH(U150,'Material routes'!$A$6:$A$2205,0)),"MISSING ID")</x:f>
        <x:v>Processed material</x:v>
      </x:c>
      <x:c r="D150" s="4" t="str">
        <x:f>IFERROR(INDEX('Material routes'!$G$6:$G$2205,MATCH(U150,'Material routes'!$A$6:$A$2205,0)),"MISSING ID")</x:f>
        <x:v>Manufactured stock</x:v>
      </x:c>
      <x:c r="E150" s="4" t="str">
        <x:f>IFERROR(INDEX('Material routes'!$C$6:$C$2205,MATCH(U150,'Material routes'!$A$6:$A$2205,0)),"MISSING ID")</x:f>
        <x:v>Ingredient candidate</x:v>
      </x:c>
      <x:c r="F150" s="4" t="str">
        <x:f>IFERROR(INDEX('Material routes'!$E$6:$E$2205,MATCH(V150,'Material routes'!$A$6:$A$2205,0)),"MISSING ID")</x:f>
        <x:v>Reinforced sealing sheet</x:v>
      </x:c>
      <x:c r="G150" s="4" t="str">
        <x:f>IFERROR(INDEX('Material routes'!$F$6:$F$2205,MATCH(V150,'Material routes'!$A$6:$A$2205,0)),"MISSING ID")</x:f>
        <x:v>T3</x:v>
      </x:c>
      <x:c r="H150" s="4" t="str">
        <x:f>IFERROR(INDEX('Material routes'!$H$6:$H$2205,MATCH(V150,'Material routes'!$A$6:$A$2205,0)),"MISSING ID")</x:f>
        <x:v>Processed material</x:v>
      </x:c>
      <x:c r="I150" s="4" t="str">
        <x:f>IFERROR(INDEX('Material routes'!$G$6:$G$2205,MATCH(V150,'Material routes'!$A$6:$A$2205,0)),"MISSING ID")</x:f>
        <x:v>Manufactured stock</x:v>
      </x:c>
      <x:c r="J150" s="4" t="str">
        <x:f>IFERROR(INDEX('Material routes'!$B$6:$B$2205,MATCH(U150,'Material routes'!$A$6:$A$2205,0)),"MISSING ID")</x:f>
        <x:v>design.branch.branch.sealing_sheet</x:v>
      </x:c>
      <x:c r="K150" s="4" t="str">
        <x:f>IFERROR(INDEX('Crafting recipes'!$C$6:$C$1005,MATCH(J150,'Crafting recipes'!$A$6:$A$1005,0)),"MISSING ID")</x:f>
        <x:v>Material refinement</x:v>
      </x:c>
      <x:c r="L150" s="4" t="str">
        <x:f>IFERROR(INDEX('Material routes'!$K$6:$K$2205,MATCH(U150,'Material routes'!$A$6:$A$2205,0)),"MISSING ID")</x:f>
        <x:v>Proposal</x:v>
      </x:c>
      <x:c r="M150" s="4" t="str">
        <x:f>IFERROR(INDEX('Material routes'!$M$6:$M$2205,MATCH(U150,'Material routes'!$A$6:$A$2205,0)),"MISSING ID")</x:f>
        <x:v>Partial proposal</x:v>
      </x:c>
      <x:c r="N150" s="4" t="str">
        <x:f>IF(IFERROR(INDEX('Material routes'!$I$6:$I$1005,MATCH(U150,'Material routes'!$A$6:$A$1005,0)),"MISSING ID")=0,"",IFERROR(INDEX('Material routes'!$I$6:$I$1005,MATCH(U150,'Material routes'!$A$6:$A$1005,0)),"MISSING ID"))</x:f>
      </x:c>
      <x:c r="O150" s="4" t="str">
        <x:f>IFERROR(INDEX('Material routes'!$J$6:$J$2205,MATCH(U150,'Material routes'!$A$6:$A$2205,0)),"MISSING ID")</x:f>
        <x:v>Unspecified</x:v>
      </x:c>
      <x:c r="P150" s="4" t="str">
        <x:f>IF(IFERROR(INDEX('Material routes'!$I$6:$I$1005,MATCH(V150,'Material routes'!$A$6:$A$1005,0)),"MISSING ID")=0,"",IFERROR(INDEX('Material routes'!$I$6:$I$1005,MATCH(V150,'Material routes'!$A$6:$A$1005,0)),"MISSING ID"))</x:f>
      </x:c>
      <x:c r="Q150" s="4" t="str">
        <x:f>IFERROR(INDEX('Material routes'!$J$6:$J$2205,MATCH(V150,'Material routes'!$A$6:$A$2205,0)),"MISSING ID")</x:f>
        <x:v>Unspecified</x:v>
      </x:c>
      <x:c r="R150" s="4" t="str">
        <x:f>IF(L150="Withheld","Withheld premise",IF(E150="Tool candidate","Reusable prerequisite",IF(K150="Raw entry preparation","Entry-resource preparation",IF(G150="Not applicable",IF(IFERROR(INDEX('Items'!$AI$6:$AI$1005,MATCH(T150,'Items'!$A$6:$A$1005,0)),"MISSING ID")="Finished item","Finished endpoint",IF(IFERROR(INDEX('Items'!$AI$6:$AI$1005,MATCH(T150,'Items'!$A$6:$A$1005,0)),"MISSING ID")="Currency","Currency / no refinement tier","Recovered output / tier not applicable")),IF(OR(IFERROR(INDEX('Crafting recipes'!$H$6:$H$1005,MATCH(J150,'Crafting recipes'!$A$6:$A$1005,0)),"MISSING ID")="Unassigned",G150="Unassigned"),"Tier unresolved",IF(IFERROR(VALUE(RIGHT(G150,1))-VALUE(RIGHT(IFERROR(INDEX('Crafting recipes'!$H$6:$H$1005,MATCH(J150,'Crafting recipes'!$A$6:$A$1005,0)),"MISSING ID"),1)),0)=1,IF(B150=IFERROR(INDEX('Crafting recipes'!$H$6:$H$1005,MATCH(J150,'Crafting recipes'!$A$6:$A$1005,0)),"MISSING ID"),"Advances one material tier","Lower-tier ingredient; route advances one tier"),"Needs tier review"))))))</x:f>
        <x:v>Advances one material tier</x:v>
      </x:c>
      <x:c r="S150" s="4" t="str">
        <x:f>IFERROR(INDEX('Material routes'!$D$6:$D$2205,MATCH(U150,'Material routes'!$A$6:$A$2205,0)),"MISSING ID")</x:f>
        <x:v>proposal.branch.mica_sheet</x:v>
      </x:c>
      <x:c r="T150" s="4" t="str">
        <x:f>IFERROR(INDEX('Material routes'!$D$6:$D$2205,MATCH(V150,'Material routes'!$A$6:$A$2205,0)),"MISSING ID")</x:f>
        <x:v>proposal.branch.sealing_sheet</x:v>
      </x:c>
      <x:c r="U150" s="4" t="str">
        <x:v>design.branch.branch.sealing_sheet.in.2</x:v>
      </x:c>
      <x:c r="V150" s="4" t="str">
        <x:v>design.branch.branch.sealing_sheet.out</x:v>
      </x:c>
    </x:row>
    <x:row r="151" ht="105" customHeight="1">
      <x:c r="A151" s="4" t="str">
        <x:f>IFERROR(INDEX('Material routes'!$E$6:$E$2205,MATCH(U151,'Material routes'!$A$6:$A$2205,0)),"MISSING ID")</x:f>
        <x:v>Flexible membrane-bonding compound</x:v>
      </x:c>
      <x:c r="B151" s="4" t="str">
        <x:f>IFERROR(INDEX('Material routes'!$F$6:$F$2205,MATCH(U151,'Material routes'!$A$6:$A$2205,0)),"MISSING ID")</x:f>
        <x:v>T2</x:v>
      </x:c>
      <x:c r="C151" s="4" t="str">
        <x:f>IFERROR(INDEX('Material routes'!$H$6:$H$2205,MATCH(U151,'Material routes'!$A$6:$A$2205,0)),"MISSING ID")</x:f>
        <x:v>Chemical material</x:v>
      </x:c>
      <x:c r="D151" s="4" t="str">
        <x:f>IFERROR(INDEX('Material routes'!$G$6:$G$2205,MATCH(U151,'Material routes'!$A$6:$A$2205,0)),"MISSING ID")</x:f>
        <x:v>Crafting components</x:v>
      </x:c>
      <x:c r="E151" s="4" t="str">
        <x:f>IFERROR(INDEX('Material routes'!$C$6:$C$2205,MATCH(U151,'Material routes'!$A$6:$A$2205,0)),"MISSING ID")</x:f>
        <x:v>Ingredient candidate</x:v>
      </x:c>
      <x:c r="F151" s="4" t="str">
        <x:f>IFERROR(INDEX('Material routes'!$E$6:$E$2205,MATCH(V151,'Material routes'!$A$6:$A$2205,0)),"MISSING ID")</x:f>
        <x:v>Reinforced sealing sheet</x:v>
      </x:c>
      <x:c r="G151" s="4" t="str">
        <x:f>IFERROR(INDEX('Material routes'!$F$6:$F$2205,MATCH(V151,'Material routes'!$A$6:$A$2205,0)),"MISSING ID")</x:f>
        <x:v>T3</x:v>
      </x:c>
      <x:c r="H151" s="4" t="str">
        <x:f>IFERROR(INDEX('Material routes'!$H$6:$H$2205,MATCH(V151,'Material routes'!$A$6:$A$2205,0)),"MISSING ID")</x:f>
        <x:v>Processed material</x:v>
      </x:c>
      <x:c r="I151" s="4" t="str">
        <x:f>IFERROR(INDEX('Material routes'!$G$6:$G$2205,MATCH(V151,'Material routes'!$A$6:$A$2205,0)),"MISSING ID")</x:f>
        <x:v>Manufactured stock</x:v>
      </x:c>
      <x:c r="J151" s="4" t="str">
        <x:f>IFERROR(INDEX('Material routes'!$B$6:$B$2205,MATCH(U151,'Material routes'!$A$6:$A$2205,0)),"MISSING ID")</x:f>
        <x:v>design.branch.branch.sealing_sheet</x:v>
      </x:c>
      <x:c r="K151" s="4" t="str">
        <x:f>IFERROR(INDEX('Crafting recipes'!$C$6:$C$1005,MATCH(J151,'Crafting recipes'!$A$6:$A$1005,0)),"MISSING ID")</x:f>
        <x:v>Material refinement</x:v>
      </x:c>
      <x:c r="L151" s="4" t="str">
        <x:f>IFERROR(INDEX('Material routes'!$K$6:$K$2205,MATCH(U151,'Material routes'!$A$6:$A$2205,0)),"MISSING ID")</x:f>
        <x:v>Proposal</x:v>
      </x:c>
      <x:c r="M151" s="4" t="str">
        <x:f>IFERROR(INDEX('Material routes'!$M$6:$M$2205,MATCH(U151,'Material routes'!$A$6:$A$2205,0)),"MISSING ID")</x:f>
        <x:v>Partial proposal</x:v>
      </x:c>
      <x:c r="N151" s="4" t="str">
        <x:f>IF(IFERROR(INDEX('Material routes'!$I$6:$I$1005,MATCH(U151,'Material routes'!$A$6:$A$1005,0)),"MISSING ID")=0,"",IFERROR(INDEX('Material routes'!$I$6:$I$1005,MATCH(U151,'Material routes'!$A$6:$A$1005,0)),"MISSING ID"))</x:f>
      </x:c>
      <x:c r="O151" s="4" t="str">
        <x:f>IFERROR(INDEX('Material routes'!$J$6:$J$2205,MATCH(U151,'Material routes'!$A$6:$A$2205,0)),"MISSING ID")</x:f>
        <x:v>Unspecified</x:v>
      </x:c>
      <x:c r="P151" s="4" t="str">
        <x:f>IF(IFERROR(INDEX('Material routes'!$I$6:$I$1005,MATCH(V151,'Material routes'!$A$6:$A$1005,0)),"MISSING ID")=0,"",IFERROR(INDEX('Material routes'!$I$6:$I$1005,MATCH(V151,'Material routes'!$A$6:$A$1005,0)),"MISSING ID"))</x:f>
      </x:c>
      <x:c r="Q151" s="4" t="str">
        <x:f>IFERROR(INDEX('Material routes'!$J$6:$J$2205,MATCH(V151,'Material routes'!$A$6:$A$2205,0)),"MISSING ID")</x:f>
        <x:v>Unspecified</x:v>
      </x:c>
      <x:c r="R151" s="4" t="str">
        <x:f>IF(L151="Withheld","Withheld premise",IF(E151="Tool candidate","Reusable prerequisite",IF(K151="Raw entry preparation","Entry-resource preparation",IF(G151="Not applicable",IF(IFERROR(INDEX('Items'!$AI$6:$AI$1005,MATCH(T151,'Items'!$A$6:$A$1005,0)),"MISSING ID")="Finished item","Finished endpoint",IF(IFERROR(INDEX('Items'!$AI$6:$AI$1005,MATCH(T151,'Items'!$A$6:$A$1005,0)),"MISSING ID")="Currency","Currency / no refinement tier","Recovered output / tier not applicable")),IF(OR(IFERROR(INDEX('Crafting recipes'!$H$6:$H$1005,MATCH(J151,'Crafting recipes'!$A$6:$A$1005,0)),"MISSING ID")="Unassigned",G151="Unassigned"),"Tier unresolved",IF(IFERROR(VALUE(RIGHT(G151,1))-VALUE(RIGHT(IFERROR(INDEX('Crafting recipes'!$H$6:$H$1005,MATCH(J151,'Crafting recipes'!$A$6:$A$1005,0)),"MISSING ID"),1)),0)=1,IF(B151=IFERROR(INDEX('Crafting recipes'!$H$6:$H$1005,MATCH(J151,'Crafting recipes'!$A$6:$A$1005,0)),"MISSING ID"),"Advances one material tier","Lower-tier ingredient; route advances one tier"),"Needs tier review"))))))</x:f>
        <x:v>Advances one material tier</x:v>
      </x:c>
      <x:c r="S151" s="4" t="str">
        <x:f>IFERROR(INDEX('Material routes'!$D$6:$D$2205,MATCH(U151,'Material routes'!$A$6:$A$2205,0)),"MISSING ID")</x:f>
        <x:v>proposal.branch.flex_bond</x:v>
      </x:c>
      <x:c r="T151" s="4" t="str">
        <x:f>IFERROR(INDEX('Material routes'!$D$6:$D$2205,MATCH(V151,'Material routes'!$A$6:$A$2205,0)),"MISSING ID")</x:f>
        <x:v>proposal.branch.sealing_sheet</x:v>
      </x:c>
      <x:c r="U151" s="4" t="str">
        <x:v>design.branch.branch.sealing_sheet.in.3</x:v>
      </x:c>
      <x:c r="V151" s="4" t="str">
        <x:v>design.branch.branch.sealing_sheet.out</x:v>
      </x:c>
    </x:row>
    <x:row r="152" ht="105" customHeight="1">
      <x:c r="A152" s="4"/>
      <x:c r="B152" s="4"/>
      <x:c r="C152" s="4"/>
      <x:c r="D152" s="4"/>
      <x:c r="E152" s="4"/>
      <x:c r="F152" s="4"/>
      <x:c r="G152" s="4"/>
      <x:c r="H152" s="4"/>
      <x:c r="I152" s="4"/>
      <x:c r="J152" s="4"/>
      <x:c r="K152" s="4"/>
      <x:c r="L152" s="4"/>
      <x:c r="M152" s="4"/>
      <x:c r="N152" s="4"/>
      <x:c r="O152" s="4"/>
      <x:c r="P152" s="4"/>
      <x:c r="Q152" s="4"/>
      <x:c r="R152" s="4"/>
      <x:c r="S152" s="4"/>
      <x:c r="T152" s="4"/>
      <x:c r="U152" s="4"/>
      <x:c r="V152" s="4"/>
    </x:row>
    <x:row r="153" ht="105" customHeight="1">
      <x:c r="A153" s="4"/>
      <x:c r="B153" s="4"/>
      <x:c r="C153" s="4"/>
      <x:c r="D153" s="4"/>
      <x:c r="E153" s="4"/>
      <x:c r="F153" s="4"/>
      <x:c r="G153" s="4"/>
      <x:c r="H153" s="4"/>
      <x:c r="I153" s="4"/>
      <x:c r="J153" s="4"/>
      <x:c r="K153" s="4"/>
      <x:c r="L153" s="4"/>
      <x:c r="M153" s="4"/>
      <x:c r="N153" s="4"/>
      <x:c r="O153" s="4"/>
      <x:c r="P153" s="4"/>
      <x:c r="Q153" s="4"/>
      <x:c r="R153" s="4"/>
      <x:c r="S153" s="4"/>
      <x:c r="T153" s="4"/>
      <x:c r="U153" s="4"/>
      <x:c r="V153" s="4"/>
    </x:row>
    <x:row r="154" ht="105" customHeight="1">
      <x:c r="A154" s="4" t="str">
        <x:f>IFERROR(INDEX('Material routes'!$E$6:$E$2205,MATCH(U154,'Material routes'!$A$6:$A$2205,0)),"MISSING ID")</x:f>
        <x:v>Filled faunal seal compound</x:v>
      </x:c>
      <x:c r="B154" s="4" t="str">
        <x:f>IFERROR(INDEX('Material routes'!$F$6:$F$2205,MATCH(U154,'Material routes'!$A$6:$A$2205,0)),"MISSING ID")</x:f>
        <x:v>T2</x:v>
      </x:c>
      <x:c r="C154" s="4" t="str">
        <x:f>IFERROR(INDEX('Material routes'!$H$6:$H$2205,MATCH(U154,'Material routes'!$A$6:$A$2205,0)),"MISSING ID")</x:f>
        <x:v>Chemical material</x:v>
      </x:c>
      <x:c r="D154" s="4" t="str">
        <x:f>IFERROR(INDEX('Material routes'!$G$6:$G$2205,MATCH(U154,'Material routes'!$A$6:$A$2205,0)),"MISSING ID")</x:f>
        <x:v>Crafting components</x:v>
      </x:c>
      <x:c r="E154" s="4" t="str">
        <x:f>IFERROR(INDEX('Material routes'!$C$6:$C$2205,MATCH(U154,'Material routes'!$A$6:$A$2205,0)),"MISSING ID")</x:f>
        <x:v>Ingredient candidate</x:v>
      </x:c>
      <x:c r="F154" s="4" t="str">
        <x:f>IFERROR(INDEX('Material routes'!$E$6:$E$2205,MATCH(V154,'Material routes'!$A$6:$A$2205,0)),"MISSING ID")</x:f>
        <x:v>Canister joint sealant</x:v>
      </x:c>
      <x:c r="G154" s="4" t="str">
        <x:f>IFERROR(INDEX('Material routes'!$F$6:$F$2205,MATCH(V154,'Material routes'!$A$6:$A$2205,0)),"MISSING ID")</x:f>
        <x:v>T3</x:v>
      </x:c>
      <x:c r="H154" s="4" t="str">
        <x:f>IFERROR(INDEX('Material routes'!$H$6:$H$2205,MATCH(V154,'Material routes'!$A$6:$A$2205,0)),"MISSING ID")</x:f>
        <x:v>Chemical material</x:v>
      </x:c>
      <x:c r="I154" s="4" t="str">
        <x:f>IFERROR(INDEX('Material routes'!$G$6:$G$2205,MATCH(V154,'Material routes'!$A$6:$A$2205,0)),"MISSING ID")</x:f>
        <x:v>Crafting components</x:v>
      </x:c>
      <x:c r="J154" s="4" t="str">
        <x:f>IFERROR(INDEX('Material routes'!$B$6:$B$2205,MATCH(U154,'Material routes'!$A$6:$A$2205,0)),"MISSING ID")</x:f>
        <x:v>design.branch.canister.sealant</x:v>
      </x:c>
      <x:c r="K154" s="4" t="str">
        <x:f>IFERROR(INDEX('Crafting recipes'!$C$6:$C$1005,MATCH(J154,'Crafting recipes'!$A$6:$A$1005,0)),"MISSING ID")</x:f>
        <x:v>Material refinement</x:v>
      </x:c>
      <x:c r="L154" s="4" t="str">
        <x:f>IFERROR(INDEX('Material routes'!$K$6:$K$2205,MATCH(U154,'Material routes'!$A$6:$A$2205,0)),"MISSING ID")</x:f>
        <x:v>Proposal</x:v>
      </x:c>
      <x:c r="M154" s="4" t="str">
        <x:f>IFERROR(INDEX('Material routes'!$M$6:$M$2205,MATCH(U154,'Material routes'!$A$6:$A$2205,0)),"MISSING ID")</x:f>
        <x:v>Partial proposal</x:v>
      </x:c>
      <x:c r="N154" s="4" t="str">
        <x:f>IF(IFERROR(INDEX('Material routes'!$I$6:$I$1005,MATCH(U154,'Material routes'!$A$6:$A$1005,0)),"MISSING ID")=0,"",IFERROR(INDEX('Material routes'!$I$6:$I$1005,MATCH(U154,'Material routes'!$A$6:$A$1005,0)),"MISSING ID"))</x:f>
      </x:c>
      <x:c r="O154" s="4" t="str">
        <x:f>IFERROR(INDEX('Material routes'!$J$6:$J$2205,MATCH(U154,'Material routes'!$A$6:$A$2205,0)),"MISSING ID")</x:f>
        <x:v>Unspecified</x:v>
      </x:c>
      <x:c r="P154" s="4" t="str">
        <x:f>IF(IFERROR(INDEX('Material routes'!$I$6:$I$1005,MATCH(V154,'Material routes'!$A$6:$A$1005,0)),"MISSING ID")=0,"",IFERROR(INDEX('Material routes'!$I$6:$I$1005,MATCH(V154,'Material routes'!$A$6:$A$1005,0)),"MISSING ID"))</x:f>
      </x:c>
      <x:c r="Q154" s="4" t="str">
        <x:f>IFERROR(INDEX('Material routes'!$J$6:$J$2205,MATCH(V154,'Material routes'!$A$6:$A$2205,0)),"MISSING ID")</x:f>
        <x:v>Unspecified</x:v>
      </x:c>
      <x:c r="R154" s="4" t="str">
        <x:f>IF(L154="Withheld","Withheld premise",IF(E154="Tool candidate","Reusable prerequisite",IF(K154="Raw entry preparation","Entry-resource preparation",IF(G154="Not applicable",IF(IFERROR(INDEX('Items'!$AI$6:$AI$1005,MATCH(T154,'Items'!$A$6:$A$1005,0)),"MISSING ID")="Finished item","Finished endpoint",IF(IFERROR(INDEX('Items'!$AI$6:$AI$1005,MATCH(T154,'Items'!$A$6:$A$1005,0)),"MISSING ID")="Currency","Currency / no refinement tier","Recovered output / tier not applicable")),IF(OR(IFERROR(INDEX('Crafting recipes'!$H$6:$H$1005,MATCH(J154,'Crafting recipes'!$A$6:$A$1005,0)),"MISSING ID")="Unassigned",G154="Unassigned"),"Tier unresolved",IF(IFERROR(VALUE(RIGHT(G154,1))-VALUE(RIGHT(IFERROR(INDEX('Crafting recipes'!$H$6:$H$1005,MATCH(J154,'Crafting recipes'!$A$6:$A$1005,0)),"MISSING ID"),1)),0)=1,IF(B154=IFERROR(INDEX('Crafting recipes'!$H$6:$H$1005,MATCH(J154,'Crafting recipes'!$A$6:$A$1005,0)),"MISSING ID"),"Advances one material tier","Lower-tier ingredient; route advances one tier"),"Needs tier review"))))))</x:f>
        <x:v>Advances one material tier</x:v>
      </x:c>
      <x:c r="S154" s="4" t="str">
        <x:f>IFERROR(INDEX('Material routes'!$D$6:$D$2205,MATCH(U154,'Material routes'!$A$6:$A$2205,0)),"MISSING ID")</x:f>
        <x:v>proposal.branch.filled_seal</x:v>
      </x:c>
      <x:c r="T154" s="4" t="str">
        <x:f>IFERROR(INDEX('Material routes'!$D$6:$D$2205,MATCH(V154,'Material routes'!$A$6:$A$2205,0)),"MISSING ID")</x:f>
        <x:v>proposal.canister.sealant</x:v>
      </x:c>
      <x:c r="U154" s="4" t="str">
        <x:v>design.branch.canister.sealant.in.1</x:v>
      </x:c>
      <x:c r="V154" s="4" t="str">
        <x:v>design.branch.canister.sealant.out</x:v>
      </x:c>
    </x:row>
    <x:row r="155" ht="105" customHeight="1">
      <x:c r="A155" s="4" t="str">
        <x:f>IFERROR(INDEX('Material routes'!$E$6:$E$2205,MATCH(U155,'Material routes'!$A$6:$A$2205,0)),"MISSING ID")</x:f>
        <x:v>Flexible membrane-bonding compound</x:v>
      </x:c>
      <x:c r="B155" s="4" t="str">
        <x:f>IFERROR(INDEX('Material routes'!$F$6:$F$2205,MATCH(U155,'Material routes'!$A$6:$A$2205,0)),"MISSING ID")</x:f>
        <x:v>T2</x:v>
      </x:c>
      <x:c r="C155" s="4" t="str">
        <x:f>IFERROR(INDEX('Material routes'!$H$6:$H$2205,MATCH(U155,'Material routes'!$A$6:$A$2205,0)),"MISSING ID")</x:f>
        <x:v>Chemical material</x:v>
      </x:c>
      <x:c r="D155" s="4" t="str">
        <x:f>IFERROR(INDEX('Material routes'!$G$6:$G$2205,MATCH(U155,'Material routes'!$A$6:$A$2205,0)),"MISSING ID")</x:f>
        <x:v>Crafting components</x:v>
      </x:c>
      <x:c r="E155" s="4" t="str">
        <x:f>IFERROR(INDEX('Material routes'!$C$6:$C$2205,MATCH(U155,'Material routes'!$A$6:$A$2205,0)),"MISSING ID")</x:f>
        <x:v>Ingredient candidate</x:v>
      </x:c>
      <x:c r="F155" s="4" t="str">
        <x:f>IFERROR(INDEX('Material routes'!$E$6:$E$2205,MATCH(V155,'Material routes'!$A$6:$A$2205,0)),"MISSING ID")</x:f>
        <x:v>Canister joint sealant</x:v>
      </x:c>
      <x:c r="G155" s="4" t="str">
        <x:f>IFERROR(INDEX('Material routes'!$F$6:$F$2205,MATCH(V155,'Material routes'!$A$6:$A$2205,0)),"MISSING ID")</x:f>
        <x:v>T3</x:v>
      </x:c>
      <x:c r="H155" s="4" t="str">
        <x:f>IFERROR(INDEX('Material routes'!$H$6:$H$2205,MATCH(V155,'Material routes'!$A$6:$A$2205,0)),"MISSING ID")</x:f>
        <x:v>Chemical material</x:v>
      </x:c>
      <x:c r="I155" s="4" t="str">
        <x:f>IFERROR(INDEX('Material routes'!$G$6:$G$2205,MATCH(V155,'Material routes'!$A$6:$A$2205,0)),"MISSING ID")</x:f>
        <x:v>Crafting components</x:v>
      </x:c>
      <x:c r="J155" s="4" t="str">
        <x:f>IFERROR(INDEX('Material routes'!$B$6:$B$2205,MATCH(U155,'Material routes'!$A$6:$A$2205,0)),"MISSING ID")</x:f>
        <x:v>design.branch.canister.sealant</x:v>
      </x:c>
      <x:c r="K155" s="4" t="str">
        <x:f>IFERROR(INDEX('Crafting recipes'!$C$6:$C$1005,MATCH(J155,'Crafting recipes'!$A$6:$A$1005,0)),"MISSING ID")</x:f>
        <x:v>Material refinement</x:v>
      </x:c>
      <x:c r="L155" s="4" t="str">
        <x:f>IFERROR(INDEX('Material routes'!$K$6:$K$2205,MATCH(U155,'Material routes'!$A$6:$A$2205,0)),"MISSING ID")</x:f>
        <x:v>Proposal</x:v>
      </x:c>
      <x:c r="M155" s="4" t="str">
        <x:f>IFERROR(INDEX('Material routes'!$M$6:$M$2205,MATCH(U155,'Material routes'!$A$6:$A$2205,0)),"MISSING ID")</x:f>
        <x:v>Partial proposal</x:v>
      </x:c>
      <x:c r="N155" s="4" t="str">
        <x:f>IF(IFERROR(INDEX('Material routes'!$I$6:$I$1005,MATCH(U155,'Material routes'!$A$6:$A$1005,0)),"MISSING ID")=0,"",IFERROR(INDEX('Material routes'!$I$6:$I$1005,MATCH(U155,'Material routes'!$A$6:$A$1005,0)),"MISSING ID"))</x:f>
      </x:c>
      <x:c r="O155" s="4" t="str">
        <x:f>IFERROR(INDEX('Material routes'!$J$6:$J$2205,MATCH(U155,'Material routes'!$A$6:$A$2205,0)),"MISSING ID")</x:f>
        <x:v>Unspecified</x:v>
      </x:c>
      <x:c r="P155" s="4" t="str">
        <x:f>IF(IFERROR(INDEX('Material routes'!$I$6:$I$1005,MATCH(V155,'Material routes'!$A$6:$A$1005,0)),"MISSING ID")=0,"",IFERROR(INDEX('Material routes'!$I$6:$I$1005,MATCH(V155,'Material routes'!$A$6:$A$1005,0)),"MISSING ID"))</x:f>
      </x:c>
      <x:c r="Q155" s="4" t="str">
        <x:f>IFERROR(INDEX('Material routes'!$J$6:$J$2205,MATCH(V155,'Material routes'!$A$6:$A$2205,0)),"MISSING ID")</x:f>
        <x:v>Unspecified</x:v>
      </x:c>
      <x:c r="R155" s="4" t="str">
        <x:f>IF(L155="Withheld","Withheld premise",IF(E155="Tool candidate","Reusable prerequisite",IF(K155="Raw entry preparation","Entry-resource preparation",IF(G155="Not applicable",IF(IFERROR(INDEX('Items'!$AI$6:$AI$1005,MATCH(T155,'Items'!$A$6:$A$1005,0)),"MISSING ID")="Finished item","Finished endpoint",IF(IFERROR(INDEX('Items'!$AI$6:$AI$1005,MATCH(T155,'Items'!$A$6:$A$1005,0)),"MISSING ID")="Currency","Currency / no refinement tier","Recovered output / tier not applicable")),IF(OR(IFERROR(INDEX('Crafting recipes'!$H$6:$H$1005,MATCH(J155,'Crafting recipes'!$A$6:$A$1005,0)),"MISSING ID")="Unassigned",G155="Unassigned"),"Tier unresolved",IF(IFERROR(VALUE(RIGHT(G155,1))-VALUE(RIGHT(IFERROR(INDEX('Crafting recipes'!$H$6:$H$1005,MATCH(J155,'Crafting recipes'!$A$6:$A$1005,0)),"MISSING ID"),1)),0)=1,IF(B155=IFERROR(INDEX('Crafting recipes'!$H$6:$H$1005,MATCH(J155,'Crafting recipes'!$A$6:$A$1005,0)),"MISSING ID"),"Advances one material tier","Lower-tier ingredient; route advances one tier"),"Needs tier review"))))))</x:f>
        <x:v>Advances one material tier</x:v>
      </x:c>
      <x:c r="S155" s="4" t="str">
        <x:f>IFERROR(INDEX('Material routes'!$D$6:$D$2205,MATCH(U155,'Material routes'!$A$6:$A$2205,0)),"MISSING ID")</x:f>
        <x:v>proposal.branch.flex_bond</x:v>
      </x:c>
      <x:c r="T155" s="4" t="str">
        <x:f>IFERROR(INDEX('Material routes'!$D$6:$D$2205,MATCH(V155,'Material routes'!$A$6:$A$2205,0)),"MISSING ID")</x:f>
        <x:v>proposal.canister.sealant</x:v>
      </x:c>
      <x:c r="U155" s="4" t="str">
        <x:v>design.branch.canister.sealant.in.2</x:v>
      </x:c>
      <x:c r="V155" s="4" t="str">
        <x:v>design.branch.canister.sealant.out</x:v>
      </x:c>
    </x:row>
    <x:row r="156" ht="105" customHeight="1">
      <x:c r="A156" s="4" t="str">
        <x:f>IFERROR(INDEX('Material routes'!$E$6:$E$2205,MATCH(U156,'Material routes'!$A$6:$A$2205,0)),"MISSING ID")</x:f>
        <x:v>Steel-faced shell composite</x:v>
      </x:c>
      <x:c r="B156" s="4" t="str">
        <x:f>IFERROR(INDEX('Material routes'!$F$6:$F$2205,MATCH(U156,'Material routes'!$A$6:$A$2205,0)),"MISSING ID")</x:f>
        <x:v>T3</x:v>
      </x:c>
      <x:c r="C156" s="4" t="str">
        <x:f>IFERROR(INDEX('Material routes'!$H$6:$H$2205,MATCH(U156,'Material routes'!$A$6:$A$2205,0)),"MISSING ID")</x:f>
        <x:v>Processed material</x:v>
      </x:c>
      <x:c r="D156" s="4" t="str">
        <x:f>IFERROR(INDEX('Material routes'!$G$6:$G$2205,MATCH(U156,'Material routes'!$A$6:$A$2205,0)),"MISSING ID")</x:f>
        <x:v>Manufactured stock</x:v>
      </x:c>
      <x:c r="E156" s="4" t="str">
        <x:f>IFERROR(INDEX('Material routes'!$C$6:$C$2205,MATCH(U156,'Material routes'!$A$6:$A$2205,0)),"MISSING ID")</x:f>
        <x:v>Ingredient candidate</x:v>
      </x:c>
      <x:c r="F156" s="4" t="str">
        <x:f>IFERROR(INDEX('Material routes'!$E$6:$E$2205,MATCH(V156,'Material routes'!$A$6:$A$2205,0)),"MISSING ID")</x:f>
        <x:v>Layered protective composite stock</x:v>
      </x:c>
      <x:c r="G156" s="4" t="str">
        <x:f>IFERROR(INDEX('Material routes'!$F$6:$F$2205,MATCH(V156,'Material routes'!$A$6:$A$2205,0)),"MISSING ID")</x:f>
        <x:v>T4</x:v>
      </x:c>
      <x:c r="H156" s="4" t="str">
        <x:f>IFERROR(INDEX('Material routes'!$H$6:$H$2205,MATCH(V156,'Material routes'!$A$6:$A$2205,0)),"MISSING ID")</x:f>
        <x:v>Processed material</x:v>
      </x:c>
      <x:c r="I156" s="4" t="str">
        <x:f>IFERROR(INDEX('Material routes'!$G$6:$G$2205,MATCH(V156,'Material routes'!$A$6:$A$2205,0)),"MISSING ID")</x:f>
        <x:v>Manufactured stock</x:v>
      </x:c>
      <x:c r="J156" s="4" t="str">
        <x:f>IFERROR(INDEX('Material routes'!$B$6:$B$2205,MATCH(U156,'Material routes'!$A$6:$A$2205,0)),"MISSING ID")</x:f>
        <x:v>design.branch.branch.protective_stock</x:v>
      </x:c>
      <x:c r="K156" s="4" t="str">
        <x:f>IFERROR(INDEX('Crafting recipes'!$C$6:$C$1005,MATCH(J156,'Crafting recipes'!$A$6:$A$1005,0)),"MISSING ID")</x:f>
        <x:v>Material refinement</x:v>
      </x:c>
      <x:c r="L156" s="4" t="str">
        <x:f>IFERROR(INDEX('Material routes'!$K$6:$K$2205,MATCH(U156,'Material routes'!$A$6:$A$2205,0)),"MISSING ID")</x:f>
        <x:v>Proposal</x:v>
      </x:c>
      <x:c r="M156" s="4" t="str">
        <x:f>IFERROR(INDEX('Material routes'!$M$6:$M$2205,MATCH(U156,'Material routes'!$A$6:$A$2205,0)),"MISSING ID")</x:f>
        <x:v>Partial proposal</x:v>
      </x:c>
      <x:c r="N156" s="4" t="str">
        <x:f>IF(IFERROR(INDEX('Material routes'!$I$6:$I$1005,MATCH(U156,'Material routes'!$A$6:$A$1005,0)),"MISSING ID")=0,"",IFERROR(INDEX('Material routes'!$I$6:$I$1005,MATCH(U156,'Material routes'!$A$6:$A$1005,0)),"MISSING ID"))</x:f>
      </x:c>
      <x:c r="O156" s="4" t="str">
        <x:f>IFERROR(INDEX('Material routes'!$J$6:$J$2205,MATCH(U156,'Material routes'!$A$6:$A$2205,0)),"MISSING ID")</x:f>
        <x:v>Unspecified</x:v>
      </x:c>
      <x:c r="P156" s="4" t="str">
        <x:f>IF(IFERROR(INDEX('Material routes'!$I$6:$I$1005,MATCH(V156,'Material routes'!$A$6:$A$1005,0)),"MISSING ID")=0,"",IFERROR(INDEX('Material routes'!$I$6:$I$1005,MATCH(V156,'Material routes'!$A$6:$A$1005,0)),"MISSING ID"))</x:f>
      </x:c>
      <x:c r="Q156" s="4" t="str">
        <x:f>IFERROR(INDEX('Material routes'!$J$6:$J$2205,MATCH(V156,'Material routes'!$A$6:$A$2205,0)),"MISSING ID")</x:f>
        <x:v>Unspecified</x:v>
      </x:c>
      <x:c r="R156" s="4" t="str">
        <x:f>IF(L156="Withheld","Withheld premise",IF(E156="Tool candidate","Reusable prerequisite",IF(K156="Raw entry preparation","Entry-resource preparation",IF(G156="Not applicable",IF(IFERROR(INDEX('Items'!$AI$6:$AI$1005,MATCH(T156,'Items'!$A$6:$A$1005,0)),"MISSING ID")="Finished item","Finished endpoint",IF(IFERROR(INDEX('Items'!$AI$6:$AI$1005,MATCH(T156,'Items'!$A$6:$A$1005,0)),"MISSING ID")="Currency","Currency / no refinement tier","Recovered output / tier not applicable")),IF(OR(IFERROR(INDEX('Crafting recipes'!$H$6:$H$1005,MATCH(J156,'Crafting recipes'!$A$6:$A$1005,0)),"MISSING ID")="Unassigned",G156="Unassigned"),"Tier unresolved",IF(IFERROR(VALUE(RIGHT(G156,1))-VALUE(RIGHT(IFERROR(INDEX('Crafting recipes'!$H$6:$H$1005,MATCH(J156,'Crafting recipes'!$A$6:$A$1005,0)),"MISSING ID"),1)),0)=1,IF(B156=IFERROR(INDEX('Crafting recipes'!$H$6:$H$1005,MATCH(J156,'Crafting recipes'!$A$6:$A$1005,0)),"MISSING ID"),"Advances one material tier","Lower-tier ingredient; route advances one tier"),"Needs tier review"))))))</x:f>
        <x:v>Advances one material tier</x:v>
      </x:c>
      <x:c r="S156" s="4" t="str">
        <x:f>IFERROR(INDEX('Material routes'!$D$6:$D$2205,MATCH(U156,'Material routes'!$A$6:$A$2205,0)),"MISSING ID")</x:f>
        <x:v>proposal.branch.steel_shell</x:v>
      </x:c>
      <x:c r="T156" s="4" t="str">
        <x:f>IFERROR(INDEX('Material routes'!$D$6:$D$2205,MATCH(V156,'Material routes'!$A$6:$A$2205,0)),"MISSING ID")</x:f>
        <x:v>proposal.branch.protective_stock</x:v>
      </x:c>
      <x:c r="U156" s="4" t="str">
        <x:v>design.branch.branch.protective_stock.in.1</x:v>
      </x:c>
      <x:c r="V156" s="4" t="str">
        <x:v>design.branch.branch.protective_stock.out</x:v>
      </x:c>
    </x:row>
    <x:row r="157" ht="105" customHeight="1">
      <x:c r="A157" s="4" t="str">
        <x:f>IFERROR(INDEX('Material routes'!$E$6:$E$2205,MATCH(U157,'Material routes'!$A$6:$A$2205,0)),"MISSING ID")</x:f>
        <x:v>Bonded ceramic-shell composite</x:v>
      </x:c>
      <x:c r="B157" s="4" t="str">
        <x:f>IFERROR(INDEX('Material routes'!$F$6:$F$2205,MATCH(U157,'Material routes'!$A$6:$A$2205,0)),"MISSING ID")</x:f>
        <x:v>T3</x:v>
      </x:c>
      <x:c r="C157" s="4" t="str">
        <x:f>IFERROR(INDEX('Material routes'!$H$6:$H$2205,MATCH(U157,'Material routes'!$A$6:$A$2205,0)),"MISSING ID")</x:f>
        <x:v>Processed material</x:v>
      </x:c>
      <x:c r="D157" s="4" t="str">
        <x:f>IFERROR(INDEX('Material routes'!$G$6:$G$2205,MATCH(U157,'Material routes'!$A$6:$A$2205,0)),"MISSING ID")</x:f>
        <x:v>Manufactured stock</x:v>
      </x:c>
      <x:c r="E157" s="4" t="str">
        <x:f>IFERROR(INDEX('Material routes'!$C$6:$C$2205,MATCH(U157,'Material routes'!$A$6:$A$2205,0)),"MISSING ID")</x:f>
        <x:v>Ingredient candidate</x:v>
      </x:c>
      <x:c r="F157" s="4" t="str">
        <x:f>IFERROR(INDEX('Material routes'!$E$6:$E$2205,MATCH(V157,'Material routes'!$A$6:$A$2205,0)),"MISSING ID")</x:f>
        <x:v>Layered protective composite stock</x:v>
      </x:c>
      <x:c r="G157" s="4" t="str">
        <x:f>IFERROR(INDEX('Material routes'!$F$6:$F$2205,MATCH(V157,'Material routes'!$A$6:$A$2205,0)),"MISSING ID")</x:f>
        <x:v>T4</x:v>
      </x:c>
      <x:c r="H157" s="4" t="str">
        <x:f>IFERROR(INDEX('Material routes'!$H$6:$H$2205,MATCH(V157,'Material routes'!$A$6:$A$2205,0)),"MISSING ID")</x:f>
        <x:v>Processed material</x:v>
      </x:c>
      <x:c r="I157" s="4" t="str">
        <x:f>IFERROR(INDEX('Material routes'!$G$6:$G$2205,MATCH(V157,'Material routes'!$A$6:$A$2205,0)),"MISSING ID")</x:f>
        <x:v>Manufactured stock</x:v>
      </x:c>
      <x:c r="J157" s="4" t="str">
        <x:f>IFERROR(INDEX('Material routes'!$B$6:$B$2205,MATCH(U157,'Material routes'!$A$6:$A$2205,0)),"MISSING ID")</x:f>
        <x:v>design.branch.branch.protective_stock</x:v>
      </x:c>
      <x:c r="K157" s="4" t="str">
        <x:f>IFERROR(INDEX('Crafting recipes'!$C$6:$C$1005,MATCH(J157,'Crafting recipes'!$A$6:$A$1005,0)),"MISSING ID")</x:f>
        <x:v>Material refinement</x:v>
      </x:c>
      <x:c r="L157" s="4" t="str">
        <x:f>IFERROR(INDEX('Material routes'!$K$6:$K$2205,MATCH(U157,'Material routes'!$A$6:$A$2205,0)),"MISSING ID")</x:f>
        <x:v>Proposal</x:v>
      </x:c>
      <x:c r="M157" s="4" t="str">
        <x:f>IFERROR(INDEX('Material routes'!$M$6:$M$2205,MATCH(U157,'Material routes'!$A$6:$A$2205,0)),"MISSING ID")</x:f>
        <x:v>Partial proposal</x:v>
      </x:c>
      <x:c r="N157" s="4" t="str">
        <x:f>IF(IFERROR(INDEX('Material routes'!$I$6:$I$1005,MATCH(U157,'Material routes'!$A$6:$A$1005,0)),"MISSING ID")=0,"",IFERROR(INDEX('Material routes'!$I$6:$I$1005,MATCH(U157,'Material routes'!$A$6:$A$1005,0)),"MISSING ID"))</x:f>
      </x:c>
      <x:c r="O157" s="4" t="str">
        <x:f>IFERROR(INDEX('Material routes'!$J$6:$J$2205,MATCH(U157,'Material routes'!$A$6:$A$2205,0)),"MISSING ID")</x:f>
        <x:v>Unspecified</x:v>
      </x:c>
      <x:c r="P157" s="4" t="str">
        <x:f>IF(IFERROR(INDEX('Material routes'!$I$6:$I$1005,MATCH(V157,'Material routes'!$A$6:$A$1005,0)),"MISSING ID")=0,"",IFERROR(INDEX('Material routes'!$I$6:$I$1005,MATCH(V157,'Material routes'!$A$6:$A$1005,0)),"MISSING ID"))</x:f>
      </x:c>
      <x:c r="Q157" s="4" t="str">
        <x:f>IFERROR(INDEX('Material routes'!$J$6:$J$2205,MATCH(V157,'Material routes'!$A$6:$A$2205,0)),"MISSING ID")</x:f>
        <x:v>Unspecified</x:v>
      </x:c>
      <x:c r="R157" s="4" t="str">
        <x:f>IF(L157="Withheld","Withheld premise",IF(E157="Tool candidate","Reusable prerequisite",IF(K157="Raw entry preparation","Entry-resource preparation",IF(G157="Not applicable",IF(IFERROR(INDEX('Items'!$AI$6:$AI$1005,MATCH(T157,'Items'!$A$6:$A$1005,0)),"MISSING ID")="Finished item","Finished endpoint",IF(IFERROR(INDEX('Items'!$AI$6:$AI$1005,MATCH(T157,'Items'!$A$6:$A$1005,0)),"MISSING ID")="Currency","Currency / no refinement tier","Recovered output / tier not applicable")),IF(OR(IFERROR(INDEX('Crafting recipes'!$H$6:$H$1005,MATCH(J157,'Crafting recipes'!$A$6:$A$1005,0)),"MISSING ID")="Unassigned",G157="Unassigned"),"Tier unresolved",IF(IFERROR(VALUE(RIGHT(G157,1))-VALUE(RIGHT(IFERROR(INDEX('Crafting recipes'!$H$6:$H$1005,MATCH(J157,'Crafting recipes'!$A$6:$A$1005,0)),"MISSING ID"),1)),0)=1,IF(B157=IFERROR(INDEX('Crafting recipes'!$H$6:$H$1005,MATCH(J157,'Crafting recipes'!$A$6:$A$1005,0)),"MISSING ID"),"Advances one material tier","Lower-tier ingredient; route advances one tier"),"Needs tier review"))))))</x:f>
        <x:v>Advances one material tier</x:v>
      </x:c>
      <x:c r="S157" s="4" t="str">
        <x:f>IFERROR(INDEX('Material routes'!$D$6:$D$2205,MATCH(U157,'Material routes'!$A$6:$A$2205,0)),"MISSING ID")</x:f>
        <x:v>proposal.branch.ceramic_shell</x:v>
      </x:c>
      <x:c r="T157" s="4" t="str">
        <x:f>IFERROR(INDEX('Material routes'!$D$6:$D$2205,MATCH(V157,'Material routes'!$A$6:$A$2205,0)),"MISSING ID")</x:f>
        <x:v>proposal.branch.protective_stock</x:v>
      </x:c>
      <x:c r="U157" s="4" t="str">
        <x:v>design.branch.branch.protective_stock.in.2</x:v>
      </x:c>
      <x:c r="V157" s="4" t="str">
        <x:v>design.branch.branch.protective_stock.out</x:v>
      </x:c>
    </x:row>
    <x:row r="158" ht="105" customHeight="1">
      <x:c r="A158" s="4" t="str">
        <x:f>IFERROR(INDEX('Material routes'!$E$6:$E$2205,MATCH(U158,'Material routes'!$A$6:$A$2205,0)),"MISSING ID")</x:f>
        <x:v>Filled shell-binding compound</x:v>
      </x:c>
      <x:c r="B158" s="4" t="str">
        <x:f>IFERROR(INDEX('Material routes'!$F$6:$F$2205,MATCH(U158,'Material routes'!$A$6:$A$2205,0)),"MISSING ID")</x:f>
        <x:v>T2</x:v>
      </x:c>
      <x:c r="C158" s="4" t="str">
        <x:f>IFERROR(INDEX('Material routes'!$H$6:$H$2205,MATCH(U158,'Material routes'!$A$6:$A$2205,0)),"MISSING ID")</x:f>
        <x:v>Chemical material</x:v>
      </x:c>
      <x:c r="D158" s="4" t="str">
        <x:f>IFERROR(INDEX('Material routes'!$G$6:$G$2205,MATCH(U158,'Material routes'!$A$6:$A$2205,0)),"MISSING ID")</x:f>
        <x:v>Crafting components</x:v>
      </x:c>
      <x:c r="E158" s="4" t="str">
        <x:f>IFERROR(INDEX('Material routes'!$C$6:$C$2205,MATCH(U158,'Material routes'!$A$6:$A$2205,0)),"MISSING ID")</x:f>
        <x:v>Ingredient candidate</x:v>
      </x:c>
      <x:c r="F158" s="4" t="str">
        <x:f>IFERROR(INDEX('Material routes'!$E$6:$E$2205,MATCH(V158,'Material routes'!$A$6:$A$2205,0)),"MISSING ID")</x:f>
        <x:v>Layered protective composite stock</x:v>
      </x:c>
      <x:c r="G158" s="4" t="str">
        <x:f>IFERROR(INDEX('Material routes'!$F$6:$F$2205,MATCH(V158,'Material routes'!$A$6:$A$2205,0)),"MISSING ID")</x:f>
        <x:v>T4</x:v>
      </x:c>
      <x:c r="H158" s="4" t="str">
        <x:f>IFERROR(INDEX('Material routes'!$H$6:$H$2205,MATCH(V158,'Material routes'!$A$6:$A$2205,0)),"MISSING ID")</x:f>
        <x:v>Processed material</x:v>
      </x:c>
      <x:c r="I158" s="4" t="str">
        <x:f>IFERROR(INDEX('Material routes'!$G$6:$G$2205,MATCH(V158,'Material routes'!$A$6:$A$2205,0)),"MISSING ID")</x:f>
        <x:v>Manufactured stock</x:v>
      </x:c>
      <x:c r="J158" s="4" t="str">
        <x:f>IFERROR(INDEX('Material routes'!$B$6:$B$2205,MATCH(U158,'Material routes'!$A$6:$A$2205,0)),"MISSING ID")</x:f>
        <x:v>design.branch.branch.protective_stock</x:v>
      </x:c>
      <x:c r="K158" s="4" t="str">
        <x:f>IFERROR(INDEX('Crafting recipes'!$C$6:$C$1005,MATCH(J158,'Crafting recipes'!$A$6:$A$1005,0)),"MISSING ID")</x:f>
        <x:v>Material refinement</x:v>
      </x:c>
      <x:c r="L158" s="4" t="str">
        <x:f>IFERROR(INDEX('Material routes'!$K$6:$K$2205,MATCH(U158,'Material routes'!$A$6:$A$2205,0)),"MISSING ID")</x:f>
        <x:v>Proposal</x:v>
      </x:c>
      <x:c r="M158" s="4" t="str">
        <x:f>IFERROR(INDEX('Material routes'!$M$6:$M$2205,MATCH(U158,'Material routes'!$A$6:$A$2205,0)),"MISSING ID")</x:f>
        <x:v>Partial proposal</x:v>
      </x:c>
      <x:c r="N158" s="4" t="str">
        <x:f>IF(IFERROR(INDEX('Material routes'!$I$6:$I$1005,MATCH(U158,'Material routes'!$A$6:$A$1005,0)),"MISSING ID")=0,"",IFERROR(INDEX('Material routes'!$I$6:$I$1005,MATCH(U158,'Material routes'!$A$6:$A$1005,0)),"MISSING ID"))</x:f>
      </x:c>
      <x:c r="O158" s="4" t="str">
        <x:f>IFERROR(INDEX('Material routes'!$J$6:$J$2205,MATCH(U158,'Material routes'!$A$6:$A$2205,0)),"MISSING ID")</x:f>
        <x:v>Unspecified</x:v>
      </x:c>
      <x:c r="P158" s="4" t="str">
        <x:f>IF(IFERROR(INDEX('Material routes'!$I$6:$I$1005,MATCH(V158,'Material routes'!$A$6:$A$1005,0)),"MISSING ID")=0,"",IFERROR(INDEX('Material routes'!$I$6:$I$1005,MATCH(V158,'Material routes'!$A$6:$A$1005,0)),"MISSING ID"))</x:f>
      </x:c>
      <x:c r="Q158" s="4" t="str">
        <x:f>IFERROR(INDEX('Material routes'!$J$6:$J$2205,MATCH(V158,'Material routes'!$A$6:$A$2205,0)),"MISSING ID")</x:f>
        <x:v>Unspecified</x:v>
      </x:c>
      <x:c r="R158" s="4" t="str">
        <x:f>IF(L158="Withheld","Withheld premise",IF(E158="Tool candidate","Reusable prerequisite",IF(K158="Raw entry preparation","Entry-resource preparation",IF(G158="Not applicable",IF(IFERROR(INDEX('Items'!$AI$6:$AI$1005,MATCH(T158,'Items'!$A$6:$A$1005,0)),"MISSING ID")="Finished item","Finished endpoint",IF(IFERROR(INDEX('Items'!$AI$6:$AI$1005,MATCH(T158,'Items'!$A$6:$A$1005,0)),"MISSING ID")="Currency","Currency / no refinement tier","Recovered output / tier not applicable")),IF(OR(IFERROR(INDEX('Crafting recipes'!$H$6:$H$1005,MATCH(J158,'Crafting recipes'!$A$6:$A$1005,0)),"MISSING ID")="Unassigned",G158="Unassigned"),"Tier unresolved",IF(IFERROR(VALUE(RIGHT(G158,1))-VALUE(RIGHT(IFERROR(INDEX('Crafting recipes'!$H$6:$H$1005,MATCH(J158,'Crafting recipes'!$A$6:$A$1005,0)),"MISSING ID"),1)),0)=1,IF(B158=IFERROR(INDEX('Crafting recipes'!$H$6:$H$1005,MATCH(J158,'Crafting recipes'!$A$6:$A$1005,0)),"MISSING ID"),"Advances one material tier","Lower-tier ingredient; route advances one tier"),"Needs tier review"))))))</x:f>
        <x:v>Lower-tier ingredient; route advances one tier</x:v>
      </x:c>
      <x:c r="S158" s="4" t="str">
        <x:f>IFERROR(INDEX('Material routes'!$D$6:$D$2205,MATCH(U158,'Material routes'!$A$6:$A$2205,0)),"MISSING ID")</x:f>
        <x:v>proposal.branch.filled_binder</x:v>
      </x:c>
      <x:c r="T158" s="4" t="str">
        <x:f>IFERROR(INDEX('Material routes'!$D$6:$D$2205,MATCH(V158,'Material routes'!$A$6:$A$2205,0)),"MISSING ID")</x:f>
        <x:v>proposal.branch.protective_stock</x:v>
      </x:c>
      <x:c r="U158" s="4" t="str">
        <x:v>design.branch.branch.protective_stock.in.3</x:v>
      </x:c>
      <x:c r="V158" s="4" t="str">
        <x:v>design.branch.branch.protective_stock.out</x:v>
      </x:c>
    </x:row>
    <x:row r="159" ht="105" customHeight="1">
      <x:c r="A159" s="4" t="str">
        <x:f>IFERROR(INDEX('Material routes'!$E$6:$E$2205,MATCH(U159,'Material routes'!$A$6:$A$2205,0)),"MISSING ID")</x:f>
        <x:v>Insulated conductor stock</x:v>
      </x:c>
      <x:c r="B159" s="4" t="str">
        <x:f>IFERROR(INDEX('Material routes'!$F$6:$F$2205,MATCH(U159,'Material routes'!$A$6:$A$2205,0)),"MISSING ID")</x:f>
        <x:v>T3</x:v>
      </x:c>
      <x:c r="C159" s="4" t="str">
        <x:f>IFERROR(INDEX('Material routes'!$H$6:$H$2205,MATCH(U159,'Material routes'!$A$6:$A$2205,0)),"MISSING ID")</x:f>
        <x:v>Processed material</x:v>
      </x:c>
      <x:c r="D159" s="4" t="str">
        <x:f>IFERROR(INDEX('Material routes'!$G$6:$G$2205,MATCH(U159,'Material routes'!$A$6:$A$2205,0)),"MISSING ID")</x:f>
        <x:v>Manufactured stock</x:v>
      </x:c>
      <x:c r="E159" s="4" t="str">
        <x:f>IFERROR(INDEX('Material routes'!$C$6:$C$2205,MATCH(U159,'Material routes'!$A$6:$A$2205,0)),"MISSING ID")</x:f>
        <x:v>Ingredient candidate</x:v>
      </x:c>
      <x:c r="F159" s="4" t="str">
        <x:f>IFERROR(INDEX('Material routes'!$E$6:$E$2205,MATCH(V159,'Material routes'!$A$6:$A$2205,0)),"MISSING ID")</x:f>
        <x:v>Encapsulated conductor stock</x:v>
      </x:c>
      <x:c r="G159" s="4" t="str">
        <x:f>IFERROR(INDEX('Material routes'!$F$6:$F$2205,MATCH(V159,'Material routes'!$A$6:$A$2205,0)),"MISSING ID")</x:f>
        <x:v>T4</x:v>
      </x:c>
      <x:c r="H159" s="4" t="str">
        <x:f>IFERROR(INDEX('Material routes'!$H$6:$H$2205,MATCH(V159,'Material routes'!$A$6:$A$2205,0)),"MISSING ID")</x:f>
        <x:v>Processed material</x:v>
      </x:c>
      <x:c r="I159" s="4" t="str">
        <x:f>IFERROR(INDEX('Material routes'!$G$6:$G$2205,MATCH(V159,'Material routes'!$A$6:$A$2205,0)),"MISSING ID")</x:f>
        <x:v>Manufactured stock</x:v>
      </x:c>
      <x:c r="J159" s="4" t="str">
        <x:f>IFERROR(INDEX('Material routes'!$B$6:$B$2205,MATCH(U159,'Material routes'!$A$6:$A$2205,0)),"MISSING ID")</x:f>
        <x:v>design.branch.branch.encapsulated_conductor</x:v>
      </x:c>
      <x:c r="K159" s="4" t="str">
        <x:f>IFERROR(INDEX('Crafting recipes'!$C$6:$C$1005,MATCH(J159,'Crafting recipes'!$A$6:$A$1005,0)),"MISSING ID")</x:f>
        <x:v>Material refinement</x:v>
      </x:c>
      <x:c r="L159" s="4" t="str">
        <x:f>IFERROR(INDEX('Material routes'!$K$6:$K$2205,MATCH(U159,'Material routes'!$A$6:$A$2205,0)),"MISSING ID")</x:f>
        <x:v>Proposal</x:v>
      </x:c>
      <x:c r="M159" s="4" t="str">
        <x:f>IFERROR(INDEX('Material routes'!$M$6:$M$2205,MATCH(U159,'Material routes'!$A$6:$A$2205,0)),"MISSING ID")</x:f>
        <x:v>Partial proposal</x:v>
      </x:c>
      <x:c r="N159" s="4" t="str">
        <x:f>IF(IFERROR(INDEX('Material routes'!$I$6:$I$1005,MATCH(U159,'Material routes'!$A$6:$A$1005,0)),"MISSING ID")=0,"",IFERROR(INDEX('Material routes'!$I$6:$I$1005,MATCH(U159,'Material routes'!$A$6:$A$1005,0)),"MISSING ID"))</x:f>
      </x:c>
      <x:c r="O159" s="4" t="str">
        <x:f>IFERROR(INDEX('Material routes'!$J$6:$J$2205,MATCH(U159,'Material routes'!$A$6:$A$2205,0)),"MISSING ID")</x:f>
        <x:v>Unspecified</x:v>
      </x:c>
      <x:c r="P159" s="4" t="str">
        <x:f>IF(IFERROR(INDEX('Material routes'!$I$6:$I$1005,MATCH(V159,'Material routes'!$A$6:$A$1005,0)),"MISSING ID")=0,"",IFERROR(INDEX('Material routes'!$I$6:$I$1005,MATCH(V159,'Material routes'!$A$6:$A$1005,0)),"MISSING ID"))</x:f>
      </x:c>
      <x:c r="Q159" s="4" t="str">
        <x:f>IFERROR(INDEX('Material routes'!$J$6:$J$2205,MATCH(V159,'Material routes'!$A$6:$A$2205,0)),"MISSING ID")</x:f>
        <x:v>Unspecified</x:v>
      </x:c>
      <x:c r="R159" s="4" t="str">
        <x:f>IF(L159="Withheld","Withheld premise",IF(E159="Tool candidate","Reusable prerequisite",IF(K159="Raw entry preparation","Entry-resource preparation",IF(G159="Not applicable",IF(IFERROR(INDEX('Items'!$AI$6:$AI$1005,MATCH(T159,'Items'!$A$6:$A$1005,0)),"MISSING ID")="Finished item","Finished endpoint",IF(IFERROR(INDEX('Items'!$AI$6:$AI$1005,MATCH(T159,'Items'!$A$6:$A$1005,0)),"MISSING ID")="Currency","Currency / no refinement tier","Recovered output / tier not applicable")),IF(OR(IFERROR(INDEX('Crafting recipes'!$H$6:$H$1005,MATCH(J159,'Crafting recipes'!$A$6:$A$1005,0)),"MISSING ID")="Unassigned",G159="Unassigned"),"Tier unresolved",IF(IFERROR(VALUE(RIGHT(G159,1))-VALUE(RIGHT(IFERROR(INDEX('Crafting recipes'!$H$6:$H$1005,MATCH(J159,'Crafting recipes'!$A$6:$A$1005,0)),"MISSING ID"),1)),0)=1,IF(B159=IFERROR(INDEX('Crafting recipes'!$H$6:$H$1005,MATCH(J159,'Crafting recipes'!$A$6:$A$1005,0)),"MISSING ID"),"Advances one material tier","Lower-tier ingredient; route advances one tier"),"Needs tier review"))))))</x:f>
        <x:v>Advances one material tier</x:v>
      </x:c>
      <x:c r="S159" s="4" t="str">
        <x:f>IFERROR(INDEX('Material routes'!$D$6:$D$2205,MATCH(U159,'Material routes'!$A$6:$A$2205,0)),"MISSING ID")</x:f>
        <x:v>proposal.branch.insulated_conductor</x:v>
      </x:c>
      <x:c r="T159" s="4" t="str">
        <x:f>IFERROR(INDEX('Material routes'!$D$6:$D$2205,MATCH(V159,'Material routes'!$A$6:$A$2205,0)),"MISSING ID")</x:f>
        <x:v>proposal.branch.encapsulated_conductor</x:v>
      </x:c>
      <x:c r="U159" s="4" t="str">
        <x:v>design.branch.branch.encapsulated_conductor.in.1</x:v>
      </x:c>
      <x:c r="V159" s="4" t="str">
        <x:v>design.branch.branch.encapsulated_conductor.out</x:v>
      </x:c>
    </x:row>
    <x:row r="160" ht="105" customHeight="1">
      <x:c r="A160" s="4" t="str">
        <x:f>IFERROR(INDEX('Material routes'!$E$6:$E$2205,MATCH(U160,'Material routes'!$A$6:$A$2205,0)),"MISSING ID")</x:f>
        <x:v>Reinforced sealing sheet</x:v>
      </x:c>
      <x:c r="B160" s="4" t="str">
        <x:f>IFERROR(INDEX('Material routes'!$F$6:$F$2205,MATCH(U160,'Material routes'!$A$6:$A$2205,0)),"MISSING ID")</x:f>
        <x:v>T3</x:v>
      </x:c>
      <x:c r="C160" s="4" t="str">
        <x:f>IFERROR(INDEX('Material routes'!$H$6:$H$2205,MATCH(U160,'Material routes'!$A$6:$A$2205,0)),"MISSING ID")</x:f>
        <x:v>Processed material</x:v>
      </x:c>
      <x:c r="D160" s="4" t="str">
        <x:f>IFERROR(INDEX('Material routes'!$G$6:$G$2205,MATCH(U160,'Material routes'!$A$6:$A$2205,0)),"MISSING ID")</x:f>
        <x:v>Manufactured stock</x:v>
      </x:c>
      <x:c r="E160" s="4" t="str">
        <x:f>IFERROR(INDEX('Material routes'!$C$6:$C$2205,MATCH(U160,'Material routes'!$A$6:$A$2205,0)),"MISSING ID")</x:f>
        <x:v>Ingredient candidate</x:v>
      </x:c>
      <x:c r="F160" s="4" t="str">
        <x:f>IFERROR(INDEX('Material routes'!$E$6:$E$2205,MATCH(V160,'Material routes'!$A$6:$A$2205,0)),"MISSING ID")</x:f>
        <x:v>Encapsulated conductor stock</x:v>
      </x:c>
      <x:c r="G160" s="4" t="str">
        <x:f>IFERROR(INDEX('Material routes'!$F$6:$F$2205,MATCH(V160,'Material routes'!$A$6:$A$2205,0)),"MISSING ID")</x:f>
        <x:v>T4</x:v>
      </x:c>
      <x:c r="H160" s="4" t="str">
        <x:f>IFERROR(INDEX('Material routes'!$H$6:$H$2205,MATCH(V160,'Material routes'!$A$6:$A$2205,0)),"MISSING ID")</x:f>
        <x:v>Processed material</x:v>
      </x:c>
      <x:c r="I160" s="4" t="str">
        <x:f>IFERROR(INDEX('Material routes'!$G$6:$G$2205,MATCH(V160,'Material routes'!$A$6:$A$2205,0)),"MISSING ID")</x:f>
        <x:v>Manufactured stock</x:v>
      </x:c>
      <x:c r="J160" s="4" t="str">
        <x:f>IFERROR(INDEX('Material routes'!$B$6:$B$2205,MATCH(U160,'Material routes'!$A$6:$A$2205,0)),"MISSING ID")</x:f>
        <x:v>design.branch.branch.encapsulated_conductor</x:v>
      </x:c>
      <x:c r="K160" s="4" t="str">
        <x:f>IFERROR(INDEX('Crafting recipes'!$C$6:$C$1005,MATCH(J160,'Crafting recipes'!$A$6:$A$1005,0)),"MISSING ID")</x:f>
        <x:v>Material refinement</x:v>
      </x:c>
      <x:c r="L160" s="4" t="str">
        <x:f>IFERROR(INDEX('Material routes'!$K$6:$K$2205,MATCH(U160,'Material routes'!$A$6:$A$2205,0)),"MISSING ID")</x:f>
        <x:v>Proposal</x:v>
      </x:c>
      <x:c r="M160" s="4" t="str">
        <x:f>IFERROR(INDEX('Material routes'!$M$6:$M$2205,MATCH(U160,'Material routes'!$A$6:$A$2205,0)),"MISSING ID")</x:f>
        <x:v>Partial proposal</x:v>
      </x:c>
      <x:c r="N160" s="4" t="str">
        <x:f>IF(IFERROR(INDEX('Material routes'!$I$6:$I$1005,MATCH(U160,'Material routes'!$A$6:$A$1005,0)),"MISSING ID")=0,"",IFERROR(INDEX('Material routes'!$I$6:$I$1005,MATCH(U160,'Material routes'!$A$6:$A$1005,0)),"MISSING ID"))</x:f>
      </x:c>
      <x:c r="O160" s="4" t="str">
        <x:f>IFERROR(INDEX('Material routes'!$J$6:$J$2205,MATCH(U160,'Material routes'!$A$6:$A$2205,0)),"MISSING ID")</x:f>
        <x:v>Unspecified</x:v>
      </x:c>
      <x:c r="P160" s="4" t="str">
        <x:f>IF(IFERROR(INDEX('Material routes'!$I$6:$I$1005,MATCH(V160,'Material routes'!$A$6:$A$1005,0)),"MISSING ID")=0,"",IFERROR(INDEX('Material routes'!$I$6:$I$1005,MATCH(V160,'Material routes'!$A$6:$A$1005,0)),"MISSING ID"))</x:f>
      </x:c>
      <x:c r="Q160" s="4" t="str">
        <x:f>IFERROR(INDEX('Material routes'!$J$6:$J$2205,MATCH(V160,'Material routes'!$A$6:$A$2205,0)),"MISSING ID")</x:f>
        <x:v>Unspecified</x:v>
      </x:c>
      <x:c r="R160" s="4" t="str">
        <x:f>IF(L160="Withheld","Withheld premise",IF(E160="Tool candidate","Reusable prerequisite",IF(K160="Raw entry preparation","Entry-resource preparation",IF(G160="Not applicable",IF(IFERROR(INDEX('Items'!$AI$6:$AI$1005,MATCH(T160,'Items'!$A$6:$A$1005,0)),"MISSING ID")="Finished item","Finished endpoint",IF(IFERROR(INDEX('Items'!$AI$6:$AI$1005,MATCH(T160,'Items'!$A$6:$A$1005,0)),"MISSING ID")="Currency","Currency / no refinement tier","Recovered output / tier not applicable")),IF(OR(IFERROR(INDEX('Crafting recipes'!$H$6:$H$1005,MATCH(J160,'Crafting recipes'!$A$6:$A$1005,0)),"MISSING ID")="Unassigned",G160="Unassigned"),"Tier unresolved",IF(IFERROR(VALUE(RIGHT(G160,1))-VALUE(RIGHT(IFERROR(INDEX('Crafting recipes'!$H$6:$H$1005,MATCH(J160,'Crafting recipes'!$A$6:$A$1005,0)),"MISSING ID"),1)),0)=1,IF(B160=IFERROR(INDEX('Crafting recipes'!$H$6:$H$1005,MATCH(J160,'Crafting recipes'!$A$6:$A$1005,0)),"MISSING ID"),"Advances one material tier","Lower-tier ingredient; route advances one tier"),"Needs tier review"))))))</x:f>
        <x:v>Advances one material tier</x:v>
      </x:c>
      <x:c r="S160" s="4" t="str">
        <x:f>IFERROR(INDEX('Material routes'!$D$6:$D$2205,MATCH(U160,'Material routes'!$A$6:$A$2205,0)),"MISSING ID")</x:f>
        <x:v>proposal.branch.sealing_sheet</x:v>
      </x:c>
      <x:c r="T160" s="4" t="str">
        <x:f>IFERROR(INDEX('Material routes'!$D$6:$D$2205,MATCH(V160,'Material routes'!$A$6:$A$2205,0)),"MISSING ID")</x:f>
        <x:v>proposal.branch.encapsulated_conductor</x:v>
      </x:c>
      <x:c r="U160" s="4" t="str">
        <x:v>design.branch.branch.encapsulated_conductor.in.2</x:v>
      </x:c>
      <x:c r="V160" s="4" t="str">
        <x:v>design.branch.branch.encapsulated_conductor.out</x:v>
      </x:c>
    </x:row>
    <x:row r="161" ht="105" customHeight="1">
      <x:c r="A161" s="4" t="str">
        <x:f>IFERROR(INDEX('Material routes'!$E$6:$E$2205,MATCH(U161,'Material routes'!$A$6:$A$2205,0)),"MISSING ID")</x:f>
        <x:v>Insulating ceramic blanks</x:v>
      </x:c>
      <x:c r="B161" s="4" t="str">
        <x:f>IFERROR(INDEX('Material routes'!$F$6:$F$2205,MATCH(U161,'Material routes'!$A$6:$A$2205,0)),"MISSING ID")</x:f>
        <x:v>T2</x:v>
      </x:c>
      <x:c r="C161" s="4" t="str">
        <x:f>IFERROR(INDEX('Material routes'!$H$6:$H$2205,MATCH(U161,'Material routes'!$A$6:$A$2205,0)),"MISSING ID")</x:f>
        <x:v>Processed material</x:v>
      </x:c>
      <x:c r="D161" s="4" t="str">
        <x:f>IFERROR(INDEX('Material routes'!$G$6:$G$2205,MATCH(U161,'Material routes'!$A$6:$A$2205,0)),"MISSING ID")</x:f>
        <x:v>Manufactured stock</x:v>
      </x:c>
      <x:c r="E161" s="4" t="str">
        <x:f>IFERROR(INDEX('Material routes'!$C$6:$C$2205,MATCH(U161,'Material routes'!$A$6:$A$2205,0)),"MISSING ID")</x:f>
        <x:v>Ingredient candidate</x:v>
      </x:c>
      <x:c r="F161" s="4" t="str">
        <x:f>IFERROR(INDEX('Material routes'!$E$6:$E$2205,MATCH(V161,'Material routes'!$A$6:$A$2205,0)),"MISSING ID")</x:f>
        <x:v>Encapsulated conductor stock</x:v>
      </x:c>
      <x:c r="G161" s="4" t="str">
        <x:f>IFERROR(INDEX('Material routes'!$F$6:$F$2205,MATCH(V161,'Material routes'!$A$6:$A$2205,0)),"MISSING ID")</x:f>
        <x:v>T4</x:v>
      </x:c>
      <x:c r="H161" s="4" t="str">
        <x:f>IFERROR(INDEX('Material routes'!$H$6:$H$2205,MATCH(V161,'Material routes'!$A$6:$A$2205,0)),"MISSING ID")</x:f>
        <x:v>Processed material</x:v>
      </x:c>
      <x:c r="I161" s="4" t="str">
        <x:f>IFERROR(INDEX('Material routes'!$G$6:$G$2205,MATCH(V161,'Material routes'!$A$6:$A$2205,0)),"MISSING ID")</x:f>
        <x:v>Manufactured stock</x:v>
      </x:c>
      <x:c r="J161" s="4" t="str">
        <x:f>IFERROR(INDEX('Material routes'!$B$6:$B$2205,MATCH(U161,'Material routes'!$A$6:$A$2205,0)),"MISSING ID")</x:f>
        <x:v>design.branch.branch.encapsulated_conductor</x:v>
      </x:c>
      <x:c r="K161" s="4" t="str">
        <x:f>IFERROR(INDEX('Crafting recipes'!$C$6:$C$1005,MATCH(J161,'Crafting recipes'!$A$6:$A$1005,0)),"MISSING ID")</x:f>
        <x:v>Material refinement</x:v>
      </x:c>
      <x:c r="L161" s="4" t="str">
        <x:f>IFERROR(INDEX('Material routes'!$K$6:$K$2205,MATCH(U161,'Material routes'!$A$6:$A$2205,0)),"MISSING ID")</x:f>
        <x:v>Proposal</x:v>
      </x:c>
      <x:c r="M161" s="4" t="str">
        <x:f>IFERROR(INDEX('Material routes'!$M$6:$M$2205,MATCH(U161,'Material routes'!$A$6:$A$2205,0)),"MISSING ID")</x:f>
        <x:v>Partial proposal</x:v>
      </x:c>
      <x:c r="N161" s="4" t="str">
        <x:f>IF(IFERROR(INDEX('Material routes'!$I$6:$I$1005,MATCH(U161,'Material routes'!$A$6:$A$1005,0)),"MISSING ID")=0,"",IFERROR(INDEX('Material routes'!$I$6:$I$1005,MATCH(U161,'Material routes'!$A$6:$A$1005,0)),"MISSING ID"))</x:f>
      </x:c>
      <x:c r="O161" s="4" t="str">
        <x:f>IFERROR(INDEX('Material routes'!$J$6:$J$2205,MATCH(U161,'Material routes'!$A$6:$A$2205,0)),"MISSING ID")</x:f>
        <x:v>Unspecified</x:v>
      </x:c>
      <x:c r="P161" s="4" t="str">
        <x:f>IF(IFERROR(INDEX('Material routes'!$I$6:$I$1005,MATCH(V161,'Material routes'!$A$6:$A$1005,0)),"MISSING ID")=0,"",IFERROR(INDEX('Material routes'!$I$6:$I$1005,MATCH(V161,'Material routes'!$A$6:$A$1005,0)),"MISSING ID"))</x:f>
      </x:c>
      <x:c r="Q161" s="4" t="str">
        <x:f>IFERROR(INDEX('Material routes'!$J$6:$J$2205,MATCH(V161,'Material routes'!$A$6:$A$2205,0)),"MISSING ID")</x:f>
        <x:v>Unspecified</x:v>
      </x:c>
      <x:c r="R161" s="4" t="str">
        <x:f>IF(L161="Withheld","Withheld premise",IF(E161="Tool candidate","Reusable prerequisite",IF(K161="Raw entry preparation","Entry-resource preparation",IF(G161="Not applicable",IF(IFERROR(INDEX('Items'!$AI$6:$AI$1005,MATCH(T161,'Items'!$A$6:$A$1005,0)),"MISSING ID")="Finished item","Finished endpoint",IF(IFERROR(INDEX('Items'!$AI$6:$AI$1005,MATCH(T161,'Items'!$A$6:$A$1005,0)),"MISSING ID")="Currency","Currency / no refinement tier","Recovered output / tier not applicable")),IF(OR(IFERROR(INDEX('Crafting recipes'!$H$6:$H$1005,MATCH(J161,'Crafting recipes'!$A$6:$A$1005,0)),"MISSING ID")="Unassigned",G161="Unassigned"),"Tier unresolved",IF(IFERROR(VALUE(RIGHT(G161,1))-VALUE(RIGHT(IFERROR(INDEX('Crafting recipes'!$H$6:$H$1005,MATCH(J161,'Crafting recipes'!$A$6:$A$1005,0)),"MISSING ID"),1)),0)=1,IF(B161=IFERROR(INDEX('Crafting recipes'!$H$6:$H$1005,MATCH(J161,'Crafting recipes'!$A$6:$A$1005,0)),"MISSING ID"),"Advances one material tier","Lower-tier ingredient; route advances one tier"),"Needs tier review"))))))</x:f>
        <x:v>Lower-tier ingredient; route advances one tier</x:v>
      </x:c>
      <x:c r="S161" s="4" t="str">
        <x:f>IFERROR(INDEX('Material routes'!$D$6:$D$2205,MATCH(U161,'Material routes'!$A$6:$A$2205,0)),"MISSING ID")</x:f>
        <x:v>proposal.natural.ceramic</x:v>
      </x:c>
      <x:c r="T161" s="4" t="str">
        <x:f>IFERROR(INDEX('Material routes'!$D$6:$D$2205,MATCH(V161,'Material routes'!$A$6:$A$2205,0)),"MISSING ID")</x:f>
        <x:v>proposal.branch.encapsulated_conductor</x:v>
      </x:c>
      <x:c r="U161" s="4" t="str">
        <x:v>design.branch.branch.encapsulated_conductor.in.3</x:v>
      </x:c>
      <x:c r="V161" s="4" t="str">
        <x:v>design.branch.branch.encapsulated_conductor.out</x:v>
      </x:c>
    </x:row>
    <x:row r="162" ht="105" customHeight="1">
      <x:c r="A162" s="4" t="str">
        <x:f>IFERROR(INDEX('Material routes'!$E$6:$E$2205,MATCH(U162,'Material routes'!$A$6:$A$2205,0)),"MISSING ID")</x:f>
        <x:v>Ground optical glass stock</x:v>
      </x:c>
      <x:c r="B162" s="4" t="str">
        <x:f>IFERROR(INDEX('Material routes'!$F$6:$F$2205,MATCH(U162,'Material routes'!$A$6:$A$2205,0)),"MISSING ID")</x:f>
        <x:v>T3</x:v>
      </x:c>
      <x:c r="C162" s="4" t="str">
        <x:f>IFERROR(INDEX('Material routes'!$H$6:$H$2205,MATCH(U162,'Material routes'!$A$6:$A$2205,0)),"MISSING ID")</x:f>
        <x:v>Processed material</x:v>
      </x:c>
      <x:c r="D162" s="4" t="str">
        <x:f>IFERROR(INDEX('Material routes'!$G$6:$G$2205,MATCH(U162,'Material routes'!$A$6:$A$2205,0)),"MISSING ID")</x:f>
        <x:v>Manufactured stock</x:v>
      </x:c>
      <x:c r="E162" s="4" t="str">
        <x:f>IFERROR(INDEX('Material routes'!$C$6:$C$2205,MATCH(U162,'Material routes'!$A$6:$A$2205,0)),"MISSING ID")</x:f>
        <x:v>Ingredient candidate</x:v>
      </x:c>
      <x:c r="F162" s="4" t="str">
        <x:f>IFERROR(INDEX('Material routes'!$E$6:$E$2205,MATCH(V162,'Material routes'!$A$6:$A$2205,0)),"MISSING ID")</x:f>
        <x:v>Aligned optical subassembly</x:v>
      </x:c>
      <x:c r="G162" s="4" t="str">
        <x:f>IFERROR(INDEX('Material routes'!$F$6:$F$2205,MATCH(V162,'Material routes'!$A$6:$A$2205,0)),"MISSING ID")</x:f>
        <x:v>T4</x:v>
      </x:c>
      <x:c r="H162" s="4" t="str">
        <x:f>IFERROR(INDEX('Material routes'!$H$6:$H$2205,MATCH(V162,'Material routes'!$A$6:$A$2205,0)),"MISSING ID")</x:f>
        <x:v>Crafting component</x:v>
      </x:c>
      <x:c r="I162" s="4" t="str">
        <x:f>IFERROR(INDEX('Material routes'!$G$6:$G$2205,MATCH(V162,'Material routes'!$A$6:$A$2205,0)),"MISSING ID")</x:f>
        <x:v>Crafting components</x:v>
      </x:c>
      <x:c r="J162" s="4" t="str">
        <x:f>IFERROR(INDEX('Material routes'!$B$6:$B$2205,MATCH(U162,'Material routes'!$A$6:$A$2205,0)),"MISSING ID")</x:f>
        <x:v>design.branch.branch.optical_module</x:v>
      </x:c>
      <x:c r="K162" s="4" t="str">
        <x:f>IFERROR(INDEX('Crafting recipes'!$C$6:$C$1005,MATCH(J162,'Crafting recipes'!$A$6:$A$1005,0)),"MISSING ID")</x:f>
        <x:v>Material refinement</x:v>
      </x:c>
      <x:c r="L162" s="4" t="str">
        <x:f>IFERROR(INDEX('Material routes'!$K$6:$K$2205,MATCH(U162,'Material routes'!$A$6:$A$2205,0)),"MISSING ID")</x:f>
        <x:v>Proposal</x:v>
      </x:c>
      <x:c r="M162" s="4" t="str">
        <x:f>IFERROR(INDEX('Material routes'!$M$6:$M$2205,MATCH(U162,'Material routes'!$A$6:$A$2205,0)),"MISSING ID")</x:f>
        <x:v>Partial proposal</x:v>
      </x:c>
      <x:c r="N162" s="4" t="str">
        <x:f>IF(IFERROR(INDEX('Material routes'!$I$6:$I$1005,MATCH(U162,'Material routes'!$A$6:$A$1005,0)),"MISSING ID")=0,"",IFERROR(INDEX('Material routes'!$I$6:$I$1005,MATCH(U162,'Material routes'!$A$6:$A$1005,0)),"MISSING ID"))</x:f>
      </x:c>
      <x:c r="O162" s="4" t="str">
        <x:f>IFERROR(INDEX('Material routes'!$J$6:$J$2205,MATCH(U162,'Material routes'!$A$6:$A$2205,0)),"MISSING ID")</x:f>
        <x:v>Unspecified</x:v>
      </x:c>
      <x:c r="P162" s="4" t="str">
        <x:f>IF(IFERROR(INDEX('Material routes'!$I$6:$I$1005,MATCH(V162,'Material routes'!$A$6:$A$1005,0)),"MISSING ID")=0,"",IFERROR(INDEX('Material routes'!$I$6:$I$1005,MATCH(V162,'Material routes'!$A$6:$A$1005,0)),"MISSING ID"))</x:f>
      </x:c>
      <x:c r="Q162" s="4" t="str">
        <x:f>IFERROR(INDEX('Material routes'!$J$6:$J$2205,MATCH(V162,'Material routes'!$A$6:$A$2205,0)),"MISSING ID")</x:f>
        <x:v>Unspecified</x:v>
      </x:c>
      <x:c r="R162" s="4" t="str">
        <x:f>IF(L162="Withheld","Withheld premise",IF(E162="Tool candidate","Reusable prerequisite",IF(K162="Raw entry preparation","Entry-resource preparation",IF(G162="Not applicable",IF(IFERROR(INDEX('Items'!$AI$6:$AI$1005,MATCH(T162,'Items'!$A$6:$A$1005,0)),"MISSING ID")="Finished item","Finished endpoint",IF(IFERROR(INDEX('Items'!$AI$6:$AI$1005,MATCH(T162,'Items'!$A$6:$A$1005,0)),"MISSING ID")="Currency","Currency / no refinement tier","Recovered output / tier not applicable")),IF(OR(IFERROR(INDEX('Crafting recipes'!$H$6:$H$1005,MATCH(J162,'Crafting recipes'!$A$6:$A$1005,0)),"MISSING ID")="Unassigned",G162="Unassigned"),"Tier unresolved",IF(IFERROR(VALUE(RIGHT(G162,1))-VALUE(RIGHT(IFERROR(INDEX('Crafting recipes'!$H$6:$H$1005,MATCH(J162,'Crafting recipes'!$A$6:$A$1005,0)),"MISSING ID"),1)),0)=1,IF(B162=IFERROR(INDEX('Crafting recipes'!$H$6:$H$1005,MATCH(J162,'Crafting recipes'!$A$6:$A$1005,0)),"MISSING ID"),"Advances one material tier","Lower-tier ingredient; route advances one tier"),"Needs tier review"))))))</x:f>
        <x:v>Advances one material tier</x:v>
      </x:c>
      <x:c r="S162" s="4" t="str">
        <x:f>IFERROR(INDEX('Material routes'!$D$6:$D$2205,MATCH(U162,'Material routes'!$A$6:$A$2205,0)),"MISSING ID")</x:f>
        <x:v>proposal.branch.optical_glass</x:v>
      </x:c>
      <x:c r="T162" s="4" t="str">
        <x:f>IFERROR(INDEX('Material routes'!$D$6:$D$2205,MATCH(V162,'Material routes'!$A$6:$A$2205,0)),"MISSING ID")</x:f>
        <x:v>proposal.branch.optical_module</x:v>
      </x:c>
      <x:c r="U162" s="4" t="str">
        <x:v>design.branch.branch.optical_module.in.1</x:v>
      </x:c>
      <x:c r="V162" s="4" t="str">
        <x:v>design.branch.branch.optical_module.out</x:v>
      </x:c>
    </x:row>
    <x:row r="163" ht="105" customHeight="1">
      <x:c r="A163" s="4" t="str">
        <x:f>IFERROR(INDEX('Material routes'!$E$6:$E$2205,MATCH(U163,'Material routes'!$A$6:$A$2205,0)),"MISSING ID")</x:f>
        <x:v>Spring-grade steel stock</x:v>
      </x:c>
      <x:c r="B163" s="4" t="str">
        <x:f>IFERROR(INDEX('Material routes'!$F$6:$F$2205,MATCH(U163,'Material routes'!$A$6:$A$2205,0)),"MISSING ID")</x:f>
        <x:v>T3</x:v>
      </x:c>
      <x:c r="C163" s="4" t="str">
        <x:f>IFERROR(INDEX('Material routes'!$H$6:$H$2205,MATCH(U163,'Material routes'!$A$6:$A$2205,0)),"MISSING ID")</x:f>
        <x:v>Processed material</x:v>
      </x:c>
      <x:c r="D163" s="4" t="str">
        <x:f>IFERROR(INDEX('Material routes'!$G$6:$G$2205,MATCH(U163,'Material routes'!$A$6:$A$2205,0)),"MISSING ID")</x:f>
        <x:v>Manufactured stock</x:v>
      </x:c>
      <x:c r="E163" s="4" t="str">
        <x:f>IFERROR(INDEX('Material routes'!$C$6:$C$2205,MATCH(U163,'Material routes'!$A$6:$A$2205,0)),"MISSING ID")</x:f>
        <x:v>Ingredient candidate</x:v>
      </x:c>
      <x:c r="F163" s="4" t="str">
        <x:f>IFERROR(INDEX('Material routes'!$E$6:$E$2205,MATCH(V163,'Material routes'!$A$6:$A$2205,0)),"MISSING ID")</x:f>
        <x:v>Aligned optical subassembly</x:v>
      </x:c>
      <x:c r="G163" s="4" t="str">
        <x:f>IFERROR(INDEX('Material routes'!$F$6:$F$2205,MATCH(V163,'Material routes'!$A$6:$A$2205,0)),"MISSING ID")</x:f>
        <x:v>T4</x:v>
      </x:c>
      <x:c r="H163" s="4" t="str">
        <x:f>IFERROR(INDEX('Material routes'!$H$6:$H$2205,MATCH(V163,'Material routes'!$A$6:$A$2205,0)),"MISSING ID")</x:f>
        <x:v>Crafting component</x:v>
      </x:c>
      <x:c r="I163" s="4" t="str">
        <x:f>IFERROR(INDEX('Material routes'!$G$6:$G$2205,MATCH(V163,'Material routes'!$A$6:$A$2205,0)),"MISSING ID")</x:f>
        <x:v>Crafting components</x:v>
      </x:c>
      <x:c r="J163" s="4" t="str">
        <x:f>IFERROR(INDEX('Material routes'!$B$6:$B$2205,MATCH(U163,'Material routes'!$A$6:$A$2205,0)),"MISSING ID")</x:f>
        <x:v>design.branch.branch.optical_module</x:v>
      </x:c>
      <x:c r="K163" s="4" t="str">
        <x:f>IFERROR(INDEX('Crafting recipes'!$C$6:$C$1005,MATCH(J163,'Crafting recipes'!$A$6:$A$1005,0)),"MISSING ID")</x:f>
        <x:v>Material refinement</x:v>
      </x:c>
      <x:c r="L163" s="4" t="str">
        <x:f>IFERROR(INDEX('Material routes'!$K$6:$K$2205,MATCH(U163,'Material routes'!$A$6:$A$2205,0)),"MISSING ID")</x:f>
        <x:v>Proposal</x:v>
      </x:c>
      <x:c r="M163" s="4" t="str">
        <x:f>IFERROR(INDEX('Material routes'!$M$6:$M$2205,MATCH(U163,'Material routes'!$A$6:$A$2205,0)),"MISSING ID")</x:f>
        <x:v>Partial proposal</x:v>
      </x:c>
      <x:c r="N163" s="4" t="str">
        <x:f>IF(IFERROR(INDEX('Material routes'!$I$6:$I$1005,MATCH(U163,'Material routes'!$A$6:$A$1005,0)),"MISSING ID")=0,"",IFERROR(INDEX('Material routes'!$I$6:$I$1005,MATCH(U163,'Material routes'!$A$6:$A$1005,0)),"MISSING ID"))</x:f>
      </x:c>
      <x:c r="O163" s="4" t="str">
        <x:f>IFERROR(INDEX('Material routes'!$J$6:$J$2205,MATCH(U163,'Material routes'!$A$6:$A$2205,0)),"MISSING ID")</x:f>
        <x:v>Unspecified</x:v>
      </x:c>
      <x:c r="P163" s="4" t="str">
        <x:f>IF(IFERROR(INDEX('Material routes'!$I$6:$I$1005,MATCH(V163,'Material routes'!$A$6:$A$1005,0)),"MISSING ID")=0,"",IFERROR(INDEX('Material routes'!$I$6:$I$1005,MATCH(V163,'Material routes'!$A$6:$A$1005,0)),"MISSING ID"))</x:f>
      </x:c>
      <x:c r="Q163" s="4" t="str">
        <x:f>IFERROR(INDEX('Material routes'!$J$6:$J$2205,MATCH(V163,'Material routes'!$A$6:$A$2205,0)),"MISSING ID")</x:f>
        <x:v>Unspecified</x:v>
      </x:c>
      <x:c r="R163" s="4" t="str">
        <x:f>IF(L163="Withheld","Withheld premise",IF(E163="Tool candidate","Reusable prerequisite",IF(K163="Raw entry preparation","Entry-resource preparation",IF(G163="Not applicable",IF(IFERROR(INDEX('Items'!$AI$6:$AI$1005,MATCH(T163,'Items'!$A$6:$A$1005,0)),"MISSING ID")="Finished item","Finished endpoint",IF(IFERROR(INDEX('Items'!$AI$6:$AI$1005,MATCH(T163,'Items'!$A$6:$A$1005,0)),"MISSING ID")="Currency","Currency / no refinement tier","Recovered output / tier not applicable")),IF(OR(IFERROR(INDEX('Crafting recipes'!$H$6:$H$1005,MATCH(J163,'Crafting recipes'!$A$6:$A$1005,0)),"MISSING ID")="Unassigned",G163="Unassigned"),"Tier unresolved",IF(IFERROR(VALUE(RIGHT(G163,1))-VALUE(RIGHT(IFERROR(INDEX('Crafting recipes'!$H$6:$H$1005,MATCH(J163,'Crafting recipes'!$A$6:$A$1005,0)),"MISSING ID"),1)),0)=1,IF(B163=IFERROR(INDEX('Crafting recipes'!$H$6:$H$1005,MATCH(J163,'Crafting recipes'!$A$6:$A$1005,0)),"MISSING ID"),"Advances one material tier","Lower-tier ingredient; route advances one tier"),"Needs tier review"))))))</x:f>
        <x:v>Advances one material tier</x:v>
      </x:c>
      <x:c r="S163" s="4" t="str">
        <x:f>IFERROR(INDEX('Material routes'!$D$6:$D$2205,MATCH(U163,'Material routes'!$A$6:$A$2205,0)),"MISSING ID")</x:f>
        <x:v>proposal.branch.spring_steel</x:v>
      </x:c>
      <x:c r="T163" s="4" t="str">
        <x:f>IFERROR(INDEX('Material routes'!$D$6:$D$2205,MATCH(V163,'Material routes'!$A$6:$A$2205,0)),"MISSING ID")</x:f>
        <x:v>proposal.branch.optical_module</x:v>
      </x:c>
      <x:c r="U163" s="4" t="str">
        <x:v>design.branch.branch.optical_module.in.2</x:v>
      </x:c>
      <x:c r="V163" s="4" t="str">
        <x:v>design.branch.branch.optical_module.out</x:v>
      </x:c>
    </x:row>
    <x:row r="164" ht="105" customHeight="1">
      <x:c r="A164" s="4" t="str">
        <x:f>IFERROR(INDEX('Material routes'!$E$6:$E$2205,MATCH(U164,'Material routes'!$A$6:$A$2205,0)),"MISSING ID")</x:f>
        <x:v>Steel stock</x:v>
      </x:c>
      <x:c r="B164" s="4" t="str">
        <x:f>IFERROR(INDEX('Material routes'!$F$6:$F$2205,MATCH(U164,'Material routes'!$A$6:$A$2205,0)),"MISSING ID")</x:f>
        <x:v>T2</x:v>
      </x:c>
      <x:c r="C164" s="4" t="str">
        <x:f>IFERROR(INDEX('Material routes'!$H$6:$H$2205,MATCH(U164,'Material routes'!$A$6:$A$2205,0)),"MISSING ID")</x:f>
        <x:v>Processed material</x:v>
      </x:c>
      <x:c r="D164" s="4" t="str">
        <x:f>IFERROR(INDEX('Material routes'!$G$6:$G$2205,MATCH(U164,'Material routes'!$A$6:$A$2205,0)),"MISSING ID")</x:f>
        <x:v>Manufactured stock</x:v>
      </x:c>
      <x:c r="E164" s="4" t="str">
        <x:f>IFERROR(INDEX('Material routes'!$C$6:$C$2205,MATCH(U164,'Material routes'!$A$6:$A$2205,0)),"MISSING ID")</x:f>
        <x:v>Ingredient candidate</x:v>
      </x:c>
      <x:c r="F164" s="4" t="str">
        <x:f>IFERROR(INDEX('Material routes'!$E$6:$E$2205,MATCH(V164,'Material routes'!$A$6:$A$2205,0)),"MISSING ID")</x:f>
        <x:v>Aligned optical subassembly</x:v>
      </x:c>
      <x:c r="G164" s="4" t="str">
        <x:f>IFERROR(INDEX('Material routes'!$F$6:$F$2205,MATCH(V164,'Material routes'!$A$6:$A$2205,0)),"MISSING ID")</x:f>
        <x:v>T4</x:v>
      </x:c>
      <x:c r="H164" s="4" t="str">
        <x:f>IFERROR(INDEX('Material routes'!$H$6:$H$2205,MATCH(V164,'Material routes'!$A$6:$A$2205,0)),"MISSING ID")</x:f>
        <x:v>Crafting component</x:v>
      </x:c>
      <x:c r="I164" s="4" t="str">
        <x:f>IFERROR(INDEX('Material routes'!$G$6:$G$2205,MATCH(V164,'Material routes'!$A$6:$A$2205,0)),"MISSING ID")</x:f>
        <x:v>Crafting components</x:v>
      </x:c>
      <x:c r="J164" s="4" t="str">
        <x:f>IFERROR(INDEX('Material routes'!$B$6:$B$2205,MATCH(U164,'Material routes'!$A$6:$A$2205,0)),"MISSING ID")</x:f>
        <x:v>design.branch.branch.optical_module</x:v>
      </x:c>
      <x:c r="K164" s="4" t="str">
        <x:f>IFERROR(INDEX('Crafting recipes'!$C$6:$C$1005,MATCH(J164,'Crafting recipes'!$A$6:$A$1005,0)),"MISSING ID")</x:f>
        <x:v>Material refinement</x:v>
      </x:c>
      <x:c r="L164" s="4" t="str">
        <x:f>IFERROR(INDEX('Material routes'!$K$6:$K$2205,MATCH(U164,'Material routes'!$A$6:$A$2205,0)),"MISSING ID")</x:f>
        <x:v>Proposal</x:v>
      </x:c>
      <x:c r="M164" s="4" t="str">
        <x:f>IFERROR(INDEX('Material routes'!$M$6:$M$2205,MATCH(U164,'Material routes'!$A$6:$A$2205,0)),"MISSING ID")</x:f>
        <x:v>Partial proposal</x:v>
      </x:c>
      <x:c r="N164" s="4" t="str">
        <x:f>IF(IFERROR(INDEX('Material routes'!$I$6:$I$1005,MATCH(U164,'Material routes'!$A$6:$A$1005,0)),"MISSING ID")=0,"",IFERROR(INDEX('Material routes'!$I$6:$I$1005,MATCH(U164,'Material routes'!$A$6:$A$1005,0)),"MISSING ID"))</x:f>
      </x:c>
      <x:c r="O164" s="4" t="str">
        <x:f>IFERROR(INDEX('Material routes'!$J$6:$J$2205,MATCH(U164,'Material routes'!$A$6:$A$2205,0)),"MISSING ID")</x:f>
        <x:v>Unspecified</x:v>
      </x:c>
      <x:c r="P164" s="4" t="str">
        <x:f>IF(IFERROR(INDEX('Material routes'!$I$6:$I$1005,MATCH(V164,'Material routes'!$A$6:$A$1005,0)),"MISSING ID")=0,"",IFERROR(INDEX('Material routes'!$I$6:$I$1005,MATCH(V164,'Material routes'!$A$6:$A$1005,0)),"MISSING ID"))</x:f>
      </x:c>
      <x:c r="Q164" s="4" t="str">
        <x:f>IFERROR(INDEX('Material routes'!$J$6:$J$2205,MATCH(V164,'Material routes'!$A$6:$A$2205,0)),"MISSING ID")</x:f>
        <x:v>Unspecified</x:v>
      </x:c>
      <x:c r="R164" s="4" t="str">
        <x:f>IF(L164="Withheld","Withheld premise",IF(E164="Tool candidate","Reusable prerequisite",IF(K164="Raw entry preparation","Entry-resource preparation",IF(G164="Not applicable",IF(IFERROR(INDEX('Items'!$AI$6:$AI$1005,MATCH(T164,'Items'!$A$6:$A$1005,0)),"MISSING ID")="Finished item","Finished endpoint",IF(IFERROR(INDEX('Items'!$AI$6:$AI$1005,MATCH(T164,'Items'!$A$6:$A$1005,0)),"MISSING ID")="Currency","Currency / no refinement tier","Recovered output / tier not applicable")),IF(OR(IFERROR(INDEX('Crafting recipes'!$H$6:$H$1005,MATCH(J164,'Crafting recipes'!$A$6:$A$1005,0)),"MISSING ID")="Unassigned",G164="Unassigned"),"Tier unresolved",IF(IFERROR(VALUE(RIGHT(G164,1))-VALUE(RIGHT(IFERROR(INDEX('Crafting recipes'!$H$6:$H$1005,MATCH(J164,'Crafting recipes'!$A$6:$A$1005,0)),"MISSING ID"),1)),0)=1,IF(B164=IFERROR(INDEX('Crafting recipes'!$H$6:$H$1005,MATCH(J164,'Crafting recipes'!$A$6:$A$1005,0)),"MISSING ID"),"Advances one material tier","Lower-tier ingredient; route advances one tier"),"Needs tier review"))))))</x:f>
        <x:v>Lower-tier ingredient; route advances one tier</x:v>
      </x:c>
      <x:c r="S164" s="4" t="str">
        <x:f>IFERROR(INDEX('Material routes'!$D$6:$D$2205,MATCH(U164,'Material routes'!$A$6:$A$2205,0)),"MISSING ID")</x:f>
        <x:v>author.metallurgy.steel_stock</x:v>
      </x:c>
      <x:c r="T164" s="4" t="str">
        <x:f>IFERROR(INDEX('Material routes'!$D$6:$D$2205,MATCH(V164,'Material routes'!$A$6:$A$2205,0)),"MISSING ID")</x:f>
        <x:v>proposal.branch.optical_module</x:v>
      </x:c>
      <x:c r="U164" s="4" t="str">
        <x:v>design.branch.branch.optical_module.in.3</x:v>
      </x:c>
      <x:c r="V164" s="4" t="str">
        <x:v>design.branch.branch.optical_module.out</x:v>
      </x:c>
    </x:row>
    <x:row r="165" ht="105" customHeight="1">
      <x:c r="A165" s="4" t="str">
        <x:f>IFERROR(INDEX('Material routes'!$E$6:$E$2205,MATCH(U165,'Material routes'!$A$6:$A$2205,0)),"MISSING ID")</x:f>
        <x:v>Layered husk composite stock</x:v>
      </x:c>
      <x:c r="B165" s="4" t="str">
        <x:f>IFERROR(INDEX('Material routes'!$F$6:$F$2205,MATCH(U165,'Material routes'!$A$6:$A$2205,0)),"MISSING ID")</x:f>
        <x:v>T3</x:v>
      </x:c>
      <x:c r="C165" s="4" t="str">
        <x:f>IFERROR(INDEX('Material routes'!$H$6:$H$2205,MATCH(U165,'Material routes'!$A$6:$A$2205,0)),"MISSING ID")</x:f>
        <x:v>Processed material</x:v>
      </x:c>
      <x:c r="D165" s="4" t="str">
        <x:f>IFERROR(INDEX('Material routes'!$G$6:$G$2205,MATCH(U165,'Material routes'!$A$6:$A$2205,0)),"MISSING ID")</x:f>
        <x:v>Manufactured stock</x:v>
      </x:c>
      <x:c r="E165" s="4" t="str">
        <x:f>IFERROR(INDEX('Material routes'!$C$6:$C$2205,MATCH(U165,'Material routes'!$A$6:$A$2205,0)),"MISSING ID")</x:f>
        <x:v>Ingredient candidate</x:v>
      </x:c>
      <x:c r="F165" s="4" t="str">
        <x:f>IFERROR(INDEX('Material routes'!$E$6:$E$2205,MATCH(V165,'Material routes'!$A$6:$A$2205,0)),"MISSING ID")</x:f>
        <x:v>Sealed composite casing stock</x:v>
      </x:c>
      <x:c r="G165" s="4" t="str">
        <x:f>IFERROR(INDEX('Material routes'!$F$6:$F$2205,MATCH(V165,'Material routes'!$A$6:$A$2205,0)),"MISSING ID")</x:f>
        <x:v>T4</x:v>
      </x:c>
      <x:c r="H165" s="4" t="str">
        <x:f>IFERROR(INDEX('Material routes'!$H$6:$H$2205,MATCH(V165,'Material routes'!$A$6:$A$2205,0)),"MISSING ID")</x:f>
        <x:v>Processed material</x:v>
      </x:c>
      <x:c r="I165" s="4" t="str">
        <x:f>IFERROR(INDEX('Material routes'!$G$6:$G$2205,MATCH(V165,'Material routes'!$A$6:$A$2205,0)),"MISSING ID")</x:f>
        <x:v>Manufactured stock</x:v>
      </x:c>
      <x:c r="J165" s="4" t="str">
        <x:f>IFERROR(INDEX('Material routes'!$B$6:$B$2205,MATCH(U165,'Material routes'!$A$6:$A$2205,0)),"MISSING ID")</x:f>
        <x:v>design.branch.branch.sealed_casing</x:v>
      </x:c>
      <x:c r="K165" s="4" t="str">
        <x:f>IFERROR(INDEX('Crafting recipes'!$C$6:$C$1005,MATCH(J165,'Crafting recipes'!$A$6:$A$1005,0)),"MISSING ID")</x:f>
        <x:v>Material refinement</x:v>
      </x:c>
      <x:c r="L165" s="4" t="str">
        <x:f>IFERROR(INDEX('Material routes'!$K$6:$K$2205,MATCH(U165,'Material routes'!$A$6:$A$2205,0)),"MISSING ID")</x:f>
        <x:v>Proposal</x:v>
      </x:c>
      <x:c r="M165" s="4" t="str">
        <x:f>IFERROR(INDEX('Material routes'!$M$6:$M$2205,MATCH(U165,'Material routes'!$A$6:$A$2205,0)),"MISSING ID")</x:f>
        <x:v>Partial proposal</x:v>
      </x:c>
      <x:c r="N165" s="4" t="str">
        <x:f>IF(IFERROR(INDEX('Material routes'!$I$6:$I$1005,MATCH(U165,'Material routes'!$A$6:$A$1005,0)),"MISSING ID")=0,"",IFERROR(INDEX('Material routes'!$I$6:$I$1005,MATCH(U165,'Material routes'!$A$6:$A$1005,0)),"MISSING ID"))</x:f>
      </x:c>
      <x:c r="O165" s="4" t="str">
        <x:f>IFERROR(INDEX('Material routes'!$J$6:$J$2205,MATCH(U165,'Material routes'!$A$6:$A$2205,0)),"MISSING ID")</x:f>
        <x:v>Unspecified</x:v>
      </x:c>
      <x:c r="P165" s="4" t="str">
        <x:f>IF(IFERROR(INDEX('Material routes'!$I$6:$I$1005,MATCH(V165,'Material routes'!$A$6:$A$1005,0)),"MISSING ID")=0,"",IFERROR(INDEX('Material routes'!$I$6:$I$1005,MATCH(V165,'Material routes'!$A$6:$A$1005,0)),"MISSING ID"))</x:f>
      </x:c>
      <x:c r="Q165" s="4" t="str">
        <x:f>IFERROR(INDEX('Material routes'!$J$6:$J$2205,MATCH(V165,'Material routes'!$A$6:$A$2205,0)),"MISSING ID")</x:f>
        <x:v>Unspecified</x:v>
      </x:c>
      <x:c r="R165" s="4" t="str">
        <x:f>IF(L165="Withheld","Withheld premise",IF(E165="Tool candidate","Reusable prerequisite",IF(K165="Raw entry preparation","Entry-resource preparation",IF(G165="Not applicable",IF(IFERROR(INDEX('Items'!$AI$6:$AI$1005,MATCH(T165,'Items'!$A$6:$A$1005,0)),"MISSING ID")="Finished item","Finished endpoint",IF(IFERROR(INDEX('Items'!$AI$6:$AI$1005,MATCH(T165,'Items'!$A$6:$A$1005,0)),"MISSING ID")="Currency","Currency / no refinement tier","Recovered output / tier not applicable")),IF(OR(IFERROR(INDEX('Crafting recipes'!$H$6:$H$1005,MATCH(J165,'Crafting recipes'!$A$6:$A$1005,0)),"MISSING ID")="Unassigned",G165="Unassigned"),"Tier unresolved",IF(IFERROR(VALUE(RIGHT(G165,1))-VALUE(RIGHT(IFERROR(INDEX('Crafting recipes'!$H$6:$H$1005,MATCH(J165,'Crafting recipes'!$A$6:$A$1005,0)),"MISSING ID"),1)),0)=1,IF(B165=IFERROR(INDEX('Crafting recipes'!$H$6:$H$1005,MATCH(J165,'Crafting recipes'!$A$6:$A$1005,0)),"MISSING ID"),"Advances one material tier","Lower-tier ingredient; route advances one tier"),"Needs tier review"))))))</x:f>
        <x:v>Advances one material tier</x:v>
      </x:c>
      <x:c r="S165" s="4" t="str">
        <x:f>IFERROR(INDEX('Material routes'!$D$6:$D$2205,MATCH(U165,'Material routes'!$A$6:$A$2205,0)),"MISSING ID")</x:f>
        <x:v>proposal.branch.husk_composite</x:v>
      </x:c>
      <x:c r="T165" s="4" t="str">
        <x:f>IFERROR(INDEX('Material routes'!$D$6:$D$2205,MATCH(V165,'Material routes'!$A$6:$A$2205,0)),"MISSING ID")</x:f>
        <x:v>proposal.branch.sealed_casing</x:v>
      </x:c>
      <x:c r="U165" s="4" t="str">
        <x:v>design.branch.branch.sealed_casing.in.1</x:v>
      </x:c>
      <x:c r="V165" s="4" t="str">
        <x:v>design.branch.branch.sealed_casing.out</x:v>
      </x:c>
    </x:row>
    <x:row r="166" ht="105" customHeight="1">
      <x:c r="A166" s="4" t="str">
        <x:f>IFERROR(INDEX('Material routes'!$E$6:$E$2205,MATCH(U166,'Material routes'!$A$6:$A$2205,0)),"MISSING ID")</x:f>
        <x:v>Reinforced sealing sheet</x:v>
      </x:c>
      <x:c r="B166" s="4" t="str">
        <x:f>IFERROR(INDEX('Material routes'!$F$6:$F$2205,MATCH(U166,'Material routes'!$A$6:$A$2205,0)),"MISSING ID")</x:f>
        <x:v>T3</x:v>
      </x:c>
      <x:c r="C166" s="4" t="str">
        <x:f>IFERROR(INDEX('Material routes'!$H$6:$H$2205,MATCH(U166,'Material routes'!$A$6:$A$2205,0)),"MISSING ID")</x:f>
        <x:v>Processed material</x:v>
      </x:c>
      <x:c r="D166" s="4" t="str">
        <x:f>IFERROR(INDEX('Material routes'!$G$6:$G$2205,MATCH(U166,'Material routes'!$A$6:$A$2205,0)),"MISSING ID")</x:f>
        <x:v>Manufactured stock</x:v>
      </x:c>
      <x:c r="E166" s="4" t="str">
        <x:f>IFERROR(INDEX('Material routes'!$C$6:$C$2205,MATCH(U166,'Material routes'!$A$6:$A$2205,0)),"MISSING ID")</x:f>
        <x:v>Ingredient candidate</x:v>
      </x:c>
      <x:c r="F166" s="4" t="str">
        <x:f>IFERROR(INDEX('Material routes'!$E$6:$E$2205,MATCH(V166,'Material routes'!$A$6:$A$2205,0)),"MISSING ID")</x:f>
        <x:v>Sealed composite casing stock</x:v>
      </x:c>
      <x:c r="G166" s="4" t="str">
        <x:f>IFERROR(INDEX('Material routes'!$F$6:$F$2205,MATCH(V166,'Material routes'!$A$6:$A$2205,0)),"MISSING ID")</x:f>
        <x:v>T4</x:v>
      </x:c>
      <x:c r="H166" s="4" t="str">
        <x:f>IFERROR(INDEX('Material routes'!$H$6:$H$2205,MATCH(V166,'Material routes'!$A$6:$A$2205,0)),"MISSING ID")</x:f>
        <x:v>Processed material</x:v>
      </x:c>
      <x:c r="I166" s="4" t="str">
        <x:f>IFERROR(INDEX('Material routes'!$G$6:$G$2205,MATCH(V166,'Material routes'!$A$6:$A$2205,0)),"MISSING ID")</x:f>
        <x:v>Manufactured stock</x:v>
      </x:c>
      <x:c r="J166" s="4" t="str">
        <x:f>IFERROR(INDEX('Material routes'!$B$6:$B$2205,MATCH(U166,'Material routes'!$A$6:$A$2205,0)),"MISSING ID")</x:f>
        <x:v>design.branch.branch.sealed_casing</x:v>
      </x:c>
      <x:c r="K166" s="4" t="str">
        <x:f>IFERROR(INDEX('Crafting recipes'!$C$6:$C$1005,MATCH(J166,'Crafting recipes'!$A$6:$A$1005,0)),"MISSING ID")</x:f>
        <x:v>Material refinement</x:v>
      </x:c>
      <x:c r="L166" s="4" t="str">
        <x:f>IFERROR(INDEX('Material routes'!$K$6:$K$2205,MATCH(U166,'Material routes'!$A$6:$A$2205,0)),"MISSING ID")</x:f>
        <x:v>Proposal</x:v>
      </x:c>
      <x:c r="M166" s="4" t="str">
        <x:f>IFERROR(INDEX('Material routes'!$M$6:$M$2205,MATCH(U166,'Material routes'!$A$6:$A$2205,0)),"MISSING ID")</x:f>
        <x:v>Partial proposal</x:v>
      </x:c>
      <x:c r="N166" s="4" t="str">
        <x:f>IF(IFERROR(INDEX('Material routes'!$I$6:$I$1005,MATCH(U166,'Material routes'!$A$6:$A$1005,0)),"MISSING ID")=0,"",IFERROR(INDEX('Material routes'!$I$6:$I$1005,MATCH(U166,'Material routes'!$A$6:$A$1005,0)),"MISSING ID"))</x:f>
      </x:c>
      <x:c r="O166" s="4" t="str">
        <x:f>IFERROR(INDEX('Material routes'!$J$6:$J$2205,MATCH(U166,'Material routes'!$A$6:$A$2205,0)),"MISSING ID")</x:f>
        <x:v>Unspecified</x:v>
      </x:c>
      <x:c r="P166" s="4" t="str">
        <x:f>IF(IFERROR(INDEX('Material routes'!$I$6:$I$1005,MATCH(V166,'Material routes'!$A$6:$A$1005,0)),"MISSING ID")=0,"",IFERROR(INDEX('Material routes'!$I$6:$I$1005,MATCH(V166,'Material routes'!$A$6:$A$1005,0)),"MISSING ID"))</x:f>
      </x:c>
      <x:c r="Q166" s="4" t="str">
        <x:f>IFERROR(INDEX('Material routes'!$J$6:$J$2205,MATCH(V166,'Material routes'!$A$6:$A$2205,0)),"MISSING ID")</x:f>
        <x:v>Unspecified</x:v>
      </x:c>
      <x:c r="R166" s="4" t="str">
        <x:f>IF(L166="Withheld","Withheld premise",IF(E166="Tool candidate","Reusable prerequisite",IF(K166="Raw entry preparation","Entry-resource preparation",IF(G166="Not applicable",IF(IFERROR(INDEX('Items'!$AI$6:$AI$1005,MATCH(T166,'Items'!$A$6:$A$1005,0)),"MISSING ID")="Finished item","Finished endpoint",IF(IFERROR(INDEX('Items'!$AI$6:$AI$1005,MATCH(T166,'Items'!$A$6:$A$1005,0)),"MISSING ID")="Currency","Currency / no refinement tier","Recovered output / tier not applicable")),IF(OR(IFERROR(INDEX('Crafting recipes'!$H$6:$H$1005,MATCH(J166,'Crafting recipes'!$A$6:$A$1005,0)),"MISSING ID")="Unassigned",G166="Unassigned"),"Tier unresolved",IF(IFERROR(VALUE(RIGHT(G166,1))-VALUE(RIGHT(IFERROR(INDEX('Crafting recipes'!$H$6:$H$1005,MATCH(J166,'Crafting recipes'!$A$6:$A$1005,0)),"MISSING ID"),1)),0)=1,IF(B166=IFERROR(INDEX('Crafting recipes'!$H$6:$H$1005,MATCH(J166,'Crafting recipes'!$A$6:$A$1005,0)),"MISSING ID"),"Advances one material tier","Lower-tier ingredient; route advances one tier"),"Needs tier review"))))))</x:f>
        <x:v>Advances one material tier</x:v>
      </x:c>
      <x:c r="S166" s="4" t="str">
        <x:f>IFERROR(INDEX('Material routes'!$D$6:$D$2205,MATCH(U166,'Material routes'!$A$6:$A$2205,0)),"MISSING ID")</x:f>
        <x:v>proposal.branch.sealing_sheet</x:v>
      </x:c>
      <x:c r="T166" s="4" t="str">
        <x:f>IFERROR(INDEX('Material routes'!$D$6:$D$2205,MATCH(V166,'Material routes'!$A$6:$A$2205,0)),"MISSING ID")</x:f>
        <x:v>proposal.branch.sealed_casing</x:v>
      </x:c>
      <x:c r="U166" s="4" t="str">
        <x:v>design.branch.branch.sealed_casing.in.2</x:v>
      </x:c>
      <x:c r="V166" s="4" t="str">
        <x:v>design.branch.branch.sealed_casing.out</x:v>
      </x:c>
    </x:row>
    <x:row r="167" ht="105" customHeight="1">
      <x:c r="A167" s="4" t="str">
        <x:f>IFERROR(INDEX('Material routes'!$E$6:$E$2205,MATCH(U167,'Material routes'!$A$6:$A$2205,0)),"MISSING ID")</x:f>
        <x:v>Spring-grade steel stock</x:v>
      </x:c>
      <x:c r="B167" s="4" t="str">
        <x:f>IFERROR(INDEX('Material routes'!$F$6:$F$2205,MATCH(U167,'Material routes'!$A$6:$A$2205,0)),"MISSING ID")</x:f>
        <x:v>T3</x:v>
      </x:c>
      <x:c r="C167" s="4" t="str">
        <x:f>IFERROR(INDEX('Material routes'!$H$6:$H$2205,MATCH(U167,'Material routes'!$A$6:$A$2205,0)),"MISSING ID")</x:f>
        <x:v>Processed material</x:v>
      </x:c>
      <x:c r="D167" s="4" t="str">
        <x:f>IFERROR(INDEX('Material routes'!$G$6:$G$2205,MATCH(U167,'Material routes'!$A$6:$A$2205,0)),"MISSING ID")</x:f>
        <x:v>Manufactured stock</x:v>
      </x:c>
      <x:c r="E167" s="4" t="str">
        <x:f>IFERROR(INDEX('Material routes'!$C$6:$C$2205,MATCH(U167,'Material routes'!$A$6:$A$2205,0)),"MISSING ID")</x:f>
        <x:v>Ingredient candidate</x:v>
      </x:c>
      <x:c r="F167" s="4" t="str">
        <x:f>IFERROR(INDEX('Material routes'!$E$6:$E$2205,MATCH(V167,'Material routes'!$A$6:$A$2205,0)),"MISSING ID")</x:f>
        <x:v>Preloaded spring subassembly</x:v>
      </x:c>
      <x:c r="G167" s="4" t="str">
        <x:f>IFERROR(INDEX('Material routes'!$F$6:$F$2205,MATCH(V167,'Material routes'!$A$6:$A$2205,0)),"MISSING ID")</x:f>
        <x:v>T4</x:v>
      </x:c>
      <x:c r="H167" s="4" t="str">
        <x:f>IFERROR(INDEX('Material routes'!$H$6:$H$2205,MATCH(V167,'Material routes'!$A$6:$A$2205,0)),"MISSING ID")</x:f>
        <x:v>Crafting component</x:v>
      </x:c>
      <x:c r="I167" s="4" t="str">
        <x:f>IFERROR(INDEX('Material routes'!$G$6:$G$2205,MATCH(V167,'Material routes'!$A$6:$A$2205,0)),"MISSING ID")</x:f>
        <x:v>Crafting components</x:v>
      </x:c>
      <x:c r="J167" s="4" t="str">
        <x:f>IFERROR(INDEX('Material routes'!$B$6:$B$2205,MATCH(U167,'Material routes'!$A$6:$A$2205,0)),"MISSING ID")</x:f>
        <x:v>design.branch.branch.spring_pack</x:v>
      </x:c>
      <x:c r="K167" s="4" t="str">
        <x:f>IFERROR(INDEX('Crafting recipes'!$C$6:$C$1005,MATCH(J167,'Crafting recipes'!$A$6:$A$1005,0)),"MISSING ID")</x:f>
        <x:v>Material refinement</x:v>
      </x:c>
      <x:c r="L167" s="4" t="str">
        <x:f>IFERROR(INDEX('Material routes'!$K$6:$K$2205,MATCH(U167,'Material routes'!$A$6:$A$2205,0)),"MISSING ID")</x:f>
        <x:v>Proposal</x:v>
      </x:c>
      <x:c r="M167" s="4" t="str">
        <x:f>IFERROR(INDEX('Material routes'!$M$6:$M$2205,MATCH(U167,'Material routes'!$A$6:$A$2205,0)),"MISSING ID")</x:f>
        <x:v>Partial proposal</x:v>
      </x:c>
      <x:c r="N167" s="4" t="str">
        <x:f>IF(IFERROR(INDEX('Material routes'!$I$6:$I$1005,MATCH(U167,'Material routes'!$A$6:$A$1005,0)),"MISSING ID")=0,"",IFERROR(INDEX('Material routes'!$I$6:$I$1005,MATCH(U167,'Material routes'!$A$6:$A$1005,0)),"MISSING ID"))</x:f>
      </x:c>
      <x:c r="O167" s="4" t="str">
        <x:f>IFERROR(INDEX('Material routes'!$J$6:$J$2205,MATCH(U167,'Material routes'!$A$6:$A$2205,0)),"MISSING ID")</x:f>
        <x:v>Unspecified</x:v>
      </x:c>
      <x:c r="P167" s="4" t="str">
        <x:f>IF(IFERROR(INDEX('Material routes'!$I$6:$I$1005,MATCH(V167,'Material routes'!$A$6:$A$1005,0)),"MISSING ID")=0,"",IFERROR(INDEX('Material routes'!$I$6:$I$1005,MATCH(V167,'Material routes'!$A$6:$A$1005,0)),"MISSING ID"))</x:f>
      </x:c>
      <x:c r="Q167" s="4" t="str">
        <x:f>IFERROR(INDEX('Material routes'!$J$6:$J$2205,MATCH(V167,'Material routes'!$A$6:$A$2205,0)),"MISSING ID")</x:f>
        <x:v>Unspecified</x:v>
      </x:c>
      <x:c r="R167" s="4" t="str">
        <x:f>IF(L167="Withheld","Withheld premise",IF(E167="Tool candidate","Reusable prerequisite",IF(K167="Raw entry preparation","Entry-resource preparation",IF(G167="Not applicable",IF(IFERROR(INDEX('Items'!$AI$6:$AI$1005,MATCH(T167,'Items'!$A$6:$A$1005,0)),"MISSING ID")="Finished item","Finished endpoint",IF(IFERROR(INDEX('Items'!$AI$6:$AI$1005,MATCH(T167,'Items'!$A$6:$A$1005,0)),"MISSING ID")="Currency","Currency / no refinement tier","Recovered output / tier not applicable")),IF(OR(IFERROR(INDEX('Crafting recipes'!$H$6:$H$1005,MATCH(J167,'Crafting recipes'!$A$6:$A$1005,0)),"MISSING ID")="Unassigned",G167="Unassigned"),"Tier unresolved",IF(IFERROR(VALUE(RIGHT(G167,1))-VALUE(RIGHT(IFERROR(INDEX('Crafting recipes'!$H$6:$H$1005,MATCH(J167,'Crafting recipes'!$A$6:$A$1005,0)),"MISSING ID"),1)),0)=1,IF(B167=IFERROR(INDEX('Crafting recipes'!$H$6:$H$1005,MATCH(J167,'Crafting recipes'!$A$6:$A$1005,0)),"MISSING ID"),"Advances one material tier","Lower-tier ingredient; route advances one tier"),"Needs tier review"))))))</x:f>
        <x:v>Advances one material tier</x:v>
      </x:c>
      <x:c r="S167" s="4" t="str">
        <x:f>IFERROR(INDEX('Material routes'!$D$6:$D$2205,MATCH(U167,'Material routes'!$A$6:$A$2205,0)),"MISSING ID")</x:f>
        <x:v>proposal.branch.spring_steel</x:v>
      </x:c>
      <x:c r="T167" s="4" t="str">
        <x:f>IFERROR(INDEX('Material routes'!$D$6:$D$2205,MATCH(V167,'Material routes'!$A$6:$A$2205,0)),"MISSING ID")</x:f>
        <x:v>proposal.branch.spring_pack</x:v>
      </x:c>
      <x:c r="U167" s="4" t="str">
        <x:v>design.branch.branch.spring_pack.in.1</x:v>
      </x:c>
      <x:c r="V167" s="4" t="str">
        <x:v>design.branch.branch.spring_pack.out</x:v>
      </x:c>
    </x:row>
    <x:row r="168" ht="105" customHeight="1">
      <x:c r="A168" s="4" t="str">
        <x:f>IFERROR(INDEX('Material routes'!$E$6:$E$2205,MATCH(U168,'Material routes'!$A$6:$A$2205,0)),"MISSING ID")</x:f>
        <x:v>Steel stock</x:v>
      </x:c>
      <x:c r="B168" s="4" t="str">
        <x:f>IFERROR(INDEX('Material routes'!$F$6:$F$2205,MATCH(U168,'Material routes'!$A$6:$A$2205,0)),"MISSING ID")</x:f>
        <x:v>T2</x:v>
      </x:c>
      <x:c r="C168" s="4" t="str">
        <x:f>IFERROR(INDEX('Material routes'!$H$6:$H$2205,MATCH(U168,'Material routes'!$A$6:$A$2205,0)),"MISSING ID")</x:f>
        <x:v>Processed material</x:v>
      </x:c>
      <x:c r="D168" s="4" t="str">
        <x:f>IFERROR(INDEX('Material routes'!$G$6:$G$2205,MATCH(U168,'Material routes'!$A$6:$A$2205,0)),"MISSING ID")</x:f>
        <x:v>Manufactured stock</x:v>
      </x:c>
      <x:c r="E168" s="4" t="str">
        <x:f>IFERROR(INDEX('Material routes'!$C$6:$C$2205,MATCH(U168,'Material routes'!$A$6:$A$2205,0)),"MISSING ID")</x:f>
        <x:v>Ingredient candidate</x:v>
      </x:c>
      <x:c r="F168" s="4" t="str">
        <x:f>IFERROR(INDEX('Material routes'!$E$6:$E$2205,MATCH(V168,'Material routes'!$A$6:$A$2205,0)),"MISSING ID")</x:f>
        <x:v>Preloaded spring subassembly</x:v>
      </x:c>
      <x:c r="G168" s="4" t="str">
        <x:f>IFERROR(INDEX('Material routes'!$F$6:$F$2205,MATCH(V168,'Material routes'!$A$6:$A$2205,0)),"MISSING ID")</x:f>
        <x:v>T4</x:v>
      </x:c>
      <x:c r="H168" s="4" t="str">
        <x:f>IFERROR(INDEX('Material routes'!$H$6:$H$2205,MATCH(V168,'Material routes'!$A$6:$A$2205,0)),"MISSING ID")</x:f>
        <x:v>Crafting component</x:v>
      </x:c>
      <x:c r="I168" s="4" t="str">
        <x:f>IFERROR(INDEX('Material routes'!$G$6:$G$2205,MATCH(V168,'Material routes'!$A$6:$A$2205,0)),"MISSING ID")</x:f>
        <x:v>Crafting components</x:v>
      </x:c>
      <x:c r="J168" s="4" t="str">
        <x:f>IFERROR(INDEX('Material routes'!$B$6:$B$2205,MATCH(U168,'Material routes'!$A$6:$A$2205,0)),"MISSING ID")</x:f>
        <x:v>design.branch.branch.spring_pack</x:v>
      </x:c>
      <x:c r="K168" s="4" t="str">
        <x:f>IFERROR(INDEX('Crafting recipes'!$C$6:$C$1005,MATCH(J168,'Crafting recipes'!$A$6:$A$1005,0)),"MISSING ID")</x:f>
        <x:v>Material refinement</x:v>
      </x:c>
      <x:c r="L168" s="4" t="str">
        <x:f>IFERROR(INDEX('Material routes'!$K$6:$K$2205,MATCH(U168,'Material routes'!$A$6:$A$2205,0)),"MISSING ID")</x:f>
        <x:v>Proposal</x:v>
      </x:c>
      <x:c r="M168" s="4" t="str">
        <x:f>IFERROR(INDEX('Material routes'!$M$6:$M$2205,MATCH(U168,'Material routes'!$A$6:$A$2205,0)),"MISSING ID")</x:f>
        <x:v>Partial proposal</x:v>
      </x:c>
      <x:c r="N168" s="4" t="str">
        <x:f>IF(IFERROR(INDEX('Material routes'!$I$6:$I$1005,MATCH(U168,'Material routes'!$A$6:$A$1005,0)),"MISSING ID")=0,"",IFERROR(INDEX('Material routes'!$I$6:$I$1005,MATCH(U168,'Material routes'!$A$6:$A$1005,0)),"MISSING ID"))</x:f>
      </x:c>
      <x:c r="O168" s="4" t="str">
        <x:f>IFERROR(INDEX('Material routes'!$J$6:$J$2205,MATCH(U168,'Material routes'!$A$6:$A$2205,0)),"MISSING ID")</x:f>
        <x:v>Unspecified</x:v>
      </x:c>
      <x:c r="P168" s="4" t="str">
        <x:f>IF(IFERROR(INDEX('Material routes'!$I$6:$I$1005,MATCH(V168,'Material routes'!$A$6:$A$1005,0)),"MISSING ID")=0,"",IFERROR(INDEX('Material routes'!$I$6:$I$1005,MATCH(V168,'Material routes'!$A$6:$A$1005,0)),"MISSING ID"))</x:f>
      </x:c>
      <x:c r="Q168" s="4" t="str">
        <x:f>IFERROR(INDEX('Material routes'!$J$6:$J$2205,MATCH(V168,'Material routes'!$A$6:$A$2205,0)),"MISSING ID")</x:f>
        <x:v>Unspecified</x:v>
      </x:c>
      <x:c r="R168" s="4" t="str">
        <x:f>IF(L168="Withheld","Withheld premise",IF(E168="Tool candidate","Reusable prerequisite",IF(K168="Raw entry preparation","Entry-resource preparation",IF(G168="Not applicable",IF(IFERROR(INDEX('Items'!$AI$6:$AI$1005,MATCH(T168,'Items'!$A$6:$A$1005,0)),"MISSING ID")="Finished item","Finished endpoint",IF(IFERROR(INDEX('Items'!$AI$6:$AI$1005,MATCH(T168,'Items'!$A$6:$A$1005,0)),"MISSING ID")="Currency","Currency / no refinement tier","Recovered output / tier not applicable")),IF(OR(IFERROR(INDEX('Crafting recipes'!$H$6:$H$1005,MATCH(J168,'Crafting recipes'!$A$6:$A$1005,0)),"MISSING ID")="Unassigned",G168="Unassigned"),"Tier unresolved",IF(IFERROR(VALUE(RIGHT(G168,1))-VALUE(RIGHT(IFERROR(INDEX('Crafting recipes'!$H$6:$H$1005,MATCH(J168,'Crafting recipes'!$A$6:$A$1005,0)),"MISSING ID"),1)),0)=1,IF(B168=IFERROR(INDEX('Crafting recipes'!$H$6:$H$1005,MATCH(J168,'Crafting recipes'!$A$6:$A$1005,0)),"MISSING ID"),"Advances one material tier","Lower-tier ingredient; route advances one tier"),"Needs tier review"))))))</x:f>
        <x:v>Lower-tier ingredient; route advances one tier</x:v>
      </x:c>
      <x:c r="S168" s="4" t="str">
        <x:f>IFERROR(INDEX('Material routes'!$D$6:$D$2205,MATCH(U168,'Material routes'!$A$6:$A$2205,0)),"MISSING ID")</x:f>
        <x:v>author.metallurgy.steel_stock</x:v>
      </x:c>
      <x:c r="T168" s="4" t="str">
        <x:f>IFERROR(INDEX('Material routes'!$D$6:$D$2205,MATCH(V168,'Material routes'!$A$6:$A$2205,0)),"MISSING ID")</x:f>
        <x:v>proposal.branch.spring_pack</x:v>
      </x:c>
      <x:c r="U168" s="4" t="str">
        <x:v>design.branch.branch.spring_pack.in.2</x:v>
      </x:c>
      <x:c r="V168" s="4" t="str">
        <x:v>design.branch.branch.spring_pack.out</x:v>
      </x:c>
    </x:row>
    <x:row r="169" ht="105" customHeight="1">
      <x:c r="A169" s="4" t="str">
        <x:f>IFERROR(INDEX('Material routes'!$E$6:$E$2205,MATCH(U169,'Material routes'!$A$6:$A$2205,0)),"MISSING ID")</x:f>
        <x:v>Fine mechanism oil</x:v>
      </x:c>
      <x:c r="B169" s="4" t="str">
        <x:f>IFERROR(INDEX('Material routes'!$F$6:$F$2205,MATCH(U169,'Material routes'!$A$6:$A$2205,0)),"MISSING ID")</x:f>
        <x:v>T2</x:v>
      </x:c>
      <x:c r="C169" s="4" t="str">
        <x:f>IFERROR(INDEX('Material routes'!$H$6:$H$2205,MATCH(U169,'Material routes'!$A$6:$A$2205,0)),"MISSING ID")</x:f>
        <x:v>Chemical material</x:v>
      </x:c>
      <x:c r="D169" s="4" t="str">
        <x:f>IFERROR(INDEX('Material routes'!$G$6:$G$2205,MATCH(U169,'Material routes'!$A$6:$A$2205,0)),"MISSING ID")</x:f>
        <x:v>Crafting components</x:v>
      </x:c>
      <x:c r="E169" s="4" t="str">
        <x:f>IFERROR(INDEX('Material routes'!$C$6:$C$2205,MATCH(U169,'Material routes'!$A$6:$A$2205,0)),"MISSING ID")</x:f>
        <x:v>Ingredient candidate</x:v>
      </x:c>
      <x:c r="F169" s="4" t="str">
        <x:f>IFERROR(INDEX('Material routes'!$E$6:$E$2205,MATCH(V169,'Material routes'!$A$6:$A$2205,0)),"MISSING ID")</x:f>
        <x:v>Preloaded spring subassembly</x:v>
      </x:c>
      <x:c r="G169" s="4" t="str">
        <x:f>IFERROR(INDEX('Material routes'!$F$6:$F$2205,MATCH(V169,'Material routes'!$A$6:$A$2205,0)),"MISSING ID")</x:f>
        <x:v>T4</x:v>
      </x:c>
      <x:c r="H169" s="4" t="str">
        <x:f>IFERROR(INDEX('Material routes'!$H$6:$H$2205,MATCH(V169,'Material routes'!$A$6:$A$2205,0)),"MISSING ID")</x:f>
        <x:v>Crafting component</x:v>
      </x:c>
      <x:c r="I169" s="4" t="str">
        <x:f>IFERROR(INDEX('Material routes'!$G$6:$G$2205,MATCH(V169,'Material routes'!$A$6:$A$2205,0)),"MISSING ID")</x:f>
        <x:v>Crafting components</x:v>
      </x:c>
      <x:c r="J169" s="4" t="str">
        <x:f>IFERROR(INDEX('Material routes'!$B$6:$B$2205,MATCH(U169,'Material routes'!$A$6:$A$2205,0)),"MISSING ID")</x:f>
        <x:v>design.branch.branch.spring_pack</x:v>
      </x:c>
      <x:c r="K169" s="4" t="str">
        <x:f>IFERROR(INDEX('Crafting recipes'!$C$6:$C$1005,MATCH(J169,'Crafting recipes'!$A$6:$A$1005,0)),"MISSING ID")</x:f>
        <x:v>Material refinement</x:v>
      </x:c>
      <x:c r="L169" s="4" t="str">
        <x:f>IFERROR(INDEX('Material routes'!$K$6:$K$2205,MATCH(U169,'Material routes'!$A$6:$A$2205,0)),"MISSING ID")</x:f>
        <x:v>Proposal</x:v>
      </x:c>
      <x:c r="M169" s="4" t="str">
        <x:f>IFERROR(INDEX('Material routes'!$M$6:$M$2205,MATCH(U169,'Material routes'!$A$6:$A$2205,0)),"MISSING ID")</x:f>
        <x:v>Partial proposal</x:v>
      </x:c>
      <x:c r="N169" s="4" t="str">
        <x:f>IF(IFERROR(INDEX('Material routes'!$I$6:$I$1005,MATCH(U169,'Material routes'!$A$6:$A$1005,0)),"MISSING ID")=0,"",IFERROR(INDEX('Material routes'!$I$6:$I$1005,MATCH(U169,'Material routes'!$A$6:$A$1005,0)),"MISSING ID"))</x:f>
      </x:c>
      <x:c r="O169" s="4" t="str">
        <x:f>IFERROR(INDEX('Material routes'!$J$6:$J$2205,MATCH(U169,'Material routes'!$A$6:$A$2205,0)),"MISSING ID")</x:f>
        <x:v>Unspecified</x:v>
      </x:c>
      <x:c r="P169" s="4" t="str">
        <x:f>IF(IFERROR(INDEX('Material routes'!$I$6:$I$1005,MATCH(V169,'Material routes'!$A$6:$A$1005,0)),"MISSING ID")=0,"",IFERROR(INDEX('Material routes'!$I$6:$I$1005,MATCH(V169,'Material routes'!$A$6:$A$1005,0)),"MISSING ID"))</x:f>
      </x:c>
      <x:c r="Q169" s="4" t="str">
        <x:f>IFERROR(INDEX('Material routes'!$J$6:$J$2205,MATCH(V169,'Material routes'!$A$6:$A$2205,0)),"MISSING ID")</x:f>
        <x:v>Unspecified</x:v>
      </x:c>
      <x:c r="R169" s="4" t="str">
        <x:f>IF(L169="Withheld","Withheld premise",IF(E169="Tool candidate","Reusable prerequisite",IF(K169="Raw entry preparation","Entry-resource preparation",IF(G169="Not applicable",IF(IFERROR(INDEX('Items'!$AI$6:$AI$1005,MATCH(T169,'Items'!$A$6:$A$1005,0)),"MISSING ID")="Finished item","Finished endpoint",IF(IFERROR(INDEX('Items'!$AI$6:$AI$1005,MATCH(T169,'Items'!$A$6:$A$1005,0)),"MISSING ID")="Currency","Currency / no refinement tier","Recovered output / tier not applicable")),IF(OR(IFERROR(INDEX('Crafting recipes'!$H$6:$H$1005,MATCH(J169,'Crafting recipes'!$A$6:$A$1005,0)),"MISSING ID")="Unassigned",G169="Unassigned"),"Tier unresolved",IF(IFERROR(VALUE(RIGHT(G169,1))-VALUE(RIGHT(IFERROR(INDEX('Crafting recipes'!$H$6:$H$1005,MATCH(J169,'Crafting recipes'!$A$6:$A$1005,0)),"MISSING ID"),1)),0)=1,IF(B169=IFERROR(INDEX('Crafting recipes'!$H$6:$H$1005,MATCH(J169,'Crafting recipes'!$A$6:$A$1005,0)),"MISSING ID"),"Advances one material tier","Lower-tier ingredient; route advances one tier"),"Needs tier review"))))))</x:f>
        <x:v>Lower-tier ingredient; route advances one tier</x:v>
      </x:c>
      <x:c r="S169" s="4" t="str">
        <x:f>IFERROR(INDEX('Material routes'!$D$6:$D$2205,MATCH(U169,'Material routes'!$A$6:$A$2205,0)),"MISSING ID")</x:f>
        <x:v>proposal.lubricant.precision_oil</x:v>
      </x:c>
      <x:c r="T169" s="4" t="str">
        <x:f>IFERROR(INDEX('Material routes'!$D$6:$D$2205,MATCH(V169,'Material routes'!$A$6:$A$2205,0)),"MISSING ID")</x:f>
        <x:v>proposal.branch.spring_pack</x:v>
      </x:c>
      <x:c r="U169" s="4" t="str">
        <x:v>design.branch.branch.spring_pack.in.3</x:v>
      </x:c>
      <x:c r="V169" s="4" t="str">
        <x:v>design.branch.branch.spring_pack.out</x:v>
      </x:c>
    </x:row>
    <x:row r="170" ht="105" customHeight="1">
      <x:c r="A170" s="4" t="str">
        <x:f>IFERROR(INDEX('Material routes'!$E$6:$E$2205,MATCH(U170,'Material routes'!$A$6:$A$2205,0)),"MISSING ID")</x:f>
        <x:v>Refractory ceramic stock</x:v>
      </x:c>
      <x:c r="B170" s="4" t="str">
        <x:f>IFERROR(INDEX('Material routes'!$F$6:$F$2205,MATCH(U170,'Material routes'!$A$6:$A$2205,0)),"MISSING ID")</x:f>
        <x:v>T2</x:v>
      </x:c>
      <x:c r="C170" s="4" t="str">
        <x:f>IFERROR(INDEX('Material routes'!$H$6:$H$2205,MATCH(U170,'Material routes'!$A$6:$A$2205,0)),"MISSING ID")</x:f>
        <x:v>Processed material</x:v>
      </x:c>
      <x:c r="D170" s="4" t="str">
        <x:f>IFERROR(INDEX('Material routes'!$G$6:$G$2205,MATCH(U170,'Material routes'!$A$6:$A$2205,0)),"MISSING ID")</x:f>
        <x:v>Manufactured stock</x:v>
      </x:c>
      <x:c r="E170" s="4" t="str">
        <x:f>IFERROR(INDEX('Material routes'!$C$6:$C$2205,MATCH(U170,'Material routes'!$A$6:$A$2205,0)),"MISSING ID")</x:f>
        <x:v>Ingredient candidate</x:v>
      </x:c>
      <x:c r="F170" s="4" t="str">
        <x:f>IFERROR(INDEX('Material routes'!$E$6:$E$2205,MATCH(V170,'Material routes'!$A$6:$A$2205,0)),"MISSING ID")</x:f>
        <x:v>Ceramic crucible</x:v>
      </x:c>
      <x:c r="G170" s="4" t="str">
        <x:f>IFERROR(INDEX('Material routes'!$F$6:$F$2205,MATCH(V170,'Material routes'!$A$6:$A$2205,0)),"MISSING ID")</x:f>
        <x:v>Not applicable</x:v>
      </x:c>
      <x:c r="H170" s="4" t="str">
        <x:f>IFERROR(INDEX('Material routes'!$H$6:$H$2205,MATCH(V170,'Material routes'!$A$6:$A$2205,0)),"MISSING ID")</x:f>
        <x:v>Tool</x:v>
      </x:c>
      <x:c r="I170" s="4" t="str">
        <x:f>IFERROR(INDEX('Material routes'!$G$6:$G$2205,MATCH(V170,'Material routes'!$A$6:$A$2205,0)),"MISSING ID")</x:f>
        <x:v>Salvage</x:v>
      </x:c>
      <x:c r="J170" s="4" t="str">
        <x:f>IFERROR(INDEX('Material routes'!$B$6:$B$2205,MATCH(U170,'Material routes'!$A$6:$A$2205,0)),"MISSING ID")</x:f>
        <x:v>design.finished.refractory_crucible</x:v>
      </x:c>
      <x:c r="K170" s="4" t="str">
        <x:f>IFERROR(INDEX('Crafting recipes'!$C$6:$C$1005,MATCH(J170,'Crafting recipes'!$A$6:$A$1005,0)),"MISSING ID")</x:f>
        <x:v>Finished-item crafting</x:v>
      </x:c>
      <x:c r="L170" s="4" t="str">
        <x:f>IFERROR(INDEX('Material routes'!$K$6:$K$2205,MATCH(U170,'Material routes'!$A$6:$A$2205,0)),"MISSING ID")</x:f>
        <x:v>Proposal</x:v>
      </x:c>
      <x:c r="M170" s="4" t="str">
        <x:f>IFERROR(INDEX('Material routes'!$M$6:$M$2205,MATCH(U170,'Material routes'!$A$6:$A$2205,0)),"MISSING ID")</x:f>
        <x:v>Partial proposal</x:v>
      </x:c>
      <x:c r="N170" s="4" t="str">
        <x:f>IF(IFERROR(INDEX('Material routes'!$I$6:$I$1005,MATCH(U170,'Material routes'!$A$6:$A$1005,0)),"MISSING ID")=0,"",IFERROR(INDEX('Material routes'!$I$6:$I$1005,MATCH(U170,'Material routes'!$A$6:$A$1005,0)),"MISSING ID"))</x:f>
      </x:c>
      <x:c r="O170" s="4" t="str">
        <x:f>IFERROR(INDEX('Material routes'!$J$6:$J$2205,MATCH(U170,'Material routes'!$A$6:$A$2205,0)),"MISSING ID")</x:f>
        <x:v>Unspecified</x:v>
      </x:c>
      <x:c r="P170" s="4" t="str">
        <x:f>IF(IFERROR(INDEX('Material routes'!$I$6:$I$1005,MATCH(V170,'Material routes'!$A$6:$A$1005,0)),"MISSING ID")=0,"",IFERROR(INDEX('Material routes'!$I$6:$I$1005,MATCH(V170,'Material routes'!$A$6:$A$1005,0)),"MISSING ID"))</x:f>
      </x:c>
      <x:c r="Q170" s="4" t="str">
        <x:f>IFERROR(INDEX('Material routes'!$J$6:$J$2205,MATCH(V170,'Material routes'!$A$6:$A$2205,0)),"MISSING ID")</x:f>
        <x:v>Unspecified</x:v>
      </x:c>
      <x:c r="R170" s="4" t="str">
        <x:f>IF(L170="Withheld","Withheld premise",IF(E170="Tool candidate","Reusable prerequisite",IF(K170="Raw entry preparation","Entry-resource preparation",IF(G170="Not applicable",IF(IFERROR(INDEX('Items'!$AI$6:$AI$1005,MATCH(T170,'Items'!$A$6:$A$1005,0)),"MISSING ID")="Finished item","Finished endpoint",IF(IFERROR(INDEX('Items'!$AI$6:$AI$1005,MATCH(T170,'Items'!$A$6:$A$1005,0)),"MISSING ID")="Currency","Currency / no refinement tier","Recovered output / tier not applicable")),IF(OR(IFERROR(INDEX('Crafting recipes'!$H$6:$H$1005,MATCH(J170,'Crafting recipes'!$A$6:$A$1005,0)),"MISSING ID")="Unassigned",G170="Unassigned"),"Tier unresolved",IF(IFERROR(VALUE(RIGHT(G170,1))-VALUE(RIGHT(IFERROR(INDEX('Crafting recipes'!$H$6:$H$1005,MATCH(J170,'Crafting recipes'!$A$6:$A$1005,0)),"MISSING ID"),1)),0)=1,IF(B170=IFERROR(INDEX('Crafting recipes'!$H$6:$H$1005,MATCH(J170,'Crafting recipes'!$A$6:$A$1005,0)),"MISSING ID"),"Advances one material tier","Lower-tier ingredient; route advances one tier"),"Needs tier review"))))))</x:f>
        <x:v>Finished endpoint</x:v>
      </x:c>
      <x:c r="S170" s="4" t="str">
        <x:f>IFERROR(INDEX('Material routes'!$D$6:$D$2205,MATCH(U170,'Material routes'!$A$6:$A$2205,0)),"MISSING ID")</x:f>
        <x:v>proposal.branch.refractory_ceramic</x:v>
      </x:c>
      <x:c r="T170" s="4" t="str">
        <x:f>IFERROR(INDEX('Material routes'!$D$6:$D$2205,MATCH(V170,'Material routes'!$A$6:$A$2205,0)),"MISSING ID")</x:f>
        <x:v>proposal.ceramic.crucible</x:v>
      </x:c>
      <x:c r="U170" s="4" t="str">
        <x:v>design.finished.refractory_crucible.in.1</x:v>
      </x:c>
      <x:c r="V170" s="4" t="str">
        <x:v>design.finished.refractory_crucible.out</x:v>
      </x:c>
    </x:row>
    <x:row r="171" ht="105" customHeight="1">
      <x:c r="A171" s="4" t="str">
        <x:f>IFERROR(INDEX('Material routes'!$E$6:$E$2205,MATCH(U171,'Material routes'!$A$6:$A$2205,0)),"MISSING ID")</x:f>
        <x:v>Mica composite sheet</x:v>
      </x:c>
      <x:c r="B171" s="4" t="str">
        <x:f>IFERROR(INDEX('Material routes'!$F$6:$F$2205,MATCH(U171,'Material routes'!$A$6:$A$2205,0)),"MISSING ID")</x:f>
        <x:v>T2</x:v>
      </x:c>
      <x:c r="C171" s="4" t="str">
        <x:f>IFERROR(INDEX('Material routes'!$H$6:$H$2205,MATCH(U171,'Material routes'!$A$6:$A$2205,0)),"MISSING ID")</x:f>
        <x:v>Processed material</x:v>
      </x:c>
      <x:c r="D171" s="4" t="str">
        <x:f>IFERROR(INDEX('Material routes'!$G$6:$G$2205,MATCH(U171,'Material routes'!$A$6:$A$2205,0)),"MISSING ID")</x:f>
        <x:v>Manufactured stock</x:v>
      </x:c>
      <x:c r="E171" s="4" t="str">
        <x:f>IFERROR(INDEX('Material routes'!$C$6:$C$2205,MATCH(U171,'Material routes'!$A$6:$A$2205,0)),"MISSING ID")</x:f>
        <x:v>Ingredient candidate</x:v>
      </x:c>
      <x:c r="F171" s="4" t="str">
        <x:f>IFERROR(INDEX('Material routes'!$E$6:$E$2205,MATCH(V171,'Material routes'!$A$6:$A$2205,0)),"MISSING ID")</x:f>
        <x:v>Electrical insulating gloves</x:v>
      </x:c>
      <x:c r="G171" s="4" t="str">
        <x:f>IFERROR(INDEX('Material routes'!$F$6:$F$2205,MATCH(V171,'Material routes'!$A$6:$A$2205,0)),"MISSING ID")</x:f>
        <x:v>Not applicable</x:v>
      </x:c>
      <x:c r="H171" s="4" t="str">
        <x:f>IFERROR(INDEX('Material routes'!$H$6:$H$2205,MATCH(V171,'Material routes'!$A$6:$A$2205,0)),"MISSING ID")</x:f>
        <x:v>Wearable</x:v>
      </x:c>
      <x:c r="I171" s="4" t="str">
        <x:f>IFERROR(INDEX('Material routes'!$G$6:$G$2205,MATCH(V171,'Material routes'!$A$6:$A$2205,0)),"MISSING ID")</x:f>
        <x:v>Clothing</x:v>
      </x:c>
      <x:c r="J171" s="4" t="str">
        <x:f>IFERROR(INDEX('Material routes'!$B$6:$B$2205,MATCH(U171,'Material routes'!$A$6:$A$2205,0)),"MISSING ID")</x:f>
        <x:v>design.finished.electrical_gloves</x:v>
      </x:c>
      <x:c r="K171" s="4" t="str">
        <x:f>IFERROR(INDEX('Crafting recipes'!$C$6:$C$1005,MATCH(J171,'Crafting recipes'!$A$6:$A$1005,0)),"MISSING ID")</x:f>
        <x:v>Finished-item crafting</x:v>
      </x:c>
      <x:c r="L171" s="4" t="str">
        <x:f>IFERROR(INDEX('Material routes'!$K$6:$K$2205,MATCH(U171,'Material routes'!$A$6:$A$2205,0)),"MISSING ID")</x:f>
        <x:v>Proposal</x:v>
      </x:c>
      <x:c r="M171" s="4" t="str">
        <x:f>IFERROR(INDEX('Material routes'!$M$6:$M$2205,MATCH(U171,'Material routes'!$A$6:$A$2205,0)),"MISSING ID")</x:f>
        <x:v>Partial proposal</x:v>
      </x:c>
      <x:c r="N171" s="4" t="str">
        <x:f>IF(IFERROR(INDEX('Material routes'!$I$6:$I$1005,MATCH(U171,'Material routes'!$A$6:$A$1005,0)),"MISSING ID")=0,"",IFERROR(INDEX('Material routes'!$I$6:$I$1005,MATCH(U171,'Material routes'!$A$6:$A$1005,0)),"MISSING ID"))</x:f>
      </x:c>
      <x:c r="O171" s="4" t="str">
        <x:f>IFERROR(INDEX('Material routes'!$J$6:$J$2205,MATCH(U171,'Material routes'!$A$6:$A$2205,0)),"MISSING ID")</x:f>
        <x:v>Unspecified</x:v>
      </x:c>
      <x:c r="P171" s="4" t="str">
        <x:f>IF(IFERROR(INDEX('Material routes'!$I$6:$I$1005,MATCH(V171,'Material routes'!$A$6:$A$1005,0)),"MISSING ID")=0,"",IFERROR(INDEX('Material routes'!$I$6:$I$1005,MATCH(V171,'Material routes'!$A$6:$A$1005,0)),"MISSING ID"))</x:f>
      </x:c>
      <x:c r="Q171" s="4" t="str">
        <x:f>IFERROR(INDEX('Material routes'!$J$6:$J$2205,MATCH(V171,'Material routes'!$A$6:$A$2205,0)),"MISSING ID")</x:f>
        <x:v>Unspecified</x:v>
      </x:c>
      <x:c r="R171" s="4" t="str">
        <x:f>IF(L171="Withheld","Withheld premise",IF(E171="Tool candidate","Reusable prerequisite",IF(K171="Raw entry preparation","Entry-resource preparation",IF(G171="Not applicable",IF(IFERROR(INDEX('Items'!$AI$6:$AI$1005,MATCH(T171,'Items'!$A$6:$A$1005,0)),"MISSING ID")="Finished item","Finished endpoint",IF(IFERROR(INDEX('Items'!$AI$6:$AI$1005,MATCH(T171,'Items'!$A$6:$A$1005,0)),"MISSING ID")="Currency","Currency / no refinement tier","Recovered output / tier not applicable")),IF(OR(IFERROR(INDEX('Crafting recipes'!$H$6:$H$1005,MATCH(J171,'Crafting recipes'!$A$6:$A$1005,0)),"MISSING ID")="Unassigned",G171="Unassigned"),"Tier unresolved",IF(IFERROR(VALUE(RIGHT(G171,1))-VALUE(RIGHT(IFERROR(INDEX('Crafting recipes'!$H$6:$H$1005,MATCH(J171,'Crafting recipes'!$A$6:$A$1005,0)),"MISSING ID"),1)),0)=1,IF(B171=IFERROR(INDEX('Crafting recipes'!$H$6:$H$1005,MATCH(J171,'Crafting recipes'!$A$6:$A$1005,0)),"MISSING ID"),"Advances one material tier","Lower-tier ingredient; route advances one tier"),"Needs tier review"))))))</x:f>
        <x:v>Finished endpoint</x:v>
      </x:c>
      <x:c r="S171" s="4" t="str">
        <x:f>IFERROR(INDEX('Material routes'!$D$6:$D$2205,MATCH(U171,'Material routes'!$A$6:$A$2205,0)),"MISSING ID")</x:f>
        <x:v>proposal.branch.mica_sheet</x:v>
      </x:c>
      <x:c r="T171" s="4" t="str">
        <x:f>IFERROR(INDEX('Material routes'!$D$6:$D$2205,MATCH(V171,'Material routes'!$A$6:$A$2205,0)),"MISSING ID")</x:f>
        <x:v>author.electrical.insulated_gloves</x:v>
      </x:c>
      <x:c r="U171" s="4" t="str">
        <x:v>design.finished.electrical_gloves.in.1</x:v>
      </x:c>
      <x:c r="V171" s="4" t="str">
        <x:v>design.finished.electrical_gloves.out</x:v>
      </x:c>
    </x:row>
    <x:row r="172" ht="105" customHeight="1">
      <x:c r="A172" s="4" t="str">
        <x:f>IFERROR(INDEX('Material routes'!$E$6:$E$2205,MATCH(U172,'Material routes'!$A$6:$A$2205,0)),"MISSING ID")</x:f>
        <x:v>Flexible membrane-bonding compound</x:v>
      </x:c>
      <x:c r="B172" s="4" t="str">
        <x:f>IFERROR(INDEX('Material routes'!$F$6:$F$2205,MATCH(U172,'Material routes'!$A$6:$A$2205,0)),"MISSING ID")</x:f>
        <x:v>T2</x:v>
      </x:c>
      <x:c r="C172" s="4" t="str">
        <x:f>IFERROR(INDEX('Material routes'!$H$6:$H$2205,MATCH(U172,'Material routes'!$A$6:$A$2205,0)),"MISSING ID")</x:f>
        <x:v>Chemical material</x:v>
      </x:c>
      <x:c r="D172" s="4" t="str">
        <x:f>IFERROR(INDEX('Material routes'!$G$6:$G$2205,MATCH(U172,'Material routes'!$A$6:$A$2205,0)),"MISSING ID")</x:f>
        <x:v>Crafting components</x:v>
      </x:c>
      <x:c r="E172" s="4" t="str">
        <x:f>IFERROR(INDEX('Material routes'!$C$6:$C$2205,MATCH(U172,'Material routes'!$A$6:$A$2205,0)),"MISSING ID")</x:f>
        <x:v>Ingredient candidate</x:v>
      </x:c>
      <x:c r="F172" s="4" t="str">
        <x:f>IFERROR(INDEX('Material routes'!$E$6:$E$2205,MATCH(V172,'Material routes'!$A$6:$A$2205,0)),"MISSING ID")</x:f>
        <x:v>Electrical insulating gloves</x:v>
      </x:c>
      <x:c r="G172" s="4" t="str">
        <x:f>IFERROR(INDEX('Material routes'!$F$6:$F$2205,MATCH(V172,'Material routes'!$A$6:$A$2205,0)),"MISSING ID")</x:f>
        <x:v>Not applicable</x:v>
      </x:c>
      <x:c r="H172" s="4" t="str">
        <x:f>IFERROR(INDEX('Material routes'!$H$6:$H$2205,MATCH(V172,'Material routes'!$A$6:$A$2205,0)),"MISSING ID")</x:f>
        <x:v>Wearable</x:v>
      </x:c>
      <x:c r="I172" s="4" t="str">
        <x:f>IFERROR(INDEX('Material routes'!$G$6:$G$2205,MATCH(V172,'Material routes'!$A$6:$A$2205,0)),"MISSING ID")</x:f>
        <x:v>Clothing</x:v>
      </x:c>
      <x:c r="J172" s="4" t="str">
        <x:f>IFERROR(INDEX('Material routes'!$B$6:$B$2205,MATCH(U172,'Material routes'!$A$6:$A$2205,0)),"MISSING ID")</x:f>
        <x:v>design.finished.electrical_gloves</x:v>
      </x:c>
      <x:c r="K172" s="4" t="str">
        <x:f>IFERROR(INDEX('Crafting recipes'!$C$6:$C$1005,MATCH(J172,'Crafting recipes'!$A$6:$A$1005,0)),"MISSING ID")</x:f>
        <x:v>Finished-item crafting</x:v>
      </x:c>
      <x:c r="L172" s="4" t="str">
        <x:f>IFERROR(INDEX('Material routes'!$K$6:$K$2205,MATCH(U172,'Material routes'!$A$6:$A$2205,0)),"MISSING ID")</x:f>
        <x:v>Proposal</x:v>
      </x:c>
      <x:c r="M172" s="4" t="str">
        <x:f>IFERROR(INDEX('Material routes'!$M$6:$M$2205,MATCH(U172,'Material routes'!$A$6:$A$2205,0)),"MISSING ID")</x:f>
        <x:v>Partial proposal</x:v>
      </x:c>
      <x:c r="N172" s="4" t="str">
        <x:f>IF(IFERROR(INDEX('Material routes'!$I$6:$I$1005,MATCH(U172,'Material routes'!$A$6:$A$1005,0)),"MISSING ID")=0,"",IFERROR(INDEX('Material routes'!$I$6:$I$1005,MATCH(U172,'Material routes'!$A$6:$A$1005,0)),"MISSING ID"))</x:f>
      </x:c>
      <x:c r="O172" s="4" t="str">
        <x:f>IFERROR(INDEX('Material routes'!$J$6:$J$2205,MATCH(U172,'Material routes'!$A$6:$A$2205,0)),"MISSING ID")</x:f>
        <x:v>Unspecified</x:v>
      </x:c>
      <x:c r="P172" s="4" t="str">
        <x:f>IF(IFERROR(INDEX('Material routes'!$I$6:$I$1005,MATCH(V172,'Material routes'!$A$6:$A$1005,0)),"MISSING ID")=0,"",IFERROR(INDEX('Material routes'!$I$6:$I$1005,MATCH(V172,'Material routes'!$A$6:$A$1005,0)),"MISSING ID"))</x:f>
      </x:c>
      <x:c r="Q172" s="4" t="str">
        <x:f>IFERROR(INDEX('Material routes'!$J$6:$J$2205,MATCH(V172,'Material routes'!$A$6:$A$2205,0)),"MISSING ID")</x:f>
        <x:v>Unspecified</x:v>
      </x:c>
      <x:c r="R172" s="4" t="str">
        <x:f>IF(L172="Withheld","Withheld premise",IF(E172="Tool candidate","Reusable prerequisite",IF(K172="Raw entry preparation","Entry-resource preparation",IF(G172="Not applicable",IF(IFERROR(INDEX('Items'!$AI$6:$AI$1005,MATCH(T172,'Items'!$A$6:$A$1005,0)),"MISSING ID")="Finished item","Finished endpoint",IF(IFERROR(INDEX('Items'!$AI$6:$AI$1005,MATCH(T172,'Items'!$A$6:$A$1005,0)),"MISSING ID")="Currency","Currency / no refinement tier","Recovered output / tier not applicable")),IF(OR(IFERROR(INDEX('Crafting recipes'!$H$6:$H$1005,MATCH(J172,'Crafting recipes'!$A$6:$A$1005,0)),"MISSING ID")="Unassigned",G172="Unassigned"),"Tier unresolved",IF(IFERROR(VALUE(RIGHT(G172,1))-VALUE(RIGHT(IFERROR(INDEX('Crafting recipes'!$H$6:$H$1005,MATCH(J172,'Crafting recipes'!$A$6:$A$1005,0)),"MISSING ID"),1)),0)=1,IF(B172=IFERROR(INDEX('Crafting recipes'!$H$6:$H$1005,MATCH(J172,'Crafting recipes'!$A$6:$A$1005,0)),"MISSING ID"),"Advances one material tier","Lower-tier ingredient; route advances one tier"),"Needs tier review"))))))</x:f>
        <x:v>Finished endpoint</x:v>
      </x:c>
      <x:c r="S172" s="4" t="str">
        <x:f>IFERROR(INDEX('Material routes'!$D$6:$D$2205,MATCH(U172,'Material routes'!$A$6:$A$2205,0)),"MISSING ID")</x:f>
        <x:v>proposal.branch.flex_bond</x:v>
      </x:c>
      <x:c r="T172" s="4" t="str">
        <x:f>IFERROR(INDEX('Material routes'!$D$6:$D$2205,MATCH(V172,'Material routes'!$A$6:$A$2205,0)),"MISSING ID")</x:f>
        <x:v>author.electrical.insulated_gloves</x:v>
      </x:c>
      <x:c r="U172" s="4" t="str">
        <x:v>design.finished.electrical_gloves.in.2</x:v>
      </x:c>
      <x:c r="V172" s="4" t="str">
        <x:v>design.finished.electrical_gloves.out</x:v>
      </x:c>
    </x:row>
    <x:row r="173" ht="105" customHeight="1">
      <x:c r="A173" s="4" t="str">
        <x:f>IFERROR(INDEX('Material routes'!$E$6:$E$2205,MATCH(U173,'Material routes'!$A$6:$A$2205,0)),"MISSING ID")</x:f>
        <x:v>Bonded husk sheet</x:v>
      </x:c>
      <x:c r="B173" s="4" t="str">
        <x:f>IFERROR(INDEX('Material routes'!$F$6:$F$2205,MATCH(U173,'Material routes'!$A$6:$A$2205,0)),"MISSING ID")</x:f>
        <x:v>T2</x:v>
      </x:c>
      <x:c r="C173" s="4" t="str">
        <x:f>IFERROR(INDEX('Material routes'!$H$6:$H$2205,MATCH(U173,'Material routes'!$A$6:$A$2205,0)),"MISSING ID")</x:f>
        <x:v>Processed material</x:v>
      </x:c>
      <x:c r="D173" s="4" t="str">
        <x:f>IFERROR(INDEX('Material routes'!$G$6:$G$2205,MATCH(U173,'Material routes'!$A$6:$A$2205,0)),"MISSING ID")</x:f>
        <x:v>Manufactured stock</x:v>
      </x:c>
      <x:c r="E173" s="4" t="str">
        <x:f>IFERROR(INDEX('Material routes'!$C$6:$C$2205,MATCH(U173,'Material routes'!$A$6:$A$2205,0)),"MISSING ID")</x:f>
        <x:v>Ingredient candidate</x:v>
      </x:c>
      <x:c r="F173" s="4" t="str">
        <x:f>IFERROR(INDEX('Material routes'!$E$6:$E$2205,MATCH(V173,'Material routes'!$A$6:$A$2205,0)),"MISSING ID")</x:f>
        <x:v>Electrical insulating gloves</x:v>
      </x:c>
      <x:c r="G173" s="4" t="str">
        <x:f>IFERROR(INDEX('Material routes'!$F$6:$F$2205,MATCH(V173,'Material routes'!$A$6:$A$2205,0)),"MISSING ID")</x:f>
        <x:v>Not applicable</x:v>
      </x:c>
      <x:c r="H173" s="4" t="str">
        <x:f>IFERROR(INDEX('Material routes'!$H$6:$H$2205,MATCH(V173,'Material routes'!$A$6:$A$2205,0)),"MISSING ID")</x:f>
        <x:v>Wearable</x:v>
      </x:c>
      <x:c r="I173" s="4" t="str">
        <x:f>IFERROR(INDEX('Material routes'!$G$6:$G$2205,MATCH(V173,'Material routes'!$A$6:$A$2205,0)),"MISSING ID")</x:f>
        <x:v>Clothing</x:v>
      </x:c>
      <x:c r="J173" s="4" t="str">
        <x:f>IFERROR(INDEX('Material routes'!$B$6:$B$2205,MATCH(U173,'Material routes'!$A$6:$A$2205,0)),"MISSING ID")</x:f>
        <x:v>design.finished.electrical_gloves</x:v>
      </x:c>
      <x:c r="K173" s="4" t="str">
        <x:f>IFERROR(INDEX('Crafting recipes'!$C$6:$C$1005,MATCH(J173,'Crafting recipes'!$A$6:$A$1005,0)),"MISSING ID")</x:f>
        <x:v>Finished-item crafting</x:v>
      </x:c>
      <x:c r="L173" s="4" t="str">
        <x:f>IFERROR(INDEX('Material routes'!$K$6:$K$2205,MATCH(U173,'Material routes'!$A$6:$A$2205,0)),"MISSING ID")</x:f>
        <x:v>Proposal</x:v>
      </x:c>
      <x:c r="M173" s="4" t="str">
        <x:f>IFERROR(INDEX('Material routes'!$M$6:$M$2205,MATCH(U173,'Material routes'!$A$6:$A$2205,0)),"MISSING ID")</x:f>
        <x:v>Partial proposal</x:v>
      </x:c>
      <x:c r="N173" s="4" t="str">
        <x:f>IF(IFERROR(INDEX('Material routes'!$I$6:$I$1005,MATCH(U173,'Material routes'!$A$6:$A$1005,0)),"MISSING ID")=0,"",IFERROR(INDEX('Material routes'!$I$6:$I$1005,MATCH(U173,'Material routes'!$A$6:$A$1005,0)),"MISSING ID"))</x:f>
      </x:c>
      <x:c r="O173" s="4" t="str">
        <x:f>IFERROR(INDEX('Material routes'!$J$6:$J$2205,MATCH(U173,'Material routes'!$A$6:$A$2205,0)),"MISSING ID")</x:f>
        <x:v>Unspecified</x:v>
      </x:c>
      <x:c r="P173" s="4" t="str">
        <x:f>IF(IFERROR(INDEX('Material routes'!$I$6:$I$1005,MATCH(V173,'Material routes'!$A$6:$A$1005,0)),"MISSING ID")=0,"",IFERROR(INDEX('Material routes'!$I$6:$I$1005,MATCH(V173,'Material routes'!$A$6:$A$1005,0)),"MISSING ID"))</x:f>
      </x:c>
      <x:c r="Q173" s="4" t="str">
        <x:f>IFERROR(INDEX('Material routes'!$J$6:$J$2205,MATCH(V173,'Material routes'!$A$6:$A$2205,0)),"MISSING ID")</x:f>
        <x:v>Unspecified</x:v>
      </x:c>
      <x:c r="R173" s="4" t="str">
        <x:f>IF(L173="Withheld","Withheld premise",IF(E173="Tool candidate","Reusable prerequisite",IF(K173="Raw entry preparation","Entry-resource preparation",IF(G173="Not applicable",IF(IFERROR(INDEX('Items'!$AI$6:$AI$1005,MATCH(T173,'Items'!$A$6:$A$1005,0)),"MISSING ID")="Finished item","Finished endpoint",IF(IFERROR(INDEX('Items'!$AI$6:$AI$1005,MATCH(T173,'Items'!$A$6:$A$1005,0)),"MISSING ID")="Currency","Currency / no refinement tier","Recovered output / tier not applicable")),IF(OR(IFERROR(INDEX('Crafting recipes'!$H$6:$H$1005,MATCH(J173,'Crafting recipes'!$A$6:$A$1005,0)),"MISSING ID")="Unassigned",G173="Unassigned"),"Tier unresolved",IF(IFERROR(VALUE(RIGHT(G173,1))-VALUE(RIGHT(IFERROR(INDEX('Crafting recipes'!$H$6:$H$1005,MATCH(J173,'Crafting recipes'!$A$6:$A$1005,0)),"MISSING ID"),1)),0)=1,IF(B173=IFERROR(INDEX('Crafting recipes'!$H$6:$H$1005,MATCH(J173,'Crafting recipes'!$A$6:$A$1005,0)),"MISSING ID"),"Advances one material tier","Lower-tier ingredient; route advances one tier"),"Needs tier review"))))))</x:f>
        <x:v>Finished endpoint</x:v>
      </x:c>
      <x:c r="S173" s="4" t="str">
        <x:f>IFERROR(INDEX('Material routes'!$D$6:$D$2205,MATCH(U173,'Material routes'!$A$6:$A$2205,0)),"MISSING ID")</x:f>
        <x:v>proposal.branch.husk_sheet</x:v>
      </x:c>
      <x:c r="T173" s="4" t="str">
        <x:f>IFERROR(INDEX('Material routes'!$D$6:$D$2205,MATCH(V173,'Material routes'!$A$6:$A$2205,0)),"MISSING ID")</x:f>
        <x:v>author.electrical.insulated_gloves</x:v>
      </x:c>
      <x:c r="U173" s="4" t="str">
        <x:v>design.finished.electrical_gloves.in.3</x:v>
      </x:c>
      <x:c r="V173" s="4" t="str">
        <x:v>design.finished.electrical_gloves.out</x:v>
      </x:c>
    </x:row>
    <x:row r="174" ht="115" customHeight="1">
      <x:c r="A174" s="4" t="str">
        <x:f>IFERROR(INDEX('Material routes'!$E$6:$E$2205,MATCH(U174,'Material routes'!$A$6:$A$2205,0)),"MISSING ID")</x:f>
        <x:v>Steel stock</x:v>
      </x:c>
      <x:c r="B174" s="4" t="str">
        <x:f>IFERROR(INDEX('Material routes'!$F$6:$F$2205,MATCH(U174,'Material routes'!$A$6:$A$2205,0)),"MISSING ID")</x:f>
        <x:v>T2</x:v>
      </x:c>
      <x:c r="C174" s="4" t="str">
        <x:f>IFERROR(INDEX('Material routes'!$H$6:$H$2205,MATCH(U174,'Material routes'!$A$6:$A$2205,0)),"MISSING ID")</x:f>
        <x:v>Processed material</x:v>
      </x:c>
      <x:c r="D174" s="4" t="str">
        <x:f>IFERROR(INDEX('Material routes'!$G$6:$G$2205,MATCH(U174,'Material routes'!$A$6:$A$2205,0)),"MISSING ID")</x:f>
        <x:v>Manufactured stock</x:v>
      </x:c>
      <x:c r="E174" s="4" t="str">
        <x:f>IFERROR(INDEX('Material routes'!$C$6:$C$2205,MATCH(U174,'Material routes'!$A$6:$A$2205,0)),"MISSING ID")</x:f>
        <x:v>Ingredient candidate</x:v>
      </x:c>
      <x:c r="F174" s="4" t="str">
        <x:f>IFERROR(INDEX('Material routes'!$E$6:$E$2205,MATCH(V174,'Material routes'!$A$6:$A$2205,0)),"MISSING ID")</x:f>
        <x:v>Heat-treated steel gear blanks</x:v>
      </x:c>
      <x:c r="G174" s="4" t="str">
        <x:f>IFERROR(INDEX('Material routes'!$F$6:$F$2205,MATCH(V174,'Material routes'!$A$6:$A$2205,0)),"MISSING ID")</x:f>
        <x:v>T3</x:v>
      </x:c>
      <x:c r="H174" s="4" t="str">
        <x:f>IFERROR(INDEX('Material routes'!$H$6:$H$2205,MATCH(V174,'Material routes'!$A$6:$A$2205,0)),"MISSING ID")</x:f>
        <x:v>Crafting component</x:v>
      </x:c>
      <x:c r="I174" s="4" t="str">
        <x:f>IFERROR(INDEX('Material routes'!$G$6:$G$2205,MATCH(V174,'Material routes'!$A$6:$A$2205,0)),"MISSING ID")</x:f>
        <x:v>Crafting components</x:v>
      </x:c>
      <x:c r="J174" s="4" t="str">
        <x:f>IFERROR(INDEX('Material routes'!$B$6:$B$2205,MATCH(U174,'Material routes'!$A$6:$A$2205,0)),"MISSING ID")</x:f>
        <x:v>design.t3.gear_blank</x:v>
      </x:c>
      <x:c r="K174" s="4" t="str">
        <x:f>IFERROR(INDEX('Crafting recipes'!$C$6:$C$1005,MATCH(J174,'Crafting recipes'!$A$6:$A$1005,0)),"MISSING ID")</x:f>
        <x:v>Material refinement</x:v>
      </x:c>
      <x:c r="L174" s="4" t="str">
        <x:f>IFERROR(INDEX('Material routes'!$K$6:$K$2205,MATCH(U174,'Material routes'!$A$6:$A$2205,0)),"MISSING ID")</x:f>
        <x:v>Proposal</x:v>
      </x:c>
      <x:c r="M174" s="4" t="str">
        <x:f>IFERROR(INDEX('Material routes'!$M$6:$M$2205,MATCH(U174,'Material routes'!$A$6:$A$2205,0)),"MISSING ID")</x:f>
        <x:v>Partial proposal</x:v>
      </x:c>
      <x:c r="N174" s="4" t="str">
        <x:f>IF(IFERROR(INDEX('Material routes'!$I$6:$I$1005,MATCH(U174,'Material routes'!$A$6:$A$1005,0)),"MISSING ID")=0,"",IFERROR(INDEX('Material routes'!$I$6:$I$1005,MATCH(U174,'Material routes'!$A$6:$A$1005,0)),"MISSING ID"))</x:f>
      </x:c>
      <x:c r="O174" s="4" t="str">
        <x:f>IFERROR(INDEX('Material routes'!$J$6:$J$2205,MATCH(U174,'Material routes'!$A$6:$A$2205,0)),"MISSING ID")</x:f>
        <x:v>Unspecified</x:v>
      </x:c>
      <x:c r="P174" s="4" t="str">
        <x:f>IF(IFERROR(INDEX('Material routes'!$I$6:$I$1005,MATCH(V174,'Material routes'!$A$6:$A$1005,0)),"MISSING ID")=0,"",IFERROR(INDEX('Material routes'!$I$6:$I$1005,MATCH(V174,'Material routes'!$A$6:$A$1005,0)),"MISSING ID"))</x:f>
      </x:c>
      <x:c r="Q174" s="4" t="str">
        <x:f>IFERROR(INDEX('Material routes'!$J$6:$J$2205,MATCH(V174,'Material routes'!$A$6:$A$2205,0)),"MISSING ID")</x:f>
        <x:v>Unspecified</x:v>
      </x:c>
      <x:c r="R174" s="4" t="str">
        <x:f>IF(L174="Withheld","Withheld premise",IF(E174="Tool candidate","Reusable prerequisite",IF(K174="Raw entry preparation","Entry-resource preparation",IF(G174="Not applicable",IF(IFERROR(INDEX('Items'!$AI$6:$AI$1005,MATCH(T174,'Items'!$A$6:$A$1005,0)),"MISSING ID")="Finished item","Finished endpoint",IF(IFERROR(INDEX('Items'!$AI$6:$AI$1005,MATCH(T174,'Items'!$A$6:$A$1005,0)),"MISSING ID")="Currency","Currency / no refinement tier","Recovered output / tier not applicable")),IF(OR(IFERROR(INDEX('Crafting recipes'!$H$6:$H$1005,MATCH(J174,'Crafting recipes'!$A$6:$A$1005,0)),"MISSING ID")="Unassigned",G174="Unassigned"),"Tier unresolved",IF(IFERROR(VALUE(RIGHT(G174,1))-VALUE(RIGHT(IFERROR(INDEX('Crafting recipes'!$H$6:$H$1005,MATCH(J174,'Crafting recipes'!$A$6:$A$1005,0)),"MISSING ID"),1)),0)=1,IF(B174=IFERROR(INDEX('Crafting recipes'!$H$6:$H$1005,MATCH(J174,'Crafting recipes'!$A$6:$A$1005,0)),"MISSING ID"),"Advances one material tier","Lower-tier ingredient; route advances one tier"),"Needs tier review"))))))</x:f>
        <x:v>Advances one material tier</x:v>
      </x:c>
      <x:c r="S174" s="4" t="str">
        <x:f>IFERROR(INDEX('Material routes'!$D$6:$D$2205,MATCH(U174,'Material routes'!$A$6:$A$2205,0)),"MISSING ID")</x:f>
        <x:v>author.metallurgy.steel_stock</x:v>
      </x:c>
      <x:c r="T174" s="4" t="str">
        <x:f>IFERROR(INDEX('Material routes'!$D$6:$D$2205,MATCH(V174,'Material routes'!$A$6:$A$2205,0)),"MISSING ID")</x:f>
        <x:v>proposal.t3.gear_blank</x:v>
      </x:c>
      <x:c r="U174" s="4" t="str">
        <x:v>design.t3.gear_blank.in.1</x:v>
      </x:c>
      <x:c r="V174" s="4" t="str">
        <x:v>design.t3.gear_blank.out</x:v>
      </x:c>
    </x:row>
    <x:row r="175" ht="115" customHeight="1">
      <x:c r="A175" s="4" t="str">
        <x:f>IFERROR(INDEX('Material routes'!$E$6:$E$2205,MATCH(U175,'Material routes'!$A$6:$A$2205,0)),"MISSING ID")</x:f>
        <x:v>Prepared manganese alloying stock</x:v>
      </x:c>
      <x:c r="B175" s="4" t="str">
        <x:f>IFERROR(INDEX('Material routes'!$F$6:$F$2205,MATCH(U175,'Material routes'!$A$6:$A$2205,0)),"MISSING ID")</x:f>
        <x:v>T2</x:v>
      </x:c>
      <x:c r="C175" s="4" t="str">
        <x:f>IFERROR(INDEX('Material routes'!$H$6:$H$2205,MATCH(U175,'Material routes'!$A$6:$A$2205,0)),"MISSING ID")</x:f>
        <x:v>Processed material</x:v>
      </x:c>
      <x:c r="D175" s="4" t="str">
        <x:f>IFERROR(INDEX('Material routes'!$G$6:$G$2205,MATCH(U175,'Material routes'!$A$6:$A$2205,0)),"MISSING ID")</x:f>
        <x:v>Manufactured stock</x:v>
      </x:c>
      <x:c r="E175" s="4" t="str">
        <x:f>IFERROR(INDEX('Material routes'!$C$6:$C$2205,MATCH(U175,'Material routes'!$A$6:$A$2205,0)),"MISSING ID")</x:f>
        <x:v>Ingredient candidate</x:v>
      </x:c>
      <x:c r="F175" s="4" t="str">
        <x:f>IFERROR(INDEX('Material routes'!$E$6:$E$2205,MATCH(V175,'Material routes'!$A$6:$A$2205,0)),"MISSING ID")</x:f>
        <x:v>Heat-treated steel gear blanks</x:v>
      </x:c>
      <x:c r="G175" s="4" t="str">
        <x:f>IFERROR(INDEX('Material routes'!$F$6:$F$2205,MATCH(V175,'Material routes'!$A$6:$A$2205,0)),"MISSING ID")</x:f>
        <x:v>T3</x:v>
      </x:c>
      <x:c r="H175" s="4" t="str">
        <x:f>IFERROR(INDEX('Material routes'!$H$6:$H$2205,MATCH(V175,'Material routes'!$A$6:$A$2205,0)),"MISSING ID")</x:f>
        <x:v>Crafting component</x:v>
      </x:c>
      <x:c r="I175" s="4" t="str">
        <x:f>IFERROR(INDEX('Material routes'!$G$6:$G$2205,MATCH(V175,'Material routes'!$A$6:$A$2205,0)),"MISSING ID")</x:f>
        <x:v>Crafting components</x:v>
      </x:c>
      <x:c r="J175" s="4" t="str">
        <x:f>IFERROR(INDEX('Material routes'!$B$6:$B$2205,MATCH(U175,'Material routes'!$A$6:$A$2205,0)),"MISSING ID")</x:f>
        <x:v>design.t3.gear_blank</x:v>
      </x:c>
      <x:c r="K175" s="4" t="str">
        <x:f>IFERROR(INDEX('Crafting recipes'!$C$6:$C$1005,MATCH(J175,'Crafting recipes'!$A$6:$A$1005,0)),"MISSING ID")</x:f>
        <x:v>Material refinement</x:v>
      </x:c>
      <x:c r="L175" s="4" t="str">
        <x:f>IFERROR(INDEX('Material routes'!$K$6:$K$2205,MATCH(U175,'Material routes'!$A$6:$A$2205,0)),"MISSING ID")</x:f>
        <x:v>Proposal</x:v>
      </x:c>
      <x:c r="M175" s="4" t="str">
        <x:f>IFERROR(INDEX('Material routes'!$M$6:$M$2205,MATCH(U175,'Material routes'!$A$6:$A$2205,0)),"MISSING ID")</x:f>
        <x:v>Partial proposal</x:v>
      </x:c>
      <x:c r="N175" s="4" t="str">
        <x:f>IF(IFERROR(INDEX('Material routes'!$I$6:$I$1005,MATCH(U175,'Material routes'!$A$6:$A$1005,0)),"MISSING ID")=0,"",IFERROR(INDEX('Material routes'!$I$6:$I$1005,MATCH(U175,'Material routes'!$A$6:$A$1005,0)),"MISSING ID"))</x:f>
      </x:c>
      <x:c r="O175" s="4" t="str">
        <x:f>IFERROR(INDEX('Material routes'!$J$6:$J$2205,MATCH(U175,'Material routes'!$A$6:$A$2205,0)),"MISSING ID")</x:f>
        <x:v>Unspecified</x:v>
      </x:c>
      <x:c r="P175" s="4" t="str">
        <x:f>IF(IFERROR(INDEX('Material routes'!$I$6:$I$1005,MATCH(V175,'Material routes'!$A$6:$A$1005,0)),"MISSING ID")=0,"",IFERROR(INDEX('Material routes'!$I$6:$I$1005,MATCH(V175,'Material routes'!$A$6:$A$1005,0)),"MISSING ID"))</x:f>
      </x:c>
      <x:c r="Q175" s="4" t="str">
        <x:f>IFERROR(INDEX('Material routes'!$J$6:$J$2205,MATCH(V175,'Material routes'!$A$6:$A$2205,0)),"MISSING ID")</x:f>
        <x:v>Unspecified</x:v>
      </x:c>
      <x:c r="R175" s="4" t="str">
        <x:f>IF(L175="Withheld","Withheld premise",IF(E175="Tool candidate","Reusable prerequisite",IF(K175="Raw entry preparation","Entry-resource preparation",IF(G175="Not applicable",IF(IFERROR(INDEX('Items'!$AI$6:$AI$1005,MATCH(T175,'Items'!$A$6:$A$1005,0)),"MISSING ID")="Finished item","Finished endpoint",IF(IFERROR(INDEX('Items'!$AI$6:$AI$1005,MATCH(T175,'Items'!$A$6:$A$1005,0)),"MISSING ID")="Currency","Currency / no refinement tier","Recovered output / tier not applicable")),IF(OR(IFERROR(INDEX('Crafting recipes'!$H$6:$H$1005,MATCH(J175,'Crafting recipes'!$A$6:$A$1005,0)),"MISSING ID")="Unassigned",G175="Unassigned"),"Tier unresolved",IF(IFERROR(VALUE(RIGHT(G175,1))-VALUE(RIGHT(IFERROR(INDEX('Crafting recipes'!$H$6:$H$1005,MATCH(J175,'Crafting recipes'!$A$6:$A$1005,0)),"MISSING ID"),1)),0)=1,IF(B175=IFERROR(INDEX('Crafting recipes'!$H$6:$H$1005,MATCH(J175,'Crafting recipes'!$A$6:$A$1005,0)),"MISSING ID"),"Advances one material tier","Lower-tier ingredient; route advances one tier"),"Needs tier review"))))))</x:f>
        <x:v>Advances one material tier</x:v>
      </x:c>
      <x:c r="S175" s="4" t="str">
        <x:f>IFERROR(INDEX('Material routes'!$D$6:$D$2205,MATCH(U175,'Material routes'!$A$6:$A$2205,0)),"MISSING ID")</x:f>
        <x:v>proposal.branch.alloy_addition</x:v>
      </x:c>
      <x:c r="T175" s="4" t="str">
        <x:f>IFERROR(INDEX('Material routes'!$D$6:$D$2205,MATCH(V175,'Material routes'!$A$6:$A$2205,0)),"MISSING ID")</x:f>
        <x:v>proposal.t3.gear_blank</x:v>
      </x:c>
      <x:c r="U175" s="4" t="str">
        <x:v>design.t3.gear_blank.in.2</x:v>
      </x:c>
      <x:c r="V175" s="4" t="str">
        <x:v>design.t3.gear_blank.out</x:v>
      </x:c>
    </x:row>
    <x:row r="176" ht="115" customHeight="1">
      <x:c r="A176" s="4" t="str">
        <x:f>IFERROR(INDEX('Material routes'!$E$6:$E$2205,MATCH(U176,'Material routes'!$A$6:$A$2205,0)),"MISSING ID")</x:f>
        <x:v>Prepared bronze bearing stock</x:v>
      </x:c>
      <x:c r="B176" s="4" t="str">
        <x:f>IFERROR(INDEX('Material routes'!$F$6:$F$2205,MATCH(U176,'Material routes'!$A$6:$A$2205,0)),"MISSING ID")</x:f>
        <x:v>T2</x:v>
      </x:c>
      <x:c r="C176" s="4" t="str">
        <x:f>IFERROR(INDEX('Material routes'!$H$6:$H$2205,MATCH(U176,'Material routes'!$A$6:$A$2205,0)),"MISSING ID")</x:f>
        <x:v>Processed material</x:v>
      </x:c>
      <x:c r="D176" s="4" t="str">
        <x:f>IFERROR(INDEX('Material routes'!$G$6:$G$2205,MATCH(U176,'Material routes'!$A$6:$A$2205,0)),"MISSING ID")</x:f>
        <x:v>Manufactured stock</x:v>
      </x:c>
      <x:c r="E176" s="4" t="str">
        <x:f>IFERROR(INDEX('Material routes'!$C$6:$C$2205,MATCH(U176,'Material routes'!$A$6:$A$2205,0)),"MISSING ID")</x:f>
        <x:v>Ingredient candidate</x:v>
      </x:c>
      <x:c r="F176" s="4" t="str">
        <x:f>IFERROR(INDEX('Material routes'!$E$6:$E$2205,MATCH(V176,'Material routes'!$A$6:$A$2205,0)),"MISSING ID")</x:f>
        <x:v>Lapped bronze bearing blanks</x:v>
      </x:c>
      <x:c r="G176" s="4" t="str">
        <x:f>IFERROR(INDEX('Material routes'!$F$6:$F$2205,MATCH(V176,'Material routes'!$A$6:$A$2205,0)),"MISSING ID")</x:f>
        <x:v>T3</x:v>
      </x:c>
      <x:c r="H176" s="4" t="str">
        <x:f>IFERROR(INDEX('Material routes'!$H$6:$H$2205,MATCH(V176,'Material routes'!$A$6:$A$2205,0)),"MISSING ID")</x:f>
        <x:v>Crafting component</x:v>
      </x:c>
      <x:c r="I176" s="4" t="str">
        <x:f>IFERROR(INDEX('Material routes'!$G$6:$G$2205,MATCH(V176,'Material routes'!$A$6:$A$2205,0)),"MISSING ID")</x:f>
        <x:v>Crafting components</x:v>
      </x:c>
      <x:c r="J176" s="4" t="str">
        <x:f>IFERROR(INDEX('Material routes'!$B$6:$B$2205,MATCH(U176,'Material routes'!$A$6:$A$2205,0)),"MISSING ID")</x:f>
        <x:v>design.t3.bearing_blank</x:v>
      </x:c>
      <x:c r="K176" s="4" t="str">
        <x:f>IFERROR(INDEX('Crafting recipes'!$C$6:$C$1005,MATCH(J176,'Crafting recipes'!$A$6:$A$1005,0)),"MISSING ID")</x:f>
        <x:v>Material refinement</x:v>
      </x:c>
      <x:c r="L176" s="4" t="str">
        <x:f>IFERROR(INDEX('Material routes'!$K$6:$K$2205,MATCH(U176,'Material routes'!$A$6:$A$2205,0)),"MISSING ID")</x:f>
        <x:v>Proposal</x:v>
      </x:c>
      <x:c r="M176" s="4" t="str">
        <x:f>IFERROR(INDEX('Material routes'!$M$6:$M$2205,MATCH(U176,'Material routes'!$A$6:$A$2205,0)),"MISSING ID")</x:f>
        <x:v>Partial proposal</x:v>
      </x:c>
      <x:c r="N176" s="4" t="str">
        <x:f>IF(IFERROR(INDEX('Material routes'!$I$6:$I$1005,MATCH(U176,'Material routes'!$A$6:$A$1005,0)),"MISSING ID")=0,"",IFERROR(INDEX('Material routes'!$I$6:$I$1005,MATCH(U176,'Material routes'!$A$6:$A$1005,0)),"MISSING ID"))</x:f>
      </x:c>
      <x:c r="O176" s="4" t="str">
        <x:f>IFERROR(INDEX('Material routes'!$J$6:$J$2205,MATCH(U176,'Material routes'!$A$6:$A$2205,0)),"MISSING ID")</x:f>
        <x:v>Unspecified</x:v>
      </x:c>
      <x:c r="P176" s="4" t="str">
        <x:f>IF(IFERROR(INDEX('Material routes'!$I$6:$I$1005,MATCH(V176,'Material routes'!$A$6:$A$1005,0)),"MISSING ID")=0,"",IFERROR(INDEX('Material routes'!$I$6:$I$1005,MATCH(V176,'Material routes'!$A$6:$A$1005,0)),"MISSING ID"))</x:f>
      </x:c>
      <x:c r="Q176" s="4" t="str">
        <x:f>IFERROR(INDEX('Material routes'!$J$6:$J$2205,MATCH(V176,'Material routes'!$A$6:$A$2205,0)),"MISSING ID")</x:f>
        <x:v>Unspecified</x:v>
      </x:c>
      <x:c r="R176" s="4" t="str">
        <x:f>IF(L176="Withheld","Withheld premise",IF(E176="Tool candidate","Reusable prerequisite",IF(K176="Raw entry preparation","Entry-resource preparation",IF(G176="Not applicable",IF(IFERROR(INDEX('Items'!$AI$6:$AI$1005,MATCH(T176,'Items'!$A$6:$A$1005,0)),"MISSING ID")="Finished item","Finished endpoint",IF(IFERROR(INDEX('Items'!$AI$6:$AI$1005,MATCH(T176,'Items'!$A$6:$A$1005,0)),"MISSING ID")="Currency","Currency / no refinement tier","Recovered output / tier not applicable")),IF(OR(IFERROR(INDEX('Crafting recipes'!$H$6:$H$1005,MATCH(J176,'Crafting recipes'!$A$6:$A$1005,0)),"MISSING ID")="Unassigned",G176="Unassigned"),"Tier unresolved",IF(IFERROR(VALUE(RIGHT(G176,1))-VALUE(RIGHT(IFERROR(INDEX('Crafting recipes'!$H$6:$H$1005,MATCH(J176,'Crafting recipes'!$A$6:$A$1005,0)),"MISSING ID"),1)),0)=1,IF(B176=IFERROR(INDEX('Crafting recipes'!$H$6:$H$1005,MATCH(J176,'Crafting recipes'!$A$6:$A$1005,0)),"MISSING ID"),"Advances one material tier","Lower-tier ingredient; route advances one tier"),"Needs tier review"))))))</x:f>
        <x:v>Advances one material tier</x:v>
      </x:c>
      <x:c r="S176" s="4" t="str">
        <x:f>IFERROR(INDEX('Material routes'!$D$6:$D$2205,MATCH(U176,'Material routes'!$A$6:$A$2205,0)),"MISSING ID")</x:f>
        <x:v>proposal.branch.bearing_bronze</x:v>
      </x:c>
      <x:c r="T176" s="4" t="str">
        <x:f>IFERROR(INDEX('Material routes'!$D$6:$D$2205,MATCH(V176,'Material routes'!$A$6:$A$2205,0)),"MISSING ID")</x:f>
        <x:v>proposal.t3.bearing_blank</x:v>
      </x:c>
      <x:c r="U176" s="4" t="str">
        <x:v>design.t3.bearing_blank.in.1</x:v>
      </x:c>
      <x:c r="V176" s="4" t="str">
        <x:v>design.t3.bearing_blank.out</x:v>
      </x:c>
    </x:row>
    <x:row r="177" ht="115" customHeight="1">
      <x:c r="A177" s="4" t="str">
        <x:f>IFERROR(INDEX('Material routes'!$E$6:$E$2205,MATCH(U177,'Material routes'!$A$6:$A$2205,0)),"MISSING ID")</x:f>
        <x:v>Graded abrasive grit</x:v>
      </x:c>
      <x:c r="B177" s="4" t="str">
        <x:f>IFERROR(INDEX('Material routes'!$F$6:$F$2205,MATCH(U177,'Material routes'!$A$6:$A$2205,0)),"MISSING ID")</x:f>
        <x:v>T1</x:v>
      </x:c>
      <x:c r="C177" s="4" t="str">
        <x:f>IFERROR(INDEX('Material routes'!$H$6:$H$2205,MATCH(U177,'Material routes'!$A$6:$A$2205,0)),"MISSING ID")</x:f>
        <x:v>Processed material</x:v>
      </x:c>
      <x:c r="D177" s="4" t="str">
        <x:f>IFERROR(INDEX('Material routes'!$G$6:$G$2205,MATCH(U177,'Material routes'!$A$6:$A$2205,0)),"MISSING ID")</x:f>
        <x:v>Manufactured stock</x:v>
      </x:c>
      <x:c r="E177" s="4" t="str">
        <x:f>IFERROR(INDEX('Material routes'!$C$6:$C$2205,MATCH(U177,'Material routes'!$A$6:$A$2205,0)),"MISSING ID")</x:f>
        <x:v>Ingredient candidate</x:v>
      </x:c>
      <x:c r="F177" s="4" t="str">
        <x:f>IFERROR(INDEX('Material routes'!$E$6:$E$2205,MATCH(V177,'Material routes'!$A$6:$A$2205,0)),"MISSING ID")</x:f>
        <x:v>Lapped bronze bearing blanks</x:v>
      </x:c>
      <x:c r="G177" s="4" t="str">
        <x:f>IFERROR(INDEX('Material routes'!$F$6:$F$2205,MATCH(V177,'Material routes'!$A$6:$A$2205,0)),"MISSING ID")</x:f>
        <x:v>T3</x:v>
      </x:c>
      <x:c r="H177" s="4" t="str">
        <x:f>IFERROR(INDEX('Material routes'!$H$6:$H$2205,MATCH(V177,'Material routes'!$A$6:$A$2205,0)),"MISSING ID")</x:f>
        <x:v>Crafting component</x:v>
      </x:c>
      <x:c r="I177" s="4" t="str">
        <x:f>IFERROR(INDEX('Material routes'!$G$6:$G$2205,MATCH(V177,'Material routes'!$A$6:$A$2205,0)),"MISSING ID")</x:f>
        <x:v>Crafting components</x:v>
      </x:c>
      <x:c r="J177" s="4" t="str">
        <x:f>IFERROR(INDEX('Material routes'!$B$6:$B$2205,MATCH(U177,'Material routes'!$A$6:$A$2205,0)),"MISSING ID")</x:f>
        <x:v>design.t3.bearing_blank</x:v>
      </x:c>
      <x:c r="K177" s="4" t="str">
        <x:f>IFERROR(INDEX('Crafting recipes'!$C$6:$C$1005,MATCH(J177,'Crafting recipes'!$A$6:$A$1005,0)),"MISSING ID")</x:f>
        <x:v>Material refinement</x:v>
      </x:c>
      <x:c r="L177" s="4" t="str">
        <x:f>IFERROR(INDEX('Material routes'!$K$6:$K$2205,MATCH(U177,'Material routes'!$A$6:$A$2205,0)),"MISSING ID")</x:f>
        <x:v>Proposal</x:v>
      </x:c>
      <x:c r="M177" s="4" t="str">
        <x:f>IFERROR(INDEX('Material routes'!$M$6:$M$2205,MATCH(U177,'Material routes'!$A$6:$A$2205,0)),"MISSING ID")</x:f>
        <x:v>Partial proposal</x:v>
      </x:c>
      <x:c r="N177" s="4" t="str">
        <x:f>IF(IFERROR(INDEX('Material routes'!$I$6:$I$1005,MATCH(U177,'Material routes'!$A$6:$A$1005,0)),"MISSING ID")=0,"",IFERROR(INDEX('Material routes'!$I$6:$I$1005,MATCH(U177,'Material routes'!$A$6:$A$1005,0)),"MISSING ID"))</x:f>
      </x:c>
      <x:c r="O177" s="4" t="str">
        <x:f>IFERROR(INDEX('Material routes'!$J$6:$J$2205,MATCH(U177,'Material routes'!$A$6:$A$2205,0)),"MISSING ID")</x:f>
        <x:v>Unspecified</x:v>
      </x:c>
      <x:c r="P177" s="4" t="str">
        <x:f>IF(IFERROR(INDEX('Material routes'!$I$6:$I$1005,MATCH(V177,'Material routes'!$A$6:$A$1005,0)),"MISSING ID")=0,"",IFERROR(INDEX('Material routes'!$I$6:$I$1005,MATCH(V177,'Material routes'!$A$6:$A$1005,0)),"MISSING ID"))</x:f>
      </x:c>
      <x:c r="Q177" s="4" t="str">
        <x:f>IFERROR(INDEX('Material routes'!$J$6:$J$2205,MATCH(V177,'Material routes'!$A$6:$A$2205,0)),"MISSING ID")</x:f>
        <x:v>Unspecified</x:v>
      </x:c>
      <x:c r="R177" s="4" t="str">
        <x:f>IF(L177="Withheld","Withheld premise",IF(E177="Tool candidate","Reusable prerequisite",IF(K177="Raw entry preparation","Entry-resource preparation",IF(G177="Not applicable",IF(IFERROR(INDEX('Items'!$AI$6:$AI$1005,MATCH(T177,'Items'!$A$6:$A$1005,0)),"MISSING ID")="Finished item","Finished endpoint",IF(IFERROR(INDEX('Items'!$AI$6:$AI$1005,MATCH(T177,'Items'!$A$6:$A$1005,0)),"MISSING ID")="Currency","Currency / no refinement tier","Recovered output / tier not applicable")),IF(OR(IFERROR(INDEX('Crafting recipes'!$H$6:$H$1005,MATCH(J177,'Crafting recipes'!$A$6:$A$1005,0)),"MISSING ID")="Unassigned",G177="Unassigned"),"Tier unresolved",IF(IFERROR(VALUE(RIGHT(G177,1))-VALUE(RIGHT(IFERROR(INDEX('Crafting recipes'!$H$6:$H$1005,MATCH(J177,'Crafting recipes'!$A$6:$A$1005,0)),"MISSING ID"),1)),0)=1,IF(B177=IFERROR(INDEX('Crafting recipes'!$H$6:$H$1005,MATCH(J177,'Crafting recipes'!$A$6:$A$1005,0)),"MISSING ID"),"Advances one material tier","Lower-tier ingredient; route advances one tier"),"Needs tier review"))))))</x:f>
        <x:v>Lower-tier ingredient; route advances one tier</x:v>
      </x:c>
      <x:c r="S177" s="4" t="str">
        <x:f>IFERROR(INDEX('Material routes'!$D$6:$D$2205,MATCH(U177,'Material routes'!$A$6:$A$2205,0)),"MISSING ID")</x:f>
        <x:v>proposal.natural.abrasive</x:v>
      </x:c>
      <x:c r="T177" s="4" t="str">
        <x:f>IFERROR(INDEX('Material routes'!$D$6:$D$2205,MATCH(V177,'Material routes'!$A$6:$A$2205,0)),"MISSING ID")</x:f>
        <x:v>proposal.t3.bearing_blank</x:v>
      </x:c>
      <x:c r="U177" s="4" t="str">
        <x:v>design.t3.bearing_blank.in.2</x:v>
      </x:c>
      <x:c r="V177" s="4" t="str">
        <x:v>design.t3.bearing_blank.out</x:v>
      </x:c>
    </x:row>
    <x:row r="178" ht="115" customHeight="1">
      <x:c r="A178" s="4" t="str">
        <x:f>IFERROR(INDEX('Material routes'!$E$6:$E$2205,MATCH(U178,'Material routes'!$A$6:$A$2205,0)),"MISSING ID")</x:f>
        <x:v>Steel stock</x:v>
      </x:c>
      <x:c r="B178" s="4" t="str">
        <x:f>IFERROR(INDEX('Material routes'!$F$6:$F$2205,MATCH(U178,'Material routes'!$A$6:$A$2205,0)),"MISSING ID")</x:f>
        <x:v>T2</x:v>
      </x:c>
      <x:c r="C178" s="4" t="str">
        <x:f>IFERROR(INDEX('Material routes'!$H$6:$H$2205,MATCH(U178,'Material routes'!$A$6:$A$2205,0)),"MISSING ID")</x:f>
        <x:v>Processed material</x:v>
      </x:c>
      <x:c r="D178" s="4" t="str">
        <x:f>IFERROR(INDEX('Material routes'!$G$6:$G$2205,MATCH(U178,'Material routes'!$A$6:$A$2205,0)),"MISSING ID")</x:f>
        <x:v>Manufactured stock</x:v>
      </x:c>
      <x:c r="E178" s="4" t="str">
        <x:f>IFERROR(INDEX('Material routes'!$C$6:$C$2205,MATCH(U178,'Material routes'!$A$6:$A$2205,0)),"MISSING ID")</x:f>
        <x:v>Ingredient candidate</x:v>
      </x:c>
      <x:c r="F178" s="4" t="str">
        <x:f>IFERROR(INDEX('Material routes'!$E$6:$E$2205,MATCH(V178,'Material routes'!$A$6:$A$2205,0)),"MISSING ID")</x:f>
        <x:v>Drawn steel tube stock</x:v>
      </x:c>
      <x:c r="G178" s="4" t="str">
        <x:f>IFERROR(INDEX('Material routes'!$F$6:$F$2205,MATCH(V178,'Material routes'!$A$6:$A$2205,0)),"MISSING ID")</x:f>
        <x:v>T3</x:v>
      </x:c>
      <x:c r="H178" s="4" t="str">
        <x:f>IFERROR(INDEX('Material routes'!$H$6:$H$2205,MATCH(V178,'Material routes'!$A$6:$A$2205,0)),"MISSING ID")</x:f>
        <x:v>Processed material</x:v>
      </x:c>
      <x:c r="I178" s="4" t="str">
        <x:f>IFERROR(INDEX('Material routes'!$G$6:$G$2205,MATCH(V178,'Material routes'!$A$6:$A$2205,0)),"MISSING ID")</x:f>
        <x:v>Manufactured stock</x:v>
      </x:c>
      <x:c r="J178" s="4" t="str">
        <x:f>IFERROR(INDEX('Material routes'!$B$6:$B$2205,MATCH(U178,'Material routes'!$A$6:$A$2205,0)),"MISSING ID")</x:f>
        <x:v>design.t3.precision_tube</x:v>
      </x:c>
      <x:c r="K178" s="4" t="str">
        <x:f>IFERROR(INDEX('Crafting recipes'!$C$6:$C$1005,MATCH(J178,'Crafting recipes'!$A$6:$A$1005,0)),"MISSING ID")</x:f>
        <x:v>Material refinement</x:v>
      </x:c>
      <x:c r="L178" s="4" t="str">
        <x:f>IFERROR(INDEX('Material routes'!$K$6:$K$2205,MATCH(U178,'Material routes'!$A$6:$A$2205,0)),"MISSING ID")</x:f>
        <x:v>Proposal</x:v>
      </x:c>
      <x:c r="M178" s="4" t="str">
        <x:f>IFERROR(INDEX('Material routes'!$M$6:$M$2205,MATCH(U178,'Material routes'!$A$6:$A$2205,0)),"MISSING ID")</x:f>
        <x:v>Partial proposal</x:v>
      </x:c>
      <x:c r="N178" s="4" t="str">
        <x:f>IF(IFERROR(INDEX('Material routes'!$I$6:$I$1005,MATCH(U178,'Material routes'!$A$6:$A$1005,0)),"MISSING ID")=0,"",IFERROR(INDEX('Material routes'!$I$6:$I$1005,MATCH(U178,'Material routes'!$A$6:$A$1005,0)),"MISSING ID"))</x:f>
      </x:c>
      <x:c r="O178" s="4" t="str">
        <x:f>IFERROR(INDEX('Material routes'!$J$6:$J$2205,MATCH(U178,'Material routes'!$A$6:$A$2205,0)),"MISSING ID")</x:f>
        <x:v>Unspecified</x:v>
      </x:c>
      <x:c r="P178" s="4" t="str">
        <x:f>IF(IFERROR(INDEX('Material routes'!$I$6:$I$1005,MATCH(V178,'Material routes'!$A$6:$A$1005,0)),"MISSING ID")=0,"",IFERROR(INDEX('Material routes'!$I$6:$I$1005,MATCH(V178,'Material routes'!$A$6:$A$1005,0)),"MISSING ID"))</x:f>
      </x:c>
      <x:c r="Q178" s="4" t="str">
        <x:f>IFERROR(INDEX('Material routes'!$J$6:$J$2205,MATCH(V178,'Material routes'!$A$6:$A$2205,0)),"MISSING ID")</x:f>
        <x:v>Unspecified</x:v>
      </x:c>
      <x:c r="R178" s="4" t="str">
        <x:f>IF(L178="Withheld","Withheld premise",IF(E178="Tool candidate","Reusable prerequisite",IF(K178="Raw entry preparation","Entry-resource preparation",IF(G178="Not applicable",IF(IFERROR(INDEX('Items'!$AI$6:$AI$1005,MATCH(T178,'Items'!$A$6:$A$1005,0)),"MISSING ID")="Finished item","Finished endpoint",IF(IFERROR(INDEX('Items'!$AI$6:$AI$1005,MATCH(T178,'Items'!$A$6:$A$1005,0)),"MISSING ID")="Currency","Currency / no refinement tier","Recovered output / tier not applicable")),IF(OR(IFERROR(INDEX('Crafting recipes'!$H$6:$H$1005,MATCH(J178,'Crafting recipes'!$A$6:$A$1005,0)),"MISSING ID")="Unassigned",G178="Unassigned"),"Tier unresolved",IF(IFERROR(VALUE(RIGHT(G178,1))-VALUE(RIGHT(IFERROR(INDEX('Crafting recipes'!$H$6:$H$1005,MATCH(J178,'Crafting recipes'!$A$6:$A$1005,0)),"MISSING ID"),1)),0)=1,IF(B178=IFERROR(INDEX('Crafting recipes'!$H$6:$H$1005,MATCH(J178,'Crafting recipes'!$A$6:$A$1005,0)),"MISSING ID"),"Advances one material tier","Lower-tier ingredient; route advances one tier"),"Needs tier review"))))))</x:f>
        <x:v>Advances one material tier</x:v>
      </x:c>
      <x:c r="S178" s="4" t="str">
        <x:f>IFERROR(INDEX('Material routes'!$D$6:$D$2205,MATCH(U178,'Material routes'!$A$6:$A$2205,0)),"MISSING ID")</x:f>
        <x:v>author.metallurgy.steel_stock</x:v>
      </x:c>
      <x:c r="T178" s="4" t="str">
        <x:f>IFERROR(INDEX('Material routes'!$D$6:$D$2205,MATCH(V178,'Material routes'!$A$6:$A$2205,0)),"MISSING ID")</x:f>
        <x:v>proposal.t3.precision_tube</x:v>
      </x:c>
      <x:c r="U178" s="4" t="str">
        <x:v>design.t3.precision_tube.in.1</x:v>
      </x:c>
      <x:c r="V178" s="4" t="str">
        <x:v>design.t3.precision_tube.out</x:v>
      </x:c>
    </x:row>
    <x:row r="179" ht="115" customHeight="1">
      <x:c r="A179" s="4" t="str">
        <x:f>IFERROR(INDEX('Material routes'!$E$6:$E$2205,MATCH(U179,'Material routes'!$A$6:$A$2205,0)),"MISSING ID")</x:f>
        <x:v>Fine mechanism oil</x:v>
      </x:c>
      <x:c r="B179" s="4" t="str">
        <x:f>IFERROR(INDEX('Material routes'!$F$6:$F$2205,MATCH(U179,'Material routes'!$A$6:$A$2205,0)),"MISSING ID")</x:f>
        <x:v>T2</x:v>
      </x:c>
      <x:c r="C179" s="4" t="str">
        <x:f>IFERROR(INDEX('Material routes'!$H$6:$H$2205,MATCH(U179,'Material routes'!$A$6:$A$2205,0)),"MISSING ID")</x:f>
        <x:v>Chemical material</x:v>
      </x:c>
      <x:c r="D179" s="4" t="str">
        <x:f>IFERROR(INDEX('Material routes'!$G$6:$G$2205,MATCH(U179,'Material routes'!$A$6:$A$2205,0)),"MISSING ID")</x:f>
        <x:v>Crafting components</x:v>
      </x:c>
      <x:c r="E179" s="4" t="str">
        <x:f>IFERROR(INDEX('Material routes'!$C$6:$C$2205,MATCH(U179,'Material routes'!$A$6:$A$2205,0)),"MISSING ID")</x:f>
        <x:v>Ingredient candidate</x:v>
      </x:c>
      <x:c r="F179" s="4" t="str">
        <x:f>IFERROR(INDEX('Material routes'!$E$6:$E$2205,MATCH(V179,'Material routes'!$A$6:$A$2205,0)),"MISSING ID")</x:f>
        <x:v>Drawn steel tube stock</x:v>
      </x:c>
      <x:c r="G179" s="4" t="str">
        <x:f>IFERROR(INDEX('Material routes'!$F$6:$F$2205,MATCH(V179,'Material routes'!$A$6:$A$2205,0)),"MISSING ID")</x:f>
        <x:v>T3</x:v>
      </x:c>
      <x:c r="H179" s="4" t="str">
        <x:f>IFERROR(INDEX('Material routes'!$H$6:$H$2205,MATCH(V179,'Material routes'!$A$6:$A$2205,0)),"MISSING ID")</x:f>
        <x:v>Processed material</x:v>
      </x:c>
      <x:c r="I179" s="4" t="str">
        <x:f>IFERROR(INDEX('Material routes'!$G$6:$G$2205,MATCH(V179,'Material routes'!$A$6:$A$2205,0)),"MISSING ID")</x:f>
        <x:v>Manufactured stock</x:v>
      </x:c>
      <x:c r="J179" s="4" t="str">
        <x:f>IFERROR(INDEX('Material routes'!$B$6:$B$2205,MATCH(U179,'Material routes'!$A$6:$A$2205,0)),"MISSING ID")</x:f>
        <x:v>design.t3.precision_tube</x:v>
      </x:c>
      <x:c r="K179" s="4" t="str">
        <x:f>IFERROR(INDEX('Crafting recipes'!$C$6:$C$1005,MATCH(J179,'Crafting recipes'!$A$6:$A$1005,0)),"MISSING ID")</x:f>
        <x:v>Material refinement</x:v>
      </x:c>
      <x:c r="L179" s="4" t="str">
        <x:f>IFERROR(INDEX('Material routes'!$K$6:$K$2205,MATCH(U179,'Material routes'!$A$6:$A$2205,0)),"MISSING ID")</x:f>
        <x:v>Proposal</x:v>
      </x:c>
      <x:c r="M179" s="4" t="str">
        <x:f>IFERROR(INDEX('Material routes'!$M$6:$M$2205,MATCH(U179,'Material routes'!$A$6:$A$2205,0)),"MISSING ID")</x:f>
        <x:v>Partial proposal</x:v>
      </x:c>
      <x:c r="N179" s="4" t="str">
        <x:f>IF(IFERROR(INDEX('Material routes'!$I$6:$I$1005,MATCH(U179,'Material routes'!$A$6:$A$1005,0)),"MISSING ID")=0,"",IFERROR(INDEX('Material routes'!$I$6:$I$1005,MATCH(U179,'Material routes'!$A$6:$A$1005,0)),"MISSING ID"))</x:f>
      </x:c>
      <x:c r="O179" s="4" t="str">
        <x:f>IFERROR(INDEX('Material routes'!$J$6:$J$2205,MATCH(U179,'Material routes'!$A$6:$A$2205,0)),"MISSING ID")</x:f>
        <x:v>Unspecified</x:v>
      </x:c>
      <x:c r="P179" s="4" t="str">
        <x:f>IF(IFERROR(INDEX('Material routes'!$I$6:$I$1005,MATCH(V179,'Material routes'!$A$6:$A$1005,0)),"MISSING ID")=0,"",IFERROR(INDEX('Material routes'!$I$6:$I$1005,MATCH(V179,'Material routes'!$A$6:$A$1005,0)),"MISSING ID"))</x:f>
      </x:c>
      <x:c r="Q179" s="4" t="str">
        <x:f>IFERROR(INDEX('Material routes'!$J$6:$J$2205,MATCH(V179,'Material routes'!$A$6:$A$2205,0)),"MISSING ID")</x:f>
        <x:v>Unspecified</x:v>
      </x:c>
      <x:c r="R179" s="4" t="str">
        <x:f>IF(L179="Withheld","Withheld premise",IF(E179="Tool candidate","Reusable prerequisite",IF(K179="Raw entry preparation","Entry-resource preparation",IF(G179="Not applicable",IF(IFERROR(INDEX('Items'!$AI$6:$AI$1005,MATCH(T179,'Items'!$A$6:$A$1005,0)),"MISSING ID")="Finished item","Finished endpoint",IF(IFERROR(INDEX('Items'!$AI$6:$AI$1005,MATCH(T179,'Items'!$A$6:$A$1005,0)),"MISSING ID")="Currency","Currency / no refinement tier","Recovered output / tier not applicable")),IF(OR(IFERROR(INDEX('Crafting recipes'!$H$6:$H$1005,MATCH(J179,'Crafting recipes'!$A$6:$A$1005,0)),"MISSING ID")="Unassigned",G179="Unassigned"),"Tier unresolved",IF(IFERROR(VALUE(RIGHT(G179,1))-VALUE(RIGHT(IFERROR(INDEX('Crafting recipes'!$H$6:$H$1005,MATCH(J179,'Crafting recipes'!$A$6:$A$1005,0)),"MISSING ID"),1)),0)=1,IF(B179=IFERROR(INDEX('Crafting recipes'!$H$6:$H$1005,MATCH(J179,'Crafting recipes'!$A$6:$A$1005,0)),"MISSING ID"),"Advances one material tier","Lower-tier ingredient; route advances one tier"),"Needs tier review"))))))</x:f>
        <x:v>Advances one material tier</x:v>
      </x:c>
      <x:c r="S179" s="4" t="str">
        <x:f>IFERROR(INDEX('Material routes'!$D$6:$D$2205,MATCH(U179,'Material routes'!$A$6:$A$2205,0)),"MISSING ID")</x:f>
        <x:v>proposal.lubricant.precision_oil</x:v>
      </x:c>
      <x:c r="T179" s="4" t="str">
        <x:f>IFERROR(INDEX('Material routes'!$D$6:$D$2205,MATCH(V179,'Material routes'!$A$6:$A$2205,0)),"MISSING ID")</x:f>
        <x:v>proposal.t3.precision_tube</x:v>
      </x:c>
      <x:c r="U179" s="4" t="str">
        <x:v>design.t3.precision_tube.in.2</x:v>
      </x:c>
      <x:c r="V179" s="4" t="str">
        <x:v>design.t3.precision_tube.out</x:v>
      </x:c>
    </x:row>
    <x:row r="180" ht="115" customHeight="1">
      <x:c r="A180" s="4" t="str">
        <x:f>IFERROR(INDEX('Material routes'!$E$6:$E$2205,MATCH(U180,'Material routes'!$A$6:$A$2205,0)),"MISSING ID")</x:f>
        <x:v>Drawn copper stock</x:v>
      </x:c>
      <x:c r="B180" s="4" t="str">
        <x:f>IFERROR(INDEX('Material routes'!$F$6:$F$2205,MATCH(U180,'Material routes'!$A$6:$A$2205,0)),"MISSING ID")</x:f>
        <x:v>T2</x:v>
      </x:c>
      <x:c r="C180" s="4" t="str">
        <x:f>IFERROR(INDEX('Material routes'!$H$6:$H$2205,MATCH(U180,'Material routes'!$A$6:$A$2205,0)),"MISSING ID")</x:f>
        <x:v>Processed material</x:v>
      </x:c>
      <x:c r="D180" s="4" t="str">
        <x:f>IFERROR(INDEX('Material routes'!$G$6:$G$2205,MATCH(U180,'Material routes'!$A$6:$A$2205,0)),"MISSING ID")</x:f>
        <x:v>Manufactured stock</x:v>
      </x:c>
      <x:c r="E180" s="4" t="str">
        <x:f>IFERROR(INDEX('Material routes'!$C$6:$C$2205,MATCH(U180,'Material routes'!$A$6:$A$2205,0)),"MISSING ID")</x:f>
        <x:v>Ingredient candidate</x:v>
      </x:c>
      <x:c r="F180" s="4" t="str">
        <x:f>IFERROR(INDEX('Material routes'!$E$6:$E$2205,MATCH(V180,'Material routes'!$A$6:$A$2205,0)),"MISSING ID")</x:f>
        <x:v>Braided copper grounding stock</x:v>
      </x:c>
      <x:c r="G180" s="4" t="str">
        <x:f>IFERROR(INDEX('Material routes'!$F$6:$F$2205,MATCH(V180,'Material routes'!$A$6:$A$2205,0)),"MISSING ID")</x:f>
        <x:v>T3</x:v>
      </x:c>
      <x:c r="H180" s="4" t="str">
        <x:f>IFERROR(INDEX('Material routes'!$H$6:$H$2205,MATCH(V180,'Material routes'!$A$6:$A$2205,0)),"MISSING ID")</x:f>
        <x:v>Processed material</x:v>
      </x:c>
      <x:c r="I180" s="4" t="str">
        <x:f>IFERROR(INDEX('Material routes'!$G$6:$G$2205,MATCH(V180,'Material routes'!$A$6:$A$2205,0)),"MISSING ID")</x:f>
        <x:v>Manufactured stock</x:v>
      </x:c>
      <x:c r="J180" s="4" t="str">
        <x:f>IFERROR(INDEX('Material routes'!$B$6:$B$2205,MATCH(U180,'Material routes'!$A$6:$A$2205,0)),"MISSING ID")</x:f>
        <x:v>design.t3.grounding_braid</x:v>
      </x:c>
      <x:c r="K180" s="4" t="str">
        <x:f>IFERROR(INDEX('Crafting recipes'!$C$6:$C$1005,MATCH(J180,'Crafting recipes'!$A$6:$A$1005,0)),"MISSING ID")</x:f>
        <x:v>Material refinement</x:v>
      </x:c>
      <x:c r="L180" s="4" t="str">
        <x:f>IFERROR(INDEX('Material routes'!$K$6:$K$2205,MATCH(U180,'Material routes'!$A$6:$A$2205,0)),"MISSING ID")</x:f>
        <x:v>Proposal</x:v>
      </x:c>
      <x:c r="M180" s="4" t="str">
        <x:f>IFERROR(INDEX('Material routes'!$M$6:$M$2205,MATCH(U180,'Material routes'!$A$6:$A$2205,0)),"MISSING ID")</x:f>
        <x:v>Partial proposal</x:v>
      </x:c>
      <x:c r="N180" s="4" t="str">
        <x:f>IF(IFERROR(INDEX('Material routes'!$I$6:$I$1005,MATCH(U180,'Material routes'!$A$6:$A$1005,0)),"MISSING ID")=0,"",IFERROR(INDEX('Material routes'!$I$6:$I$1005,MATCH(U180,'Material routes'!$A$6:$A$1005,0)),"MISSING ID"))</x:f>
      </x:c>
      <x:c r="O180" s="4" t="str">
        <x:f>IFERROR(INDEX('Material routes'!$J$6:$J$2205,MATCH(U180,'Material routes'!$A$6:$A$2205,0)),"MISSING ID")</x:f>
        <x:v>Unspecified</x:v>
      </x:c>
      <x:c r="P180" s="4" t="str">
        <x:f>IF(IFERROR(INDEX('Material routes'!$I$6:$I$1005,MATCH(V180,'Material routes'!$A$6:$A$1005,0)),"MISSING ID")=0,"",IFERROR(INDEX('Material routes'!$I$6:$I$1005,MATCH(V180,'Material routes'!$A$6:$A$1005,0)),"MISSING ID"))</x:f>
      </x:c>
      <x:c r="Q180" s="4" t="str">
        <x:f>IFERROR(INDEX('Material routes'!$J$6:$J$2205,MATCH(V180,'Material routes'!$A$6:$A$2205,0)),"MISSING ID")</x:f>
        <x:v>Unspecified</x:v>
      </x:c>
      <x:c r="R180" s="4" t="str">
        <x:f>IF(L180="Withheld","Withheld premise",IF(E180="Tool candidate","Reusable prerequisite",IF(K180="Raw entry preparation","Entry-resource preparation",IF(G180="Not applicable",IF(IFERROR(INDEX('Items'!$AI$6:$AI$1005,MATCH(T180,'Items'!$A$6:$A$1005,0)),"MISSING ID")="Finished item","Finished endpoint",IF(IFERROR(INDEX('Items'!$AI$6:$AI$1005,MATCH(T180,'Items'!$A$6:$A$1005,0)),"MISSING ID")="Currency","Currency / no refinement tier","Recovered output / tier not applicable")),IF(OR(IFERROR(INDEX('Crafting recipes'!$H$6:$H$1005,MATCH(J180,'Crafting recipes'!$A$6:$A$1005,0)),"MISSING ID")="Unassigned",G180="Unassigned"),"Tier unresolved",IF(IFERROR(VALUE(RIGHT(G180,1))-VALUE(RIGHT(IFERROR(INDEX('Crafting recipes'!$H$6:$H$1005,MATCH(J180,'Crafting recipes'!$A$6:$A$1005,0)),"MISSING ID"),1)),0)=1,IF(B180=IFERROR(INDEX('Crafting recipes'!$H$6:$H$1005,MATCH(J180,'Crafting recipes'!$A$6:$A$1005,0)),"MISSING ID"),"Advances one material tier","Lower-tier ingredient; route advances one tier"),"Needs tier review"))))))</x:f>
        <x:v>Advances one material tier</x:v>
      </x:c>
      <x:c r="S180" s="4" t="str">
        <x:f>IFERROR(INDEX('Material routes'!$D$6:$D$2205,MATCH(U180,'Material routes'!$A$6:$A$2205,0)),"MISSING ID")</x:f>
        <x:v>proposal.branch.drawn_copper</x:v>
      </x:c>
      <x:c r="T180" s="4" t="str">
        <x:f>IFERROR(INDEX('Material routes'!$D$6:$D$2205,MATCH(V180,'Material routes'!$A$6:$A$2205,0)),"MISSING ID")</x:f>
        <x:v>proposal.t3.grounding_braid</x:v>
      </x:c>
      <x:c r="U180" s="4" t="str">
        <x:v>design.t3.grounding_braid.in.1</x:v>
      </x:c>
      <x:c r="V180" s="4" t="str">
        <x:v>design.t3.grounding_braid.out</x:v>
      </x:c>
    </x:row>
    <x:row r="181" ht="115" customHeight="1">
      <x:c r="A181" s="4" t="str">
        <x:f>IFERROR(INDEX('Material routes'!$E$6:$E$2205,MATCH(U181,'Material routes'!$A$6:$A$2205,0)),"MISSING ID")</x:f>
        <x:v>Drawn copper stock</x:v>
      </x:c>
      <x:c r="B181" s="4" t="str">
        <x:f>IFERROR(INDEX('Material routes'!$F$6:$F$2205,MATCH(U181,'Material routes'!$A$6:$A$2205,0)),"MISSING ID")</x:f>
        <x:v>T2</x:v>
      </x:c>
      <x:c r="C181" s="4" t="str">
        <x:f>IFERROR(INDEX('Material routes'!$H$6:$H$2205,MATCH(U181,'Material routes'!$A$6:$A$2205,0)),"MISSING ID")</x:f>
        <x:v>Processed material</x:v>
      </x:c>
      <x:c r="D181" s="4" t="str">
        <x:f>IFERROR(INDEX('Material routes'!$G$6:$G$2205,MATCH(U181,'Material routes'!$A$6:$A$2205,0)),"MISSING ID")</x:f>
        <x:v>Manufactured stock</x:v>
      </x:c>
      <x:c r="E181" s="4" t="str">
        <x:f>IFERROR(INDEX('Material routes'!$C$6:$C$2205,MATCH(U181,'Material routes'!$A$6:$A$2205,0)),"MISSING ID")</x:f>
        <x:v>Ingredient candidate</x:v>
      </x:c>
      <x:c r="F181" s="4" t="str">
        <x:f>IFERROR(INDEX('Material routes'!$E$6:$E$2205,MATCH(V181,'Material routes'!$A$6:$A$2205,0)),"MISSING ID")</x:f>
        <x:v>Wound copper coil blanks</x:v>
      </x:c>
      <x:c r="G181" s="4" t="str">
        <x:f>IFERROR(INDEX('Material routes'!$F$6:$F$2205,MATCH(V181,'Material routes'!$A$6:$A$2205,0)),"MISSING ID")</x:f>
        <x:v>T3</x:v>
      </x:c>
      <x:c r="H181" s="4" t="str">
        <x:f>IFERROR(INDEX('Material routes'!$H$6:$H$2205,MATCH(V181,'Material routes'!$A$6:$A$2205,0)),"MISSING ID")</x:f>
        <x:v>Crafting component</x:v>
      </x:c>
      <x:c r="I181" s="4" t="str">
        <x:f>IFERROR(INDEX('Material routes'!$G$6:$G$2205,MATCH(V181,'Material routes'!$A$6:$A$2205,0)),"MISSING ID")</x:f>
        <x:v>Crafting components</x:v>
      </x:c>
      <x:c r="J181" s="4" t="str">
        <x:f>IFERROR(INDEX('Material routes'!$B$6:$B$2205,MATCH(U181,'Material routes'!$A$6:$A$2205,0)),"MISSING ID")</x:f>
        <x:v>design.t3.wound_coil</x:v>
      </x:c>
      <x:c r="K181" s="4" t="str">
        <x:f>IFERROR(INDEX('Crafting recipes'!$C$6:$C$1005,MATCH(J181,'Crafting recipes'!$A$6:$A$1005,0)),"MISSING ID")</x:f>
        <x:v>Material refinement</x:v>
      </x:c>
      <x:c r="L181" s="4" t="str">
        <x:f>IFERROR(INDEX('Material routes'!$K$6:$K$2205,MATCH(U181,'Material routes'!$A$6:$A$2205,0)),"MISSING ID")</x:f>
        <x:v>Proposal</x:v>
      </x:c>
      <x:c r="M181" s="4" t="str">
        <x:f>IFERROR(INDEX('Material routes'!$M$6:$M$2205,MATCH(U181,'Material routes'!$A$6:$A$2205,0)),"MISSING ID")</x:f>
        <x:v>Partial proposal</x:v>
      </x:c>
      <x:c r="N181" s="4" t="str">
        <x:f>IF(IFERROR(INDEX('Material routes'!$I$6:$I$1005,MATCH(U181,'Material routes'!$A$6:$A$1005,0)),"MISSING ID")=0,"",IFERROR(INDEX('Material routes'!$I$6:$I$1005,MATCH(U181,'Material routes'!$A$6:$A$1005,0)),"MISSING ID"))</x:f>
      </x:c>
      <x:c r="O181" s="4" t="str">
        <x:f>IFERROR(INDEX('Material routes'!$J$6:$J$2205,MATCH(U181,'Material routes'!$A$6:$A$2205,0)),"MISSING ID")</x:f>
        <x:v>Unspecified</x:v>
      </x:c>
      <x:c r="P181" s="4" t="str">
        <x:f>IF(IFERROR(INDEX('Material routes'!$I$6:$I$1005,MATCH(V181,'Material routes'!$A$6:$A$1005,0)),"MISSING ID")=0,"",IFERROR(INDEX('Material routes'!$I$6:$I$1005,MATCH(V181,'Material routes'!$A$6:$A$1005,0)),"MISSING ID"))</x:f>
      </x:c>
      <x:c r="Q181" s="4" t="str">
        <x:f>IFERROR(INDEX('Material routes'!$J$6:$J$2205,MATCH(V181,'Material routes'!$A$6:$A$2205,0)),"MISSING ID")</x:f>
        <x:v>Unspecified</x:v>
      </x:c>
      <x:c r="R181" s="4" t="str">
        <x:f>IF(L181="Withheld","Withheld premise",IF(E181="Tool candidate","Reusable prerequisite",IF(K181="Raw entry preparation","Entry-resource preparation",IF(G181="Not applicable",IF(IFERROR(INDEX('Items'!$AI$6:$AI$1005,MATCH(T181,'Items'!$A$6:$A$1005,0)),"MISSING ID")="Finished item","Finished endpoint",IF(IFERROR(INDEX('Items'!$AI$6:$AI$1005,MATCH(T181,'Items'!$A$6:$A$1005,0)),"MISSING ID")="Currency","Currency / no refinement tier","Recovered output / tier not applicable")),IF(OR(IFERROR(INDEX('Crafting recipes'!$H$6:$H$1005,MATCH(J181,'Crafting recipes'!$A$6:$A$1005,0)),"MISSING ID")="Unassigned",G181="Unassigned"),"Tier unresolved",IF(IFERROR(VALUE(RIGHT(G181,1))-VALUE(RIGHT(IFERROR(INDEX('Crafting recipes'!$H$6:$H$1005,MATCH(J181,'Crafting recipes'!$A$6:$A$1005,0)),"MISSING ID"),1)),0)=1,IF(B181=IFERROR(INDEX('Crafting recipes'!$H$6:$H$1005,MATCH(J181,'Crafting recipes'!$A$6:$A$1005,0)),"MISSING ID"),"Advances one material tier","Lower-tier ingredient; route advances one tier"),"Needs tier review"))))))</x:f>
        <x:v>Advances one material tier</x:v>
      </x:c>
      <x:c r="S181" s="4" t="str">
        <x:f>IFERROR(INDEX('Material routes'!$D$6:$D$2205,MATCH(U181,'Material routes'!$A$6:$A$2205,0)),"MISSING ID")</x:f>
        <x:v>proposal.branch.drawn_copper</x:v>
      </x:c>
      <x:c r="T181" s="4" t="str">
        <x:f>IFERROR(INDEX('Material routes'!$D$6:$D$2205,MATCH(V181,'Material routes'!$A$6:$A$2205,0)),"MISSING ID")</x:f>
        <x:v>proposal.t3.wound_coil</x:v>
      </x:c>
      <x:c r="U181" s="4" t="str">
        <x:v>design.t3.wound_coil.in.1</x:v>
      </x:c>
      <x:c r="V181" s="4" t="str">
        <x:v>design.t3.wound_coil.out</x:v>
      </x:c>
    </x:row>
    <x:row r="182" ht="115" customHeight="1">
      <x:c r="A182" s="4" t="str">
        <x:f>IFERROR(INDEX('Material routes'!$E$6:$E$2205,MATCH(U182,'Material routes'!$A$6:$A$2205,0)),"MISSING ID")</x:f>
        <x:v>Insulating ceramic blanks</x:v>
      </x:c>
      <x:c r="B182" s="4" t="str">
        <x:f>IFERROR(INDEX('Material routes'!$F$6:$F$2205,MATCH(U182,'Material routes'!$A$6:$A$2205,0)),"MISSING ID")</x:f>
        <x:v>T2</x:v>
      </x:c>
      <x:c r="C182" s="4" t="str">
        <x:f>IFERROR(INDEX('Material routes'!$H$6:$H$2205,MATCH(U182,'Material routes'!$A$6:$A$2205,0)),"MISSING ID")</x:f>
        <x:v>Processed material</x:v>
      </x:c>
      <x:c r="D182" s="4" t="str">
        <x:f>IFERROR(INDEX('Material routes'!$G$6:$G$2205,MATCH(U182,'Material routes'!$A$6:$A$2205,0)),"MISSING ID")</x:f>
        <x:v>Manufactured stock</x:v>
      </x:c>
      <x:c r="E182" s="4" t="str">
        <x:f>IFERROR(INDEX('Material routes'!$C$6:$C$2205,MATCH(U182,'Material routes'!$A$6:$A$2205,0)),"MISSING ID")</x:f>
        <x:v>Ingredient candidate</x:v>
      </x:c>
      <x:c r="F182" s="4" t="str">
        <x:f>IFERROR(INDEX('Material routes'!$E$6:$E$2205,MATCH(V182,'Material routes'!$A$6:$A$2205,0)),"MISSING ID")</x:f>
        <x:v>Wound copper coil blanks</x:v>
      </x:c>
      <x:c r="G182" s="4" t="str">
        <x:f>IFERROR(INDEX('Material routes'!$F$6:$F$2205,MATCH(V182,'Material routes'!$A$6:$A$2205,0)),"MISSING ID")</x:f>
        <x:v>T3</x:v>
      </x:c>
      <x:c r="H182" s="4" t="str">
        <x:f>IFERROR(INDEX('Material routes'!$H$6:$H$2205,MATCH(V182,'Material routes'!$A$6:$A$2205,0)),"MISSING ID")</x:f>
        <x:v>Crafting component</x:v>
      </x:c>
      <x:c r="I182" s="4" t="str">
        <x:f>IFERROR(INDEX('Material routes'!$G$6:$G$2205,MATCH(V182,'Material routes'!$A$6:$A$2205,0)),"MISSING ID")</x:f>
        <x:v>Crafting components</x:v>
      </x:c>
      <x:c r="J182" s="4" t="str">
        <x:f>IFERROR(INDEX('Material routes'!$B$6:$B$2205,MATCH(U182,'Material routes'!$A$6:$A$2205,0)),"MISSING ID")</x:f>
        <x:v>design.t3.wound_coil</x:v>
      </x:c>
      <x:c r="K182" s="4" t="str">
        <x:f>IFERROR(INDEX('Crafting recipes'!$C$6:$C$1005,MATCH(J182,'Crafting recipes'!$A$6:$A$1005,0)),"MISSING ID")</x:f>
        <x:v>Material refinement</x:v>
      </x:c>
      <x:c r="L182" s="4" t="str">
        <x:f>IFERROR(INDEX('Material routes'!$K$6:$K$2205,MATCH(U182,'Material routes'!$A$6:$A$2205,0)),"MISSING ID")</x:f>
        <x:v>Proposal</x:v>
      </x:c>
      <x:c r="M182" s="4" t="str">
        <x:f>IFERROR(INDEX('Material routes'!$M$6:$M$2205,MATCH(U182,'Material routes'!$A$6:$A$2205,0)),"MISSING ID")</x:f>
        <x:v>Partial proposal</x:v>
      </x:c>
      <x:c r="N182" s="4" t="str">
        <x:f>IF(IFERROR(INDEX('Material routes'!$I$6:$I$1005,MATCH(U182,'Material routes'!$A$6:$A$1005,0)),"MISSING ID")=0,"",IFERROR(INDEX('Material routes'!$I$6:$I$1005,MATCH(U182,'Material routes'!$A$6:$A$1005,0)),"MISSING ID"))</x:f>
      </x:c>
      <x:c r="O182" s="4" t="str">
        <x:f>IFERROR(INDEX('Material routes'!$J$6:$J$2205,MATCH(U182,'Material routes'!$A$6:$A$2205,0)),"MISSING ID")</x:f>
        <x:v>Unspecified</x:v>
      </x:c>
      <x:c r="P182" s="4" t="str">
        <x:f>IF(IFERROR(INDEX('Material routes'!$I$6:$I$1005,MATCH(V182,'Material routes'!$A$6:$A$1005,0)),"MISSING ID")=0,"",IFERROR(INDEX('Material routes'!$I$6:$I$1005,MATCH(V182,'Material routes'!$A$6:$A$1005,0)),"MISSING ID"))</x:f>
      </x:c>
      <x:c r="Q182" s="4" t="str">
        <x:f>IFERROR(INDEX('Material routes'!$J$6:$J$2205,MATCH(V182,'Material routes'!$A$6:$A$2205,0)),"MISSING ID")</x:f>
        <x:v>Unspecified</x:v>
      </x:c>
      <x:c r="R182" s="4" t="str">
        <x:f>IF(L182="Withheld","Withheld premise",IF(E182="Tool candidate","Reusable prerequisite",IF(K182="Raw entry preparation","Entry-resource preparation",IF(G182="Not applicable",IF(IFERROR(INDEX('Items'!$AI$6:$AI$1005,MATCH(T182,'Items'!$A$6:$A$1005,0)),"MISSING ID")="Finished item","Finished endpoint",IF(IFERROR(INDEX('Items'!$AI$6:$AI$1005,MATCH(T182,'Items'!$A$6:$A$1005,0)),"MISSING ID")="Currency","Currency / no refinement tier","Recovered output / tier not applicable")),IF(OR(IFERROR(INDEX('Crafting recipes'!$H$6:$H$1005,MATCH(J182,'Crafting recipes'!$A$6:$A$1005,0)),"MISSING ID")="Unassigned",G182="Unassigned"),"Tier unresolved",IF(IFERROR(VALUE(RIGHT(G182,1))-VALUE(RIGHT(IFERROR(INDEX('Crafting recipes'!$H$6:$H$1005,MATCH(J182,'Crafting recipes'!$A$6:$A$1005,0)),"MISSING ID"),1)),0)=1,IF(B182=IFERROR(INDEX('Crafting recipes'!$H$6:$H$1005,MATCH(J182,'Crafting recipes'!$A$6:$A$1005,0)),"MISSING ID"),"Advances one material tier","Lower-tier ingredient; route advances one tier"),"Needs tier review"))))))</x:f>
        <x:v>Advances one material tier</x:v>
      </x:c>
      <x:c r="S182" s="4" t="str">
        <x:f>IFERROR(INDEX('Material routes'!$D$6:$D$2205,MATCH(U182,'Material routes'!$A$6:$A$2205,0)),"MISSING ID")</x:f>
        <x:v>proposal.natural.ceramic</x:v>
      </x:c>
      <x:c r="T182" s="4" t="str">
        <x:f>IFERROR(INDEX('Material routes'!$D$6:$D$2205,MATCH(V182,'Material routes'!$A$6:$A$2205,0)),"MISSING ID")</x:f>
        <x:v>proposal.t3.wound_coil</x:v>
      </x:c>
      <x:c r="U182" s="4" t="str">
        <x:v>design.t3.wound_coil.in.2</x:v>
      </x:c>
      <x:c r="V182" s="4" t="str">
        <x:v>design.t3.wound_coil.out</x:v>
      </x:c>
    </x:row>
    <x:row r="183" ht="115" customHeight="1">
      <x:c r="A183" s="4" t="str">
        <x:f>IFERROR(INDEX('Material routes'!$E$6:$E$2205,MATCH(U183,'Material routes'!$A$6:$A$2205,0)),"MISSING ID")</x:f>
        <x:v>Drawn copper stock</x:v>
      </x:c>
      <x:c r="B183" s="4" t="str">
        <x:f>IFERROR(INDEX('Material routes'!$F$6:$F$2205,MATCH(U183,'Material routes'!$A$6:$A$2205,0)),"MISSING ID")</x:f>
        <x:v>T2</x:v>
      </x:c>
      <x:c r="C183" s="4" t="str">
        <x:f>IFERROR(INDEX('Material routes'!$H$6:$H$2205,MATCH(U183,'Material routes'!$A$6:$A$2205,0)),"MISSING ID")</x:f>
        <x:v>Processed material</x:v>
      </x:c>
      <x:c r="D183" s="4" t="str">
        <x:f>IFERROR(INDEX('Material routes'!$G$6:$G$2205,MATCH(U183,'Material routes'!$A$6:$A$2205,0)),"MISSING ID")</x:f>
        <x:v>Manufactured stock</x:v>
      </x:c>
      <x:c r="E183" s="4" t="str">
        <x:f>IFERROR(INDEX('Material routes'!$C$6:$C$2205,MATCH(U183,'Material routes'!$A$6:$A$2205,0)),"MISSING ID")</x:f>
        <x:v>Ingredient candidate</x:v>
      </x:c>
      <x:c r="F183" s="4" t="str">
        <x:f>IFERROR(INDEX('Material routes'!$E$6:$E$2205,MATCH(V183,'Material routes'!$A$6:$A$2205,0)),"MISSING ID")</x:f>
        <x:v>Woven copper mesh stock</x:v>
      </x:c>
      <x:c r="G183" s="4" t="str">
        <x:f>IFERROR(INDEX('Material routes'!$F$6:$F$2205,MATCH(V183,'Material routes'!$A$6:$A$2205,0)),"MISSING ID")</x:f>
        <x:v>T3</x:v>
      </x:c>
      <x:c r="H183" s="4" t="str">
        <x:f>IFERROR(INDEX('Material routes'!$H$6:$H$2205,MATCH(V183,'Material routes'!$A$6:$A$2205,0)),"MISSING ID")</x:f>
        <x:v>Processed material</x:v>
      </x:c>
      <x:c r="I183" s="4" t="str">
        <x:f>IFERROR(INDEX('Material routes'!$G$6:$G$2205,MATCH(V183,'Material routes'!$A$6:$A$2205,0)),"MISSING ID")</x:f>
        <x:v>Manufactured stock</x:v>
      </x:c>
      <x:c r="J183" s="4" t="str">
        <x:f>IFERROR(INDEX('Material routes'!$B$6:$B$2205,MATCH(U183,'Material routes'!$A$6:$A$2205,0)),"MISSING ID")</x:f>
        <x:v>design.t3.copper_mesh</x:v>
      </x:c>
      <x:c r="K183" s="4" t="str">
        <x:f>IFERROR(INDEX('Crafting recipes'!$C$6:$C$1005,MATCH(J183,'Crafting recipes'!$A$6:$A$1005,0)),"MISSING ID")</x:f>
        <x:v>Material refinement</x:v>
      </x:c>
      <x:c r="L183" s="4" t="str">
        <x:f>IFERROR(INDEX('Material routes'!$K$6:$K$2205,MATCH(U183,'Material routes'!$A$6:$A$2205,0)),"MISSING ID")</x:f>
        <x:v>Proposal</x:v>
      </x:c>
      <x:c r="M183" s="4" t="str">
        <x:f>IFERROR(INDEX('Material routes'!$M$6:$M$2205,MATCH(U183,'Material routes'!$A$6:$A$2205,0)),"MISSING ID")</x:f>
        <x:v>Partial proposal</x:v>
      </x:c>
      <x:c r="N183" s="4" t="str">
        <x:f>IF(IFERROR(INDEX('Material routes'!$I$6:$I$1005,MATCH(U183,'Material routes'!$A$6:$A$1005,0)),"MISSING ID")=0,"",IFERROR(INDEX('Material routes'!$I$6:$I$1005,MATCH(U183,'Material routes'!$A$6:$A$1005,0)),"MISSING ID"))</x:f>
      </x:c>
      <x:c r="O183" s="4" t="str">
        <x:f>IFERROR(INDEX('Material routes'!$J$6:$J$2205,MATCH(U183,'Material routes'!$A$6:$A$2205,0)),"MISSING ID")</x:f>
        <x:v>Unspecified</x:v>
      </x:c>
      <x:c r="P183" s="4" t="str">
        <x:f>IF(IFERROR(INDEX('Material routes'!$I$6:$I$1005,MATCH(V183,'Material routes'!$A$6:$A$1005,0)),"MISSING ID")=0,"",IFERROR(INDEX('Material routes'!$I$6:$I$1005,MATCH(V183,'Material routes'!$A$6:$A$1005,0)),"MISSING ID"))</x:f>
      </x:c>
      <x:c r="Q183" s="4" t="str">
        <x:f>IFERROR(INDEX('Material routes'!$J$6:$J$2205,MATCH(V183,'Material routes'!$A$6:$A$2205,0)),"MISSING ID")</x:f>
        <x:v>Unspecified</x:v>
      </x:c>
      <x:c r="R183" s="4" t="str">
        <x:f>IF(L183="Withheld","Withheld premise",IF(E183="Tool candidate","Reusable prerequisite",IF(K183="Raw entry preparation","Entry-resource preparation",IF(G183="Not applicable",IF(IFERROR(INDEX('Items'!$AI$6:$AI$1005,MATCH(T183,'Items'!$A$6:$A$1005,0)),"MISSING ID")="Finished item","Finished endpoint",IF(IFERROR(INDEX('Items'!$AI$6:$AI$1005,MATCH(T183,'Items'!$A$6:$A$1005,0)),"MISSING ID")="Currency","Currency / no refinement tier","Recovered output / tier not applicable")),IF(OR(IFERROR(INDEX('Crafting recipes'!$H$6:$H$1005,MATCH(J183,'Crafting recipes'!$A$6:$A$1005,0)),"MISSING ID")="Unassigned",G183="Unassigned"),"Tier unresolved",IF(IFERROR(VALUE(RIGHT(G183,1))-VALUE(RIGHT(IFERROR(INDEX('Crafting recipes'!$H$6:$H$1005,MATCH(J183,'Crafting recipes'!$A$6:$A$1005,0)),"MISSING ID"),1)),0)=1,IF(B183=IFERROR(INDEX('Crafting recipes'!$H$6:$H$1005,MATCH(J183,'Crafting recipes'!$A$6:$A$1005,0)),"MISSING ID"),"Advances one material tier","Lower-tier ingredient; route advances one tier"),"Needs tier review"))))))</x:f>
        <x:v>Advances one material tier</x:v>
      </x:c>
      <x:c r="S183" s="4" t="str">
        <x:f>IFERROR(INDEX('Material routes'!$D$6:$D$2205,MATCH(U183,'Material routes'!$A$6:$A$2205,0)),"MISSING ID")</x:f>
        <x:v>proposal.branch.drawn_copper</x:v>
      </x:c>
      <x:c r="T183" s="4" t="str">
        <x:f>IFERROR(INDEX('Material routes'!$D$6:$D$2205,MATCH(V183,'Material routes'!$A$6:$A$2205,0)),"MISSING ID")</x:f>
        <x:v>proposal.t3.copper_mesh</x:v>
      </x:c>
      <x:c r="U183" s="4" t="str">
        <x:v>design.t3.copper_mesh.in.1</x:v>
      </x:c>
      <x:c r="V183" s="4" t="str">
        <x:v>design.t3.copper_mesh.out</x:v>
      </x:c>
    </x:row>
    <x:row r="184" ht="115" customHeight="1">
      <x:c r="A184" s="4" t="str">
        <x:f>IFERROR(INDEX('Material routes'!$E$6:$E$2205,MATCH(U184,'Material routes'!$A$6:$A$2205,0)),"MISSING ID")</x:f>
        <x:v>Insulating ceramic blanks</x:v>
      </x:c>
      <x:c r="B184" s="4" t="str">
        <x:f>IFERROR(INDEX('Material routes'!$F$6:$F$2205,MATCH(U184,'Material routes'!$A$6:$A$2205,0)),"MISSING ID")</x:f>
        <x:v>T2</x:v>
      </x:c>
      <x:c r="C184" s="4" t="str">
        <x:f>IFERROR(INDEX('Material routes'!$H$6:$H$2205,MATCH(U184,'Material routes'!$A$6:$A$2205,0)),"MISSING ID")</x:f>
        <x:v>Processed material</x:v>
      </x:c>
      <x:c r="D184" s="4" t="str">
        <x:f>IFERROR(INDEX('Material routes'!$G$6:$G$2205,MATCH(U184,'Material routes'!$A$6:$A$2205,0)),"MISSING ID")</x:f>
        <x:v>Manufactured stock</x:v>
      </x:c>
      <x:c r="E184" s="4" t="str">
        <x:f>IFERROR(INDEX('Material routes'!$C$6:$C$2205,MATCH(U184,'Material routes'!$A$6:$A$2205,0)),"MISSING ID")</x:f>
        <x:v>Ingredient candidate</x:v>
      </x:c>
      <x:c r="F184" s="4" t="str">
        <x:f>IFERROR(INDEX('Material routes'!$E$6:$E$2205,MATCH(V184,'Material routes'!$A$6:$A$2205,0)),"MISSING ID")</x:f>
        <x:v>Fitted ceramic contact mounts</x:v>
      </x:c>
      <x:c r="G184" s="4" t="str">
        <x:f>IFERROR(INDEX('Material routes'!$F$6:$F$2205,MATCH(V184,'Material routes'!$A$6:$A$2205,0)),"MISSING ID")</x:f>
        <x:v>T3</x:v>
      </x:c>
      <x:c r="H184" s="4" t="str">
        <x:f>IFERROR(INDEX('Material routes'!$H$6:$H$2205,MATCH(V184,'Material routes'!$A$6:$A$2205,0)),"MISSING ID")</x:f>
        <x:v>Crafting component</x:v>
      </x:c>
      <x:c r="I184" s="4" t="str">
        <x:f>IFERROR(INDEX('Material routes'!$G$6:$G$2205,MATCH(V184,'Material routes'!$A$6:$A$2205,0)),"MISSING ID")</x:f>
        <x:v>Crafting components</x:v>
      </x:c>
      <x:c r="J184" s="4" t="str">
        <x:f>IFERROR(INDEX('Material routes'!$B$6:$B$2205,MATCH(U184,'Material routes'!$A$6:$A$2205,0)),"MISSING ID")</x:f>
        <x:v>design.t3.contact_mount</x:v>
      </x:c>
      <x:c r="K184" s="4" t="str">
        <x:f>IFERROR(INDEX('Crafting recipes'!$C$6:$C$1005,MATCH(J184,'Crafting recipes'!$A$6:$A$1005,0)),"MISSING ID")</x:f>
        <x:v>Material refinement</x:v>
      </x:c>
      <x:c r="L184" s="4" t="str">
        <x:f>IFERROR(INDEX('Material routes'!$K$6:$K$2205,MATCH(U184,'Material routes'!$A$6:$A$2205,0)),"MISSING ID")</x:f>
        <x:v>Proposal</x:v>
      </x:c>
      <x:c r="M184" s="4" t="str">
        <x:f>IFERROR(INDEX('Material routes'!$M$6:$M$2205,MATCH(U184,'Material routes'!$A$6:$A$2205,0)),"MISSING ID")</x:f>
        <x:v>Partial proposal</x:v>
      </x:c>
      <x:c r="N184" s="4" t="str">
        <x:f>IF(IFERROR(INDEX('Material routes'!$I$6:$I$1005,MATCH(U184,'Material routes'!$A$6:$A$1005,0)),"MISSING ID")=0,"",IFERROR(INDEX('Material routes'!$I$6:$I$1005,MATCH(U184,'Material routes'!$A$6:$A$1005,0)),"MISSING ID"))</x:f>
      </x:c>
      <x:c r="O184" s="4" t="str">
        <x:f>IFERROR(INDEX('Material routes'!$J$6:$J$2205,MATCH(U184,'Material routes'!$A$6:$A$2205,0)),"MISSING ID")</x:f>
        <x:v>Unspecified</x:v>
      </x:c>
      <x:c r="P184" s="4" t="str">
        <x:f>IF(IFERROR(INDEX('Material routes'!$I$6:$I$1005,MATCH(V184,'Material routes'!$A$6:$A$1005,0)),"MISSING ID")=0,"",IFERROR(INDEX('Material routes'!$I$6:$I$1005,MATCH(V184,'Material routes'!$A$6:$A$1005,0)),"MISSING ID"))</x:f>
      </x:c>
      <x:c r="Q184" s="4" t="str">
        <x:f>IFERROR(INDEX('Material routes'!$J$6:$J$2205,MATCH(V184,'Material routes'!$A$6:$A$2205,0)),"MISSING ID")</x:f>
        <x:v>Unspecified</x:v>
      </x:c>
      <x:c r="R184" s="4" t="str">
        <x:f>IF(L184="Withheld","Withheld premise",IF(E184="Tool candidate","Reusable prerequisite",IF(K184="Raw entry preparation","Entry-resource preparation",IF(G184="Not applicable",IF(IFERROR(INDEX('Items'!$AI$6:$AI$1005,MATCH(T184,'Items'!$A$6:$A$1005,0)),"MISSING ID")="Finished item","Finished endpoint",IF(IFERROR(INDEX('Items'!$AI$6:$AI$1005,MATCH(T184,'Items'!$A$6:$A$1005,0)),"MISSING ID")="Currency","Currency / no refinement tier","Recovered output / tier not applicable")),IF(OR(IFERROR(INDEX('Crafting recipes'!$H$6:$H$1005,MATCH(J184,'Crafting recipes'!$A$6:$A$1005,0)),"MISSING ID")="Unassigned",G184="Unassigned"),"Tier unresolved",IF(IFERROR(VALUE(RIGHT(G184,1))-VALUE(RIGHT(IFERROR(INDEX('Crafting recipes'!$H$6:$H$1005,MATCH(J184,'Crafting recipes'!$A$6:$A$1005,0)),"MISSING ID"),1)),0)=1,IF(B184=IFERROR(INDEX('Crafting recipes'!$H$6:$H$1005,MATCH(J184,'Crafting recipes'!$A$6:$A$1005,0)),"MISSING ID"),"Advances one material tier","Lower-tier ingredient; route advances one tier"),"Needs tier review"))))))</x:f>
        <x:v>Advances one material tier</x:v>
      </x:c>
      <x:c r="S184" s="4" t="str">
        <x:f>IFERROR(INDEX('Material routes'!$D$6:$D$2205,MATCH(U184,'Material routes'!$A$6:$A$2205,0)),"MISSING ID")</x:f>
        <x:v>proposal.natural.ceramic</x:v>
      </x:c>
      <x:c r="T184" s="4" t="str">
        <x:f>IFERROR(INDEX('Material routes'!$D$6:$D$2205,MATCH(V184,'Material routes'!$A$6:$A$2205,0)),"MISSING ID")</x:f>
        <x:v>proposal.t3.contact_mount</x:v>
      </x:c>
      <x:c r="U184" s="4" t="str">
        <x:v>design.t3.contact_mount.in.1</x:v>
      </x:c>
      <x:c r="V184" s="4" t="str">
        <x:v>design.t3.contact_mount.out</x:v>
      </x:c>
    </x:row>
    <x:row r="185" ht="115" customHeight="1">
      <x:c r="A185" s="4" t="str">
        <x:f>IFERROR(INDEX('Material routes'!$E$6:$E$2205,MATCH(U185,'Material routes'!$A$6:$A$2205,0)),"MISSING ID")</x:f>
        <x:v>Drawn copper stock</x:v>
      </x:c>
      <x:c r="B185" s="4" t="str">
        <x:f>IFERROR(INDEX('Material routes'!$F$6:$F$2205,MATCH(U185,'Material routes'!$A$6:$A$2205,0)),"MISSING ID")</x:f>
        <x:v>T2</x:v>
      </x:c>
      <x:c r="C185" s="4" t="str">
        <x:f>IFERROR(INDEX('Material routes'!$H$6:$H$2205,MATCH(U185,'Material routes'!$A$6:$A$2205,0)),"MISSING ID")</x:f>
        <x:v>Processed material</x:v>
      </x:c>
      <x:c r="D185" s="4" t="str">
        <x:f>IFERROR(INDEX('Material routes'!$G$6:$G$2205,MATCH(U185,'Material routes'!$A$6:$A$2205,0)),"MISSING ID")</x:f>
        <x:v>Manufactured stock</x:v>
      </x:c>
      <x:c r="E185" s="4" t="str">
        <x:f>IFERROR(INDEX('Material routes'!$C$6:$C$2205,MATCH(U185,'Material routes'!$A$6:$A$2205,0)),"MISSING ID")</x:f>
        <x:v>Ingredient candidate</x:v>
      </x:c>
      <x:c r="F185" s="4" t="str">
        <x:f>IFERROR(INDEX('Material routes'!$E$6:$E$2205,MATCH(V185,'Material routes'!$A$6:$A$2205,0)),"MISSING ID")</x:f>
        <x:v>Fitted ceramic contact mounts</x:v>
      </x:c>
      <x:c r="G185" s="4" t="str">
        <x:f>IFERROR(INDEX('Material routes'!$F$6:$F$2205,MATCH(V185,'Material routes'!$A$6:$A$2205,0)),"MISSING ID")</x:f>
        <x:v>T3</x:v>
      </x:c>
      <x:c r="H185" s="4" t="str">
        <x:f>IFERROR(INDEX('Material routes'!$H$6:$H$2205,MATCH(V185,'Material routes'!$A$6:$A$2205,0)),"MISSING ID")</x:f>
        <x:v>Crafting component</x:v>
      </x:c>
      <x:c r="I185" s="4" t="str">
        <x:f>IFERROR(INDEX('Material routes'!$G$6:$G$2205,MATCH(V185,'Material routes'!$A$6:$A$2205,0)),"MISSING ID")</x:f>
        <x:v>Crafting components</x:v>
      </x:c>
      <x:c r="J185" s="4" t="str">
        <x:f>IFERROR(INDEX('Material routes'!$B$6:$B$2205,MATCH(U185,'Material routes'!$A$6:$A$2205,0)),"MISSING ID")</x:f>
        <x:v>design.t3.contact_mount</x:v>
      </x:c>
      <x:c r="K185" s="4" t="str">
        <x:f>IFERROR(INDEX('Crafting recipes'!$C$6:$C$1005,MATCH(J185,'Crafting recipes'!$A$6:$A$1005,0)),"MISSING ID")</x:f>
        <x:v>Material refinement</x:v>
      </x:c>
      <x:c r="L185" s="4" t="str">
        <x:f>IFERROR(INDEX('Material routes'!$K$6:$K$2205,MATCH(U185,'Material routes'!$A$6:$A$2205,0)),"MISSING ID")</x:f>
        <x:v>Proposal</x:v>
      </x:c>
      <x:c r="M185" s="4" t="str">
        <x:f>IFERROR(INDEX('Material routes'!$M$6:$M$2205,MATCH(U185,'Material routes'!$A$6:$A$2205,0)),"MISSING ID")</x:f>
        <x:v>Partial proposal</x:v>
      </x:c>
      <x:c r="N185" s="4" t="str">
        <x:f>IF(IFERROR(INDEX('Material routes'!$I$6:$I$1005,MATCH(U185,'Material routes'!$A$6:$A$1005,0)),"MISSING ID")=0,"",IFERROR(INDEX('Material routes'!$I$6:$I$1005,MATCH(U185,'Material routes'!$A$6:$A$1005,0)),"MISSING ID"))</x:f>
      </x:c>
      <x:c r="O185" s="4" t="str">
        <x:f>IFERROR(INDEX('Material routes'!$J$6:$J$2205,MATCH(U185,'Material routes'!$A$6:$A$2205,0)),"MISSING ID")</x:f>
        <x:v>Unspecified</x:v>
      </x:c>
      <x:c r="P185" s="4" t="str">
        <x:f>IF(IFERROR(INDEX('Material routes'!$I$6:$I$1005,MATCH(V185,'Material routes'!$A$6:$A$1005,0)),"MISSING ID")=0,"",IFERROR(INDEX('Material routes'!$I$6:$I$1005,MATCH(V185,'Material routes'!$A$6:$A$1005,0)),"MISSING ID"))</x:f>
      </x:c>
      <x:c r="Q185" s="4" t="str">
        <x:f>IFERROR(INDEX('Material routes'!$J$6:$J$2205,MATCH(V185,'Material routes'!$A$6:$A$2205,0)),"MISSING ID")</x:f>
        <x:v>Unspecified</x:v>
      </x:c>
      <x:c r="R185" s="4" t="str">
        <x:f>IF(L185="Withheld","Withheld premise",IF(E185="Tool candidate","Reusable prerequisite",IF(K185="Raw entry preparation","Entry-resource preparation",IF(G185="Not applicable",IF(IFERROR(INDEX('Items'!$AI$6:$AI$1005,MATCH(T185,'Items'!$A$6:$A$1005,0)),"MISSING ID")="Finished item","Finished endpoint",IF(IFERROR(INDEX('Items'!$AI$6:$AI$1005,MATCH(T185,'Items'!$A$6:$A$1005,0)),"MISSING ID")="Currency","Currency / no refinement tier","Recovered output / tier not applicable")),IF(OR(IFERROR(INDEX('Crafting recipes'!$H$6:$H$1005,MATCH(J185,'Crafting recipes'!$A$6:$A$1005,0)),"MISSING ID")="Unassigned",G185="Unassigned"),"Tier unresolved",IF(IFERROR(VALUE(RIGHT(G185,1))-VALUE(RIGHT(IFERROR(INDEX('Crafting recipes'!$H$6:$H$1005,MATCH(J185,'Crafting recipes'!$A$6:$A$1005,0)),"MISSING ID"),1)),0)=1,IF(B185=IFERROR(INDEX('Crafting recipes'!$H$6:$H$1005,MATCH(J185,'Crafting recipes'!$A$6:$A$1005,0)),"MISSING ID"),"Advances one material tier","Lower-tier ingredient; route advances one tier"),"Needs tier review"))))))</x:f>
        <x:v>Advances one material tier</x:v>
      </x:c>
      <x:c r="S185" s="4" t="str">
        <x:f>IFERROR(INDEX('Material routes'!$D$6:$D$2205,MATCH(U185,'Material routes'!$A$6:$A$2205,0)),"MISSING ID")</x:f>
        <x:v>proposal.branch.drawn_copper</x:v>
      </x:c>
      <x:c r="T185" s="4" t="str">
        <x:f>IFERROR(INDEX('Material routes'!$D$6:$D$2205,MATCH(V185,'Material routes'!$A$6:$A$2205,0)),"MISSING ID")</x:f>
        <x:v>proposal.t3.contact_mount</x:v>
      </x:c>
      <x:c r="U185" s="4" t="str">
        <x:v>design.t3.contact_mount.in.2</x:v>
      </x:c>
      <x:c r="V185" s="4" t="str">
        <x:v>design.t3.contact_mount.out</x:v>
      </x:c>
    </x:row>
    <x:row r="186" ht="115" customHeight="1">
      <x:c r="A186" s="4" t="str">
        <x:f>IFERROR(INDEX('Material routes'!$E$6:$E$2205,MATCH(U186,'Material routes'!$A$6:$A$2205,0)),"MISSING ID")</x:f>
        <x:v>Insulating ceramic blanks</x:v>
      </x:c>
      <x:c r="B186" s="4" t="str">
        <x:f>IFERROR(INDEX('Material routes'!$F$6:$F$2205,MATCH(U186,'Material routes'!$A$6:$A$2205,0)),"MISSING ID")</x:f>
        <x:v>T2</x:v>
      </x:c>
      <x:c r="C186" s="4" t="str">
        <x:f>IFERROR(INDEX('Material routes'!$H$6:$H$2205,MATCH(U186,'Material routes'!$A$6:$A$2205,0)),"MISSING ID")</x:f>
        <x:v>Processed material</x:v>
      </x:c>
      <x:c r="D186" s="4" t="str">
        <x:f>IFERROR(INDEX('Material routes'!$G$6:$G$2205,MATCH(U186,'Material routes'!$A$6:$A$2205,0)),"MISSING ID")</x:f>
        <x:v>Manufactured stock</x:v>
      </x:c>
      <x:c r="E186" s="4" t="str">
        <x:f>IFERROR(INDEX('Material routes'!$C$6:$C$2205,MATCH(U186,'Material routes'!$A$6:$A$2205,0)),"MISSING ID")</x:f>
        <x:v>Ingredient candidate</x:v>
      </x:c>
      <x:c r="F186" s="4" t="str">
        <x:f>IFERROR(INDEX('Material routes'!$E$6:$E$2205,MATCH(V186,'Material routes'!$A$6:$A$2205,0)),"MISSING ID")</x:f>
        <x:v>Ceramic-metal feedthrough blanks</x:v>
      </x:c>
      <x:c r="G186" s="4" t="str">
        <x:f>IFERROR(INDEX('Material routes'!$F$6:$F$2205,MATCH(V186,'Material routes'!$A$6:$A$2205,0)),"MISSING ID")</x:f>
        <x:v>T3</x:v>
      </x:c>
      <x:c r="H186" s="4" t="str">
        <x:f>IFERROR(INDEX('Material routes'!$H$6:$H$2205,MATCH(V186,'Material routes'!$A$6:$A$2205,0)),"MISSING ID")</x:f>
        <x:v>Crafting component</x:v>
      </x:c>
      <x:c r="I186" s="4" t="str">
        <x:f>IFERROR(INDEX('Material routes'!$G$6:$G$2205,MATCH(V186,'Material routes'!$A$6:$A$2205,0)),"MISSING ID")</x:f>
        <x:v>Crafting components</x:v>
      </x:c>
      <x:c r="J186" s="4" t="str">
        <x:f>IFERROR(INDEX('Material routes'!$B$6:$B$2205,MATCH(U186,'Material routes'!$A$6:$A$2205,0)),"MISSING ID")</x:f>
        <x:v>design.t3.feedthrough_blank</x:v>
      </x:c>
      <x:c r="K186" s="4" t="str">
        <x:f>IFERROR(INDEX('Crafting recipes'!$C$6:$C$1005,MATCH(J186,'Crafting recipes'!$A$6:$A$1005,0)),"MISSING ID")</x:f>
        <x:v>Material refinement</x:v>
      </x:c>
      <x:c r="L186" s="4" t="str">
        <x:f>IFERROR(INDEX('Material routes'!$K$6:$K$2205,MATCH(U186,'Material routes'!$A$6:$A$2205,0)),"MISSING ID")</x:f>
        <x:v>Proposal</x:v>
      </x:c>
      <x:c r="M186" s="4" t="str">
        <x:f>IFERROR(INDEX('Material routes'!$M$6:$M$2205,MATCH(U186,'Material routes'!$A$6:$A$2205,0)),"MISSING ID")</x:f>
        <x:v>Partial proposal</x:v>
      </x:c>
      <x:c r="N186" s="4" t="str">
        <x:f>IF(IFERROR(INDEX('Material routes'!$I$6:$I$1005,MATCH(U186,'Material routes'!$A$6:$A$1005,0)),"MISSING ID")=0,"",IFERROR(INDEX('Material routes'!$I$6:$I$1005,MATCH(U186,'Material routes'!$A$6:$A$1005,0)),"MISSING ID"))</x:f>
      </x:c>
      <x:c r="O186" s="4" t="str">
        <x:f>IFERROR(INDEX('Material routes'!$J$6:$J$2205,MATCH(U186,'Material routes'!$A$6:$A$2205,0)),"MISSING ID")</x:f>
        <x:v>Unspecified</x:v>
      </x:c>
      <x:c r="P186" s="4" t="str">
        <x:f>IF(IFERROR(INDEX('Material routes'!$I$6:$I$1005,MATCH(V186,'Material routes'!$A$6:$A$1005,0)),"MISSING ID")=0,"",IFERROR(INDEX('Material routes'!$I$6:$I$1005,MATCH(V186,'Material routes'!$A$6:$A$1005,0)),"MISSING ID"))</x:f>
      </x:c>
      <x:c r="Q186" s="4" t="str">
        <x:f>IFERROR(INDEX('Material routes'!$J$6:$J$2205,MATCH(V186,'Material routes'!$A$6:$A$2205,0)),"MISSING ID")</x:f>
        <x:v>Unspecified</x:v>
      </x:c>
      <x:c r="R186" s="4" t="str">
        <x:f>IF(L186="Withheld","Withheld premise",IF(E186="Tool candidate","Reusable prerequisite",IF(K186="Raw entry preparation","Entry-resource preparation",IF(G186="Not applicable",IF(IFERROR(INDEX('Items'!$AI$6:$AI$1005,MATCH(T186,'Items'!$A$6:$A$1005,0)),"MISSING ID")="Finished item","Finished endpoint",IF(IFERROR(INDEX('Items'!$AI$6:$AI$1005,MATCH(T186,'Items'!$A$6:$A$1005,0)),"MISSING ID")="Currency","Currency / no refinement tier","Recovered output / tier not applicable")),IF(OR(IFERROR(INDEX('Crafting recipes'!$H$6:$H$1005,MATCH(J186,'Crafting recipes'!$A$6:$A$1005,0)),"MISSING ID")="Unassigned",G186="Unassigned"),"Tier unresolved",IF(IFERROR(VALUE(RIGHT(G186,1))-VALUE(RIGHT(IFERROR(INDEX('Crafting recipes'!$H$6:$H$1005,MATCH(J186,'Crafting recipes'!$A$6:$A$1005,0)),"MISSING ID"),1)),0)=1,IF(B186=IFERROR(INDEX('Crafting recipes'!$H$6:$H$1005,MATCH(J186,'Crafting recipes'!$A$6:$A$1005,0)),"MISSING ID"),"Advances one material tier","Lower-tier ingredient; route advances one tier"),"Needs tier review"))))))</x:f>
        <x:v>Advances one material tier</x:v>
      </x:c>
      <x:c r="S186" s="4" t="str">
        <x:f>IFERROR(INDEX('Material routes'!$D$6:$D$2205,MATCH(U186,'Material routes'!$A$6:$A$2205,0)),"MISSING ID")</x:f>
        <x:v>proposal.natural.ceramic</x:v>
      </x:c>
      <x:c r="T186" s="4" t="str">
        <x:f>IFERROR(INDEX('Material routes'!$D$6:$D$2205,MATCH(V186,'Material routes'!$A$6:$A$2205,0)),"MISSING ID")</x:f>
        <x:v>proposal.t3.feedthrough_blank</x:v>
      </x:c>
      <x:c r="U186" s="4" t="str">
        <x:v>design.t3.feedthrough_blank.in.1</x:v>
      </x:c>
      <x:c r="V186" s="4" t="str">
        <x:v>design.t3.feedthrough_blank.out</x:v>
      </x:c>
    </x:row>
    <x:row r="187" ht="115" customHeight="1">
      <x:c r="A187" s="4" t="str">
        <x:f>IFERROR(INDEX('Material routes'!$E$6:$E$2205,MATCH(U187,'Material routes'!$A$6:$A$2205,0)),"MISSING ID")</x:f>
        <x:v>Drawn copper stock</x:v>
      </x:c>
      <x:c r="B187" s="4" t="str">
        <x:f>IFERROR(INDEX('Material routes'!$F$6:$F$2205,MATCH(U187,'Material routes'!$A$6:$A$2205,0)),"MISSING ID")</x:f>
        <x:v>T2</x:v>
      </x:c>
      <x:c r="C187" s="4" t="str">
        <x:f>IFERROR(INDEX('Material routes'!$H$6:$H$2205,MATCH(U187,'Material routes'!$A$6:$A$2205,0)),"MISSING ID")</x:f>
        <x:v>Processed material</x:v>
      </x:c>
      <x:c r="D187" s="4" t="str">
        <x:f>IFERROR(INDEX('Material routes'!$G$6:$G$2205,MATCH(U187,'Material routes'!$A$6:$A$2205,0)),"MISSING ID")</x:f>
        <x:v>Manufactured stock</x:v>
      </x:c>
      <x:c r="E187" s="4" t="str">
        <x:f>IFERROR(INDEX('Material routes'!$C$6:$C$2205,MATCH(U187,'Material routes'!$A$6:$A$2205,0)),"MISSING ID")</x:f>
        <x:v>Ingredient candidate</x:v>
      </x:c>
      <x:c r="F187" s="4" t="str">
        <x:f>IFERROR(INDEX('Material routes'!$E$6:$E$2205,MATCH(V187,'Material routes'!$A$6:$A$2205,0)),"MISSING ID")</x:f>
        <x:v>Ceramic-metal feedthrough blanks</x:v>
      </x:c>
      <x:c r="G187" s="4" t="str">
        <x:f>IFERROR(INDEX('Material routes'!$F$6:$F$2205,MATCH(V187,'Material routes'!$A$6:$A$2205,0)),"MISSING ID")</x:f>
        <x:v>T3</x:v>
      </x:c>
      <x:c r="H187" s="4" t="str">
        <x:f>IFERROR(INDEX('Material routes'!$H$6:$H$2205,MATCH(V187,'Material routes'!$A$6:$A$2205,0)),"MISSING ID")</x:f>
        <x:v>Crafting component</x:v>
      </x:c>
      <x:c r="I187" s="4" t="str">
        <x:f>IFERROR(INDEX('Material routes'!$G$6:$G$2205,MATCH(V187,'Material routes'!$A$6:$A$2205,0)),"MISSING ID")</x:f>
        <x:v>Crafting components</x:v>
      </x:c>
      <x:c r="J187" s="4" t="str">
        <x:f>IFERROR(INDEX('Material routes'!$B$6:$B$2205,MATCH(U187,'Material routes'!$A$6:$A$2205,0)),"MISSING ID")</x:f>
        <x:v>design.t3.feedthrough_blank</x:v>
      </x:c>
      <x:c r="K187" s="4" t="str">
        <x:f>IFERROR(INDEX('Crafting recipes'!$C$6:$C$1005,MATCH(J187,'Crafting recipes'!$A$6:$A$1005,0)),"MISSING ID")</x:f>
        <x:v>Material refinement</x:v>
      </x:c>
      <x:c r="L187" s="4" t="str">
        <x:f>IFERROR(INDEX('Material routes'!$K$6:$K$2205,MATCH(U187,'Material routes'!$A$6:$A$2205,0)),"MISSING ID")</x:f>
        <x:v>Proposal</x:v>
      </x:c>
      <x:c r="M187" s="4" t="str">
        <x:f>IFERROR(INDEX('Material routes'!$M$6:$M$2205,MATCH(U187,'Material routes'!$A$6:$A$2205,0)),"MISSING ID")</x:f>
        <x:v>Partial proposal</x:v>
      </x:c>
      <x:c r="N187" s="4" t="str">
        <x:f>IF(IFERROR(INDEX('Material routes'!$I$6:$I$1005,MATCH(U187,'Material routes'!$A$6:$A$1005,0)),"MISSING ID")=0,"",IFERROR(INDEX('Material routes'!$I$6:$I$1005,MATCH(U187,'Material routes'!$A$6:$A$1005,0)),"MISSING ID"))</x:f>
      </x:c>
      <x:c r="O187" s="4" t="str">
        <x:f>IFERROR(INDEX('Material routes'!$J$6:$J$2205,MATCH(U187,'Material routes'!$A$6:$A$2205,0)),"MISSING ID")</x:f>
        <x:v>Unspecified</x:v>
      </x:c>
      <x:c r="P187" s="4" t="str">
        <x:f>IF(IFERROR(INDEX('Material routes'!$I$6:$I$1005,MATCH(V187,'Material routes'!$A$6:$A$1005,0)),"MISSING ID")=0,"",IFERROR(INDEX('Material routes'!$I$6:$I$1005,MATCH(V187,'Material routes'!$A$6:$A$1005,0)),"MISSING ID"))</x:f>
      </x:c>
      <x:c r="Q187" s="4" t="str">
        <x:f>IFERROR(INDEX('Material routes'!$J$6:$J$2205,MATCH(V187,'Material routes'!$A$6:$A$2205,0)),"MISSING ID")</x:f>
        <x:v>Unspecified</x:v>
      </x:c>
      <x:c r="R187" s="4" t="str">
        <x:f>IF(L187="Withheld","Withheld premise",IF(E187="Tool candidate","Reusable prerequisite",IF(K187="Raw entry preparation","Entry-resource preparation",IF(G187="Not applicable",IF(IFERROR(INDEX('Items'!$AI$6:$AI$1005,MATCH(T187,'Items'!$A$6:$A$1005,0)),"MISSING ID")="Finished item","Finished endpoint",IF(IFERROR(INDEX('Items'!$AI$6:$AI$1005,MATCH(T187,'Items'!$A$6:$A$1005,0)),"MISSING ID")="Currency","Currency / no refinement tier","Recovered output / tier not applicable")),IF(OR(IFERROR(INDEX('Crafting recipes'!$H$6:$H$1005,MATCH(J187,'Crafting recipes'!$A$6:$A$1005,0)),"MISSING ID")="Unassigned",G187="Unassigned"),"Tier unresolved",IF(IFERROR(VALUE(RIGHT(G187,1))-VALUE(RIGHT(IFERROR(INDEX('Crafting recipes'!$H$6:$H$1005,MATCH(J187,'Crafting recipes'!$A$6:$A$1005,0)),"MISSING ID"),1)),0)=1,IF(B187=IFERROR(INDEX('Crafting recipes'!$H$6:$H$1005,MATCH(J187,'Crafting recipes'!$A$6:$A$1005,0)),"MISSING ID"),"Advances one material tier","Lower-tier ingredient; route advances one tier"),"Needs tier review"))))))</x:f>
        <x:v>Advances one material tier</x:v>
      </x:c>
      <x:c r="S187" s="4" t="str">
        <x:f>IFERROR(INDEX('Material routes'!$D$6:$D$2205,MATCH(U187,'Material routes'!$A$6:$A$2205,0)),"MISSING ID")</x:f>
        <x:v>proposal.branch.drawn_copper</x:v>
      </x:c>
      <x:c r="T187" s="4" t="str">
        <x:f>IFERROR(INDEX('Material routes'!$D$6:$D$2205,MATCH(V187,'Material routes'!$A$6:$A$2205,0)),"MISSING ID")</x:f>
        <x:v>proposal.t3.feedthrough_blank</x:v>
      </x:c>
      <x:c r="U187" s="4" t="str">
        <x:v>design.t3.feedthrough_blank.in.2</x:v>
      </x:c>
      <x:c r="V187" s="4" t="str">
        <x:v>design.t3.feedthrough_blank.out</x:v>
      </x:c>
    </x:row>
    <x:row r="188" ht="115" customHeight="1">
      <x:c r="A188" s="4" t="str">
        <x:f>IFERROR(INDEX('Material routes'!$E$6:$E$2205,MATCH(U188,'Material routes'!$A$6:$A$2205,0)),"MISSING ID")</x:f>
        <x:v>Filled faunal seal compound</x:v>
      </x:c>
      <x:c r="B188" s="4" t="str">
        <x:f>IFERROR(INDEX('Material routes'!$F$6:$F$2205,MATCH(U188,'Material routes'!$A$6:$A$2205,0)),"MISSING ID")</x:f>
        <x:v>T2</x:v>
      </x:c>
      <x:c r="C188" s="4" t="str">
        <x:f>IFERROR(INDEX('Material routes'!$H$6:$H$2205,MATCH(U188,'Material routes'!$A$6:$A$2205,0)),"MISSING ID")</x:f>
        <x:v>Chemical material</x:v>
      </x:c>
      <x:c r="D188" s="4" t="str">
        <x:f>IFERROR(INDEX('Material routes'!$G$6:$G$2205,MATCH(U188,'Material routes'!$A$6:$A$2205,0)),"MISSING ID")</x:f>
        <x:v>Crafting components</x:v>
      </x:c>
      <x:c r="E188" s="4" t="str">
        <x:f>IFERROR(INDEX('Material routes'!$C$6:$C$2205,MATCH(U188,'Material routes'!$A$6:$A$2205,0)),"MISSING ID")</x:f>
        <x:v>Ingredient candidate</x:v>
      </x:c>
      <x:c r="F188" s="4" t="str">
        <x:f>IFERROR(INDEX('Material routes'!$E$6:$E$2205,MATCH(V188,'Material routes'!$A$6:$A$2205,0)),"MISSING ID")</x:f>
        <x:v>Ceramic-metal feedthrough blanks</x:v>
      </x:c>
      <x:c r="G188" s="4" t="str">
        <x:f>IFERROR(INDEX('Material routes'!$F$6:$F$2205,MATCH(V188,'Material routes'!$A$6:$A$2205,0)),"MISSING ID")</x:f>
        <x:v>T3</x:v>
      </x:c>
      <x:c r="H188" s="4" t="str">
        <x:f>IFERROR(INDEX('Material routes'!$H$6:$H$2205,MATCH(V188,'Material routes'!$A$6:$A$2205,0)),"MISSING ID")</x:f>
        <x:v>Crafting component</x:v>
      </x:c>
      <x:c r="I188" s="4" t="str">
        <x:f>IFERROR(INDEX('Material routes'!$G$6:$G$2205,MATCH(V188,'Material routes'!$A$6:$A$2205,0)),"MISSING ID")</x:f>
        <x:v>Crafting components</x:v>
      </x:c>
      <x:c r="J188" s="4" t="str">
        <x:f>IFERROR(INDEX('Material routes'!$B$6:$B$2205,MATCH(U188,'Material routes'!$A$6:$A$2205,0)),"MISSING ID")</x:f>
        <x:v>design.t3.feedthrough_blank</x:v>
      </x:c>
      <x:c r="K188" s="4" t="str">
        <x:f>IFERROR(INDEX('Crafting recipes'!$C$6:$C$1005,MATCH(J188,'Crafting recipes'!$A$6:$A$1005,0)),"MISSING ID")</x:f>
        <x:v>Material refinement</x:v>
      </x:c>
      <x:c r="L188" s="4" t="str">
        <x:f>IFERROR(INDEX('Material routes'!$K$6:$K$2205,MATCH(U188,'Material routes'!$A$6:$A$2205,0)),"MISSING ID")</x:f>
        <x:v>Proposal</x:v>
      </x:c>
      <x:c r="M188" s="4" t="str">
        <x:f>IFERROR(INDEX('Material routes'!$M$6:$M$2205,MATCH(U188,'Material routes'!$A$6:$A$2205,0)),"MISSING ID")</x:f>
        <x:v>Partial proposal</x:v>
      </x:c>
      <x:c r="N188" s="4" t="str">
        <x:f>IF(IFERROR(INDEX('Material routes'!$I$6:$I$1005,MATCH(U188,'Material routes'!$A$6:$A$1005,0)),"MISSING ID")=0,"",IFERROR(INDEX('Material routes'!$I$6:$I$1005,MATCH(U188,'Material routes'!$A$6:$A$1005,0)),"MISSING ID"))</x:f>
      </x:c>
      <x:c r="O188" s="4" t="str">
        <x:f>IFERROR(INDEX('Material routes'!$J$6:$J$2205,MATCH(U188,'Material routes'!$A$6:$A$2205,0)),"MISSING ID")</x:f>
        <x:v>Unspecified</x:v>
      </x:c>
      <x:c r="P188" s="4" t="str">
        <x:f>IF(IFERROR(INDEX('Material routes'!$I$6:$I$1005,MATCH(V188,'Material routes'!$A$6:$A$1005,0)),"MISSING ID")=0,"",IFERROR(INDEX('Material routes'!$I$6:$I$1005,MATCH(V188,'Material routes'!$A$6:$A$1005,0)),"MISSING ID"))</x:f>
      </x:c>
      <x:c r="Q188" s="4" t="str">
        <x:f>IFERROR(INDEX('Material routes'!$J$6:$J$2205,MATCH(V188,'Material routes'!$A$6:$A$2205,0)),"MISSING ID")</x:f>
        <x:v>Unspecified</x:v>
      </x:c>
      <x:c r="R188" s="4" t="str">
        <x:f>IF(L188="Withheld","Withheld premise",IF(E188="Tool candidate","Reusable prerequisite",IF(K188="Raw entry preparation","Entry-resource preparation",IF(G188="Not applicable",IF(IFERROR(INDEX('Items'!$AI$6:$AI$1005,MATCH(T188,'Items'!$A$6:$A$1005,0)),"MISSING ID")="Finished item","Finished endpoint",IF(IFERROR(INDEX('Items'!$AI$6:$AI$1005,MATCH(T188,'Items'!$A$6:$A$1005,0)),"MISSING ID")="Currency","Currency / no refinement tier","Recovered output / tier not applicable")),IF(OR(IFERROR(INDEX('Crafting recipes'!$H$6:$H$1005,MATCH(J188,'Crafting recipes'!$A$6:$A$1005,0)),"MISSING ID")="Unassigned",G188="Unassigned"),"Tier unresolved",IF(IFERROR(VALUE(RIGHT(G188,1))-VALUE(RIGHT(IFERROR(INDEX('Crafting recipes'!$H$6:$H$1005,MATCH(J188,'Crafting recipes'!$A$6:$A$1005,0)),"MISSING ID"),1)),0)=1,IF(B188=IFERROR(INDEX('Crafting recipes'!$H$6:$H$1005,MATCH(J188,'Crafting recipes'!$A$6:$A$1005,0)),"MISSING ID"),"Advances one material tier","Lower-tier ingredient; route advances one tier"),"Needs tier review"))))))</x:f>
        <x:v>Advances one material tier</x:v>
      </x:c>
      <x:c r="S188" s="4" t="str">
        <x:f>IFERROR(INDEX('Material routes'!$D$6:$D$2205,MATCH(U188,'Material routes'!$A$6:$A$2205,0)),"MISSING ID")</x:f>
        <x:v>proposal.branch.filled_seal</x:v>
      </x:c>
      <x:c r="T188" s="4" t="str">
        <x:f>IFERROR(INDEX('Material routes'!$D$6:$D$2205,MATCH(V188,'Material routes'!$A$6:$A$2205,0)),"MISSING ID")</x:f>
        <x:v>proposal.t3.feedthrough_blank</x:v>
      </x:c>
      <x:c r="U188" s="4" t="str">
        <x:v>design.t3.feedthrough_blank.in.3</x:v>
      </x:c>
      <x:c r="V188" s="4" t="str">
        <x:v>design.t3.feedthrough_blank.out</x:v>
      </x:c>
    </x:row>
    <x:row r="189" ht="115" customHeight="1">
      <x:c r="A189" s="4" t="str">
        <x:f>IFERROR(INDEX('Material routes'!$E$6:$E$2205,MATCH(U189,'Material routes'!$A$6:$A$2205,0)),"MISSING ID")</x:f>
        <x:v>Insulating ceramic blanks</x:v>
      </x:c>
      <x:c r="B189" s="4" t="str">
        <x:f>IFERROR(INDEX('Material routes'!$F$6:$F$2205,MATCH(U189,'Material routes'!$A$6:$A$2205,0)),"MISSING ID")</x:f>
        <x:v>T2</x:v>
      </x:c>
      <x:c r="C189" s="4" t="str">
        <x:f>IFERROR(INDEX('Material routes'!$H$6:$H$2205,MATCH(U189,'Material routes'!$A$6:$A$2205,0)),"MISSING ID")</x:f>
        <x:v>Processed material</x:v>
      </x:c>
      <x:c r="D189" s="4" t="str">
        <x:f>IFERROR(INDEX('Material routes'!$G$6:$G$2205,MATCH(U189,'Material routes'!$A$6:$A$2205,0)),"MISSING ID")</x:f>
        <x:v>Manufactured stock</x:v>
      </x:c>
      <x:c r="E189" s="4" t="str">
        <x:f>IFERROR(INDEX('Material routes'!$C$6:$C$2205,MATCH(U189,'Material routes'!$A$6:$A$2205,0)),"MISSING ID")</x:f>
        <x:v>Ingredient candidate</x:v>
      </x:c>
      <x:c r="F189" s="4" t="str">
        <x:f>IFERROR(INDEX('Material routes'!$E$6:$E$2205,MATCH(V189,'Material routes'!$A$6:$A$2205,0)),"MISSING ID")</x:f>
        <x:v>Matched ceramic spacer sets</x:v>
      </x:c>
      <x:c r="G189" s="4" t="str">
        <x:f>IFERROR(INDEX('Material routes'!$F$6:$F$2205,MATCH(V189,'Material routes'!$A$6:$A$2205,0)),"MISSING ID")</x:f>
        <x:v>T3</x:v>
      </x:c>
      <x:c r="H189" s="4" t="str">
        <x:f>IFERROR(INDEX('Material routes'!$H$6:$H$2205,MATCH(V189,'Material routes'!$A$6:$A$2205,0)),"MISSING ID")</x:f>
        <x:v>Crafting component</x:v>
      </x:c>
      <x:c r="I189" s="4" t="str">
        <x:f>IFERROR(INDEX('Material routes'!$G$6:$G$2205,MATCH(V189,'Material routes'!$A$6:$A$2205,0)),"MISSING ID")</x:f>
        <x:v>Crafting components</x:v>
      </x:c>
      <x:c r="J189" s="4" t="str">
        <x:f>IFERROR(INDEX('Material routes'!$B$6:$B$2205,MATCH(U189,'Material routes'!$A$6:$A$2205,0)),"MISSING ID")</x:f>
        <x:v>design.t3.spacer_set</x:v>
      </x:c>
      <x:c r="K189" s="4" t="str">
        <x:f>IFERROR(INDEX('Crafting recipes'!$C$6:$C$1005,MATCH(J189,'Crafting recipes'!$A$6:$A$1005,0)),"MISSING ID")</x:f>
        <x:v>Material refinement</x:v>
      </x:c>
      <x:c r="L189" s="4" t="str">
        <x:f>IFERROR(INDEX('Material routes'!$K$6:$K$2205,MATCH(U189,'Material routes'!$A$6:$A$2205,0)),"MISSING ID")</x:f>
        <x:v>Proposal</x:v>
      </x:c>
      <x:c r="M189" s="4" t="str">
        <x:f>IFERROR(INDEX('Material routes'!$M$6:$M$2205,MATCH(U189,'Material routes'!$A$6:$A$2205,0)),"MISSING ID")</x:f>
        <x:v>Partial proposal</x:v>
      </x:c>
      <x:c r="N189" s="4" t="str">
        <x:f>IF(IFERROR(INDEX('Material routes'!$I$6:$I$1005,MATCH(U189,'Material routes'!$A$6:$A$1005,0)),"MISSING ID")=0,"",IFERROR(INDEX('Material routes'!$I$6:$I$1005,MATCH(U189,'Material routes'!$A$6:$A$1005,0)),"MISSING ID"))</x:f>
      </x:c>
      <x:c r="O189" s="4" t="str">
        <x:f>IFERROR(INDEX('Material routes'!$J$6:$J$2205,MATCH(U189,'Material routes'!$A$6:$A$2205,0)),"MISSING ID")</x:f>
        <x:v>Unspecified</x:v>
      </x:c>
      <x:c r="P189" s="4" t="str">
        <x:f>IF(IFERROR(INDEX('Material routes'!$I$6:$I$1005,MATCH(V189,'Material routes'!$A$6:$A$1005,0)),"MISSING ID")=0,"",IFERROR(INDEX('Material routes'!$I$6:$I$1005,MATCH(V189,'Material routes'!$A$6:$A$1005,0)),"MISSING ID"))</x:f>
      </x:c>
      <x:c r="Q189" s="4" t="str">
        <x:f>IFERROR(INDEX('Material routes'!$J$6:$J$2205,MATCH(V189,'Material routes'!$A$6:$A$2205,0)),"MISSING ID")</x:f>
        <x:v>Unspecified</x:v>
      </x:c>
      <x:c r="R189" s="4" t="str">
        <x:f>IF(L189="Withheld","Withheld premise",IF(E189="Tool candidate","Reusable prerequisite",IF(K189="Raw entry preparation","Entry-resource preparation",IF(G189="Not applicable",IF(IFERROR(INDEX('Items'!$AI$6:$AI$1005,MATCH(T189,'Items'!$A$6:$A$1005,0)),"MISSING ID")="Finished item","Finished endpoint",IF(IFERROR(INDEX('Items'!$AI$6:$AI$1005,MATCH(T189,'Items'!$A$6:$A$1005,0)),"MISSING ID")="Currency","Currency / no refinement tier","Recovered output / tier not applicable")),IF(OR(IFERROR(INDEX('Crafting recipes'!$H$6:$H$1005,MATCH(J189,'Crafting recipes'!$A$6:$A$1005,0)),"MISSING ID")="Unassigned",G189="Unassigned"),"Tier unresolved",IF(IFERROR(VALUE(RIGHT(G189,1))-VALUE(RIGHT(IFERROR(INDEX('Crafting recipes'!$H$6:$H$1005,MATCH(J189,'Crafting recipes'!$A$6:$A$1005,0)),"MISSING ID"),1)),0)=1,IF(B189=IFERROR(INDEX('Crafting recipes'!$H$6:$H$1005,MATCH(J189,'Crafting recipes'!$A$6:$A$1005,0)),"MISSING ID"),"Advances one material tier","Lower-tier ingredient; route advances one tier"),"Needs tier review"))))))</x:f>
        <x:v>Advances one material tier</x:v>
      </x:c>
      <x:c r="S189" s="4" t="str">
        <x:f>IFERROR(INDEX('Material routes'!$D$6:$D$2205,MATCH(U189,'Material routes'!$A$6:$A$2205,0)),"MISSING ID")</x:f>
        <x:v>proposal.natural.ceramic</x:v>
      </x:c>
      <x:c r="T189" s="4" t="str">
        <x:f>IFERROR(INDEX('Material routes'!$D$6:$D$2205,MATCH(V189,'Material routes'!$A$6:$A$2205,0)),"MISSING ID")</x:f>
        <x:v>proposal.t3.spacer_set</x:v>
      </x:c>
      <x:c r="U189" s="4" t="str">
        <x:v>design.t3.spacer_set.in.1</x:v>
      </x:c>
      <x:c r="V189" s="4" t="str">
        <x:v>design.t3.spacer_set.out</x:v>
      </x:c>
    </x:row>
    <x:row r="190" ht="115" customHeight="1">
      <x:c r="A190" s="4" t="str">
        <x:f>IFERROR(INDEX('Material routes'!$E$6:$E$2205,MATCH(U190,'Material routes'!$A$6:$A$2205,0)),"MISSING ID")</x:f>
        <x:v>Graded abrasive grit</x:v>
      </x:c>
      <x:c r="B190" s="4" t="str">
        <x:f>IFERROR(INDEX('Material routes'!$F$6:$F$2205,MATCH(U190,'Material routes'!$A$6:$A$2205,0)),"MISSING ID")</x:f>
        <x:v>T1</x:v>
      </x:c>
      <x:c r="C190" s="4" t="str">
        <x:f>IFERROR(INDEX('Material routes'!$H$6:$H$2205,MATCH(U190,'Material routes'!$A$6:$A$2205,0)),"MISSING ID")</x:f>
        <x:v>Processed material</x:v>
      </x:c>
      <x:c r="D190" s="4" t="str">
        <x:f>IFERROR(INDEX('Material routes'!$G$6:$G$2205,MATCH(U190,'Material routes'!$A$6:$A$2205,0)),"MISSING ID")</x:f>
        <x:v>Manufactured stock</x:v>
      </x:c>
      <x:c r="E190" s="4" t="str">
        <x:f>IFERROR(INDEX('Material routes'!$C$6:$C$2205,MATCH(U190,'Material routes'!$A$6:$A$2205,0)),"MISSING ID")</x:f>
        <x:v>Ingredient candidate</x:v>
      </x:c>
      <x:c r="F190" s="4" t="str">
        <x:f>IFERROR(INDEX('Material routes'!$E$6:$E$2205,MATCH(V190,'Material routes'!$A$6:$A$2205,0)),"MISSING ID")</x:f>
        <x:v>Matched ceramic spacer sets</x:v>
      </x:c>
      <x:c r="G190" s="4" t="str">
        <x:f>IFERROR(INDEX('Material routes'!$F$6:$F$2205,MATCH(V190,'Material routes'!$A$6:$A$2205,0)),"MISSING ID")</x:f>
        <x:v>T3</x:v>
      </x:c>
      <x:c r="H190" s="4" t="str">
        <x:f>IFERROR(INDEX('Material routes'!$H$6:$H$2205,MATCH(V190,'Material routes'!$A$6:$A$2205,0)),"MISSING ID")</x:f>
        <x:v>Crafting component</x:v>
      </x:c>
      <x:c r="I190" s="4" t="str">
        <x:f>IFERROR(INDEX('Material routes'!$G$6:$G$2205,MATCH(V190,'Material routes'!$A$6:$A$2205,0)),"MISSING ID")</x:f>
        <x:v>Crafting components</x:v>
      </x:c>
      <x:c r="J190" s="4" t="str">
        <x:f>IFERROR(INDEX('Material routes'!$B$6:$B$2205,MATCH(U190,'Material routes'!$A$6:$A$2205,0)),"MISSING ID")</x:f>
        <x:v>design.t3.spacer_set</x:v>
      </x:c>
      <x:c r="K190" s="4" t="str">
        <x:f>IFERROR(INDEX('Crafting recipes'!$C$6:$C$1005,MATCH(J190,'Crafting recipes'!$A$6:$A$1005,0)),"MISSING ID")</x:f>
        <x:v>Material refinement</x:v>
      </x:c>
      <x:c r="L190" s="4" t="str">
        <x:f>IFERROR(INDEX('Material routes'!$K$6:$K$2205,MATCH(U190,'Material routes'!$A$6:$A$2205,0)),"MISSING ID")</x:f>
        <x:v>Proposal</x:v>
      </x:c>
      <x:c r="M190" s="4" t="str">
        <x:f>IFERROR(INDEX('Material routes'!$M$6:$M$2205,MATCH(U190,'Material routes'!$A$6:$A$2205,0)),"MISSING ID")</x:f>
        <x:v>Partial proposal</x:v>
      </x:c>
      <x:c r="N190" s="4" t="str">
        <x:f>IF(IFERROR(INDEX('Material routes'!$I$6:$I$1005,MATCH(U190,'Material routes'!$A$6:$A$1005,0)),"MISSING ID")=0,"",IFERROR(INDEX('Material routes'!$I$6:$I$1005,MATCH(U190,'Material routes'!$A$6:$A$1005,0)),"MISSING ID"))</x:f>
      </x:c>
      <x:c r="O190" s="4" t="str">
        <x:f>IFERROR(INDEX('Material routes'!$J$6:$J$2205,MATCH(U190,'Material routes'!$A$6:$A$2205,0)),"MISSING ID")</x:f>
        <x:v>Unspecified</x:v>
      </x:c>
      <x:c r="P190" s="4" t="str">
        <x:f>IF(IFERROR(INDEX('Material routes'!$I$6:$I$1005,MATCH(V190,'Material routes'!$A$6:$A$1005,0)),"MISSING ID")=0,"",IFERROR(INDEX('Material routes'!$I$6:$I$1005,MATCH(V190,'Material routes'!$A$6:$A$1005,0)),"MISSING ID"))</x:f>
      </x:c>
      <x:c r="Q190" s="4" t="str">
        <x:f>IFERROR(INDEX('Material routes'!$J$6:$J$2205,MATCH(V190,'Material routes'!$A$6:$A$2205,0)),"MISSING ID")</x:f>
        <x:v>Unspecified</x:v>
      </x:c>
      <x:c r="R190" s="4" t="str">
        <x:f>IF(L190="Withheld","Withheld premise",IF(E190="Tool candidate","Reusable prerequisite",IF(K190="Raw entry preparation","Entry-resource preparation",IF(G190="Not applicable",IF(IFERROR(INDEX('Items'!$AI$6:$AI$1005,MATCH(T190,'Items'!$A$6:$A$1005,0)),"MISSING ID")="Finished item","Finished endpoint",IF(IFERROR(INDEX('Items'!$AI$6:$AI$1005,MATCH(T190,'Items'!$A$6:$A$1005,0)),"MISSING ID")="Currency","Currency / no refinement tier","Recovered output / tier not applicable")),IF(OR(IFERROR(INDEX('Crafting recipes'!$H$6:$H$1005,MATCH(J190,'Crafting recipes'!$A$6:$A$1005,0)),"MISSING ID")="Unassigned",G190="Unassigned"),"Tier unresolved",IF(IFERROR(VALUE(RIGHT(G190,1))-VALUE(RIGHT(IFERROR(INDEX('Crafting recipes'!$H$6:$H$1005,MATCH(J190,'Crafting recipes'!$A$6:$A$1005,0)),"MISSING ID"),1)),0)=1,IF(B190=IFERROR(INDEX('Crafting recipes'!$H$6:$H$1005,MATCH(J190,'Crafting recipes'!$A$6:$A$1005,0)),"MISSING ID"),"Advances one material tier","Lower-tier ingredient; route advances one tier"),"Needs tier review"))))))</x:f>
        <x:v>Lower-tier ingredient; route advances one tier</x:v>
      </x:c>
      <x:c r="S190" s="4" t="str">
        <x:f>IFERROR(INDEX('Material routes'!$D$6:$D$2205,MATCH(U190,'Material routes'!$A$6:$A$2205,0)),"MISSING ID")</x:f>
        <x:v>proposal.natural.abrasive</x:v>
      </x:c>
      <x:c r="T190" s="4" t="str">
        <x:f>IFERROR(INDEX('Material routes'!$D$6:$D$2205,MATCH(V190,'Material routes'!$A$6:$A$2205,0)),"MISSING ID")</x:f>
        <x:v>proposal.t3.spacer_set</x:v>
      </x:c>
      <x:c r="U190" s="4" t="str">
        <x:v>design.t3.spacer_set.in.2</x:v>
      </x:c>
      <x:c r="V190" s="4" t="str">
        <x:v>design.t3.spacer_set.out</x:v>
      </x:c>
    </x:row>
    <x:row r="191" ht="115" customHeight="1">
      <x:c r="A191" s="4" t="str">
        <x:f>IFERROR(INDEX('Material routes'!$E$6:$E$2205,MATCH(U191,'Material routes'!$A$6:$A$2205,0)),"MISSING ID")</x:f>
        <x:v>Drawn copper stock</x:v>
      </x:c>
      <x:c r="B191" s="4" t="str">
        <x:f>IFERROR(INDEX('Material routes'!$F$6:$F$2205,MATCH(U191,'Material routes'!$A$6:$A$2205,0)),"MISSING ID")</x:f>
        <x:v>T2</x:v>
      </x:c>
      <x:c r="C191" s="4" t="str">
        <x:f>IFERROR(INDEX('Material routes'!$H$6:$H$2205,MATCH(U191,'Material routes'!$A$6:$A$2205,0)),"MISSING ID")</x:f>
        <x:v>Processed material</x:v>
      </x:c>
      <x:c r="D191" s="4" t="str">
        <x:f>IFERROR(INDEX('Material routes'!$G$6:$G$2205,MATCH(U191,'Material routes'!$A$6:$A$2205,0)),"MISSING ID")</x:f>
        <x:v>Manufactured stock</x:v>
      </x:c>
      <x:c r="E191" s="4" t="str">
        <x:f>IFERROR(INDEX('Material routes'!$C$6:$C$2205,MATCH(U191,'Material routes'!$A$6:$A$2205,0)),"MISSING ID")</x:f>
        <x:v>Ingredient candidate</x:v>
      </x:c>
      <x:c r="F191" s="4" t="str">
        <x:f>IFERROR(INDEX('Material routes'!$E$6:$E$2205,MATCH(V191,'Material routes'!$A$6:$A$2205,0)),"MISSING ID")</x:f>
        <x:v>Polished copper reflector blanks</x:v>
      </x:c>
      <x:c r="G191" s="4" t="str">
        <x:f>IFERROR(INDEX('Material routes'!$F$6:$F$2205,MATCH(V191,'Material routes'!$A$6:$A$2205,0)),"MISSING ID")</x:f>
        <x:v>T3</x:v>
      </x:c>
      <x:c r="H191" s="4" t="str">
        <x:f>IFERROR(INDEX('Material routes'!$H$6:$H$2205,MATCH(V191,'Material routes'!$A$6:$A$2205,0)),"MISSING ID")</x:f>
        <x:v>Processed material</x:v>
      </x:c>
      <x:c r="I191" s="4" t="str">
        <x:f>IFERROR(INDEX('Material routes'!$G$6:$G$2205,MATCH(V191,'Material routes'!$A$6:$A$2205,0)),"MISSING ID")</x:f>
        <x:v>Manufactured stock</x:v>
      </x:c>
      <x:c r="J191" s="4" t="str">
        <x:f>IFERROR(INDEX('Material routes'!$B$6:$B$2205,MATCH(U191,'Material routes'!$A$6:$A$2205,0)),"MISSING ID")</x:f>
        <x:v>design.t3.reflector_stock</x:v>
      </x:c>
      <x:c r="K191" s="4" t="str">
        <x:f>IFERROR(INDEX('Crafting recipes'!$C$6:$C$1005,MATCH(J191,'Crafting recipes'!$A$6:$A$1005,0)),"MISSING ID")</x:f>
        <x:v>Material refinement</x:v>
      </x:c>
      <x:c r="L191" s="4" t="str">
        <x:f>IFERROR(INDEX('Material routes'!$K$6:$K$2205,MATCH(U191,'Material routes'!$A$6:$A$2205,0)),"MISSING ID")</x:f>
        <x:v>Proposal</x:v>
      </x:c>
      <x:c r="M191" s="4" t="str">
        <x:f>IFERROR(INDEX('Material routes'!$M$6:$M$2205,MATCH(U191,'Material routes'!$A$6:$A$2205,0)),"MISSING ID")</x:f>
        <x:v>Partial proposal</x:v>
      </x:c>
      <x:c r="N191" s="4" t="str">
        <x:f>IF(IFERROR(INDEX('Material routes'!$I$6:$I$1005,MATCH(U191,'Material routes'!$A$6:$A$1005,0)),"MISSING ID")=0,"",IFERROR(INDEX('Material routes'!$I$6:$I$1005,MATCH(U191,'Material routes'!$A$6:$A$1005,0)),"MISSING ID"))</x:f>
      </x:c>
      <x:c r="O191" s="4" t="str">
        <x:f>IFERROR(INDEX('Material routes'!$J$6:$J$2205,MATCH(U191,'Material routes'!$A$6:$A$2205,0)),"MISSING ID")</x:f>
        <x:v>Unspecified</x:v>
      </x:c>
      <x:c r="P191" s="4" t="str">
        <x:f>IF(IFERROR(INDEX('Material routes'!$I$6:$I$1005,MATCH(V191,'Material routes'!$A$6:$A$1005,0)),"MISSING ID")=0,"",IFERROR(INDEX('Material routes'!$I$6:$I$1005,MATCH(V191,'Material routes'!$A$6:$A$1005,0)),"MISSING ID"))</x:f>
      </x:c>
      <x:c r="Q191" s="4" t="str">
        <x:f>IFERROR(INDEX('Material routes'!$J$6:$J$2205,MATCH(V191,'Material routes'!$A$6:$A$2205,0)),"MISSING ID")</x:f>
        <x:v>Unspecified</x:v>
      </x:c>
      <x:c r="R191" s="4" t="str">
        <x:f>IF(L191="Withheld","Withheld premise",IF(E191="Tool candidate","Reusable prerequisite",IF(K191="Raw entry preparation","Entry-resource preparation",IF(G191="Not applicable",IF(IFERROR(INDEX('Items'!$AI$6:$AI$1005,MATCH(T191,'Items'!$A$6:$A$1005,0)),"MISSING ID")="Finished item","Finished endpoint",IF(IFERROR(INDEX('Items'!$AI$6:$AI$1005,MATCH(T191,'Items'!$A$6:$A$1005,0)),"MISSING ID")="Currency","Currency / no refinement tier","Recovered output / tier not applicable")),IF(OR(IFERROR(INDEX('Crafting recipes'!$H$6:$H$1005,MATCH(J191,'Crafting recipes'!$A$6:$A$1005,0)),"MISSING ID")="Unassigned",G191="Unassigned"),"Tier unresolved",IF(IFERROR(VALUE(RIGHT(G191,1))-VALUE(RIGHT(IFERROR(INDEX('Crafting recipes'!$H$6:$H$1005,MATCH(J191,'Crafting recipes'!$A$6:$A$1005,0)),"MISSING ID"),1)),0)=1,IF(B191=IFERROR(INDEX('Crafting recipes'!$H$6:$H$1005,MATCH(J191,'Crafting recipes'!$A$6:$A$1005,0)),"MISSING ID"),"Advances one material tier","Lower-tier ingredient; route advances one tier"),"Needs tier review"))))))</x:f>
        <x:v>Advances one material tier</x:v>
      </x:c>
      <x:c r="S191" s="4" t="str">
        <x:f>IFERROR(INDEX('Material routes'!$D$6:$D$2205,MATCH(U191,'Material routes'!$A$6:$A$2205,0)),"MISSING ID")</x:f>
        <x:v>proposal.branch.drawn_copper</x:v>
      </x:c>
      <x:c r="T191" s="4" t="str">
        <x:f>IFERROR(INDEX('Material routes'!$D$6:$D$2205,MATCH(V191,'Material routes'!$A$6:$A$2205,0)),"MISSING ID")</x:f>
        <x:v>proposal.t3.reflector_stock</x:v>
      </x:c>
      <x:c r="U191" s="4" t="str">
        <x:v>design.t3.reflector_stock.in.1</x:v>
      </x:c>
      <x:c r="V191" s="4" t="str">
        <x:v>design.t3.reflector_stock.out</x:v>
      </x:c>
    </x:row>
    <x:row r="192" ht="115" customHeight="1">
      <x:c r="A192" s="4" t="str">
        <x:f>IFERROR(INDEX('Material routes'!$E$6:$E$2205,MATCH(U192,'Material routes'!$A$6:$A$2205,0)),"MISSING ID")</x:f>
        <x:v>Graded abrasive grit</x:v>
      </x:c>
      <x:c r="B192" s="4" t="str">
        <x:f>IFERROR(INDEX('Material routes'!$F$6:$F$2205,MATCH(U192,'Material routes'!$A$6:$A$2205,0)),"MISSING ID")</x:f>
        <x:v>T1</x:v>
      </x:c>
      <x:c r="C192" s="4" t="str">
        <x:f>IFERROR(INDEX('Material routes'!$H$6:$H$2205,MATCH(U192,'Material routes'!$A$6:$A$2205,0)),"MISSING ID")</x:f>
        <x:v>Processed material</x:v>
      </x:c>
      <x:c r="D192" s="4" t="str">
        <x:f>IFERROR(INDEX('Material routes'!$G$6:$G$2205,MATCH(U192,'Material routes'!$A$6:$A$2205,0)),"MISSING ID")</x:f>
        <x:v>Manufactured stock</x:v>
      </x:c>
      <x:c r="E192" s="4" t="str">
        <x:f>IFERROR(INDEX('Material routes'!$C$6:$C$2205,MATCH(U192,'Material routes'!$A$6:$A$2205,0)),"MISSING ID")</x:f>
        <x:v>Ingredient candidate</x:v>
      </x:c>
      <x:c r="F192" s="4" t="str">
        <x:f>IFERROR(INDEX('Material routes'!$E$6:$E$2205,MATCH(V192,'Material routes'!$A$6:$A$2205,0)),"MISSING ID")</x:f>
        <x:v>Polished copper reflector blanks</x:v>
      </x:c>
      <x:c r="G192" s="4" t="str">
        <x:f>IFERROR(INDEX('Material routes'!$F$6:$F$2205,MATCH(V192,'Material routes'!$A$6:$A$2205,0)),"MISSING ID")</x:f>
        <x:v>T3</x:v>
      </x:c>
      <x:c r="H192" s="4" t="str">
        <x:f>IFERROR(INDEX('Material routes'!$H$6:$H$2205,MATCH(V192,'Material routes'!$A$6:$A$2205,0)),"MISSING ID")</x:f>
        <x:v>Processed material</x:v>
      </x:c>
      <x:c r="I192" s="4" t="str">
        <x:f>IFERROR(INDEX('Material routes'!$G$6:$G$2205,MATCH(V192,'Material routes'!$A$6:$A$2205,0)),"MISSING ID")</x:f>
        <x:v>Manufactured stock</x:v>
      </x:c>
      <x:c r="J192" s="4" t="str">
        <x:f>IFERROR(INDEX('Material routes'!$B$6:$B$2205,MATCH(U192,'Material routes'!$A$6:$A$2205,0)),"MISSING ID")</x:f>
        <x:v>design.t3.reflector_stock</x:v>
      </x:c>
      <x:c r="K192" s="4" t="str">
        <x:f>IFERROR(INDEX('Crafting recipes'!$C$6:$C$1005,MATCH(J192,'Crafting recipes'!$A$6:$A$1005,0)),"MISSING ID")</x:f>
        <x:v>Material refinement</x:v>
      </x:c>
      <x:c r="L192" s="4" t="str">
        <x:f>IFERROR(INDEX('Material routes'!$K$6:$K$2205,MATCH(U192,'Material routes'!$A$6:$A$2205,0)),"MISSING ID")</x:f>
        <x:v>Proposal</x:v>
      </x:c>
      <x:c r="M192" s="4" t="str">
        <x:f>IFERROR(INDEX('Material routes'!$M$6:$M$2205,MATCH(U192,'Material routes'!$A$6:$A$2205,0)),"MISSING ID")</x:f>
        <x:v>Partial proposal</x:v>
      </x:c>
      <x:c r="N192" s="4" t="str">
        <x:f>IF(IFERROR(INDEX('Material routes'!$I$6:$I$1005,MATCH(U192,'Material routes'!$A$6:$A$1005,0)),"MISSING ID")=0,"",IFERROR(INDEX('Material routes'!$I$6:$I$1005,MATCH(U192,'Material routes'!$A$6:$A$1005,0)),"MISSING ID"))</x:f>
      </x:c>
      <x:c r="O192" s="4" t="str">
        <x:f>IFERROR(INDEX('Material routes'!$J$6:$J$2205,MATCH(U192,'Material routes'!$A$6:$A$2205,0)),"MISSING ID")</x:f>
        <x:v>Unspecified</x:v>
      </x:c>
      <x:c r="P192" s="4" t="str">
        <x:f>IF(IFERROR(INDEX('Material routes'!$I$6:$I$1005,MATCH(V192,'Material routes'!$A$6:$A$1005,0)),"MISSING ID")=0,"",IFERROR(INDEX('Material routes'!$I$6:$I$1005,MATCH(V192,'Material routes'!$A$6:$A$1005,0)),"MISSING ID"))</x:f>
      </x:c>
      <x:c r="Q192" s="4" t="str">
        <x:f>IFERROR(INDEX('Material routes'!$J$6:$J$2205,MATCH(V192,'Material routes'!$A$6:$A$2205,0)),"MISSING ID")</x:f>
        <x:v>Unspecified</x:v>
      </x:c>
      <x:c r="R192" s="4" t="str">
        <x:f>IF(L192="Withheld","Withheld premise",IF(E192="Tool candidate","Reusable prerequisite",IF(K192="Raw entry preparation","Entry-resource preparation",IF(G192="Not applicable",IF(IFERROR(INDEX('Items'!$AI$6:$AI$1005,MATCH(T192,'Items'!$A$6:$A$1005,0)),"MISSING ID")="Finished item","Finished endpoint",IF(IFERROR(INDEX('Items'!$AI$6:$AI$1005,MATCH(T192,'Items'!$A$6:$A$1005,0)),"MISSING ID")="Currency","Currency / no refinement tier","Recovered output / tier not applicable")),IF(OR(IFERROR(INDEX('Crafting recipes'!$H$6:$H$1005,MATCH(J192,'Crafting recipes'!$A$6:$A$1005,0)),"MISSING ID")="Unassigned",G192="Unassigned"),"Tier unresolved",IF(IFERROR(VALUE(RIGHT(G192,1))-VALUE(RIGHT(IFERROR(INDEX('Crafting recipes'!$H$6:$H$1005,MATCH(J192,'Crafting recipes'!$A$6:$A$1005,0)),"MISSING ID"),1)),0)=1,IF(B192=IFERROR(INDEX('Crafting recipes'!$H$6:$H$1005,MATCH(J192,'Crafting recipes'!$A$6:$A$1005,0)),"MISSING ID"),"Advances one material tier","Lower-tier ingredient; route advances one tier"),"Needs tier review"))))))</x:f>
        <x:v>Lower-tier ingredient; route advances one tier</x:v>
      </x:c>
      <x:c r="S192" s="4" t="str">
        <x:f>IFERROR(INDEX('Material routes'!$D$6:$D$2205,MATCH(U192,'Material routes'!$A$6:$A$2205,0)),"MISSING ID")</x:f>
        <x:v>proposal.natural.abrasive</x:v>
      </x:c>
      <x:c r="T192" s="4" t="str">
        <x:f>IFERROR(INDEX('Material routes'!$D$6:$D$2205,MATCH(V192,'Material routes'!$A$6:$A$2205,0)),"MISSING ID")</x:f>
        <x:v>proposal.t3.reflector_stock</x:v>
      </x:c>
      <x:c r="U192" s="4" t="str">
        <x:v>design.t3.reflector_stock.in.2</x:v>
      </x:c>
      <x:c r="V192" s="4" t="str">
        <x:v>design.t3.reflector_stock.out</x:v>
      </x:c>
    </x:row>
    <x:row r="193" ht="115" customHeight="1">
      <x:c r="A193" s="4" t="str">
        <x:f>IFERROR(INDEX('Material routes'!$E$6:$E$2205,MATCH(U193,'Material routes'!$A$6:$A$2205,0)),"MISSING ID")</x:f>
        <x:v>Bonded husk sheet</x:v>
      </x:c>
      <x:c r="B193" s="4" t="str">
        <x:f>IFERROR(INDEX('Material routes'!$F$6:$F$2205,MATCH(U193,'Material routes'!$A$6:$A$2205,0)),"MISSING ID")</x:f>
        <x:v>T2</x:v>
      </x:c>
      <x:c r="C193" s="4" t="str">
        <x:f>IFERROR(INDEX('Material routes'!$H$6:$H$2205,MATCH(U193,'Material routes'!$A$6:$A$2205,0)),"MISSING ID")</x:f>
        <x:v>Processed material</x:v>
      </x:c>
      <x:c r="D193" s="4" t="str">
        <x:f>IFERROR(INDEX('Material routes'!$G$6:$G$2205,MATCH(U193,'Material routes'!$A$6:$A$2205,0)),"MISSING ID")</x:f>
        <x:v>Manufactured stock</x:v>
      </x:c>
      <x:c r="E193" s="4" t="str">
        <x:f>IFERROR(INDEX('Material routes'!$C$6:$C$2205,MATCH(U193,'Material routes'!$A$6:$A$2205,0)),"MISSING ID")</x:f>
        <x:v>Ingredient candidate</x:v>
      </x:c>
      <x:c r="F193" s="4" t="str">
        <x:f>IFERROR(INDEX('Material routes'!$E$6:$E$2205,MATCH(V193,'Material routes'!$A$6:$A$2205,0)),"MISSING ID")</x:f>
        <x:v>Husk-reinforced packing stock</x:v>
      </x:c>
      <x:c r="G193" s="4" t="str">
        <x:f>IFERROR(INDEX('Material routes'!$F$6:$F$2205,MATCH(V193,'Material routes'!$A$6:$A$2205,0)),"MISSING ID")</x:f>
        <x:v>T3</x:v>
      </x:c>
      <x:c r="H193" s="4" t="str">
        <x:f>IFERROR(INDEX('Material routes'!$H$6:$H$2205,MATCH(V193,'Material routes'!$A$6:$A$2205,0)),"MISSING ID")</x:f>
        <x:v>Processed material</x:v>
      </x:c>
      <x:c r="I193" s="4" t="str">
        <x:f>IFERROR(INDEX('Material routes'!$G$6:$G$2205,MATCH(V193,'Material routes'!$A$6:$A$2205,0)),"MISSING ID")</x:f>
        <x:v>Manufactured stock</x:v>
      </x:c>
      <x:c r="J193" s="4" t="str">
        <x:f>IFERROR(INDEX('Material routes'!$B$6:$B$2205,MATCH(U193,'Material routes'!$A$6:$A$2205,0)),"MISSING ID")</x:f>
        <x:v>design.t3.packing_stock</x:v>
      </x:c>
      <x:c r="K193" s="4" t="str">
        <x:f>IFERROR(INDEX('Crafting recipes'!$C$6:$C$1005,MATCH(J193,'Crafting recipes'!$A$6:$A$1005,0)),"MISSING ID")</x:f>
        <x:v>Material refinement</x:v>
      </x:c>
      <x:c r="L193" s="4" t="str">
        <x:f>IFERROR(INDEX('Material routes'!$K$6:$K$2205,MATCH(U193,'Material routes'!$A$6:$A$2205,0)),"MISSING ID")</x:f>
        <x:v>Proposal</x:v>
      </x:c>
      <x:c r="M193" s="4" t="str">
        <x:f>IFERROR(INDEX('Material routes'!$M$6:$M$2205,MATCH(U193,'Material routes'!$A$6:$A$2205,0)),"MISSING ID")</x:f>
        <x:v>Partial proposal</x:v>
      </x:c>
      <x:c r="N193" s="4" t="str">
        <x:f>IF(IFERROR(INDEX('Material routes'!$I$6:$I$1005,MATCH(U193,'Material routes'!$A$6:$A$1005,0)),"MISSING ID")=0,"",IFERROR(INDEX('Material routes'!$I$6:$I$1005,MATCH(U193,'Material routes'!$A$6:$A$1005,0)),"MISSING ID"))</x:f>
      </x:c>
      <x:c r="O193" s="4" t="str">
        <x:f>IFERROR(INDEX('Material routes'!$J$6:$J$2205,MATCH(U193,'Material routes'!$A$6:$A$2205,0)),"MISSING ID")</x:f>
        <x:v>Unspecified</x:v>
      </x:c>
      <x:c r="P193" s="4" t="str">
        <x:f>IF(IFERROR(INDEX('Material routes'!$I$6:$I$1005,MATCH(V193,'Material routes'!$A$6:$A$1005,0)),"MISSING ID")=0,"",IFERROR(INDEX('Material routes'!$I$6:$I$1005,MATCH(V193,'Material routes'!$A$6:$A$1005,0)),"MISSING ID"))</x:f>
      </x:c>
      <x:c r="Q193" s="4" t="str">
        <x:f>IFERROR(INDEX('Material routes'!$J$6:$J$2205,MATCH(V193,'Material routes'!$A$6:$A$2205,0)),"MISSING ID")</x:f>
        <x:v>Unspecified</x:v>
      </x:c>
      <x:c r="R193" s="4" t="str">
        <x:f>IF(L193="Withheld","Withheld premise",IF(E193="Tool candidate","Reusable prerequisite",IF(K193="Raw entry preparation","Entry-resource preparation",IF(G193="Not applicable",IF(IFERROR(INDEX('Items'!$AI$6:$AI$1005,MATCH(T193,'Items'!$A$6:$A$1005,0)),"MISSING ID")="Finished item","Finished endpoint",IF(IFERROR(INDEX('Items'!$AI$6:$AI$1005,MATCH(T193,'Items'!$A$6:$A$1005,0)),"MISSING ID")="Currency","Currency / no refinement tier","Recovered output / tier not applicable")),IF(OR(IFERROR(INDEX('Crafting recipes'!$H$6:$H$1005,MATCH(J193,'Crafting recipes'!$A$6:$A$1005,0)),"MISSING ID")="Unassigned",G193="Unassigned"),"Tier unresolved",IF(IFERROR(VALUE(RIGHT(G193,1))-VALUE(RIGHT(IFERROR(INDEX('Crafting recipes'!$H$6:$H$1005,MATCH(J193,'Crafting recipes'!$A$6:$A$1005,0)),"MISSING ID"),1)),0)=1,IF(B193=IFERROR(INDEX('Crafting recipes'!$H$6:$H$1005,MATCH(J193,'Crafting recipes'!$A$6:$A$1005,0)),"MISSING ID"),"Advances one material tier","Lower-tier ingredient; route advances one tier"),"Needs tier review"))))))</x:f>
        <x:v>Advances one material tier</x:v>
      </x:c>
      <x:c r="S193" s="4" t="str">
        <x:f>IFERROR(INDEX('Material routes'!$D$6:$D$2205,MATCH(U193,'Material routes'!$A$6:$A$2205,0)),"MISSING ID")</x:f>
        <x:v>proposal.branch.husk_sheet</x:v>
      </x:c>
      <x:c r="T193" s="4" t="str">
        <x:f>IFERROR(INDEX('Material routes'!$D$6:$D$2205,MATCH(V193,'Material routes'!$A$6:$A$2205,0)),"MISSING ID")</x:f>
        <x:v>proposal.t3.packing_stock</x:v>
      </x:c>
      <x:c r="U193" s="4" t="str">
        <x:v>design.t3.packing_stock.in.1</x:v>
      </x:c>
      <x:c r="V193" s="4" t="str">
        <x:v>design.t3.packing_stock.out</x:v>
      </x:c>
    </x:row>
    <x:row r="194" ht="115" customHeight="1">
      <x:c r="A194" s="4" t="str">
        <x:f>IFERROR(INDEX('Material routes'!$E$6:$E$2205,MATCH(U194,'Material routes'!$A$6:$A$2205,0)),"MISSING ID")</x:f>
        <x:v>Filled faunal seal compound</x:v>
      </x:c>
      <x:c r="B194" s="4" t="str">
        <x:f>IFERROR(INDEX('Material routes'!$F$6:$F$2205,MATCH(U194,'Material routes'!$A$6:$A$2205,0)),"MISSING ID")</x:f>
        <x:v>T2</x:v>
      </x:c>
      <x:c r="C194" s="4" t="str">
        <x:f>IFERROR(INDEX('Material routes'!$H$6:$H$2205,MATCH(U194,'Material routes'!$A$6:$A$2205,0)),"MISSING ID")</x:f>
        <x:v>Chemical material</x:v>
      </x:c>
      <x:c r="D194" s="4" t="str">
        <x:f>IFERROR(INDEX('Material routes'!$G$6:$G$2205,MATCH(U194,'Material routes'!$A$6:$A$2205,0)),"MISSING ID")</x:f>
        <x:v>Crafting components</x:v>
      </x:c>
      <x:c r="E194" s="4" t="str">
        <x:f>IFERROR(INDEX('Material routes'!$C$6:$C$2205,MATCH(U194,'Material routes'!$A$6:$A$2205,0)),"MISSING ID")</x:f>
        <x:v>Ingredient candidate</x:v>
      </x:c>
      <x:c r="F194" s="4" t="str">
        <x:f>IFERROR(INDEX('Material routes'!$E$6:$E$2205,MATCH(V194,'Material routes'!$A$6:$A$2205,0)),"MISSING ID")</x:f>
        <x:v>Husk-reinforced packing stock</x:v>
      </x:c>
      <x:c r="G194" s="4" t="str">
        <x:f>IFERROR(INDEX('Material routes'!$F$6:$F$2205,MATCH(V194,'Material routes'!$A$6:$A$2205,0)),"MISSING ID")</x:f>
        <x:v>T3</x:v>
      </x:c>
      <x:c r="H194" s="4" t="str">
        <x:f>IFERROR(INDEX('Material routes'!$H$6:$H$2205,MATCH(V194,'Material routes'!$A$6:$A$2205,0)),"MISSING ID")</x:f>
        <x:v>Processed material</x:v>
      </x:c>
      <x:c r="I194" s="4" t="str">
        <x:f>IFERROR(INDEX('Material routes'!$G$6:$G$2205,MATCH(V194,'Material routes'!$A$6:$A$2205,0)),"MISSING ID")</x:f>
        <x:v>Manufactured stock</x:v>
      </x:c>
      <x:c r="J194" s="4" t="str">
        <x:f>IFERROR(INDEX('Material routes'!$B$6:$B$2205,MATCH(U194,'Material routes'!$A$6:$A$2205,0)),"MISSING ID")</x:f>
        <x:v>design.t3.packing_stock</x:v>
      </x:c>
      <x:c r="K194" s="4" t="str">
        <x:f>IFERROR(INDEX('Crafting recipes'!$C$6:$C$1005,MATCH(J194,'Crafting recipes'!$A$6:$A$1005,0)),"MISSING ID")</x:f>
        <x:v>Material refinement</x:v>
      </x:c>
      <x:c r="L194" s="4" t="str">
        <x:f>IFERROR(INDEX('Material routes'!$K$6:$K$2205,MATCH(U194,'Material routes'!$A$6:$A$2205,0)),"MISSING ID")</x:f>
        <x:v>Proposal</x:v>
      </x:c>
      <x:c r="M194" s="4" t="str">
        <x:f>IFERROR(INDEX('Material routes'!$M$6:$M$2205,MATCH(U194,'Material routes'!$A$6:$A$2205,0)),"MISSING ID")</x:f>
        <x:v>Partial proposal</x:v>
      </x:c>
      <x:c r="N194" s="4" t="str">
        <x:f>IF(IFERROR(INDEX('Material routes'!$I$6:$I$1005,MATCH(U194,'Material routes'!$A$6:$A$1005,0)),"MISSING ID")=0,"",IFERROR(INDEX('Material routes'!$I$6:$I$1005,MATCH(U194,'Material routes'!$A$6:$A$1005,0)),"MISSING ID"))</x:f>
      </x:c>
      <x:c r="O194" s="4" t="str">
        <x:f>IFERROR(INDEX('Material routes'!$J$6:$J$2205,MATCH(U194,'Material routes'!$A$6:$A$2205,0)),"MISSING ID")</x:f>
        <x:v>Unspecified</x:v>
      </x:c>
      <x:c r="P194" s="4" t="str">
        <x:f>IF(IFERROR(INDEX('Material routes'!$I$6:$I$1005,MATCH(V194,'Material routes'!$A$6:$A$1005,0)),"MISSING ID")=0,"",IFERROR(INDEX('Material routes'!$I$6:$I$1005,MATCH(V194,'Material routes'!$A$6:$A$1005,0)),"MISSING ID"))</x:f>
      </x:c>
      <x:c r="Q194" s="4" t="str">
        <x:f>IFERROR(INDEX('Material routes'!$J$6:$J$2205,MATCH(V194,'Material routes'!$A$6:$A$2205,0)),"MISSING ID")</x:f>
        <x:v>Unspecified</x:v>
      </x:c>
      <x:c r="R194" s="4" t="str">
        <x:f>IF(L194="Withheld","Withheld premise",IF(E194="Tool candidate","Reusable prerequisite",IF(K194="Raw entry preparation","Entry-resource preparation",IF(G194="Not applicable",IF(IFERROR(INDEX('Items'!$AI$6:$AI$1005,MATCH(T194,'Items'!$A$6:$A$1005,0)),"MISSING ID")="Finished item","Finished endpoint",IF(IFERROR(INDEX('Items'!$AI$6:$AI$1005,MATCH(T194,'Items'!$A$6:$A$1005,0)),"MISSING ID")="Currency","Currency / no refinement tier","Recovered output / tier not applicable")),IF(OR(IFERROR(INDEX('Crafting recipes'!$H$6:$H$1005,MATCH(J194,'Crafting recipes'!$A$6:$A$1005,0)),"MISSING ID")="Unassigned",G194="Unassigned"),"Tier unresolved",IF(IFERROR(VALUE(RIGHT(G194,1))-VALUE(RIGHT(IFERROR(INDEX('Crafting recipes'!$H$6:$H$1005,MATCH(J194,'Crafting recipes'!$A$6:$A$1005,0)),"MISSING ID"),1)),0)=1,IF(B194=IFERROR(INDEX('Crafting recipes'!$H$6:$H$1005,MATCH(J194,'Crafting recipes'!$A$6:$A$1005,0)),"MISSING ID"),"Advances one material tier","Lower-tier ingredient; route advances one tier"),"Needs tier review"))))))</x:f>
        <x:v>Advances one material tier</x:v>
      </x:c>
      <x:c r="S194" s="4" t="str">
        <x:f>IFERROR(INDEX('Material routes'!$D$6:$D$2205,MATCH(U194,'Material routes'!$A$6:$A$2205,0)),"MISSING ID")</x:f>
        <x:v>proposal.branch.filled_seal</x:v>
      </x:c>
      <x:c r="T194" s="4" t="str">
        <x:f>IFERROR(INDEX('Material routes'!$D$6:$D$2205,MATCH(V194,'Material routes'!$A$6:$A$2205,0)),"MISSING ID")</x:f>
        <x:v>proposal.t3.packing_stock</x:v>
      </x:c>
      <x:c r="U194" s="4" t="str">
        <x:v>design.t3.packing_stock.in.2</x:v>
      </x:c>
      <x:c r="V194" s="4" t="str">
        <x:v>design.t3.packing_stock.out</x:v>
      </x:c>
    </x:row>
    <x:row r="195" ht="115" customHeight="1">
      <x:c r="A195" s="4" t="str">
        <x:f>IFERROR(INDEX('Material routes'!$E$6:$E$2205,MATCH(U195,'Material routes'!$A$6:$A$2205,0)),"MISSING ID")</x:f>
        <x:v>Flexible membrane-bonding compound</x:v>
      </x:c>
      <x:c r="B195" s="4" t="str">
        <x:f>IFERROR(INDEX('Material routes'!$F$6:$F$2205,MATCH(U195,'Material routes'!$A$6:$A$2205,0)),"MISSING ID")</x:f>
        <x:v>T2</x:v>
      </x:c>
      <x:c r="C195" s="4" t="str">
        <x:f>IFERROR(INDEX('Material routes'!$H$6:$H$2205,MATCH(U195,'Material routes'!$A$6:$A$2205,0)),"MISSING ID")</x:f>
        <x:v>Chemical material</x:v>
      </x:c>
      <x:c r="D195" s="4" t="str">
        <x:f>IFERROR(INDEX('Material routes'!$G$6:$G$2205,MATCH(U195,'Material routes'!$A$6:$A$2205,0)),"MISSING ID")</x:f>
        <x:v>Crafting components</x:v>
      </x:c>
      <x:c r="E195" s="4" t="str">
        <x:f>IFERROR(INDEX('Material routes'!$C$6:$C$2205,MATCH(U195,'Material routes'!$A$6:$A$2205,0)),"MISSING ID")</x:f>
        <x:v>Ingredient candidate</x:v>
      </x:c>
      <x:c r="F195" s="4" t="str">
        <x:f>IFERROR(INDEX('Material routes'!$E$6:$E$2205,MATCH(V195,'Material routes'!$A$6:$A$2205,0)),"MISSING ID")</x:f>
        <x:v>Husk-reinforced packing stock</x:v>
      </x:c>
      <x:c r="G195" s="4" t="str">
        <x:f>IFERROR(INDEX('Material routes'!$F$6:$F$2205,MATCH(V195,'Material routes'!$A$6:$A$2205,0)),"MISSING ID")</x:f>
        <x:v>T3</x:v>
      </x:c>
      <x:c r="H195" s="4" t="str">
        <x:f>IFERROR(INDEX('Material routes'!$H$6:$H$2205,MATCH(V195,'Material routes'!$A$6:$A$2205,0)),"MISSING ID")</x:f>
        <x:v>Processed material</x:v>
      </x:c>
      <x:c r="I195" s="4" t="str">
        <x:f>IFERROR(INDEX('Material routes'!$G$6:$G$2205,MATCH(V195,'Material routes'!$A$6:$A$2205,0)),"MISSING ID")</x:f>
        <x:v>Manufactured stock</x:v>
      </x:c>
      <x:c r="J195" s="4" t="str">
        <x:f>IFERROR(INDEX('Material routes'!$B$6:$B$2205,MATCH(U195,'Material routes'!$A$6:$A$2205,0)),"MISSING ID")</x:f>
        <x:v>design.t3.packing_stock</x:v>
      </x:c>
      <x:c r="K195" s="4" t="str">
        <x:f>IFERROR(INDEX('Crafting recipes'!$C$6:$C$1005,MATCH(J195,'Crafting recipes'!$A$6:$A$1005,0)),"MISSING ID")</x:f>
        <x:v>Material refinement</x:v>
      </x:c>
      <x:c r="L195" s="4" t="str">
        <x:f>IFERROR(INDEX('Material routes'!$K$6:$K$2205,MATCH(U195,'Material routes'!$A$6:$A$2205,0)),"MISSING ID")</x:f>
        <x:v>Proposal</x:v>
      </x:c>
      <x:c r="M195" s="4" t="str">
        <x:f>IFERROR(INDEX('Material routes'!$M$6:$M$2205,MATCH(U195,'Material routes'!$A$6:$A$2205,0)),"MISSING ID")</x:f>
        <x:v>Partial proposal</x:v>
      </x:c>
      <x:c r="N195" s="4" t="str">
        <x:f>IF(IFERROR(INDEX('Material routes'!$I$6:$I$1005,MATCH(U195,'Material routes'!$A$6:$A$1005,0)),"MISSING ID")=0,"",IFERROR(INDEX('Material routes'!$I$6:$I$1005,MATCH(U195,'Material routes'!$A$6:$A$1005,0)),"MISSING ID"))</x:f>
      </x:c>
      <x:c r="O195" s="4" t="str">
        <x:f>IFERROR(INDEX('Material routes'!$J$6:$J$2205,MATCH(U195,'Material routes'!$A$6:$A$2205,0)),"MISSING ID")</x:f>
        <x:v>Unspecified</x:v>
      </x:c>
      <x:c r="P195" s="4" t="str">
        <x:f>IF(IFERROR(INDEX('Material routes'!$I$6:$I$1005,MATCH(V195,'Material routes'!$A$6:$A$1005,0)),"MISSING ID")=0,"",IFERROR(INDEX('Material routes'!$I$6:$I$1005,MATCH(V195,'Material routes'!$A$6:$A$1005,0)),"MISSING ID"))</x:f>
      </x:c>
      <x:c r="Q195" s="4" t="str">
        <x:f>IFERROR(INDEX('Material routes'!$J$6:$J$2205,MATCH(V195,'Material routes'!$A$6:$A$2205,0)),"MISSING ID")</x:f>
        <x:v>Unspecified</x:v>
      </x:c>
      <x:c r="R195" s="4" t="str">
        <x:f>IF(L195="Withheld","Withheld premise",IF(E195="Tool candidate","Reusable prerequisite",IF(K195="Raw entry preparation","Entry-resource preparation",IF(G195="Not applicable",IF(IFERROR(INDEX('Items'!$AI$6:$AI$1005,MATCH(T195,'Items'!$A$6:$A$1005,0)),"MISSING ID")="Finished item","Finished endpoint",IF(IFERROR(INDEX('Items'!$AI$6:$AI$1005,MATCH(T195,'Items'!$A$6:$A$1005,0)),"MISSING ID")="Currency","Currency / no refinement tier","Recovered output / tier not applicable")),IF(OR(IFERROR(INDEX('Crafting recipes'!$H$6:$H$1005,MATCH(J195,'Crafting recipes'!$A$6:$A$1005,0)),"MISSING ID")="Unassigned",G195="Unassigned"),"Tier unresolved",IF(IFERROR(VALUE(RIGHT(G195,1))-VALUE(RIGHT(IFERROR(INDEX('Crafting recipes'!$H$6:$H$1005,MATCH(J195,'Crafting recipes'!$A$6:$A$1005,0)),"MISSING ID"),1)),0)=1,IF(B195=IFERROR(INDEX('Crafting recipes'!$H$6:$H$1005,MATCH(J195,'Crafting recipes'!$A$6:$A$1005,0)),"MISSING ID"),"Advances one material tier","Lower-tier ingredient; route advances one tier"),"Needs tier review"))))))</x:f>
        <x:v>Advances one material tier</x:v>
      </x:c>
      <x:c r="S195" s="4" t="str">
        <x:f>IFERROR(INDEX('Material routes'!$D$6:$D$2205,MATCH(U195,'Material routes'!$A$6:$A$2205,0)),"MISSING ID")</x:f>
        <x:v>proposal.branch.flex_bond</x:v>
      </x:c>
      <x:c r="T195" s="4" t="str">
        <x:f>IFERROR(INDEX('Material routes'!$D$6:$D$2205,MATCH(V195,'Material routes'!$A$6:$A$2205,0)),"MISSING ID")</x:f>
        <x:v>proposal.t3.packing_stock</x:v>
      </x:c>
      <x:c r="U195" s="4" t="str">
        <x:v>design.t3.packing_stock.in.3</x:v>
      </x:c>
      <x:c r="V195" s="4" t="str">
        <x:v>design.t3.packing_stock.out</x:v>
      </x:c>
    </x:row>
    <x:row r="196" ht="115" customHeight="1">
      <x:c r="A196" s="4" t="str">
        <x:f>IFERROR(INDEX('Material routes'!$E$6:$E$2205,MATCH(U196,'Material routes'!$A$6:$A$2205,0)),"MISSING ID")</x:f>
        <x:v>Faunal joint grease</x:v>
      </x:c>
      <x:c r="B196" s="4" t="str">
        <x:f>IFERROR(INDEX('Material routes'!$F$6:$F$2205,MATCH(U196,'Material routes'!$A$6:$A$2205,0)),"MISSING ID")</x:f>
        <x:v>T2</x:v>
      </x:c>
      <x:c r="C196" s="4" t="str">
        <x:f>IFERROR(INDEX('Material routes'!$H$6:$H$2205,MATCH(U196,'Material routes'!$A$6:$A$2205,0)),"MISSING ID")</x:f>
        <x:v>Chemical material</x:v>
      </x:c>
      <x:c r="D196" s="4" t="str">
        <x:f>IFERROR(INDEX('Material routes'!$G$6:$G$2205,MATCH(U196,'Material routes'!$A$6:$A$2205,0)),"MISSING ID")</x:f>
        <x:v>Crafting components</x:v>
      </x:c>
      <x:c r="E196" s="4" t="str">
        <x:f>IFERROR(INDEX('Material routes'!$C$6:$C$2205,MATCH(U196,'Material routes'!$A$6:$A$2205,0)),"MISSING ID")</x:f>
        <x:v>Ingredient candidate</x:v>
      </x:c>
      <x:c r="F196" s="4" t="str">
        <x:f>IFERROR(INDEX('Material routes'!$E$6:$E$2205,MATCH(V196,'Material routes'!$A$6:$A$2205,0)),"MISSING ID")</x:f>
        <x:v>Conditioned mechanism-service grease</x:v>
      </x:c>
      <x:c r="G196" s="4" t="str">
        <x:f>IFERROR(INDEX('Material routes'!$F$6:$F$2205,MATCH(V196,'Material routes'!$A$6:$A$2205,0)),"MISSING ID")</x:f>
        <x:v>T3</x:v>
      </x:c>
      <x:c r="H196" s="4" t="str">
        <x:f>IFERROR(INDEX('Material routes'!$H$6:$H$2205,MATCH(V196,'Material routes'!$A$6:$A$2205,0)),"MISSING ID")</x:f>
        <x:v>Chemical material</x:v>
      </x:c>
      <x:c r="I196" s="4" t="str">
        <x:f>IFERROR(INDEX('Material routes'!$G$6:$G$2205,MATCH(V196,'Material routes'!$A$6:$A$2205,0)),"MISSING ID")</x:f>
        <x:v>Crafting components</x:v>
      </x:c>
      <x:c r="J196" s="4" t="str">
        <x:f>IFERROR(INDEX('Material routes'!$B$6:$B$2205,MATCH(U196,'Material routes'!$A$6:$A$2205,0)),"MISSING ID")</x:f>
        <x:v>design.t3.service_grease</x:v>
      </x:c>
      <x:c r="K196" s="4" t="str">
        <x:f>IFERROR(INDEX('Crafting recipes'!$C$6:$C$1005,MATCH(J196,'Crafting recipes'!$A$6:$A$1005,0)),"MISSING ID")</x:f>
        <x:v>Material refinement</x:v>
      </x:c>
      <x:c r="L196" s="4" t="str">
        <x:f>IFERROR(INDEX('Material routes'!$K$6:$K$2205,MATCH(U196,'Material routes'!$A$6:$A$2205,0)),"MISSING ID")</x:f>
        <x:v>Proposal</x:v>
      </x:c>
      <x:c r="M196" s="4" t="str">
        <x:f>IFERROR(INDEX('Material routes'!$M$6:$M$2205,MATCH(U196,'Material routes'!$A$6:$A$2205,0)),"MISSING ID")</x:f>
        <x:v>Partial proposal</x:v>
      </x:c>
      <x:c r="N196" s="4" t="str">
        <x:f>IF(IFERROR(INDEX('Material routes'!$I$6:$I$1005,MATCH(U196,'Material routes'!$A$6:$A$1005,0)),"MISSING ID")=0,"",IFERROR(INDEX('Material routes'!$I$6:$I$1005,MATCH(U196,'Material routes'!$A$6:$A$1005,0)),"MISSING ID"))</x:f>
      </x:c>
      <x:c r="O196" s="4" t="str">
        <x:f>IFERROR(INDEX('Material routes'!$J$6:$J$2205,MATCH(U196,'Material routes'!$A$6:$A$2205,0)),"MISSING ID")</x:f>
        <x:v>Unspecified</x:v>
      </x:c>
      <x:c r="P196" s="4" t="str">
        <x:f>IF(IFERROR(INDEX('Material routes'!$I$6:$I$1005,MATCH(V196,'Material routes'!$A$6:$A$1005,0)),"MISSING ID")=0,"",IFERROR(INDEX('Material routes'!$I$6:$I$1005,MATCH(V196,'Material routes'!$A$6:$A$1005,0)),"MISSING ID"))</x:f>
      </x:c>
      <x:c r="Q196" s="4" t="str">
        <x:f>IFERROR(INDEX('Material routes'!$J$6:$J$2205,MATCH(V196,'Material routes'!$A$6:$A$2205,0)),"MISSING ID")</x:f>
        <x:v>Unspecified</x:v>
      </x:c>
      <x:c r="R196" s="4" t="str">
        <x:f>IF(L196="Withheld","Withheld premise",IF(E196="Tool candidate","Reusable prerequisite",IF(K196="Raw entry preparation","Entry-resource preparation",IF(G196="Not applicable",IF(IFERROR(INDEX('Items'!$AI$6:$AI$1005,MATCH(T196,'Items'!$A$6:$A$1005,0)),"MISSING ID")="Finished item","Finished endpoint",IF(IFERROR(INDEX('Items'!$AI$6:$AI$1005,MATCH(T196,'Items'!$A$6:$A$1005,0)),"MISSING ID")="Currency","Currency / no refinement tier","Recovered output / tier not applicable")),IF(OR(IFERROR(INDEX('Crafting recipes'!$H$6:$H$1005,MATCH(J196,'Crafting recipes'!$A$6:$A$1005,0)),"MISSING ID")="Unassigned",G196="Unassigned"),"Tier unresolved",IF(IFERROR(VALUE(RIGHT(G196,1))-VALUE(RIGHT(IFERROR(INDEX('Crafting recipes'!$H$6:$H$1005,MATCH(J196,'Crafting recipes'!$A$6:$A$1005,0)),"MISSING ID"),1)),0)=1,IF(B196=IFERROR(INDEX('Crafting recipes'!$H$6:$H$1005,MATCH(J196,'Crafting recipes'!$A$6:$A$1005,0)),"MISSING ID"),"Advances one material tier","Lower-tier ingredient; route advances one tier"),"Needs tier review"))))))</x:f>
        <x:v>Advances one material tier</x:v>
      </x:c>
      <x:c r="S196" s="4" t="str">
        <x:f>IFERROR(INDEX('Material routes'!$D$6:$D$2205,MATCH(U196,'Material routes'!$A$6:$A$2205,0)),"MISSING ID")</x:f>
        <x:v>proposal.lubricant.joint_grease</x:v>
      </x:c>
      <x:c r="T196" s="4" t="str">
        <x:f>IFERROR(INDEX('Material routes'!$D$6:$D$2205,MATCH(V196,'Material routes'!$A$6:$A$2205,0)),"MISSING ID")</x:f>
        <x:v>proposal.t3.service_grease</x:v>
      </x:c>
      <x:c r="U196" s="4" t="str">
        <x:v>design.t3.service_grease.in.1</x:v>
      </x:c>
      <x:c r="V196" s="4" t="str">
        <x:v>design.t3.service_grease.out</x:v>
      </x:c>
    </x:row>
    <x:row r="197" ht="115" customHeight="1">
      <x:c r="A197" s="4" t="str">
        <x:f>IFERROR(INDEX('Material routes'!$E$6:$E$2205,MATCH(U197,'Material routes'!$A$6:$A$2205,0)),"MISSING ID")</x:f>
        <x:v>Fine mechanism oil</x:v>
      </x:c>
      <x:c r="B197" s="4" t="str">
        <x:f>IFERROR(INDEX('Material routes'!$F$6:$F$2205,MATCH(U197,'Material routes'!$A$6:$A$2205,0)),"MISSING ID")</x:f>
        <x:v>T2</x:v>
      </x:c>
      <x:c r="C197" s="4" t="str">
        <x:f>IFERROR(INDEX('Material routes'!$H$6:$H$2205,MATCH(U197,'Material routes'!$A$6:$A$2205,0)),"MISSING ID")</x:f>
        <x:v>Chemical material</x:v>
      </x:c>
      <x:c r="D197" s="4" t="str">
        <x:f>IFERROR(INDEX('Material routes'!$G$6:$G$2205,MATCH(U197,'Material routes'!$A$6:$A$2205,0)),"MISSING ID")</x:f>
        <x:v>Crafting components</x:v>
      </x:c>
      <x:c r="E197" s="4" t="str">
        <x:f>IFERROR(INDEX('Material routes'!$C$6:$C$2205,MATCH(U197,'Material routes'!$A$6:$A$2205,0)),"MISSING ID")</x:f>
        <x:v>Ingredient candidate</x:v>
      </x:c>
      <x:c r="F197" s="4" t="str">
        <x:f>IFERROR(INDEX('Material routes'!$E$6:$E$2205,MATCH(V197,'Material routes'!$A$6:$A$2205,0)),"MISSING ID")</x:f>
        <x:v>Conditioned mechanism-service grease</x:v>
      </x:c>
      <x:c r="G197" s="4" t="str">
        <x:f>IFERROR(INDEX('Material routes'!$F$6:$F$2205,MATCH(V197,'Material routes'!$A$6:$A$2205,0)),"MISSING ID")</x:f>
        <x:v>T3</x:v>
      </x:c>
      <x:c r="H197" s="4" t="str">
        <x:f>IFERROR(INDEX('Material routes'!$H$6:$H$2205,MATCH(V197,'Material routes'!$A$6:$A$2205,0)),"MISSING ID")</x:f>
        <x:v>Chemical material</x:v>
      </x:c>
      <x:c r="I197" s="4" t="str">
        <x:f>IFERROR(INDEX('Material routes'!$G$6:$G$2205,MATCH(V197,'Material routes'!$A$6:$A$2205,0)),"MISSING ID")</x:f>
        <x:v>Crafting components</x:v>
      </x:c>
      <x:c r="J197" s="4" t="str">
        <x:f>IFERROR(INDEX('Material routes'!$B$6:$B$2205,MATCH(U197,'Material routes'!$A$6:$A$2205,0)),"MISSING ID")</x:f>
        <x:v>design.t3.service_grease</x:v>
      </x:c>
      <x:c r="K197" s="4" t="str">
        <x:f>IFERROR(INDEX('Crafting recipes'!$C$6:$C$1005,MATCH(J197,'Crafting recipes'!$A$6:$A$1005,0)),"MISSING ID")</x:f>
        <x:v>Material refinement</x:v>
      </x:c>
      <x:c r="L197" s="4" t="str">
        <x:f>IFERROR(INDEX('Material routes'!$K$6:$K$2205,MATCH(U197,'Material routes'!$A$6:$A$2205,0)),"MISSING ID")</x:f>
        <x:v>Proposal</x:v>
      </x:c>
      <x:c r="M197" s="4" t="str">
        <x:f>IFERROR(INDEX('Material routes'!$M$6:$M$2205,MATCH(U197,'Material routes'!$A$6:$A$2205,0)),"MISSING ID")</x:f>
        <x:v>Partial proposal</x:v>
      </x:c>
      <x:c r="N197" s="4" t="str">
        <x:f>IF(IFERROR(INDEX('Material routes'!$I$6:$I$1005,MATCH(U197,'Material routes'!$A$6:$A$1005,0)),"MISSING ID")=0,"",IFERROR(INDEX('Material routes'!$I$6:$I$1005,MATCH(U197,'Material routes'!$A$6:$A$1005,0)),"MISSING ID"))</x:f>
      </x:c>
      <x:c r="O197" s="4" t="str">
        <x:f>IFERROR(INDEX('Material routes'!$J$6:$J$2205,MATCH(U197,'Material routes'!$A$6:$A$2205,0)),"MISSING ID")</x:f>
        <x:v>Unspecified</x:v>
      </x:c>
      <x:c r="P197" s="4" t="str">
        <x:f>IF(IFERROR(INDEX('Material routes'!$I$6:$I$1005,MATCH(V197,'Material routes'!$A$6:$A$1005,0)),"MISSING ID")=0,"",IFERROR(INDEX('Material routes'!$I$6:$I$1005,MATCH(V197,'Material routes'!$A$6:$A$1005,0)),"MISSING ID"))</x:f>
      </x:c>
      <x:c r="Q197" s="4" t="str">
        <x:f>IFERROR(INDEX('Material routes'!$J$6:$J$2205,MATCH(V197,'Material routes'!$A$6:$A$2205,0)),"MISSING ID")</x:f>
        <x:v>Unspecified</x:v>
      </x:c>
      <x:c r="R197" s="4" t="str">
        <x:f>IF(L197="Withheld","Withheld premise",IF(E197="Tool candidate","Reusable prerequisite",IF(K197="Raw entry preparation","Entry-resource preparation",IF(G197="Not applicable",IF(IFERROR(INDEX('Items'!$AI$6:$AI$1005,MATCH(T197,'Items'!$A$6:$A$1005,0)),"MISSING ID")="Finished item","Finished endpoint",IF(IFERROR(INDEX('Items'!$AI$6:$AI$1005,MATCH(T197,'Items'!$A$6:$A$1005,0)),"MISSING ID")="Currency","Currency / no refinement tier","Recovered output / tier not applicable")),IF(OR(IFERROR(INDEX('Crafting recipes'!$H$6:$H$1005,MATCH(J197,'Crafting recipes'!$A$6:$A$1005,0)),"MISSING ID")="Unassigned",G197="Unassigned"),"Tier unresolved",IF(IFERROR(VALUE(RIGHT(G197,1))-VALUE(RIGHT(IFERROR(INDEX('Crafting recipes'!$H$6:$H$1005,MATCH(J197,'Crafting recipes'!$A$6:$A$1005,0)),"MISSING ID"),1)),0)=1,IF(B197=IFERROR(INDEX('Crafting recipes'!$H$6:$H$1005,MATCH(J197,'Crafting recipes'!$A$6:$A$1005,0)),"MISSING ID"),"Advances one material tier","Lower-tier ingredient; route advances one tier"),"Needs tier review"))))))</x:f>
        <x:v>Advances one material tier</x:v>
      </x:c>
      <x:c r="S197" s="4" t="str">
        <x:f>IFERROR(INDEX('Material routes'!$D$6:$D$2205,MATCH(U197,'Material routes'!$A$6:$A$2205,0)),"MISSING ID")</x:f>
        <x:v>proposal.lubricant.precision_oil</x:v>
      </x:c>
      <x:c r="T197" s="4" t="str">
        <x:f>IFERROR(INDEX('Material routes'!$D$6:$D$2205,MATCH(V197,'Material routes'!$A$6:$A$2205,0)),"MISSING ID")</x:f>
        <x:v>proposal.t3.service_grease</x:v>
      </x:c>
      <x:c r="U197" s="4" t="str">
        <x:v>design.t3.service_grease.in.2</x:v>
      </x:c>
      <x:c r="V197" s="4" t="str">
        <x:v>design.t3.service_grease.out</x:v>
      </x:c>
    </x:row>
    <x:row r="198" ht="115" customHeight="1">
      <x:c r="A198" s="4" t="str">
        <x:f>IFERROR(INDEX('Material routes'!$E$6:$E$2205,MATCH(U198,'Material routes'!$A$6:$A$2205,0)),"MISSING ID")</x:f>
        <x:v>Reinforced wing membrane</x:v>
      </x:c>
      <x:c r="B198" s="4" t="str">
        <x:f>IFERROR(INDEX('Material routes'!$F$6:$F$2205,MATCH(U198,'Material routes'!$A$6:$A$2205,0)),"MISSING ID")</x:f>
        <x:v>T2</x:v>
      </x:c>
      <x:c r="C198" s="4" t="str">
        <x:f>IFERROR(INDEX('Material routes'!$H$6:$H$2205,MATCH(U198,'Material routes'!$A$6:$A$2205,0)),"MISSING ID")</x:f>
        <x:v>Processed material</x:v>
      </x:c>
      <x:c r="D198" s="4" t="str">
        <x:f>IFERROR(INDEX('Material routes'!$G$6:$G$2205,MATCH(U198,'Material routes'!$A$6:$A$2205,0)),"MISSING ID")</x:f>
        <x:v>Manufactured stock</x:v>
      </x:c>
      <x:c r="E198" s="4" t="str">
        <x:f>IFERROR(INDEX('Material routes'!$C$6:$C$2205,MATCH(U198,'Material routes'!$A$6:$A$2205,0)),"MISSING ID")</x:f>
        <x:v>Ingredient candidate</x:v>
      </x:c>
      <x:c r="F198" s="4" t="str">
        <x:f>IFERROR(INDEX('Material routes'!$E$6:$E$2205,MATCH(V198,'Material routes'!$A$6:$A$2205,0)),"MISSING ID")</x:f>
        <x:v>Bonded wing-seam reinforcement strips</x:v>
      </x:c>
      <x:c r="G198" s="4" t="str">
        <x:f>IFERROR(INDEX('Material routes'!$F$6:$F$2205,MATCH(V198,'Material routes'!$A$6:$A$2205,0)),"MISSING ID")</x:f>
        <x:v>T3</x:v>
      </x:c>
      <x:c r="H198" s="4" t="str">
        <x:f>IFERROR(INDEX('Material routes'!$H$6:$H$2205,MATCH(V198,'Material routes'!$A$6:$A$2205,0)),"MISSING ID")</x:f>
        <x:v>Processed material</x:v>
      </x:c>
      <x:c r="I198" s="4" t="str">
        <x:f>IFERROR(INDEX('Material routes'!$G$6:$G$2205,MATCH(V198,'Material routes'!$A$6:$A$2205,0)),"MISSING ID")</x:f>
        <x:v>Manufactured stock</x:v>
      </x:c>
      <x:c r="J198" s="4" t="str">
        <x:f>IFERROR(INDEX('Material routes'!$B$6:$B$2205,MATCH(U198,'Material routes'!$A$6:$A$2205,0)),"MISSING ID")</x:f>
        <x:v>design.t3.wing_seam</x:v>
      </x:c>
      <x:c r="K198" s="4" t="str">
        <x:f>IFERROR(INDEX('Crafting recipes'!$C$6:$C$1005,MATCH(J198,'Crafting recipes'!$A$6:$A$1005,0)),"MISSING ID")</x:f>
        <x:v>Material refinement</x:v>
      </x:c>
      <x:c r="L198" s="4" t="str">
        <x:f>IFERROR(INDEX('Material routes'!$K$6:$K$2205,MATCH(U198,'Material routes'!$A$6:$A$2205,0)),"MISSING ID")</x:f>
        <x:v>Proposal</x:v>
      </x:c>
      <x:c r="M198" s="4" t="str">
        <x:f>IFERROR(INDEX('Material routes'!$M$6:$M$2205,MATCH(U198,'Material routes'!$A$6:$A$2205,0)),"MISSING ID")</x:f>
        <x:v>Partial proposal</x:v>
      </x:c>
      <x:c r="N198" s="4" t="str">
        <x:f>IF(IFERROR(INDEX('Material routes'!$I$6:$I$1005,MATCH(U198,'Material routes'!$A$6:$A$1005,0)),"MISSING ID")=0,"",IFERROR(INDEX('Material routes'!$I$6:$I$1005,MATCH(U198,'Material routes'!$A$6:$A$1005,0)),"MISSING ID"))</x:f>
      </x:c>
      <x:c r="O198" s="4" t="str">
        <x:f>IFERROR(INDEX('Material routes'!$J$6:$J$2205,MATCH(U198,'Material routes'!$A$6:$A$2205,0)),"MISSING ID")</x:f>
        <x:v>Unspecified</x:v>
      </x:c>
      <x:c r="P198" s="4" t="str">
        <x:f>IF(IFERROR(INDEX('Material routes'!$I$6:$I$1005,MATCH(V198,'Material routes'!$A$6:$A$1005,0)),"MISSING ID")=0,"",IFERROR(INDEX('Material routes'!$I$6:$I$1005,MATCH(V198,'Material routes'!$A$6:$A$1005,0)),"MISSING ID"))</x:f>
      </x:c>
      <x:c r="Q198" s="4" t="str">
        <x:f>IFERROR(INDEX('Material routes'!$J$6:$J$2205,MATCH(V198,'Material routes'!$A$6:$A$2205,0)),"MISSING ID")</x:f>
        <x:v>Unspecified</x:v>
      </x:c>
      <x:c r="R198" s="4" t="str">
        <x:f>IF(L198="Withheld","Withheld premise",IF(E198="Tool candidate","Reusable prerequisite",IF(K198="Raw entry preparation","Entry-resource preparation",IF(G198="Not applicable",IF(IFERROR(INDEX('Items'!$AI$6:$AI$1005,MATCH(T198,'Items'!$A$6:$A$1005,0)),"MISSING ID")="Finished item","Finished endpoint",IF(IFERROR(INDEX('Items'!$AI$6:$AI$1005,MATCH(T198,'Items'!$A$6:$A$1005,0)),"MISSING ID")="Currency","Currency / no refinement tier","Recovered output / tier not applicable")),IF(OR(IFERROR(INDEX('Crafting recipes'!$H$6:$H$1005,MATCH(J198,'Crafting recipes'!$A$6:$A$1005,0)),"MISSING ID")="Unassigned",G198="Unassigned"),"Tier unresolved",IF(IFERROR(VALUE(RIGHT(G198,1))-VALUE(RIGHT(IFERROR(INDEX('Crafting recipes'!$H$6:$H$1005,MATCH(J198,'Crafting recipes'!$A$6:$A$1005,0)),"MISSING ID"),1)),0)=1,IF(B198=IFERROR(INDEX('Crafting recipes'!$H$6:$H$1005,MATCH(J198,'Crafting recipes'!$A$6:$A$1005,0)),"MISSING ID"),"Advances one material tier","Lower-tier ingredient; route advances one tier"),"Needs tier review"))))))</x:f>
        <x:v>Advances one material tier</x:v>
      </x:c>
      <x:c r="S198" s="4" t="str">
        <x:f>IFERROR(INDEX('Material routes'!$D$6:$D$2205,MATCH(U198,'Material routes'!$A$6:$A$2205,0)),"MISSING ID")</x:f>
        <x:v>proposal.branch.wing_membrane</x:v>
      </x:c>
      <x:c r="T198" s="4" t="str">
        <x:f>IFERROR(INDEX('Material routes'!$D$6:$D$2205,MATCH(V198,'Material routes'!$A$6:$A$2205,0)),"MISSING ID")</x:f>
        <x:v>proposal.t3.wing_seam</x:v>
      </x:c>
      <x:c r="U198" s="4" t="str">
        <x:v>design.t3.wing_seam.in.1</x:v>
      </x:c>
      <x:c r="V198" s="4" t="str">
        <x:v>design.t3.wing_seam.out</x:v>
      </x:c>
    </x:row>
    <x:row r="199" ht="115" customHeight="1">
      <x:c r="A199" s="4" t="str">
        <x:f>IFERROR(INDEX('Material routes'!$E$6:$E$2205,MATCH(U199,'Material routes'!$A$6:$A$2205,0)),"MISSING ID")</x:f>
        <x:v>Flexible membrane-bonding compound</x:v>
      </x:c>
      <x:c r="B199" s="4" t="str">
        <x:f>IFERROR(INDEX('Material routes'!$F$6:$F$2205,MATCH(U199,'Material routes'!$A$6:$A$2205,0)),"MISSING ID")</x:f>
        <x:v>T2</x:v>
      </x:c>
      <x:c r="C199" s="4" t="str">
        <x:f>IFERROR(INDEX('Material routes'!$H$6:$H$2205,MATCH(U199,'Material routes'!$A$6:$A$2205,0)),"MISSING ID")</x:f>
        <x:v>Chemical material</x:v>
      </x:c>
      <x:c r="D199" s="4" t="str">
        <x:f>IFERROR(INDEX('Material routes'!$G$6:$G$2205,MATCH(U199,'Material routes'!$A$6:$A$2205,0)),"MISSING ID")</x:f>
        <x:v>Crafting components</x:v>
      </x:c>
      <x:c r="E199" s="4" t="str">
        <x:f>IFERROR(INDEX('Material routes'!$C$6:$C$2205,MATCH(U199,'Material routes'!$A$6:$A$2205,0)),"MISSING ID")</x:f>
        <x:v>Ingredient candidate</x:v>
      </x:c>
      <x:c r="F199" s="4" t="str">
        <x:f>IFERROR(INDEX('Material routes'!$E$6:$E$2205,MATCH(V199,'Material routes'!$A$6:$A$2205,0)),"MISSING ID")</x:f>
        <x:v>Bonded wing-seam reinforcement strips</x:v>
      </x:c>
      <x:c r="G199" s="4" t="str">
        <x:f>IFERROR(INDEX('Material routes'!$F$6:$F$2205,MATCH(V199,'Material routes'!$A$6:$A$2205,0)),"MISSING ID")</x:f>
        <x:v>T3</x:v>
      </x:c>
      <x:c r="H199" s="4" t="str">
        <x:f>IFERROR(INDEX('Material routes'!$H$6:$H$2205,MATCH(V199,'Material routes'!$A$6:$A$2205,0)),"MISSING ID")</x:f>
        <x:v>Processed material</x:v>
      </x:c>
      <x:c r="I199" s="4" t="str">
        <x:f>IFERROR(INDEX('Material routes'!$G$6:$G$2205,MATCH(V199,'Material routes'!$A$6:$A$2205,0)),"MISSING ID")</x:f>
        <x:v>Manufactured stock</x:v>
      </x:c>
      <x:c r="J199" s="4" t="str">
        <x:f>IFERROR(INDEX('Material routes'!$B$6:$B$2205,MATCH(U199,'Material routes'!$A$6:$A$2205,0)),"MISSING ID")</x:f>
        <x:v>design.t3.wing_seam</x:v>
      </x:c>
      <x:c r="K199" s="4" t="str">
        <x:f>IFERROR(INDEX('Crafting recipes'!$C$6:$C$1005,MATCH(J199,'Crafting recipes'!$A$6:$A$1005,0)),"MISSING ID")</x:f>
        <x:v>Material refinement</x:v>
      </x:c>
      <x:c r="L199" s="4" t="str">
        <x:f>IFERROR(INDEX('Material routes'!$K$6:$K$2205,MATCH(U199,'Material routes'!$A$6:$A$2205,0)),"MISSING ID")</x:f>
        <x:v>Proposal</x:v>
      </x:c>
      <x:c r="M199" s="4" t="str">
        <x:f>IFERROR(INDEX('Material routes'!$M$6:$M$2205,MATCH(U199,'Material routes'!$A$6:$A$2205,0)),"MISSING ID")</x:f>
        <x:v>Partial proposal</x:v>
      </x:c>
      <x:c r="N199" s="4" t="str">
        <x:f>IF(IFERROR(INDEX('Material routes'!$I$6:$I$1005,MATCH(U199,'Material routes'!$A$6:$A$1005,0)),"MISSING ID")=0,"",IFERROR(INDEX('Material routes'!$I$6:$I$1005,MATCH(U199,'Material routes'!$A$6:$A$1005,0)),"MISSING ID"))</x:f>
      </x:c>
      <x:c r="O199" s="4" t="str">
        <x:f>IFERROR(INDEX('Material routes'!$J$6:$J$2205,MATCH(U199,'Material routes'!$A$6:$A$2205,0)),"MISSING ID")</x:f>
        <x:v>Unspecified</x:v>
      </x:c>
      <x:c r="P199" s="4" t="str">
        <x:f>IF(IFERROR(INDEX('Material routes'!$I$6:$I$1005,MATCH(V199,'Material routes'!$A$6:$A$1005,0)),"MISSING ID")=0,"",IFERROR(INDEX('Material routes'!$I$6:$I$1005,MATCH(V199,'Material routes'!$A$6:$A$1005,0)),"MISSING ID"))</x:f>
      </x:c>
      <x:c r="Q199" s="4" t="str">
        <x:f>IFERROR(INDEX('Material routes'!$J$6:$J$2205,MATCH(V199,'Material routes'!$A$6:$A$2205,0)),"MISSING ID")</x:f>
        <x:v>Unspecified</x:v>
      </x:c>
      <x:c r="R199" s="4" t="str">
        <x:f>IF(L199="Withheld","Withheld premise",IF(E199="Tool candidate","Reusable prerequisite",IF(K199="Raw entry preparation","Entry-resource preparation",IF(G199="Not applicable",IF(IFERROR(INDEX('Items'!$AI$6:$AI$1005,MATCH(T199,'Items'!$A$6:$A$1005,0)),"MISSING ID")="Finished item","Finished endpoint",IF(IFERROR(INDEX('Items'!$AI$6:$AI$1005,MATCH(T199,'Items'!$A$6:$A$1005,0)),"MISSING ID")="Currency","Currency / no refinement tier","Recovered output / tier not applicable")),IF(OR(IFERROR(INDEX('Crafting recipes'!$H$6:$H$1005,MATCH(J199,'Crafting recipes'!$A$6:$A$1005,0)),"MISSING ID")="Unassigned",G199="Unassigned"),"Tier unresolved",IF(IFERROR(VALUE(RIGHT(G199,1))-VALUE(RIGHT(IFERROR(INDEX('Crafting recipes'!$H$6:$H$1005,MATCH(J199,'Crafting recipes'!$A$6:$A$1005,0)),"MISSING ID"),1)),0)=1,IF(B199=IFERROR(INDEX('Crafting recipes'!$H$6:$H$1005,MATCH(J199,'Crafting recipes'!$A$6:$A$1005,0)),"MISSING ID"),"Advances one material tier","Lower-tier ingredient; route advances one tier"),"Needs tier review"))))))</x:f>
        <x:v>Advances one material tier</x:v>
      </x:c>
      <x:c r="S199" s="4" t="str">
        <x:f>IFERROR(INDEX('Material routes'!$D$6:$D$2205,MATCH(U199,'Material routes'!$A$6:$A$2205,0)),"MISSING ID")</x:f>
        <x:v>proposal.branch.flex_bond</x:v>
      </x:c>
      <x:c r="T199" s="4" t="str">
        <x:f>IFERROR(INDEX('Material routes'!$D$6:$D$2205,MATCH(V199,'Material routes'!$A$6:$A$2205,0)),"MISSING ID")</x:f>
        <x:v>proposal.t3.wing_seam</x:v>
      </x:c>
      <x:c r="U199" s="4" t="str">
        <x:v>design.t3.wing_seam.in.2</x:v>
      </x:c>
      <x:c r="V199" s="4" t="str">
        <x:v>design.t3.wing_seam.out</x:v>
      </x:c>
    </x:row>
    <x:row r="200" ht="115" customHeight="1">
      <x:c r="A200" s="4" t="str">
        <x:f>IFERROR(INDEX('Material routes'!$E$6:$E$2205,MATCH(U200,'Material routes'!$A$6:$A$2205,0)),"MISSING ID")</x:f>
        <x:v>Reinforced wing membrane</x:v>
      </x:c>
      <x:c r="B200" s="4" t="str">
        <x:f>IFERROR(INDEX('Material routes'!$F$6:$F$2205,MATCH(U200,'Material routes'!$A$6:$A$2205,0)),"MISSING ID")</x:f>
        <x:v>T2</x:v>
      </x:c>
      <x:c r="C200" s="4" t="str">
        <x:f>IFERROR(INDEX('Material routes'!$H$6:$H$2205,MATCH(U200,'Material routes'!$A$6:$A$2205,0)),"MISSING ID")</x:f>
        <x:v>Processed material</x:v>
      </x:c>
      <x:c r="D200" s="4" t="str">
        <x:f>IFERROR(INDEX('Material routes'!$G$6:$G$2205,MATCH(U200,'Material routes'!$A$6:$A$2205,0)),"MISSING ID")</x:f>
        <x:v>Manufactured stock</x:v>
      </x:c>
      <x:c r="E200" s="4" t="str">
        <x:f>IFERROR(INDEX('Material routes'!$C$6:$C$2205,MATCH(U200,'Material routes'!$A$6:$A$2205,0)),"MISSING ID")</x:f>
        <x:v>Ingredient candidate</x:v>
      </x:c>
      <x:c r="F200" s="4" t="str">
        <x:f>IFERROR(INDEX('Material routes'!$E$6:$E$2205,MATCH(V200,'Material routes'!$A$6:$A$2205,0)),"MISSING ID")</x:f>
        <x:v>Matched folding wing-panel sets</x:v>
      </x:c>
      <x:c r="G200" s="4" t="str">
        <x:f>IFERROR(INDEX('Material routes'!$F$6:$F$2205,MATCH(V200,'Material routes'!$A$6:$A$2205,0)),"MISSING ID")</x:f>
        <x:v>T3</x:v>
      </x:c>
      <x:c r="H200" s="4" t="str">
        <x:f>IFERROR(INDEX('Material routes'!$H$6:$H$2205,MATCH(V200,'Material routes'!$A$6:$A$2205,0)),"MISSING ID")</x:f>
        <x:v>Crafting component</x:v>
      </x:c>
      <x:c r="I200" s="4" t="str">
        <x:f>IFERROR(INDEX('Material routes'!$G$6:$G$2205,MATCH(V200,'Material routes'!$A$6:$A$2205,0)),"MISSING ID")</x:f>
        <x:v>Crafting components</x:v>
      </x:c>
      <x:c r="J200" s="4" t="str">
        <x:f>IFERROR(INDEX('Material routes'!$B$6:$B$2205,MATCH(U200,'Material routes'!$A$6:$A$2205,0)),"MISSING ID")</x:f>
        <x:v>design.t3.sail_panel_set</x:v>
      </x:c>
      <x:c r="K200" s="4" t="str">
        <x:f>IFERROR(INDEX('Crafting recipes'!$C$6:$C$1005,MATCH(J200,'Crafting recipes'!$A$6:$A$1005,0)),"MISSING ID")</x:f>
        <x:v>Material refinement</x:v>
      </x:c>
      <x:c r="L200" s="4" t="str">
        <x:f>IFERROR(INDEX('Material routes'!$K$6:$K$2205,MATCH(U200,'Material routes'!$A$6:$A$2205,0)),"MISSING ID")</x:f>
        <x:v>Proposal</x:v>
      </x:c>
      <x:c r="M200" s="4" t="str">
        <x:f>IFERROR(INDEX('Material routes'!$M$6:$M$2205,MATCH(U200,'Material routes'!$A$6:$A$2205,0)),"MISSING ID")</x:f>
        <x:v>Partial proposal</x:v>
      </x:c>
      <x:c r="N200" s="4" t="str">
        <x:f>IF(IFERROR(INDEX('Material routes'!$I$6:$I$1005,MATCH(U200,'Material routes'!$A$6:$A$1005,0)),"MISSING ID")=0,"",IFERROR(INDEX('Material routes'!$I$6:$I$1005,MATCH(U200,'Material routes'!$A$6:$A$1005,0)),"MISSING ID"))</x:f>
      </x:c>
      <x:c r="O200" s="4" t="str">
        <x:f>IFERROR(INDEX('Material routes'!$J$6:$J$2205,MATCH(U200,'Material routes'!$A$6:$A$2205,0)),"MISSING ID")</x:f>
        <x:v>Unspecified</x:v>
      </x:c>
      <x:c r="P200" s="4" t="str">
        <x:f>IF(IFERROR(INDEX('Material routes'!$I$6:$I$1005,MATCH(V200,'Material routes'!$A$6:$A$1005,0)),"MISSING ID")=0,"",IFERROR(INDEX('Material routes'!$I$6:$I$1005,MATCH(V200,'Material routes'!$A$6:$A$1005,0)),"MISSING ID"))</x:f>
      </x:c>
      <x:c r="Q200" s="4" t="str">
        <x:f>IFERROR(INDEX('Material routes'!$J$6:$J$2205,MATCH(V200,'Material routes'!$A$6:$A$2205,0)),"MISSING ID")</x:f>
        <x:v>Unspecified</x:v>
      </x:c>
      <x:c r="R200" s="4" t="str">
        <x:f>IF(L200="Withheld","Withheld premise",IF(E200="Tool candidate","Reusable prerequisite",IF(K200="Raw entry preparation","Entry-resource preparation",IF(G200="Not applicable",IF(IFERROR(INDEX('Items'!$AI$6:$AI$1005,MATCH(T200,'Items'!$A$6:$A$1005,0)),"MISSING ID")="Finished item","Finished endpoint",IF(IFERROR(INDEX('Items'!$AI$6:$AI$1005,MATCH(T200,'Items'!$A$6:$A$1005,0)),"MISSING ID")="Currency","Currency / no refinement tier","Recovered output / tier not applicable")),IF(OR(IFERROR(INDEX('Crafting recipes'!$H$6:$H$1005,MATCH(J200,'Crafting recipes'!$A$6:$A$1005,0)),"MISSING ID")="Unassigned",G200="Unassigned"),"Tier unresolved",IF(IFERROR(VALUE(RIGHT(G200,1))-VALUE(RIGHT(IFERROR(INDEX('Crafting recipes'!$H$6:$H$1005,MATCH(J200,'Crafting recipes'!$A$6:$A$1005,0)),"MISSING ID"),1)),0)=1,IF(B200=IFERROR(INDEX('Crafting recipes'!$H$6:$H$1005,MATCH(J200,'Crafting recipes'!$A$6:$A$1005,0)),"MISSING ID"),"Advances one material tier","Lower-tier ingredient; route advances one tier"),"Needs tier review"))))))</x:f>
        <x:v>Advances one material tier</x:v>
      </x:c>
      <x:c r="S200" s="4" t="str">
        <x:f>IFERROR(INDEX('Material routes'!$D$6:$D$2205,MATCH(U200,'Material routes'!$A$6:$A$2205,0)),"MISSING ID")</x:f>
        <x:v>proposal.branch.wing_membrane</x:v>
      </x:c>
      <x:c r="T200" s="4" t="str">
        <x:f>IFERROR(INDEX('Material routes'!$D$6:$D$2205,MATCH(V200,'Material routes'!$A$6:$A$2205,0)),"MISSING ID")</x:f>
        <x:v>proposal.t3.sail_panel_set</x:v>
      </x:c>
      <x:c r="U200" s="4" t="str">
        <x:v>design.t3.sail_panel_set.in.1</x:v>
      </x:c>
      <x:c r="V200" s="4" t="str">
        <x:v>design.t3.sail_panel_set.out</x:v>
      </x:c>
    </x:row>
    <x:row r="201" ht="115" customHeight="1">
      <x:c r="A201" s="4" t="str">
        <x:f>IFERROR(INDEX('Material routes'!$E$6:$E$2205,MATCH(U201,'Material routes'!$A$6:$A$2205,0)),"MISSING ID")</x:f>
        <x:v>Flexible membrane-bonding compound</x:v>
      </x:c>
      <x:c r="B201" s="4" t="str">
        <x:f>IFERROR(INDEX('Material routes'!$F$6:$F$2205,MATCH(U201,'Material routes'!$A$6:$A$2205,0)),"MISSING ID")</x:f>
        <x:v>T2</x:v>
      </x:c>
      <x:c r="C201" s="4" t="str">
        <x:f>IFERROR(INDEX('Material routes'!$H$6:$H$2205,MATCH(U201,'Material routes'!$A$6:$A$2205,0)),"MISSING ID")</x:f>
        <x:v>Chemical material</x:v>
      </x:c>
      <x:c r="D201" s="4" t="str">
        <x:f>IFERROR(INDEX('Material routes'!$G$6:$G$2205,MATCH(U201,'Material routes'!$A$6:$A$2205,0)),"MISSING ID")</x:f>
        <x:v>Crafting components</x:v>
      </x:c>
      <x:c r="E201" s="4" t="str">
        <x:f>IFERROR(INDEX('Material routes'!$C$6:$C$2205,MATCH(U201,'Material routes'!$A$6:$A$2205,0)),"MISSING ID")</x:f>
        <x:v>Ingredient candidate</x:v>
      </x:c>
      <x:c r="F201" s="4" t="str">
        <x:f>IFERROR(INDEX('Material routes'!$E$6:$E$2205,MATCH(V201,'Material routes'!$A$6:$A$2205,0)),"MISSING ID")</x:f>
        <x:v>Matched folding wing-panel sets</x:v>
      </x:c>
      <x:c r="G201" s="4" t="str">
        <x:f>IFERROR(INDEX('Material routes'!$F$6:$F$2205,MATCH(V201,'Material routes'!$A$6:$A$2205,0)),"MISSING ID")</x:f>
        <x:v>T3</x:v>
      </x:c>
      <x:c r="H201" s="4" t="str">
        <x:f>IFERROR(INDEX('Material routes'!$H$6:$H$2205,MATCH(V201,'Material routes'!$A$6:$A$2205,0)),"MISSING ID")</x:f>
        <x:v>Crafting component</x:v>
      </x:c>
      <x:c r="I201" s="4" t="str">
        <x:f>IFERROR(INDEX('Material routes'!$G$6:$G$2205,MATCH(V201,'Material routes'!$A$6:$A$2205,0)),"MISSING ID")</x:f>
        <x:v>Crafting components</x:v>
      </x:c>
      <x:c r="J201" s="4" t="str">
        <x:f>IFERROR(INDEX('Material routes'!$B$6:$B$2205,MATCH(U201,'Material routes'!$A$6:$A$2205,0)),"MISSING ID")</x:f>
        <x:v>design.t3.sail_panel_set</x:v>
      </x:c>
      <x:c r="K201" s="4" t="str">
        <x:f>IFERROR(INDEX('Crafting recipes'!$C$6:$C$1005,MATCH(J201,'Crafting recipes'!$A$6:$A$1005,0)),"MISSING ID")</x:f>
        <x:v>Material refinement</x:v>
      </x:c>
      <x:c r="L201" s="4" t="str">
        <x:f>IFERROR(INDEX('Material routes'!$K$6:$K$2205,MATCH(U201,'Material routes'!$A$6:$A$2205,0)),"MISSING ID")</x:f>
        <x:v>Proposal</x:v>
      </x:c>
      <x:c r="M201" s="4" t="str">
        <x:f>IFERROR(INDEX('Material routes'!$M$6:$M$2205,MATCH(U201,'Material routes'!$A$6:$A$2205,0)),"MISSING ID")</x:f>
        <x:v>Partial proposal</x:v>
      </x:c>
      <x:c r="N201" s="4" t="str">
        <x:f>IF(IFERROR(INDEX('Material routes'!$I$6:$I$1005,MATCH(U201,'Material routes'!$A$6:$A$1005,0)),"MISSING ID")=0,"",IFERROR(INDEX('Material routes'!$I$6:$I$1005,MATCH(U201,'Material routes'!$A$6:$A$1005,0)),"MISSING ID"))</x:f>
      </x:c>
      <x:c r="O201" s="4" t="str">
        <x:f>IFERROR(INDEX('Material routes'!$J$6:$J$2205,MATCH(U201,'Material routes'!$A$6:$A$2205,0)),"MISSING ID")</x:f>
        <x:v>Unspecified</x:v>
      </x:c>
      <x:c r="P201" s="4" t="str">
        <x:f>IF(IFERROR(INDEX('Material routes'!$I$6:$I$1005,MATCH(V201,'Material routes'!$A$6:$A$1005,0)),"MISSING ID")=0,"",IFERROR(INDEX('Material routes'!$I$6:$I$1005,MATCH(V201,'Material routes'!$A$6:$A$1005,0)),"MISSING ID"))</x:f>
      </x:c>
      <x:c r="Q201" s="4" t="str">
        <x:f>IFERROR(INDEX('Material routes'!$J$6:$J$2205,MATCH(V201,'Material routes'!$A$6:$A$2205,0)),"MISSING ID")</x:f>
        <x:v>Unspecified</x:v>
      </x:c>
      <x:c r="R201" s="4" t="str">
        <x:f>IF(L201="Withheld","Withheld premise",IF(E201="Tool candidate","Reusable prerequisite",IF(K201="Raw entry preparation","Entry-resource preparation",IF(G201="Not applicable",IF(IFERROR(INDEX('Items'!$AI$6:$AI$1005,MATCH(T201,'Items'!$A$6:$A$1005,0)),"MISSING ID")="Finished item","Finished endpoint",IF(IFERROR(INDEX('Items'!$AI$6:$AI$1005,MATCH(T201,'Items'!$A$6:$A$1005,0)),"MISSING ID")="Currency","Currency / no refinement tier","Recovered output / tier not applicable")),IF(OR(IFERROR(INDEX('Crafting recipes'!$H$6:$H$1005,MATCH(J201,'Crafting recipes'!$A$6:$A$1005,0)),"MISSING ID")="Unassigned",G201="Unassigned"),"Tier unresolved",IF(IFERROR(VALUE(RIGHT(G201,1))-VALUE(RIGHT(IFERROR(INDEX('Crafting recipes'!$H$6:$H$1005,MATCH(J201,'Crafting recipes'!$A$6:$A$1005,0)),"MISSING ID"),1)),0)=1,IF(B201=IFERROR(INDEX('Crafting recipes'!$H$6:$H$1005,MATCH(J201,'Crafting recipes'!$A$6:$A$1005,0)),"MISSING ID"),"Advances one material tier","Lower-tier ingredient; route advances one tier"),"Needs tier review"))))))</x:f>
        <x:v>Advances one material tier</x:v>
      </x:c>
      <x:c r="S201" s="4" t="str">
        <x:f>IFERROR(INDEX('Material routes'!$D$6:$D$2205,MATCH(U201,'Material routes'!$A$6:$A$2205,0)),"MISSING ID")</x:f>
        <x:v>proposal.branch.flex_bond</x:v>
      </x:c>
      <x:c r="T201" s="4" t="str">
        <x:f>IFERROR(INDEX('Material routes'!$D$6:$D$2205,MATCH(V201,'Material routes'!$A$6:$A$2205,0)),"MISSING ID")</x:f>
        <x:v>proposal.t3.sail_panel_set</x:v>
      </x:c>
      <x:c r="U201" s="4" t="str">
        <x:v>design.t3.sail_panel_set.in.2</x:v>
      </x:c>
      <x:c r="V201" s="4" t="str">
        <x:v>design.t3.sail_panel_set.out</x:v>
      </x:c>
    </x:row>
    <x:row r="202" ht="115" customHeight="1">
      <x:c r="A202" s="4" t="str">
        <x:f>IFERROR(INDEX('Material routes'!$E$6:$E$2205,MATCH(U202,'Material routes'!$A$6:$A$2205,0)),"MISSING ID")</x:f>
        <x:v>Prepared bronze bearing stock</x:v>
      </x:c>
      <x:c r="B202" s="4" t="str">
        <x:f>IFERROR(INDEX('Material routes'!$F$6:$F$2205,MATCH(U202,'Material routes'!$A$6:$A$2205,0)),"MISSING ID")</x:f>
        <x:v>T2</x:v>
      </x:c>
      <x:c r="C202" s="4" t="str">
        <x:f>IFERROR(INDEX('Material routes'!$H$6:$H$2205,MATCH(U202,'Material routes'!$A$6:$A$2205,0)),"MISSING ID")</x:f>
        <x:v>Processed material</x:v>
      </x:c>
      <x:c r="D202" s="4" t="str">
        <x:f>IFERROR(INDEX('Material routes'!$G$6:$G$2205,MATCH(U202,'Material routes'!$A$6:$A$2205,0)),"MISSING ID")</x:f>
        <x:v>Manufactured stock</x:v>
      </x:c>
      <x:c r="E202" s="4" t="str">
        <x:f>IFERROR(INDEX('Material routes'!$C$6:$C$2205,MATCH(U202,'Material routes'!$A$6:$A$2205,0)),"MISSING ID")</x:f>
        <x:v>Ingredient candidate</x:v>
      </x:c>
      <x:c r="F202" s="4" t="str">
        <x:f>IFERROR(INDEX('Material routes'!$E$6:$E$2205,MATCH(V202,'Material routes'!$A$6:$A$2205,0)),"MISSING ID")</x:f>
        <x:v>Matched folding wing-panel sets</x:v>
      </x:c>
      <x:c r="G202" s="4" t="str">
        <x:f>IFERROR(INDEX('Material routes'!$F$6:$F$2205,MATCH(V202,'Material routes'!$A$6:$A$2205,0)),"MISSING ID")</x:f>
        <x:v>T3</x:v>
      </x:c>
      <x:c r="H202" s="4" t="str">
        <x:f>IFERROR(INDEX('Material routes'!$H$6:$H$2205,MATCH(V202,'Material routes'!$A$6:$A$2205,0)),"MISSING ID")</x:f>
        <x:v>Crafting component</x:v>
      </x:c>
      <x:c r="I202" s="4" t="str">
        <x:f>IFERROR(INDEX('Material routes'!$G$6:$G$2205,MATCH(V202,'Material routes'!$A$6:$A$2205,0)),"MISSING ID")</x:f>
        <x:v>Crafting components</x:v>
      </x:c>
      <x:c r="J202" s="4" t="str">
        <x:f>IFERROR(INDEX('Material routes'!$B$6:$B$2205,MATCH(U202,'Material routes'!$A$6:$A$2205,0)),"MISSING ID")</x:f>
        <x:v>design.t3.sail_panel_set</x:v>
      </x:c>
      <x:c r="K202" s="4" t="str">
        <x:f>IFERROR(INDEX('Crafting recipes'!$C$6:$C$1005,MATCH(J202,'Crafting recipes'!$A$6:$A$1005,0)),"MISSING ID")</x:f>
        <x:v>Material refinement</x:v>
      </x:c>
      <x:c r="L202" s="4" t="str">
        <x:f>IFERROR(INDEX('Material routes'!$K$6:$K$2205,MATCH(U202,'Material routes'!$A$6:$A$2205,0)),"MISSING ID")</x:f>
        <x:v>Proposal</x:v>
      </x:c>
      <x:c r="M202" s="4" t="str">
        <x:f>IFERROR(INDEX('Material routes'!$M$6:$M$2205,MATCH(U202,'Material routes'!$A$6:$A$2205,0)),"MISSING ID")</x:f>
        <x:v>Partial proposal</x:v>
      </x:c>
      <x:c r="N202" s="4" t="str">
        <x:f>IF(IFERROR(INDEX('Material routes'!$I$6:$I$1005,MATCH(U202,'Material routes'!$A$6:$A$1005,0)),"MISSING ID")=0,"",IFERROR(INDEX('Material routes'!$I$6:$I$1005,MATCH(U202,'Material routes'!$A$6:$A$1005,0)),"MISSING ID"))</x:f>
      </x:c>
      <x:c r="O202" s="4" t="str">
        <x:f>IFERROR(INDEX('Material routes'!$J$6:$J$2205,MATCH(U202,'Material routes'!$A$6:$A$2205,0)),"MISSING ID")</x:f>
        <x:v>Unspecified</x:v>
      </x:c>
      <x:c r="P202" s="4" t="str">
        <x:f>IF(IFERROR(INDEX('Material routes'!$I$6:$I$1005,MATCH(V202,'Material routes'!$A$6:$A$1005,0)),"MISSING ID")=0,"",IFERROR(INDEX('Material routes'!$I$6:$I$1005,MATCH(V202,'Material routes'!$A$6:$A$1005,0)),"MISSING ID"))</x:f>
      </x:c>
      <x:c r="Q202" s="4" t="str">
        <x:f>IFERROR(INDEX('Material routes'!$J$6:$J$2205,MATCH(V202,'Material routes'!$A$6:$A$2205,0)),"MISSING ID")</x:f>
        <x:v>Unspecified</x:v>
      </x:c>
      <x:c r="R202" s="4" t="str">
        <x:f>IF(L202="Withheld","Withheld premise",IF(E202="Tool candidate","Reusable prerequisite",IF(K202="Raw entry preparation","Entry-resource preparation",IF(G202="Not applicable",IF(IFERROR(INDEX('Items'!$AI$6:$AI$1005,MATCH(T202,'Items'!$A$6:$A$1005,0)),"MISSING ID")="Finished item","Finished endpoint",IF(IFERROR(INDEX('Items'!$AI$6:$AI$1005,MATCH(T202,'Items'!$A$6:$A$1005,0)),"MISSING ID")="Currency","Currency / no refinement tier","Recovered output / tier not applicable")),IF(OR(IFERROR(INDEX('Crafting recipes'!$H$6:$H$1005,MATCH(J202,'Crafting recipes'!$A$6:$A$1005,0)),"MISSING ID")="Unassigned",G202="Unassigned"),"Tier unresolved",IF(IFERROR(VALUE(RIGHT(G202,1))-VALUE(RIGHT(IFERROR(INDEX('Crafting recipes'!$H$6:$H$1005,MATCH(J202,'Crafting recipes'!$A$6:$A$1005,0)),"MISSING ID"),1)),0)=1,IF(B202=IFERROR(INDEX('Crafting recipes'!$H$6:$H$1005,MATCH(J202,'Crafting recipes'!$A$6:$A$1005,0)),"MISSING ID"),"Advances one material tier","Lower-tier ingredient; route advances one tier"),"Needs tier review"))))))</x:f>
        <x:v>Advances one material tier</x:v>
      </x:c>
      <x:c r="S202" s="4" t="str">
        <x:f>IFERROR(INDEX('Material routes'!$D$6:$D$2205,MATCH(U202,'Material routes'!$A$6:$A$2205,0)),"MISSING ID")</x:f>
        <x:v>proposal.branch.bearing_bronze</x:v>
      </x:c>
      <x:c r="T202" s="4" t="str">
        <x:f>IFERROR(INDEX('Material routes'!$D$6:$D$2205,MATCH(V202,'Material routes'!$A$6:$A$2205,0)),"MISSING ID")</x:f>
        <x:v>proposal.t3.sail_panel_set</x:v>
      </x:c>
      <x:c r="U202" s="4" t="str">
        <x:v>design.t3.sail_panel_set.in.3</x:v>
      </x:c>
      <x:c r="V202" s="4" t="str">
        <x:v>design.t3.sail_panel_set.out</x:v>
      </x:c>
    </x:row>
    <x:row r="203" ht="115" customHeight="1">
      <x:c r="A203" s="4" t="str">
        <x:f>IFERROR(INDEX('Material routes'!$E$6:$E$2205,MATCH(U203,'Material routes'!$A$6:$A$2205,0)),"MISSING ID")</x:f>
        <x:v>Bonded husk sheet</x:v>
      </x:c>
      <x:c r="B203" s="4" t="str">
        <x:f>IFERROR(INDEX('Material routes'!$F$6:$F$2205,MATCH(U203,'Material routes'!$A$6:$A$2205,0)),"MISSING ID")</x:f>
        <x:v>T2</x:v>
      </x:c>
      <x:c r="C203" s="4" t="str">
        <x:f>IFERROR(INDEX('Material routes'!$H$6:$H$2205,MATCH(U203,'Material routes'!$A$6:$A$2205,0)),"MISSING ID")</x:f>
        <x:v>Processed material</x:v>
      </x:c>
      <x:c r="D203" s="4" t="str">
        <x:f>IFERROR(INDEX('Material routes'!$G$6:$G$2205,MATCH(U203,'Material routes'!$A$6:$A$2205,0)),"MISSING ID")</x:f>
        <x:v>Manufactured stock</x:v>
      </x:c>
      <x:c r="E203" s="4" t="str">
        <x:f>IFERROR(INDEX('Material routes'!$C$6:$C$2205,MATCH(U203,'Material routes'!$A$6:$A$2205,0)),"MISSING ID")</x:f>
        <x:v>Ingredient candidate</x:v>
      </x:c>
      <x:c r="F203" s="4" t="str">
        <x:f>IFERROR(INDEX('Material routes'!$E$6:$E$2205,MATCH(V203,'Material routes'!$A$6:$A$2205,0)),"MISSING ID")</x:f>
        <x:v>Flexible husk joint strips</x:v>
      </x:c>
      <x:c r="G203" s="4" t="str">
        <x:f>IFERROR(INDEX('Material routes'!$F$6:$F$2205,MATCH(V203,'Material routes'!$A$6:$A$2205,0)),"MISSING ID")</x:f>
        <x:v>T3</x:v>
      </x:c>
      <x:c r="H203" s="4" t="str">
        <x:f>IFERROR(INDEX('Material routes'!$H$6:$H$2205,MATCH(V203,'Material routes'!$A$6:$A$2205,0)),"MISSING ID")</x:f>
        <x:v>Processed material</x:v>
      </x:c>
      <x:c r="I203" s="4" t="str">
        <x:f>IFERROR(INDEX('Material routes'!$G$6:$G$2205,MATCH(V203,'Material routes'!$A$6:$A$2205,0)),"MISSING ID")</x:f>
        <x:v>Manufactured stock</x:v>
      </x:c>
      <x:c r="J203" s="4" t="str">
        <x:f>IFERROR(INDEX('Material routes'!$B$6:$B$2205,MATCH(U203,'Material routes'!$A$6:$A$2205,0)),"MISSING ID")</x:f>
        <x:v>design.t3.husk_joint</x:v>
      </x:c>
      <x:c r="K203" s="4" t="str">
        <x:f>IFERROR(INDEX('Crafting recipes'!$C$6:$C$1005,MATCH(J203,'Crafting recipes'!$A$6:$A$1005,0)),"MISSING ID")</x:f>
        <x:v>Material refinement</x:v>
      </x:c>
      <x:c r="L203" s="4" t="str">
        <x:f>IFERROR(INDEX('Material routes'!$K$6:$K$2205,MATCH(U203,'Material routes'!$A$6:$A$2205,0)),"MISSING ID")</x:f>
        <x:v>Proposal</x:v>
      </x:c>
      <x:c r="M203" s="4" t="str">
        <x:f>IFERROR(INDEX('Material routes'!$M$6:$M$2205,MATCH(U203,'Material routes'!$A$6:$A$2205,0)),"MISSING ID")</x:f>
        <x:v>Partial proposal</x:v>
      </x:c>
      <x:c r="N203" s="4" t="str">
        <x:f>IF(IFERROR(INDEX('Material routes'!$I$6:$I$1005,MATCH(U203,'Material routes'!$A$6:$A$1005,0)),"MISSING ID")=0,"",IFERROR(INDEX('Material routes'!$I$6:$I$1005,MATCH(U203,'Material routes'!$A$6:$A$1005,0)),"MISSING ID"))</x:f>
      </x:c>
      <x:c r="O203" s="4" t="str">
        <x:f>IFERROR(INDEX('Material routes'!$J$6:$J$2205,MATCH(U203,'Material routes'!$A$6:$A$2205,0)),"MISSING ID")</x:f>
        <x:v>Unspecified</x:v>
      </x:c>
      <x:c r="P203" s="4" t="str">
        <x:f>IF(IFERROR(INDEX('Material routes'!$I$6:$I$1005,MATCH(V203,'Material routes'!$A$6:$A$1005,0)),"MISSING ID")=0,"",IFERROR(INDEX('Material routes'!$I$6:$I$1005,MATCH(V203,'Material routes'!$A$6:$A$1005,0)),"MISSING ID"))</x:f>
      </x:c>
      <x:c r="Q203" s="4" t="str">
        <x:f>IFERROR(INDEX('Material routes'!$J$6:$J$2205,MATCH(V203,'Material routes'!$A$6:$A$2205,0)),"MISSING ID")</x:f>
        <x:v>Unspecified</x:v>
      </x:c>
      <x:c r="R203" s="4" t="str">
        <x:f>IF(L203="Withheld","Withheld premise",IF(E203="Tool candidate","Reusable prerequisite",IF(K203="Raw entry preparation","Entry-resource preparation",IF(G203="Not applicable",IF(IFERROR(INDEX('Items'!$AI$6:$AI$1005,MATCH(T203,'Items'!$A$6:$A$1005,0)),"MISSING ID")="Finished item","Finished endpoint",IF(IFERROR(INDEX('Items'!$AI$6:$AI$1005,MATCH(T203,'Items'!$A$6:$A$1005,0)),"MISSING ID")="Currency","Currency / no refinement tier","Recovered output / tier not applicable")),IF(OR(IFERROR(INDEX('Crafting recipes'!$H$6:$H$1005,MATCH(J203,'Crafting recipes'!$A$6:$A$1005,0)),"MISSING ID")="Unassigned",G203="Unassigned"),"Tier unresolved",IF(IFERROR(VALUE(RIGHT(G203,1))-VALUE(RIGHT(IFERROR(INDEX('Crafting recipes'!$H$6:$H$1005,MATCH(J203,'Crafting recipes'!$A$6:$A$1005,0)),"MISSING ID"),1)),0)=1,IF(B203=IFERROR(INDEX('Crafting recipes'!$H$6:$H$1005,MATCH(J203,'Crafting recipes'!$A$6:$A$1005,0)),"MISSING ID"),"Advances one material tier","Lower-tier ingredient; route advances one tier"),"Needs tier review"))))))</x:f>
        <x:v>Advances one material tier</x:v>
      </x:c>
      <x:c r="S203" s="4" t="str">
        <x:f>IFERROR(INDEX('Material routes'!$D$6:$D$2205,MATCH(U203,'Material routes'!$A$6:$A$2205,0)),"MISSING ID")</x:f>
        <x:v>proposal.branch.husk_sheet</x:v>
      </x:c>
      <x:c r="T203" s="4" t="str">
        <x:f>IFERROR(INDEX('Material routes'!$D$6:$D$2205,MATCH(V203,'Material routes'!$A$6:$A$2205,0)),"MISSING ID")</x:f>
        <x:v>proposal.t3.husk_joint</x:v>
      </x:c>
      <x:c r="U203" s="4" t="str">
        <x:v>design.t3.husk_joint.in.1</x:v>
      </x:c>
      <x:c r="V203" s="4" t="str">
        <x:v>design.t3.husk_joint.out</x:v>
      </x:c>
    </x:row>
    <x:row r="204" ht="115" customHeight="1">
      <x:c r="A204" s="4" t="str">
        <x:f>IFERROR(INDEX('Material routes'!$E$6:$E$2205,MATCH(U204,'Material routes'!$A$6:$A$2205,0)),"MISSING ID")</x:f>
        <x:v>Flexible membrane-bonding compound</x:v>
      </x:c>
      <x:c r="B204" s="4" t="str">
        <x:f>IFERROR(INDEX('Material routes'!$F$6:$F$2205,MATCH(U204,'Material routes'!$A$6:$A$2205,0)),"MISSING ID")</x:f>
        <x:v>T2</x:v>
      </x:c>
      <x:c r="C204" s="4" t="str">
        <x:f>IFERROR(INDEX('Material routes'!$H$6:$H$2205,MATCH(U204,'Material routes'!$A$6:$A$2205,0)),"MISSING ID")</x:f>
        <x:v>Chemical material</x:v>
      </x:c>
      <x:c r="D204" s="4" t="str">
        <x:f>IFERROR(INDEX('Material routes'!$G$6:$G$2205,MATCH(U204,'Material routes'!$A$6:$A$2205,0)),"MISSING ID")</x:f>
        <x:v>Crafting components</x:v>
      </x:c>
      <x:c r="E204" s="4" t="str">
        <x:f>IFERROR(INDEX('Material routes'!$C$6:$C$2205,MATCH(U204,'Material routes'!$A$6:$A$2205,0)),"MISSING ID")</x:f>
        <x:v>Ingredient candidate</x:v>
      </x:c>
      <x:c r="F204" s="4" t="str">
        <x:f>IFERROR(INDEX('Material routes'!$E$6:$E$2205,MATCH(V204,'Material routes'!$A$6:$A$2205,0)),"MISSING ID")</x:f>
        <x:v>Flexible husk joint strips</x:v>
      </x:c>
      <x:c r="G204" s="4" t="str">
        <x:f>IFERROR(INDEX('Material routes'!$F$6:$F$2205,MATCH(V204,'Material routes'!$A$6:$A$2205,0)),"MISSING ID")</x:f>
        <x:v>T3</x:v>
      </x:c>
      <x:c r="H204" s="4" t="str">
        <x:f>IFERROR(INDEX('Material routes'!$H$6:$H$2205,MATCH(V204,'Material routes'!$A$6:$A$2205,0)),"MISSING ID")</x:f>
        <x:v>Processed material</x:v>
      </x:c>
      <x:c r="I204" s="4" t="str">
        <x:f>IFERROR(INDEX('Material routes'!$G$6:$G$2205,MATCH(V204,'Material routes'!$A$6:$A$2205,0)),"MISSING ID")</x:f>
        <x:v>Manufactured stock</x:v>
      </x:c>
      <x:c r="J204" s="4" t="str">
        <x:f>IFERROR(INDEX('Material routes'!$B$6:$B$2205,MATCH(U204,'Material routes'!$A$6:$A$2205,0)),"MISSING ID")</x:f>
        <x:v>design.t3.husk_joint</x:v>
      </x:c>
      <x:c r="K204" s="4" t="str">
        <x:f>IFERROR(INDEX('Crafting recipes'!$C$6:$C$1005,MATCH(J204,'Crafting recipes'!$A$6:$A$1005,0)),"MISSING ID")</x:f>
        <x:v>Material refinement</x:v>
      </x:c>
      <x:c r="L204" s="4" t="str">
        <x:f>IFERROR(INDEX('Material routes'!$K$6:$K$2205,MATCH(U204,'Material routes'!$A$6:$A$2205,0)),"MISSING ID")</x:f>
        <x:v>Proposal</x:v>
      </x:c>
      <x:c r="M204" s="4" t="str">
        <x:f>IFERROR(INDEX('Material routes'!$M$6:$M$2205,MATCH(U204,'Material routes'!$A$6:$A$2205,0)),"MISSING ID")</x:f>
        <x:v>Partial proposal</x:v>
      </x:c>
      <x:c r="N204" s="4" t="str">
        <x:f>IF(IFERROR(INDEX('Material routes'!$I$6:$I$1005,MATCH(U204,'Material routes'!$A$6:$A$1005,0)),"MISSING ID")=0,"",IFERROR(INDEX('Material routes'!$I$6:$I$1005,MATCH(U204,'Material routes'!$A$6:$A$1005,0)),"MISSING ID"))</x:f>
      </x:c>
      <x:c r="O204" s="4" t="str">
        <x:f>IFERROR(INDEX('Material routes'!$J$6:$J$2205,MATCH(U204,'Material routes'!$A$6:$A$2205,0)),"MISSING ID")</x:f>
        <x:v>Unspecified</x:v>
      </x:c>
      <x:c r="P204" s="4" t="str">
        <x:f>IF(IFERROR(INDEX('Material routes'!$I$6:$I$1005,MATCH(V204,'Material routes'!$A$6:$A$1005,0)),"MISSING ID")=0,"",IFERROR(INDEX('Material routes'!$I$6:$I$1005,MATCH(V204,'Material routes'!$A$6:$A$1005,0)),"MISSING ID"))</x:f>
      </x:c>
      <x:c r="Q204" s="4" t="str">
        <x:f>IFERROR(INDEX('Material routes'!$J$6:$J$2205,MATCH(V204,'Material routes'!$A$6:$A$2205,0)),"MISSING ID")</x:f>
        <x:v>Unspecified</x:v>
      </x:c>
      <x:c r="R204" s="4" t="str">
        <x:f>IF(L204="Withheld","Withheld premise",IF(E204="Tool candidate","Reusable prerequisite",IF(K204="Raw entry preparation","Entry-resource preparation",IF(G204="Not applicable",IF(IFERROR(INDEX('Items'!$AI$6:$AI$1005,MATCH(T204,'Items'!$A$6:$A$1005,0)),"MISSING ID")="Finished item","Finished endpoint",IF(IFERROR(INDEX('Items'!$AI$6:$AI$1005,MATCH(T204,'Items'!$A$6:$A$1005,0)),"MISSING ID")="Currency","Currency / no refinement tier","Recovered output / tier not applicable")),IF(OR(IFERROR(INDEX('Crafting recipes'!$H$6:$H$1005,MATCH(J204,'Crafting recipes'!$A$6:$A$1005,0)),"MISSING ID")="Unassigned",G204="Unassigned"),"Tier unresolved",IF(IFERROR(VALUE(RIGHT(G204,1))-VALUE(RIGHT(IFERROR(INDEX('Crafting recipes'!$H$6:$H$1005,MATCH(J204,'Crafting recipes'!$A$6:$A$1005,0)),"MISSING ID"),1)),0)=1,IF(B204=IFERROR(INDEX('Crafting recipes'!$H$6:$H$1005,MATCH(J204,'Crafting recipes'!$A$6:$A$1005,0)),"MISSING ID"),"Advances one material tier","Lower-tier ingredient; route advances one tier"),"Needs tier review"))))))</x:f>
        <x:v>Advances one material tier</x:v>
      </x:c>
      <x:c r="S204" s="4" t="str">
        <x:f>IFERROR(INDEX('Material routes'!$D$6:$D$2205,MATCH(U204,'Material routes'!$A$6:$A$2205,0)),"MISSING ID")</x:f>
        <x:v>proposal.branch.flex_bond</x:v>
      </x:c>
      <x:c r="T204" s="4" t="str">
        <x:f>IFERROR(INDEX('Material routes'!$D$6:$D$2205,MATCH(V204,'Material routes'!$A$6:$A$2205,0)),"MISSING ID")</x:f>
        <x:v>proposal.t3.husk_joint</x:v>
      </x:c>
      <x:c r="U204" s="4" t="str">
        <x:v>design.t3.husk_joint.in.2</x:v>
      </x:c>
      <x:c r="V204" s="4" t="str">
        <x:v>design.t3.husk_joint.out</x:v>
      </x:c>
    </x:row>
    <x:row r="205" ht="115" customHeight="1">
      <x:c r="A205" s="4" t="str">
        <x:f>IFERROR(INDEX('Material routes'!$E$6:$E$2205,MATCH(U205,'Material routes'!$A$6:$A$2205,0)),"MISSING ID")</x:f>
        <x:v>Steel stock</x:v>
      </x:c>
      <x:c r="B205" s="4" t="str">
        <x:f>IFERROR(INDEX('Material routes'!$F$6:$F$2205,MATCH(U205,'Material routes'!$A$6:$A$2205,0)),"MISSING ID")</x:f>
        <x:v>T2</x:v>
      </x:c>
      <x:c r="C205" s="4" t="str">
        <x:f>IFERROR(INDEX('Material routes'!$H$6:$H$2205,MATCH(U205,'Material routes'!$A$6:$A$2205,0)),"MISSING ID")</x:f>
        <x:v>Processed material</x:v>
      </x:c>
      <x:c r="D205" s="4" t="str">
        <x:f>IFERROR(INDEX('Material routes'!$G$6:$G$2205,MATCH(U205,'Material routes'!$A$6:$A$2205,0)),"MISSING ID")</x:f>
        <x:v>Manufactured stock</x:v>
      </x:c>
      <x:c r="E205" s="4" t="str">
        <x:f>IFERROR(INDEX('Material routes'!$C$6:$C$2205,MATCH(U205,'Material routes'!$A$6:$A$2205,0)),"MISSING ID")</x:f>
        <x:v>Ingredient candidate</x:v>
      </x:c>
      <x:c r="F205" s="4" t="str">
        <x:f>IFERROR(INDEX('Material routes'!$E$6:$E$2205,MATCH(V205,'Material routes'!$A$6:$A$2205,0)),"MISSING ID")</x:f>
        <x:v>Bonded abrasive-faced stock</x:v>
      </x:c>
      <x:c r="G205" s="4" t="str">
        <x:f>IFERROR(INDEX('Material routes'!$F$6:$F$2205,MATCH(V205,'Material routes'!$A$6:$A$2205,0)),"MISSING ID")</x:f>
        <x:v>T3</x:v>
      </x:c>
      <x:c r="H205" s="4" t="str">
        <x:f>IFERROR(INDEX('Material routes'!$H$6:$H$2205,MATCH(V205,'Material routes'!$A$6:$A$2205,0)),"MISSING ID")</x:f>
        <x:v>Processed material</x:v>
      </x:c>
      <x:c r="I205" s="4" t="str">
        <x:f>IFERROR(INDEX('Material routes'!$G$6:$G$2205,MATCH(V205,'Material routes'!$A$6:$A$2205,0)),"MISSING ID")</x:f>
        <x:v>Manufactured stock</x:v>
      </x:c>
      <x:c r="J205" s="4" t="str">
        <x:f>IFERROR(INDEX('Material routes'!$B$6:$B$2205,MATCH(U205,'Material routes'!$A$6:$A$2205,0)),"MISSING ID")</x:f>
        <x:v>design.t3.abrasive_stock</x:v>
      </x:c>
      <x:c r="K205" s="4" t="str">
        <x:f>IFERROR(INDEX('Crafting recipes'!$C$6:$C$1005,MATCH(J205,'Crafting recipes'!$A$6:$A$1005,0)),"MISSING ID")</x:f>
        <x:v>Material refinement</x:v>
      </x:c>
      <x:c r="L205" s="4" t="str">
        <x:f>IFERROR(INDEX('Material routes'!$K$6:$K$2205,MATCH(U205,'Material routes'!$A$6:$A$2205,0)),"MISSING ID")</x:f>
        <x:v>Proposal</x:v>
      </x:c>
      <x:c r="M205" s="4" t="str">
        <x:f>IFERROR(INDEX('Material routes'!$M$6:$M$2205,MATCH(U205,'Material routes'!$A$6:$A$2205,0)),"MISSING ID")</x:f>
        <x:v>Partial proposal</x:v>
      </x:c>
      <x:c r="N205" s="4" t="str">
        <x:f>IF(IFERROR(INDEX('Material routes'!$I$6:$I$1005,MATCH(U205,'Material routes'!$A$6:$A$1005,0)),"MISSING ID")=0,"",IFERROR(INDEX('Material routes'!$I$6:$I$1005,MATCH(U205,'Material routes'!$A$6:$A$1005,0)),"MISSING ID"))</x:f>
      </x:c>
      <x:c r="O205" s="4" t="str">
        <x:f>IFERROR(INDEX('Material routes'!$J$6:$J$2205,MATCH(U205,'Material routes'!$A$6:$A$2205,0)),"MISSING ID")</x:f>
        <x:v>Unspecified</x:v>
      </x:c>
      <x:c r="P205" s="4" t="str">
        <x:f>IF(IFERROR(INDEX('Material routes'!$I$6:$I$1005,MATCH(V205,'Material routes'!$A$6:$A$1005,0)),"MISSING ID")=0,"",IFERROR(INDEX('Material routes'!$I$6:$I$1005,MATCH(V205,'Material routes'!$A$6:$A$1005,0)),"MISSING ID"))</x:f>
      </x:c>
      <x:c r="Q205" s="4" t="str">
        <x:f>IFERROR(INDEX('Material routes'!$J$6:$J$2205,MATCH(V205,'Material routes'!$A$6:$A$2205,0)),"MISSING ID")</x:f>
        <x:v>Unspecified</x:v>
      </x:c>
      <x:c r="R205" s="4" t="str">
        <x:f>IF(L205="Withheld","Withheld premise",IF(E205="Tool candidate","Reusable prerequisite",IF(K205="Raw entry preparation","Entry-resource preparation",IF(G205="Not applicable",IF(IFERROR(INDEX('Items'!$AI$6:$AI$1005,MATCH(T205,'Items'!$A$6:$A$1005,0)),"MISSING ID")="Finished item","Finished endpoint",IF(IFERROR(INDEX('Items'!$AI$6:$AI$1005,MATCH(T205,'Items'!$A$6:$A$1005,0)),"MISSING ID")="Currency","Currency / no refinement tier","Recovered output / tier not applicable")),IF(OR(IFERROR(INDEX('Crafting recipes'!$H$6:$H$1005,MATCH(J205,'Crafting recipes'!$A$6:$A$1005,0)),"MISSING ID")="Unassigned",G205="Unassigned"),"Tier unresolved",IF(IFERROR(VALUE(RIGHT(G205,1))-VALUE(RIGHT(IFERROR(INDEX('Crafting recipes'!$H$6:$H$1005,MATCH(J205,'Crafting recipes'!$A$6:$A$1005,0)),"MISSING ID"),1)),0)=1,IF(B205=IFERROR(INDEX('Crafting recipes'!$H$6:$H$1005,MATCH(J205,'Crafting recipes'!$A$6:$A$1005,0)),"MISSING ID"),"Advances one material tier","Lower-tier ingredient; route advances one tier"),"Needs tier review"))))))</x:f>
        <x:v>Advances one material tier</x:v>
      </x:c>
      <x:c r="S205" s="4" t="str">
        <x:f>IFERROR(INDEX('Material routes'!$D$6:$D$2205,MATCH(U205,'Material routes'!$A$6:$A$2205,0)),"MISSING ID")</x:f>
        <x:v>author.metallurgy.steel_stock</x:v>
      </x:c>
      <x:c r="T205" s="4" t="str">
        <x:f>IFERROR(INDEX('Material routes'!$D$6:$D$2205,MATCH(V205,'Material routes'!$A$6:$A$2205,0)),"MISSING ID")</x:f>
        <x:v>proposal.t3.abrasive_stock</x:v>
      </x:c>
      <x:c r="U205" s="4" t="str">
        <x:v>design.t3.abrasive_stock.in.1</x:v>
      </x:c>
      <x:c r="V205" s="4" t="str">
        <x:v>design.t3.abrasive_stock.out</x:v>
      </x:c>
    </x:row>
    <x:row r="206" ht="115" customHeight="1">
      <x:c r="A206" s="4" t="str">
        <x:f>IFERROR(INDEX('Material routes'!$E$6:$E$2205,MATCH(U206,'Material routes'!$A$6:$A$2205,0)),"MISSING ID")</x:f>
        <x:v>Filled shell-binding compound</x:v>
      </x:c>
      <x:c r="B206" s="4" t="str">
        <x:f>IFERROR(INDEX('Material routes'!$F$6:$F$2205,MATCH(U206,'Material routes'!$A$6:$A$2205,0)),"MISSING ID")</x:f>
        <x:v>T2</x:v>
      </x:c>
      <x:c r="C206" s="4" t="str">
        <x:f>IFERROR(INDEX('Material routes'!$H$6:$H$2205,MATCH(U206,'Material routes'!$A$6:$A$2205,0)),"MISSING ID")</x:f>
        <x:v>Chemical material</x:v>
      </x:c>
      <x:c r="D206" s="4" t="str">
        <x:f>IFERROR(INDEX('Material routes'!$G$6:$G$2205,MATCH(U206,'Material routes'!$A$6:$A$2205,0)),"MISSING ID")</x:f>
        <x:v>Crafting components</x:v>
      </x:c>
      <x:c r="E206" s="4" t="str">
        <x:f>IFERROR(INDEX('Material routes'!$C$6:$C$2205,MATCH(U206,'Material routes'!$A$6:$A$2205,0)),"MISSING ID")</x:f>
        <x:v>Ingredient candidate</x:v>
      </x:c>
      <x:c r="F206" s="4" t="str">
        <x:f>IFERROR(INDEX('Material routes'!$E$6:$E$2205,MATCH(V206,'Material routes'!$A$6:$A$2205,0)),"MISSING ID")</x:f>
        <x:v>Bonded abrasive-faced stock</x:v>
      </x:c>
      <x:c r="G206" s="4" t="str">
        <x:f>IFERROR(INDEX('Material routes'!$F$6:$F$2205,MATCH(V206,'Material routes'!$A$6:$A$2205,0)),"MISSING ID")</x:f>
        <x:v>T3</x:v>
      </x:c>
      <x:c r="H206" s="4" t="str">
        <x:f>IFERROR(INDEX('Material routes'!$H$6:$H$2205,MATCH(V206,'Material routes'!$A$6:$A$2205,0)),"MISSING ID")</x:f>
        <x:v>Processed material</x:v>
      </x:c>
      <x:c r="I206" s="4" t="str">
        <x:f>IFERROR(INDEX('Material routes'!$G$6:$G$2205,MATCH(V206,'Material routes'!$A$6:$A$2205,0)),"MISSING ID")</x:f>
        <x:v>Manufactured stock</x:v>
      </x:c>
      <x:c r="J206" s="4" t="str">
        <x:f>IFERROR(INDEX('Material routes'!$B$6:$B$2205,MATCH(U206,'Material routes'!$A$6:$A$2205,0)),"MISSING ID")</x:f>
        <x:v>design.t3.abrasive_stock</x:v>
      </x:c>
      <x:c r="K206" s="4" t="str">
        <x:f>IFERROR(INDEX('Crafting recipes'!$C$6:$C$1005,MATCH(J206,'Crafting recipes'!$A$6:$A$1005,0)),"MISSING ID")</x:f>
        <x:v>Material refinement</x:v>
      </x:c>
      <x:c r="L206" s="4" t="str">
        <x:f>IFERROR(INDEX('Material routes'!$K$6:$K$2205,MATCH(U206,'Material routes'!$A$6:$A$2205,0)),"MISSING ID")</x:f>
        <x:v>Proposal</x:v>
      </x:c>
      <x:c r="M206" s="4" t="str">
        <x:f>IFERROR(INDEX('Material routes'!$M$6:$M$2205,MATCH(U206,'Material routes'!$A$6:$A$2205,0)),"MISSING ID")</x:f>
        <x:v>Partial proposal</x:v>
      </x:c>
      <x:c r="N206" s="4" t="str">
        <x:f>IF(IFERROR(INDEX('Material routes'!$I$6:$I$1005,MATCH(U206,'Material routes'!$A$6:$A$1005,0)),"MISSING ID")=0,"",IFERROR(INDEX('Material routes'!$I$6:$I$1005,MATCH(U206,'Material routes'!$A$6:$A$1005,0)),"MISSING ID"))</x:f>
      </x:c>
      <x:c r="O206" s="4" t="str">
        <x:f>IFERROR(INDEX('Material routes'!$J$6:$J$2205,MATCH(U206,'Material routes'!$A$6:$A$2205,0)),"MISSING ID")</x:f>
        <x:v>Unspecified</x:v>
      </x:c>
      <x:c r="P206" s="4" t="str">
        <x:f>IF(IFERROR(INDEX('Material routes'!$I$6:$I$1005,MATCH(V206,'Material routes'!$A$6:$A$1005,0)),"MISSING ID")=0,"",IFERROR(INDEX('Material routes'!$I$6:$I$1005,MATCH(V206,'Material routes'!$A$6:$A$1005,0)),"MISSING ID"))</x:f>
      </x:c>
      <x:c r="Q206" s="4" t="str">
        <x:f>IFERROR(INDEX('Material routes'!$J$6:$J$2205,MATCH(V206,'Material routes'!$A$6:$A$2205,0)),"MISSING ID")</x:f>
        <x:v>Unspecified</x:v>
      </x:c>
      <x:c r="R206" s="4" t="str">
        <x:f>IF(L206="Withheld","Withheld premise",IF(E206="Tool candidate","Reusable prerequisite",IF(K206="Raw entry preparation","Entry-resource preparation",IF(G206="Not applicable",IF(IFERROR(INDEX('Items'!$AI$6:$AI$1005,MATCH(T206,'Items'!$A$6:$A$1005,0)),"MISSING ID")="Finished item","Finished endpoint",IF(IFERROR(INDEX('Items'!$AI$6:$AI$1005,MATCH(T206,'Items'!$A$6:$A$1005,0)),"MISSING ID")="Currency","Currency / no refinement tier","Recovered output / tier not applicable")),IF(OR(IFERROR(INDEX('Crafting recipes'!$H$6:$H$1005,MATCH(J206,'Crafting recipes'!$A$6:$A$1005,0)),"MISSING ID")="Unassigned",G206="Unassigned"),"Tier unresolved",IF(IFERROR(VALUE(RIGHT(G206,1))-VALUE(RIGHT(IFERROR(INDEX('Crafting recipes'!$H$6:$H$1005,MATCH(J206,'Crafting recipes'!$A$6:$A$1005,0)),"MISSING ID"),1)),0)=1,IF(B206=IFERROR(INDEX('Crafting recipes'!$H$6:$H$1005,MATCH(J206,'Crafting recipes'!$A$6:$A$1005,0)),"MISSING ID"),"Advances one material tier","Lower-tier ingredient; route advances one tier"),"Needs tier review"))))))</x:f>
        <x:v>Advances one material tier</x:v>
      </x:c>
      <x:c r="S206" s="4" t="str">
        <x:f>IFERROR(INDEX('Material routes'!$D$6:$D$2205,MATCH(U206,'Material routes'!$A$6:$A$2205,0)),"MISSING ID")</x:f>
        <x:v>proposal.branch.filled_binder</x:v>
      </x:c>
      <x:c r="T206" s="4" t="str">
        <x:f>IFERROR(INDEX('Material routes'!$D$6:$D$2205,MATCH(V206,'Material routes'!$A$6:$A$2205,0)),"MISSING ID")</x:f>
        <x:v>proposal.t3.abrasive_stock</x:v>
      </x:c>
      <x:c r="U206" s="4" t="str">
        <x:v>design.t3.abrasive_stock.in.2</x:v>
      </x:c>
      <x:c r="V206" s="4" t="str">
        <x:v>design.t3.abrasive_stock.out</x:v>
      </x:c>
    </x:row>
    <x:row r="207" ht="115" customHeight="1">
      <x:c r="A207" s="4" t="str">
        <x:f>IFERROR(INDEX('Material routes'!$E$6:$E$2205,MATCH(U207,'Material routes'!$A$6:$A$2205,0)),"MISSING ID")</x:f>
        <x:v>Graded abrasive grit</x:v>
      </x:c>
      <x:c r="B207" s="4" t="str">
        <x:f>IFERROR(INDEX('Material routes'!$F$6:$F$2205,MATCH(U207,'Material routes'!$A$6:$A$2205,0)),"MISSING ID")</x:f>
        <x:v>T1</x:v>
      </x:c>
      <x:c r="C207" s="4" t="str">
        <x:f>IFERROR(INDEX('Material routes'!$H$6:$H$2205,MATCH(U207,'Material routes'!$A$6:$A$2205,0)),"MISSING ID")</x:f>
        <x:v>Processed material</x:v>
      </x:c>
      <x:c r="D207" s="4" t="str">
        <x:f>IFERROR(INDEX('Material routes'!$G$6:$G$2205,MATCH(U207,'Material routes'!$A$6:$A$2205,0)),"MISSING ID")</x:f>
        <x:v>Manufactured stock</x:v>
      </x:c>
      <x:c r="E207" s="4" t="str">
        <x:f>IFERROR(INDEX('Material routes'!$C$6:$C$2205,MATCH(U207,'Material routes'!$A$6:$A$2205,0)),"MISSING ID")</x:f>
        <x:v>Ingredient candidate</x:v>
      </x:c>
      <x:c r="F207" s="4" t="str">
        <x:f>IFERROR(INDEX('Material routes'!$E$6:$E$2205,MATCH(V207,'Material routes'!$A$6:$A$2205,0)),"MISSING ID")</x:f>
        <x:v>Bonded abrasive-faced stock</x:v>
      </x:c>
      <x:c r="G207" s="4" t="str">
        <x:f>IFERROR(INDEX('Material routes'!$F$6:$F$2205,MATCH(V207,'Material routes'!$A$6:$A$2205,0)),"MISSING ID")</x:f>
        <x:v>T3</x:v>
      </x:c>
      <x:c r="H207" s="4" t="str">
        <x:f>IFERROR(INDEX('Material routes'!$H$6:$H$2205,MATCH(V207,'Material routes'!$A$6:$A$2205,0)),"MISSING ID")</x:f>
        <x:v>Processed material</x:v>
      </x:c>
      <x:c r="I207" s="4" t="str">
        <x:f>IFERROR(INDEX('Material routes'!$G$6:$G$2205,MATCH(V207,'Material routes'!$A$6:$A$2205,0)),"MISSING ID")</x:f>
        <x:v>Manufactured stock</x:v>
      </x:c>
      <x:c r="J207" s="4" t="str">
        <x:f>IFERROR(INDEX('Material routes'!$B$6:$B$2205,MATCH(U207,'Material routes'!$A$6:$A$2205,0)),"MISSING ID")</x:f>
        <x:v>design.t3.abrasive_stock</x:v>
      </x:c>
      <x:c r="K207" s="4" t="str">
        <x:f>IFERROR(INDEX('Crafting recipes'!$C$6:$C$1005,MATCH(J207,'Crafting recipes'!$A$6:$A$1005,0)),"MISSING ID")</x:f>
        <x:v>Material refinement</x:v>
      </x:c>
      <x:c r="L207" s="4" t="str">
        <x:f>IFERROR(INDEX('Material routes'!$K$6:$K$2205,MATCH(U207,'Material routes'!$A$6:$A$2205,0)),"MISSING ID")</x:f>
        <x:v>Proposal</x:v>
      </x:c>
      <x:c r="M207" s="4" t="str">
        <x:f>IFERROR(INDEX('Material routes'!$M$6:$M$2205,MATCH(U207,'Material routes'!$A$6:$A$2205,0)),"MISSING ID")</x:f>
        <x:v>Partial proposal</x:v>
      </x:c>
      <x:c r="N207" s="4" t="str">
        <x:f>IF(IFERROR(INDEX('Material routes'!$I$6:$I$1005,MATCH(U207,'Material routes'!$A$6:$A$1005,0)),"MISSING ID")=0,"",IFERROR(INDEX('Material routes'!$I$6:$I$1005,MATCH(U207,'Material routes'!$A$6:$A$1005,0)),"MISSING ID"))</x:f>
      </x:c>
      <x:c r="O207" s="4" t="str">
        <x:f>IFERROR(INDEX('Material routes'!$J$6:$J$2205,MATCH(U207,'Material routes'!$A$6:$A$2205,0)),"MISSING ID")</x:f>
        <x:v>Unspecified</x:v>
      </x:c>
      <x:c r="P207" s="4" t="str">
        <x:f>IF(IFERROR(INDEX('Material routes'!$I$6:$I$1005,MATCH(V207,'Material routes'!$A$6:$A$1005,0)),"MISSING ID")=0,"",IFERROR(INDEX('Material routes'!$I$6:$I$1005,MATCH(V207,'Material routes'!$A$6:$A$1005,0)),"MISSING ID"))</x:f>
      </x:c>
      <x:c r="Q207" s="4" t="str">
        <x:f>IFERROR(INDEX('Material routes'!$J$6:$J$2205,MATCH(V207,'Material routes'!$A$6:$A$2205,0)),"MISSING ID")</x:f>
        <x:v>Unspecified</x:v>
      </x:c>
      <x:c r="R207" s="4" t="str">
        <x:f>IF(L207="Withheld","Withheld premise",IF(E207="Tool candidate","Reusable prerequisite",IF(K207="Raw entry preparation","Entry-resource preparation",IF(G207="Not applicable",IF(IFERROR(INDEX('Items'!$AI$6:$AI$1005,MATCH(T207,'Items'!$A$6:$A$1005,0)),"MISSING ID")="Finished item","Finished endpoint",IF(IFERROR(INDEX('Items'!$AI$6:$AI$1005,MATCH(T207,'Items'!$A$6:$A$1005,0)),"MISSING ID")="Currency","Currency / no refinement tier","Recovered output / tier not applicable")),IF(OR(IFERROR(INDEX('Crafting recipes'!$H$6:$H$1005,MATCH(J207,'Crafting recipes'!$A$6:$A$1005,0)),"MISSING ID")="Unassigned",G207="Unassigned"),"Tier unresolved",IF(IFERROR(VALUE(RIGHT(G207,1))-VALUE(RIGHT(IFERROR(INDEX('Crafting recipes'!$H$6:$H$1005,MATCH(J207,'Crafting recipes'!$A$6:$A$1005,0)),"MISSING ID"),1)),0)=1,IF(B207=IFERROR(INDEX('Crafting recipes'!$H$6:$H$1005,MATCH(J207,'Crafting recipes'!$A$6:$A$1005,0)),"MISSING ID"),"Advances one material tier","Lower-tier ingredient; route advances one tier"),"Needs tier review"))))))</x:f>
        <x:v>Lower-tier ingredient; route advances one tier</x:v>
      </x:c>
      <x:c r="S207" s="4" t="str">
        <x:f>IFERROR(INDEX('Material routes'!$D$6:$D$2205,MATCH(U207,'Material routes'!$A$6:$A$2205,0)),"MISSING ID")</x:f>
        <x:v>proposal.natural.abrasive</x:v>
      </x:c>
      <x:c r="T207" s="4" t="str">
        <x:f>IFERROR(INDEX('Material routes'!$D$6:$D$2205,MATCH(V207,'Material routes'!$A$6:$A$2205,0)),"MISSING ID")</x:f>
        <x:v>proposal.t3.abrasive_stock</x:v>
      </x:c>
      <x:c r="U207" s="4" t="str">
        <x:v>design.t3.abrasive_stock.in.3</x:v>
      </x:c>
      <x:c r="V207" s="4" t="str">
        <x:v>design.t3.abrasive_stock.out</x:v>
      </x:c>
    </x:row>
    <x:row r="208" ht="115" customHeight="1">
      <x:c r="A208" s="4" t="str">
        <x:f>IFERROR(INDEX('Material routes'!$E$6:$E$2205,MATCH(U208,'Material routes'!$A$6:$A$2205,0)),"MISSING ID")</x:f>
        <x:v>Polished gemstone blanks</x:v>
      </x:c>
      <x:c r="B208" s="4" t="str">
        <x:f>IFERROR(INDEX('Material routes'!$F$6:$F$2205,MATCH(U208,'Material routes'!$A$6:$A$2205,0)),"MISSING ID")</x:f>
        <x:v>T2</x:v>
      </x:c>
      <x:c r="C208" s="4" t="str">
        <x:f>IFERROR(INDEX('Material routes'!$H$6:$H$2205,MATCH(U208,'Material routes'!$A$6:$A$2205,0)),"MISSING ID")</x:f>
        <x:v>Processed material</x:v>
      </x:c>
      <x:c r="D208" s="4" t="str">
        <x:f>IFERROR(INDEX('Material routes'!$G$6:$G$2205,MATCH(U208,'Material routes'!$A$6:$A$2205,0)),"MISSING ID")</x:f>
        <x:v>Manufactured stock</x:v>
      </x:c>
      <x:c r="E208" s="4" t="str">
        <x:f>IFERROR(INDEX('Material routes'!$C$6:$C$2205,MATCH(U208,'Material routes'!$A$6:$A$2205,0)),"MISSING ID")</x:f>
        <x:v>Ingredient candidate</x:v>
      </x:c>
      <x:c r="F208" s="4" t="str">
        <x:f>IFERROR(INDEX('Material routes'!$E$6:$E$2205,MATCH(V208,'Material routes'!$A$6:$A$2205,0)),"MISSING ID")</x:f>
        <x:v>Gem-inlaid metal panel blanks</x:v>
      </x:c>
      <x:c r="G208" s="4" t="str">
        <x:f>IFERROR(INDEX('Material routes'!$F$6:$F$2205,MATCH(V208,'Material routes'!$A$6:$A$2205,0)),"MISSING ID")</x:f>
        <x:v>T3</x:v>
      </x:c>
      <x:c r="H208" s="4" t="str">
        <x:f>IFERROR(INDEX('Material routes'!$H$6:$H$2205,MATCH(V208,'Material routes'!$A$6:$A$2205,0)),"MISSING ID")</x:f>
        <x:v>Processed material</x:v>
      </x:c>
      <x:c r="I208" s="4" t="str">
        <x:f>IFERROR(INDEX('Material routes'!$G$6:$G$2205,MATCH(V208,'Material routes'!$A$6:$A$2205,0)),"MISSING ID")</x:f>
        <x:v>Manufactured stock</x:v>
      </x:c>
      <x:c r="J208" s="4" t="str">
        <x:f>IFERROR(INDEX('Material routes'!$B$6:$B$2205,MATCH(U208,'Material routes'!$A$6:$A$2205,0)),"MISSING ID")</x:f>
        <x:v>design.t3.inlay_stock</x:v>
      </x:c>
      <x:c r="K208" s="4" t="str">
        <x:f>IFERROR(INDEX('Crafting recipes'!$C$6:$C$1005,MATCH(J208,'Crafting recipes'!$A$6:$A$1005,0)),"MISSING ID")</x:f>
        <x:v>Material refinement</x:v>
      </x:c>
      <x:c r="L208" s="4" t="str">
        <x:f>IFERROR(INDEX('Material routes'!$K$6:$K$2205,MATCH(U208,'Material routes'!$A$6:$A$2205,0)),"MISSING ID")</x:f>
        <x:v>Proposal</x:v>
      </x:c>
      <x:c r="M208" s="4" t="str">
        <x:f>IFERROR(INDEX('Material routes'!$M$6:$M$2205,MATCH(U208,'Material routes'!$A$6:$A$2205,0)),"MISSING ID")</x:f>
        <x:v>Partial proposal</x:v>
      </x:c>
      <x:c r="N208" s="4" t="str">
        <x:f>IF(IFERROR(INDEX('Material routes'!$I$6:$I$1005,MATCH(U208,'Material routes'!$A$6:$A$1005,0)),"MISSING ID")=0,"",IFERROR(INDEX('Material routes'!$I$6:$I$1005,MATCH(U208,'Material routes'!$A$6:$A$1005,0)),"MISSING ID"))</x:f>
      </x:c>
      <x:c r="O208" s="4" t="str">
        <x:f>IFERROR(INDEX('Material routes'!$J$6:$J$2205,MATCH(U208,'Material routes'!$A$6:$A$2205,0)),"MISSING ID")</x:f>
        <x:v>Unspecified</x:v>
      </x:c>
      <x:c r="P208" s="4" t="str">
        <x:f>IF(IFERROR(INDEX('Material routes'!$I$6:$I$1005,MATCH(V208,'Material routes'!$A$6:$A$1005,0)),"MISSING ID")=0,"",IFERROR(INDEX('Material routes'!$I$6:$I$1005,MATCH(V208,'Material routes'!$A$6:$A$1005,0)),"MISSING ID"))</x:f>
      </x:c>
      <x:c r="Q208" s="4" t="str">
        <x:f>IFERROR(INDEX('Material routes'!$J$6:$J$2205,MATCH(V208,'Material routes'!$A$6:$A$2205,0)),"MISSING ID")</x:f>
        <x:v>Unspecified</x:v>
      </x:c>
      <x:c r="R208" s="4" t="str">
        <x:f>IF(L208="Withheld","Withheld premise",IF(E208="Tool candidate","Reusable prerequisite",IF(K208="Raw entry preparation","Entry-resource preparation",IF(G208="Not applicable",IF(IFERROR(INDEX('Items'!$AI$6:$AI$1005,MATCH(T208,'Items'!$A$6:$A$1005,0)),"MISSING ID")="Finished item","Finished endpoint",IF(IFERROR(INDEX('Items'!$AI$6:$AI$1005,MATCH(T208,'Items'!$A$6:$A$1005,0)),"MISSING ID")="Currency","Currency / no refinement tier","Recovered output / tier not applicable")),IF(OR(IFERROR(INDEX('Crafting recipes'!$H$6:$H$1005,MATCH(J208,'Crafting recipes'!$A$6:$A$1005,0)),"MISSING ID")="Unassigned",G208="Unassigned"),"Tier unresolved",IF(IFERROR(VALUE(RIGHT(G208,1))-VALUE(RIGHT(IFERROR(INDEX('Crafting recipes'!$H$6:$H$1005,MATCH(J208,'Crafting recipes'!$A$6:$A$1005,0)),"MISSING ID"),1)),0)=1,IF(B208=IFERROR(INDEX('Crafting recipes'!$H$6:$H$1005,MATCH(J208,'Crafting recipes'!$A$6:$A$1005,0)),"MISSING ID"),"Advances one material tier","Lower-tier ingredient; route advances one tier"),"Needs tier review"))))))</x:f>
        <x:v>Advances one material tier</x:v>
      </x:c>
      <x:c r="S208" s="4" t="str">
        <x:f>IFERROR(INDEX('Material routes'!$D$6:$D$2205,MATCH(U208,'Material routes'!$A$6:$A$2205,0)),"MISSING ID")</x:f>
        <x:v>proposal.branch.polished_gem</x:v>
      </x:c>
      <x:c r="T208" s="4" t="str">
        <x:f>IFERROR(INDEX('Material routes'!$D$6:$D$2205,MATCH(V208,'Material routes'!$A$6:$A$2205,0)),"MISSING ID")</x:f>
        <x:v>proposal.t3.inlay_stock</x:v>
      </x:c>
      <x:c r="U208" s="4" t="str">
        <x:v>design.t3.inlay_stock.in.1</x:v>
      </x:c>
      <x:c r="V208" s="4" t="str">
        <x:v>design.t3.inlay_stock.out</x:v>
      </x:c>
    </x:row>
    <x:row r="209" ht="115" customHeight="1">
      <x:c r="A209" s="4" t="str">
        <x:f>IFERROR(INDEX('Material routes'!$E$6:$E$2205,MATCH(U209,'Material routes'!$A$6:$A$2205,0)),"MISSING ID")</x:f>
        <x:v>Steel stock</x:v>
      </x:c>
      <x:c r="B209" s="4" t="str">
        <x:f>IFERROR(INDEX('Material routes'!$F$6:$F$2205,MATCH(U209,'Material routes'!$A$6:$A$2205,0)),"MISSING ID")</x:f>
        <x:v>T2</x:v>
      </x:c>
      <x:c r="C209" s="4" t="str">
        <x:f>IFERROR(INDEX('Material routes'!$H$6:$H$2205,MATCH(U209,'Material routes'!$A$6:$A$2205,0)),"MISSING ID")</x:f>
        <x:v>Processed material</x:v>
      </x:c>
      <x:c r="D209" s="4" t="str">
        <x:f>IFERROR(INDEX('Material routes'!$G$6:$G$2205,MATCH(U209,'Material routes'!$A$6:$A$2205,0)),"MISSING ID")</x:f>
        <x:v>Manufactured stock</x:v>
      </x:c>
      <x:c r="E209" s="4" t="str">
        <x:f>IFERROR(INDEX('Material routes'!$C$6:$C$2205,MATCH(U209,'Material routes'!$A$6:$A$2205,0)),"MISSING ID")</x:f>
        <x:v>Ingredient candidate</x:v>
      </x:c>
      <x:c r="F209" s="4" t="str">
        <x:f>IFERROR(INDEX('Material routes'!$E$6:$E$2205,MATCH(V209,'Material routes'!$A$6:$A$2205,0)),"MISSING ID")</x:f>
        <x:v>Gem-inlaid metal panel blanks</x:v>
      </x:c>
      <x:c r="G209" s="4" t="str">
        <x:f>IFERROR(INDEX('Material routes'!$F$6:$F$2205,MATCH(V209,'Material routes'!$A$6:$A$2205,0)),"MISSING ID")</x:f>
        <x:v>T3</x:v>
      </x:c>
      <x:c r="H209" s="4" t="str">
        <x:f>IFERROR(INDEX('Material routes'!$H$6:$H$2205,MATCH(V209,'Material routes'!$A$6:$A$2205,0)),"MISSING ID")</x:f>
        <x:v>Processed material</x:v>
      </x:c>
      <x:c r="I209" s="4" t="str">
        <x:f>IFERROR(INDEX('Material routes'!$G$6:$G$2205,MATCH(V209,'Material routes'!$A$6:$A$2205,0)),"MISSING ID")</x:f>
        <x:v>Manufactured stock</x:v>
      </x:c>
      <x:c r="J209" s="4" t="str">
        <x:f>IFERROR(INDEX('Material routes'!$B$6:$B$2205,MATCH(U209,'Material routes'!$A$6:$A$2205,0)),"MISSING ID")</x:f>
        <x:v>design.t3.inlay_stock</x:v>
      </x:c>
      <x:c r="K209" s="4" t="str">
        <x:f>IFERROR(INDEX('Crafting recipes'!$C$6:$C$1005,MATCH(J209,'Crafting recipes'!$A$6:$A$1005,0)),"MISSING ID")</x:f>
        <x:v>Material refinement</x:v>
      </x:c>
      <x:c r="L209" s="4" t="str">
        <x:f>IFERROR(INDEX('Material routes'!$K$6:$K$2205,MATCH(U209,'Material routes'!$A$6:$A$2205,0)),"MISSING ID")</x:f>
        <x:v>Proposal</x:v>
      </x:c>
      <x:c r="M209" s="4" t="str">
        <x:f>IFERROR(INDEX('Material routes'!$M$6:$M$2205,MATCH(U209,'Material routes'!$A$6:$A$2205,0)),"MISSING ID")</x:f>
        <x:v>Partial proposal</x:v>
      </x:c>
      <x:c r="N209" s="4" t="str">
        <x:f>IF(IFERROR(INDEX('Material routes'!$I$6:$I$1005,MATCH(U209,'Material routes'!$A$6:$A$1005,0)),"MISSING ID")=0,"",IFERROR(INDEX('Material routes'!$I$6:$I$1005,MATCH(U209,'Material routes'!$A$6:$A$1005,0)),"MISSING ID"))</x:f>
      </x:c>
      <x:c r="O209" s="4" t="str">
        <x:f>IFERROR(INDEX('Material routes'!$J$6:$J$2205,MATCH(U209,'Material routes'!$A$6:$A$2205,0)),"MISSING ID")</x:f>
        <x:v>Unspecified</x:v>
      </x:c>
      <x:c r="P209" s="4" t="str">
        <x:f>IF(IFERROR(INDEX('Material routes'!$I$6:$I$1005,MATCH(V209,'Material routes'!$A$6:$A$1005,0)),"MISSING ID")=0,"",IFERROR(INDEX('Material routes'!$I$6:$I$1005,MATCH(V209,'Material routes'!$A$6:$A$1005,0)),"MISSING ID"))</x:f>
      </x:c>
      <x:c r="Q209" s="4" t="str">
        <x:f>IFERROR(INDEX('Material routes'!$J$6:$J$2205,MATCH(V209,'Material routes'!$A$6:$A$2205,0)),"MISSING ID")</x:f>
        <x:v>Unspecified</x:v>
      </x:c>
      <x:c r="R209" s="4" t="str">
        <x:f>IF(L209="Withheld","Withheld premise",IF(E209="Tool candidate","Reusable prerequisite",IF(K209="Raw entry preparation","Entry-resource preparation",IF(G209="Not applicable",IF(IFERROR(INDEX('Items'!$AI$6:$AI$1005,MATCH(T209,'Items'!$A$6:$A$1005,0)),"MISSING ID")="Finished item","Finished endpoint",IF(IFERROR(INDEX('Items'!$AI$6:$AI$1005,MATCH(T209,'Items'!$A$6:$A$1005,0)),"MISSING ID")="Currency","Currency / no refinement tier","Recovered output / tier not applicable")),IF(OR(IFERROR(INDEX('Crafting recipes'!$H$6:$H$1005,MATCH(J209,'Crafting recipes'!$A$6:$A$1005,0)),"MISSING ID")="Unassigned",G209="Unassigned"),"Tier unresolved",IF(IFERROR(VALUE(RIGHT(G209,1))-VALUE(RIGHT(IFERROR(INDEX('Crafting recipes'!$H$6:$H$1005,MATCH(J209,'Crafting recipes'!$A$6:$A$1005,0)),"MISSING ID"),1)),0)=1,IF(B209=IFERROR(INDEX('Crafting recipes'!$H$6:$H$1005,MATCH(J209,'Crafting recipes'!$A$6:$A$1005,0)),"MISSING ID"),"Advances one material tier","Lower-tier ingredient; route advances one tier"),"Needs tier review"))))))</x:f>
        <x:v>Advances one material tier</x:v>
      </x:c>
      <x:c r="S209" s="4" t="str">
        <x:f>IFERROR(INDEX('Material routes'!$D$6:$D$2205,MATCH(U209,'Material routes'!$A$6:$A$2205,0)),"MISSING ID")</x:f>
        <x:v>author.metallurgy.steel_stock</x:v>
      </x:c>
      <x:c r="T209" s="4" t="str">
        <x:f>IFERROR(INDEX('Material routes'!$D$6:$D$2205,MATCH(V209,'Material routes'!$A$6:$A$2205,0)),"MISSING ID")</x:f>
        <x:v>proposal.t3.inlay_stock</x:v>
      </x:c>
      <x:c r="U209" s="4" t="str">
        <x:v>design.t3.inlay_stock.in.2</x:v>
      </x:c>
      <x:c r="V209" s="4" t="str">
        <x:v>design.t3.inlay_stock.out</x:v>
      </x:c>
    </x:row>
    <x:row r="210" ht="115" customHeight="1">
      <x:c r="A210" s="4" t="str">
        <x:f>IFERROR(INDEX('Material routes'!$E$6:$E$2205,MATCH(U210,'Material routes'!$A$6:$A$2205,0)),"MISSING ID")</x:f>
        <x:v>Filled shell-binding compound</x:v>
      </x:c>
      <x:c r="B210" s="4" t="str">
        <x:f>IFERROR(INDEX('Material routes'!$F$6:$F$2205,MATCH(U210,'Material routes'!$A$6:$A$2205,0)),"MISSING ID")</x:f>
        <x:v>T2</x:v>
      </x:c>
      <x:c r="C210" s="4" t="str">
        <x:f>IFERROR(INDEX('Material routes'!$H$6:$H$2205,MATCH(U210,'Material routes'!$A$6:$A$2205,0)),"MISSING ID")</x:f>
        <x:v>Chemical material</x:v>
      </x:c>
      <x:c r="D210" s="4" t="str">
        <x:f>IFERROR(INDEX('Material routes'!$G$6:$G$2205,MATCH(U210,'Material routes'!$A$6:$A$2205,0)),"MISSING ID")</x:f>
        <x:v>Crafting components</x:v>
      </x:c>
      <x:c r="E210" s="4" t="str">
        <x:f>IFERROR(INDEX('Material routes'!$C$6:$C$2205,MATCH(U210,'Material routes'!$A$6:$A$2205,0)),"MISSING ID")</x:f>
        <x:v>Ingredient candidate</x:v>
      </x:c>
      <x:c r="F210" s="4" t="str">
        <x:f>IFERROR(INDEX('Material routes'!$E$6:$E$2205,MATCH(V210,'Material routes'!$A$6:$A$2205,0)),"MISSING ID")</x:f>
        <x:v>Gem-inlaid metal panel blanks</x:v>
      </x:c>
      <x:c r="G210" s="4" t="str">
        <x:f>IFERROR(INDEX('Material routes'!$F$6:$F$2205,MATCH(V210,'Material routes'!$A$6:$A$2205,0)),"MISSING ID")</x:f>
        <x:v>T3</x:v>
      </x:c>
      <x:c r="H210" s="4" t="str">
        <x:f>IFERROR(INDEX('Material routes'!$H$6:$H$2205,MATCH(V210,'Material routes'!$A$6:$A$2205,0)),"MISSING ID")</x:f>
        <x:v>Processed material</x:v>
      </x:c>
      <x:c r="I210" s="4" t="str">
        <x:f>IFERROR(INDEX('Material routes'!$G$6:$G$2205,MATCH(V210,'Material routes'!$A$6:$A$2205,0)),"MISSING ID")</x:f>
        <x:v>Manufactured stock</x:v>
      </x:c>
      <x:c r="J210" s="4" t="str">
        <x:f>IFERROR(INDEX('Material routes'!$B$6:$B$2205,MATCH(U210,'Material routes'!$A$6:$A$2205,0)),"MISSING ID")</x:f>
        <x:v>design.t3.inlay_stock</x:v>
      </x:c>
      <x:c r="K210" s="4" t="str">
        <x:f>IFERROR(INDEX('Crafting recipes'!$C$6:$C$1005,MATCH(J210,'Crafting recipes'!$A$6:$A$1005,0)),"MISSING ID")</x:f>
        <x:v>Material refinement</x:v>
      </x:c>
      <x:c r="L210" s="4" t="str">
        <x:f>IFERROR(INDEX('Material routes'!$K$6:$K$2205,MATCH(U210,'Material routes'!$A$6:$A$2205,0)),"MISSING ID")</x:f>
        <x:v>Proposal</x:v>
      </x:c>
      <x:c r="M210" s="4" t="str">
        <x:f>IFERROR(INDEX('Material routes'!$M$6:$M$2205,MATCH(U210,'Material routes'!$A$6:$A$2205,0)),"MISSING ID")</x:f>
        <x:v>Partial proposal</x:v>
      </x:c>
      <x:c r="N210" s="4" t="str">
        <x:f>IF(IFERROR(INDEX('Material routes'!$I$6:$I$1005,MATCH(U210,'Material routes'!$A$6:$A$1005,0)),"MISSING ID")=0,"",IFERROR(INDEX('Material routes'!$I$6:$I$1005,MATCH(U210,'Material routes'!$A$6:$A$1005,0)),"MISSING ID"))</x:f>
      </x:c>
      <x:c r="O210" s="4" t="str">
        <x:f>IFERROR(INDEX('Material routes'!$J$6:$J$2205,MATCH(U210,'Material routes'!$A$6:$A$2205,0)),"MISSING ID")</x:f>
        <x:v>Unspecified</x:v>
      </x:c>
      <x:c r="P210" s="4" t="str">
        <x:f>IF(IFERROR(INDEX('Material routes'!$I$6:$I$1005,MATCH(V210,'Material routes'!$A$6:$A$1005,0)),"MISSING ID")=0,"",IFERROR(INDEX('Material routes'!$I$6:$I$1005,MATCH(V210,'Material routes'!$A$6:$A$1005,0)),"MISSING ID"))</x:f>
      </x:c>
      <x:c r="Q210" s="4" t="str">
        <x:f>IFERROR(INDEX('Material routes'!$J$6:$J$2205,MATCH(V210,'Material routes'!$A$6:$A$2205,0)),"MISSING ID")</x:f>
        <x:v>Unspecified</x:v>
      </x:c>
      <x:c r="R210" s="4" t="str">
        <x:f>IF(L210="Withheld","Withheld premise",IF(E210="Tool candidate","Reusable prerequisite",IF(K210="Raw entry preparation","Entry-resource preparation",IF(G210="Not applicable",IF(IFERROR(INDEX('Items'!$AI$6:$AI$1005,MATCH(T210,'Items'!$A$6:$A$1005,0)),"MISSING ID")="Finished item","Finished endpoint",IF(IFERROR(INDEX('Items'!$AI$6:$AI$1005,MATCH(T210,'Items'!$A$6:$A$1005,0)),"MISSING ID")="Currency","Currency / no refinement tier","Recovered output / tier not applicable")),IF(OR(IFERROR(INDEX('Crafting recipes'!$H$6:$H$1005,MATCH(J210,'Crafting recipes'!$A$6:$A$1005,0)),"MISSING ID")="Unassigned",G210="Unassigned"),"Tier unresolved",IF(IFERROR(VALUE(RIGHT(G210,1))-VALUE(RIGHT(IFERROR(INDEX('Crafting recipes'!$H$6:$H$1005,MATCH(J210,'Crafting recipes'!$A$6:$A$1005,0)),"MISSING ID"),1)),0)=1,IF(B210=IFERROR(INDEX('Crafting recipes'!$H$6:$H$1005,MATCH(J210,'Crafting recipes'!$A$6:$A$1005,0)),"MISSING ID"),"Advances one material tier","Lower-tier ingredient; route advances one tier"),"Needs tier review"))))))</x:f>
        <x:v>Advances one material tier</x:v>
      </x:c>
      <x:c r="S210" s="4" t="str">
        <x:f>IFERROR(INDEX('Material routes'!$D$6:$D$2205,MATCH(U210,'Material routes'!$A$6:$A$2205,0)),"MISSING ID")</x:f>
        <x:v>proposal.branch.filled_binder</x:v>
      </x:c>
      <x:c r="T210" s="4" t="str">
        <x:f>IFERROR(INDEX('Material routes'!$D$6:$D$2205,MATCH(V210,'Material routes'!$A$6:$A$2205,0)),"MISSING ID")</x:f>
        <x:v>proposal.t3.inlay_stock</x:v>
      </x:c>
      <x:c r="U210" s="4" t="str">
        <x:v>design.t3.inlay_stock.in.3</x:v>
      </x:c>
      <x:c r="V210" s="4" t="str">
        <x:v>design.t3.inlay_stock.out</x:v>
      </x:c>
    </x:row>
    <x:row r="211" ht="115" customHeight="1">
      <x:c r="A211" s="4" t="str">
        <x:f>IFERROR(INDEX('Material routes'!$E$6:$E$2205,MATCH(U211,'Material routes'!$A$6:$A$2205,0)),"MISSING ID")</x:f>
        <x:v>Tuned stone stock</x:v>
      </x:c>
      <x:c r="B211" s="4" t="str">
        <x:f>IFERROR(INDEX('Material routes'!$F$6:$F$2205,MATCH(U211,'Material routes'!$A$6:$A$2205,0)),"MISSING ID")</x:f>
        <x:v>T2</x:v>
      </x:c>
      <x:c r="C211" s="4" t="str">
        <x:f>IFERROR(INDEX('Material routes'!$H$6:$H$2205,MATCH(U211,'Material routes'!$A$6:$A$2205,0)),"MISSING ID")</x:f>
        <x:v>Processed material</x:v>
      </x:c>
      <x:c r="D211" s="4" t="str">
        <x:f>IFERROR(INDEX('Material routes'!$G$6:$G$2205,MATCH(U211,'Material routes'!$A$6:$A$2205,0)),"MISSING ID")</x:f>
        <x:v>Manufactured stock</x:v>
      </x:c>
      <x:c r="E211" s="4" t="str">
        <x:f>IFERROR(INDEX('Material routes'!$C$6:$C$2205,MATCH(U211,'Material routes'!$A$6:$A$2205,0)),"MISSING ID")</x:f>
        <x:v>Ingredient candidate</x:v>
      </x:c>
      <x:c r="F211" s="4" t="str">
        <x:f>IFERROR(INDEX('Material routes'!$E$6:$E$2205,MATCH(V211,'Material routes'!$A$6:$A$2205,0)),"MISSING ID")</x:f>
        <x:v>Mounted tuned-stone inserts</x:v>
      </x:c>
      <x:c r="G211" s="4" t="str">
        <x:f>IFERROR(INDEX('Material routes'!$F$6:$F$2205,MATCH(V211,'Material routes'!$A$6:$A$2205,0)),"MISSING ID")</x:f>
        <x:v>T3</x:v>
      </x:c>
      <x:c r="H211" s="4" t="str">
        <x:f>IFERROR(INDEX('Material routes'!$H$6:$H$2205,MATCH(V211,'Material routes'!$A$6:$A$2205,0)),"MISSING ID")</x:f>
        <x:v>Crafting component</x:v>
      </x:c>
      <x:c r="I211" s="4" t="str">
        <x:f>IFERROR(INDEX('Material routes'!$G$6:$G$2205,MATCH(V211,'Material routes'!$A$6:$A$2205,0)),"MISSING ID")</x:f>
        <x:v>Crafting components</x:v>
      </x:c>
      <x:c r="J211" s="4" t="str">
        <x:f>IFERROR(INDEX('Material routes'!$B$6:$B$2205,MATCH(U211,'Material routes'!$A$6:$A$2205,0)),"MISSING ID")</x:f>
        <x:v>design.t3.tuned_insert</x:v>
      </x:c>
      <x:c r="K211" s="4" t="str">
        <x:f>IFERROR(INDEX('Crafting recipes'!$C$6:$C$1005,MATCH(J211,'Crafting recipes'!$A$6:$A$1005,0)),"MISSING ID")</x:f>
        <x:v>Material refinement</x:v>
      </x:c>
      <x:c r="L211" s="4" t="str">
        <x:f>IFERROR(INDEX('Material routes'!$K$6:$K$2205,MATCH(U211,'Material routes'!$A$6:$A$2205,0)),"MISSING ID")</x:f>
        <x:v>Proposal</x:v>
      </x:c>
      <x:c r="M211" s="4" t="str">
        <x:f>IFERROR(INDEX('Material routes'!$M$6:$M$2205,MATCH(U211,'Material routes'!$A$6:$A$2205,0)),"MISSING ID")</x:f>
        <x:v>Partial proposal</x:v>
      </x:c>
      <x:c r="N211" s="4" t="str">
        <x:f>IF(IFERROR(INDEX('Material routes'!$I$6:$I$1005,MATCH(U211,'Material routes'!$A$6:$A$1005,0)),"MISSING ID")=0,"",IFERROR(INDEX('Material routes'!$I$6:$I$1005,MATCH(U211,'Material routes'!$A$6:$A$1005,0)),"MISSING ID"))</x:f>
      </x:c>
      <x:c r="O211" s="4" t="str">
        <x:f>IFERROR(INDEX('Material routes'!$J$6:$J$2205,MATCH(U211,'Material routes'!$A$6:$A$2205,0)),"MISSING ID")</x:f>
        <x:v>Unspecified</x:v>
      </x:c>
      <x:c r="P211" s="4" t="str">
        <x:f>IF(IFERROR(INDEX('Material routes'!$I$6:$I$1005,MATCH(V211,'Material routes'!$A$6:$A$1005,0)),"MISSING ID")=0,"",IFERROR(INDEX('Material routes'!$I$6:$I$1005,MATCH(V211,'Material routes'!$A$6:$A$1005,0)),"MISSING ID"))</x:f>
      </x:c>
      <x:c r="Q211" s="4" t="str">
        <x:f>IFERROR(INDEX('Material routes'!$J$6:$J$2205,MATCH(V211,'Material routes'!$A$6:$A$2205,0)),"MISSING ID")</x:f>
        <x:v>Unspecified</x:v>
      </x:c>
      <x:c r="R211" s="4" t="str">
        <x:f>IF(L211="Withheld","Withheld premise",IF(E211="Tool candidate","Reusable prerequisite",IF(K211="Raw entry preparation","Entry-resource preparation",IF(G211="Not applicable",IF(IFERROR(INDEX('Items'!$AI$6:$AI$1005,MATCH(T211,'Items'!$A$6:$A$1005,0)),"MISSING ID")="Finished item","Finished endpoint",IF(IFERROR(INDEX('Items'!$AI$6:$AI$1005,MATCH(T211,'Items'!$A$6:$A$1005,0)),"MISSING ID")="Currency","Currency / no refinement tier","Recovered output / tier not applicable")),IF(OR(IFERROR(INDEX('Crafting recipes'!$H$6:$H$1005,MATCH(J211,'Crafting recipes'!$A$6:$A$1005,0)),"MISSING ID")="Unassigned",G211="Unassigned"),"Tier unresolved",IF(IFERROR(VALUE(RIGHT(G211,1))-VALUE(RIGHT(IFERROR(INDEX('Crafting recipes'!$H$6:$H$1005,MATCH(J211,'Crafting recipes'!$A$6:$A$1005,0)),"MISSING ID"),1)),0)=1,IF(B211=IFERROR(INDEX('Crafting recipes'!$H$6:$H$1005,MATCH(J211,'Crafting recipes'!$A$6:$A$1005,0)),"MISSING ID"),"Advances one material tier","Lower-tier ingredient; route advances one tier"),"Needs tier review"))))))</x:f>
        <x:v>Advances one material tier</x:v>
      </x:c>
      <x:c r="S211" s="4" t="str">
        <x:f>IFERROR(INDEX('Material routes'!$D$6:$D$2205,MATCH(U211,'Material routes'!$A$6:$A$2205,0)),"MISSING ID")</x:f>
        <x:v>proposal.branch.tuned_stone</x:v>
      </x:c>
      <x:c r="T211" s="4" t="str">
        <x:f>IFERROR(INDEX('Material routes'!$D$6:$D$2205,MATCH(V211,'Material routes'!$A$6:$A$2205,0)),"MISSING ID")</x:f>
        <x:v>proposal.t3.tuned_insert</x:v>
      </x:c>
      <x:c r="U211" s="4" t="str">
        <x:v>design.t3.tuned_insert.in.1</x:v>
      </x:c>
      <x:c r="V211" s="4" t="str">
        <x:v>design.t3.tuned_insert.out</x:v>
      </x:c>
    </x:row>
    <x:row r="212" ht="115" customHeight="1">
      <x:c r="A212" s="4" t="str">
        <x:f>IFERROR(INDEX('Material routes'!$E$6:$E$2205,MATCH(U212,'Material routes'!$A$6:$A$2205,0)),"MISSING ID")</x:f>
        <x:v>Prepared bronze bearing stock</x:v>
      </x:c>
      <x:c r="B212" s="4" t="str">
        <x:f>IFERROR(INDEX('Material routes'!$F$6:$F$2205,MATCH(U212,'Material routes'!$A$6:$A$2205,0)),"MISSING ID")</x:f>
        <x:v>T2</x:v>
      </x:c>
      <x:c r="C212" s="4" t="str">
        <x:f>IFERROR(INDEX('Material routes'!$H$6:$H$2205,MATCH(U212,'Material routes'!$A$6:$A$2205,0)),"MISSING ID")</x:f>
        <x:v>Processed material</x:v>
      </x:c>
      <x:c r="D212" s="4" t="str">
        <x:f>IFERROR(INDEX('Material routes'!$G$6:$G$2205,MATCH(U212,'Material routes'!$A$6:$A$2205,0)),"MISSING ID")</x:f>
        <x:v>Manufactured stock</x:v>
      </x:c>
      <x:c r="E212" s="4" t="str">
        <x:f>IFERROR(INDEX('Material routes'!$C$6:$C$2205,MATCH(U212,'Material routes'!$A$6:$A$2205,0)),"MISSING ID")</x:f>
        <x:v>Ingredient candidate</x:v>
      </x:c>
      <x:c r="F212" s="4" t="str">
        <x:f>IFERROR(INDEX('Material routes'!$E$6:$E$2205,MATCH(V212,'Material routes'!$A$6:$A$2205,0)),"MISSING ID")</x:f>
        <x:v>Mounted tuned-stone inserts</x:v>
      </x:c>
      <x:c r="G212" s="4" t="str">
        <x:f>IFERROR(INDEX('Material routes'!$F$6:$F$2205,MATCH(V212,'Material routes'!$A$6:$A$2205,0)),"MISSING ID")</x:f>
        <x:v>T3</x:v>
      </x:c>
      <x:c r="H212" s="4" t="str">
        <x:f>IFERROR(INDEX('Material routes'!$H$6:$H$2205,MATCH(V212,'Material routes'!$A$6:$A$2205,0)),"MISSING ID")</x:f>
        <x:v>Crafting component</x:v>
      </x:c>
      <x:c r="I212" s="4" t="str">
        <x:f>IFERROR(INDEX('Material routes'!$G$6:$G$2205,MATCH(V212,'Material routes'!$A$6:$A$2205,0)),"MISSING ID")</x:f>
        <x:v>Crafting components</x:v>
      </x:c>
      <x:c r="J212" s="4" t="str">
        <x:f>IFERROR(INDEX('Material routes'!$B$6:$B$2205,MATCH(U212,'Material routes'!$A$6:$A$2205,0)),"MISSING ID")</x:f>
        <x:v>design.t3.tuned_insert</x:v>
      </x:c>
      <x:c r="K212" s="4" t="str">
        <x:f>IFERROR(INDEX('Crafting recipes'!$C$6:$C$1005,MATCH(J212,'Crafting recipes'!$A$6:$A$1005,0)),"MISSING ID")</x:f>
        <x:v>Material refinement</x:v>
      </x:c>
      <x:c r="L212" s="4" t="str">
        <x:f>IFERROR(INDEX('Material routes'!$K$6:$K$2205,MATCH(U212,'Material routes'!$A$6:$A$2205,0)),"MISSING ID")</x:f>
        <x:v>Proposal</x:v>
      </x:c>
      <x:c r="M212" s="4" t="str">
        <x:f>IFERROR(INDEX('Material routes'!$M$6:$M$2205,MATCH(U212,'Material routes'!$A$6:$A$2205,0)),"MISSING ID")</x:f>
        <x:v>Partial proposal</x:v>
      </x:c>
      <x:c r="N212" s="4" t="str">
        <x:f>IF(IFERROR(INDEX('Material routes'!$I$6:$I$1005,MATCH(U212,'Material routes'!$A$6:$A$1005,0)),"MISSING ID")=0,"",IFERROR(INDEX('Material routes'!$I$6:$I$1005,MATCH(U212,'Material routes'!$A$6:$A$1005,0)),"MISSING ID"))</x:f>
      </x:c>
      <x:c r="O212" s="4" t="str">
        <x:f>IFERROR(INDEX('Material routes'!$J$6:$J$2205,MATCH(U212,'Material routes'!$A$6:$A$2205,0)),"MISSING ID")</x:f>
        <x:v>Unspecified</x:v>
      </x:c>
      <x:c r="P212" s="4" t="str">
        <x:f>IF(IFERROR(INDEX('Material routes'!$I$6:$I$1005,MATCH(V212,'Material routes'!$A$6:$A$1005,0)),"MISSING ID")=0,"",IFERROR(INDEX('Material routes'!$I$6:$I$1005,MATCH(V212,'Material routes'!$A$6:$A$1005,0)),"MISSING ID"))</x:f>
      </x:c>
      <x:c r="Q212" s="4" t="str">
        <x:f>IFERROR(INDEX('Material routes'!$J$6:$J$2205,MATCH(V212,'Material routes'!$A$6:$A$2205,0)),"MISSING ID")</x:f>
        <x:v>Unspecified</x:v>
      </x:c>
      <x:c r="R212" s="4" t="str">
        <x:f>IF(L212="Withheld","Withheld premise",IF(E212="Tool candidate","Reusable prerequisite",IF(K212="Raw entry preparation","Entry-resource preparation",IF(G212="Not applicable",IF(IFERROR(INDEX('Items'!$AI$6:$AI$1005,MATCH(T212,'Items'!$A$6:$A$1005,0)),"MISSING ID")="Finished item","Finished endpoint",IF(IFERROR(INDEX('Items'!$AI$6:$AI$1005,MATCH(T212,'Items'!$A$6:$A$1005,0)),"MISSING ID")="Currency","Currency / no refinement tier","Recovered output / tier not applicable")),IF(OR(IFERROR(INDEX('Crafting recipes'!$H$6:$H$1005,MATCH(J212,'Crafting recipes'!$A$6:$A$1005,0)),"MISSING ID")="Unassigned",G212="Unassigned"),"Tier unresolved",IF(IFERROR(VALUE(RIGHT(G212,1))-VALUE(RIGHT(IFERROR(INDEX('Crafting recipes'!$H$6:$H$1005,MATCH(J212,'Crafting recipes'!$A$6:$A$1005,0)),"MISSING ID"),1)),0)=1,IF(B212=IFERROR(INDEX('Crafting recipes'!$H$6:$H$1005,MATCH(J212,'Crafting recipes'!$A$6:$A$1005,0)),"MISSING ID"),"Advances one material tier","Lower-tier ingredient; route advances one tier"),"Needs tier review"))))))</x:f>
        <x:v>Advances one material tier</x:v>
      </x:c>
      <x:c r="S212" s="4" t="str">
        <x:f>IFERROR(INDEX('Material routes'!$D$6:$D$2205,MATCH(U212,'Material routes'!$A$6:$A$2205,0)),"MISSING ID")</x:f>
        <x:v>proposal.branch.bearing_bronze</x:v>
      </x:c>
      <x:c r="T212" s="4" t="str">
        <x:f>IFERROR(INDEX('Material routes'!$D$6:$D$2205,MATCH(V212,'Material routes'!$A$6:$A$2205,0)),"MISSING ID")</x:f>
        <x:v>proposal.t3.tuned_insert</x:v>
      </x:c>
      <x:c r="U212" s="4" t="str">
        <x:v>design.t3.tuned_insert.in.2</x:v>
      </x:c>
      <x:c r="V212" s="4" t="str">
        <x:v>design.t3.tuned_insert.out</x:v>
      </x:c>
    </x:row>
    <x:row r="213" ht="115" customHeight="1">
      <x:c r="A213" s="4" t="str">
        <x:f>IFERROR(INDEX('Material routes'!$E$6:$E$2205,MATCH(U213,'Material routes'!$A$6:$A$2205,0)),"MISSING ID")</x:f>
        <x:v>Shell laminate</x:v>
      </x:c>
      <x:c r="B213" s="4" t="str">
        <x:f>IFERROR(INDEX('Material routes'!$F$6:$F$2205,MATCH(U213,'Material routes'!$A$6:$A$2205,0)),"MISSING ID")</x:f>
        <x:v>T2</x:v>
      </x:c>
      <x:c r="C213" s="4" t="str">
        <x:f>IFERROR(INDEX('Material routes'!$H$6:$H$2205,MATCH(U213,'Material routes'!$A$6:$A$2205,0)),"MISSING ID")</x:f>
        <x:v>Crafting component</x:v>
      </x:c>
      <x:c r="D213" s="4" t="str">
        <x:f>IFERROR(INDEX('Material routes'!$G$6:$G$2205,MATCH(U213,'Material routes'!$A$6:$A$2205,0)),"MISSING ID")</x:f>
        <x:v>Crafting components</x:v>
      </x:c>
      <x:c r="E213" s="4" t="str">
        <x:f>IFERROR(INDEX('Material routes'!$C$6:$C$2205,MATCH(U213,'Material routes'!$A$6:$A$2205,0)),"MISSING ID")</x:f>
        <x:v>Ingredient candidate</x:v>
      </x:c>
      <x:c r="F213" s="4" t="str">
        <x:f>IFERROR(INDEX('Material routes'!$E$6:$E$2205,MATCH(V213,'Material routes'!$A$6:$A$2205,0)),"MISSING ID")</x:f>
        <x:v>Hinged shell-panel sets</x:v>
      </x:c>
      <x:c r="G213" s="4" t="str">
        <x:f>IFERROR(INDEX('Material routes'!$F$6:$F$2205,MATCH(V213,'Material routes'!$A$6:$A$2205,0)),"MISSING ID")</x:f>
        <x:v>T3</x:v>
      </x:c>
      <x:c r="H213" s="4" t="str">
        <x:f>IFERROR(INDEX('Material routes'!$H$6:$H$2205,MATCH(V213,'Material routes'!$A$6:$A$2205,0)),"MISSING ID")</x:f>
        <x:v>Crafting component</x:v>
      </x:c>
      <x:c r="I213" s="4" t="str">
        <x:f>IFERROR(INDEX('Material routes'!$G$6:$G$2205,MATCH(V213,'Material routes'!$A$6:$A$2205,0)),"MISSING ID")</x:f>
        <x:v>Crafting components</x:v>
      </x:c>
      <x:c r="J213" s="4" t="str">
        <x:f>IFERROR(INDEX('Material routes'!$B$6:$B$2205,MATCH(U213,'Material routes'!$A$6:$A$2205,0)),"MISSING ID")</x:f>
        <x:v>design.t3.hinged_shell</x:v>
      </x:c>
      <x:c r="K213" s="4" t="str">
        <x:f>IFERROR(INDEX('Crafting recipes'!$C$6:$C$1005,MATCH(J213,'Crafting recipes'!$A$6:$A$1005,0)),"MISSING ID")</x:f>
        <x:v>Material refinement</x:v>
      </x:c>
      <x:c r="L213" s="4" t="str">
        <x:f>IFERROR(INDEX('Material routes'!$K$6:$K$2205,MATCH(U213,'Material routes'!$A$6:$A$2205,0)),"MISSING ID")</x:f>
        <x:v>Proposal</x:v>
      </x:c>
      <x:c r="M213" s="4" t="str">
        <x:f>IFERROR(INDEX('Material routes'!$M$6:$M$2205,MATCH(U213,'Material routes'!$A$6:$A$2205,0)),"MISSING ID")</x:f>
        <x:v>Partial proposal</x:v>
      </x:c>
      <x:c r="N213" s="4" t="str">
        <x:f>IF(IFERROR(INDEX('Material routes'!$I$6:$I$1005,MATCH(U213,'Material routes'!$A$6:$A$1005,0)),"MISSING ID")=0,"",IFERROR(INDEX('Material routes'!$I$6:$I$1005,MATCH(U213,'Material routes'!$A$6:$A$1005,0)),"MISSING ID"))</x:f>
      </x:c>
      <x:c r="O213" s="4" t="str">
        <x:f>IFERROR(INDEX('Material routes'!$J$6:$J$2205,MATCH(U213,'Material routes'!$A$6:$A$2205,0)),"MISSING ID")</x:f>
        <x:v>Unspecified</x:v>
      </x:c>
      <x:c r="P213" s="4" t="str">
        <x:f>IF(IFERROR(INDEX('Material routes'!$I$6:$I$1005,MATCH(V213,'Material routes'!$A$6:$A$1005,0)),"MISSING ID")=0,"",IFERROR(INDEX('Material routes'!$I$6:$I$1005,MATCH(V213,'Material routes'!$A$6:$A$1005,0)),"MISSING ID"))</x:f>
      </x:c>
      <x:c r="Q213" s="4" t="str">
        <x:f>IFERROR(INDEX('Material routes'!$J$6:$J$2205,MATCH(V213,'Material routes'!$A$6:$A$2205,0)),"MISSING ID")</x:f>
        <x:v>Unspecified</x:v>
      </x:c>
      <x:c r="R213" s="4" t="str">
        <x:f>IF(L213="Withheld","Withheld premise",IF(E213="Tool candidate","Reusable prerequisite",IF(K213="Raw entry preparation","Entry-resource preparation",IF(G213="Not applicable",IF(IFERROR(INDEX('Items'!$AI$6:$AI$1005,MATCH(T213,'Items'!$A$6:$A$1005,0)),"MISSING ID")="Finished item","Finished endpoint",IF(IFERROR(INDEX('Items'!$AI$6:$AI$1005,MATCH(T213,'Items'!$A$6:$A$1005,0)),"MISSING ID")="Currency","Currency / no refinement tier","Recovered output / tier not applicable")),IF(OR(IFERROR(INDEX('Crafting recipes'!$H$6:$H$1005,MATCH(J213,'Crafting recipes'!$A$6:$A$1005,0)),"MISSING ID")="Unassigned",G213="Unassigned"),"Tier unresolved",IF(IFERROR(VALUE(RIGHT(G213,1))-VALUE(RIGHT(IFERROR(INDEX('Crafting recipes'!$H$6:$H$1005,MATCH(J213,'Crafting recipes'!$A$6:$A$1005,0)),"MISSING ID"),1)),0)=1,IF(B213=IFERROR(INDEX('Crafting recipes'!$H$6:$H$1005,MATCH(J213,'Crafting recipes'!$A$6:$A$1005,0)),"MISSING ID"),"Advances one material tier","Lower-tier ingredient; route advances one tier"),"Needs tier review"))))))</x:f>
        <x:v>Advances one material tier</x:v>
      </x:c>
      <x:c r="S213" s="4" t="str">
        <x:f>IFERROR(INDEX('Material routes'!$D$6:$D$2205,MATCH(U213,'Material routes'!$A$6:$A$2205,0)),"MISSING ID")</x:f>
        <x:v>proposal.bio.laminate</x:v>
      </x:c>
      <x:c r="T213" s="4" t="str">
        <x:f>IFERROR(INDEX('Material routes'!$D$6:$D$2205,MATCH(V213,'Material routes'!$A$6:$A$2205,0)),"MISSING ID")</x:f>
        <x:v>proposal.t3.hinged_shell</x:v>
      </x:c>
      <x:c r="U213" s="4" t="str">
        <x:v>design.t3.hinged_shell.in.1</x:v>
      </x:c>
      <x:c r="V213" s="4" t="str">
        <x:v>design.t3.hinged_shell.out</x:v>
      </x:c>
    </x:row>
    <x:row r="214" ht="115" customHeight="1">
      <x:c r="A214" s="4" t="str">
        <x:f>IFERROR(INDEX('Material routes'!$E$6:$E$2205,MATCH(U214,'Material routes'!$A$6:$A$2205,0)),"MISSING ID")</x:f>
        <x:v>Prepared bronze bearing stock</x:v>
      </x:c>
      <x:c r="B214" s="4" t="str">
        <x:f>IFERROR(INDEX('Material routes'!$F$6:$F$2205,MATCH(U214,'Material routes'!$A$6:$A$2205,0)),"MISSING ID")</x:f>
        <x:v>T2</x:v>
      </x:c>
      <x:c r="C214" s="4" t="str">
        <x:f>IFERROR(INDEX('Material routes'!$H$6:$H$2205,MATCH(U214,'Material routes'!$A$6:$A$2205,0)),"MISSING ID")</x:f>
        <x:v>Processed material</x:v>
      </x:c>
      <x:c r="D214" s="4" t="str">
        <x:f>IFERROR(INDEX('Material routes'!$G$6:$G$2205,MATCH(U214,'Material routes'!$A$6:$A$2205,0)),"MISSING ID")</x:f>
        <x:v>Manufactured stock</x:v>
      </x:c>
      <x:c r="E214" s="4" t="str">
        <x:f>IFERROR(INDEX('Material routes'!$C$6:$C$2205,MATCH(U214,'Material routes'!$A$6:$A$2205,0)),"MISSING ID")</x:f>
        <x:v>Ingredient candidate</x:v>
      </x:c>
      <x:c r="F214" s="4" t="str">
        <x:f>IFERROR(INDEX('Material routes'!$E$6:$E$2205,MATCH(V214,'Material routes'!$A$6:$A$2205,0)),"MISSING ID")</x:f>
        <x:v>Hinged shell-panel sets</x:v>
      </x:c>
      <x:c r="G214" s="4" t="str">
        <x:f>IFERROR(INDEX('Material routes'!$F$6:$F$2205,MATCH(V214,'Material routes'!$A$6:$A$2205,0)),"MISSING ID")</x:f>
        <x:v>T3</x:v>
      </x:c>
      <x:c r="H214" s="4" t="str">
        <x:f>IFERROR(INDEX('Material routes'!$H$6:$H$2205,MATCH(V214,'Material routes'!$A$6:$A$2205,0)),"MISSING ID")</x:f>
        <x:v>Crafting component</x:v>
      </x:c>
      <x:c r="I214" s="4" t="str">
        <x:f>IFERROR(INDEX('Material routes'!$G$6:$G$2205,MATCH(V214,'Material routes'!$A$6:$A$2205,0)),"MISSING ID")</x:f>
        <x:v>Crafting components</x:v>
      </x:c>
      <x:c r="J214" s="4" t="str">
        <x:f>IFERROR(INDEX('Material routes'!$B$6:$B$2205,MATCH(U214,'Material routes'!$A$6:$A$2205,0)),"MISSING ID")</x:f>
        <x:v>design.t3.hinged_shell</x:v>
      </x:c>
      <x:c r="K214" s="4" t="str">
        <x:f>IFERROR(INDEX('Crafting recipes'!$C$6:$C$1005,MATCH(J214,'Crafting recipes'!$A$6:$A$1005,0)),"MISSING ID")</x:f>
        <x:v>Material refinement</x:v>
      </x:c>
      <x:c r="L214" s="4" t="str">
        <x:f>IFERROR(INDEX('Material routes'!$K$6:$K$2205,MATCH(U214,'Material routes'!$A$6:$A$2205,0)),"MISSING ID")</x:f>
        <x:v>Proposal</x:v>
      </x:c>
      <x:c r="M214" s="4" t="str">
        <x:f>IFERROR(INDEX('Material routes'!$M$6:$M$2205,MATCH(U214,'Material routes'!$A$6:$A$2205,0)),"MISSING ID")</x:f>
        <x:v>Partial proposal</x:v>
      </x:c>
      <x:c r="N214" s="4" t="str">
        <x:f>IF(IFERROR(INDEX('Material routes'!$I$6:$I$1005,MATCH(U214,'Material routes'!$A$6:$A$1005,0)),"MISSING ID")=0,"",IFERROR(INDEX('Material routes'!$I$6:$I$1005,MATCH(U214,'Material routes'!$A$6:$A$1005,0)),"MISSING ID"))</x:f>
      </x:c>
      <x:c r="O214" s="4" t="str">
        <x:f>IFERROR(INDEX('Material routes'!$J$6:$J$2205,MATCH(U214,'Material routes'!$A$6:$A$2205,0)),"MISSING ID")</x:f>
        <x:v>Unspecified</x:v>
      </x:c>
      <x:c r="P214" s="4" t="str">
        <x:f>IF(IFERROR(INDEX('Material routes'!$I$6:$I$1005,MATCH(V214,'Material routes'!$A$6:$A$1005,0)),"MISSING ID")=0,"",IFERROR(INDEX('Material routes'!$I$6:$I$1005,MATCH(V214,'Material routes'!$A$6:$A$1005,0)),"MISSING ID"))</x:f>
      </x:c>
      <x:c r="Q214" s="4" t="str">
        <x:f>IFERROR(INDEX('Material routes'!$J$6:$J$2205,MATCH(V214,'Material routes'!$A$6:$A$2205,0)),"MISSING ID")</x:f>
        <x:v>Unspecified</x:v>
      </x:c>
      <x:c r="R214" s="4" t="str">
        <x:f>IF(L214="Withheld","Withheld premise",IF(E214="Tool candidate","Reusable prerequisite",IF(K214="Raw entry preparation","Entry-resource preparation",IF(G214="Not applicable",IF(IFERROR(INDEX('Items'!$AI$6:$AI$1005,MATCH(T214,'Items'!$A$6:$A$1005,0)),"MISSING ID")="Finished item","Finished endpoint",IF(IFERROR(INDEX('Items'!$AI$6:$AI$1005,MATCH(T214,'Items'!$A$6:$A$1005,0)),"MISSING ID")="Currency","Currency / no refinement tier","Recovered output / tier not applicable")),IF(OR(IFERROR(INDEX('Crafting recipes'!$H$6:$H$1005,MATCH(J214,'Crafting recipes'!$A$6:$A$1005,0)),"MISSING ID")="Unassigned",G214="Unassigned"),"Tier unresolved",IF(IFERROR(VALUE(RIGHT(G214,1))-VALUE(RIGHT(IFERROR(INDEX('Crafting recipes'!$H$6:$H$1005,MATCH(J214,'Crafting recipes'!$A$6:$A$1005,0)),"MISSING ID"),1)),0)=1,IF(B214=IFERROR(INDEX('Crafting recipes'!$H$6:$H$1005,MATCH(J214,'Crafting recipes'!$A$6:$A$1005,0)),"MISSING ID"),"Advances one material tier","Lower-tier ingredient; route advances one tier"),"Needs tier review"))))))</x:f>
        <x:v>Advances one material tier</x:v>
      </x:c>
      <x:c r="S214" s="4" t="str">
        <x:f>IFERROR(INDEX('Material routes'!$D$6:$D$2205,MATCH(U214,'Material routes'!$A$6:$A$2205,0)),"MISSING ID")</x:f>
        <x:v>proposal.branch.bearing_bronze</x:v>
      </x:c>
      <x:c r="T214" s="4" t="str">
        <x:f>IFERROR(INDEX('Material routes'!$D$6:$D$2205,MATCH(V214,'Material routes'!$A$6:$A$2205,0)),"MISSING ID")</x:f>
        <x:v>proposal.t3.hinged_shell</x:v>
      </x:c>
      <x:c r="U214" s="4" t="str">
        <x:v>design.t3.hinged_shell.in.2</x:v>
      </x:c>
      <x:c r="V214" s="4" t="str">
        <x:v>design.t3.hinged_shell.out</x:v>
      </x:c>
    </x:row>
    <x:row r="215" ht="115" customHeight="1">
      <x:c r="A215" s="4" t="str">
        <x:f>IFERROR(INDEX('Material routes'!$E$6:$E$2205,MATCH(U215,'Material routes'!$A$6:$A$2205,0)),"MISSING ID")</x:f>
        <x:v>Filled shell-binding compound</x:v>
      </x:c>
      <x:c r="B215" s="4" t="str">
        <x:f>IFERROR(INDEX('Material routes'!$F$6:$F$2205,MATCH(U215,'Material routes'!$A$6:$A$2205,0)),"MISSING ID")</x:f>
        <x:v>T2</x:v>
      </x:c>
      <x:c r="C215" s="4" t="str">
        <x:f>IFERROR(INDEX('Material routes'!$H$6:$H$2205,MATCH(U215,'Material routes'!$A$6:$A$2205,0)),"MISSING ID")</x:f>
        <x:v>Chemical material</x:v>
      </x:c>
      <x:c r="D215" s="4" t="str">
        <x:f>IFERROR(INDEX('Material routes'!$G$6:$G$2205,MATCH(U215,'Material routes'!$A$6:$A$2205,0)),"MISSING ID")</x:f>
        <x:v>Crafting components</x:v>
      </x:c>
      <x:c r="E215" s="4" t="str">
        <x:f>IFERROR(INDEX('Material routes'!$C$6:$C$2205,MATCH(U215,'Material routes'!$A$6:$A$2205,0)),"MISSING ID")</x:f>
        <x:v>Ingredient candidate</x:v>
      </x:c>
      <x:c r="F215" s="4" t="str">
        <x:f>IFERROR(INDEX('Material routes'!$E$6:$E$2205,MATCH(V215,'Material routes'!$A$6:$A$2205,0)),"MISSING ID")</x:f>
        <x:v>Hinged shell-panel sets</x:v>
      </x:c>
      <x:c r="G215" s="4" t="str">
        <x:f>IFERROR(INDEX('Material routes'!$F$6:$F$2205,MATCH(V215,'Material routes'!$A$6:$A$2205,0)),"MISSING ID")</x:f>
        <x:v>T3</x:v>
      </x:c>
      <x:c r="H215" s="4" t="str">
        <x:f>IFERROR(INDEX('Material routes'!$H$6:$H$2205,MATCH(V215,'Material routes'!$A$6:$A$2205,0)),"MISSING ID")</x:f>
        <x:v>Crafting component</x:v>
      </x:c>
      <x:c r="I215" s="4" t="str">
        <x:f>IFERROR(INDEX('Material routes'!$G$6:$G$2205,MATCH(V215,'Material routes'!$A$6:$A$2205,0)),"MISSING ID")</x:f>
        <x:v>Crafting components</x:v>
      </x:c>
      <x:c r="J215" s="4" t="str">
        <x:f>IFERROR(INDEX('Material routes'!$B$6:$B$2205,MATCH(U215,'Material routes'!$A$6:$A$2205,0)),"MISSING ID")</x:f>
        <x:v>design.t3.hinged_shell</x:v>
      </x:c>
      <x:c r="K215" s="4" t="str">
        <x:f>IFERROR(INDEX('Crafting recipes'!$C$6:$C$1005,MATCH(J215,'Crafting recipes'!$A$6:$A$1005,0)),"MISSING ID")</x:f>
        <x:v>Material refinement</x:v>
      </x:c>
      <x:c r="L215" s="4" t="str">
        <x:f>IFERROR(INDEX('Material routes'!$K$6:$K$2205,MATCH(U215,'Material routes'!$A$6:$A$2205,0)),"MISSING ID")</x:f>
        <x:v>Proposal</x:v>
      </x:c>
      <x:c r="M215" s="4" t="str">
        <x:f>IFERROR(INDEX('Material routes'!$M$6:$M$2205,MATCH(U215,'Material routes'!$A$6:$A$2205,0)),"MISSING ID")</x:f>
        <x:v>Partial proposal</x:v>
      </x:c>
      <x:c r="N215" s="4" t="str">
        <x:f>IF(IFERROR(INDEX('Material routes'!$I$6:$I$1005,MATCH(U215,'Material routes'!$A$6:$A$1005,0)),"MISSING ID")=0,"",IFERROR(INDEX('Material routes'!$I$6:$I$1005,MATCH(U215,'Material routes'!$A$6:$A$1005,0)),"MISSING ID"))</x:f>
      </x:c>
      <x:c r="O215" s="4" t="str">
        <x:f>IFERROR(INDEX('Material routes'!$J$6:$J$2205,MATCH(U215,'Material routes'!$A$6:$A$2205,0)),"MISSING ID")</x:f>
        <x:v>Unspecified</x:v>
      </x:c>
      <x:c r="P215" s="4" t="str">
        <x:f>IF(IFERROR(INDEX('Material routes'!$I$6:$I$1005,MATCH(V215,'Material routes'!$A$6:$A$1005,0)),"MISSING ID")=0,"",IFERROR(INDEX('Material routes'!$I$6:$I$1005,MATCH(V215,'Material routes'!$A$6:$A$1005,0)),"MISSING ID"))</x:f>
      </x:c>
      <x:c r="Q215" s="4" t="str">
        <x:f>IFERROR(INDEX('Material routes'!$J$6:$J$2205,MATCH(V215,'Material routes'!$A$6:$A$2205,0)),"MISSING ID")</x:f>
        <x:v>Unspecified</x:v>
      </x:c>
      <x:c r="R215" s="4" t="str">
        <x:f>IF(L215="Withheld","Withheld premise",IF(E215="Tool candidate","Reusable prerequisite",IF(K215="Raw entry preparation","Entry-resource preparation",IF(G215="Not applicable",IF(IFERROR(INDEX('Items'!$AI$6:$AI$1005,MATCH(T215,'Items'!$A$6:$A$1005,0)),"MISSING ID")="Finished item","Finished endpoint",IF(IFERROR(INDEX('Items'!$AI$6:$AI$1005,MATCH(T215,'Items'!$A$6:$A$1005,0)),"MISSING ID")="Currency","Currency / no refinement tier","Recovered output / tier not applicable")),IF(OR(IFERROR(INDEX('Crafting recipes'!$H$6:$H$1005,MATCH(J215,'Crafting recipes'!$A$6:$A$1005,0)),"MISSING ID")="Unassigned",G215="Unassigned"),"Tier unresolved",IF(IFERROR(VALUE(RIGHT(G215,1))-VALUE(RIGHT(IFERROR(INDEX('Crafting recipes'!$H$6:$H$1005,MATCH(J215,'Crafting recipes'!$A$6:$A$1005,0)),"MISSING ID"),1)),0)=1,IF(B215=IFERROR(INDEX('Crafting recipes'!$H$6:$H$1005,MATCH(J215,'Crafting recipes'!$A$6:$A$1005,0)),"MISSING ID"),"Advances one material tier","Lower-tier ingredient; route advances one tier"),"Needs tier review"))))))</x:f>
        <x:v>Advances one material tier</x:v>
      </x:c>
      <x:c r="S215" s="4" t="str">
        <x:f>IFERROR(INDEX('Material routes'!$D$6:$D$2205,MATCH(U215,'Material routes'!$A$6:$A$2205,0)),"MISSING ID")</x:f>
        <x:v>proposal.branch.filled_binder</x:v>
      </x:c>
      <x:c r="T215" s="4" t="str">
        <x:f>IFERROR(INDEX('Material routes'!$D$6:$D$2205,MATCH(V215,'Material routes'!$A$6:$A$2205,0)),"MISSING ID")</x:f>
        <x:v>proposal.t3.hinged_shell</x:v>
      </x:c>
      <x:c r="U215" s="4" t="str">
        <x:v>design.t3.hinged_shell.in.3</x:v>
      </x:c>
      <x:c r="V215" s="4" t="str">
        <x:v>design.t3.hinged_shell.out</x:v>
      </x:c>
    </x:row>
    <x:row r="216" ht="115" customHeight="1">
      <x:c r="A216" s="4" t="str">
        <x:f>IFERROR(INDEX('Material routes'!$E$6:$E$2205,MATCH(U216,'Material routes'!$A$6:$A$2205,0)),"MISSING ID")</x:f>
        <x:v>Formed opaque glass sheet</x:v>
      </x:c>
      <x:c r="B216" s="4" t="str">
        <x:f>IFERROR(INDEX('Material routes'!$F$6:$F$2205,MATCH(U216,'Material routes'!$A$6:$A$2205,0)),"MISSING ID")</x:f>
        <x:v>T2</x:v>
      </x:c>
      <x:c r="C216" s="4" t="str">
        <x:f>IFERROR(INDEX('Material routes'!$H$6:$H$2205,MATCH(U216,'Material routes'!$A$6:$A$2205,0)),"MISSING ID")</x:f>
        <x:v>Processed material</x:v>
      </x:c>
      <x:c r="D216" s="4" t="str">
        <x:f>IFERROR(INDEX('Material routes'!$G$6:$G$2205,MATCH(U216,'Material routes'!$A$6:$A$2205,0)),"MISSING ID")</x:f>
        <x:v>Manufactured stock</x:v>
      </x:c>
      <x:c r="E216" s="4" t="str">
        <x:f>IFERROR(INDEX('Material routes'!$C$6:$C$2205,MATCH(U216,'Material routes'!$A$6:$A$2205,0)),"MISSING ID")</x:f>
        <x:v>Ingredient candidate</x:v>
      </x:c>
      <x:c r="F216" s="4" t="str">
        <x:f>IFERROR(INDEX('Material routes'!$E$6:$E$2205,MATCH(V216,'Material routes'!$A$6:$A$2205,0)),"MISSING ID")</x:f>
        <x:v>Bonded glass-ceramic lining stock</x:v>
      </x:c>
      <x:c r="G216" s="4" t="str">
        <x:f>IFERROR(INDEX('Material routes'!$F$6:$F$2205,MATCH(V216,'Material routes'!$A$6:$A$2205,0)),"MISSING ID")</x:f>
        <x:v>T3</x:v>
      </x:c>
      <x:c r="H216" s="4" t="str">
        <x:f>IFERROR(INDEX('Material routes'!$H$6:$H$2205,MATCH(V216,'Material routes'!$A$6:$A$2205,0)),"MISSING ID")</x:f>
        <x:v>Processed material</x:v>
      </x:c>
      <x:c r="I216" s="4" t="str">
        <x:f>IFERROR(INDEX('Material routes'!$G$6:$G$2205,MATCH(V216,'Material routes'!$A$6:$A$2205,0)),"MISSING ID")</x:f>
        <x:v>Manufactured stock</x:v>
      </x:c>
      <x:c r="J216" s="4" t="str">
        <x:f>IFERROR(INDEX('Material routes'!$B$6:$B$2205,MATCH(U216,'Material routes'!$A$6:$A$2205,0)),"MISSING ID")</x:f>
        <x:v>design.t3.lining_stock</x:v>
      </x:c>
      <x:c r="K216" s="4" t="str">
        <x:f>IFERROR(INDEX('Crafting recipes'!$C$6:$C$1005,MATCH(J216,'Crafting recipes'!$A$6:$A$1005,0)),"MISSING ID")</x:f>
        <x:v>Material refinement</x:v>
      </x:c>
      <x:c r="L216" s="4" t="str">
        <x:f>IFERROR(INDEX('Material routes'!$K$6:$K$2205,MATCH(U216,'Material routes'!$A$6:$A$2205,0)),"MISSING ID")</x:f>
        <x:v>Proposal</x:v>
      </x:c>
      <x:c r="M216" s="4" t="str">
        <x:f>IFERROR(INDEX('Material routes'!$M$6:$M$2205,MATCH(U216,'Material routes'!$A$6:$A$2205,0)),"MISSING ID")</x:f>
        <x:v>Partial proposal</x:v>
      </x:c>
      <x:c r="N216" s="4" t="str">
        <x:f>IF(IFERROR(INDEX('Material routes'!$I$6:$I$1005,MATCH(U216,'Material routes'!$A$6:$A$1005,0)),"MISSING ID")=0,"",IFERROR(INDEX('Material routes'!$I$6:$I$1005,MATCH(U216,'Material routes'!$A$6:$A$1005,0)),"MISSING ID"))</x:f>
      </x:c>
      <x:c r="O216" s="4" t="str">
        <x:f>IFERROR(INDEX('Material routes'!$J$6:$J$2205,MATCH(U216,'Material routes'!$A$6:$A$2205,0)),"MISSING ID")</x:f>
        <x:v>Unspecified</x:v>
      </x:c>
      <x:c r="P216" s="4" t="str">
        <x:f>IF(IFERROR(INDEX('Material routes'!$I$6:$I$1005,MATCH(V216,'Material routes'!$A$6:$A$1005,0)),"MISSING ID")=0,"",IFERROR(INDEX('Material routes'!$I$6:$I$1005,MATCH(V216,'Material routes'!$A$6:$A$1005,0)),"MISSING ID"))</x:f>
      </x:c>
      <x:c r="Q216" s="4" t="str">
        <x:f>IFERROR(INDEX('Material routes'!$J$6:$J$2205,MATCH(V216,'Material routes'!$A$6:$A$2205,0)),"MISSING ID")</x:f>
        <x:v>Unspecified</x:v>
      </x:c>
      <x:c r="R216" s="4" t="str">
        <x:f>IF(L216="Withheld","Withheld premise",IF(E216="Tool candidate","Reusable prerequisite",IF(K216="Raw entry preparation","Entry-resource preparation",IF(G216="Not applicable",IF(IFERROR(INDEX('Items'!$AI$6:$AI$1005,MATCH(T216,'Items'!$A$6:$A$1005,0)),"MISSING ID")="Finished item","Finished endpoint",IF(IFERROR(INDEX('Items'!$AI$6:$AI$1005,MATCH(T216,'Items'!$A$6:$A$1005,0)),"MISSING ID")="Currency","Currency / no refinement tier","Recovered output / tier not applicable")),IF(OR(IFERROR(INDEX('Crafting recipes'!$H$6:$H$1005,MATCH(J216,'Crafting recipes'!$A$6:$A$1005,0)),"MISSING ID")="Unassigned",G216="Unassigned"),"Tier unresolved",IF(IFERROR(VALUE(RIGHT(G216,1))-VALUE(RIGHT(IFERROR(INDEX('Crafting recipes'!$H$6:$H$1005,MATCH(J216,'Crafting recipes'!$A$6:$A$1005,0)),"MISSING ID"),1)),0)=1,IF(B216=IFERROR(INDEX('Crafting recipes'!$H$6:$H$1005,MATCH(J216,'Crafting recipes'!$A$6:$A$1005,0)),"MISSING ID"),"Advances one material tier","Lower-tier ingredient; route advances one tier"),"Needs tier review"))))))</x:f>
        <x:v>Advances one material tier</x:v>
      </x:c>
      <x:c r="S216" s="4" t="str">
        <x:f>IFERROR(INDEX('Material routes'!$D$6:$D$2205,MATCH(U216,'Material routes'!$A$6:$A$2205,0)),"MISSING ID")</x:f>
        <x:v>proposal.branch.opaque_sheet</x:v>
      </x:c>
      <x:c r="T216" s="4" t="str">
        <x:f>IFERROR(INDEX('Material routes'!$D$6:$D$2205,MATCH(V216,'Material routes'!$A$6:$A$2205,0)),"MISSING ID")</x:f>
        <x:v>proposal.t3.lining_stock</x:v>
      </x:c>
      <x:c r="U216" s="4" t="str">
        <x:v>design.t3.lining_stock.in.1</x:v>
      </x:c>
      <x:c r="V216" s="4" t="str">
        <x:v>design.t3.lining_stock.out</x:v>
      </x:c>
    </x:row>
    <x:row r="217" ht="115" customHeight="1">
      <x:c r="A217" s="4" t="str">
        <x:f>IFERROR(INDEX('Material routes'!$E$6:$E$2205,MATCH(U217,'Material routes'!$A$6:$A$2205,0)),"MISSING ID")</x:f>
        <x:v>Insulating ceramic blanks</x:v>
      </x:c>
      <x:c r="B217" s="4" t="str">
        <x:f>IFERROR(INDEX('Material routes'!$F$6:$F$2205,MATCH(U217,'Material routes'!$A$6:$A$2205,0)),"MISSING ID")</x:f>
        <x:v>T2</x:v>
      </x:c>
      <x:c r="C217" s="4" t="str">
        <x:f>IFERROR(INDEX('Material routes'!$H$6:$H$2205,MATCH(U217,'Material routes'!$A$6:$A$2205,0)),"MISSING ID")</x:f>
        <x:v>Processed material</x:v>
      </x:c>
      <x:c r="D217" s="4" t="str">
        <x:f>IFERROR(INDEX('Material routes'!$G$6:$G$2205,MATCH(U217,'Material routes'!$A$6:$A$2205,0)),"MISSING ID")</x:f>
        <x:v>Manufactured stock</x:v>
      </x:c>
      <x:c r="E217" s="4" t="str">
        <x:f>IFERROR(INDEX('Material routes'!$C$6:$C$2205,MATCH(U217,'Material routes'!$A$6:$A$2205,0)),"MISSING ID")</x:f>
        <x:v>Ingredient candidate</x:v>
      </x:c>
      <x:c r="F217" s="4" t="str">
        <x:f>IFERROR(INDEX('Material routes'!$E$6:$E$2205,MATCH(V217,'Material routes'!$A$6:$A$2205,0)),"MISSING ID")</x:f>
        <x:v>Bonded glass-ceramic lining stock</x:v>
      </x:c>
      <x:c r="G217" s="4" t="str">
        <x:f>IFERROR(INDEX('Material routes'!$F$6:$F$2205,MATCH(V217,'Material routes'!$A$6:$A$2205,0)),"MISSING ID")</x:f>
        <x:v>T3</x:v>
      </x:c>
      <x:c r="H217" s="4" t="str">
        <x:f>IFERROR(INDEX('Material routes'!$H$6:$H$2205,MATCH(V217,'Material routes'!$A$6:$A$2205,0)),"MISSING ID")</x:f>
        <x:v>Processed material</x:v>
      </x:c>
      <x:c r="I217" s="4" t="str">
        <x:f>IFERROR(INDEX('Material routes'!$G$6:$G$2205,MATCH(V217,'Material routes'!$A$6:$A$2205,0)),"MISSING ID")</x:f>
        <x:v>Manufactured stock</x:v>
      </x:c>
      <x:c r="J217" s="4" t="str">
        <x:f>IFERROR(INDEX('Material routes'!$B$6:$B$2205,MATCH(U217,'Material routes'!$A$6:$A$2205,0)),"MISSING ID")</x:f>
        <x:v>design.t3.lining_stock</x:v>
      </x:c>
      <x:c r="K217" s="4" t="str">
        <x:f>IFERROR(INDEX('Crafting recipes'!$C$6:$C$1005,MATCH(J217,'Crafting recipes'!$A$6:$A$1005,0)),"MISSING ID")</x:f>
        <x:v>Material refinement</x:v>
      </x:c>
      <x:c r="L217" s="4" t="str">
        <x:f>IFERROR(INDEX('Material routes'!$K$6:$K$2205,MATCH(U217,'Material routes'!$A$6:$A$2205,0)),"MISSING ID")</x:f>
        <x:v>Proposal</x:v>
      </x:c>
      <x:c r="M217" s="4" t="str">
        <x:f>IFERROR(INDEX('Material routes'!$M$6:$M$2205,MATCH(U217,'Material routes'!$A$6:$A$2205,0)),"MISSING ID")</x:f>
        <x:v>Partial proposal</x:v>
      </x:c>
      <x:c r="N217" s="4" t="str">
        <x:f>IF(IFERROR(INDEX('Material routes'!$I$6:$I$1005,MATCH(U217,'Material routes'!$A$6:$A$1005,0)),"MISSING ID")=0,"",IFERROR(INDEX('Material routes'!$I$6:$I$1005,MATCH(U217,'Material routes'!$A$6:$A$1005,0)),"MISSING ID"))</x:f>
      </x:c>
      <x:c r="O217" s="4" t="str">
        <x:f>IFERROR(INDEX('Material routes'!$J$6:$J$2205,MATCH(U217,'Material routes'!$A$6:$A$2205,0)),"MISSING ID")</x:f>
        <x:v>Unspecified</x:v>
      </x:c>
      <x:c r="P217" s="4" t="str">
        <x:f>IF(IFERROR(INDEX('Material routes'!$I$6:$I$1005,MATCH(V217,'Material routes'!$A$6:$A$1005,0)),"MISSING ID")=0,"",IFERROR(INDEX('Material routes'!$I$6:$I$1005,MATCH(V217,'Material routes'!$A$6:$A$1005,0)),"MISSING ID"))</x:f>
      </x:c>
      <x:c r="Q217" s="4" t="str">
        <x:f>IFERROR(INDEX('Material routes'!$J$6:$J$2205,MATCH(V217,'Material routes'!$A$6:$A$2205,0)),"MISSING ID")</x:f>
        <x:v>Unspecified</x:v>
      </x:c>
      <x:c r="R217" s="4" t="str">
        <x:f>IF(L217="Withheld","Withheld premise",IF(E217="Tool candidate","Reusable prerequisite",IF(K217="Raw entry preparation","Entry-resource preparation",IF(G217="Not applicable",IF(IFERROR(INDEX('Items'!$AI$6:$AI$1005,MATCH(T217,'Items'!$A$6:$A$1005,0)),"MISSING ID")="Finished item","Finished endpoint",IF(IFERROR(INDEX('Items'!$AI$6:$AI$1005,MATCH(T217,'Items'!$A$6:$A$1005,0)),"MISSING ID")="Currency","Currency / no refinement tier","Recovered output / tier not applicable")),IF(OR(IFERROR(INDEX('Crafting recipes'!$H$6:$H$1005,MATCH(J217,'Crafting recipes'!$A$6:$A$1005,0)),"MISSING ID")="Unassigned",G217="Unassigned"),"Tier unresolved",IF(IFERROR(VALUE(RIGHT(G217,1))-VALUE(RIGHT(IFERROR(INDEX('Crafting recipes'!$H$6:$H$1005,MATCH(J217,'Crafting recipes'!$A$6:$A$1005,0)),"MISSING ID"),1)),0)=1,IF(B217=IFERROR(INDEX('Crafting recipes'!$H$6:$H$1005,MATCH(J217,'Crafting recipes'!$A$6:$A$1005,0)),"MISSING ID"),"Advances one material tier","Lower-tier ingredient; route advances one tier"),"Needs tier review"))))))</x:f>
        <x:v>Advances one material tier</x:v>
      </x:c>
      <x:c r="S217" s="4" t="str">
        <x:f>IFERROR(INDEX('Material routes'!$D$6:$D$2205,MATCH(U217,'Material routes'!$A$6:$A$2205,0)),"MISSING ID")</x:f>
        <x:v>proposal.natural.ceramic</x:v>
      </x:c>
      <x:c r="T217" s="4" t="str">
        <x:f>IFERROR(INDEX('Material routes'!$D$6:$D$2205,MATCH(V217,'Material routes'!$A$6:$A$2205,0)),"MISSING ID")</x:f>
        <x:v>proposal.t3.lining_stock</x:v>
      </x:c>
      <x:c r="U217" s="4" t="str">
        <x:v>design.t3.lining_stock.in.2</x:v>
      </x:c>
      <x:c r="V217" s="4" t="str">
        <x:v>design.t3.lining_stock.out</x:v>
      </x:c>
    </x:row>
    <x:row r="218" ht="115" customHeight="1">
      <x:c r="A218" s="4" t="str">
        <x:f>IFERROR(INDEX('Material routes'!$E$6:$E$2205,MATCH(U218,'Material routes'!$A$6:$A$2205,0)),"MISSING ID")</x:f>
        <x:v>Filled shell-binding compound</x:v>
      </x:c>
      <x:c r="B218" s="4" t="str">
        <x:f>IFERROR(INDEX('Material routes'!$F$6:$F$2205,MATCH(U218,'Material routes'!$A$6:$A$2205,0)),"MISSING ID")</x:f>
        <x:v>T2</x:v>
      </x:c>
      <x:c r="C218" s="4" t="str">
        <x:f>IFERROR(INDEX('Material routes'!$H$6:$H$2205,MATCH(U218,'Material routes'!$A$6:$A$2205,0)),"MISSING ID")</x:f>
        <x:v>Chemical material</x:v>
      </x:c>
      <x:c r="D218" s="4" t="str">
        <x:f>IFERROR(INDEX('Material routes'!$G$6:$G$2205,MATCH(U218,'Material routes'!$A$6:$A$2205,0)),"MISSING ID")</x:f>
        <x:v>Crafting components</x:v>
      </x:c>
      <x:c r="E218" s="4" t="str">
        <x:f>IFERROR(INDEX('Material routes'!$C$6:$C$2205,MATCH(U218,'Material routes'!$A$6:$A$2205,0)),"MISSING ID")</x:f>
        <x:v>Ingredient candidate</x:v>
      </x:c>
      <x:c r="F218" s="4" t="str">
        <x:f>IFERROR(INDEX('Material routes'!$E$6:$E$2205,MATCH(V218,'Material routes'!$A$6:$A$2205,0)),"MISSING ID")</x:f>
        <x:v>Bonded glass-ceramic lining stock</x:v>
      </x:c>
      <x:c r="G218" s="4" t="str">
        <x:f>IFERROR(INDEX('Material routes'!$F$6:$F$2205,MATCH(V218,'Material routes'!$A$6:$A$2205,0)),"MISSING ID")</x:f>
        <x:v>T3</x:v>
      </x:c>
      <x:c r="H218" s="4" t="str">
        <x:f>IFERROR(INDEX('Material routes'!$H$6:$H$2205,MATCH(V218,'Material routes'!$A$6:$A$2205,0)),"MISSING ID")</x:f>
        <x:v>Processed material</x:v>
      </x:c>
      <x:c r="I218" s="4" t="str">
        <x:f>IFERROR(INDEX('Material routes'!$G$6:$G$2205,MATCH(V218,'Material routes'!$A$6:$A$2205,0)),"MISSING ID")</x:f>
        <x:v>Manufactured stock</x:v>
      </x:c>
      <x:c r="J218" s="4" t="str">
        <x:f>IFERROR(INDEX('Material routes'!$B$6:$B$2205,MATCH(U218,'Material routes'!$A$6:$A$2205,0)),"MISSING ID")</x:f>
        <x:v>design.t3.lining_stock</x:v>
      </x:c>
      <x:c r="K218" s="4" t="str">
        <x:f>IFERROR(INDEX('Crafting recipes'!$C$6:$C$1005,MATCH(J218,'Crafting recipes'!$A$6:$A$1005,0)),"MISSING ID")</x:f>
        <x:v>Material refinement</x:v>
      </x:c>
      <x:c r="L218" s="4" t="str">
        <x:f>IFERROR(INDEX('Material routes'!$K$6:$K$2205,MATCH(U218,'Material routes'!$A$6:$A$2205,0)),"MISSING ID")</x:f>
        <x:v>Proposal</x:v>
      </x:c>
      <x:c r="M218" s="4" t="str">
        <x:f>IFERROR(INDEX('Material routes'!$M$6:$M$2205,MATCH(U218,'Material routes'!$A$6:$A$2205,0)),"MISSING ID")</x:f>
        <x:v>Partial proposal</x:v>
      </x:c>
      <x:c r="N218" s="4" t="str">
        <x:f>IF(IFERROR(INDEX('Material routes'!$I$6:$I$1005,MATCH(U218,'Material routes'!$A$6:$A$1005,0)),"MISSING ID")=0,"",IFERROR(INDEX('Material routes'!$I$6:$I$1005,MATCH(U218,'Material routes'!$A$6:$A$1005,0)),"MISSING ID"))</x:f>
      </x:c>
      <x:c r="O218" s="4" t="str">
        <x:f>IFERROR(INDEX('Material routes'!$J$6:$J$2205,MATCH(U218,'Material routes'!$A$6:$A$2205,0)),"MISSING ID")</x:f>
        <x:v>Unspecified</x:v>
      </x:c>
      <x:c r="P218" s="4" t="str">
        <x:f>IF(IFERROR(INDEX('Material routes'!$I$6:$I$1005,MATCH(V218,'Material routes'!$A$6:$A$1005,0)),"MISSING ID")=0,"",IFERROR(INDEX('Material routes'!$I$6:$I$1005,MATCH(V218,'Material routes'!$A$6:$A$1005,0)),"MISSING ID"))</x:f>
      </x:c>
      <x:c r="Q218" s="4" t="str">
        <x:f>IFERROR(INDEX('Material routes'!$J$6:$J$2205,MATCH(V218,'Material routes'!$A$6:$A$2205,0)),"MISSING ID")</x:f>
        <x:v>Unspecified</x:v>
      </x:c>
      <x:c r="R218" s="4" t="str">
        <x:f>IF(L218="Withheld","Withheld premise",IF(E218="Tool candidate","Reusable prerequisite",IF(K218="Raw entry preparation","Entry-resource preparation",IF(G218="Not applicable",IF(IFERROR(INDEX('Items'!$AI$6:$AI$1005,MATCH(T218,'Items'!$A$6:$A$1005,0)),"MISSING ID")="Finished item","Finished endpoint",IF(IFERROR(INDEX('Items'!$AI$6:$AI$1005,MATCH(T218,'Items'!$A$6:$A$1005,0)),"MISSING ID")="Currency","Currency / no refinement tier","Recovered output / tier not applicable")),IF(OR(IFERROR(INDEX('Crafting recipes'!$H$6:$H$1005,MATCH(J218,'Crafting recipes'!$A$6:$A$1005,0)),"MISSING ID")="Unassigned",G218="Unassigned"),"Tier unresolved",IF(IFERROR(VALUE(RIGHT(G218,1))-VALUE(RIGHT(IFERROR(INDEX('Crafting recipes'!$H$6:$H$1005,MATCH(J218,'Crafting recipes'!$A$6:$A$1005,0)),"MISSING ID"),1)),0)=1,IF(B218=IFERROR(INDEX('Crafting recipes'!$H$6:$H$1005,MATCH(J218,'Crafting recipes'!$A$6:$A$1005,0)),"MISSING ID"),"Advances one material tier","Lower-tier ingredient; route advances one tier"),"Needs tier review"))))))</x:f>
        <x:v>Advances one material tier</x:v>
      </x:c>
      <x:c r="S218" s="4" t="str">
        <x:f>IFERROR(INDEX('Material routes'!$D$6:$D$2205,MATCH(U218,'Material routes'!$A$6:$A$2205,0)),"MISSING ID")</x:f>
        <x:v>proposal.branch.filled_binder</x:v>
      </x:c>
      <x:c r="T218" s="4" t="str">
        <x:f>IFERROR(INDEX('Material routes'!$D$6:$D$2205,MATCH(V218,'Material routes'!$A$6:$A$2205,0)),"MISSING ID")</x:f>
        <x:v>proposal.t3.lining_stock</x:v>
      </x:c>
      <x:c r="U218" s="4" t="str">
        <x:v>design.t3.lining_stock.in.3</x:v>
      </x:c>
      <x:c r="V218" s="4" t="str">
        <x:v>design.t3.lining_stock.out</x:v>
      </x:c>
    </x:row>
    <x:row r="219" ht="115" customHeight="1">
      <x:c r="A219" s="4" t="str">
        <x:f>IFERROR(INDEX('Material routes'!$E$6:$E$2205,MATCH(U219,'Material routes'!$A$6:$A$2205,0)),"MISSING ID")</x:f>
        <x:v>Heat-treated steel gear blanks</x:v>
      </x:c>
      <x:c r="B219" s="4" t="str">
        <x:f>IFERROR(INDEX('Material routes'!$F$6:$F$2205,MATCH(U219,'Material routes'!$A$6:$A$2205,0)),"MISSING ID")</x:f>
        <x:v>T3</x:v>
      </x:c>
      <x:c r="C219" s="4" t="str">
        <x:f>IFERROR(INDEX('Material routes'!$H$6:$H$2205,MATCH(U219,'Material routes'!$A$6:$A$2205,0)),"MISSING ID")</x:f>
        <x:v>Crafting component</x:v>
      </x:c>
      <x:c r="D219" s="4" t="str">
        <x:f>IFERROR(INDEX('Material routes'!$G$6:$G$2205,MATCH(U219,'Material routes'!$A$6:$A$2205,0)),"MISSING ID")</x:f>
        <x:v>Crafting components</x:v>
      </x:c>
      <x:c r="E219" s="4" t="str">
        <x:f>IFERROR(INDEX('Material routes'!$C$6:$C$2205,MATCH(U219,'Material routes'!$A$6:$A$2205,0)),"MISSING ID")</x:f>
        <x:v>Ingredient candidate</x:v>
      </x:c>
      <x:c r="F219" s="4" t="str">
        <x:f>IFERROR(INDEX('Material routes'!$E$6:$E$2205,MATCH(V219,'Material routes'!$A$6:$A$2205,0)),"MISSING ID")</x:f>
        <x:v>Matched mechanical drive cassette</x:v>
      </x:c>
      <x:c r="G219" s="4" t="str">
        <x:f>IFERROR(INDEX('Material routes'!$F$6:$F$2205,MATCH(V219,'Material routes'!$A$6:$A$2205,0)),"MISSING ID")</x:f>
        <x:v>T4</x:v>
      </x:c>
      <x:c r="H219" s="4" t="str">
        <x:f>IFERROR(INDEX('Material routes'!$H$6:$H$2205,MATCH(V219,'Material routes'!$A$6:$A$2205,0)),"MISSING ID")</x:f>
        <x:v>Crafting component</x:v>
      </x:c>
      <x:c r="I219" s="4" t="str">
        <x:f>IFERROR(INDEX('Material routes'!$G$6:$G$2205,MATCH(V219,'Material routes'!$A$6:$A$2205,0)),"MISSING ID")</x:f>
        <x:v>Crafting components</x:v>
      </x:c>
      <x:c r="J219" s="4" t="str">
        <x:f>IFERROR(INDEX('Material routes'!$B$6:$B$2205,MATCH(U219,'Material routes'!$A$6:$A$2205,0)),"MISSING ID")</x:f>
        <x:v>design.t4.drive_cassette</x:v>
      </x:c>
      <x:c r="K219" s="4" t="str">
        <x:f>IFERROR(INDEX('Crafting recipes'!$C$6:$C$1005,MATCH(J219,'Crafting recipes'!$A$6:$A$1005,0)),"MISSING ID")</x:f>
        <x:v>Material refinement</x:v>
      </x:c>
      <x:c r="L219" s="4" t="str">
        <x:f>IFERROR(INDEX('Material routes'!$K$6:$K$2205,MATCH(U219,'Material routes'!$A$6:$A$2205,0)),"MISSING ID")</x:f>
        <x:v>Proposal</x:v>
      </x:c>
      <x:c r="M219" s="4" t="str">
        <x:f>IFERROR(INDEX('Material routes'!$M$6:$M$2205,MATCH(U219,'Material routes'!$A$6:$A$2205,0)),"MISSING ID")</x:f>
        <x:v>Partial proposal</x:v>
      </x:c>
      <x:c r="N219" s="4" t="str">
        <x:f>IF(IFERROR(INDEX('Material routes'!$I$6:$I$1005,MATCH(U219,'Material routes'!$A$6:$A$1005,0)),"MISSING ID")=0,"",IFERROR(INDEX('Material routes'!$I$6:$I$1005,MATCH(U219,'Material routes'!$A$6:$A$1005,0)),"MISSING ID"))</x:f>
      </x:c>
      <x:c r="O219" s="4" t="str">
        <x:f>IFERROR(INDEX('Material routes'!$J$6:$J$2205,MATCH(U219,'Material routes'!$A$6:$A$2205,0)),"MISSING ID")</x:f>
        <x:v>Unspecified</x:v>
      </x:c>
      <x:c r="P219" s="4" t="str">
        <x:f>IF(IFERROR(INDEX('Material routes'!$I$6:$I$1005,MATCH(V219,'Material routes'!$A$6:$A$1005,0)),"MISSING ID")=0,"",IFERROR(INDEX('Material routes'!$I$6:$I$1005,MATCH(V219,'Material routes'!$A$6:$A$1005,0)),"MISSING ID"))</x:f>
      </x:c>
      <x:c r="Q219" s="4" t="str">
        <x:f>IFERROR(INDEX('Material routes'!$J$6:$J$2205,MATCH(V219,'Material routes'!$A$6:$A$2205,0)),"MISSING ID")</x:f>
        <x:v>Unspecified</x:v>
      </x:c>
      <x:c r="R219" s="4" t="str">
        <x:f>IF(L219="Withheld","Withheld premise",IF(E219="Tool candidate","Reusable prerequisite",IF(K219="Raw entry preparation","Entry-resource preparation",IF(G219="Not applicable",IF(IFERROR(INDEX('Items'!$AI$6:$AI$1005,MATCH(T219,'Items'!$A$6:$A$1005,0)),"MISSING ID")="Finished item","Finished endpoint",IF(IFERROR(INDEX('Items'!$AI$6:$AI$1005,MATCH(T219,'Items'!$A$6:$A$1005,0)),"MISSING ID")="Currency","Currency / no refinement tier","Recovered output / tier not applicable")),IF(OR(IFERROR(INDEX('Crafting recipes'!$H$6:$H$1005,MATCH(J219,'Crafting recipes'!$A$6:$A$1005,0)),"MISSING ID")="Unassigned",G219="Unassigned"),"Tier unresolved",IF(IFERROR(VALUE(RIGHT(G219,1))-VALUE(RIGHT(IFERROR(INDEX('Crafting recipes'!$H$6:$H$1005,MATCH(J219,'Crafting recipes'!$A$6:$A$1005,0)),"MISSING ID"),1)),0)=1,IF(B219=IFERROR(INDEX('Crafting recipes'!$H$6:$H$1005,MATCH(J219,'Crafting recipes'!$A$6:$A$1005,0)),"MISSING ID"),"Advances one material tier","Lower-tier ingredient; route advances one tier"),"Needs tier review"))))))</x:f>
        <x:v>Advances one material tier</x:v>
      </x:c>
      <x:c r="S219" s="4" t="str">
        <x:f>IFERROR(INDEX('Material routes'!$D$6:$D$2205,MATCH(U219,'Material routes'!$A$6:$A$2205,0)),"MISSING ID")</x:f>
        <x:v>proposal.t3.gear_blank</x:v>
      </x:c>
      <x:c r="T219" s="4" t="str">
        <x:f>IFERROR(INDEX('Material routes'!$D$6:$D$2205,MATCH(V219,'Material routes'!$A$6:$A$2205,0)),"MISSING ID")</x:f>
        <x:v>proposal.t4.drive_cassette</x:v>
      </x:c>
      <x:c r="U219" s="4" t="str">
        <x:v>design.t4.drive_cassette.in.1</x:v>
      </x:c>
      <x:c r="V219" s="4" t="str">
        <x:v>design.t4.drive_cassette.out</x:v>
      </x:c>
    </x:row>
    <x:row r="220" ht="115" customHeight="1">
      <x:c r="A220" s="4" t="str">
        <x:f>IFERROR(INDEX('Material routes'!$E$6:$E$2205,MATCH(U220,'Material routes'!$A$6:$A$2205,0)),"MISSING ID")</x:f>
        <x:v>Lapped bronze bearing blanks</x:v>
      </x:c>
      <x:c r="B220" s="4" t="str">
        <x:f>IFERROR(INDEX('Material routes'!$F$6:$F$2205,MATCH(U220,'Material routes'!$A$6:$A$2205,0)),"MISSING ID")</x:f>
        <x:v>T3</x:v>
      </x:c>
      <x:c r="C220" s="4" t="str">
        <x:f>IFERROR(INDEX('Material routes'!$H$6:$H$2205,MATCH(U220,'Material routes'!$A$6:$A$2205,0)),"MISSING ID")</x:f>
        <x:v>Crafting component</x:v>
      </x:c>
      <x:c r="D220" s="4" t="str">
        <x:f>IFERROR(INDEX('Material routes'!$G$6:$G$2205,MATCH(U220,'Material routes'!$A$6:$A$2205,0)),"MISSING ID")</x:f>
        <x:v>Crafting components</x:v>
      </x:c>
      <x:c r="E220" s="4" t="str">
        <x:f>IFERROR(INDEX('Material routes'!$C$6:$C$2205,MATCH(U220,'Material routes'!$A$6:$A$2205,0)),"MISSING ID")</x:f>
        <x:v>Ingredient candidate</x:v>
      </x:c>
      <x:c r="F220" s="4" t="str">
        <x:f>IFERROR(INDEX('Material routes'!$E$6:$E$2205,MATCH(V220,'Material routes'!$A$6:$A$2205,0)),"MISSING ID")</x:f>
        <x:v>Matched mechanical drive cassette</x:v>
      </x:c>
      <x:c r="G220" s="4" t="str">
        <x:f>IFERROR(INDEX('Material routes'!$F$6:$F$2205,MATCH(V220,'Material routes'!$A$6:$A$2205,0)),"MISSING ID")</x:f>
        <x:v>T4</x:v>
      </x:c>
      <x:c r="H220" s="4" t="str">
        <x:f>IFERROR(INDEX('Material routes'!$H$6:$H$2205,MATCH(V220,'Material routes'!$A$6:$A$2205,0)),"MISSING ID")</x:f>
        <x:v>Crafting component</x:v>
      </x:c>
      <x:c r="I220" s="4" t="str">
        <x:f>IFERROR(INDEX('Material routes'!$G$6:$G$2205,MATCH(V220,'Material routes'!$A$6:$A$2205,0)),"MISSING ID")</x:f>
        <x:v>Crafting components</x:v>
      </x:c>
      <x:c r="J220" s="4" t="str">
        <x:f>IFERROR(INDEX('Material routes'!$B$6:$B$2205,MATCH(U220,'Material routes'!$A$6:$A$2205,0)),"MISSING ID")</x:f>
        <x:v>design.t4.drive_cassette</x:v>
      </x:c>
      <x:c r="K220" s="4" t="str">
        <x:f>IFERROR(INDEX('Crafting recipes'!$C$6:$C$1005,MATCH(J220,'Crafting recipes'!$A$6:$A$1005,0)),"MISSING ID")</x:f>
        <x:v>Material refinement</x:v>
      </x:c>
      <x:c r="L220" s="4" t="str">
        <x:f>IFERROR(INDEX('Material routes'!$K$6:$K$2205,MATCH(U220,'Material routes'!$A$6:$A$2205,0)),"MISSING ID")</x:f>
        <x:v>Proposal</x:v>
      </x:c>
      <x:c r="M220" s="4" t="str">
        <x:f>IFERROR(INDEX('Material routes'!$M$6:$M$2205,MATCH(U220,'Material routes'!$A$6:$A$2205,0)),"MISSING ID")</x:f>
        <x:v>Partial proposal</x:v>
      </x:c>
      <x:c r="N220" s="4" t="str">
        <x:f>IF(IFERROR(INDEX('Material routes'!$I$6:$I$1005,MATCH(U220,'Material routes'!$A$6:$A$1005,0)),"MISSING ID")=0,"",IFERROR(INDEX('Material routes'!$I$6:$I$1005,MATCH(U220,'Material routes'!$A$6:$A$1005,0)),"MISSING ID"))</x:f>
      </x:c>
      <x:c r="O220" s="4" t="str">
        <x:f>IFERROR(INDEX('Material routes'!$J$6:$J$2205,MATCH(U220,'Material routes'!$A$6:$A$2205,0)),"MISSING ID")</x:f>
        <x:v>Unspecified</x:v>
      </x:c>
      <x:c r="P220" s="4" t="str">
        <x:f>IF(IFERROR(INDEX('Material routes'!$I$6:$I$1005,MATCH(V220,'Material routes'!$A$6:$A$1005,0)),"MISSING ID")=0,"",IFERROR(INDEX('Material routes'!$I$6:$I$1005,MATCH(V220,'Material routes'!$A$6:$A$1005,0)),"MISSING ID"))</x:f>
      </x:c>
      <x:c r="Q220" s="4" t="str">
        <x:f>IFERROR(INDEX('Material routes'!$J$6:$J$2205,MATCH(V220,'Material routes'!$A$6:$A$2205,0)),"MISSING ID")</x:f>
        <x:v>Unspecified</x:v>
      </x:c>
      <x:c r="R220" s="4" t="str">
        <x:f>IF(L220="Withheld","Withheld premise",IF(E220="Tool candidate","Reusable prerequisite",IF(K220="Raw entry preparation","Entry-resource preparation",IF(G220="Not applicable",IF(IFERROR(INDEX('Items'!$AI$6:$AI$1005,MATCH(T220,'Items'!$A$6:$A$1005,0)),"MISSING ID")="Finished item","Finished endpoint",IF(IFERROR(INDEX('Items'!$AI$6:$AI$1005,MATCH(T220,'Items'!$A$6:$A$1005,0)),"MISSING ID")="Currency","Currency / no refinement tier","Recovered output / tier not applicable")),IF(OR(IFERROR(INDEX('Crafting recipes'!$H$6:$H$1005,MATCH(J220,'Crafting recipes'!$A$6:$A$1005,0)),"MISSING ID")="Unassigned",G220="Unassigned"),"Tier unresolved",IF(IFERROR(VALUE(RIGHT(G220,1))-VALUE(RIGHT(IFERROR(INDEX('Crafting recipes'!$H$6:$H$1005,MATCH(J220,'Crafting recipes'!$A$6:$A$1005,0)),"MISSING ID"),1)),0)=1,IF(B220=IFERROR(INDEX('Crafting recipes'!$H$6:$H$1005,MATCH(J220,'Crafting recipes'!$A$6:$A$1005,0)),"MISSING ID"),"Advances one material tier","Lower-tier ingredient; route advances one tier"),"Needs tier review"))))))</x:f>
        <x:v>Advances one material tier</x:v>
      </x:c>
      <x:c r="S220" s="4" t="str">
        <x:f>IFERROR(INDEX('Material routes'!$D$6:$D$2205,MATCH(U220,'Material routes'!$A$6:$A$2205,0)),"MISSING ID")</x:f>
        <x:v>proposal.t3.bearing_blank</x:v>
      </x:c>
      <x:c r="T220" s="4" t="str">
        <x:f>IFERROR(INDEX('Material routes'!$D$6:$D$2205,MATCH(V220,'Material routes'!$A$6:$A$2205,0)),"MISSING ID")</x:f>
        <x:v>proposal.t4.drive_cassette</x:v>
      </x:c>
      <x:c r="U220" s="4" t="str">
        <x:v>design.t4.drive_cassette.in.2</x:v>
      </x:c>
      <x:c r="V220" s="4" t="str">
        <x:v>design.t4.drive_cassette.out</x:v>
      </x:c>
    </x:row>
    <x:row r="221" ht="115" customHeight="1">
      <x:c r="A221" s="4" t="str">
        <x:f>IFERROR(INDEX('Material routes'!$E$6:$E$2205,MATCH(U221,'Material routes'!$A$6:$A$2205,0)),"MISSING ID")</x:f>
        <x:v>Drawn steel tube stock</x:v>
      </x:c>
      <x:c r="B221" s="4" t="str">
        <x:f>IFERROR(INDEX('Material routes'!$F$6:$F$2205,MATCH(U221,'Material routes'!$A$6:$A$2205,0)),"MISSING ID")</x:f>
        <x:v>T3</x:v>
      </x:c>
      <x:c r="C221" s="4" t="str">
        <x:f>IFERROR(INDEX('Material routes'!$H$6:$H$2205,MATCH(U221,'Material routes'!$A$6:$A$2205,0)),"MISSING ID")</x:f>
        <x:v>Processed material</x:v>
      </x:c>
      <x:c r="D221" s="4" t="str">
        <x:f>IFERROR(INDEX('Material routes'!$G$6:$G$2205,MATCH(U221,'Material routes'!$A$6:$A$2205,0)),"MISSING ID")</x:f>
        <x:v>Manufactured stock</x:v>
      </x:c>
      <x:c r="E221" s="4" t="str">
        <x:f>IFERROR(INDEX('Material routes'!$C$6:$C$2205,MATCH(U221,'Material routes'!$A$6:$A$2205,0)),"MISSING ID")</x:f>
        <x:v>Ingredient candidate</x:v>
      </x:c>
      <x:c r="F221" s="4" t="str">
        <x:f>IFERROR(INDEX('Material routes'!$E$6:$E$2205,MATCH(V221,'Material routes'!$A$6:$A$2205,0)),"MISSING ID")</x:f>
        <x:v>Matched mechanical drive cassette</x:v>
      </x:c>
      <x:c r="G221" s="4" t="str">
        <x:f>IFERROR(INDEX('Material routes'!$F$6:$F$2205,MATCH(V221,'Material routes'!$A$6:$A$2205,0)),"MISSING ID")</x:f>
        <x:v>T4</x:v>
      </x:c>
      <x:c r="H221" s="4" t="str">
        <x:f>IFERROR(INDEX('Material routes'!$H$6:$H$2205,MATCH(V221,'Material routes'!$A$6:$A$2205,0)),"MISSING ID")</x:f>
        <x:v>Crafting component</x:v>
      </x:c>
      <x:c r="I221" s="4" t="str">
        <x:f>IFERROR(INDEX('Material routes'!$G$6:$G$2205,MATCH(V221,'Material routes'!$A$6:$A$2205,0)),"MISSING ID")</x:f>
        <x:v>Crafting components</x:v>
      </x:c>
      <x:c r="J221" s="4" t="str">
        <x:f>IFERROR(INDEX('Material routes'!$B$6:$B$2205,MATCH(U221,'Material routes'!$A$6:$A$2205,0)),"MISSING ID")</x:f>
        <x:v>design.t4.drive_cassette</x:v>
      </x:c>
      <x:c r="K221" s="4" t="str">
        <x:f>IFERROR(INDEX('Crafting recipes'!$C$6:$C$1005,MATCH(J221,'Crafting recipes'!$A$6:$A$1005,0)),"MISSING ID")</x:f>
        <x:v>Material refinement</x:v>
      </x:c>
      <x:c r="L221" s="4" t="str">
        <x:f>IFERROR(INDEX('Material routes'!$K$6:$K$2205,MATCH(U221,'Material routes'!$A$6:$A$2205,0)),"MISSING ID")</x:f>
        <x:v>Proposal</x:v>
      </x:c>
      <x:c r="M221" s="4" t="str">
        <x:f>IFERROR(INDEX('Material routes'!$M$6:$M$2205,MATCH(U221,'Material routes'!$A$6:$A$2205,0)),"MISSING ID")</x:f>
        <x:v>Partial proposal</x:v>
      </x:c>
      <x:c r="N221" s="4" t="str">
        <x:f>IF(IFERROR(INDEX('Material routes'!$I$6:$I$1005,MATCH(U221,'Material routes'!$A$6:$A$1005,0)),"MISSING ID")=0,"",IFERROR(INDEX('Material routes'!$I$6:$I$1005,MATCH(U221,'Material routes'!$A$6:$A$1005,0)),"MISSING ID"))</x:f>
      </x:c>
      <x:c r="O221" s="4" t="str">
        <x:f>IFERROR(INDEX('Material routes'!$J$6:$J$2205,MATCH(U221,'Material routes'!$A$6:$A$2205,0)),"MISSING ID")</x:f>
        <x:v>Unspecified</x:v>
      </x:c>
      <x:c r="P221" s="4" t="str">
        <x:f>IF(IFERROR(INDEX('Material routes'!$I$6:$I$1005,MATCH(V221,'Material routes'!$A$6:$A$1005,0)),"MISSING ID")=0,"",IFERROR(INDEX('Material routes'!$I$6:$I$1005,MATCH(V221,'Material routes'!$A$6:$A$1005,0)),"MISSING ID"))</x:f>
      </x:c>
      <x:c r="Q221" s="4" t="str">
        <x:f>IFERROR(INDEX('Material routes'!$J$6:$J$2205,MATCH(V221,'Material routes'!$A$6:$A$2205,0)),"MISSING ID")</x:f>
        <x:v>Unspecified</x:v>
      </x:c>
      <x:c r="R221" s="4" t="str">
        <x:f>IF(L221="Withheld","Withheld premise",IF(E221="Tool candidate","Reusable prerequisite",IF(K221="Raw entry preparation","Entry-resource preparation",IF(G221="Not applicable",IF(IFERROR(INDEX('Items'!$AI$6:$AI$1005,MATCH(T221,'Items'!$A$6:$A$1005,0)),"MISSING ID")="Finished item","Finished endpoint",IF(IFERROR(INDEX('Items'!$AI$6:$AI$1005,MATCH(T221,'Items'!$A$6:$A$1005,0)),"MISSING ID")="Currency","Currency / no refinement tier","Recovered output / tier not applicable")),IF(OR(IFERROR(INDEX('Crafting recipes'!$H$6:$H$1005,MATCH(J221,'Crafting recipes'!$A$6:$A$1005,0)),"MISSING ID")="Unassigned",G221="Unassigned"),"Tier unresolved",IF(IFERROR(VALUE(RIGHT(G221,1))-VALUE(RIGHT(IFERROR(INDEX('Crafting recipes'!$H$6:$H$1005,MATCH(J221,'Crafting recipes'!$A$6:$A$1005,0)),"MISSING ID"),1)),0)=1,IF(B221=IFERROR(INDEX('Crafting recipes'!$H$6:$H$1005,MATCH(J221,'Crafting recipes'!$A$6:$A$1005,0)),"MISSING ID"),"Advances one material tier","Lower-tier ingredient; route advances one tier"),"Needs tier review"))))))</x:f>
        <x:v>Advances one material tier</x:v>
      </x:c>
      <x:c r="S221" s="4" t="str">
        <x:f>IFERROR(INDEX('Material routes'!$D$6:$D$2205,MATCH(U221,'Material routes'!$A$6:$A$2205,0)),"MISSING ID")</x:f>
        <x:v>proposal.t3.precision_tube</x:v>
      </x:c>
      <x:c r="T221" s="4" t="str">
        <x:f>IFERROR(INDEX('Material routes'!$D$6:$D$2205,MATCH(V221,'Material routes'!$A$6:$A$2205,0)),"MISSING ID")</x:f>
        <x:v>proposal.t4.drive_cassette</x:v>
      </x:c>
      <x:c r="U221" s="4" t="str">
        <x:v>design.t4.drive_cassette.in.3</x:v>
      </x:c>
      <x:c r="V221" s="4" t="str">
        <x:v>design.t4.drive_cassette.out</x:v>
      </x:c>
    </x:row>
    <x:row r="222" ht="115" customHeight="1">
      <x:c r="A222" s="4" t="str">
        <x:f>IFERROR(INDEX('Material routes'!$E$6:$E$2205,MATCH(U222,'Material routes'!$A$6:$A$2205,0)),"MISSING ID")</x:f>
        <x:v>Conditioned mechanism-service grease</x:v>
      </x:c>
      <x:c r="B222" s="4" t="str">
        <x:f>IFERROR(INDEX('Material routes'!$F$6:$F$2205,MATCH(U222,'Material routes'!$A$6:$A$2205,0)),"MISSING ID")</x:f>
        <x:v>T3</x:v>
      </x:c>
      <x:c r="C222" s="4" t="str">
        <x:f>IFERROR(INDEX('Material routes'!$H$6:$H$2205,MATCH(U222,'Material routes'!$A$6:$A$2205,0)),"MISSING ID")</x:f>
        <x:v>Chemical material</x:v>
      </x:c>
      <x:c r="D222" s="4" t="str">
        <x:f>IFERROR(INDEX('Material routes'!$G$6:$G$2205,MATCH(U222,'Material routes'!$A$6:$A$2205,0)),"MISSING ID")</x:f>
        <x:v>Crafting components</x:v>
      </x:c>
      <x:c r="E222" s="4" t="str">
        <x:f>IFERROR(INDEX('Material routes'!$C$6:$C$2205,MATCH(U222,'Material routes'!$A$6:$A$2205,0)),"MISSING ID")</x:f>
        <x:v>Ingredient candidate</x:v>
      </x:c>
      <x:c r="F222" s="4" t="str">
        <x:f>IFERROR(INDEX('Material routes'!$E$6:$E$2205,MATCH(V222,'Material routes'!$A$6:$A$2205,0)),"MISSING ID")</x:f>
        <x:v>Matched mechanical drive cassette</x:v>
      </x:c>
      <x:c r="G222" s="4" t="str">
        <x:f>IFERROR(INDEX('Material routes'!$F$6:$F$2205,MATCH(V222,'Material routes'!$A$6:$A$2205,0)),"MISSING ID")</x:f>
        <x:v>T4</x:v>
      </x:c>
      <x:c r="H222" s="4" t="str">
        <x:f>IFERROR(INDEX('Material routes'!$H$6:$H$2205,MATCH(V222,'Material routes'!$A$6:$A$2205,0)),"MISSING ID")</x:f>
        <x:v>Crafting component</x:v>
      </x:c>
      <x:c r="I222" s="4" t="str">
        <x:f>IFERROR(INDEX('Material routes'!$G$6:$G$2205,MATCH(V222,'Material routes'!$A$6:$A$2205,0)),"MISSING ID")</x:f>
        <x:v>Crafting components</x:v>
      </x:c>
      <x:c r="J222" s="4" t="str">
        <x:f>IFERROR(INDEX('Material routes'!$B$6:$B$2205,MATCH(U222,'Material routes'!$A$6:$A$2205,0)),"MISSING ID")</x:f>
        <x:v>design.t4.drive_cassette</x:v>
      </x:c>
      <x:c r="K222" s="4" t="str">
        <x:f>IFERROR(INDEX('Crafting recipes'!$C$6:$C$1005,MATCH(J222,'Crafting recipes'!$A$6:$A$1005,0)),"MISSING ID")</x:f>
        <x:v>Material refinement</x:v>
      </x:c>
      <x:c r="L222" s="4" t="str">
        <x:f>IFERROR(INDEX('Material routes'!$K$6:$K$2205,MATCH(U222,'Material routes'!$A$6:$A$2205,0)),"MISSING ID")</x:f>
        <x:v>Proposal</x:v>
      </x:c>
      <x:c r="M222" s="4" t="str">
        <x:f>IFERROR(INDEX('Material routes'!$M$6:$M$2205,MATCH(U222,'Material routes'!$A$6:$A$2205,0)),"MISSING ID")</x:f>
        <x:v>Partial proposal</x:v>
      </x:c>
      <x:c r="N222" s="4" t="str">
        <x:f>IF(IFERROR(INDEX('Material routes'!$I$6:$I$1005,MATCH(U222,'Material routes'!$A$6:$A$1005,0)),"MISSING ID")=0,"",IFERROR(INDEX('Material routes'!$I$6:$I$1005,MATCH(U222,'Material routes'!$A$6:$A$1005,0)),"MISSING ID"))</x:f>
      </x:c>
      <x:c r="O222" s="4" t="str">
        <x:f>IFERROR(INDEX('Material routes'!$J$6:$J$2205,MATCH(U222,'Material routes'!$A$6:$A$2205,0)),"MISSING ID")</x:f>
        <x:v>Unspecified</x:v>
      </x:c>
      <x:c r="P222" s="4" t="str">
        <x:f>IF(IFERROR(INDEX('Material routes'!$I$6:$I$1005,MATCH(V222,'Material routes'!$A$6:$A$1005,0)),"MISSING ID")=0,"",IFERROR(INDEX('Material routes'!$I$6:$I$1005,MATCH(V222,'Material routes'!$A$6:$A$1005,0)),"MISSING ID"))</x:f>
      </x:c>
      <x:c r="Q222" s="4" t="str">
        <x:f>IFERROR(INDEX('Material routes'!$J$6:$J$2205,MATCH(V222,'Material routes'!$A$6:$A$2205,0)),"MISSING ID")</x:f>
        <x:v>Unspecified</x:v>
      </x:c>
      <x:c r="R222" s="4" t="str">
        <x:f>IF(L222="Withheld","Withheld premise",IF(E222="Tool candidate","Reusable prerequisite",IF(K222="Raw entry preparation","Entry-resource preparation",IF(G222="Not applicable",IF(IFERROR(INDEX('Items'!$AI$6:$AI$1005,MATCH(T222,'Items'!$A$6:$A$1005,0)),"MISSING ID")="Finished item","Finished endpoint",IF(IFERROR(INDEX('Items'!$AI$6:$AI$1005,MATCH(T222,'Items'!$A$6:$A$1005,0)),"MISSING ID")="Currency","Currency / no refinement tier","Recovered output / tier not applicable")),IF(OR(IFERROR(INDEX('Crafting recipes'!$H$6:$H$1005,MATCH(J222,'Crafting recipes'!$A$6:$A$1005,0)),"MISSING ID")="Unassigned",G222="Unassigned"),"Tier unresolved",IF(IFERROR(VALUE(RIGHT(G222,1))-VALUE(RIGHT(IFERROR(INDEX('Crafting recipes'!$H$6:$H$1005,MATCH(J222,'Crafting recipes'!$A$6:$A$1005,0)),"MISSING ID"),1)),0)=1,IF(B222=IFERROR(INDEX('Crafting recipes'!$H$6:$H$1005,MATCH(J222,'Crafting recipes'!$A$6:$A$1005,0)),"MISSING ID"),"Advances one material tier","Lower-tier ingredient; route advances one tier"),"Needs tier review"))))))</x:f>
        <x:v>Advances one material tier</x:v>
      </x:c>
      <x:c r="S222" s="4" t="str">
        <x:f>IFERROR(INDEX('Material routes'!$D$6:$D$2205,MATCH(U222,'Material routes'!$A$6:$A$2205,0)),"MISSING ID")</x:f>
        <x:v>proposal.t3.service_grease</x:v>
      </x:c>
      <x:c r="T222" s="4" t="str">
        <x:f>IFERROR(INDEX('Material routes'!$D$6:$D$2205,MATCH(V222,'Material routes'!$A$6:$A$2205,0)),"MISSING ID")</x:f>
        <x:v>proposal.t4.drive_cassette</x:v>
      </x:c>
      <x:c r="U222" s="4" t="str">
        <x:v>design.t4.drive_cassette.in.4</x:v>
      </x:c>
      <x:c r="V222" s="4" t="str">
        <x:v>design.t4.drive_cassette.out</x:v>
      </x:c>
    </x:row>
    <x:row r="223" ht="115" customHeight="1">
      <x:c r="A223" s="4" t="str">
        <x:f>IFERROR(INDEX('Material routes'!$E$6:$E$2205,MATCH(U223,'Material routes'!$A$6:$A$2205,0)),"MISSING ID")</x:f>
        <x:v>Steel stock</x:v>
      </x:c>
      <x:c r="B223" s="4" t="str">
        <x:f>IFERROR(INDEX('Material routes'!$F$6:$F$2205,MATCH(U223,'Material routes'!$A$6:$A$2205,0)),"MISSING ID")</x:f>
        <x:v>T2</x:v>
      </x:c>
      <x:c r="C223" s="4" t="str">
        <x:f>IFERROR(INDEX('Material routes'!$H$6:$H$2205,MATCH(U223,'Material routes'!$A$6:$A$2205,0)),"MISSING ID")</x:f>
        <x:v>Processed material</x:v>
      </x:c>
      <x:c r="D223" s="4" t="str">
        <x:f>IFERROR(INDEX('Material routes'!$G$6:$G$2205,MATCH(U223,'Material routes'!$A$6:$A$2205,0)),"MISSING ID")</x:f>
        <x:v>Manufactured stock</x:v>
      </x:c>
      <x:c r="E223" s="4" t="str">
        <x:f>IFERROR(INDEX('Material routes'!$C$6:$C$2205,MATCH(U223,'Material routes'!$A$6:$A$2205,0)),"MISSING ID")</x:f>
        <x:v>Ingredient candidate</x:v>
      </x:c>
      <x:c r="F223" s="4" t="str">
        <x:f>IFERROR(INDEX('Material routes'!$E$6:$E$2205,MATCH(V223,'Material routes'!$A$6:$A$2205,0)),"MISSING ID")</x:f>
        <x:v>Matched mechanical drive cassette</x:v>
      </x:c>
      <x:c r="G223" s="4" t="str">
        <x:f>IFERROR(INDEX('Material routes'!$F$6:$F$2205,MATCH(V223,'Material routes'!$A$6:$A$2205,0)),"MISSING ID")</x:f>
        <x:v>T4</x:v>
      </x:c>
      <x:c r="H223" s="4" t="str">
        <x:f>IFERROR(INDEX('Material routes'!$H$6:$H$2205,MATCH(V223,'Material routes'!$A$6:$A$2205,0)),"MISSING ID")</x:f>
        <x:v>Crafting component</x:v>
      </x:c>
      <x:c r="I223" s="4" t="str">
        <x:f>IFERROR(INDEX('Material routes'!$G$6:$G$2205,MATCH(V223,'Material routes'!$A$6:$A$2205,0)),"MISSING ID")</x:f>
        <x:v>Crafting components</x:v>
      </x:c>
      <x:c r="J223" s="4" t="str">
        <x:f>IFERROR(INDEX('Material routes'!$B$6:$B$2205,MATCH(U223,'Material routes'!$A$6:$A$2205,0)),"MISSING ID")</x:f>
        <x:v>design.t4.drive_cassette</x:v>
      </x:c>
      <x:c r="K223" s="4" t="str">
        <x:f>IFERROR(INDEX('Crafting recipes'!$C$6:$C$1005,MATCH(J223,'Crafting recipes'!$A$6:$A$1005,0)),"MISSING ID")</x:f>
        <x:v>Material refinement</x:v>
      </x:c>
      <x:c r="L223" s="4" t="str">
        <x:f>IFERROR(INDEX('Material routes'!$K$6:$K$2205,MATCH(U223,'Material routes'!$A$6:$A$2205,0)),"MISSING ID")</x:f>
        <x:v>Proposal</x:v>
      </x:c>
      <x:c r="M223" s="4" t="str">
        <x:f>IFERROR(INDEX('Material routes'!$M$6:$M$2205,MATCH(U223,'Material routes'!$A$6:$A$2205,0)),"MISSING ID")</x:f>
        <x:v>Partial proposal</x:v>
      </x:c>
      <x:c r="N223" s="4" t="str">
        <x:f>IF(IFERROR(INDEX('Material routes'!$I$6:$I$1005,MATCH(U223,'Material routes'!$A$6:$A$1005,0)),"MISSING ID")=0,"",IFERROR(INDEX('Material routes'!$I$6:$I$1005,MATCH(U223,'Material routes'!$A$6:$A$1005,0)),"MISSING ID"))</x:f>
      </x:c>
      <x:c r="O223" s="4" t="str">
        <x:f>IFERROR(INDEX('Material routes'!$J$6:$J$2205,MATCH(U223,'Material routes'!$A$6:$A$2205,0)),"MISSING ID")</x:f>
        <x:v>Unspecified</x:v>
      </x:c>
      <x:c r="P223" s="4" t="str">
        <x:f>IF(IFERROR(INDEX('Material routes'!$I$6:$I$1005,MATCH(V223,'Material routes'!$A$6:$A$1005,0)),"MISSING ID")=0,"",IFERROR(INDEX('Material routes'!$I$6:$I$1005,MATCH(V223,'Material routes'!$A$6:$A$1005,0)),"MISSING ID"))</x:f>
      </x:c>
      <x:c r="Q223" s="4" t="str">
        <x:f>IFERROR(INDEX('Material routes'!$J$6:$J$2205,MATCH(V223,'Material routes'!$A$6:$A$2205,0)),"MISSING ID")</x:f>
        <x:v>Unspecified</x:v>
      </x:c>
      <x:c r="R223" s="4" t="str">
        <x:f>IF(L223="Withheld","Withheld premise",IF(E223="Tool candidate","Reusable prerequisite",IF(K223="Raw entry preparation","Entry-resource preparation",IF(G223="Not applicable",IF(IFERROR(INDEX('Items'!$AI$6:$AI$1005,MATCH(T223,'Items'!$A$6:$A$1005,0)),"MISSING ID")="Finished item","Finished endpoint",IF(IFERROR(INDEX('Items'!$AI$6:$AI$1005,MATCH(T223,'Items'!$A$6:$A$1005,0)),"MISSING ID")="Currency","Currency / no refinement tier","Recovered output / tier not applicable")),IF(OR(IFERROR(INDEX('Crafting recipes'!$H$6:$H$1005,MATCH(J223,'Crafting recipes'!$A$6:$A$1005,0)),"MISSING ID")="Unassigned",G223="Unassigned"),"Tier unresolved",IF(IFERROR(VALUE(RIGHT(G223,1))-VALUE(RIGHT(IFERROR(INDEX('Crafting recipes'!$H$6:$H$1005,MATCH(J223,'Crafting recipes'!$A$6:$A$1005,0)),"MISSING ID"),1)),0)=1,IF(B223=IFERROR(INDEX('Crafting recipes'!$H$6:$H$1005,MATCH(J223,'Crafting recipes'!$A$6:$A$1005,0)),"MISSING ID"),"Advances one material tier","Lower-tier ingredient; route advances one tier"),"Needs tier review"))))))</x:f>
        <x:v>Lower-tier ingredient; route advances one tier</x:v>
      </x:c>
      <x:c r="S223" s="4" t="str">
        <x:f>IFERROR(INDEX('Material routes'!$D$6:$D$2205,MATCH(U223,'Material routes'!$A$6:$A$2205,0)),"MISSING ID")</x:f>
        <x:v>author.metallurgy.steel_stock</x:v>
      </x:c>
      <x:c r="T223" s="4" t="str">
        <x:f>IFERROR(INDEX('Material routes'!$D$6:$D$2205,MATCH(V223,'Material routes'!$A$6:$A$2205,0)),"MISSING ID")</x:f>
        <x:v>proposal.t4.drive_cassette</x:v>
      </x:c>
      <x:c r="U223" s="4" t="str">
        <x:v>design.t4.drive_cassette.in.5</x:v>
      </x:c>
      <x:c r="V223" s="4" t="str">
        <x:v>design.t4.drive_cassette.out</x:v>
      </x:c>
    </x:row>
    <x:row r="224" ht="115" customHeight="1">
      <x:c r="A224" s="4" t="str">
        <x:f>IFERROR(INDEX('Material routes'!$E$6:$E$2205,MATCH(U224,'Material routes'!$A$6:$A$2205,0)),"MISSING ID")</x:f>
        <x:v>Lapped bronze bearing blanks</x:v>
      </x:c>
      <x:c r="B224" s="4" t="str">
        <x:f>IFERROR(INDEX('Material routes'!$F$6:$F$2205,MATCH(U224,'Material routes'!$A$6:$A$2205,0)),"MISSING ID")</x:f>
        <x:v>T3</x:v>
      </x:c>
      <x:c r="C224" s="4" t="str">
        <x:f>IFERROR(INDEX('Material routes'!$H$6:$H$2205,MATCH(U224,'Material routes'!$A$6:$A$2205,0)),"MISSING ID")</x:f>
        <x:v>Crafting component</x:v>
      </x:c>
      <x:c r="D224" s="4" t="str">
        <x:f>IFERROR(INDEX('Material routes'!$G$6:$G$2205,MATCH(U224,'Material routes'!$A$6:$A$2205,0)),"MISSING ID")</x:f>
        <x:v>Crafting components</x:v>
      </x:c>
      <x:c r="E224" s="4" t="str">
        <x:f>IFERROR(INDEX('Material routes'!$C$6:$C$2205,MATCH(U224,'Material routes'!$A$6:$A$2205,0)),"MISSING ID")</x:f>
        <x:v>Ingredient candidate</x:v>
      </x:c>
      <x:c r="F224" s="4" t="str">
        <x:f>IFERROR(INDEX('Material routes'!$E$6:$E$2205,MATCH(V224,'Material routes'!$A$6:$A$2205,0)),"MISSING ID")</x:f>
        <x:v>Dust-excluding bearing cartridge</x:v>
      </x:c>
      <x:c r="G224" s="4" t="str">
        <x:f>IFERROR(INDEX('Material routes'!$F$6:$F$2205,MATCH(V224,'Material routes'!$A$6:$A$2205,0)),"MISSING ID")</x:f>
        <x:v>T4</x:v>
      </x:c>
      <x:c r="H224" s="4" t="str">
        <x:f>IFERROR(INDEX('Material routes'!$H$6:$H$2205,MATCH(V224,'Material routes'!$A$6:$A$2205,0)),"MISSING ID")</x:f>
        <x:v>Crafting component</x:v>
      </x:c>
      <x:c r="I224" s="4" t="str">
        <x:f>IFERROR(INDEX('Material routes'!$G$6:$G$2205,MATCH(V224,'Material routes'!$A$6:$A$2205,0)),"MISSING ID")</x:f>
        <x:v>Crafting components</x:v>
      </x:c>
      <x:c r="J224" s="4" t="str">
        <x:f>IFERROR(INDEX('Material routes'!$B$6:$B$2205,MATCH(U224,'Material routes'!$A$6:$A$2205,0)),"MISSING ID")</x:f>
        <x:v>design.t4.bearing_cartridge</x:v>
      </x:c>
      <x:c r="K224" s="4" t="str">
        <x:f>IFERROR(INDEX('Crafting recipes'!$C$6:$C$1005,MATCH(J224,'Crafting recipes'!$A$6:$A$1005,0)),"MISSING ID")</x:f>
        <x:v>Material refinement</x:v>
      </x:c>
      <x:c r="L224" s="4" t="str">
        <x:f>IFERROR(INDEX('Material routes'!$K$6:$K$2205,MATCH(U224,'Material routes'!$A$6:$A$2205,0)),"MISSING ID")</x:f>
        <x:v>Proposal</x:v>
      </x:c>
      <x:c r="M224" s="4" t="str">
        <x:f>IFERROR(INDEX('Material routes'!$M$6:$M$2205,MATCH(U224,'Material routes'!$A$6:$A$2205,0)),"MISSING ID")</x:f>
        <x:v>Partial proposal</x:v>
      </x:c>
      <x:c r="N224" s="4" t="str">
        <x:f>IF(IFERROR(INDEX('Material routes'!$I$6:$I$1005,MATCH(U224,'Material routes'!$A$6:$A$1005,0)),"MISSING ID")=0,"",IFERROR(INDEX('Material routes'!$I$6:$I$1005,MATCH(U224,'Material routes'!$A$6:$A$1005,0)),"MISSING ID"))</x:f>
      </x:c>
      <x:c r="O224" s="4" t="str">
        <x:f>IFERROR(INDEX('Material routes'!$J$6:$J$2205,MATCH(U224,'Material routes'!$A$6:$A$2205,0)),"MISSING ID")</x:f>
        <x:v>Unspecified</x:v>
      </x:c>
      <x:c r="P224" s="4" t="str">
        <x:f>IF(IFERROR(INDEX('Material routes'!$I$6:$I$1005,MATCH(V224,'Material routes'!$A$6:$A$1005,0)),"MISSING ID")=0,"",IFERROR(INDEX('Material routes'!$I$6:$I$1005,MATCH(V224,'Material routes'!$A$6:$A$1005,0)),"MISSING ID"))</x:f>
      </x:c>
      <x:c r="Q224" s="4" t="str">
        <x:f>IFERROR(INDEX('Material routes'!$J$6:$J$2205,MATCH(V224,'Material routes'!$A$6:$A$2205,0)),"MISSING ID")</x:f>
        <x:v>Unspecified</x:v>
      </x:c>
      <x:c r="R224" s="4" t="str">
        <x:f>IF(L224="Withheld","Withheld premise",IF(E224="Tool candidate","Reusable prerequisite",IF(K224="Raw entry preparation","Entry-resource preparation",IF(G224="Not applicable",IF(IFERROR(INDEX('Items'!$AI$6:$AI$1005,MATCH(T224,'Items'!$A$6:$A$1005,0)),"MISSING ID")="Finished item","Finished endpoint",IF(IFERROR(INDEX('Items'!$AI$6:$AI$1005,MATCH(T224,'Items'!$A$6:$A$1005,0)),"MISSING ID")="Currency","Currency / no refinement tier","Recovered output / tier not applicable")),IF(OR(IFERROR(INDEX('Crafting recipes'!$H$6:$H$1005,MATCH(J224,'Crafting recipes'!$A$6:$A$1005,0)),"MISSING ID")="Unassigned",G224="Unassigned"),"Tier unresolved",IF(IFERROR(VALUE(RIGHT(G224,1))-VALUE(RIGHT(IFERROR(INDEX('Crafting recipes'!$H$6:$H$1005,MATCH(J224,'Crafting recipes'!$A$6:$A$1005,0)),"MISSING ID"),1)),0)=1,IF(B224=IFERROR(INDEX('Crafting recipes'!$H$6:$H$1005,MATCH(J224,'Crafting recipes'!$A$6:$A$1005,0)),"MISSING ID"),"Advances one material tier","Lower-tier ingredient; route advances one tier"),"Needs tier review"))))))</x:f>
        <x:v>Advances one material tier</x:v>
      </x:c>
      <x:c r="S224" s="4" t="str">
        <x:f>IFERROR(INDEX('Material routes'!$D$6:$D$2205,MATCH(U224,'Material routes'!$A$6:$A$2205,0)),"MISSING ID")</x:f>
        <x:v>proposal.t3.bearing_blank</x:v>
      </x:c>
      <x:c r="T224" s="4" t="str">
        <x:f>IFERROR(INDEX('Material routes'!$D$6:$D$2205,MATCH(V224,'Material routes'!$A$6:$A$2205,0)),"MISSING ID")</x:f>
        <x:v>proposal.t4.bearing_cartridge</x:v>
      </x:c>
      <x:c r="U224" s="4" t="str">
        <x:v>design.t4.bearing_cartridge.in.1</x:v>
      </x:c>
      <x:c r="V224" s="4" t="str">
        <x:v>design.t4.bearing_cartridge.out</x:v>
      </x:c>
    </x:row>
    <x:row r="225" ht="115" customHeight="1">
      <x:c r="A225" s="4" t="str">
        <x:f>IFERROR(INDEX('Material routes'!$E$6:$E$2205,MATCH(U225,'Material routes'!$A$6:$A$2205,0)),"MISSING ID")</x:f>
        <x:v>Husk-reinforced packing stock</x:v>
      </x:c>
      <x:c r="B225" s="4" t="str">
        <x:f>IFERROR(INDEX('Material routes'!$F$6:$F$2205,MATCH(U225,'Material routes'!$A$6:$A$2205,0)),"MISSING ID")</x:f>
        <x:v>T3</x:v>
      </x:c>
      <x:c r="C225" s="4" t="str">
        <x:f>IFERROR(INDEX('Material routes'!$H$6:$H$2205,MATCH(U225,'Material routes'!$A$6:$A$2205,0)),"MISSING ID")</x:f>
        <x:v>Processed material</x:v>
      </x:c>
      <x:c r="D225" s="4" t="str">
        <x:f>IFERROR(INDEX('Material routes'!$G$6:$G$2205,MATCH(U225,'Material routes'!$A$6:$A$2205,0)),"MISSING ID")</x:f>
        <x:v>Manufactured stock</x:v>
      </x:c>
      <x:c r="E225" s="4" t="str">
        <x:f>IFERROR(INDEX('Material routes'!$C$6:$C$2205,MATCH(U225,'Material routes'!$A$6:$A$2205,0)),"MISSING ID")</x:f>
        <x:v>Ingredient candidate</x:v>
      </x:c>
      <x:c r="F225" s="4" t="str">
        <x:f>IFERROR(INDEX('Material routes'!$E$6:$E$2205,MATCH(V225,'Material routes'!$A$6:$A$2205,0)),"MISSING ID")</x:f>
        <x:v>Dust-excluding bearing cartridge</x:v>
      </x:c>
      <x:c r="G225" s="4" t="str">
        <x:f>IFERROR(INDEX('Material routes'!$F$6:$F$2205,MATCH(V225,'Material routes'!$A$6:$A$2205,0)),"MISSING ID")</x:f>
        <x:v>T4</x:v>
      </x:c>
      <x:c r="H225" s="4" t="str">
        <x:f>IFERROR(INDEX('Material routes'!$H$6:$H$2205,MATCH(V225,'Material routes'!$A$6:$A$2205,0)),"MISSING ID")</x:f>
        <x:v>Crafting component</x:v>
      </x:c>
      <x:c r="I225" s="4" t="str">
        <x:f>IFERROR(INDEX('Material routes'!$G$6:$G$2205,MATCH(V225,'Material routes'!$A$6:$A$2205,0)),"MISSING ID")</x:f>
        <x:v>Crafting components</x:v>
      </x:c>
      <x:c r="J225" s="4" t="str">
        <x:f>IFERROR(INDEX('Material routes'!$B$6:$B$2205,MATCH(U225,'Material routes'!$A$6:$A$2205,0)),"MISSING ID")</x:f>
        <x:v>design.t4.bearing_cartridge</x:v>
      </x:c>
      <x:c r="K225" s="4" t="str">
        <x:f>IFERROR(INDEX('Crafting recipes'!$C$6:$C$1005,MATCH(J225,'Crafting recipes'!$A$6:$A$1005,0)),"MISSING ID")</x:f>
        <x:v>Material refinement</x:v>
      </x:c>
      <x:c r="L225" s="4" t="str">
        <x:f>IFERROR(INDEX('Material routes'!$K$6:$K$2205,MATCH(U225,'Material routes'!$A$6:$A$2205,0)),"MISSING ID")</x:f>
        <x:v>Proposal</x:v>
      </x:c>
      <x:c r="M225" s="4" t="str">
        <x:f>IFERROR(INDEX('Material routes'!$M$6:$M$2205,MATCH(U225,'Material routes'!$A$6:$A$2205,0)),"MISSING ID")</x:f>
        <x:v>Partial proposal</x:v>
      </x:c>
      <x:c r="N225" s="4" t="str">
        <x:f>IF(IFERROR(INDEX('Material routes'!$I$6:$I$1005,MATCH(U225,'Material routes'!$A$6:$A$1005,0)),"MISSING ID")=0,"",IFERROR(INDEX('Material routes'!$I$6:$I$1005,MATCH(U225,'Material routes'!$A$6:$A$1005,0)),"MISSING ID"))</x:f>
      </x:c>
      <x:c r="O225" s="4" t="str">
        <x:f>IFERROR(INDEX('Material routes'!$J$6:$J$2205,MATCH(U225,'Material routes'!$A$6:$A$2205,0)),"MISSING ID")</x:f>
        <x:v>Unspecified</x:v>
      </x:c>
      <x:c r="P225" s="4" t="str">
        <x:f>IF(IFERROR(INDEX('Material routes'!$I$6:$I$1005,MATCH(V225,'Material routes'!$A$6:$A$1005,0)),"MISSING ID")=0,"",IFERROR(INDEX('Material routes'!$I$6:$I$1005,MATCH(V225,'Material routes'!$A$6:$A$1005,0)),"MISSING ID"))</x:f>
      </x:c>
      <x:c r="Q225" s="4" t="str">
        <x:f>IFERROR(INDEX('Material routes'!$J$6:$J$2205,MATCH(V225,'Material routes'!$A$6:$A$2205,0)),"MISSING ID")</x:f>
        <x:v>Unspecified</x:v>
      </x:c>
      <x:c r="R225" s="4" t="str">
        <x:f>IF(L225="Withheld","Withheld premise",IF(E225="Tool candidate","Reusable prerequisite",IF(K225="Raw entry preparation","Entry-resource preparation",IF(G225="Not applicable",IF(IFERROR(INDEX('Items'!$AI$6:$AI$1005,MATCH(T225,'Items'!$A$6:$A$1005,0)),"MISSING ID")="Finished item","Finished endpoint",IF(IFERROR(INDEX('Items'!$AI$6:$AI$1005,MATCH(T225,'Items'!$A$6:$A$1005,0)),"MISSING ID")="Currency","Currency / no refinement tier","Recovered output / tier not applicable")),IF(OR(IFERROR(INDEX('Crafting recipes'!$H$6:$H$1005,MATCH(J225,'Crafting recipes'!$A$6:$A$1005,0)),"MISSING ID")="Unassigned",G225="Unassigned"),"Tier unresolved",IF(IFERROR(VALUE(RIGHT(G225,1))-VALUE(RIGHT(IFERROR(INDEX('Crafting recipes'!$H$6:$H$1005,MATCH(J225,'Crafting recipes'!$A$6:$A$1005,0)),"MISSING ID"),1)),0)=1,IF(B225=IFERROR(INDEX('Crafting recipes'!$H$6:$H$1005,MATCH(J225,'Crafting recipes'!$A$6:$A$1005,0)),"MISSING ID"),"Advances one material tier","Lower-tier ingredient; route advances one tier"),"Needs tier review"))))))</x:f>
        <x:v>Advances one material tier</x:v>
      </x:c>
      <x:c r="S225" s="4" t="str">
        <x:f>IFERROR(INDEX('Material routes'!$D$6:$D$2205,MATCH(U225,'Material routes'!$A$6:$A$2205,0)),"MISSING ID")</x:f>
        <x:v>proposal.t3.packing_stock</x:v>
      </x:c>
      <x:c r="T225" s="4" t="str">
        <x:f>IFERROR(INDEX('Material routes'!$D$6:$D$2205,MATCH(V225,'Material routes'!$A$6:$A$2205,0)),"MISSING ID")</x:f>
        <x:v>proposal.t4.bearing_cartridge</x:v>
      </x:c>
      <x:c r="U225" s="4" t="str">
        <x:v>design.t4.bearing_cartridge.in.2</x:v>
      </x:c>
      <x:c r="V225" s="4" t="str">
        <x:v>design.t4.bearing_cartridge.out</x:v>
      </x:c>
    </x:row>
    <x:row r="226" ht="115" customHeight="1">
      <x:c r="A226" s="4" t="str">
        <x:f>IFERROR(INDEX('Material routes'!$E$6:$E$2205,MATCH(U226,'Material routes'!$A$6:$A$2205,0)),"MISSING ID")</x:f>
        <x:v>Drawn steel tube stock</x:v>
      </x:c>
      <x:c r="B226" s="4" t="str">
        <x:f>IFERROR(INDEX('Material routes'!$F$6:$F$2205,MATCH(U226,'Material routes'!$A$6:$A$2205,0)),"MISSING ID")</x:f>
        <x:v>T3</x:v>
      </x:c>
      <x:c r="C226" s="4" t="str">
        <x:f>IFERROR(INDEX('Material routes'!$H$6:$H$2205,MATCH(U226,'Material routes'!$A$6:$A$2205,0)),"MISSING ID")</x:f>
        <x:v>Processed material</x:v>
      </x:c>
      <x:c r="D226" s="4" t="str">
        <x:f>IFERROR(INDEX('Material routes'!$G$6:$G$2205,MATCH(U226,'Material routes'!$A$6:$A$2205,0)),"MISSING ID")</x:f>
        <x:v>Manufactured stock</x:v>
      </x:c>
      <x:c r="E226" s="4" t="str">
        <x:f>IFERROR(INDEX('Material routes'!$C$6:$C$2205,MATCH(U226,'Material routes'!$A$6:$A$2205,0)),"MISSING ID")</x:f>
        <x:v>Ingredient candidate</x:v>
      </x:c>
      <x:c r="F226" s="4" t="str">
        <x:f>IFERROR(INDEX('Material routes'!$E$6:$E$2205,MATCH(V226,'Material routes'!$A$6:$A$2205,0)),"MISSING ID")</x:f>
        <x:v>Dust-excluding bearing cartridge</x:v>
      </x:c>
      <x:c r="G226" s="4" t="str">
        <x:f>IFERROR(INDEX('Material routes'!$F$6:$F$2205,MATCH(V226,'Material routes'!$A$6:$A$2205,0)),"MISSING ID")</x:f>
        <x:v>T4</x:v>
      </x:c>
      <x:c r="H226" s="4" t="str">
        <x:f>IFERROR(INDEX('Material routes'!$H$6:$H$2205,MATCH(V226,'Material routes'!$A$6:$A$2205,0)),"MISSING ID")</x:f>
        <x:v>Crafting component</x:v>
      </x:c>
      <x:c r="I226" s="4" t="str">
        <x:f>IFERROR(INDEX('Material routes'!$G$6:$G$2205,MATCH(V226,'Material routes'!$A$6:$A$2205,0)),"MISSING ID")</x:f>
        <x:v>Crafting components</x:v>
      </x:c>
      <x:c r="J226" s="4" t="str">
        <x:f>IFERROR(INDEX('Material routes'!$B$6:$B$2205,MATCH(U226,'Material routes'!$A$6:$A$2205,0)),"MISSING ID")</x:f>
        <x:v>design.t4.bearing_cartridge</x:v>
      </x:c>
      <x:c r="K226" s="4" t="str">
        <x:f>IFERROR(INDEX('Crafting recipes'!$C$6:$C$1005,MATCH(J226,'Crafting recipes'!$A$6:$A$1005,0)),"MISSING ID")</x:f>
        <x:v>Material refinement</x:v>
      </x:c>
      <x:c r="L226" s="4" t="str">
        <x:f>IFERROR(INDEX('Material routes'!$K$6:$K$2205,MATCH(U226,'Material routes'!$A$6:$A$2205,0)),"MISSING ID")</x:f>
        <x:v>Proposal</x:v>
      </x:c>
      <x:c r="M226" s="4" t="str">
        <x:f>IFERROR(INDEX('Material routes'!$M$6:$M$2205,MATCH(U226,'Material routes'!$A$6:$A$2205,0)),"MISSING ID")</x:f>
        <x:v>Partial proposal</x:v>
      </x:c>
      <x:c r="N226" s="4" t="str">
        <x:f>IF(IFERROR(INDEX('Material routes'!$I$6:$I$1005,MATCH(U226,'Material routes'!$A$6:$A$1005,0)),"MISSING ID")=0,"",IFERROR(INDEX('Material routes'!$I$6:$I$1005,MATCH(U226,'Material routes'!$A$6:$A$1005,0)),"MISSING ID"))</x:f>
      </x:c>
      <x:c r="O226" s="4" t="str">
        <x:f>IFERROR(INDEX('Material routes'!$J$6:$J$2205,MATCH(U226,'Material routes'!$A$6:$A$2205,0)),"MISSING ID")</x:f>
        <x:v>Unspecified</x:v>
      </x:c>
      <x:c r="P226" s="4" t="str">
        <x:f>IF(IFERROR(INDEX('Material routes'!$I$6:$I$1005,MATCH(V226,'Material routes'!$A$6:$A$1005,0)),"MISSING ID")=0,"",IFERROR(INDEX('Material routes'!$I$6:$I$1005,MATCH(V226,'Material routes'!$A$6:$A$1005,0)),"MISSING ID"))</x:f>
      </x:c>
      <x:c r="Q226" s="4" t="str">
        <x:f>IFERROR(INDEX('Material routes'!$J$6:$J$2205,MATCH(V226,'Material routes'!$A$6:$A$2205,0)),"MISSING ID")</x:f>
        <x:v>Unspecified</x:v>
      </x:c>
      <x:c r="R226" s="4" t="str">
        <x:f>IF(L226="Withheld","Withheld premise",IF(E226="Tool candidate","Reusable prerequisite",IF(K226="Raw entry preparation","Entry-resource preparation",IF(G226="Not applicable",IF(IFERROR(INDEX('Items'!$AI$6:$AI$1005,MATCH(T226,'Items'!$A$6:$A$1005,0)),"MISSING ID")="Finished item","Finished endpoint",IF(IFERROR(INDEX('Items'!$AI$6:$AI$1005,MATCH(T226,'Items'!$A$6:$A$1005,0)),"MISSING ID")="Currency","Currency / no refinement tier","Recovered output / tier not applicable")),IF(OR(IFERROR(INDEX('Crafting recipes'!$H$6:$H$1005,MATCH(J226,'Crafting recipes'!$A$6:$A$1005,0)),"MISSING ID")="Unassigned",G226="Unassigned"),"Tier unresolved",IF(IFERROR(VALUE(RIGHT(G226,1))-VALUE(RIGHT(IFERROR(INDEX('Crafting recipes'!$H$6:$H$1005,MATCH(J226,'Crafting recipes'!$A$6:$A$1005,0)),"MISSING ID"),1)),0)=1,IF(B226=IFERROR(INDEX('Crafting recipes'!$H$6:$H$1005,MATCH(J226,'Crafting recipes'!$A$6:$A$1005,0)),"MISSING ID"),"Advances one material tier","Lower-tier ingredient; route advances one tier"),"Needs tier review"))))))</x:f>
        <x:v>Advances one material tier</x:v>
      </x:c>
      <x:c r="S226" s="4" t="str">
        <x:f>IFERROR(INDEX('Material routes'!$D$6:$D$2205,MATCH(U226,'Material routes'!$A$6:$A$2205,0)),"MISSING ID")</x:f>
        <x:v>proposal.t3.precision_tube</x:v>
      </x:c>
      <x:c r="T226" s="4" t="str">
        <x:f>IFERROR(INDEX('Material routes'!$D$6:$D$2205,MATCH(V226,'Material routes'!$A$6:$A$2205,0)),"MISSING ID")</x:f>
        <x:v>proposal.t4.bearing_cartridge</x:v>
      </x:c>
      <x:c r="U226" s="4" t="str">
        <x:v>design.t4.bearing_cartridge.in.3</x:v>
      </x:c>
      <x:c r="V226" s="4" t="str">
        <x:v>design.t4.bearing_cartridge.out</x:v>
      </x:c>
    </x:row>
    <x:row r="227" ht="115" customHeight="1">
      <x:c r="A227" s="4" t="str">
        <x:f>IFERROR(INDEX('Material routes'!$E$6:$E$2205,MATCH(U227,'Material routes'!$A$6:$A$2205,0)),"MISSING ID")</x:f>
        <x:v>Conditioned mechanism-service grease</x:v>
      </x:c>
      <x:c r="B227" s="4" t="str">
        <x:f>IFERROR(INDEX('Material routes'!$F$6:$F$2205,MATCH(U227,'Material routes'!$A$6:$A$2205,0)),"MISSING ID")</x:f>
        <x:v>T3</x:v>
      </x:c>
      <x:c r="C227" s="4" t="str">
        <x:f>IFERROR(INDEX('Material routes'!$H$6:$H$2205,MATCH(U227,'Material routes'!$A$6:$A$2205,0)),"MISSING ID")</x:f>
        <x:v>Chemical material</x:v>
      </x:c>
      <x:c r="D227" s="4" t="str">
        <x:f>IFERROR(INDEX('Material routes'!$G$6:$G$2205,MATCH(U227,'Material routes'!$A$6:$A$2205,0)),"MISSING ID")</x:f>
        <x:v>Crafting components</x:v>
      </x:c>
      <x:c r="E227" s="4" t="str">
        <x:f>IFERROR(INDEX('Material routes'!$C$6:$C$2205,MATCH(U227,'Material routes'!$A$6:$A$2205,0)),"MISSING ID")</x:f>
        <x:v>Ingredient candidate</x:v>
      </x:c>
      <x:c r="F227" s="4" t="str">
        <x:f>IFERROR(INDEX('Material routes'!$E$6:$E$2205,MATCH(V227,'Material routes'!$A$6:$A$2205,0)),"MISSING ID")</x:f>
        <x:v>Dust-excluding bearing cartridge</x:v>
      </x:c>
      <x:c r="G227" s="4" t="str">
        <x:f>IFERROR(INDEX('Material routes'!$F$6:$F$2205,MATCH(V227,'Material routes'!$A$6:$A$2205,0)),"MISSING ID")</x:f>
        <x:v>T4</x:v>
      </x:c>
      <x:c r="H227" s="4" t="str">
        <x:f>IFERROR(INDEX('Material routes'!$H$6:$H$2205,MATCH(V227,'Material routes'!$A$6:$A$2205,0)),"MISSING ID")</x:f>
        <x:v>Crafting component</x:v>
      </x:c>
      <x:c r="I227" s="4" t="str">
        <x:f>IFERROR(INDEX('Material routes'!$G$6:$G$2205,MATCH(V227,'Material routes'!$A$6:$A$2205,0)),"MISSING ID")</x:f>
        <x:v>Crafting components</x:v>
      </x:c>
      <x:c r="J227" s="4" t="str">
        <x:f>IFERROR(INDEX('Material routes'!$B$6:$B$2205,MATCH(U227,'Material routes'!$A$6:$A$2205,0)),"MISSING ID")</x:f>
        <x:v>design.t4.bearing_cartridge</x:v>
      </x:c>
      <x:c r="K227" s="4" t="str">
        <x:f>IFERROR(INDEX('Crafting recipes'!$C$6:$C$1005,MATCH(J227,'Crafting recipes'!$A$6:$A$1005,0)),"MISSING ID")</x:f>
        <x:v>Material refinement</x:v>
      </x:c>
      <x:c r="L227" s="4" t="str">
        <x:f>IFERROR(INDEX('Material routes'!$K$6:$K$2205,MATCH(U227,'Material routes'!$A$6:$A$2205,0)),"MISSING ID")</x:f>
        <x:v>Proposal</x:v>
      </x:c>
      <x:c r="M227" s="4" t="str">
        <x:f>IFERROR(INDEX('Material routes'!$M$6:$M$2205,MATCH(U227,'Material routes'!$A$6:$A$2205,0)),"MISSING ID")</x:f>
        <x:v>Partial proposal</x:v>
      </x:c>
      <x:c r="N227" s="4" t="str">
        <x:f>IF(IFERROR(INDEX('Material routes'!$I$6:$I$1005,MATCH(U227,'Material routes'!$A$6:$A$1005,0)),"MISSING ID")=0,"",IFERROR(INDEX('Material routes'!$I$6:$I$1005,MATCH(U227,'Material routes'!$A$6:$A$1005,0)),"MISSING ID"))</x:f>
      </x:c>
      <x:c r="O227" s="4" t="str">
        <x:f>IFERROR(INDEX('Material routes'!$J$6:$J$2205,MATCH(U227,'Material routes'!$A$6:$A$2205,0)),"MISSING ID")</x:f>
        <x:v>Unspecified</x:v>
      </x:c>
      <x:c r="P227" s="4" t="str">
        <x:f>IF(IFERROR(INDEX('Material routes'!$I$6:$I$1005,MATCH(V227,'Material routes'!$A$6:$A$1005,0)),"MISSING ID")=0,"",IFERROR(INDEX('Material routes'!$I$6:$I$1005,MATCH(V227,'Material routes'!$A$6:$A$1005,0)),"MISSING ID"))</x:f>
      </x:c>
      <x:c r="Q227" s="4" t="str">
        <x:f>IFERROR(INDEX('Material routes'!$J$6:$J$2205,MATCH(V227,'Material routes'!$A$6:$A$2205,0)),"MISSING ID")</x:f>
        <x:v>Unspecified</x:v>
      </x:c>
      <x:c r="R227" s="4" t="str">
        <x:f>IF(L227="Withheld","Withheld premise",IF(E227="Tool candidate","Reusable prerequisite",IF(K227="Raw entry preparation","Entry-resource preparation",IF(G227="Not applicable",IF(IFERROR(INDEX('Items'!$AI$6:$AI$1005,MATCH(T227,'Items'!$A$6:$A$1005,0)),"MISSING ID")="Finished item","Finished endpoint",IF(IFERROR(INDEX('Items'!$AI$6:$AI$1005,MATCH(T227,'Items'!$A$6:$A$1005,0)),"MISSING ID")="Currency","Currency / no refinement tier","Recovered output / tier not applicable")),IF(OR(IFERROR(INDEX('Crafting recipes'!$H$6:$H$1005,MATCH(J227,'Crafting recipes'!$A$6:$A$1005,0)),"MISSING ID")="Unassigned",G227="Unassigned"),"Tier unresolved",IF(IFERROR(VALUE(RIGHT(G227,1))-VALUE(RIGHT(IFERROR(INDEX('Crafting recipes'!$H$6:$H$1005,MATCH(J227,'Crafting recipes'!$A$6:$A$1005,0)),"MISSING ID"),1)),0)=1,IF(B227=IFERROR(INDEX('Crafting recipes'!$H$6:$H$1005,MATCH(J227,'Crafting recipes'!$A$6:$A$1005,0)),"MISSING ID"),"Advances one material tier","Lower-tier ingredient; route advances one tier"),"Needs tier review"))))))</x:f>
        <x:v>Advances one material tier</x:v>
      </x:c>
      <x:c r="S227" s="4" t="str">
        <x:f>IFERROR(INDEX('Material routes'!$D$6:$D$2205,MATCH(U227,'Material routes'!$A$6:$A$2205,0)),"MISSING ID")</x:f>
        <x:v>proposal.t3.service_grease</x:v>
      </x:c>
      <x:c r="T227" s="4" t="str">
        <x:f>IFERROR(INDEX('Material routes'!$D$6:$D$2205,MATCH(V227,'Material routes'!$A$6:$A$2205,0)),"MISSING ID")</x:f>
        <x:v>proposal.t4.bearing_cartridge</x:v>
      </x:c>
      <x:c r="U227" s="4" t="str">
        <x:v>design.t4.bearing_cartridge.in.4</x:v>
      </x:c>
      <x:c r="V227" s="4" t="str">
        <x:v>design.t4.bearing_cartridge.out</x:v>
      </x:c>
    </x:row>
    <x:row r="228" ht="115" customHeight="1">
      <x:c r="A228" s="4" t="str">
        <x:f>IFERROR(INDEX('Material routes'!$E$6:$E$2205,MATCH(U228,'Material routes'!$A$6:$A$2205,0)),"MISSING ID")</x:f>
        <x:v>Braided copper grounding stock</x:v>
      </x:c>
      <x:c r="B228" s="4" t="str">
        <x:f>IFERROR(INDEX('Material routes'!$F$6:$F$2205,MATCH(U228,'Material routes'!$A$6:$A$2205,0)),"MISSING ID")</x:f>
        <x:v>T3</x:v>
      </x:c>
      <x:c r="C228" s="4" t="str">
        <x:f>IFERROR(INDEX('Material routes'!$H$6:$H$2205,MATCH(U228,'Material routes'!$A$6:$A$2205,0)),"MISSING ID")</x:f>
        <x:v>Processed material</x:v>
      </x:c>
      <x:c r="D228" s="4" t="str">
        <x:f>IFERROR(INDEX('Material routes'!$G$6:$G$2205,MATCH(U228,'Material routes'!$A$6:$A$2205,0)),"MISSING ID")</x:f>
        <x:v>Manufactured stock</x:v>
      </x:c>
      <x:c r="E228" s="4" t="str">
        <x:f>IFERROR(INDEX('Material routes'!$C$6:$C$2205,MATCH(U228,'Material routes'!$A$6:$A$2205,0)),"MISSING ID")</x:f>
        <x:v>Ingredient candidate</x:v>
      </x:c>
      <x:c r="F228" s="4" t="str">
        <x:f>IFERROR(INDEX('Material routes'!$E$6:$E$2205,MATCH(V228,'Material routes'!$A$6:$A$2205,0)),"MISSING ID")</x:f>
        <x:v>Terminated grounding harness</x:v>
      </x:c>
      <x:c r="G228" s="4" t="str">
        <x:f>IFERROR(INDEX('Material routes'!$F$6:$F$2205,MATCH(V228,'Material routes'!$A$6:$A$2205,0)),"MISSING ID")</x:f>
        <x:v>T4</x:v>
      </x:c>
      <x:c r="H228" s="4" t="str">
        <x:f>IFERROR(INDEX('Material routes'!$H$6:$H$2205,MATCH(V228,'Material routes'!$A$6:$A$2205,0)),"MISSING ID")</x:f>
        <x:v>Crafting component</x:v>
      </x:c>
      <x:c r="I228" s="4" t="str">
        <x:f>IFERROR(INDEX('Material routes'!$G$6:$G$2205,MATCH(V228,'Material routes'!$A$6:$A$2205,0)),"MISSING ID")</x:f>
        <x:v>Crafting components</x:v>
      </x:c>
      <x:c r="J228" s="4" t="str">
        <x:f>IFERROR(INDEX('Material routes'!$B$6:$B$2205,MATCH(U228,'Material routes'!$A$6:$A$2205,0)),"MISSING ID")</x:f>
        <x:v>design.t4.grounding_harness</x:v>
      </x:c>
      <x:c r="K228" s="4" t="str">
        <x:f>IFERROR(INDEX('Crafting recipes'!$C$6:$C$1005,MATCH(J228,'Crafting recipes'!$A$6:$A$1005,0)),"MISSING ID")</x:f>
        <x:v>Material refinement</x:v>
      </x:c>
      <x:c r="L228" s="4" t="str">
        <x:f>IFERROR(INDEX('Material routes'!$K$6:$K$2205,MATCH(U228,'Material routes'!$A$6:$A$2205,0)),"MISSING ID")</x:f>
        <x:v>Proposal</x:v>
      </x:c>
      <x:c r="M228" s="4" t="str">
        <x:f>IFERROR(INDEX('Material routes'!$M$6:$M$2205,MATCH(U228,'Material routes'!$A$6:$A$2205,0)),"MISSING ID")</x:f>
        <x:v>Partial proposal</x:v>
      </x:c>
      <x:c r="N228" s="4" t="str">
        <x:f>IF(IFERROR(INDEX('Material routes'!$I$6:$I$1005,MATCH(U228,'Material routes'!$A$6:$A$1005,0)),"MISSING ID")=0,"",IFERROR(INDEX('Material routes'!$I$6:$I$1005,MATCH(U228,'Material routes'!$A$6:$A$1005,0)),"MISSING ID"))</x:f>
      </x:c>
      <x:c r="O228" s="4" t="str">
        <x:f>IFERROR(INDEX('Material routes'!$J$6:$J$2205,MATCH(U228,'Material routes'!$A$6:$A$2205,0)),"MISSING ID")</x:f>
        <x:v>Unspecified</x:v>
      </x:c>
      <x:c r="P228" s="4" t="str">
        <x:f>IF(IFERROR(INDEX('Material routes'!$I$6:$I$1005,MATCH(V228,'Material routes'!$A$6:$A$1005,0)),"MISSING ID")=0,"",IFERROR(INDEX('Material routes'!$I$6:$I$1005,MATCH(V228,'Material routes'!$A$6:$A$1005,0)),"MISSING ID"))</x:f>
      </x:c>
      <x:c r="Q228" s="4" t="str">
        <x:f>IFERROR(INDEX('Material routes'!$J$6:$J$2205,MATCH(V228,'Material routes'!$A$6:$A$2205,0)),"MISSING ID")</x:f>
        <x:v>Unspecified</x:v>
      </x:c>
      <x:c r="R228" s="4" t="str">
        <x:f>IF(L228="Withheld","Withheld premise",IF(E228="Tool candidate","Reusable prerequisite",IF(K228="Raw entry preparation","Entry-resource preparation",IF(G228="Not applicable",IF(IFERROR(INDEX('Items'!$AI$6:$AI$1005,MATCH(T228,'Items'!$A$6:$A$1005,0)),"MISSING ID")="Finished item","Finished endpoint",IF(IFERROR(INDEX('Items'!$AI$6:$AI$1005,MATCH(T228,'Items'!$A$6:$A$1005,0)),"MISSING ID")="Currency","Currency / no refinement tier","Recovered output / tier not applicable")),IF(OR(IFERROR(INDEX('Crafting recipes'!$H$6:$H$1005,MATCH(J228,'Crafting recipes'!$A$6:$A$1005,0)),"MISSING ID")="Unassigned",G228="Unassigned"),"Tier unresolved",IF(IFERROR(VALUE(RIGHT(G228,1))-VALUE(RIGHT(IFERROR(INDEX('Crafting recipes'!$H$6:$H$1005,MATCH(J228,'Crafting recipes'!$A$6:$A$1005,0)),"MISSING ID"),1)),0)=1,IF(B228=IFERROR(INDEX('Crafting recipes'!$H$6:$H$1005,MATCH(J228,'Crafting recipes'!$A$6:$A$1005,0)),"MISSING ID"),"Advances one material tier","Lower-tier ingredient; route advances one tier"),"Needs tier review"))))))</x:f>
        <x:v>Advances one material tier</x:v>
      </x:c>
      <x:c r="S228" s="4" t="str">
        <x:f>IFERROR(INDEX('Material routes'!$D$6:$D$2205,MATCH(U228,'Material routes'!$A$6:$A$2205,0)),"MISSING ID")</x:f>
        <x:v>proposal.t3.grounding_braid</x:v>
      </x:c>
      <x:c r="T228" s="4" t="str">
        <x:f>IFERROR(INDEX('Material routes'!$D$6:$D$2205,MATCH(V228,'Material routes'!$A$6:$A$2205,0)),"MISSING ID")</x:f>
        <x:v>proposal.t4.grounding_harness</x:v>
      </x:c>
      <x:c r="U228" s="4" t="str">
        <x:v>design.t4.grounding_harness.in.1</x:v>
      </x:c>
      <x:c r="V228" s="4" t="str">
        <x:v>design.t4.grounding_harness.out</x:v>
      </x:c>
    </x:row>
    <x:row r="229" ht="115" customHeight="1">
      <x:c r="A229" s="4" t="str">
        <x:f>IFERROR(INDEX('Material routes'!$E$6:$E$2205,MATCH(U229,'Material routes'!$A$6:$A$2205,0)),"MISSING ID")</x:f>
        <x:v>Fitted ceramic contact mounts</x:v>
      </x:c>
      <x:c r="B229" s="4" t="str">
        <x:f>IFERROR(INDEX('Material routes'!$F$6:$F$2205,MATCH(U229,'Material routes'!$A$6:$A$2205,0)),"MISSING ID")</x:f>
        <x:v>T3</x:v>
      </x:c>
      <x:c r="C229" s="4" t="str">
        <x:f>IFERROR(INDEX('Material routes'!$H$6:$H$2205,MATCH(U229,'Material routes'!$A$6:$A$2205,0)),"MISSING ID")</x:f>
        <x:v>Crafting component</x:v>
      </x:c>
      <x:c r="D229" s="4" t="str">
        <x:f>IFERROR(INDEX('Material routes'!$G$6:$G$2205,MATCH(U229,'Material routes'!$A$6:$A$2205,0)),"MISSING ID")</x:f>
        <x:v>Crafting components</x:v>
      </x:c>
      <x:c r="E229" s="4" t="str">
        <x:f>IFERROR(INDEX('Material routes'!$C$6:$C$2205,MATCH(U229,'Material routes'!$A$6:$A$2205,0)),"MISSING ID")</x:f>
        <x:v>Ingredient candidate</x:v>
      </x:c>
      <x:c r="F229" s="4" t="str">
        <x:f>IFERROR(INDEX('Material routes'!$E$6:$E$2205,MATCH(V229,'Material routes'!$A$6:$A$2205,0)),"MISSING ID")</x:f>
        <x:v>Terminated grounding harness</x:v>
      </x:c>
      <x:c r="G229" s="4" t="str">
        <x:f>IFERROR(INDEX('Material routes'!$F$6:$F$2205,MATCH(V229,'Material routes'!$A$6:$A$2205,0)),"MISSING ID")</x:f>
        <x:v>T4</x:v>
      </x:c>
      <x:c r="H229" s="4" t="str">
        <x:f>IFERROR(INDEX('Material routes'!$H$6:$H$2205,MATCH(V229,'Material routes'!$A$6:$A$2205,0)),"MISSING ID")</x:f>
        <x:v>Crafting component</x:v>
      </x:c>
      <x:c r="I229" s="4" t="str">
        <x:f>IFERROR(INDEX('Material routes'!$G$6:$G$2205,MATCH(V229,'Material routes'!$A$6:$A$2205,0)),"MISSING ID")</x:f>
        <x:v>Crafting components</x:v>
      </x:c>
      <x:c r="J229" s="4" t="str">
        <x:f>IFERROR(INDEX('Material routes'!$B$6:$B$2205,MATCH(U229,'Material routes'!$A$6:$A$2205,0)),"MISSING ID")</x:f>
        <x:v>design.t4.grounding_harness</x:v>
      </x:c>
      <x:c r="K229" s="4" t="str">
        <x:f>IFERROR(INDEX('Crafting recipes'!$C$6:$C$1005,MATCH(J229,'Crafting recipes'!$A$6:$A$1005,0)),"MISSING ID")</x:f>
        <x:v>Material refinement</x:v>
      </x:c>
      <x:c r="L229" s="4" t="str">
        <x:f>IFERROR(INDEX('Material routes'!$K$6:$K$2205,MATCH(U229,'Material routes'!$A$6:$A$2205,0)),"MISSING ID")</x:f>
        <x:v>Proposal</x:v>
      </x:c>
      <x:c r="M229" s="4" t="str">
        <x:f>IFERROR(INDEX('Material routes'!$M$6:$M$2205,MATCH(U229,'Material routes'!$A$6:$A$2205,0)),"MISSING ID")</x:f>
        <x:v>Partial proposal</x:v>
      </x:c>
      <x:c r="N229" s="4" t="str">
        <x:f>IF(IFERROR(INDEX('Material routes'!$I$6:$I$1005,MATCH(U229,'Material routes'!$A$6:$A$1005,0)),"MISSING ID")=0,"",IFERROR(INDEX('Material routes'!$I$6:$I$1005,MATCH(U229,'Material routes'!$A$6:$A$1005,0)),"MISSING ID"))</x:f>
      </x:c>
      <x:c r="O229" s="4" t="str">
        <x:f>IFERROR(INDEX('Material routes'!$J$6:$J$2205,MATCH(U229,'Material routes'!$A$6:$A$2205,0)),"MISSING ID")</x:f>
        <x:v>Unspecified</x:v>
      </x:c>
      <x:c r="P229" s="4" t="str">
        <x:f>IF(IFERROR(INDEX('Material routes'!$I$6:$I$1005,MATCH(V229,'Material routes'!$A$6:$A$1005,0)),"MISSING ID")=0,"",IFERROR(INDEX('Material routes'!$I$6:$I$1005,MATCH(V229,'Material routes'!$A$6:$A$1005,0)),"MISSING ID"))</x:f>
      </x:c>
      <x:c r="Q229" s="4" t="str">
        <x:f>IFERROR(INDEX('Material routes'!$J$6:$J$2205,MATCH(V229,'Material routes'!$A$6:$A$2205,0)),"MISSING ID")</x:f>
        <x:v>Unspecified</x:v>
      </x:c>
      <x:c r="R229" s="4" t="str">
        <x:f>IF(L229="Withheld","Withheld premise",IF(E229="Tool candidate","Reusable prerequisite",IF(K229="Raw entry preparation","Entry-resource preparation",IF(G229="Not applicable",IF(IFERROR(INDEX('Items'!$AI$6:$AI$1005,MATCH(T229,'Items'!$A$6:$A$1005,0)),"MISSING ID")="Finished item","Finished endpoint",IF(IFERROR(INDEX('Items'!$AI$6:$AI$1005,MATCH(T229,'Items'!$A$6:$A$1005,0)),"MISSING ID")="Currency","Currency / no refinement tier","Recovered output / tier not applicable")),IF(OR(IFERROR(INDEX('Crafting recipes'!$H$6:$H$1005,MATCH(J229,'Crafting recipes'!$A$6:$A$1005,0)),"MISSING ID")="Unassigned",G229="Unassigned"),"Tier unresolved",IF(IFERROR(VALUE(RIGHT(G229,1))-VALUE(RIGHT(IFERROR(INDEX('Crafting recipes'!$H$6:$H$1005,MATCH(J229,'Crafting recipes'!$A$6:$A$1005,0)),"MISSING ID"),1)),0)=1,IF(B229=IFERROR(INDEX('Crafting recipes'!$H$6:$H$1005,MATCH(J229,'Crafting recipes'!$A$6:$A$1005,0)),"MISSING ID"),"Advances one material tier","Lower-tier ingredient; route advances one tier"),"Needs tier review"))))))</x:f>
        <x:v>Advances one material tier</x:v>
      </x:c>
      <x:c r="S229" s="4" t="str">
        <x:f>IFERROR(INDEX('Material routes'!$D$6:$D$2205,MATCH(U229,'Material routes'!$A$6:$A$2205,0)),"MISSING ID")</x:f>
        <x:v>proposal.t3.contact_mount</x:v>
      </x:c>
      <x:c r="T229" s="4" t="str">
        <x:f>IFERROR(INDEX('Material routes'!$D$6:$D$2205,MATCH(V229,'Material routes'!$A$6:$A$2205,0)),"MISSING ID")</x:f>
        <x:v>proposal.t4.grounding_harness</x:v>
      </x:c>
      <x:c r="U229" s="4" t="str">
        <x:v>design.t4.grounding_harness.in.2</x:v>
      </x:c>
      <x:c r="V229" s="4" t="str">
        <x:v>design.t4.grounding_harness.out</x:v>
      </x:c>
    </x:row>
    <x:row r="230" ht="115" customHeight="1">
      <x:c r="A230" s="4" t="str">
        <x:f>IFERROR(INDEX('Material routes'!$E$6:$E$2205,MATCH(U230,'Material routes'!$A$6:$A$2205,0)),"MISSING ID")</x:f>
        <x:v>Steel stock</x:v>
      </x:c>
      <x:c r="B230" s="4" t="str">
        <x:f>IFERROR(INDEX('Material routes'!$F$6:$F$2205,MATCH(U230,'Material routes'!$A$6:$A$2205,0)),"MISSING ID")</x:f>
        <x:v>T2</x:v>
      </x:c>
      <x:c r="C230" s="4" t="str">
        <x:f>IFERROR(INDEX('Material routes'!$H$6:$H$2205,MATCH(U230,'Material routes'!$A$6:$A$2205,0)),"MISSING ID")</x:f>
        <x:v>Processed material</x:v>
      </x:c>
      <x:c r="D230" s="4" t="str">
        <x:f>IFERROR(INDEX('Material routes'!$G$6:$G$2205,MATCH(U230,'Material routes'!$A$6:$A$2205,0)),"MISSING ID")</x:f>
        <x:v>Manufactured stock</x:v>
      </x:c>
      <x:c r="E230" s="4" t="str">
        <x:f>IFERROR(INDEX('Material routes'!$C$6:$C$2205,MATCH(U230,'Material routes'!$A$6:$A$2205,0)),"MISSING ID")</x:f>
        <x:v>Ingredient candidate</x:v>
      </x:c>
      <x:c r="F230" s="4" t="str">
        <x:f>IFERROR(INDEX('Material routes'!$E$6:$E$2205,MATCH(V230,'Material routes'!$A$6:$A$2205,0)),"MISSING ID")</x:f>
        <x:v>Terminated grounding harness</x:v>
      </x:c>
      <x:c r="G230" s="4" t="str">
        <x:f>IFERROR(INDEX('Material routes'!$F$6:$F$2205,MATCH(V230,'Material routes'!$A$6:$A$2205,0)),"MISSING ID")</x:f>
        <x:v>T4</x:v>
      </x:c>
      <x:c r="H230" s="4" t="str">
        <x:f>IFERROR(INDEX('Material routes'!$H$6:$H$2205,MATCH(V230,'Material routes'!$A$6:$A$2205,0)),"MISSING ID")</x:f>
        <x:v>Crafting component</x:v>
      </x:c>
      <x:c r="I230" s="4" t="str">
        <x:f>IFERROR(INDEX('Material routes'!$G$6:$G$2205,MATCH(V230,'Material routes'!$A$6:$A$2205,0)),"MISSING ID")</x:f>
        <x:v>Crafting components</x:v>
      </x:c>
      <x:c r="J230" s="4" t="str">
        <x:f>IFERROR(INDEX('Material routes'!$B$6:$B$2205,MATCH(U230,'Material routes'!$A$6:$A$2205,0)),"MISSING ID")</x:f>
        <x:v>design.t4.grounding_harness</x:v>
      </x:c>
      <x:c r="K230" s="4" t="str">
        <x:f>IFERROR(INDEX('Crafting recipes'!$C$6:$C$1005,MATCH(J230,'Crafting recipes'!$A$6:$A$1005,0)),"MISSING ID")</x:f>
        <x:v>Material refinement</x:v>
      </x:c>
      <x:c r="L230" s="4" t="str">
        <x:f>IFERROR(INDEX('Material routes'!$K$6:$K$2205,MATCH(U230,'Material routes'!$A$6:$A$2205,0)),"MISSING ID")</x:f>
        <x:v>Proposal</x:v>
      </x:c>
      <x:c r="M230" s="4" t="str">
        <x:f>IFERROR(INDEX('Material routes'!$M$6:$M$2205,MATCH(U230,'Material routes'!$A$6:$A$2205,0)),"MISSING ID")</x:f>
        <x:v>Partial proposal</x:v>
      </x:c>
      <x:c r="N230" s="4" t="str">
        <x:f>IF(IFERROR(INDEX('Material routes'!$I$6:$I$1005,MATCH(U230,'Material routes'!$A$6:$A$1005,0)),"MISSING ID")=0,"",IFERROR(INDEX('Material routes'!$I$6:$I$1005,MATCH(U230,'Material routes'!$A$6:$A$1005,0)),"MISSING ID"))</x:f>
      </x:c>
      <x:c r="O230" s="4" t="str">
        <x:f>IFERROR(INDEX('Material routes'!$J$6:$J$2205,MATCH(U230,'Material routes'!$A$6:$A$2205,0)),"MISSING ID")</x:f>
        <x:v>Unspecified</x:v>
      </x:c>
      <x:c r="P230" s="4" t="str">
        <x:f>IF(IFERROR(INDEX('Material routes'!$I$6:$I$1005,MATCH(V230,'Material routes'!$A$6:$A$1005,0)),"MISSING ID")=0,"",IFERROR(INDEX('Material routes'!$I$6:$I$1005,MATCH(V230,'Material routes'!$A$6:$A$1005,0)),"MISSING ID"))</x:f>
      </x:c>
      <x:c r="Q230" s="4" t="str">
        <x:f>IFERROR(INDEX('Material routes'!$J$6:$J$2205,MATCH(V230,'Material routes'!$A$6:$A$2205,0)),"MISSING ID")</x:f>
        <x:v>Unspecified</x:v>
      </x:c>
      <x:c r="R230" s="4" t="str">
        <x:f>IF(L230="Withheld","Withheld premise",IF(E230="Tool candidate","Reusable prerequisite",IF(K230="Raw entry preparation","Entry-resource preparation",IF(G230="Not applicable",IF(IFERROR(INDEX('Items'!$AI$6:$AI$1005,MATCH(T230,'Items'!$A$6:$A$1005,0)),"MISSING ID")="Finished item","Finished endpoint",IF(IFERROR(INDEX('Items'!$AI$6:$AI$1005,MATCH(T230,'Items'!$A$6:$A$1005,0)),"MISSING ID")="Currency","Currency / no refinement tier","Recovered output / tier not applicable")),IF(OR(IFERROR(INDEX('Crafting recipes'!$H$6:$H$1005,MATCH(J230,'Crafting recipes'!$A$6:$A$1005,0)),"MISSING ID")="Unassigned",G230="Unassigned"),"Tier unresolved",IF(IFERROR(VALUE(RIGHT(G230,1))-VALUE(RIGHT(IFERROR(INDEX('Crafting recipes'!$H$6:$H$1005,MATCH(J230,'Crafting recipes'!$A$6:$A$1005,0)),"MISSING ID"),1)),0)=1,IF(B230=IFERROR(INDEX('Crafting recipes'!$H$6:$H$1005,MATCH(J230,'Crafting recipes'!$A$6:$A$1005,0)),"MISSING ID"),"Advances one material tier","Lower-tier ingredient; route advances one tier"),"Needs tier review"))))))</x:f>
        <x:v>Lower-tier ingredient; route advances one tier</x:v>
      </x:c>
      <x:c r="S230" s="4" t="str">
        <x:f>IFERROR(INDEX('Material routes'!$D$6:$D$2205,MATCH(U230,'Material routes'!$A$6:$A$2205,0)),"MISSING ID")</x:f>
        <x:v>author.metallurgy.steel_stock</x:v>
      </x:c>
      <x:c r="T230" s="4" t="str">
        <x:f>IFERROR(INDEX('Material routes'!$D$6:$D$2205,MATCH(V230,'Material routes'!$A$6:$A$2205,0)),"MISSING ID")</x:f>
        <x:v>proposal.t4.grounding_harness</x:v>
      </x:c>
      <x:c r="U230" s="4" t="str">
        <x:v>design.t4.grounding_harness.in.3</x:v>
      </x:c>
      <x:c r="V230" s="4" t="str">
        <x:v>design.t4.grounding_harness.out</x:v>
      </x:c>
    </x:row>
    <x:row r="231" ht="115" customHeight="1">
      <x:c r="A231" s="4" t="str">
        <x:f>IFERROR(INDEX('Material routes'!$E$6:$E$2205,MATCH(U231,'Material routes'!$A$6:$A$2205,0)),"MISSING ID")</x:f>
        <x:v>Wound copper coil blanks</x:v>
      </x:c>
      <x:c r="B231" s="4" t="str">
        <x:f>IFERROR(INDEX('Material routes'!$F$6:$F$2205,MATCH(U231,'Material routes'!$A$6:$A$2205,0)),"MISSING ID")</x:f>
        <x:v>T3</x:v>
      </x:c>
      <x:c r="C231" s="4" t="str">
        <x:f>IFERROR(INDEX('Material routes'!$H$6:$H$2205,MATCH(U231,'Material routes'!$A$6:$A$2205,0)),"MISSING ID")</x:f>
        <x:v>Crafting component</x:v>
      </x:c>
      <x:c r="D231" s="4" t="str">
        <x:f>IFERROR(INDEX('Material routes'!$G$6:$G$2205,MATCH(U231,'Material routes'!$A$6:$A$2205,0)),"MISSING ID")</x:f>
        <x:v>Crafting components</x:v>
      </x:c>
      <x:c r="E231" s="4" t="str">
        <x:f>IFERROR(INDEX('Material routes'!$C$6:$C$2205,MATCH(U231,'Material routes'!$A$6:$A$2205,0)),"MISSING ID")</x:f>
        <x:v>Ingredient candidate</x:v>
      </x:c>
      <x:c r="F231" s="4" t="str">
        <x:f>IFERROR(INDEX('Material routes'!$E$6:$E$2205,MATCH(V231,'Material routes'!$A$6:$A$2205,0)),"MISSING ID")</x:f>
        <x:v>Insulated winding subassembly</x:v>
      </x:c>
      <x:c r="G231" s="4" t="str">
        <x:f>IFERROR(INDEX('Material routes'!$F$6:$F$2205,MATCH(V231,'Material routes'!$A$6:$A$2205,0)),"MISSING ID")</x:f>
        <x:v>T4</x:v>
      </x:c>
      <x:c r="H231" s="4" t="str">
        <x:f>IFERROR(INDEX('Material routes'!$H$6:$H$2205,MATCH(V231,'Material routes'!$A$6:$A$2205,0)),"MISSING ID")</x:f>
        <x:v>Crafting component</x:v>
      </x:c>
      <x:c r="I231" s="4" t="str">
        <x:f>IFERROR(INDEX('Material routes'!$G$6:$G$2205,MATCH(V231,'Material routes'!$A$6:$A$2205,0)),"MISSING ID")</x:f>
        <x:v>Crafting components</x:v>
      </x:c>
      <x:c r="J231" s="4" t="str">
        <x:f>IFERROR(INDEX('Material routes'!$B$6:$B$2205,MATCH(U231,'Material routes'!$A$6:$A$2205,0)),"MISSING ID")</x:f>
        <x:v>design.t4.insulated_winding</x:v>
      </x:c>
      <x:c r="K231" s="4" t="str">
        <x:f>IFERROR(INDEX('Crafting recipes'!$C$6:$C$1005,MATCH(J231,'Crafting recipes'!$A$6:$A$1005,0)),"MISSING ID")</x:f>
        <x:v>Material refinement</x:v>
      </x:c>
      <x:c r="L231" s="4" t="str">
        <x:f>IFERROR(INDEX('Material routes'!$K$6:$K$2205,MATCH(U231,'Material routes'!$A$6:$A$2205,0)),"MISSING ID")</x:f>
        <x:v>Proposal</x:v>
      </x:c>
      <x:c r="M231" s="4" t="str">
        <x:f>IFERROR(INDEX('Material routes'!$M$6:$M$2205,MATCH(U231,'Material routes'!$A$6:$A$2205,0)),"MISSING ID")</x:f>
        <x:v>Partial proposal</x:v>
      </x:c>
      <x:c r="N231" s="4" t="str">
        <x:f>IF(IFERROR(INDEX('Material routes'!$I$6:$I$1005,MATCH(U231,'Material routes'!$A$6:$A$1005,0)),"MISSING ID")=0,"",IFERROR(INDEX('Material routes'!$I$6:$I$1005,MATCH(U231,'Material routes'!$A$6:$A$1005,0)),"MISSING ID"))</x:f>
      </x:c>
      <x:c r="O231" s="4" t="str">
        <x:f>IFERROR(INDEX('Material routes'!$J$6:$J$2205,MATCH(U231,'Material routes'!$A$6:$A$2205,0)),"MISSING ID")</x:f>
        <x:v>Unspecified</x:v>
      </x:c>
      <x:c r="P231" s="4" t="str">
        <x:f>IF(IFERROR(INDEX('Material routes'!$I$6:$I$1005,MATCH(V231,'Material routes'!$A$6:$A$1005,0)),"MISSING ID")=0,"",IFERROR(INDEX('Material routes'!$I$6:$I$1005,MATCH(V231,'Material routes'!$A$6:$A$1005,0)),"MISSING ID"))</x:f>
      </x:c>
      <x:c r="Q231" s="4" t="str">
        <x:f>IFERROR(INDEX('Material routes'!$J$6:$J$2205,MATCH(V231,'Material routes'!$A$6:$A$2205,0)),"MISSING ID")</x:f>
        <x:v>Unspecified</x:v>
      </x:c>
      <x:c r="R231" s="4" t="str">
        <x:f>IF(L231="Withheld","Withheld premise",IF(E231="Tool candidate","Reusable prerequisite",IF(K231="Raw entry preparation","Entry-resource preparation",IF(G231="Not applicable",IF(IFERROR(INDEX('Items'!$AI$6:$AI$1005,MATCH(T231,'Items'!$A$6:$A$1005,0)),"MISSING ID")="Finished item","Finished endpoint",IF(IFERROR(INDEX('Items'!$AI$6:$AI$1005,MATCH(T231,'Items'!$A$6:$A$1005,0)),"MISSING ID")="Currency","Currency / no refinement tier","Recovered output / tier not applicable")),IF(OR(IFERROR(INDEX('Crafting recipes'!$H$6:$H$1005,MATCH(J231,'Crafting recipes'!$A$6:$A$1005,0)),"MISSING ID")="Unassigned",G231="Unassigned"),"Tier unresolved",IF(IFERROR(VALUE(RIGHT(G231,1))-VALUE(RIGHT(IFERROR(INDEX('Crafting recipes'!$H$6:$H$1005,MATCH(J231,'Crafting recipes'!$A$6:$A$1005,0)),"MISSING ID"),1)),0)=1,IF(B231=IFERROR(INDEX('Crafting recipes'!$H$6:$H$1005,MATCH(J231,'Crafting recipes'!$A$6:$A$1005,0)),"MISSING ID"),"Advances one material tier","Lower-tier ingredient; route advances one tier"),"Needs tier review"))))))</x:f>
        <x:v>Advances one material tier</x:v>
      </x:c>
      <x:c r="S231" s="4" t="str">
        <x:f>IFERROR(INDEX('Material routes'!$D$6:$D$2205,MATCH(U231,'Material routes'!$A$6:$A$2205,0)),"MISSING ID")</x:f>
        <x:v>proposal.t3.wound_coil</x:v>
      </x:c>
      <x:c r="T231" s="4" t="str">
        <x:f>IFERROR(INDEX('Material routes'!$D$6:$D$2205,MATCH(V231,'Material routes'!$A$6:$A$2205,0)),"MISSING ID")</x:f>
        <x:v>proposal.t4.insulated_winding</x:v>
      </x:c>
      <x:c r="U231" s="4" t="str">
        <x:v>design.t4.insulated_winding.in.1</x:v>
      </x:c>
      <x:c r="V231" s="4" t="str">
        <x:v>design.t4.insulated_winding.out</x:v>
      </x:c>
    </x:row>
    <x:row r="232" ht="115" customHeight="1">
      <x:c r="A232" s="4" t="str">
        <x:f>IFERROR(INDEX('Material routes'!$E$6:$E$2205,MATCH(U232,'Material routes'!$A$6:$A$2205,0)),"MISSING ID")</x:f>
        <x:v>Matched ceramic spacer sets</x:v>
      </x:c>
      <x:c r="B232" s="4" t="str">
        <x:f>IFERROR(INDEX('Material routes'!$F$6:$F$2205,MATCH(U232,'Material routes'!$A$6:$A$2205,0)),"MISSING ID")</x:f>
        <x:v>T3</x:v>
      </x:c>
      <x:c r="C232" s="4" t="str">
        <x:f>IFERROR(INDEX('Material routes'!$H$6:$H$2205,MATCH(U232,'Material routes'!$A$6:$A$2205,0)),"MISSING ID")</x:f>
        <x:v>Crafting component</x:v>
      </x:c>
      <x:c r="D232" s="4" t="str">
        <x:f>IFERROR(INDEX('Material routes'!$G$6:$G$2205,MATCH(U232,'Material routes'!$A$6:$A$2205,0)),"MISSING ID")</x:f>
        <x:v>Crafting components</x:v>
      </x:c>
      <x:c r="E232" s="4" t="str">
        <x:f>IFERROR(INDEX('Material routes'!$C$6:$C$2205,MATCH(U232,'Material routes'!$A$6:$A$2205,0)),"MISSING ID")</x:f>
        <x:v>Ingredient candidate</x:v>
      </x:c>
      <x:c r="F232" s="4" t="str">
        <x:f>IFERROR(INDEX('Material routes'!$E$6:$E$2205,MATCH(V232,'Material routes'!$A$6:$A$2205,0)),"MISSING ID")</x:f>
        <x:v>Insulated winding subassembly</x:v>
      </x:c>
      <x:c r="G232" s="4" t="str">
        <x:f>IFERROR(INDEX('Material routes'!$F$6:$F$2205,MATCH(V232,'Material routes'!$A$6:$A$2205,0)),"MISSING ID")</x:f>
        <x:v>T4</x:v>
      </x:c>
      <x:c r="H232" s="4" t="str">
        <x:f>IFERROR(INDEX('Material routes'!$H$6:$H$2205,MATCH(V232,'Material routes'!$A$6:$A$2205,0)),"MISSING ID")</x:f>
        <x:v>Crafting component</x:v>
      </x:c>
      <x:c r="I232" s="4" t="str">
        <x:f>IFERROR(INDEX('Material routes'!$G$6:$G$2205,MATCH(V232,'Material routes'!$A$6:$A$2205,0)),"MISSING ID")</x:f>
        <x:v>Crafting components</x:v>
      </x:c>
      <x:c r="J232" s="4" t="str">
        <x:f>IFERROR(INDEX('Material routes'!$B$6:$B$2205,MATCH(U232,'Material routes'!$A$6:$A$2205,0)),"MISSING ID")</x:f>
        <x:v>design.t4.insulated_winding</x:v>
      </x:c>
      <x:c r="K232" s="4" t="str">
        <x:f>IFERROR(INDEX('Crafting recipes'!$C$6:$C$1005,MATCH(J232,'Crafting recipes'!$A$6:$A$1005,0)),"MISSING ID")</x:f>
        <x:v>Material refinement</x:v>
      </x:c>
      <x:c r="L232" s="4" t="str">
        <x:f>IFERROR(INDEX('Material routes'!$K$6:$K$2205,MATCH(U232,'Material routes'!$A$6:$A$2205,0)),"MISSING ID")</x:f>
        <x:v>Proposal</x:v>
      </x:c>
      <x:c r="M232" s="4" t="str">
        <x:f>IFERROR(INDEX('Material routes'!$M$6:$M$2205,MATCH(U232,'Material routes'!$A$6:$A$2205,0)),"MISSING ID")</x:f>
        <x:v>Partial proposal</x:v>
      </x:c>
      <x:c r="N232" s="4" t="str">
        <x:f>IF(IFERROR(INDEX('Material routes'!$I$6:$I$1005,MATCH(U232,'Material routes'!$A$6:$A$1005,0)),"MISSING ID")=0,"",IFERROR(INDEX('Material routes'!$I$6:$I$1005,MATCH(U232,'Material routes'!$A$6:$A$1005,0)),"MISSING ID"))</x:f>
      </x:c>
      <x:c r="O232" s="4" t="str">
        <x:f>IFERROR(INDEX('Material routes'!$J$6:$J$2205,MATCH(U232,'Material routes'!$A$6:$A$2205,0)),"MISSING ID")</x:f>
        <x:v>Unspecified</x:v>
      </x:c>
      <x:c r="P232" s="4" t="str">
        <x:f>IF(IFERROR(INDEX('Material routes'!$I$6:$I$1005,MATCH(V232,'Material routes'!$A$6:$A$1005,0)),"MISSING ID")=0,"",IFERROR(INDEX('Material routes'!$I$6:$I$1005,MATCH(V232,'Material routes'!$A$6:$A$1005,0)),"MISSING ID"))</x:f>
      </x:c>
      <x:c r="Q232" s="4" t="str">
        <x:f>IFERROR(INDEX('Material routes'!$J$6:$J$2205,MATCH(V232,'Material routes'!$A$6:$A$2205,0)),"MISSING ID")</x:f>
        <x:v>Unspecified</x:v>
      </x:c>
      <x:c r="R232" s="4" t="str">
        <x:f>IF(L232="Withheld","Withheld premise",IF(E232="Tool candidate","Reusable prerequisite",IF(K232="Raw entry preparation","Entry-resource preparation",IF(G232="Not applicable",IF(IFERROR(INDEX('Items'!$AI$6:$AI$1005,MATCH(T232,'Items'!$A$6:$A$1005,0)),"MISSING ID")="Finished item","Finished endpoint",IF(IFERROR(INDEX('Items'!$AI$6:$AI$1005,MATCH(T232,'Items'!$A$6:$A$1005,0)),"MISSING ID")="Currency","Currency / no refinement tier","Recovered output / tier not applicable")),IF(OR(IFERROR(INDEX('Crafting recipes'!$H$6:$H$1005,MATCH(J232,'Crafting recipes'!$A$6:$A$1005,0)),"MISSING ID")="Unassigned",G232="Unassigned"),"Tier unresolved",IF(IFERROR(VALUE(RIGHT(G232,1))-VALUE(RIGHT(IFERROR(INDEX('Crafting recipes'!$H$6:$H$1005,MATCH(J232,'Crafting recipes'!$A$6:$A$1005,0)),"MISSING ID"),1)),0)=1,IF(B232=IFERROR(INDEX('Crafting recipes'!$H$6:$H$1005,MATCH(J232,'Crafting recipes'!$A$6:$A$1005,0)),"MISSING ID"),"Advances one material tier","Lower-tier ingredient; route advances one tier"),"Needs tier review"))))))</x:f>
        <x:v>Advances one material tier</x:v>
      </x:c>
      <x:c r="S232" s="4" t="str">
        <x:f>IFERROR(INDEX('Material routes'!$D$6:$D$2205,MATCH(U232,'Material routes'!$A$6:$A$2205,0)),"MISSING ID")</x:f>
        <x:v>proposal.t3.spacer_set</x:v>
      </x:c>
      <x:c r="T232" s="4" t="str">
        <x:f>IFERROR(INDEX('Material routes'!$D$6:$D$2205,MATCH(V232,'Material routes'!$A$6:$A$2205,0)),"MISSING ID")</x:f>
        <x:v>proposal.t4.insulated_winding</x:v>
      </x:c>
      <x:c r="U232" s="4" t="str">
        <x:v>design.t4.insulated_winding.in.2</x:v>
      </x:c>
      <x:c r="V232" s="4" t="str">
        <x:v>design.t4.insulated_winding.out</x:v>
      </x:c>
    </x:row>
    <x:row r="233" ht="115" customHeight="1">
      <x:c r="A233" s="4" t="str">
        <x:f>IFERROR(INDEX('Material routes'!$E$6:$E$2205,MATCH(U233,'Material routes'!$A$6:$A$2205,0)),"MISSING ID")</x:f>
        <x:v>Insulated conductor stock</x:v>
      </x:c>
      <x:c r="B233" s="4" t="str">
        <x:f>IFERROR(INDEX('Material routes'!$F$6:$F$2205,MATCH(U233,'Material routes'!$A$6:$A$2205,0)),"MISSING ID")</x:f>
        <x:v>T3</x:v>
      </x:c>
      <x:c r="C233" s="4" t="str">
        <x:f>IFERROR(INDEX('Material routes'!$H$6:$H$2205,MATCH(U233,'Material routes'!$A$6:$A$2205,0)),"MISSING ID")</x:f>
        <x:v>Processed material</x:v>
      </x:c>
      <x:c r="D233" s="4" t="str">
        <x:f>IFERROR(INDEX('Material routes'!$G$6:$G$2205,MATCH(U233,'Material routes'!$A$6:$A$2205,0)),"MISSING ID")</x:f>
        <x:v>Manufactured stock</x:v>
      </x:c>
      <x:c r="E233" s="4" t="str">
        <x:f>IFERROR(INDEX('Material routes'!$C$6:$C$2205,MATCH(U233,'Material routes'!$A$6:$A$2205,0)),"MISSING ID")</x:f>
        <x:v>Ingredient candidate</x:v>
      </x:c>
      <x:c r="F233" s="4" t="str">
        <x:f>IFERROR(INDEX('Material routes'!$E$6:$E$2205,MATCH(V233,'Material routes'!$A$6:$A$2205,0)),"MISSING ID")</x:f>
        <x:v>Insulated winding subassembly</x:v>
      </x:c>
      <x:c r="G233" s="4" t="str">
        <x:f>IFERROR(INDEX('Material routes'!$F$6:$F$2205,MATCH(V233,'Material routes'!$A$6:$A$2205,0)),"MISSING ID")</x:f>
        <x:v>T4</x:v>
      </x:c>
      <x:c r="H233" s="4" t="str">
        <x:f>IFERROR(INDEX('Material routes'!$H$6:$H$2205,MATCH(V233,'Material routes'!$A$6:$A$2205,0)),"MISSING ID")</x:f>
        <x:v>Crafting component</x:v>
      </x:c>
      <x:c r="I233" s="4" t="str">
        <x:f>IFERROR(INDEX('Material routes'!$G$6:$G$2205,MATCH(V233,'Material routes'!$A$6:$A$2205,0)),"MISSING ID")</x:f>
        <x:v>Crafting components</x:v>
      </x:c>
      <x:c r="J233" s="4" t="str">
        <x:f>IFERROR(INDEX('Material routes'!$B$6:$B$2205,MATCH(U233,'Material routes'!$A$6:$A$2205,0)),"MISSING ID")</x:f>
        <x:v>design.t4.insulated_winding</x:v>
      </x:c>
      <x:c r="K233" s="4" t="str">
        <x:f>IFERROR(INDEX('Crafting recipes'!$C$6:$C$1005,MATCH(J233,'Crafting recipes'!$A$6:$A$1005,0)),"MISSING ID")</x:f>
        <x:v>Material refinement</x:v>
      </x:c>
      <x:c r="L233" s="4" t="str">
        <x:f>IFERROR(INDEX('Material routes'!$K$6:$K$2205,MATCH(U233,'Material routes'!$A$6:$A$2205,0)),"MISSING ID")</x:f>
        <x:v>Proposal</x:v>
      </x:c>
      <x:c r="M233" s="4" t="str">
        <x:f>IFERROR(INDEX('Material routes'!$M$6:$M$2205,MATCH(U233,'Material routes'!$A$6:$A$2205,0)),"MISSING ID")</x:f>
        <x:v>Partial proposal</x:v>
      </x:c>
      <x:c r="N233" s="4" t="str">
        <x:f>IF(IFERROR(INDEX('Material routes'!$I$6:$I$1005,MATCH(U233,'Material routes'!$A$6:$A$1005,0)),"MISSING ID")=0,"",IFERROR(INDEX('Material routes'!$I$6:$I$1005,MATCH(U233,'Material routes'!$A$6:$A$1005,0)),"MISSING ID"))</x:f>
      </x:c>
      <x:c r="O233" s="4" t="str">
        <x:f>IFERROR(INDEX('Material routes'!$J$6:$J$2205,MATCH(U233,'Material routes'!$A$6:$A$2205,0)),"MISSING ID")</x:f>
        <x:v>Unspecified</x:v>
      </x:c>
      <x:c r="P233" s="4" t="str">
        <x:f>IF(IFERROR(INDEX('Material routes'!$I$6:$I$1005,MATCH(V233,'Material routes'!$A$6:$A$1005,0)),"MISSING ID")=0,"",IFERROR(INDEX('Material routes'!$I$6:$I$1005,MATCH(V233,'Material routes'!$A$6:$A$1005,0)),"MISSING ID"))</x:f>
      </x:c>
      <x:c r="Q233" s="4" t="str">
        <x:f>IFERROR(INDEX('Material routes'!$J$6:$J$2205,MATCH(V233,'Material routes'!$A$6:$A$2205,0)),"MISSING ID")</x:f>
        <x:v>Unspecified</x:v>
      </x:c>
      <x:c r="R233" s="4" t="str">
        <x:f>IF(L233="Withheld","Withheld premise",IF(E233="Tool candidate","Reusable prerequisite",IF(K233="Raw entry preparation","Entry-resource preparation",IF(G233="Not applicable",IF(IFERROR(INDEX('Items'!$AI$6:$AI$1005,MATCH(T233,'Items'!$A$6:$A$1005,0)),"MISSING ID")="Finished item","Finished endpoint",IF(IFERROR(INDEX('Items'!$AI$6:$AI$1005,MATCH(T233,'Items'!$A$6:$A$1005,0)),"MISSING ID")="Currency","Currency / no refinement tier","Recovered output / tier not applicable")),IF(OR(IFERROR(INDEX('Crafting recipes'!$H$6:$H$1005,MATCH(J233,'Crafting recipes'!$A$6:$A$1005,0)),"MISSING ID")="Unassigned",G233="Unassigned"),"Tier unresolved",IF(IFERROR(VALUE(RIGHT(G233,1))-VALUE(RIGHT(IFERROR(INDEX('Crafting recipes'!$H$6:$H$1005,MATCH(J233,'Crafting recipes'!$A$6:$A$1005,0)),"MISSING ID"),1)),0)=1,IF(B233=IFERROR(INDEX('Crafting recipes'!$H$6:$H$1005,MATCH(J233,'Crafting recipes'!$A$6:$A$1005,0)),"MISSING ID"),"Advances one material tier","Lower-tier ingredient; route advances one tier"),"Needs tier review"))))))</x:f>
        <x:v>Advances one material tier</x:v>
      </x:c>
      <x:c r="S233" s="4" t="str">
        <x:f>IFERROR(INDEX('Material routes'!$D$6:$D$2205,MATCH(U233,'Material routes'!$A$6:$A$2205,0)),"MISSING ID")</x:f>
        <x:v>proposal.branch.insulated_conductor</x:v>
      </x:c>
      <x:c r="T233" s="4" t="str">
        <x:f>IFERROR(INDEX('Material routes'!$D$6:$D$2205,MATCH(V233,'Material routes'!$A$6:$A$2205,0)),"MISSING ID")</x:f>
        <x:v>proposal.t4.insulated_winding</x:v>
      </x:c>
      <x:c r="U233" s="4" t="str">
        <x:v>design.t4.insulated_winding.in.3</x:v>
      </x:c>
      <x:c r="V233" s="4" t="str">
        <x:v>design.t4.insulated_winding.out</x:v>
      </x:c>
    </x:row>
    <x:row r="234" ht="115" customHeight="1">
      <x:c r="A234" s="4" t="str">
        <x:f>IFERROR(INDEX('Material routes'!$E$6:$E$2205,MATCH(U234,'Material routes'!$A$6:$A$2205,0)),"MISSING ID")</x:f>
        <x:v>Wound copper coil blanks</x:v>
      </x:c>
      <x:c r="B234" s="4" t="str">
        <x:f>IFERROR(INDEX('Material routes'!$F$6:$F$2205,MATCH(U234,'Material routes'!$A$6:$A$2205,0)),"MISSING ID")</x:f>
        <x:v>T3</x:v>
      </x:c>
      <x:c r="C234" s="4" t="str">
        <x:f>IFERROR(INDEX('Material routes'!$H$6:$H$2205,MATCH(U234,'Material routes'!$A$6:$A$2205,0)),"MISSING ID")</x:f>
        <x:v>Crafting component</x:v>
      </x:c>
      <x:c r="D234" s="4" t="str">
        <x:f>IFERROR(INDEX('Material routes'!$G$6:$G$2205,MATCH(U234,'Material routes'!$A$6:$A$2205,0)),"MISSING ID")</x:f>
        <x:v>Crafting components</x:v>
      </x:c>
      <x:c r="E234" s="4" t="str">
        <x:f>IFERROR(INDEX('Material routes'!$C$6:$C$2205,MATCH(U234,'Material routes'!$A$6:$A$2205,0)),"MISSING ID")</x:f>
        <x:v>Ingredient candidate</x:v>
      </x:c>
      <x:c r="F234" s="4" t="str">
        <x:f>IFERROR(INDEX('Material routes'!$E$6:$E$2205,MATCH(V234,'Material routes'!$A$6:$A$2205,0)),"MISSING ID")</x:f>
        <x:v>Radio tuning support block</x:v>
      </x:c>
      <x:c r="G234" s="4" t="str">
        <x:f>IFERROR(INDEX('Material routes'!$F$6:$F$2205,MATCH(V234,'Material routes'!$A$6:$A$2205,0)),"MISSING ID")</x:f>
        <x:v>T4</x:v>
      </x:c>
      <x:c r="H234" s="4" t="str">
        <x:f>IFERROR(INDEX('Material routes'!$H$6:$H$2205,MATCH(V234,'Material routes'!$A$6:$A$2205,0)),"MISSING ID")</x:f>
        <x:v>Crafting component</x:v>
      </x:c>
      <x:c r="I234" s="4" t="str">
        <x:f>IFERROR(INDEX('Material routes'!$G$6:$G$2205,MATCH(V234,'Material routes'!$A$6:$A$2205,0)),"MISSING ID")</x:f>
        <x:v>Crafting components</x:v>
      </x:c>
      <x:c r="J234" s="4" t="str">
        <x:f>IFERROR(INDEX('Material routes'!$B$6:$B$2205,MATCH(U234,'Material routes'!$A$6:$A$2205,0)),"MISSING ID")</x:f>
        <x:v>design.t4.radio_tuning</x:v>
      </x:c>
      <x:c r="K234" s="4" t="str">
        <x:f>IFERROR(INDEX('Crafting recipes'!$C$6:$C$1005,MATCH(J234,'Crafting recipes'!$A$6:$A$1005,0)),"MISSING ID")</x:f>
        <x:v>Material refinement</x:v>
      </x:c>
      <x:c r="L234" s="4" t="str">
        <x:f>IFERROR(INDEX('Material routes'!$K$6:$K$2205,MATCH(U234,'Material routes'!$A$6:$A$2205,0)),"MISSING ID")</x:f>
        <x:v>Proposal</x:v>
      </x:c>
      <x:c r="M234" s="4" t="str">
        <x:f>IFERROR(INDEX('Material routes'!$M$6:$M$2205,MATCH(U234,'Material routes'!$A$6:$A$2205,0)),"MISSING ID")</x:f>
        <x:v>Partial proposal</x:v>
      </x:c>
      <x:c r="N234" s="4" t="str">
        <x:f>IF(IFERROR(INDEX('Material routes'!$I$6:$I$1005,MATCH(U234,'Material routes'!$A$6:$A$1005,0)),"MISSING ID")=0,"",IFERROR(INDEX('Material routes'!$I$6:$I$1005,MATCH(U234,'Material routes'!$A$6:$A$1005,0)),"MISSING ID"))</x:f>
      </x:c>
      <x:c r="O234" s="4" t="str">
        <x:f>IFERROR(INDEX('Material routes'!$J$6:$J$2205,MATCH(U234,'Material routes'!$A$6:$A$2205,0)),"MISSING ID")</x:f>
        <x:v>Unspecified</x:v>
      </x:c>
      <x:c r="P234" s="4" t="str">
        <x:f>IF(IFERROR(INDEX('Material routes'!$I$6:$I$1005,MATCH(V234,'Material routes'!$A$6:$A$1005,0)),"MISSING ID")=0,"",IFERROR(INDEX('Material routes'!$I$6:$I$1005,MATCH(V234,'Material routes'!$A$6:$A$1005,0)),"MISSING ID"))</x:f>
      </x:c>
      <x:c r="Q234" s="4" t="str">
        <x:f>IFERROR(INDEX('Material routes'!$J$6:$J$2205,MATCH(V234,'Material routes'!$A$6:$A$2205,0)),"MISSING ID")</x:f>
        <x:v>Unspecified</x:v>
      </x:c>
      <x:c r="R234" s="4" t="str">
        <x:f>IF(L234="Withheld","Withheld premise",IF(E234="Tool candidate","Reusable prerequisite",IF(K234="Raw entry preparation","Entry-resource preparation",IF(G234="Not applicable",IF(IFERROR(INDEX('Items'!$AI$6:$AI$1005,MATCH(T234,'Items'!$A$6:$A$1005,0)),"MISSING ID")="Finished item","Finished endpoint",IF(IFERROR(INDEX('Items'!$AI$6:$AI$1005,MATCH(T234,'Items'!$A$6:$A$1005,0)),"MISSING ID")="Currency","Currency / no refinement tier","Recovered output / tier not applicable")),IF(OR(IFERROR(INDEX('Crafting recipes'!$H$6:$H$1005,MATCH(J234,'Crafting recipes'!$A$6:$A$1005,0)),"MISSING ID")="Unassigned",G234="Unassigned"),"Tier unresolved",IF(IFERROR(VALUE(RIGHT(G234,1))-VALUE(RIGHT(IFERROR(INDEX('Crafting recipes'!$H$6:$H$1005,MATCH(J234,'Crafting recipes'!$A$6:$A$1005,0)),"MISSING ID"),1)),0)=1,IF(B234=IFERROR(INDEX('Crafting recipes'!$H$6:$H$1005,MATCH(J234,'Crafting recipes'!$A$6:$A$1005,0)),"MISSING ID"),"Advances one material tier","Lower-tier ingredient; route advances one tier"),"Needs tier review"))))))</x:f>
        <x:v>Advances one material tier</x:v>
      </x:c>
      <x:c r="S234" s="4" t="str">
        <x:f>IFERROR(INDEX('Material routes'!$D$6:$D$2205,MATCH(U234,'Material routes'!$A$6:$A$2205,0)),"MISSING ID")</x:f>
        <x:v>proposal.t3.wound_coil</x:v>
      </x:c>
      <x:c r="T234" s="4" t="str">
        <x:f>IFERROR(INDEX('Material routes'!$D$6:$D$2205,MATCH(V234,'Material routes'!$A$6:$A$2205,0)),"MISSING ID")</x:f>
        <x:v>proposal.t4.radio_tuning</x:v>
      </x:c>
      <x:c r="U234" s="4" t="str">
        <x:v>design.t4.radio_tuning.in.1</x:v>
      </x:c>
      <x:c r="V234" s="4" t="str">
        <x:v>design.t4.radio_tuning.out</x:v>
      </x:c>
    </x:row>
    <x:row r="235" ht="115" customHeight="1">
      <x:c r="A235" s="4" t="str">
        <x:f>IFERROR(INDEX('Material routes'!$E$6:$E$2205,MATCH(U235,'Material routes'!$A$6:$A$2205,0)),"MISSING ID")</x:f>
        <x:v>Fitted ceramic contact mounts</x:v>
      </x:c>
      <x:c r="B235" s="4" t="str">
        <x:f>IFERROR(INDEX('Material routes'!$F$6:$F$2205,MATCH(U235,'Material routes'!$A$6:$A$2205,0)),"MISSING ID")</x:f>
        <x:v>T3</x:v>
      </x:c>
      <x:c r="C235" s="4" t="str">
        <x:f>IFERROR(INDEX('Material routes'!$H$6:$H$2205,MATCH(U235,'Material routes'!$A$6:$A$2205,0)),"MISSING ID")</x:f>
        <x:v>Crafting component</x:v>
      </x:c>
      <x:c r="D235" s="4" t="str">
        <x:f>IFERROR(INDEX('Material routes'!$G$6:$G$2205,MATCH(U235,'Material routes'!$A$6:$A$2205,0)),"MISSING ID")</x:f>
        <x:v>Crafting components</x:v>
      </x:c>
      <x:c r="E235" s="4" t="str">
        <x:f>IFERROR(INDEX('Material routes'!$C$6:$C$2205,MATCH(U235,'Material routes'!$A$6:$A$2205,0)),"MISSING ID")</x:f>
        <x:v>Ingredient candidate</x:v>
      </x:c>
      <x:c r="F235" s="4" t="str">
        <x:f>IFERROR(INDEX('Material routes'!$E$6:$E$2205,MATCH(V235,'Material routes'!$A$6:$A$2205,0)),"MISSING ID")</x:f>
        <x:v>Radio tuning support block</x:v>
      </x:c>
      <x:c r="G235" s="4" t="str">
        <x:f>IFERROR(INDEX('Material routes'!$F$6:$F$2205,MATCH(V235,'Material routes'!$A$6:$A$2205,0)),"MISSING ID")</x:f>
        <x:v>T4</x:v>
      </x:c>
      <x:c r="H235" s="4" t="str">
        <x:f>IFERROR(INDEX('Material routes'!$H$6:$H$2205,MATCH(V235,'Material routes'!$A$6:$A$2205,0)),"MISSING ID")</x:f>
        <x:v>Crafting component</x:v>
      </x:c>
      <x:c r="I235" s="4" t="str">
        <x:f>IFERROR(INDEX('Material routes'!$G$6:$G$2205,MATCH(V235,'Material routes'!$A$6:$A$2205,0)),"MISSING ID")</x:f>
        <x:v>Crafting components</x:v>
      </x:c>
      <x:c r="J235" s="4" t="str">
        <x:f>IFERROR(INDEX('Material routes'!$B$6:$B$2205,MATCH(U235,'Material routes'!$A$6:$A$2205,0)),"MISSING ID")</x:f>
        <x:v>design.t4.radio_tuning</x:v>
      </x:c>
      <x:c r="K235" s="4" t="str">
        <x:f>IFERROR(INDEX('Crafting recipes'!$C$6:$C$1005,MATCH(J235,'Crafting recipes'!$A$6:$A$1005,0)),"MISSING ID")</x:f>
        <x:v>Material refinement</x:v>
      </x:c>
      <x:c r="L235" s="4" t="str">
        <x:f>IFERROR(INDEX('Material routes'!$K$6:$K$2205,MATCH(U235,'Material routes'!$A$6:$A$2205,0)),"MISSING ID")</x:f>
        <x:v>Proposal</x:v>
      </x:c>
      <x:c r="M235" s="4" t="str">
        <x:f>IFERROR(INDEX('Material routes'!$M$6:$M$2205,MATCH(U235,'Material routes'!$A$6:$A$2205,0)),"MISSING ID")</x:f>
        <x:v>Partial proposal</x:v>
      </x:c>
      <x:c r="N235" s="4" t="str">
        <x:f>IF(IFERROR(INDEX('Material routes'!$I$6:$I$1005,MATCH(U235,'Material routes'!$A$6:$A$1005,0)),"MISSING ID")=0,"",IFERROR(INDEX('Material routes'!$I$6:$I$1005,MATCH(U235,'Material routes'!$A$6:$A$1005,0)),"MISSING ID"))</x:f>
      </x:c>
      <x:c r="O235" s="4" t="str">
        <x:f>IFERROR(INDEX('Material routes'!$J$6:$J$2205,MATCH(U235,'Material routes'!$A$6:$A$2205,0)),"MISSING ID")</x:f>
        <x:v>Unspecified</x:v>
      </x:c>
      <x:c r="P235" s="4" t="str">
        <x:f>IF(IFERROR(INDEX('Material routes'!$I$6:$I$1005,MATCH(V235,'Material routes'!$A$6:$A$1005,0)),"MISSING ID")=0,"",IFERROR(INDEX('Material routes'!$I$6:$I$1005,MATCH(V235,'Material routes'!$A$6:$A$1005,0)),"MISSING ID"))</x:f>
      </x:c>
      <x:c r="Q235" s="4" t="str">
        <x:f>IFERROR(INDEX('Material routes'!$J$6:$J$2205,MATCH(V235,'Material routes'!$A$6:$A$2205,0)),"MISSING ID")</x:f>
        <x:v>Unspecified</x:v>
      </x:c>
      <x:c r="R235" s="4" t="str">
        <x:f>IF(L235="Withheld","Withheld premise",IF(E235="Tool candidate","Reusable prerequisite",IF(K235="Raw entry preparation","Entry-resource preparation",IF(G235="Not applicable",IF(IFERROR(INDEX('Items'!$AI$6:$AI$1005,MATCH(T235,'Items'!$A$6:$A$1005,0)),"MISSING ID")="Finished item","Finished endpoint",IF(IFERROR(INDEX('Items'!$AI$6:$AI$1005,MATCH(T235,'Items'!$A$6:$A$1005,0)),"MISSING ID")="Currency","Currency / no refinement tier","Recovered output / tier not applicable")),IF(OR(IFERROR(INDEX('Crafting recipes'!$H$6:$H$1005,MATCH(J235,'Crafting recipes'!$A$6:$A$1005,0)),"MISSING ID")="Unassigned",G235="Unassigned"),"Tier unresolved",IF(IFERROR(VALUE(RIGHT(G235,1))-VALUE(RIGHT(IFERROR(INDEX('Crafting recipes'!$H$6:$H$1005,MATCH(J235,'Crafting recipes'!$A$6:$A$1005,0)),"MISSING ID"),1)),0)=1,IF(B235=IFERROR(INDEX('Crafting recipes'!$H$6:$H$1005,MATCH(J235,'Crafting recipes'!$A$6:$A$1005,0)),"MISSING ID"),"Advances one material tier","Lower-tier ingredient; route advances one tier"),"Needs tier review"))))))</x:f>
        <x:v>Advances one material tier</x:v>
      </x:c>
      <x:c r="S235" s="4" t="str">
        <x:f>IFERROR(INDEX('Material routes'!$D$6:$D$2205,MATCH(U235,'Material routes'!$A$6:$A$2205,0)),"MISSING ID")</x:f>
        <x:v>proposal.t3.contact_mount</x:v>
      </x:c>
      <x:c r="T235" s="4" t="str">
        <x:f>IFERROR(INDEX('Material routes'!$D$6:$D$2205,MATCH(V235,'Material routes'!$A$6:$A$2205,0)),"MISSING ID")</x:f>
        <x:v>proposal.t4.radio_tuning</x:v>
      </x:c>
      <x:c r="U235" s="4" t="str">
        <x:v>design.t4.radio_tuning.in.2</x:v>
      </x:c>
      <x:c r="V235" s="4" t="str">
        <x:v>design.t4.radio_tuning.out</x:v>
      </x:c>
    </x:row>
    <x:row r="236" ht="115" customHeight="1">
      <x:c r="A236" s="4" t="str">
        <x:f>IFERROR(INDEX('Material routes'!$E$6:$E$2205,MATCH(U236,'Material routes'!$A$6:$A$2205,0)),"MISSING ID")</x:f>
        <x:v>Matched ceramic spacer sets</x:v>
      </x:c>
      <x:c r="B236" s="4" t="str">
        <x:f>IFERROR(INDEX('Material routes'!$F$6:$F$2205,MATCH(U236,'Material routes'!$A$6:$A$2205,0)),"MISSING ID")</x:f>
        <x:v>T3</x:v>
      </x:c>
      <x:c r="C236" s="4" t="str">
        <x:f>IFERROR(INDEX('Material routes'!$H$6:$H$2205,MATCH(U236,'Material routes'!$A$6:$A$2205,0)),"MISSING ID")</x:f>
        <x:v>Crafting component</x:v>
      </x:c>
      <x:c r="D236" s="4" t="str">
        <x:f>IFERROR(INDEX('Material routes'!$G$6:$G$2205,MATCH(U236,'Material routes'!$A$6:$A$2205,0)),"MISSING ID")</x:f>
        <x:v>Crafting components</x:v>
      </x:c>
      <x:c r="E236" s="4" t="str">
        <x:f>IFERROR(INDEX('Material routes'!$C$6:$C$2205,MATCH(U236,'Material routes'!$A$6:$A$2205,0)),"MISSING ID")</x:f>
        <x:v>Ingredient candidate</x:v>
      </x:c>
      <x:c r="F236" s="4" t="str">
        <x:f>IFERROR(INDEX('Material routes'!$E$6:$E$2205,MATCH(V236,'Material routes'!$A$6:$A$2205,0)),"MISSING ID")</x:f>
        <x:v>Radio tuning support block</x:v>
      </x:c>
      <x:c r="G236" s="4" t="str">
        <x:f>IFERROR(INDEX('Material routes'!$F$6:$F$2205,MATCH(V236,'Material routes'!$A$6:$A$2205,0)),"MISSING ID")</x:f>
        <x:v>T4</x:v>
      </x:c>
      <x:c r="H236" s="4" t="str">
        <x:f>IFERROR(INDEX('Material routes'!$H$6:$H$2205,MATCH(V236,'Material routes'!$A$6:$A$2205,0)),"MISSING ID")</x:f>
        <x:v>Crafting component</x:v>
      </x:c>
      <x:c r="I236" s="4" t="str">
        <x:f>IFERROR(INDEX('Material routes'!$G$6:$G$2205,MATCH(V236,'Material routes'!$A$6:$A$2205,0)),"MISSING ID")</x:f>
        <x:v>Crafting components</x:v>
      </x:c>
      <x:c r="J236" s="4" t="str">
        <x:f>IFERROR(INDEX('Material routes'!$B$6:$B$2205,MATCH(U236,'Material routes'!$A$6:$A$2205,0)),"MISSING ID")</x:f>
        <x:v>design.t4.radio_tuning</x:v>
      </x:c>
      <x:c r="K236" s="4" t="str">
        <x:f>IFERROR(INDEX('Crafting recipes'!$C$6:$C$1005,MATCH(J236,'Crafting recipes'!$A$6:$A$1005,0)),"MISSING ID")</x:f>
        <x:v>Material refinement</x:v>
      </x:c>
      <x:c r="L236" s="4" t="str">
        <x:f>IFERROR(INDEX('Material routes'!$K$6:$K$2205,MATCH(U236,'Material routes'!$A$6:$A$2205,0)),"MISSING ID")</x:f>
        <x:v>Proposal</x:v>
      </x:c>
      <x:c r="M236" s="4" t="str">
        <x:f>IFERROR(INDEX('Material routes'!$M$6:$M$2205,MATCH(U236,'Material routes'!$A$6:$A$2205,0)),"MISSING ID")</x:f>
        <x:v>Partial proposal</x:v>
      </x:c>
      <x:c r="N236" s="4" t="str">
        <x:f>IF(IFERROR(INDEX('Material routes'!$I$6:$I$1005,MATCH(U236,'Material routes'!$A$6:$A$1005,0)),"MISSING ID")=0,"",IFERROR(INDEX('Material routes'!$I$6:$I$1005,MATCH(U236,'Material routes'!$A$6:$A$1005,0)),"MISSING ID"))</x:f>
      </x:c>
      <x:c r="O236" s="4" t="str">
        <x:f>IFERROR(INDEX('Material routes'!$J$6:$J$2205,MATCH(U236,'Material routes'!$A$6:$A$2205,0)),"MISSING ID")</x:f>
        <x:v>Unspecified</x:v>
      </x:c>
      <x:c r="P236" s="4" t="str">
        <x:f>IF(IFERROR(INDEX('Material routes'!$I$6:$I$1005,MATCH(V236,'Material routes'!$A$6:$A$1005,0)),"MISSING ID")=0,"",IFERROR(INDEX('Material routes'!$I$6:$I$1005,MATCH(V236,'Material routes'!$A$6:$A$1005,0)),"MISSING ID"))</x:f>
      </x:c>
      <x:c r="Q236" s="4" t="str">
        <x:f>IFERROR(INDEX('Material routes'!$J$6:$J$2205,MATCH(V236,'Material routes'!$A$6:$A$2205,0)),"MISSING ID")</x:f>
        <x:v>Unspecified</x:v>
      </x:c>
      <x:c r="R236" s="4" t="str">
        <x:f>IF(L236="Withheld","Withheld premise",IF(E236="Tool candidate","Reusable prerequisite",IF(K236="Raw entry preparation","Entry-resource preparation",IF(G236="Not applicable",IF(IFERROR(INDEX('Items'!$AI$6:$AI$1005,MATCH(T236,'Items'!$A$6:$A$1005,0)),"MISSING ID")="Finished item","Finished endpoint",IF(IFERROR(INDEX('Items'!$AI$6:$AI$1005,MATCH(T236,'Items'!$A$6:$A$1005,0)),"MISSING ID")="Currency","Currency / no refinement tier","Recovered output / tier not applicable")),IF(OR(IFERROR(INDEX('Crafting recipes'!$H$6:$H$1005,MATCH(J236,'Crafting recipes'!$A$6:$A$1005,0)),"MISSING ID")="Unassigned",G236="Unassigned"),"Tier unresolved",IF(IFERROR(VALUE(RIGHT(G236,1))-VALUE(RIGHT(IFERROR(INDEX('Crafting recipes'!$H$6:$H$1005,MATCH(J236,'Crafting recipes'!$A$6:$A$1005,0)),"MISSING ID"),1)),0)=1,IF(B236=IFERROR(INDEX('Crafting recipes'!$H$6:$H$1005,MATCH(J236,'Crafting recipes'!$A$6:$A$1005,0)),"MISSING ID"),"Advances one material tier","Lower-tier ingredient; route advances one tier"),"Needs tier review"))))))</x:f>
        <x:v>Advances one material tier</x:v>
      </x:c>
      <x:c r="S236" s="4" t="str">
        <x:f>IFERROR(INDEX('Material routes'!$D$6:$D$2205,MATCH(U236,'Material routes'!$A$6:$A$2205,0)),"MISSING ID")</x:f>
        <x:v>proposal.t3.spacer_set</x:v>
      </x:c>
      <x:c r="T236" s="4" t="str">
        <x:f>IFERROR(INDEX('Material routes'!$D$6:$D$2205,MATCH(V236,'Material routes'!$A$6:$A$2205,0)),"MISSING ID")</x:f>
        <x:v>proposal.t4.radio_tuning</x:v>
      </x:c>
      <x:c r="U236" s="4" t="str">
        <x:v>design.t4.radio_tuning.in.3</x:v>
      </x:c>
      <x:c r="V236" s="4" t="str">
        <x:v>design.t4.radio_tuning.out</x:v>
      </x:c>
    </x:row>
    <x:row r="237" ht="115" customHeight="1">
      <x:c r="A237" s="4" t="str">
        <x:f>IFERROR(INDEX('Material routes'!$E$6:$E$2205,MATCH(U237,'Material routes'!$A$6:$A$2205,0)),"MISSING ID")</x:f>
        <x:v>Drawn copper stock</x:v>
      </x:c>
      <x:c r="B237" s="4" t="str">
        <x:f>IFERROR(INDEX('Material routes'!$F$6:$F$2205,MATCH(U237,'Material routes'!$A$6:$A$2205,0)),"MISSING ID")</x:f>
        <x:v>T2</x:v>
      </x:c>
      <x:c r="C237" s="4" t="str">
        <x:f>IFERROR(INDEX('Material routes'!$H$6:$H$2205,MATCH(U237,'Material routes'!$A$6:$A$2205,0)),"MISSING ID")</x:f>
        <x:v>Processed material</x:v>
      </x:c>
      <x:c r="D237" s="4" t="str">
        <x:f>IFERROR(INDEX('Material routes'!$G$6:$G$2205,MATCH(U237,'Material routes'!$A$6:$A$2205,0)),"MISSING ID")</x:f>
        <x:v>Manufactured stock</x:v>
      </x:c>
      <x:c r="E237" s="4" t="str">
        <x:f>IFERROR(INDEX('Material routes'!$C$6:$C$2205,MATCH(U237,'Material routes'!$A$6:$A$2205,0)),"MISSING ID")</x:f>
        <x:v>Ingredient candidate</x:v>
      </x:c>
      <x:c r="F237" s="4" t="str">
        <x:f>IFERROR(INDEX('Material routes'!$E$6:$E$2205,MATCH(V237,'Material routes'!$A$6:$A$2205,0)),"MISSING ID")</x:f>
        <x:v>Radio tuning support block</x:v>
      </x:c>
      <x:c r="G237" s="4" t="str">
        <x:f>IFERROR(INDEX('Material routes'!$F$6:$F$2205,MATCH(V237,'Material routes'!$A$6:$A$2205,0)),"MISSING ID")</x:f>
        <x:v>T4</x:v>
      </x:c>
      <x:c r="H237" s="4" t="str">
        <x:f>IFERROR(INDEX('Material routes'!$H$6:$H$2205,MATCH(V237,'Material routes'!$A$6:$A$2205,0)),"MISSING ID")</x:f>
        <x:v>Crafting component</x:v>
      </x:c>
      <x:c r="I237" s="4" t="str">
        <x:f>IFERROR(INDEX('Material routes'!$G$6:$G$2205,MATCH(V237,'Material routes'!$A$6:$A$2205,0)),"MISSING ID")</x:f>
        <x:v>Crafting components</x:v>
      </x:c>
      <x:c r="J237" s="4" t="str">
        <x:f>IFERROR(INDEX('Material routes'!$B$6:$B$2205,MATCH(U237,'Material routes'!$A$6:$A$2205,0)),"MISSING ID")</x:f>
        <x:v>design.t4.radio_tuning</x:v>
      </x:c>
      <x:c r="K237" s="4" t="str">
        <x:f>IFERROR(INDEX('Crafting recipes'!$C$6:$C$1005,MATCH(J237,'Crafting recipes'!$A$6:$A$1005,0)),"MISSING ID")</x:f>
        <x:v>Material refinement</x:v>
      </x:c>
      <x:c r="L237" s="4" t="str">
        <x:f>IFERROR(INDEX('Material routes'!$K$6:$K$2205,MATCH(U237,'Material routes'!$A$6:$A$2205,0)),"MISSING ID")</x:f>
        <x:v>Proposal</x:v>
      </x:c>
      <x:c r="M237" s="4" t="str">
        <x:f>IFERROR(INDEX('Material routes'!$M$6:$M$2205,MATCH(U237,'Material routes'!$A$6:$A$2205,0)),"MISSING ID")</x:f>
        <x:v>Partial proposal</x:v>
      </x:c>
      <x:c r="N237" s="4" t="str">
        <x:f>IF(IFERROR(INDEX('Material routes'!$I$6:$I$1005,MATCH(U237,'Material routes'!$A$6:$A$1005,0)),"MISSING ID")=0,"",IFERROR(INDEX('Material routes'!$I$6:$I$1005,MATCH(U237,'Material routes'!$A$6:$A$1005,0)),"MISSING ID"))</x:f>
      </x:c>
      <x:c r="O237" s="4" t="str">
        <x:f>IFERROR(INDEX('Material routes'!$J$6:$J$2205,MATCH(U237,'Material routes'!$A$6:$A$2205,0)),"MISSING ID")</x:f>
        <x:v>Unspecified</x:v>
      </x:c>
      <x:c r="P237" s="4" t="str">
        <x:f>IF(IFERROR(INDEX('Material routes'!$I$6:$I$1005,MATCH(V237,'Material routes'!$A$6:$A$1005,0)),"MISSING ID")=0,"",IFERROR(INDEX('Material routes'!$I$6:$I$1005,MATCH(V237,'Material routes'!$A$6:$A$1005,0)),"MISSING ID"))</x:f>
      </x:c>
      <x:c r="Q237" s="4" t="str">
        <x:f>IFERROR(INDEX('Material routes'!$J$6:$J$2205,MATCH(V237,'Material routes'!$A$6:$A$2205,0)),"MISSING ID")</x:f>
        <x:v>Unspecified</x:v>
      </x:c>
      <x:c r="R237" s="4" t="str">
        <x:f>IF(L237="Withheld","Withheld premise",IF(E237="Tool candidate","Reusable prerequisite",IF(K237="Raw entry preparation","Entry-resource preparation",IF(G237="Not applicable",IF(IFERROR(INDEX('Items'!$AI$6:$AI$1005,MATCH(T237,'Items'!$A$6:$A$1005,0)),"MISSING ID")="Finished item","Finished endpoint",IF(IFERROR(INDEX('Items'!$AI$6:$AI$1005,MATCH(T237,'Items'!$A$6:$A$1005,0)),"MISSING ID")="Currency","Currency / no refinement tier","Recovered output / tier not applicable")),IF(OR(IFERROR(INDEX('Crafting recipes'!$H$6:$H$1005,MATCH(J237,'Crafting recipes'!$A$6:$A$1005,0)),"MISSING ID")="Unassigned",G237="Unassigned"),"Tier unresolved",IF(IFERROR(VALUE(RIGHT(G237,1))-VALUE(RIGHT(IFERROR(INDEX('Crafting recipes'!$H$6:$H$1005,MATCH(J237,'Crafting recipes'!$A$6:$A$1005,0)),"MISSING ID"),1)),0)=1,IF(B237=IFERROR(INDEX('Crafting recipes'!$H$6:$H$1005,MATCH(J237,'Crafting recipes'!$A$6:$A$1005,0)),"MISSING ID"),"Advances one material tier","Lower-tier ingredient; route advances one tier"),"Needs tier review"))))))</x:f>
        <x:v>Lower-tier ingredient; route advances one tier</x:v>
      </x:c>
      <x:c r="S237" s="4" t="str">
        <x:f>IFERROR(INDEX('Material routes'!$D$6:$D$2205,MATCH(U237,'Material routes'!$A$6:$A$2205,0)),"MISSING ID")</x:f>
        <x:v>proposal.branch.drawn_copper</x:v>
      </x:c>
      <x:c r="T237" s="4" t="str">
        <x:f>IFERROR(INDEX('Material routes'!$D$6:$D$2205,MATCH(V237,'Material routes'!$A$6:$A$2205,0)),"MISSING ID")</x:f>
        <x:v>proposal.t4.radio_tuning</x:v>
      </x:c>
      <x:c r="U237" s="4" t="str">
        <x:v>design.t4.radio_tuning.in.4</x:v>
      </x:c>
      <x:c r="V237" s="4" t="str">
        <x:v>design.t4.radio_tuning.out</x:v>
      </x:c>
    </x:row>
    <x:row r="238" ht="115" customHeight="1">
      <x:c r="A238" s="4" t="str">
        <x:f>IFERROR(INDEX('Material routes'!$E$6:$E$2205,MATCH(U238,'Material routes'!$A$6:$A$2205,0)),"MISSING ID")</x:f>
        <x:v>Woven copper mesh stock</x:v>
      </x:c>
      <x:c r="B238" s="4" t="str">
        <x:f>IFERROR(INDEX('Material routes'!$F$6:$F$2205,MATCH(U238,'Material routes'!$A$6:$A$2205,0)),"MISSING ID")</x:f>
        <x:v>T3</x:v>
      </x:c>
      <x:c r="C238" s="4" t="str">
        <x:f>IFERROR(INDEX('Material routes'!$H$6:$H$2205,MATCH(U238,'Material routes'!$A$6:$A$2205,0)),"MISSING ID")</x:f>
        <x:v>Processed material</x:v>
      </x:c>
      <x:c r="D238" s="4" t="str">
        <x:f>IFERROR(INDEX('Material routes'!$G$6:$G$2205,MATCH(U238,'Material routes'!$A$6:$A$2205,0)),"MISSING ID")</x:f>
        <x:v>Manufactured stock</x:v>
      </x:c>
      <x:c r="E238" s="4" t="str">
        <x:f>IFERROR(INDEX('Material routes'!$C$6:$C$2205,MATCH(U238,'Material routes'!$A$6:$A$2205,0)),"MISSING ID")</x:f>
        <x:v>Ingredient candidate</x:v>
      </x:c>
      <x:c r="F238" s="4" t="str">
        <x:f>IFERROR(INDEX('Material routes'!$E$6:$E$2205,MATCH(V238,'Material routes'!$A$6:$A$2205,0)),"MISSING ID")</x:f>
        <x:v>Screened radio chassis insert</x:v>
      </x:c>
      <x:c r="G238" s="4" t="str">
        <x:f>IFERROR(INDEX('Material routes'!$F$6:$F$2205,MATCH(V238,'Material routes'!$A$6:$A$2205,0)),"MISSING ID")</x:f>
        <x:v>T4</x:v>
      </x:c>
      <x:c r="H238" s="4" t="str">
        <x:f>IFERROR(INDEX('Material routes'!$H$6:$H$2205,MATCH(V238,'Material routes'!$A$6:$A$2205,0)),"MISSING ID")</x:f>
        <x:v>Crafting component</x:v>
      </x:c>
      <x:c r="I238" s="4" t="str">
        <x:f>IFERROR(INDEX('Material routes'!$G$6:$G$2205,MATCH(V238,'Material routes'!$A$6:$A$2205,0)),"MISSING ID")</x:f>
        <x:v>Crafting components</x:v>
      </x:c>
      <x:c r="J238" s="4" t="str">
        <x:f>IFERROR(INDEX('Material routes'!$B$6:$B$2205,MATCH(U238,'Material routes'!$A$6:$A$2205,0)),"MISSING ID")</x:f>
        <x:v>design.t4.screened_chassis</x:v>
      </x:c>
      <x:c r="K238" s="4" t="str">
        <x:f>IFERROR(INDEX('Crafting recipes'!$C$6:$C$1005,MATCH(J238,'Crafting recipes'!$A$6:$A$1005,0)),"MISSING ID")</x:f>
        <x:v>Material refinement</x:v>
      </x:c>
      <x:c r="L238" s="4" t="str">
        <x:f>IFERROR(INDEX('Material routes'!$K$6:$K$2205,MATCH(U238,'Material routes'!$A$6:$A$2205,0)),"MISSING ID")</x:f>
        <x:v>Proposal</x:v>
      </x:c>
      <x:c r="M238" s="4" t="str">
        <x:f>IFERROR(INDEX('Material routes'!$M$6:$M$2205,MATCH(U238,'Material routes'!$A$6:$A$2205,0)),"MISSING ID")</x:f>
        <x:v>Partial proposal</x:v>
      </x:c>
      <x:c r="N238" s="4" t="str">
        <x:f>IF(IFERROR(INDEX('Material routes'!$I$6:$I$1005,MATCH(U238,'Material routes'!$A$6:$A$1005,0)),"MISSING ID")=0,"",IFERROR(INDEX('Material routes'!$I$6:$I$1005,MATCH(U238,'Material routes'!$A$6:$A$1005,0)),"MISSING ID"))</x:f>
      </x:c>
      <x:c r="O238" s="4" t="str">
        <x:f>IFERROR(INDEX('Material routes'!$J$6:$J$2205,MATCH(U238,'Material routes'!$A$6:$A$2205,0)),"MISSING ID")</x:f>
        <x:v>Unspecified</x:v>
      </x:c>
      <x:c r="P238" s="4" t="str">
        <x:f>IF(IFERROR(INDEX('Material routes'!$I$6:$I$1005,MATCH(V238,'Material routes'!$A$6:$A$1005,0)),"MISSING ID")=0,"",IFERROR(INDEX('Material routes'!$I$6:$I$1005,MATCH(V238,'Material routes'!$A$6:$A$1005,0)),"MISSING ID"))</x:f>
      </x:c>
      <x:c r="Q238" s="4" t="str">
        <x:f>IFERROR(INDEX('Material routes'!$J$6:$J$2205,MATCH(V238,'Material routes'!$A$6:$A$2205,0)),"MISSING ID")</x:f>
        <x:v>Unspecified</x:v>
      </x:c>
      <x:c r="R238" s="4" t="str">
        <x:f>IF(L238="Withheld","Withheld premise",IF(E238="Tool candidate","Reusable prerequisite",IF(K238="Raw entry preparation","Entry-resource preparation",IF(G238="Not applicable",IF(IFERROR(INDEX('Items'!$AI$6:$AI$1005,MATCH(T238,'Items'!$A$6:$A$1005,0)),"MISSING ID")="Finished item","Finished endpoint",IF(IFERROR(INDEX('Items'!$AI$6:$AI$1005,MATCH(T238,'Items'!$A$6:$A$1005,0)),"MISSING ID")="Currency","Currency / no refinement tier","Recovered output / tier not applicable")),IF(OR(IFERROR(INDEX('Crafting recipes'!$H$6:$H$1005,MATCH(J238,'Crafting recipes'!$A$6:$A$1005,0)),"MISSING ID")="Unassigned",G238="Unassigned"),"Tier unresolved",IF(IFERROR(VALUE(RIGHT(G238,1))-VALUE(RIGHT(IFERROR(INDEX('Crafting recipes'!$H$6:$H$1005,MATCH(J238,'Crafting recipes'!$A$6:$A$1005,0)),"MISSING ID"),1)),0)=1,IF(B238=IFERROR(INDEX('Crafting recipes'!$H$6:$H$1005,MATCH(J238,'Crafting recipes'!$A$6:$A$1005,0)),"MISSING ID"),"Advances one material tier","Lower-tier ingredient; route advances one tier"),"Needs tier review"))))))</x:f>
        <x:v>Advances one material tier</x:v>
      </x:c>
      <x:c r="S238" s="4" t="str">
        <x:f>IFERROR(INDEX('Material routes'!$D$6:$D$2205,MATCH(U238,'Material routes'!$A$6:$A$2205,0)),"MISSING ID")</x:f>
        <x:v>proposal.t3.copper_mesh</x:v>
      </x:c>
      <x:c r="T238" s="4" t="str">
        <x:f>IFERROR(INDEX('Material routes'!$D$6:$D$2205,MATCH(V238,'Material routes'!$A$6:$A$2205,0)),"MISSING ID")</x:f>
        <x:v>proposal.t4.screened_chassis</x:v>
      </x:c>
      <x:c r="U238" s="4" t="str">
        <x:v>design.t4.screened_chassis.in.1</x:v>
      </x:c>
      <x:c r="V238" s="4" t="str">
        <x:v>design.t4.screened_chassis.out</x:v>
      </x:c>
    </x:row>
    <x:row r="239" ht="115" customHeight="1">
      <x:c r="A239" s="4" t="str">
        <x:f>IFERROR(INDEX('Material routes'!$E$6:$E$2205,MATCH(U239,'Material routes'!$A$6:$A$2205,0)),"MISSING ID")</x:f>
        <x:v>Fitted ceramic contact mounts</x:v>
      </x:c>
      <x:c r="B239" s="4" t="str">
        <x:f>IFERROR(INDEX('Material routes'!$F$6:$F$2205,MATCH(U239,'Material routes'!$A$6:$A$2205,0)),"MISSING ID")</x:f>
        <x:v>T3</x:v>
      </x:c>
      <x:c r="C239" s="4" t="str">
        <x:f>IFERROR(INDEX('Material routes'!$H$6:$H$2205,MATCH(U239,'Material routes'!$A$6:$A$2205,0)),"MISSING ID")</x:f>
        <x:v>Crafting component</x:v>
      </x:c>
      <x:c r="D239" s="4" t="str">
        <x:f>IFERROR(INDEX('Material routes'!$G$6:$G$2205,MATCH(U239,'Material routes'!$A$6:$A$2205,0)),"MISSING ID")</x:f>
        <x:v>Crafting components</x:v>
      </x:c>
      <x:c r="E239" s="4" t="str">
        <x:f>IFERROR(INDEX('Material routes'!$C$6:$C$2205,MATCH(U239,'Material routes'!$A$6:$A$2205,0)),"MISSING ID")</x:f>
        <x:v>Ingredient candidate</x:v>
      </x:c>
      <x:c r="F239" s="4" t="str">
        <x:f>IFERROR(INDEX('Material routes'!$E$6:$E$2205,MATCH(V239,'Material routes'!$A$6:$A$2205,0)),"MISSING ID")</x:f>
        <x:v>Screened radio chassis insert</x:v>
      </x:c>
      <x:c r="G239" s="4" t="str">
        <x:f>IFERROR(INDEX('Material routes'!$F$6:$F$2205,MATCH(V239,'Material routes'!$A$6:$A$2205,0)),"MISSING ID")</x:f>
        <x:v>T4</x:v>
      </x:c>
      <x:c r="H239" s="4" t="str">
        <x:f>IFERROR(INDEX('Material routes'!$H$6:$H$2205,MATCH(V239,'Material routes'!$A$6:$A$2205,0)),"MISSING ID")</x:f>
        <x:v>Crafting component</x:v>
      </x:c>
      <x:c r="I239" s="4" t="str">
        <x:f>IFERROR(INDEX('Material routes'!$G$6:$G$2205,MATCH(V239,'Material routes'!$A$6:$A$2205,0)),"MISSING ID")</x:f>
        <x:v>Crafting components</x:v>
      </x:c>
      <x:c r="J239" s="4" t="str">
        <x:f>IFERROR(INDEX('Material routes'!$B$6:$B$2205,MATCH(U239,'Material routes'!$A$6:$A$2205,0)),"MISSING ID")</x:f>
        <x:v>design.t4.screened_chassis</x:v>
      </x:c>
      <x:c r="K239" s="4" t="str">
        <x:f>IFERROR(INDEX('Crafting recipes'!$C$6:$C$1005,MATCH(J239,'Crafting recipes'!$A$6:$A$1005,0)),"MISSING ID")</x:f>
        <x:v>Material refinement</x:v>
      </x:c>
      <x:c r="L239" s="4" t="str">
        <x:f>IFERROR(INDEX('Material routes'!$K$6:$K$2205,MATCH(U239,'Material routes'!$A$6:$A$2205,0)),"MISSING ID")</x:f>
        <x:v>Proposal</x:v>
      </x:c>
      <x:c r="M239" s="4" t="str">
        <x:f>IFERROR(INDEX('Material routes'!$M$6:$M$2205,MATCH(U239,'Material routes'!$A$6:$A$2205,0)),"MISSING ID")</x:f>
        <x:v>Partial proposal</x:v>
      </x:c>
      <x:c r="N239" s="4" t="str">
        <x:f>IF(IFERROR(INDEX('Material routes'!$I$6:$I$1005,MATCH(U239,'Material routes'!$A$6:$A$1005,0)),"MISSING ID")=0,"",IFERROR(INDEX('Material routes'!$I$6:$I$1005,MATCH(U239,'Material routes'!$A$6:$A$1005,0)),"MISSING ID"))</x:f>
      </x:c>
      <x:c r="O239" s="4" t="str">
        <x:f>IFERROR(INDEX('Material routes'!$J$6:$J$2205,MATCH(U239,'Material routes'!$A$6:$A$2205,0)),"MISSING ID")</x:f>
        <x:v>Unspecified</x:v>
      </x:c>
      <x:c r="P239" s="4" t="str">
        <x:f>IF(IFERROR(INDEX('Material routes'!$I$6:$I$1005,MATCH(V239,'Material routes'!$A$6:$A$1005,0)),"MISSING ID")=0,"",IFERROR(INDEX('Material routes'!$I$6:$I$1005,MATCH(V239,'Material routes'!$A$6:$A$1005,0)),"MISSING ID"))</x:f>
      </x:c>
      <x:c r="Q239" s="4" t="str">
        <x:f>IFERROR(INDEX('Material routes'!$J$6:$J$2205,MATCH(V239,'Material routes'!$A$6:$A$2205,0)),"MISSING ID")</x:f>
        <x:v>Unspecified</x:v>
      </x:c>
      <x:c r="R239" s="4" t="str">
        <x:f>IF(L239="Withheld","Withheld premise",IF(E239="Tool candidate","Reusable prerequisite",IF(K239="Raw entry preparation","Entry-resource preparation",IF(G239="Not applicable",IF(IFERROR(INDEX('Items'!$AI$6:$AI$1005,MATCH(T239,'Items'!$A$6:$A$1005,0)),"MISSING ID")="Finished item","Finished endpoint",IF(IFERROR(INDEX('Items'!$AI$6:$AI$1005,MATCH(T239,'Items'!$A$6:$A$1005,0)),"MISSING ID")="Currency","Currency / no refinement tier","Recovered output / tier not applicable")),IF(OR(IFERROR(INDEX('Crafting recipes'!$H$6:$H$1005,MATCH(J239,'Crafting recipes'!$A$6:$A$1005,0)),"MISSING ID")="Unassigned",G239="Unassigned"),"Tier unresolved",IF(IFERROR(VALUE(RIGHT(G239,1))-VALUE(RIGHT(IFERROR(INDEX('Crafting recipes'!$H$6:$H$1005,MATCH(J239,'Crafting recipes'!$A$6:$A$1005,0)),"MISSING ID"),1)),0)=1,IF(B239=IFERROR(INDEX('Crafting recipes'!$H$6:$H$1005,MATCH(J239,'Crafting recipes'!$A$6:$A$1005,0)),"MISSING ID"),"Advances one material tier","Lower-tier ingredient; route advances one tier"),"Needs tier review"))))))</x:f>
        <x:v>Advances one material tier</x:v>
      </x:c>
      <x:c r="S239" s="4" t="str">
        <x:f>IFERROR(INDEX('Material routes'!$D$6:$D$2205,MATCH(U239,'Material routes'!$A$6:$A$2205,0)),"MISSING ID")</x:f>
        <x:v>proposal.t3.contact_mount</x:v>
      </x:c>
      <x:c r="T239" s="4" t="str">
        <x:f>IFERROR(INDEX('Material routes'!$D$6:$D$2205,MATCH(V239,'Material routes'!$A$6:$A$2205,0)),"MISSING ID")</x:f>
        <x:v>proposal.t4.screened_chassis</x:v>
      </x:c>
      <x:c r="U239" s="4" t="str">
        <x:v>design.t4.screened_chassis.in.2</x:v>
      </x:c>
      <x:c r="V239" s="4" t="str">
        <x:v>design.t4.screened_chassis.out</x:v>
      </x:c>
    </x:row>
    <x:row r="240" ht="115" customHeight="1">
      <x:c r="A240" s="4" t="str">
        <x:f>IFERROR(INDEX('Material routes'!$E$6:$E$2205,MATCH(U240,'Material routes'!$A$6:$A$2205,0)),"MISSING ID")</x:f>
        <x:v>Layered husk composite stock</x:v>
      </x:c>
      <x:c r="B240" s="4" t="str">
        <x:f>IFERROR(INDEX('Material routes'!$F$6:$F$2205,MATCH(U240,'Material routes'!$A$6:$A$2205,0)),"MISSING ID")</x:f>
        <x:v>T3</x:v>
      </x:c>
      <x:c r="C240" s="4" t="str">
        <x:f>IFERROR(INDEX('Material routes'!$H$6:$H$2205,MATCH(U240,'Material routes'!$A$6:$A$2205,0)),"MISSING ID")</x:f>
        <x:v>Processed material</x:v>
      </x:c>
      <x:c r="D240" s="4" t="str">
        <x:f>IFERROR(INDEX('Material routes'!$G$6:$G$2205,MATCH(U240,'Material routes'!$A$6:$A$2205,0)),"MISSING ID")</x:f>
        <x:v>Manufactured stock</x:v>
      </x:c>
      <x:c r="E240" s="4" t="str">
        <x:f>IFERROR(INDEX('Material routes'!$C$6:$C$2205,MATCH(U240,'Material routes'!$A$6:$A$2205,0)),"MISSING ID")</x:f>
        <x:v>Ingredient candidate</x:v>
      </x:c>
      <x:c r="F240" s="4" t="str">
        <x:f>IFERROR(INDEX('Material routes'!$E$6:$E$2205,MATCH(V240,'Material routes'!$A$6:$A$2205,0)),"MISSING ID")</x:f>
        <x:v>Screened radio chassis insert</x:v>
      </x:c>
      <x:c r="G240" s="4" t="str">
        <x:f>IFERROR(INDEX('Material routes'!$F$6:$F$2205,MATCH(V240,'Material routes'!$A$6:$A$2205,0)),"MISSING ID")</x:f>
        <x:v>T4</x:v>
      </x:c>
      <x:c r="H240" s="4" t="str">
        <x:f>IFERROR(INDEX('Material routes'!$H$6:$H$2205,MATCH(V240,'Material routes'!$A$6:$A$2205,0)),"MISSING ID")</x:f>
        <x:v>Crafting component</x:v>
      </x:c>
      <x:c r="I240" s="4" t="str">
        <x:f>IFERROR(INDEX('Material routes'!$G$6:$G$2205,MATCH(V240,'Material routes'!$A$6:$A$2205,0)),"MISSING ID")</x:f>
        <x:v>Crafting components</x:v>
      </x:c>
      <x:c r="J240" s="4" t="str">
        <x:f>IFERROR(INDEX('Material routes'!$B$6:$B$2205,MATCH(U240,'Material routes'!$A$6:$A$2205,0)),"MISSING ID")</x:f>
        <x:v>design.t4.screened_chassis</x:v>
      </x:c>
      <x:c r="K240" s="4" t="str">
        <x:f>IFERROR(INDEX('Crafting recipes'!$C$6:$C$1005,MATCH(J240,'Crafting recipes'!$A$6:$A$1005,0)),"MISSING ID")</x:f>
        <x:v>Material refinement</x:v>
      </x:c>
      <x:c r="L240" s="4" t="str">
        <x:f>IFERROR(INDEX('Material routes'!$K$6:$K$2205,MATCH(U240,'Material routes'!$A$6:$A$2205,0)),"MISSING ID")</x:f>
        <x:v>Proposal</x:v>
      </x:c>
      <x:c r="M240" s="4" t="str">
        <x:f>IFERROR(INDEX('Material routes'!$M$6:$M$2205,MATCH(U240,'Material routes'!$A$6:$A$2205,0)),"MISSING ID")</x:f>
        <x:v>Partial proposal</x:v>
      </x:c>
      <x:c r="N240" s="4" t="str">
        <x:f>IF(IFERROR(INDEX('Material routes'!$I$6:$I$1005,MATCH(U240,'Material routes'!$A$6:$A$1005,0)),"MISSING ID")=0,"",IFERROR(INDEX('Material routes'!$I$6:$I$1005,MATCH(U240,'Material routes'!$A$6:$A$1005,0)),"MISSING ID"))</x:f>
      </x:c>
      <x:c r="O240" s="4" t="str">
        <x:f>IFERROR(INDEX('Material routes'!$J$6:$J$2205,MATCH(U240,'Material routes'!$A$6:$A$2205,0)),"MISSING ID")</x:f>
        <x:v>Unspecified</x:v>
      </x:c>
      <x:c r="P240" s="4" t="str">
        <x:f>IF(IFERROR(INDEX('Material routes'!$I$6:$I$1005,MATCH(V240,'Material routes'!$A$6:$A$1005,0)),"MISSING ID")=0,"",IFERROR(INDEX('Material routes'!$I$6:$I$1005,MATCH(V240,'Material routes'!$A$6:$A$1005,0)),"MISSING ID"))</x:f>
      </x:c>
      <x:c r="Q240" s="4" t="str">
        <x:f>IFERROR(INDEX('Material routes'!$J$6:$J$2205,MATCH(V240,'Material routes'!$A$6:$A$2205,0)),"MISSING ID")</x:f>
        <x:v>Unspecified</x:v>
      </x:c>
      <x:c r="R240" s="4" t="str">
        <x:f>IF(L240="Withheld","Withheld premise",IF(E240="Tool candidate","Reusable prerequisite",IF(K240="Raw entry preparation","Entry-resource preparation",IF(G240="Not applicable",IF(IFERROR(INDEX('Items'!$AI$6:$AI$1005,MATCH(T240,'Items'!$A$6:$A$1005,0)),"MISSING ID")="Finished item","Finished endpoint",IF(IFERROR(INDEX('Items'!$AI$6:$AI$1005,MATCH(T240,'Items'!$A$6:$A$1005,0)),"MISSING ID")="Currency","Currency / no refinement tier","Recovered output / tier not applicable")),IF(OR(IFERROR(INDEX('Crafting recipes'!$H$6:$H$1005,MATCH(J240,'Crafting recipes'!$A$6:$A$1005,0)),"MISSING ID")="Unassigned",G240="Unassigned"),"Tier unresolved",IF(IFERROR(VALUE(RIGHT(G240,1))-VALUE(RIGHT(IFERROR(INDEX('Crafting recipes'!$H$6:$H$1005,MATCH(J240,'Crafting recipes'!$A$6:$A$1005,0)),"MISSING ID"),1)),0)=1,IF(B240=IFERROR(INDEX('Crafting recipes'!$H$6:$H$1005,MATCH(J240,'Crafting recipes'!$A$6:$A$1005,0)),"MISSING ID"),"Advances one material tier","Lower-tier ingredient; route advances one tier"),"Needs tier review"))))))</x:f>
        <x:v>Advances one material tier</x:v>
      </x:c>
      <x:c r="S240" s="4" t="str">
        <x:f>IFERROR(INDEX('Material routes'!$D$6:$D$2205,MATCH(U240,'Material routes'!$A$6:$A$2205,0)),"MISSING ID")</x:f>
        <x:v>proposal.branch.husk_composite</x:v>
      </x:c>
      <x:c r="T240" s="4" t="str">
        <x:f>IFERROR(INDEX('Material routes'!$D$6:$D$2205,MATCH(V240,'Material routes'!$A$6:$A$2205,0)),"MISSING ID")</x:f>
        <x:v>proposal.t4.screened_chassis</x:v>
      </x:c>
      <x:c r="U240" s="4" t="str">
        <x:v>design.t4.screened_chassis.in.3</x:v>
      </x:c>
      <x:c r="V240" s="4" t="str">
        <x:v>design.t4.screened_chassis.out</x:v>
      </x:c>
    </x:row>
    <x:row r="241" ht="115" customHeight="1">
      <x:c r="A241" s="4" t="str">
        <x:f>IFERROR(INDEX('Material routes'!$E$6:$E$2205,MATCH(U241,'Material routes'!$A$6:$A$2205,0)),"MISSING ID")</x:f>
        <x:v>Ceramic-metal feedthrough blanks</x:v>
      </x:c>
      <x:c r="B241" s="4" t="str">
        <x:f>IFERROR(INDEX('Material routes'!$F$6:$F$2205,MATCH(U241,'Material routes'!$A$6:$A$2205,0)),"MISSING ID")</x:f>
        <x:v>T3</x:v>
      </x:c>
      <x:c r="C241" s="4" t="str">
        <x:f>IFERROR(INDEX('Material routes'!$H$6:$H$2205,MATCH(U241,'Material routes'!$A$6:$A$2205,0)),"MISSING ID")</x:f>
        <x:v>Crafting component</x:v>
      </x:c>
      <x:c r="D241" s="4" t="str">
        <x:f>IFERROR(INDEX('Material routes'!$G$6:$G$2205,MATCH(U241,'Material routes'!$A$6:$A$2205,0)),"MISSING ID")</x:f>
        <x:v>Crafting components</x:v>
      </x:c>
      <x:c r="E241" s="4" t="str">
        <x:f>IFERROR(INDEX('Material routes'!$C$6:$C$2205,MATCH(U241,'Material routes'!$A$6:$A$2205,0)),"MISSING ID")</x:f>
        <x:v>Ingredient candidate</x:v>
      </x:c>
      <x:c r="F241" s="4" t="str">
        <x:f>IFERROR(INDEX('Material routes'!$E$6:$E$2205,MATCH(V241,'Material routes'!$A$6:$A$2205,0)),"MISSING ID")</x:f>
        <x:v>Sealed electrical bulkhead insert</x:v>
      </x:c>
      <x:c r="G241" s="4" t="str">
        <x:f>IFERROR(INDEX('Material routes'!$F$6:$F$2205,MATCH(V241,'Material routes'!$A$6:$A$2205,0)),"MISSING ID")</x:f>
        <x:v>T4</x:v>
      </x:c>
      <x:c r="H241" s="4" t="str">
        <x:f>IFERROR(INDEX('Material routes'!$H$6:$H$2205,MATCH(V241,'Material routes'!$A$6:$A$2205,0)),"MISSING ID")</x:f>
        <x:v>Crafting component</x:v>
      </x:c>
      <x:c r="I241" s="4" t="str">
        <x:f>IFERROR(INDEX('Material routes'!$G$6:$G$2205,MATCH(V241,'Material routes'!$A$6:$A$2205,0)),"MISSING ID")</x:f>
        <x:v>Crafting components</x:v>
      </x:c>
      <x:c r="J241" s="4" t="str">
        <x:f>IFERROR(INDEX('Material routes'!$B$6:$B$2205,MATCH(U241,'Material routes'!$A$6:$A$2205,0)),"MISSING ID")</x:f>
        <x:v>design.t4.electrical_bulkhead</x:v>
      </x:c>
      <x:c r="K241" s="4" t="str">
        <x:f>IFERROR(INDEX('Crafting recipes'!$C$6:$C$1005,MATCH(J241,'Crafting recipes'!$A$6:$A$1005,0)),"MISSING ID")</x:f>
        <x:v>Material refinement</x:v>
      </x:c>
      <x:c r="L241" s="4" t="str">
        <x:f>IFERROR(INDEX('Material routes'!$K$6:$K$2205,MATCH(U241,'Material routes'!$A$6:$A$2205,0)),"MISSING ID")</x:f>
        <x:v>Proposal</x:v>
      </x:c>
      <x:c r="M241" s="4" t="str">
        <x:f>IFERROR(INDEX('Material routes'!$M$6:$M$2205,MATCH(U241,'Material routes'!$A$6:$A$2205,0)),"MISSING ID")</x:f>
        <x:v>Partial proposal</x:v>
      </x:c>
      <x:c r="N241" s="4" t="str">
        <x:f>IF(IFERROR(INDEX('Material routes'!$I$6:$I$1005,MATCH(U241,'Material routes'!$A$6:$A$1005,0)),"MISSING ID")=0,"",IFERROR(INDEX('Material routes'!$I$6:$I$1005,MATCH(U241,'Material routes'!$A$6:$A$1005,0)),"MISSING ID"))</x:f>
      </x:c>
      <x:c r="O241" s="4" t="str">
        <x:f>IFERROR(INDEX('Material routes'!$J$6:$J$2205,MATCH(U241,'Material routes'!$A$6:$A$2205,0)),"MISSING ID")</x:f>
        <x:v>Unspecified</x:v>
      </x:c>
      <x:c r="P241" s="4" t="str">
        <x:f>IF(IFERROR(INDEX('Material routes'!$I$6:$I$1005,MATCH(V241,'Material routes'!$A$6:$A$1005,0)),"MISSING ID")=0,"",IFERROR(INDEX('Material routes'!$I$6:$I$1005,MATCH(V241,'Material routes'!$A$6:$A$1005,0)),"MISSING ID"))</x:f>
      </x:c>
      <x:c r="Q241" s="4" t="str">
        <x:f>IFERROR(INDEX('Material routes'!$J$6:$J$2205,MATCH(V241,'Material routes'!$A$6:$A$2205,0)),"MISSING ID")</x:f>
        <x:v>Unspecified</x:v>
      </x:c>
      <x:c r="R241" s="4" t="str">
        <x:f>IF(L241="Withheld","Withheld premise",IF(E241="Tool candidate","Reusable prerequisite",IF(K241="Raw entry preparation","Entry-resource preparation",IF(G241="Not applicable",IF(IFERROR(INDEX('Items'!$AI$6:$AI$1005,MATCH(T241,'Items'!$A$6:$A$1005,0)),"MISSING ID")="Finished item","Finished endpoint",IF(IFERROR(INDEX('Items'!$AI$6:$AI$1005,MATCH(T241,'Items'!$A$6:$A$1005,0)),"MISSING ID")="Currency","Currency / no refinement tier","Recovered output / tier not applicable")),IF(OR(IFERROR(INDEX('Crafting recipes'!$H$6:$H$1005,MATCH(J241,'Crafting recipes'!$A$6:$A$1005,0)),"MISSING ID")="Unassigned",G241="Unassigned"),"Tier unresolved",IF(IFERROR(VALUE(RIGHT(G241,1))-VALUE(RIGHT(IFERROR(INDEX('Crafting recipes'!$H$6:$H$1005,MATCH(J241,'Crafting recipes'!$A$6:$A$1005,0)),"MISSING ID"),1)),0)=1,IF(B241=IFERROR(INDEX('Crafting recipes'!$H$6:$H$1005,MATCH(J241,'Crafting recipes'!$A$6:$A$1005,0)),"MISSING ID"),"Advances one material tier","Lower-tier ingredient; route advances one tier"),"Needs tier review"))))))</x:f>
        <x:v>Advances one material tier</x:v>
      </x:c>
      <x:c r="S241" s="4" t="str">
        <x:f>IFERROR(INDEX('Material routes'!$D$6:$D$2205,MATCH(U241,'Material routes'!$A$6:$A$2205,0)),"MISSING ID")</x:f>
        <x:v>proposal.t3.feedthrough_blank</x:v>
      </x:c>
      <x:c r="T241" s="4" t="str">
        <x:f>IFERROR(INDEX('Material routes'!$D$6:$D$2205,MATCH(V241,'Material routes'!$A$6:$A$2205,0)),"MISSING ID")</x:f>
        <x:v>proposal.t4.electrical_bulkhead</x:v>
      </x:c>
      <x:c r="U241" s="4" t="str">
        <x:v>design.t4.electrical_bulkhead.in.1</x:v>
      </x:c>
      <x:c r="V241" s="4" t="str">
        <x:v>design.t4.electrical_bulkhead.out</x:v>
      </x:c>
    </x:row>
    <x:row r="242" ht="115" customHeight="1">
      <x:c r="A242" s="4" t="str">
        <x:f>IFERROR(INDEX('Material routes'!$E$6:$E$2205,MATCH(U242,'Material routes'!$A$6:$A$2205,0)),"MISSING ID")</x:f>
        <x:v>Fitted ceramic contact mounts</x:v>
      </x:c>
      <x:c r="B242" s="4" t="str">
        <x:f>IFERROR(INDEX('Material routes'!$F$6:$F$2205,MATCH(U242,'Material routes'!$A$6:$A$2205,0)),"MISSING ID")</x:f>
        <x:v>T3</x:v>
      </x:c>
      <x:c r="C242" s="4" t="str">
        <x:f>IFERROR(INDEX('Material routes'!$H$6:$H$2205,MATCH(U242,'Material routes'!$A$6:$A$2205,0)),"MISSING ID")</x:f>
        <x:v>Crafting component</x:v>
      </x:c>
      <x:c r="D242" s="4" t="str">
        <x:f>IFERROR(INDEX('Material routes'!$G$6:$G$2205,MATCH(U242,'Material routes'!$A$6:$A$2205,0)),"MISSING ID")</x:f>
        <x:v>Crafting components</x:v>
      </x:c>
      <x:c r="E242" s="4" t="str">
        <x:f>IFERROR(INDEX('Material routes'!$C$6:$C$2205,MATCH(U242,'Material routes'!$A$6:$A$2205,0)),"MISSING ID")</x:f>
        <x:v>Ingredient candidate</x:v>
      </x:c>
      <x:c r="F242" s="4" t="str">
        <x:f>IFERROR(INDEX('Material routes'!$E$6:$E$2205,MATCH(V242,'Material routes'!$A$6:$A$2205,0)),"MISSING ID")</x:f>
        <x:v>Sealed electrical bulkhead insert</x:v>
      </x:c>
      <x:c r="G242" s="4" t="str">
        <x:f>IFERROR(INDEX('Material routes'!$F$6:$F$2205,MATCH(V242,'Material routes'!$A$6:$A$2205,0)),"MISSING ID")</x:f>
        <x:v>T4</x:v>
      </x:c>
      <x:c r="H242" s="4" t="str">
        <x:f>IFERROR(INDEX('Material routes'!$H$6:$H$2205,MATCH(V242,'Material routes'!$A$6:$A$2205,0)),"MISSING ID")</x:f>
        <x:v>Crafting component</x:v>
      </x:c>
      <x:c r="I242" s="4" t="str">
        <x:f>IFERROR(INDEX('Material routes'!$G$6:$G$2205,MATCH(V242,'Material routes'!$A$6:$A$2205,0)),"MISSING ID")</x:f>
        <x:v>Crafting components</x:v>
      </x:c>
      <x:c r="J242" s="4" t="str">
        <x:f>IFERROR(INDEX('Material routes'!$B$6:$B$2205,MATCH(U242,'Material routes'!$A$6:$A$2205,0)),"MISSING ID")</x:f>
        <x:v>design.t4.electrical_bulkhead</x:v>
      </x:c>
      <x:c r="K242" s="4" t="str">
        <x:f>IFERROR(INDEX('Crafting recipes'!$C$6:$C$1005,MATCH(J242,'Crafting recipes'!$A$6:$A$1005,0)),"MISSING ID")</x:f>
        <x:v>Material refinement</x:v>
      </x:c>
      <x:c r="L242" s="4" t="str">
        <x:f>IFERROR(INDEX('Material routes'!$K$6:$K$2205,MATCH(U242,'Material routes'!$A$6:$A$2205,0)),"MISSING ID")</x:f>
        <x:v>Proposal</x:v>
      </x:c>
      <x:c r="M242" s="4" t="str">
        <x:f>IFERROR(INDEX('Material routes'!$M$6:$M$2205,MATCH(U242,'Material routes'!$A$6:$A$2205,0)),"MISSING ID")</x:f>
        <x:v>Partial proposal</x:v>
      </x:c>
      <x:c r="N242" s="4" t="str">
        <x:f>IF(IFERROR(INDEX('Material routes'!$I$6:$I$1005,MATCH(U242,'Material routes'!$A$6:$A$1005,0)),"MISSING ID")=0,"",IFERROR(INDEX('Material routes'!$I$6:$I$1005,MATCH(U242,'Material routes'!$A$6:$A$1005,0)),"MISSING ID"))</x:f>
      </x:c>
      <x:c r="O242" s="4" t="str">
        <x:f>IFERROR(INDEX('Material routes'!$J$6:$J$2205,MATCH(U242,'Material routes'!$A$6:$A$2205,0)),"MISSING ID")</x:f>
        <x:v>Unspecified</x:v>
      </x:c>
      <x:c r="P242" s="4" t="str">
        <x:f>IF(IFERROR(INDEX('Material routes'!$I$6:$I$1005,MATCH(V242,'Material routes'!$A$6:$A$1005,0)),"MISSING ID")=0,"",IFERROR(INDEX('Material routes'!$I$6:$I$1005,MATCH(V242,'Material routes'!$A$6:$A$1005,0)),"MISSING ID"))</x:f>
      </x:c>
      <x:c r="Q242" s="4" t="str">
        <x:f>IFERROR(INDEX('Material routes'!$J$6:$J$2205,MATCH(V242,'Material routes'!$A$6:$A$2205,0)),"MISSING ID")</x:f>
        <x:v>Unspecified</x:v>
      </x:c>
      <x:c r="R242" s="4" t="str">
        <x:f>IF(L242="Withheld","Withheld premise",IF(E242="Tool candidate","Reusable prerequisite",IF(K242="Raw entry preparation","Entry-resource preparation",IF(G242="Not applicable",IF(IFERROR(INDEX('Items'!$AI$6:$AI$1005,MATCH(T242,'Items'!$A$6:$A$1005,0)),"MISSING ID")="Finished item","Finished endpoint",IF(IFERROR(INDEX('Items'!$AI$6:$AI$1005,MATCH(T242,'Items'!$A$6:$A$1005,0)),"MISSING ID")="Currency","Currency / no refinement tier","Recovered output / tier not applicable")),IF(OR(IFERROR(INDEX('Crafting recipes'!$H$6:$H$1005,MATCH(J242,'Crafting recipes'!$A$6:$A$1005,0)),"MISSING ID")="Unassigned",G242="Unassigned"),"Tier unresolved",IF(IFERROR(VALUE(RIGHT(G242,1))-VALUE(RIGHT(IFERROR(INDEX('Crafting recipes'!$H$6:$H$1005,MATCH(J242,'Crafting recipes'!$A$6:$A$1005,0)),"MISSING ID"),1)),0)=1,IF(B242=IFERROR(INDEX('Crafting recipes'!$H$6:$H$1005,MATCH(J242,'Crafting recipes'!$A$6:$A$1005,0)),"MISSING ID"),"Advances one material tier","Lower-tier ingredient; route advances one tier"),"Needs tier review"))))))</x:f>
        <x:v>Advances one material tier</x:v>
      </x:c>
      <x:c r="S242" s="4" t="str">
        <x:f>IFERROR(INDEX('Material routes'!$D$6:$D$2205,MATCH(U242,'Material routes'!$A$6:$A$2205,0)),"MISSING ID")</x:f>
        <x:v>proposal.t3.contact_mount</x:v>
      </x:c>
      <x:c r="T242" s="4" t="str">
        <x:f>IFERROR(INDEX('Material routes'!$D$6:$D$2205,MATCH(V242,'Material routes'!$A$6:$A$2205,0)),"MISSING ID")</x:f>
        <x:v>proposal.t4.electrical_bulkhead</x:v>
      </x:c>
      <x:c r="U242" s="4" t="str">
        <x:v>design.t4.electrical_bulkhead.in.2</x:v>
      </x:c>
      <x:c r="V242" s="4" t="str">
        <x:v>design.t4.electrical_bulkhead.out</x:v>
      </x:c>
    </x:row>
    <x:row r="243" ht="115" customHeight="1">
      <x:c r="A243" s="4" t="str">
        <x:f>IFERROR(INDEX('Material routes'!$E$6:$E$2205,MATCH(U243,'Material routes'!$A$6:$A$2205,0)),"MISSING ID")</x:f>
        <x:v>Reinforced sealing sheet</x:v>
      </x:c>
      <x:c r="B243" s="4" t="str">
        <x:f>IFERROR(INDEX('Material routes'!$F$6:$F$2205,MATCH(U243,'Material routes'!$A$6:$A$2205,0)),"MISSING ID")</x:f>
        <x:v>T3</x:v>
      </x:c>
      <x:c r="C243" s="4" t="str">
        <x:f>IFERROR(INDEX('Material routes'!$H$6:$H$2205,MATCH(U243,'Material routes'!$A$6:$A$2205,0)),"MISSING ID")</x:f>
        <x:v>Processed material</x:v>
      </x:c>
      <x:c r="D243" s="4" t="str">
        <x:f>IFERROR(INDEX('Material routes'!$G$6:$G$2205,MATCH(U243,'Material routes'!$A$6:$A$2205,0)),"MISSING ID")</x:f>
        <x:v>Manufactured stock</x:v>
      </x:c>
      <x:c r="E243" s="4" t="str">
        <x:f>IFERROR(INDEX('Material routes'!$C$6:$C$2205,MATCH(U243,'Material routes'!$A$6:$A$2205,0)),"MISSING ID")</x:f>
        <x:v>Ingredient candidate</x:v>
      </x:c>
      <x:c r="F243" s="4" t="str">
        <x:f>IFERROR(INDEX('Material routes'!$E$6:$E$2205,MATCH(V243,'Material routes'!$A$6:$A$2205,0)),"MISSING ID")</x:f>
        <x:v>Sealed electrical bulkhead insert</x:v>
      </x:c>
      <x:c r="G243" s="4" t="str">
        <x:f>IFERROR(INDEX('Material routes'!$F$6:$F$2205,MATCH(V243,'Material routes'!$A$6:$A$2205,0)),"MISSING ID")</x:f>
        <x:v>T4</x:v>
      </x:c>
      <x:c r="H243" s="4" t="str">
        <x:f>IFERROR(INDEX('Material routes'!$H$6:$H$2205,MATCH(V243,'Material routes'!$A$6:$A$2205,0)),"MISSING ID")</x:f>
        <x:v>Crafting component</x:v>
      </x:c>
      <x:c r="I243" s="4" t="str">
        <x:f>IFERROR(INDEX('Material routes'!$G$6:$G$2205,MATCH(V243,'Material routes'!$A$6:$A$2205,0)),"MISSING ID")</x:f>
        <x:v>Crafting components</x:v>
      </x:c>
      <x:c r="J243" s="4" t="str">
        <x:f>IFERROR(INDEX('Material routes'!$B$6:$B$2205,MATCH(U243,'Material routes'!$A$6:$A$2205,0)),"MISSING ID")</x:f>
        <x:v>design.t4.electrical_bulkhead</x:v>
      </x:c>
      <x:c r="K243" s="4" t="str">
        <x:f>IFERROR(INDEX('Crafting recipes'!$C$6:$C$1005,MATCH(J243,'Crafting recipes'!$A$6:$A$1005,0)),"MISSING ID")</x:f>
        <x:v>Material refinement</x:v>
      </x:c>
      <x:c r="L243" s="4" t="str">
        <x:f>IFERROR(INDEX('Material routes'!$K$6:$K$2205,MATCH(U243,'Material routes'!$A$6:$A$2205,0)),"MISSING ID")</x:f>
        <x:v>Proposal</x:v>
      </x:c>
      <x:c r="M243" s="4" t="str">
        <x:f>IFERROR(INDEX('Material routes'!$M$6:$M$2205,MATCH(U243,'Material routes'!$A$6:$A$2205,0)),"MISSING ID")</x:f>
        <x:v>Partial proposal</x:v>
      </x:c>
      <x:c r="N243" s="4" t="str">
        <x:f>IF(IFERROR(INDEX('Material routes'!$I$6:$I$1005,MATCH(U243,'Material routes'!$A$6:$A$1005,0)),"MISSING ID")=0,"",IFERROR(INDEX('Material routes'!$I$6:$I$1005,MATCH(U243,'Material routes'!$A$6:$A$1005,0)),"MISSING ID"))</x:f>
      </x:c>
      <x:c r="O243" s="4" t="str">
        <x:f>IFERROR(INDEX('Material routes'!$J$6:$J$2205,MATCH(U243,'Material routes'!$A$6:$A$2205,0)),"MISSING ID")</x:f>
        <x:v>Unspecified</x:v>
      </x:c>
      <x:c r="P243" s="4" t="str">
        <x:f>IF(IFERROR(INDEX('Material routes'!$I$6:$I$1005,MATCH(V243,'Material routes'!$A$6:$A$1005,0)),"MISSING ID")=0,"",IFERROR(INDEX('Material routes'!$I$6:$I$1005,MATCH(V243,'Material routes'!$A$6:$A$1005,0)),"MISSING ID"))</x:f>
      </x:c>
      <x:c r="Q243" s="4" t="str">
        <x:f>IFERROR(INDEX('Material routes'!$J$6:$J$2205,MATCH(V243,'Material routes'!$A$6:$A$2205,0)),"MISSING ID")</x:f>
        <x:v>Unspecified</x:v>
      </x:c>
      <x:c r="R243" s="4" t="str">
        <x:f>IF(L243="Withheld","Withheld premise",IF(E243="Tool candidate","Reusable prerequisite",IF(K243="Raw entry preparation","Entry-resource preparation",IF(G243="Not applicable",IF(IFERROR(INDEX('Items'!$AI$6:$AI$1005,MATCH(T243,'Items'!$A$6:$A$1005,0)),"MISSING ID")="Finished item","Finished endpoint",IF(IFERROR(INDEX('Items'!$AI$6:$AI$1005,MATCH(T243,'Items'!$A$6:$A$1005,0)),"MISSING ID")="Currency","Currency / no refinement tier","Recovered output / tier not applicable")),IF(OR(IFERROR(INDEX('Crafting recipes'!$H$6:$H$1005,MATCH(J243,'Crafting recipes'!$A$6:$A$1005,0)),"MISSING ID")="Unassigned",G243="Unassigned"),"Tier unresolved",IF(IFERROR(VALUE(RIGHT(G243,1))-VALUE(RIGHT(IFERROR(INDEX('Crafting recipes'!$H$6:$H$1005,MATCH(J243,'Crafting recipes'!$A$6:$A$1005,0)),"MISSING ID"),1)),0)=1,IF(B243=IFERROR(INDEX('Crafting recipes'!$H$6:$H$1005,MATCH(J243,'Crafting recipes'!$A$6:$A$1005,0)),"MISSING ID"),"Advances one material tier","Lower-tier ingredient; route advances one tier"),"Needs tier review"))))))</x:f>
        <x:v>Advances one material tier</x:v>
      </x:c>
      <x:c r="S243" s="4" t="str">
        <x:f>IFERROR(INDEX('Material routes'!$D$6:$D$2205,MATCH(U243,'Material routes'!$A$6:$A$2205,0)),"MISSING ID")</x:f>
        <x:v>proposal.branch.sealing_sheet</x:v>
      </x:c>
      <x:c r="T243" s="4" t="str">
        <x:f>IFERROR(INDEX('Material routes'!$D$6:$D$2205,MATCH(V243,'Material routes'!$A$6:$A$2205,0)),"MISSING ID")</x:f>
        <x:v>proposal.t4.electrical_bulkhead</x:v>
      </x:c>
      <x:c r="U243" s="4" t="str">
        <x:v>design.t4.electrical_bulkhead.in.3</x:v>
      </x:c>
      <x:c r="V243" s="4" t="str">
        <x:v>design.t4.electrical_bulkhead.out</x:v>
      </x:c>
    </x:row>
    <x:row r="244" ht="115" customHeight="1">
      <x:c r="A244" s="4" t="str">
        <x:f>IFERROR(INDEX('Material routes'!$E$6:$E$2205,MATCH(U244,'Material routes'!$A$6:$A$2205,0)),"MISSING ID")</x:f>
        <x:v>Fitted ceramic contact mounts</x:v>
      </x:c>
      <x:c r="B244" s="4" t="str">
        <x:f>IFERROR(INDEX('Material routes'!$F$6:$F$2205,MATCH(U244,'Material routes'!$A$6:$A$2205,0)),"MISSING ID")</x:f>
        <x:v>T3</x:v>
      </x:c>
      <x:c r="C244" s="4" t="str">
        <x:f>IFERROR(INDEX('Material routes'!$H$6:$H$2205,MATCH(U244,'Material routes'!$A$6:$A$2205,0)),"MISSING ID")</x:f>
        <x:v>Crafting component</x:v>
      </x:c>
      <x:c r="D244" s="4" t="str">
        <x:f>IFERROR(INDEX('Material routes'!$G$6:$G$2205,MATCH(U244,'Material routes'!$A$6:$A$2205,0)),"MISSING ID")</x:f>
        <x:v>Crafting components</x:v>
      </x:c>
      <x:c r="E244" s="4" t="str">
        <x:f>IFERROR(INDEX('Material routes'!$C$6:$C$2205,MATCH(U244,'Material routes'!$A$6:$A$2205,0)),"MISSING ID")</x:f>
        <x:v>Ingredient candidate</x:v>
      </x:c>
      <x:c r="F244" s="4" t="str">
        <x:f>IFERROR(INDEX('Material routes'!$E$6:$E$2205,MATCH(V244,'Material routes'!$A$6:$A$2205,0)),"MISSING ID")</x:f>
        <x:v>Serviceable insulated contact block</x:v>
      </x:c>
      <x:c r="G244" s="4" t="str">
        <x:f>IFERROR(INDEX('Material routes'!$F$6:$F$2205,MATCH(V244,'Material routes'!$A$6:$A$2205,0)),"MISSING ID")</x:f>
        <x:v>T4</x:v>
      </x:c>
      <x:c r="H244" s="4" t="str">
        <x:f>IFERROR(INDEX('Material routes'!$H$6:$H$2205,MATCH(V244,'Material routes'!$A$6:$A$2205,0)),"MISSING ID")</x:f>
        <x:v>Crafting component</x:v>
      </x:c>
      <x:c r="I244" s="4" t="str">
        <x:f>IFERROR(INDEX('Material routes'!$G$6:$G$2205,MATCH(V244,'Material routes'!$A$6:$A$2205,0)),"MISSING ID")</x:f>
        <x:v>Crafting components</x:v>
      </x:c>
      <x:c r="J244" s="4" t="str">
        <x:f>IFERROR(INDEX('Material routes'!$B$6:$B$2205,MATCH(U244,'Material routes'!$A$6:$A$2205,0)),"MISSING ID")</x:f>
        <x:v>design.t4.contact_block</x:v>
      </x:c>
      <x:c r="K244" s="4" t="str">
        <x:f>IFERROR(INDEX('Crafting recipes'!$C$6:$C$1005,MATCH(J244,'Crafting recipes'!$A$6:$A$1005,0)),"MISSING ID")</x:f>
        <x:v>Material refinement</x:v>
      </x:c>
      <x:c r="L244" s="4" t="str">
        <x:f>IFERROR(INDEX('Material routes'!$K$6:$K$2205,MATCH(U244,'Material routes'!$A$6:$A$2205,0)),"MISSING ID")</x:f>
        <x:v>Proposal</x:v>
      </x:c>
      <x:c r="M244" s="4" t="str">
        <x:f>IFERROR(INDEX('Material routes'!$M$6:$M$2205,MATCH(U244,'Material routes'!$A$6:$A$2205,0)),"MISSING ID")</x:f>
        <x:v>Partial proposal</x:v>
      </x:c>
      <x:c r="N244" s="4" t="str">
        <x:f>IF(IFERROR(INDEX('Material routes'!$I$6:$I$1005,MATCH(U244,'Material routes'!$A$6:$A$1005,0)),"MISSING ID")=0,"",IFERROR(INDEX('Material routes'!$I$6:$I$1005,MATCH(U244,'Material routes'!$A$6:$A$1005,0)),"MISSING ID"))</x:f>
      </x:c>
      <x:c r="O244" s="4" t="str">
        <x:f>IFERROR(INDEX('Material routes'!$J$6:$J$2205,MATCH(U244,'Material routes'!$A$6:$A$2205,0)),"MISSING ID")</x:f>
        <x:v>Unspecified</x:v>
      </x:c>
      <x:c r="P244" s="4" t="str">
        <x:f>IF(IFERROR(INDEX('Material routes'!$I$6:$I$1005,MATCH(V244,'Material routes'!$A$6:$A$1005,0)),"MISSING ID")=0,"",IFERROR(INDEX('Material routes'!$I$6:$I$1005,MATCH(V244,'Material routes'!$A$6:$A$1005,0)),"MISSING ID"))</x:f>
      </x:c>
      <x:c r="Q244" s="4" t="str">
        <x:f>IFERROR(INDEX('Material routes'!$J$6:$J$2205,MATCH(V244,'Material routes'!$A$6:$A$2205,0)),"MISSING ID")</x:f>
        <x:v>Unspecified</x:v>
      </x:c>
      <x:c r="R244" s="4" t="str">
        <x:f>IF(L244="Withheld","Withheld premise",IF(E244="Tool candidate","Reusable prerequisite",IF(K244="Raw entry preparation","Entry-resource preparation",IF(G244="Not applicable",IF(IFERROR(INDEX('Items'!$AI$6:$AI$1005,MATCH(T244,'Items'!$A$6:$A$1005,0)),"MISSING ID")="Finished item","Finished endpoint",IF(IFERROR(INDEX('Items'!$AI$6:$AI$1005,MATCH(T244,'Items'!$A$6:$A$1005,0)),"MISSING ID")="Currency","Currency / no refinement tier","Recovered output / tier not applicable")),IF(OR(IFERROR(INDEX('Crafting recipes'!$H$6:$H$1005,MATCH(J244,'Crafting recipes'!$A$6:$A$1005,0)),"MISSING ID")="Unassigned",G244="Unassigned"),"Tier unresolved",IF(IFERROR(VALUE(RIGHT(G244,1))-VALUE(RIGHT(IFERROR(INDEX('Crafting recipes'!$H$6:$H$1005,MATCH(J244,'Crafting recipes'!$A$6:$A$1005,0)),"MISSING ID"),1)),0)=1,IF(B244=IFERROR(INDEX('Crafting recipes'!$H$6:$H$1005,MATCH(J244,'Crafting recipes'!$A$6:$A$1005,0)),"MISSING ID"),"Advances one material tier","Lower-tier ingredient; route advances one tier"),"Needs tier review"))))))</x:f>
        <x:v>Advances one material tier</x:v>
      </x:c>
      <x:c r="S244" s="4" t="str">
        <x:f>IFERROR(INDEX('Material routes'!$D$6:$D$2205,MATCH(U244,'Material routes'!$A$6:$A$2205,0)),"MISSING ID")</x:f>
        <x:v>proposal.t3.contact_mount</x:v>
      </x:c>
      <x:c r="T244" s="4" t="str">
        <x:f>IFERROR(INDEX('Material routes'!$D$6:$D$2205,MATCH(V244,'Material routes'!$A$6:$A$2205,0)),"MISSING ID")</x:f>
        <x:v>proposal.t4.contact_block</x:v>
      </x:c>
      <x:c r="U244" s="4" t="str">
        <x:v>design.t4.contact_block.in.1</x:v>
      </x:c>
      <x:c r="V244" s="4" t="str">
        <x:v>design.t4.contact_block.out</x:v>
      </x:c>
    </x:row>
    <x:row r="245" ht="115" customHeight="1">
      <x:c r="A245" s="4" t="str">
        <x:f>IFERROR(INDEX('Material routes'!$E$6:$E$2205,MATCH(U245,'Material routes'!$A$6:$A$2205,0)),"MISSING ID")</x:f>
        <x:v>Matched ceramic spacer sets</x:v>
      </x:c>
      <x:c r="B245" s="4" t="str">
        <x:f>IFERROR(INDEX('Material routes'!$F$6:$F$2205,MATCH(U245,'Material routes'!$A$6:$A$2205,0)),"MISSING ID")</x:f>
        <x:v>T3</x:v>
      </x:c>
      <x:c r="C245" s="4" t="str">
        <x:f>IFERROR(INDEX('Material routes'!$H$6:$H$2205,MATCH(U245,'Material routes'!$A$6:$A$2205,0)),"MISSING ID")</x:f>
        <x:v>Crafting component</x:v>
      </x:c>
      <x:c r="D245" s="4" t="str">
        <x:f>IFERROR(INDEX('Material routes'!$G$6:$G$2205,MATCH(U245,'Material routes'!$A$6:$A$2205,0)),"MISSING ID")</x:f>
        <x:v>Crafting components</x:v>
      </x:c>
      <x:c r="E245" s="4" t="str">
        <x:f>IFERROR(INDEX('Material routes'!$C$6:$C$2205,MATCH(U245,'Material routes'!$A$6:$A$2205,0)),"MISSING ID")</x:f>
        <x:v>Ingredient candidate</x:v>
      </x:c>
      <x:c r="F245" s="4" t="str">
        <x:f>IFERROR(INDEX('Material routes'!$E$6:$E$2205,MATCH(V245,'Material routes'!$A$6:$A$2205,0)),"MISSING ID")</x:f>
        <x:v>Serviceable insulated contact block</x:v>
      </x:c>
      <x:c r="G245" s="4" t="str">
        <x:f>IFERROR(INDEX('Material routes'!$F$6:$F$2205,MATCH(V245,'Material routes'!$A$6:$A$2205,0)),"MISSING ID")</x:f>
        <x:v>T4</x:v>
      </x:c>
      <x:c r="H245" s="4" t="str">
        <x:f>IFERROR(INDEX('Material routes'!$H$6:$H$2205,MATCH(V245,'Material routes'!$A$6:$A$2205,0)),"MISSING ID")</x:f>
        <x:v>Crafting component</x:v>
      </x:c>
      <x:c r="I245" s="4" t="str">
        <x:f>IFERROR(INDEX('Material routes'!$G$6:$G$2205,MATCH(V245,'Material routes'!$A$6:$A$2205,0)),"MISSING ID")</x:f>
        <x:v>Crafting components</x:v>
      </x:c>
      <x:c r="J245" s="4" t="str">
        <x:f>IFERROR(INDEX('Material routes'!$B$6:$B$2205,MATCH(U245,'Material routes'!$A$6:$A$2205,0)),"MISSING ID")</x:f>
        <x:v>design.t4.contact_block</x:v>
      </x:c>
      <x:c r="K245" s="4" t="str">
        <x:f>IFERROR(INDEX('Crafting recipes'!$C$6:$C$1005,MATCH(J245,'Crafting recipes'!$A$6:$A$1005,0)),"MISSING ID")</x:f>
        <x:v>Material refinement</x:v>
      </x:c>
      <x:c r="L245" s="4" t="str">
        <x:f>IFERROR(INDEX('Material routes'!$K$6:$K$2205,MATCH(U245,'Material routes'!$A$6:$A$2205,0)),"MISSING ID")</x:f>
        <x:v>Proposal</x:v>
      </x:c>
      <x:c r="M245" s="4" t="str">
        <x:f>IFERROR(INDEX('Material routes'!$M$6:$M$2205,MATCH(U245,'Material routes'!$A$6:$A$2205,0)),"MISSING ID")</x:f>
        <x:v>Partial proposal</x:v>
      </x:c>
      <x:c r="N245" s="4" t="str">
        <x:f>IF(IFERROR(INDEX('Material routes'!$I$6:$I$1005,MATCH(U245,'Material routes'!$A$6:$A$1005,0)),"MISSING ID")=0,"",IFERROR(INDEX('Material routes'!$I$6:$I$1005,MATCH(U245,'Material routes'!$A$6:$A$1005,0)),"MISSING ID"))</x:f>
      </x:c>
      <x:c r="O245" s="4" t="str">
        <x:f>IFERROR(INDEX('Material routes'!$J$6:$J$2205,MATCH(U245,'Material routes'!$A$6:$A$2205,0)),"MISSING ID")</x:f>
        <x:v>Unspecified</x:v>
      </x:c>
      <x:c r="P245" s="4" t="str">
        <x:f>IF(IFERROR(INDEX('Material routes'!$I$6:$I$1005,MATCH(V245,'Material routes'!$A$6:$A$1005,0)),"MISSING ID")=0,"",IFERROR(INDEX('Material routes'!$I$6:$I$1005,MATCH(V245,'Material routes'!$A$6:$A$1005,0)),"MISSING ID"))</x:f>
      </x:c>
      <x:c r="Q245" s="4" t="str">
        <x:f>IFERROR(INDEX('Material routes'!$J$6:$J$2205,MATCH(V245,'Material routes'!$A$6:$A$2205,0)),"MISSING ID")</x:f>
        <x:v>Unspecified</x:v>
      </x:c>
      <x:c r="R245" s="4" t="str">
        <x:f>IF(L245="Withheld","Withheld premise",IF(E245="Tool candidate","Reusable prerequisite",IF(K245="Raw entry preparation","Entry-resource preparation",IF(G245="Not applicable",IF(IFERROR(INDEX('Items'!$AI$6:$AI$1005,MATCH(T245,'Items'!$A$6:$A$1005,0)),"MISSING ID")="Finished item","Finished endpoint",IF(IFERROR(INDEX('Items'!$AI$6:$AI$1005,MATCH(T245,'Items'!$A$6:$A$1005,0)),"MISSING ID")="Currency","Currency / no refinement tier","Recovered output / tier not applicable")),IF(OR(IFERROR(INDEX('Crafting recipes'!$H$6:$H$1005,MATCH(J245,'Crafting recipes'!$A$6:$A$1005,0)),"MISSING ID")="Unassigned",G245="Unassigned"),"Tier unresolved",IF(IFERROR(VALUE(RIGHT(G245,1))-VALUE(RIGHT(IFERROR(INDEX('Crafting recipes'!$H$6:$H$1005,MATCH(J245,'Crafting recipes'!$A$6:$A$1005,0)),"MISSING ID"),1)),0)=1,IF(B245=IFERROR(INDEX('Crafting recipes'!$H$6:$H$1005,MATCH(J245,'Crafting recipes'!$A$6:$A$1005,0)),"MISSING ID"),"Advances one material tier","Lower-tier ingredient; route advances one tier"),"Needs tier review"))))))</x:f>
        <x:v>Advances one material tier</x:v>
      </x:c>
      <x:c r="S245" s="4" t="str">
        <x:f>IFERROR(INDEX('Material routes'!$D$6:$D$2205,MATCH(U245,'Material routes'!$A$6:$A$2205,0)),"MISSING ID")</x:f>
        <x:v>proposal.t3.spacer_set</x:v>
      </x:c>
      <x:c r="T245" s="4" t="str">
        <x:f>IFERROR(INDEX('Material routes'!$D$6:$D$2205,MATCH(V245,'Material routes'!$A$6:$A$2205,0)),"MISSING ID")</x:f>
        <x:v>proposal.t4.contact_block</x:v>
      </x:c>
      <x:c r="U245" s="4" t="str">
        <x:v>design.t4.contact_block.in.2</x:v>
      </x:c>
      <x:c r="V245" s="4" t="str">
        <x:v>design.t4.contact_block.out</x:v>
      </x:c>
    </x:row>
    <x:row r="246" ht="115" customHeight="1">
      <x:c r="A246" s="4" t="str">
        <x:f>IFERROR(INDEX('Material routes'!$E$6:$E$2205,MATCH(U246,'Material routes'!$A$6:$A$2205,0)),"MISSING ID")</x:f>
        <x:v>Insulated conductor stock</x:v>
      </x:c>
      <x:c r="B246" s="4" t="str">
        <x:f>IFERROR(INDEX('Material routes'!$F$6:$F$2205,MATCH(U246,'Material routes'!$A$6:$A$2205,0)),"MISSING ID")</x:f>
        <x:v>T3</x:v>
      </x:c>
      <x:c r="C246" s="4" t="str">
        <x:f>IFERROR(INDEX('Material routes'!$H$6:$H$2205,MATCH(U246,'Material routes'!$A$6:$A$2205,0)),"MISSING ID")</x:f>
        <x:v>Processed material</x:v>
      </x:c>
      <x:c r="D246" s="4" t="str">
        <x:f>IFERROR(INDEX('Material routes'!$G$6:$G$2205,MATCH(U246,'Material routes'!$A$6:$A$2205,0)),"MISSING ID")</x:f>
        <x:v>Manufactured stock</x:v>
      </x:c>
      <x:c r="E246" s="4" t="str">
        <x:f>IFERROR(INDEX('Material routes'!$C$6:$C$2205,MATCH(U246,'Material routes'!$A$6:$A$2205,0)),"MISSING ID")</x:f>
        <x:v>Ingredient candidate</x:v>
      </x:c>
      <x:c r="F246" s="4" t="str">
        <x:f>IFERROR(INDEX('Material routes'!$E$6:$E$2205,MATCH(V246,'Material routes'!$A$6:$A$2205,0)),"MISSING ID")</x:f>
        <x:v>Serviceable insulated contact block</x:v>
      </x:c>
      <x:c r="G246" s="4" t="str">
        <x:f>IFERROR(INDEX('Material routes'!$F$6:$F$2205,MATCH(V246,'Material routes'!$A$6:$A$2205,0)),"MISSING ID")</x:f>
        <x:v>T4</x:v>
      </x:c>
      <x:c r="H246" s="4" t="str">
        <x:f>IFERROR(INDEX('Material routes'!$H$6:$H$2205,MATCH(V246,'Material routes'!$A$6:$A$2205,0)),"MISSING ID")</x:f>
        <x:v>Crafting component</x:v>
      </x:c>
      <x:c r="I246" s="4" t="str">
        <x:f>IFERROR(INDEX('Material routes'!$G$6:$G$2205,MATCH(V246,'Material routes'!$A$6:$A$2205,0)),"MISSING ID")</x:f>
        <x:v>Crafting components</x:v>
      </x:c>
      <x:c r="J246" s="4" t="str">
        <x:f>IFERROR(INDEX('Material routes'!$B$6:$B$2205,MATCH(U246,'Material routes'!$A$6:$A$2205,0)),"MISSING ID")</x:f>
        <x:v>design.t4.contact_block</x:v>
      </x:c>
      <x:c r="K246" s="4" t="str">
        <x:f>IFERROR(INDEX('Crafting recipes'!$C$6:$C$1005,MATCH(J246,'Crafting recipes'!$A$6:$A$1005,0)),"MISSING ID")</x:f>
        <x:v>Material refinement</x:v>
      </x:c>
      <x:c r="L246" s="4" t="str">
        <x:f>IFERROR(INDEX('Material routes'!$K$6:$K$2205,MATCH(U246,'Material routes'!$A$6:$A$2205,0)),"MISSING ID")</x:f>
        <x:v>Proposal</x:v>
      </x:c>
      <x:c r="M246" s="4" t="str">
        <x:f>IFERROR(INDEX('Material routes'!$M$6:$M$2205,MATCH(U246,'Material routes'!$A$6:$A$2205,0)),"MISSING ID")</x:f>
        <x:v>Partial proposal</x:v>
      </x:c>
      <x:c r="N246" s="4" t="str">
        <x:f>IF(IFERROR(INDEX('Material routes'!$I$6:$I$1005,MATCH(U246,'Material routes'!$A$6:$A$1005,0)),"MISSING ID")=0,"",IFERROR(INDEX('Material routes'!$I$6:$I$1005,MATCH(U246,'Material routes'!$A$6:$A$1005,0)),"MISSING ID"))</x:f>
      </x:c>
      <x:c r="O246" s="4" t="str">
        <x:f>IFERROR(INDEX('Material routes'!$J$6:$J$2205,MATCH(U246,'Material routes'!$A$6:$A$2205,0)),"MISSING ID")</x:f>
        <x:v>Unspecified</x:v>
      </x:c>
      <x:c r="P246" s="4" t="str">
        <x:f>IF(IFERROR(INDEX('Material routes'!$I$6:$I$1005,MATCH(V246,'Material routes'!$A$6:$A$1005,0)),"MISSING ID")=0,"",IFERROR(INDEX('Material routes'!$I$6:$I$1005,MATCH(V246,'Material routes'!$A$6:$A$1005,0)),"MISSING ID"))</x:f>
      </x:c>
      <x:c r="Q246" s="4" t="str">
        <x:f>IFERROR(INDEX('Material routes'!$J$6:$J$2205,MATCH(V246,'Material routes'!$A$6:$A$2205,0)),"MISSING ID")</x:f>
        <x:v>Unspecified</x:v>
      </x:c>
      <x:c r="R246" s="4" t="str">
        <x:f>IF(L246="Withheld","Withheld premise",IF(E246="Tool candidate","Reusable prerequisite",IF(K246="Raw entry preparation","Entry-resource preparation",IF(G246="Not applicable",IF(IFERROR(INDEX('Items'!$AI$6:$AI$1005,MATCH(T246,'Items'!$A$6:$A$1005,0)),"MISSING ID")="Finished item","Finished endpoint",IF(IFERROR(INDEX('Items'!$AI$6:$AI$1005,MATCH(T246,'Items'!$A$6:$A$1005,0)),"MISSING ID")="Currency","Currency / no refinement tier","Recovered output / tier not applicable")),IF(OR(IFERROR(INDEX('Crafting recipes'!$H$6:$H$1005,MATCH(J246,'Crafting recipes'!$A$6:$A$1005,0)),"MISSING ID")="Unassigned",G246="Unassigned"),"Tier unresolved",IF(IFERROR(VALUE(RIGHT(G246,1))-VALUE(RIGHT(IFERROR(INDEX('Crafting recipes'!$H$6:$H$1005,MATCH(J246,'Crafting recipes'!$A$6:$A$1005,0)),"MISSING ID"),1)),0)=1,IF(B246=IFERROR(INDEX('Crafting recipes'!$H$6:$H$1005,MATCH(J246,'Crafting recipes'!$A$6:$A$1005,0)),"MISSING ID"),"Advances one material tier","Lower-tier ingredient; route advances one tier"),"Needs tier review"))))))</x:f>
        <x:v>Advances one material tier</x:v>
      </x:c>
      <x:c r="S246" s="4" t="str">
        <x:f>IFERROR(INDEX('Material routes'!$D$6:$D$2205,MATCH(U246,'Material routes'!$A$6:$A$2205,0)),"MISSING ID")</x:f>
        <x:v>proposal.branch.insulated_conductor</x:v>
      </x:c>
      <x:c r="T246" s="4" t="str">
        <x:f>IFERROR(INDEX('Material routes'!$D$6:$D$2205,MATCH(V246,'Material routes'!$A$6:$A$2205,0)),"MISSING ID")</x:f>
        <x:v>proposal.t4.contact_block</x:v>
      </x:c>
      <x:c r="U246" s="4" t="str">
        <x:v>design.t4.contact_block.in.3</x:v>
      </x:c>
      <x:c r="V246" s="4" t="str">
        <x:v>design.t4.contact_block.out</x:v>
      </x:c>
    </x:row>
    <x:row r="247" ht="115" customHeight="1">
      <x:c r="A247" s="4" t="str">
        <x:f>IFERROR(INDEX('Material routes'!$E$6:$E$2205,MATCH(U247,'Material routes'!$A$6:$A$2205,0)),"MISSING ID")</x:f>
        <x:v>Hinged shell-panel sets</x:v>
      </x:c>
      <x:c r="B247" s="4" t="str">
        <x:f>IFERROR(INDEX('Material routes'!$F$6:$F$2205,MATCH(U247,'Material routes'!$A$6:$A$2205,0)),"MISSING ID")</x:f>
        <x:v>T3</x:v>
      </x:c>
      <x:c r="C247" s="4" t="str">
        <x:f>IFERROR(INDEX('Material routes'!$H$6:$H$2205,MATCH(U247,'Material routes'!$A$6:$A$2205,0)),"MISSING ID")</x:f>
        <x:v>Crafting component</x:v>
      </x:c>
      <x:c r="D247" s="4" t="str">
        <x:f>IFERROR(INDEX('Material routes'!$G$6:$G$2205,MATCH(U247,'Material routes'!$A$6:$A$2205,0)),"MISSING ID")</x:f>
        <x:v>Crafting components</x:v>
      </x:c>
      <x:c r="E247" s="4" t="str">
        <x:f>IFERROR(INDEX('Material routes'!$C$6:$C$2205,MATCH(U247,'Material routes'!$A$6:$A$2205,0)),"MISSING ID")</x:f>
        <x:v>Ingredient candidate</x:v>
      </x:c>
      <x:c r="F247" s="4" t="str">
        <x:f>IFERROR(INDEX('Material routes'!$E$6:$E$2205,MATCH(V247,'Material routes'!$A$6:$A$2205,0)),"MISSING ID")</x:f>
        <x:v>Articulated guard-panel subassembly</x:v>
      </x:c>
      <x:c r="G247" s="4" t="str">
        <x:f>IFERROR(INDEX('Material routes'!$F$6:$F$2205,MATCH(V247,'Material routes'!$A$6:$A$2205,0)),"MISSING ID")</x:f>
        <x:v>T4</x:v>
      </x:c>
      <x:c r="H247" s="4" t="str">
        <x:f>IFERROR(INDEX('Material routes'!$H$6:$H$2205,MATCH(V247,'Material routes'!$A$6:$A$2205,0)),"MISSING ID")</x:f>
        <x:v>Crafting component</x:v>
      </x:c>
      <x:c r="I247" s="4" t="str">
        <x:f>IFERROR(INDEX('Material routes'!$G$6:$G$2205,MATCH(V247,'Material routes'!$A$6:$A$2205,0)),"MISSING ID")</x:f>
        <x:v>Crafting components</x:v>
      </x:c>
      <x:c r="J247" s="4" t="str">
        <x:f>IFERROR(INDEX('Material routes'!$B$6:$B$2205,MATCH(U247,'Material routes'!$A$6:$A$2205,0)),"MISSING ID")</x:f>
        <x:v>design.t4.articulated_guard</x:v>
      </x:c>
      <x:c r="K247" s="4" t="str">
        <x:f>IFERROR(INDEX('Crafting recipes'!$C$6:$C$1005,MATCH(J247,'Crafting recipes'!$A$6:$A$1005,0)),"MISSING ID")</x:f>
        <x:v>Material refinement</x:v>
      </x:c>
      <x:c r="L247" s="4" t="str">
        <x:f>IFERROR(INDEX('Material routes'!$K$6:$K$2205,MATCH(U247,'Material routes'!$A$6:$A$2205,0)),"MISSING ID")</x:f>
        <x:v>Proposal</x:v>
      </x:c>
      <x:c r="M247" s="4" t="str">
        <x:f>IFERROR(INDEX('Material routes'!$M$6:$M$2205,MATCH(U247,'Material routes'!$A$6:$A$2205,0)),"MISSING ID")</x:f>
        <x:v>Partial proposal</x:v>
      </x:c>
      <x:c r="N247" s="4" t="str">
        <x:f>IF(IFERROR(INDEX('Material routes'!$I$6:$I$1005,MATCH(U247,'Material routes'!$A$6:$A$1005,0)),"MISSING ID")=0,"",IFERROR(INDEX('Material routes'!$I$6:$I$1005,MATCH(U247,'Material routes'!$A$6:$A$1005,0)),"MISSING ID"))</x:f>
      </x:c>
      <x:c r="O247" s="4" t="str">
        <x:f>IFERROR(INDEX('Material routes'!$J$6:$J$2205,MATCH(U247,'Material routes'!$A$6:$A$2205,0)),"MISSING ID")</x:f>
        <x:v>Unspecified</x:v>
      </x:c>
      <x:c r="P247" s="4" t="str">
        <x:f>IF(IFERROR(INDEX('Material routes'!$I$6:$I$1005,MATCH(V247,'Material routes'!$A$6:$A$1005,0)),"MISSING ID")=0,"",IFERROR(INDEX('Material routes'!$I$6:$I$1005,MATCH(V247,'Material routes'!$A$6:$A$1005,0)),"MISSING ID"))</x:f>
      </x:c>
      <x:c r="Q247" s="4" t="str">
        <x:f>IFERROR(INDEX('Material routes'!$J$6:$J$2205,MATCH(V247,'Material routes'!$A$6:$A$2205,0)),"MISSING ID")</x:f>
        <x:v>Unspecified</x:v>
      </x:c>
      <x:c r="R247" s="4" t="str">
        <x:f>IF(L247="Withheld","Withheld premise",IF(E247="Tool candidate","Reusable prerequisite",IF(K247="Raw entry preparation","Entry-resource preparation",IF(G247="Not applicable",IF(IFERROR(INDEX('Items'!$AI$6:$AI$1005,MATCH(T247,'Items'!$A$6:$A$1005,0)),"MISSING ID")="Finished item","Finished endpoint",IF(IFERROR(INDEX('Items'!$AI$6:$AI$1005,MATCH(T247,'Items'!$A$6:$A$1005,0)),"MISSING ID")="Currency","Currency / no refinement tier","Recovered output / tier not applicable")),IF(OR(IFERROR(INDEX('Crafting recipes'!$H$6:$H$1005,MATCH(J247,'Crafting recipes'!$A$6:$A$1005,0)),"MISSING ID")="Unassigned",G247="Unassigned"),"Tier unresolved",IF(IFERROR(VALUE(RIGHT(G247,1))-VALUE(RIGHT(IFERROR(INDEX('Crafting recipes'!$H$6:$H$1005,MATCH(J247,'Crafting recipes'!$A$6:$A$1005,0)),"MISSING ID"),1)),0)=1,IF(B247=IFERROR(INDEX('Crafting recipes'!$H$6:$H$1005,MATCH(J247,'Crafting recipes'!$A$6:$A$1005,0)),"MISSING ID"),"Advances one material tier","Lower-tier ingredient; route advances one tier"),"Needs tier review"))))))</x:f>
        <x:v>Advances one material tier</x:v>
      </x:c>
      <x:c r="S247" s="4" t="str">
        <x:f>IFERROR(INDEX('Material routes'!$D$6:$D$2205,MATCH(U247,'Material routes'!$A$6:$A$2205,0)),"MISSING ID")</x:f>
        <x:v>proposal.t3.hinged_shell</x:v>
      </x:c>
      <x:c r="T247" s="4" t="str">
        <x:f>IFERROR(INDEX('Material routes'!$D$6:$D$2205,MATCH(V247,'Material routes'!$A$6:$A$2205,0)),"MISSING ID")</x:f>
        <x:v>proposal.t4.articulated_guard</x:v>
      </x:c>
      <x:c r="U247" s="4" t="str">
        <x:v>design.t4.articulated_guard.in.1</x:v>
      </x:c>
      <x:c r="V247" s="4" t="str">
        <x:v>design.t4.articulated_guard.out</x:v>
      </x:c>
    </x:row>
    <x:row r="248" ht="115" customHeight="1">
      <x:c r="A248" s="4" t="str">
        <x:f>IFERROR(INDEX('Material routes'!$E$6:$E$2205,MATCH(U248,'Material routes'!$A$6:$A$2205,0)),"MISSING ID")</x:f>
        <x:v>Steel-faced shell composite</x:v>
      </x:c>
      <x:c r="B248" s="4" t="str">
        <x:f>IFERROR(INDEX('Material routes'!$F$6:$F$2205,MATCH(U248,'Material routes'!$A$6:$A$2205,0)),"MISSING ID")</x:f>
        <x:v>T3</x:v>
      </x:c>
      <x:c r="C248" s="4" t="str">
        <x:f>IFERROR(INDEX('Material routes'!$H$6:$H$2205,MATCH(U248,'Material routes'!$A$6:$A$2205,0)),"MISSING ID")</x:f>
        <x:v>Processed material</x:v>
      </x:c>
      <x:c r="D248" s="4" t="str">
        <x:f>IFERROR(INDEX('Material routes'!$G$6:$G$2205,MATCH(U248,'Material routes'!$A$6:$A$2205,0)),"MISSING ID")</x:f>
        <x:v>Manufactured stock</x:v>
      </x:c>
      <x:c r="E248" s="4" t="str">
        <x:f>IFERROR(INDEX('Material routes'!$C$6:$C$2205,MATCH(U248,'Material routes'!$A$6:$A$2205,0)),"MISSING ID")</x:f>
        <x:v>Ingredient candidate</x:v>
      </x:c>
      <x:c r="F248" s="4" t="str">
        <x:f>IFERROR(INDEX('Material routes'!$E$6:$E$2205,MATCH(V248,'Material routes'!$A$6:$A$2205,0)),"MISSING ID")</x:f>
        <x:v>Articulated guard-panel subassembly</x:v>
      </x:c>
      <x:c r="G248" s="4" t="str">
        <x:f>IFERROR(INDEX('Material routes'!$F$6:$F$2205,MATCH(V248,'Material routes'!$A$6:$A$2205,0)),"MISSING ID")</x:f>
        <x:v>T4</x:v>
      </x:c>
      <x:c r="H248" s="4" t="str">
        <x:f>IFERROR(INDEX('Material routes'!$H$6:$H$2205,MATCH(V248,'Material routes'!$A$6:$A$2205,0)),"MISSING ID")</x:f>
        <x:v>Crafting component</x:v>
      </x:c>
      <x:c r="I248" s="4" t="str">
        <x:f>IFERROR(INDEX('Material routes'!$G$6:$G$2205,MATCH(V248,'Material routes'!$A$6:$A$2205,0)),"MISSING ID")</x:f>
        <x:v>Crafting components</x:v>
      </x:c>
      <x:c r="J248" s="4" t="str">
        <x:f>IFERROR(INDEX('Material routes'!$B$6:$B$2205,MATCH(U248,'Material routes'!$A$6:$A$2205,0)),"MISSING ID")</x:f>
        <x:v>design.t4.articulated_guard</x:v>
      </x:c>
      <x:c r="K248" s="4" t="str">
        <x:f>IFERROR(INDEX('Crafting recipes'!$C$6:$C$1005,MATCH(J248,'Crafting recipes'!$A$6:$A$1005,0)),"MISSING ID")</x:f>
        <x:v>Material refinement</x:v>
      </x:c>
      <x:c r="L248" s="4" t="str">
        <x:f>IFERROR(INDEX('Material routes'!$K$6:$K$2205,MATCH(U248,'Material routes'!$A$6:$A$2205,0)),"MISSING ID")</x:f>
        <x:v>Proposal</x:v>
      </x:c>
      <x:c r="M248" s="4" t="str">
        <x:f>IFERROR(INDEX('Material routes'!$M$6:$M$2205,MATCH(U248,'Material routes'!$A$6:$A$2205,0)),"MISSING ID")</x:f>
        <x:v>Partial proposal</x:v>
      </x:c>
      <x:c r="N248" s="4" t="str">
        <x:f>IF(IFERROR(INDEX('Material routes'!$I$6:$I$1005,MATCH(U248,'Material routes'!$A$6:$A$1005,0)),"MISSING ID")=0,"",IFERROR(INDEX('Material routes'!$I$6:$I$1005,MATCH(U248,'Material routes'!$A$6:$A$1005,0)),"MISSING ID"))</x:f>
      </x:c>
      <x:c r="O248" s="4" t="str">
        <x:f>IFERROR(INDEX('Material routes'!$J$6:$J$2205,MATCH(U248,'Material routes'!$A$6:$A$2205,0)),"MISSING ID")</x:f>
        <x:v>Unspecified</x:v>
      </x:c>
      <x:c r="P248" s="4" t="str">
        <x:f>IF(IFERROR(INDEX('Material routes'!$I$6:$I$1005,MATCH(V248,'Material routes'!$A$6:$A$1005,0)),"MISSING ID")=0,"",IFERROR(INDEX('Material routes'!$I$6:$I$1005,MATCH(V248,'Material routes'!$A$6:$A$1005,0)),"MISSING ID"))</x:f>
      </x:c>
      <x:c r="Q248" s="4" t="str">
        <x:f>IFERROR(INDEX('Material routes'!$J$6:$J$2205,MATCH(V248,'Material routes'!$A$6:$A$2205,0)),"MISSING ID")</x:f>
        <x:v>Unspecified</x:v>
      </x:c>
      <x:c r="R248" s="4" t="str">
        <x:f>IF(L248="Withheld","Withheld premise",IF(E248="Tool candidate","Reusable prerequisite",IF(K248="Raw entry preparation","Entry-resource preparation",IF(G248="Not applicable",IF(IFERROR(INDEX('Items'!$AI$6:$AI$1005,MATCH(T248,'Items'!$A$6:$A$1005,0)),"MISSING ID")="Finished item","Finished endpoint",IF(IFERROR(INDEX('Items'!$AI$6:$AI$1005,MATCH(T248,'Items'!$A$6:$A$1005,0)),"MISSING ID")="Currency","Currency / no refinement tier","Recovered output / tier not applicable")),IF(OR(IFERROR(INDEX('Crafting recipes'!$H$6:$H$1005,MATCH(J248,'Crafting recipes'!$A$6:$A$1005,0)),"MISSING ID")="Unassigned",G248="Unassigned"),"Tier unresolved",IF(IFERROR(VALUE(RIGHT(G248,1))-VALUE(RIGHT(IFERROR(INDEX('Crafting recipes'!$H$6:$H$1005,MATCH(J248,'Crafting recipes'!$A$6:$A$1005,0)),"MISSING ID"),1)),0)=1,IF(B248=IFERROR(INDEX('Crafting recipes'!$H$6:$H$1005,MATCH(J248,'Crafting recipes'!$A$6:$A$1005,0)),"MISSING ID"),"Advances one material tier","Lower-tier ingredient; route advances one tier"),"Needs tier review"))))))</x:f>
        <x:v>Advances one material tier</x:v>
      </x:c>
      <x:c r="S248" s="4" t="str">
        <x:f>IFERROR(INDEX('Material routes'!$D$6:$D$2205,MATCH(U248,'Material routes'!$A$6:$A$2205,0)),"MISSING ID")</x:f>
        <x:v>proposal.branch.steel_shell</x:v>
      </x:c>
      <x:c r="T248" s="4" t="str">
        <x:f>IFERROR(INDEX('Material routes'!$D$6:$D$2205,MATCH(V248,'Material routes'!$A$6:$A$2205,0)),"MISSING ID")</x:f>
        <x:v>proposal.t4.articulated_guard</x:v>
      </x:c>
      <x:c r="U248" s="4" t="str">
        <x:v>design.t4.articulated_guard.in.2</x:v>
      </x:c>
      <x:c r="V248" s="4" t="str">
        <x:v>design.t4.articulated_guard.out</x:v>
      </x:c>
    </x:row>
    <x:row r="249" ht="115" customHeight="1">
      <x:c r="A249" s="4" t="str">
        <x:f>IFERROR(INDEX('Material routes'!$E$6:$E$2205,MATCH(U249,'Material routes'!$A$6:$A$2205,0)),"MISSING ID")</x:f>
        <x:v>Spring-grade steel stock</x:v>
      </x:c>
      <x:c r="B249" s="4" t="str">
        <x:f>IFERROR(INDEX('Material routes'!$F$6:$F$2205,MATCH(U249,'Material routes'!$A$6:$A$2205,0)),"MISSING ID")</x:f>
        <x:v>T3</x:v>
      </x:c>
      <x:c r="C249" s="4" t="str">
        <x:f>IFERROR(INDEX('Material routes'!$H$6:$H$2205,MATCH(U249,'Material routes'!$A$6:$A$2205,0)),"MISSING ID")</x:f>
        <x:v>Processed material</x:v>
      </x:c>
      <x:c r="D249" s="4" t="str">
        <x:f>IFERROR(INDEX('Material routes'!$G$6:$G$2205,MATCH(U249,'Material routes'!$A$6:$A$2205,0)),"MISSING ID")</x:f>
        <x:v>Manufactured stock</x:v>
      </x:c>
      <x:c r="E249" s="4" t="str">
        <x:f>IFERROR(INDEX('Material routes'!$C$6:$C$2205,MATCH(U249,'Material routes'!$A$6:$A$2205,0)),"MISSING ID")</x:f>
        <x:v>Ingredient candidate</x:v>
      </x:c>
      <x:c r="F249" s="4" t="str">
        <x:f>IFERROR(INDEX('Material routes'!$E$6:$E$2205,MATCH(V249,'Material routes'!$A$6:$A$2205,0)),"MISSING ID")</x:f>
        <x:v>Articulated guard-panel subassembly</x:v>
      </x:c>
      <x:c r="G249" s="4" t="str">
        <x:f>IFERROR(INDEX('Material routes'!$F$6:$F$2205,MATCH(V249,'Material routes'!$A$6:$A$2205,0)),"MISSING ID")</x:f>
        <x:v>T4</x:v>
      </x:c>
      <x:c r="H249" s="4" t="str">
        <x:f>IFERROR(INDEX('Material routes'!$H$6:$H$2205,MATCH(V249,'Material routes'!$A$6:$A$2205,0)),"MISSING ID")</x:f>
        <x:v>Crafting component</x:v>
      </x:c>
      <x:c r="I249" s="4" t="str">
        <x:f>IFERROR(INDEX('Material routes'!$G$6:$G$2205,MATCH(V249,'Material routes'!$A$6:$A$2205,0)),"MISSING ID")</x:f>
        <x:v>Crafting components</x:v>
      </x:c>
      <x:c r="J249" s="4" t="str">
        <x:f>IFERROR(INDEX('Material routes'!$B$6:$B$2205,MATCH(U249,'Material routes'!$A$6:$A$2205,0)),"MISSING ID")</x:f>
        <x:v>design.t4.articulated_guard</x:v>
      </x:c>
      <x:c r="K249" s="4" t="str">
        <x:f>IFERROR(INDEX('Crafting recipes'!$C$6:$C$1005,MATCH(J249,'Crafting recipes'!$A$6:$A$1005,0)),"MISSING ID")</x:f>
        <x:v>Material refinement</x:v>
      </x:c>
      <x:c r="L249" s="4" t="str">
        <x:f>IFERROR(INDEX('Material routes'!$K$6:$K$2205,MATCH(U249,'Material routes'!$A$6:$A$2205,0)),"MISSING ID")</x:f>
        <x:v>Proposal</x:v>
      </x:c>
      <x:c r="M249" s="4" t="str">
        <x:f>IFERROR(INDEX('Material routes'!$M$6:$M$2205,MATCH(U249,'Material routes'!$A$6:$A$2205,0)),"MISSING ID")</x:f>
        <x:v>Partial proposal</x:v>
      </x:c>
      <x:c r="N249" s="4" t="str">
        <x:f>IF(IFERROR(INDEX('Material routes'!$I$6:$I$1005,MATCH(U249,'Material routes'!$A$6:$A$1005,0)),"MISSING ID")=0,"",IFERROR(INDEX('Material routes'!$I$6:$I$1005,MATCH(U249,'Material routes'!$A$6:$A$1005,0)),"MISSING ID"))</x:f>
      </x:c>
      <x:c r="O249" s="4" t="str">
        <x:f>IFERROR(INDEX('Material routes'!$J$6:$J$2205,MATCH(U249,'Material routes'!$A$6:$A$2205,0)),"MISSING ID")</x:f>
        <x:v>Unspecified</x:v>
      </x:c>
      <x:c r="P249" s="4" t="str">
        <x:f>IF(IFERROR(INDEX('Material routes'!$I$6:$I$1005,MATCH(V249,'Material routes'!$A$6:$A$1005,0)),"MISSING ID")=0,"",IFERROR(INDEX('Material routes'!$I$6:$I$1005,MATCH(V249,'Material routes'!$A$6:$A$1005,0)),"MISSING ID"))</x:f>
      </x:c>
      <x:c r="Q249" s="4" t="str">
        <x:f>IFERROR(INDEX('Material routes'!$J$6:$J$2205,MATCH(V249,'Material routes'!$A$6:$A$2205,0)),"MISSING ID")</x:f>
        <x:v>Unspecified</x:v>
      </x:c>
      <x:c r="R249" s="4" t="str">
        <x:f>IF(L249="Withheld","Withheld premise",IF(E249="Tool candidate","Reusable prerequisite",IF(K249="Raw entry preparation","Entry-resource preparation",IF(G249="Not applicable",IF(IFERROR(INDEX('Items'!$AI$6:$AI$1005,MATCH(T249,'Items'!$A$6:$A$1005,0)),"MISSING ID")="Finished item","Finished endpoint",IF(IFERROR(INDEX('Items'!$AI$6:$AI$1005,MATCH(T249,'Items'!$A$6:$A$1005,0)),"MISSING ID")="Currency","Currency / no refinement tier","Recovered output / tier not applicable")),IF(OR(IFERROR(INDEX('Crafting recipes'!$H$6:$H$1005,MATCH(J249,'Crafting recipes'!$A$6:$A$1005,0)),"MISSING ID")="Unassigned",G249="Unassigned"),"Tier unresolved",IF(IFERROR(VALUE(RIGHT(G249,1))-VALUE(RIGHT(IFERROR(INDEX('Crafting recipes'!$H$6:$H$1005,MATCH(J249,'Crafting recipes'!$A$6:$A$1005,0)),"MISSING ID"),1)),0)=1,IF(B249=IFERROR(INDEX('Crafting recipes'!$H$6:$H$1005,MATCH(J249,'Crafting recipes'!$A$6:$A$1005,0)),"MISSING ID"),"Advances one material tier","Lower-tier ingredient; route advances one tier"),"Needs tier review"))))))</x:f>
        <x:v>Advances one material tier</x:v>
      </x:c>
      <x:c r="S249" s="4" t="str">
        <x:f>IFERROR(INDEX('Material routes'!$D$6:$D$2205,MATCH(U249,'Material routes'!$A$6:$A$2205,0)),"MISSING ID")</x:f>
        <x:v>proposal.branch.spring_steel</x:v>
      </x:c>
      <x:c r="T249" s="4" t="str">
        <x:f>IFERROR(INDEX('Material routes'!$D$6:$D$2205,MATCH(V249,'Material routes'!$A$6:$A$2205,0)),"MISSING ID")</x:f>
        <x:v>proposal.t4.articulated_guard</x:v>
      </x:c>
      <x:c r="U249" s="4" t="str">
        <x:v>design.t4.articulated_guard.in.3</x:v>
      </x:c>
      <x:c r="V249" s="4" t="str">
        <x:v>design.t4.articulated_guard.out</x:v>
      </x:c>
    </x:row>
    <x:row r="250" ht="115" customHeight="1">
      <x:c r="A250" s="4" t="str">
        <x:f>IFERROR(INDEX('Material routes'!$E$6:$E$2205,MATCH(U250,'Material routes'!$A$6:$A$2205,0)),"MISSING ID")</x:f>
        <x:v>Faunal joint grease</x:v>
      </x:c>
      <x:c r="B250" s="4" t="str">
        <x:f>IFERROR(INDEX('Material routes'!$F$6:$F$2205,MATCH(U250,'Material routes'!$A$6:$A$2205,0)),"MISSING ID")</x:f>
        <x:v>T2</x:v>
      </x:c>
      <x:c r="C250" s="4" t="str">
        <x:f>IFERROR(INDEX('Material routes'!$H$6:$H$2205,MATCH(U250,'Material routes'!$A$6:$A$2205,0)),"MISSING ID")</x:f>
        <x:v>Chemical material</x:v>
      </x:c>
      <x:c r="D250" s="4" t="str">
        <x:f>IFERROR(INDEX('Material routes'!$G$6:$G$2205,MATCH(U250,'Material routes'!$A$6:$A$2205,0)),"MISSING ID")</x:f>
        <x:v>Crafting components</x:v>
      </x:c>
      <x:c r="E250" s="4" t="str">
        <x:f>IFERROR(INDEX('Material routes'!$C$6:$C$2205,MATCH(U250,'Material routes'!$A$6:$A$2205,0)),"MISSING ID")</x:f>
        <x:v>Ingredient candidate</x:v>
      </x:c>
      <x:c r="F250" s="4" t="str">
        <x:f>IFERROR(INDEX('Material routes'!$E$6:$E$2205,MATCH(V250,'Material routes'!$A$6:$A$2205,0)),"MISSING ID")</x:f>
        <x:v>Articulated guard-panel subassembly</x:v>
      </x:c>
      <x:c r="G250" s="4" t="str">
        <x:f>IFERROR(INDEX('Material routes'!$F$6:$F$2205,MATCH(V250,'Material routes'!$A$6:$A$2205,0)),"MISSING ID")</x:f>
        <x:v>T4</x:v>
      </x:c>
      <x:c r="H250" s="4" t="str">
        <x:f>IFERROR(INDEX('Material routes'!$H$6:$H$2205,MATCH(V250,'Material routes'!$A$6:$A$2205,0)),"MISSING ID")</x:f>
        <x:v>Crafting component</x:v>
      </x:c>
      <x:c r="I250" s="4" t="str">
        <x:f>IFERROR(INDEX('Material routes'!$G$6:$G$2205,MATCH(V250,'Material routes'!$A$6:$A$2205,0)),"MISSING ID")</x:f>
        <x:v>Crafting components</x:v>
      </x:c>
      <x:c r="J250" s="4" t="str">
        <x:f>IFERROR(INDEX('Material routes'!$B$6:$B$2205,MATCH(U250,'Material routes'!$A$6:$A$2205,0)),"MISSING ID")</x:f>
        <x:v>design.t4.articulated_guard</x:v>
      </x:c>
      <x:c r="K250" s="4" t="str">
        <x:f>IFERROR(INDEX('Crafting recipes'!$C$6:$C$1005,MATCH(J250,'Crafting recipes'!$A$6:$A$1005,0)),"MISSING ID")</x:f>
        <x:v>Material refinement</x:v>
      </x:c>
      <x:c r="L250" s="4" t="str">
        <x:f>IFERROR(INDEX('Material routes'!$K$6:$K$2205,MATCH(U250,'Material routes'!$A$6:$A$2205,0)),"MISSING ID")</x:f>
        <x:v>Proposal</x:v>
      </x:c>
      <x:c r="M250" s="4" t="str">
        <x:f>IFERROR(INDEX('Material routes'!$M$6:$M$2205,MATCH(U250,'Material routes'!$A$6:$A$2205,0)),"MISSING ID")</x:f>
        <x:v>Partial proposal</x:v>
      </x:c>
      <x:c r="N250" s="4" t="str">
        <x:f>IF(IFERROR(INDEX('Material routes'!$I$6:$I$1005,MATCH(U250,'Material routes'!$A$6:$A$1005,0)),"MISSING ID")=0,"",IFERROR(INDEX('Material routes'!$I$6:$I$1005,MATCH(U250,'Material routes'!$A$6:$A$1005,0)),"MISSING ID"))</x:f>
      </x:c>
      <x:c r="O250" s="4" t="str">
        <x:f>IFERROR(INDEX('Material routes'!$J$6:$J$2205,MATCH(U250,'Material routes'!$A$6:$A$2205,0)),"MISSING ID")</x:f>
        <x:v>Unspecified</x:v>
      </x:c>
      <x:c r="P250" s="4" t="str">
        <x:f>IF(IFERROR(INDEX('Material routes'!$I$6:$I$1005,MATCH(V250,'Material routes'!$A$6:$A$1005,0)),"MISSING ID")=0,"",IFERROR(INDEX('Material routes'!$I$6:$I$1005,MATCH(V250,'Material routes'!$A$6:$A$1005,0)),"MISSING ID"))</x:f>
      </x:c>
      <x:c r="Q250" s="4" t="str">
        <x:f>IFERROR(INDEX('Material routes'!$J$6:$J$2205,MATCH(V250,'Material routes'!$A$6:$A$2205,0)),"MISSING ID")</x:f>
        <x:v>Unspecified</x:v>
      </x:c>
      <x:c r="R250" s="4" t="str">
        <x:f>IF(L250="Withheld","Withheld premise",IF(E250="Tool candidate","Reusable prerequisite",IF(K250="Raw entry preparation","Entry-resource preparation",IF(G250="Not applicable",IF(IFERROR(INDEX('Items'!$AI$6:$AI$1005,MATCH(T250,'Items'!$A$6:$A$1005,0)),"MISSING ID")="Finished item","Finished endpoint",IF(IFERROR(INDEX('Items'!$AI$6:$AI$1005,MATCH(T250,'Items'!$A$6:$A$1005,0)),"MISSING ID")="Currency","Currency / no refinement tier","Recovered output / tier not applicable")),IF(OR(IFERROR(INDEX('Crafting recipes'!$H$6:$H$1005,MATCH(J250,'Crafting recipes'!$A$6:$A$1005,0)),"MISSING ID")="Unassigned",G250="Unassigned"),"Tier unresolved",IF(IFERROR(VALUE(RIGHT(G250,1))-VALUE(RIGHT(IFERROR(INDEX('Crafting recipes'!$H$6:$H$1005,MATCH(J250,'Crafting recipes'!$A$6:$A$1005,0)),"MISSING ID"),1)),0)=1,IF(B250=IFERROR(INDEX('Crafting recipes'!$H$6:$H$1005,MATCH(J250,'Crafting recipes'!$A$6:$A$1005,0)),"MISSING ID"),"Advances one material tier","Lower-tier ingredient; route advances one tier"),"Needs tier review"))))))</x:f>
        <x:v>Lower-tier ingredient; route advances one tier</x:v>
      </x:c>
      <x:c r="S250" s="4" t="str">
        <x:f>IFERROR(INDEX('Material routes'!$D$6:$D$2205,MATCH(U250,'Material routes'!$A$6:$A$2205,0)),"MISSING ID")</x:f>
        <x:v>proposal.lubricant.joint_grease</x:v>
      </x:c>
      <x:c r="T250" s="4" t="str">
        <x:f>IFERROR(INDEX('Material routes'!$D$6:$D$2205,MATCH(V250,'Material routes'!$A$6:$A$2205,0)),"MISSING ID")</x:f>
        <x:v>proposal.t4.articulated_guard</x:v>
      </x:c>
      <x:c r="U250" s="4" t="str">
        <x:v>design.t4.articulated_guard.in.4</x:v>
      </x:c>
      <x:c r="V250" s="4" t="str">
        <x:v>design.t4.articulated_guard.out</x:v>
      </x:c>
    </x:row>
    <x:row r="251" ht="115" customHeight="1">
      <x:c r="A251" s="4" t="str">
        <x:f>IFERROR(INDEX('Material routes'!$E$6:$E$2205,MATCH(U251,'Material routes'!$A$6:$A$2205,0)),"MISSING ID")</x:f>
        <x:v>Drawn steel tube stock</x:v>
      </x:c>
      <x:c r="B251" s="4" t="str">
        <x:f>IFERROR(INDEX('Material routes'!$F$6:$F$2205,MATCH(U251,'Material routes'!$A$6:$A$2205,0)),"MISSING ID")</x:f>
        <x:v>T3</x:v>
      </x:c>
      <x:c r="C251" s="4" t="str">
        <x:f>IFERROR(INDEX('Material routes'!$H$6:$H$2205,MATCH(U251,'Material routes'!$A$6:$A$2205,0)),"MISSING ID")</x:f>
        <x:v>Processed material</x:v>
      </x:c>
      <x:c r="D251" s="4" t="str">
        <x:f>IFERROR(INDEX('Material routes'!$G$6:$G$2205,MATCH(U251,'Material routes'!$A$6:$A$2205,0)),"MISSING ID")</x:f>
        <x:v>Manufactured stock</x:v>
      </x:c>
      <x:c r="E251" s="4" t="str">
        <x:f>IFERROR(INDEX('Material routes'!$C$6:$C$2205,MATCH(U251,'Material routes'!$A$6:$A$2205,0)),"MISSING ID")</x:f>
        <x:v>Ingredient candidate</x:v>
      </x:c>
      <x:c r="F251" s="4" t="str">
        <x:f>IFERROR(INDEX('Material routes'!$E$6:$E$2205,MATCH(V251,'Material routes'!$A$6:$A$2205,0)),"MISSING ID")</x:f>
        <x:v>Fitted canister valve-core assembly</x:v>
      </x:c>
      <x:c r="G251" s="4" t="str">
        <x:f>IFERROR(INDEX('Material routes'!$F$6:$F$2205,MATCH(V251,'Material routes'!$A$6:$A$2205,0)),"MISSING ID")</x:f>
        <x:v>T4</x:v>
      </x:c>
      <x:c r="H251" s="4" t="str">
        <x:f>IFERROR(INDEX('Material routes'!$H$6:$H$2205,MATCH(V251,'Material routes'!$A$6:$A$2205,0)),"MISSING ID")</x:f>
        <x:v>Crafting component</x:v>
      </x:c>
      <x:c r="I251" s="4" t="str">
        <x:f>IFERROR(INDEX('Material routes'!$G$6:$G$2205,MATCH(V251,'Material routes'!$A$6:$A$2205,0)),"MISSING ID")</x:f>
        <x:v>Crafting components</x:v>
      </x:c>
      <x:c r="J251" s="4" t="str">
        <x:f>IFERROR(INDEX('Material routes'!$B$6:$B$2205,MATCH(U251,'Material routes'!$A$6:$A$2205,0)),"MISSING ID")</x:f>
        <x:v>design.t4.valve_core</x:v>
      </x:c>
      <x:c r="K251" s="4" t="str">
        <x:f>IFERROR(INDEX('Crafting recipes'!$C$6:$C$1005,MATCH(J251,'Crafting recipes'!$A$6:$A$1005,0)),"MISSING ID")</x:f>
        <x:v>Material refinement</x:v>
      </x:c>
      <x:c r="L251" s="4" t="str">
        <x:f>IFERROR(INDEX('Material routes'!$K$6:$K$2205,MATCH(U251,'Material routes'!$A$6:$A$2205,0)),"MISSING ID")</x:f>
        <x:v>Proposal</x:v>
      </x:c>
      <x:c r="M251" s="4" t="str">
        <x:f>IFERROR(INDEX('Material routes'!$M$6:$M$2205,MATCH(U251,'Material routes'!$A$6:$A$2205,0)),"MISSING ID")</x:f>
        <x:v>Partial proposal</x:v>
      </x:c>
      <x:c r="N251" s="4" t="str">
        <x:f>IF(IFERROR(INDEX('Material routes'!$I$6:$I$1005,MATCH(U251,'Material routes'!$A$6:$A$1005,0)),"MISSING ID")=0,"",IFERROR(INDEX('Material routes'!$I$6:$I$1005,MATCH(U251,'Material routes'!$A$6:$A$1005,0)),"MISSING ID"))</x:f>
      </x:c>
      <x:c r="O251" s="4" t="str">
        <x:f>IFERROR(INDEX('Material routes'!$J$6:$J$2205,MATCH(U251,'Material routes'!$A$6:$A$2205,0)),"MISSING ID")</x:f>
        <x:v>Unspecified</x:v>
      </x:c>
      <x:c r="P251" s="4" t="str">
        <x:f>IF(IFERROR(INDEX('Material routes'!$I$6:$I$1005,MATCH(V251,'Material routes'!$A$6:$A$1005,0)),"MISSING ID")=0,"",IFERROR(INDEX('Material routes'!$I$6:$I$1005,MATCH(V251,'Material routes'!$A$6:$A$1005,0)),"MISSING ID"))</x:f>
      </x:c>
      <x:c r="Q251" s="4" t="str">
        <x:f>IFERROR(INDEX('Material routes'!$J$6:$J$2205,MATCH(V251,'Material routes'!$A$6:$A$2205,0)),"MISSING ID")</x:f>
        <x:v>Unspecified</x:v>
      </x:c>
      <x:c r="R251" s="4" t="str">
        <x:f>IF(L251="Withheld","Withheld premise",IF(E251="Tool candidate","Reusable prerequisite",IF(K251="Raw entry preparation","Entry-resource preparation",IF(G251="Not applicable",IF(IFERROR(INDEX('Items'!$AI$6:$AI$1005,MATCH(T251,'Items'!$A$6:$A$1005,0)),"MISSING ID")="Finished item","Finished endpoint",IF(IFERROR(INDEX('Items'!$AI$6:$AI$1005,MATCH(T251,'Items'!$A$6:$A$1005,0)),"MISSING ID")="Currency","Currency / no refinement tier","Recovered output / tier not applicable")),IF(OR(IFERROR(INDEX('Crafting recipes'!$H$6:$H$1005,MATCH(J251,'Crafting recipes'!$A$6:$A$1005,0)),"MISSING ID")="Unassigned",G251="Unassigned"),"Tier unresolved",IF(IFERROR(VALUE(RIGHT(G251,1))-VALUE(RIGHT(IFERROR(INDEX('Crafting recipes'!$H$6:$H$1005,MATCH(J251,'Crafting recipes'!$A$6:$A$1005,0)),"MISSING ID"),1)),0)=1,IF(B251=IFERROR(INDEX('Crafting recipes'!$H$6:$H$1005,MATCH(J251,'Crafting recipes'!$A$6:$A$1005,0)),"MISSING ID"),"Advances one material tier","Lower-tier ingredient; route advances one tier"),"Needs tier review"))))))</x:f>
        <x:v>Advances one material tier</x:v>
      </x:c>
      <x:c r="S251" s="4" t="str">
        <x:f>IFERROR(INDEX('Material routes'!$D$6:$D$2205,MATCH(U251,'Material routes'!$A$6:$A$2205,0)),"MISSING ID")</x:f>
        <x:v>proposal.t3.precision_tube</x:v>
      </x:c>
      <x:c r="T251" s="4" t="str">
        <x:f>IFERROR(INDEX('Material routes'!$D$6:$D$2205,MATCH(V251,'Material routes'!$A$6:$A$2205,0)),"MISSING ID")</x:f>
        <x:v>proposal.t4.valve_core</x:v>
      </x:c>
      <x:c r="U251" s="4" t="str">
        <x:v>design.t4.valve_core.in.1</x:v>
      </x:c>
      <x:c r="V251" s="4" t="str">
        <x:v>design.t4.valve_core.out</x:v>
      </x:c>
    </x:row>
    <x:row r="252" ht="115" customHeight="1">
      <x:c r="A252" s="4" t="str">
        <x:f>IFERROR(INDEX('Material routes'!$E$6:$E$2205,MATCH(U252,'Material routes'!$A$6:$A$2205,0)),"MISSING ID")</x:f>
        <x:v>Husk-reinforced packing stock</x:v>
      </x:c>
      <x:c r="B252" s="4" t="str">
        <x:f>IFERROR(INDEX('Material routes'!$F$6:$F$2205,MATCH(U252,'Material routes'!$A$6:$A$2205,0)),"MISSING ID")</x:f>
        <x:v>T3</x:v>
      </x:c>
      <x:c r="C252" s="4" t="str">
        <x:f>IFERROR(INDEX('Material routes'!$H$6:$H$2205,MATCH(U252,'Material routes'!$A$6:$A$2205,0)),"MISSING ID")</x:f>
        <x:v>Processed material</x:v>
      </x:c>
      <x:c r="D252" s="4" t="str">
        <x:f>IFERROR(INDEX('Material routes'!$G$6:$G$2205,MATCH(U252,'Material routes'!$A$6:$A$2205,0)),"MISSING ID")</x:f>
        <x:v>Manufactured stock</x:v>
      </x:c>
      <x:c r="E252" s="4" t="str">
        <x:f>IFERROR(INDEX('Material routes'!$C$6:$C$2205,MATCH(U252,'Material routes'!$A$6:$A$2205,0)),"MISSING ID")</x:f>
        <x:v>Ingredient candidate</x:v>
      </x:c>
      <x:c r="F252" s="4" t="str">
        <x:f>IFERROR(INDEX('Material routes'!$E$6:$E$2205,MATCH(V252,'Material routes'!$A$6:$A$2205,0)),"MISSING ID")</x:f>
        <x:v>Fitted canister valve-core assembly</x:v>
      </x:c>
      <x:c r="G252" s="4" t="str">
        <x:f>IFERROR(INDEX('Material routes'!$F$6:$F$2205,MATCH(V252,'Material routes'!$A$6:$A$2205,0)),"MISSING ID")</x:f>
        <x:v>T4</x:v>
      </x:c>
      <x:c r="H252" s="4" t="str">
        <x:f>IFERROR(INDEX('Material routes'!$H$6:$H$2205,MATCH(V252,'Material routes'!$A$6:$A$2205,0)),"MISSING ID")</x:f>
        <x:v>Crafting component</x:v>
      </x:c>
      <x:c r="I252" s="4" t="str">
        <x:f>IFERROR(INDEX('Material routes'!$G$6:$G$2205,MATCH(V252,'Material routes'!$A$6:$A$2205,0)),"MISSING ID")</x:f>
        <x:v>Crafting components</x:v>
      </x:c>
      <x:c r="J252" s="4" t="str">
        <x:f>IFERROR(INDEX('Material routes'!$B$6:$B$2205,MATCH(U252,'Material routes'!$A$6:$A$2205,0)),"MISSING ID")</x:f>
        <x:v>design.t4.valve_core</x:v>
      </x:c>
      <x:c r="K252" s="4" t="str">
        <x:f>IFERROR(INDEX('Crafting recipes'!$C$6:$C$1005,MATCH(J252,'Crafting recipes'!$A$6:$A$1005,0)),"MISSING ID")</x:f>
        <x:v>Material refinement</x:v>
      </x:c>
      <x:c r="L252" s="4" t="str">
        <x:f>IFERROR(INDEX('Material routes'!$K$6:$K$2205,MATCH(U252,'Material routes'!$A$6:$A$2205,0)),"MISSING ID")</x:f>
        <x:v>Proposal</x:v>
      </x:c>
      <x:c r="M252" s="4" t="str">
        <x:f>IFERROR(INDEX('Material routes'!$M$6:$M$2205,MATCH(U252,'Material routes'!$A$6:$A$2205,0)),"MISSING ID")</x:f>
        <x:v>Partial proposal</x:v>
      </x:c>
      <x:c r="N252" s="4" t="str">
        <x:f>IF(IFERROR(INDEX('Material routes'!$I$6:$I$1005,MATCH(U252,'Material routes'!$A$6:$A$1005,0)),"MISSING ID")=0,"",IFERROR(INDEX('Material routes'!$I$6:$I$1005,MATCH(U252,'Material routes'!$A$6:$A$1005,0)),"MISSING ID"))</x:f>
      </x:c>
      <x:c r="O252" s="4" t="str">
        <x:f>IFERROR(INDEX('Material routes'!$J$6:$J$2205,MATCH(U252,'Material routes'!$A$6:$A$2205,0)),"MISSING ID")</x:f>
        <x:v>Unspecified</x:v>
      </x:c>
      <x:c r="P252" s="4" t="str">
        <x:f>IF(IFERROR(INDEX('Material routes'!$I$6:$I$1005,MATCH(V252,'Material routes'!$A$6:$A$1005,0)),"MISSING ID")=0,"",IFERROR(INDEX('Material routes'!$I$6:$I$1005,MATCH(V252,'Material routes'!$A$6:$A$1005,0)),"MISSING ID"))</x:f>
      </x:c>
      <x:c r="Q252" s="4" t="str">
        <x:f>IFERROR(INDEX('Material routes'!$J$6:$J$2205,MATCH(V252,'Material routes'!$A$6:$A$2205,0)),"MISSING ID")</x:f>
        <x:v>Unspecified</x:v>
      </x:c>
      <x:c r="R252" s="4" t="str">
        <x:f>IF(L252="Withheld","Withheld premise",IF(E252="Tool candidate","Reusable prerequisite",IF(K252="Raw entry preparation","Entry-resource preparation",IF(G252="Not applicable",IF(IFERROR(INDEX('Items'!$AI$6:$AI$1005,MATCH(T252,'Items'!$A$6:$A$1005,0)),"MISSING ID")="Finished item","Finished endpoint",IF(IFERROR(INDEX('Items'!$AI$6:$AI$1005,MATCH(T252,'Items'!$A$6:$A$1005,0)),"MISSING ID")="Currency","Currency / no refinement tier","Recovered output / tier not applicable")),IF(OR(IFERROR(INDEX('Crafting recipes'!$H$6:$H$1005,MATCH(J252,'Crafting recipes'!$A$6:$A$1005,0)),"MISSING ID")="Unassigned",G252="Unassigned"),"Tier unresolved",IF(IFERROR(VALUE(RIGHT(G252,1))-VALUE(RIGHT(IFERROR(INDEX('Crafting recipes'!$H$6:$H$1005,MATCH(J252,'Crafting recipes'!$A$6:$A$1005,0)),"MISSING ID"),1)),0)=1,IF(B252=IFERROR(INDEX('Crafting recipes'!$H$6:$H$1005,MATCH(J252,'Crafting recipes'!$A$6:$A$1005,0)),"MISSING ID"),"Advances one material tier","Lower-tier ingredient; route advances one tier"),"Needs tier review"))))))</x:f>
        <x:v>Advances one material tier</x:v>
      </x:c>
      <x:c r="S252" s="4" t="str">
        <x:f>IFERROR(INDEX('Material routes'!$D$6:$D$2205,MATCH(U252,'Material routes'!$A$6:$A$2205,0)),"MISSING ID")</x:f>
        <x:v>proposal.t3.packing_stock</x:v>
      </x:c>
      <x:c r="T252" s="4" t="str">
        <x:f>IFERROR(INDEX('Material routes'!$D$6:$D$2205,MATCH(V252,'Material routes'!$A$6:$A$2205,0)),"MISSING ID")</x:f>
        <x:v>proposal.t4.valve_core</x:v>
      </x:c>
      <x:c r="U252" s="4" t="str">
        <x:v>design.t4.valve_core.in.2</x:v>
      </x:c>
      <x:c r="V252" s="4" t="str">
        <x:v>design.t4.valve_core.out</x:v>
      </x:c>
    </x:row>
    <x:row r="253" ht="115" customHeight="1">
      <x:c r="A253" s="4" t="str">
        <x:f>IFERROR(INDEX('Material routes'!$E$6:$E$2205,MATCH(U253,'Material routes'!$A$6:$A$2205,0)),"MISSING ID")</x:f>
        <x:v>Conditioned mechanism-service grease</x:v>
      </x:c>
      <x:c r="B253" s="4" t="str">
        <x:f>IFERROR(INDEX('Material routes'!$F$6:$F$2205,MATCH(U253,'Material routes'!$A$6:$A$2205,0)),"MISSING ID")</x:f>
        <x:v>T3</x:v>
      </x:c>
      <x:c r="C253" s="4" t="str">
        <x:f>IFERROR(INDEX('Material routes'!$H$6:$H$2205,MATCH(U253,'Material routes'!$A$6:$A$2205,0)),"MISSING ID")</x:f>
        <x:v>Chemical material</x:v>
      </x:c>
      <x:c r="D253" s="4" t="str">
        <x:f>IFERROR(INDEX('Material routes'!$G$6:$G$2205,MATCH(U253,'Material routes'!$A$6:$A$2205,0)),"MISSING ID")</x:f>
        <x:v>Crafting components</x:v>
      </x:c>
      <x:c r="E253" s="4" t="str">
        <x:f>IFERROR(INDEX('Material routes'!$C$6:$C$2205,MATCH(U253,'Material routes'!$A$6:$A$2205,0)),"MISSING ID")</x:f>
        <x:v>Ingredient candidate</x:v>
      </x:c>
      <x:c r="F253" s="4" t="str">
        <x:f>IFERROR(INDEX('Material routes'!$E$6:$E$2205,MATCH(V253,'Material routes'!$A$6:$A$2205,0)),"MISSING ID")</x:f>
        <x:v>Fitted canister valve-core assembly</x:v>
      </x:c>
      <x:c r="G253" s="4" t="str">
        <x:f>IFERROR(INDEX('Material routes'!$F$6:$F$2205,MATCH(V253,'Material routes'!$A$6:$A$2205,0)),"MISSING ID")</x:f>
        <x:v>T4</x:v>
      </x:c>
      <x:c r="H253" s="4" t="str">
        <x:f>IFERROR(INDEX('Material routes'!$H$6:$H$2205,MATCH(V253,'Material routes'!$A$6:$A$2205,0)),"MISSING ID")</x:f>
        <x:v>Crafting component</x:v>
      </x:c>
      <x:c r="I253" s="4" t="str">
        <x:f>IFERROR(INDEX('Material routes'!$G$6:$G$2205,MATCH(V253,'Material routes'!$A$6:$A$2205,0)),"MISSING ID")</x:f>
        <x:v>Crafting components</x:v>
      </x:c>
      <x:c r="J253" s="4" t="str">
        <x:f>IFERROR(INDEX('Material routes'!$B$6:$B$2205,MATCH(U253,'Material routes'!$A$6:$A$2205,0)),"MISSING ID")</x:f>
        <x:v>design.t4.valve_core</x:v>
      </x:c>
      <x:c r="K253" s="4" t="str">
        <x:f>IFERROR(INDEX('Crafting recipes'!$C$6:$C$1005,MATCH(J253,'Crafting recipes'!$A$6:$A$1005,0)),"MISSING ID")</x:f>
        <x:v>Material refinement</x:v>
      </x:c>
      <x:c r="L253" s="4" t="str">
        <x:f>IFERROR(INDEX('Material routes'!$K$6:$K$2205,MATCH(U253,'Material routes'!$A$6:$A$2205,0)),"MISSING ID")</x:f>
        <x:v>Proposal</x:v>
      </x:c>
      <x:c r="M253" s="4" t="str">
        <x:f>IFERROR(INDEX('Material routes'!$M$6:$M$2205,MATCH(U253,'Material routes'!$A$6:$A$2205,0)),"MISSING ID")</x:f>
        <x:v>Partial proposal</x:v>
      </x:c>
      <x:c r="N253" s="4" t="str">
        <x:f>IF(IFERROR(INDEX('Material routes'!$I$6:$I$1005,MATCH(U253,'Material routes'!$A$6:$A$1005,0)),"MISSING ID")=0,"",IFERROR(INDEX('Material routes'!$I$6:$I$1005,MATCH(U253,'Material routes'!$A$6:$A$1005,0)),"MISSING ID"))</x:f>
      </x:c>
      <x:c r="O253" s="4" t="str">
        <x:f>IFERROR(INDEX('Material routes'!$J$6:$J$2205,MATCH(U253,'Material routes'!$A$6:$A$2205,0)),"MISSING ID")</x:f>
        <x:v>Unspecified</x:v>
      </x:c>
      <x:c r="P253" s="4" t="str">
        <x:f>IF(IFERROR(INDEX('Material routes'!$I$6:$I$1005,MATCH(V253,'Material routes'!$A$6:$A$1005,0)),"MISSING ID")=0,"",IFERROR(INDEX('Material routes'!$I$6:$I$1005,MATCH(V253,'Material routes'!$A$6:$A$1005,0)),"MISSING ID"))</x:f>
      </x:c>
      <x:c r="Q253" s="4" t="str">
        <x:f>IFERROR(INDEX('Material routes'!$J$6:$J$2205,MATCH(V253,'Material routes'!$A$6:$A$2205,0)),"MISSING ID")</x:f>
        <x:v>Unspecified</x:v>
      </x:c>
      <x:c r="R253" s="4" t="str">
        <x:f>IF(L253="Withheld","Withheld premise",IF(E253="Tool candidate","Reusable prerequisite",IF(K253="Raw entry preparation","Entry-resource preparation",IF(G253="Not applicable",IF(IFERROR(INDEX('Items'!$AI$6:$AI$1005,MATCH(T253,'Items'!$A$6:$A$1005,0)),"MISSING ID")="Finished item","Finished endpoint",IF(IFERROR(INDEX('Items'!$AI$6:$AI$1005,MATCH(T253,'Items'!$A$6:$A$1005,0)),"MISSING ID")="Currency","Currency / no refinement tier","Recovered output / tier not applicable")),IF(OR(IFERROR(INDEX('Crafting recipes'!$H$6:$H$1005,MATCH(J253,'Crafting recipes'!$A$6:$A$1005,0)),"MISSING ID")="Unassigned",G253="Unassigned"),"Tier unresolved",IF(IFERROR(VALUE(RIGHT(G253,1))-VALUE(RIGHT(IFERROR(INDEX('Crafting recipes'!$H$6:$H$1005,MATCH(J253,'Crafting recipes'!$A$6:$A$1005,0)),"MISSING ID"),1)),0)=1,IF(B253=IFERROR(INDEX('Crafting recipes'!$H$6:$H$1005,MATCH(J253,'Crafting recipes'!$A$6:$A$1005,0)),"MISSING ID"),"Advances one material tier","Lower-tier ingredient; route advances one tier"),"Needs tier review"))))))</x:f>
        <x:v>Advances one material tier</x:v>
      </x:c>
      <x:c r="S253" s="4" t="str">
        <x:f>IFERROR(INDEX('Material routes'!$D$6:$D$2205,MATCH(U253,'Material routes'!$A$6:$A$2205,0)),"MISSING ID")</x:f>
        <x:v>proposal.t3.service_grease</x:v>
      </x:c>
      <x:c r="T253" s="4" t="str">
        <x:f>IFERROR(INDEX('Material routes'!$D$6:$D$2205,MATCH(V253,'Material routes'!$A$6:$A$2205,0)),"MISSING ID")</x:f>
        <x:v>proposal.t4.valve_core</x:v>
      </x:c>
      <x:c r="U253" s="4" t="str">
        <x:v>design.t4.valve_core.in.3</x:v>
      </x:c>
      <x:c r="V253" s="4" t="str">
        <x:v>design.t4.valve_core.out</x:v>
      </x:c>
    </x:row>
    <x:row r="254" ht="115" customHeight="1">
      <x:c r="A254" s="4" t="str">
        <x:f>IFERROR(INDEX('Material routes'!$E$6:$E$2205,MATCH(U254,'Material routes'!$A$6:$A$2205,0)),"MISSING ID")</x:f>
        <x:v>Prepared bronze bearing stock</x:v>
      </x:c>
      <x:c r="B254" s="4" t="str">
        <x:f>IFERROR(INDEX('Material routes'!$F$6:$F$2205,MATCH(U254,'Material routes'!$A$6:$A$2205,0)),"MISSING ID")</x:f>
        <x:v>T2</x:v>
      </x:c>
      <x:c r="C254" s="4" t="str">
        <x:f>IFERROR(INDEX('Material routes'!$H$6:$H$2205,MATCH(U254,'Material routes'!$A$6:$A$2205,0)),"MISSING ID")</x:f>
        <x:v>Processed material</x:v>
      </x:c>
      <x:c r="D254" s="4" t="str">
        <x:f>IFERROR(INDEX('Material routes'!$G$6:$G$2205,MATCH(U254,'Material routes'!$A$6:$A$2205,0)),"MISSING ID")</x:f>
        <x:v>Manufactured stock</x:v>
      </x:c>
      <x:c r="E254" s="4" t="str">
        <x:f>IFERROR(INDEX('Material routes'!$C$6:$C$2205,MATCH(U254,'Material routes'!$A$6:$A$2205,0)),"MISSING ID")</x:f>
        <x:v>Ingredient candidate</x:v>
      </x:c>
      <x:c r="F254" s="4" t="str">
        <x:f>IFERROR(INDEX('Material routes'!$E$6:$E$2205,MATCH(V254,'Material routes'!$A$6:$A$2205,0)),"MISSING ID")</x:f>
        <x:v>Fitted canister valve-core assembly</x:v>
      </x:c>
      <x:c r="G254" s="4" t="str">
        <x:f>IFERROR(INDEX('Material routes'!$F$6:$F$2205,MATCH(V254,'Material routes'!$A$6:$A$2205,0)),"MISSING ID")</x:f>
        <x:v>T4</x:v>
      </x:c>
      <x:c r="H254" s="4" t="str">
        <x:f>IFERROR(INDEX('Material routes'!$H$6:$H$2205,MATCH(V254,'Material routes'!$A$6:$A$2205,0)),"MISSING ID")</x:f>
        <x:v>Crafting component</x:v>
      </x:c>
      <x:c r="I254" s="4" t="str">
        <x:f>IFERROR(INDEX('Material routes'!$G$6:$G$2205,MATCH(V254,'Material routes'!$A$6:$A$2205,0)),"MISSING ID")</x:f>
        <x:v>Crafting components</x:v>
      </x:c>
      <x:c r="J254" s="4" t="str">
        <x:f>IFERROR(INDEX('Material routes'!$B$6:$B$2205,MATCH(U254,'Material routes'!$A$6:$A$2205,0)),"MISSING ID")</x:f>
        <x:v>design.t4.valve_core</x:v>
      </x:c>
      <x:c r="K254" s="4" t="str">
        <x:f>IFERROR(INDEX('Crafting recipes'!$C$6:$C$1005,MATCH(J254,'Crafting recipes'!$A$6:$A$1005,0)),"MISSING ID")</x:f>
        <x:v>Material refinement</x:v>
      </x:c>
      <x:c r="L254" s="4" t="str">
        <x:f>IFERROR(INDEX('Material routes'!$K$6:$K$2205,MATCH(U254,'Material routes'!$A$6:$A$2205,0)),"MISSING ID")</x:f>
        <x:v>Proposal</x:v>
      </x:c>
      <x:c r="M254" s="4" t="str">
        <x:f>IFERROR(INDEX('Material routes'!$M$6:$M$2205,MATCH(U254,'Material routes'!$A$6:$A$2205,0)),"MISSING ID")</x:f>
        <x:v>Partial proposal</x:v>
      </x:c>
      <x:c r="N254" s="4" t="str">
        <x:f>IF(IFERROR(INDEX('Material routes'!$I$6:$I$1005,MATCH(U254,'Material routes'!$A$6:$A$1005,0)),"MISSING ID")=0,"",IFERROR(INDEX('Material routes'!$I$6:$I$1005,MATCH(U254,'Material routes'!$A$6:$A$1005,0)),"MISSING ID"))</x:f>
      </x:c>
      <x:c r="O254" s="4" t="str">
        <x:f>IFERROR(INDEX('Material routes'!$J$6:$J$2205,MATCH(U254,'Material routes'!$A$6:$A$2205,0)),"MISSING ID")</x:f>
        <x:v>Unspecified</x:v>
      </x:c>
      <x:c r="P254" s="4" t="str">
        <x:f>IF(IFERROR(INDEX('Material routes'!$I$6:$I$1005,MATCH(V254,'Material routes'!$A$6:$A$1005,0)),"MISSING ID")=0,"",IFERROR(INDEX('Material routes'!$I$6:$I$1005,MATCH(V254,'Material routes'!$A$6:$A$1005,0)),"MISSING ID"))</x:f>
      </x:c>
      <x:c r="Q254" s="4" t="str">
        <x:f>IFERROR(INDEX('Material routes'!$J$6:$J$2205,MATCH(V254,'Material routes'!$A$6:$A$2205,0)),"MISSING ID")</x:f>
        <x:v>Unspecified</x:v>
      </x:c>
      <x:c r="R254" s="4" t="str">
        <x:f>IF(L254="Withheld","Withheld premise",IF(E254="Tool candidate","Reusable prerequisite",IF(K254="Raw entry preparation","Entry-resource preparation",IF(G254="Not applicable",IF(IFERROR(INDEX('Items'!$AI$6:$AI$1005,MATCH(T254,'Items'!$A$6:$A$1005,0)),"MISSING ID")="Finished item","Finished endpoint",IF(IFERROR(INDEX('Items'!$AI$6:$AI$1005,MATCH(T254,'Items'!$A$6:$A$1005,0)),"MISSING ID")="Currency","Currency / no refinement tier","Recovered output / tier not applicable")),IF(OR(IFERROR(INDEX('Crafting recipes'!$H$6:$H$1005,MATCH(J254,'Crafting recipes'!$A$6:$A$1005,0)),"MISSING ID")="Unassigned",G254="Unassigned"),"Tier unresolved",IF(IFERROR(VALUE(RIGHT(G254,1))-VALUE(RIGHT(IFERROR(INDEX('Crafting recipes'!$H$6:$H$1005,MATCH(J254,'Crafting recipes'!$A$6:$A$1005,0)),"MISSING ID"),1)),0)=1,IF(B254=IFERROR(INDEX('Crafting recipes'!$H$6:$H$1005,MATCH(J254,'Crafting recipes'!$A$6:$A$1005,0)),"MISSING ID"),"Advances one material tier","Lower-tier ingredient; route advances one tier"),"Needs tier review"))))))</x:f>
        <x:v>Lower-tier ingredient; route advances one tier</x:v>
      </x:c>
      <x:c r="S254" s="4" t="str">
        <x:f>IFERROR(INDEX('Material routes'!$D$6:$D$2205,MATCH(U254,'Material routes'!$A$6:$A$2205,0)),"MISSING ID")</x:f>
        <x:v>proposal.branch.bearing_bronze</x:v>
      </x:c>
      <x:c r="T254" s="4" t="str">
        <x:f>IFERROR(INDEX('Material routes'!$D$6:$D$2205,MATCH(V254,'Material routes'!$A$6:$A$2205,0)),"MISSING ID")</x:f>
        <x:v>proposal.t4.valve_core</x:v>
      </x:c>
      <x:c r="U254" s="4" t="str">
        <x:v>design.t4.valve_core.in.4</x:v>
      </x:c>
      <x:c r="V254" s="4" t="str">
        <x:v>design.t4.valve_core.out</x:v>
      </x:c>
    </x:row>
    <x:row r="255" ht="115" customHeight="1">
      <x:c r="A255" s="4" t="str">
        <x:f>IFERROR(INDEX('Material routes'!$E$6:$E$2205,MATCH(U255,'Material routes'!$A$6:$A$2205,0)),"MISSING ID")</x:f>
        <x:v>Reinforced sealing sheet</x:v>
      </x:c>
      <x:c r="B255" s="4" t="str">
        <x:f>IFERROR(INDEX('Material routes'!$F$6:$F$2205,MATCH(U255,'Material routes'!$A$6:$A$2205,0)),"MISSING ID")</x:f>
        <x:v>T3</x:v>
      </x:c>
      <x:c r="C255" s="4" t="str">
        <x:f>IFERROR(INDEX('Material routes'!$H$6:$H$2205,MATCH(U255,'Material routes'!$A$6:$A$2205,0)),"MISSING ID")</x:f>
        <x:v>Processed material</x:v>
      </x:c>
      <x:c r="D255" s="4" t="str">
        <x:f>IFERROR(INDEX('Material routes'!$G$6:$G$2205,MATCH(U255,'Material routes'!$A$6:$A$2205,0)),"MISSING ID")</x:f>
        <x:v>Manufactured stock</x:v>
      </x:c>
      <x:c r="E255" s="4" t="str">
        <x:f>IFERROR(INDEX('Material routes'!$C$6:$C$2205,MATCH(U255,'Material routes'!$A$6:$A$2205,0)),"MISSING ID")</x:f>
        <x:v>Ingredient candidate</x:v>
      </x:c>
      <x:c r="F255" s="4" t="str">
        <x:f>IFERROR(INDEX('Material routes'!$E$6:$E$2205,MATCH(V255,'Material routes'!$A$6:$A$2205,0)),"MISSING ID")</x:f>
        <x:v>Replaceable seal-carrier assembly</x:v>
      </x:c>
      <x:c r="G255" s="4" t="str">
        <x:f>IFERROR(INDEX('Material routes'!$F$6:$F$2205,MATCH(V255,'Material routes'!$A$6:$A$2205,0)),"MISSING ID")</x:f>
        <x:v>T4</x:v>
      </x:c>
      <x:c r="H255" s="4" t="str">
        <x:f>IFERROR(INDEX('Material routes'!$H$6:$H$2205,MATCH(V255,'Material routes'!$A$6:$A$2205,0)),"MISSING ID")</x:f>
        <x:v>Crafting component</x:v>
      </x:c>
      <x:c r="I255" s="4" t="str">
        <x:f>IFERROR(INDEX('Material routes'!$G$6:$G$2205,MATCH(V255,'Material routes'!$A$6:$A$2205,0)),"MISSING ID")</x:f>
        <x:v>Crafting components</x:v>
      </x:c>
      <x:c r="J255" s="4" t="str">
        <x:f>IFERROR(INDEX('Material routes'!$B$6:$B$2205,MATCH(U255,'Material routes'!$A$6:$A$2205,0)),"MISSING ID")</x:f>
        <x:v>design.t4.seal_carrier</x:v>
      </x:c>
      <x:c r="K255" s="4" t="str">
        <x:f>IFERROR(INDEX('Crafting recipes'!$C$6:$C$1005,MATCH(J255,'Crafting recipes'!$A$6:$A$1005,0)),"MISSING ID")</x:f>
        <x:v>Material refinement</x:v>
      </x:c>
      <x:c r="L255" s="4" t="str">
        <x:f>IFERROR(INDEX('Material routes'!$K$6:$K$2205,MATCH(U255,'Material routes'!$A$6:$A$2205,0)),"MISSING ID")</x:f>
        <x:v>Proposal</x:v>
      </x:c>
      <x:c r="M255" s="4" t="str">
        <x:f>IFERROR(INDEX('Material routes'!$M$6:$M$2205,MATCH(U255,'Material routes'!$A$6:$A$2205,0)),"MISSING ID")</x:f>
        <x:v>Partial proposal</x:v>
      </x:c>
      <x:c r="N255" s="4" t="str">
        <x:f>IF(IFERROR(INDEX('Material routes'!$I$6:$I$1005,MATCH(U255,'Material routes'!$A$6:$A$1005,0)),"MISSING ID")=0,"",IFERROR(INDEX('Material routes'!$I$6:$I$1005,MATCH(U255,'Material routes'!$A$6:$A$1005,0)),"MISSING ID"))</x:f>
      </x:c>
      <x:c r="O255" s="4" t="str">
        <x:f>IFERROR(INDEX('Material routes'!$J$6:$J$2205,MATCH(U255,'Material routes'!$A$6:$A$2205,0)),"MISSING ID")</x:f>
        <x:v>Unspecified</x:v>
      </x:c>
      <x:c r="P255" s="4" t="str">
        <x:f>IF(IFERROR(INDEX('Material routes'!$I$6:$I$1005,MATCH(V255,'Material routes'!$A$6:$A$1005,0)),"MISSING ID")=0,"",IFERROR(INDEX('Material routes'!$I$6:$I$1005,MATCH(V255,'Material routes'!$A$6:$A$1005,0)),"MISSING ID"))</x:f>
      </x:c>
      <x:c r="Q255" s="4" t="str">
        <x:f>IFERROR(INDEX('Material routes'!$J$6:$J$2205,MATCH(V255,'Material routes'!$A$6:$A$2205,0)),"MISSING ID")</x:f>
        <x:v>Unspecified</x:v>
      </x:c>
      <x:c r="R255" s="4" t="str">
        <x:f>IF(L255="Withheld","Withheld premise",IF(E255="Tool candidate","Reusable prerequisite",IF(K255="Raw entry preparation","Entry-resource preparation",IF(G255="Not applicable",IF(IFERROR(INDEX('Items'!$AI$6:$AI$1005,MATCH(T255,'Items'!$A$6:$A$1005,0)),"MISSING ID")="Finished item","Finished endpoint",IF(IFERROR(INDEX('Items'!$AI$6:$AI$1005,MATCH(T255,'Items'!$A$6:$A$1005,0)),"MISSING ID")="Currency","Currency / no refinement tier","Recovered output / tier not applicable")),IF(OR(IFERROR(INDEX('Crafting recipes'!$H$6:$H$1005,MATCH(J255,'Crafting recipes'!$A$6:$A$1005,0)),"MISSING ID")="Unassigned",G255="Unassigned"),"Tier unresolved",IF(IFERROR(VALUE(RIGHT(G255,1))-VALUE(RIGHT(IFERROR(INDEX('Crafting recipes'!$H$6:$H$1005,MATCH(J255,'Crafting recipes'!$A$6:$A$1005,0)),"MISSING ID"),1)),0)=1,IF(B255=IFERROR(INDEX('Crafting recipes'!$H$6:$H$1005,MATCH(J255,'Crafting recipes'!$A$6:$A$1005,0)),"MISSING ID"),"Advances one material tier","Lower-tier ingredient; route advances one tier"),"Needs tier review"))))))</x:f>
        <x:v>Advances one material tier</x:v>
      </x:c>
      <x:c r="S255" s="4" t="str">
        <x:f>IFERROR(INDEX('Material routes'!$D$6:$D$2205,MATCH(U255,'Material routes'!$A$6:$A$2205,0)),"MISSING ID")</x:f>
        <x:v>proposal.branch.sealing_sheet</x:v>
      </x:c>
      <x:c r="T255" s="4" t="str">
        <x:f>IFERROR(INDEX('Material routes'!$D$6:$D$2205,MATCH(V255,'Material routes'!$A$6:$A$2205,0)),"MISSING ID")</x:f>
        <x:v>proposal.t4.seal_carrier</x:v>
      </x:c>
      <x:c r="U255" s="4" t="str">
        <x:v>design.t4.seal_carrier.in.1</x:v>
      </x:c>
      <x:c r="V255" s="4" t="str">
        <x:v>design.t4.seal_carrier.out</x:v>
      </x:c>
    </x:row>
    <x:row r="256" ht="115" customHeight="1">
      <x:c r="A256" s="4" t="str">
        <x:f>IFERROR(INDEX('Material routes'!$E$6:$E$2205,MATCH(U256,'Material routes'!$A$6:$A$2205,0)),"MISSING ID")</x:f>
        <x:v>Husk-reinforced packing stock</x:v>
      </x:c>
      <x:c r="B256" s="4" t="str">
        <x:f>IFERROR(INDEX('Material routes'!$F$6:$F$2205,MATCH(U256,'Material routes'!$A$6:$A$2205,0)),"MISSING ID")</x:f>
        <x:v>T3</x:v>
      </x:c>
      <x:c r="C256" s="4" t="str">
        <x:f>IFERROR(INDEX('Material routes'!$H$6:$H$2205,MATCH(U256,'Material routes'!$A$6:$A$2205,0)),"MISSING ID")</x:f>
        <x:v>Processed material</x:v>
      </x:c>
      <x:c r="D256" s="4" t="str">
        <x:f>IFERROR(INDEX('Material routes'!$G$6:$G$2205,MATCH(U256,'Material routes'!$A$6:$A$2205,0)),"MISSING ID")</x:f>
        <x:v>Manufactured stock</x:v>
      </x:c>
      <x:c r="E256" s="4" t="str">
        <x:f>IFERROR(INDEX('Material routes'!$C$6:$C$2205,MATCH(U256,'Material routes'!$A$6:$A$2205,0)),"MISSING ID")</x:f>
        <x:v>Ingredient candidate</x:v>
      </x:c>
      <x:c r="F256" s="4" t="str">
        <x:f>IFERROR(INDEX('Material routes'!$E$6:$E$2205,MATCH(V256,'Material routes'!$A$6:$A$2205,0)),"MISSING ID")</x:f>
        <x:v>Replaceable seal-carrier assembly</x:v>
      </x:c>
      <x:c r="G256" s="4" t="str">
        <x:f>IFERROR(INDEX('Material routes'!$F$6:$F$2205,MATCH(V256,'Material routes'!$A$6:$A$2205,0)),"MISSING ID")</x:f>
        <x:v>T4</x:v>
      </x:c>
      <x:c r="H256" s="4" t="str">
        <x:f>IFERROR(INDEX('Material routes'!$H$6:$H$2205,MATCH(V256,'Material routes'!$A$6:$A$2205,0)),"MISSING ID")</x:f>
        <x:v>Crafting component</x:v>
      </x:c>
      <x:c r="I256" s="4" t="str">
        <x:f>IFERROR(INDEX('Material routes'!$G$6:$G$2205,MATCH(V256,'Material routes'!$A$6:$A$2205,0)),"MISSING ID")</x:f>
        <x:v>Crafting components</x:v>
      </x:c>
      <x:c r="J256" s="4" t="str">
        <x:f>IFERROR(INDEX('Material routes'!$B$6:$B$2205,MATCH(U256,'Material routes'!$A$6:$A$2205,0)),"MISSING ID")</x:f>
        <x:v>design.t4.seal_carrier</x:v>
      </x:c>
      <x:c r="K256" s="4" t="str">
        <x:f>IFERROR(INDEX('Crafting recipes'!$C$6:$C$1005,MATCH(J256,'Crafting recipes'!$A$6:$A$1005,0)),"MISSING ID")</x:f>
        <x:v>Material refinement</x:v>
      </x:c>
      <x:c r="L256" s="4" t="str">
        <x:f>IFERROR(INDEX('Material routes'!$K$6:$K$2205,MATCH(U256,'Material routes'!$A$6:$A$2205,0)),"MISSING ID")</x:f>
        <x:v>Proposal</x:v>
      </x:c>
      <x:c r="M256" s="4" t="str">
        <x:f>IFERROR(INDEX('Material routes'!$M$6:$M$2205,MATCH(U256,'Material routes'!$A$6:$A$2205,0)),"MISSING ID")</x:f>
        <x:v>Partial proposal</x:v>
      </x:c>
      <x:c r="N256" s="4" t="str">
        <x:f>IF(IFERROR(INDEX('Material routes'!$I$6:$I$1005,MATCH(U256,'Material routes'!$A$6:$A$1005,0)),"MISSING ID")=0,"",IFERROR(INDEX('Material routes'!$I$6:$I$1005,MATCH(U256,'Material routes'!$A$6:$A$1005,0)),"MISSING ID"))</x:f>
      </x:c>
      <x:c r="O256" s="4" t="str">
        <x:f>IFERROR(INDEX('Material routes'!$J$6:$J$2205,MATCH(U256,'Material routes'!$A$6:$A$2205,0)),"MISSING ID")</x:f>
        <x:v>Unspecified</x:v>
      </x:c>
      <x:c r="P256" s="4" t="str">
        <x:f>IF(IFERROR(INDEX('Material routes'!$I$6:$I$1005,MATCH(V256,'Material routes'!$A$6:$A$1005,0)),"MISSING ID")=0,"",IFERROR(INDEX('Material routes'!$I$6:$I$1005,MATCH(V256,'Material routes'!$A$6:$A$1005,0)),"MISSING ID"))</x:f>
      </x:c>
      <x:c r="Q256" s="4" t="str">
        <x:f>IFERROR(INDEX('Material routes'!$J$6:$J$2205,MATCH(V256,'Material routes'!$A$6:$A$2205,0)),"MISSING ID")</x:f>
        <x:v>Unspecified</x:v>
      </x:c>
      <x:c r="R256" s="4" t="str">
        <x:f>IF(L256="Withheld","Withheld premise",IF(E256="Tool candidate","Reusable prerequisite",IF(K256="Raw entry preparation","Entry-resource preparation",IF(G256="Not applicable",IF(IFERROR(INDEX('Items'!$AI$6:$AI$1005,MATCH(T256,'Items'!$A$6:$A$1005,0)),"MISSING ID")="Finished item","Finished endpoint",IF(IFERROR(INDEX('Items'!$AI$6:$AI$1005,MATCH(T256,'Items'!$A$6:$A$1005,0)),"MISSING ID")="Currency","Currency / no refinement tier","Recovered output / tier not applicable")),IF(OR(IFERROR(INDEX('Crafting recipes'!$H$6:$H$1005,MATCH(J256,'Crafting recipes'!$A$6:$A$1005,0)),"MISSING ID")="Unassigned",G256="Unassigned"),"Tier unresolved",IF(IFERROR(VALUE(RIGHT(G256,1))-VALUE(RIGHT(IFERROR(INDEX('Crafting recipes'!$H$6:$H$1005,MATCH(J256,'Crafting recipes'!$A$6:$A$1005,0)),"MISSING ID"),1)),0)=1,IF(B256=IFERROR(INDEX('Crafting recipes'!$H$6:$H$1005,MATCH(J256,'Crafting recipes'!$A$6:$A$1005,0)),"MISSING ID"),"Advances one material tier","Lower-tier ingredient; route advances one tier"),"Needs tier review"))))))</x:f>
        <x:v>Advances one material tier</x:v>
      </x:c>
      <x:c r="S256" s="4" t="str">
        <x:f>IFERROR(INDEX('Material routes'!$D$6:$D$2205,MATCH(U256,'Material routes'!$A$6:$A$2205,0)),"MISSING ID")</x:f>
        <x:v>proposal.t3.packing_stock</x:v>
      </x:c>
      <x:c r="T256" s="4" t="str">
        <x:f>IFERROR(INDEX('Material routes'!$D$6:$D$2205,MATCH(V256,'Material routes'!$A$6:$A$2205,0)),"MISSING ID")</x:f>
        <x:v>proposal.t4.seal_carrier</x:v>
      </x:c>
      <x:c r="U256" s="4" t="str">
        <x:v>design.t4.seal_carrier.in.2</x:v>
      </x:c>
      <x:c r="V256" s="4" t="str">
        <x:v>design.t4.seal_carrier.out</x:v>
      </x:c>
    </x:row>
    <x:row r="257" ht="115" customHeight="1">
      <x:c r="A257" s="4" t="str">
        <x:f>IFERROR(INDEX('Material routes'!$E$6:$E$2205,MATCH(U257,'Material routes'!$A$6:$A$2205,0)),"MISSING ID")</x:f>
        <x:v>Spring-grade steel stock</x:v>
      </x:c>
      <x:c r="B257" s="4" t="str">
        <x:f>IFERROR(INDEX('Material routes'!$F$6:$F$2205,MATCH(U257,'Material routes'!$A$6:$A$2205,0)),"MISSING ID")</x:f>
        <x:v>T3</x:v>
      </x:c>
      <x:c r="C257" s="4" t="str">
        <x:f>IFERROR(INDEX('Material routes'!$H$6:$H$2205,MATCH(U257,'Material routes'!$A$6:$A$2205,0)),"MISSING ID")</x:f>
        <x:v>Processed material</x:v>
      </x:c>
      <x:c r="D257" s="4" t="str">
        <x:f>IFERROR(INDEX('Material routes'!$G$6:$G$2205,MATCH(U257,'Material routes'!$A$6:$A$2205,0)),"MISSING ID")</x:f>
        <x:v>Manufactured stock</x:v>
      </x:c>
      <x:c r="E257" s="4" t="str">
        <x:f>IFERROR(INDEX('Material routes'!$C$6:$C$2205,MATCH(U257,'Material routes'!$A$6:$A$2205,0)),"MISSING ID")</x:f>
        <x:v>Ingredient candidate</x:v>
      </x:c>
      <x:c r="F257" s="4" t="str">
        <x:f>IFERROR(INDEX('Material routes'!$E$6:$E$2205,MATCH(V257,'Material routes'!$A$6:$A$2205,0)),"MISSING ID")</x:f>
        <x:v>Replaceable seal-carrier assembly</x:v>
      </x:c>
      <x:c r="G257" s="4" t="str">
        <x:f>IFERROR(INDEX('Material routes'!$F$6:$F$2205,MATCH(V257,'Material routes'!$A$6:$A$2205,0)),"MISSING ID")</x:f>
        <x:v>T4</x:v>
      </x:c>
      <x:c r="H257" s="4" t="str">
        <x:f>IFERROR(INDEX('Material routes'!$H$6:$H$2205,MATCH(V257,'Material routes'!$A$6:$A$2205,0)),"MISSING ID")</x:f>
        <x:v>Crafting component</x:v>
      </x:c>
      <x:c r="I257" s="4" t="str">
        <x:f>IFERROR(INDEX('Material routes'!$G$6:$G$2205,MATCH(V257,'Material routes'!$A$6:$A$2205,0)),"MISSING ID")</x:f>
        <x:v>Crafting components</x:v>
      </x:c>
      <x:c r="J257" s="4" t="str">
        <x:f>IFERROR(INDEX('Material routes'!$B$6:$B$2205,MATCH(U257,'Material routes'!$A$6:$A$2205,0)),"MISSING ID")</x:f>
        <x:v>design.t4.seal_carrier</x:v>
      </x:c>
      <x:c r="K257" s="4" t="str">
        <x:f>IFERROR(INDEX('Crafting recipes'!$C$6:$C$1005,MATCH(J257,'Crafting recipes'!$A$6:$A$1005,0)),"MISSING ID")</x:f>
        <x:v>Material refinement</x:v>
      </x:c>
      <x:c r="L257" s="4" t="str">
        <x:f>IFERROR(INDEX('Material routes'!$K$6:$K$2205,MATCH(U257,'Material routes'!$A$6:$A$2205,0)),"MISSING ID")</x:f>
        <x:v>Proposal</x:v>
      </x:c>
      <x:c r="M257" s="4" t="str">
        <x:f>IFERROR(INDEX('Material routes'!$M$6:$M$2205,MATCH(U257,'Material routes'!$A$6:$A$2205,0)),"MISSING ID")</x:f>
        <x:v>Partial proposal</x:v>
      </x:c>
      <x:c r="N257" s="4" t="str">
        <x:f>IF(IFERROR(INDEX('Material routes'!$I$6:$I$1005,MATCH(U257,'Material routes'!$A$6:$A$1005,0)),"MISSING ID")=0,"",IFERROR(INDEX('Material routes'!$I$6:$I$1005,MATCH(U257,'Material routes'!$A$6:$A$1005,0)),"MISSING ID"))</x:f>
      </x:c>
      <x:c r="O257" s="4" t="str">
        <x:f>IFERROR(INDEX('Material routes'!$J$6:$J$2205,MATCH(U257,'Material routes'!$A$6:$A$2205,0)),"MISSING ID")</x:f>
        <x:v>Unspecified</x:v>
      </x:c>
      <x:c r="P257" s="4" t="str">
        <x:f>IF(IFERROR(INDEX('Material routes'!$I$6:$I$1005,MATCH(V257,'Material routes'!$A$6:$A$1005,0)),"MISSING ID")=0,"",IFERROR(INDEX('Material routes'!$I$6:$I$1005,MATCH(V257,'Material routes'!$A$6:$A$1005,0)),"MISSING ID"))</x:f>
      </x:c>
      <x:c r="Q257" s="4" t="str">
        <x:f>IFERROR(INDEX('Material routes'!$J$6:$J$2205,MATCH(V257,'Material routes'!$A$6:$A$2205,0)),"MISSING ID")</x:f>
        <x:v>Unspecified</x:v>
      </x:c>
      <x:c r="R257" s="4" t="str">
        <x:f>IF(L257="Withheld","Withheld premise",IF(E257="Tool candidate","Reusable prerequisite",IF(K257="Raw entry preparation","Entry-resource preparation",IF(G257="Not applicable",IF(IFERROR(INDEX('Items'!$AI$6:$AI$1005,MATCH(T257,'Items'!$A$6:$A$1005,0)),"MISSING ID")="Finished item","Finished endpoint",IF(IFERROR(INDEX('Items'!$AI$6:$AI$1005,MATCH(T257,'Items'!$A$6:$A$1005,0)),"MISSING ID")="Currency","Currency / no refinement tier","Recovered output / tier not applicable")),IF(OR(IFERROR(INDEX('Crafting recipes'!$H$6:$H$1005,MATCH(J257,'Crafting recipes'!$A$6:$A$1005,0)),"MISSING ID")="Unassigned",G257="Unassigned"),"Tier unresolved",IF(IFERROR(VALUE(RIGHT(G257,1))-VALUE(RIGHT(IFERROR(INDEX('Crafting recipes'!$H$6:$H$1005,MATCH(J257,'Crafting recipes'!$A$6:$A$1005,0)),"MISSING ID"),1)),0)=1,IF(B257=IFERROR(INDEX('Crafting recipes'!$H$6:$H$1005,MATCH(J257,'Crafting recipes'!$A$6:$A$1005,0)),"MISSING ID"),"Advances one material tier","Lower-tier ingredient; route advances one tier"),"Needs tier review"))))))</x:f>
        <x:v>Advances one material tier</x:v>
      </x:c>
      <x:c r="S257" s="4" t="str">
        <x:f>IFERROR(INDEX('Material routes'!$D$6:$D$2205,MATCH(U257,'Material routes'!$A$6:$A$2205,0)),"MISSING ID")</x:f>
        <x:v>proposal.branch.spring_steel</x:v>
      </x:c>
      <x:c r="T257" s="4" t="str">
        <x:f>IFERROR(INDEX('Material routes'!$D$6:$D$2205,MATCH(V257,'Material routes'!$A$6:$A$2205,0)),"MISSING ID")</x:f>
        <x:v>proposal.t4.seal_carrier</x:v>
      </x:c>
      <x:c r="U257" s="4" t="str">
        <x:v>design.t4.seal_carrier.in.3</x:v>
      </x:c>
      <x:c r="V257" s="4" t="str">
        <x:v>design.t4.seal_carrier.out</x:v>
      </x:c>
    </x:row>
    <x:row r="258" ht="115" customHeight="1">
      <x:c r="A258" s="4" t="str">
        <x:f>IFERROR(INDEX('Material routes'!$E$6:$E$2205,MATCH(U258,'Material routes'!$A$6:$A$2205,0)),"MISSING ID")</x:f>
        <x:v>Drawn steel tube stock</x:v>
      </x:c>
      <x:c r="B258" s="4" t="str">
        <x:f>IFERROR(INDEX('Material routes'!$F$6:$F$2205,MATCH(U258,'Material routes'!$A$6:$A$2205,0)),"MISSING ID")</x:f>
        <x:v>T3</x:v>
      </x:c>
      <x:c r="C258" s="4" t="str">
        <x:f>IFERROR(INDEX('Material routes'!$H$6:$H$2205,MATCH(U258,'Material routes'!$A$6:$A$2205,0)),"MISSING ID")</x:f>
        <x:v>Processed material</x:v>
      </x:c>
      <x:c r="D258" s="4" t="str">
        <x:f>IFERROR(INDEX('Material routes'!$G$6:$G$2205,MATCH(U258,'Material routes'!$A$6:$A$2205,0)),"MISSING ID")</x:f>
        <x:v>Manufactured stock</x:v>
      </x:c>
      <x:c r="E258" s="4" t="str">
        <x:f>IFERROR(INDEX('Material routes'!$C$6:$C$2205,MATCH(U258,'Material routes'!$A$6:$A$2205,0)),"MISSING ID")</x:f>
        <x:v>Ingredient candidate</x:v>
      </x:c>
      <x:c r="F258" s="4" t="str">
        <x:f>IFERROR(INDEX('Material routes'!$E$6:$E$2205,MATCH(V258,'Material routes'!$A$6:$A$2205,0)),"MISSING ID")</x:f>
        <x:v>Collapsible sail-spar joint kit</x:v>
      </x:c>
      <x:c r="G258" s="4" t="str">
        <x:f>IFERROR(INDEX('Material routes'!$F$6:$F$2205,MATCH(V258,'Material routes'!$A$6:$A$2205,0)),"MISSING ID")</x:f>
        <x:v>T4</x:v>
      </x:c>
      <x:c r="H258" s="4" t="str">
        <x:f>IFERROR(INDEX('Material routes'!$H$6:$H$2205,MATCH(V258,'Material routes'!$A$6:$A$2205,0)),"MISSING ID")</x:f>
        <x:v>Crafting component</x:v>
      </x:c>
      <x:c r="I258" s="4" t="str">
        <x:f>IFERROR(INDEX('Material routes'!$G$6:$G$2205,MATCH(V258,'Material routes'!$A$6:$A$2205,0)),"MISSING ID")</x:f>
        <x:v>Salvage</x:v>
      </x:c>
      <x:c r="J258" s="4" t="str">
        <x:f>IFERROR(INDEX('Material routes'!$B$6:$B$2205,MATCH(U258,'Material routes'!$A$6:$A$2205,0)),"MISSING ID")</x:f>
        <x:v>design.t4.spar_joint</x:v>
      </x:c>
      <x:c r="K258" s="4" t="str">
        <x:f>IFERROR(INDEX('Crafting recipes'!$C$6:$C$1005,MATCH(J258,'Crafting recipes'!$A$6:$A$1005,0)),"MISSING ID")</x:f>
        <x:v>Material refinement</x:v>
      </x:c>
      <x:c r="L258" s="4" t="str">
        <x:f>IFERROR(INDEX('Material routes'!$K$6:$K$2205,MATCH(U258,'Material routes'!$A$6:$A$2205,0)),"MISSING ID")</x:f>
        <x:v>Proposal</x:v>
      </x:c>
      <x:c r="M258" s="4" t="str">
        <x:f>IFERROR(INDEX('Material routes'!$M$6:$M$2205,MATCH(U258,'Material routes'!$A$6:$A$2205,0)),"MISSING ID")</x:f>
        <x:v>Partial proposal</x:v>
      </x:c>
      <x:c r="N258" s="4" t="str">
        <x:f>IF(IFERROR(INDEX('Material routes'!$I$6:$I$1005,MATCH(U258,'Material routes'!$A$6:$A$1005,0)),"MISSING ID")=0,"",IFERROR(INDEX('Material routes'!$I$6:$I$1005,MATCH(U258,'Material routes'!$A$6:$A$1005,0)),"MISSING ID"))</x:f>
      </x:c>
      <x:c r="O258" s="4" t="str">
        <x:f>IFERROR(INDEX('Material routes'!$J$6:$J$2205,MATCH(U258,'Material routes'!$A$6:$A$2205,0)),"MISSING ID")</x:f>
        <x:v>Unspecified</x:v>
      </x:c>
      <x:c r="P258" s="4" t="str">
        <x:f>IF(IFERROR(INDEX('Material routes'!$I$6:$I$1005,MATCH(V258,'Material routes'!$A$6:$A$1005,0)),"MISSING ID")=0,"",IFERROR(INDEX('Material routes'!$I$6:$I$1005,MATCH(V258,'Material routes'!$A$6:$A$1005,0)),"MISSING ID"))</x:f>
      </x:c>
      <x:c r="Q258" s="4" t="str">
        <x:f>IFERROR(INDEX('Material routes'!$J$6:$J$2205,MATCH(V258,'Material routes'!$A$6:$A$2205,0)),"MISSING ID")</x:f>
        <x:v>Unspecified</x:v>
      </x:c>
      <x:c r="R258" s="4" t="str">
        <x:f>IF(L258="Withheld","Withheld premise",IF(E258="Tool candidate","Reusable prerequisite",IF(K258="Raw entry preparation","Entry-resource preparation",IF(G258="Not applicable",IF(IFERROR(INDEX('Items'!$AI$6:$AI$1005,MATCH(T258,'Items'!$A$6:$A$1005,0)),"MISSING ID")="Finished item","Finished endpoint",IF(IFERROR(INDEX('Items'!$AI$6:$AI$1005,MATCH(T258,'Items'!$A$6:$A$1005,0)),"MISSING ID")="Currency","Currency / no refinement tier","Recovered output / tier not applicable")),IF(OR(IFERROR(INDEX('Crafting recipes'!$H$6:$H$1005,MATCH(J258,'Crafting recipes'!$A$6:$A$1005,0)),"MISSING ID")="Unassigned",G258="Unassigned"),"Tier unresolved",IF(IFERROR(VALUE(RIGHT(G258,1))-VALUE(RIGHT(IFERROR(INDEX('Crafting recipes'!$H$6:$H$1005,MATCH(J258,'Crafting recipes'!$A$6:$A$1005,0)),"MISSING ID"),1)),0)=1,IF(B258=IFERROR(INDEX('Crafting recipes'!$H$6:$H$1005,MATCH(J258,'Crafting recipes'!$A$6:$A$1005,0)),"MISSING ID"),"Advances one material tier","Lower-tier ingredient; route advances one tier"),"Needs tier review"))))))</x:f>
        <x:v>Advances one material tier</x:v>
      </x:c>
      <x:c r="S258" s="4" t="str">
        <x:f>IFERROR(INDEX('Material routes'!$D$6:$D$2205,MATCH(U258,'Material routes'!$A$6:$A$2205,0)),"MISSING ID")</x:f>
        <x:v>proposal.t3.precision_tube</x:v>
      </x:c>
      <x:c r="T258" s="4" t="str">
        <x:f>IFERROR(INDEX('Material routes'!$D$6:$D$2205,MATCH(V258,'Material routes'!$A$6:$A$2205,0)),"MISSING ID")</x:f>
        <x:v>proposal.t4.spar_joint</x:v>
      </x:c>
      <x:c r="U258" s="4" t="str">
        <x:v>design.t4.spar_joint.in.1</x:v>
      </x:c>
      <x:c r="V258" s="4" t="str">
        <x:v>design.t4.spar_joint.out</x:v>
      </x:c>
    </x:row>
    <x:row r="259" ht="115" customHeight="1">
      <x:c r="A259" s="4" t="str">
        <x:f>IFERROR(INDEX('Material routes'!$E$6:$E$2205,MATCH(U259,'Material routes'!$A$6:$A$2205,0)),"MISSING ID")</x:f>
        <x:v>Spring-grade steel stock</x:v>
      </x:c>
      <x:c r="B259" s="4" t="str">
        <x:f>IFERROR(INDEX('Material routes'!$F$6:$F$2205,MATCH(U259,'Material routes'!$A$6:$A$2205,0)),"MISSING ID")</x:f>
        <x:v>T3</x:v>
      </x:c>
      <x:c r="C259" s="4" t="str">
        <x:f>IFERROR(INDEX('Material routes'!$H$6:$H$2205,MATCH(U259,'Material routes'!$A$6:$A$2205,0)),"MISSING ID")</x:f>
        <x:v>Processed material</x:v>
      </x:c>
      <x:c r="D259" s="4" t="str">
        <x:f>IFERROR(INDEX('Material routes'!$G$6:$G$2205,MATCH(U259,'Material routes'!$A$6:$A$2205,0)),"MISSING ID")</x:f>
        <x:v>Manufactured stock</x:v>
      </x:c>
      <x:c r="E259" s="4" t="str">
        <x:f>IFERROR(INDEX('Material routes'!$C$6:$C$2205,MATCH(U259,'Material routes'!$A$6:$A$2205,0)),"MISSING ID")</x:f>
        <x:v>Ingredient candidate</x:v>
      </x:c>
      <x:c r="F259" s="4" t="str">
        <x:f>IFERROR(INDEX('Material routes'!$E$6:$E$2205,MATCH(V259,'Material routes'!$A$6:$A$2205,0)),"MISSING ID")</x:f>
        <x:v>Collapsible sail-spar joint kit</x:v>
      </x:c>
      <x:c r="G259" s="4" t="str">
        <x:f>IFERROR(INDEX('Material routes'!$F$6:$F$2205,MATCH(V259,'Material routes'!$A$6:$A$2205,0)),"MISSING ID")</x:f>
        <x:v>T4</x:v>
      </x:c>
      <x:c r="H259" s="4" t="str">
        <x:f>IFERROR(INDEX('Material routes'!$H$6:$H$2205,MATCH(V259,'Material routes'!$A$6:$A$2205,0)),"MISSING ID")</x:f>
        <x:v>Crafting component</x:v>
      </x:c>
      <x:c r="I259" s="4" t="str">
        <x:f>IFERROR(INDEX('Material routes'!$G$6:$G$2205,MATCH(V259,'Material routes'!$A$6:$A$2205,0)),"MISSING ID")</x:f>
        <x:v>Salvage</x:v>
      </x:c>
      <x:c r="J259" s="4" t="str">
        <x:f>IFERROR(INDEX('Material routes'!$B$6:$B$2205,MATCH(U259,'Material routes'!$A$6:$A$2205,0)),"MISSING ID")</x:f>
        <x:v>design.t4.spar_joint</x:v>
      </x:c>
      <x:c r="K259" s="4" t="str">
        <x:f>IFERROR(INDEX('Crafting recipes'!$C$6:$C$1005,MATCH(J259,'Crafting recipes'!$A$6:$A$1005,0)),"MISSING ID")</x:f>
        <x:v>Material refinement</x:v>
      </x:c>
      <x:c r="L259" s="4" t="str">
        <x:f>IFERROR(INDEX('Material routes'!$K$6:$K$2205,MATCH(U259,'Material routes'!$A$6:$A$2205,0)),"MISSING ID")</x:f>
        <x:v>Proposal</x:v>
      </x:c>
      <x:c r="M259" s="4" t="str">
        <x:f>IFERROR(INDEX('Material routes'!$M$6:$M$2205,MATCH(U259,'Material routes'!$A$6:$A$2205,0)),"MISSING ID")</x:f>
        <x:v>Partial proposal</x:v>
      </x:c>
      <x:c r="N259" s="4" t="str">
        <x:f>IF(IFERROR(INDEX('Material routes'!$I$6:$I$1005,MATCH(U259,'Material routes'!$A$6:$A$1005,0)),"MISSING ID")=0,"",IFERROR(INDEX('Material routes'!$I$6:$I$1005,MATCH(U259,'Material routes'!$A$6:$A$1005,0)),"MISSING ID"))</x:f>
      </x:c>
      <x:c r="O259" s="4" t="str">
        <x:f>IFERROR(INDEX('Material routes'!$J$6:$J$2205,MATCH(U259,'Material routes'!$A$6:$A$2205,0)),"MISSING ID")</x:f>
        <x:v>Unspecified</x:v>
      </x:c>
      <x:c r="P259" s="4" t="str">
        <x:f>IF(IFERROR(INDEX('Material routes'!$I$6:$I$1005,MATCH(V259,'Material routes'!$A$6:$A$1005,0)),"MISSING ID")=0,"",IFERROR(INDEX('Material routes'!$I$6:$I$1005,MATCH(V259,'Material routes'!$A$6:$A$1005,0)),"MISSING ID"))</x:f>
      </x:c>
      <x:c r="Q259" s="4" t="str">
        <x:f>IFERROR(INDEX('Material routes'!$J$6:$J$2205,MATCH(V259,'Material routes'!$A$6:$A$2205,0)),"MISSING ID")</x:f>
        <x:v>Unspecified</x:v>
      </x:c>
      <x:c r="R259" s="4" t="str">
        <x:f>IF(L259="Withheld","Withheld premise",IF(E259="Tool candidate","Reusable prerequisite",IF(K259="Raw entry preparation","Entry-resource preparation",IF(G259="Not applicable",IF(IFERROR(INDEX('Items'!$AI$6:$AI$1005,MATCH(T259,'Items'!$A$6:$A$1005,0)),"MISSING ID")="Finished item","Finished endpoint",IF(IFERROR(INDEX('Items'!$AI$6:$AI$1005,MATCH(T259,'Items'!$A$6:$A$1005,0)),"MISSING ID")="Currency","Currency / no refinement tier","Recovered output / tier not applicable")),IF(OR(IFERROR(INDEX('Crafting recipes'!$H$6:$H$1005,MATCH(J259,'Crafting recipes'!$A$6:$A$1005,0)),"MISSING ID")="Unassigned",G259="Unassigned"),"Tier unresolved",IF(IFERROR(VALUE(RIGHT(G259,1))-VALUE(RIGHT(IFERROR(INDEX('Crafting recipes'!$H$6:$H$1005,MATCH(J259,'Crafting recipes'!$A$6:$A$1005,0)),"MISSING ID"),1)),0)=1,IF(B259=IFERROR(INDEX('Crafting recipes'!$H$6:$H$1005,MATCH(J259,'Crafting recipes'!$A$6:$A$1005,0)),"MISSING ID"),"Advances one material tier","Lower-tier ingredient; route advances one tier"),"Needs tier review"))))))</x:f>
        <x:v>Advances one material tier</x:v>
      </x:c>
      <x:c r="S259" s="4" t="str">
        <x:f>IFERROR(INDEX('Material routes'!$D$6:$D$2205,MATCH(U259,'Material routes'!$A$6:$A$2205,0)),"MISSING ID")</x:f>
        <x:v>proposal.branch.spring_steel</x:v>
      </x:c>
      <x:c r="T259" s="4" t="str">
        <x:f>IFERROR(INDEX('Material routes'!$D$6:$D$2205,MATCH(V259,'Material routes'!$A$6:$A$2205,0)),"MISSING ID")</x:f>
        <x:v>proposal.t4.spar_joint</x:v>
      </x:c>
      <x:c r="U259" s="4" t="str">
        <x:v>design.t4.spar_joint.in.2</x:v>
      </x:c>
      <x:c r="V259" s="4" t="str">
        <x:v>design.t4.spar_joint.out</x:v>
      </x:c>
    </x:row>
    <x:row r="260" ht="115" customHeight="1">
      <x:c r="A260" s="4" t="str">
        <x:f>IFERROR(INDEX('Material routes'!$E$6:$E$2205,MATCH(U260,'Material routes'!$A$6:$A$2205,0)),"MISSING ID")</x:f>
        <x:v>Prepared bronze bearing stock</x:v>
      </x:c>
      <x:c r="B260" s="4" t="str">
        <x:f>IFERROR(INDEX('Material routes'!$F$6:$F$2205,MATCH(U260,'Material routes'!$A$6:$A$2205,0)),"MISSING ID")</x:f>
        <x:v>T2</x:v>
      </x:c>
      <x:c r="C260" s="4" t="str">
        <x:f>IFERROR(INDEX('Material routes'!$H$6:$H$2205,MATCH(U260,'Material routes'!$A$6:$A$2205,0)),"MISSING ID")</x:f>
        <x:v>Processed material</x:v>
      </x:c>
      <x:c r="D260" s="4" t="str">
        <x:f>IFERROR(INDEX('Material routes'!$G$6:$G$2205,MATCH(U260,'Material routes'!$A$6:$A$2205,0)),"MISSING ID")</x:f>
        <x:v>Manufactured stock</x:v>
      </x:c>
      <x:c r="E260" s="4" t="str">
        <x:f>IFERROR(INDEX('Material routes'!$C$6:$C$2205,MATCH(U260,'Material routes'!$A$6:$A$2205,0)),"MISSING ID")</x:f>
        <x:v>Ingredient candidate</x:v>
      </x:c>
      <x:c r="F260" s="4" t="str">
        <x:f>IFERROR(INDEX('Material routes'!$E$6:$E$2205,MATCH(V260,'Material routes'!$A$6:$A$2205,0)),"MISSING ID")</x:f>
        <x:v>Collapsible sail-spar joint kit</x:v>
      </x:c>
      <x:c r="G260" s="4" t="str">
        <x:f>IFERROR(INDEX('Material routes'!$F$6:$F$2205,MATCH(V260,'Material routes'!$A$6:$A$2205,0)),"MISSING ID")</x:f>
        <x:v>T4</x:v>
      </x:c>
      <x:c r="H260" s="4" t="str">
        <x:f>IFERROR(INDEX('Material routes'!$H$6:$H$2205,MATCH(V260,'Material routes'!$A$6:$A$2205,0)),"MISSING ID")</x:f>
        <x:v>Crafting component</x:v>
      </x:c>
      <x:c r="I260" s="4" t="str">
        <x:f>IFERROR(INDEX('Material routes'!$G$6:$G$2205,MATCH(V260,'Material routes'!$A$6:$A$2205,0)),"MISSING ID")</x:f>
        <x:v>Salvage</x:v>
      </x:c>
      <x:c r="J260" s="4" t="str">
        <x:f>IFERROR(INDEX('Material routes'!$B$6:$B$2205,MATCH(U260,'Material routes'!$A$6:$A$2205,0)),"MISSING ID")</x:f>
        <x:v>design.t4.spar_joint</x:v>
      </x:c>
      <x:c r="K260" s="4" t="str">
        <x:f>IFERROR(INDEX('Crafting recipes'!$C$6:$C$1005,MATCH(J260,'Crafting recipes'!$A$6:$A$1005,0)),"MISSING ID")</x:f>
        <x:v>Material refinement</x:v>
      </x:c>
      <x:c r="L260" s="4" t="str">
        <x:f>IFERROR(INDEX('Material routes'!$K$6:$K$2205,MATCH(U260,'Material routes'!$A$6:$A$2205,0)),"MISSING ID")</x:f>
        <x:v>Proposal</x:v>
      </x:c>
      <x:c r="M260" s="4" t="str">
        <x:f>IFERROR(INDEX('Material routes'!$M$6:$M$2205,MATCH(U260,'Material routes'!$A$6:$A$2205,0)),"MISSING ID")</x:f>
        <x:v>Partial proposal</x:v>
      </x:c>
      <x:c r="N260" s="4" t="str">
        <x:f>IF(IFERROR(INDEX('Material routes'!$I$6:$I$1005,MATCH(U260,'Material routes'!$A$6:$A$1005,0)),"MISSING ID")=0,"",IFERROR(INDEX('Material routes'!$I$6:$I$1005,MATCH(U260,'Material routes'!$A$6:$A$1005,0)),"MISSING ID"))</x:f>
      </x:c>
      <x:c r="O260" s="4" t="str">
        <x:f>IFERROR(INDEX('Material routes'!$J$6:$J$2205,MATCH(U260,'Material routes'!$A$6:$A$2205,0)),"MISSING ID")</x:f>
        <x:v>Unspecified</x:v>
      </x:c>
      <x:c r="P260" s="4" t="str">
        <x:f>IF(IFERROR(INDEX('Material routes'!$I$6:$I$1005,MATCH(V260,'Material routes'!$A$6:$A$1005,0)),"MISSING ID")=0,"",IFERROR(INDEX('Material routes'!$I$6:$I$1005,MATCH(V260,'Material routes'!$A$6:$A$1005,0)),"MISSING ID"))</x:f>
      </x:c>
      <x:c r="Q260" s="4" t="str">
        <x:f>IFERROR(INDEX('Material routes'!$J$6:$J$2205,MATCH(V260,'Material routes'!$A$6:$A$2205,0)),"MISSING ID")</x:f>
        <x:v>Unspecified</x:v>
      </x:c>
      <x:c r="R260" s="4" t="str">
        <x:f>IF(L260="Withheld","Withheld premise",IF(E260="Tool candidate","Reusable prerequisite",IF(K260="Raw entry preparation","Entry-resource preparation",IF(G260="Not applicable",IF(IFERROR(INDEX('Items'!$AI$6:$AI$1005,MATCH(T260,'Items'!$A$6:$A$1005,0)),"MISSING ID")="Finished item","Finished endpoint",IF(IFERROR(INDEX('Items'!$AI$6:$AI$1005,MATCH(T260,'Items'!$A$6:$A$1005,0)),"MISSING ID")="Currency","Currency / no refinement tier","Recovered output / tier not applicable")),IF(OR(IFERROR(INDEX('Crafting recipes'!$H$6:$H$1005,MATCH(J260,'Crafting recipes'!$A$6:$A$1005,0)),"MISSING ID")="Unassigned",G260="Unassigned"),"Tier unresolved",IF(IFERROR(VALUE(RIGHT(G260,1))-VALUE(RIGHT(IFERROR(INDEX('Crafting recipes'!$H$6:$H$1005,MATCH(J260,'Crafting recipes'!$A$6:$A$1005,0)),"MISSING ID"),1)),0)=1,IF(B260=IFERROR(INDEX('Crafting recipes'!$H$6:$H$1005,MATCH(J260,'Crafting recipes'!$A$6:$A$1005,0)),"MISSING ID"),"Advances one material tier","Lower-tier ingredient; route advances one tier"),"Needs tier review"))))))</x:f>
        <x:v>Lower-tier ingredient; route advances one tier</x:v>
      </x:c>
      <x:c r="S260" s="4" t="str">
        <x:f>IFERROR(INDEX('Material routes'!$D$6:$D$2205,MATCH(U260,'Material routes'!$A$6:$A$2205,0)),"MISSING ID")</x:f>
        <x:v>proposal.branch.bearing_bronze</x:v>
      </x:c>
      <x:c r="T260" s="4" t="str">
        <x:f>IFERROR(INDEX('Material routes'!$D$6:$D$2205,MATCH(V260,'Material routes'!$A$6:$A$2205,0)),"MISSING ID")</x:f>
        <x:v>proposal.t4.spar_joint</x:v>
      </x:c>
      <x:c r="U260" s="4" t="str">
        <x:v>design.t4.spar_joint.in.3</x:v>
      </x:c>
      <x:c r="V260" s="4" t="str">
        <x:v>design.t4.spar_joint.out</x:v>
      </x:c>
    </x:row>
    <x:row r="261" ht="115" customHeight="1">
      <x:c r="A261" s="4" t="str">
        <x:f>IFERROR(INDEX('Material routes'!$E$6:$E$2205,MATCH(U261,'Material routes'!$A$6:$A$2205,0)),"MISSING ID")</x:f>
        <x:v>Matched folding wing-panel sets</x:v>
      </x:c>
      <x:c r="B261" s="4" t="str">
        <x:f>IFERROR(INDEX('Material routes'!$F$6:$F$2205,MATCH(U261,'Material routes'!$A$6:$A$2205,0)),"MISSING ID")</x:f>
        <x:v>T3</x:v>
      </x:c>
      <x:c r="C261" s="4" t="str">
        <x:f>IFERROR(INDEX('Material routes'!$H$6:$H$2205,MATCH(U261,'Material routes'!$A$6:$A$2205,0)),"MISSING ID")</x:f>
        <x:v>Crafting component</x:v>
      </x:c>
      <x:c r="D261" s="4" t="str">
        <x:f>IFERROR(INDEX('Material routes'!$G$6:$G$2205,MATCH(U261,'Material routes'!$A$6:$A$2205,0)),"MISSING ID")</x:f>
        <x:v>Crafting components</x:v>
      </x:c>
      <x:c r="E261" s="4" t="str">
        <x:f>IFERROR(INDEX('Material routes'!$C$6:$C$2205,MATCH(U261,'Material routes'!$A$6:$A$2205,0)),"MISSING ID")</x:f>
        <x:v>Ingredient candidate</x:v>
      </x:c>
      <x:c r="F261" s="4" t="str">
        <x:f>IFERROR(INDEX('Material routes'!$E$6:$E$2205,MATCH(V261,'Material routes'!$A$6:$A$2205,0)),"MISSING ID")</x:f>
        <x:v>Joined folding wing-panel assembly</x:v>
      </x:c>
      <x:c r="G261" s="4" t="str">
        <x:f>IFERROR(INDEX('Material routes'!$F$6:$F$2205,MATCH(V261,'Material routes'!$A$6:$A$2205,0)),"MISSING ID")</x:f>
        <x:v>T4</x:v>
      </x:c>
      <x:c r="H261" s="4" t="str">
        <x:f>IFERROR(INDEX('Material routes'!$H$6:$H$2205,MATCH(V261,'Material routes'!$A$6:$A$2205,0)),"MISSING ID")</x:f>
        <x:v>Crafting component</x:v>
      </x:c>
      <x:c r="I261" s="4" t="str">
        <x:f>IFERROR(INDEX('Material routes'!$G$6:$G$2205,MATCH(V261,'Material routes'!$A$6:$A$2205,0)),"MISSING ID")</x:f>
        <x:v>Crafting components</x:v>
      </x:c>
      <x:c r="J261" s="4" t="str">
        <x:f>IFERROR(INDEX('Material routes'!$B$6:$B$2205,MATCH(U261,'Material routes'!$A$6:$A$2205,0)),"MISSING ID")</x:f>
        <x:v>design.t4.joined_wing_panels</x:v>
      </x:c>
      <x:c r="K261" s="4" t="str">
        <x:f>IFERROR(INDEX('Crafting recipes'!$C$6:$C$1005,MATCH(J261,'Crafting recipes'!$A$6:$A$1005,0)),"MISSING ID")</x:f>
        <x:v>Material refinement</x:v>
      </x:c>
      <x:c r="L261" s="4" t="str">
        <x:f>IFERROR(INDEX('Material routes'!$K$6:$K$2205,MATCH(U261,'Material routes'!$A$6:$A$2205,0)),"MISSING ID")</x:f>
        <x:v>Proposal</x:v>
      </x:c>
      <x:c r="M261" s="4" t="str">
        <x:f>IFERROR(INDEX('Material routes'!$M$6:$M$2205,MATCH(U261,'Material routes'!$A$6:$A$2205,0)),"MISSING ID")</x:f>
        <x:v>Partial proposal</x:v>
      </x:c>
      <x:c r="N261" s="4" t="str">
        <x:f>IF(IFERROR(INDEX('Material routes'!$I$6:$I$1005,MATCH(U261,'Material routes'!$A$6:$A$1005,0)),"MISSING ID")=0,"",IFERROR(INDEX('Material routes'!$I$6:$I$1005,MATCH(U261,'Material routes'!$A$6:$A$1005,0)),"MISSING ID"))</x:f>
      </x:c>
      <x:c r="O261" s="4" t="str">
        <x:f>IFERROR(INDEX('Material routes'!$J$6:$J$2205,MATCH(U261,'Material routes'!$A$6:$A$2205,0)),"MISSING ID")</x:f>
        <x:v>Unspecified</x:v>
      </x:c>
      <x:c r="P261" s="4" t="str">
        <x:f>IF(IFERROR(INDEX('Material routes'!$I$6:$I$1005,MATCH(V261,'Material routes'!$A$6:$A$1005,0)),"MISSING ID")=0,"",IFERROR(INDEX('Material routes'!$I$6:$I$1005,MATCH(V261,'Material routes'!$A$6:$A$1005,0)),"MISSING ID"))</x:f>
      </x:c>
      <x:c r="Q261" s="4" t="str">
        <x:f>IFERROR(INDEX('Material routes'!$J$6:$J$2205,MATCH(V261,'Material routes'!$A$6:$A$2205,0)),"MISSING ID")</x:f>
        <x:v>Unspecified</x:v>
      </x:c>
      <x:c r="R261" s="4" t="str">
        <x:f>IF(L261="Withheld","Withheld premise",IF(E261="Tool candidate","Reusable prerequisite",IF(K261="Raw entry preparation","Entry-resource preparation",IF(G261="Not applicable",IF(IFERROR(INDEX('Items'!$AI$6:$AI$1005,MATCH(T261,'Items'!$A$6:$A$1005,0)),"MISSING ID")="Finished item","Finished endpoint",IF(IFERROR(INDEX('Items'!$AI$6:$AI$1005,MATCH(T261,'Items'!$A$6:$A$1005,0)),"MISSING ID")="Currency","Currency / no refinement tier","Recovered output / tier not applicable")),IF(OR(IFERROR(INDEX('Crafting recipes'!$H$6:$H$1005,MATCH(J261,'Crafting recipes'!$A$6:$A$1005,0)),"MISSING ID")="Unassigned",G261="Unassigned"),"Tier unresolved",IF(IFERROR(VALUE(RIGHT(G261,1))-VALUE(RIGHT(IFERROR(INDEX('Crafting recipes'!$H$6:$H$1005,MATCH(J261,'Crafting recipes'!$A$6:$A$1005,0)),"MISSING ID"),1)),0)=1,IF(B261=IFERROR(INDEX('Crafting recipes'!$H$6:$H$1005,MATCH(J261,'Crafting recipes'!$A$6:$A$1005,0)),"MISSING ID"),"Advances one material tier","Lower-tier ingredient; route advances one tier"),"Needs tier review"))))))</x:f>
        <x:v>Advances one material tier</x:v>
      </x:c>
      <x:c r="S261" s="4" t="str">
        <x:f>IFERROR(INDEX('Material routes'!$D$6:$D$2205,MATCH(U261,'Material routes'!$A$6:$A$2205,0)),"MISSING ID")</x:f>
        <x:v>proposal.t3.sail_panel_set</x:v>
      </x:c>
      <x:c r="T261" s="4" t="str">
        <x:f>IFERROR(INDEX('Material routes'!$D$6:$D$2205,MATCH(V261,'Material routes'!$A$6:$A$2205,0)),"MISSING ID")</x:f>
        <x:v>proposal.t4.joined_wing_panels</x:v>
      </x:c>
      <x:c r="U261" s="4" t="str">
        <x:v>design.t4.joined_wing_panels.in.1</x:v>
      </x:c>
      <x:c r="V261" s="4" t="str">
        <x:v>design.t4.joined_wing_panels.out</x:v>
      </x:c>
    </x:row>
    <x:row r="262" ht="115" customHeight="1">
      <x:c r="A262" s="4" t="str">
        <x:f>IFERROR(INDEX('Material routes'!$E$6:$E$2205,MATCH(U262,'Material routes'!$A$6:$A$2205,0)),"MISSING ID")</x:f>
        <x:v>Bonded wing-seam reinforcement strips</x:v>
      </x:c>
      <x:c r="B262" s="4" t="str">
        <x:f>IFERROR(INDEX('Material routes'!$F$6:$F$2205,MATCH(U262,'Material routes'!$A$6:$A$2205,0)),"MISSING ID")</x:f>
        <x:v>T3</x:v>
      </x:c>
      <x:c r="C262" s="4" t="str">
        <x:f>IFERROR(INDEX('Material routes'!$H$6:$H$2205,MATCH(U262,'Material routes'!$A$6:$A$2205,0)),"MISSING ID")</x:f>
        <x:v>Processed material</x:v>
      </x:c>
      <x:c r="D262" s="4" t="str">
        <x:f>IFERROR(INDEX('Material routes'!$G$6:$G$2205,MATCH(U262,'Material routes'!$A$6:$A$2205,0)),"MISSING ID")</x:f>
        <x:v>Manufactured stock</x:v>
      </x:c>
      <x:c r="E262" s="4" t="str">
        <x:f>IFERROR(INDEX('Material routes'!$C$6:$C$2205,MATCH(U262,'Material routes'!$A$6:$A$2205,0)),"MISSING ID")</x:f>
        <x:v>Ingredient candidate</x:v>
      </x:c>
      <x:c r="F262" s="4" t="str">
        <x:f>IFERROR(INDEX('Material routes'!$E$6:$E$2205,MATCH(V262,'Material routes'!$A$6:$A$2205,0)),"MISSING ID")</x:f>
        <x:v>Joined folding wing-panel assembly</x:v>
      </x:c>
      <x:c r="G262" s="4" t="str">
        <x:f>IFERROR(INDEX('Material routes'!$F$6:$F$2205,MATCH(V262,'Material routes'!$A$6:$A$2205,0)),"MISSING ID")</x:f>
        <x:v>T4</x:v>
      </x:c>
      <x:c r="H262" s="4" t="str">
        <x:f>IFERROR(INDEX('Material routes'!$H$6:$H$2205,MATCH(V262,'Material routes'!$A$6:$A$2205,0)),"MISSING ID")</x:f>
        <x:v>Crafting component</x:v>
      </x:c>
      <x:c r="I262" s="4" t="str">
        <x:f>IFERROR(INDEX('Material routes'!$G$6:$G$2205,MATCH(V262,'Material routes'!$A$6:$A$2205,0)),"MISSING ID")</x:f>
        <x:v>Crafting components</x:v>
      </x:c>
      <x:c r="J262" s="4" t="str">
        <x:f>IFERROR(INDEX('Material routes'!$B$6:$B$2205,MATCH(U262,'Material routes'!$A$6:$A$2205,0)),"MISSING ID")</x:f>
        <x:v>design.t4.joined_wing_panels</x:v>
      </x:c>
      <x:c r="K262" s="4" t="str">
        <x:f>IFERROR(INDEX('Crafting recipes'!$C$6:$C$1005,MATCH(J262,'Crafting recipes'!$A$6:$A$1005,0)),"MISSING ID")</x:f>
        <x:v>Material refinement</x:v>
      </x:c>
      <x:c r="L262" s="4" t="str">
        <x:f>IFERROR(INDEX('Material routes'!$K$6:$K$2205,MATCH(U262,'Material routes'!$A$6:$A$2205,0)),"MISSING ID")</x:f>
        <x:v>Proposal</x:v>
      </x:c>
      <x:c r="M262" s="4" t="str">
        <x:f>IFERROR(INDEX('Material routes'!$M$6:$M$2205,MATCH(U262,'Material routes'!$A$6:$A$2205,0)),"MISSING ID")</x:f>
        <x:v>Partial proposal</x:v>
      </x:c>
      <x:c r="N262" s="4" t="str">
        <x:f>IF(IFERROR(INDEX('Material routes'!$I$6:$I$1005,MATCH(U262,'Material routes'!$A$6:$A$1005,0)),"MISSING ID")=0,"",IFERROR(INDEX('Material routes'!$I$6:$I$1005,MATCH(U262,'Material routes'!$A$6:$A$1005,0)),"MISSING ID"))</x:f>
      </x:c>
      <x:c r="O262" s="4" t="str">
        <x:f>IFERROR(INDEX('Material routes'!$J$6:$J$2205,MATCH(U262,'Material routes'!$A$6:$A$2205,0)),"MISSING ID")</x:f>
        <x:v>Unspecified</x:v>
      </x:c>
      <x:c r="P262" s="4" t="str">
        <x:f>IF(IFERROR(INDEX('Material routes'!$I$6:$I$1005,MATCH(V262,'Material routes'!$A$6:$A$1005,0)),"MISSING ID")=0,"",IFERROR(INDEX('Material routes'!$I$6:$I$1005,MATCH(V262,'Material routes'!$A$6:$A$1005,0)),"MISSING ID"))</x:f>
      </x:c>
      <x:c r="Q262" s="4" t="str">
        <x:f>IFERROR(INDEX('Material routes'!$J$6:$J$2205,MATCH(V262,'Material routes'!$A$6:$A$2205,0)),"MISSING ID")</x:f>
        <x:v>Unspecified</x:v>
      </x:c>
      <x:c r="R262" s="4" t="str">
        <x:f>IF(L262="Withheld","Withheld premise",IF(E262="Tool candidate","Reusable prerequisite",IF(K262="Raw entry preparation","Entry-resource preparation",IF(G262="Not applicable",IF(IFERROR(INDEX('Items'!$AI$6:$AI$1005,MATCH(T262,'Items'!$A$6:$A$1005,0)),"MISSING ID")="Finished item","Finished endpoint",IF(IFERROR(INDEX('Items'!$AI$6:$AI$1005,MATCH(T262,'Items'!$A$6:$A$1005,0)),"MISSING ID")="Currency","Currency / no refinement tier","Recovered output / tier not applicable")),IF(OR(IFERROR(INDEX('Crafting recipes'!$H$6:$H$1005,MATCH(J262,'Crafting recipes'!$A$6:$A$1005,0)),"MISSING ID")="Unassigned",G262="Unassigned"),"Tier unresolved",IF(IFERROR(VALUE(RIGHT(G262,1))-VALUE(RIGHT(IFERROR(INDEX('Crafting recipes'!$H$6:$H$1005,MATCH(J262,'Crafting recipes'!$A$6:$A$1005,0)),"MISSING ID"),1)),0)=1,IF(B262=IFERROR(INDEX('Crafting recipes'!$H$6:$H$1005,MATCH(J262,'Crafting recipes'!$A$6:$A$1005,0)),"MISSING ID"),"Advances one material tier","Lower-tier ingredient; route advances one tier"),"Needs tier review"))))))</x:f>
        <x:v>Advances one material tier</x:v>
      </x:c>
      <x:c r="S262" s="4" t="str">
        <x:f>IFERROR(INDEX('Material routes'!$D$6:$D$2205,MATCH(U262,'Material routes'!$A$6:$A$2205,0)),"MISSING ID")</x:f>
        <x:v>proposal.t3.wing_seam</x:v>
      </x:c>
      <x:c r="T262" s="4" t="str">
        <x:f>IFERROR(INDEX('Material routes'!$D$6:$D$2205,MATCH(V262,'Material routes'!$A$6:$A$2205,0)),"MISSING ID")</x:f>
        <x:v>proposal.t4.joined_wing_panels</x:v>
      </x:c>
      <x:c r="U262" s="4" t="str">
        <x:v>design.t4.joined_wing_panels.in.2</x:v>
      </x:c>
      <x:c r="V262" s="4" t="str">
        <x:v>design.t4.joined_wing_panels.out</x:v>
      </x:c>
    </x:row>
    <x:row r="263" ht="115" customHeight="1">
      <x:c r="A263" s="4" t="str">
        <x:f>IFERROR(INDEX('Material routes'!$E$6:$E$2205,MATCH(U263,'Material routes'!$A$6:$A$2205,0)),"MISSING ID")</x:f>
        <x:v>Flexible husk joint strips</x:v>
      </x:c>
      <x:c r="B263" s="4" t="str">
        <x:f>IFERROR(INDEX('Material routes'!$F$6:$F$2205,MATCH(U263,'Material routes'!$A$6:$A$2205,0)),"MISSING ID")</x:f>
        <x:v>T3</x:v>
      </x:c>
      <x:c r="C263" s="4" t="str">
        <x:f>IFERROR(INDEX('Material routes'!$H$6:$H$2205,MATCH(U263,'Material routes'!$A$6:$A$2205,0)),"MISSING ID")</x:f>
        <x:v>Processed material</x:v>
      </x:c>
      <x:c r="D263" s="4" t="str">
        <x:f>IFERROR(INDEX('Material routes'!$G$6:$G$2205,MATCH(U263,'Material routes'!$A$6:$A$2205,0)),"MISSING ID")</x:f>
        <x:v>Manufactured stock</x:v>
      </x:c>
      <x:c r="E263" s="4" t="str">
        <x:f>IFERROR(INDEX('Material routes'!$C$6:$C$2205,MATCH(U263,'Material routes'!$A$6:$A$2205,0)),"MISSING ID")</x:f>
        <x:v>Ingredient candidate</x:v>
      </x:c>
      <x:c r="F263" s="4" t="str">
        <x:f>IFERROR(INDEX('Material routes'!$E$6:$E$2205,MATCH(V263,'Material routes'!$A$6:$A$2205,0)),"MISSING ID")</x:f>
        <x:v>Joined folding wing-panel assembly</x:v>
      </x:c>
      <x:c r="G263" s="4" t="str">
        <x:f>IFERROR(INDEX('Material routes'!$F$6:$F$2205,MATCH(V263,'Material routes'!$A$6:$A$2205,0)),"MISSING ID")</x:f>
        <x:v>T4</x:v>
      </x:c>
      <x:c r="H263" s="4" t="str">
        <x:f>IFERROR(INDEX('Material routes'!$H$6:$H$2205,MATCH(V263,'Material routes'!$A$6:$A$2205,0)),"MISSING ID")</x:f>
        <x:v>Crafting component</x:v>
      </x:c>
      <x:c r="I263" s="4" t="str">
        <x:f>IFERROR(INDEX('Material routes'!$G$6:$G$2205,MATCH(V263,'Material routes'!$A$6:$A$2205,0)),"MISSING ID")</x:f>
        <x:v>Crafting components</x:v>
      </x:c>
      <x:c r="J263" s="4" t="str">
        <x:f>IFERROR(INDEX('Material routes'!$B$6:$B$2205,MATCH(U263,'Material routes'!$A$6:$A$2205,0)),"MISSING ID")</x:f>
        <x:v>design.t4.joined_wing_panels</x:v>
      </x:c>
      <x:c r="K263" s="4" t="str">
        <x:f>IFERROR(INDEX('Crafting recipes'!$C$6:$C$1005,MATCH(J263,'Crafting recipes'!$A$6:$A$1005,0)),"MISSING ID")</x:f>
        <x:v>Material refinement</x:v>
      </x:c>
      <x:c r="L263" s="4" t="str">
        <x:f>IFERROR(INDEX('Material routes'!$K$6:$K$2205,MATCH(U263,'Material routes'!$A$6:$A$2205,0)),"MISSING ID")</x:f>
        <x:v>Proposal</x:v>
      </x:c>
      <x:c r="M263" s="4" t="str">
        <x:f>IFERROR(INDEX('Material routes'!$M$6:$M$2205,MATCH(U263,'Material routes'!$A$6:$A$2205,0)),"MISSING ID")</x:f>
        <x:v>Partial proposal</x:v>
      </x:c>
      <x:c r="N263" s="4" t="str">
        <x:f>IF(IFERROR(INDEX('Material routes'!$I$6:$I$1005,MATCH(U263,'Material routes'!$A$6:$A$1005,0)),"MISSING ID")=0,"",IFERROR(INDEX('Material routes'!$I$6:$I$1005,MATCH(U263,'Material routes'!$A$6:$A$1005,0)),"MISSING ID"))</x:f>
      </x:c>
      <x:c r="O263" s="4" t="str">
        <x:f>IFERROR(INDEX('Material routes'!$J$6:$J$2205,MATCH(U263,'Material routes'!$A$6:$A$2205,0)),"MISSING ID")</x:f>
        <x:v>Unspecified</x:v>
      </x:c>
      <x:c r="P263" s="4" t="str">
        <x:f>IF(IFERROR(INDEX('Material routes'!$I$6:$I$1005,MATCH(V263,'Material routes'!$A$6:$A$1005,0)),"MISSING ID")=0,"",IFERROR(INDEX('Material routes'!$I$6:$I$1005,MATCH(V263,'Material routes'!$A$6:$A$1005,0)),"MISSING ID"))</x:f>
      </x:c>
      <x:c r="Q263" s="4" t="str">
        <x:f>IFERROR(INDEX('Material routes'!$J$6:$J$2205,MATCH(V263,'Material routes'!$A$6:$A$2205,0)),"MISSING ID")</x:f>
        <x:v>Unspecified</x:v>
      </x:c>
      <x:c r="R263" s="4" t="str">
        <x:f>IF(L263="Withheld","Withheld premise",IF(E263="Tool candidate","Reusable prerequisite",IF(K263="Raw entry preparation","Entry-resource preparation",IF(G263="Not applicable",IF(IFERROR(INDEX('Items'!$AI$6:$AI$1005,MATCH(T263,'Items'!$A$6:$A$1005,0)),"MISSING ID")="Finished item","Finished endpoint",IF(IFERROR(INDEX('Items'!$AI$6:$AI$1005,MATCH(T263,'Items'!$A$6:$A$1005,0)),"MISSING ID")="Currency","Currency / no refinement tier","Recovered output / tier not applicable")),IF(OR(IFERROR(INDEX('Crafting recipes'!$H$6:$H$1005,MATCH(J263,'Crafting recipes'!$A$6:$A$1005,0)),"MISSING ID")="Unassigned",G263="Unassigned"),"Tier unresolved",IF(IFERROR(VALUE(RIGHT(G263,1))-VALUE(RIGHT(IFERROR(INDEX('Crafting recipes'!$H$6:$H$1005,MATCH(J263,'Crafting recipes'!$A$6:$A$1005,0)),"MISSING ID"),1)),0)=1,IF(B263=IFERROR(INDEX('Crafting recipes'!$H$6:$H$1005,MATCH(J263,'Crafting recipes'!$A$6:$A$1005,0)),"MISSING ID"),"Advances one material tier","Lower-tier ingredient; route advances one tier"),"Needs tier review"))))))</x:f>
        <x:v>Advances one material tier</x:v>
      </x:c>
      <x:c r="S263" s="4" t="str">
        <x:f>IFERROR(INDEX('Material routes'!$D$6:$D$2205,MATCH(U263,'Material routes'!$A$6:$A$2205,0)),"MISSING ID")</x:f>
        <x:v>proposal.t3.husk_joint</x:v>
      </x:c>
      <x:c r="T263" s="4" t="str">
        <x:f>IFERROR(INDEX('Material routes'!$D$6:$D$2205,MATCH(V263,'Material routes'!$A$6:$A$2205,0)),"MISSING ID")</x:f>
        <x:v>proposal.t4.joined_wing_panels</x:v>
      </x:c>
      <x:c r="U263" s="4" t="str">
        <x:v>design.t4.joined_wing_panels.in.3</x:v>
      </x:c>
      <x:c r="V263" s="4" t="str">
        <x:v>design.t4.joined_wing_panels.out</x:v>
      </x:c>
    </x:row>
    <x:row r="264" ht="115" customHeight="1">
      <x:c r="A264" s="4" t="str">
        <x:f>IFERROR(INDEX('Material routes'!$E$6:$E$2205,MATCH(U264,'Material routes'!$A$6:$A$2205,0)),"MISSING ID")</x:f>
        <x:v>Heat-treated steel gear blanks</x:v>
      </x:c>
      <x:c r="B264" s="4" t="str">
        <x:f>IFERROR(INDEX('Material routes'!$F$6:$F$2205,MATCH(U264,'Material routes'!$A$6:$A$2205,0)),"MISSING ID")</x:f>
        <x:v>T3</x:v>
      </x:c>
      <x:c r="C264" s="4" t="str">
        <x:f>IFERROR(INDEX('Material routes'!$H$6:$H$2205,MATCH(U264,'Material routes'!$A$6:$A$2205,0)),"MISSING ID")</x:f>
        <x:v>Crafting component</x:v>
      </x:c>
      <x:c r="D264" s="4" t="str">
        <x:f>IFERROR(INDEX('Material routes'!$G$6:$G$2205,MATCH(U264,'Material routes'!$A$6:$A$2205,0)),"MISSING ID")</x:f>
        <x:v>Crafting components</x:v>
      </x:c>
      <x:c r="E264" s="4" t="str">
        <x:f>IFERROR(INDEX('Material routes'!$C$6:$C$2205,MATCH(U264,'Material routes'!$A$6:$A$2205,0)),"MISSING ID")</x:f>
        <x:v>Ingredient candidate</x:v>
      </x:c>
      <x:c r="F264" s="4" t="str">
        <x:f>IFERROR(INDEX('Material routes'!$E$6:$E$2205,MATCH(V264,'Material routes'!$A$6:$A$2205,0)),"MISSING ID")</x:f>
        <x:v>Matched wind-turbine hub core</x:v>
      </x:c>
      <x:c r="G264" s="4" t="str">
        <x:f>IFERROR(INDEX('Material routes'!$F$6:$F$2205,MATCH(V264,'Material routes'!$A$6:$A$2205,0)),"MISSING ID")</x:f>
        <x:v>T4</x:v>
      </x:c>
      <x:c r="H264" s="4" t="str">
        <x:f>IFERROR(INDEX('Material routes'!$H$6:$H$2205,MATCH(V264,'Material routes'!$A$6:$A$2205,0)),"MISSING ID")</x:f>
        <x:v>Crafting component</x:v>
      </x:c>
      <x:c r="I264" s="4" t="str">
        <x:f>IFERROR(INDEX('Material routes'!$G$6:$G$2205,MATCH(V264,'Material routes'!$A$6:$A$2205,0)),"MISSING ID")</x:f>
        <x:v>Crafting components</x:v>
      </x:c>
      <x:c r="J264" s="4" t="str">
        <x:f>IFERROR(INDEX('Material routes'!$B$6:$B$2205,MATCH(U264,'Material routes'!$A$6:$A$2205,0)),"MISSING ID")</x:f>
        <x:v>design.t4.turbine_hub</x:v>
      </x:c>
      <x:c r="K264" s="4" t="str">
        <x:f>IFERROR(INDEX('Crafting recipes'!$C$6:$C$1005,MATCH(J264,'Crafting recipes'!$A$6:$A$1005,0)),"MISSING ID")</x:f>
        <x:v>Material refinement</x:v>
      </x:c>
      <x:c r="L264" s="4" t="str">
        <x:f>IFERROR(INDEX('Material routes'!$K$6:$K$2205,MATCH(U264,'Material routes'!$A$6:$A$2205,0)),"MISSING ID")</x:f>
        <x:v>Proposal</x:v>
      </x:c>
      <x:c r="M264" s="4" t="str">
        <x:f>IFERROR(INDEX('Material routes'!$M$6:$M$2205,MATCH(U264,'Material routes'!$A$6:$A$2205,0)),"MISSING ID")</x:f>
        <x:v>Partial proposal</x:v>
      </x:c>
      <x:c r="N264" s="4" t="str">
        <x:f>IF(IFERROR(INDEX('Material routes'!$I$6:$I$1005,MATCH(U264,'Material routes'!$A$6:$A$1005,0)),"MISSING ID")=0,"",IFERROR(INDEX('Material routes'!$I$6:$I$1005,MATCH(U264,'Material routes'!$A$6:$A$1005,0)),"MISSING ID"))</x:f>
      </x:c>
      <x:c r="O264" s="4" t="str">
        <x:f>IFERROR(INDEX('Material routes'!$J$6:$J$2205,MATCH(U264,'Material routes'!$A$6:$A$2205,0)),"MISSING ID")</x:f>
        <x:v>Unspecified</x:v>
      </x:c>
      <x:c r="P264" s="4" t="str">
        <x:f>IF(IFERROR(INDEX('Material routes'!$I$6:$I$1005,MATCH(V264,'Material routes'!$A$6:$A$1005,0)),"MISSING ID")=0,"",IFERROR(INDEX('Material routes'!$I$6:$I$1005,MATCH(V264,'Material routes'!$A$6:$A$1005,0)),"MISSING ID"))</x:f>
      </x:c>
      <x:c r="Q264" s="4" t="str">
        <x:f>IFERROR(INDEX('Material routes'!$J$6:$J$2205,MATCH(V264,'Material routes'!$A$6:$A$2205,0)),"MISSING ID")</x:f>
        <x:v>Unspecified</x:v>
      </x:c>
      <x:c r="R264" s="4" t="str">
        <x:f>IF(L264="Withheld","Withheld premise",IF(E264="Tool candidate","Reusable prerequisite",IF(K264="Raw entry preparation","Entry-resource preparation",IF(G264="Not applicable",IF(IFERROR(INDEX('Items'!$AI$6:$AI$1005,MATCH(T264,'Items'!$A$6:$A$1005,0)),"MISSING ID")="Finished item","Finished endpoint",IF(IFERROR(INDEX('Items'!$AI$6:$AI$1005,MATCH(T264,'Items'!$A$6:$A$1005,0)),"MISSING ID")="Currency","Currency / no refinement tier","Recovered output / tier not applicable")),IF(OR(IFERROR(INDEX('Crafting recipes'!$H$6:$H$1005,MATCH(J264,'Crafting recipes'!$A$6:$A$1005,0)),"MISSING ID")="Unassigned",G264="Unassigned"),"Tier unresolved",IF(IFERROR(VALUE(RIGHT(G264,1))-VALUE(RIGHT(IFERROR(INDEX('Crafting recipes'!$H$6:$H$1005,MATCH(J264,'Crafting recipes'!$A$6:$A$1005,0)),"MISSING ID"),1)),0)=1,IF(B264=IFERROR(INDEX('Crafting recipes'!$H$6:$H$1005,MATCH(J264,'Crafting recipes'!$A$6:$A$1005,0)),"MISSING ID"),"Advances one material tier","Lower-tier ingredient; route advances one tier"),"Needs tier review"))))))</x:f>
        <x:v>Advances one material tier</x:v>
      </x:c>
      <x:c r="S264" s="4" t="str">
        <x:f>IFERROR(INDEX('Material routes'!$D$6:$D$2205,MATCH(U264,'Material routes'!$A$6:$A$2205,0)),"MISSING ID")</x:f>
        <x:v>proposal.t3.gear_blank</x:v>
      </x:c>
      <x:c r="T264" s="4" t="str">
        <x:f>IFERROR(INDEX('Material routes'!$D$6:$D$2205,MATCH(V264,'Material routes'!$A$6:$A$2205,0)),"MISSING ID")</x:f>
        <x:v>proposal.t4.turbine_hub</x:v>
      </x:c>
      <x:c r="U264" s="4" t="str">
        <x:v>design.t4.turbine_hub.in.1</x:v>
      </x:c>
      <x:c r="V264" s="4" t="str">
        <x:v>design.t4.turbine_hub.out</x:v>
      </x:c>
    </x:row>
    <x:row r="265" ht="115" customHeight="1">
      <x:c r="A265" s="4" t="str">
        <x:f>IFERROR(INDEX('Material routes'!$E$6:$E$2205,MATCH(U265,'Material routes'!$A$6:$A$2205,0)),"MISSING ID")</x:f>
        <x:v>Lapped bronze bearing blanks</x:v>
      </x:c>
      <x:c r="B265" s="4" t="str">
        <x:f>IFERROR(INDEX('Material routes'!$F$6:$F$2205,MATCH(U265,'Material routes'!$A$6:$A$2205,0)),"MISSING ID")</x:f>
        <x:v>T3</x:v>
      </x:c>
      <x:c r="C265" s="4" t="str">
        <x:f>IFERROR(INDEX('Material routes'!$H$6:$H$2205,MATCH(U265,'Material routes'!$A$6:$A$2205,0)),"MISSING ID")</x:f>
        <x:v>Crafting component</x:v>
      </x:c>
      <x:c r="D265" s="4" t="str">
        <x:f>IFERROR(INDEX('Material routes'!$G$6:$G$2205,MATCH(U265,'Material routes'!$A$6:$A$2205,0)),"MISSING ID")</x:f>
        <x:v>Crafting components</x:v>
      </x:c>
      <x:c r="E265" s="4" t="str">
        <x:f>IFERROR(INDEX('Material routes'!$C$6:$C$2205,MATCH(U265,'Material routes'!$A$6:$A$2205,0)),"MISSING ID")</x:f>
        <x:v>Ingredient candidate</x:v>
      </x:c>
      <x:c r="F265" s="4" t="str">
        <x:f>IFERROR(INDEX('Material routes'!$E$6:$E$2205,MATCH(V265,'Material routes'!$A$6:$A$2205,0)),"MISSING ID")</x:f>
        <x:v>Matched wind-turbine hub core</x:v>
      </x:c>
      <x:c r="G265" s="4" t="str">
        <x:f>IFERROR(INDEX('Material routes'!$F$6:$F$2205,MATCH(V265,'Material routes'!$A$6:$A$2205,0)),"MISSING ID")</x:f>
        <x:v>T4</x:v>
      </x:c>
      <x:c r="H265" s="4" t="str">
        <x:f>IFERROR(INDEX('Material routes'!$H$6:$H$2205,MATCH(V265,'Material routes'!$A$6:$A$2205,0)),"MISSING ID")</x:f>
        <x:v>Crafting component</x:v>
      </x:c>
      <x:c r="I265" s="4" t="str">
        <x:f>IFERROR(INDEX('Material routes'!$G$6:$G$2205,MATCH(V265,'Material routes'!$A$6:$A$2205,0)),"MISSING ID")</x:f>
        <x:v>Crafting components</x:v>
      </x:c>
      <x:c r="J265" s="4" t="str">
        <x:f>IFERROR(INDEX('Material routes'!$B$6:$B$2205,MATCH(U265,'Material routes'!$A$6:$A$2205,0)),"MISSING ID")</x:f>
        <x:v>design.t4.turbine_hub</x:v>
      </x:c>
      <x:c r="K265" s="4" t="str">
        <x:f>IFERROR(INDEX('Crafting recipes'!$C$6:$C$1005,MATCH(J265,'Crafting recipes'!$A$6:$A$1005,0)),"MISSING ID")</x:f>
        <x:v>Material refinement</x:v>
      </x:c>
      <x:c r="L265" s="4" t="str">
        <x:f>IFERROR(INDEX('Material routes'!$K$6:$K$2205,MATCH(U265,'Material routes'!$A$6:$A$2205,0)),"MISSING ID")</x:f>
        <x:v>Proposal</x:v>
      </x:c>
      <x:c r="M265" s="4" t="str">
        <x:f>IFERROR(INDEX('Material routes'!$M$6:$M$2205,MATCH(U265,'Material routes'!$A$6:$A$2205,0)),"MISSING ID")</x:f>
        <x:v>Partial proposal</x:v>
      </x:c>
      <x:c r="N265" s="4" t="str">
        <x:f>IF(IFERROR(INDEX('Material routes'!$I$6:$I$1005,MATCH(U265,'Material routes'!$A$6:$A$1005,0)),"MISSING ID")=0,"",IFERROR(INDEX('Material routes'!$I$6:$I$1005,MATCH(U265,'Material routes'!$A$6:$A$1005,0)),"MISSING ID"))</x:f>
      </x:c>
      <x:c r="O265" s="4" t="str">
        <x:f>IFERROR(INDEX('Material routes'!$J$6:$J$2205,MATCH(U265,'Material routes'!$A$6:$A$2205,0)),"MISSING ID")</x:f>
        <x:v>Unspecified</x:v>
      </x:c>
      <x:c r="P265" s="4" t="str">
        <x:f>IF(IFERROR(INDEX('Material routes'!$I$6:$I$1005,MATCH(V265,'Material routes'!$A$6:$A$1005,0)),"MISSING ID")=0,"",IFERROR(INDEX('Material routes'!$I$6:$I$1005,MATCH(V265,'Material routes'!$A$6:$A$1005,0)),"MISSING ID"))</x:f>
      </x:c>
      <x:c r="Q265" s="4" t="str">
        <x:f>IFERROR(INDEX('Material routes'!$J$6:$J$2205,MATCH(V265,'Material routes'!$A$6:$A$2205,0)),"MISSING ID")</x:f>
        <x:v>Unspecified</x:v>
      </x:c>
      <x:c r="R265" s="4" t="str">
        <x:f>IF(L265="Withheld","Withheld premise",IF(E265="Tool candidate","Reusable prerequisite",IF(K265="Raw entry preparation","Entry-resource preparation",IF(G265="Not applicable",IF(IFERROR(INDEX('Items'!$AI$6:$AI$1005,MATCH(T265,'Items'!$A$6:$A$1005,0)),"MISSING ID")="Finished item","Finished endpoint",IF(IFERROR(INDEX('Items'!$AI$6:$AI$1005,MATCH(T265,'Items'!$A$6:$A$1005,0)),"MISSING ID")="Currency","Currency / no refinement tier","Recovered output / tier not applicable")),IF(OR(IFERROR(INDEX('Crafting recipes'!$H$6:$H$1005,MATCH(J265,'Crafting recipes'!$A$6:$A$1005,0)),"MISSING ID")="Unassigned",G265="Unassigned"),"Tier unresolved",IF(IFERROR(VALUE(RIGHT(G265,1))-VALUE(RIGHT(IFERROR(INDEX('Crafting recipes'!$H$6:$H$1005,MATCH(J265,'Crafting recipes'!$A$6:$A$1005,0)),"MISSING ID"),1)),0)=1,IF(B265=IFERROR(INDEX('Crafting recipes'!$H$6:$H$1005,MATCH(J265,'Crafting recipes'!$A$6:$A$1005,0)),"MISSING ID"),"Advances one material tier","Lower-tier ingredient; route advances one tier"),"Needs tier review"))))))</x:f>
        <x:v>Advances one material tier</x:v>
      </x:c>
      <x:c r="S265" s="4" t="str">
        <x:f>IFERROR(INDEX('Material routes'!$D$6:$D$2205,MATCH(U265,'Material routes'!$A$6:$A$2205,0)),"MISSING ID")</x:f>
        <x:v>proposal.t3.bearing_blank</x:v>
      </x:c>
      <x:c r="T265" s="4" t="str">
        <x:f>IFERROR(INDEX('Material routes'!$D$6:$D$2205,MATCH(V265,'Material routes'!$A$6:$A$2205,0)),"MISSING ID")</x:f>
        <x:v>proposal.t4.turbine_hub</x:v>
      </x:c>
      <x:c r="U265" s="4" t="str">
        <x:v>design.t4.turbine_hub.in.2</x:v>
      </x:c>
      <x:c r="V265" s="4" t="str">
        <x:v>design.t4.turbine_hub.out</x:v>
      </x:c>
    </x:row>
    <x:row r="266" ht="115" customHeight="1">
      <x:c r="A266" s="4" t="str">
        <x:f>IFERROR(INDEX('Material routes'!$E$6:$E$2205,MATCH(U266,'Material routes'!$A$6:$A$2205,0)),"MISSING ID")</x:f>
        <x:v>Drawn steel tube stock</x:v>
      </x:c>
      <x:c r="B266" s="4" t="str">
        <x:f>IFERROR(INDEX('Material routes'!$F$6:$F$2205,MATCH(U266,'Material routes'!$A$6:$A$2205,0)),"MISSING ID")</x:f>
        <x:v>T3</x:v>
      </x:c>
      <x:c r="C266" s="4" t="str">
        <x:f>IFERROR(INDEX('Material routes'!$H$6:$H$2205,MATCH(U266,'Material routes'!$A$6:$A$2205,0)),"MISSING ID")</x:f>
        <x:v>Processed material</x:v>
      </x:c>
      <x:c r="D266" s="4" t="str">
        <x:f>IFERROR(INDEX('Material routes'!$G$6:$G$2205,MATCH(U266,'Material routes'!$A$6:$A$2205,0)),"MISSING ID")</x:f>
        <x:v>Manufactured stock</x:v>
      </x:c>
      <x:c r="E266" s="4" t="str">
        <x:f>IFERROR(INDEX('Material routes'!$C$6:$C$2205,MATCH(U266,'Material routes'!$A$6:$A$2205,0)),"MISSING ID")</x:f>
        <x:v>Ingredient candidate</x:v>
      </x:c>
      <x:c r="F266" s="4" t="str">
        <x:f>IFERROR(INDEX('Material routes'!$E$6:$E$2205,MATCH(V266,'Material routes'!$A$6:$A$2205,0)),"MISSING ID")</x:f>
        <x:v>Matched wind-turbine hub core</x:v>
      </x:c>
      <x:c r="G266" s="4" t="str">
        <x:f>IFERROR(INDEX('Material routes'!$F$6:$F$2205,MATCH(V266,'Material routes'!$A$6:$A$2205,0)),"MISSING ID")</x:f>
        <x:v>T4</x:v>
      </x:c>
      <x:c r="H266" s="4" t="str">
        <x:f>IFERROR(INDEX('Material routes'!$H$6:$H$2205,MATCH(V266,'Material routes'!$A$6:$A$2205,0)),"MISSING ID")</x:f>
        <x:v>Crafting component</x:v>
      </x:c>
      <x:c r="I266" s="4" t="str">
        <x:f>IFERROR(INDEX('Material routes'!$G$6:$G$2205,MATCH(V266,'Material routes'!$A$6:$A$2205,0)),"MISSING ID")</x:f>
        <x:v>Crafting components</x:v>
      </x:c>
      <x:c r="J266" s="4" t="str">
        <x:f>IFERROR(INDEX('Material routes'!$B$6:$B$2205,MATCH(U266,'Material routes'!$A$6:$A$2205,0)),"MISSING ID")</x:f>
        <x:v>design.t4.turbine_hub</x:v>
      </x:c>
      <x:c r="K266" s="4" t="str">
        <x:f>IFERROR(INDEX('Crafting recipes'!$C$6:$C$1005,MATCH(J266,'Crafting recipes'!$A$6:$A$1005,0)),"MISSING ID")</x:f>
        <x:v>Material refinement</x:v>
      </x:c>
      <x:c r="L266" s="4" t="str">
        <x:f>IFERROR(INDEX('Material routes'!$K$6:$K$2205,MATCH(U266,'Material routes'!$A$6:$A$2205,0)),"MISSING ID")</x:f>
        <x:v>Proposal</x:v>
      </x:c>
      <x:c r="M266" s="4" t="str">
        <x:f>IFERROR(INDEX('Material routes'!$M$6:$M$2205,MATCH(U266,'Material routes'!$A$6:$A$2205,0)),"MISSING ID")</x:f>
        <x:v>Partial proposal</x:v>
      </x:c>
      <x:c r="N266" s="4" t="str">
        <x:f>IF(IFERROR(INDEX('Material routes'!$I$6:$I$1005,MATCH(U266,'Material routes'!$A$6:$A$1005,0)),"MISSING ID")=0,"",IFERROR(INDEX('Material routes'!$I$6:$I$1005,MATCH(U266,'Material routes'!$A$6:$A$1005,0)),"MISSING ID"))</x:f>
      </x:c>
      <x:c r="O266" s="4" t="str">
        <x:f>IFERROR(INDEX('Material routes'!$J$6:$J$2205,MATCH(U266,'Material routes'!$A$6:$A$2205,0)),"MISSING ID")</x:f>
        <x:v>Unspecified</x:v>
      </x:c>
      <x:c r="P266" s="4" t="str">
        <x:f>IF(IFERROR(INDEX('Material routes'!$I$6:$I$1005,MATCH(V266,'Material routes'!$A$6:$A$1005,0)),"MISSING ID")=0,"",IFERROR(INDEX('Material routes'!$I$6:$I$1005,MATCH(V266,'Material routes'!$A$6:$A$1005,0)),"MISSING ID"))</x:f>
      </x:c>
      <x:c r="Q266" s="4" t="str">
        <x:f>IFERROR(INDEX('Material routes'!$J$6:$J$2205,MATCH(V266,'Material routes'!$A$6:$A$2205,0)),"MISSING ID")</x:f>
        <x:v>Unspecified</x:v>
      </x:c>
      <x:c r="R266" s="4" t="str">
        <x:f>IF(L266="Withheld","Withheld premise",IF(E266="Tool candidate","Reusable prerequisite",IF(K266="Raw entry preparation","Entry-resource preparation",IF(G266="Not applicable",IF(IFERROR(INDEX('Items'!$AI$6:$AI$1005,MATCH(T266,'Items'!$A$6:$A$1005,0)),"MISSING ID")="Finished item","Finished endpoint",IF(IFERROR(INDEX('Items'!$AI$6:$AI$1005,MATCH(T266,'Items'!$A$6:$A$1005,0)),"MISSING ID")="Currency","Currency / no refinement tier","Recovered output / tier not applicable")),IF(OR(IFERROR(INDEX('Crafting recipes'!$H$6:$H$1005,MATCH(J266,'Crafting recipes'!$A$6:$A$1005,0)),"MISSING ID")="Unassigned",G266="Unassigned"),"Tier unresolved",IF(IFERROR(VALUE(RIGHT(G266,1))-VALUE(RIGHT(IFERROR(INDEX('Crafting recipes'!$H$6:$H$1005,MATCH(J266,'Crafting recipes'!$A$6:$A$1005,0)),"MISSING ID"),1)),0)=1,IF(B266=IFERROR(INDEX('Crafting recipes'!$H$6:$H$1005,MATCH(J266,'Crafting recipes'!$A$6:$A$1005,0)),"MISSING ID"),"Advances one material tier","Lower-tier ingredient; route advances one tier"),"Needs tier review"))))))</x:f>
        <x:v>Advances one material tier</x:v>
      </x:c>
      <x:c r="S266" s="4" t="str">
        <x:f>IFERROR(INDEX('Material routes'!$D$6:$D$2205,MATCH(U266,'Material routes'!$A$6:$A$2205,0)),"MISSING ID")</x:f>
        <x:v>proposal.t3.precision_tube</x:v>
      </x:c>
      <x:c r="T266" s="4" t="str">
        <x:f>IFERROR(INDEX('Material routes'!$D$6:$D$2205,MATCH(V266,'Material routes'!$A$6:$A$2205,0)),"MISSING ID")</x:f>
        <x:v>proposal.t4.turbine_hub</x:v>
      </x:c>
      <x:c r="U266" s="4" t="str">
        <x:v>design.t4.turbine_hub.in.3</x:v>
      </x:c>
      <x:c r="V266" s="4" t="str">
        <x:v>design.t4.turbine_hub.out</x:v>
      </x:c>
    </x:row>
    <x:row r="267" ht="115" customHeight="1">
      <x:c r="A267" s="4" t="str">
        <x:f>IFERROR(INDEX('Material routes'!$E$6:$E$2205,MATCH(U267,'Material routes'!$A$6:$A$2205,0)),"MISSING ID")</x:f>
        <x:v>Conditioned mechanism-service grease</x:v>
      </x:c>
      <x:c r="B267" s="4" t="str">
        <x:f>IFERROR(INDEX('Material routes'!$F$6:$F$2205,MATCH(U267,'Material routes'!$A$6:$A$2205,0)),"MISSING ID")</x:f>
        <x:v>T3</x:v>
      </x:c>
      <x:c r="C267" s="4" t="str">
        <x:f>IFERROR(INDEX('Material routes'!$H$6:$H$2205,MATCH(U267,'Material routes'!$A$6:$A$2205,0)),"MISSING ID")</x:f>
        <x:v>Chemical material</x:v>
      </x:c>
      <x:c r="D267" s="4" t="str">
        <x:f>IFERROR(INDEX('Material routes'!$G$6:$G$2205,MATCH(U267,'Material routes'!$A$6:$A$2205,0)),"MISSING ID")</x:f>
        <x:v>Crafting components</x:v>
      </x:c>
      <x:c r="E267" s="4" t="str">
        <x:f>IFERROR(INDEX('Material routes'!$C$6:$C$2205,MATCH(U267,'Material routes'!$A$6:$A$2205,0)),"MISSING ID")</x:f>
        <x:v>Ingredient candidate</x:v>
      </x:c>
      <x:c r="F267" s="4" t="str">
        <x:f>IFERROR(INDEX('Material routes'!$E$6:$E$2205,MATCH(V267,'Material routes'!$A$6:$A$2205,0)),"MISSING ID")</x:f>
        <x:v>Matched wind-turbine hub core</x:v>
      </x:c>
      <x:c r="G267" s="4" t="str">
        <x:f>IFERROR(INDEX('Material routes'!$F$6:$F$2205,MATCH(V267,'Material routes'!$A$6:$A$2205,0)),"MISSING ID")</x:f>
        <x:v>T4</x:v>
      </x:c>
      <x:c r="H267" s="4" t="str">
        <x:f>IFERROR(INDEX('Material routes'!$H$6:$H$2205,MATCH(V267,'Material routes'!$A$6:$A$2205,0)),"MISSING ID")</x:f>
        <x:v>Crafting component</x:v>
      </x:c>
      <x:c r="I267" s="4" t="str">
        <x:f>IFERROR(INDEX('Material routes'!$G$6:$G$2205,MATCH(V267,'Material routes'!$A$6:$A$2205,0)),"MISSING ID")</x:f>
        <x:v>Crafting components</x:v>
      </x:c>
      <x:c r="J267" s="4" t="str">
        <x:f>IFERROR(INDEX('Material routes'!$B$6:$B$2205,MATCH(U267,'Material routes'!$A$6:$A$2205,0)),"MISSING ID")</x:f>
        <x:v>design.t4.turbine_hub</x:v>
      </x:c>
      <x:c r="K267" s="4" t="str">
        <x:f>IFERROR(INDEX('Crafting recipes'!$C$6:$C$1005,MATCH(J267,'Crafting recipes'!$A$6:$A$1005,0)),"MISSING ID")</x:f>
        <x:v>Material refinement</x:v>
      </x:c>
      <x:c r="L267" s="4" t="str">
        <x:f>IFERROR(INDEX('Material routes'!$K$6:$K$2205,MATCH(U267,'Material routes'!$A$6:$A$2205,0)),"MISSING ID")</x:f>
        <x:v>Proposal</x:v>
      </x:c>
      <x:c r="M267" s="4" t="str">
        <x:f>IFERROR(INDEX('Material routes'!$M$6:$M$2205,MATCH(U267,'Material routes'!$A$6:$A$2205,0)),"MISSING ID")</x:f>
        <x:v>Partial proposal</x:v>
      </x:c>
      <x:c r="N267" s="4" t="str">
        <x:f>IF(IFERROR(INDEX('Material routes'!$I$6:$I$1005,MATCH(U267,'Material routes'!$A$6:$A$1005,0)),"MISSING ID")=0,"",IFERROR(INDEX('Material routes'!$I$6:$I$1005,MATCH(U267,'Material routes'!$A$6:$A$1005,0)),"MISSING ID"))</x:f>
      </x:c>
      <x:c r="O267" s="4" t="str">
        <x:f>IFERROR(INDEX('Material routes'!$J$6:$J$2205,MATCH(U267,'Material routes'!$A$6:$A$2205,0)),"MISSING ID")</x:f>
        <x:v>Unspecified</x:v>
      </x:c>
      <x:c r="P267" s="4" t="str">
        <x:f>IF(IFERROR(INDEX('Material routes'!$I$6:$I$1005,MATCH(V267,'Material routes'!$A$6:$A$1005,0)),"MISSING ID")=0,"",IFERROR(INDEX('Material routes'!$I$6:$I$1005,MATCH(V267,'Material routes'!$A$6:$A$1005,0)),"MISSING ID"))</x:f>
      </x:c>
      <x:c r="Q267" s="4" t="str">
        <x:f>IFERROR(INDEX('Material routes'!$J$6:$J$2205,MATCH(V267,'Material routes'!$A$6:$A$2205,0)),"MISSING ID")</x:f>
        <x:v>Unspecified</x:v>
      </x:c>
      <x:c r="R267" s="4" t="str">
        <x:f>IF(L267="Withheld","Withheld premise",IF(E267="Tool candidate","Reusable prerequisite",IF(K267="Raw entry preparation","Entry-resource preparation",IF(G267="Not applicable",IF(IFERROR(INDEX('Items'!$AI$6:$AI$1005,MATCH(T267,'Items'!$A$6:$A$1005,0)),"MISSING ID")="Finished item","Finished endpoint",IF(IFERROR(INDEX('Items'!$AI$6:$AI$1005,MATCH(T267,'Items'!$A$6:$A$1005,0)),"MISSING ID")="Currency","Currency / no refinement tier","Recovered output / tier not applicable")),IF(OR(IFERROR(INDEX('Crafting recipes'!$H$6:$H$1005,MATCH(J267,'Crafting recipes'!$A$6:$A$1005,0)),"MISSING ID")="Unassigned",G267="Unassigned"),"Tier unresolved",IF(IFERROR(VALUE(RIGHT(G267,1))-VALUE(RIGHT(IFERROR(INDEX('Crafting recipes'!$H$6:$H$1005,MATCH(J267,'Crafting recipes'!$A$6:$A$1005,0)),"MISSING ID"),1)),0)=1,IF(B267=IFERROR(INDEX('Crafting recipes'!$H$6:$H$1005,MATCH(J267,'Crafting recipes'!$A$6:$A$1005,0)),"MISSING ID"),"Advances one material tier","Lower-tier ingredient; route advances one tier"),"Needs tier review"))))))</x:f>
        <x:v>Advances one material tier</x:v>
      </x:c>
      <x:c r="S267" s="4" t="str">
        <x:f>IFERROR(INDEX('Material routes'!$D$6:$D$2205,MATCH(U267,'Material routes'!$A$6:$A$2205,0)),"MISSING ID")</x:f>
        <x:v>proposal.t3.service_grease</x:v>
      </x:c>
      <x:c r="T267" s="4" t="str">
        <x:f>IFERROR(INDEX('Material routes'!$D$6:$D$2205,MATCH(V267,'Material routes'!$A$6:$A$2205,0)),"MISSING ID")</x:f>
        <x:v>proposal.t4.turbine_hub</x:v>
      </x:c>
      <x:c r="U267" s="4" t="str">
        <x:v>design.t4.turbine_hub.in.4</x:v>
      </x:c>
      <x:c r="V267" s="4" t="str">
        <x:v>design.t4.turbine_hub.out</x:v>
      </x:c>
    </x:row>
    <x:row r="268" ht="115" customHeight="1">
      <x:c r="A268" s="4" t="str">
        <x:f>IFERROR(INDEX('Material routes'!$E$6:$E$2205,MATCH(U268,'Material routes'!$A$6:$A$2205,0)),"MISSING ID")</x:f>
        <x:v>Lapped bronze bearing blanks</x:v>
      </x:c>
      <x:c r="B268" s="4" t="str">
        <x:f>IFERROR(INDEX('Material routes'!$F$6:$F$2205,MATCH(U268,'Material routes'!$A$6:$A$2205,0)),"MISSING ID")</x:f>
        <x:v>T3</x:v>
      </x:c>
      <x:c r="C268" s="4" t="str">
        <x:f>IFERROR(INDEX('Material routes'!$H$6:$H$2205,MATCH(U268,'Material routes'!$A$6:$A$2205,0)),"MISSING ID")</x:f>
        <x:v>Crafting component</x:v>
      </x:c>
      <x:c r="D268" s="4" t="str">
        <x:f>IFERROR(INDEX('Material routes'!$G$6:$G$2205,MATCH(U268,'Material routes'!$A$6:$A$2205,0)),"MISSING ID")</x:f>
        <x:v>Crafting components</x:v>
      </x:c>
      <x:c r="E268" s="4" t="str">
        <x:f>IFERROR(INDEX('Material routes'!$C$6:$C$2205,MATCH(U268,'Material routes'!$A$6:$A$2205,0)),"MISSING ID")</x:f>
        <x:v>Ingredient candidate</x:v>
      </x:c>
      <x:c r="F268" s="4" t="str">
        <x:f>IFERROR(INDEX('Material routes'!$E$6:$E$2205,MATCH(V268,'Material routes'!$A$6:$A$2205,0)),"MISSING ID")</x:f>
        <x:v>Dirtboard wheel-hub core</x:v>
      </x:c>
      <x:c r="G268" s="4" t="str">
        <x:f>IFERROR(INDEX('Material routes'!$F$6:$F$2205,MATCH(V268,'Material routes'!$A$6:$A$2205,0)),"MISSING ID")</x:f>
        <x:v>T4</x:v>
      </x:c>
      <x:c r="H268" s="4" t="str">
        <x:f>IFERROR(INDEX('Material routes'!$H$6:$H$2205,MATCH(V268,'Material routes'!$A$6:$A$2205,0)),"MISSING ID")</x:f>
        <x:v>Crafting component</x:v>
      </x:c>
      <x:c r="I268" s="4" t="str">
        <x:f>IFERROR(INDEX('Material routes'!$G$6:$G$2205,MATCH(V268,'Material routes'!$A$6:$A$2205,0)),"MISSING ID")</x:f>
        <x:v>Salvage</x:v>
      </x:c>
      <x:c r="J268" s="4" t="str">
        <x:f>IFERROR(INDEX('Material routes'!$B$6:$B$2205,MATCH(U268,'Material routes'!$A$6:$A$2205,0)),"MISSING ID")</x:f>
        <x:v>design.t4.wheel_hub</x:v>
      </x:c>
      <x:c r="K268" s="4" t="str">
        <x:f>IFERROR(INDEX('Crafting recipes'!$C$6:$C$1005,MATCH(J268,'Crafting recipes'!$A$6:$A$1005,0)),"MISSING ID")</x:f>
        <x:v>Material refinement</x:v>
      </x:c>
      <x:c r="L268" s="4" t="str">
        <x:f>IFERROR(INDEX('Material routes'!$K$6:$K$2205,MATCH(U268,'Material routes'!$A$6:$A$2205,0)),"MISSING ID")</x:f>
        <x:v>Proposal</x:v>
      </x:c>
      <x:c r="M268" s="4" t="str">
        <x:f>IFERROR(INDEX('Material routes'!$M$6:$M$2205,MATCH(U268,'Material routes'!$A$6:$A$2205,0)),"MISSING ID")</x:f>
        <x:v>Partial proposal</x:v>
      </x:c>
      <x:c r="N268" s="4" t="str">
        <x:f>IF(IFERROR(INDEX('Material routes'!$I$6:$I$1005,MATCH(U268,'Material routes'!$A$6:$A$1005,0)),"MISSING ID")=0,"",IFERROR(INDEX('Material routes'!$I$6:$I$1005,MATCH(U268,'Material routes'!$A$6:$A$1005,0)),"MISSING ID"))</x:f>
      </x:c>
      <x:c r="O268" s="4" t="str">
        <x:f>IFERROR(INDEX('Material routes'!$J$6:$J$2205,MATCH(U268,'Material routes'!$A$6:$A$2205,0)),"MISSING ID")</x:f>
        <x:v>Unspecified</x:v>
      </x:c>
      <x:c r="P268" s="4" t="str">
        <x:f>IF(IFERROR(INDEX('Material routes'!$I$6:$I$1005,MATCH(V268,'Material routes'!$A$6:$A$1005,0)),"MISSING ID")=0,"",IFERROR(INDEX('Material routes'!$I$6:$I$1005,MATCH(V268,'Material routes'!$A$6:$A$1005,0)),"MISSING ID"))</x:f>
      </x:c>
      <x:c r="Q268" s="4" t="str">
        <x:f>IFERROR(INDEX('Material routes'!$J$6:$J$2205,MATCH(V268,'Material routes'!$A$6:$A$2205,0)),"MISSING ID")</x:f>
        <x:v>Unspecified</x:v>
      </x:c>
      <x:c r="R268" s="4" t="str">
        <x:f>IF(L268="Withheld","Withheld premise",IF(E268="Tool candidate","Reusable prerequisite",IF(K268="Raw entry preparation","Entry-resource preparation",IF(G268="Not applicable",IF(IFERROR(INDEX('Items'!$AI$6:$AI$1005,MATCH(T268,'Items'!$A$6:$A$1005,0)),"MISSING ID")="Finished item","Finished endpoint",IF(IFERROR(INDEX('Items'!$AI$6:$AI$1005,MATCH(T268,'Items'!$A$6:$A$1005,0)),"MISSING ID")="Currency","Currency / no refinement tier","Recovered output / tier not applicable")),IF(OR(IFERROR(INDEX('Crafting recipes'!$H$6:$H$1005,MATCH(J268,'Crafting recipes'!$A$6:$A$1005,0)),"MISSING ID")="Unassigned",G268="Unassigned"),"Tier unresolved",IF(IFERROR(VALUE(RIGHT(G268,1))-VALUE(RIGHT(IFERROR(INDEX('Crafting recipes'!$H$6:$H$1005,MATCH(J268,'Crafting recipes'!$A$6:$A$1005,0)),"MISSING ID"),1)),0)=1,IF(B268=IFERROR(INDEX('Crafting recipes'!$H$6:$H$1005,MATCH(J268,'Crafting recipes'!$A$6:$A$1005,0)),"MISSING ID"),"Advances one material tier","Lower-tier ingredient; route advances one tier"),"Needs tier review"))))))</x:f>
        <x:v>Advances one material tier</x:v>
      </x:c>
      <x:c r="S268" s="4" t="str">
        <x:f>IFERROR(INDEX('Material routes'!$D$6:$D$2205,MATCH(U268,'Material routes'!$A$6:$A$2205,0)),"MISSING ID")</x:f>
        <x:v>proposal.t3.bearing_blank</x:v>
      </x:c>
      <x:c r="T268" s="4" t="str">
        <x:f>IFERROR(INDEX('Material routes'!$D$6:$D$2205,MATCH(V268,'Material routes'!$A$6:$A$2205,0)),"MISSING ID")</x:f>
        <x:v>proposal.t4.wheel_hub</x:v>
      </x:c>
      <x:c r="U268" s="4" t="str">
        <x:v>design.t4.wheel_hub.in.1</x:v>
      </x:c>
      <x:c r="V268" s="4" t="str">
        <x:v>design.t4.wheel_hub.out</x:v>
      </x:c>
    </x:row>
    <x:row r="269" ht="115" customHeight="1">
      <x:c r="A269" s="4" t="str">
        <x:f>IFERROR(INDEX('Material routes'!$E$6:$E$2205,MATCH(U269,'Material routes'!$A$6:$A$2205,0)),"MISSING ID")</x:f>
        <x:v>Drawn steel tube stock</x:v>
      </x:c>
      <x:c r="B269" s="4" t="str">
        <x:f>IFERROR(INDEX('Material routes'!$F$6:$F$2205,MATCH(U269,'Material routes'!$A$6:$A$2205,0)),"MISSING ID")</x:f>
        <x:v>T3</x:v>
      </x:c>
      <x:c r="C269" s="4" t="str">
        <x:f>IFERROR(INDEX('Material routes'!$H$6:$H$2205,MATCH(U269,'Material routes'!$A$6:$A$2205,0)),"MISSING ID")</x:f>
        <x:v>Processed material</x:v>
      </x:c>
      <x:c r="D269" s="4" t="str">
        <x:f>IFERROR(INDEX('Material routes'!$G$6:$G$2205,MATCH(U269,'Material routes'!$A$6:$A$2205,0)),"MISSING ID")</x:f>
        <x:v>Manufactured stock</x:v>
      </x:c>
      <x:c r="E269" s="4" t="str">
        <x:f>IFERROR(INDEX('Material routes'!$C$6:$C$2205,MATCH(U269,'Material routes'!$A$6:$A$2205,0)),"MISSING ID")</x:f>
        <x:v>Ingredient candidate</x:v>
      </x:c>
      <x:c r="F269" s="4" t="str">
        <x:f>IFERROR(INDEX('Material routes'!$E$6:$E$2205,MATCH(V269,'Material routes'!$A$6:$A$2205,0)),"MISSING ID")</x:f>
        <x:v>Dirtboard wheel-hub core</x:v>
      </x:c>
      <x:c r="G269" s="4" t="str">
        <x:f>IFERROR(INDEX('Material routes'!$F$6:$F$2205,MATCH(V269,'Material routes'!$A$6:$A$2205,0)),"MISSING ID")</x:f>
        <x:v>T4</x:v>
      </x:c>
      <x:c r="H269" s="4" t="str">
        <x:f>IFERROR(INDEX('Material routes'!$H$6:$H$2205,MATCH(V269,'Material routes'!$A$6:$A$2205,0)),"MISSING ID")</x:f>
        <x:v>Crafting component</x:v>
      </x:c>
      <x:c r="I269" s="4" t="str">
        <x:f>IFERROR(INDEX('Material routes'!$G$6:$G$2205,MATCH(V269,'Material routes'!$A$6:$A$2205,0)),"MISSING ID")</x:f>
        <x:v>Salvage</x:v>
      </x:c>
      <x:c r="J269" s="4" t="str">
        <x:f>IFERROR(INDEX('Material routes'!$B$6:$B$2205,MATCH(U269,'Material routes'!$A$6:$A$2205,0)),"MISSING ID")</x:f>
        <x:v>design.t4.wheel_hub</x:v>
      </x:c>
      <x:c r="K269" s="4" t="str">
        <x:f>IFERROR(INDEX('Crafting recipes'!$C$6:$C$1005,MATCH(J269,'Crafting recipes'!$A$6:$A$1005,0)),"MISSING ID")</x:f>
        <x:v>Material refinement</x:v>
      </x:c>
      <x:c r="L269" s="4" t="str">
        <x:f>IFERROR(INDEX('Material routes'!$K$6:$K$2205,MATCH(U269,'Material routes'!$A$6:$A$2205,0)),"MISSING ID")</x:f>
        <x:v>Proposal</x:v>
      </x:c>
      <x:c r="M269" s="4" t="str">
        <x:f>IFERROR(INDEX('Material routes'!$M$6:$M$2205,MATCH(U269,'Material routes'!$A$6:$A$2205,0)),"MISSING ID")</x:f>
        <x:v>Partial proposal</x:v>
      </x:c>
      <x:c r="N269" s="4" t="str">
        <x:f>IF(IFERROR(INDEX('Material routes'!$I$6:$I$1005,MATCH(U269,'Material routes'!$A$6:$A$1005,0)),"MISSING ID")=0,"",IFERROR(INDEX('Material routes'!$I$6:$I$1005,MATCH(U269,'Material routes'!$A$6:$A$1005,0)),"MISSING ID"))</x:f>
      </x:c>
      <x:c r="O269" s="4" t="str">
        <x:f>IFERROR(INDEX('Material routes'!$J$6:$J$2205,MATCH(U269,'Material routes'!$A$6:$A$2205,0)),"MISSING ID")</x:f>
        <x:v>Unspecified</x:v>
      </x:c>
      <x:c r="P269" s="4" t="str">
        <x:f>IF(IFERROR(INDEX('Material routes'!$I$6:$I$1005,MATCH(V269,'Material routes'!$A$6:$A$1005,0)),"MISSING ID")=0,"",IFERROR(INDEX('Material routes'!$I$6:$I$1005,MATCH(V269,'Material routes'!$A$6:$A$1005,0)),"MISSING ID"))</x:f>
      </x:c>
      <x:c r="Q269" s="4" t="str">
        <x:f>IFERROR(INDEX('Material routes'!$J$6:$J$2205,MATCH(V269,'Material routes'!$A$6:$A$2205,0)),"MISSING ID")</x:f>
        <x:v>Unspecified</x:v>
      </x:c>
      <x:c r="R269" s="4" t="str">
        <x:f>IF(L269="Withheld","Withheld premise",IF(E269="Tool candidate","Reusable prerequisite",IF(K269="Raw entry preparation","Entry-resource preparation",IF(G269="Not applicable",IF(IFERROR(INDEX('Items'!$AI$6:$AI$1005,MATCH(T269,'Items'!$A$6:$A$1005,0)),"MISSING ID")="Finished item","Finished endpoint",IF(IFERROR(INDEX('Items'!$AI$6:$AI$1005,MATCH(T269,'Items'!$A$6:$A$1005,0)),"MISSING ID")="Currency","Currency / no refinement tier","Recovered output / tier not applicable")),IF(OR(IFERROR(INDEX('Crafting recipes'!$H$6:$H$1005,MATCH(J269,'Crafting recipes'!$A$6:$A$1005,0)),"MISSING ID")="Unassigned",G269="Unassigned"),"Tier unresolved",IF(IFERROR(VALUE(RIGHT(G269,1))-VALUE(RIGHT(IFERROR(INDEX('Crafting recipes'!$H$6:$H$1005,MATCH(J269,'Crafting recipes'!$A$6:$A$1005,0)),"MISSING ID"),1)),0)=1,IF(B269=IFERROR(INDEX('Crafting recipes'!$H$6:$H$1005,MATCH(J269,'Crafting recipes'!$A$6:$A$1005,0)),"MISSING ID"),"Advances one material tier","Lower-tier ingredient; route advances one tier"),"Needs tier review"))))))</x:f>
        <x:v>Advances one material tier</x:v>
      </x:c>
      <x:c r="S269" s="4" t="str">
        <x:f>IFERROR(INDEX('Material routes'!$D$6:$D$2205,MATCH(U269,'Material routes'!$A$6:$A$2205,0)),"MISSING ID")</x:f>
        <x:v>proposal.t3.precision_tube</x:v>
      </x:c>
      <x:c r="T269" s="4" t="str">
        <x:f>IFERROR(INDEX('Material routes'!$D$6:$D$2205,MATCH(V269,'Material routes'!$A$6:$A$2205,0)),"MISSING ID")</x:f>
        <x:v>proposal.t4.wheel_hub</x:v>
      </x:c>
      <x:c r="U269" s="4" t="str">
        <x:v>design.t4.wheel_hub.in.2</x:v>
      </x:c>
      <x:c r="V269" s="4" t="str">
        <x:v>design.t4.wheel_hub.out</x:v>
      </x:c>
    </x:row>
    <x:row r="270" ht="115" customHeight="1">
      <x:c r="A270" s="4" t="str">
        <x:f>IFERROR(INDEX('Material routes'!$E$6:$E$2205,MATCH(U270,'Material routes'!$A$6:$A$2205,0)),"MISSING ID")</x:f>
        <x:v>Spring-grade steel stock</x:v>
      </x:c>
      <x:c r="B270" s="4" t="str">
        <x:f>IFERROR(INDEX('Material routes'!$F$6:$F$2205,MATCH(U270,'Material routes'!$A$6:$A$2205,0)),"MISSING ID")</x:f>
        <x:v>T3</x:v>
      </x:c>
      <x:c r="C270" s="4" t="str">
        <x:f>IFERROR(INDEX('Material routes'!$H$6:$H$2205,MATCH(U270,'Material routes'!$A$6:$A$2205,0)),"MISSING ID")</x:f>
        <x:v>Processed material</x:v>
      </x:c>
      <x:c r="D270" s="4" t="str">
        <x:f>IFERROR(INDEX('Material routes'!$G$6:$G$2205,MATCH(U270,'Material routes'!$A$6:$A$2205,0)),"MISSING ID")</x:f>
        <x:v>Manufactured stock</x:v>
      </x:c>
      <x:c r="E270" s="4" t="str">
        <x:f>IFERROR(INDEX('Material routes'!$C$6:$C$2205,MATCH(U270,'Material routes'!$A$6:$A$2205,0)),"MISSING ID")</x:f>
        <x:v>Ingredient candidate</x:v>
      </x:c>
      <x:c r="F270" s="4" t="str">
        <x:f>IFERROR(INDEX('Material routes'!$E$6:$E$2205,MATCH(V270,'Material routes'!$A$6:$A$2205,0)),"MISSING ID")</x:f>
        <x:v>Dirtboard wheel-hub core</x:v>
      </x:c>
      <x:c r="G270" s="4" t="str">
        <x:f>IFERROR(INDEX('Material routes'!$F$6:$F$2205,MATCH(V270,'Material routes'!$A$6:$A$2205,0)),"MISSING ID")</x:f>
        <x:v>T4</x:v>
      </x:c>
      <x:c r="H270" s="4" t="str">
        <x:f>IFERROR(INDEX('Material routes'!$H$6:$H$2205,MATCH(V270,'Material routes'!$A$6:$A$2205,0)),"MISSING ID")</x:f>
        <x:v>Crafting component</x:v>
      </x:c>
      <x:c r="I270" s="4" t="str">
        <x:f>IFERROR(INDEX('Material routes'!$G$6:$G$2205,MATCH(V270,'Material routes'!$A$6:$A$2205,0)),"MISSING ID")</x:f>
        <x:v>Salvage</x:v>
      </x:c>
      <x:c r="J270" s="4" t="str">
        <x:f>IFERROR(INDEX('Material routes'!$B$6:$B$2205,MATCH(U270,'Material routes'!$A$6:$A$2205,0)),"MISSING ID")</x:f>
        <x:v>design.t4.wheel_hub</x:v>
      </x:c>
      <x:c r="K270" s="4" t="str">
        <x:f>IFERROR(INDEX('Crafting recipes'!$C$6:$C$1005,MATCH(J270,'Crafting recipes'!$A$6:$A$1005,0)),"MISSING ID")</x:f>
        <x:v>Material refinement</x:v>
      </x:c>
      <x:c r="L270" s="4" t="str">
        <x:f>IFERROR(INDEX('Material routes'!$K$6:$K$2205,MATCH(U270,'Material routes'!$A$6:$A$2205,0)),"MISSING ID")</x:f>
        <x:v>Proposal</x:v>
      </x:c>
      <x:c r="M270" s="4" t="str">
        <x:f>IFERROR(INDEX('Material routes'!$M$6:$M$2205,MATCH(U270,'Material routes'!$A$6:$A$2205,0)),"MISSING ID")</x:f>
        <x:v>Partial proposal</x:v>
      </x:c>
      <x:c r="N270" s="4" t="str">
        <x:f>IF(IFERROR(INDEX('Material routes'!$I$6:$I$1005,MATCH(U270,'Material routes'!$A$6:$A$1005,0)),"MISSING ID")=0,"",IFERROR(INDEX('Material routes'!$I$6:$I$1005,MATCH(U270,'Material routes'!$A$6:$A$1005,0)),"MISSING ID"))</x:f>
      </x:c>
      <x:c r="O270" s="4" t="str">
        <x:f>IFERROR(INDEX('Material routes'!$J$6:$J$2205,MATCH(U270,'Material routes'!$A$6:$A$2205,0)),"MISSING ID")</x:f>
        <x:v>Unspecified</x:v>
      </x:c>
      <x:c r="P270" s="4" t="str">
        <x:f>IF(IFERROR(INDEX('Material routes'!$I$6:$I$1005,MATCH(V270,'Material routes'!$A$6:$A$1005,0)),"MISSING ID")=0,"",IFERROR(INDEX('Material routes'!$I$6:$I$1005,MATCH(V270,'Material routes'!$A$6:$A$1005,0)),"MISSING ID"))</x:f>
      </x:c>
      <x:c r="Q270" s="4" t="str">
        <x:f>IFERROR(INDEX('Material routes'!$J$6:$J$2205,MATCH(V270,'Material routes'!$A$6:$A$2205,0)),"MISSING ID")</x:f>
        <x:v>Unspecified</x:v>
      </x:c>
      <x:c r="R270" s="4" t="str">
        <x:f>IF(L270="Withheld","Withheld premise",IF(E270="Tool candidate","Reusable prerequisite",IF(K270="Raw entry preparation","Entry-resource preparation",IF(G270="Not applicable",IF(IFERROR(INDEX('Items'!$AI$6:$AI$1005,MATCH(T270,'Items'!$A$6:$A$1005,0)),"MISSING ID")="Finished item","Finished endpoint",IF(IFERROR(INDEX('Items'!$AI$6:$AI$1005,MATCH(T270,'Items'!$A$6:$A$1005,0)),"MISSING ID")="Currency","Currency / no refinement tier","Recovered output / tier not applicable")),IF(OR(IFERROR(INDEX('Crafting recipes'!$H$6:$H$1005,MATCH(J270,'Crafting recipes'!$A$6:$A$1005,0)),"MISSING ID")="Unassigned",G270="Unassigned"),"Tier unresolved",IF(IFERROR(VALUE(RIGHT(G270,1))-VALUE(RIGHT(IFERROR(INDEX('Crafting recipes'!$H$6:$H$1005,MATCH(J270,'Crafting recipes'!$A$6:$A$1005,0)),"MISSING ID"),1)),0)=1,IF(B270=IFERROR(INDEX('Crafting recipes'!$H$6:$H$1005,MATCH(J270,'Crafting recipes'!$A$6:$A$1005,0)),"MISSING ID"),"Advances one material tier","Lower-tier ingredient; route advances one tier"),"Needs tier review"))))))</x:f>
        <x:v>Advances one material tier</x:v>
      </x:c>
      <x:c r="S270" s="4" t="str">
        <x:f>IFERROR(INDEX('Material routes'!$D$6:$D$2205,MATCH(U270,'Material routes'!$A$6:$A$2205,0)),"MISSING ID")</x:f>
        <x:v>proposal.branch.spring_steel</x:v>
      </x:c>
      <x:c r="T270" s="4" t="str">
        <x:f>IFERROR(INDEX('Material routes'!$D$6:$D$2205,MATCH(V270,'Material routes'!$A$6:$A$2205,0)),"MISSING ID")</x:f>
        <x:v>proposal.t4.wheel_hub</x:v>
      </x:c>
      <x:c r="U270" s="4" t="str">
        <x:v>design.t4.wheel_hub.in.3</x:v>
      </x:c>
      <x:c r="V270" s="4" t="str">
        <x:v>design.t4.wheel_hub.out</x:v>
      </x:c>
    </x:row>
    <x:row r="271" ht="115" customHeight="1">
      <x:c r="A271" s="4" t="str">
        <x:f>IFERROR(INDEX('Material routes'!$E$6:$E$2205,MATCH(U271,'Material routes'!$A$6:$A$2205,0)),"MISSING ID")</x:f>
        <x:v>Fine mechanism oil</x:v>
      </x:c>
      <x:c r="B271" s="4" t="str">
        <x:f>IFERROR(INDEX('Material routes'!$F$6:$F$2205,MATCH(U271,'Material routes'!$A$6:$A$2205,0)),"MISSING ID")</x:f>
        <x:v>T2</x:v>
      </x:c>
      <x:c r="C271" s="4" t="str">
        <x:f>IFERROR(INDEX('Material routes'!$H$6:$H$2205,MATCH(U271,'Material routes'!$A$6:$A$2205,0)),"MISSING ID")</x:f>
        <x:v>Chemical material</x:v>
      </x:c>
      <x:c r="D271" s="4" t="str">
        <x:f>IFERROR(INDEX('Material routes'!$G$6:$G$2205,MATCH(U271,'Material routes'!$A$6:$A$2205,0)),"MISSING ID")</x:f>
        <x:v>Crafting components</x:v>
      </x:c>
      <x:c r="E271" s="4" t="str">
        <x:f>IFERROR(INDEX('Material routes'!$C$6:$C$2205,MATCH(U271,'Material routes'!$A$6:$A$2205,0)),"MISSING ID")</x:f>
        <x:v>Ingredient candidate</x:v>
      </x:c>
      <x:c r="F271" s="4" t="str">
        <x:f>IFERROR(INDEX('Material routes'!$E$6:$E$2205,MATCH(V271,'Material routes'!$A$6:$A$2205,0)),"MISSING ID")</x:f>
        <x:v>Dirtboard wheel-hub core</x:v>
      </x:c>
      <x:c r="G271" s="4" t="str">
        <x:f>IFERROR(INDEX('Material routes'!$F$6:$F$2205,MATCH(V271,'Material routes'!$A$6:$A$2205,0)),"MISSING ID")</x:f>
        <x:v>T4</x:v>
      </x:c>
      <x:c r="H271" s="4" t="str">
        <x:f>IFERROR(INDEX('Material routes'!$H$6:$H$2205,MATCH(V271,'Material routes'!$A$6:$A$2205,0)),"MISSING ID")</x:f>
        <x:v>Crafting component</x:v>
      </x:c>
      <x:c r="I271" s="4" t="str">
        <x:f>IFERROR(INDEX('Material routes'!$G$6:$G$2205,MATCH(V271,'Material routes'!$A$6:$A$2205,0)),"MISSING ID")</x:f>
        <x:v>Salvage</x:v>
      </x:c>
      <x:c r="J271" s="4" t="str">
        <x:f>IFERROR(INDEX('Material routes'!$B$6:$B$2205,MATCH(U271,'Material routes'!$A$6:$A$2205,0)),"MISSING ID")</x:f>
        <x:v>design.t4.wheel_hub</x:v>
      </x:c>
      <x:c r="K271" s="4" t="str">
        <x:f>IFERROR(INDEX('Crafting recipes'!$C$6:$C$1005,MATCH(J271,'Crafting recipes'!$A$6:$A$1005,0)),"MISSING ID")</x:f>
        <x:v>Material refinement</x:v>
      </x:c>
      <x:c r="L271" s="4" t="str">
        <x:f>IFERROR(INDEX('Material routes'!$K$6:$K$2205,MATCH(U271,'Material routes'!$A$6:$A$2205,0)),"MISSING ID")</x:f>
        <x:v>Proposal</x:v>
      </x:c>
      <x:c r="M271" s="4" t="str">
        <x:f>IFERROR(INDEX('Material routes'!$M$6:$M$2205,MATCH(U271,'Material routes'!$A$6:$A$2205,0)),"MISSING ID")</x:f>
        <x:v>Partial proposal</x:v>
      </x:c>
      <x:c r="N271" s="4" t="str">
        <x:f>IF(IFERROR(INDEX('Material routes'!$I$6:$I$1005,MATCH(U271,'Material routes'!$A$6:$A$1005,0)),"MISSING ID")=0,"",IFERROR(INDEX('Material routes'!$I$6:$I$1005,MATCH(U271,'Material routes'!$A$6:$A$1005,0)),"MISSING ID"))</x:f>
      </x:c>
      <x:c r="O271" s="4" t="str">
        <x:f>IFERROR(INDEX('Material routes'!$J$6:$J$2205,MATCH(U271,'Material routes'!$A$6:$A$2205,0)),"MISSING ID")</x:f>
        <x:v>Unspecified</x:v>
      </x:c>
      <x:c r="P271" s="4" t="str">
        <x:f>IF(IFERROR(INDEX('Material routes'!$I$6:$I$1005,MATCH(V271,'Material routes'!$A$6:$A$1005,0)),"MISSING ID")=0,"",IFERROR(INDEX('Material routes'!$I$6:$I$1005,MATCH(V271,'Material routes'!$A$6:$A$1005,0)),"MISSING ID"))</x:f>
      </x:c>
      <x:c r="Q271" s="4" t="str">
        <x:f>IFERROR(INDEX('Material routes'!$J$6:$J$2205,MATCH(V271,'Material routes'!$A$6:$A$2205,0)),"MISSING ID")</x:f>
        <x:v>Unspecified</x:v>
      </x:c>
      <x:c r="R271" s="4" t="str">
        <x:f>IF(L271="Withheld","Withheld premise",IF(E271="Tool candidate","Reusable prerequisite",IF(K271="Raw entry preparation","Entry-resource preparation",IF(G271="Not applicable",IF(IFERROR(INDEX('Items'!$AI$6:$AI$1005,MATCH(T271,'Items'!$A$6:$A$1005,0)),"MISSING ID")="Finished item","Finished endpoint",IF(IFERROR(INDEX('Items'!$AI$6:$AI$1005,MATCH(T271,'Items'!$A$6:$A$1005,0)),"MISSING ID")="Currency","Currency / no refinement tier","Recovered output / tier not applicable")),IF(OR(IFERROR(INDEX('Crafting recipes'!$H$6:$H$1005,MATCH(J271,'Crafting recipes'!$A$6:$A$1005,0)),"MISSING ID")="Unassigned",G271="Unassigned"),"Tier unresolved",IF(IFERROR(VALUE(RIGHT(G271,1))-VALUE(RIGHT(IFERROR(INDEX('Crafting recipes'!$H$6:$H$1005,MATCH(J271,'Crafting recipes'!$A$6:$A$1005,0)),"MISSING ID"),1)),0)=1,IF(B271=IFERROR(INDEX('Crafting recipes'!$H$6:$H$1005,MATCH(J271,'Crafting recipes'!$A$6:$A$1005,0)),"MISSING ID"),"Advances one material tier","Lower-tier ingredient; route advances one tier"),"Needs tier review"))))))</x:f>
        <x:v>Lower-tier ingredient; route advances one tier</x:v>
      </x:c>
      <x:c r="S271" s="4" t="str">
        <x:f>IFERROR(INDEX('Material routes'!$D$6:$D$2205,MATCH(U271,'Material routes'!$A$6:$A$2205,0)),"MISSING ID")</x:f>
        <x:v>proposal.lubricant.precision_oil</x:v>
      </x:c>
      <x:c r="T271" s="4" t="str">
        <x:f>IFERROR(INDEX('Material routes'!$D$6:$D$2205,MATCH(V271,'Material routes'!$A$6:$A$2205,0)),"MISSING ID")</x:f>
        <x:v>proposal.t4.wheel_hub</x:v>
      </x:c>
      <x:c r="U271" s="4" t="str">
        <x:v>design.t4.wheel_hub.in.4</x:v>
      </x:c>
      <x:c r="V271" s="4" t="str">
        <x:v>design.t4.wheel_hub.out</x:v>
      </x:c>
    </x:row>
    <x:row r="272" ht="115" customHeight="1">
      <x:c r="A272" s="4" t="str">
        <x:f>IFERROR(INDEX('Material routes'!$E$6:$E$2205,MATCH(U272,'Material routes'!$A$6:$A$2205,0)),"MISSING ID")</x:f>
        <x:v>Bonded glass-ceramic lining stock</x:v>
      </x:c>
      <x:c r="B272" s="4" t="str">
        <x:f>IFERROR(INDEX('Material routes'!$F$6:$F$2205,MATCH(U272,'Material routes'!$A$6:$A$2205,0)),"MISSING ID")</x:f>
        <x:v>T3</x:v>
      </x:c>
      <x:c r="C272" s="4" t="str">
        <x:f>IFERROR(INDEX('Material routes'!$H$6:$H$2205,MATCH(U272,'Material routes'!$A$6:$A$2205,0)),"MISSING ID")</x:f>
        <x:v>Processed material</x:v>
      </x:c>
      <x:c r="D272" s="4" t="str">
        <x:f>IFERROR(INDEX('Material routes'!$G$6:$G$2205,MATCH(U272,'Material routes'!$A$6:$A$2205,0)),"MISSING ID")</x:f>
        <x:v>Manufactured stock</x:v>
      </x:c>
      <x:c r="E272" s="4" t="str">
        <x:f>IFERROR(INDEX('Material routes'!$C$6:$C$2205,MATCH(U272,'Material routes'!$A$6:$A$2205,0)),"MISSING ID")</x:f>
        <x:v>Ingredient candidate</x:v>
      </x:c>
      <x:c r="F272" s="4" t="str">
        <x:f>IFERROR(INDEX('Material routes'!$E$6:$E$2205,MATCH(V272,'Material routes'!$A$6:$A$2205,0)),"MISSING ID")</x:f>
        <x:v>Fitted chemical-vessel liner insert</x:v>
      </x:c>
      <x:c r="G272" s="4" t="str">
        <x:f>IFERROR(INDEX('Material routes'!$F$6:$F$2205,MATCH(V272,'Material routes'!$A$6:$A$2205,0)),"MISSING ID")</x:f>
        <x:v>T4</x:v>
      </x:c>
      <x:c r="H272" s="4" t="str">
        <x:f>IFERROR(INDEX('Material routes'!$H$6:$H$2205,MATCH(V272,'Material routes'!$A$6:$A$2205,0)),"MISSING ID")</x:f>
        <x:v>Crafting component</x:v>
      </x:c>
      <x:c r="I272" s="4" t="str">
        <x:f>IFERROR(INDEX('Material routes'!$G$6:$G$2205,MATCH(V272,'Material routes'!$A$6:$A$2205,0)),"MISSING ID")</x:f>
        <x:v>Crafting components</x:v>
      </x:c>
      <x:c r="J272" s="4" t="str">
        <x:f>IFERROR(INDEX('Material routes'!$B$6:$B$2205,MATCH(U272,'Material routes'!$A$6:$A$2205,0)),"MISSING ID")</x:f>
        <x:v>design.t4.vessel_liner</x:v>
      </x:c>
      <x:c r="K272" s="4" t="str">
        <x:f>IFERROR(INDEX('Crafting recipes'!$C$6:$C$1005,MATCH(J272,'Crafting recipes'!$A$6:$A$1005,0)),"MISSING ID")</x:f>
        <x:v>Material refinement</x:v>
      </x:c>
      <x:c r="L272" s="4" t="str">
        <x:f>IFERROR(INDEX('Material routes'!$K$6:$K$2205,MATCH(U272,'Material routes'!$A$6:$A$2205,0)),"MISSING ID")</x:f>
        <x:v>Proposal</x:v>
      </x:c>
      <x:c r="M272" s="4" t="str">
        <x:f>IFERROR(INDEX('Material routes'!$M$6:$M$2205,MATCH(U272,'Material routes'!$A$6:$A$2205,0)),"MISSING ID")</x:f>
        <x:v>Partial proposal</x:v>
      </x:c>
      <x:c r="N272" s="4" t="str">
        <x:f>IF(IFERROR(INDEX('Material routes'!$I$6:$I$1005,MATCH(U272,'Material routes'!$A$6:$A$1005,0)),"MISSING ID")=0,"",IFERROR(INDEX('Material routes'!$I$6:$I$1005,MATCH(U272,'Material routes'!$A$6:$A$1005,0)),"MISSING ID"))</x:f>
      </x:c>
      <x:c r="O272" s="4" t="str">
        <x:f>IFERROR(INDEX('Material routes'!$J$6:$J$2205,MATCH(U272,'Material routes'!$A$6:$A$2205,0)),"MISSING ID")</x:f>
        <x:v>Unspecified</x:v>
      </x:c>
      <x:c r="P272" s="4" t="str">
        <x:f>IF(IFERROR(INDEX('Material routes'!$I$6:$I$1005,MATCH(V272,'Material routes'!$A$6:$A$1005,0)),"MISSING ID")=0,"",IFERROR(INDEX('Material routes'!$I$6:$I$1005,MATCH(V272,'Material routes'!$A$6:$A$1005,0)),"MISSING ID"))</x:f>
      </x:c>
      <x:c r="Q272" s="4" t="str">
        <x:f>IFERROR(INDEX('Material routes'!$J$6:$J$2205,MATCH(V272,'Material routes'!$A$6:$A$2205,0)),"MISSING ID")</x:f>
        <x:v>Unspecified</x:v>
      </x:c>
      <x:c r="R272" s="4" t="str">
        <x:f>IF(L272="Withheld","Withheld premise",IF(E272="Tool candidate","Reusable prerequisite",IF(K272="Raw entry preparation","Entry-resource preparation",IF(G272="Not applicable",IF(IFERROR(INDEX('Items'!$AI$6:$AI$1005,MATCH(T272,'Items'!$A$6:$A$1005,0)),"MISSING ID")="Finished item","Finished endpoint",IF(IFERROR(INDEX('Items'!$AI$6:$AI$1005,MATCH(T272,'Items'!$A$6:$A$1005,0)),"MISSING ID")="Currency","Currency / no refinement tier","Recovered output / tier not applicable")),IF(OR(IFERROR(INDEX('Crafting recipes'!$H$6:$H$1005,MATCH(J272,'Crafting recipes'!$A$6:$A$1005,0)),"MISSING ID")="Unassigned",G272="Unassigned"),"Tier unresolved",IF(IFERROR(VALUE(RIGHT(G272,1))-VALUE(RIGHT(IFERROR(INDEX('Crafting recipes'!$H$6:$H$1005,MATCH(J272,'Crafting recipes'!$A$6:$A$1005,0)),"MISSING ID"),1)),0)=1,IF(B272=IFERROR(INDEX('Crafting recipes'!$H$6:$H$1005,MATCH(J272,'Crafting recipes'!$A$6:$A$1005,0)),"MISSING ID"),"Advances one material tier","Lower-tier ingredient; route advances one tier"),"Needs tier review"))))))</x:f>
        <x:v>Advances one material tier</x:v>
      </x:c>
      <x:c r="S272" s="4" t="str">
        <x:f>IFERROR(INDEX('Material routes'!$D$6:$D$2205,MATCH(U272,'Material routes'!$A$6:$A$2205,0)),"MISSING ID")</x:f>
        <x:v>proposal.t3.lining_stock</x:v>
      </x:c>
      <x:c r="T272" s="4" t="str">
        <x:f>IFERROR(INDEX('Material routes'!$D$6:$D$2205,MATCH(V272,'Material routes'!$A$6:$A$2205,0)),"MISSING ID")</x:f>
        <x:v>proposal.t4.vessel_liner</x:v>
      </x:c>
      <x:c r="U272" s="4" t="str">
        <x:v>design.t4.vessel_liner.in.1</x:v>
      </x:c>
      <x:c r="V272" s="4" t="str">
        <x:v>design.t4.vessel_liner.out</x:v>
      </x:c>
    </x:row>
    <x:row r="273" ht="115" customHeight="1">
      <x:c r="A273" s="4" t="str">
        <x:f>IFERROR(INDEX('Material routes'!$E$6:$E$2205,MATCH(U273,'Material routes'!$A$6:$A$2205,0)),"MISSING ID")</x:f>
        <x:v>Husk-reinforced packing stock</x:v>
      </x:c>
      <x:c r="B273" s="4" t="str">
        <x:f>IFERROR(INDEX('Material routes'!$F$6:$F$2205,MATCH(U273,'Material routes'!$A$6:$A$2205,0)),"MISSING ID")</x:f>
        <x:v>T3</x:v>
      </x:c>
      <x:c r="C273" s="4" t="str">
        <x:f>IFERROR(INDEX('Material routes'!$H$6:$H$2205,MATCH(U273,'Material routes'!$A$6:$A$2205,0)),"MISSING ID")</x:f>
        <x:v>Processed material</x:v>
      </x:c>
      <x:c r="D273" s="4" t="str">
        <x:f>IFERROR(INDEX('Material routes'!$G$6:$G$2205,MATCH(U273,'Material routes'!$A$6:$A$2205,0)),"MISSING ID")</x:f>
        <x:v>Manufactured stock</x:v>
      </x:c>
      <x:c r="E273" s="4" t="str">
        <x:f>IFERROR(INDEX('Material routes'!$C$6:$C$2205,MATCH(U273,'Material routes'!$A$6:$A$2205,0)),"MISSING ID")</x:f>
        <x:v>Ingredient candidate</x:v>
      </x:c>
      <x:c r="F273" s="4" t="str">
        <x:f>IFERROR(INDEX('Material routes'!$E$6:$E$2205,MATCH(V273,'Material routes'!$A$6:$A$2205,0)),"MISSING ID")</x:f>
        <x:v>Fitted chemical-vessel liner insert</x:v>
      </x:c>
      <x:c r="G273" s="4" t="str">
        <x:f>IFERROR(INDEX('Material routes'!$F$6:$F$2205,MATCH(V273,'Material routes'!$A$6:$A$2205,0)),"MISSING ID")</x:f>
        <x:v>T4</x:v>
      </x:c>
      <x:c r="H273" s="4" t="str">
        <x:f>IFERROR(INDEX('Material routes'!$H$6:$H$2205,MATCH(V273,'Material routes'!$A$6:$A$2205,0)),"MISSING ID")</x:f>
        <x:v>Crafting component</x:v>
      </x:c>
      <x:c r="I273" s="4" t="str">
        <x:f>IFERROR(INDEX('Material routes'!$G$6:$G$2205,MATCH(V273,'Material routes'!$A$6:$A$2205,0)),"MISSING ID")</x:f>
        <x:v>Crafting components</x:v>
      </x:c>
      <x:c r="J273" s="4" t="str">
        <x:f>IFERROR(INDEX('Material routes'!$B$6:$B$2205,MATCH(U273,'Material routes'!$A$6:$A$2205,0)),"MISSING ID")</x:f>
        <x:v>design.t4.vessel_liner</x:v>
      </x:c>
      <x:c r="K273" s="4" t="str">
        <x:f>IFERROR(INDEX('Crafting recipes'!$C$6:$C$1005,MATCH(J273,'Crafting recipes'!$A$6:$A$1005,0)),"MISSING ID")</x:f>
        <x:v>Material refinement</x:v>
      </x:c>
      <x:c r="L273" s="4" t="str">
        <x:f>IFERROR(INDEX('Material routes'!$K$6:$K$2205,MATCH(U273,'Material routes'!$A$6:$A$2205,0)),"MISSING ID")</x:f>
        <x:v>Proposal</x:v>
      </x:c>
      <x:c r="M273" s="4" t="str">
        <x:f>IFERROR(INDEX('Material routes'!$M$6:$M$2205,MATCH(U273,'Material routes'!$A$6:$A$2205,0)),"MISSING ID")</x:f>
        <x:v>Partial proposal</x:v>
      </x:c>
      <x:c r="N273" s="4" t="str">
        <x:f>IF(IFERROR(INDEX('Material routes'!$I$6:$I$1005,MATCH(U273,'Material routes'!$A$6:$A$1005,0)),"MISSING ID")=0,"",IFERROR(INDEX('Material routes'!$I$6:$I$1005,MATCH(U273,'Material routes'!$A$6:$A$1005,0)),"MISSING ID"))</x:f>
      </x:c>
      <x:c r="O273" s="4" t="str">
        <x:f>IFERROR(INDEX('Material routes'!$J$6:$J$2205,MATCH(U273,'Material routes'!$A$6:$A$2205,0)),"MISSING ID")</x:f>
        <x:v>Unspecified</x:v>
      </x:c>
      <x:c r="P273" s="4" t="str">
        <x:f>IF(IFERROR(INDEX('Material routes'!$I$6:$I$1005,MATCH(V273,'Material routes'!$A$6:$A$1005,0)),"MISSING ID")=0,"",IFERROR(INDEX('Material routes'!$I$6:$I$1005,MATCH(V273,'Material routes'!$A$6:$A$1005,0)),"MISSING ID"))</x:f>
      </x:c>
      <x:c r="Q273" s="4" t="str">
        <x:f>IFERROR(INDEX('Material routes'!$J$6:$J$2205,MATCH(V273,'Material routes'!$A$6:$A$2205,0)),"MISSING ID")</x:f>
        <x:v>Unspecified</x:v>
      </x:c>
      <x:c r="R273" s="4" t="str">
        <x:f>IF(L273="Withheld","Withheld premise",IF(E273="Tool candidate","Reusable prerequisite",IF(K273="Raw entry preparation","Entry-resource preparation",IF(G273="Not applicable",IF(IFERROR(INDEX('Items'!$AI$6:$AI$1005,MATCH(T273,'Items'!$A$6:$A$1005,0)),"MISSING ID")="Finished item","Finished endpoint",IF(IFERROR(INDEX('Items'!$AI$6:$AI$1005,MATCH(T273,'Items'!$A$6:$A$1005,0)),"MISSING ID")="Currency","Currency / no refinement tier","Recovered output / tier not applicable")),IF(OR(IFERROR(INDEX('Crafting recipes'!$H$6:$H$1005,MATCH(J273,'Crafting recipes'!$A$6:$A$1005,0)),"MISSING ID")="Unassigned",G273="Unassigned"),"Tier unresolved",IF(IFERROR(VALUE(RIGHT(G273,1))-VALUE(RIGHT(IFERROR(INDEX('Crafting recipes'!$H$6:$H$1005,MATCH(J273,'Crafting recipes'!$A$6:$A$1005,0)),"MISSING ID"),1)),0)=1,IF(B273=IFERROR(INDEX('Crafting recipes'!$H$6:$H$1005,MATCH(J273,'Crafting recipes'!$A$6:$A$1005,0)),"MISSING ID"),"Advances one material tier","Lower-tier ingredient; route advances one tier"),"Needs tier review"))))))</x:f>
        <x:v>Advances one material tier</x:v>
      </x:c>
      <x:c r="S273" s="4" t="str">
        <x:f>IFERROR(INDEX('Material routes'!$D$6:$D$2205,MATCH(U273,'Material routes'!$A$6:$A$2205,0)),"MISSING ID")</x:f>
        <x:v>proposal.t3.packing_stock</x:v>
      </x:c>
      <x:c r="T273" s="4" t="str">
        <x:f>IFERROR(INDEX('Material routes'!$D$6:$D$2205,MATCH(V273,'Material routes'!$A$6:$A$2205,0)),"MISSING ID")</x:f>
        <x:v>proposal.t4.vessel_liner</x:v>
      </x:c>
      <x:c r="U273" s="4" t="str">
        <x:v>design.t4.vessel_liner.in.2</x:v>
      </x:c>
      <x:c r="V273" s="4" t="str">
        <x:v>design.t4.vessel_liner.out</x:v>
      </x:c>
    </x:row>
    <x:row r="274" ht="115" customHeight="1">
      <x:c r="A274" s="4" t="str">
        <x:f>IFERROR(INDEX('Material routes'!$E$6:$E$2205,MATCH(U274,'Material routes'!$A$6:$A$2205,0)),"MISSING ID")</x:f>
        <x:v>Reinforced sealing sheet</x:v>
      </x:c>
      <x:c r="B274" s="4" t="str">
        <x:f>IFERROR(INDEX('Material routes'!$F$6:$F$2205,MATCH(U274,'Material routes'!$A$6:$A$2205,0)),"MISSING ID")</x:f>
        <x:v>T3</x:v>
      </x:c>
      <x:c r="C274" s="4" t="str">
        <x:f>IFERROR(INDEX('Material routes'!$H$6:$H$2205,MATCH(U274,'Material routes'!$A$6:$A$2205,0)),"MISSING ID")</x:f>
        <x:v>Processed material</x:v>
      </x:c>
      <x:c r="D274" s="4" t="str">
        <x:f>IFERROR(INDEX('Material routes'!$G$6:$G$2205,MATCH(U274,'Material routes'!$A$6:$A$2205,0)),"MISSING ID")</x:f>
        <x:v>Manufactured stock</x:v>
      </x:c>
      <x:c r="E274" s="4" t="str">
        <x:f>IFERROR(INDEX('Material routes'!$C$6:$C$2205,MATCH(U274,'Material routes'!$A$6:$A$2205,0)),"MISSING ID")</x:f>
        <x:v>Ingredient candidate</x:v>
      </x:c>
      <x:c r="F274" s="4" t="str">
        <x:f>IFERROR(INDEX('Material routes'!$E$6:$E$2205,MATCH(V274,'Material routes'!$A$6:$A$2205,0)),"MISSING ID")</x:f>
        <x:v>Fitted chemical-vessel liner insert</x:v>
      </x:c>
      <x:c r="G274" s="4" t="str">
        <x:f>IFERROR(INDEX('Material routes'!$F$6:$F$2205,MATCH(V274,'Material routes'!$A$6:$A$2205,0)),"MISSING ID")</x:f>
        <x:v>T4</x:v>
      </x:c>
      <x:c r="H274" s="4" t="str">
        <x:f>IFERROR(INDEX('Material routes'!$H$6:$H$2205,MATCH(V274,'Material routes'!$A$6:$A$2205,0)),"MISSING ID")</x:f>
        <x:v>Crafting component</x:v>
      </x:c>
      <x:c r="I274" s="4" t="str">
        <x:f>IFERROR(INDEX('Material routes'!$G$6:$G$2205,MATCH(V274,'Material routes'!$A$6:$A$2205,0)),"MISSING ID")</x:f>
        <x:v>Crafting components</x:v>
      </x:c>
      <x:c r="J274" s="4" t="str">
        <x:f>IFERROR(INDEX('Material routes'!$B$6:$B$2205,MATCH(U274,'Material routes'!$A$6:$A$2205,0)),"MISSING ID")</x:f>
        <x:v>design.t4.vessel_liner</x:v>
      </x:c>
      <x:c r="K274" s="4" t="str">
        <x:f>IFERROR(INDEX('Crafting recipes'!$C$6:$C$1005,MATCH(J274,'Crafting recipes'!$A$6:$A$1005,0)),"MISSING ID")</x:f>
        <x:v>Material refinement</x:v>
      </x:c>
      <x:c r="L274" s="4" t="str">
        <x:f>IFERROR(INDEX('Material routes'!$K$6:$K$2205,MATCH(U274,'Material routes'!$A$6:$A$2205,0)),"MISSING ID")</x:f>
        <x:v>Proposal</x:v>
      </x:c>
      <x:c r="M274" s="4" t="str">
        <x:f>IFERROR(INDEX('Material routes'!$M$6:$M$2205,MATCH(U274,'Material routes'!$A$6:$A$2205,0)),"MISSING ID")</x:f>
        <x:v>Partial proposal</x:v>
      </x:c>
      <x:c r="N274" s="4" t="str">
        <x:f>IF(IFERROR(INDEX('Material routes'!$I$6:$I$1005,MATCH(U274,'Material routes'!$A$6:$A$1005,0)),"MISSING ID")=0,"",IFERROR(INDEX('Material routes'!$I$6:$I$1005,MATCH(U274,'Material routes'!$A$6:$A$1005,0)),"MISSING ID"))</x:f>
      </x:c>
      <x:c r="O274" s="4" t="str">
        <x:f>IFERROR(INDEX('Material routes'!$J$6:$J$2205,MATCH(U274,'Material routes'!$A$6:$A$2205,0)),"MISSING ID")</x:f>
        <x:v>Unspecified</x:v>
      </x:c>
      <x:c r="P274" s="4" t="str">
        <x:f>IF(IFERROR(INDEX('Material routes'!$I$6:$I$1005,MATCH(V274,'Material routes'!$A$6:$A$1005,0)),"MISSING ID")=0,"",IFERROR(INDEX('Material routes'!$I$6:$I$1005,MATCH(V274,'Material routes'!$A$6:$A$1005,0)),"MISSING ID"))</x:f>
      </x:c>
      <x:c r="Q274" s="4" t="str">
        <x:f>IFERROR(INDEX('Material routes'!$J$6:$J$2205,MATCH(V274,'Material routes'!$A$6:$A$2205,0)),"MISSING ID")</x:f>
        <x:v>Unspecified</x:v>
      </x:c>
      <x:c r="R274" s="4" t="str">
        <x:f>IF(L274="Withheld","Withheld premise",IF(E274="Tool candidate","Reusable prerequisite",IF(K274="Raw entry preparation","Entry-resource preparation",IF(G274="Not applicable",IF(IFERROR(INDEX('Items'!$AI$6:$AI$1005,MATCH(T274,'Items'!$A$6:$A$1005,0)),"MISSING ID")="Finished item","Finished endpoint",IF(IFERROR(INDEX('Items'!$AI$6:$AI$1005,MATCH(T274,'Items'!$A$6:$A$1005,0)),"MISSING ID")="Currency","Currency / no refinement tier","Recovered output / tier not applicable")),IF(OR(IFERROR(INDEX('Crafting recipes'!$H$6:$H$1005,MATCH(J274,'Crafting recipes'!$A$6:$A$1005,0)),"MISSING ID")="Unassigned",G274="Unassigned"),"Tier unresolved",IF(IFERROR(VALUE(RIGHT(G274,1))-VALUE(RIGHT(IFERROR(INDEX('Crafting recipes'!$H$6:$H$1005,MATCH(J274,'Crafting recipes'!$A$6:$A$1005,0)),"MISSING ID"),1)),0)=1,IF(B274=IFERROR(INDEX('Crafting recipes'!$H$6:$H$1005,MATCH(J274,'Crafting recipes'!$A$6:$A$1005,0)),"MISSING ID"),"Advances one material tier","Lower-tier ingredient; route advances one tier"),"Needs tier review"))))))</x:f>
        <x:v>Advances one material tier</x:v>
      </x:c>
      <x:c r="S274" s="4" t="str">
        <x:f>IFERROR(INDEX('Material routes'!$D$6:$D$2205,MATCH(U274,'Material routes'!$A$6:$A$2205,0)),"MISSING ID")</x:f>
        <x:v>proposal.branch.sealing_sheet</x:v>
      </x:c>
      <x:c r="T274" s="4" t="str">
        <x:f>IFERROR(INDEX('Material routes'!$D$6:$D$2205,MATCH(V274,'Material routes'!$A$6:$A$2205,0)),"MISSING ID")</x:f>
        <x:v>proposal.t4.vessel_liner</x:v>
      </x:c>
      <x:c r="U274" s="4" t="str">
        <x:v>design.t4.vessel_liner.in.3</x:v>
      </x:c>
      <x:c r="V274" s="4" t="str">
        <x:v>design.t4.vessel_liner.out</x:v>
      </x:c>
    </x:row>
    <x:row r="275" ht="115" customHeight="1">
      <x:c r="A275" s="4" t="str">
        <x:f>IFERROR(INDEX('Material routes'!$E$6:$E$2205,MATCH(U275,'Material routes'!$A$6:$A$2205,0)),"MISSING ID")</x:f>
        <x:v>Bonded abrasive-faced stock</x:v>
      </x:c>
      <x:c r="B275" s="4" t="str">
        <x:f>IFERROR(INDEX('Material routes'!$F$6:$F$2205,MATCH(U275,'Material routes'!$A$6:$A$2205,0)),"MISSING ID")</x:f>
        <x:v>T3</x:v>
      </x:c>
      <x:c r="C275" s="4" t="str">
        <x:f>IFERROR(INDEX('Material routes'!$H$6:$H$2205,MATCH(U275,'Material routes'!$A$6:$A$2205,0)),"MISSING ID")</x:f>
        <x:v>Processed material</x:v>
      </x:c>
      <x:c r="D275" s="4" t="str">
        <x:f>IFERROR(INDEX('Material routes'!$G$6:$G$2205,MATCH(U275,'Material routes'!$A$6:$A$2205,0)),"MISSING ID")</x:f>
        <x:v>Manufactured stock</x:v>
      </x:c>
      <x:c r="E275" s="4" t="str">
        <x:f>IFERROR(INDEX('Material routes'!$C$6:$C$2205,MATCH(U275,'Material routes'!$A$6:$A$2205,0)),"MISSING ID")</x:f>
        <x:v>Ingredient candidate</x:v>
      </x:c>
      <x:c r="F275" s="4" t="str">
        <x:f>IFERROR(INDEX('Material routes'!$E$6:$E$2205,MATCH(V275,'Material routes'!$A$6:$A$2205,0)),"MISSING ID")</x:f>
        <x:v>Replaceable abrasive-head assembly</x:v>
      </x:c>
      <x:c r="G275" s="4" t="str">
        <x:f>IFERROR(INDEX('Material routes'!$F$6:$F$2205,MATCH(V275,'Material routes'!$A$6:$A$2205,0)),"MISSING ID")</x:f>
        <x:v>T4</x:v>
      </x:c>
      <x:c r="H275" s="4" t="str">
        <x:f>IFERROR(INDEX('Material routes'!$H$6:$H$2205,MATCH(V275,'Material routes'!$A$6:$A$2205,0)),"MISSING ID")</x:f>
        <x:v>Crafting component</x:v>
      </x:c>
      <x:c r="I275" s="4" t="str">
        <x:f>IFERROR(INDEX('Material routes'!$G$6:$G$2205,MATCH(V275,'Material routes'!$A$6:$A$2205,0)),"MISSING ID")</x:f>
        <x:v>Crafting components</x:v>
      </x:c>
      <x:c r="J275" s="4" t="str">
        <x:f>IFERROR(INDEX('Material routes'!$B$6:$B$2205,MATCH(U275,'Material routes'!$A$6:$A$2205,0)),"MISSING ID")</x:f>
        <x:v>design.t4.grinding_head</x:v>
      </x:c>
      <x:c r="K275" s="4" t="str">
        <x:f>IFERROR(INDEX('Crafting recipes'!$C$6:$C$1005,MATCH(J275,'Crafting recipes'!$A$6:$A$1005,0)),"MISSING ID")</x:f>
        <x:v>Material refinement</x:v>
      </x:c>
      <x:c r="L275" s="4" t="str">
        <x:f>IFERROR(INDEX('Material routes'!$K$6:$K$2205,MATCH(U275,'Material routes'!$A$6:$A$2205,0)),"MISSING ID")</x:f>
        <x:v>Proposal</x:v>
      </x:c>
      <x:c r="M275" s="4" t="str">
        <x:f>IFERROR(INDEX('Material routes'!$M$6:$M$2205,MATCH(U275,'Material routes'!$A$6:$A$2205,0)),"MISSING ID")</x:f>
        <x:v>Partial proposal</x:v>
      </x:c>
      <x:c r="N275" s="4" t="str">
        <x:f>IF(IFERROR(INDEX('Material routes'!$I$6:$I$1005,MATCH(U275,'Material routes'!$A$6:$A$1005,0)),"MISSING ID")=0,"",IFERROR(INDEX('Material routes'!$I$6:$I$1005,MATCH(U275,'Material routes'!$A$6:$A$1005,0)),"MISSING ID"))</x:f>
      </x:c>
      <x:c r="O275" s="4" t="str">
        <x:f>IFERROR(INDEX('Material routes'!$J$6:$J$2205,MATCH(U275,'Material routes'!$A$6:$A$2205,0)),"MISSING ID")</x:f>
        <x:v>Unspecified</x:v>
      </x:c>
      <x:c r="P275" s="4" t="str">
        <x:f>IF(IFERROR(INDEX('Material routes'!$I$6:$I$1005,MATCH(V275,'Material routes'!$A$6:$A$1005,0)),"MISSING ID")=0,"",IFERROR(INDEX('Material routes'!$I$6:$I$1005,MATCH(V275,'Material routes'!$A$6:$A$1005,0)),"MISSING ID"))</x:f>
      </x:c>
      <x:c r="Q275" s="4" t="str">
        <x:f>IFERROR(INDEX('Material routes'!$J$6:$J$2205,MATCH(V275,'Material routes'!$A$6:$A$2205,0)),"MISSING ID")</x:f>
        <x:v>Unspecified</x:v>
      </x:c>
      <x:c r="R275" s="4" t="str">
        <x:f>IF(L275="Withheld","Withheld premise",IF(E275="Tool candidate","Reusable prerequisite",IF(K275="Raw entry preparation","Entry-resource preparation",IF(G275="Not applicable",IF(IFERROR(INDEX('Items'!$AI$6:$AI$1005,MATCH(T275,'Items'!$A$6:$A$1005,0)),"MISSING ID")="Finished item","Finished endpoint",IF(IFERROR(INDEX('Items'!$AI$6:$AI$1005,MATCH(T275,'Items'!$A$6:$A$1005,0)),"MISSING ID")="Currency","Currency / no refinement tier","Recovered output / tier not applicable")),IF(OR(IFERROR(INDEX('Crafting recipes'!$H$6:$H$1005,MATCH(J275,'Crafting recipes'!$A$6:$A$1005,0)),"MISSING ID")="Unassigned",G275="Unassigned"),"Tier unresolved",IF(IFERROR(VALUE(RIGHT(G275,1))-VALUE(RIGHT(IFERROR(INDEX('Crafting recipes'!$H$6:$H$1005,MATCH(J275,'Crafting recipes'!$A$6:$A$1005,0)),"MISSING ID"),1)),0)=1,IF(B275=IFERROR(INDEX('Crafting recipes'!$H$6:$H$1005,MATCH(J275,'Crafting recipes'!$A$6:$A$1005,0)),"MISSING ID"),"Advances one material tier","Lower-tier ingredient; route advances one tier"),"Needs tier review"))))))</x:f>
        <x:v>Advances one material tier</x:v>
      </x:c>
      <x:c r="S275" s="4" t="str">
        <x:f>IFERROR(INDEX('Material routes'!$D$6:$D$2205,MATCH(U275,'Material routes'!$A$6:$A$2205,0)),"MISSING ID")</x:f>
        <x:v>proposal.t3.abrasive_stock</x:v>
      </x:c>
      <x:c r="T275" s="4" t="str">
        <x:f>IFERROR(INDEX('Material routes'!$D$6:$D$2205,MATCH(V275,'Material routes'!$A$6:$A$2205,0)),"MISSING ID")</x:f>
        <x:v>proposal.t4.grinding_head</x:v>
      </x:c>
      <x:c r="U275" s="4" t="str">
        <x:v>design.t4.grinding_head.in.1</x:v>
      </x:c>
      <x:c r="V275" s="4" t="str">
        <x:v>design.t4.grinding_head.out</x:v>
      </x:c>
    </x:row>
    <x:row r="276" ht="115" customHeight="1">
      <x:c r="A276" s="4" t="str">
        <x:f>IFERROR(INDEX('Material routes'!$E$6:$E$2205,MATCH(U276,'Material routes'!$A$6:$A$2205,0)),"MISSING ID")</x:f>
        <x:v>Heat-treated steel gear blanks</x:v>
      </x:c>
      <x:c r="B276" s="4" t="str">
        <x:f>IFERROR(INDEX('Material routes'!$F$6:$F$2205,MATCH(U276,'Material routes'!$A$6:$A$2205,0)),"MISSING ID")</x:f>
        <x:v>T3</x:v>
      </x:c>
      <x:c r="C276" s="4" t="str">
        <x:f>IFERROR(INDEX('Material routes'!$H$6:$H$2205,MATCH(U276,'Material routes'!$A$6:$A$2205,0)),"MISSING ID")</x:f>
        <x:v>Crafting component</x:v>
      </x:c>
      <x:c r="D276" s="4" t="str">
        <x:f>IFERROR(INDEX('Material routes'!$G$6:$G$2205,MATCH(U276,'Material routes'!$A$6:$A$2205,0)),"MISSING ID")</x:f>
        <x:v>Crafting components</x:v>
      </x:c>
      <x:c r="E276" s="4" t="str">
        <x:f>IFERROR(INDEX('Material routes'!$C$6:$C$2205,MATCH(U276,'Material routes'!$A$6:$A$2205,0)),"MISSING ID")</x:f>
        <x:v>Ingredient candidate</x:v>
      </x:c>
      <x:c r="F276" s="4" t="str">
        <x:f>IFERROR(INDEX('Material routes'!$E$6:$E$2205,MATCH(V276,'Material routes'!$A$6:$A$2205,0)),"MISSING ID")</x:f>
        <x:v>Replaceable abrasive-head assembly</x:v>
      </x:c>
      <x:c r="G276" s="4" t="str">
        <x:f>IFERROR(INDEX('Material routes'!$F$6:$F$2205,MATCH(V276,'Material routes'!$A$6:$A$2205,0)),"MISSING ID")</x:f>
        <x:v>T4</x:v>
      </x:c>
      <x:c r="H276" s="4" t="str">
        <x:f>IFERROR(INDEX('Material routes'!$H$6:$H$2205,MATCH(V276,'Material routes'!$A$6:$A$2205,0)),"MISSING ID")</x:f>
        <x:v>Crafting component</x:v>
      </x:c>
      <x:c r="I276" s="4" t="str">
        <x:f>IFERROR(INDEX('Material routes'!$G$6:$G$2205,MATCH(V276,'Material routes'!$A$6:$A$2205,0)),"MISSING ID")</x:f>
        <x:v>Crafting components</x:v>
      </x:c>
      <x:c r="J276" s="4" t="str">
        <x:f>IFERROR(INDEX('Material routes'!$B$6:$B$2205,MATCH(U276,'Material routes'!$A$6:$A$2205,0)),"MISSING ID")</x:f>
        <x:v>design.t4.grinding_head</x:v>
      </x:c>
      <x:c r="K276" s="4" t="str">
        <x:f>IFERROR(INDEX('Crafting recipes'!$C$6:$C$1005,MATCH(J276,'Crafting recipes'!$A$6:$A$1005,0)),"MISSING ID")</x:f>
        <x:v>Material refinement</x:v>
      </x:c>
      <x:c r="L276" s="4" t="str">
        <x:f>IFERROR(INDEX('Material routes'!$K$6:$K$2205,MATCH(U276,'Material routes'!$A$6:$A$2205,0)),"MISSING ID")</x:f>
        <x:v>Proposal</x:v>
      </x:c>
      <x:c r="M276" s="4" t="str">
        <x:f>IFERROR(INDEX('Material routes'!$M$6:$M$2205,MATCH(U276,'Material routes'!$A$6:$A$2205,0)),"MISSING ID")</x:f>
        <x:v>Partial proposal</x:v>
      </x:c>
      <x:c r="N276" s="4" t="str">
        <x:f>IF(IFERROR(INDEX('Material routes'!$I$6:$I$1005,MATCH(U276,'Material routes'!$A$6:$A$1005,0)),"MISSING ID")=0,"",IFERROR(INDEX('Material routes'!$I$6:$I$1005,MATCH(U276,'Material routes'!$A$6:$A$1005,0)),"MISSING ID"))</x:f>
      </x:c>
      <x:c r="O276" s="4" t="str">
        <x:f>IFERROR(INDEX('Material routes'!$J$6:$J$2205,MATCH(U276,'Material routes'!$A$6:$A$2205,0)),"MISSING ID")</x:f>
        <x:v>Unspecified</x:v>
      </x:c>
      <x:c r="P276" s="4" t="str">
        <x:f>IF(IFERROR(INDEX('Material routes'!$I$6:$I$1005,MATCH(V276,'Material routes'!$A$6:$A$1005,0)),"MISSING ID")=0,"",IFERROR(INDEX('Material routes'!$I$6:$I$1005,MATCH(V276,'Material routes'!$A$6:$A$1005,0)),"MISSING ID"))</x:f>
      </x:c>
      <x:c r="Q276" s="4" t="str">
        <x:f>IFERROR(INDEX('Material routes'!$J$6:$J$2205,MATCH(V276,'Material routes'!$A$6:$A$2205,0)),"MISSING ID")</x:f>
        <x:v>Unspecified</x:v>
      </x:c>
      <x:c r="R276" s="4" t="str">
        <x:f>IF(L276="Withheld","Withheld premise",IF(E276="Tool candidate","Reusable prerequisite",IF(K276="Raw entry preparation","Entry-resource preparation",IF(G276="Not applicable",IF(IFERROR(INDEX('Items'!$AI$6:$AI$1005,MATCH(T276,'Items'!$A$6:$A$1005,0)),"MISSING ID")="Finished item","Finished endpoint",IF(IFERROR(INDEX('Items'!$AI$6:$AI$1005,MATCH(T276,'Items'!$A$6:$A$1005,0)),"MISSING ID")="Currency","Currency / no refinement tier","Recovered output / tier not applicable")),IF(OR(IFERROR(INDEX('Crafting recipes'!$H$6:$H$1005,MATCH(J276,'Crafting recipes'!$A$6:$A$1005,0)),"MISSING ID")="Unassigned",G276="Unassigned"),"Tier unresolved",IF(IFERROR(VALUE(RIGHT(G276,1))-VALUE(RIGHT(IFERROR(INDEX('Crafting recipes'!$H$6:$H$1005,MATCH(J276,'Crafting recipes'!$A$6:$A$1005,0)),"MISSING ID"),1)),0)=1,IF(B276=IFERROR(INDEX('Crafting recipes'!$H$6:$H$1005,MATCH(J276,'Crafting recipes'!$A$6:$A$1005,0)),"MISSING ID"),"Advances one material tier","Lower-tier ingredient; route advances one tier"),"Needs tier review"))))))</x:f>
        <x:v>Advances one material tier</x:v>
      </x:c>
      <x:c r="S276" s="4" t="str">
        <x:f>IFERROR(INDEX('Material routes'!$D$6:$D$2205,MATCH(U276,'Material routes'!$A$6:$A$2205,0)),"MISSING ID")</x:f>
        <x:v>proposal.t3.gear_blank</x:v>
      </x:c>
      <x:c r="T276" s="4" t="str">
        <x:f>IFERROR(INDEX('Material routes'!$D$6:$D$2205,MATCH(V276,'Material routes'!$A$6:$A$2205,0)),"MISSING ID")</x:f>
        <x:v>proposal.t4.grinding_head</x:v>
      </x:c>
      <x:c r="U276" s="4" t="str">
        <x:v>design.t4.grinding_head.in.2</x:v>
      </x:c>
      <x:c r="V276" s="4" t="str">
        <x:v>design.t4.grinding_head.out</x:v>
      </x:c>
    </x:row>
    <x:row r="277" ht="115" customHeight="1">
      <x:c r="A277" s="4" t="str">
        <x:f>IFERROR(INDEX('Material routes'!$E$6:$E$2205,MATCH(U277,'Material routes'!$A$6:$A$2205,0)),"MISSING ID")</x:f>
        <x:v>Prepared bronze bearing stock</x:v>
      </x:c>
      <x:c r="B277" s="4" t="str">
        <x:f>IFERROR(INDEX('Material routes'!$F$6:$F$2205,MATCH(U277,'Material routes'!$A$6:$A$2205,0)),"MISSING ID")</x:f>
        <x:v>T2</x:v>
      </x:c>
      <x:c r="C277" s="4" t="str">
        <x:f>IFERROR(INDEX('Material routes'!$H$6:$H$2205,MATCH(U277,'Material routes'!$A$6:$A$2205,0)),"MISSING ID")</x:f>
        <x:v>Processed material</x:v>
      </x:c>
      <x:c r="D277" s="4" t="str">
        <x:f>IFERROR(INDEX('Material routes'!$G$6:$G$2205,MATCH(U277,'Material routes'!$A$6:$A$2205,0)),"MISSING ID")</x:f>
        <x:v>Manufactured stock</x:v>
      </x:c>
      <x:c r="E277" s="4" t="str">
        <x:f>IFERROR(INDEX('Material routes'!$C$6:$C$2205,MATCH(U277,'Material routes'!$A$6:$A$2205,0)),"MISSING ID")</x:f>
        <x:v>Ingredient candidate</x:v>
      </x:c>
      <x:c r="F277" s="4" t="str">
        <x:f>IFERROR(INDEX('Material routes'!$E$6:$E$2205,MATCH(V277,'Material routes'!$A$6:$A$2205,0)),"MISSING ID")</x:f>
        <x:v>Replaceable abrasive-head assembly</x:v>
      </x:c>
      <x:c r="G277" s="4" t="str">
        <x:f>IFERROR(INDEX('Material routes'!$F$6:$F$2205,MATCH(V277,'Material routes'!$A$6:$A$2205,0)),"MISSING ID")</x:f>
        <x:v>T4</x:v>
      </x:c>
      <x:c r="H277" s="4" t="str">
        <x:f>IFERROR(INDEX('Material routes'!$H$6:$H$2205,MATCH(V277,'Material routes'!$A$6:$A$2205,0)),"MISSING ID")</x:f>
        <x:v>Crafting component</x:v>
      </x:c>
      <x:c r="I277" s="4" t="str">
        <x:f>IFERROR(INDEX('Material routes'!$G$6:$G$2205,MATCH(V277,'Material routes'!$A$6:$A$2205,0)),"MISSING ID")</x:f>
        <x:v>Crafting components</x:v>
      </x:c>
      <x:c r="J277" s="4" t="str">
        <x:f>IFERROR(INDEX('Material routes'!$B$6:$B$2205,MATCH(U277,'Material routes'!$A$6:$A$2205,0)),"MISSING ID")</x:f>
        <x:v>design.t4.grinding_head</x:v>
      </x:c>
      <x:c r="K277" s="4" t="str">
        <x:f>IFERROR(INDEX('Crafting recipes'!$C$6:$C$1005,MATCH(J277,'Crafting recipes'!$A$6:$A$1005,0)),"MISSING ID")</x:f>
        <x:v>Material refinement</x:v>
      </x:c>
      <x:c r="L277" s="4" t="str">
        <x:f>IFERROR(INDEX('Material routes'!$K$6:$K$2205,MATCH(U277,'Material routes'!$A$6:$A$2205,0)),"MISSING ID")</x:f>
        <x:v>Proposal</x:v>
      </x:c>
      <x:c r="M277" s="4" t="str">
        <x:f>IFERROR(INDEX('Material routes'!$M$6:$M$2205,MATCH(U277,'Material routes'!$A$6:$A$2205,0)),"MISSING ID")</x:f>
        <x:v>Partial proposal</x:v>
      </x:c>
      <x:c r="N277" s="4" t="str">
        <x:f>IF(IFERROR(INDEX('Material routes'!$I$6:$I$1005,MATCH(U277,'Material routes'!$A$6:$A$1005,0)),"MISSING ID")=0,"",IFERROR(INDEX('Material routes'!$I$6:$I$1005,MATCH(U277,'Material routes'!$A$6:$A$1005,0)),"MISSING ID"))</x:f>
      </x:c>
      <x:c r="O277" s="4" t="str">
        <x:f>IFERROR(INDEX('Material routes'!$J$6:$J$2205,MATCH(U277,'Material routes'!$A$6:$A$2205,0)),"MISSING ID")</x:f>
        <x:v>Unspecified</x:v>
      </x:c>
      <x:c r="P277" s="4" t="str">
        <x:f>IF(IFERROR(INDEX('Material routes'!$I$6:$I$1005,MATCH(V277,'Material routes'!$A$6:$A$1005,0)),"MISSING ID")=0,"",IFERROR(INDEX('Material routes'!$I$6:$I$1005,MATCH(V277,'Material routes'!$A$6:$A$1005,0)),"MISSING ID"))</x:f>
      </x:c>
      <x:c r="Q277" s="4" t="str">
        <x:f>IFERROR(INDEX('Material routes'!$J$6:$J$2205,MATCH(V277,'Material routes'!$A$6:$A$2205,0)),"MISSING ID")</x:f>
        <x:v>Unspecified</x:v>
      </x:c>
      <x:c r="R277" s="4" t="str">
        <x:f>IF(L277="Withheld","Withheld premise",IF(E277="Tool candidate","Reusable prerequisite",IF(K277="Raw entry preparation","Entry-resource preparation",IF(G277="Not applicable",IF(IFERROR(INDEX('Items'!$AI$6:$AI$1005,MATCH(T277,'Items'!$A$6:$A$1005,0)),"MISSING ID")="Finished item","Finished endpoint",IF(IFERROR(INDEX('Items'!$AI$6:$AI$1005,MATCH(T277,'Items'!$A$6:$A$1005,0)),"MISSING ID")="Currency","Currency / no refinement tier","Recovered output / tier not applicable")),IF(OR(IFERROR(INDEX('Crafting recipes'!$H$6:$H$1005,MATCH(J277,'Crafting recipes'!$A$6:$A$1005,0)),"MISSING ID")="Unassigned",G277="Unassigned"),"Tier unresolved",IF(IFERROR(VALUE(RIGHT(G277,1))-VALUE(RIGHT(IFERROR(INDEX('Crafting recipes'!$H$6:$H$1005,MATCH(J277,'Crafting recipes'!$A$6:$A$1005,0)),"MISSING ID"),1)),0)=1,IF(B277=IFERROR(INDEX('Crafting recipes'!$H$6:$H$1005,MATCH(J277,'Crafting recipes'!$A$6:$A$1005,0)),"MISSING ID"),"Advances one material tier","Lower-tier ingredient; route advances one tier"),"Needs tier review"))))))</x:f>
        <x:v>Lower-tier ingredient; route advances one tier</x:v>
      </x:c>
      <x:c r="S277" s="4" t="str">
        <x:f>IFERROR(INDEX('Material routes'!$D$6:$D$2205,MATCH(U277,'Material routes'!$A$6:$A$2205,0)),"MISSING ID")</x:f>
        <x:v>proposal.branch.bearing_bronze</x:v>
      </x:c>
      <x:c r="T277" s="4" t="str">
        <x:f>IFERROR(INDEX('Material routes'!$D$6:$D$2205,MATCH(V277,'Material routes'!$A$6:$A$2205,0)),"MISSING ID")</x:f>
        <x:v>proposal.t4.grinding_head</x:v>
      </x:c>
      <x:c r="U277" s="4" t="str">
        <x:v>design.t4.grinding_head.in.3</x:v>
      </x:c>
      <x:c r="V277" s="4" t="str">
        <x:v>design.t4.grinding_head.out</x:v>
      </x:c>
    </x:row>
    <x:row r="278" ht="115" customHeight="1">
      <x:c r="A278" s="4" t="str">
        <x:f>IFERROR(INDEX('Material routes'!$E$6:$E$2205,MATCH(U278,'Material routes'!$A$6:$A$2205,0)),"MISSING ID")</x:f>
        <x:v>Layered husk composite stock</x:v>
      </x:c>
      <x:c r="B278" s="4" t="str">
        <x:f>IFERROR(INDEX('Material routes'!$F$6:$F$2205,MATCH(U278,'Material routes'!$A$6:$A$2205,0)),"MISSING ID")</x:f>
        <x:v>T3</x:v>
      </x:c>
      <x:c r="C278" s="4" t="str">
        <x:f>IFERROR(INDEX('Material routes'!$H$6:$H$2205,MATCH(U278,'Material routes'!$A$6:$A$2205,0)),"MISSING ID")</x:f>
        <x:v>Processed material</x:v>
      </x:c>
      <x:c r="D278" s="4" t="str">
        <x:f>IFERROR(INDEX('Material routes'!$G$6:$G$2205,MATCH(U278,'Material routes'!$A$6:$A$2205,0)),"MISSING ID")</x:f>
        <x:v>Manufactured stock</x:v>
      </x:c>
      <x:c r="E278" s="4" t="str">
        <x:f>IFERROR(INDEX('Material routes'!$C$6:$C$2205,MATCH(U278,'Material routes'!$A$6:$A$2205,0)),"MISSING ID")</x:f>
        <x:v>Ingredient candidate</x:v>
      </x:c>
      <x:c r="F278" s="4" t="str">
        <x:f>IFERROR(INDEX('Material routes'!$E$6:$E$2205,MATCH(V278,'Material routes'!$A$6:$A$2205,0)),"MISSING ID")</x:f>
        <x:v>Pressed mineral-husk insulating board</x:v>
      </x:c>
      <x:c r="G278" s="4" t="str">
        <x:f>IFERROR(INDEX('Material routes'!$F$6:$F$2205,MATCH(V278,'Material routes'!$A$6:$A$2205,0)),"MISSING ID")</x:f>
        <x:v>T4</x:v>
      </x:c>
      <x:c r="H278" s="4" t="str">
        <x:f>IFERROR(INDEX('Material routes'!$H$6:$H$2205,MATCH(V278,'Material routes'!$A$6:$A$2205,0)),"MISSING ID")</x:f>
        <x:v>Processed material</x:v>
      </x:c>
      <x:c r="I278" s="4" t="str">
        <x:f>IFERROR(INDEX('Material routes'!$G$6:$G$2205,MATCH(V278,'Material routes'!$A$6:$A$2205,0)),"MISSING ID")</x:f>
        <x:v>Manufactured stock</x:v>
      </x:c>
      <x:c r="J278" s="4" t="str">
        <x:f>IFERROR(INDEX('Material routes'!$B$6:$B$2205,MATCH(U278,'Material routes'!$A$6:$A$2205,0)),"MISSING ID")</x:f>
        <x:v>design.t4.insulating_board</x:v>
      </x:c>
      <x:c r="K278" s="4" t="str">
        <x:f>IFERROR(INDEX('Crafting recipes'!$C$6:$C$1005,MATCH(J278,'Crafting recipes'!$A$6:$A$1005,0)),"MISSING ID")</x:f>
        <x:v>Material refinement</x:v>
      </x:c>
      <x:c r="L278" s="4" t="str">
        <x:f>IFERROR(INDEX('Material routes'!$K$6:$K$2205,MATCH(U278,'Material routes'!$A$6:$A$2205,0)),"MISSING ID")</x:f>
        <x:v>Proposal</x:v>
      </x:c>
      <x:c r="M278" s="4" t="str">
        <x:f>IFERROR(INDEX('Material routes'!$M$6:$M$2205,MATCH(U278,'Material routes'!$A$6:$A$2205,0)),"MISSING ID")</x:f>
        <x:v>Partial proposal</x:v>
      </x:c>
      <x:c r="N278" s="4" t="str">
        <x:f>IF(IFERROR(INDEX('Material routes'!$I$6:$I$1005,MATCH(U278,'Material routes'!$A$6:$A$1005,0)),"MISSING ID")=0,"",IFERROR(INDEX('Material routes'!$I$6:$I$1005,MATCH(U278,'Material routes'!$A$6:$A$1005,0)),"MISSING ID"))</x:f>
      </x:c>
      <x:c r="O278" s="4" t="str">
        <x:f>IFERROR(INDEX('Material routes'!$J$6:$J$2205,MATCH(U278,'Material routes'!$A$6:$A$2205,0)),"MISSING ID")</x:f>
        <x:v>Unspecified</x:v>
      </x:c>
      <x:c r="P278" s="4" t="str">
        <x:f>IF(IFERROR(INDEX('Material routes'!$I$6:$I$1005,MATCH(V278,'Material routes'!$A$6:$A$1005,0)),"MISSING ID")=0,"",IFERROR(INDEX('Material routes'!$I$6:$I$1005,MATCH(V278,'Material routes'!$A$6:$A$1005,0)),"MISSING ID"))</x:f>
      </x:c>
      <x:c r="Q278" s="4" t="str">
        <x:f>IFERROR(INDEX('Material routes'!$J$6:$J$2205,MATCH(V278,'Material routes'!$A$6:$A$2205,0)),"MISSING ID")</x:f>
        <x:v>Unspecified</x:v>
      </x:c>
      <x:c r="R278" s="4" t="str">
        <x:f>IF(L278="Withheld","Withheld premise",IF(E278="Tool candidate","Reusable prerequisite",IF(K278="Raw entry preparation","Entry-resource preparation",IF(G278="Not applicable",IF(IFERROR(INDEX('Items'!$AI$6:$AI$1005,MATCH(T278,'Items'!$A$6:$A$1005,0)),"MISSING ID")="Finished item","Finished endpoint",IF(IFERROR(INDEX('Items'!$AI$6:$AI$1005,MATCH(T278,'Items'!$A$6:$A$1005,0)),"MISSING ID")="Currency","Currency / no refinement tier","Recovered output / tier not applicable")),IF(OR(IFERROR(INDEX('Crafting recipes'!$H$6:$H$1005,MATCH(J278,'Crafting recipes'!$A$6:$A$1005,0)),"MISSING ID")="Unassigned",G278="Unassigned"),"Tier unresolved",IF(IFERROR(VALUE(RIGHT(G278,1))-VALUE(RIGHT(IFERROR(INDEX('Crafting recipes'!$H$6:$H$1005,MATCH(J278,'Crafting recipes'!$A$6:$A$1005,0)),"MISSING ID"),1)),0)=1,IF(B278=IFERROR(INDEX('Crafting recipes'!$H$6:$H$1005,MATCH(J278,'Crafting recipes'!$A$6:$A$1005,0)),"MISSING ID"),"Advances one material tier","Lower-tier ingredient; route advances one tier"),"Needs tier review"))))))</x:f>
        <x:v>Advances one material tier</x:v>
      </x:c>
      <x:c r="S278" s="4" t="str">
        <x:f>IFERROR(INDEX('Material routes'!$D$6:$D$2205,MATCH(U278,'Material routes'!$A$6:$A$2205,0)),"MISSING ID")</x:f>
        <x:v>proposal.branch.husk_composite</x:v>
      </x:c>
      <x:c r="T278" s="4" t="str">
        <x:f>IFERROR(INDEX('Material routes'!$D$6:$D$2205,MATCH(V278,'Material routes'!$A$6:$A$2205,0)),"MISSING ID")</x:f>
        <x:v>proposal.t4.insulating_board</x:v>
      </x:c>
      <x:c r="U278" s="4" t="str">
        <x:v>design.t4.insulating_board.in.1</x:v>
      </x:c>
      <x:c r="V278" s="4" t="str">
        <x:v>design.t4.insulating_board.out</x:v>
      </x:c>
    </x:row>
    <x:row r="279" ht="115" customHeight="1">
      <x:c r="A279" s="4" t="str">
        <x:f>IFERROR(INDEX('Material routes'!$E$6:$E$2205,MATCH(U279,'Material routes'!$A$6:$A$2205,0)),"MISSING ID")</x:f>
        <x:v>Reinforced sealing sheet</x:v>
      </x:c>
      <x:c r="B279" s="4" t="str">
        <x:f>IFERROR(INDEX('Material routes'!$F$6:$F$2205,MATCH(U279,'Material routes'!$A$6:$A$2205,0)),"MISSING ID")</x:f>
        <x:v>T3</x:v>
      </x:c>
      <x:c r="C279" s="4" t="str">
        <x:f>IFERROR(INDEX('Material routes'!$H$6:$H$2205,MATCH(U279,'Material routes'!$A$6:$A$2205,0)),"MISSING ID")</x:f>
        <x:v>Processed material</x:v>
      </x:c>
      <x:c r="D279" s="4" t="str">
        <x:f>IFERROR(INDEX('Material routes'!$G$6:$G$2205,MATCH(U279,'Material routes'!$A$6:$A$2205,0)),"MISSING ID")</x:f>
        <x:v>Manufactured stock</x:v>
      </x:c>
      <x:c r="E279" s="4" t="str">
        <x:f>IFERROR(INDEX('Material routes'!$C$6:$C$2205,MATCH(U279,'Material routes'!$A$6:$A$2205,0)),"MISSING ID")</x:f>
        <x:v>Ingredient candidate</x:v>
      </x:c>
      <x:c r="F279" s="4" t="str">
        <x:f>IFERROR(INDEX('Material routes'!$E$6:$E$2205,MATCH(V279,'Material routes'!$A$6:$A$2205,0)),"MISSING ID")</x:f>
        <x:v>Pressed mineral-husk insulating board</x:v>
      </x:c>
      <x:c r="G279" s="4" t="str">
        <x:f>IFERROR(INDEX('Material routes'!$F$6:$F$2205,MATCH(V279,'Material routes'!$A$6:$A$2205,0)),"MISSING ID")</x:f>
        <x:v>T4</x:v>
      </x:c>
      <x:c r="H279" s="4" t="str">
        <x:f>IFERROR(INDEX('Material routes'!$H$6:$H$2205,MATCH(V279,'Material routes'!$A$6:$A$2205,0)),"MISSING ID")</x:f>
        <x:v>Processed material</x:v>
      </x:c>
      <x:c r="I279" s="4" t="str">
        <x:f>IFERROR(INDEX('Material routes'!$G$6:$G$2205,MATCH(V279,'Material routes'!$A$6:$A$2205,0)),"MISSING ID")</x:f>
        <x:v>Manufactured stock</x:v>
      </x:c>
      <x:c r="J279" s="4" t="str">
        <x:f>IFERROR(INDEX('Material routes'!$B$6:$B$2205,MATCH(U279,'Material routes'!$A$6:$A$2205,0)),"MISSING ID")</x:f>
        <x:v>design.t4.insulating_board</x:v>
      </x:c>
      <x:c r="K279" s="4" t="str">
        <x:f>IFERROR(INDEX('Crafting recipes'!$C$6:$C$1005,MATCH(J279,'Crafting recipes'!$A$6:$A$1005,0)),"MISSING ID")</x:f>
        <x:v>Material refinement</x:v>
      </x:c>
      <x:c r="L279" s="4" t="str">
        <x:f>IFERROR(INDEX('Material routes'!$K$6:$K$2205,MATCH(U279,'Material routes'!$A$6:$A$2205,0)),"MISSING ID")</x:f>
        <x:v>Proposal</x:v>
      </x:c>
      <x:c r="M279" s="4" t="str">
        <x:f>IFERROR(INDEX('Material routes'!$M$6:$M$2205,MATCH(U279,'Material routes'!$A$6:$A$2205,0)),"MISSING ID")</x:f>
        <x:v>Partial proposal</x:v>
      </x:c>
      <x:c r="N279" s="4" t="str">
        <x:f>IF(IFERROR(INDEX('Material routes'!$I$6:$I$1005,MATCH(U279,'Material routes'!$A$6:$A$1005,0)),"MISSING ID")=0,"",IFERROR(INDEX('Material routes'!$I$6:$I$1005,MATCH(U279,'Material routes'!$A$6:$A$1005,0)),"MISSING ID"))</x:f>
      </x:c>
      <x:c r="O279" s="4" t="str">
        <x:f>IFERROR(INDEX('Material routes'!$J$6:$J$2205,MATCH(U279,'Material routes'!$A$6:$A$2205,0)),"MISSING ID")</x:f>
        <x:v>Unspecified</x:v>
      </x:c>
      <x:c r="P279" s="4" t="str">
        <x:f>IF(IFERROR(INDEX('Material routes'!$I$6:$I$1005,MATCH(V279,'Material routes'!$A$6:$A$1005,0)),"MISSING ID")=0,"",IFERROR(INDEX('Material routes'!$I$6:$I$1005,MATCH(V279,'Material routes'!$A$6:$A$1005,0)),"MISSING ID"))</x:f>
      </x:c>
      <x:c r="Q279" s="4" t="str">
        <x:f>IFERROR(INDEX('Material routes'!$J$6:$J$2205,MATCH(V279,'Material routes'!$A$6:$A$2205,0)),"MISSING ID")</x:f>
        <x:v>Unspecified</x:v>
      </x:c>
      <x:c r="R279" s="4" t="str">
        <x:f>IF(L279="Withheld","Withheld premise",IF(E279="Tool candidate","Reusable prerequisite",IF(K279="Raw entry preparation","Entry-resource preparation",IF(G279="Not applicable",IF(IFERROR(INDEX('Items'!$AI$6:$AI$1005,MATCH(T279,'Items'!$A$6:$A$1005,0)),"MISSING ID")="Finished item","Finished endpoint",IF(IFERROR(INDEX('Items'!$AI$6:$AI$1005,MATCH(T279,'Items'!$A$6:$A$1005,0)),"MISSING ID")="Currency","Currency / no refinement tier","Recovered output / tier not applicable")),IF(OR(IFERROR(INDEX('Crafting recipes'!$H$6:$H$1005,MATCH(J279,'Crafting recipes'!$A$6:$A$1005,0)),"MISSING ID")="Unassigned",G279="Unassigned"),"Tier unresolved",IF(IFERROR(VALUE(RIGHT(G279,1))-VALUE(RIGHT(IFERROR(INDEX('Crafting recipes'!$H$6:$H$1005,MATCH(J279,'Crafting recipes'!$A$6:$A$1005,0)),"MISSING ID"),1)),0)=1,IF(B279=IFERROR(INDEX('Crafting recipes'!$H$6:$H$1005,MATCH(J279,'Crafting recipes'!$A$6:$A$1005,0)),"MISSING ID"),"Advances one material tier","Lower-tier ingredient; route advances one tier"),"Needs tier review"))))))</x:f>
        <x:v>Advances one material tier</x:v>
      </x:c>
      <x:c r="S279" s="4" t="str">
        <x:f>IFERROR(INDEX('Material routes'!$D$6:$D$2205,MATCH(U279,'Material routes'!$A$6:$A$2205,0)),"MISSING ID")</x:f>
        <x:v>proposal.branch.sealing_sheet</x:v>
      </x:c>
      <x:c r="T279" s="4" t="str">
        <x:f>IFERROR(INDEX('Material routes'!$D$6:$D$2205,MATCH(V279,'Material routes'!$A$6:$A$2205,0)),"MISSING ID")</x:f>
        <x:v>proposal.t4.insulating_board</x:v>
      </x:c>
      <x:c r="U279" s="4" t="str">
        <x:v>design.t4.insulating_board.in.2</x:v>
      </x:c>
      <x:c r="V279" s="4" t="str">
        <x:v>design.t4.insulating_board.out</x:v>
      </x:c>
    </x:row>
    <x:row r="280" ht="115" customHeight="1">
      <x:c r="A280" s="4" t="str">
        <x:f>IFERROR(INDEX('Material routes'!$E$6:$E$2205,MATCH(U280,'Material routes'!$A$6:$A$2205,0)),"MISSING ID")</x:f>
        <x:v>Mica composite sheet</x:v>
      </x:c>
      <x:c r="B280" s="4" t="str">
        <x:f>IFERROR(INDEX('Material routes'!$F$6:$F$2205,MATCH(U280,'Material routes'!$A$6:$A$2205,0)),"MISSING ID")</x:f>
        <x:v>T2</x:v>
      </x:c>
      <x:c r="C280" s="4" t="str">
        <x:f>IFERROR(INDEX('Material routes'!$H$6:$H$2205,MATCH(U280,'Material routes'!$A$6:$A$2205,0)),"MISSING ID")</x:f>
        <x:v>Processed material</x:v>
      </x:c>
      <x:c r="D280" s="4" t="str">
        <x:f>IFERROR(INDEX('Material routes'!$G$6:$G$2205,MATCH(U280,'Material routes'!$A$6:$A$2205,0)),"MISSING ID")</x:f>
        <x:v>Manufactured stock</x:v>
      </x:c>
      <x:c r="E280" s="4" t="str">
        <x:f>IFERROR(INDEX('Material routes'!$C$6:$C$2205,MATCH(U280,'Material routes'!$A$6:$A$2205,0)),"MISSING ID")</x:f>
        <x:v>Ingredient candidate</x:v>
      </x:c>
      <x:c r="F280" s="4" t="str">
        <x:f>IFERROR(INDEX('Material routes'!$E$6:$E$2205,MATCH(V280,'Material routes'!$A$6:$A$2205,0)),"MISSING ID")</x:f>
        <x:v>Pressed mineral-husk insulating board</x:v>
      </x:c>
      <x:c r="G280" s="4" t="str">
        <x:f>IFERROR(INDEX('Material routes'!$F$6:$F$2205,MATCH(V280,'Material routes'!$A$6:$A$2205,0)),"MISSING ID")</x:f>
        <x:v>T4</x:v>
      </x:c>
      <x:c r="H280" s="4" t="str">
        <x:f>IFERROR(INDEX('Material routes'!$H$6:$H$2205,MATCH(V280,'Material routes'!$A$6:$A$2205,0)),"MISSING ID")</x:f>
        <x:v>Processed material</x:v>
      </x:c>
      <x:c r="I280" s="4" t="str">
        <x:f>IFERROR(INDEX('Material routes'!$G$6:$G$2205,MATCH(V280,'Material routes'!$A$6:$A$2205,0)),"MISSING ID")</x:f>
        <x:v>Manufactured stock</x:v>
      </x:c>
      <x:c r="J280" s="4" t="str">
        <x:f>IFERROR(INDEX('Material routes'!$B$6:$B$2205,MATCH(U280,'Material routes'!$A$6:$A$2205,0)),"MISSING ID")</x:f>
        <x:v>design.t4.insulating_board</x:v>
      </x:c>
      <x:c r="K280" s="4" t="str">
        <x:f>IFERROR(INDEX('Crafting recipes'!$C$6:$C$1005,MATCH(J280,'Crafting recipes'!$A$6:$A$1005,0)),"MISSING ID")</x:f>
        <x:v>Material refinement</x:v>
      </x:c>
      <x:c r="L280" s="4" t="str">
        <x:f>IFERROR(INDEX('Material routes'!$K$6:$K$2205,MATCH(U280,'Material routes'!$A$6:$A$2205,0)),"MISSING ID")</x:f>
        <x:v>Proposal</x:v>
      </x:c>
      <x:c r="M280" s="4" t="str">
        <x:f>IFERROR(INDEX('Material routes'!$M$6:$M$2205,MATCH(U280,'Material routes'!$A$6:$A$2205,0)),"MISSING ID")</x:f>
        <x:v>Partial proposal</x:v>
      </x:c>
      <x:c r="N280" s="4" t="str">
        <x:f>IF(IFERROR(INDEX('Material routes'!$I$6:$I$1005,MATCH(U280,'Material routes'!$A$6:$A$1005,0)),"MISSING ID")=0,"",IFERROR(INDEX('Material routes'!$I$6:$I$1005,MATCH(U280,'Material routes'!$A$6:$A$1005,0)),"MISSING ID"))</x:f>
      </x:c>
      <x:c r="O280" s="4" t="str">
        <x:f>IFERROR(INDEX('Material routes'!$J$6:$J$2205,MATCH(U280,'Material routes'!$A$6:$A$2205,0)),"MISSING ID")</x:f>
        <x:v>Unspecified</x:v>
      </x:c>
      <x:c r="P280" s="4" t="str">
        <x:f>IF(IFERROR(INDEX('Material routes'!$I$6:$I$1005,MATCH(V280,'Material routes'!$A$6:$A$1005,0)),"MISSING ID")=0,"",IFERROR(INDEX('Material routes'!$I$6:$I$1005,MATCH(V280,'Material routes'!$A$6:$A$1005,0)),"MISSING ID"))</x:f>
      </x:c>
      <x:c r="Q280" s="4" t="str">
        <x:f>IFERROR(INDEX('Material routes'!$J$6:$J$2205,MATCH(V280,'Material routes'!$A$6:$A$2205,0)),"MISSING ID")</x:f>
        <x:v>Unspecified</x:v>
      </x:c>
      <x:c r="R280" s="4" t="str">
        <x:f>IF(L280="Withheld","Withheld premise",IF(E280="Tool candidate","Reusable prerequisite",IF(K280="Raw entry preparation","Entry-resource preparation",IF(G280="Not applicable",IF(IFERROR(INDEX('Items'!$AI$6:$AI$1005,MATCH(T280,'Items'!$A$6:$A$1005,0)),"MISSING ID")="Finished item","Finished endpoint",IF(IFERROR(INDEX('Items'!$AI$6:$AI$1005,MATCH(T280,'Items'!$A$6:$A$1005,0)),"MISSING ID")="Currency","Currency / no refinement tier","Recovered output / tier not applicable")),IF(OR(IFERROR(INDEX('Crafting recipes'!$H$6:$H$1005,MATCH(J280,'Crafting recipes'!$A$6:$A$1005,0)),"MISSING ID")="Unassigned",G280="Unassigned"),"Tier unresolved",IF(IFERROR(VALUE(RIGHT(G280,1))-VALUE(RIGHT(IFERROR(INDEX('Crafting recipes'!$H$6:$H$1005,MATCH(J280,'Crafting recipes'!$A$6:$A$1005,0)),"MISSING ID"),1)),0)=1,IF(B280=IFERROR(INDEX('Crafting recipes'!$H$6:$H$1005,MATCH(J280,'Crafting recipes'!$A$6:$A$1005,0)),"MISSING ID"),"Advances one material tier","Lower-tier ingredient; route advances one tier"),"Needs tier review"))))))</x:f>
        <x:v>Lower-tier ingredient; route advances one tier</x:v>
      </x:c>
      <x:c r="S280" s="4" t="str">
        <x:f>IFERROR(INDEX('Material routes'!$D$6:$D$2205,MATCH(U280,'Material routes'!$A$6:$A$2205,0)),"MISSING ID")</x:f>
        <x:v>proposal.branch.mica_sheet</x:v>
      </x:c>
      <x:c r="T280" s="4" t="str">
        <x:f>IFERROR(INDEX('Material routes'!$D$6:$D$2205,MATCH(V280,'Material routes'!$A$6:$A$2205,0)),"MISSING ID")</x:f>
        <x:v>proposal.t4.insulating_board</x:v>
      </x:c>
      <x:c r="U280" s="4" t="str">
        <x:v>design.t4.insulating_board.in.3</x:v>
      </x:c>
      <x:c r="V280" s="4" t="str">
        <x:v>design.t4.insulating_board.out</x:v>
      </x:c>
    </x:row>
    <x:row r="281" ht="115" customHeight="1">
      <x:c r="A281" s="4" t="str">
        <x:f>IFERROR(INDEX('Material routes'!$E$6:$E$2205,MATCH(U281,'Material routes'!$A$6:$A$2205,0)),"MISSING ID")</x:f>
        <x:v>Gem-inlaid metal panel blanks</x:v>
      </x:c>
      <x:c r="B281" s="4" t="str">
        <x:f>IFERROR(INDEX('Material routes'!$F$6:$F$2205,MATCH(U281,'Material routes'!$A$6:$A$2205,0)),"MISSING ID")</x:f>
        <x:v>T3</x:v>
      </x:c>
      <x:c r="C281" s="4" t="str">
        <x:f>IFERROR(INDEX('Material routes'!$H$6:$H$2205,MATCH(U281,'Material routes'!$A$6:$A$2205,0)),"MISSING ID")</x:f>
        <x:v>Processed material</x:v>
      </x:c>
      <x:c r="D281" s="4" t="str">
        <x:f>IFERROR(INDEX('Material routes'!$G$6:$G$2205,MATCH(U281,'Material routes'!$A$6:$A$2205,0)),"MISSING ID")</x:f>
        <x:v>Manufactured stock</x:v>
      </x:c>
      <x:c r="E281" s="4" t="str">
        <x:f>IFERROR(INDEX('Material routes'!$C$6:$C$2205,MATCH(U281,'Material routes'!$A$6:$A$2205,0)),"MISSING ID")</x:f>
        <x:v>Ingredient candidate</x:v>
      </x:c>
      <x:c r="F281" s="4" t="str">
        <x:f>IFERROR(INDEX('Material routes'!$E$6:$E$2205,MATCH(V281,'Material routes'!$A$6:$A$2205,0)),"MISSING ID")</x:f>
        <x:v>Layered ceremonial inlay stock</x:v>
      </x:c>
      <x:c r="G281" s="4" t="str">
        <x:f>IFERROR(INDEX('Material routes'!$F$6:$F$2205,MATCH(V281,'Material routes'!$A$6:$A$2205,0)),"MISSING ID")</x:f>
        <x:v>T4</x:v>
      </x:c>
      <x:c r="H281" s="4" t="str">
        <x:f>IFERROR(INDEX('Material routes'!$H$6:$H$2205,MATCH(V281,'Material routes'!$A$6:$A$2205,0)),"MISSING ID")</x:f>
        <x:v>Processed material</x:v>
      </x:c>
      <x:c r="I281" s="4" t="str">
        <x:f>IFERROR(INDEX('Material routes'!$G$6:$G$2205,MATCH(V281,'Material routes'!$A$6:$A$2205,0)),"MISSING ID")</x:f>
        <x:v>Manufactured stock</x:v>
      </x:c>
      <x:c r="J281" s="4" t="str">
        <x:f>IFERROR(INDEX('Material routes'!$B$6:$B$2205,MATCH(U281,'Material routes'!$A$6:$A$2205,0)),"MISSING ID")</x:f>
        <x:v>design.t4.decorative_veneer</x:v>
      </x:c>
      <x:c r="K281" s="4" t="str">
        <x:f>IFERROR(INDEX('Crafting recipes'!$C$6:$C$1005,MATCH(J281,'Crafting recipes'!$A$6:$A$1005,0)),"MISSING ID")</x:f>
        <x:v>Material refinement</x:v>
      </x:c>
      <x:c r="L281" s="4" t="str">
        <x:f>IFERROR(INDEX('Material routes'!$K$6:$K$2205,MATCH(U281,'Material routes'!$A$6:$A$2205,0)),"MISSING ID")</x:f>
        <x:v>Proposal</x:v>
      </x:c>
      <x:c r="M281" s="4" t="str">
        <x:f>IFERROR(INDEX('Material routes'!$M$6:$M$2205,MATCH(U281,'Material routes'!$A$6:$A$2205,0)),"MISSING ID")</x:f>
        <x:v>Partial proposal</x:v>
      </x:c>
      <x:c r="N281" s="4" t="str">
        <x:f>IF(IFERROR(INDEX('Material routes'!$I$6:$I$1005,MATCH(U281,'Material routes'!$A$6:$A$1005,0)),"MISSING ID")=0,"",IFERROR(INDEX('Material routes'!$I$6:$I$1005,MATCH(U281,'Material routes'!$A$6:$A$1005,0)),"MISSING ID"))</x:f>
      </x:c>
      <x:c r="O281" s="4" t="str">
        <x:f>IFERROR(INDEX('Material routes'!$J$6:$J$2205,MATCH(U281,'Material routes'!$A$6:$A$2205,0)),"MISSING ID")</x:f>
        <x:v>Unspecified</x:v>
      </x:c>
      <x:c r="P281" s="4" t="str">
        <x:f>IF(IFERROR(INDEX('Material routes'!$I$6:$I$1005,MATCH(V281,'Material routes'!$A$6:$A$1005,0)),"MISSING ID")=0,"",IFERROR(INDEX('Material routes'!$I$6:$I$1005,MATCH(V281,'Material routes'!$A$6:$A$1005,0)),"MISSING ID"))</x:f>
      </x:c>
      <x:c r="Q281" s="4" t="str">
        <x:f>IFERROR(INDEX('Material routes'!$J$6:$J$2205,MATCH(V281,'Material routes'!$A$6:$A$2205,0)),"MISSING ID")</x:f>
        <x:v>Unspecified</x:v>
      </x:c>
      <x:c r="R281" s="4" t="str">
        <x:f>IF(L281="Withheld","Withheld premise",IF(E281="Tool candidate","Reusable prerequisite",IF(K281="Raw entry preparation","Entry-resource preparation",IF(G281="Not applicable",IF(IFERROR(INDEX('Items'!$AI$6:$AI$1005,MATCH(T281,'Items'!$A$6:$A$1005,0)),"MISSING ID")="Finished item","Finished endpoint",IF(IFERROR(INDEX('Items'!$AI$6:$AI$1005,MATCH(T281,'Items'!$A$6:$A$1005,0)),"MISSING ID")="Currency","Currency / no refinement tier","Recovered output / tier not applicable")),IF(OR(IFERROR(INDEX('Crafting recipes'!$H$6:$H$1005,MATCH(J281,'Crafting recipes'!$A$6:$A$1005,0)),"MISSING ID")="Unassigned",G281="Unassigned"),"Tier unresolved",IF(IFERROR(VALUE(RIGHT(G281,1))-VALUE(RIGHT(IFERROR(INDEX('Crafting recipes'!$H$6:$H$1005,MATCH(J281,'Crafting recipes'!$A$6:$A$1005,0)),"MISSING ID"),1)),0)=1,IF(B281=IFERROR(INDEX('Crafting recipes'!$H$6:$H$1005,MATCH(J281,'Crafting recipes'!$A$6:$A$1005,0)),"MISSING ID"),"Advances one material tier","Lower-tier ingredient; route advances one tier"),"Needs tier review"))))))</x:f>
        <x:v>Advances one material tier</x:v>
      </x:c>
      <x:c r="S281" s="4" t="str">
        <x:f>IFERROR(INDEX('Material routes'!$D$6:$D$2205,MATCH(U281,'Material routes'!$A$6:$A$2205,0)),"MISSING ID")</x:f>
        <x:v>proposal.t3.inlay_stock</x:v>
      </x:c>
      <x:c r="T281" s="4" t="str">
        <x:f>IFERROR(INDEX('Material routes'!$D$6:$D$2205,MATCH(V281,'Material routes'!$A$6:$A$2205,0)),"MISSING ID")</x:f>
        <x:v>proposal.t4.decorative_veneer</x:v>
      </x:c>
      <x:c r="U281" s="4" t="str">
        <x:v>design.t4.decorative_veneer.in.1</x:v>
      </x:c>
      <x:c r="V281" s="4" t="str">
        <x:v>design.t4.decorative_veneer.out</x:v>
      </x:c>
    </x:row>
    <x:row r="282" ht="115" customHeight="1">
      <x:c r="A282" s="4" t="str">
        <x:f>IFERROR(INDEX('Material routes'!$E$6:$E$2205,MATCH(U282,'Material routes'!$A$6:$A$2205,0)),"MISSING ID")</x:f>
        <x:v>Finished decorative husk stock</x:v>
      </x:c>
      <x:c r="B282" s="4" t="str">
        <x:f>IFERROR(INDEX('Material routes'!$F$6:$F$2205,MATCH(U282,'Material routes'!$A$6:$A$2205,0)),"MISSING ID")</x:f>
        <x:v>T3</x:v>
      </x:c>
      <x:c r="C282" s="4" t="str">
        <x:f>IFERROR(INDEX('Material routes'!$H$6:$H$2205,MATCH(U282,'Material routes'!$A$6:$A$2205,0)),"MISSING ID")</x:f>
        <x:v>Processed material</x:v>
      </x:c>
      <x:c r="D282" s="4" t="str">
        <x:f>IFERROR(INDEX('Material routes'!$G$6:$G$2205,MATCH(U282,'Material routes'!$A$6:$A$2205,0)),"MISSING ID")</x:f>
        <x:v>Manufactured stock</x:v>
      </x:c>
      <x:c r="E282" s="4" t="str">
        <x:f>IFERROR(INDEX('Material routes'!$C$6:$C$2205,MATCH(U282,'Material routes'!$A$6:$A$2205,0)),"MISSING ID")</x:f>
        <x:v>Ingredient candidate</x:v>
      </x:c>
      <x:c r="F282" s="4" t="str">
        <x:f>IFERROR(INDEX('Material routes'!$E$6:$E$2205,MATCH(V282,'Material routes'!$A$6:$A$2205,0)),"MISSING ID")</x:f>
        <x:v>Layered ceremonial inlay stock</x:v>
      </x:c>
      <x:c r="G282" s="4" t="str">
        <x:f>IFERROR(INDEX('Material routes'!$F$6:$F$2205,MATCH(V282,'Material routes'!$A$6:$A$2205,0)),"MISSING ID")</x:f>
        <x:v>T4</x:v>
      </x:c>
      <x:c r="H282" s="4" t="str">
        <x:f>IFERROR(INDEX('Material routes'!$H$6:$H$2205,MATCH(V282,'Material routes'!$A$6:$A$2205,0)),"MISSING ID")</x:f>
        <x:v>Processed material</x:v>
      </x:c>
      <x:c r="I282" s="4" t="str">
        <x:f>IFERROR(INDEX('Material routes'!$G$6:$G$2205,MATCH(V282,'Material routes'!$A$6:$A$2205,0)),"MISSING ID")</x:f>
        <x:v>Manufactured stock</x:v>
      </x:c>
      <x:c r="J282" s="4" t="str">
        <x:f>IFERROR(INDEX('Material routes'!$B$6:$B$2205,MATCH(U282,'Material routes'!$A$6:$A$2205,0)),"MISSING ID")</x:f>
        <x:v>design.t4.decorative_veneer</x:v>
      </x:c>
      <x:c r="K282" s="4" t="str">
        <x:f>IFERROR(INDEX('Crafting recipes'!$C$6:$C$1005,MATCH(J282,'Crafting recipes'!$A$6:$A$1005,0)),"MISSING ID")</x:f>
        <x:v>Material refinement</x:v>
      </x:c>
      <x:c r="L282" s="4" t="str">
        <x:f>IFERROR(INDEX('Material routes'!$K$6:$K$2205,MATCH(U282,'Material routes'!$A$6:$A$2205,0)),"MISSING ID")</x:f>
        <x:v>Proposal</x:v>
      </x:c>
      <x:c r="M282" s="4" t="str">
        <x:f>IFERROR(INDEX('Material routes'!$M$6:$M$2205,MATCH(U282,'Material routes'!$A$6:$A$2205,0)),"MISSING ID")</x:f>
        <x:v>Partial proposal</x:v>
      </x:c>
      <x:c r="N282" s="4" t="str">
        <x:f>IF(IFERROR(INDEX('Material routes'!$I$6:$I$1005,MATCH(U282,'Material routes'!$A$6:$A$1005,0)),"MISSING ID")=0,"",IFERROR(INDEX('Material routes'!$I$6:$I$1005,MATCH(U282,'Material routes'!$A$6:$A$1005,0)),"MISSING ID"))</x:f>
      </x:c>
      <x:c r="O282" s="4" t="str">
        <x:f>IFERROR(INDEX('Material routes'!$J$6:$J$2205,MATCH(U282,'Material routes'!$A$6:$A$2205,0)),"MISSING ID")</x:f>
        <x:v>Unspecified</x:v>
      </x:c>
      <x:c r="P282" s="4" t="str">
        <x:f>IF(IFERROR(INDEX('Material routes'!$I$6:$I$1005,MATCH(V282,'Material routes'!$A$6:$A$1005,0)),"MISSING ID")=0,"",IFERROR(INDEX('Material routes'!$I$6:$I$1005,MATCH(V282,'Material routes'!$A$6:$A$1005,0)),"MISSING ID"))</x:f>
      </x:c>
      <x:c r="Q282" s="4" t="str">
        <x:f>IFERROR(INDEX('Material routes'!$J$6:$J$2205,MATCH(V282,'Material routes'!$A$6:$A$2205,0)),"MISSING ID")</x:f>
        <x:v>Unspecified</x:v>
      </x:c>
      <x:c r="R282" s="4" t="str">
        <x:f>IF(L282="Withheld","Withheld premise",IF(E282="Tool candidate","Reusable prerequisite",IF(K282="Raw entry preparation","Entry-resource preparation",IF(G282="Not applicable",IF(IFERROR(INDEX('Items'!$AI$6:$AI$1005,MATCH(T282,'Items'!$A$6:$A$1005,0)),"MISSING ID")="Finished item","Finished endpoint",IF(IFERROR(INDEX('Items'!$AI$6:$AI$1005,MATCH(T282,'Items'!$A$6:$A$1005,0)),"MISSING ID")="Currency","Currency / no refinement tier","Recovered output / tier not applicable")),IF(OR(IFERROR(INDEX('Crafting recipes'!$H$6:$H$1005,MATCH(J282,'Crafting recipes'!$A$6:$A$1005,0)),"MISSING ID")="Unassigned",G282="Unassigned"),"Tier unresolved",IF(IFERROR(VALUE(RIGHT(G282,1))-VALUE(RIGHT(IFERROR(INDEX('Crafting recipes'!$H$6:$H$1005,MATCH(J282,'Crafting recipes'!$A$6:$A$1005,0)),"MISSING ID"),1)),0)=1,IF(B282=IFERROR(INDEX('Crafting recipes'!$H$6:$H$1005,MATCH(J282,'Crafting recipes'!$A$6:$A$1005,0)),"MISSING ID"),"Advances one material tier","Lower-tier ingredient; route advances one tier"),"Needs tier review"))))))</x:f>
        <x:v>Advances one material tier</x:v>
      </x:c>
      <x:c r="S282" s="4" t="str">
        <x:f>IFERROR(INDEX('Material routes'!$D$6:$D$2205,MATCH(U282,'Material routes'!$A$6:$A$2205,0)),"MISSING ID")</x:f>
        <x:v>proposal.branch.decorative_husk</x:v>
      </x:c>
      <x:c r="T282" s="4" t="str">
        <x:f>IFERROR(INDEX('Material routes'!$D$6:$D$2205,MATCH(V282,'Material routes'!$A$6:$A$2205,0)),"MISSING ID")</x:f>
        <x:v>proposal.t4.decorative_veneer</x:v>
      </x:c>
      <x:c r="U282" s="4" t="str">
        <x:v>design.t4.decorative_veneer.in.2</x:v>
      </x:c>
      <x:c r="V282" s="4" t="str">
        <x:v>design.t4.decorative_veneer.out</x:v>
      </x:c>
    </x:row>
    <x:row r="283" ht="115" customHeight="1">
      <x:c r="A283" s="4" t="str">
        <x:f>IFERROR(INDEX('Material routes'!$E$6:$E$2205,MATCH(U283,'Material routes'!$A$6:$A$2205,0)),"MISSING ID")</x:f>
        <x:v>Flexible membrane-bonding compound</x:v>
      </x:c>
      <x:c r="B283" s="4" t="str">
        <x:f>IFERROR(INDEX('Material routes'!$F$6:$F$2205,MATCH(U283,'Material routes'!$A$6:$A$2205,0)),"MISSING ID")</x:f>
        <x:v>T2</x:v>
      </x:c>
      <x:c r="C283" s="4" t="str">
        <x:f>IFERROR(INDEX('Material routes'!$H$6:$H$2205,MATCH(U283,'Material routes'!$A$6:$A$2205,0)),"MISSING ID")</x:f>
        <x:v>Chemical material</x:v>
      </x:c>
      <x:c r="D283" s="4" t="str">
        <x:f>IFERROR(INDEX('Material routes'!$G$6:$G$2205,MATCH(U283,'Material routes'!$A$6:$A$2205,0)),"MISSING ID")</x:f>
        <x:v>Crafting components</x:v>
      </x:c>
      <x:c r="E283" s="4" t="str">
        <x:f>IFERROR(INDEX('Material routes'!$C$6:$C$2205,MATCH(U283,'Material routes'!$A$6:$A$2205,0)),"MISSING ID")</x:f>
        <x:v>Ingredient candidate</x:v>
      </x:c>
      <x:c r="F283" s="4" t="str">
        <x:f>IFERROR(INDEX('Material routes'!$E$6:$E$2205,MATCH(V283,'Material routes'!$A$6:$A$2205,0)),"MISSING ID")</x:f>
        <x:v>Layered ceremonial inlay stock</x:v>
      </x:c>
      <x:c r="G283" s="4" t="str">
        <x:f>IFERROR(INDEX('Material routes'!$F$6:$F$2205,MATCH(V283,'Material routes'!$A$6:$A$2205,0)),"MISSING ID")</x:f>
        <x:v>T4</x:v>
      </x:c>
      <x:c r="H283" s="4" t="str">
        <x:f>IFERROR(INDEX('Material routes'!$H$6:$H$2205,MATCH(V283,'Material routes'!$A$6:$A$2205,0)),"MISSING ID")</x:f>
        <x:v>Processed material</x:v>
      </x:c>
      <x:c r="I283" s="4" t="str">
        <x:f>IFERROR(INDEX('Material routes'!$G$6:$G$2205,MATCH(V283,'Material routes'!$A$6:$A$2205,0)),"MISSING ID")</x:f>
        <x:v>Manufactured stock</x:v>
      </x:c>
      <x:c r="J283" s="4" t="str">
        <x:f>IFERROR(INDEX('Material routes'!$B$6:$B$2205,MATCH(U283,'Material routes'!$A$6:$A$2205,0)),"MISSING ID")</x:f>
        <x:v>design.t4.decorative_veneer</x:v>
      </x:c>
      <x:c r="K283" s="4" t="str">
        <x:f>IFERROR(INDEX('Crafting recipes'!$C$6:$C$1005,MATCH(J283,'Crafting recipes'!$A$6:$A$1005,0)),"MISSING ID")</x:f>
        <x:v>Material refinement</x:v>
      </x:c>
      <x:c r="L283" s="4" t="str">
        <x:f>IFERROR(INDEX('Material routes'!$K$6:$K$2205,MATCH(U283,'Material routes'!$A$6:$A$2205,0)),"MISSING ID")</x:f>
        <x:v>Proposal</x:v>
      </x:c>
      <x:c r="M283" s="4" t="str">
        <x:f>IFERROR(INDEX('Material routes'!$M$6:$M$2205,MATCH(U283,'Material routes'!$A$6:$A$2205,0)),"MISSING ID")</x:f>
        <x:v>Partial proposal</x:v>
      </x:c>
      <x:c r="N283" s="4" t="str">
        <x:f>IF(IFERROR(INDEX('Material routes'!$I$6:$I$1005,MATCH(U283,'Material routes'!$A$6:$A$1005,0)),"MISSING ID")=0,"",IFERROR(INDEX('Material routes'!$I$6:$I$1005,MATCH(U283,'Material routes'!$A$6:$A$1005,0)),"MISSING ID"))</x:f>
      </x:c>
      <x:c r="O283" s="4" t="str">
        <x:f>IFERROR(INDEX('Material routes'!$J$6:$J$2205,MATCH(U283,'Material routes'!$A$6:$A$2205,0)),"MISSING ID")</x:f>
        <x:v>Unspecified</x:v>
      </x:c>
      <x:c r="P283" s="4" t="str">
        <x:f>IF(IFERROR(INDEX('Material routes'!$I$6:$I$1005,MATCH(V283,'Material routes'!$A$6:$A$1005,0)),"MISSING ID")=0,"",IFERROR(INDEX('Material routes'!$I$6:$I$1005,MATCH(V283,'Material routes'!$A$6:$A$1005,0)),"MISSING ID"))</x:f>
      </x:c>
      <x:c r="Q283" s="4" t="str">
        <x:f>IFERROR(INDEX('Material routes'!$J$6:$J$2205,MATCH(V283,'Material routes'!$A$6:$A$2205,0)),"MISSING ID")</x:f>
        <x:v>Unspecified</x:v>
      </x:c>
      <x:c r="R283" s="4" t="str">
        <x:f>IF(L283="Withheld","Withheld premise",IF(E283="Tool candidate","Reusable prerequisite",IF(K283="Raw entry preparation","Entry-resource preparation",IF(G283="Not applicable",IF(IFERROR(INDEX('Items'!$AI$6:$AI$1005,MATCH(T283,'Items'!$A$6:$A$1005,0)),"MISSING ID")="Finished item","Finished endpoint",IF(IFERROR(INDEX('Items'!$AI$6:$AI$1005,MATCH(T283,'Items'!$A$6:$A$1005,0)),"MISSING ID")="Currency","Currency / no refinement tier","Recovered output / tier not applicable")),IF(OR(IFERROR(INDEX('Crafting recipes'!$H$6:$H$1005,MATCH(J283,'Crafting recipes'!$A$6:$A$1005,0)),"MISSING ID")="Unassigned",G283="Unassigned"),"Tier unresolved",IF(IFERROR(VALUE(RIGHT(G283,1))-VALUE(RIGHT(IFERROR(INDEX('Crafting recipes'!$H$6:$H$1005,MATCH(J283,'Crafting recipes'!$A$6:$A$1005,0)),"MISSING ID"),1)),0)=1,IF(B283=IFERROR(INDEX('Crafting recipes'!$H$6:$H$1005,MATCH(J283,'Crafting recipes'!$A$6:$A$1005,0)),"MISSING ID"),"Advances one material tier","Lower-tier ingredient; route advances one tier"),"Needs tier review"))))))</x:f>
        <x:v>Lower-tier ingredient; route advances one tier</x:v>
      </x:c>
      <x:c r="S283" s="4" t="str">
        <x:f>IFERROR(INDEX('Material routes'!$D$6:$D$2205,MATCH(U283,'Material routes'!$A$6:$A$2205,0)),"MISSING ID")</x:f>
        <x:v>proposal.branch.flex_bond</x:v>
      </x:c>
      <x:c r="T283" s="4" t="str">
        <x:f>IFERROR(INDEX('Material routes'!$D$6:$D$2205,MATCH(V283,'Material routes'!$A$6:$A$2205,0)),"MISSING ID")</x:f>
        <x:v>proposal.t4.decorative_veneer</x:v>
      </x:c>
      <x:c r="U283" s="4" t="str">
        <x:v>design.t4.decorative_veneer.in.3</x:v>
      </x:c>
      <x:c r="V283" s="4" t="str">
        <x:v>design.t4.decorative_veneer.out</x:v>
      </x:c>
    </x:row>
    <x:row r="284" ht="115" customHeight="1">
      <x:c r="A284" s="4" t="str">
        <x:f>IFERROR(INDEX('Material routes'!$E$6:$E$2205,MATCH(U284,'Material routes'!$A$6:$A$2205,0)),"MISSING ID")</x:f>
        <x:v>Mounted tuned-stone inserts</x:v>
      </x:c>
      <x:c r="B284" s="4" t="str">
        <x:f>IFERROR(INDEX('Material routes'!$F$6:$F$2205,MATCH(U284,'Material routes'!$A$6:$A$2205,0)),"MISSING ID")</x:f>
        <x:v>T3</x:v>
      </x:c>
      <x:c r="C284" s="4" t="str">
        <x:f>IFERROR(INDEX('Material routes'!$H$6:$H$2205,MATCH(U284,'Material routes'!$A$6:$A$2205,0)),"MISSING ID")</x:f>
        <x:v>Crafting component</x:v>
      </x:c>
      <x:c r="D284" s="4" t="str">
        <x:f>IFERROR(INDEX('Material routes'!$G$6:$G$2205,MATCH(U284,'Material routes'!$A$6:$A$2205,0)),"MISSING ID")</x:f>
        <x:v>Crafting components</x:v>
      </x:c>
      <x:c r="E284" s="4" t="str">
        <x:f>IFERROR(INDEX('Material routes'!$C$6:$C$2205,MATCH(U284,'Material routes'!$A$6:$A$2205,0)),"MISSING ID")</x:f>
        <x:v>Ingredient candidate</x:v>
      </x:c>
      <x:c r="F284" s="4" t="str">
        <x:f>IFERROR(INDEX('Material routes'!$E$6:$E$2205,MATCH(V284,'Material routes'!$A$6:$A$2205,0)),"MISSING ID")</x:f>
        <x:v>Matched stone-resonator cassette</x:v>
      </x:c>
      <x:c r="G284" s="4" t="str">
        <x:f>IFERROR(INDEX('Material routes'!$F$6:$F$2205,MATCH(V284,'Material routes'!$A$6:$A$2205,0)),"MISSING ID")</x:f>
        <x:v>T4</x:v>
      </x:c>
      <x:c r="H284" s="4" t="str">
        <x:f>IFERROR(INDEX('Material routes'!$H$6:$H$2205,MATCH(V284,'Material routes'!$A$6:$A$2205,0)),"MISSING ID")</x:f>
        <x:v>Crafting component</x:v>
      </x:c>
      <x:c r="I284" s="4" t="str">
        <x:f>IFERROR(INDEX('Material routes'!$G$6:$G$2205,MATCH(V284,'Material routes'!$A$6:$A$2205,0)),"MISSING ID")</x:f>
        <x:v>Crafting components</x:v>
      </x:c>
      <x:c r="J284" s="4" t="str">
        <x:f>IFERROR(INDEX('Material routes'!$B$6:$B$2205,MATCH(U284,'Material routes'!$A$6:$A$2205,0)),"MISSING ID")</x:f>
        <x:v>design.t4.acoustic_cassette</x:v>
      </x:c>
      <x:c r="K284" s="4" t="str">
        <x:f>IFERROR(INDEX('Crafting recipes'!$C$6:$C$1005,MATCH(J284,'Crafting recipes'!$A$6:$A$1005,0)),"MISSING ID")</x:f>
        <x:v>Material refinement</x:v>
      </x:c>
      <x:c r="L284" s="4" t="str">
        <x:f>IFERROR(INDEX('Material routes'!$K$6:$K$2205,MATCH(U284,'Material routes'!$A$6:$A$2205,0)),"MISSING ID")</x:f>
        <x:v>Proposal</x:v>
      </x:c>
      <x:c r="M284" s="4" t="str">
        <x:f>IFERROR(INDEX('Material routes'!$M$6:$M$2205,MATCH(U284,'Material routes'!$A$6:$A$2205,0)),"MISSING ID")</x:f>
        <x:v>Partial proposal</x:v>
      </x:c>
      <x:c r="N284" s="4" t="str">
        <x:f>IF(IFERROR(INDEX('Material routes'!$I$6:$I$1005,MATCH(U284,'Material routes'!$A$6:$A$1005,0)),"MISSING ID")=0,"",IFERROR(INDEX('Material routes'!$I$6:$I$1005,MATCH(U284,'Material routes'!$A$6:$A$1005,0)),"MISSING ID"))</x:f>
      </x:c>
      <x:c r="O284" s="4" t="str">
        <x:f>IFERROR(INDEX('Material routes'!$J$6:$J$2205,MATCH(U284,'Material routes'!$A$6:$A$2205,0)),"MISSING ID")</x:f>
        <x:v>Unspecified</x:v>
      </x:c>
      <x:c r="P284" s="4" t="str">
        <x:f>IF(IFERROR(INDEX('Material routes'!$I$6:$I$1005,MATCH(V284,'Material routes'!$A$6:$A$1005,0)),"MISSING ID")=0,"",IFERROR(INDEX('Material routes'!$I$6:$I$1005,MATCH(V284,'Material routes'!$A$6:$A$1005,0)),"MISSING ID"))</x:f>
      </x:c>
      <x:c r="Q284" s="4" t="str">
        <x:f>IFERROR(INDEX('Material routes'!$J$6:$J$2205,MATCH(V284,'Material routes'!$A$6:$A$2205,0)),"MISSING ID")</x:f>
        <x:v>Unspecified</x:v>
      </x:c>
      <x:c r="R284" s="4" t="str">
        <x:f>IF(L284="Withheld","Withheld premise",IF(E284="Tool candidate","Reusable prerequisite",IF(K284="Raw entry preparation","Entry-resource preparation",IF(G284="Not applicable",IF(IFERROR(INDEX('Items'!$AI$6:$AI$1005,MATCH(T284,'Items'!$A$6:$A$1005,0)),"MISSING ID")="Finished item","Finished endpoint",IF(IFERROR(INDEX('Items'!$AI$6:$AI$1005,MATCH(T284,'Items'!$A$6:$A$1005,0)),"MISSING ID")="Currency","Currency / no refinement tier","Recovered output / tier not applicable")),IF(OR(IFERROR(INDEX('Crafting recipes'!$H$6:$H$1005,MATCH(J284,'Crafting recipes'!$A$6:$A$1005,0)),"MISSING ID")="Unassigned",G284="Unassigned"),"Tier unresolved",IF(IFERROR(VALUE(RIGHT(G284,1))-VALUE(RIGHT(IFERROR(INDEX('Crafting recipes'!$H$6:$H$1005,MATCH(J284,'Crafting recipes'!$A$6:$A$1005,0)),"MISSING ID"),1)),0)=1,IF(B284=IFERROR(INDEX('Crafting recipes'!$H$6:$H$1005,MATCH(J284,'Crafting recipes'!$A$6:$A$1005,0)),"MISSING ID"),"Advances one material tier","Lower-tier ingredient; route advances one tier"),"Needs tier review"))))))</x:f>
        <x:v>Advances one material tier</x:v>
      </x:c>
      <x:c r="S284" s="4" t="str">
        <x:f>IFERROR(INDEX('Material routes'!$D$6:$D$2205,MATCH(U284,'Material routes'!$A$6:$A$2205,0)),"MISSING ID")</x:f>
        <x:v>proposal.t3.tuned_insert</x:v>
      </x:c>
      <x:c r="T284" s="4" t="str">
        <x:f>IFERROR(INDEX('Material routes'!$D$6:$D$2205,MATCH(V284,'Material routes'!$A$6:$A$2205,0)),"MISSING ID")</x:f>
        <x:v>proposal.t4.acoustic_cassette</x:v>
      </x:c>
      <x:c r="U284" s="4" t="str">
        <x:v>design.t4.acoustic_cassette.in.1</x:v>
      </x:c>
      <x:c r="V284" s="4" t="str">
        <x:v>design.t4.acoustic_cassette.out</x:v>
      </x:c>
    </x:row>
    <x:row r="285" ht="115" customHeight="1">
      <x:c r="A285" s="4" t="str">
        <x:f>IFERROR(INDEX('Material routes'!$E$6:$E$2205,MATCH(U285,'Material routes'!$A$6:$A$2205,0)),"MISSING ID")</x:f>
        <x:v>Spring-grade steel stock</x:v>
      </x:c>
      <x:c r="B285" s="4" t="str">
        <x:f>IFERROR(INDEX('Material routes'!$F$6:$F$2205,MATCH(U285,'Material routes'!$A$6:$A$2205,0)),"MISSING ID")</x:f>
        <x:v>T3</x:v>
      </x:c>
      <x:c r="C285" s="4" t="str">
        <x:f>IFERROR(INDEX('Material routes'!$H$6:$H$2205,MATCH(U285,'Material routes'!$A$6:$A$2205,0)),"MISSING ID")</x:f>
        <x:v>Processed material</x:v>
      </x:c>
      <x:c r="D285" s="4" t="str">
        <x:f>IFERROR(INDEX('Material routes'!$G$6:$G$2205,MATCH(U285,'Material routes'!$A$6:$A$2205,0)),"MISSING ID")</x:f>
        <x:v>Manufactured stock</x:v>
      </x:c>
      <x:c r="E285" s="4" t="str">
        <x:f>IFERROR(INDEX('Material routes'!$C$6:$C$2205,MATCH(U285,'Material routes'!$A$6:$A$2205,0)),"MISSING ID")</x:f>
        <x:v>Ingredient candidate</x:v>
      </x:c>
      <x:c r="F285" s="4" t="str">
        <x:f>IFERROR(INDEX('Material routes'!$E$6:$E$2205,MATCH(V285,'Material routes'!$A$6:$A$2205,0)),"MISSING ID")</x:f>
        <x:v>Matched stone-resonator cassette</x:v>
      </x:c>
      <x:c r="G285" s="4" t="str">
        <x:f>IFERROR(INDEX('Material routes'!$F$6:$F$2205,MATCH(V285,'Material routes'!$A$6:$A$2205,0)),"MISSING ID")</x:f>
        <x:v>T4</x:v>
      </x:c>
      <x:c r="H285" s="4" t="str">
        <x:f>IFERROR(INDEX('Material routes'!$H$6:$H$2205,MATCH(V285,'Material routes'!$A$6:$A$2205,0)),"MISSING ID")</x:f>
        <x:v>Crafting component</x:v>
      </x:c>
      <x:c r="I285" s="4" t="str">
        <x:f>IFERROR(INDEX('Material routes'!$G$6:$G$2205,MATCH(V285,'Material routes'!$A$6:$A$2205,0)),"MISSING ID")</x:f>
        <x:v>Crafting components</x:v>
      </x:c>
      <x:c r="J285" s="4" t="str">
        <x:f>IFERROR(INDEX('Material routes'!$B$6:$B$2205,MATCH(U285,'Material routes'!$A$6:$A$2205,0)),"MISSING ID")</x:f>
        <x:v>design.t4.acoustic_cassette</x:v>
      </x:c>
      <x:c r="K285" s="4" t="str">
        <x:f>IFERROR(INDEX('Crafting recipes'!$C$6:$C$1005,MATCH(J285,'Crafting recipes'!$A$6:$A$1005,0)),"MISSING ID")</x:f>
        <x:v>Material refinement</x:v>
      </x:c>
      <x:c r="L285" s="4" t="str">
        <x:f>IFERROR(INDEX('Material routes'!$K$6:$K$2205,MATCH(U285,'Material routes'!$A$6:$A$2205,0)),"MISSING ID")</x:f>
        <x:v>Proposal</x:v>
      </x:c>
      <x:c r="M285" s="4" t="str">
        <x:f>IFERROR(INDEX('Material routes'!$M$6:$M$2205,MATCH(U285,'Material routes'!$A$6:$A$2205,0)),"MISSING ID")</x:f>
        <x:v>Partial proposal</x:v>
      </x:c>
      <x:c r="N285" s="4" t="str">
        <x:f>IF(IFERROR(INDEX('Material routes'!$I$6:$I$1005,MATCH(U285,'Material routes'!$A$6:$A$1005,0)),"MISSING ID")=0,"",IFERROR(INDEX('Material routes'!$I$6:$I$1005,MATCH(U285,'Material routes'!$A$6:$A$1005,0)),"MISSING ID"))</x:f>
      </x:c>
      <x:c r="O285" s="4" t="str">
        <x:f>IFERROR(INDEX('Material routes'!$J$6:$J$2205,MATCH(U285,'Material routes'!$A$6:$A$2205,0)),"MISSING ID")</x:f>
        <x:v>Unspecified</x:v>
      </x:c>
      <x:c r="P285" s="4" t="str">
        <x:f>IF(IFERROR(INDEX('Material routes'!$I$6:$I$1005,MATCH(V285,'Material routes'!$A$6:$A$1005,0)),"MISSING ID")=0,"",IFERROR(INDEX('Material routes'!$I$6:$I$1005,MATCH(V285,'Material routes'!$A$6:$A$1005,0)),"MISSING ID"))</x:f>
      </x:c>
      <x:c r="Q285" s="4" t="str">
        <x:f>IFERROR(INDEX('Material routes'!$J$6:$J$2205,MATCH(V285,'Material routes'!$A$6:$A$2205,0)),"MISSING ID")</x:f>
        <x:v>Unspecified</x:v>
      </x:c>
      <x:c r="R285" s="4" t="str">
        <x:f>IF(L285="Withheld","Withheld premise",IF(E285="Tool candidate","Reusable prerequisite",IF(K285="Raw entry preparation","Entry-resource preparation",IF(G285="Not applicable",IF(IFERROR(INDEX('Items'!$AI$6:$AI$1005,MATCH(T285,'Items'!$A$6:$A$1005,0)),"MISSING ID")="Finished item","Finished endpoint",IF(IFERROR(INDEX('Items'!$AI$6:$AI$1005,MATCH(T285,'Items'!$A$6:$A$1005,0)),"MISSING ID")="Currency","Currency / no refinement tier","Recovered output / tier not applicable")),IF(OR(IFERROR(INDEX('Crafting recipes'!$H$6:$H$1005,MATCH(J285,'Crafting recipes'!$A$6:$A$1005,0)),"MISSING ID")="Unassigned",G285="Unassigned"),"Tier unresolved",IF(IFERROR(VALUE(RIGHT(G285,1))-VALUE(RIGHT(IFERROR(INDEX('Crafting recipes'!$H$6:$H$1005,MATCH(J285,'Crafting recipes'!$A$6:$A$1005,0)),"MISSING ID"),1)),0)=1,IF(B285=IFERROR(INDEX('Crafting recipes'!$H$6:$H$1005,MATCH(J285,'Crafting recipes'!$A$6:$A$1005,0)),"MISSING ID"),"Advances one material tier","Lower-tier ingredient; route advances one tier"),"Needs tier review"))))))</x:f>
        <x:v>Advances one material tier</x:v>
      </x:c>
      <x:c r="S285" s="4" t="str">
        <x:f>IFERROR(INDEX('Material routes'!$D$6:$D$2205,MATCH(U285,'Material routes'!$A$6:$A$2205,0)),"MISSING ID")</x:f>
        <x:v>proposal.branch.spring_steel</x:v>
      </x:c>
      <x:c r="T285" s="4" t="str">
        <x:f>IFERROR(INDEX('Material routes'!$D$6:$D$2205,MATCH(V285,'Material routes'!$A$6:$A$2205,0)),"MISSING ID")</x:f>
        <x:v>proposal.t4.acoustic_cassette</x:v>
      </x:c>
      <x:c r="U285" s="4" t="str">
        <x:v>design.t4.acoustic_cassette.in.2</x:v>
      </x:c>
      <x:c r="V285" s="4" t="str">
        <x:v>design.t4.acoustic_cassette.out</x:v>
      </x:c>
    </x:row>
    <x:row r="286" ht="115" customHeight="1">
      <x:c r="A286" s="4" t="str">
        <x:f>IFERROR(INDEX('Material routes'!$E$6:$E$2205,MATCH(U286,'Material routes'!$A$6:$A$2205,0)),"MISSING ID")</x:f>
        <x:v>Prepared bronze bearing stock</x:v>
      </x:c>
      <x:c r="B286" s="4" t="str">
        <x:f>IFERROR(INDEX('Material routes'!$F$6:$F$2205,MATCH(U286,'Material routes'!$A$6:$A$2205,0)),"MISSING ID")</x:f>
        <x:v>T2</x:v>
      </x:c>
      <x:c r="C286" s="4" t="str">
        <x:f>IFERROR(INDEX('Material routes'!$H$6:$H$2205,MATCH(U286,'Material routes'!$A$6:$A$2205,0)),"MISSING ID")</x:f>
        <x:v>Processed material</x:v>
      </x:c>
      <x:c r="D286" s="4" t="str">
        <x:f>IFERROR(INDEX('Material routes'!$G$6:$G$2205,MATCH(U286,'Material routes'!$A$6:$A$2205,0)),"MISSING ID")</x:f>
        <x:v>Manufactured stock</x:v>
      </x:c>
      <x:c r="E286" s="4" t="str">
        <x:f>IFERROR(INDEX('Material routes'!$C$6:$C$2205,MATCH(U286,'Material routes'!$A$6:$A$2205,0)),"MISSING ID")</x:f>
        <x:v>Ingredient candidate</x:v>
      </x:c>
      <x:c r="F286" s="4" t="str">
        <x:f>IFERROR(INDEX('Material routes'!$E$6:$E$2205,MATCH(V286,'Material routes'!$A$6:$A$2205,0)),"MISSING ID")</x:f>
        <x:v>Matched stone-resonator cassette</x:v>
      </x:c>
      <x:c r="G286" s="4" t="str">
        <x:f>IFERROR(INDEX('Material routes'!$F$6:$F$2205,MATCH(V286,'Material routes'!$A$6:$A$2205,0)),"MISSING ID")</x:f>
        <x:v>T4</x:v>
      </x:c>
      <x:c r="H286" s="4" t="str">
        <x:f>IFERROR(INDEX('Material routes'!$H$6:$H$2205,MATCH(V286,'Material routes'!$A$6:$A$2205,0)),"MISSING ID")</x:f>
        <x:v>Crafting component</x:v>
      </x:c>
      <x:c r="I286" s="4" t="str">
        <x:f>IFERROR(INDEX('Material routes'!$G$6:$G$2205,MATCH(V286,'Material routes'!$A$6:$A$2205,0)),"MISSING ID")</x:f>
        <x:v>Crafting components</x:v>
      </x:c>
      <x:c r="J286" s="4" t="str">
        <x:f>IFERROR(INDEX('Material routes'!$B$6:$B$2205,MATCH(U286,'Material routes'!$A$6:$A$2205,0)),"MISSING ID")</x:f>
        <x:v>design.t4.acoustic_cassette</x:v>
      </x:c>
      <x:c r="K286" s="4" t="str">
        <x:f>IFERROR(INDEX('Crafting recipes'!$C$6:$C$1005,MATCH(J286,'Crafting recipes'!$A$6:$A$1005,0)),"MISSING ID")</x:f>
        <x:v>Material refinement</x:v>
      </x:c>
      <x:c r="L286" s="4" t="str">
        <x:f>IFERROR(INDEX('Material routes'!$K$6:$K$2205,MATCH(U286,'Material routes'!$A$6:$A$2205,0)),"MISSING ID")</x:f>
        <x:v>Proposal</x:v>
      </x:c>
      <x:c r="M286" s="4" t="str">
        <x:f>IFERROR(INDEX('Material routes'!$M$6:$M$2205,MATCH(U286,'Material routes'!$A$6:$A$2205,0)),"MISSING ID")</x:f>
        <x:v>Partial proposal</x:v>
      </x:c>
      <x:c r="N286" s="4" t="str">
        <x:f>IF(IFERROR(INDEX('Material routes'!$I$6:$I$1005,MATCH(U286,'Material routes'!$A$6:$A$1005,0)),"MISSING ID")=0,"",IFERROR(INDEX('Material routes'!$I$6:$I$1005,MATCH(U286,'Material routes'!$A$6:$A$1005,0)),"MISSING ID"))</x:f>
      </x:c>
      <x:c r="O286" s="4" t="str">
        <x:f>IFERROR(INDEX('Material routes'!$J$6:$J$2205,MATCH(U286,'Material routes'!$A$6:$A$2205,0)),"MISSING ID")</x:f>
        <x:v>Unspecified</x:v>
      </x:c>
      <x:c r="P286" s="4" t="str">
        <x:f>IF(IFERROR(INDEX('Material routes'!$I$6:$I$1005,MATCH(V286,'Material routes'!$A$6:$A$1005,0)),"MISSING ID")=0,"",IFERROR(INDEX('Material routes'!$I$6:$I$1005,MATCH(V286,'Material routes'!$A$6:$A$1005,0)),"MISSING ID"))</x:f>
      </x:c>
      <x:c r="Q286" s="4" t="str">
        <x:f>IFERROR(INDEX('Material routes'!$J$6:$J$2205,MATCH(V286,'Material routes'!$A$6:$A$2205,0)),"MISSING ID")</x:f>
        <x:v>Unspecified</x:v>
      </x:c>
      <x:c r="R286" s="4" t="str">
        <x:f>IF(L286="Withheld","Withheld premise",IF(E286="Tool candidate","Reusable prerequisite",IF(K286="Raw entry preparation","Entry-resource preparation",IF(G286="Not applicable",IF(IFERROR(INDEX('Items'!$AI$6:$AI$1005,MATCH(T286,'Items'!$A$6:$A$1005,0)),"MISSING ID")="Finished item","Finished endpoint",IF(IFERROR(INDEX('Items'!$AI$6:$AI$1005,MATCH(T286,'Items'!$A$6:$A$1005,0)),"MISSING ID")="Currency","Currency / no refinement tier","Recovered output / tier not applicable")),IF(OR(IFERROR(INDEX('Crafting recipes'!$H$6:$H$1005,MATCH(J286,'Crafting recipes'!$A$6:$A$1005,0)),"MISSING ID")="Unassigned",G286="Unassigned"),"Tier unresolved",IF(IFERROR(VALUE(RIGHT(G286,1))-VALUE(RIGHT(IFERROR(INDEX('Crafting recipes'!$H$6:$H$1005,MATCH(J286,'Crafting recipes'!$A$6:$A$1005,0)),"MISSING ID"),1)),0)=1,IF(B286=IFERROR(INDEX('Crafting recipes'!$H$6:$H$1005,MATCH(J286,'Crafting recipes'!$A$6:$A$1005,0)),"MISSING ID"),"Advances one material tier","Lower-tier ingredient; route advances one tier"),"Needs tier review"))))))</x:f>
        <x:v>Lower-tier ingredient; route advances one tier</x:v>
      </x:c>
      <x:c r="S286" s="4" t="str">
        <x:f>IFERROR(INDEX('Material routes'!$D$6:$D$2205,MATCH(U286,'Material routes'!$A$6:$A$2205,0)),"MISSING ID")</x:f>
        <x:v>proposal.branch.bearing_bronze</x:v>
      </x:c>
      <x:c r="T286" s="4" t="str">
        <x:f>IFERROR(INDEX('Material routes'!$D$6:$D$2205,MATCH(V286,'Material routes'!$A$6:$A$2205,0)),"MISSING ID")</x:f>
        <x:v>proposal.t4.acoustic_cassette</x:v>
      </x:c>
      <x:c r="U286" s="4" t="str">
        <x:v>design.t4.acoustic_cassette.in.3</x:v>
      </x:c>
      <x:c r="V286" s="4" t="str">
        <x:v>design.t4.acoustic_cassette.out</x:v>
      </x:c>
    </x:row>
    <x:row r="287" ht="115" customHeight="1">
      <x:c r="A287" s="4" t="str">
        <x:f>IFERROR(INDEX('Material routes'!$E$6:$E$2205,MATCH(U287,'Material routes'!$A$6:$A$2205,0)),"MISSING ID")</x:f>
        <x:v>Unprocessed copper-rich stone</x:v>
      </x:c>
      <x:c r="B287" s="4" t="str">
        <x:f>IFERROR(INDEX('Material routes'!$F$6:$F$2205,MATCH(U287,'Material routes'!$A$6:$A$2205,0)),"MISSING ID")</x:f>
        <x:v>T0</x:v>
      </x:c>
      <x:c r="C287" s="4" t="str">
        <x:f>IFERROR(INDEX('Material routes'!$H$6:$H$2205,MATCH(U287,'Material routes'!$A$6:$A$2205,0)),"MISSING ID")</x:f>
        <x:v>Raw material</x:v>
      </x:c>
      <x:c r="D287" s="4" t="str">
        <x:f>IFERROR(INDEX('Material routes'!$G$6:$G$2205,MATCH(U287,'Material routes'!$A$6:$A$2205,0)),"MISSING ID")</x:f>
        <x:v>Mineral resources</x:v>
      </x:c>
      <x:c r="E287" s="4" t="str">
        <x:f>IFERROR(INDEX('Material routes'!$C$6:$C$2205,MATCH(U287,'Material routes'!$A$6:$A$2205,0)),"MISSING ID")</x:f>
        <x:v>Ingredient candidate</x:v>
      </x:c>
      <x:c r="F287" s="4" t="str">
        <x:f>IFERROR(INDEX('Material routes'!$E$6:$E$2205,MATCH(V287,'Material routes'!$A$6:$A$2205,0)),"MISSING ID")</x:f>
        <x:v>Copper ore</x:v>
      </x:c>
      <x:c r="G287" s="4" t="str">
        <x:f>IFERROR(INDEX('Material routes'!$F$6:$F$2205,MATCH(V287,'Material routes'!$A$6:$A$2205,0)),"MISSING ID")</x:f>
        <x:v>T1</x:v>
      </x:c>
      <x:c r="H287" s="4" t="str">
        <x:f>IFERROR(INDEX('Material routes'!$H$6:$H$2205,MATCH(V287,'Material routes'!$A$6:$A$2205,0)),"MISSING ID")</x:f>
        <x:v>Raw material</x:v>
      </x:c>
      <x:c r="I287" s="4" t="str">
        <x:f>IFERROR(INDEX('Material routes'!$G$6:$G$2205,MATCH(V287,'Material routes'!$A$6:$A$2205,0)),"MISSING ID")</x:f>
        <x:v>Mineral resources</x:v>
      </x:c>
      <x:c r="J287" s="4" t="str">
        <x:f>IFERROR(INDEX('Material routes'!$B$6:$B$2205,MATCH(U287,'Material routes'!$A$6:$A$2205,0)),"MISSING ID")</x:f>
        <x:v>design.review.proposal_natural_copper_ore</x:v>
      </x:c>
      <x:c r="K287" s="4" t="str">
        <x:f>IFERROR(INDEX('Crafting recipes'!$C$6:$C$1005,MATCH(J287,'Crafting recipes'!$A$6:$A$1005,0)),"MISSING ID")</x:f>
        <x:v>Material refinement</x:v>
      </x:c>
      <x:c r="L287" s="4" t="str">
        <x:f>IFERROR(INDEX('Material routes'!$K$6:$K$2205,MATCH(U287,'Material routes'!$A$6:$A$2205,0)),"MISSING ID")</x:f>
        <x:v>Proposal</x:v>
      </x:c>
      <x:c r="M287" s="4" t="str">
        <x:f>IFERROR(INDEX('Material routes'!$M$6:$M$2205,MATCH(U287,'Material routes'!$A$6:$A$2205,0)),"MISSING ID")</x:f>
        <x:v>Partial proposal</x:v>
      </x:c>
      <x:c r="N287" s="4" t="str">
        <x:f>IF(IFERROR(INDEX('Material routes'!$I$6:$I$1005,MATCH(U287,'Material routes'!$A$6:$A$1005,0)),"MISSING ID")=0,"",IFERROR(INDEX('Material routes'!$I$6:$I$1005,MATCH(U287,'Material routes'!$A$6:$A$1005,0)),"MISSING ID"))</x:f>
      </x:c>
      <x:c r="O287" s="4" t="str">
        <x:f>IFERROR(INDEX('Material routes'!$J$6:$J$2205,MATCH(U287,'Material routes'!$A$6:$A$2205,0)),"MISSING ID")</x:f>
        <x:v>Unspecified</x:v>
      </x:c>
      <x:c r="P287" s="4" t="str">
        <x:f>IF(IFERROR(INDEX('Material routes'!$I$6:$I$1005,MATCH(V287,'Material routes'!$A$6:$A$1005,0)),"MISSING ID")=0,"",IFERROR(INDEX('Material routes'!$I$6:$I$1005,MATCH(V287,'Material routes'!$A$6:$A$1005,0)),"MISSING ID"))</x:f>
      </x:c>
      <x:c r="Q287" s="4" t="str">
        <x:f>IFERROR(INDEX('Material routes'!$J$6:$J$2205,MATCH(V287,'Material routes'!$A$6:$A$2205,0)),"MISSING ID")</x:f>
        <x:v>Unspecified</x:v>
      </x:c>
      <x:c r="R287" s="4" t="str">
        <x:f>IF(L287="Withheld","Withheld premise",IF(E287="Tool candidate","Reusable prerequisite",IF(K287="Raw entry preparation","Entry-resource preparation",IF(G287="Not applicable",IF(IFERROR(INDEX('Items'!$AI$6:$AI$1005,MATCH(T287,'Items'!$A$6:$A$1005,0)),"MISSING ID")="Finished item","Finished endpoint",IF(IFERROR(INDEX('Items'!$AI$6:$AI$1005,MATCH(T287,'Items'!$A$6:$A$1005,0)),"MISSING ID")="Currency","Currency / no refinement tier","Recovered output / tier not applicable")),IF(OR(IFERROR(INDEX('Crafting recipes'!$H$6:$H$1005,MATCH(J287,'Crafting recipes'!$A$6:$A$1005,0)),"MISSING ID")="Unassigned",G287="Unassigned"),"Tier unresolved",IF(IFERROR(VALUE(RIGHT(G287,1))-VALUE(RIGHT(IFERROR(INDEX('Crafting recipes'!$H$6:$H$1005,MATCH(J287,'Crafting recipes'!$A$6:$A$1005,0)),"MISSING ID"),1)),0)=1,IF(B287=IFERROR(INDEX('Crafting recipes'!$H$6:$H$1005,MATCH(J287,'Crafting recipes'!$A$6:$A$1005,0)),"MISSING ID"),"Advances one material tier","Lower-tier ingredient; route advances one tier"),"Needs tier review"))))))</x:f>
        <x:v>Advances one material tier</x:v>
      </x:c>
      <x:c r="S287" s="4" t="str">
        <x:f>IFERROR(INDEX('Material routes'!$D$6:$D$2205,MATCH(U287,'Material routes'!$A$6:$A$2205,0)),"MISSING ID")</x:f>
        <x:v>proposal.natural.copper_stone</x:v>
      </x:c>
      <x:c r="T287" s="4" t="str">
        <x:f>IFERROR(INDEX('Material routes'!$D$6:$D$2205,MATCH(V287,'Material routes'!$A$6:$A$2205,0)),"MISSING ID")</x:f>
        <x:v>proposal.natural.copper_ore</x:v>
      </x:c>
      <x:c r="U287" s="4" t="str">
        <x:v>design.review.proposal_natural_copper_ore.in.1</x:v>
      </x:c>
      <x:c r="V287" s="4" t="str">
        <x:v>design.review.proposal_natural_copper_ore.out</x:v>
      </x:c>
    </x:row>
    <x:row r="288" ht="115" customHeight="1">
      <x:c r="A288" s="4" t="str">
        <x:f>IFERROR(INDEX('Material routes'!$E$6:$E$2205,MATCH(U288,'Material routes'!$A$6:$A$2205,0)),"MISSING ID")</x:f>
        <x:v>Clean graded bristle bundles</x:v>
      </x:c>
      <x:c r="B288" s="4" t="str">
        <x:f>IFERROR(INDEX('Material routes'!$F$6:$F$2205,MATCH(U288,'Material routes'!$A$6:$A$2205,0)),"MISSING ID")</x:f>
        <x:v>T1</x:v>
      </x:c>
      <x:c r="C288" s="4" t="str">
        <x:f>IFERROR(INDEX('Material routes'!$H$6:$H$2205,MATCH(U288,'Material routes'!$A$6:$A$2205,0)),"MISSING ID")</x:f>
        <x:v>Processed material</x:v>
      </x:c>
      <x:c r="D288" s="4" t="str">
        <x:f>IFERROR(INDEX('Material routes'!$G$6:$G$2205,MATCH(U288,'Material routes'!$A$6:$A$2205,0)),"MISSING ID")</x:f>
        <x:v>Manufactured stock</x:v>
      </x:c>
      <x:c r="E288" s="4" t="str">
        <x:f>IFERROR(INDEX('Material routes'!$C$6:$C$2205,MATCH(U288,'Material routes'!$A$6:$A$2205,0)),"MISSING ID")</x:f>
        <x:v>Ingredient candidate</x:v>
      </x:c>
      <x:c r="F288" s="4" t="str">
        <x:f>IFERROR(INDEX('Material routes'!$E$6:$E$2205,MATCH(V288,'Material routes'!$A$6:$A$2205,0)),"MISSING ID")</x:f>
        <x:v>Bristle brush strips</x:v>
      </x:c>
      <x:c r="G288" s="4" t="str">
        <x:f>IFERROR(INDEX('Material routes'!$F$6:$F$2205,MATCH(V288,'Material routes'!$A$6:$A$2205,0)),"MISSING ID")</x:f>
        <x:v>T2</x:v>
      </x:c>
      <x:c r="H288" s="4" t="str">
        <x:f>IFERROR(INDEX('Material routes'!$H$6:$H$2205,MATCH(V288,'Material routes'!$A$6:$A$2205,0)),"MISSING ID")</x:f>
        <x:v>Crafting component</x:v>
      </x:c>
      <x:c r="I288" s="4" t="str">
        <x:f>IFERROR(INDEX('Material routes'!$G$6:$G$2205,MATCH(V288,'Material routes'!$A$6:$A$2205,0)),"MISSING ID")</x:f>
        <x:v>Crafting components</x:v>
      </x:c>
      <x:c r="J288" s="4" t="str">
        <x:f>IFERROR(INDEX('Material routes'!$B$6:$B$2205,MATCH(U288,'Material routes'!$A$6:$A$2205,0)),"MISSING ID")</x:f>
        <x:v>design.review.proposal_bio_brush</x:v>
      </x:c>
      <x:c r="K288" s="4" t="str">
        <x:f>IFERROR(INDEX('Crafting recipes'!$C$6:$C$1005,MATCH(J288,'Crafting recipes'!$A$6:$A$1005,0)),"MISSING ID")</x:f>
        <x:v>Material refinement</x:v>
      </x:c>
      <x:c r="L288" s="4" t="str">
        <x:f>IFERROR(INDEX('Material routes'!$K$6:$K$2205,MATCH(U288,'Material routes'!$A$6:$A$2205,0)),"MISSING ID")</x:f>
        <x:v>Proposal</x:v>
      </x:c>
      <x:c r="M288" s="4" t="str">
        <x:f>IFERROR(INDEX('Material routes'!$M$6:$M$2205,MATCH(U288,'Material routes'!$A$6:$A$2205,0)),"MISSING ID")</x:f>
        <x:v>Partial proposal</x:v>
      </x:c>
      <x:c r="N288" s="4" t="str">
        <x:f>IF(IFERROR(INDEX('Material routes'!$I$6:$I$1005,MATCH(U288,'Material routes'!$A$6:$A$1005,0)),"MISSING ID")=0,"",IFERROR(INDEX('Material routes'!$I$6:$I$1005,MATCH(U288,'Material routes'!$A$6:$A$1005,0)),"MISSING ID"))</x:f>
      </x:c>
      <x:c r="O288" s="4" t="str">
        <x:f>IFERROR(INDEX('Material routes'!$J$6:$J$2205,MATCH(U288,'Material routes'!$A$6:$A$2205,0)),"MISSING ID")</x:f>
        <x:v>Unspecified</x:v>
      </x:c>
      <x:c r="P288" s="4" t="str">
        <x:f>IF(IFERROR(INDEX('Material routes'!$I$6:$I$1005,MATCH(V288,'Material routes'!$A$6:$A$1005,0)),"MISSING ID")=0,"",IFERROR(INDEX('Material routes'!$I$6:$I$1005,MATCH(V288,'Material routes'!$A$6:$A$1005,0)),"MISSING ID"))</x:f>
      </x:c>
      <x:c r="Q288" s="4" t="str">
        <x:f>IFERROR(INDEX('Material routes'!$J$6:$J$2205,MATCH(V288,'Material routes'!$A$6:$A$2205,0)),"MISSING ID")</x:f>
        <x:v>Unspecified</x:v>
      </x:c>
      <x:c r="R288" s="4" t="str">
        <x:f>IF(L288="Withheld","Withheld premise",IF(E288="Tool candidate","Reusable prerequisite",IF(K288="Raw entry preparation","Entry-resource preparation",IF(G288="Not applicable",IF(IFERROR(INDEX('Items'!$AI$6:$AI$1005,MATCH(T288,'Items'!$A$6:$A$1005,0)),"MISSING ID")="Finished item","Finished endpoint",IF(IFERROR(INDEX('Items'!$AI$6:$AI$1005,MATCH(T288,'Items'!$A$6:$A$1005,0)),"MISSING ID")="Currency","Currency / no refinement tier","Recovered output / tier not applicable")),IF(OR(IFERROR(INDEX('Crafting recipes'!$H$6:$H$1005,MATCH(J288,'Crafting recipes'!$A$6:$A$1005,0)),"MISSING ID")="Unassigned",G288="Unassigned"),"Tier unresolved",IF(IFERROR(VALUE(RIGHT(G288,1))-VALUE(RIGHT(IFERROR(INDEX('Crafting recipes'!$H$6:$H$1005,MATCH(J288,'Crafting recipes'!$A$6:$A$1005,0)),"MISSING ID"),1)),0)=1,IF(B288=IFERROR(INDEX('Crafting recipes'!$H$6:$H$1005,MATCH(J288,'Crafting recipes'!$A$6:$A$1005,0)),"MISSING ID"),"Advances one material tier","Lower-tier ingredient; route advances one tier"),"Needs tier review"))))))</x:f>
        <x:v>Advances one material tier</x:v>
      </x:c>
      <x:c r="S288" s="4" t="str">
        <x:f>IFERROR(INDEX('Material routes'!$D$6:$D$2205,MATCH(U288,'Material routes'!$A$6:$A$2205,0)),"MISSING ID")</x:f>
        <x:v>proposal.t1.bristle_bundle</x:v>
      </x:c>
      <x:c r="T288" s="4" t="str">
        <x:f>IFERROR(INDEX('Material routes'!$D$6:$D$2205,MATCH(V288,'Material routes'!$A$6:$A$2205,0)),"MISSING ID")</x:f>
        <x:v>proposal.bio.brush</x:v>
      </x:c>
      <x:c r="U288" s="4" t="str">
        <x:v>design.review.proposal_bio_brush.in.1</x:v>
      </x:c>
      <x:c r="V288" s="4" t="str">
        <x:v>design.review.proposal_bio_brush.out</x:v>
      </x:c>
    </x:row>
    <x:row r="289" ht="115" customHeight="1">
      <x:c r="A289" s="4" t="str">
        <x:f>IFERROR(INDEX('Material routes'!$E$6:$E$2205,MATCH(U289,'Material routes'!$A$6:$A$2205,0)),"MISSING ID")</x:f>
        <x:v>Prepared shell-binding adhesive</x:v>
      </x:c>
      <x:c r="B289" s="4" t="str">
        <x:f>IFERROR(INDEX('Material routes'!$F$6:$F$2205,MATCH(U289,'Material routes'!$A$6:$A$2205,0)),"MISSING ID")</x:f>
        <x:v>T1</x:v>
      </x:c>
      <x:c r="C289" s="4" t="str">
        <x:f>IFERROR(INDEX('Material routes'!$H$6:$H$2205,MATCH(U289,'Material routes'!$A$6:$A$2205,0)),"MISSING ID")</x:f>
        <x:v>Chemical material</x:v>
      </x:c>
      <x:c r="D289" s="4" t="str">
        <x:f>IFERROR(INDEX('Material routes'!$G$6:$G$2205,MATCH(U289,'Material routes'!$A$6:$A$2205,0)),"MISSING ID")</x:f>
        <x:v>Crafting components</x:v>
      </x:c>
      <x:c r="E289" s="4" t="str">
        <x:f>IFERROR(INDEX('Material routes'!$C$6:$C$2205,MATCH(U289,'Material routes'!$A$6:$A$2205,0)),"MISSING ID")</x:f>
        <x:v>Ingredient candidate</x:v>
      </x:c>
      <x:c r="F289" s="4" t="str">
        <x:f>IFERROR(INDEX('Material routes'!$E$6:$E$2205,MATCH(V289,'Material routes'!$A$6:$A$2205,0)),"MISSING ID")</x:f>
        <x:v>Bristle brush strips</x:v>
      </x:c>
      <x:c r="G289" s="4" t="str">
        <x:f>IFERROR(INDEX('Material routes'!$F$6:$F$2205,MATCH(V289,'Material routes'!$A$6:$A$2205,0)),"MISSING ID")</x:f>
        <x:v>T2</x:v>
      </x:c>
      <x:c r="H289" s="4" t="str">
        <x:f>IFERROR(INDEX('Material routes'!$H$6:$H$2205,MATCH(V289,'Material routes'!$A$6:$A$2205,0)),"MISSING ID")</x:f>
        <x:v>Crafting component</x:v>
      </x:c>
      <x:c r="I289" s="4" t="str">
        <x:f>IFERROR(INDEX('Material routes'!$G$6:$G$2205,MATCH(V289,'Material routes'!$A$6:$A$2205,0)),"MISSING ID")</x:f>
        <x:v>Crafting components</x:v>
      </x:c>
      <x:c r="J289" s="4" t="str">
        <x:f>IFERROR(INDEX('Material routes'!$B$6:$B$2205,MATCH(U289,'Material routes'!$A$6:$A$2205,0)),"MISSING ID")</x:f>
        <x:v>design.review.proposal_bio_brush</x:v>
      </x:c>
      <x:c r="K289" s="4" t="str">
        <x:f>IFERROR(INDEX('Crafting recipes'!$C$6:$C$1005,MATCH(J289,'Crafting recipes'!$A$6:$A$1005,0)),"MISSING ID")</x:f>
        <x:v>Material refinement</x:v>
      </x:c>
      <x:c r="L289" s="4" t="str">
        <x:f>IFERROR(INDEX('Material routes'!$K$6:$K$2205,MATCH(U289,'Material routes'!$A$6:$A$2205,0)),"MISSING ID")</x:f>
        <x:v>Proposal</x:v>
      </x:c>
      <x:c r="M289" s="4" t="str">
        <x:f>IFERROR(INDEX('Material routes'!$M$6:$M$2205,MATCH(U289,'Material routes'!$A$6:$A$2205,0)),"MISSING ID")</x:f>
        <x:v>Partial proposal</x:v>
      </x:c>
      <x:c r="N289" s="4" t="str">
        <x:f>IF(IFERROR(INDEX('Material routes'!$I$6:$I$1005,MATCH(U289,'Material routes'!$A$6:$A$1005,0)),"MISSING ID")=0,"",IFERROR(INDEX('Material routes'!$I$6:$I$1005,MATCH(U289,'Material routes'!$A$6:$A$1005,0)),"MISSING ID"))</x:f>
      </x:c>
      <x:c r="O289" s="4" t="str">
        <x:f>IFERROR(INDEX('Material routes'!$J$6:$J$2205,MATCH(U289,'Material routes'!$A$6:$A$2205,0)),"MISSING ID")</x:f>
        <x:v>Unspecified</x:v>
      </x:c>
      <x:c r="P289" s="4" t="str">
        <x:f>IF(IFERROR(INDEX('Material routes'!$I$6:$I$1005,MATCH(V289,'Material routes'!$A$6:$A$1005,0)),"MISSING ID")=0,"",IFERROR(INDEX('Material routes'!$I$6:$I$1005,MATCH(V289,'Material routes'!$A$6:$A$1005,0)),"MISSING ID"))</x:f>
      </x:c>
      <x:c r="Q289" s="4" t="str">
        <x:f>IFERROR(INDEX('Material routes'!$J$6:$J$2205,MATCH(V289,'Material routes'!$A$6:$A$2205,0)),"MISSING ID")</x:f>
        <x:v>Unspecified</x:v>
      </x:c>
      <x:c r="R289" s="4" t="str">
        <x:f>IF(L289="Withheld","Withheld premise",IF(E289="Tool candidate","Reusable prerequisite",IF(K289="Raw entry preparation","Entry-resource preparation",IF(G289="Not applicable",IF(IFERROR(INDEX('Items'!$AI$6:$AI$1005,MATCH(T289,'Items'!$A$6:$A$1005,0)),"MISSING ID")="Finished item","Finished endpoint",IF(IFERROR(INDEX('Items'!$AI$6:$AI$1005,MATCH(T289,'Items'!$A$6:$A$1005,0)),"MISSING ID")="Currency","Currency / no refinement tier","Recovered output / tier not applicable")),IF(OR(IFERROR(INDEX('Crafting recipes'!$H$6:$H$1005,MATCH(J289,'Crafting recipes'!$A$6:$A$1005,0)),"MISSING ID")="Unassigned",G289="Unassigned"),"Tier unresolved",IF(IFERROR(VALUE(RIGHT(G289,1))-VALUE(RIGHT(IFERROR(INDEX('Crafting recipes'!$H$6:$H$1005,MATCH(J289,'Crafting recipes'!$A$6:$A$1005,0)),"MISSING ID"),1)),0)=1,IF(B289=IFERROR(INDEX('Crafting recipes'!$H$6:$H$1005,MATCH(J289,'Crafting recipes'!$A$6:$A$1005,0)),"MISSING ID"),"Advances one material tier","Lower-tier ingredient; route advances one tier"),"Needs tier review"))))))</x:f>
        <x:v>Advances one material tier</x:v>
      </x:c>
      <x:c r="S289" s="4" t="str">
        <x:f>IFERROR(INDEX('Material routes'!$D$6:$D$2205,MATCH(U289,'Material routes'!$A$6:$A$2205,0)),"MISSING ID")</x:f>
        <x:v>proposal.t1.shell_adhesive</x:v>
      </x:c>
      <x:c r="T289" s="4" t="str">
        <x:f>IFERROR(INDEX('Material routes'!$D$6:$D$2205,MATCH(V289,'Material routes'!$A$6:$A$2205,0)),"MISSING ID")</x:f>
        <x:v>proposal.bio.brush</x:v>
      </x:c>
      <x:c r="U289" s="4" t="str">
        <x:v>design.review.proposal_bio_brush.in.2</x:v>
      </x:c>
      <x:c r="V289" s="4" t="str">
        <x:v>design.review.proposal_bio_brush.out</x:v>
      </x:c>
    </x:row>
    <x:row r="290" ht="115" customHeight="1">
      <x:c r="A290" s="4" t="str">
        <x:f>IFERROR(INDEX('Material routes'!$E$6:$E$2205,MATCH(U290,'Material routes'!$A$6:$A$2205,0)),"MISSING ID")</x:f>
        <x:v>Shaped fauna hard-part blanks</x:v>
      </x:c>
      <x:c r="B290" s="4" t="str">
        <x:f>IFERROR(INDEX('Material routes'!$F$6:$F$2205,MATCH(U290,'Material routes'!$A$6:$A$2205,0)),"MISSING ID")</x:f>
        <x:v>T1</x:v>
      </x:c>
      <x:c r="C290" s="4" t="str">
        <x:f>IFERROR(INDEX('Material routes'!$H$6:$H$2205,MATCH(U290,'Material routes'!$A$6:$A$2205,0)),"MISSING ID")</x:f>
        <x:v>Processed material</x:v>
      </x:c>
      <x:c r="D290" s="4" t="str">
        <x:f>IFERROR(INDEX('Material routes'!$G$6:$G$2205,MATCH(U290,'Material routes'!$A$6:$A$2205,0)),"MISSING ID")</x:f>
        <x:v>Manufactured stock</x:v>
      </x:c>
      <x:c r="E290" s="4" t="str">
        <x:f>IFERROR(INDEX('Material routes'!$C$6:$C$2205,MATCH(U290,'Material routes'!$A$6:$A$2205,0)),"MISSING ID")</x:f>
        <x:v>Ingredient candidate</x:v>
      </x:c>
      <x:c r="F290" s="4" t="str">
        <x:f>IFERROR(INDEX('Material routes'!$E$6:$E$2205,MATCH(V290,'Material routes'!$A$6:$A$2205,0)),"MISSING ID")</x:f>
        <x:v>Jaw cutting insert</x:v>
      </x:c>
      <x:c r="G290" s="4" t="str">
        <x:f>IFERROR(INDEX('Material routes'!$F$6:$F$2205,MATCH(V290,'Material routes'!$A$6:$A$2205,0)),"MISSING ID")</x:f>
        <x:v>T2</x:v>
      </x:c>
      <x:c r="H290" s="4" t="str">
        <x:f>IFERROR(INDEX('Material routes'!$H$6:$H$2205,MATCH(V290,'Material routes'!$A$6:$A$2205,0)),"MISSING ID")</x:f>
        <x:v>Crafting component</x:v>
      </x:c>
      <x:c r="I290" s="4" t="str">
        <x:f>IFERROR(INDEX('Material routes'!$G$6:$G$2205,MATCH(V290,'Material routes'!$A$6:$A$2205,0)),"MISSING ID")</x:f>
        <x:v>Crafting components</x:v>
      </x:c>
      <x:c r="J290" s="4" t="str">
        <x:f>IFERROR(INDEX('Material routes'!$B$6:$B$2205,MATCH(U290,'Material routes'!$A$6:$A$2205,0)),"MISSING ID")</x:f>
        <x:v>design.review.proposal_bio_insert</x:v>
      </x:c>
      <x:c r="K290" s="4" t="str">
        <x:f>IFERROR(INDEX('Crafting recipes'!$C$6:$C$1005,MATCH(J290,'Crafting recipes'!$A$6:$A$1005,0)),"MISSING ID")</x:f>
        <x:v>Material refinement</x:v>
      </x:c>
      <x:c r="L290" s="4" t="str">
        <x:f>IFERROR(INDEX('Material routes'!$K$6:$K$2205,MATCH(U290,'Material routes'!$A$6:$A$2205,0)),"MISSING ID")</x:f>
        <x:v>Proposal</x:v>
      </x:c>
      <x:c r="M290" s="4" t="str">
        <x:f>IFERROR(INDEX('Material routes'!$M$6:$M$2205,MATCH(U290,'Material routes'!$A$6:$A$2205,0)),"MISSING ID")</x:f>
        <x:v>Partial proposal</x:v>
      </x:c>
      <x:c r="N290" s="4" t="str">
        <x:f>IF(IFERROR(INDEX('Material routes'!$I$6:$I$1005,MATCH(U290,'Material routes'!$A$6:$A$1005,0)),"MISSING ID")=0,"",IFERROR(INDEX('Material routes'!$I$6:$I$1005,MATCH(U290,'Material routes'!$A$6:$A$1005,0)),"MISSING ID"))</x:f>
      </x:c>
      <x:c r="O290" s="4" t="str">
        <x:f>IFERROR(INDEX('Material routes'!$J$6:$J$2205,MATCH(U290,'Material routes'!$A$6:$A$2205,0)),"MISSING ID")</x:f>
        <x:v>Unspecified</x:v>
      </x:c>
      <x:c r="P290" s="4" t="str">
        <x:f>IF(IFERROR(INDEX('Material routes'!$I$6:$I$1005,MATCH(V290,'Material routes'!$A$6:$A$1005,0)),"MISSING ID")=0,"",IFERROR(INDEX('Material routes'!$I$6:$I$1005,MATCH(V290,'Material routes'!$A$6:$A$1005,0)),"MISSING ID"))</x:f>
      </x:c>
      <x:c r="Q290" s="4" t="str">
        <x:f>IFERROR(INDEX('Material routes'!$J$6:$J$2205,MATCH(V290,'Material routes'!$A$6:$A$2205,0)),"MISSING ID")</x:f>
        <x:v>Unspecified</x:v>
      </x:c>
      <x:c r="R290" s="4" t="str">
        <x:f>IF(L290="Withheld","Withheld premise",IF(E290="Tool candidate","Reusable prerequisite",IF(K290="Raw entry preparation","Entry-resource preparation",IF(G290="Not applicable",IF(IFERROR(INDEX('Items'!$AI$6:$AI$1005,MATCH(T290,'Items'!$A$6:$A$1005,0)),"MISSING ID")="Finished item","Finished endpoint",IF(IFERROR(INDEX('Items'!$AI$6:$AI$1005,MATCH(T290,'Items'!$A$6:$A$1005,0)),"MISSING ID")="Currency","Currency / no refinement tier","Recovered output / tier not applicable")),IF(OR(IFERROR(INDEX('Crafting recipes'!$H$6:$H$1005,MATCH(J290,'Crafting recipes'!$A$6:$A$1005,0)),"MISSING ID")="Unassigned",G290="Unassigned"),"Tier unresolved",IF(IFERROR(VALUE(RIGHT(G290,1))-VALUE(RIGHT(IFERROR(INDEX('Crafting recipes'!$H$6:$H$1005,MATCH(J290,'Crafting recipes'!$A$6:$A$1005,0)),"MISSING ID"),1)),0)=1,IF(B290=IFERROR(INDEX('Crafting recipes'!$H$6:$H$1005,MATCH(J290,'Crafting recipes'!$A$6:$A$1005,0)),"MISSING ID"),"Advances one material tier","Lower-tier ingredient; route advances one tier"),"Needs tier review"))))))</x:f>
        <x:v>Advances one material tier</x:v>
      </x:c>
      <x:c r="S290" s="4" t="str">
        <x:f>IFERROR(INDEX('Material routes'!$D$6:$D$2205,MATCH(U290,'Material routes'!$A$6:$A$2205,0)),"MISSING ID")</x:f>
        <x:v>proposal.t1.hardpart_blank</x:v>
      </x:c>
      <x:c r="T290" s="4" t="str">
        <x:f>IFERROR(INDEX('Material routes'!$D$6:$D$2205,MATCH(V290,'Material routes'!$A$6:$A$2205,0)),"MISSING ID")</x:f>
        <x:v>proposal.bio.insert</x:v>
      </x:c>
      <x:c r="U290" s="4" t="str">
        <x:v>design.review.proposal_bio_insert.in.1</x:v>
      </x:c>
      <x:c r="V290" s="4" t="str">
        <x:v>design.review.proposal_bio_insert.out</x:v>
      </x:c>
    </x:row>
    <x:row r="291" ht="115" customHeight="1">
      <x:c r="A291" s="4" t="str">
        <x:f>IFERROR(INDEX('Material routes'!$E$6:$E$2205,MATCH(U291,'Material routes'!$A$6:$A$2205,0)),"MISSING ID")</x:f>
        <x:v>Prepared shell-binding adhesive</x:v>
      </x:c>
      <x:c r="B291" s="4" t="str">
        <x:f>IFERROR(INDEX('Material routes'!$F$6:$F$2205,MATCH(U291,'Material routes'!$A$6:$A$2205,0)),"MISSING ID")</x:f>
        <x:v>T1</x:v>
      </x:c>
      <x:c r="C291" s="4" t="str">
        <x:f>IFERROR(INDEX('Material routes'!$H$6:$H$2205,MATCH(U291,'Material routes'!$A$6:$A$2205,0)),"MISSING ID")</x:f>
        <x:v>Chemical material</x:v>
      </x:c>
      <x:c r="D291" s="4" t="str">
        <x:f>IFERROR(INDEX('Material routes'!$G$6:$G$2205,MATCH(U291,'Material routes'!$A$6:$A$2205,0)),"MISSING ID")</x:f>
        <x:v>Crafting components</x:v>
      </x:c>
      <x:c r="E291" s="4" t="str">
        <x:f>IFERROR(INDEX('Material routes'!$C$6:$C$2205,MATCH(U291,'Material routes'!$A$6:$A$2205,0)),"MISSING ID")</x:f>
        <x:v>Ingredient candidate</x:v>
      </x:c>
      <x:c r="F291" s="4" t="str">
        <x:f>IFERROR(INDEX('Material routes'!$E$6:$E$2205,MATCH(V291,'Material routes'!$A$6:$A$2205,0)),"MISSING ID")</x:f>
        <x:v>Jaw cutting insert</x:v>
      </x:c>
      <x:c r="G291" s="4" t="str">
        <x:f>IFERROR(INDEX('Material routes'!$F$6:$F$2205,MATCH(V291,'Material routes'!$A$6:$A$2205,0)),"MISSING ID")</x:f>
        <x:v>T2</x:v>
      </x:c>
      <x:c r="H291" s="4" t="str">
        <x:f>IFERROR(INDEX('Material routes'!$H$6:$H$2205,MATCH(V291,'Material routes'!$A$6:$A$2205,0)),"MISSING ID")</x:f>
        <x:v>Crafting component</x:v>
      </x:c>
      <x:c r="I291" s="4" t="str">
        <x:f>IFERROR(INDEX('Material routes'!$G$6:$G$2205,MATCH(V291,'Material routes'!$A$6:$A$2205,0)),"MISSING ID")</x:f>
        <x:v>Crafting components</x:v>
      </x:c>
      <x:c r="J291" s="4" t="str">
        <x:f>IFERROR(INDEX('Material routes'!$B$6:$B$2205,MATCH(U291,'Material routes'!$A$6:$A$2205,0)),"MISSING ID")</x:f>
        <x:v>design.review.proposal_bio_insert</x:v>
      </x:c>
      <x:c r="K291" s="4" t="str">
        <x:f>IFERROR(INDEX('Crafting recipes'!$C$6:$C$1005,MATCH(J291,'Crafting recipes'!$A$6:$A$1005,0)),"MISSING ID")</x:f>
        <x:v>Material refinement</x:v>
      </x:c>
      <x:c r="L291" s="4" t="str">
        <x:f>IFERROR(INDEX('Material routes'!$K$6:$K$2205,MATCH(U291,'Material routes'!$A$6:$A$2205,0)),"MISSING ID")</x:f>
        <x:v>Proposal</x:v>
      </x:c>
      <x:c r="M291" s="4" t="str">
        <x:f>IFERROR(INDEX('Material routes'!$M$6:$M$2205,MATCH(U291,'Material routes'!$A$6:$A$2205,0)),"MISSING ID")</x:f>
        <x:v>Partial proposal</x:v>
      </x:c>
      <x:c r="N291" s="4" t="str">
        <x:f>IF(IFERROR(INDEX('Material routes'!$I$6:$I$1005,MATCH(U291,'Material routes'!$A$6:$A$1005,0)),"MISSING ID")=0,"",IFERROR(INDEX('Material routes'!$I$6:$I$1005,MATCH(U291,'Material routes'!$A$6:$A$1005,0)),"MISSING ID"))</x:f>
      </x:c>
      <x:c r="O291" s="4" t="str">
        <x:f>IFERROR(INDEX('Material routes'!$J$6:$J$2205,MATCH(U291,'Material routes'!$A$6:$A$2205,0)),"MISSING ID")</x:f>
        <x:v>Unspecified</x:v>
      </x:c>
      <x:c r="P291" s="4" t="str">
        <x:f>IF(IFERROR(INDEX('Material routes'!$I$6:$I$1005,MATCH(V291,'Material routes'!$A$6:$A$1005,0)),"MISSING ID")=0,"",IFERROR(INDEX('Material routes'!$I$6:$I$1005,MATCH(V291,'Material routes'!$A$6:$A$1005,0)),"MISSING ID"))</x:f>
      </x:c>
      <x:c r="Q291" s="4" t="str">
        <x:f>IFERROR(INDEX('Material routes'!$J$6:$J$2205,MATCH(V291,'Material routes'!$A$6:$A$2205,0)),"MISSING ID")</x:f>
        <x:v>Unspecified</x:v>
      </x:c>
      <x:c r="R291" s="4" t="str">
        <x:f>IF(L291="Withheld","Withheld premise",IF(E291="Tool candidate","Reusable prerequisite",IF(K291="Raw entry preparation","Entry-resource preparation",IF(G291="Not applicable",IF(IFERROR(INDEX('Items'!$AI$6:$AI$1005,MATCH(T291,'Items'!$A$6:$A$1005,0)),"MISSING ID")="Finished item","Finished endpoint",IF(IFERROR(INDEX('Items'!$AI$6:$AI$1005,MATCH(T291,'Items'!$A$6:$A$1005,0)),"MISSING ID")="Currency","Currency / no refinement tier","Recovered output / tier not applicable")),IF(OR(IFERROR(INDEX('Crafting recipes'!$H$6:$H$1005,MATCH(J291,'Crafting recipes'!$A$6:$A$1005,0)),"MISSING ID")="Unassigned",G291="Unassigned"),"Tier unresolved",IF(IFERROR(VALUE(RIGHT(G291,1))-VALUE(RIGHT(IFERROR(INDEX('Crafting recipes'!$H$6:$H$1005,MATCH(J291,'Crafting recipes'!$A$6:$A$1005,0)),"MISSING ID"),1)),0)=1,IF(B291=IFERROR(INDEX('Crafting recipes'!$H$6:$H$1005,MATCH(J291,'Crafting recipes'!$A$6:$A$1005,0)),"MISSING ID"),"Advances one material tier","Lower-tier ingredient; route advances one tier"),"Needs tier review"))))))</x:f>
        <x:v>Advances one material tier</x:v>
      </x:c>
      <x:c r="S291" s="4" t="str">
        <x:f>IFERROR(INDEX('Material routes'!$D$6:$D$2205,MATCH(U291,'Material routes'!$A$6:$A$2205,0)),"MISSING ID")</x:f>
        <x:v>proposal.t1.shell_adhesive</x:v>
      </x:c>
      <x:c r="T291" s="4" t="str">
        <x:f>IFERROR(INDEX('Material routes'!$D$6:$D$2205,MATCH(V291,'Material routes'!$A$6:$A$2205,0)),"MISSING ID")</x:f>
        <x:v>proposal.bio.insert</x:v>
      </x:c>
      <x:c r="U291" s="4" t="str">
        <x:v>design.review.proposal_bio_insert.in.2</x:v>
      </x:c>
      <x:c r="V291" s="4" t="str">
        <x:v>design.review.proposal_bio_insert.out</x:v>
      </x:c>
    </x:row>
    <x:row r="292" ht="115" customHeight="1">
      <x:c r="A292" s="4" t="str">
        <x:f>IFERROR(INDEX('Material routes'!$E$6:$E$2205,MATCH(U292,'Material routes'!$A$6:$A$2205,0)),"MISSING ID")</x:f>
        <x:v>Charge-organ tissue</x:v>
      </x:c>
      <x:c r="B292" s="4" t="str">
        <x:f>IFERROR(INDEX('Material routes'!$F$6:$F$2205,MATCH(U292,'Material routes'!$A$6:$A$2205,0)),"MISSING ID")</x:f>
        <x:v>T0</x:v>
      </x:c>
      <x:c r="C292" s="4" t="str">
        <x:f>IFERROR(INDEX('Material routes'!$H$6:$H$2205,MATCH(U292,'Material routes'!$A$6:$A$2205,0)),"MISSING ID")</x:f>
        <x:v>Raw material</x:v>
      </x:c>
      <x:c r="D292" s="4" t="str">
        <x:f>IFERROR(INDEX('Material routes'!$G$6:$G$2205,MATCH(U292,'Material routes'!$A$6:$A$2205,0)),"MISSING ID")</x:f>
        <x:v>Biological resources</x:v>
      </x:c>
      <x:c r="E292" s="4" t="str">
        <x:f>IFERROR(INDEX('Material routes'!$C$6:$C$2205,MATCH(U292,'Material routes'!$A$6:$A$2205,0)),"MISSING ID")</x:f>
        <x:v>Ingredient candidate</x:v>
      </x:c>
      <x:c r="F292" s="4" t="str">
        <x:f>IFERROR(INDEX('Material routes'!$E$6:$E$2205,MATCH(V292,'Material routes'!$A$6:$A$2205,0)),"MISSING ID")</x:f>
        <x:v>Dry organ electrode scaffold</x:v>
      </x:c>
      <x:c r="G292" s="4" t="str">
        <x:f>IFERROR(INDEX('Material routes'!$F$6:$F$2205,MATCH(V292,'Material routes'!$A$6:$A$2205,0)),"MISSING ID")</x:f>
        <x:v>T1</x:v>
      </x:c>
      <x:c r="H292" s="4" t="str">
        <x:f>IFERROR(INDEX('Material routes'!$H$6:$H$2205,MATCH(V292,'Material routes'!$A$6:$A$2205,0)),"MISSING ID")</x:f>
        <x:v>Crafting component</x:v>
      </x:c>
      <x:c r="I292" s="4" t="str">
        <x:f>IFERROR(INDEX('Material routes'!$G$6:$G$2205,MATCH(V292,'Material routes'!$A$6:$A$2205,0)),"MISSING ID")</x:f>
        <x:v>Crafting components</x:v>
      </x:c>
      <x:c r="J292" s="4" t="str">
        <x:f>IFERROR(INDEX('Material routes'!$B$6:$B$2205,MATCH(U292,'Material routes'!$A$6:$A$2205,0)),"MISSING ID")</x:f>
        <x:v>design.review.proposal_bio_electrode</x:v>
      </x:c>
      <x:c r="K292" s="4" t="str">
        <x:f>IFERROR(INDEX('Crafting recipes'!$C$6:$C$1005,MATCH(J292,'Crafting recipes'!$A$6:$A$1005,0)),"MISSING ID")</x:f>
        <x:v>Material refinement</x:v>
      </x:c>
      <x:c r="L292" s="4" t="str">
        <x:f>IFERROR(INDEX('Material routes'!$K$6:$K$2205,MATCH(U292,'Material routes'!$A$6:$A$2205,0)),"MISSING ID")</x:f>
        <x:v>Proposal</x:v>
      </x:c>
      <x:c r="M292" s="4" t="str">
        <x:f>IFERROR(INDEX('Material routes'!$M$6:$M$2205,MATCH(U292,'Material routes'!$A$6:$A$2205,0)),"MISSING ID")</x:f>
        <x:v>Partial proposal</x:v>
      </x:c>
      <x:c r="N292" s="4" t="str">
        <x:f>IF(IFERROR(INDEX('Material routes'!$I$6:$I$1005,MATCH(U292,'Material routes'!$A$6:$A$1005,0)),"MISSING ID")=0,"",IFERROR(INDEX('Material routes'!$I$6:$I$1005,MATCH(U292,'Material routes'!$A$6:$A$1005,0)),"MISSING ID"))</x:f>
      </x:c>
      <x:c r="O292" s="4" t="str">
        <x:f>IFERROR(INDEX('Material routes'!$J$6:$J$2205,MATCH(U292,'Material routes'!$A$6:$A$2205,0)),"MISSING ID")</x:f>
        <x:v>Unspecified</x:v>
      </x:c>
      <x:c r="P292" s="4" t="str">
        <x:f>IF(IFERROR(INDEX('Material routes'!$I$6:$I$1005,MATCH(V292,'Material routes'!$A$6:$A$1005,0)),"MISSING ID")=0,"",IFERROR(INDEX('Material routes'!$I$6:$I$1005,MATCH(V292,'Material routes'!$A$6:$A$1005,0)),"MISSING ID"))</x:f>
      </x:c>
      <x:c r="Q292" s="4" t="str">
        <x:f>IFERROR(INDEX('Material routes'!$J$6:$J$2205,MATCH(V292,'Material routes'!$A$6:$A$2205,0)),"MISSING ID")</x:f>
        <x:v>Unspecified</x:v>
      </x:c>
      <x:c r="R292" s="4" t="str">
        <x:f>IF(L292="Withheld","Withheld premise",IF(E292="Tool candidate","Reusable prerequisite",IF(K292="Raw entry preparation","Entry-resource preparation",IF(G292="Not applicable",IF(IFERROR(INDEX('Items'!$AI$6:$AI$1005,MATCH(T292,'Items'!$A$6:$A$1005,0)),"MISSING ID")="Finished item","Finished endpoint",IF(IFERROR(INDEX('Items'!$AI$6:$AI$1005,MATCH(T292,'Items'!$A$6:$A$1005,0)),"MISSING ID")="Currency","Currency / no refinement tier","Recovered output / tier not applicable")),IF(OR(IFERROR(INDEX('Crafting recipes'!$H$6:$H$1005,MATCH(J292,'Crafting recipes'!$A$6:$A$1005,0)),"MISSING ID")="Unassigned",G292="Unassigned"),"Tier unresolved",IF(IFERROR(VALUE(RIGHT(G292,1))-VALUE(RIGHT(IFERROR(INDEX('Crafting recipes'!$H$6:$H$1005,MATCH(J292,'Crafting recipes'!$A$6:$A$1005,0)),"MISSING ID"),1)),0)=1,IF(B292=IFERROR(INDEX('Crafting recipes'!$H$6:$H$1005,MATCH(J292,'Crafting recipes'!$A$6:$A$1005,0)),"MISSING ID"),"Advances one material tier","Lower-tier ingredient; route advances one tier"),"Needs tier review"))))))</x:f>
        <x:v>Advances one material tier</x:v>
      </x:c>
      <x:c r="S292" s="4" t="str">
        <x:f>IFERROR(INDEX('Material routes'!$D$6:$D$2205,MATCH(U292,'Material routes'!$A$6:$A$2205,0)),"MISSING ID")</x:f>
        <x:v>proposal.bio.organ</x:v>
      </x:c>
      <x:c r="T292" s="4" t="str">
        <x:f>IFERROR(INDEX('Material routes'!$D$6:$D$2205,MATCH(V292,'Material routes'!$A$6:$A$2205,0)),"MISSING ID")</x:f>
        <x:v>proposal.bio.electrode</x:v>
      </x:c>
      <x:c r="U292" s="4" t="str">
        <x:v>design.review.proposal_bio_electrode.in.1</x:v>
      </x:c>
      <x:c r="V292" s="4" t="str">
        <x:v>design.review.proposal_bio_electrode.out</x:v>
      </x:c>
    </x:row>
    <x:row r="293" ht="115" customHeight="1">
      <x:c r="A293" s="4" t="str">
        <x:f>IFERROR(INDEX('Material routes'!$E$6:$E$2205,MATCH(U293,'Material routes'!$A$6:$A$2205,0)),"MISSING ID")</x:f>
        <x:v>Shell husks / shed plates</x:v>
      </x:c>
      <x:c r="B293" s="4" t="str">
        <x:f>IFERROR(INDEX('Material routes'!$F$6:$F$2205,MATCH(U293,'Material routes'!$A$6:$A$2205,0)),"MISSING ID")</x:f>
        <x:v>T0</x:v>
      </x:c>
      <x:c r="C293" s="4" t="str">
        <x:f>IFERROR(INDEX('Material routes'!$H$6:$H$2205,MATCH(U293,'Material routes'!$A$6:$A$2205,0)),"MISSING ID")</x:f>
        <x:v>Raw material</x:v>
      </x:c>
      <x:c r="D293" s="4" t="str">
        <x:f>IFERROR(INDEX('Material routes'!$G$6:$G$2205,MATCH(U293,'Material routes'!$A$6:$A$2205,0)),"MISSING ID")</x:f>
        <x:v>Biological resources</x:v>
      </x:c>
      <x:c r="E293" s="4" t="str">
        <x:f>IFERROR(INDEX('Material routes'!$C$6:$C$2205,MATCH(U293,'Material routes'!$A$6:$A$2205,0)),"MISSING ID")</x:f>
        <x:v>Ingredient candidate</x:v>
      </x:c>
      <x:c r="F293" s="4" t="str">
        <x:f>IFERROR(INDEX('Material routes'!$E$6:$E$2205,MATCH(V293,'Material routes'!$A$6:$A$2205,0)),"MISSING ID")</x:f>
        <x:v>Charcoal</x:v>
      </x:c>
      <x:c r="G293" s="4" t="str">
        <x:f>IFERROR(INDEX('Material routes'!$F$6:$F$2205,MATCH(V293,'Material routes'!$A$6:$A$2205,0)),"MISSING ID")</x:f>
        <x:v>T1</x:v>
      </x:c>
      <x:c r="H293" s="4" t="str">
        <x:f>IFERROR(INDEX('Material routes'!$H$6:$H$2205,MATCH(V293,'Material routes'!$A$6:$A$2205,0)),"MISSING ID")</x:f>
        <x:v>Processed material</x:v>
      </x:c>
      <x:c r="I293" s="4" t="str">
        <x:f>IFERROR(INDEX('Material routes'!$G$6:$G$2205,MATCH(V293,'Material routes'!$A$6:$A$2205,0)),"MISSING ID")</x:f>
        <x:v>Manufactured stock</x:v>
      </x:c>
      <x:c r="J293" s="4" t="str">
        <x:f>IFERROR(INDEX('Material routes'!$B$6:$B$2205,MATCH(U293,'Material routes'!$A$6:$A$2205,0)),"MISSING ID")</x:f>
        <x:v>design.review.proposal_natural_charcoal</x:v>
      </x:c>
      <x:c r="K293" s="4" t="str">
        <x:f>IFERROR(INDEX('Crafting recipes'!$C$6:$C$1005,MATCH(J293,'Crafting recipes'!$A$6:$A$1005,0)),"MISSING ID")</x:f>
        <x:v>Material refinement</x:v>
      </x:c>
      <x:c r="L293" s="4" t="str">
        <x:f>IFERROR(INDEX('Material routes'!$K$6:$K$2205,MATCH(U293,'Material routes'!$A$6:$A$2205,0)),"MISSING ID")</x:f>
        <x:v>Proposal</x:v>
      </x:c>
      <x:c r="M293" s="4" t="str">
        <x:f>IFERROR(INDEX('Material routes'!$M$6:$M$2205,MATCH(U293,'Material routes'!$A$6:$A$2205,0)),"MISSING ID")</x:f>
        <x:v>Partial proposal</x:v>
      </x:c>
      <x:c r="N293" s="4" t="str">
        <x:f>IF(IFERROR(INDEX('Material routes'!$I$6:$I$1005,MATCH(U293,'Material routes'!$A$6:$A$1005,0)),"MISSING ID")=0,"",IFERROR(INDEX('Material routes'!$I$6:$I$1005,MATCH(U293,'Material routes'!$A$6:$A$1005,0)),"MISSING ID"))</x:f>
      </x:c>
      <x:c r="O293" s="4" t="str">
        <x:f>IFERROR(INDEX('Material routes'!$J$6:$J$2205,MATCH(U293,'Material routes'!$A$6:$A$2205,0)),"MISSING ID")</x:f>
        <x:v>Unspecified</x:v>
      </x:c>
      <x:c r="P293" s="4" t="str">
        <x:f>IF(IFERROR(INDEX('Material routes'!$I$6:$I$1005,MATCH(V293,'Material routes'!$A$6:$A$1005,0)),"MISSING ID")=0,"",IFERROR(INDEX('Material routes'!$I$6:$I$1005,MATCH(V293,'Material routes'!$A$6:$A$1005,0)),"MISSING ID"))</x:f>
      </x:c>
      <x:c r="Q293" s="4" t="str">
        <x:f>IFERROR(INDEX('Material routes'!$J$6:$J$2205,MATCH(V293,'Material routes'!$A$6:$A$2205,0)),"MISSING ID")</x:f>
        <x:v>Unspecified</x:v>
      </x:c>
      <x:c r="R293" s="4" t="str">
        <x:f>IF(L293="Withheld","Withheld premise",IF(E293="Tool candidate","Reusable prerequisite",IF(K293="Raw entry preparation","Entry-resource preparation",IF(G293="Not applicable",IF(IFERROR(INDEX('Items'!$AI$6:$AI$1005,MATCH(T293,'Items'!$A$6:$A$1005,0)),"MISSING ID")="Finished item","Finished endpoint",IF(IFERROR(INDEX('Items'!$AI$6:$AI$1005,MATCH(T293,'Items'!$A$6:$A$1005,0)),"MISSING ID")="Currency","Currency / no refinement tier","Recovered output / tier not applicable")),IF(OR(IFERROR(INDEX('Crafting recipes'!$H$6:$H$1005,MATCH(J293,'Crafting recipes'!$A$6:$A$1005,0)),"MISSING ID")="Unassigned",G293="Unassigned"),"Tier unresolved",IF(IFERROR(VALUE(RIGHT(G293,1))-VALUE(RIGHT(IFERROR(INDEX('Crafting recipes'!$H$6:$H$1005,MATCH(J293,'Crafting recipes'!$A$6:$A$1005,0)),"MISSING ID"),1)),0)=1,IF(B293=IFERROR(INDEX('Crafting recipes'!$H$6:$H$1005,MATCH(J293,'Crafting recipes'!$A$6:$A$1005,0)),"MISSING ID"),"Advances one material tier","Lower-tier ingredient; route advances one tier"),"Needs tier review"))))))</x:f>
        <x:v>Advances one material tier</x:v>
      </x:c>
      <x:c r="S293" s="4" t="str">
        <x:f>IFERROR(INDEX('Material routes'!$D$6:$D$2205,MATCH(U293,'Material routes'!$A$6:$A$2205,0)),"MISSING ID")</x:f>
        <x:v>proposal.bio.shell</x:v>
      </x:c>
      <x:c r="T293" s="4" t="str">
        <x:f>IFERROR(INDEX('Material routes'!$D$6:$D$2205,MATCH(V293,'Material routes'!$A$6:$A$2205,0)),"MISSING ID")</x:f>
        <x:v>proposal.natural.charcoal</x:v>
      </x:c>
      <x:c r="U293" s="4" t="str">
        <x:v>design.review.proposal_natural_charcoal.in.1</x:v>
      </x:c>
      <x:c r="V293" s="4" t="str">
        <x:v>design.review.proposal_natural_charcoal.out</x:v>
      </x:c>
    </x:row>
    <x:row r="294" ht="115" customHeight="1">
      <x:c r="A294" s="4" t="str">
        <x:f>IFERROR(INDEX('Material routes'!$E$6:$E$2205,MATCH(U294,'Material routes'!$A$6:$A$2205,0)),"MISSING ID")</x:f>
        <x:v>Shell husks / shed plates</x:v>
      </x:c>
      <x:c r="B294" s="4" t="str">
        <x:f>IFERROR(INDEX('Material routes'!$F$6:$F$2205,MATCH(U294,'Material routes'!$A$6:$A$2205,0)),"MISSING ID")</x:f>
        <x:v>T0</x:v>
      </x:c>
      <x:c r="C294" s="4" t="str">
        <x:f>IFERROR(INDEX('Material routes'!$H$6:$H$2205,MATCH(U294,'Material routes'!$A$6:$A$2205,0)),"MISSING ID")</x:f>
        <x:v>Raw material</x:v>
      </x:c>
      <x:c r="D294" s="4" t="str">
        <x:f>IFERROR(INDEX('Material routes'!$G$6:$G$2205,MATCH(U294,'Material routes'!$A$6:$A$2205,0)),"MISSING ID")</x:f>
        <x:v>Biological resources</x:v>
      </x:c>
      <x:c r="E294" s="4" t="str">
        <x:f>IFERROR(INDEX('Material routes'!$C$6:$C$2205,MATCH(U294,'Material routes'!$A$6:$A$2205,0)),"MISSING ID")</x:f>
        <x:v>Ingredient candidate</x:v>
      </x:c>
      <x:c r="F294" s="4" t="str">
        <x:f>IFERROR(INDEX('Material routes'!$E$6:$E$2205,MATCH(V294,'Material routes'!$A$6:$A$2205,0)),"MISSING ID")</x:f>
        <x:v>Chitin-char</x:v>
      </x:c>
      <x:c r="G294" s="4" t="str">
        <x:f>IFERROR(INDEX('Material routes'!$F$6:$F$2205,MATCH(V294,'Material routes'!$A$6:$A$2205,0)),"MISSING ID")</x:f>
        <x:v>T1</x:v>
      </x:c>
      <x:c r="H294" s="4" t="str">
        <x:f>IFERROR(INDEX('Material routes'!$H$6:$H$2205,MATCH(V294,'Material routes'!$A$6:$A$2205,0)),"MISSING ID")</x:f>
        <x:v>Processed material</x:v>
      </x:c>
      <x:c r="I294" s="4" t="str">
        <x:f>IFERROR(INDEX('Material routes'!$G$6:$G$2205,MATCH(V294,'Material routes'!$A$6:$A$2205,0)),"MISSING ID")</x:f>
        <x:v>Manufactured stock</x:v>
      </x:c>
      <x:c r="J294" s="4" t="str">
        <x:f>IFERROR(INDEX('Material routes'!$B$6:$B$2205,MATCH(U294,'Material routes'!$A$6:$A$2205,0)),"MISSING ID")</x:f>
        <x:v>design.review.proposal_fire_chitin_char</x:v>
      </x:c>
      <x:c r="K294" s="4" t="str">
        <x:f>IFERROR(INDEX('Crafting recipes'!$C$6:$C$1005,MATCH(J294,'Crafting recipes'!$A$6:$A$1005,0)),"MISSING ID")</x:f>
        <x:v>Material refinement</x:v>
      </x:c>
      <x:c r="L294" s="4" t="str">
        <x:f>IFERROR(INDEX('Material routes'!$K$6:$K$2205,MATCH(U294,'Material routes'!$A$6:$A$2205,0)),"MISSING ID")</x:f>
        <x:v>Proposal</x:v>
      </x:c>
      <x:c r="M294" s="4" t="str">
        <x:f>IFERROR(INDEX('Material routes'!$M$6:$M$2205,MATCH(U294,'Material routes'!$A$6:$A$2205,0)),"MISSING ID")</x:f>
        <x:v>Partial proposal</x:v>
      </x:c>
      <x:c r="N294" s="4" t="str">
        <x:f>IF(IFERROR(INDEX('Material routes'!$I$6:$I$1005,MATCH(U294,'Material routes'!$A$6:$A$1005,0)),"MISSING ID")=0,"",IFERROR(INDEX('Material routes'!$I$6:$I$1005,MATCH(U294,'Material routes'!$A$6:$A$1005,0)),"MISSING ID"))</x:f>
      </x:c>
      <x:c r="O294" s="4" t="str">
        <x:f>IFERROR(INDEX('Material routes'!$J$6:$J$2205,MATCH(U294,'Material routes'!$A$6:$A$2205,0)),"MISSING ID")</x:f>
        <x:v>Unspecified</x:v>
      </x:c>
      <x:c r="P294" s="4" t="str">
        <x:f>IF(IFERROR(INDEX('Material routes'!$I$6:$I$1005,MATCH(V294,'Material routes'!$A$6:$A$1005,0)),"MISSING ID")=0,"",IFERROR(INDEX('Material routes'!$I$6:$I$1005,MATCH(V294,'Material routes'!$A$6:$A$1005,0)),"MISSING ID"))</x:f>
      </x:c>
      <x:c r="Q294" s="4" t="str">
        <x:f>IFERROR(INDEX('Material routes'!$J$6:$J$2205,MATCH(V294,'Material routes'!$A$6:$A$2205,0)),"MISSING ID")</x:f>
        <x:v>Unspecified</x:v>
      </x:c>
      <x:c r="R294" s="4" t="str">
        <x:f>IF(L294="Withheld","Withheld premise",IF(E294="Tool candidate","Reusable prerequisite",IF(K294="Raw entry preparation","Entry-resource preparation",IF(G294="Not applicable",IF(IFERROR(INDEX('Items'!$AI$6:$AI$1005,MATCH(T294,'Items'!$A$6:$A$1005,0)),"MISSING ID")="Finished item","Finished endpoint",IF(IFERROR(INDEX('Items'!$AI$6:$AI$1005,MATCH(T294,'Items'!$A$6:$A$1005,0)),"MISSING ID")="Currency","Currency / no refinement tier","Recovered output / tier not applicable")),IF(OR(IFERROR(INDEX('Crafting recipes'!$H$6:$H$1005,MATCH(J294,'Crafting recipes'!$A$6:$A$1005,0)),"MISSING ID")="Unassigned",G294="Unassigned"),"Tier unresolved",IF(IFERROR(VALUE(RIGHT(G294,1))-VALUE(RIGHT(IFERROR(INDEX('Crafting recipes'!$H$6:$H$1005,MATCH(J294,'Crafting recipes'!$A$6:$A$1005,0)),"MISSING ID"),1)),0)=1,IF(B294=IFERROR(INDEX('Crafting recipes'!$H$6:$H$1005,MATCH(J294,'Crafting recipes'!$A$6:$A$1005,0)),"MISSING ID"),"Advances one material tier","Lower-tier ingredient; route advances one tier"),"Needs tier review"))))))</x:f>
        <x:v>Advances one material tier</x:v>
      </x:c>
      <x:c r="S294" s="4" t="str">
        <x:f>IFERROR(INDEX('Material routes'!$D$6:$D$2205,MATCH(U294,'Material routes'!$A$6:$A$2205,0)),"MISSING ID")</x:f>
        <x:v>proposal.bio.shell</x:v>
      </x:c>
      <x:c r="T294" s="4" t="str">
        <x:f>IFERROR(INDEX('Material routes'!$D$6:$D$2205,MATCH(V294,'Material routes'!$A$6:$A$2205,0)),"MISSING ID")</x:f>
        <x:v>proposal.fire.chitin_char</x:v>
      </x:c>
      <x:c r="U294" s="4" t="str">
        <x:v>design.review.proposal_fire_chitin_char.in.1</x:v>
      </x:c>
      <x:c r="V294" s="4" t="str">
        <x:v>design.review.proposal_fire_chitin_char.out</x:v>
      </x:c>
    </x:row>
    <x:row r="295" ht="115" customHeight="1">
      <x:c r="A295" s="4" t="str">
        <x:f>IFERROR(INDEX('Material routes'!$E$6:$E$2205,MATCH(U295,'Material routes'!$A$6:$A$2205,0)),"MISSING ID")</x:f>
        <x:v>Rough clear-glass blank</x:v>
      </x:c>
      <x:c r="B295" s="4" t="str">
        <x:f>IFERROR(INDEX('Material routes'!$F$6:$F$2205,MATCH(U295,'Material routes'!$A$6:$A$2205,0)),"MISSING ID")</x:f>
        <x:v>T1</x:v>
      </x:c>
      <x:c r="C295" s="4" t="str">
        <x:f>IFERROR(INDEX('Material routes'!$H$6:$H$2205,MATCH(U295,'Material routes'!$A$6:$A$2205,0)),"MISSING ID")</x:f>
        <x:v>Processed material</x:v>
      </x:c>
      <x:c r="D295" s="4" t="str">
        <x:f>IFERROR(INDEX('Material routes'!$G$6:$G$2205,MATCH(U295,'Material routes'!$A$6:$A$2205,0)),"MISSING ID")</x:f>
        <x:v>Manufactured stock</x:v>
      </x:c>
      <x:c r="E295" s="4" t="str">
        <x:f>IFERROR(INDEX('Material routes'!$C$6:$C$2205,MATCH(U295,'Material routes'!$A$6:$A$2205,0)),"MISSING ID")</x:f>
        <x:v>Ingredient candidate</x:v>
      </x:c>
      <x:c r="F295" s="4" t="str">
        <x:f>IFERROR(INDEX('Material routes'!$E$6:$E$2205,MATCH(V295,'Material routes'!$A$6:$A$2205,0)),"MISSING ID")</x:f>
        <x:v>Matched glass stopper</x:v>
      </x:c>
      <x:c r="G295" s="4" t="str">
        <x:f>IFERROR(INDEX('Material routes'!$F$6:$F$2205,MATCH(V295,'Material routes'!$A$6:$A$2205,0)),"MISSING ID")</x:f>
        <x:v>T2</x:v>
      </x:c>
      <x:c r="H295" s="4" t="inlineStr">
        <x:is>
          <x:t xml:space="preserve">Salvage</x:t>
        </x:is>
      </x:c>
      <x:c r="I295" s="4" t="str">
        <x:f>IFERROR(INDEX('Material routes'!$G$6:$G$2205,MATCH(V295,'Material routes'!$A$6:$A$2205,0)),"MISSING ID")</x:f>
        <x:v>Salvage</x:v>
      </x:c>
      <x:c r="J295" s="4" t="str">
        <x:f>IFERROR(INDEX('Material routes'!$B$6:$B$2205,MATCH(U295,'Material routes'!$A$6:$A$2205,0)),"MISSING ID")</x:f>
        <x:v>design.review.proposal_container_glass_stopper</x:v>
      </x:c>
      <x:c r="K295" s="4" t="str">
        <x:f>IFERROR(INDEX('Crafting recipes'!$C$6:$C$1005,MATCH(J295,'Crafting recipes'!$A$6:$A$1005,0)),"MISSING ID")</x:f>
        <x:v>Material refinement</x:v>
      </x:c>
      <x:c r="L295" s="4" t="inlineStr">
        <x:is>
          <x:t xml:space="preserve">Retired</x:t>
        </x:is>
      </x:c>
      <x:c r="M295" s="4" t="inlineStr">
        <x:is>
          <x:t xml:space="preserve">Withdrawn container proposal</x:t>
        </x:is>
      </x:c>
      <x:c r="N295" s="4" t="str">
        <x:f>IF(IFERROR(INDEX('Material routes'!$I$6:$I$1005,MATCH(U295,'Material routes'!$A$6:$A$1005,0)),"MISSING ID")=0,"",IFERROR(INDEX('Material routes'!$I$6:$I$1005,MATCH(U295,'Material routes'!$A$6:$A$1005,0)),"MISSING ID"))</x:f>
      </x:c>
      <x:c r="O295" s="4" t="str">
        <x:f>IFERROR(INDEX('Material routes'!$J$6:$J$2205,MATCH(U295,'Material routes'!$A$6:$A$2205,0)),"MISSING ID")</x:f>
        <x:v>Unspecified</x:v>
      </x:c>
      <x:c r="P295" s="4" t="str">
        <x:f>IF(IFERROR(INDEX('Material routes'!$I$6:$I$1005,MATCH(V295,'Material routes'!$A$6:$A$1005,0)),"MISSING ID")=0,"",IFERROR(INDEX('Material routes'!$I$6:$I$1005,MATCH(V295,'Material routes'!$A$6:$A$1005,0)),"MISSING ID"))</x:f>
      </x:c>
      <x:c r="Q295" s="4" t="str">
        <x:f>IFERROR(INDEX('Material routes'!$J$6:$J$2205,MATCH(V295,'Material routes'!$A$6:$A$2205,0)),"MISSING ID")</x:f>
        <x:v>Unspecified</x:v>
      </x:c>
      <x:c r="R295" s="4" t="str">
        <x:f>IF(L295="Withheld","Withheld premise",IF(E295="Tool candidate","Reusable prerequisite",IF(K295="Raw entry preparation","Entry-resource preparation",IF(G295="Not applicable",IF(IFERROR(INDEX('Items'!$AI$6:$AI$1005,MATCH(T295,'Items'!$A$6:$A$1005,0)),"MISSING ID")="Finished item","Finished endpoint",IF(IFERROR(INDEX('Items'!$AI$6:$AI$1005,MATCH(T295,'Items'!$A$6:$A$1005,0)),"MISSING ID")="Currency","Currency / no refinement tier","Recovered output / tier not applicable")),IF(OR(IFERROR(INDEX('Crafting recipes'!$H$6:$H$1005,MATCH(J295,'Crafting recipes'!$A$6:$A$1005,0)),"MISSING ID")="Unassigned",G295="Unassigned"),"Tier unresolved",IF(IFERROR(VALUE(RIGHT(G295,1))-VALUE(RIGHT(IFERROR(INDEX('Crafting recipes'!$H$6:$H$1005,MATCH(J295,'Crafting recipes'!$A$6:$A$1005,0)),"MISSING ID"),1)),0)=1,IF(B295=IFERROR(INDEX('Crafting recipes'!$H$6:$H$1005,MATCH(J295,'Crafting recipes'!$A$6:$A$1005,0)),"MISSING ID"),"Advances one material tier","Lower-tier ingredient; route advances one tier"),"Needs tier review"))))))</x:f>
        <x:v>Advances one material tier</x:v>
      </x:c>
      <x:c r="S295" s="4" t="str">
        <x:f>IFERROR(INDEX('Material routes'!$D$6:$D$2205,MATCH(U295,'Material routes'!$A$6:$A$2205,0)),"MISSING ID")</x:f>
        <x:v>proposal.t1.clear_glass_blank</x:v>
      </x:c>
      <x:c r="T295" s="4" t="str">
        <x:f>IFERROR(INDEX('Material routes'!$D$6:$D$2205,MATCH(V295,'Material routes'!$A$6:$A$2205,0)),"MISSING ID")</x:f>
        <x:v>proposal.container.glass_stopper</x:v>
      </x:c>
      <x:c r="U295" s="4" t="str">
        <x:v>design.review.proposal_container_glass_stopper.in.1</x:v>
      </x:c>
      <x:c r="V295" s="4" t="str">
        <x:v>design.review.proposal_container_glass_stopper.out</x:v>
      </x:c>
    </x:row>
    <x:row r="296" ht="115" customHeight="1">
      <x:c r="A296" s="4" t="str">
        <x:f>IFERROR(INDEX('Material routes'!$E$6:$E$2205,MATCH(U296,'Material routes'!$A$6:$A$2205,0)),"MISSING ID")</x:f>
        <x:v>Graded abrasive grit</x:v>
      </x:c>
      <x:c r="B296" s="4" t="str">
        <x:f>IFERROR(INDEX('Material routes'!$F$6:$F$2205,MATCH(U296,'Material routes'!$A$6:$A$2205,0)),"MISSING ID")</x:f>
        <x:v>T1</x:v>
      </x:c>
      <x:c r="C296" s="4" t="str">
        <x:f>IFERROR(INDEX('Material routes'!$H$6:$H$2205,MATCH(U296,'Material routes'!$A$6:$A$2205,0)),"MISSING ID")</x:f>
        <x:v>Processed material</x:v>
      </x:c>
      <x:c r="D296" s="4" t="str">
        <x:f>IFERROR(INDEX('Material routes'!$G$6:$G$2205,MATCH(U296,'Material routes'!$A$6:$A$2205,0)),"MISSING ID")</x:f>
        <x:v>Manufactured stock</x:v>
      </x:c>
      <x:c r="E296" s="4" t="str">
        <x:f>IFERROR(INDEX('Material routes'!$C$6:$C$2205,MATCH(U296,'Material routes'!$A$6:$A$2205,0)),"MISSING ID")</x:f>
        <x:v>Ingredient candidate</x:v>
      </x:c>
      <x:c r="F296" s="4" t="str">
        <x:f>IFERROR(INDEX('Material routes'!$E$6:$E$2205,MATCH(V296,'Material routes'!$A$6:$A$2205,0)),"MISSING ID")</x:f>
        <x:v>Matched glass stopper</x:v>
      </x:c>
      <x:c r="G296" s="4" t="str">
        <x:f>IFERROR(INDEX('Material routes'!$F$6:$F$2205,MATCH(V296,'Material routes'!$A$6:$A$2205,0)),"MISSING ID")</x:f>
        <x:v>T2</x:v>
      </x:c>
      <x:c r="H296" s="4" t="inlineStr">
        <x:is>
          <x:t xml:space="preserve">Salvage</x:t>
        </x:is>
      </x:c>
      <x:c r="I296" s="4" t="str">
        <x:f>IFERROR(INDEX('Material routes'!$G$6:$G$2205,MATCH(V296,'Material routes'!$A$6:$A$2205,0)),"MISSING ID")</x:f>
        <x:v>Salvage</x:v>
      </x:c>
      <x:c r="J296" s="4" t="str">
        <x:f>IFERROR(INDEX('Material routes'!$B$6:$B$2205,MATCH(U296,'Material routes'!$A$6:$A$2205,0)),"MISSING ID")</x:f>
        <x:v>design.review.proposal_container_glass_stopper</x:v>
      </x:c>
      <x:c r="K296" s="4" t="str">
        <x:f>IFERROR(INDEX('Crafting recipes'!$C$6:$C$1005,MATCH(J296,'Crafting recipes'!$A$6:$A$1005,0)),"MISSING ID")</x:f>
        <x:v>Material refinement</x:v>
      </x:c>
      <x:c r="L296" s="4" t="inlineStr">
        <x:is>
          <x:t xml:space="preserve">Retired</x:t>
        </x:is>
      </x:c>
      <x:c r="M296" s="4" t="inlineStr">
        <x:is>
          <x:t xml:space="preserve">Withdrawn container proposal</x:t>
        </x:is>
      </x:c>
      <x:c r="N296" s="4" t="str">
        <x:f>IF(IFERROR(INDEX('Material routes'!$I$6:$I$1005,MATCH(U296,'Material routes'!$A$6:$A$1005,0)),"MISSING ID")=0,"",IFERROR(INDEX('Material routes'!$I$6:$I$1005,MATCH(U296,'Material routes'!$A$6:$A$1005,0)),"MISSING ID"))</x:f>
      </x:c>
      <x:c r="O296" s="4" t="str">
        <x:f>IFERROR(INDEX('Material routes'!$J$6:$J$2205,MATCH(U296,'Material routes'!$A$6:$A$2205,0)),"MISSING ID")</x:f>
        <x:v>Unspecified</x:v>
      </x:c>
      <x:c r="P296" s="4" t="str">
        <x:f>IF(IFERROR(INDEX('Material routes'!$I$6:$I$1005,MATCH(V296,'Material routes'!$A$6:$A$1005,0)),"MISSING ID")=0,"",IFERROR(INDEX('Material routes'!$I$6:$I$1005,MATCH(V296,'Material routes'!$A$6:$A$1005,0)),"MISSING ID"))</x:f>
      </x:c>
      <x:c r="Q296" s="4" t="str">
        <x:f>IFERROR(INDEX('Material routes'!$J$6:$J$2205,MATCH(V296,'Material routes'!$A$6:$A$2205,0)),"MISSING ID")</x:f>
        <x:v>Unspecified</x:v>
      </x:c>
      <x:c r="R296" s="4" t="str">
        <x:f>IF(L296="Withheld","Withheld premise",IF(E296="Tool candidate","Reusable prerequisite",IF(K296="Raw entry preparation","Entry-resource preparation",IF(G296="Not applicable",IF(IFERROR(INDEX('Items'!$AI$6:$AI$1005,MATCH(T296,'Items'!$A$6:$A$1005,0)),"MISSING ID")="Finished item","Finished endpoint",IF(IFERROR(INDEX('Items'!$AI$6:$AI$1005,MATCH(T296,'Items'!$A$6:$A$1005,0)),"MISSING ID")="Currency","Currency / no refinement tier","Recovered output / tier not applicable")),IF(OR(IFERROR(INDEX('Crafting recipes'!$H$6:$H$1005,MATCH(J296,'Crafting recipes'!$A$6:$A$1005,0)),"MISSING ID")="Unassigned",G296="Unassigned"),"Tier unresolved",IF(IFERROR(VALUE(RIGHT(G296,1))-VALUE(RIGHT(IFERROR(INDEX('Crafting recipes'!$H$6:$H$1005,MATCH(J296,'Crafting recipes'!$A$6:$A$1005,0)),"MISSING ID"),1)),0)=1,IF(B296=IFERROR(INDEX('Crafting recipes'!$H$6:$H$1005,MATCH(J296,'Crafting recipes'!$A$6:$A$1005,0)),"MISSING ID"),"Advances one material tier","Lower-tier ingredient; route advances one tier"),"Needs tier review"))))))</x:f>
        <x:v>Advances one material tier</x:v>
      </x:c>
      <x:c r="S296" s="4" t="str">
        <x:f>IFERROR(INDEX('Material routes'!$D$6:$D$2205,MATCH(U296,'Material routes'!$A$6:$A$2205,0)),"MISSING ID")</x:f>
        <x:v>proposal.natural.abrasive</x:v>
      </x:c>
      <x:c r="T296" s="4" t="str">
        <x:f>IFERROR(INDEX('Material routes'!$D$6:$D$2205,MATCH(V296,'Material routes'!$A$6:$A$2205,0)),"MISSING ID")</x:f>
        <x:v>proposal.container.glass_stopper</x:v>
      </x:c>
      <x:c r="U296" s="4" t="str">
        <x:v>design.review.proposal_container_glass_stopper.in.2</x:v>
      </x:c>
      <x:c r="V296" s="4" t="str">
        <x:v>design.review.proposal_container_glass_stopper.out</x:v>
      </x:c>
    </x:row>
    <x:row r="297" ht="115" customHeight="1">
      <x:c r="A297" s="4"/>
      <x:c r="B297" s="4"/>
      <x:c r="C297" s="4"/>
      <x:c r="D297" s="4"/>
      <x:c r="E297" s="4"/>
      <x:c r="F297" s="4"/>
      <x:c r="G297" s="4"/>
      <x:c r="H297" s="4"/>
      <x:c r="I297" s="4"/>
      <x:c r="J297" s="4"/>
      <x:c r="K297" s="4"/>
      <x:c r="L297" s="4"/>
      <x:c r="M297" s="4"/>
      <x:c r="N297" s="4"/>
      <x:c r="O297" s="4"/>
      <x:c r="P297" s="4"/>
      <x:c r="Q297" s="4"/>
      <x:c r="R297" s="4"/>
      <x:c r="S297" s="4"/>
      <x:c r="T297" s="4"/>
      <x:c r="U297" s="4"/>
      <x:c r="V297" s="4"/>
    </x:row>
    <x:row r="298" ht="115" customHeight="1">
      <x:c r="A298" s="4"/>
      <x:c r="B298" s="4"/>
      <x:c r="C298" s="4"/>
      <x:c r="D298" s="4"/>
      <x:c r="E298" s="4"/>
      <x:c r="F298" s="4"/>
      <x:c r="G298" s="4"/>
      <x:c r="H298" s="4"/>
      <x:c r="I298" s="4"/>
      <x:c r="J298" s="4"/>
      <x:c r="K298" s="4"/>
      <x:c r="L298" s="4"/>
      <x:c r="M298" s="4"/>
      <x:c r="N298" s="4"/>
      <x:c r="O298" s="4"/>
      <x:c r="P298" s="4"/>
      <x:c r="Q298" s="4"/>
      <x:c r="R298" s="4"/>
      <x:c r="S298" s="4"/>
      <x:c r="T298" s="4"/>
      <x:c r="U298" s="4"/>
      <x:c r="V298" s="4"/>
    </x:row>
    <x:row r="299" ht="115" customHeight="1">
      <x:c r="A299" s="4" t="str">
        <x:f>IFERROR(INDEX('Material routes'!$E$6:$E$2205,MATCH(U299,'Material routes'!$A$6:$A$2205,0)),"MISSING ID")</x:f>
        <x:v>Steel stock</x:v>
      </x:c>
      <x:c r="B299" s="4" t="str">
        <x:f>IFERROR(INDEX('Material routes'!$F$6:$F$2205,MATCH(U299,'Material routes'!$A$6:$A$2205,0)),"MISSING ID")</x:f>
        <x:v>T2</x:v>
      </x:c>
      <x:c r="C299" s="4" t="str">
        <x:f>IFERROR(INDEX('Material routes'!$H$6:$H$2205,MATCH(U299,'Material routes'!$A$6:$A$2205,0)),"MISSING ID")</x:f>
        <x:v>Processed material</x:v>
      </x:c>
      <x:c r="D299" s="4" t="str">
        <x:f>IFERROR(INDEX('Material routes'!$G$6:$G$2205,MATCH(U299,'Material routes'!$A$6:$A$2205,0)),"MISSING ID")</x:f>
        <x:v>Manufactured stock</x:v>
      </x:c>
      <x:c r="E299" s="4" t="str">
        <x:f>IFERROR(INDEX('Material routes'!$C$6:$C$2205,MATCH(U299,'Material routes'!$A$6:$A$2205,0)),"MISSING ID")</x:f>
        <x:v>Ingredient candidate</x:v>
      </x:c>
      <x:c r="F299" s="4" t="str">
        <x:f>IFERROR(INDEX('Material routes'!$E$6:$E$2205,MATCH(V299,'Material routes'!$A$6:$A$2205,0)),"MISSING ID")</x:f>
        <x:v>Canister body blank</x:v>
      </x:c>
      <x:c r="G299" s="4" t="str">
        <x:f>IFERROR(INDEX('Material routes'!$F$6:$F$2205,MATCH(V299,'Material routes'!$A$6:$A$2205,0)),"MISSING ID")</x:f>
        <x:v>T3</x:v>
      </x:c>
      <x:c r="H299" s="4" t="str">
        <x:f>IFERROR(INDEX('Material routes'!$H$6:$H$2205,MATCH(V299,'Material routes'!$A$6:$A$2205,0)),"MISSING ID")</x:f>
        <x:v>Container part</x:v>
      </x:c>
      <x:c r="I299" s="4" t="str">
        <x:f>IFERROR(INDEX('Material routes'!$G$6:$G$2205,MATCH(V299,'Material routes'!$A$6:$A$2205,0)),"MISSING ID")</x:f>
        <x:v>Crafting components</x:v>
      </x:c>
      <x:c r="J299" s="4" t="str">
        <x:f>IFERROR(INDEX('Material routes'!$B$6:$B$2205,MATCH(U299,'Material routes'!$A$6:$A$2205,0)),"MISSING ID")</x:f>
        <x:v>design.review.proposal_canister_body_blank</x:v>
      </x:c>
      <x:c r="K299" s="4" t="str">
        <x:f>IFERROR(INDEX('Crafting recipes'!$C$6:$C$1005,MATCH(J299,'Crafting recipes'!$A$6:$A$1005,0)),"MISSING ID")</x:f>
        <x:v>Material refinement</x:v>
      </x:c>
      <x:c r="L299" s="4" t="str">
        <x:f>IFERROR(INDEX('Material routes'!$K$6:$K$2205,MATCH(U299,'Material routes'!$A$6:$A$2205,0)),"MISSING ID")</x:f>
        <x:v>Proposal</x:v>
      </x:c>
      <x:c r="M299" s="4" t="str">
        <x:f>IFERROR(INDEX('Material routes'!$M$6:$M$2205,MATCH(U299,'Material routes'!$A$6:$A$2205,0)),"MISSING ID")</x:f>
        <x:v>Partial proposal</x:v>
      </x:c>
      <x:c r="N299" s="4" t="str">
        <x:f>IF(IFERROR(INDEX('Material routes'!$I$6:$I$1005,MATCH(U299,'Material routes'!$A$6:$A$1005,0)),"MISSING ID")=0,"",IFERROR(INDEX('Material routes'!$I$6:$I$1005,MATCH(U299,'Material routes'!$A$6:$A$1005,0)),"MISSING ID"))</x:f>
      </x:c>
      <x:c r="O299" s="4" t="str">
        <x:f>IFERROR(INDEX('Material routes'!$J$6:$J$2205,MATCH(U299,'Material routes'!$A$6:$A$2205,0)),"MISSING ID")</x:f>
        <x:v>Unspecified</x:v>
      </x:c>
      <x:c r="P299" s="4" t="str">
        <x:f>IF(IFERROR(INDEX('Material routes'!$I$6:$I$1005,MATCH(V299,'Material routes'!$A$6:$A$1005,0)),"MISSING ID")=0,"",IFERROR(INDEX('Material routes'!$I$6:$I$1005,MATCH(V299,'Material routes'!$A$6:$A$1005,0)),"MISSING ID"))</x:f>
      </x:c>
      <x:c r="Q299" s="4" t="str">
        <x:f>IFERROR(INDEX('Material routes'!$J$6:$J$2205,MATCH(V299,'Material routes'!$A$6:$A$2205,0)),"MISSING ID")</x:f>
        <x:v>Unspecified</x:v>
      </x:c>
      <x:c r="R299" s="4" t="str">
        <x:f>IF(L299="Withheld","Withheld premise",IF(E299="Tool candidate","Reusable prerequisite",IF(K299="Raw entry preparation","Entry-resource preparation",IF(G299="Not applicable",IF(IFERROR(INDEX('Items'!$AI$6:$AI$1005,MATCH(T299,'Items'!$A$6:$A$1005,0)),"MISSING ID")="Finished item","Finished endpoint",IF(IFERROR(INDEX('Items'!$AI$6:$AI$1005,MATCH(T299,'Items'!$A$6:$A$1005,0)),"MISSING ID")="Currency","Currency / no refinement tier","Recovered output / tier not applicable")),IF(OR(IFERROR(INDEX('Crafting recipes'!$H$6:$H$1005,MATCH(J299,'Crafting recipes'!$A$6:$A$1005,0)),"MISSING ID")="Unassigned",G299="Unassigned"),"Tier unresolved",IF(IFERROR(VALUE(RIGHT(G299,1))-VALUE(RIGHT(IFERROR(INDEX('Crafting recipes'!$H$6:$H$1005,MATCH(J299,'Crafting recipes'!$A$6:$A$1005,0)),"MISSING ID"),1)),0)=1,IF(B299=IFERROR(INDEX('Crafting recipes'!$H$6:$H$1005,MATCH(J299,'Crafting recipes'!$A$6:$A$1005,0)),"MISSING ID"),"Advances one material tier","Lower-tier ingredient; route advances one tier"),"Needs tier review"))))))</x:f>
        <x:v>Advances one material tier</x:v>
      </x:c>
      <x:c r="S299" s="4" t="str">
        <x:f>IFERROR(INDEX('Material routes'!$D$6:$D$2205,MATCH(U299,'Material routes'!$A$6:$A$2205,0)),"MISSING ID")</x:f>
        <x:v>author.metallurgy.steel_stock</x:v>
      </x:c>
      <x:c r="T299" s="4" t="str">
        <x:f>IFERROR(INDEX('Material routes'!$D$6:$D$2205,MATCH(V299,'Material routes'!$A$6:$A$2205,0)),"MISSING ID")</x:f>
        <x:v>proposal.canister.body_blank</x:v>
      </x:c>
      <x:c r="U299" s="4" t="str">
        <x:v>design.review.proposal_canister_body_blank.in.1</x:v>
      </x:c>
      <x:c r="V299" s="4" t="str">
        <x:v>design.review.proposal_canister_body_blank.out</x:v>
      </x:c>
    </x:row>
    <x:row r="300" ht="115" customHeight="1">
      <x:c r="A300" s="4" t="str">
        <x:f>IFERROR(INDEX('Material routes'!$E$6:$E$2205,MATCH(U300,'Material routes'!$A$6:$A$2205,0)),"MISSING ID")</x:f>
        <x:v>Filled faunal seal compound</x:v>
      </x:c>
      <x:c r="B300" s="4" t="str">
        <x:f>IFERROR(INDEX('Material routes'!$F$6:$F$2205,MATCH(U300,'Material routes'!$A$6:$A$2205,0)),"MISSING ID")</x:f>
        <x:v>T2</x:v>
      </x:c>
      <x:c r="C300" s="4" t="str">
        <x:f>IFERROR(INDEX('Material routes'!$H$6:$H$2205,MATCH(U300,'Material routes'!$A$6:$A$2205,0)),"MISSING ID")</x:f>
        <x:v>Chemical material</x:v>
      </x:c>
      <x:c r="D300" s="4" t="str">
        <x:f>IFERROR(INDEX('Material routes'!$G$6:$G$2205,MATCH(U300,'Material routes'!$A$6:$A$2205,0)),"MISSING ID")</x:f>
        <x:v>Crafting components</x:v>
      </x:c>
      <x:c r="E300" s="4" t="str">
        <x:f>IFERROR(INDEX('Material routes'!$C$6:$C$2205,MATCH(U300,'Material routes'!$A$6:$A$2205,0)),"MISSING ID")</x:f>
        <x:v>Ingredient candidate</x:v>
      </x:c>
      <x:c r="F300" s="4" t="str">
        <x:f>IFERROR(INDEX('Material routes'!$E$6:$E$2205,MATCH(V300,'Material routes'!$A$6:$A$2205,0)),"MISSING ID")</x:f>
        <x:v>Replacement seal ring</x:v>
      </x:c>
      <x:c r="G300" s="4" t="str">
        <x:f>IFERROR(INDEX('Material routes'!$F$6:$F$2205,MATCH(V300,'Material routes'!$A$6:$A$2205,0)),"MISSING ID")</x:f>
        <x:v>T3</x:v>
      </x:c>
      <x:c r="H300" s="4" t="str">
        <x:f>IFERROR(INDEX('Material routes'!$H$6:$H$2205,MATCH(V300,'Material routes'!$A$6:$A$2205,0)),"MISSING ID")</x:f>
        <x:v>Container part</x:v>
      </x:c>
      <x:c r="I300" s="4" t="str">
        <x:f>IFERROR(INDEX('Material routes'!$G$6:$G$2205,MATCH(V300,'Material routes'!$A$6:$A$2205,0)),"MISSING ID")</x:f>
        <x:v>Crafting components</x:v>
      </x:c>
      <x:c r="J300" s="4" t="str">
        <x:f>IFERROR(INDEX('Material routes'!$B$6:$B$2205,MATCH(U300,'Material routes'!$A$6:$A$2205,0)),"MISSING ID")</x:f>
        <x:v>design.review.proposal_canister_seal_ring</x:v>
      </x:c>
      <x:c r="K300" s="4" t="str">
        <x:f>IFERROR(INDEX('Crafting recipes'!$C$6:$C$1005,MATCH(J300,'Crafting recipes'!$A$6:$A$1005,0)),"MISSING ID")</x:f>
        <x:v>Material refinement</x:v>
      </x:c>
      <x:c r="L300" s="4" t="str">
        <x:f>IFERROR(INDEX('Material routes'!$K$6:$K$2205,MATCH(U300,'Material routes'!$A$6:$A$2205,0)),"MISSING ID")</x:f>
        <x:v>Proposal</x:v>
      </x:c>
      <x:c r="M300" s="4" t="str">
        <x:f>IFERROR(INDEX('Material routes'!$M$6:$M$2205,MATCH(U300,'Material routes'!$A$6:$A$2205,0)),"MISSING ID")</x:f>
        <x:v>Partial proposal</x:v>
      </x:c>
      <x:c r="N300" s="4" t="str">
        <x:f>IF(IFERROR(INDEX('Material routes'!$I$6:$I$1005,MATCH(U300,'Material routes'!$A$6:$A$1005,0)),"MISSING ID")=0,"",IFERROR(INDEX('Material routes'!$I$6:$I$1005,MATCH(U300,'Material routes'!$A$6:$A$1005,0)),"MISSING ID"))</x:f>
      </x:c>
      <x:c r="O300" s="4" t="str">
        <x:f>IFERROR(INDEX('Material routes'!$J$6:$J$2205,MATCH(U300,'Material routes'!$A$6:$A$2205,0)),"MISSING ID")</x:f>
        <x:v>Unspecified</x:v>
      </x:c>
      <x:c r="P300" s="4" t="str">
        <x:f>IF(IFERROR(INDEX('Material routes'!$I$6:$I$1005,MATCH(V300,'Material routes'!$A$6:$A$1005,0)),"MISSING ID")=0,"",IFERROR(INDEX('Material routes'!$I$6:$I$1005,MATCH(V300,'Material routes'!$A$6:$A$1005,0)),"MISSING ID"))</x:f>
      </x:c>
      <x:c r="Q300" s="4" t="str">
        <x:f>IFERROR(INDEX('Material routes'!$J$6:$J$2205,MATCH(V300,'Material routes'!$A$6:$A$2205,0)),"MISSING ID")</x:f>
        <x:v>Unspecified</x:v>
      </x:c>
      <x:c r="R300" s="4" t="str">
        <x:f>IF(L300="Withheld","Withheld premise",IF(E300="Tool candidate","Reusable prerequisite",IF(K300="Raw entry preparation","Entry-resource preparation",IF(G300="Not applicable",IF(IFERROR(INDEX('Items'!$AI$6:$AI$1005,MATCH(T300,'Items'!$A$6:$A$1005,0)),"MISSING ID")="Finished item","Finished endpoint",IF(IFERROR(INDEX('Items'!$AI$6:$AI$1005,MATCH(T300,'Items'!$A$6:$A$1005,0)),"MISSING ID")="Currency","Currency / no refinement tier","Recovered output / tier not applicable")),IF(OR(IFERROR(INDEX('Crafting recipes'!$H$6:$H$1005,MATCH(J300,'Crafting recipes'!$A$6:$A$1005,0)),"MISSING ID")="Unassigned",G300="Unassigned"),"Tier unresolved",IF(IFERROR(VALUE(RIGHT(G300,1))-VALUE(RIGHT(IFERROR(INDEX('Crafting recipes'!$H$6:$H$1005,MATCH(J300,'Crafting recipes'!$A$6:$A$1005,0)),"MISSING ID"),1)),0)=1,IF(B300=IFERROR(INDEX('Crafting recipes'!$H$6:$H$1005,MATCH(J300,'Crafting recipes'!$A$6:$A$1005,0)),"MISSING ID"),"Advances one material tier","Lower-tier ingredient; route advances one tier"),"Needs tier review"))))))</x:f>
        <x:v>Advances one material tier</x:v>
      </x:c>
      <x:c r="S300" s="4" t="str">
        <x:f>IFERROR(INDEX('Material routes'!$D$6:$D$2205,MATCH(U300,'Material routes'!$A$6:$A$2205,0)),"MISSING ID")</x:f>
        <x:v>proposal.branch.filled_seal</x:v>
      </x:c>
      <x:c r="T300" s="4" t="str">
        <x:f>IFERROR(INDEX('Material routes'!$D$6:$D$2205,MATCH(V300,'Material routes'!$A$6:$A$2205,0)),"MISSING ID")</x:f>
        <x:v>proposal.canister.seal_ring</x:v>
      </x:c>
      <x:c r="U300" s="4" t="str">
        <x:v>design.review.proposal_canister_seal_ring.in.1</x:v>
      </x:c>
      <x:c r="V300" s="4" t="str">
        <x:v>design.review.proposal_canister_seal_ring.out</x:v>
      </x:c>
    </x:row>
    <x:row r="301" ht="115" customHeight="1">
      <x:c r="A301" s="4" t="str">
        <x:f>IFERROR(INDEX('Material routes'!$E$6:$E$2205,MATCH(U301,'Material routes'!$A$6:$A$2205,0)),"MISSING ID")</x:f>
        <x:v>Flexible membrane-bonding compound</x:v>
      </x:c>
      <x:c r="B301" s="4" t="str">
        <x:f>IFERROR(INDEX('Material routes'!$F$6:$F$2205,MATCH(U301,'Material routes'!$A$6:$A$2205,0)),"MISSING ID")</x:f>
        <x:v>T2</x:v>
      </x:c>
      <x:c r="C301" s="4" t="str">
        <x:f>IFERROR(INDEX('Material routes'!$H$6:$H$2205,MATCH(U301,'Material routes'!$A$6:$A$2205,0)),"MISSING ID")</x:f>
        <x:v>Chemical material</x:v>
      </x:c>
      <x:c r="D301" s="4" t="str">
        <x:f>IFERROR(INDEX('Material routes'!$G$6:$G$2205,MATCH(U301,'Material routes'!$A$6:$A$2205,0)),"MISSING ID")</x:f>
        <x:v>Crafting components</x:v>
      </x:c>
      <x:c r="E301" s="4" t="str">
        <x:f>IFERROR(INDEX('Material routes'!$C$6:$C$2205,MATCH(U301,'Material routes'!$A$6:$A$2205,0)),"MISSING ID")</x:f>
        <x:v>Ingredient candidate</x:v>
      </x:c>
      <x:c r="F301" s="4" t="str">
        <x:f>IFERROR(INDEX('Material routes'!$E$6:$E$2205,MATCH(V301,'Material routes'!$A$6:$A$2205,0)),"MISSING ID")</x:f>
        <x:v>Replacement seal ring</x:v>
      </x:c>
      <x:c r="G301" s="4" t="str">
        <x:f>IFERROR(INDEX('Material routes'!$F$6:$F$2205,MATCH(V301,'Material routes'!$A$6:$A$2205,0)),"MISSING ID")</x:f>
        <x:v>T3</x:v>
      </x:c>
      <x:c r="H301" s="4" t="str">
        <x:f>IFERROR(INDEX('Material routes'!$H$6:$H$2205,MATCH(V301,'Material routes'!$A$6:$A$2205,0)),"MISSING ID")</x:f>
        <x:v>Container part</x:v>
      </x:c>
      <x:c r="I301" s="4" t="str">
        <x:f>IFERROR(INDEX('Material routes'!$G$6:$G$2205,MATCH(V301,'Material routes'!$A$6:$A$2205,0)),"MISSING ID")</x:f>
        <x:v>Crafting components</x:v>
      </x:c>
      <x:c r="J301" s="4" t="str">
        <x:f>IFERROR(INDEX('Material routes'!$B$6:$B$2205,MATCH(U301,'Material routes'!$A$6:$A$2205,0)),"MISSING ID")</x:f>
        <x:v>design.review.proposal_canister_seal_ring</x:v>
      </x:c>
      <x:c r="K301" s="4" t="str">
        <x:f>IFERROR(INDEX('Crafting recipes'!$C$6:$C$1005,MATCH(J301,'Crafting recipes'!$A$6:$A$1005,0)),"MISSING ID")</x:f>
        <x:v>Material refinement</x:v>
      </x:c>
      <x:c r="L301" s="4" t="str">
        <x:f>IFERROR(INDEX('Material routes'!$K$6:$K$2205,MATCH(U301,'Material routes'!$A$6:$A$2205,0)),"MISSING ID")</x:f>
        <x:v>Proposal</x:v>
      </x:c>
      <x:c r="M301" s="4" t="str">
        <x:f>IFERROR(INDEX('Material routes'!$M$6:$M$2205,MATCH(U301,'Material routes'!$A$6:$A$2205,0)),"MISSING ID")</x:f>
        <x:v>Partial proposal</x:v>
      </x:c>
      <x:c r="N301" s="4" t="str">
        <x:f>IF(IFERROR(INDEX('Material routes'!$I$6:$I$1005,MATCH(U301,'Material routes'!$A$6:$A$1005,0)),"MISSING ID")=0,"",IFERROR(INDEX('Material routes'!$I$6:$I$1005,MATCH(U301,'Material routes'!$A$6:$A$1005,0)),"MISSING ID"))</x:f>
      </x:c>
      <x:c r="O301" s="4" t="str">
        <x:f>IFERROR(INDEX('Material routes'!$J$6:$J$2205,MATCH(U301,'Material routes'!$A$6:$A$2205,0)),"MISSING ID")</x:f>
        <x:v>Unspecified</x:v>
      </x:c>
      <x:c r="P301" s="4" t="str">
        <x:f>IF(IFERROR(INDEX('Material routes'!$I$6:$I$1005,MATCH(V301,'Material routes'!$A$6:$A$1005,0)),"MISSING ID")=0,"",IFERROR(INDEX('Material routes'!$I$6:$I$1005,MATCH(V301,'Material routes'!$A$6:$A$1005,0)),"MISSING ID"))</x:f>
      </x:c>
      <x:c r="Q301" s="4" t="str">
        <x:f>IFERROR(INDEX('Material routes'!$J$6:$J$2205,MATCH(V301,'Material routes'!$A$6:$A$2205,0)),"MISSING ID")</x:f>
        <x:v>Unspecified</x:v>
      </x:c>
      <x:c r="R301" s="4" t="str">
        <x:f>IF(L301="Withheld","Withheld premise",IF(E301="Tool candidate","Reusable prerequisite",IF(K301="Raw entry preparation","Entry-resource preparation",IF(G301="Not applicable",IF(IFERROR(INDEX('Items'!$AI$6:$AI$1005,MATCH(T301,'Items'!$A$6:$A$1005,0)),"MISSING ID")="Finished item","Finished endpoint",IF(IFERROR(INDEX('Items'!$AI$6:$AI$1005,MATCH(T301,'Items'!$A$6:$A$1005,0)),"MISSING ID")="Currency","Currency / no refinement tier","Recovered output / tier not applicable")),IF(OR(IFERROR(INDEX('Crafting recipes'!$H$6:$H$1005,MATCH(J301,'Crafting recipes'!$A$6:$A$1005,0)),"MISSING ID")="Unassigned",G301="Unassigned"),"Tier unresolved",IF(IFERROR(VALUE(RIGHT(G301,1))-VALUE(RIGHT(IFERROR(INDEX('Crafting recipes'!$H$6:$H$1005,MATCH(J301,'Crafting recipes'!$A$6:$A$1005,0)),"MISSING ID"),1)),0)=1,IF(B301=IFERROR(INDEX('Crafting recipes'!$H$6:$H$1005,MATCH(J301,'Crafting recipes'!$A$6:$A$1005,0)),"MISSING ID"),"Advances one material tier","Lower-tier ingredient; route advances one tier"),"Needs tier review"))))))</x:f>
        <x:v>Advances one material tier</x:v>
      </x:c>
      <x:c r="S301" s="4" t="str">
        <x:f>IFERROR(INDEX('Material routes'!$D$6:$D$2205,MATCH(U301,'Material routes'!$A$6:$A$2205,0)),"MISSING ID")</x:f>
        <x:v>proposal.branch.flex_bond</x:v>
      </x:c>
      <x:c r="T301" s="4" t="str">
        <x:f>IFERROR(INDEX('Material routes'!$D$6:$D$2205,MATCH(V301,'Material routes'!$A$6:$A$2205,0)),"MISSING ID")</x:f>
        <x:v>proposal.canister.seal_ring</x:v>
      </x:c>
      <x:c r="U301" s="4" t="str">
        <x:v>design.review.proposal_canister_seal_ring.in.2</x:v>
      </x:c>
      <x:c r="V301" s="4" t="str">
        <x:v>design.review.proposal_canister_seal_ring.out</x:v>
      </x:c>
    </x:row>
    <x:row r="302" ht="115" customHeight="1">
      <x:c r="A302" s="4" t="str">
        <x:f>IFERROR(INDEX('Material routes'!$E$6:$E$2205,MATCH(U302,'Material routes'!$A$6:$A$2205,0)),"MISSING ID")</x:f>
        <x:v>Steel stock</x:v>
      </x:c>
      <x:c r="B302" s="4" t="str">
        <x:f>IFERROR(INDEX('Material routes'!$F$6:$F$2205,MATCH(U302,'Material routes'!$A$6:$A$2205,0)),"MISSING ID")</x:f>
        <x:v>T2</x:v>
      </x:c>
      <x:c r="C302" s="4" t="str">
        <x:f>IFERROR(INDEX('Material routes'!$H$6:$H$2205,MATCH(U302,'Material routes'!$A$6:$A$2205,0)),"MISSING ID")</x:f>
        <x:v>Processed material</x:v>
      </x:c>
      <x:c r="D302" s="4" t="str">
        <x:f>IFERROR(INDEX('Material routes'!$G$6:$G$2205,MATCH(U302,'Material routes'!$A$6:$A$2205,0)),"MISSING ID")</x:f>
        <x:v>Manufactured stock</x:v>
      </x:c>
      <x:c r="E302" s="4" t="str">
        <x:f>IFERROR(INDEX('Material routes'!$C$6:$C$2205,MATCH(U302,'Material routes'!$A$6:$A$2205,0)),"MISSING ID")</x:f>
        <x:v>Ingredient candidate</x:v>
      </x:c>
      <x:c r="F302" s="4" t="str">
        <x:f>IFERROR(INDEX('Material routes'!$E$6:$E$2205,MATCH(V302,'Material routes'!$A$6:$A$2205,0)),"MISSING ID")</x:f>
        <x:v>Fitted seal seat</x:v>
      </x:c>
      <x:c r="G302" s="4" t="str">
        <x:f>IFERROR(INDEX('Material routes'!$F$6:$F$2205,MATCH(V302,'Material routes'!$A$6:$A$2205,0)),"MISSING ID")</x:f>
        <x:v>T3</x:v>
      </x:c>
      <x:c r="H302" s="4" t="str">
        <x:f>IFERROR(INDEX('Material routes'!$H$6:$H$2205,MATCH(V302,'Material routes'!$A$6:$A$2205,0)),"MISSING ID")</x:f>
        <x:v>Container part</x:v>
      </x:c>
      <x:c r="I302" s="4" t="str">
        <x:f>IFERROR(INDEX('Material routes'!$G$6:$G$2205,MATCH(V302,'Material routes'!$A$6:$A$2205,0)),"MISSING ID")</x:f>
        <x:v>Crafting components</x:v>
      </x:c>
      <x:c r="J302" s="4" t="str">
        <x:f>IFERROR(INDEX('Material routes'!$B$6:$B$2205,MATCH(U302,'Material routes'!$A$6:$A$2205,0)),"MISSING ID")</x:f>
        <x:v>design.review.proposal_canister_seal_seat</x:v>
      </x:c>
      <x:c r="K302" s="4" t="str">
        <x:f>IFERROR(INDEX('Crafting recipes'!$C$6:$C$1005,MATCH(J302,'Crafting recipes'!$A$6:$A$1005,0)),"MISSING ID")</x:f>
        <x:v>Material refinement</x:v>
      </x:c>
      <x:c r="L302" s="4" t="str">
        <x:f>IFERROR(INDEX('Material routes'!$K$6:$K$2205,MATCH(U302,'Material routes'!$A$6:$A$2205,0)),"MISSING ID")</x:f>
        <x:v>Proposal</x:v>
      </x:c>
      <x:c r="M302" s="4" t="str">
        <x:f>IFERROR(INDEX('Material routes'!$M$6:$M$2205,MATCH(U302,'Material routes'!$A$6:$A$2205,0)),"MISSING ID")</x:f>
        <x:v>Partial proposal</x:v>
      </x:c>
      <x:c r="N302" s="4" t="str">
        <x:f>IF(IFERROR(INDEX('Material routes'!$I$6:$I$1005,MATCH(U302,'Material routes'!$A$6:$A$1005,0)),"MISSING ID")=0,"",IFERROR(INDEX('Material routes'!$I$6:$I$1005,MATCH(U302,'Material routes'!$A$6:$A$1005,0)),"MISSING ID"))</x:f>
      </x:c>
      <x:c r="O302" s="4" t="str">
        <x:f>IFERROR(INDEX('Material routes'!$J$6:$J$2205,MATCH(U302,'Material routes'!$A$6:$A$2205,0)),"MISSING ID")</x:f>
        <x:v>Unspecified</x:v>
      </x:c>
      <x:c r="P302" s="4" t="str">
        <x:f>IF(IFERROR(INDEX('Material routes'!$I$6:$I$1005,MATCH(V302,'Material routes'!$A$6:$A$1005,0)),"MISSING ID")=0,"",IFERROR(INDEX('Material routes'!$I$6:$I$1005,MATCH(V302,'Material routes'!$A$6:$A$1005,0)),"MISSING ID"))</x:f>
      </x:c>
      <x:c r="Q302" s="4" t="str">
        <x:f>IFERROR(INDEX('Material routes'!$J$6:$J$2205,MATCH(V302,'Material routes'!$A$6:$A$2205,0)),"MISSING ID")</x:f>
        <x:v>Unspecified</x:v>
      </x:c>
      <x:c r="R302" s="4" t="str">
        <x:f>IF(L302="Withheld","Withheld premise",IF(E302="Tool candidate","Reusable prerequisite",IF(K302="Raw entry preparation","Entry-resource preparation",IF(G302="Not applicable",IF(IFERROR(INDEX('Items'!$AI$6:$AI$1005,MATCH(T302,'Items'!$A$6:$A$1005,0)),"MISSING ID")="Finished item","Finished endpoint",IF(IFERROR(INDEX('Items'!$AI$6:$AI$1005,MATCH(T302,'Items'!$A$6:$A$1005,0)),"MISSING ID")="Currency","Currency / no refinement tier","Recovered output / tier not applicable")),IF(OR(IFERROR(INDEX('Crafting recipes'!$H$6:$H$1005,MATCH(J302,'Crafting recipes'!$A$6:$A$1005,0)),"MISSING ID")="Unassigned",G302="Unassigned"),"Tier unresolved",IF(IFERROR(VALUE(RIGHT(G302,1))-VALUE(RIGHT(IFERROR(INDEX('Crafting recipes'!$H$6:$H$1005,MATCH(J302,'Crafting recipes'!$A$6:$A$1005,0)),"MISSING ID"),1)),0)=1,IF(B302=IFERROR(INDEX('Crafting recipes'!$H$6:$H$1005,MATCH(J302,'Crafting recipes'!$A$6:$A$1005,0)),"MISSING ID"),"Advances one material tier","Lower-tier ingredient; route advances one tier"),"Needs tier review"))))))</x:f>
        <x:v>Advances one material tier</x:v>
      </x:c>
      <x:c r="S302" s="4" t="str">
        <x:f>IFERROR(INDEX('Material routes'!$D$6:$D$2205,MATCH(U302,'Material routes'!$A$6:$A$2205,0)),"MISSING ID")</x:f>
        <x:v>author.metallurgy.steel_stock</x:v>
      </x:c>
      <x:c r="T302" s="4" t="str">
        <x:f>IFERROR(INDEX('Material routes'!$D$6:$D$2205,MATCH(V302,'Material routes'!$A$6:$A$2205,0)),"MISSING ID")</x:f>
        <x:v>proposal.canister.seal_seat</x:v>
      </x:c>
      <x:c r="U302" s="4" t="str">
        <x:v>design.review.proposal_canister_seal_seat.in.1</x:v>
      </x:c>
      <x:c r="V302" s="4" t="str">
        <x:v>design.review.proposal_canister_seal_seat.out</x:v>
      </x:c>
    </x:row>
    <x:row r="303" ht="115" customHeight="1">
      <x:c r="A303" s="4" t="str">
        <x:f>IFERROR(INDEX('Material routes'!$E$6:$E$2205,MATCH(U303,'Material routes'!$A$6:$A$2205,0)),"MISSING ID")</x:f>
        <x:v>Prepared bronze bearing stock</x:v>
      </x:c>
      <x:c r="B303" s="4" t="str">
        <x:f>IFERROR(INDEX('Material routes'!$F$6:$F$2205,MATCH(U303,'Material routes'!$A$6:$A$2205,0)),"MISSING ID")</x:f>
        <x:v>T2</x:v>
      </x:c>
      <x:c r="C303" s="4" t="str">
        <x:f>IFERROR(INDEX('Material routes'!$H$6:$H$2205,MATCH(U303,'Material routes'!$A$6:$A$2205,0)),"MISSING ID")</x:f>
        <x:v>Processed material</x:v>
      </x:c>
      <x:c r="D303" s="4" t="str">
        <x:f>IFERROR(INDEX('Material routes'!$G$6:$G$2205,MATCH(U303,'Material routes'!$A$6:$A$2205,0)),"MISSING ID")</x:f>
        <x:v>Manufactured stock</x:v>
      </x:c>
      <x:c r="E303" s="4" t="str">
        <x:f>IFERROR(INDEX('Material routes'!$C$6:$C$2205,MATCH(U303,'Material routes'!$A$6:$A$2205,0)),"MISSING ID")</x:f>
        <x:v>Ingredient candidate</x:v>
      </x:c>
      <x:c r="F303" s="4" t="str">
        <x:f>IFERROR(INDEX('Material routes'!$E$6:$E$2205,MATCH(V303,'Material routes'!$A$6:$A$2205,0)),"MISSING ID")</x:f>
        <x:v>Fitted seal seat</x:v>
      </x:c>
      <x:c r="G303" s="4" t="str">
        <x:f>IFERROR(INDEX('Material routes'!$F$6:$F$2205,MATCH(V303,'Material routes'!$A$6:$A$2205,0)),"MISSING ID")</x:f>
        <x:v>T3</x:v>
      </x:c>
      <x:c r="H303" s="4" t="str">
        <x:f>IFERROR(INDEX('Material routes'!$H$6:$H$2205,MATCH(V303,'Material routes'!$A$6:$A$2205,0)),"MISSING ID")</x:f>
        <x:v>Container part</x:v>
      </x:c>
      <x:c r="I303" s="4" t="str">
        <x:f>IFERROR(INDEX('Material routes'!$G$6:$G$2205,MATCH(V303,'Material routes'!$A$6:$A$2205,0)),"MISSING ID")</x:f>
        <x:v>Crafting components</x:v>
      </x:c>
      <x:c r="J303" s="4" t="str">
        <x:f>IFERROR(INDEX('Material routes'!$B$6:$B$2205,MATCH(U303,'Material routes'!$A$6:$A$2205,0)),"MISSING ID")</x:f>
        <x:v>design.review.proposal_canister_seal_seat</x:v>
      </x:c>
      <x:c r="K303" s="4" t="str">
        <x:f>IFERROR(INDEX('Crafting recipes'!$C$6:$C$1005,MATCH(J303,'Crafting recipes'!$A$6:$A$1005,0)),"MISSING ID")</x:f>
        <x:v>Material refinement</x:v>
      </x:c>
      <x:c r="L303" s="4" t="str">
        <x:f>IFERROR(INDEX('Material routes'!$K$6:$K$2205,MATCH(U303,'Material routes'!$A$6:$A$2205,0)),"MISSING ID")</x:f>
        <x:v>Proposal</x:v>
      </x:c>
      <x:c r="M303" s="4" t="str">
        <x:f>IFERROR(INDEX('Material routes'!$M$6:$M$2205,MATCH(U303,'Material routes'!$A$6:$A$2205,0)),"MISSING ID")</x:f>
        <x:v>Partial proposal</x:v>
      </x:c>
      <x:c r="N303" s="4" t="str">
        <x:f>IF(IFERROR(INDEX('Material routes'!$I$6:$I$1005,MATCH(U303,'Material routes'!$A$6:$A$1005,0)),"MISSING ID")=0,"",IFERROR(INDEX('Material routes'!$I$6:$I$1005,MATCH(U303,'Material routes'!$A$6:$A$1005,0)),"MISSING ID"))</x:f>
      </x:c>
      <x:c r="O303" s="4" t="str">
        <x:f>IFERROR(INDEX('Material routes'!$J$6:$J$2205,MATCH(U303,'Material routes'!$A$6:$A$2205,0)),"MISSING ID")</x:f>
        <x:v>Unspecified</x:v>
      </x:c>
      <x:c r="P303" s="4" t="str">
        <x:f>IF(IFERROR(INDEX('Material routes'!$I$6:$I$1005,MATCH(V303,'Material routes'!$A$6:$A$1005,0)),"MISSING ID")=0,"",IFERROR(INDEX('Material routes'!$I$6:$I$1005,MATCH(V303,'Material routes'!$A$6:$A$1005,0)),"MISSING ID"))</x:f>
      </x:c>
      <x:c r="Q303" s="4" t="str">
        <x:f>IFERROR(INDEX('Material routes'!$J$6:$J$2205,MATCH(V303,'Material routes'!$A$6:$A$2205,0)),"MISSING ID")</x:f>
        <x:v>Unspecified</x:v>
      </x:c>
      <x:c r="R303" s="4" t="str">
        <x:f>IF(L303="Withheld","Withheld premise",IF(E303="Tool candidate","Reusable prerequisite",IF(K303="Raw entry preparation","Entry-resource preparation",IF(G303="Not applicable",IF(IFERROR(INDEX('Items'!$AI$6:$AI$1005,MATCH(T303,'Items'!$A$6:$A$1005,0)),"MISSING ID")="Finished item","Finished endpoint",IF(IFERROR(INDEX('Items'!$AI$6:$AI$1005,MATCH(T303,'Items'!$A$6:$A$1005,0)),"MISSING ID")="Currency","Currency / no refinement tier","Recovered output / tier not applicable")),IF(OR(IFERROR(INDEX('Crafting recipes'!$H$6:$H$1005,MATCH(J303,'Crafting recipes'!$A$6:$A$1005,0)),"MISSING ID")="Unassigned",G303="Unassigned"),"Tier unresolved",IF(IFERROR(VALUE(RIGHT(G303,1))-VALUE(RIGHT(IFERROR(INDEX('Crafting recipes'!$H$6:$H$1005,MATCH(J303,'Crafting recipes'!$A$6:$A$1005,0)),"MISSING ID"),1)),0)=1,IF(B303=IFERROR(INDEX('Crafting recipes'!$H$6:$H$1005,MATCH(J303,'Crafting recipes'!$A$6:$A$1005,0)),"MISSING ID"),"Advances one material tier","Lower-tier ingredient; route advances one tier"),"Needs tier review"))))))</x:f>
        <x:v>Advances one material tier</x:v>
      </x:c>
      <x:c r="S303" s="4" t="str">
        <x:f>IFERROR(INDEX('Material routes'!$D$6:$D$2205,MATCH(U303,'Material routes'!$A$6:$A$2205,0)),"MISSING ID")</x:f>
        <x:v>proposal.branch.bearing_bronze</x:v>
      </x:c>
      <x:c r="T303" s="4" t="str">
        <x:f>IFERROR(INDEX('Material routes'!$D$6:$D$2205,MATCH(V303,'Material routes'!$A$6:$A$2205,0)),"MISSING ID")</x:f>
        <x:v>proposal.canister.seal_seat</x:v>
      </x:c>
      <x:c r="U303" s="4" t="str">
        <x:v>design.review.proposal_canister_seal_seat.in.2</x:v>
      </x:c>
      <x:c r="V303" s="4" t="str">
        <x:v>design.review.proposal_canister_seal_seat.out</x:v>
      </x:c>
    </x:row>
    <x:row r="304" ht="115" customHeight="1">
      <x:c r="A304" s="4" t="str">
        <x:f>IFERROR(INDEX('Material routes'!$E$6:$E$2205,MATCH(U304,'Material routes'!$A$6:$A$2205,0)),"MISSING ID")</x:f>
        <x:v>Drawn steel tube stock</x:v>
      </x:c>
      <x:c r="B304" s="4" t="str">
        <x:f>IFERROR(INDEX('Material routes'!$F$6:$F$2205,MATCH(U304,'Material routes'!$A$6:$A$2205,0)),"MISSING ID")</x:f>
        <x:v>T3</x:v>
      </x:c>
      <x:c r="C304" s="4" t="str">
        <x:f>IFERROR(INDEX('Material routes'!$H$6:$H$2205,MATCH(U304,'Material routes'!$A$6:$A$2205,0)),"MISSING ID")</x:f>
        <x:v>Processed material</x:v>
      </x:c>
      <x:c r="D304" s="4" t="str">
        <x:f>IFERROR(INDEX('Material routes'!$G$6:$G$2205,MATCH(U304,'Material routes'!$A$6:$A$2205,0)),"MISSING ID")</x:f>
        <x:v>Manufactured stock</x:v>
      </x:c>
      <x:c r="E304" s="4" t="str">
        <x:f>IFERROR(INDEX('Material routes'!$C$6:$C$2205,MATCH(U304,'Material routes'!$A$6:$A$2205,0)),"MISSING ID")</x:f>
        <x:v>Ingredient candidate</x:v>
      </x:c>
      <x:c r="F304" s="4" t="str">
        <x:f>IFERROR(INDEX('Material routes'!$E$6:$E$2205,MATCH(V304,'Material routes'!$A$6:$A$2205,0)),"MISSING ID")</x:f>
        <x:v>Feed-line section</x:v>
      </x:c>
      <x:c r="G304" s="4" t="str">
        <x:f>IFERROR(INDEX('Material routes'!$F$6:$F$2205,MATCH(V304,'Material routes'!$A$6:$A$2205,0)),"MISSING ID")</x:f>
        <x:v>T4</x:v>
      </x:c>
      <x:c r="H304" s="4" t="str">
        <x:f>IFERROR(INDEX('Material routes'!$H$6:$H$2205,MATCH(V304,'Material routes'!$A$6:$A$2205,0)),"MISSING ID")</x:f>
        <x:v>Container part</x:v>
      </x:c>
      <x:c r="I304" s="4" t="str">
        <x:f>IFERROR(INDEX('Material routes'!$G$6:$G$2205,MATCH(V304,'Material routes'!$A$6:$A$2205,0)),"MISSING ID")</x:f>
        <x:v>Crafting components</x:v>
      </x:c>
      <x:c r="J304" s="4" t="str">
        <x:f>IFERROR(INDEX('Material routes'!$B$6:$B$2205,MATCH(U304,'Material routes'!$A$6:$A$2205,0)),"MISSING ID")</x:f>
        <x:v>design.review.proposal_canister_feed_line</x:v>
      </x:c>
      <x:c r="K304" s="4" t="str">
        <x:f>IFERROR(INDEX('Crafting recipes'!$C$6:$C$1005,MATCH(J304,'Crafting recipes'!$A$6:$A$1005,0)),"MISSING ID")</x:f>
        <x:v>Material refinement</x:v>
      </x:c>
      <x:c r="L304" s="4" t="str">
        <x:f>IFERROR(INDEX('Material routes'!$K$6:$K$2205,MATCH(U304,'Material routes'!$A$6:$A$2205,0)),"MISSING ID")</x:f>
        <x:v>Proposal</x:v>
      </x:c>
      <x:c r="M304" s="4" t="str">
        <x:f>IFERROR(INDEX('Material routes'!$M$6:$M$2205,MATCH(U304,'Material routes'!$A$6:$A$2205,0)),"MISSING ID")</x:f>
        <x:v>Partial proposal</x:v>
      </x:c>
      <x:c r="N304" s="4" t="str">
        <x:f>IF(IFERROR(INDEX('Material routes'!$I$6:$I$1005,MATCH(U304,'Material routes'!$A$6:$A$1005,0)),"MISSING ID")=0,"",IFERROR(INDEX('Material routes'!$I$6:$I$1005,MATCH(U304,'Material routes'!$A$6:$A$1005,0)),"MISSING ID"))</x:f>
      </x:c>
      <x:c r="O304" s="4" t="str">
        <x:f>IFERROR(INDEX('Material routes'!$J$6:$J$2205,MATCH(U304,'Material routes'!$A$6:$A$2205,0)),"MISSING ID")</x:f>
        <x:v>Unspecified</x:v>
      </x:c>
      <x:c r="P304" s="4" t="str">
        <x:f>IF(IFERROR(INDEX('Material routes'!$I$6:$I$1005,MATCH(V304,'Material routes'!$A$6:$A$1005,0)),"MISSING ID")=0,"",IFERROR(INDEX('Material routes'!$I$6:$I$1005,MATCH(V304,'Material routes'!$A$6:$A$1005,0)),"MISSING ID"))</x:f>
      </x:c>
      <x:c r="Q304" s="4" t="str">
        <x:f>IFERROR(INDEX('Material routes'!$J$6:$J$2205,MATCH(V304,'Material routes'!$A$6:$A$2205,0)),"MISSING ID")</x:f>
        <x:v>Unspecified</x:v>
      </x:c>
      <x:c r="R304" s="4" t="str">
        <x:f>IF(L304="Withheld","Withheld premise",IF(E304="Tool candidate","Reusable prerequisite",IF(K304="Raw entry preparation","Entry-resource preparation",IF(G304="Not applicable",IF(IFERROR(INDEX('Items'!$AI$6:$AI$1005,MATCH(T304,'Items'!$A$6:$A$1005,0)),"MISSING ID")="Finished item","Finished endpoint",IF(IFERROR(INDEX('Items'!$AI$6:$AI$1005,MATCH(T304,'Items'!$A$6:$A$1005,0)),"MISSING ID")="Currency","Currency / no refinement tier","Recovered output / tier not applicable")),IF(OR(IFERROR(INDEX('Crafting recipes'!$H$6:$H$1005,MATCH(J304,'Crafting recipes'!$A$6:$A$1005,0)),"MISSING ID")="Unassigned",G304="Unassigned"),"Tier unresolved",IF(IFERROR(VALUE(RIGHT(G304,1))-VALUE(RIGHT(IFERROR(INDEX('Crafting recipes'!$H$6:$H$1005,MATCH(J304,'Crafting recipes'!$A$6:$A$1005,0)),"MISSING ID"),1)),0)=1,IF(B304=IFERROR(INDEX('Crafting recipes'!$H$6:$H$1005,MATCH(J304,'Crafting recipes'!$A$6:$A$1005,0)),"MISSING ID"),"Advances one material tier","Lower-tier ingredient; route advances one tier"),"Needs tier review"))))))</x:f>
        <x:v>Advances one material tier</x:v>
      </x:c>
      <x:c r="S304" s="4" t="str">
        <x:f>IFERROR(INDEX('Material routes'!$D$6:$D$2205,MATCH(U304,'Material routes'!$A$6:$A$2205,0)),"MISSING ID")</x:f>
        <x:v>proposal.t3.precision_tube</x:v>
      </x:c>
      <x:c r="T304" s="4" t="str">
        <x:f>IFERROR(INDEX('Material routes'!$D$6:$D$2205,MATCH(V304,'Material routes'!$A$6:$A$2205,0)),"MISSING ID")</x:f>
        <x:v>proposal.canister.feed_line</x:v>
      </x:c>
      <x:c r="U304" s="4" t="str">
        <x:v>design.review.proposal_canister_feed_line.in.1</x:v>
      </x:c>
      <x:c r="V304" s="4" t="str">
        <x:v>design.review.proposal_canister_feed_line.out</x:v>
      </x:c>
    </x:row>
    <x:row r="305" ht="115" customHeight="1">
      <x:c r="A305" s="4" t="str">
        <x:f>IFERROR(INDEX('Material routes'!$E$6:$E$2205,MATCH(U305,'Material routes'!$A$6:$A$2205,0)),"MISSING ID")</x:f>
        <x:v>Husk-reinforced packing stock</x:v>
      </x:c>
      <x:c r="B305" s="4" t="str">
        <x:f>IFERROR(INDEX('Material routes'!$F$6:$F$2205,MATCH(U305,'Material routes'!$A$6:$A$2205,0)),"MISSING ID")</x:f>
        <x:v>T3</x:v>
      </x:c>
      <x:c r="C305" s="4" t="str">
        <x:f>IFERROR(INDEX('Material routes'!$H$6:$H$2205,MATCH(U305,'Material routes'!$A$6:$A$2205,0)),"MISSING ID")</x:f>
        <x:v>Processed material</x:v>
      </x:c>
      <x:c r="D305" s="4" t="str">
        <x:f>IFERROR(INDEX('Material routes'!$G$6:$G$2205,MATCH(U305,'Material routes'!$A$6:$A$2205,0)),"MISSING ID")</x:f>
        <x:v>Manufactured stock</x:v>
      </x:c>
      <x:c r="E305" s="4" t="str">
        <x:f>IFERROR(INDEX('Material routes'!$C$6:$C$2205,MATCH(U305,'Material routes'!$A$6:$A$2205,0)),"MISSING ID")</x:f>
        <x:v>Ingredient candidate</x:v>
      </x:c>
      <x:c r="F305" s="4" t="str">
        <x:f>IFERROR(INDEX('Material routes'!$E$6:$E$2205,MATCH(V305,'Material routes'!$A$6:$A$2205,0)),"MISSING ID")</x:f>
        <x:v>Feed-line section</x:v>
      </x:c>
      <x:c r="G305" s="4" t="str">
        <x:f>IFERROR(INDEX('Material routes'!$F$6:$F$2205,MATCH(V305,'Material routes'!$A$6:$A$2205,0)),"MISSING ID")</x:f>
        <x:v>T4</x:v>
      </x:c>
      <x:c r="H305" s="4" t="str">
        <x:f>IFERROR(INDEX('Material routes'!$H$6:$H$2205,MATCH(V305,'Material routes'!$A$6:$A$2205,0)),"MISSING ID")</x:f>
        <x:v>Container part</x:v>
      </x:c>
      <x:c r="I305" s="4" t="str">
        <x:f>IFERROR(INDEX('Material routes'!$G$6:$G$2205,MATCH(V305,'Material routes'!$A$6:$A$2205,0)),"MISSING ID")</x:f>
        <x:v>Crafting components</x:v>
      </x:c>
      <x:c r="J305" s="4" t="str">
        <x:f>IFERROR(INDEX('Material routes'!$B$6:$B$2205,MATCH(U305,'Material routes'!$A$6:$A$2205,0)),"MISSING ID")</x:f>
        <x:v>design.review.proposal_canister_feed_line</x:v>
      </x:c>
      <x:c r="K305" s="4" t="str">
        <x:f>IFERROR(INDEX('Crafting recipes'!$C$6:$C$1005,MATCH(J305,'Crafting recipes'!$A$6:$A$1005,0)),"MISSING ID")</x:f>
        <x:v>Material refinement</x:v>
      </x:c>
      <x:c r="L305" s="4" t="str">
        <x:f>IFERROR(INDEX('Material routes'!$K$6:$K$2205,MATCH(U305,'Material routes'!$A$6:$A$2205,0)),"MISSING ID")</x:f>
        <x:v>Proposal</x:v>
      </x:c>
      <x:c r="M305" s="4" t="str">
        <x:f>IFERROR(INDEX('Material routes'!$M$6:$M$2205,MATCH(U305,'Material routes'!$A$6:$A$2205,0)),"MISSING ID")</x:f>
        <x:v>Partial proposal</x:v>
      </x:c>
      <x:c r="N305" s="4" t="str">
        <x:f>IF(IFERROR(INDEX('Material routes'!$I$6:$I$1005,MATCH(U305,'Material routes'!$A$6:$A$1005,0)),"MISSING ID")=0,"",IFERROR(INDEX('Material routes'!$I$6:$I$1005,MATCH(U305,'Material routes'!$A$6:$A$1005,0)),"MISSING ID"))</x:f>
      </x:c>
      <x:c r="O305" s="4" t="str">
        <x:f>IFERROR(INDEX('Material routes'!$J$6:$J$2205,MATCH(U305,'Material routes'!$A$6:$A$2205,0)),"MISSING ID")</x:f>
        <x:v>Unspecified</x:v>
      </x:c>
      <x:c r="P305" s="4" t="str">
        <x:f>IF(IFERROR(INDEX('Material routes'!$I$6:$I$1005,MATCH(V305,'Material routes'!$A$6:$A$1005,0)),"MISSING ID")=0,"",IFERROR(INDEX('Material routes'!$I$6:$I$1005,MATCH(V305,'Material routes'!$A$6:$A$1005,0)),"MISSING ID"))</x:f>
      </x:c>
      <x:c r="Q305" s="4" t="str">
        <x:f>IFERROR(INDEX('Material routes'!$J$6:$J$2205,MATCH(V305,'Material routes'!$A$6:$A$2205,0)),"MISSING ID")</x:f>
        <x:v>Unspecified</x:v>
      </x:c>
      <x:c r="R305" s="4" t="str">
        <x:f>IF(L305="Withheld","Withheld premise",IF(E305="Tool candidate","Reusable prerequisite",IF(K305="Raw entry preparation","Entry-resource preparation",IF(G305="Not applicable",IF(IFERROR(INDEX('Items'!$AI$6:$AI$1005,MATCH(T305,'Items'!$A$6:$A$1005,0)),"MISSING ID")="Finished item","Finished endpoint",IF(IFERROR(INDEX('Items'!$AI$6:$AI$1005,MATCH(T305,'Items'!$A$6:$A$1005,0)),"MISSING ID")="Currency","Currency / no refinement tier","Recovered output / tier not applicable")),IF(OR(IFERROR(INDEX('Crafting recipes'!$H$6:$H$1005,MATCH(J305,'Crafting recipes'!$A$6:$A$1005,0)),"MISSING ID")="Unassigned",G305="Unassigned"),"Tier unresolved",IF(IFERROR(VALUE(RIGHT(G305,1))-VALUE(RIGHT(IFERROR(INDEX('Crafting recipes'!$H$6:$H$1005,MATCH(J305,'Crafting recipes'!$A$6:$A$1005,0)),"MISSING ID"),1)),0)=1,IF(B305=IFERROR(INDEX('Crafting recipes'!$H$6:$H$1005,MATCH(J305,'Crafting recipes'!$A$6:$A$1005,0)),"MISSING ID"),"Advances one material tier","Lower-tier ingredient; route advances one tier"),"Needs tier review"))))))</x:f>
        <x:v>Advances one material tier</x:v>
      </x:c>
      <x:c r="S305" s="4" t="str">
        <x:f>IFERROR(INDEX('Material routes'!$D$6:$D$2205,MATCH(U305,'Material routes'!$A$6:$A$2205,0)),"MISSING ID")</x:f>
        <x:v>proposal.t3.packing_stock</x:v>
      </x:c>
      <x:c r="T305" s="4" t="str">
        <x:f>IFERROR(INDEX('Material routes'!$D$6:$D$2205,MATCH(V305,'Material routes'!$A$6:$A$2205,0)),"MISSING ID")</x:f>
        <x:v>proposal.canister.feed_line</x:v>
      </x:c>
      <x:c r="U305" s="4" t="str">
        <x:v>design.review.proposal_canister_feed_line.in.2</x:v>
      </x:c>
      <x:c r="V305" s="4" t="str">
        <x:v>design.review.proposal_canister_feed_line.out</x:v>
      </x:c>
    </x:row>
    <x:row r="306" ht="115" customHeight="1">
      <x:c r="A306" s="4" t="str">
        <x:f>IFERROR(INDEX('Material routes'!$E$6:$E$2205,MATCH(U306,'Material routes'!$A$6:$A$2205,0)),"MISSING ID")</x:f>
        <x:v>Drawn steel tube stock</x:v>
      </x:c>
      <x:c r="B306" s="4" t="str">
        <x:f>IFERROR(INDEX('Material routes'!$F$6:$F$2205,MATCH(U306,'Material routes'!$A$6:$A$2205,0)),"MISSING ID")</x:f>
        <x:v>T3</x:v>
      </x:c>
      <x:c r="C306" s="4" t="str">
        <x:f>IFERROR(INDEX('Material routes'!$H$6:$H$2205,MATCH(U306,'Material routes'!$A$6:$A$2205,0)),"MISSING ID")</x:f>
        <x:v>Processed material</x:v>
      </x:c>
      <x:c r="D306" s="4" t="str">
        <x:f>IFERROR(INDEX('Material routes'!$G$6:$G$2205,MATCH(U306,'Material routes'!$A$6:$A$2205,0)),"MISSING ID")</x:f>
        <x:v>Manufactured stock</x:v>
      </x:c>
      <x:c r="E306" s="4" t="str">
        <x:f>IFERROR(INDEX('Material routes'!$C$6:$C$2205,MATCH(U306,'Material routes'!$A$6:$A$2205,0)),"MISSING ID")</x:f>
        <x:v>Ingredient candidate</x:v>
      </x:c>
      <x:c r="F306" s="4" t="str">
        <x:f>IFERROR(INDEX('Material routes'!$E$6:$E$2205,MATCH(V306,'Material routes'!$A$6:$A$2205,0)),"MISSING ID")</x:f>
        <x:v>Feed-line coupling</x:v>
      </x:c>
      <x:c r="G306" s="4" t="str">
        <x:f>IFERROR(INDEX('Material routes'!$F$6:$F$2205,MATCH(V306,'Material routes'!$A$6:$A$2205,0)),"MISSING ID")</x:f>
        <x:v>T4</x:v>
      </x:c>
      <x:c r="H306" s="4" t="str">
        <x:f>IFERROR(INDEX('Material routes'!$H$6:$H$2205,MATCH(V306,'Material routes'!$A$6:$A$2205,0)),"MISSING ID")</x:f>
        <x:v>Container part</x:v>
      </x:c>
      <x:c r="I306" s="4" t="str">
        <x:f>IFERROR(INDEX('Material routes'!$G$6:$G$2205,MATCH(V306,'Material routes'!$A$6:$A$2205,0)),"MISSING ID")</x:f>
        <x:v>Crafting components</x:v>
      </x:c>
      <x:c r="J306" s="4" t="str">
        <x:f>IFERROR(INDEX('Material routes'!$B$6:$B$2205,MATCH(U306,'Material routes'!$A$6:$A$2205,0)),"MISSING ID")</x:f>
        <x:v>design.review.proposal_canister_coupling</x:v>
      </x:c>
      <x:c r="K306" s="4" t="str">
        <x:f>IFERROR(INDEX('Crafting recipes'!$C$6:$C$1005,MATCH(J306,'Crafting recipes'!$A$6:$A$1005,0)),"MISSING ID")</x:f>
        <x:v>Material refinement</x:v>
      </x:c>
      <x:c r="L306" s="4" t="str">
        <x:f>IFERROR(INDEX('Material routes'!$K$6:$K$2205,MATCH(U306,'Material routes'!$A$6:$A$2205,0)),"MISSING ID")</x:f>
        <x:v>Proposal</x:v>
      </x:c>
      <x:c r="M306" s="4" t="str">
        <x:f>IFERROR(INDEX('Material routes'!$M$6:$M$2205,MATCH(U306,'Material routes'!$A$6:$A$2205,0)),"MISSING ID")</x:f>
        <x:v>Partial proposal</x:v>
      </x:c>
      <x:c r="N306" s="4" t="str">
        <x:f>IF(IFERROR(INDEX('Material routes'!$I$6:$I$1005,MATCH(U306,'Material routes'!$A$6:$A$1005,0)),"MISSING ID")=0,"",IFERROR(INDEX('Material routes'!$I$6:$I$1005,MATCH(U306,'Material routes'!$A$6:$A$1005,0)),"MISSING ID"))</x:f>
      </x:c>
      <x:c r="O306" s="4" t="str">
        <x:f>IFERROR(INDEX('Material routes'!$J$6:$J$2205,MATCH(U306,'Material routes'!$A$6:$A$2205,0)),"MISSING ID")</x:f>
        <x:v>Unspecified</x:v>
      </x:c>
      <x:c r="P306" s="4" t="str">
        <x:f>IF(IFERROR(INDEX('Material routes'!$I$6:$I$1005,MATCH(V306,'Material routes'!$A$6:$A$1005,0)),"MISSING ID")=0,"",IFERROR(INDEX('Material routes'!$I$6:$I$1005,MATCH(V306,'Material routes'!$A$6:$A$1005,0)),"MISSING ID"))</x:f>
      </x:c>
      <x:c r="Q306" s="4" t="str">
        <x:f>IFERROR(INDEX('Material routes'!$J$6:$J$2205,MATCH(V306,'Material routes'!$A$6:$A$2205,0)),"MISSING ID")</x:f>
        <x:v>Unspecified</x:v>
      </x:c>
      <x:c r="R306" s="4" t="str">
        <x:f>IF(L306="Withheld","Withheld premise",IF(E306="Tool candidate","Reusable prerequisite",IF(K306="Raw entry preparation","Entry-resource preparation",IF(G306="Not applicable",IF(IFERROR(INDEX('Items'!$AI$6:$AI$1005,MATCH(T306,'Items'!$A$6:$A$1005,0)),"MISSING ID")="Finished item","Finished endpoint",IF(IFERROR(INDEX('Items'!$AI$6:$AI$1005,MATCH(T306,'Items'!$A$6:$A$1005,0)),"MISSING ID")="Currency","Currency / no refinement tier","Recovered output / tier not applicable")),IF(OR(IFERROR(INDEX('Crafting recipes'!$H$6:$H$1005,MATCH(J306,'Crafting recipes'!$A$6:$A$1005,0)),"MISSING ID")="Unassigned",G306="Unassigned"),"Tier unresolved",IF(IFERROR(VALUE(RIGHT(G306,1))-VALUE(RIGHT(IFERROR(INDEX('Crafting recipes'!$H$6:$H$1005,MATCH(J306,'Crafting recipes'!$A$6:$A$1005,0)),"MISSING ID"),1)),0)=1,IF(B306=IFERROR(INDEX('Crafting recipes'!$H$6:$H$1005,MATCH(J306,'Crafting recipes'!$A$6:$A$1005,0)),"MISSING ID"),"Advances one material tier","Lower-tier ingredient; route advances one tier"),"Needs tier review"))))))</x:f>
        <x:v>Advances one material tier</x:v>
      </x:c>
      <x:c r="S306" s="4" t="str">
        <x:f>IFERROR(INDEX('Material routes'!$D$6:$D$2205,MATCH(U306,'Material routes'!$A$6:$A$2205,0)),"MISSING ID")</x:f>
        <x:v>proposal.t3.precision_tube</x:v>
      </x:c>
      <x:c r="T306" s="4" t="str">
        <x:f>IFERROR(INDEX('Material routes'!$D$6:$D$2205,MATCH(V306,'Material routes'!$A$6:$A$2205,0)),"MISSING ID")</x:f>
        <x:v>proposal.canister.coupling</x:v>
      </x:c>
      <x:c r="U306" s="4" t="str">
        <x:v>design.review.proposal_canister_coupling.in.1</x:v>
      </x:c>
      <x:c r="V306" s="4" t="str">
        <x:v>design.review.proposal_canister_coupling.out</x:v>
      </x:c>
    </x:row>
    <x:row r="307" ht="115" customHeight="1">
      <x:c r="A307" s="4" t="str">
        <x:f>IFERROR(INDEX('Material routes'!$E$6:$E$2205,MATCH(U307,'Material routes'!$A$6:$A$2205,0)),"MISSING ID")</x:f>
        <x:v>Husk-reinforced packing stock</x:v>
      </x:c>
      <x:c r="B307" s="4" t="str">
        <x:f>IFERROR(INDEX('Material routes'!$F$6:$F$2205,MATCH(U307,'Material routes'!$A$6:$A$2205,0)),"MISSING ID")</x:f>
        <x:v>T3</x:v>
      </x:c>
      <x:c r="C307" s="4" t="str">
        <x:f>IFERROR(INDEX('Material routes'!$H$6:$H$2205,MATCH(U307,'Material routes'!$A$6:$A$2205,0)),"MISSING ID")</x:f>
        <x:v>Processed material</x:v>
      </x:c>
      <x:c r="D307" s="4" t="str">
        <x:f>IFERROR(INDEX('Material routes'!$G$6:$G$2205,MATCH(U307,'Material routes'!$A$6:$A$2205,0)),"MISSING ID")</x:f>
        <x:v>Manufactured stock</x:v>
      </x:c>
      <x:c r="E307" s="4" t="str">
        <x:f>IFERROR(INDEX('Material routes'!$C$6:$C$2205,MATCH(U307,'Material routes'!$A$6:$A$2205,0)),"MISSING ID")</x:f>
        <x:v>Ingredient candidate</x:v>
      </x:c>
      <x:c r="F307" s="4" t="str">
        <x:f>IFERROR(INDEX('Material routes'!$E$6:$E$2205,MATCH(V307,'Material routes'!$A$6:$A$2205,0)),"MISSING ID")</x:f>
        <x:v>Feed-line coupling</x:v>
      </x:c>
      <x:c r="G307" s="4" t="str">
        <x:f>IFERROR(INDEX('Material routes'!$F$6:$F$2205,MATCH(V307,'Material routes'!$A$6:$A$2205,0)),"MISSING ID")</x:f>
        <x:v>T4</x:v>
      </x:c>
      <x:c r="H307" s="4" t="str">
        <x:f>IFERROR(INDEX('Material routes'!$H$6:$H$2205,MATCH(V307,'Material routes'!$A$6:$A$2205,0)),"MISSING ID")</x:f>
        <x:v>Container part</x:v>
      </x:c>
      <x:c r="I307" s="4" t="str">
        <x:f>IFERROR(INDEX('Material routes'!$G$6:$G$2205,MATCH(V307,'Material routes'!$A$6:$A$2205,0)),"MISSING ID")</x:f>
        <x:v>Crafting components</x:v>
      </x:c>
      <x:c r="J307" s="4" t="str">
        <x:f>IFERROR(INDEX('Material routes'!$B$6:$B$2205,MATCH(U307,'Material routes'!$A$6:$A$2205,0)),"MISSING ID")</x:f>
        <x:v>design.review.proposal_canister_coupling</x:v>
      </x:c>
      <x:c r="K307" s="4" t="str">
        <x:f>IFERROR(INDEX('Crafting recipes'!$C$6:$C$1005,MATCH(J307,'Crafting recipes'!$A$6:$A$1005,0)),"MISSING ID")</x:f>
        <x:v>Material refinement</x:v>
      </x:c>
      <x:c r="L307" s="4" t="str">
        <x:f>IFERROR(INDEX('Material routes'!$K$6:$K$2205,MATCH(U307,'Material routes'!$A$6:$A$2205,0)),"MISSING ID")</x:f>
        <x:v>Proposal</x:v>
      </x:c>
      <x:c r="M307" s="4" t="str">
        <x:f>IFERROR(INDEX('Material routes'!$M$6:$M$2205,MATCH(U307,'Material routes'!$A$6:$A$2205,0)),"MISSING ID")</x:f>
        <x:v>Partial proposal</x:v>
      </x:c>
      <x:c r="N307" s="4" t="str">
        <x:f>IF(IFERROR(INDEX('Material routes'!$I$6:$I$1005,MATCH(U307,'Material routes'!$A$6:$A$1005,0)),"MISSING ID")=0,"",IFERROR(INDEX('Material routes'!$I$6:$I$1005,MATCH(U307,'Material routes'!$A$6:$A$1005,0)),"MISSING ID"))</x:f>
      </x:c>
      <x:c r="O307" s="4" t="str">
        <x:f>IFERROR(INDEX('Material routes'!$J$6:$J$2205,MATCH(U307,'Material routes'!$A$6:$A$2205,0)),"MISSING ID")</x:f>
        <x:v>Unspecified</x:v>
      </x:c>
      <x:c r="P307" s="4" t="str">
        <x:f>IF(IFERROR(INDEX('Material routes'!$I$6:$I$1005,MATCH(V307,'Material routes'!$A$6:$A$1005,0)),"MISSING ID")=0,"",IFERROR(INDEX('Material routes'!$I$6:$I$1005,MATCH(V307,'Material routes'!$A$6:$A$1005,0)),"MISSING ID"))</x:f>
      </x:c>
      <x:c r="Q307" s="4" t="str">
        <x:f>IFERROR(INDEX('Material routes'!$J$6:$J$2205,MATCH(V307,'Material routes'!$A$6:$A$2205,0)),"MISSING ID")</x:f>
        <x:v>Unspecified</x:v>
      </x:c>
      <x:c r="R307" s="4" t="str">
        <x:f>IF(L307="Withheld","Withheld premise",IF(E307="Tool candidate","Reusable prerequisite",IF(K307="Raw entry preparation","Entry-resource preparation",IF(G307="Not applicable",IF(IFERROR(INDEX('Items'!$AI$6:$AI$1005,MATCH(T307,'Items'!$A$6:$A$1005,0)),"MISSING ID")="Finished item","Finished endpoint",IF(IFERROR(INDEX('Items'!$AI$6:$AI$1005,MATCH(T307,'Items'!$A$6:$A$1005,0)),"MISSING ID")="Currency","Currency / no refinement tier","Recovered output / tier not applicable")),IF(OR(IFERROR(INDEX('Crafting recipes'!$H$6:$H$1005,MATCH(J307,'Crafting recipes'!$A$6:$A$1005,0)),"MISSING ID")="Unassigned",G307="Unassigned"),"Tier unresolved",IF(IFERROR(VALUE(RIGHT(G307,1))-VALUE(RIGHT(IFERROR(INDEX('Crafting recipes'!$H$6:$H$1005,MATCH(J307,'Crafting recipes'!$A$6:$A$1005,0)),"MISSING ID"),1)),0)=1,IF(B307=IFERROR(INDEX('Crafting recipes'!$H$6:$H$1005,MATCH(J307,'Crafting recipes'!$A$6:$A$1005,0)),"MISSING ID"),"Advances one material tier","Lower-tier ingredient; route advances one tier"),"Needs tier review"))))))</x:f>
        <x:v>Advances one material tier</x:v>
      </x:c>
      <x:c r="S307" s="4" t="str">
        <x:f>IFERROR(INDEX('Material routes'!$D$6:$D$2205,MATCH(U307,'Material routes'!$A$6:$A$2205,0)),"MISSING ID")</x:f>
        <x:v>proposal.t3.packing_stock</x:v>
      </x:c>
      <x:c r="T307" s="4" t="str">
        <x:f>IFERROR(INDEX('Material routes'!$D$6:$D$2205,MATCH(V307,'Material routes'!$A$6:$A$2205,0)),"MISSING ID")</x:f>
        <x:v>proposal.canister.coupling</x:v>
      </x:c>
      <x:c r="U307" s="4" t="str">
        <x:v>design.review.proposal_canister_coupling.in.2</x:v>
      </x:c>
      <x:c r="V307" s="4" t="str">
        <x:v>design.review.proposal_canister_coupling.out</x:v>
      </x:c>
    </x:row>
    <x:row r="308" ht="115" customHeight="1">
      <x:c r="A308" s="4" t="str">
        <x:f>IFERROR(INDEX('Material routes'!$E$6:$E$2205,MATCH(U308,'Material routes'!$A$6:$A$2205,0)),"MISSING ID")</x:f>
        <x:v>Prepared bronze bearing stock</x:v>
      </x:c>
      <x:c r="B308" s="4" t="str">
        <x:f>IFERROR(INDEX('Material routes'!$F$6:$F$2205,MATCH(U308,'Material routes'!$A$6:$A$2205,0)),"MISSING ID")</x:f>
        <x:v>T2</x:v>
      </x:c>
      <x:c r="C308" s="4" t="str">
        <x:f>IFERROR(INDEX('Material routes'!$H$6:$H$2205,MATCH(U308,'Material routes'!$A$6:$A$2205,0)),"MISSING ID")</x:f>
        <x:v>Processed material</x:v>
      </x:c>
      <x:c r="D308" s="4" t="str">
        <x:f>IFERROR(INDEX('Material routes'!$G$6:$G$2205,MATCH(U308,'Material routes'!$A$6:$A$2205,0)),"MISSING ID")</x:f>
        <x:v>Manufactured stock</x:v>
      </x:c>
      <x:c r="E308" s="4" t="str">
        <x:f>IFERROR(INDEX('Material routes'!$C$6:$C$2205,MATCH(U308,'Material routes'!$A$6:$A$2205,0)),"MISSING ID")</x:f>
        <x:v>Ingredient candidate</x:v>
      </x:c>
      <x:c r="F308" s="4" t="str">
        <x:f>IFERROR(INDEX('Material routes'!$E$6:$E$2205,MATCH(V308,'Material routes'!$A$6:$A$2205,0)),"MISSING ID")</x:f>
        <x:v>Feed-line coupling</x:v>
      </x:c>
      <x:c r="G308" s="4" t="str">
        <x:f>IFERROR(INDEX('Material routes'!$F$6:$F$2205,MATCH(V308,'Material routes'!$A$6:$A$2205,0)),"MISSING ID")</x:f>
        <x:v>T4</x:v>
      </x:c>
      <x:c r="H308" s="4" t="str">
        <x:f>IFERROR(INDEX('Material routes'!$H$6:$H$2205,MATCH(V308,'Material routes'!$A$6:$A$2205,0)),"MISSING ID")</x:f>
        <x:v>Container part</x:v>
      </x:c>
      <x:c r="I308" s="4" t="str">
        <x:f>IFERROR(INDEX('Material routes'!$G$6:$G$2205,MATCH(V308,'Material routes'!$A$6:$A$2205,0)),"MISSING ID")</x:f>
        <x:v>Crafting components</x:v>
      </x:c>
      <x:c r="J308" s="4" t="str">
        <x:f>IFERROR(INDEX('Material routes'!$B$6:$B$2205,MATCH(U308,'Material routes'!$A$6:$A$2205,0)),"MISSING ID")</x:f>
        <x:v>design.review.proposal_canister_coupling</x:v>
      </x:c>
      <x:c r="K308" s="4" t="str">
        <x:f>IFERROR(INDEX('Crafting recipes'!$C$6:$C$1005,MATCH(J308,'Crafting recipes'!$A$6:$A$1005,0)),"MISSING ID")</x:f>
        <x:v>Material refinement</x:v>
      </x:c>
      <x:c r="L308" s="4" t="str">
        <x:f>IFERROR(INDEX('Material routes'!$K$6:$K$2205,MATCH(U308,'Material routes'!$A$6:$A$2205,0)),"MISSING ID")</x:f>
        <x:v>Proposal</x:v>
      </x:c>
      <x:c r="M308" s="4" t="str">
        <x:f>IFERROR(INDEX('Material routes'!$M$6:$M$2205,MATCH(U308,'Material routes'!$A$6:$A$2205,0)),"MISSING ID")</x:f>
        <x:v>Partial proposal</x:v>
      </x:c>
      <x:c r="N308" s="4" t="str">
        <x:f>IF(IFERROR(INDEX('Material routes'!$I$6:$I$1005,MATCH(U308,'Material routes'!$A$6:$A$1005,0)),"MISSING ID")=0,"",IFERROR(INDEX('Material routes'!$I$6:$I$1005,MATCH(U308,'Material routes'!$A$6:$A$1005,0)),"MISSING ID"))</x:f>
      </x:c>
      <x:c r="O308" s="4" t="str">
        <x:f>IFERROR(INDEX('Material routes'!$J$6:$J$2205,MATCH(U308,'Material routes'!$A$6:$A$2205,0)),"MISSING ID")</x:f>
        <x:v>Unspecified</x:v>
      </x:c>
      <x:c r="P308" s="4" t="str">
        <x:f>IF(IFERROR(INDEX('Material routes'!$I$6:$I$1005,MATCH(V308,'Material routes'!$A$6:$A$1005,0)),"MISSING ID")=0,"",IFERROR(INDEX('Material routes'!$I$6:$I$1005,MATCH(V308,'Material routes'!$A$6:$A$1005,0)),"MISSING ID"))</x:f>
      </x:c>
      <x:c r="Q308" s="4" t="str">
        <x:f>IFERROR(INDEX('Material routes'!$J$6:$J$2205,MATCH(V308,'Material routes'!$A$6:$A$2205,0)),"MISSING ID")</x:f>
        <x:v>Unspecified</x:v>
      </x:c>
      <x:c r="R308" s="4" t="str">
        <x:f>IF(L308="Withheld","Withheld premise",IF(E308="Tool candidate","Reusable prerequisite",IF(K308="Raw entry preparation","Entry-resource preparation",IF(G308="Not applicable",IF(IFERROR(INDEX('Items'!$AI$6:$AI$1005,MATCH(T308,'Items'!$A$6:$A$1005,0)),"MISSING ID")="Finished item","Finished endpoint",IF(IFERROR(INDEX('Items'!$AI$6:$AI$1005,MATCH(T308,'Items'!$A$6:$A$1005,0)),"MISSING ID")="Currency","Currency / no refinement tier","Recovered output / tier not applicable")),IF(OR(IFERROR(INDEX('Crafting recipes'!$H$6:$H$1005,MATCH(J308,'Crafting recipes'!$A$6:$A$1005,0)),"MISSING ID")="Unassigned",G308="Unassigned"),"Tier unresolved",IF(IFERROR(VALUE(RIGHT(G308,1))-VALUE(RIGHT(IFERROR(INDEX('Crafting recipes'!$H$6:$H$1005,MATCH(J308,'Crafting recipes'!$A$6:$A$1005,0)),"MISSING ID"),1)),0)=1,IF(B308=IFERROR(INDEX('Crafting recipes'!$H$6:$H$1005,MATCH(J308,'Crafting recipes'!$A$6:$A$1005,0)),"MISSING ID"),"Advances one material tier","Lower-tier ingredient; route advances one tier"),"Needs tier review"))))))</x:f>
        <x:v>Lower-tier ingredient; route advances one tier</x:v>
      </x:c>
      <x:c r="S308" s="4" t="str">
        <x:f>IFERROR(INDEX('Material routes'!$D$6:$D$2205,MATCH(U308,'Material routes'!$A$6:$A$2205,0)),"MISSING ID")</x:f>
        <x:v>proposal.branch.bearing_bronze</x:v>
      </x:c>
      <x:c r="T308" s="4" t="str">
        <x:f>IFERROR(INDEX('Material routes'!$D$6:$D$2205,MATCH(V308,'Material routes'!$A$6:$A$2205,0)),"MISSING ID")</x:f>
        <x:v>proposal.canister.coupling</x:v>
      </x:c>
      <x:c r="U308" s="4" t="str">
        <x:v>design.review.proposal_canister_coupling.in.3</x:v>
      </x:c>
      <x:c r="V308" s="4" t="str">
        <x:v>design.review.proposal_canister_coupling.out</x:v>
      </x:c>
    </x:row>
    <x:row r="309" ht="115" customHeight="1">
      <x:c r="A309" s="4" t="str">
        <x:f>IFERROR(INDEX('Material routes'!$E$6:$E$2205,MATCH(U309,'Material routes'!$A$6:$A$2205,0)),"MISSING ID")</x:f>
        <x:v>Insulating ceramic blanks</x:v>
      </x:c>
      <x:c r="B309" s="4" t="str">
        <x:f>IFERROR(INDEX('Material routes'!$F$6:$F$2205,MATCH(U309,'Material routes'!$A$6:$A$2205,0)),"MISSING ID")</x:f>
        <x:v>T2</x:v>
      </x:c>
      <x:c r="C309" s="4" t="str">
        <x:f>IFERROR(INDEX('Material routes'!$H$6:$H$2205,MATCH(U309,'Material routes'!$A$6:$A$2205,0)),"MISSING ID")</x:f>
        <x:v>Processed material</x:v>
      </x:c>
      <x:c r="D309" s="4" t="str">
        <x:f>IFERROR(INDEX('Material routes'!$G$6:$G$2205,MATCH(U309,'Material routes'!$A$6:$A$2205,0)),"MISSING ID")</x:f>
        <x:v>Manufactured stock</x:v>
      </x:c>
      <x:c r="E309" s="4" t="str">
        <x:f>IFERROR(INDEX('Material routes'!$C$6:$C$2205,MATCH(U309,'Material routes'!$A$6:$A$2205,0)),"MISSING ID")</x:f>
        <x:v>Ingredient candidate</x:v>
      </x:c>
      <x:c r="F309" s="4" t="str">
        <x:f>IFERROR(INDEX('Material routes'!$E$6:$E$2205,MATCH(V309,'Material routes'!$A$6:$A$2205,0)),"MISSING ID")</x:f>
        <x:v>Canister mouthpiece interface</x:v>
      </x:c>
      <x:c r="G309" s="4" t="str">
        <x:f>IFERROR(INDEX('Material routes'!$F$6:$F$2205,MATCH(V309,'Material routes'!$A$6:$A$2205,0)),"MISSING ID")</x:f>
        <x:v>T3</x:v>
      </x:c>
      <x:c r="H309" s="4" t="str">
        <x:f>IFERROR(INDEX('Material routes'!$H$6:$H$2205,MATCH(V309,'Material routes'!$A$6:$A$2205,0)),"MISSING ID")</x:f>
        <x:v>Container part</x:v>
      </x:c>
      <x:c r="I309" s="4" t="str">
        <x:f>IFERROR(INDEX('Material routes'!$G$6:$G$2205,MATCH(V309,'Material routes'!$A$6:$A$2205,0)),"MISSING ID")</x:f>
        <x:v>Crafting components</x:v>
      </x:c>
      <x:c r="J309" s="4" t="str">
        <x:f>IFERROR(INDEX('Material routes'!$B$6:$B$2205,MATCH(U309,'Material routes'!$A$6:$A$2205,0)),"MISSING ID")</x:f>
        <x:v>design.review.proposal_canister_mouthpiece</x:v>
      </x:c>
      <x:c r="K309" s="4" t="str">
        <x:f>IFERROR(INDEX('Crafting recipes'!$C$6:$C$1005,MATCH(J309,'Crafting recipes'!$A$6:$A$1005,0)),"MISSING ID")</x:f>
        <x:v>Material refinement</x:v>
      </x:c>
      <x:c r="L309" s="4" t="str">
        <x:f>IFERROR(INDEX('Material routes'!$K$6:$K$2205,MATCH(U309,'Material routes'!$A$6:$A$2205,0)),"MISSING ID")</x:f>
        <x:v>Proposal</x:v>
      </x:c>
      <x:c r="M309" s="4" t="str">
        <x:f>IFERROR(INDEX('Material routes'!$M$6:$M$2205,MATCH(U309,'Material routes'!$A$6:$A$2205,0)),"MISSING ID")</x:f>
        <x:v>Partial proposal</x:v>
      </x:c>
      <x:c r="N309" s="4" t="str">
        <x:f>IF(IFERROR(INDEX('Material routes'!$I$6:$I$1005,MATCH(U309,'Material routes'!$A$6:$A$1005,0)),"MISSING ID")=0,"",IFERROR(INDEX('Material routes'!$I$6:$I$1005,MATCH(U309,'Material routes'!$A$6:$A$1005,0)),"MISSING ID"))</x:f>
      </x:c>
      <x:c r="O309" s="4" t="str">
        <x:f>IFERROR(INDEX('Material routes'!$J$6:$J$2205,MATCH(U309,'Material routes'!$A$6:$A$2205,0)),"MISSING ID")</x:f>
        <x:v>Unspecified</x:v>
      </x:c>
      <x:c r="P309" s="4" t="str">
        <x:f>IF(IFERROR(INDEX('Material routes'!$I$6:$I$1005,MATCH(V309,'Material routes'!$A$6:$A$1005,0)),"MISSING ID")=0,"",IFERROR(INDEX('Material routes'!$I$6:$I$1005,MATCH(V309,'Material routes'!$A$6:$A$1005,0)),"MISSING ID"))</x:f>
      </x:c>
      <x:c r="Q309" s="4" t="str">
        <x:f>IFERROR(INDEX('Material routes'!$J$6:$J$2205,MATCH(V309,'Material routes'!$A$6:$A$2205,0)),"MISSING ID")</x:f>
        <x:v>Unspecified</x:v>
      </x:c>
      <x:c r="R309" s="4" t="str">
        <x:f>IF(L309="Withheld","Withheld premise",IF(E309="Tool candidate","Reusable prerequisite",IF(K309="Raw entry preparation","Entry-resource preparation",IF(G309="Not applicable",IF(IFERROR(INDEX('Items'!$AI$6:$AI$1005,MATCH(T309,'Items'!$A$6:$A$1005,0)),"MISSING ID")="Finished item","Finished endpoint",IF(IFERROR(INDEX('Items'!$AI$6:$AI$1005,MATCH(T309,'Items'!$A$6:$A$1005,0)),"MISSING ID")="Currency","Currency / no refinement tier","Recovered output / tier not applicable")),IF(OR(IFERROR(INDEX('Crafting recipes'!$H$6:$H$1005,MATCH(J309,'Crafting recipes'!$A$6:$A$1005,0)),"MISSING ID")="Unassigned",G309="Unassigned"),"Tier unresolved",IF(IFERROR(VALUE(RIGHT(G309,1))-VALUE(RIGHT(IFERROR(INDEX('Crafting recipes'!$H$6:$H$1005,MATCH(J309,'Crafting recipes'!$A$6:$A$1005,0)),"MISSING ID"),1)),0)=1,IF(B309=IFERROR(INDEX('Crafting recipes'!$H$6:$H$1005,MATCH(J309,'Crafting recipes'!$A$6:$A$1005,0)),"MISSING ID"),"Advances one material tier","Lower-tier ingredient; route advances one tier"),"Needs tier review"))))))</x:f>
        <x:v>Advances one material tier</x:v>
      </x:c>
      <x:c r="S309" s="4" t="str">
        <x:f>IFERROR(INDEX('Material routes'!$D$6:$D$2205,MATCH(U309,'Material routes'!$A$6:$A$2205,0)),"MISSING ID")</x:f>
        <x:v>proposal.natural.ceramic</x:v>
      </x:c>
      <x:c r="T309" s="4" t="str">
        <x:f>IFERROR(INDEX('Material routes'!$D$6:$D$2205,MATCH(V309,'Material routes'!$A$6:$A$2205,0)),"MISSING ID")</x:f>
        <x:v>proposal.canister.mouthpiece</x:v>
      </x:c>
      <x:c r="U309" s="4" t="str">
        <x:v>design.review.proposal_canister_mouthpiece.in.1</x:v>
      </x:c>
      <x:c r="V309" s="4" t="str">
        <x:v>design.review.proposal_canister_mouthpiece.out</x:v>
      </x:c>
    </x:row>
    <x:row r="310" ht="115" customHeight="1">
      <x:c r="A310" s="4" t="str">
        <x:f>IFERROR(INDEX('Material routes'!$E$6:$E$2205,MATCH(U310,'Material routes'!$A$6:$A$2205,0)),"MISSING ID")</x:f>
        <x:v>Filled faunal seal compound</x:v>
      </x:c>
      <x:c r="B310" s="4" t="str">
        <x:f>IFERROR(INDEX('Material routes'!$F$6:$F$2205,MATCH(U310,'Material routes'!$A$6:$A$2205,0)),"MISSING ID")</x:f>
        <x:v>T2</x:v>
      </x:c>
      <x:c r="C310" s="4" t="str">
        <x:f>IFERROR(INDEX('Material routes'!$H$6:$H$2205,MATCH(U310,'Material routes'!$A$6:$A$2205,0)),"MISSING ID")</x:f>
        <x:v>Chemical material</x:v>
      </x:c>
      <x:c r="D310" s="4" t="str">
        <x:f>IFERROR(INDEX('Material routes'!$G$6:$G$2205,MATCH(U310,'Material routes'!$A$6:$A$2205,0)),"MISSING ID")</x:f>
        <x:v>Crafting components</x:v>
      </x:c>
      <x:c r="E310" s="4" t="str">
        <x:f>IFERROR(INDEX('Material routes'!$C$6:$C$2205,MATCH(U310,'Material routes'!$A$6:$A$2205,0)),"MISSING ID")</x:f>
        <x:v>Ingredient candidate</x:v>
      </x:c>
      <x:c r="F310" s="4" t="str">
        <x:f>IFERROR(INDEX('Material routes'!$E$6:$E$2205,MATCH(V310,'Material routes'!$A$6:$A$2205,0)),"MISSING ID")</x:f>
        <x:v>Canister mouthpiece interface</x:v>
      </x:c>
      <x:c r="G310" s="4" t="str">
        <x:f>IFERROR(INDEX('Material routes'!$F$6:$F$2205,MATCH(V310,'Material routes'!$A$6:$A$2205,0)),"MISSING ID")</x:f>
        <x:v>T3</x:v>
      </x:c>
      <x:c r="H310" s="4" t="str">
        <x:f>IFERROR(INDEX('Material routes'!$H$6:$H$2205,MATCH(V310,'Material routes'!$A$6:$A$2205,0)),"MISSING ID")</x:f>
        <x:v>Container part</x:v>
      </x:c>
      <x:c r="I310" s="4" t="str">
        <x:f>IFERROR(INDEX('Material routes'!$G$6:$G$2205,MATCH(V310,'Material routes'!$A$6:$A$2205,0)),"MISSING ID")</x:f>
        <x:v>Crafting components</x:v>
      </x:c>
      <x:c r="J310" s="4" t="str">
        <x:f>IFERROR(INDEX('Material routes'!$B$6:$B$2205,MATCH(U310,'Material routes'!$A$6:$A$2205,0)),"MISSING ID")</x:f>
        <x:v>design.review.proposal_canister_mouthpiece</x:v>
      </x:c>
      <x:c r="K310" s="4" t="str">
        <x:f>IFERROR(INDEX('Crafting recipes'!$C$6:$C$1005,MATCH(J310,'Crafting recipes'!$A$6:$A$1005,0)),"MISSING ID")</x:f>
        <x:v>Material refinement</x:v>
      </x:c>
      <x:c r="L310" s="4" t="str">
        <x:f>IFERROR(INDEX('Material routes'!$K$6:$K$2205,MATCH(U310,'Material routes'!$A$6:$A$2205,0)),"MISSING ID")</x:f>
        <x:v>Proposal</x:v>
      </x:c>
      <x:c r="M310" s="4" t="str">
        <x:f>IFERROR(INDEX('Material routes'!$M$6:$M$2205,MATCH(U310,'Material routes'!$A$6:$A$2205,0)),"MISSING ID")</x:f>
        <x:v>Partial proposal</x:v>
      </x:c>
      <x:c r="N310" s="4" t="str">
        <x:f>IF(IFERROR(INDEX('Material routes'!$I$6:$I$1005,MATCH(U310,'Material routes'!$A$6:$A$1005,0)),"MISSING ID")=0,"",IFERROR(INDEX('Material routes'!$I$6:$I$1005,MATCH(U310,'Material routes'!$A$6:$A$1005,0)),"MISSING ID"))</x:f>
      </x:c>
      <x:c r="O310" s="4" t="str">
        <x:f>IFERROR(INDEX('Material routes'!$J$6:$J$2205,MATCH(U310,'Material routes'!$A$6:$A$2205,0)),"MISSING ID")</x:f>
        <x:v>Unspecified</x:v>
      </x:c>
      <x:c r="P310" s="4" t="str">
        <x:f>IF(IFERROR(INDEX('Material routes'!$I$6:$I$1005,MATCH(V310,'Material routes'!$A$6:$A$1005,0)),"MISSING ID")=0,"",IFERROR(INDEX('Material routes'!$I$6:$I$1005,MATCH(V310,'Material routes'!$A$6:$A$1005,0)),"MISSING ID"))</x:f>
      </x:c>
      <x:c r="Q310" s="4" t="str">
        <x:f>IFERROR(INDEX('Material routes'!$J$6:$J$2205,MATCH(V310,'Material routes'!$A$6:$A$2205,0)),"MISSING ID")</x:f>
        <x:v>Unspecified</x:v>
      </x:c>
      <x:c r="R310" s="4" t="str">
        <x:f>IF(L310="Withheld","Withheld premise",IF(E310="Tool candidate","Reusable prerequisite",IF(K310="Raw entry preparation","Entry-resource preparation",IF(G310="Not applicable",IF(IFERROR(INDEX('Items'!$AI$6:$AI$1005,MATCH(T310,'Items'!$A$6:$A$1005,0)),"MISSING ID")="Finished item","Finished endpoint",IF(IFERROR(INDEX('Items'!$AI$6:$AI$1005,MATCH(T310,'Items'!$A$6:$A$1005,0)),"MISSING ID")="Currency","Currency / no refinement tier","Recovered output / tier not applicable")),IF(OR(IFERROR(INDEX('Crafting recipes'!$H$6:$H$1005,MATCH(J310,'Crafting recipes'!$A$6:$A$1005,0)),"MISSING ID")="Unassigned",G310="Unassigned"),"Tier unresolved",IF(IFERROR(VALUE(RIGHT(G310,1))-VALUE(RIGHT(IFERROR(INDEX('Crafting recipes'!$H$6:$H$1005,MATCH(J310,'Crafting recipes'!$A$6:$A$1005,0)),"MISSING ID"),1)),0)=1,IF(B310=IFERROR(INDEX('Crafting recipes'!$H$6:$H$1005,MATCH(J310,'Crafting recipes'!$A$6:$A$1005,0)),"MISSING ID"),"Advances one material tier","Lower-tier ingredient; route advances one tier"),"Needs tier review"))))))</x:f>
        <x:v>Advances one material tier</x:v>
      </x:c>
      <x:c r="S310" s="4" t="str">
        <x:f>IFERROR(INDEX('Material routes'!$D$6:$D$2205,MATCH(U310,'Material routes'!$A$6:$A$2205,0)),"MISSING ID")</x:f>
        <x:v>proposal.branch.filled_seal</x:v>
      </x:c>
      <x:c r="T310" s="4" t="str">
        <x:f>IFERROR(INDEX('Material routes'!$D$6:$D$2205,MATCH(V310,'Material routes'!$A$6:$A$2205,0)),"MISSING ID")</x:f>
        <x:v>proposal.canister.mouthpiece</x:v>
      </x:c>
      <x:c r="U310" s="4" t="str">
        <x:v>design.review.proposal_canister_mouthpiece.in.2</x:v>
      </x:c>
      <x:c r="V310" s="4" t="str">
        <x:v>design.review.proposal_canister_mouthpiece.out</x:v>
      </x:c>
    </x:row>
    <x:row r="311" ht="115" customHeight="1">
      <x:c r="A311" s="4" t="str">
        <x:f>IFERROR(INDEX('Material routes'!$E$6:$E$2205,MATCH(U311,'Material routes'!$A$6:$A$2205,0)),"MISSING ID")</x:f>
        <x:v>Selected viewing-glass stock</x:v>
      </x:c>
      <x:c r="B311" s="4" t="str">
        <x:f>IFERROR(INDEX('Material routes'!$F$6:$F$2205,MATCH(U311,'Material routes'!$A$6:$A$2205,0)),"MISSING ID")</x:f>
        <x:v>T2</x:v>
      </x:c>
      <x:c r="C311" s="4" t="str">
        <x:f>IFERROR(INDEX('Material routes'!$H$6:$H$2205,MATCH(U311,'Material routes'!$A$6:$A$2205,0)),"MISSING ID")</x:f>
        <x:v>Processed material</x:v>
      </x:c>
      <x:c r="D311" s="4" t="str">
        <x:f>IFERROR(INDEX('Material routes'!$G$6:$G$2205,MATCH(U311,'Material routes'!$A$6:$A$2205,0)),"MISSING ID")</x:f>
        <x:v>Manufactured stock</x:v>
      </x:c>
      <x:c r="E311" s="4" t="str">
        <x:f>IFERROR(INDEX('Material routes'!$C$6:$C$2205,MATCH(U311,'Material routes'!$A$6:$A$2205,0)),"MISSING ID")</x:f>
        <x:v>Ingredient candidate</x:v>
      </x:c>
      <x:c r="F311" s="4" t="str">
        <x:f>IFERROR(INDEX('Material routes'!$E$6:$E$2205,MATCH(V311,'Material routes'!$A$6:$A$2205,0)),"MISSING ID")</x:f>
        <x:v>Canister viewing-port insert</x:v>
      </x:c>
      <x:c r="G311" s="4" t="str">
        <x:f>IFERROR(INDEX('Material routes'!$F$6:$F$2205,MATCH(V311,'Material routes'!$A$6:$A$2205,0)),"MISSING ID")</x:f>
        <x:v>T3</x:v>
      </x:c>
      <x:c r="H311" s="4" t="str">
        <x:f>IFERROR(INDEX('Material routes'!$H$6:$H$2205,MATCH(V311,'Material routes'!$A$6:$A$2205,0)),"MISSING ID")</x:f>
        <x:v>Container part</x:v>
      </x:c>
      <x:c r="I311" s="4" t="str">
        <x:f>IFERROR(INDEX('Material routes'!$G$6:$G$2205,MATCH(V311,'Material routes'!$A$6:$A$2205,0)),"MISSING ID")</x:f>
        <x:v>Crafting components</x:v>
      </x:c>
      <x:c r="J311" s="4" t="str">
        <x:f>IFERROR(INDEX('Material routes'!$B$6:$B$2205,MATCH(U311,'Material routes'!$A$6:$A$2205,0)),"MISSING ID")</x:f>
        <x:v>design.review.proposal_canister_window</x:v>
      </x:c>
      <x:c r="K311" s="4" t="str">
        <x:f>IFERROR(INDEX('Crafting recipes'!$C$6:$C$1005,MATCH(J311,'Crafting recipes'!$A$6:$A$1005,0)),"MISSING ID")</x:f>
        <x:v>Material refinement</x:v>
      </x:c>
      <x:c r="L311" s="4" t="str">
        <x:f>IFERROR(INDEX('Material routes'!$K$6:$K$2205,MATCH(U311,'Material routes'!$A$6:$A$2205,0)),"MISSING ID")</x:f>
        <x:v>Proposal</x:v>
      </x:c>
      <x:c r="M311" s="4" t="str">
        <x:f>IFERROR(INDEX('Material routes'!$M$6:$M$2205,MATCH(U311,'Material routes'!$A$6:$A$2205,0)),"MISSING ID")</x:f>
        <x:v>Partial proposal</x:v>
      </x:c>
      <x:c r="N311" s="4" t="str">
        <x:f>IF(IFERROR(INDEX('Material routes'!$I$6:$I$1005,MATCH(U311,'Material routes'!$A$6:$A$1005,0)),"MISSING ID")=0,"",IFERROR(INDEX('Material routes'!$I$6:$I$1005,MATCH(U311,'Material routes'!$A$6:$A$1005,0)),"MISSING ID"))</x:f>
      </x:c>
      <x:c r="O311" s="4" t="str">
        <x:f>IFERROR(INDEX('Material routes'!$J$6:$J$2205,MATCH(U311,'Material routes'!$A$6:$A$2205,0)),"MISSING ID")</x:f>
        <x:v>Unspecified</x:v>
      </x:c>
      <x:c r="P311" s="4" t="str">
        <x:f>IF(IFERROR(INDEX('Material routes'!$I$6:$I$1005,MATCH(V311,'Material routes'!$A$6:$A$1005,0)),"MISSING ID")=0,"",IFERROR(INDEX('Material routes'!$I$6:$I$1005,MATCH(V311,'Material routes'!$A$6:$A$1005,0)),"MISSING ID"))</x:f>
      </x:c>
      <x:c r="Q311" s="4" t="str">
        <x:f>IFERROR(INDEX('Material routes'!$J$6:$J$2205,MATCH(V311,'Material routes'!$A$6:$A$2205,0)),"MISSING ID")</x:f>
        <x:v>Unspecified</x:v>
      </x:c>
      <x:c r="R311" s="4" t="str">
        <x:f>IF(L311="Withheld","Withheld premise",IF(E311="Tool candidate","Reusable prerequisite",IF(K311="Raw entry preparation","Entry-resource preparation",IF(G311="Not applicable",IF(IFERROR(INDEX('Items'!$AI$6:$AI$1005,MATCH(T311,'Items'!$A$6:$A$1005,0)),"MISSING ID")="Finished item","Finished endpoint",IF(IFERROR(INDEX('Items'!$AI$6:$AI$1005,MATCH(T311,'Items'!$A$6:$A$1005,0)),"MISSING ID")="Currency","Currency / no refinement tier","Recovered output / tier not applicable")),IF(OR(IFERROR(INDEX('Crafting recipes'!$H$6:$H$1005,MATCH(J311,'Crafting recipes'!$A$6:$A$1005,0)),"MISSING ID")="Unassigned",G311="Unassigned"),"Tier unresolved",IF(IFERROR(VALUE(RIGHT(G311,1))-VALUE(RIGHT(IFERROR(INDEX('Crafting recipes'!$H$6:$H$1005,MATCH(J311,'Crafting recipes'!$A$6:$A$1005,0)),"MISSING ID"),1)),0)=1,IF(B311=IFERROR(INDEX('Crafting recipes'!$H$6:$H$1005,MATCH(J311,'Crafting recipes'!$A$6:$A$1005,0)),"MISSING ID"),"Advances one material tier","Lower-tier ingredient; route advances one tier"),"Needs tier review"))))))</x:f>
        <x:v>Advances one material tier</x:v>
      </x:c>
      <x:c r="S311" s="4" t="str">
        <x:f>IFERROR(INDEX('Material routes'!$D$6:$D$2205,MATCH(U311,'Material routes'!$A$6:$A$2205,0)),"MISSING ID")</x:f>
        <x:v>proposal.branch.viewing_glass</x:v>
      </x:c>
      <x:c r="T311" s="4" t="str">
        <x:f>IFERROR(INDEX('Material routes'!$D$6:$D$2205,MATCH(V311,'Material routes'!$A$6:$A$2205,0)),"MISSING ID")</x:f>
        <x:v>proposal.canister.window</x:v>
      </x:c>
      <x:c r="U311" s="4" t="str">
        <x:v>design.review.proposal_canister_window.in.1</x:v>
      </x:c>
      <x:c r="V311" s="4" t="str">
        <x:v>design.review.proposal_canister_window.out</x:v>
      </x:c>
    </x:row>
    <x:row r="312" ht="115" customHeight="1">
      <x:c r="A312" s="4" t="str">
        <x:f>IFERROR(INDEX('Material routes'!$E$6:$E$2205,MATCH(U312,'Material routes'!$A$6:$A$2205,0)),"MISSING ID")</x:f>
        <x:v>Graded abrasive grit</x:v>
      </x:c>
      <x:c r="B312" s="4" t="str">
        <x:f>IFERROR(INDEX('Material routes'!$F$6:$F$2205,MATCH(U312,'Material routes'!$A$6:$A$2205,0)),"MISSING ID")</x:f>
        <x:v>T1</x:v>
      </x:c>
      <x:c r="C312" s="4" t="str">
        <x:f>IFERROR(INDEX('Material routes'!$H$6:$H$2205,MATCH(U312,'Material routes'!$A$6:$A$2205,0)),"MISSING ID")</x:f>
        <x:v>Processed material</x:v>
      </x:c>
      <x:c r="D312" s="4" t="str">
        <x:f>IFERROR(INDEX('Material routes'!$G$6:$G$2205,MATCH(U312,'Material routes'!$A$6:$A$2205,0)),"MISSING ID")</x:f>
        <x:v>Manufactured stock</x:v>
      </x:c>
      <x:c r="E312" s="4" t="str">
        <x:f>IFERROR(INDEX('Material routes'!$C$6:$C$2205,MATCH(U312,'Material routes'!$A$6:$A$2205,0)),"MISSING ID")</x:f>
        <x:v>Ingredient candidate</x:v>
      </x:c>
      <x:c r="F312" s="4" t="str">
        <x:f>IFERROR(INDEX('Material routes'!$E$6:$E$2205,MATCH(V312,'Material routes'!$A$6:$A$2205,0)),"MISSING ID")</x:f>
        <x:v>Canister viewing-port insert</x:v>
      </x:c>
      <x:c r="G312" s="4" t="str">
        <x:f>IFERROR(INDEX('Material routes'!$F$6:$F$2205,MATCH(V312,'Material routes'!$A$6:$A$2205,0)),"MISSING ID")</x:f>
        <x:v>T3</x:v>
      </x:c>
      <x:c r="H312" s="4" t="str">
        <x:f>IFERROR(INDEX('Material routes'!$H$6:$H$2205,MATCH(V312,'Material routes'!$A$6:$A$2205,0)),"MISSING ID")</x:f>
        <x:v>Container part</x:v>
      </x:c>
      <x:c r="I312" s="4" t="str">
        <x:f>IFERROR(INDEX('Material routes'!$G$6:$G$2205,MATCH(V312,'Material routes'!$A$6:$A$2205,0)),"MISSING ID")</x:f>
        <x:v>Crafting components</x:v>
      </x:c>
      <x:c r="J312" s="4" t="str">
        <x:f>IFERROR(INDEX('Material routes'!$B$6:$B$2205,MATCH(U312,'Material routes'!$A$6:$A$2205,0)),"MISSING ID")</x:f>
        <x:v>design.review.proposal_canister_window</x:v>
      </x:c>
      <x:c r="K312" s="4" t="str">
        <x:f>IFERROR(INDEX('Crafting recipes'!$C$6:$C$1005,MATCH(J312,'Crafting recipes'!$A$6:$A$1005,0)),"MISSING ID")</x:f>
        <x:v>Material refinement</x:v>
      </x:c>
      <x:c r="L312" s="4" t="str">
        <x:f>IFERROR(INDEX('Material routes'!$K$6:$K$2205,MATCH(U312,'Material routes'!$A$6:$A$2205,0)),"MISSING ID")</x:f>
        <x:v>Proposal</x:v>
      </x:c>
      <x:c r="M312" s="4" t="str">
        <x:f>IFERROR(INDEX('Material routes'!$M$6:$M$2205,MATCH(U312,'Material routes'!$A$6:$A$2205,0)),"MISSING ID")</x:f>
        <x:v>Partial proposal</x:v>
      </x:c>
      <x:c r="N312" s="4" t="str">
        <x:f>IF(IFERROR(INDEX('Material routes'!$I$6:$I$1005,MATCH(U312,'Material routes'!$A$6:$A$1005,0)),"MISSING ID")=0,"",IFERROR(INDEX('Material routes'!$I$6:$I$1005,MATCH(U312,'Material routes'!$A$6:$A$1005,0)),"MISSING ID"))</x:f>
      </x:c>
      <x:c r="O312" s="4" t="str">
        <x:f>IFERROR(INDEX('Material routes'!$J$6:$J$2205,MATCH(U312,'Material routes'!$A$6:$A$2205,0)),"MISSING ID")</x:f>
        <x:v>Unspecified</x:v>
      </x:c>
      <x:c r="P312" s="4" t="str">
        <x:f>IF(IFERROR(INDEX('Material routes'!$I$6:$I$1005,MATCH(V312,'Material routes'!$A$6:$A$1005,0)),"MISSING ID")=0,"",IFERROR(INDEX('Material routes'!$I$6:$I$1005,MATCH(V312,'Material routes'!$A$6:$A$1005,0)),"MISSING ID"))</x:f>
      </x:c>
      <x:c r="Q312" s="4" t="str">
        <x:f>IFERROR(INDEX('Material routes'!$J$6:$J$2205,MATCH(V312,'Material routes'!$A$6:$A$2205,0)),"MISSING ID")</x:f>
        <x:v>Unspecified</x:v>
      </x:c>
      <x:c r="R312" s="4" t="str">
        <x:f>IF(L312="Withheld","Withheld premise",IF(E312="Tool candidate","Reusable prerequisite",IF(K312="Raw entry preparation","Entry-resource preparation",IF(G312="Not applicable",IF(IFERROR(INDEX('Items'!$AI$6:$AI$1005,MATCH(T312,'Items'!$A$6:$A$1005,0)),"MISSING ID")="Finished item","Finished endpoint",IF(IFERROR(INDEX('Items'!$AI$6:$AI$1005,MATCH(T312,'Items'!$A$6:$A$1005,0)),"MISSING ID")="Currency","Currency / no refinement tier","Recovered output / tier not applicable")),IF(OR(IFERROR(INDEX('Crafting recipes'!$H$6:$H$1005,MATCH(J312,'Crafting recipes'!$A$6:$A$1005,0)),"MISSING ID")="Unassigned",G312="Unassigned"),"Tier unresolved",IF(IFERROR(VALUE(RIGHT(G312,1))-VALUE(RIGHT(IFERROR(INDEX('Crafting recipes'!$H$6:$H$1005,MATCH(J312,'Crafting recipes'!$A$6:$A$1005,0)),"MISSING ID"),1)),0)=1,IF(B312=IFERROR(INDEX('Crafting recipes'!$H$6:$H$1005,MATCH(J312,'Crafting recipes'!$A$6:$A$1005,0)),"MISSING ID"),"Advances one material tier","Lower-tier ingredient; route advances one tier"),"Needs tier review"))))))</x:f>
        <x:v>Lower-tier ingredient; route advances one tier</x:v>
      </x:c>
      <x:c r="S312" s="4" t="str">
        <x:f>IFERROR(INDEX('Material routes'!$D$6:$D$2205,MATCH(U312,'Material routes'!$A$6:$A$2205,0)),"MISSING ID")</x:f>
        <x:v>proposal.natural.abrasive</x:v>
      </x:c>
      <x:c r="T312" s="4" t="str">
        <x:f>IFERROR(INDEX('Material routes'!$D$6:$D$2205,MATCH(V312,'Material routes'!$A$6:$A$2205,0)),"MISSING ID")</x:f>
        <x:v>proposal.canister.window</x:v>
      </x:c>
      <x:c r="U312" s="4" t="str">
        <x:v>design.review.proposal_canister_window.in.2</x:v>
      </x:c>
      <x:c r="V312" s="4" t="str">
        <x:v>design.review.proposal_canister_window.out</x:v>
      </x:c>
    </x:row>
    <x:row r="313" ht="115" customHeight="1">
      <x:c r="A313" s="4" t="str">
        <x:f>IFERROR(INDEX('Material routes'!$E$6:$E$2205,MATCH(U313,'Material routes'!$A$6:$A$2205,0)),"MISSING ID")</x:f>
        <x:v>Steel stock</x:v>
      </x:c>
      <x:c r="B313" s="4" t="str">
        <x:f>IFERROR(INDEX('Material routes'!$F$6:$F$2205,MATCH(U313,'Material routes'!$A$6:$A$2205,0)),"MISSING ID")</x:f>
        <x:v>T2</x:v>
      </x:c>
      <x:c r="C313" s="4" t="str">
        <x:f>IFERROR(INDEX('Material routes'!$H$6:$H$2205,MATCH(U313,'Material routes'!$A$6:$A$2205,0)),"MISSING ID")</x:f>
        <x:v>Processed material</x:v>
      </x:c>
      <x:c r="D313" s="4" t="str">
        <x:f>IFERROR(INDEX('Material routes'!$G$6:$G$2205,MATCH(U313,'Material routes'!$A$6:$A$2205,0)),"MISSING ID")</x:f>
        <x:v>Manufactured stock</x:v>
      </x:c>
      <x:c r="E313" s="4" t="str">
        <x:f>IFERROR(INDEX('Material routes'!$C$6:$C$2205,MATCH(U313,'Material routes'!$A$6:$A$2205,0)),"MISSING ID")</x:f>
        <x:v>Ingredient candidate</x:v>
      </x:c>
      <x:c r="F313" s="4" t="str">
        <x:f>IFERROR(INDEX('Material routes'!$E$6:$E$2205,MATCH(V313,'Material routes'!$A$6:$A$2205,0)),"MISSING ID")</x:f>
        <x:v>Canister mounting bracket</x:v>
      </x:c>
      <x:c r="G313" s="4" t="str">
        <x:f>IFERROR(INDEX('Material routes'!$F$6:$F$2205,MATCH(V313,'Material routes'!$A$6:$A$2205,0)),"MISSING ID")</x:f>
        <x:v>T3</x:v>
      </x:c>
      <x:c r="H313" s="4" t="str">
        <x:f>IFERROR(INDEX('Material routes'!$H$6:$H$2205,MATCH(V313,'Material routes'!$A$6:$A$2205,0)),"MISSING ID")</x:f>
        <x:v>Container part</x:v>
      </x:c>
      <x:c r="I313" s="4" t="str">
        <x:f>IFERROR(INDEX('Material routes'!$G$6:$G$2205,MATCH(V313,'Material routes'!$A$6:$A$2205,0)),"MISSING ID")</x:f>
        <x:v>Crafting components</x:v>
      </x:c>
      <x:c r="J313" s="4" t="str">
        <x:f>IFERROR(INDEX('Material routes'!$B$6:$B$2205,MATCH(U313,'Material routes'!$A$6:$A$2205,0)),"MISSING ID")</x:f>
        <x:v>design.review.proposal_canister_mount</x:v>
      </x:c>
      <x:c r="K313" s="4" t="str">
        <x:f>IFERROR(INDEX('Crafting recipes'!$C$6:$C$1005,MATCH(J313,'Crafting recipes'!$A$6:$A$1005,0)),"MISSING ID")</x:f>
        <x:v>Material refinement</x:v>
      </x:c>
      <x:c r="L313" s="4" t="str">
        <x:f>IFERROR(INDEX('Material routes'!$K$6:$K$2205,MATCH(U313,'Material routes'!$A$6:$A$2205,0)),"MISSING ID")</x:f>
        <x:v>Proposal</x:v>
      </x:c>
      <x:c r="M313" s="4" t="str">
        <x:f>IFERROR(INDEX('Material routes'!$M$6:$M$2205,MATCH(U313,'Material routes'!$A$6:$A$2205,0)),"MISSING ID")</x:f>
        <x:v>Partial proposal</x:v>
      </x:c>
      <x:c r="N313" s="4" t="str">
        <x:f>IF(IFERROR(INDEX('Material routes'!$I$6:$I$1005,MATCH(U313,'Material routes'!$A$6:$A$1005,0)),"MISSING ID")=0,"",IFERROR(INDEX('Material routes'!$I$6:$I$1005,MATCH(U313,'Material routes'!$A$6:$A$1005,0)),"MISSING ID"))</x:f>
      </x:c>
      <x:c r="O313" s="4" t="str">
        <x:f>IFERROR(INDEX('Material routes'!$J$6:$J$2205,MATCH(U313,'Material routes'!$A$6:$A$2205,0)),"MISSING ID")</x:f>
        <x:v>Unspecified</x:v>
      </x:c>
      <x:c r="P313" s="4" t="str">
        <x:f>IF(IFERROR(INDEX('Material routes'!$I$6:$I$1005,MATCH(V313,'Material routes'!$A$6:$A$1005,0)),"MISSING ID")=0,"",IFERROR(INDEX('Material routes'!$I$6:$I$1005,MATCH(V313,'Material routes'!$A$6:$A$1005,0)),"MISSING ID"))</x:f>
      </x:c>
      <x:c r="Q313" s="4" t="str">
        <x:f>IFERROR(INDEX('Material routes'!$J$6:$J$2205,MATCH(V313,'Material routes'!$A$6:$A$2205,0)),"MISSING ID")</x:f>
        <x:v>Unspecified</x:v>
      </x:c>
      <x:c r="R313" s="4" t="str">
        <x:f>IF(L313="Withheld","Withheld premise",IF(E313="Tool candidate","Reusable prerequisite",IF(K313="Raw entry preparation","Entry-resource preparation",IF(G313="Not applicable",IF(IFERROR(INDEX('Items'!$AI$6:$AI$1005,MATCH(T313,'Items'!$A$6:$A$1005,0)),"MISSING ID")="Finished item","Finished endpoint",IF(IFERROR(INDEX('Items'!$AI$6:$AI$1005,MATCH(T313,'Items'!$A$6:$A$1005,0)),"MISSING ID")="Currency","Currency / no refinement tier","Recovered output / tier not applicable")),IF(OR(IFERROR(INDEX('Crafting recipes'!$H$6:$H$1005,MATCH(J313,'Crafting recipes'!$A$6:$A$1005,0)),"MISSING ID")="Unassigned",G313="Unassigned"),"Tier unresolved",IF(IFERROR(VALUE(RIGHT(G313,1))-VALUE(RIGHT(IFERROR(INDEX('Crafting recipes'!$H$6:$H$1005,MATCH(J313,'Crafting recipes'!$A$6:$A$1005,0)),"MISSING ID"),1)),0)=1,IF(B313=IFERROR(INDEX('Crafting recipes'!$H$6:$H$1005,MATCH(J313,'Crafting recipes'!$A$6:$A$1005,0)),"MISSING ID"),"Advances one material tier","Lower-tier ingredient; route advances one tier"),"Needs tier review"))))))</x:f>
        <x:v>Advances one material tier</x:v>
      </x:c>
      <x:c r="S313" s="4" t="str">
        <x:f>IFERROR(INDEX('Material routes'!$D$6:$D$2205,MATCH(U313,'Material routes'!$A$6:$A$2205,0)),"MISSING ID")</x:f>
        <x:v>author.metallurgy.steel_stock</x:v>
      </x:c>
      <x:c r="T313" s="4" t="str">
        <x:f>IFERROR(INDEX('Material routes'!$D$6:$D$2205,MATCH(V313,'Material routes'!$A$6:$A$2205,0)),"MISSING ID")</x:f>
        <x:v>proposal.canister.mount</x:v>
      </x:c>
      <x:c r="U313" s="4" t="str">
        <x:v>design.review.proposal_canister_mount.in.1</x:v>
      </x:c>
      <x:c r="V313" s="4" t="str">
        <x:v>design.review.proposal_canister_mount.out</x:v>
      </x:c>
    </x:row>
    <x:row r="314" ht="115" customHeight="1">
      <x:c r="A314" s="4" t="str">
        <x:f>IFERROR(INDEX('Material routes'!$E$6:$E$2205,MATCH(U314,'Material routes'!$A$6:$A$2205,0)),"MISSING ID")</x:f>
        <x:v>Reclaimed bronze billet</x:v>
      </x:c>
      <x:c r="B314" s="4" t="str">
        <x:f>IFERROR(INDEX('Material routes'!$F$6:$F$2205,MATCH(U314,'Material routes'!$A$6:$A$2205,0)),"MISSING ID")</x:f>
        <x:v>T1</x:v>
      </x:c>
      <x:c r="C314" s="4" t="str">
        <x:f>IFERROR(INDEX('Material routes'!$H$6:$H$2205,MATCH(U314,'Material routes'!$A$6:$A$2205,0)),"MISSING ID")</x:f>
        <x:v>Processed material</x:v>
      </x:c>
      <x:c r="D314" s="4" t="str">
        <x:f>IFERROR(INDEX('Material routes'!$G$6:$G$2205,MATCH(U314,'Material routes'!$A$6:$A$2205,0)),"MISSING ID")</x:f>
        <x:v>Manufactured stock</x:v>
      </x:c>
      <x:c r="E314" s="4" t="str">
        <x:f>IFERROR(INDEX('Material routes'!$C$6:$C$2205,MATCH(U314,'Material routes'!$A$6:$A$2205,0)),"MISSING ID")</x:f>
        <x:v>Ingredient candidate</x:v>
      </x:c>
      <x:c r="F314" s="4" t="str">
        <x:f>IFERROR(INDEX('Material routes'!$E$6:$E$2205,MATCH(V314,'Material routes'!$A$6:$A$2205,0)),"MISSING ID")</x:f>
        <x:v>Canister maker plate</x:v>
      </x:c>
      <x:c r="G314" s="4" t="str">
        <x:f>IFERROR(INDEX('Material routes'!$F$6:$F$2205,MATCH(V314,'Material routes'!$A$6:$A$2205,0)),"MISSING ID")</x:f>
        <x:v>T2</x:v>
      </x:c>
      <x:c r="H314" s="4" t="str">
        <x:f>IFERROR(INDEX('Material routes'!$H$6:$H$2205,MATCH(V314,'Material routes'!$A$6:$A$2205,0)),"MISSING ID")</x:f>
        <x:v>Crafting component</x:v>
      </x:c>
      <x:c r="I314" s="4" t="str">
        <x:f>IFERROR(INDEX('Material routes'!$G$6:$G$2205,MATCH(V314,'Material routes'!$A$6:$A$2205,0)),"MISSING ID")</x:f>
        <x:v>Crafting components</x:v>
      </x:c>
      <x:c r="J314" s="4" t="str">
        <x:f>IFERROR(INDEX('Material routes'!$B$6:$B$2205,MATCH(U314,'Material routes'!$A$6:$A$2205,0)),"MISSING ID")</x:f>
        <x:v>design.review.proposal_canister_maker_plate</x:v>
      </x:c>
      <x:c r="K314" s="4" t="str">
        <x:f>IFERROR(INDEX('Crafting recipes'!$C$6:$C$1005,MATCH(J314,'Crafting recipes'!$A$6:$A$1005,0)),"MISSING ID")</x:f>
        <x:v>Material refinement</x:v>
      </x:c>
      <x:c r="L314" s="4" t="str">
        <x:f>IFERROR(INDEX('Material routes'!$K$6:$K$2205,MATCH(U314,'Material routes'!$A$6:$A$2205,0)),"MISSING ID")</x:f>
        <x:v>Proposal</x:v>
      </x:c>
      <x:c r="M314" s="4" t="str">
        <x:f>IFERROR(INDEX('Material routes'!$M$6:$M$2205,MATCH(U314,'Material routes'!$A$6:$A$2205,0)),"MISSING ID")</x:f>
        <x:v>Partial proposal</x:v>
      </x:c>
      <x:c r="N314" s="4" t="str">
        <x:f>IF(IFERROR(INDEX('Material routes'!$I$6:$I$1005,MATCH(U314,'Material routes'!$A$6:$A$1005,0)),"MISSING ID")=0,"",IFERROR(INDEX('Material routes'!$I$6:$I$1005,MATCH(U314,'Material routes'!$A$6:$A$1005,0)),"MISSING ID"))</x:f>
      </x:c>
      <x:c r="O314" s="4" t="str">
        <x:f>IFERROR(INDEX('Material routes'!$J$6:$J$2205,MATCH(U314,'Material routes'!$A$6:$A$2205,0)),"MISSING ID")</x:f>
        <x:v>Unspecified</x:v>
      </x:c>
      <x:c r="P314" s="4" t="str">
        <x:f>IF(IFERROR(INDEX('Material routes'!$I$6:$I$1005,MATCH(V314,'Material routes'!$A$6:$A$1005,0)),"MISSING ID")=0,"",IFERROR(INDEX('Material routes'!$I$6:$I$1005,MATCH(V314,'Material routes'!$A$6:$A$1005,0)),"MISSING ID"))</x:f>
      </x:c>
      <x:c r="Q314" s="4" t="str">
        <x:f>IFERROR(INDEX('Material routes'!$J$6:$J$2205,MATCH(V314,'Material routes'!$A$6:$A$2205,0)),"MISSING ID")</x:f>
        <x:v>Unspecified</x:v>
      </x:c>
      <x:c r="R314" s="4" t="str">
        <x:f>IF(L314="Withheld","Withheld premise",IF(E314="Tool candidate","Reusable prerequisite",IF(K314="Raw entry preparation","Entry-resource preparation",IF(G314="Not applicable",IF(IFERROR(INDEX('Items'!$AI$6:$AI$1005,MATCH(T314,'Items'!$A$6:$A$1005,0)),"MISSING ID")="Finished item","Finished endpoint",IF(IFERROR(INDEX('Items'!$AI$6:$AI$1005,MATCH(T314,'Items'!$A$6:$A$1005,0)),"MISSING ID")="Currency","Currency / no refinement tier","Recovered output / tier not applicable")),IF(OR(IFERROR(INDEX('Crafting recipes'!$H$6:$H$1005,MATCH(J314,'Crafting recipes'!$A$6:$A$1005,0)),"MISSING ID")="Unassigned",G314="Unassigned"),"Tier unresolved",IF(IFERROR(VALUE(RIGHT(G314,1))-VALUE(RIGHT(IFERROR(INDEX('Crafting recipes'!$H$6:$H$1005,MATCH(J314,'Crafting recipes'!$A$6:$A$1005,0)),"MISSING ID"),1)),0)=1,IF(B314=IFERROR(INDEX('Crafting recipes'!$H$6:$H$1005,MATCH(J314,'Crafting recipes'!$A$6:$A$1005,0)),"MISSING ID"),"Advances one material tier","Lower-tier ingredient; route advances one tier"),"Needs tier review"))))))</x:f>
        <x:v>Advances one material tier</x:v>
      </x:c>
      <x:c r="S314" s="4" t="str">
        <x:f>IFERROR(INDEX('Material routes'!$D$6:$D$2205,MATCH(U314,'Material routes'!$A$6:$A$2205,0)),"MISSING ID")</x:f>
        <x:v>proposal.t1.bronze_billet</x:v>
      </x:c>
      <x:c r="T314" s="4" t="str">
        <x:f>IFERROR(INDEX('Material routes'!$D$6:$D$2205,MATCH(V314,'Material routes'!$A$6:$A$2205,0)),"MISSING ID")</x:f>
        <x:v>proposal.canister.maker_plate</x:v>
      </x:c>
      <x:c r="U314" s="4" t="str">
        <x:v>design.review.proposal_canister_maker_plate.in.1</x:v>
      </x:c>
      <x:c r="V314" s="4" t="str">
        <x:v>design.review.proposal_canister_maker_plate.out</x:v>
      </x:c>
    </x:row>
    <x:row r="315" ht="115" customHeight="1">
      <x:c r="A315" s="4" t="str">
        <x:f>IFERROR(INDEX('Material routes'!$E$6:$E$2205,MATCH(U315,'Material routes'!$A$6:$A$2205,0)),"MISSING ID")</x:f>
        <x:v>Prepared mineral pigment powder</x:v>
      </x:c>
      <x:c r="B315" s="4" t="str">
        <x:f>IFERROR(INDEX('Material routes'!$F$6:$F$2205,MATCH(U315,'Material routes'!$A$6:$A$2205,0)),"MISSING ID")</x:f>
        <x:v>T1</x:v>
      </x:c>
      <x:c r="C315" s="4" t="str">
        <x:f>IFERROR(INDEX('Material routes'!$H$6:$H$2205,MATCH(U315,'Material routes'!$A$6:$A$2205,0)),"MISSING ID")</x:f>
        <x:v>Processed material</x:v>
      </x:c>
      <x:c r="D315" s="4" t="str">
        <x:f>IFERROR(INDEX('Material routes'!$G$6:$G$2205,MATCH(U315,'Material routes'!$A$6:$A$2205,0)),"MISSING ID")</x:f>
        <x:v>Manufactured stock</x:v>
      </x:c>
      <x:c r="E315" s="4" t="str">
        <x:f>IFERROR(INDEX('Material routes'!$C$6:$C$2205,MATCH(U315,'Material routes'!$A$6:$A$2205,0)),"MISSING ID")</x:f>
        <x:v>Ingredient candidate</x:v>
      </x:c>
      <x:c r="F315" s="4" t="str">
        <x:f>IFERROR(INDEX('Material routes'!$E$6:$E$2205,MATCH(V315,'Material routes'!$A$6:$A$2205,0)),"MISSING ID")</x:f>
        <x:v>Canister maker plate</x:v>
      </x:c>
      <x:c r="G315" s="4" t="str">
        <x:f>IFERROR(INDEX('Material routes'!$F$6:$F$2205,MATCH(V315,'Material routes'!$A$6:$A$2205,0)),"MISSING ID")</x:f>
        <x:v>T2</x:v>
      </x:c>
      <x:c r="H315" s="4" t="str">
        <x:f>IFERROR(INDEX('Material routes'!$H$6:$H$2205,MATCH(V315,'Material routes'!$A$6:$A$2205,0)),"MISSING ID")</x:f>
        <x:v>Crafting component</x:v>
      </x:c>
      <x:c r="I315" s="4" t="str">
        <x:f>IFERROR(INDEX('Material routes'!$G$6:$G$2205,MATCH(V315,'Material routes'!$A$6:$A$2205,0)),"MISSING ID")</x:f>
        <x:v>Crafting components</x:v>
      </x:c>
      <x:c r="J315" s="4" t="str">
        <x:f>IFERROR(INDEX('Material routes'!$B$6:$B$2205,MATCH(U315,'Material routes'!$A$6:$A$2205,0)),"MISSING ID")</x:f>
        <x:v>design.review.proposal_canister_maker_plate</x:v>
      </x:c>
      <x:c r="K315" s="4" t="str">
        <x:f>IFERROR(INDEX('Crafting recipes'!$C$6:$C$1005,MATCH(J315,'Crafting recipes'!$A$6:$A$1005,0)),"MISSING ID")</x:f>
        <x:v>Material refinement</x:v>
      </x:c>
      <x:c r="L315" s="4" t="str">
        <x:f>IFERROR(INDEX('Material routes'!$K$6:$K$2205,MATCH(U315,'Material routes'!$A$6:$A$2205,0)),"MISSING ID")</x:f>
        <x:v>Proposal</x:v>
      </x:c>
      <x:c r="M315" s="4" t="str">
        <x:f>IFERROR(INDEX('Material routes'!$M$6:$M$2205,MATCH(U315,'Material routes'!$A$6:$A$2205,0)),"MISSING ID")</x:f>
        <x:v>Partial proposal</x:v>
      </x:c>
      <x:c r="N315" s="4" t="str">
        <x:f>IF(IFERROR(INDEX('Material routes'!$I$6:$I$1005,MATCH(U315,'Material routes'!$A$6:$A$1005,0)),"MISSING ID")=0,"",IFERROR(INDEX('Material routes'!$I$6:$I$1005,MATCH(U315,'Material routes'!$A$6:$A$1005,0)),"MISSING ID"))</x:f>
      </x:c>
      <x:c r="O315" s="4" t="str">
        <x:f>IFERROR(INDEX('Material routes'!$J$6:$J$2205,MATCH(U315,'Material routes'!$A$6:$A$2205,0)),"MISSING ID")</x:f>
        <x:v>Unspecified</x:v>
      </x:c>
      <x:c r="P315" s="4" t="str">
        <x:f>IF(IFERROR(INDEX('Material routes'!$I$6:$I$1005,MATCH(V315,'Material routes'!$A$6:$A$1005,0)),"MISSING ID")=0,"",IFERROR(INDEX('Material routes'!$I$6:$I$1005,MATCH(V315,'Material routes'!$A$6:$A$1005,0)),"MISSING ID"))</x:f>
      </x:c>
      <x:c r="Q315" s="4" t="str">
        <x:f>IFERROR(INDEX('Material routes'!$J$6:$J$2205,MATCH(V315,'Material routes'!$A$6:$A$2205,0)),"MISSING ID")</x:f>
        <x:v>Unspecified</x:v>
      </x:c>
      <x:c r="R315" s="4" t="str">
        <x:f>IF(L315="Withheld","Withheld premise",IF(E315="Tool candidate","Reusable prerequisite",IF(K315="Raw entry preparation","Entry-resource preparation",IF(G315="Not applicable",IF(IFERROR(INDEX('Items'!$AI$6:$AI$1005,MATCH(T315,'Items'!$A$6:$A$1005,0)),"MISSING ID")="Finished item","Finished endpoint",IF(IFERROR(INDEX('Items'!$AI$6:$AI$1005,MATCH(T315,'Items'!$A$6:$A$1005,0)),"MISSING ID")="Currency","Currency / no refinement tier","Recovered output / tier not applicable")),IF(OR(IFERROR(INDEX('Crafting recipes'!$H$6:$H$1005,MATCH(J315,'Crafting recipes'!$A$6:$A$1005,0)),"MISSING ID")="Unassigned",G315="Unassigned"),"Tier unresolved",IF(IFERROR(VALUE(RIGHT(G315,1))-VALUE(RIGHT(IFERROR(INDEX('Crafting recipes'!$H$6:$H$1005,MATCH(J315,'Crafting recipes'!$A$6:$A$1005,0)),"MISSING ID"),1)),0)=1,IF(B315=IFERROR(INDEX('Crafting recipes'!$H$6:$H$1005,MATCH(J315,'Crafting recipes'!$A$6:$A$1005,0)),"MISSING ID"),"Advances one material tier","Lower-tier ingredient; route advances one tier"),"Needs tier review"))))))</x:f>
        <x:v>Advances one material tier</x:v>
      </x:c>
      <x:c r="S315" s="4" t="str">
        <x:f>IFERROR(INDEX('Material routes'!$D$6:$D$2205,MATCH(U315,'Material routes'!$A$6:$A$2205,0)),"MISSING ID")</x:f>
        <x:v>proposal.t1.pigment_powder</x:v>
      </x:c>
      <x:c r="T315" s="4" t="str">
        <x:f>IFERROR(INDEX('Material routes'!$D$6:$D$2205,MATCH(V315,'Material routes'!$A$6:$A$2205,0)),"MISSING ID")</x:f>
        <x:v>proposal.canister.maker_plate</x:v>
      </x:c>
      <x:c r="U315" s="4" t="str">
        <x:v>design.review.proposal_canister_maker_plate.in.2</x:v>
      </x:c>
      <x:c r="V315" s="4" t="str">
        <x:v>design.review.proposal_canister_maker_plate.out</x:v>
      </x:c>
    </x:row>
    <x:row r="316" ht="115" customHeight="1">
      <x:c r="A316" s="4" t="str">
        <x:f>IFERROR(INDEX('Material routes'!$E$6:$E$2205,MATCH(U316,'Material routes'!$A$6:$A$2205,0)),"MISSING ID")</x:f>
        <x:v>Polished gemstone blanks</x:v>
      </x:c>
      <x:c r="B316" s="4" t="str">
        <x:f>IFERROR(INDEX('Material routes'!$F$6:$F$2205,MATCH(U316,'Material routes'!$A$6:$A$2205,0)),"MISSING ID")</x:f>
        <x:v>T2</x:v>
      </x:c>
      <x:c r="C316" s="4" t="str">
        <x:f>IFERROR(INDEX('Material routes'!$H$6:$H$2205,MATCH(U316,'Material routes'!$A$6:$A$2205,0)),"MISSING ID")</x:f>
        <x:v>Processed material</x:v>
      </x:c>
      <x:c r="D316" s="4" t="str">
        <x:f>IFERROR(INDEX('Material routes'!$G$6:$G$2205,MATCH(U316,'Material routes'!$A$6:$A$2205,0)),"MISSING ID")</x:f>
        <x:v>Manufactured stock</x:v>
      </x:c>
      <x:c r="E316" s="4" t="str">
        <x:f>IFERROR(INDEX('Material routes'!$C$6:$C$2205,MATCH(U316,'Material routes'!$A$6:$A$2205,0)),"MISSING ID")</x:f>
        <x:v>Ingredient candidate</x:v>
      </x:c>
      <x:c r="F316" s="4" t="str">
        <x:f>IFERROR(INDEX('Material routes'!$E$6:$E$2205,MATCH(V316,'Material routes'!$A$6:$A$2205,0)),"MISSING ID")</x:f>
        <x:v>Decorative canister panel</x:v>
      </x:c>
      <x:c r="G316" s="4" t="str">
        <x:f>IFERROR(INDEX('Material routes'!$F$6:$F$2205,MATCH(V316,'Material routes'!$A$6:$A$2205,0)),"MISSING ID")</x:f>
        <x:v>T3</x:v>
      </x:c>
      <x:c r="H316" s="4" t="str">
        <x:f>IFERROR(INDEX('Material routes'!$H$6:$H$2205,MATCH(V316,'Material routes'!$A$6:$A$2205,0)),"MISSING ID")</x:f>
        <x:v>Crafting component</x:v>
      </x:c>
      <x:c r="I316" s="4" t="str">
        <x:f>IFERROR(INDEX('Material routes'!$G$6:$G$2205,MATCH(V316,'Material routes'!$A$6:$A$2205,0)),"MISSING ID")</x:f>
        <x:v>Crafting components</x:v>
      </x:c>
      <x:c r="J316" s="4" t="str">
        <x:f>IFERROR(INDEX('Material routes'!$B$6:$B$2205,MATCH(U316,'Material routes'!$A$6:$A$2205,0)),"MISSING ID")</x:f>
        <x:v>design.review.proposal_canister_trim</x:v>
      </x:c>
      <x:c r="K316" s="4" t="str">
        <x:f>IFERROR(INDEX('Crafting recipes'!$C$6:$C$1005,MATCH(J316,'Crafting recipes'!$A$6:$A$1005,0)),"MISSING ID")</x:f>
        <x:v>Material refinement</x:v>
      </x:c>
      <x:c r="L316" s="4" t="str">
        <x:f>IFERROR(INDEX('Material routes'!$K$6:$K$2205,MATCH(U316,'Material routes'!$A$6:$A$2205,0)),"MISSING ID")</x:f>
        <x:v>Proposal</x:v>
      </x:c>
      <x:c r="M316" s="4" t="str">
        <x:f>IFERROR(INDEX('Material routes'!$M$6:$M$2205,MATCH(U316,'Material routes'!$A$6:$A$2205,0)),"MISSING ID")</x:f>
        <x:v>Partial proposal</x:v>
      </x:c>
      <x:c r="N316" s="4" t="str">
        <x:f>IF(IFERROR(INDEX('Material routes'!$I$6:$I$1005,MATCH(U316,'Material routes'!$A$6:$A$1005,0)),"MISSING ID")=0,"",IFERROR(INDEX('Material routes'!$I$6:$I$1005,MATCH(U316,'Material routes'!$A$6:$A$1005,0)),"MISSING ID"))</x:f>
      </x:c>
      <x:c r="O316" s="4" t="str">
        <x:f>IFERROR(INDEX('Material routes'!$J$6:$J$2205,MATCH(U316,'Material routes'!$A$6:$A$2205,0)),"MISSING ID")</x:f>
        <x:v>Unspecified</x:v>
      </x:c>
      <x:c r="P316" s="4" t="str">
        <x:f>IF(IFERROR(INDEX('Material routes'!$I$6:$I$1005,MATCH(V316,'Material routes'!$A$6:$A$1005,0)),"MISSING ID")=0,"",IFERROR(INDEX('Material routes'!$I$6:$I$1005,MATCH(V316,'Material routes'!$A$6:$A$1005,0)),"MISSING ID"))</x:f>
      </x:c>
      <x:c r="Q316" s="4" t="str">
        <x:f>IFERROR(INDEX('Material routes'!$J$6:$J$2205,MATCH(V316,'Material routes'!$A$6:$A$2205,0)),"MISSING ID")</x:f>
        <x:v>Unspecified</x:v>
      </x:c>
      <x:c r="R316" s="4" t="str">
        <x:f>IF(L316="Withheld","Withheld premise",IF(E316="Tool candidate","Reusable prerequisite",IF(K316="Raw entry preparation","Entry-resource preparation",IF(G316="Not applicable",IF(IFERROR(INDEX('Items'!$AI$6:$AI$1005,MATCH(T316,'Items'!$A$6:$A$1005,0)),"MISSING ID")="Finished item","Finished endpoint",IF(IFERROR(INDEX('Items'!$AI$6:$AI$1005,MATCH(T316,'Items'!$A$6:$A$1005,0)),"MISSING ID")="Currency","Currency / no refinement tier","Recovered output / tier not applicable")),IF(OR(IFERROR(INDEX('Crafting recipes'!$H$6:$H$1005,MATCH(J316,'Crafting recipes'!$A$6:$A$1005,0)),"MISSING ID")="Unassigned",G316="Unassigned"),"Tier unresolved",IF(IFERROR(VALUE(RIGHT(G316,1))-VALUE(RIGHT(IFERROR(INDEX('Crafting recipes'!$H$6:$H$1005,MATCH(J316,'Crafting recipes'!$A$6:$A$1005,0)),"MISSING ID"),1)),0)=1,IF(B316=IFERROR(INDEX('Crafting recipes'!$H$6:$H$1005,MATCH(J316,'Crafting recipes'!$A$6:$A$1005,0)),"MISSING ID"),"Advances one material tier","Lower-tier ingredient; route advances one tier"),"Needs tier review"))))))</x:f>
        <x:v>Advances one material tier</x:v>
      </x:c>
      <x:c r="S316" s="4" t="str">
        <x:f>IFERROR(INDEX('Material routes'!$D$6:$D$2205,MATCH(U316,'Material routes'!$A$6:$A$2205,0)),"MISSING ID")</x:f>
        <x:v>proposal.branch.polished_gem</x:v>
      </x:c>
      <x:c r="T316" s="4" t="str">
        <x:f>IFERROR(INDEX('Material routes'!$D$6:$D$2205,MATCH(V316,'Material routes'!$A$6:$A$2205,0)),"MISSING ID")</x:f>
        <x:v>proposal.canister.trim</x:v>
      </x:c>
      <x:c r="U316" s="4" t="str">
        <x:v>design.review.proposal_canister_trim.in.1</x:v>
      </x:c>
      <x:c r="V316" s="4" t="str">
        <x:v>design.review.proposal_canister_trim.out</x:v>
      </x:c>
    </x:row>
    <x:row r="317" ht="115" customHeight="1">
      <x:c r="A317" s="4" t="str">
        <x:f>IFERROR(INDEX('Material routes'!$E$6:$E$2205,MATCH(U317,'Material routes'!$A$6:$A$2205,0)),"MISSING ID")</x:f>
        <x:v>Steel stock</x:v>
      </x:c>
      <x:c r="B317" s="4" t="str">
        <x:f>IFERROR(INDEX('Material routes'!$F$6:$F$2205,MATCH(U317,'Material routes'!$A$6:$A$2205,0)),"MISSING ID")</x:f>
        <x:v>T2</x:v>
      </x:c>
      <x:c r="C317" s="4" t="str">
        <x:f>IFERROR(INDEX('Material routes'!$H$6:$H$2205,MATCH(U317,'Material routes'!$A$6:$A$2205,0)),"MISSING ID")</x:f>
        <x:v>Processed material</x:v>
      </x:c>
      <x:c r="D317" s="4" t="str">
        <x:f>IFERROR(INDEX('Material routes'!$G$6:$G$2205,MATCH(U317,'Material routes'!$A$6:$A$2205,0)),"MISSING ID")</x:f>
        <x:v>Manufactured stock</x:v>
      </x:c>
      <x:c r="E317" s="4" t="str">
        <x:f>IFERROR(INDEX('Material routes'!$C$6:$C$2205,MATCH(U317,'Material routes'!$A$6:$A$2205,0)),"MISSING ID")</x:f>
        <x:v>Ingredient candidate</x:v>
      </x:c>
      <x:c r="F317" s="4" t="str">
        <x:f>IFERROR(INDEX('Material routes'!$E$6:$E$2205,MATCH(V317,'Material routes'!$A$6:$A$2205,0)),"MISSING ID")</x:f>
        <x:v>Decorative canister panel</x:v>
      </x:c>
      <x:c r="G317" s="4" t="str">
        <x:f>IFERROR(INDEX('Material routes'!$F$6:$F$2205,MATCH(V317,'Material routes'!$A$6:$A$2205,0)),"MISSING ID")</x:f>
        <x:v>T3</x:v>
      </x:c>
      <x:c r="H317" s="4" t="str">
        <x:f>IFERROR(INDEX('Material routes'!$H$6:$H$2205,MATCH(V317,'Material routes'!$A$6:$A$2205,0)),"MISSING ID")</x:f>
        <x:v>Crafting component</x:v>
      </x:c>
      <x:c r="I317" s="4" t="str">
        <x:f>IFERROR(INDEX('Material routes'!$G$6:$G$2205,MATCH(V317,'Material routes'!$A$6:$A$2205,0)),"MISSING ID")</x:f>
        <x:v>Crafting components</x:v>
      </x:c>
      <x:c r="J317" s="4" t="str">
        <x:f>IFERROR(INDEX('Material routes'!$B$6:$B$2205,MATCH(U317,'Material routes'!$A$6:$A$2205,0)),"MISSING ID")</x:f>
        <x:v>design.review.proposal_canister_trim</x:v>
      </x:c>
      <x:c r="K317" s="4" t="str">
        <x:f>IFERROR(INDEX('Crafting recipes'!$C$6:$C$1005,MATCH(J317,'Crafting recipes'!$A$6:$A$1005,0)),"MISSING ID")</x:f>
        <x:v>Material refinement</x:v>
      </x:c>
      <x:c r="L317" s="4" t="str">
        <x:f>IFERROR(INDEX('Material routes'!$K$6:$K$2205,MATCH(U317,'Material routes'!$A$6:$A$2205,0)),"MISSING ID")</x:f>
        <x:v>Proposal</x:v>
      </x:c>
      <x:c r="M317" s="4" t="str">
        <x:f>IFERROR(INDEX('Material routes'!$M$6:$M$2205,MATCH(U317,'Material routes'!$A$6:$A$2205,0)),"MISSING ID")</x:f>
        <x:v>Partial proposal</x:v>
      </x:c>
      <x:c r="N317" s="4" t="str">
        <x:f>IF(IFERROR(INDEX('Material routes'!$I$6:$I$1005,MATCH(U317,'Material routes'!$A$6:$A$1005,0)),"MISSING ID")=0,"",IFERROR(INDEX('Material routes'!$I$6:$I$1005,MATCH(U317,'Material routes'!$A$6:$A$1005,0)),"MISSING ID"))</x:f>
      </x:c>
      <x:c r="O317" s="4" t="str">
        <x:f>IFERROR(INDEX('Material routes'!$J$6:$J$2205,MATCH(U317,'Material routes'!$A$6:$A$2205,0)),"MISSING ID")</x:f>
        <x:v>Unspecified</x:v>
      </x:c>
      <x:c r="P317" s="4" t="str">
        <x:f>IF(IFERROR(INDEX('Material routes'!$I$6:$I$1005,MATCH(V317,'Material routes'!$A$6:$A$1005,0)),"MISSING ID")=0,"",IFERROR(INDEX('Material routes'!$I$6:$I$1005,MATCH(V317,'Material routes'!$A$6:$A$1005,0)),"MISSING ID"))</x:f>
      </x:c>
      <x:c r="Q317" s="4" t="str">
        <x:f>IFERROR(INDEX('Material routes'!$J$6:$J$2205,MATCH(V317,'Material routes'!$A$6:$A$2205,0)),"MISSING ID")</x:f>
        <x:v>Unspecified</x:v>
      </x:c>
      <x:c r="R317" s="4" t="str">
        <x:f>IF(L317="Withheld","Withheld premise",IF(E317="Tool candidate","Reusable prerequisite",IF(K317="Raw entry preparation","Entry-resource preparation",IF(G317="Not applicable",IF(IFERROR(INDEX('Items'!$AI$6:$AI$1005,MATCH(T317,'Items'!$A$6:$A$1005,0)),"MISSING ID")="Finished item","Finished endpoint",IF(IFERROR(INDEX('Items'!$AI$6:$AI$1005,MATCH(T317,'Items'!$A$6:$A$1005,0)),"MISSING ID")="Currency","Currency / no refinement tier","Recovered output / tier not applicable")),IF(OR(IFERROR(INDEX('Crafting recipes'!$H$6:$H$1005,MATCH(J317,'Crafting recipes'!$A$6:$A$1005,0)),"MISSING ID")="Unassigned",G317="Unassigned"),"Tier unresolved",IF(IFERROR(VALUE(RIGHT(G317,1))-VALUE(RIGHT(IFERROR(INDEX('Crafting recipes'!$H$6:$H$1005,MATCH(J317,'Crafting recipes'!$A$6:$A$1005,0)),"MISSING ID"),1)),0)=1,IF(B317=IFERROR(INDEX('Crafting recipes'!$H$6:$H$1005,MATCH(J317,'Crafting recipes'!$A$6:$A$1005,0)),"MISSING ID"),"Advances one material tier","Lower-tier ingredient; route advances one tier"),"Needs tier review"))))))</x:f>
        <x:v>Advances one material tier</x:v>
      </x:c>
      <x:c r="S317" s="4" t="str">
        <x:f>IFERROR(INDEX('Material routes'!$D$6:$D$2205,MATCH(U317,'Material routes'!$A$6:$A$2205,0)),"MISSING ID")</x:f>
        <x:v>author.metallurgy.steel_stock</x:v>
      </x:c>
      <x:c r="T317" s="4" t="str">
        <x:f>IFERROR(INDEX('Material routes'!$D$6:$D$2205,MATCH(V317,'Material routes'!$A$6:$A$2205,0)),"MISSING ID")</x:f>
        <x:v>proposal.canister.trim</x:v>
      </x:c>
      <x:c r="U317" s="4" t="str">
        <x:v>design.review.proposal_canister_trim.in.2</x:v>
      </x:c>
      <x:c r="V317" s="4" t="str">
        <x:v>design.review.proposal_canister_trim.out</x:v>
      </x:c>
    </x:row>
    <x:row r="318" ht="115" customHeight="1">
      <x:c r="A318" s="4" t="str">
        <x:f>IFERROR(INDEX('Material routes'!$E$6:$E$2205,MATCH(U318,'Material routes'!$A$6:$A$2205,0)),"MISSING ID")</x:f>
        <x:v>Mineral pigment coating</x:v>
      </x:c>
      <x:c r="B318" s="4" t="str">
        <x:f>IFERROR(INDEX('Material routes'!$F$6:$F$2205,MATCH(U318,'Material routes'!$A$6:$A$2205,0)),"MISSING ID")</x:f>
        <x:v>T2</x:v>
      </x:c>
      <x:c r="C318" s="4" t="str">
        <x:f>IFERROR(INDEX('Material routes'!$H$6:$H$2205,MATCH(U318,'Material routes'!$A$6:$A$2205,0)),"MISSING ID")</x:f>
        <x:v>Processed material</x:v>
      </x:c>
      <x:c r="D318" s="4" t="str">
        <x:f>IFERROR(INDEX('Material routes'!$G$6:$G$2205,MATCH(U318,'Material routes'!$A$6:$A$2205,0)),"MISSING ID")</x:f>
        <x:v>Manufactured stock</x:v>
      </x:c>
      <x:c r="E318" s="4" t="str">
        <x:f>IFERROR(INDEX('Material routes'!$C$6:$C$2205,MATCH(U318,'Material routes'!$A$6:$A$2205,0)),"MISSING ID")</x:f>
        <x:v>Ingredient candidate</x:v>
      </x:c>
      <x:c r="F318" s="4" t="str">
        <x:f>IFERROR(INDEX('Material routes'!$E$6:$E$2205,MATCH(V318,'Material routes'!$A$6:$A$2205,0)),"MISSING ID")</x:f>
        <x:v>Decorative canister panel</x:v>
      </x:c>
      <x:c r="G318" s="4" t="str">
        <x:f>IFERROR(INDEX('Material routes'!$F$6:$F$2205,MATCH(V318,'Material routes'!$A$6:$A$2205,0)),"MISSING ID")</x:f>
        <x:v>T3</x:v>
      </x:c>
      <x:c r="H318" s="4" t="str">
        <x:f>IFERROR(INDEX('Material routes'!$H$6:$H$2205,MATCH(V318,'Material routes'!$A$6:$A$2205,0)),"MISSING ID")</x:f>
        <x:v>Crafting component</x:v>
      </x:c>
      <x:c r="I318" s="4" t="str">
        <x:f>IFERROR(INDEX('Material routes'!$G$6:$G$2205,MATCH(V318,'Material routes'!$A$6:$A$2205,0)),"MISSING ID")</x:f>
        <x:v>Crafting components</x:v>
      </x:c>
      <x:c r="J318" s="4" t="str">
        <x:f>IFERROR(INDEX('Material routes'!$B$6:$B$2205,MATCH(U318,'Material routes'!$A$6:$A$2205,0)),"MISSING ID")</x:f>
        <x:v>design.review.proposal_canister_trim</x:v>
      </x:c>
      <x:c r="K318" s="4" t="str">
        <x:f>IFERROR(INDEX('Crafting recipes'!$C$6:$C$1005,MATCH(J318,'Crafting recipes'!$A$6:$A$1005,0)),"MISSING ID")</x:f>
        <x:v>Material refinement</x:v>
      </x:c>
      <x:c r="L318" s="4" t="str">
        <x:f>IFERROR(INDEX('Material routes'!$K$6:$K$2205,MATCH(U318,'Material routes'!$A$6:$A$2205,0)),"MISSING ID")</x:f>
        <x:v>Proposal</x:v>
      </x:c>
      <x:c r="M318" s="4" t="str">
        <x:f>IFERROR(INDEX('Material routes'!$M$6:$M$2205,MATCH(U318,'Material routes'!$A$6:$A$2205,0)),"MISSING ID")</x:f>
        <x:v>Partial proposal</x:v>
      </x:c>
      <x:c r="N318" s="4" t="str">
        <x:f>IF(IFERROR(INDEX('Material routes'!$I$6:$I$1005,MATCH(U318,'Material routes'!$A$6:$A$1005,0)),"MISSING ID")=0,"",IFERROR(INDEX('Material routes'!$I$6:$I$1005,MATCH(U318,'Material routes'!$A$6:$A$1005,0)),"MISSING ID"))</x:f>
      </x:c>
      <x:c r="O318" s="4" t="str">
        <x:f>IFERROR(INDEX('Material routes'!$J$6:$J$2205,MATCH(U318,'Material routes'!$A$6:$A$2205,0)),"MISSING ID")</x:f>
        <x:v>Unspecified</x:v>
      </x:c>
      <x:c r="P318" s="4" t="str">
        <x:f>IF(IFERROR(INDEX('Material routes'!$I$6:$I$1005,MATCH(V318,'Material routes'!$A$6:$A$1005,0)),"MISSING ID")=0,"",IFERROR(INDEX('Material routes'!$I$6:$I$1005,MATCH(V318,'Material routes'!$A$6:$A$1005,0)),"MISSING ID"))</x:f>
      </x:c>
      <x:c r="Q318" s="4" t="str">
        <x:f>IFERROR(INDEX('Material routes'!$J$6:$J$2205,MATCH(V318,'Material routes'!$A$6:$A$2205,0)),"MISSING ID")</x:f>
        <x:v>Unspecified</x:v>
      </x:c>
      <x:c r="R318" s="4" t="str">
        <x:f>IF(L318="Withheld","Withheld premise",IF(E318="Tool candidate","Reusable prerequisite",IF(K318="Raw entry preparation","Entry-resource preparation",IF(G318="Not applicable",IF(IFERROR(INDEX('Items'!$AI$6:$AI$1005,MATCH(T318,'Items'!$A$6:$A$1005,0)),"MISSING ID")="Finished item","Finished endpoint",IF(IFERROR(INDEX('Items'!$AI$6:$AI$1005,MATCH(T318,'Items'!$A$6:$A$1005,0)),"MISSING ID")="Currency","Currency / no refinement tier","Recovered output / tier not applicable")),IF(OR(IFERROR(INDEX('Crafting recipes'!$H$6:$H$1005,MATCH(J318,'Crafting recipes'!$A$6:$A$1005,0)),"MISSING ID")="Unassigned",G318="Unassigned"),"Tier unresolved",IF(IFERROR(VALUE(RIGHT(G318,1))-VALUE(RIGHT(IFERROR(INDEX('Crafting recipes'!$H$6:$H$1005,MATCH(J318,'Crafting recipes'!$A$6:$A$1005,0)),"MISSING ID"),1)),0)=1,IF(B318=IFERROR(INDEX('Crafting recipes'!$H$6:$H$1005,MATCH(J318,'Crafting recipes'!$A$6:$A$1005,0)),"MISSING ID"),"Advances one material tier","Lower-tier ingredient; route advances one tier"),"Needs tier review"))))))</x:f>
        <x:v>Advances one material tier</x:v>
      </x:c>
      <x:c r="S318" s="4" t="str">
        <x:f>IFERROR(INDEX('Material routes'!$D$6:$D$2205,MATCH(U318,'Material routes'!$A$6:$A$2205,0)),"MISSING ID")</x:f>
        <x:v>proposal.branch.pigment_coating</x:v>
      </x:c>
      <x:c r="T318" s="4" t="str">
        <x:f>IFERROR(INDEX('Material routes'!$D$6:$D$2205,MATCH(V318,'Material routes'!$A$6:$A$2205,0)),"MISSING ID")</x:f>
        <x:v>proposal.canister.trim</x:v>
      </x:c>
      <x:c r="U318" s="4" t="str">
        <x:v>design.review.proposal_canister_trim.in.3</x:v>
      </x:c>
      <x:c r="V318" s="4" t="str">
        <x:v>design.review.proposal_canister_trim.out</x:v>
      </x:c>
    </x:row>
    <x:row r="319" ht="115" customHeight="1">
      <x:c r="A319" s="4" t="str">
        <x:f>IFERROR(INDEX('Material routes'!$E$6:$E$2205,MATCH(U319,'Material routes'!$A$6:$A$2205,0)),"MISSING ID")</x:f>
        <x:v>Shell laminate</x:v>
      </x:c>
      <x:c r="B319" s="4" t="str">
        <x:f>IFERROR(INDEX('Material routes'!$F$6:$F$2205,MATCH(U319,'Material routes'!$A$6:$A$2205,0)),"MISSING ID")</x:f>
        <x:v>T2</x:v>
      </x:c>
      <x:c r="C319" s="4" t="str">
        <x:f>IFERROR(INDEX('Material routes'!$H$6:$H$2205,MATCH(U319,'Material routes'!$A$6:$A$2205,0)),"MISSING ID")</x:f>
        <x:v>Crafting component</x:v>
      </x:c>
      <x:c r="D319" s="4" t="str">
        <x:f>IFERROR(INDEX('Material routes'!$G$6:$G$2205,MATCH(U319,'Material routes'!$A$6:$A$2205,0)),"MISSING ID")</x:f>
        <x:v>Crafting components</x:v>
      </x:c>
      <x:c r="E319" s="4" t="str">
        <x:f>IFERROR(INDEX('Material routes'!$C$6:$C$2205,MATCH(U319,'Material routes'!$A$6:$A$2205,0)),"MISSING ID")</x:f>
        <x:v>Ingredient candidate</x:v>
      </x:c>
      <x:c r="F319" s="4" t="str">
        <x:f>IFERROR(INDEX('Material routes'!$E$6:$E$2205,MATCH(V319,'Material routes'!$A$6:$A$2205,0)),"MISSING ID")</x:f>
        <x:v>Canister protective endcap</x:v>
      </x:c>
      <x:c r="G319" s="4" t="str">
        <x:f>IFERROR(INDEX('Material routes'!$F$6:$F$2205,MATCH(V319,'Material routes'!$A$6:$A$2205,0)),"MISSING ID")</x:f>
        <x:v>T3</x:v>
      </x:c>
      <x:c r="H319" s="4" t="str">
        <x:f>IFERROR(INDEX('Material routes'!$H$6:$H$2205,MATCH(V319,'Material routes'!$A$6:$A$2205,0)),"MISSING ID")</x:f>
        <x:v>Container part</x:v>
      </x:c>
      <x:c r="I319" s="4" t="str">
        <x:f>IFERROR(INDEX('Material routes'!$G$6:$G$2205,MATCH(V319,'Material routes'!$A$6:$A$2205,0)),"MISSING ID")</x:f>
        <x:v>Crafting components</x:v>
      </x:c>
      <x:c r="J319" s="4" t="str">
        <x:f>IFERROR(INDEX('Material routes'!$B$6:$B$2205,MATCH(U319,'Material routes'!$A$6:$A$2205,0)),"MISSING ID")</x:f>
        <x:v>design.review.proposal_canister_endcap</x:v>
      </x:c>
      <x:c r="K319" s="4" t="str">
        <x:f>IFERROR(INDEX('Crafting recipes'!$C$6:$C$1005,MATCH(J319,'Crafting recipes'!$A$6:$A$1005,0)),"MISSING ID")</x:f>
        <x:v>Material refinement</x:v>
      </x:c>
      <x:c r="L319" s="4" t="str">
        <x:f>IFERROR(INDEX('Material routes'!$K$6:$K$2205,MATCH(U319,'Material routes'!$A$6:$A$2205,0)),"MISSING ID")</x:f>
        <x:v>Proposal</x:v>
      </x:c>
      <x:c r="M319" s="4" t="str">
        <x:f>IFERROR(INDEX('Material routes'!$M$6:$M$2205,MATCH(U319,'Material routes'!$A$6:$A$2205,0)),"MISSING ID")</x:f>
        <x:v>Partial proposal</x:v>
      </x:c>
      <x:c r="N319" s="4" t="str">
        <x:f>IF(IFERROR(INDEX('Material routes'!$I$6:$I$1005,MATCH(U319,'Material routes'!$A$6:$A$1005,0)),"MISSING ID")=0,"",IFERROR(INDEX('Material routes'!$I$6:$I$1005,MATCH(U319,'Material routes'!$A$6:$A$1005,0)),"MISSING ID"))</x:f>
      </x:c>
      <x:c r="O319" s="4" t="str">
        <x:f>IFERROR(INDEX('Material routes'!$J$6:$J$2205,MATCH(U319,'Material routes'!$A$6:$A$2205,0)),"MISSING ID")</x:f>
        <x:v>Unspecified</x:v>
      </x:c>
      <x:c r="P319" s="4" t="str">
        <x:f>IF(IFERROR(INDEX('Material routes'!$I$6:$I$1005,MATCH(V319,'Material routes'!$A$6:$A$1005,0)),"MISSING ID")=0,"",IFERROR(INDEX('Material routes'!$I$6:$I$1005,MATCH(V319,'Material routes'!$A$6:$A$1005,0)),"MISSING ID"))</x:f>
      </x:c>
      <x:c r="Q319" s="4" t="str">
        <x:f>IFERROR(INDEX('Material routes'!$J$6:$J$2205,MATCH(V319,'Material routes'!$A$6:$A$2205,0)),"MISSING ID")</x:f>
        <x:v>Unspecified</x:v>
      </x:c>
      <x:c r="R319" s="4" t="str">
        <x:f>IF(L319="Withheld","Withheld premise",IF(E319="Tool candidate","Reusable prerequisite",IF(K319="Raw entry preparation","Entry-resource preparation",IF(G319="Not applicable",IF(IFERROR(INDEX('Items'!$AI$6:$AI$1005,MATCH(T319,'Items'!$A$6:$A$1005,0)),"MISSING ID")="Finished item","Finished endpoint",IF(IFERROR(INDEX('Items'!$AI$6:$AI$1005,MATCH(T319,'Items'!$A$6:$A$1005,0)),"MISSING ID")="Currency","Currency / no refinement tier","Recovered output / tier not applicable")),IF(OR(IFERROR(INDEX('Crafting recipes'!$H$6:$H$1005,MATCH(J319,'Crafting recipes'!$A$6:$A$1005,0)),"MISSING ID")="Unassigned",G319="Unassigned"),"Tier unresolved",IF(IFERROR(VALUE(RIGHT(G319,1))-VALUE(RIGHT(IFERROR(INDEX('Crafting recipes'!$H$6:$H$1005,MATCH(J319,'Crafting recipes'!$A$6:$A$1005,0)),"MISSING ID"),1)),0)=1,IF(B319=IFERROR(INDEX('Crafting recipes'!$H$6:$H$1005,MATCH(J319,'Crafting recipes'!$A$6:$A$1005,0)),"MISSING ID"),"Advances one material tier","Lower-tier ingredient; route advances one tier"),"Needs tier review"))))))</x:f>
        <x:v>Advances one material tier</x:v>
      </x:c>
      <x:c r="S319" s="4" t="str">
        <x:f>IFERROR(INDEX('Material routes'!$D$6:$D$2205,MATCH(U319,'Material routes'!$A$6:$A$2205,0)),"MISSING ID")</x:f>
        <x:v>proposal.bio.laminate</x:v>
      </x:c>
      <x:c r="T319" s="4" t="str">
        <x:f>IFERROR(INDEX('Material routes'!$D$6:$D$2205,MATCH(V319,'Material routes'!$A$6:$A$2205,0)),"MISSING ID")</x:f>
        <x:v>proposal.canister.endcap</x:v>
      </x:c>
      <x:c r="U319" s="4" t="str">
        <x:v>design.review.proposal_canister_endcap.in.1</x:v>
      </x:c>
      <x:c r="V319" s="4" t="str">
        <x:v>design.review.proposal_canister_endcap.out</x:v>
      </x:c>
    </x:row>
    <x:row r="320" ht="115" customHeight="1">
      <x:c r="A320" s="4" t="str">
        <x:f>IFERROR(INDEX('Material routes'!$E$6:$E$2205,MATCH(U320,'Material routes'!$A$6:$A$2205,0)),"MISSING ID")</x:f>
        <x:v>Filled shell-binding compound</x:v>
      </x:c>
      <x:c r="B320" s="4" t="str">
        <x:f>IFERROR(INDEX('Material routes'!$F$6:$F$2205,MATCH(U320,'Material routes'!$A$6:$A$2205,0)),"MISSING ID")</x:f>
        <x:v>T2</x:v>
      </x:c>
      <x:c r="C320" s="4" t="str">
        <x:f>IFERROR(INDEX('Material routes'!$H$6:$H$2205,MATCH(U320,'Material routes'!$A$6:$A$2205,0)),"MISSING ID")</x:f>
        <x:v>Chemical material</x:v>
      </x:c>
      <x:c r="D320" s="4" t="str">
        <x:f>IFERROR(INDEX('Material routes'!$G$6:$G$2205,MATCH(U320,'Material routes'!$A$6:$A$2205,0)),"MISSING ID")</x:f>
        <x:v>Crafting components</x:v>
      </x:c>
      <x:c r="E320" s="4" t="str">
        <x:f>IFERROR(INDEX('Material routes'!$C$6:$C$2205,MATCH(U320,'Material routes'!$A$6:$A$2205,0)),"MISSING ID")</x:f>
        <x:v>Ingredient candidate</x:v>
      </x:c>
      <x:c r="F320" s="4" t="str">
        <x:f>IFERROR(INDEX('Material routes'!$E$6:$E$2205,MATCH(V320,'Material routes'!$A$6:$A$2205,0)),"MISSING ID")</x:f>
        <x:v>Canister protective endcap</x:v>
      </x:c>
      <x:c r="G320" s="4" t="str">
        <x:f>IFERROR(INDEX('Material routes'!$F$6:$F$2205,MATCH(V320,'Material routes'!$A$6:$A$2205,0)),"MISSING ID")</x:f>
        <x:v>T3</x:v>
      </x:c>
      <x:c r="H320" s="4" t="str">
        <x:f>IFERROR(INDEX('Material routes'!$H$6:$H$2205,MATCH(V320,'Material routes'!$A$6:$A$2205,0)),"MISSING ID")</x:f>
        <x:v>Container part</x:v>
      </x:c>
      <x:c r="I320" s="4" t="str">
        <x:f>IFERROR(INDEX('Material routes'!$G$6:$G$2205,MATCH(V320,'Material routes'!$A$6:$A$2205,0)),"MISSING ID")</x:f>
        <x:v>Crafting components</x:v>
      </x:c>
      <x:c r="J320" s="4" t="str">
        <x:f>IFERROR(INDEX('Material routes'!$B$6:$B$2205,MATCH(U320,'Material routes'!$A$6:$A$2205,0)),"MISSING ID")</x:f>
        <x:v>design.review.proposal_canister_endcap</x:v>
      </x:c>
      <x:c r="K320" s="4" t="str">
        <x:f>IFERROR(INDEX('Crafting recipes'!$C$6:$C$1005,MATCH(J320,'Crafting recipes'!$A$6:$A$1005,0)),"MISSING ID")</x:f>
        <x:v>Material refinement</x:v>
      </x:c>
      <x:c r="L320" s="4" t="str">
        <x:f>IFERROR(INDEX('Material routes'!$K$6:$K$2205,MATCH(U320,'Material routes'!$A$6:$A$2205,0)),"MISSING ID")</x:f>
        <x:v>Proposal</x:v>
      </x:c>
      <x:c r="M320" s="4" t="str">
        <x:f>IFERROR(INDEX('Material routes'!$M$6:$M$2205,MATCH(U320,'Material routes'!$A$6:$A$2205,0)),"MISSING ID")</x:f>
        <x:v>Partial proposal</x:v>
      </x:c>
      <x:c r="N320" s="4" t="str">
        <x:f>IF(IFERROR(INDEX('Material routes'!$I$6:$I$1005,MATCH(U320,'Material routes'!$A$6:$A$1005,0)),"MISSING ID")=0,"",IFERROR(INDEX('Material routes'!$I$6:$I$1005,MATCH(U320,'Material routes'!$A$6:$A$1005,0)),"MISSING ID"))</x:f>
      </x:c>
      <x:c r="O320" s="4" t="str">
        <x:f>IFERROR(INDEX('Material routes'!$J$6:$J$2205,MATCH(U320,'Material routes'!$A$6:$A$2205,0)),"MISSING ID")</x:f>
        <x:v>Unspecified</x:v>
      </x:c>
      <x:c r="P320" s="4" t="str">
        <x:f>IF(IFERROR(INDEX('Material routes'!$I$6:$I$1005,MATCH(V320,'Material routes'!$A$6:$A$1005,0)),"MISSING ID")=0,"",IFERROR(INDEX('Material routes'!$I$6:$I$1005,MATCH(V320,'Material routes'!$A$6:$A$1005,0)),"MISSING ID"))</x:f>
      </x:c>
      <x:c r="Q320" s="4" t="str">
        <x:f>IFERROR(INDEX('Material routes'!$J$6:$J$2205,MATCH(V320,'Material routes'!$A$6:$A$2205,0)),"MISSING ID")</x:f>
        <x:v>Unspecified</x:v>
      </x:c>
      <x:c r="R320" s="4" t="str">
        <x:f>IF(L320="Withheld","Withheld premise",IF(E320="Tool candidate","Reusable prerequisite",IF(K320="Raw entry preparation","Entry-resource preparation",IF(G320="Not applicable",IF(IFERROR(INDEX('Items'!$AI$6:$AI$1005,MATCH(T320,'Items'!$A$6:$A$1005,0)),"MISSING ID")="Finished item","Finished endpoint",IF(IFERROR(INDEX('Items'!$AI$6:$AI$1005,MATCH(T320,'Items'!$A$6:$A$1005,0)),"MISSING ID")="Currency","Currency / no refinement tier","Recovered output / tier not applicable")),IF(OR(IFERROR(INDEX('Crafting recipes'!$H$6:$H$1005,MATCH(J320,'Crafting recipes'!$A$6:$A$1005,0)),"MISSING ID")="Unassigned",G320="Unassigned"),"Tier unresolved",IF(IFERROR(VALUE(RIGHT(G320,1))-VALUE(RIGHT(IFERROR(INDEX('Crafting recipes'!$H$6:$H$1005,MATCH(J320,'Crafting recipes'!$A$6:$A$1005,0)),"MISSING ID"),1)),0)=1,IF(B320=IFERROR(INDEX('Crafting recipes'!$H$6:$H$1005,MATCH(J320,'Crafting recipes'!$A$6:$A$1005,0)),"MISSING ID"),"Advances one material tier","Lower-tier ingredient; route advances one tier"),"Needs tier review"))))))</x:f>
        <x:v>Advances one material tier</x:v>
      </x:c>
      <x:c r="S320" s="4" t="str">
        <x:f>IFERROR(INDEX('Material routes'!$D$6:$D$2205,MATCH(U320,'Material routes'!$A$6:$A$2205,0)),"MISSING ID")</x:f>
        <x:v>proposal.branch.filled_binder</x:v>
      </x:c>
      <x:c r="T320" s="4" t="str">
        <x:f>IFERROR(INDEX('Material routes'!$D$6:$D$2205,MATCH(V320,'Material routes'!$A$6:$A$2205,0)),"MISSING ID")</x:f>
        <x:v>proposal.canister.endcap</x:v>
      </x:c>
      <x:c r="U320" s="4" t="str">
        <x:v>design.review.proposal_canister_endcap.in.2</x:v>
      </x:c>
      <x:c r="V320" s="4" t="str">
        <x:v>design.review.proposal_canister_endcap.out</x:v>
      </x:c>
    </x:row>
    <x:row r="321" ht="115" customHeight="1">
      <x:c r="A321" s="4" t="str">
        <x:f>IFERROR(INDEX('Material routes'!$E$6:$E$2205,MATCH(U321,'Material routes'!$A$6:$A$2205,0)),"MISSING ID")</x:f>
        <x:v>Steel stock</x:v>
      </x:c>
      <x:c r="B321" s="4" t="str">
        <x:f>IFERROR(INDEX('Material routes'!$F$6:$F$2205,MATCH(U321,'Material routes'!$A$6:$A$2205,0)),"MISSING ID")</x:f>
        <x:v>T2</x:v>
      </x:c>
      <x:c r="C321" s="4" t="str">
        <x:f>IFERROR(INDEX('Material routes'!$H$6:$H$2205,MATCH(U321,'Material routes'!$A$6:$A$2205,0)),"MISSING ID")</x:f>
        <x:v>Processed material</x:v>
      </x:c>
      <x:c r="D321" s="4" t="str">
        <x:f>IFERROR(INDEX('Material routes'!$G$6:$G$2205,MATCH(U321,'Material routes'!$A$6:$A$2205,0)),"MISSING ID")</x:f>
        <x:v>Manufactured stock</x:v>
      </x:c>
      <x:c r="E321" s="4" t="str">
        <x:f>IFERROR(INDEX('Material routes'!$C$6:$C$2205,MATCH(U321,'Material routes'!$A$6:$A$2205,0)),"MISSING ID")</x:f>
        <x:v>Ingredient candidate</x:v>
      </x:c>
      <x:c r="F321" s="4" t="str">
        <x:f>IFERROR(INDEX('Material routes'!$E$6:$E$2205,MATCH(V321,'Material routes'!$A$6:$A$2205,0)),"MISSING ID")</x:f>
        <x:v>Canister protective endcap</x:v>
      </x:c>
      <x:c r="G321" s="4" t="str">
        <x:f>IFERROR(INDEX('Material routes'!$F$6:$F$2205,MATCH(V321,'Material routes'!$A$6:$A$2205,0)),"MISSING ID")</x:f>
        <x:v>T3</x:v>
      </x:c>
      <x:c r="H321" s="4" t="str">
        <x:f>IFERROR(INDEX('Material routes'!$H$6:$H$2205,MATCH(V321,'Material routes'!$A$6:$A$2205,0)),"MISSING ID")</x:f>
        <x:v>Container part</x:v>
      </x:c>
      <x:c r="I321" s="4" t="str">
        <x:f>IFERROR(INDEX('Material routes'!$G$6:$G$2205,MATCH(V321,'Material routes'!$A$6:$A$2205,0)),"MISSING ID")</x:f>
        <x:v>Crafting components</x:v>
      </x:c>
      <x:c r="J321" s="4" t="str">
        <x:f>IFERROR(INDEX('Material routes'!$B$6:$B$2205,MATCH(U321,'Material routes'!$A$6:$A$2205,0)),"MISSING ID")</x:f>
        <x:v>design.review.proposal_canister_endcap</x:v>
      </x:c>
      <x:c r="K321" s="4" t="str">
        <x:f>IFERROR(INDEX('Crafting recipes'!$C$6:$C$1005,MATCH(J321,'Crafting recipes'!$A$6:$A$1005,0)),"MISSING ID")</x:f>
        <x:v>Material refinement</x:v>
      </x:c>
      <x:c r="L321" s="4" t="str">
        <x:f>IFERROR(INDEX('Material routes'!$K$6:$K$2205,MATCH(U321,'Material routes'!$A$6:$A$2205,0)),"MISSING ID")</x:f>
        <x:v>Proposal</x:v>
      </x:c>
      <x:c r="M321" s="4" t="str">
        <x:f>IFERROR(INDEX('Material routes'!$M$6:$M$2205,MATCH(U321,'Material routes'!$A$6:$A$2205,0)),"MISSING ID")</x:f>
        <x:v>Partial proposal</x:v>
      </x:c>
      <x:c r="N321" s="4" t="str">
        <x:f>IF(IFERROR(INDEX('Material routes'!$I$6:$I$1005,MATCH(U321,'Material routes'!$A$6:$A$1005,0)),"MISSING ID")=0,"",IFERROR(INDEX('Material routes'!$I$6:$I$1005,MATCH(U321,'Material routes'!$A$6:$A$1005,0)),"MISSING ID"))</x:f>
      </x:c>
      <x:c r="O321" s="4" t="str">
        <x:f>IFERROR(INDEX('Material routes'!$J$6:$J$2205,MATCH(U321,'Material routes'!$A$6:$A$2205,0)),"MISSING ID")</x:f>
        <x:v>Unspecified</x:v>
      </x:c>
      <x:c r="P321" s="4" t="str">
        <x:f>IF(IFERROR(INDEX('Material routes'!$I$6:$I$1005,MATCH(V321,'Material routes'!$A$6:$A$1005,0)),"MISSING ID")=0,"",IFERROR(INDEX('Material routes'!$I$6:$I$1005,MATCH(V321,'Material routes'!$A$6:$A$1005,0)),"MISSING ID"))</x:f>
      </x:c>
      <x:c r="Q321" s="4" t="str">
        <x:f>IFERROR(INDEX('Material routes'!$J$6:$J$2205,MATCH(V321,'Material routes'!$A$6:$A$2205,0)),"MISSING ID")</x:f>
        <x:v>Unspecified</x:v>
      </x:c>
      <x:c r="R321" s="4" t="str">
        <x:f>IF(L321="Withheld","Withheld premise",IF(E321="Tool candidate","Reusable prerequisite",IF(K321="Raw entry preparation","Entry-resource preparation",IF(G321="Not applicable",IF(IFERROR(INDEX('Items'!$AI$6:$AI$1005,MATCH(T321,'Items'!$A$6:$A$1005,0)),"MISSING ID")="Finished item","Finished endpoint",IF(IFERROR(INDEX('Items'!$AI$6:$AI$1005,MATCH(T321,'Items'!$A$6:$A$1005,0)),"MISSING ID")="Currency","Currency / no refinement tier","Recovered output / tier not applicable")),IF(OR(IFERROR(INDEX('Crafting recipes'!$H$6:$H$1005,MATCH(J321,'Crafting recipes'!$A$6:$A$1005,0)),"MISSING ID")="Unassigned",G321="Unassigned"),"Tier unresolved",IF(IFERROR(VALUE(RIGHT(G321,1))-VALUE(RIGHT(IFERROR(INDEX('Crafting recipes'!$H$6:$H$1005,MATCH(J321,'Crafting recipes'!$A$6:$A$1005,0)),"MISSING ID"),1)),0)=1,IF(B321=IFERROR(INDEX('Crafting recipes'!$H$6:$H$1005,MATCH(J321,'Crafting recipes'!$A$6:$A$1005,0)),"MISSING ID"),"Advances one material tier","Lower-tier ingredient; route advances one tier"),"Needs tier review"))))))</x:f>
        <x:v>Advances one material tier</x:v>
      </x:c>
      <x:c r="S321" s="4" t="str">
        <x:f>IFERROR(INDEX('Material routes'!$D$6:$D$2205,MATCH(U321,'Material routes'!$A$6:$A$2205,0)),"MISSING ID")</x:f>
        <x:v>author.metallurgy.steel_stock</x:v>
      </x:c>
      <x:c r="T321" s="4" t="str">
        <x:f>IFERROR(INDEX('Material routes'!$D$6:$D$2205,MATCH(V321,'Material routes'!$A$6:$A$2205,0)),"MISSING ID")</x:f>
        <x:v>proposal.canister.endcap</x:v>
      </x:c>
      <x:c r="U321" s="4" t="str">
        <x:v>design.review.proposal_canister_endcap.in.3</x:v>
      </x:c>
      <x:c r="V321" s="4" t="str">
        <x:v>design.review.proposal_canister_endcap.out</x:v>
      </x:c>
    </x:row>
    <x:row r="322" ht="115" customHeight="1">
      <x:c r="A322" s="4" t="str">
        <x:f>IFERROR(INDEX('Material routes'!$E$6:$E$2205,MATCH(U322,'Material routes'!$A$6:$A$2205,0)),"MISSING ID")</x:f>
        <x:v>Prepared ceramic body feed</x:v>
      </x:c>
      <x:c r="B322" s="4" t="str">
        <x:f>IFERROR(INDEX('Material routes'!$F$6:$F$2205,MATCH(U322,'Material routes'!$A$6:$A$2205,0)),"MISSING ID")</x:f>
        <x:v>T1</x:v>
      </x:c>
      <x:c r="C322" s="4" t="str">
        <x:f>IFERROR(INDEX('Material routes'!$H$6:$H$2205,MATCH(U322,'Material routes'!$A$6:$A$2205,0)),"MISSING ID")</x:f>
        <x:v>Processed material</x:v>
      </x:c>
      <x:c r="D322" s="4" t="str">
        <x:f>IFERROR(INDEX('Material routes'!$G$6:$G$2205,MATCH(U322,'Material routes'!$A$6:$A$2205,0)),"MISSING ID")</x:f>
        <x:v>Manufactured stock</x:v>
      </x:c>
      <x:c r="E322" s="4" t="str">
        <x:f>IFERROR(INDEX('Material routes'!$C$6:$C$2205,MATCH(U322,'Material routes'!$A$6:$A$2205,0)),"MISSING ID")</x:f>
        <x:v>Ingredient candidate</x:v>
      </x:c>
      <x:c r="F322" s="4" t="str">
        <x:f>IFERROR(INDEX('Material routes'!$E$6:$E$2205,MATCH(V322,'Material routes'!$A$6:$A$2205,0)),"MISSING ID")</x:f>
        <x:v>Unfired shaped ceramic blank</x:v>
      </x:c>
      <x:c r="G322" s="4" t="str">
        <x:f>IFERROR(INDEX('Material routes'!$F$6:$F$2205,MATCH(V322,'Material routes'!$A$6:$A$2205,0)),"MISSING ID")</x:f>
        <x:v>T2</x:v>
      </x:c>
      <x:c r="H322" s="4" t="str">
        <x:f>IFERROR(INDEX('Material routes'!$H$6:$H$2205,MATCH(V322,'Material routes'!$A$6:$A$2205,0)),"MISSING ID")</x:f>
        <x:v>Crafting component</x:v>
      </x:c>
      <x:c r="I322" s="4" t="str">
        <x:f>IFERROR(INDEX('Material routes'!$G$6:$G$2205,MATCH(V322,'Material routes'!$A$6:$A$2205,0)),"MISSING ID")</x:f>
        <x:v>Crafting components</x:v>
      </x:c>
      <x:c r="J322" s="4" t="str">
        <x:f>IFERROR(INDEX('Material routes'!$B$6:$B$2205,MATCH(U322,'Material routes'!$A$6:$A$2205,0)),"MISSING ID")</x:f>
        <x:v>design.review.proposal_ceramic_unfired_blank</x:v>
      </x:c>
      <x:c r="K322" s="4" t="str">
        <x:f>IFERROR(INDEX('Crafting recipes'!$C$6:$C$1005,MATCH(J322,'Crafting recipes'!$A$6:$A$1005,0)),"MISSING ID")</x:f>
        <x:v>Material refinement</x:v>
      </x:c>
      <x:c r="L322" s="4" t="str">
        <x:f>IFERROR(INDEX('Material routes'!$K$6:$K$2205,MATCH(U322,'Material routes'!$A$6:$A$2205,0)),"MISSING ID")</x:f>
        <x:v>Proposal</x:v>
      </x:c>
      <x:c r="M322" s="4" t="str">
        <x:f>IFERROR(INDEX('Material routes'!$M$6:$M$2205,MATCH(U322,'Material routes'!$A$6:$A$2205,0)),"MISSING ID")</x:f>
        <x:v>Partial proposal</x:v>
      </x:c>
      <x:c r="N322" s="4" t="str">
        <x:f>IF(IFERROR(INDEX('Material routes'!$I$6:$I$1005,MATCH(U322,'Material routes'!$A$6:$A$1005,0)),"MISSING ID")=0,"",IFERROR(INDEX('Material routes'!$I$6:$I$1005,MATCH(U322,'Material routes'!$A$6:$A$1005,0)),"MISSING ID"))</x:f>
      </x:c>
      <x:c r="O322" s="4" t="str">
        <x:f>IFERROR(INDEX('Material routes'!$J$6:$J$2205,MATCH(U322,'Material routes'!$A$6:$A$2205,0)),"MISSING ID")</x:f>
        <x:v>Unspecified</x:v>
      </x:c>
      <x:c r="P322" s="4" t="str">
        <x:f>IF(IFERROR(INDEX('Material routes'!$I$6:$I$1005,MATCH(V322,'Material routes'!$A$6:$A$1005,0)),"MISSING ID")=0,"",IFERROR(INDEX('Material routes'!$I$6:$I$1005,MATCH(V322,'Material routes'!$A$6:$A$1005,0)),"MISSING ID"))</x:f>
      </x:c>
      <x:c r="Q322" s="4" t="str">
        <x:f>IFERROR(INDEX('Material routes'!$J$6:$J$2205,MATCH(V322,'Material routes'!$A$6:$A$2205,0)),"MISSING ID")</x:f>
        <x:v>Unspecified</x:v>
      </x:c>
      <x:c r="R322" s="4" t="str">
        <x:f>IF(L322="Withheld","Withheld premise",IF(E322="Tool candidate","Reusable prerequisite",IF(K322="Raw entry preparation","Entry-resource preparation",IF(G322="Not applicable",IF(IFERROR(INDEX('Items'!$AI$6:$AI$1005,MATCH(T322,'Items'!$A$6:$A$1005,0)),"MISSING ID")="Finished item","Finished endpoint",IF(IFERROR(INDEX('Items'!$AI$6:$AI$1005,MATCH(T322,'Items'!$A$6:$A$1005,0)),"MISSING ID")="Currency","Currency / no refinement tier","Recovered output / tier not applicable")),IF(OR(IFERROR(INDEX('Crafting recipes'!$H$6:$H$1005,MATCH(J322,'Crafting recipes'!$A$6:$A$1005,0)),"MISSING ID")="Unassigned",G322="Unassigned"),"Tier unresolved",IF(IFERROR(VALUE(RIGHT(G322,1))-VALUE(RIGHT(IFERROR(INDEX('Crafting recipes'!$H$6:$H$1005,MATCH(J322,'Crafting recipes'!$A$6:$A$1005,0)),"MISSING ID"),1)),0)=1,IF(B322=IFERROR(INDEX('Crafting recipes'!$H$6:$H$1005,MATCH(J322,'Crafting recipes'!$A$6:$A$1005,0)),"MISSING ID"),"Advances one material tier","Lower-tier ingredient; route advances one tier"),"Needs tier review"))))))</x:f>
        <x:v>Advances one material tier</x:v>
      </x:c>
      <x:c r="S322" s="4" t="str">
        <x:f>IFERROR(INDEX('Material routes'!$D$6:$D$2205,MATCH(U322,'Material routes'!$A$6:$A$2205,0)),"MISSING ID")</x:f>
        <x:v>proposal.ceramic.body_feed</x:v>
      </x:c>
      <x:c r="T322" s="4" t="str">
        <x:f>IFERROR(INDEX('Material routes'!$D$6:$D$2205,MATCH(V322,'Material routes'!$A$6:$A$2205,0)),"MISSING ID")</x:f>
        <x:v>proposal.ceramic.unfired_blank</x:v>
      </x:c>
      <x:c r="U322" s="4" t="str">
        <x:v>design.review.proposal_ceramic_unfired_blank.in.1</x:v>
      </x:c>
      <x:c r="V322" s="4" t="str">
        <x:v>design.review.proposal_ceramic_unfired_blank.out</x:v>
      </x:c>
    </x:row>
    <x:row r="323" ht="115" customHeight="1">
      <x:c r="A323" s="4" t="str">
        <x:f>IFERROR(INDEX('Material routes'!$E$6:$E$2205,MATCH(U323,'Material routes'!$A$6:$A$2205,0)),"MISSING ID")</x:f>
        <x:v>Selected faunal carrier fraction</x:v>
      </x:c>
      <x:c r="B323" s="4" t="str">
        <x:f>IFERROR(INDEX('Material routes'!$F$6:$F$2205,MATCH(U323,'Material routes'!$A$6:$A$2205,0)),"MISSING ID")</x:f>
        <x:v>T1</x:v>
      </x:c>
      <x:c r="C323" s="4" t="str">
        <x:f>IFERROR(INDEX('Material routes'!$H$6:$H$2205,MATCH(U323,'Material routes'!$A$6:$A$2205,0)),"MISSING ID")</x:f>
        <x:v>Chemical material</x:v>
      </x:c>
      <x:c r="D323" s="4" t="str">
        <x:f>IFERROR(INDEX('Material routes'!$G$6:$G$2205,MATCH(U323,'Material routes'!$A$6:$A$2205,0)),"MISSING ID")</x:f>
        <x:v>Crafting components</x:v>
      </x:c>
      <x:c r="E323" s="4" t="str">
        <x:f>IFERROR(INDEX('Material routes'!$C$6:$C$2205,MATCH(U323,'Material routes'!$A$6:$A$2205,0)),"MISSING ID")</x:f>
        <x:v>Ingredient candidate</x:v>
      </x:c>
      <x:c r="F323" s="4" t="str">
        <x:f>IFERROR(INDEX('Material routes'!$E$6:$E$2205,MATCH(V323,'Material routes'!$A$6:$A$2205,0)),"MISSING ID")</x:f>
        <x:v>Unfired shaped ceramic blank</x:v>
      </x:c>
      <x:c r="G323" s="4" t="str">
        <x:f>IFERROR(INDEX('Material routes'!$F$6:$F$2205,MATCH(V323,'Material routes'!$A$6:$A$2205,0)),"MISSING ID")</x:f>
        <x:v>T2</x:v>
      </x:c>
      <x:c r="H323" s="4" t="str">
        <x:f>IFERROR(INDEX('Material routes'!$H$6:$H$2205,MATCH(V323,'Material routes'!$A$6:$A$2205,0)),"MISSING ID")</x:f>
        <x:v>Crafting component</x:v>
      </x:c>
      <x:c r="I323" s="4" t="str">
        <x:f>IFERROR(INDEX('Material routes'!$G$6:$G$2205,MATCH(V323,'Material routes'!$A$6:$A$2205,0)),"MISSING ID")</x:f>
        <x:v>Crafting components</x:v>
      </x:c>
      <x:c r="J323" s="4" t="str">
        <x:f>IFERROR(INDEX('Material routes'!$B$6:$B$2205,MATCH(U323,'Material routes'!$A$6:$A$2205,0)),"MISSING ID")</x:f>
        <x:v>design.review.proposal_ceramic_unfired_blank</x:v>
      </x:c>
      <x:c r="K323" s="4" t="str">
        <x:f>IFERROR(INDEX('Crafting recipes'!$C$6:$C$1005,MATCH(J323,'Crafting recipes'!$A$6:$A$1005,0)),"MISSING ID")</x:f>
        <x:v>Material refinement</x:v>
      </x:c>
      <x:c r="L323" s="4" t="str">
        <x:f>IFERROR(INDEX('Material routes'!$K$6:$K$2205,MATCH(U323,'Material routes'!$A$6:$A$2205,0)),"MISSING ID")</x:f>
        <x:v>Proposal</x:v>
      </x:c>
      <x:c r="M323" s="4" t="str">
        <x:f>IFERROR(INDEX('Material routes'!$M$6:$M$2205,MATCH(U323,'Material routes'!$A$6:$A$2205,0)),"MISSING ID")</x:f>
        <x:v>Partial proposal</x:v>
      </x:c>
      <x:c r="N323" s="4" t="str">
        <x:f>IF(IFERROR(INDEX('Material routes'!$I$6:$I$1005,MATCH(U323,'Material routes'!$A$6:$A$1005,0)),"MISSING ID")=0,"",IFERROR(INDEX('Material routes'!$I$6:$I$1005,MATCH(U323,'Material routes'!$A$6:$A$1005,0)),"MISSING ID"))</x:f>
      </x:c>
      <x:c r="O323" s="4" t="str">
        <x:f>IFERROR(INDEX('Material routes'!$J$6:$J$2205,MATCH(U323,'Material routes'!$A$6:$A$2205,0)),"MISSING ID")</x:f>
        <x:v>Unspecified</x:v>
      </x:c>
      <x:c r="P323" s="4" t="str">
        <x:f>IF(IFERROR(INDEX('Material routes'!$I$6:$I$1005,MATCH(V323,'Material routes'!$A$6:$A$1005,0)),"MISSING ID")=0,"",IFERROR(INDEX('Material routes'!$I$6:$I$1005,MATCH(V323,'Material routes'!$A$6:$A$1005,0)),"MISSING ID"))</x:f>
      </x:c>
      <x:c r="Q323" s="4" t="str">
        <x:f>IFERROR(INDEX('Material routes'!$J$6:$J$2205,MATCH(V323,'Material routes'!$A$6:$A$2205,0)),"MISSING ID")</x:f>
        <x:v>Unspecified</x:v>
      </x:c>
      <x:c r="R323" s="4" t="str">
        <x:f>IF(L323="Withheld","Withheld premise",IF(E323="Tool candidate","Reusable prerequisite",IF(K323="Raw entry preparation","Entry-resource preparation",IF(G323="Not applicable",IF(IFERROR(INDEX('Items'!$AI$6:$AI$1005,MATCH(T323,'Items'!$A$6:$A$1005,0)),"MISSING ID")="Finished item","Finished endpoint",IF(IFERROR(INDEX('Items'!$AI$6:$AI$1005,MATCH(T323,'Items'!$A$6:$A$1005,0)),"MISSING ID")="Currency","Currency / no refinement tier","Recovered output / tier not applicable")),IF(OR(IFERROR(INDEX('Crafting recipes'!$H$6:$H$1005,MATCH(J323,'Crafting recipes'!$A$6:$A$1005,0)),"MISSING ID")="Unassigned",G323="Unassigned"),"Tier unresolved",IF(IFERROR(VALUE(RIGHT(G323,1))-VALUE(RIGHT(IFERROR(INDEX('Crafting recipes'!$H$6:$H$1005,MATCH(J323,'Crafting recipes'!$A$6:$A$1005,0)),"MISSING ID"),1)),0)=1,IF(B323=IFERROR(INDEX('Crafting recipes'!$H$6:$H$1005,MATCH(J323,'Crafting recipes'!$A$6:$A$1005,0)),"MISSING ID"),"Advances one material tier","Lower-tier ingredient; route advances one tier"),"Needs tier review"))))))</x:f>
        <x:v>Advances one material tier</x:v>
      </x:c>
      <x:c r="S323" s="4" t="str">
        <x:f>IFERROR(INDEX('Material routes'!$D$6:$D$2205,MATCH(U323,'Material routes'!$A$6:$A$2205,0)),"MISSING ID")</x:f>
        <x:v>proposal.t1.faunal_carrier</x:v>
      </x:c>
      <x:c r="T323" s="4" t="str">
        <x:f>IFERROR(INDEX('Material routes'!$D$6:$D$2205,MATCH(V323,'Material routes'!$A$6:$A$2205,0)),"MISSING ID")</x:f>
        <x:v>proposal.ceramic.unfired_blank</x:v>
      </x:c>
      <x:c r="U323" s="4" t="str">
        <x:v>design.review.proposal_ceramic_unfired_blank.in.2</x:v>
      </x:c>
      <x:c r="V323" s="4" t="str">
        <x:v>design.review.proposal_ceramic_unfired_blank.out</x:v>
      </x:c>
    </x:row>
    <x:row r="324" ht="115" customHeight="1">
      <x:c r="A324" s="4" t="str">
        <x:f>IFERROR(INDEX('Material routes'!$E$6:$E$2205,MATCH(U324,'Material routes'!$A$6:$A$2205,0)),"MISSING ID")</x:f>
        <x:v>Refractory ceramic stock</x:v>
      </x:c>
      <x:c r="B324" s="4" t="str">
        <x:f>IFERROR(INDEX('Material routes'!$F$6:$F$2205,MATCH(U324,'Material routes'!$A$6:$A$2205,0)),"MISSING ID")</x:f>
        <x:v>T2</x:v>
      </x:c>
      <x:c r="C324" s="4" t="str">
        <x:f>IFERROR(INDEX('Material routes'!$H$6:$H$2205,MATCH(U324,'Material routes'!$A$6:$A$2205,0)),"MISSING ID")</x:f>
        <x:v>Processed material</x:v>
      </x:c>
      <x:c r="D324" s="4" t="str">
        <x:f>IFERROR(INDEX('Material routes'!$G$6:$G$2205,MATCH(U324,'Material routes'!$A$6:$A$2205,0)),"MISSING ID")</x:f>
        <x:v>Manufactured stock</x:v>
      </x:c>
      <x:c r="E324" s="4" t="str">
        <x:f>IFERROR(INDEX('Material routes'!$C$6:$C$2205,MATCH(U324,'Material routes'!$A$6:$A$2205,0)),"MISSING ID")</x:f>
        <x:v>Ingredient candidate</x:v>
      </x:c>
      <x:c r="F324" s="4" t="str">
        <x:f>IFERROR(INDEX('Material routes'!$E$6:$E$2205,MATCH(V324,'Material routes'!$A$6:$A$2205,0)),"MISSING ID")</x:f>
        <x:v>Refractory ceramic brick</x:v>
      </x:c>
      <x:c r="G324" s="4" t="str">
        <x:f>IFERROR(INDEX('Material routes'!$F$6:$F$2205,MATCH(V324,'Material routes'!$A$6:$A$2205,0)),"MISSING ID")</x:f>
        <x:v>T3</x:v>
      </x:c>
      <x:c r="H324" s="4" t="str">
        <x:f>IFERROR(INDEX('Material routes'!$H$6:$H$2205,MATCH(V324,'Material routes'!$A$6:$A$2205,0)),"MISSING ID")</x:f>
        <x:v>Crafting component</x:v>
      </x:c>
      <x:c r="I324" s="4" t="str">
        <x:f>IFERROR(INDEX('Material routes'!$G$6:$G$2205,MATCH(V324,'Material routes'!$A$6:$A$2205,0)),"MISSING ID")</x:f>
        <x:v>Crafting components</x:v>
      </x:c>
      <x:c r="J324" s="4" t="str">
        <x:f>IFERROR(INDEX('Material routes'!$B$6:$B$2205,MATCH(U324,'Material routes'!$A$6:$A$2205,0)),"MISSING ID")</x:f>
        <x:v>design.review.proposal_ceramic_refractory_brick</x:v>
      </x:c>
      <x:c r="K324" s="4" t="str">
        <x:f>IFERROR(INDEX('Crafting recipes'!$C$6:$C$1005,MATCH(J324,'Crafting recipes'!$A$6:$A$1005,0)),"MISSING ID")</x:f>
        <x:v>Material refinement</x:v>
      </x:c>
      <x:c r="L324" s="4" t="str">
        <x:f>IFERROR(INDEX('Material routes'!$K$6:$K$2205,MATCH(U324,'Material routes'!$A$6:$A$2205,0)),"MISSING ID")</x:f>
        <x:v>Proposal</x:v>
      </x:c>
      <x:c r="M324" s="4" t="str">
        <x:f>IFERROR(INDEX('Material routes'!$M$6:$M$2205,MATCH(U324,'Material routes'!$A$6:$A$2205,0)),"MISSING ID")</x:f>
        <x:v>Partial proposal</x:v>
      </x:c>
      <x:c r="N324" s="4" t="str">
        <x:f>IF(IFERROR(INDEX('Material routes'!$I$6:$I$1005,MATCH(U324,'Material routes'!$A$6:$A$1005,0)),"MISSING ID")=0,"",IFERROR(INDEX('Material routes'!$I$6:$I$1005,MATCH(U324,'Material routes'!$A$6:$A$1005,0)),"MISSING ID"))</x:f>
      </x:c>
      <x:c r="O324" s="4" t="str">
        <x:f>IFERROR(INDEX('Material routes'!$J$6:$J$2205,MATCH(U324,'Material routes'!$A$6:$A$2205,0)),"MISSING ID")</x:f>
        <x:v>Unspecified</x:v>
      </x:c>
      <x:c r="P324" s="4" t="str">
        <x:f>IF(IFERROR(INDEX('Material routes'!$I$6:$I$1005,MATCH(V324,'Material routes'!$A$6:$A$1005,0)),"MISSING ID")=0,"",IFERROR(INDEX('Material routes'!$I$6:$I$1005,MATCH(V324,'Material routes'!$A$6:$A$1005,0)),"MISSING ID"))</x:f>
      </x:c>
      <x:c r="Q324" s="4" t="str">
        <x:f>IFERROR(INDEX('Material routes'!$J$6:$J$2205,MATCH(V324,'Material routes'!$A$6:$A$2205,0)),"MISSING ID")</x:f>
        <x:v>Unspecified</x:v>
      </x:c>
      <x:c r="R324" s="4" t="str">
        <x:f>IF(L324="Withheld","Withheld premise",IF(E324="Tool candidate","Reusable prerequisite",IF(K324="Raw entry preparation","Entry-resource preparation",IF(G324="Not applicable",IF(IFERROR(INDEX('Items'!$AI$6:$AI$1005,MATCH(T324,'Items'!$A$6:$A$1005,0)),"MISSING ID")="Finished item","Finished endpoint",IF(IFERROR(INDEX('Items'!$AI$6:$AI$1005,MATCH(T324,'Items'!$A$6:$A$1005,0)),"MISSING ID")="Currency","Currency / no refinement tier","Recovered output / tier not applicable")),IF(OR(IFERROR(INDEX('Crafting recipes'!$H$6:$H$1005,MATCH(J324,'Crafting recipes'!$A$6:$A$1005,0)),"MISSING ID")="Unassigned",G324="Unassigned"),"Tier unresolved",IF(IFERROR(VALUE(RIGHT(G324,1))-VALUE(RIGHT(IFERROR(INDEX('Crafting recipes'!$H$6:$H$1005,MATCH(J324,'Crafting recipes'!$A$6:$A$1005,0)),"MISSING ID"),1)),0)=1,IF(B324=IFERROR(INDEX('Crafting recipes'!$H$6:$H$1005,MATCH(J324,'Crafting recipes'!$A$6:$A$1005,0)),"MISSING ID"),"Advances one material tier","Lower-tier ingredient; route advances one tier"),"Needs tier review"))))))</x:f>
        <x:v>Advances one material tier</x:v>
      </x:c>
      <x:c r="S324" s="4" t="str">
        <x:f>IFERROR(INDEX('Material routes'!$D$6:$D$2205,MATCH(U324,'Material routes'!$A$6:$A$2205,0)),"MISSING ID")</x:f>
        <x:v>proposal.branch.refractory_ceramic</x:v>
      </x:c>
      <x:c r="T324" s="4" t="str">
        <x:f>IFERROR(INDEX('Material routes'!$D$6:$D$2205,MATCH(V324,'Material routes'!$A$6:$A$2205,0)),"MISSING ID")</x:f>
        <x:v>proposal.ceramic.refractory_brick</x:v>
      </x:c>
      <x:c r="U324" s="4" t="str">
        <x:v>design.review.proposal_ceramic_refractory_brick.in.1</x:v>
      </x:c>
      <x:c r="V324" s="4" t="str">
        <x:v>design.review.proposal_ceramic_refractory_brick.out</x:v>
      </x:c>
    </x:row>
    <x:row r="325" ht="115" customHeight="1">
      <x:c r="A325" s="4" t="str">
        <x:f>IFERROR(INDEX('Material routes'!$E$6:$E$2205,MATCH(U325,'Material routes'!$A$6:$A$2205,0)),"MISSING ID")</x:f>
        <x:v>Graded abrasive grit</x:v>
      </x:c>
      <x:c r="B325" s="4" t="str">
        <x:f>IFERROR(INDEX('Material routes'!$F$6:$F$2205,MATCH(U325,'Material routes'!$A$6:$A$2205,0)),"MISSING ID")</x:f>
        <x:v>T1</x:v>
      </x:c>
      <x:c r="C325" s="4" t="str">
        <x:f>IFERROR(INDEX('Material routes'!$H$6:$H$2205,MATCH(U325,'Material routes'!$A$6:$A$2205,0)),"MISSING ID")</x:f>
        <x:v>Processed material</x:v>
      </x:c>
      <x:c r="D325" s="4" t="str">
        <x:f>IFERROR(INDEX('Material routes'!$G$6:$G$2205,MATCH(U325,'Material routes'!$A$6:$A$2205,0)),"MISSING ID")</x:f>
        <x:v>Manufactured stock</x:v>
      </x:c>
      <x:c r="E325" s="4" t="str">
        <x:f>IFERROR(INDEX('Material routes'!$C$6:$C$2205,MATCH(U325,'Material routes'!$A$6:$A$2205,0)),"MISSING ID")</x:f>
        <x:v>Ingredient candidate</x:v>
      </x:c>
      <x:c r="F325" s="4" t="str">
        <x:f>IFERROR(INDEX('Material routes'!$E$6:$E$2205,MATCH(V325,'Material routes'!$A$6:$A$2205,0)),"MISSING ID")</x:f>
        <x:v>Refractory ceramic brick</x:v>
      </x:c>
      <x:c r="G325" s="4" t="str">
        <x:f>IFERROR(INDEX('Material routes'!$F$6:$F$2205,MATCH(V325,'Material routes'!$A$6:$A$2205,0)),"MISSING ID")</x:f>
        <x:v>T3</x:v>
      </x:c>
      <x:c r="H325" s="4" t="str">
        <x:f>IFERROR(INDEX('Material routes'!$H$6:$H$2205,MATCH(V325,'Material routes'!$A$6:$A$2205,0)),"MISSING ID")</x:f>
        <x:v>Crafting component</x:v>
      </x:c>
      <x:c r="I325" s="4" t="str">
        <x:f>IFERROR(INDEX('Material routes'!$G$6:$G$2205,MATCH(V325,'Material routes'!$A$6:$A$2205,0)),"MISSING ID")</x:f>
        <x:v>Crafting components</x:v>
      </x:c>
      <x:c r="J325" s="4" t="str">
        <x:f>IFERROR(INDEX('Material routes'!$B$6:$B$2205,MATCH(U325,'Material routes'!$A$6:$A$2205,0)),"MISSING ID")</x:f>
        <x:v>design.review.proposal_ceramic_refractory_brick</x:v>
      </x:c>
      <x:c r="K325" s="4" t="str">
        <x:f>IFERROR(INDEX('Crafting recipes'!$C$6:$C$1005,MATCH(J325,'Crafting recipes'!$A$6:$A$1005,0)),"MISSING ID")</x:f>
        <x:v>Material refinement</x:v>
      </x:c>
      <x:c r="L325" s="4" t="str">
        <x:f>IFERROR(INDEX('Material routes'!$K$6:$K$2205,MATCH(U325,'Material routes'!$A$6:$A$2205,0)),"MISSING ID")</x:f>
        <x:v>Proposal</x:v>
      </x:c>
      <x:c r="M325" s="4" t="str">
        <x:f>IFERROR(INDEX('Material routes'!$M$6:$M$2205,MATCH(U325,'Material routes'!$A$6:$A$2205,0)),"MISSING ID")</x:f>
        <x:v>Partial proposal</x:v>
      </x:c>
      <x:c r="N325" s="4" t="str">
        <x:f>IF(IFERROR(INDEX('Material routes'!$I$6:$I$1005,MATCH(U325,'Material routes'!$A$6:$A$1005,0)),"MISSING ID")=0,"",IFERROR(INDEX('Material routes'!$I$6:$I$1005,MATCH(U325,'Material routes'!$A$6:$A$1005,0)),"MISSING ID"))</x:f>
      </x:c>
      <x:c r="O325" s="4" t="str">
        <x:f>IFERROR(INDEX('Material routes'!$J$6:$J$2205,MATCH(U325,'Material routes'!$A$6:$A$2205,0)),"MISSING ID")</x:f>
        <x:v>Unspecified</x:v>
      </x:c>
      <x:c r="P325" s="4" t="str">
        <x:f>IF(IFERROR(INDEX('Material routes'!$I$6:$I$1005,MATCH(V325,'Material routes'!$A$6:$A$1005,0)),"MISSING ID")=0,"",IFERROR(INDEX('Material routes'!$I$6:$I$1005,MATCH(V325,'Material routes'!$A$6:$A$1005,0)),"MISSING ID"))</x:f>
      </x:c>
      <x:c r="Q325" s="4" t="str">
        <x:f>IFERROR(INDEX('Material routes'!$J$6:$J$2205,MATCH(V325,'Material routes'!$A$6:$A$2205,0)),"MISSING ID")</x:f>
        <x:v>Unspecified</x:v>
      </x:c>
      <x:c r="R325" s="4" t="str">
        <x:f>IF(L325="Withheld","Withheld premise",IF(E325="Tool candidate","Reusable prerequisite",IF(K325="Raw entry preparation","Entry-resource preparation",IF(G325="Not applicable",IF(IFERROR(INDEX('Items'!$AI$6:$AI$1005,MATCH(T325,'Items'!$A$6:$A$1005,0)),"MISSING ID")="Finished item","Finished endpoint",IF(IFERROR(INDEX('Items'!$AI$6:$AI$1005,MATCH(T325,'Items'!$A$6:$A$1005,0)),"MISSING ID")="Currency","Currency / no refinement tier","Recovered output / tier not applicable")),IF(OR(IFERROR(INDEX('Crafting recipes'!$H$6:$H$1005,MATCH(J325,'Crafting recipes'!$A$6:$A$1005,0)),"MISSING ID")="Unassigned",G325="Unassigned"),"Tier unresolved",IF(IFERROR(VALUE(RIGHT(G325,1))-VALUE(RIGHT(IFERROR(INDEX('Crafting recipes'!$H$6:$H$1005,MATCH(J325,'Crafting recipes'!$A$6:$A$1005,0)),"MISSING ID"),1)),0)=1,IF(B325=IFERROR(INDEX('Crafting recipes'!$H$6:$H$1005,MATCH(J325,'Crafting recipes'!$A$6:$A$1005,0)),"MISSING ID"),"Advances one material tier","Lower-tier ingredient; route advances one tier"),"Needs tier review"))))))</x:f>
        <x:v>Lower-tier ingredient; route advances one tier</x:v>
      </x:c>
      <x:c r="S325" s="4" t="str">
        <x:f>IFERROR(INDEX('Material routes'!$D$6:$D$2205,MATCH(U325,'Material routes'!$A$6:$A$2205,0)),"MISSING ID")</x:f>
        <x:v>proposal.natural.abrasive</x:v>
      </x:c>
      <x:c r="T325" s="4" t="str">
        <x:f>IFERROR(INDEX('Material routes'!$D$6:$D$2205,MATCH(V325,'Material routes'!$A$6:$A$2205,0)),"MISSING ID")</x:f>
        <x:v>proposal.ceramic.refractory_brick</x:v>
      </x:c>
      <x:c r="U325" s="4" t="str">
        <x:v>design.review.proposal_ceramic_refractory_brick.in.2</x:v>
      </x:c>
      <x:c r="V325" s="4" t="str">
        <x:v>design.review.proposal_ceramic_refractory_brick.out</x:v>
      </x:c>
    </x:row>
    <x:row r="326" ht="115" customHeight="1">
      <x:c r="A326" s="4" t="str">
        <x:f>IFERROR(INDEX('Material routes'!$E$6:$E$2205,MATCH(U326,'Material routes'!$A$6:$A$2205,0)),"MISSING ID")</x:f>
        <x:v>Refractory ceramic stock</x:v>
      </x:c>
      <x:c r="B326" s="4" t="str">
        <x:f>IFERROR(INDEX('Material routes'!$F$6:$F$2205,MATCH(U326,'Material routes'!$A$6:$A$2205,0)),"MISSING ID")</x:f>
        <x:v>T2</x:v>
      </x:c>
      <x:c r="C326" s="4" t="str">
        <x:f>IFERROR(INDEX('Material routes'!$H$6:$H$2205,MATCH(U326,'Material routes'!$A$6:$A$2205,0)),"MISSING ID")</x:f>
        <x:v>Processed material</x:v>
      </x:c>
      <x:c r="D326" s="4" t="str">
        <x:f>IFERROR(INDEX('Material routes'!$G$6:$G$2205,MATCH(U326,'Material routes'!$A$6:$A$2205,0)),"MISSING ID")</x:f>
        <x:v>Manufactured stock</x:v>
      </x:c>
      <x:c r="E326" s="4" t="str">
        <x:f>IFERROR(INDEX('Material routes'!$C$6:$C$2205,MATCH(U326,'Material routes'!$A$6:$A$2205,0)),"MISSING ID")</x:f>
        <x:v>Ingredient candidate</x:v>
      </x:c>
      <x:c r="F326" s="4" t="str">
        <x:f>IFERROR(INDEX('Material routes'!$E$6:$E$2205,MATCH(V326,'Material routes'!$A$6:$A$2205,0)),"MISSING ID")</x:f>
        <x:v>Ceramic kiln lining panel</x:v>
      </x:c>
      <x:c r="G326" s="4" t="str">
        <x:f>IFERROR(INDEX('Material routes'!$F$6:$F$2205,MATCH(V326,'Material routes'!$A$6:$A$2205,0)),"MISSING ID")</x:f>
        <x:v>T3</x:v>
      </x:c>
      <x:c r="H326" s="4" t="str">
        <x:f>IFERROR(INDEX('Material routes'!$H$6:$H$2205,MATCH(V326,'Material routes'!$A$6:$A$2205,0)),"MISSING ID")</x:f>
        <x:v>Crafting component</x:v>
      </x:c>
      <x:c r="I326" s="4" t="str">
        <x:f>IFERROR(INDEX('Material routes'!$G$6:$G$2205,MATCH(V326,'Material routes'!$A$6:$A$2205,0)),"MISSING ID")</x:f>
        <x:v>Crafting components</x:v>
      </x:c>
      <x:c r="J326" s="4" t="str">
        <x:f>IFERROR(INDEX('Material routes'!$B$6:$B$2205,MATCH(U326,'Material routes'!$A$6:$A$2205,0)),"MISSING ID")</x:f>
        <x:v>design.review.proposal_ceramic_kiln_liner</x:v>
      </x:c>
      <x:c r="K326" s="4" t="str">
        <x:f>IFERROR(INDEX('Crafting recipes'!$C$6:$C$1005,MATCH(J326,'Crafting recipes'!$A$6:$A$1005,0)),"MISSING ID")</x:f>
        <x:v>Material refinement</x:v>
      </x:c>
      <x:c r="L326" s="4" t="str">
        <x:f>IFERROR(INDEX('Material routes'!$K$6:$K$2205,MATCH(U326,'Material routes'!$A$6:$A$2205,0)),"MISSING ID")</x:f>
        <x:v>Proposal</x:v>
      </x:c>
      <x:c r="M326" s="4" t="str">
        <x:f>IFERROR(INDEX('Material routes'!$M$6:$M$2205,MATCH(U326,'Material routes'!$A$6:$A$2205,0)),"MISSING ID")</x:f>
        <x:v>Partial proposal</x:v>
      </x:c>
      <x:c r="N326" s="4" t="str">
        <x:f>IF(IFERROR(INDEX('Material routes'!$I$6:$I$1005,MATCH(U326,'Material routes'!$A$6:$A$1005,0)),"MISSING ID")=0,"",IFERROR(INDEX('Material routes'!$I$6:$I$1005,MATCH(U326,'Material routes'!$A$6:$A$1005,0)),"MISSING ID"))</x:f>
      </x:c>
      <x:c r="O326" s="4" t="str">
        <x:f>IFERROR(INDEX('Material routes'!$J$6:$J$2205,MATCH(U326,'Material routes'!$A$6:$A$2205,0)),"MISSING ID")</x:f>
        <x:v>Unspecified</x:v>
      </x:c>
      <x:c r="P326" s="4" t="str">
        <x:f>IF(IFERROR(INDEX('Material routes'!$I$6:$I$1005,MATCH(V326,'Material routes'!$A$6:$A$1005,0)),"MISSING ID")=0,"",IFERROR(INDEX('Material routes'!$I$6:$I$1005,MATCH(V326,'Material routes'!$A$6:$A$1005,0)),"MISSING ID"))</x:f>
      </x:c>
      <x:c r="Q326" s="4" t="str">
        <x:f>IFERROR(INDEX('Material routes'!$J$6:$J$2205,MATCH(V326,'Material routes'!$A$6:$A$2205,0)),"MISSING ID")</x:f>
        <x:v>Unspecified</x:v>
      </x:c>
      <x:c r="R326" s="4" t="str">
        <x:f>IF(L326="Withheld","Withheld premise",IF(E326="Tool candidate","Reusable prerequisite",IF(K326="Raw entry preparation","Entry-resource preparation",IF(G326="Not applicable",IF(IFERROR(INDEX('Items'!$AI$6:$AI$1005,MATCH(T326,'Items'!$A$6:$A$1005,0)),"MISSING ID")="Finished item","Finished endpoint",IF(IFERROR(INDEX('Items'!$AI$6:$AI$1005,MATCH(T326,'Items'!$A$6:$A$1005,0)),"MISSING ID")="Currency","Currency / no refinement tier","Recovered output / tier not applicable")),IF(OR(IFERROR(INDEX('Crafting recipes'!$H$6:$H$1005,MATCH(J326,'Crafting recipes'!$A$6:$A$1005,0)),"MISSING ID")="Unassigned",G326="Unassigned"),"Tier unresolved",IF(IFERROR(VALUE(RIGHT(G326,1))-VALUE(RIGHT(IFERROR(INDEX('Crafting recipes'!$H$6:$H$1005,MATCH(J326,'Crafting recipes'!$A$6:$A$1005,0)),"MISSING ID"),1)),0)=1,IF(B326=IFERROR(INDEX('Crafting recipes'!$H$6:$H$1005,MATCH(J326,'Crafting recipes'!$A$6:$A$1005,0)),"MISSING ID"),"Advances one material tier","Lower-tier ingredient; route advances one tier"),"Needs tier review"))))))</x:f>
        <x:v>Advances one material tier</x:v>
      </x:c>
      <x:c r="S326" s="4" t="str">
        <x:f>IFERROR(INDEX('Material routes'!$D$6:$D$2205,MATCH(U326,'Material routes'!$A$6:$A$2205,0)),"MISSING ID")</x:f>
        <x:v>proposal.branch.refractory_ceramic</x:v>
      </x:c>
      <x:c r="T326" s="4" t="str">
        <x:f>IFERROR(INDEX('Material routes'!$D$6:$D$2205,MATCH(V326,'Material routes'!$A$6:$A$2205,0)),"MISSING ID")</x:f>
        <x:v>proposal.ceramic.kiln_liner</x:v>
      </x:c>
      <x:c r="U326" s="4" t="str">
        <x:v>design.review.proposal_ceramic_kiln_liner.in.1</x:v>
      </x:c>
      <x:c r="V326" s="4" t="str">
        <x:v>design.review.proposal_ceramic_kiln_liner.out</x:v>
      </x:c>
    </x:row>
    <x:row r="327" ht="115" customHeight="1">
      <x:c r="A327" s="4" t="str">
        <x:f>IFERROR(INDEX('Material routes'!$E$6:$E$2205,MATCH(U327,'Material routes'!$A$6:$A$2205,0)),"MISSING ID")</x:f>
        <x:v>Graded abrasive grit</x:v>
      </x:c>
      <x:c r="B327" s="4" t="str">
        <x:f>IFERROR(INDEX('Material routes'!$F$6:$F$2205,MATCH(U327,'Material routes'!$A$6:$A$2205,0)),"MISSING ID")</x:f>
        <x:v>T1</x:v>
      </x:c>
      <x:c r="C327" s="4" t="str">
        <x:f>IFERROR(INDEX('Material routes'!$H$6:$H$2205,MATCH(U327,'Material routes'!$A$6:$A$2205,0)),"MISSING ID")</x:f>
        <x:v>Processed material</x:v>
      </x:c>
      <x:c r="D327" s="4" t="str">
        <x:f>IFERROR(INDEX('Material routes'!$G$6:$G$2205,MATCH(U327,'Material routes'!$A$6:$A$2205,0)),"MISSING ID")</x:f>
        <x:v>Manufactured stock</x:v>
      </x:c>
      <x:c r="E327" s="4" t="str">
        <x:f>IFERROR(INDEX('Material routes'!$C$6:$C$2205,MATCH(U327,'Material routes'!$A$6:$A$2205,0)),"MISSING ID")</x:f>
        <x:v>Ingredient candidate</x:v>
      </x:c>
      <x:c r="F327" s="4" t="str">
        <x:f>IFERROR(INDEX('Material routes'!$E$6:$E$2205,MATCH(V327,'Material routes'!$A$6:$A$2205,0)),"MISSING ID")</x:f>
        <x:v>Ceramic kiln lining panel</x:v>
      </x:c>
      <x:c r="G327" s="4" t="str">
        <x:f>IFERROR(INDEX('Material routes'!$F$6:$F$2205,MATCH(V327,'Material routes'!$A$6:$A$2205,0)),"MISSING ID")</x:f>
        <x:v>T3</x:v>
      </x:c>
      <x:c r="H327" s="4" t="str">
        <x:f>IFERROR(INDEX('Material routes'!$H$6:$H$2205,MATCH(V327,'Material routes'!$A$6:$A$2205,0)),"MISSING ID")</x:f>
        <x:v>Crafting component</x:v>
      </x:c>
      <x:c r="I327" s="4" t="str">
        <x:f>IFERROR(INDEX('Material routes'!$G$6:$G$2205,MATCH(V327,'Material routes'!$A$6:$A$2205,0)),"MISSING ID")</x:f>
        <x:v>Crafting components</x:v>
      </x:c>
      <x:c r="J327" s="4" t="str">
        <x:f>IFERROR(INDEX('Material routes'!$B$6:$B$2205,MATCH(U327,'Material routes'!$A$6:$A$2205,0)),"MISSING ID")</x:f>
        <x:v>design.review.proposal_ceramic_kiln_liner</x:v>
      </x:c>
      <x:c r="K327" s="4" t="str">
        <x:f>IFERROR(INDEX('Crafting recipes'!$C$6:$C$1005,MATCH(J327,'Crafting recipes'!$A$6:$A$1005,0)),"MISSING ID")</x:f>
        <x:v>Material refinement</x:v>
      </x:c>
      <x:c r="L327" s="4" t="str">
        <x:f>IFERROR(INDEX('Material routes'!$K$6:$K$2205,MATCH(U327,'Material routes'!$A$6:$A$2205,0)),"MISSING ID")</x:f>
        <x:v>Proposal</x:v>
      </x:c>
      <x:c r="M327" s="4" t="str">
        <x:f>IFERROR(INDEX('Material routes'!$M$6:$M$2205,MATCH(U327,'Material routes'!$A$6:$A$2205,0)),"MISSING ID")</x:f>
        <x:v>Partial proposal</x:v>
      </x:c>
      <x:c r="N327" s="4" t="str">
        <x:f>IF(IFERROR(INDEX('Material routes'!$I$6:$I$1005,MATCH(U327,'Material routes'!$A$6:$A$1005,0)),"MISSING ID")=0,"",IFERROR(INDEX('Material routes'!$I$6:$I$1005,MATCH(U327,'Material routes'!$A$6:$A$1005,0)),"MISSING ID"))</x:f>
      </x:c>
      <x:c r="O327" s="4" t="str">
        <x:f>IFERROR(INDEX('Material routes'!$J$6:$J$2205,MATCH(U327,'Material routes'!$A$6:$A$2205,0)),"MISSING ID")</x:f>
        <x:v>Unspecified</x:v>
      </x:c>
      <x:c r="P327" s="4" t="str">
        <x:f>IF(IFERROR(INDEX('Material routes'!$I$6:$I$1005,MATCH(V327,'Material routes'!$A$6:$A$1005,0)),"MISSING ID")=0,"",IFERROR(INDEX('Material routes'!$I$6:$I$1005,MATCH(V327,'Material routes'!$A$6:$A$1005,0)),"MISSING ID"))</x:f>
      </x:c>
      <x:c r="Q327" s="4" t="str">
        <x:f>IFERROR(INDEX('Material routes'!$J$6:$J$2205,MATCH(V327,'Material routes'!$A$6:$A$2205,0)),"MISSING ID")</x:f>
        <x:v>Unspecified</x:v>
      </x:c>
      <x:c r="R327" s="4" t="str">
        <x:f>IF(L327="Withheld","Withheld premise",IF(E327="Tool candidate","Reusable prerequisite",IF(K327="Raw entry preparation","Entry-resource preparation",IF(G327="Not applicable",IF(IFERROR(INDEX('Items'!$AI$6:$AI$1005,MATCH(T327,'Items'!$A$6:$A$1005,0)),"MISSING ID")="Finished item","Finished endpoint",IF(IFERROR(INDEX('Items'!$AI$6:$AI$1005,MATCH(T327,'Items'!$A$6:$A$1005,0)),"MISSING ID")="Currency","Currency / no refinement tier","Recovered output / tier not applicable")),IF(OR(IFERROR(INDEX('Crafting recipes'!$H$6:$H$1005,MATCH(J327,'Crafting recipes'!$A$6:$A$1005,0)),"MISSING ID")="Unassigned",G327="Unassigned"),"Tier unresolved",IF(IFERROR(VALUE(RIGHT(G327,1))-VALUE(RIGHT(IFERROR(INDEX('Crafting recipes'!$H$6:$H$1005,MATCH(J327,'Crafting recipes'!$A$6:$A$1005,0)),"MISSING ID"),1)),0)=1,IF(B327=IFERROR(INDEX('Crafting recipes'!$H$6:$H$1005,MATCH(J327,'Crafting recipes'!$A$6:$A$1005,0)),"MISSING ID"),"Advances one material tier","Lower-tier ingredient; route advances one tier"),"Needs tier review"))))))</x:f>
        <x:v>Lower-tier ingredient; route advances one tier</x:v>
      </x:c>
      <x:c r="S327" s="4" t="str">
        <x:f>IFERROR(INDEX('Material routes'!$D$6:$D$2205,MATCH(U327,'Material routes'!$A$6:$A$2205,0)),"MISSING ID")</x:f>
        <x:v>proposal.natural.abrasive</x:v>
      </x:c>
      <x:c r="T327" s="4" t="str">
        <x:f>IFERROR(INDEX('Material routes'!$D$6:$D$2205,MATCH(V327,'Material routes'!$A$6:$A$2205,0)),"MISSING ID")</x:f>
        <x:v>proposal.ceramic.kiln_liner</x:v>
      </x:c>
      <x:c r="U327" s="4" t="str">
        <x:v>design.review.proposal_ceramic_kiln_liner.in.2</x:v>
      </x:c>
      <x:c r="V327" s="4" t="str">
        <x:v>design.review.proposal_ceramic_kiln_liner.out</x:v>
      </x:c>
    </x:row>
    <x:row r="328" ht="115" customHeight="1">
      <x:c r="A328" s="4" t="str">
        <x:f>IFERROR(INDEX('Material routes'!$E$6:$E$2205,MATCH(U328,'Material routes'!$A$6:$A$2205,0)),"MISSING ID")</x:f>
        <x:v>Insulating ceramic blanks</x:v>
      </x:c>
      <x:c r="B328" s="4" t="str">
        <x:f>IFERROR(INDEX('Material routes'!$F$6:$F$2205,MATCH(U328,'Material routes'!$A$6:$A$2205,0)),"MISSING ID")</x:f>
        <x:v>T2</x:v>
      </x:c>
      <x:c r="C328" s="4" t="str">
        <x:f>IFERROR(INDEX('Material routes'!$H$6:$H$2205,MATCH(U328,'Material routes'!$A$6:$A$2205,0)),"MISSING ID")</x:f>
        <x:v>Processed material</x:v>
      </x:c>
      <x:c r="D328" s="4" t="str">
        <x:f>IFERROR(INDEX('Material routes'!$G$6:$G$2205,MATCH(U328,'Material routes'!$A$6:$A$2205,0)),"MISSING ID")</x:f>
        <x:v>Manufactured stock</x:v>
      </x:c>
      <x:c r="E328" s="4" t="str">
        <x:f>IFERROR(INDEX('Material routes'!$C$6:$C$2205,MATCH(U328,'Material routes'!$A$6:$A$2205,0)),"MISSING ID")</x:f>
        <x:v>Ingredient candidate</x:v>
      </x:c>
      <x:c r="F328" s="4" t="str">
        <x:f>IFERROR(INDEX('Material routes'!$E$6:$E$2205,MATCH(V328,'Material routes'!$A$6:$A$2205,0)),"MISSING ID")</x:f>
        <x:v>Ceramic insulating bead</x:v>
      </x:c>
      <x:c r="G328" s="4" t="str">
        <x:f>IFERROR(INDEX('Material routes'!$F$6:$F$2205,MATCH(V328,'Material routes'!$A$6:$A$2205,0)),"MISSING ID")</x:f>
        <x:v>T3</x:v>
      </x:c>
      <x:c r="H328" s="4" t="str">
        <x:f>IFERROR(INDEX('Material routes'!$H$6:$H$2205,MATCH(V328,'Material routes'!$A$6:$A$2205,0)),"MISSING ID")</x:f>
        <x:v>Crafting component</x:v>
      </x:c>
      <x:c r="I328" s="4" t="str">
        <x:f>IFERROR(INDEX('Material routes'!$G$6:$G$2205,MATCH(V328,'Material routes'!$A$6:$A$2205,0)),"MISSING ID")</x:f>
        <x:v>Crafting components</x:v>
      </x:c>
      <x:c r="J328" s="4" t="str">
        <x:f>IFERROR(INDEX('Material routes'!$B$6:$B$2205,MATCH(U328,'Material routes'!$A$6:$A$2205,0)),"MISSING ID")</x:f>
        <x:v>design.review.proposal_ceramic_bead</x:v>
      </x:c>
      <x:c r="K328" s="4" t="str">
        <x:f>IFERROR(INDEX('Crafting recipes'!$C$6:$C$1005,MATCH(J328,'Crafting recipes'!$A$6:$A$1005,0)),"MISSING ID")</x:f>
        <x:v>Material refinement</x:v>
      </x:c>
      <x:c r="L328" s="4" t="str">
        <x:f>IFERROR(INDEX('Material routes'!$K$6:$K$2205,MATCH(U328,'Material routes'!$A$6:$A$2205,0)),"MISSING ID")</x:f>
        <x:v>Proposal</x:v>
      </x:c>
      <x:c r="M328" s="4" t="str">
        <x:f>IFERROR(INDEX('Material routes'!$M$6:$M$2205,MATCH(U328,'Material routes'!$A$6:$A$2205,0)),"MISSING ID")</x:f>
        <x:v>Partial proposal</x:v>
      </x:c>
      <x:c r="N328" s="4" t="str">
        <x:f>IF(IFERROR(INDEX('Material routes'!$I$6:$I$1005,MATCH(U328,'Material routes'!$A$6:$A$1005,0)),"MISSING ID")=0,"",IFERROR(INDEX('Material routes'!$I$6:$I$1005,MATCH(U328,'Material routes'!$A$6:$A$1005,0)),"MISSING ID"))</x:f>
      </x:c>
      <x:c r="O328" s="4" t="str">
        <x:f>IFERROR(INDEX('Material routes'!$J$6:$J$2205,MATCH(U328,'Material routes'!$A$6:$A$2205,0)),"MISSING ID")</x:f>
        <x:v>Unspecified</x:v>
      </x:c>
      <x:c r="P328" s="4" t="str">
        <x:f>IF(IFERROR(INDEX('Material routes'!$I$6:$I$1005,MATCH(V328,'Material routes'!$A$6:$A$1005,0)),"MISSING ID")=0,"",IFERROR(INDEX('Material routes'!$I$6:$I$1005,MATCH(V328,'Material routes'!$A$6:$A$1005,0)),"MISSING ID"))</x:f>
      </x:c>
      <x:c r="Q328" s="4" t="str">
        <x:f>IFERROR(INDEX('Material routes'!$J$6:$J$2205,MATCH(V328,'Material routes'!$A$6:$A$2205,0)),"MISSING ID")</x:f>
        <x:v>Unspecified</x:v>
      </x:c>
      <x:c r="R328" s="4" t="str">
        <x:f>IF(L328="Withheld","Withheld premise",IF(E328="Tool candidate","Reusable prerequisite",IF(K328="Raw entry preparation","Entry-resource preparation",IF(G328="Not applicable",IF(IFERROR(INDEX('Items'!$AI$6:$AI$1005,MATCH(T328,'Items'!$A$6:$A$1005,0)),"MISSING ID")="Finished item","Finished endpoint",IF(IFERROR(INDEX('Items'!$AI$6:$AI$1005,MATCH(T328,'Items'!$A$6:$A$1005,0)),"MISSING ID")="Currency","Currency / no refinement tier","Recovered output / tier not applicable")),IF(OR(IFERROR(INDEX('Crafting recipes'!$H$6:$H$1005,MATCH(J328,'Crafting recipes'!$A$6:$A$1005,0)),"MISSING ID")="Unassigned",G328="Unassigned"),"Tier unresolved",IF(IFERROR(VALUE(RIGHT(G328,1))-VALUE(RIGHT(IFERROR(INDEX('Crafting recipes'!$H$6:$H$1005,MATCH(J328,'Crafting recipes'!$A$6:$A$1005,0)),"MISSING ID"),1)),0)=1,IF(B328=IFERROR(INDEX('Crafting recipes'!$H$6:$H$1005,MATCH(J328,'Crafting recipes'!$A$6:$A$1005,0)),"MISSING ID"),"Advances one material tier","Lower-tier ingredient; route advances one tier"),"Needs tier review"))))))</x:f>
        <x:v>Advances one material tier</x:v>
      </x:c>
      <x:c r="S328" s="4" t="str">
        <x:f>IFERROR(INDEX('Material routes'!$D$6:$D$2205,MATCH(U328,'Material routes'!$A$6:$A$2205,0)),"MISSING ID")</x:f>
        <x:v>proposal.natural.ceramic</x:v>
      </x:c>
      <x:c r="T328" s="4" t="str">
        <x:f>IFERROR(INDEX('Material routes'!$D$6:$D$2205,MATCH(V328,'Material routes'!$A$6:$A$2205,0)),"MISSING ID")</x:f>
        <x:v>proposal.ceramic.bead</x:v>
      </x:c>
      <x:c r="U328" s="4" t="str">
        <x:v>design.review.proposal_ceramic_bead.in.1</x:v>
      </x:c>
      <x:c r="V328" s="4" t="str">
        <x:v>design.review.proposal_ceramic_bead.out</x:v>
      </x:c>
    </x:row>
    <x:row r="329" ht="115" customHeight="1">
      <x:c r="A329" s="4" t="str">
        <x:f>IFERROR(INDEX('Material routes'!$E$6:$E$2205,MATCH(U329,'Material routes'!$A$6:$A$2205,0)),"MISSING ID")</x:f>
        <x:v>Graded abrasive grit</x:v>
      </x:c>
      <x:c r="B329" s="4" t="str">
        <x:f>IFERROR(INDEX('Material routes'!$F$6:$F$2205,MATCH(U329,'Material routes'!$A$6:$A$2205,0)),"MISSING ID")</x:f>
        <x:v>T1</x:v>
      </x:c>
      <x:c r="C329" s="4" t="str">
        <x:f>IFERROR(INDEX('Material routes'!$H$6:$H$2205,MATCH(U329,'Material routes'!$A$6:$A$2205,0)),"MISSING ID")</x:f>
        <x:v>Processed material</x:v>
      </x:c>
      <x:c r="D329" s="4" t="str">
        <x:f>IFERROR(INDEX('Material routes'!$G$6:$G$2205,MATCH(U329,'Material routes'!$A$6:$A$2205,0)),"MISSING ID")</x:f>
        <x:v>Manufactured stock</x:v>
      </x:c>
      <x:c r="E329" s="4" t="str">
        <x:f>IFERROR(INDEX('Material routes'!$C$6:$C$2205,MATCH(U329,'Material routes'!$A$6:$A$2205,0)),"MISSING ID")</x:f>
        <x:v>Ingredient candidate</x:v>
      </x:c>
      <x:c r="F329" s="4" t="str">
        <x:f>IFERROR(INDEX('Material routes'!$E$6:$E$2205,MATCH(V329,'Material routes'!$A$6:$A$2205,0)),"MISSING ID")</x:f>
        <x:v>Ceramic insulating bead</x:v>
      </x:c>
      <x:c r="G329" s="4" t="str">
        <x:f>IFERROR(INDEX('Material routes'!$F$6:$F$2205,MATCH(V329,'Material routes'!$A$6:$A$2205,0)),"MISSING ID")</x:f>
        <x:v>T3</x:v>
      </x:c>
      <x:c r="H329" s="4" t="str">
        <x:f>IFERROR(INDEX('Material routes'!$H$6:$H$2205,MATCH(V329,'Material routes'!$A$6:$A$2205,0)),"MISSING ID")</x:f>
        <x:v>Crafting component</x:v>
      </x:c>
      <x:c r="I329" s="4" t="str">
        <x:f>IFERROR(INDEX('Material routes'!$G$6:$G$2205,MATCH(V329,'Material routes'!$A$6:$A$2205,0)),"MISSING ID")</x:f>
        <x:v>Crafting components</x:v>
      </x:c>
      <x:c r="J329" s="4" t="str">
        <x:f>IFERROR(INDEX('Material routes'!$B$6:$B$2205,MATCH(U329,'Material routes'!$A$6:$A$2205,0)),"MISSING ID")</x:f>
        <x:v>design.review.proposal_ceramic_bead</x:v>
      </x:c>
      <x:c r="K329" s="4" t="str">
        <x:f>IFERROR(INDEX('Crafting recipes'!$C$6:$C$1005,MATCH(J329,'Crafting recipes'!$A$6:$A$1005,0)),"MISSING ID")</x:f>
        <x:v>Material refinement</x:v>
      </x:c>
      <x:c r="L329" s="4" t="str">
        <x:f>IFERROR(INDEX('Material routes'!$K$6:$K$2205,MATCH(U329,'Material routes'!$A$6:$A$2205,0)),"MISSING ID")</x:f>
        <x:v>Proposal</x:v>
      </x:c>
      <x:c r="M329" s="4" t="str">
        <x:f>IFERROR(INDEX('Material routes'!$M$6:$M$2205,MATCH(U329,'Material routes'!$A$6:$A$2205,0)),"MISSING ID")</x:f>
        <x:v>Partial proposal</x:v>
      </x:c>
      <x:c r="N329" s="4" t="str">
        <x:f>IF(IFERROR(INDEX('Material routes'!$I$6:$I$1005,MATCH(U329,'Material routes'!$A$6:$A$1005,0)),"MISSING ID")=0,"",IFERROR(INDEX('Material routes'!$I$6:$I$1005,MATCH(U329,'Material routes'!$A$6:$A$1005,0)),"MISSING ID"))</x:f>
      </x:c>
      <x:c r="O329" s="4" t="str">
        <x:f>IFERROR(INDEX('Material routes'!$J$6:$J$2205,MATCH(U329,'Material routes'!$A$6:$A$2205,0)),"MISSING ID")</x:f>
        <x:v>Unspecified</x:v>
      </x:c>
      <x:c r="P329" s="4" t="str">
        <x:f>IF(IFERROR(INDEX('Material routes'!$I$6:$I$1005,MATCH(V329,'Material routes'!$A$6:$A$1005,0)),"MISSING ID")=0,"",IFERROR(INDEX('Material routes'!$I$6:$I$1005,MATCH(V329,'Material routes'!$A$6:$A$1005,0)),"MISSING ID"))</x:f>
      </x:c>
      <x:c r="Q329" s="4" t="str">
        <x:f>IFERROR(INDEX('Material routes'!$J$6:$J$2205,MATCH(V329,'Material routes'!$A$6:$A$2205,0)),"MISSING ID")</x:f>
        <x:v>Unspecified</x:v>
      </x:c>
      <x:c r="R329" s="4" t="str">
        <x:f>IF(L329="Withheld","Withheld premise",IF(E329="Tool candidate","Reusable prerequisite",IF(K329="Raw entry preparation","Entry-resource preparation",IF(G329="Not applicable",IF(IFERROR(INDEX('Items'!$AI$6:$AI$1005,MATCH(T329,'Items'!$A$6:$A$1005,0)),"MISSING ID")="Finished item","Finished endpoint",IF(IFERROR(INDEX('Items'!$AI$6:$AI$1005,MATCH(T329,'Items'!$A$6:$A$1005,0)),"MISSING ID")="Currency","Currency / no refinement tier","Recovered output / tier not applicable")),IF(OR(IFERROR(INDEX('Crafting recipes'!$H$6:$H$1005,MATCH(J329,'Crafting recipes'!$A$6:$A$1005,0)),"MISSING ID")="Unassigned",G329="Unassigned"),"Tier unresolved",IF(IFERROR(VALUE(RIGHT(G329,1))-VALUE(RIGHT(IFERROR(INDEX('Crafting recipes'!$H$6:$H$1005,MATCH(J329,'Crafting recipes'!$A$6:$A$1005,0)),"MISSING ID"),1)),0)=1,IF(B329=IFERROR(INDEX('Crafting recipes'!$H$6:$H$1005,MATCH(J329,'Crafting recipes'!$A$6:$A$1005,0)),"MISSING ID"),"Advances one material tier","Lower-tier ingredient; route advances one tier"),"Needs tier review"))))))</x:f>
        <x:v>Lower-tier ingredient; route advances one tier</x:v>
      </x:c>
      <x:c r="S329" s="4" t="str">
        <x:f>IFERROR(INDEX('Material routes'!$D$6:$D$2205,MATCH(U329,'Material routes'!$A$6:$A$2205,0)),"MISSING ID")</x:f>
        <x:v>proposal.natural.abrasive</x:v>
      </x:c>
      <x:c r="T329" s="4" t="str">
        <x:f>IFERROR(INDEX('Material routes'!$D$6:$D$2205,MATCH(V329,'Material routes'!$A$6:$A$2205,0)),"MISSING ID")</x:f>
        <x:v>proposal.ceramic.bead</x:v>
      </x:c>
      <x:c r="U329" s="4" t="str">
        <x:v>design.review.proposal_ceramic_bead.in.2</x:v>
      </x:c>
      <x:c r="V329" s="4" t="str">
        <x:v>design.review.proposal_ceramic_bead.out</x:v>
      </x:c>
    </x:row>
    <x:row r="330" ht="115" customHeight="1">
      <x:c r="A330" s="4" t="str">
        <x:f>IFERROR(INDEX('Material routes'!$E$6:$E$2205,MATCH(U330,'Material routes'!$A$6:$A$2205,0)),"MISSING ID")</x:f>
        <x:v>Insulating ceramic blanks</x:v>
      </x:c>
      <x:c r="B330" s="4" t="str">
        <x:f>IFERROR(INDEX('Material routes'!$F$6:$F$2205,MATCH(U330,'Material routes'!$A$6:$A$2205,0)),"MISSING ID")</x:f>
        <x:v>T2</x:v>
      </x:c>
      <x:c r="C330" s="4" t="str">
        <x:f>IFERROR(INDEX('Material routes'!$H$6:$H$2205,MATCH(U330,'Material routes'!$A$6:$A$2205,0)),"MISSING ID")</x:f>
        <x:v>Processed material</x:v>
      </x:c>
      <x:c r="D330" s="4" t="str">
        <x:f>IFERROR(INDEX('Material routes'!$G$6:$G$2205,MATCH(U330,'Material routes'!$A$6:$A$2205,0)),"MISSING ID")</x:f>
        <x:v>Manufactured stock</x:v>
      </x:c>
      <x:c r="E330" s="4" t="str">
        <x:f>IFERROR(INDEX('Material routes'!$C$6:$C$2205,MATCH(U330,'Material routes'!$A$6:$A$2205,0)),"MISSING ID")</x:f>
        <x:v>Ingredient candidate</x:v>
      </x:c>
      <x:c r="F330" s="4" t="str">
        <x:f>IFERROR(INDEX('Material routes'!$E$6:$E$2205,MATCH(V330,'Material routes'!$A$6:$A$2205,0)),"MISSING ID")</x:f>
        <x:v>Ceramic insulating spacer</x:v>
      </x:c>
      <x:c r="G330" s="4" t="str">
        <x:f>IFERROR(INDEX('Material routes'!$F$6:$F$2205,MATCH(V330,'Material routes'!$A$6:$A$2205,0)),"MISSING ID")</x:f>
        <x:v>T3</x:v>
      </x:c>
      <x:c r="H330" s="4" t="str">
        <x:f>IFERROR(INDEX('Material routes'!$H$6:$H$2205,MATCH(V330,'Material routes'!$A$6:$A$2205,0)),"MISSING ID")</x:f>
        <x:v>Crafting component</x:v>
      </x:c>
      <x:c r="I330" s="4" t="str">
        <x:f>IFERROR(INDEX('Material routes'!$G$6:$G$2205,MATCH(V330,'Material routes'!$A$6:$A$2205,0)),"MISSING ID")</x:f>
        <x:v>Crafting components</x:v>
      </x:c>
      <x:c r="J330" s="4" t="str">
        <x:f>IFERROR(INDEX('Material routes'!$B$6:$B$2205,MATCH(U330,'Material routes'!$A$6:$A$2205,0)),"MISSING ID")</x:f>
        <x:v>design.review.proposal_ceramic_spacer</x:v>
      </x:c>
      <x:c r="K330" s="4" t="str">
        <x:f>IFERROR(INDEX('Crafting recipes'!$C$6:$C$1005,MATCH(J330,'Crafting recipes'!$A$6:$A$1005,0)),"MISSING ID")</x:f>
        <x:v>Material refinement</x:v>
      </x:c>
      <x:c r="L330" s="4" t="str">
        <x:f>IFERROR(INDEX('Material routes'!$K$6:$K$2205,MATCH(U330,'Material routes'!$A$6:$A$2205,0)),"MISSING ID")</x:f>
        <x:v>Proposal</x:v>
      </x:c>
      <x:c r="M330" s="4" t="str">
        <x:f>IFERROR(INDEX('Material routes'!$M$6:$M$2205,MATCH(U330,'Material routes'!$A$6:$A$2205,0)),"MISSING ID")</x:f>
        <x:v>Partial proposal</x:v>
      </x:c>
      <x:c r="N330" s="4" t="str">
        <x:f>IF(IFERROR(INDEX('Material routes'!$I$6:$I$1005,MATCH(U330,'Material routes'!$A$6:$A$1005,0)),"MISSING ID")=0,"",IFERROR(INDEX('Material routes'!$I$6:$I$1005,MATCH(U330,'Material routes'!$A$6:$A$1005,0)),"MISSING ID"))</x:f>
      </x:c>
      <x:c r="O330" s="4" t="str">
        <x:f>IFERROR(INDEX('Material routes'!$J$6:$J$2205,MATCH(U330,'Material routes'!$A$6:$A$2205,0)),"MISSING ID")</x:f>
        <x:v>Unspecified</x:v>
      </x:c>
      <x:c r="P330" s="4" t="str">
        <x:f>IF(IFERROR(INDEX('Material routes'!$I$6:$I$1005,MATCH(V330,'Material routes'!$A$6:$A$1005,0)),"MISSING ID")=0,"",IFERROR(INDEX('Material routes'!$I$6:$I$1005,MATCH(V330,'Material routes'!$A$6:$A$1005,0)),"MISSING ID"))</x:f>
      </x:c>
      <x:c r="Q330" s="4" t="str">
        <x:f>IFERROR(INDEX('Material routes'!$J$6:$J$2205,MATCH(V330,'Material routes'!$A$6:$A$2205,0)),"MISSING ID")</x:f>
        <x:v>Unspecified</x:v>
      </x:c>
      <x:c r="R330" s="4" t="str">
        <x:f>IF(L330="Withheld","Withheld premise",IF(E330="Tool candidate","Reusable prerequisite",IF(K330="Raw entry preparation","Entry-resource preparation",IF(G330="Not applicable",IF(IFERROR(INDEX('Items'!$AI$6:$AI$1005,MATCH(T330,'Items'!$A$6:$A$1005,0)),"MISSING ID")="Finished item","Finished endpoint",IF(IFERROR(INDEX('Items'!$AI$6:$AI$1005,MATCH(T330,'Items'!$A$6:$A$1005,0)),"MISSING ID")="Currency","Currency / no refinement tier","Recovered output / tier not applicable")),IF(OR(IFERROR(INDEX('Crafting recipes'!$H$6:$H$1005,MATCH(J330,'Crafting recipes'!$A$6:$A$1005,0)),"MISSING ID")="Unassigned",G330="Unassigned"),"Tier unresolved",IF(IFERROR(VALUE(RIGHT(G330,1))-VALUE(RIGHT(IFERROR(INDEX('Crafting recipes'!$H$6:$H$1005,MATCH(J330,'Crafting recipes'!$A$6:$A$1005,0)),"MISSING ID"),1)),0)=1,IF(B330=IFERROR(INDEX('Crafting recipes'!$H$6:$H$1005,MATCH(J330,'Crafting recipes'!$A$6:$A$1005,0)),"MISSING ID"),"Advances one material tier","Lower-tier ingredient; route advances one tier"),"Needs tier review"))))))</x:f>
        <x:v>Advances one material tier</x:v>
      </x:c>
      <x:c r="S330" s="4" t="str">
        <x:f>IFERROR(INDEX('Material routes'!$D$6:$D$2205,MATCH(U330,'Material routes'!$A$6:$A$2205,0)),"MISSING ID")</x:f>
        <x:v>proposal.natural.ceramic</x:v>
      </x:c>
      <x:c r="T330" s="4" t="str">
        <x:f>IFERROR(INDEX('Material routes'!$D$6:$D$2205,MATCH(V330,'Material routes'!$A$6:$A$2205,0)),"MISSING ID")</x:f>
        <x:v>proposal.ceramic.spacer</x:v>
      </x:c>
      <x:c r="U330" s="4" t="str">
        <x:v>design.review.proposal_ceramic_spacer.in.1</x:v>
      </x:c>
      <x:c r="V330" s="4" t="str">
        <x:v>design.review.proposal_ceramic_spacer.out</x:v>
      </x:c>
    </x:row>
    <x:row r="331" ht="115" customHeight="1">
      <x:c r="A331" s="4" t="str">
        <x:f>IFERROR(INDEX('Material routes'!$E$6:$E$2205,MATCH(U331,'Material routes'!$A$6:$A$2205,0)),"MISSING ID")</x:f>
        <x:v>Graded abrasive grit</x:v>
      </x:c>
      <x:c r="B331" s="4" t="str">
        <x:f>IFERROR(INDEX('Material routes'!$F$6:$F$2205,MATCH(U331,'Material routes'!$A$6:$A$2205,0)),"MISSING ID")</x:f>
        <x:v>T1</x:v>
      </x:c>
      <x:c r="C331" s="4" t="str">
        <x:f>IFERROR(INDEX('Material routes'!$H$6:$H$2205,MATCH(U331,'Material routes'!$A$6:$A$2205,0)),"MISSING ID")</x:f>
        <x:v>Processed material</x:v>
      </x:c>
      <x:c r="D331" s="4" t="str">
        <x:f>IFERROR(INDEX('Material routes'!$G$6:$G$2205,MATCH(U331,'Material routes'!$A$6:$A$2205,0)),"MISSING ID")</x:f>
        <x:v>Manufactured stock</x:v>
      </x:c>
      <x:c r="E331" s="4" t="str">
        <x:f>IFERROR(INDEX('Material routes'!$C$6:$C$2205,MATCH(U331,'Material routes'!$A$6:$A$2205,0)),"MISSING ID")</x:f>
        <x:v>Ingredient candidate</x:v>
      </x:c>
      <x:c r="F331" s="4" t="str">
        <x:f>IFERROR(INDEX('Material routes'!$E$6:$E$2205,MATCH(V331,'Material routes'!$A$6:$A$2205,0)),"MISSING ID")</x:f>
        <x:v>Ceramic insulating spacer</x:v>
      </x:c>
      <x:c r="G331" s="4" t="str">
        <x:f>IFERROR(INDEX('Material routes'!$F$6:$F$2205,MATCH(V331,'Material routes'!$A$6:$A$2205,0)),"MISSING ID")</x:f>
        <x:v>T3</x:v>
      </x:c>
      <x:c r="H331" s="4" t="str">
        <x:f>IFERROR(INDEX('Material routes'!$H$6:$H$2205,MATCH(V331,'Material routes'!$A$6:$A$2205,0)),"MISSING ID")</x:f>
        <x:v>Crafting component</x:v>
      </x:c>
      <x:c r="I331" s="4" t="str">
        <x:f>IFERROR(INDEX('Material routes'!$G$6:$G$2205,MATCH(V331,'Material routes'!$A$6:$A$2205,0)),"MISSING ID")</x:f>
        <x:v>Crafting components</x:v>
      </x:c>
      <x:c r="J331" s="4" t="str">
        <x:f>IFERROR(INDEX('Material routes'!$B$6:$B$2205,MATCH(U331,'Material routes'!$A$6:$A$2205,0)),"MISSING ID")</x:f>
        <x:v>design.review.proposal_ceramic_spacer</x:v>
      </x:c>
      <x:c r="K331" s="4" t="str">
        <x:f>IFERROR(INDEX('Crafting recipes'!$C$6:$C$1005,MATCH(J331,'Crafting recipes'!$A$6:$A$1005,0)),"MISSING ID")</x:f>
        <x:v>Material refinement</x:v>
      </x:c>
      <x:c r="L331" s="4" t="str">
        <x:f>IFERROR(INDEX('Material routes'!$K$6:$K$2205,MATCH(U331,'Material routes'!$A$6:$A$2205,0)),"MISSING ID")</x:f>
        <x:v>Proposal</x:v>
      </x:c>
      <x:c r="M331" s="4" t="str">
        <x:f>IFERROR(INDEX('Material routes'!$M$6:$M$2205,MATCH(U331,'Material routes'!$A$6:$A$2205,0)),"MISSING ID")</x:f>
        <x:v>Partial proposal</x:v>
      </x:c>
      <x:c r="N331" s="4" t="str">
        <x:f>IF(IFERROR(INDEX('Material routes'!$I$6:$I$1005,MATCH(U331,'Material routes'!$A$6:$A$1005,0)),"MISSING ID")=0,"",IFERROR(INDEX('Material routes'!$I$6:$I$1005,MATCH(U331,'Material routes'!$A$6:$A$1005,0)),"MISSING ID"))</x:f>
      </x:c>
      <x:c r="O331" s="4" t="str">
        <x:f>IFERROR(INDEX('Material routes'!$J$6:$J$2205,MATCH(U331,'Material routes'!$A$6:$A$2205,0)),"MISSING ID")</x:f>
        <x:v>Unspecified</x:v>
      </x:c>
      <x:c r="P331" s="4" t="str">
        <x:f>IF(IFERROR(INDEX('Material routes'!$I$6:$I$1005,MATCH(V331,'Material routes'!$A$6:$A$1005,0)),"MISSING ID")=0,"",IFERROR(INDEX('Material routes'!$I$6:$I$1005,MATCH(V331,'Material routes'!$A$6:$A$1005,0)),"MISSING ID"))</x:f>
      </x:c>
      <x:c r="Q331" s="4" t="str">
        <x:f>IFERROR(INDEX('Material routes'!$J$6:$J$2205,MATCH(V331,'Material routes'!$A$6:$A$2205,0)),"MISSING ID")</x:f>
        <x:v>Unspecified</x:v>
      </x:c>
      <x:c r="R331" s="4" t="str">
        <x:f>IF(L331="Withheld","Withheld premise",IF(E331="Tool candidate","Reusable prerequisite",IF(K331="Raw entry preparation","Entry-resource preparation",IF(G331="Not applicable",IF(IFERROR(INDEX('Items'!$AI$6:$AI$1005,MATCH(T331,'Items'!$A$6:$A$1005,0)),"MISSING ID")="Finished item","Finished endpoint",IF(IFERROR(INDEX('Items'!$AI$6:$AI$1005,MATCH(T331,'Items'!$A$6:$A$1005,0)),"MISSING ID")="Currency","Currency / no refinement tier","Recovered output / tier not applicable")),IF(OR(IFERROR(INDEX('Crafting recipes'!$H$6:$H$1005,MATCH(J331,'Crafting recipes'!$A$6:$A$1005,0)),"MISSING ID")="Unassigned",G331="Unassigned"),"Tier unresolved",IF(IFERROR(VALUE(RIGHT(G331,1))-VALUE(RIGHT(IFERROR(INDEX('Crafting recipes'!$H$6:$H$1005,MATCH(J331,'Crafting recipes'!$A$6:$A$1005,0)),"MISSING ID"),1)),0)=1,IF(B331=IFERROR(INDEX('Crafting recipes'!$H$6:$H$1005,MATCH(J331,'Crafting recipes'!$A$6:$A$1005,0)),"MISSING ID"),"Advances one material tier","Lower-tier ingredient; route advances one tier"),"Needs tier review"))))))</x:f>
        <x:v>Lower-tier ingredient; route advances one tier</x:v>
      </x:c>
      <x:c r="S331" s="4" t="str">
        <x:f>IFERROR(INDEX('Material routes'!$D$6:$D$2205,MATCH(U331,'Material routes'!$A$6:$A$2205,0)),"MISSING ID")</x:f>
        <x:v>proposal.natural.abrasive</x:v>
      </x:c>
      <x:c r="T331" s="4" t="str">
        <x:f>IFERROR(INDEX('Material routes'!$D$6:$D$2205,MATCH(V331,'Material routes'!$A$6:$A$2205,0)),"MISSING ID")</x:f>
        <x:v>proposal.ceramic.spacer</x:v>
      </x:c>
      <x:c r="U331" s="4" t="str">
        <x:v>design.review.proposal_ceramic_spacer.in.2</x:v>
      </x:c>
      <x:c r="V331" s="4" t="str">
        <x:v>design.review.proposal_ceramic_spacer.out</x:v>
      </x:c>
    </x:row>
    <x:row r="332" ht="115" customHeight="1">
      <x:c r="A332" s="4" t="str">
        <x:f>IFERROR(INDEX('Material routes'!$E$6:$E$2205,MATCH(U332,'Material routes'!$A$6:$A$2205,0)),"MISSING ID")</x:f>
        <x:v>Insulating ceramic blanks</x:v>
      </x:c>
      <x:c r="B332" s="4" t="str">
        <x:f>IFERROR(INDEX('Material routes'!$F$6:$F$2205,MATCH(U332,'Material routes'!$A$6:$A$2205,0)),"MISSING ID")</x:f>
        <x:v>T2</x:v>
      </x:c>
      <x:c r="C332" s="4" t="str">
        <x:f>IFERROR(INDEX('Material routes'!$H$6:$H$2205,MATCH(U332,'Material routes'!$A$6:$A$2205,0)),"MISSING ID")</x:f>
        <x:v>Processed material</x:v>
      </x:c>
      <x:c r="D332" s="4" t="str">
        <x:f>IFERROR(INDEX('Material routes'!$G$6:$G$2205,MATCH(U332,'Material routes'!$A$6:$A$2205,0)),"MISSING ID")</x:f>
        <x:v>Manufactured stock</x:v>
      </x:c>
      <x:c r="E332" s="4" t="str">
        <x:f>IFERROR(INDEX('Material routes'!$C$6:$C$2205,MATCH(U332,'Material routes'!$A$6:$A$2205,0)),"MISSING ID")</x:f>
        <x:v>Ingredient candidate</x:v>
      </x:c>
      <x:c r="F332" s="4" t="str">
        <x:f>IFERROR(INDEX('Material routes'!$E$6:$E$2205,MATCH(V332,'Material routes'!$A$6:$A$2205,0)),"MISSING ID")</x:f>
        <x:v>Fitted ceramic stopper</x:v>
      </x:c>
      <x:c r="G332" s="4" t="str">
        <x:f>IFERROR(INDEX('Material routes'!$F$6:$F$2205,MATCH(V332,'Material routes'!$A$6:$A$2205,0)),"MISSING ID")</x:f>
        <x:v>T3</x:v>
      </x:c>
      <x:c r="H332" s="4" t="str">
        <x:f>IFERROR(INDEX('Material routes'!$H$6:$H$2205,MATCH(V332,'Material routes'!$A$6:$A$2205,0)),"MISSING ID")</x:f>
        <x:v>Container part</x:v>
      </x:c>
      <x:c r="I332" s="4" t="str">
        <x:f>IFERROR(INDEX('Material routes'!$G$6:$G$2205,MATCH(V332,'Material routes'!$A$6:$A$2205,0)),"MISSING ID")</x:f>
        <x:v>Crafting components</x:v>
      </x:c>
      <x:c r="J332" s="4" t="str">
        <x:f>IFERROR(INDEX('Material routes'!$B$6:$B$2205,MATCH(U332,'Material routes'!$A$6:$A$2205,0)),"MISSING ID")</x:f>
        <x:v>design.review.proposal_ceramic_stopper</x:v>
      </x:c>
      <x:c r="K332" s="4" t="str">
        <x:f>IFERROR(INDEX('Crafting recipes'!$C$6:$C$1005,MATCH(J332,'Crafting recipes'!$A$6:$A$1005,0)),"MISSING ID")</x:f>
        <x:v>Material refinement</x:v>
      </x:c>
      <x:c r="L332" s="4" t="str">
        <x:f>IFERROR(INDEX('Material routes'!$K$6:$K$2205,MATCH(U332,'Material routes'!$A$6:$A$2205,0)),"MISSING ID")</x:f>
        <x:v>Proposal</x:v>
      </x:c>
      <x:c r="M332" s="4" t="str">
        <x:f>IFERROR(INDEX('Material routes'!$M$6:$M$2205,MATCH(U332,'Material routes'!$A$6:$A$2205,0)),"MISSING ID")</x:f>
        <x:v>Partial proposal</x:v>
      </x:c>
      <x:c r="N332" s="4" t="str">
        <x:f>IF(IFERROR(INDEX('Material routes'!$I$6:$I$1005,MATCH(U332,'Material routes'!$A$6:$A$1005,0)),"MISSING ID")=0,"",IFERROR(INDEX('Material routes'!$I$6:$I$1005,MATCH(U332,'Material routes'!$A$6:$A$1005,0)),"MISSING ID"))</x:f>
      </x:c>
      <x:c r="O332" s="4" t="str">
        <x:f>IFERROR(INDEX('Material routes'!$J$6:$J$2205,MATCH(U332,'Material routes'!$A$6:$A$2205,0)),"MISSING ID")</x:f>
        <x:v>Unspecified</x:v>
      </x:c>
      <x:c r="P332" s="4" t="str">
        <x:f>IF(IFERROR(INDEX('Material routes'!$I$6:$I$1005,MATCH(V332,'Material routes'!$A$6:$A$1005,0)),"MISSING ID")=0,"",IFERROR(INDEX('Material routes'!$I$6:$I$1005,MATCH(V332,'Material routes'!$A$6:$A$1005,0)),"MISSING ID"))</x:f>
      </x:c>
      <x:c r="Q332" s="4" t="str">
        <x:f>IFERROR(INDEX('Material routes'!$J$6:$J$2205,MATCH(V332,'Material routes'!$A$6:$A$2205,0)),"MISSING ID")</x:f>
        <x:v>Unspecified</x:v>
      </x:c>
      <x:c r="R332" s="4" t="str">
        <x:f>IF(L332="Withheld","Withheld premise",IF(E332="Tool candidate","Reusable prerequisite",IF(K332="Raw entry preparation","Entry-resource preparation",IF(G332="Not applicable",IF(IFERROR(INDEX('Items'!$AI$6:$AI$1005,MATCH(T332,'Items'!$A$6:$A$1005,0)),"MISSING ID")="Finished item","Finished endpoint",IF(IFERROR(INDEX('Items'!$AI$6:$AI$1005,MATCH(T332,'Items'!$A$6:$A$1005,0)),"MISSING ID")="Currency","Currency / no refinement tier","Recovered output / tier not applicable")),IF(OR(IFERROR(INDEX('Crafting recipes'!$H$6:$H$1005,MATCH(J332,'Crafting recipes'!$A$6:$A$1005,0)),"MISSING ID")="Unassigned",G332="Unassigned"),"Tier unresolved",IF(IFERROR(VALUE(RIGHT(G332,1))-VALUE(RIGHT(IFERROR(INDEX('Crafting recipes'!$H$6:$H$1005,MATCH(J332,'Crafting recipes'!$A$6:$A$1005,0)),"MISSING ID"),1)),0)=1,IF(B332=IFERROR(INDEX('Crafting recipes'!$H$6:$H$1005,MATCH(J332,'Crafting recipes'!$A$6:$A$1005,0)),"MISSING ID"),"Advances one material tier","Lower-tier ingredient; route advances one tier"),"Needs tier review"))))))</x:f>
        <x:v>Advances one material tier</x:v>
      </x:c>
      <x:c r="S332" s="4" t="str">
        <x:f>IFERROR(INDEX('Material routes'!$D$6:$D$2205,MATCH(U332,'Material routes'!$A$6:$A$2205,0)),"MISSING ID")</x:f>
        <x:v>proposal.natural.ceramic</x:v>
      </x:c>
      <x:c r="T332" s="4" t="str">
        <x:f>IFERROR(INDEX('Material routes'!$D$6:$D$2205,MATCH(V332,'Material routes'!$A$6:$A$2205,0)),"MISSING ID")</x:f>
        <x:v>proposal.ceramic.stopper</x:v>
      </x:c>
      <x:c r="U332" s="4" t="str">
        <x:v>design.review.proposal_ceramic_stopper.in.1</x:v>
      </x:c>
      <x:c r="V332" s="4" t="str">
        <x:v>design.review.proposal_ceramic_stopper.out</x:v>
      </x:c>
    </x:row>
    <x:row r="333" ht="115" customHeight="1">
      <x:c r="A333" s="4" t="str">
        <x:f>IFERROR(INDEX('Material routes'!$E$6:$E$2205,MATCH(U333,'Material routes'!$A$6:$A$2205,0)),"MISSING ID")</x:f>
        <x:v>Graded abrasive grit</x:v>
      </x:c>
      <x:c r="B333" s="4" t="str">
        <x:f>IFERROR(INDEX('Material routes'!$F$6:$F$2205,MATCH(U333,'Material routes'!$A$6:$A$2205,0)),"MISSING ID")</x:f>
        <x:v>T1</x:v>
      </x:c>
      <x:c r="C333" s="4" t="str">
        <x:f>IFERROR(INDEX('Material routes'!$H$6:$H$2205,MATCH(U333,'Material routes'!$A$6:$A$2205,0)),"MISSING ID")</x:f>
        <x:v>Processed material</x:v>
      </x:c>
      <x:c r="D333" s="4" t="str">
        <x:f>IFERROR(INDEX('Material routes'!$G$6:$G$2205,MATCH(U333,'Material routes'!$A$6:$A$2205,0)),"MISSING ID")</x:f>
        <x:v>Manufactured stock</x:v>
      </x:c>
      <x:c r="E333" s="4" t="str">
        <x:f>IFERROR(INDEX('Material routes'!$C$6:$C$2205,MATCH(U333,'Material routes'!$A$6:$A$2205,0)),"MISSING ID")</x:f>
        <x:v>Ingredient candidate</x:v>
      </x:c>
      <x:c r="F333" s="4" t="str">
        <x:f>IFERROR(INDEX('Material routes'!$E$6:$E$2205,MATCH(V333,'Material routes'!$A$6:$A$2205,0)),"MISSING ID")</x:f>
        <x:v>Fitted ceramic stopper</x:v>
      </x:c>
      <x:c r="G333" s="4" t="str">
        <x:f>IFERROR(INDEX('Material routes'!$F$6:$F$2205,MATCH(V333,'Material routes'!$A$6:$A$2205,0)),"MISSING ID")</x:f>
        <x:v>T3</x:v>
      </x:c>
      <x:c r="H333" s="4" t="str">
        <x:f>IFERROR(INDEX('Material routes'!$H$6:$H$2205,MATCH(V333,'Material routes'!$A$6:$A$2205,0)),"MISSING ID")</x:f>
        <x:v>Container part</x:v>
      </x:c>
      <x:c r="I333" s="4" t="str">
        <x:f>IFERROR(INDEX('Material routes'!$G$6:$G$2205,MATCH(V333,'Material routes'!$A$6:$A$2205,0)),"MISSING ID")</x:f>
        <x:v>Crafting components</x:v>
      </x:c>
      <x:c r="J333" s="4" t="str">
        <x:f>IFERROR(INDEX('Material routes'!$B$6:$B$2205,MATCH(U333,'Material routes'!$A$6:$A$2205,0)),"MISSING ID")</x:f>
        <x:v>design.review.proposal_ceramic_stopper</x:v>
      </x:c>
      <x:c r="K333" s="4" t="str">
        <x:f>IFERROR(INDEX('Crafting recipes'!$C$6:$C$1005,MATCH(J333,'Crafting recipes'!$A$6:$A$1005,0)),"MISSING ID")</x:f>
        <x:v>Material refinement</x:v>
      </x:c>
      <x:c r="L333" s="4" t="str">
        <x:f>IFERROR(INDEX('Material routes'!$K$6:$K$2205,MATCH(U333,'Material routes'!$A$6:$A$2205,0)),"MISSING ID")</x:f>
        <x:v>Proposal</x:v>
      </x:c>
      <x:c r="M333" s="4" t="str">
        <x:f>IFERROR(INDEX('Material routes'!$M$6:$M$2205,MATCH(U333,'Material routes'!$A$6:$A$2205,0)),"MISSING ID")</x:f>
        <x:v>Partial proposal</x:v>
      </x:c>
      <x:c r="N333" s="4" t="str">
        <x:f>IF(IFERROR(INDEX('Material routes'!$I$6:$I$1005,MATCH(U333,'Material routes'!$A$6:$A$1005,0)),"MISSING ID")=0,"",IFERROR(INDEX('Material routes'!$I$6:$I$1005,MATCH(U333,'Material routes'!$A$6:$A$1005,0)),"MISSING ID"))</x:f>
      </x:c>
      <x:c r="O333" s="4" t="str">
        <x:f>IFERROR(INDEX('Material routes'!$J$6:$J$2205,MATCH(U333,'Material routes'!$A$6:$A$2205,0)),"MISSING ID")</x:f>
        <x:v>Unspecified</x:v>
      </x:c>
      <x:c r="P333" s="4" t="str">
        <x:f>IF(IFERROR(INDEX('Material routes'!$I$6:$I$1005,MATCH(V333,'Material routes'!$A$6:$A$1005,0)),"MISSING ID")=0,"",IFERROR(INDEX('Material routes'!$I$6:$I$1005,MATCH(V333,'Material routes'!$A$6:$A$1005,0)),"MISSING ID"))</x:f>
      </x:c>
      <x:c r="Q333" s="4" t="str">
        <x:f>IFERROR(INDEX('Material routes'!$J$6:$J$2205,MATCH(V333,'Material routes'!$A$6:$A$2205,0)),"MISSING ID")</x:f>
        <x:v>Unspecified</x:v>
      </x:c>
      <x:c r="R333" s="4" t="str">
        <x:f>IF(L333="Withheld","Withheld premise",IF(E333="Tool candidate","Reusable prerequisite",IF(K333="Raw entry preparation","Entry-resource preparation",IF(G333="Not applicable",IF(IFERROR(INDEX('Items'!$AI$6:$AI$1005,MATCH(T333,'Items'!$A$6:$A$1005,0)),"MISSING ID")="Finished item","Finished endpoint",IF(IFERROR(INDEX('Items'!$AI$6:$AI$1005,MATCH(T333,'Items'!$A$6:$A$1005,0)),"MISSING ID")="Currency","Currency / no refinement tier","Recovered output / tier not applicable")),IF(OR(IFERROR(INDEX('Crafting recipes'!$H$6:$H$1005,MATCH(J333,'Crafting recipes'!$A$6:$A$1005,0)),"MISSING ID")="Unassigned",G333="Unassigned"),"Tier unresolved",IF(IFERROR(VALUE(RIGHT(G333,1))-VALUE(RIGHT(IFERROR(INDEX('Crafting recipes'!$H$6:$H$1005,MATCH(J333,'Crafting recipes'!$A$6:$A$1005,0)),"MISSING ID"),1)),0)=1,IF(B333=IFERROR(INDEX('Crafting recipes'!$H$6:$H$1005,MATCH(J333,'Crafting recipes'!$A$6:$A$1005,0)),"MISSING ID"),"Advances one material tier","Lower-tier ingredient; route advances one tier"),"Needs tier review"))))))</x:f>
        <x:v>Lower-tier ingredient; route advances one tier</x:v>
      </x:c>
      <x:c r="S333" s="4" t="str">
        <x:f>IFERROR(INDEX('Material routes'!$D$6:$D$2205,MATCH(U333,'Material routes'!$A$6:$A$2205,0)),"MISSING ID")</x:f>
        <x:v>proposal.natural.abrasive</x:v>
      </x:c>
      <x:c r="T333" s="4" t="str">
        <x:f>IFERROR(INDEX('Material routes'!$D$6:$D$2205,MATCH(V333,'Material routes'!$A$6:$A$2205,0)),"MISSING ID")</x:f>
        <x:v>proposal.ceramic.stopper</x:v>
      </x:c>
      <x:c r="U333" s="4" t="str">
        <x:v>design.review.proposal_ceramic_stopper.in.2</x:v>
      </x:c>
      <x:c r="V333" s="4" t="str">
        <x:v>design.review.proposal_ceramic_stopper.out</x:v>
      </x:c>
    </x:row>
    <x:row r="334" ht="115" customHeight="1">
      <x:c r="A334" s="4" t="str">
        <x:f>IFERROR(INDEX('Material routes'!$E$6:$E$2205,MATCH(U334,'Material routes'!$A$6:$A$2205,0)),"MISSING ID")</x:f>
        <x:v>Insulating ceramic blanks</x:v>
      </x:c>
      <x:c r="B334" s="4" t="str">
        <x:f>IFERROR(INDEX('Material routes'!$F$6:$F$2205,MATCH(U334,'Material routes'!$A$6:$A$2205,0)),"MISSING ID")</x:f>
        <x:v>T2</x:v>
      </x:c>
      <x:c r="C334" s="4" t="str">
        <x:f>IFERROR(INDEX('Material routes'!$H$6:$H$2205,MATCH(U334,'Material routes'!$A$6:$A$2205,0)),"MISSING ID")</x:f>
        <x:v>Processed material</x:v>
      </x:c>
      <x:c r="D334" s="4" t="str">
        <x:f>IFERROR(INDEX('Material routes'!$G$6:$G$2205,MATCH(U334,'Material routes'!$A$6:$A$2205,0)),"MISSING ID")</x:f>
        <x:v>Manufactured stock</x:v>
      </x:c>
      <x:c r="E334" s="4" t="str">
        <x:f>IFERROR(INDEX('Material routes'!$C$6:$C$2205,MATCH(U334,'Material routes'!$A$6:$A$2205,0)),"MISSING ID")</x:f>
        <x:v>Ingredient candidate</x:v>
      </x:c>
      <x:c r="F334" s="4" t="str">
        <x:f>IFERROR(INDEX('Material routes'!$E$6:$E$2205,MATCH(V334,'Material routes'!$A$6:$A$2205,0)),"MISSING ID")</x:f>
        <x:v>Ceramic vessel lid</x:v>
      </x:c>
      <x:c r="G334" s="4" t="str">
        <x:f>IFERROR(INDEX('Material routes'!$F$6:$F$2205,MATCH(V334,'Material routes'!$A$6:$A$2205,0)),"MISSING ID")</x:f>
        <x:v>T3</x:v>
      </x:c>
      <x:c r="H334" s="4" t="str">
        <x:f>IFERROR(INDEX('Material routes'!$H$6:$H$2205,MATCH(V334,'Material routes'!$A$6:$A$2205,0)),"MISSING ID")</x:f>
        <x:v>Container part</x:v>
      </x:c>
      <x:c r="I334" s="4" t="str">
        <x:f>IFERROR(INDEX('Material routes'!$G$6:$G$2205,MATCH(V334,'Material routes'!$A$6:$A$2205,0)),"MISSING ID")</x:f>
        <x:v>Crafting components</x:v>
      </x:c>
      <x:c r="J334" s="4" t="str">
        <x:f>IFERROR(INDEX('Material routes'!$B$6:$B$2205,MATCH(U334,'Material routes'!$A$6:$A$2205,0)),"MISSING ID")</x:f>
        <x:v>design.review.proposal_ceramic_lid</x:v>
      </x:c>
      <x:c r="K334" s="4" t="str">
        <x:f>IFERROR(INDEX('Crafting recipes'!$C$6:$C$1005,MATCH(J334,'Crafting recipes'!$A$6:$A$1005,0)),"MISSING ID")</x:f>
        <x:v>Material refinement</x:v>
      </x:c>
      <x:c r="L334" s="4" t="str">
        <x:f>IFERROR(INDEX('Material routes'!$K$6:$K$2205,MATCH(U334,'Material routes'!$A$6:$A$2205,0)),"MISSING ID")</x:f>
        <x:v>Proposal</x:v>
      </x:c>
      <x:c r="M334" s="4" t="str">
        <x:f>IFERROR(INDEX('Material routes'!$M$6:$M$2205,MATCH(U334,'Material routes'!$A$6:$A$2205,0)),"MISSING ID")</x:f>
        <x:v>Partial proposal</x:v>
      </x:c>
      <x:c r="N334" s="4" t="str">
        <x:f>IF(IFERROR(INDEX('Material routes'!$I$6:$I$1005,MATCH(U334,'Material routes'!$A$6:$A$1005,0)),"MISSING ID")=0,"",IFERROR(INDEX('Material routes'!$I$6:$I$1005,MATCH(U334,'Material routes'!$A$6:$A$1005,0)),"MISSING ID"))</x:f>
      </x:c>
      <x:c r="O334" s="4" t="str">
        <x:f>IFERROR(INDEX('Material routes'!$J$6:$J$2205,MATCH(U334,'Material routes'!$A$6:$A$2205,0)),"MISSING ID")</x:f>
        <x:v>Unspecified</x:v>
      </x:c>
      <x:c r="P334" s="4" t="str">
        <x:f>IF(IFERROR(INDEX('Material routes'!$I$6:$I$1005,MATCH(V334,'Material routes'!$A$6:$A$1005,0)),"MISSING ID")=0,"",IFERROR(INDEX('Material routes'!$I$6:$I$1005,MATCH(V334,'Material routes'!$A$6:$A$1005,0)),"MISSING ID"))</x:f>
      </x:c>
      <x:c r="Q334" s="4" t="str">
        <x:f>IFERROR(INDEX('Material routes'!$J$6:$J$2205,MATCH(V334,'Material routes'!$A$6:$A$2205,0)),"MISSING ID")</x:f>
        <x:v>Unspecified</x:v>
      </x:c>
      <x:c r="R334" s="4" t="str">
        <x:f>IF(L334="Withheld","Withheld premise",IF(E334="Tool candidate","Reusable prerequisite",IF(K334="Raw entry preparation","Entry-resource preparation",IF(G334="Not applicable",IF(IFERROR(INDEX('Items'!$AI$6:$AI$1005,MATCH(T334,'Items'!$A$6:$A$1005,0)),"MISSING ID")="Finished item","Finished endpoint",IF(IFERROR(INDEX('Items'!$AI$6:$AI$1005,MATCH(T334,'Items'!$A$6:$A$1005,0)),"MISSING ID")="Currency","Currency / no refinement tier","Recovered output / tier not applicable")),IF(OR(IFERROR(INDEX('Crafting recipes'!$H$6:$H$1005,MATCH(J334,'Crafting recipes'!$A$6:$A$1005,0)),"MISSING ID")="Unassigned",G334="Unassigned"),"Tier unresolved",IF(IFERROR(VALUE(RIGHT(G334,1))-VALUE(RIGHT(IFERROR(INDEX('Crafting recipes'!$H$6:$H$1005,MATCH(J334,'Crafting recipes'!$A$6:$A$1005,0)),"MISSING ID"),1)),0)=1,IF(B334=IFERROR(INDEX('Crafting recipes'!$H$6:$H$1005,MATCH(J334,'Crafting recipes'!$A$6:$A$1005,0)),"MISSING ID"),"Advances one material tier","Lower-tier ingredient; route advances one tier"),"Needs tier review"))))))</x:f>
        <x:v>Advances one material tier</x:v>
      </x:c>
      <x:c r="S334" s="4" t="str">
        <x:f>IFERROR(INDEX('Material routes'!$D$6:$D$2205,MATCH(U334,'Material routes'!$A$6:$A$2205,0)),"MISSING ID")</x:f>
        <x:v>proposal.natural.ceramic</x:v>
      </x:c>
      <x:c r="T334" s="4" t="str">
        <x:f>IFERROR(INDEX('Material routes'!$D$6:$D$2205,MATCH(V334,'Material routes'!$A$6:$A$2205,0)),"MISSING ID")</x:f>
        <x:v>proposal.ceramic.lid</x:v>
      </x:c>
      <x:c r="U334" s="4" t="str">
        <x:v>design.review.proposal_ceramic_lid.in.1</x:v>
      </x:c>
      <x:c r="V334" s="4" t="str">
        <x:v>design.review.proposal_ceramic_lid.out</x:v>
      </x:c>
    </x:row>
    <x:row r="335" ht="115" customHeight="1">
      <x:c r="A335" s="4" t="str">
        <x:f>IFERROR(INDEX('Material routes'!$E$6:$E$2205,MATCH(U335,'Material routes'!$A$6:$A$2205,0)),"MISSING ID")</x:f>
        <x:v>Graded abrasive grit</x:v>
      </x:c>
      <x:c r="B335" s="4" t="str">
        <x:f>IFERROR(INDEX('Material routes'!$F$6:$F$2205,MATCH(U335,'Material routes'!$A$6:$A$2205,0)),"MISSING ID")</x:f>
        <x:v>T1</x:v>
      </x:c>
      <x:c r="C335" s="4" t="str">
        <x:f>IFERROR(INDEX('Material routes'!$H$6:$H$2205,MATCH(U335,'Material routes'!$A$6:$A$2205,0)),"MISSING ID")</x:f>
        <x:v>Processed material</x:v>
      </x:c>
      <x:c r="D335" s="4" t="str">
        <x:f>IFERROR(INDEX('Material routes'!$G$6:$G$2205,MATCH(U335,'Material routes'!$A$6:$A$2205,0)),"MISSING ID")</x:f>
        <x:v>Manufactured stock</x:v>
      </x:c>
      <x:c r="E335" s="4" t="str">
        <x:f>IFERROR(INDEX('Material routes'!$C$6:$C$2205,MATCH(U335,'Material routes'!$A$6:$A$2205,0)),"MISSING ID")</x:f>
        <x:v>Ingredient candidate</x:v>
      </x:c>
      <x:c r="F335" s="4" t="str">
        <x:f>IFERROR(INDEX('Material routes'!$E$6:$E$2205,MATCH(V335,'Material routes'!$A$6:$A$2205,0)),"MISSING ID")</x:f>
        <x:v>Ceramic vessel lid</x:v>
      </x:c>
      <x:c r="G335" s="4" t="str">
        <x:f>IFERROR(INDEX('Material routes'!$F$6:$F$2205,MATCH(V335,'Material routes'!$A$6:$A$2205,0)),"MISSING ID")</x:f>
        <x:v>T3</x:v>
      </x:c>
      <x:c r="H335" s="4" t="str">
        <x:f>IFERROR(INDEX('Material routes'!$H$6:$H$2205,MATCH(V335,'Material routes'!$A$6:$A$2205,0)),"MISSING ID")</x:f>
        <x:v>Container part</x:v>
      </x:c>
      <x:c r="I335" s="4" t="str">
        <x:f>IFERROR(INDEX('Material routes'!$G$6:$G$2205,MATCH(V335,'Material routes'!$A$6:$A$2205,0)),"MISSING ID")</x:f>
        <x:v>Crafting components</x:v>
      </x:c>
      <x:c r="J335" s="4" t="str">
        <x:f>IFERROR(INDEX('Material routes'!$B$6:$B$2205,MATCH(U335,'Material routes'!$A$6:$A$2205,0)),"MISSING ID")</x:f>
        <x:v>design.review.proposal_ceramic_lid</x:v>
      </x:c>
      <x:c r="K335" s="4" t="str">
        <x:f>IFERROR(INDEX('Crafting recipes'!$C$6:$C$1005,MATCH(J335,'Crafting recipes'!$A$6:$A$1005,0)),"MISSING ID")</x:f>
        <x:v>Material refinement</x:v>
      </x:c>
      <x:c r="L335" s="4" t="str">
        <x:f>IFERROR(INDEX('Material routes'!$K$6:$K$2205,MATCH(U335,'Material routes'!$A$6:$A$2205,0)),"MISSING ID")</x:f>
        <x:v>Proposal</x:v>
      </x:c>
      <x:c r="M335" s="4" t="str">
        <x:f>IFERROR(INDEX('Material routes'!$M$6:$M$2205,MATCH(U335,'Material routes'!$A$6:$A$2205,0)),"MISSING ID")</x:f>
        <x:v>Partial proposal</x:v>
      </x:c>
      <x:c r="N335" s="4" t="str">
        <x:f>IF(IFERROR(INDEX('Material routes'!$I$6:$I$1005,MATCH(U335,'Material routes'!$A$6:$A$1005,0)),"MISSING ID")=0,"",IFERROR(INDEX('Material routes'!$I$6:$I$1005,MATCH(U335,'Material routes'!$A$6:$A$1005,0)),"MISSING ID"))</x:f>
      </x:c>
      <x:c r="O335" s="4" t="str">
        <x:f>IFERROR(INDEX('Material routes'!$J$6:$J$2205,MATCH(U335,'Material routes'!$A$6:$A$2205,0)),"MISSING ID")</x:f>
        <x:v>Unspecified</x:v>
      </x:c>
      <x:c r="P335" s="4" t="str">
        <x:f>IF(IFERROR(INDEX('Material routes'!$I$6:$I$1005,MATCH(V335,'Material routes'!$A$6:$A$1005,0)),"MISSING ID")=0,"",IFERROR(INDEX('Material routes'!$I$6:$I$1005,MATCH(V335,'Material routes'!$A$6:$A$1005,0)),"MISSING ID"))</x:f>
      </x:c>
      <x:c r="Q335" s="4" t="str">
        <x:f>IFERROR(INDEX('Material routes'!$J$6:$J$2205,MATCH(V335,'Material routes'!$A$6:$A$2205,0)),"MISSING ID")</x:f>
        <x:v>Unspecified</x:v>
      </x:c>
      <x:c r="R335" s="4" t="str">
        <x:f>IF(L335="Withheld","Withheld premise",IF(E335="Tool candidate","Reusable prerequisite",IF(K335="Raw entry preparation","Entry-resource preparation",IF(G335="Not applicable",IF(IFERROR(INDEX('Items'!$AI$6:$AI$1005,MATCH(T335,'Items'!$A$6:$A$1005,0)),"MISSING ID")="Finished item","Finished endpoint",IF(IFERROR(INDEX('Items'!$AI$6:$AI$1005,MATCH(T335,'Items'!$A$6:$A$1005,0)),"MISSING ID")="Currency","Currency / no refinement tier","Recovered output / tier not applicable")),IF(OR(IFERROR(INDEX('Crafting recipes'!$H$6:$H$1005,MATCH(J335,'Crafting recipes'!$A$6:$A$1005,0)),"MISSING ID")="Unassigned",G335="Unassigned"),"Tier unresolved",IF(IFERROR(VALUE(RIGHT(G335,1))-VALUE(RIGHT(IFERROR(INDEX('Crafting recipes'!$H$6:$H$1005,MATCH(J335,'Crafting recipes'!$A$6:$A$1005,0)),"MISSING ID"),1)),0)=1,IF(B335=IFERROR(INDEX('Crafting recipes'!$H$6:$H$1005,MATCH(J335,'Crafting recipes'!$A$6:$A$1005,0)),"MISSING ID"),"Advances one material tier","Lower-tier ingredient; route advances one tier"),"Needs tier review"))))))</x:f>
        <x:v>Lower-tier ingredient; route advances one tier</x:v>
      </x:c>
      <x:c r="S335" s="4" t="str">
        <x:f>IFERROR(INDEX('Material routes'!$D$6:$D$2205,MATCH(U335,'Material routes'!$A$6:$A$2205,0)),"MISSING ID")</x:f>
        <x:v>proposal.natural.abrasive</x:v>
      </x:c>
      <x:c r="T335" s="4" t="str">
        <x:f>IFERROR(INDEX('Material routes'!$D$6:$D$2205,MATCH(V335,'Material routes'!$A$6:$A$2205,0)),"MISSING ID")</x:f>
        <x:v>proposal.ceramic.lid</x:v>
      </x:c>
      <x:c r="U335" s="4" t="str">
        <x:v>design.review.proposal_ceramic_lid.in.2</x:v>
      </x:c>
      <x:c r="V335" s="4" t="str">
        <x:v>design.review.proposal_ceramic_lid.out</x:v>
      </x:c>
    </x:row>
    <x:row r="336" ht="115" customHeight="1">
      <x:c r="A336" s="4" t="str">
        <x:f>IFERROR(INDEX('Material routes'!$E$6:$E$2205,MATCH(U336,'Material routes'!$A$6:$A$2205,0)),"MISSING ID")</x:f>
        <x:v>Insulating ceramic blanks</x:v>
      </x:c>
      <x:c r="B336" s="4" t="str">
        <x:f>IFERROR(INDEX('Material routes'!$F$6:$F$2205,MATCH(U336,'Material routes'!$A$6:$A$2205,0)),"MISSING ID")</x:f>
        <x:v>T2</x:v>
      </x:c>
      <x:c r="C336" s="4" t="str">
        <x:f>IFERROR(INDEX('Material routes'!$H$6:$H$2205,MATCH(U336,'Material routes'!$A$6:$A$2205,0)),"MISSING ID")</x:f>
        <x:v>Processed material</x:v>
      </x:c>
      <x:c r="D336" s="4" t="str">
        <x:f>IFERROR(INDEX('Material routes'!$G$6:$G$2205,MATCH(U336,'Material routes'!$A$6:$A$2205,0)),"MISSING ID")</x:f>
        <x:v>Manufactured stock</x:v>
      </x:c>
      <x:c r="E336" s="4" t="str">
        <x:f>IFERROR(INDEX('Material routes'!$C$6:$C$2205,MATCH(U336,'Material routes'!$A$6:$A$2205,0)),"MISSING ID")</x:f>
        <x:v>Ingredient candidate</x:v>
      </x:c>
      <x:c r="F336" s="4" t="str">
        <x:f>IFERROR(INDEX('Material routes'!$E$6:$E$2205,MATCH(V336,'Material routes'!$A$6:$A$2205,0)),"MISSING ID")</x:f>
        <x:v>Ceramic pouring spout</x:v>
      </x:c>
      <x:c r="G336" s="4" t="str">
        <x:f>IFERROR(INDEX('Material routes'!$F$6:$F$2205,MATCH(V336,'Material routes'!$A$6:$A$2205,0)),"MISSING ID")</x:f>
        <x:v>T3</x:v>
      </x:c>
      <x:c r="H336" s="4" t="str">
        <x:f>IFERROR(INDEX('Material routes'!$H$6:$H$2205,MATCH(V336,'Material routes'!$A$6:$A$2205,0)),"MISSING ID")</x:f>
        <x:v>Container part</x:v>
      </x:c>
      <x:c r="I336" s="4" t="str">
        <x:f>IFERROR(INDEX('Material routes'!$G$6:$G$2205,MATCH(V336,'Material routes'!$A$6:$A$2205,0)),"MISSING ID")</x:f>
        <x:v>Crafting components</x:v>
      </x:c>
      <x:c r="J336" s="4" t="str">
        <x:f>IFERROR(INDEX('Material routes'!$B$6:$B$2205,MATCH(U336,'Material routes'!$A$6:$A$2205,0)),"MISSING ID")</x:f>
        <x:v>design.review.proposal_ceramic_pour_spout</x:v>
      </x:c>
      <x:c r="K336" s="4" t="str">
        <x:f>IFERROR(INDEX('Crafting recipes'!$C$6:$C$1005,MATCH(J336,'Crafting recipes'!$A$6:$A$1005,0)),"MISSING ID")</x:f>
        <x:v>Material refinement</x:v>
      </x:c>
      <x:c r="L336" s="4" t="str">
        <x:f>IFERROR(INDEX('Material routes'!$K$6:$K$2205,MATCH(U336,'Material routes'!$A$6:$A$2205,0)),"MISSING ID")</x:f>
        <x:v>Proposal</x:v>
      </x:c>
      <x:c r="M336" s="4" t="str">
        <x:f>IFERROR(INDEX('Material routes'!$M$6:$M$2205,MATCH(U336,'Material routes'!$A$6:$A$2205,0)),"MISSING ID")</x:f>
        <x:v>Partial proposal</x:v>
      </x:c>
      <x:c r="N336" s="4" t="str">
        <x:f>IF(IFERROR(INDEX('Material routes'!$I$6:$I$1005,MATCH(U336,'Material routes'!$A$6:$A$1005,0)),"MISSING ID")=0,"",IFERROR(INDEX('Material routes'!$I$6:$I$1005,MATCH(U336,'Material routes'!$A$6:$A$1005,0)),"MISSING ID"))</x:f>
      </x:c>
      <x:c r="O336" s="4" t="str">
        <x:f>IFERROR(INDEX('Material routes'!$J$6:$J$2205,MATCH(U336,'Material routes'!$A$6:$A$2205,0)),"MISSING ID")</x:f>
        <x:v>Unspecified</x:v>
      </x:c>
      <x:c r="P336" s="4" t="str">
        <x:f>IF(IFERROR(INDEX('Material routes'!$I$6:$I$1005,MATCH(V336,'Material routes'!$A$6:$A$1005,0)),"MISSING ID")=0,"",IFERROR(INDEX('Material routes'!$I$6:$I$1005,MATCH(V336,'Material routes'!$A$6:$A$1005,0)),"MISSING ID"))</x:f>
      </x:c>
      <x:c r="Q336" s="4" t="str">
        <x:f>IFERROR(INDEX('Material routes'!$J$6:$J$2205,MATCH(V336,'Material routes'!$A$6:$A$2205,0)),"MISSING ID")</x:f>
        <x:v>Unspecified</x:v>
      </x:c>
      <x:c r="R336" s="4" t="str">
        <x:f>IF(L336="Withheld","Withheld premise",IF(E336="Tool candidate","Reusable prerequisite",IF(K336="Raw entry preparation","Entry-resource preparation",IF(G336="Not applicable",IF(IFERROR(INDEX('Items'!$AI$6:$AI$1005,MATCH(T336,'Items'!$A$6:$A$1005,0)),"MISSING ID")="Finished item","Finished endpoint",IF(IFERROR(INDEX('Items'!$AI$6:$AI$1005,MATCH(T336,'Items'!$A$6:$A$1005,0)),"MISSING ID")="Currency","Currency / no refinement tier","Recovered output / tier not applicable")),IF(OR(IFERROR(INDEX('Crafting recipes'!$H$6:$H$1005,MATCH(J336,'Crafting recipes'!$A$6:$A$1005,0)),"MISSING ID")="Unassigned",G336="Unassigned"),"Tier unresolved",IF(IFERROR(VALUE(RIGHT(G336,1))-VALUE(RIGHT(IFERROR(INDEX('Crafting recipes'!$H$6:$H$1005,MATCH(J336,'Crafting recipes'!$A$6:$A$1005,0)),"MISSING ID"),1)),0)=1,IF(B336=IFERROR(INDEX('Crafting recipes'!$H$6:$H$1005,MATCH(J336,'Crafting recipes'!$A$6:$A$1005,0)),"MISSING ID"),"Advances one material tier","Lower-tier ingredient; route advances one tier"),"Needs tier review"))))))</x:f>
        <x:v>Advances one material tier</x:v>
      </x:c>
      <x:c r="S336" s="4" t="str">
        <x:f>IFERROR(INDEX('Material routes'!$D$6:$D$2205,MATCH(U336,'Material routes'!$A$6:$A$2205,0)),"MISSING ID")</x:f>
        <x:v>proposal.natural.ceramic</x:v>
      </x:c>
      <x:c r="T336" s="4" t="str">
        <x:f>IFERROR(INDEX('Material routes'!$D$6:$D$2205,MATCH(V336,'Material routes'!$A$6:$A$2205,0)),"MISSING ID")</x:f>
        <x:v>proposal.ceramic.pour_spout</x:v>
      </x:c>
      <x:c r="U336" s="4" t="str">
        <x:v>design.review.proposal_ceramic_pour_spout.in.1</x:v>
      </x:c>
      <x:c r="V336" s="4" t="str">
        <x:v>design.review.proposal_ceramic_pour_spout.out</x:v>
      </x:c>
    </x:row>
    <x:row r="337" ht="115" customHeight="1">
      <x:c r="A337" s="4" t="str">
        <x:f>IFERROR(INDEX('Material routes'!$E$6:$E$2205,MATCH(U337,'Material routes'!$A$6:$A$2205,0)),"MISSING ID")</x:f>
        <x:v>Graded abrasive grit</x:v>
      </x:c>
      <x:c r="B337" s="4" t="str">
        <x:f>IFERROR(INDEX('Material routes'!$F$6:$F$2205,MATCH(U337,'Material routes'!$A$6:$A$2205,0)),"MISSING ID")</x:f>
        <x:v>T1</x:v>
      </x:c>
      <x:c r="C337" s="4" t="str">
        <x:f>IFERROR(INDEX('Material routes'!$H$6:$H$2205,MATCH(U337,'Material routes'!$A$6:$A$2205,0)),"MISSING ID")</x:f>
        <x:v>Processed material</x:v>
      </x:c>
      <x:c r="D337" s="4" t="str">
        <x:f>IFERROR(INDEX('Material routes'!$G$6:$G$2205,MATCH(U337,'Material routes'!$A$6:$A$2205,0)),"MISSING ID")</x:f>
        <x:v>Manufactured stock</x:v>
      </x:c>
      <x:c r="E337" s="4" t="str">
        <x:f>IFERROR(INDEX('Material routes'!$C$6:$C$2205,MATCH(U337,'Material routes'!$A$6:$A$2205,0)),"MISSING ID")</x:f>
        <x:v>Ingredient candidate</x:v>
      </x:c>
      <x:c r="F337" s="4" t="str">
        <x:f>IFERROR(INDEX('Material routes'!$E$6:$E$2205,MATCH(V337,'Material routes'!$A$6:$A$2205,0)),"MISSING ID")</x:f>
        <x:v>Ceramic pouring spout</x:v>
      </x:c>
      <x:c r="G337" s="4" t="str">
        <x:f>IFERROR(INDEX('Material routes'!$F$6:$F$2205,MATCH(V337,'Material routes'!$A$6:$A$2205,0)),"MISSING ID")</x:f>
        <x:v>T3</x:v>
      </x:c>
      <x:c r="H337" s="4" t="str">
        <x:f>IFERROR(INDEX('Material routes'!$H$6:$H$2205,MATCH(V337,'Material routes'!$A$6:$A$2205,0)),"MISSING ID")</x:f>
        <x:v>Container part</x:v>
      </x:c>
      <x:c r="I337" s="4" t="str">
        <x:f>IFERROR(INDEX('Material routes'!$G$6:$G$2205,MATCH(V337,'Material routes'!$A$6:$A$2205,0)),"MISSING ID")</x:f>
        <x:v>Crafting components</x:v>
      </x:c>
      <x:c r="J337" s="4" t="str">
        <x:f>IFERROR(INDEX('Material routes'!$B$6:$B$2205,MATCH(U337,'Material routes'!$A$6:$A$2205,0)),"MISSING ID")</x:f>
        <x:v>design.review.proposal_ceramic_pour_spout</x:v>
      </x:c>
      <x:c r="K337" s="4" t="str">
        <x:f>IFERROR(INDEX('Crafting recipes'!$C$6:$C$1005,MATCH(J337,'Crafting recipes'!$A$6:$A$1005,0)),"MISSING ID")</x:f>
        <x:v>Material refinement</x:v>
      </x:c>
      <x:c r="L337" s="4" t="str">
        <x:f>IFERROR(INDEX('Material routes'!$K$6:$K$2205,MATCH(U337,'Material routes'!$A$6:$A$2205,0)),"MISSING ID")</x:f>
        <x:v>Proposal</x:v>
      </x:c>
      <x:c r="M337" s="4" t="str">
        <x:f>IFERROR(INDEX('Material routes'!$M$6:$M$2205,MATCH(U337,'Material routes'!$A$6:$A$2205,0)),"MISSING ID")</x:f>
        <x:v>Partial proposal</x:v>
      </x:c>
      <x:c r="N337" s="4" t="str">
        <x:f>IF(IFERROR(INDEX('Material routes'!$I$6:$I$1005,MATCH(U337,'Material routes'!$A$6:$A$1005,0)),"MISSING ID")=0,"",IFERROR(INDEX('Material routes'!$I$6:$I$1005,MATCH(U337,'Material routes'!$A$6:$A$1005,0)),"MISSING ID"))</x:f>
      </x:c>
      <x:c r="O337" s="4" t="str">
        <x:f>IFERROR(INDEX('Material routes'!$J$6:$J$2205,MATCH(U337,'Material routes'!$A$6:$A$2205,0)),"MISSING ID")</x:f>
        <x:v>Unspecified</x:v>
      </x:c>
      <x:c r="P337" s="4" t="str">
        <x:f>IF(IFERROR(INDEX('Material routes'!$I$6:$I$1005,MATCH(V337,'Material routes'!$A$6:$A$1005,0)),"MISSING ID")=0,"",IFERROR(INDEX('Material routes'!$I$6:$I$1005,MATCH(V337,'Material routes'!$A$6:$A$1005,0)),"MISSING ID"))</x:f>
      </x:c>
      <x:c r="Q337" s="4" t="str">
        <x:f>IFERROR(INDEX('Material routes'!$J$6:$J$2205,MATCH(V337,'Material routes'!$A$6:$A$2205,0)),"MISSING ID")</x:f>
        <x:v>Unspecified</x:v>
      </x:c>
      <x:c r="R337" s="4" t="str">
        <x:f>IF(L337="Withheld","Withheld premise",IF(E337="Tool candidate","Reusable prerequisite",IF(K337="Raw entry preparation","Entry-resource preparation",IF(G337="Not applicable",IF(IFERROR(INDEX('Items'!$AI$6:$AI$1005,MATCH(T337,'Items'!$A$6:$A$1005,0)),"MISSING ID")="Finished item","Finished endpoint",IF(IFERROR(INDEX('Items'!$AI$6:$AI$1005,MATCH(T337,'Items'!$A$6:$A$1005,0)),"MISSING ID")="Currency","Currency / no refinement tier","Recovered output / tier not applicable")),IF(OR(IFERROR(INDEX('Crafting recipes'!$H$6:$H$1005,MATCH(J337,'Crafting recipes'!$A$6:$A$1005,0)),"MISSING ID")="Unassigned",G337="Unassigned"),"Tier unresolved",IF(IFERROR(VALUE(RIGHT(G337,1))-VALUE(RIGHT(IFERROR(INDEX('Crafting recipes'!$H$6:$H$1005,MATCH(J337,'Crafting recipes'!$A$6:$A$1005,0)),"MISSING ID"),1)),0)=1,IF(B337=IFERROR(INDEX('Crafting recipes'!$H$6:$H$1005,MATCH(J337,'Crafting recipes'!$A$6:$A$1005,0)),"MISSING ID"),"Advances one material tier","Lower-tier ingredient; route advances one tier"),"Needs tier review"))))))</x:f>
        <x:v>Lower-tier ingredient; route advances one tier</x:v>
      </x:c>
      <x:c r="S337" s="4" t="str">
        <x:f>IFERROR(INDEX('Material routes'!$D$6:$D$2205,MATCH(U337,'Material routes'!$A$6:$A$2205,0)),"MISSING ID")</x:f>
        <x:v>proposal.natural.abrasive</x:v>
      </x:c>
      <x:c r="T337" s="4" t="str">
        <x:f>IFERROR(INDEX('Material routes'!$D$6:$D$2205,MATCH(V337,'Material routes'!$A$6:$A$2205,0)),"MISSING ID")</x:f>
        <x:v>proposal.ceramic.pour_spout</x:v>
      </x:c>
      <x:c r="U337" s="4" t="str">
        <x:v>design.review.proposal_ceramic_pour_spout.in.2</x:v>
      </x:c>
      <x:c r="V337" s="4" t="str">
        <x:v>design.review.proposal_ceramic_pour_spout.out</x:v>
      </x:c>
    </x:row>
    <x:row r="338" ht="115" customHeight="1">
      <x:c r="A338" s="4" t="str">
        <x:f>IFERROR(INDEX('Material routes'!$E$6:$E$2205,MATCH(U338,'Material routes'!$A$6:$A$2205,0)),"MISSING ID")</x:f>
        <x:v>Insulating ceramic blanks</x:v>
      </x:c>
      <x:c r="B338" s="4" t="str">
        <x:f>IFERROR(INDEX('Material routes'!$F$6:$F$2205,MATCH(U338,'Material routes'!$A$6:$A$2205,0)),"MISSING ID")</x:f>
        <x:v>T2</x:v>
      </x:c>
      <x:c r="C338" s="4" t="str">
        <x:f>IFERROR(INDEX('Material routes'!$H$6:$H$2205,MATCH(U338,'Material routes'!$A$6:$A$2205,0)),"MISSING ID")</x:f>
        <x:v>Processed material</x:v>
      </x:c>
      <x:c r="D338" s="4" t="str">
        <x:f>IFERROR(INDEX('Material routes'!$G$6:$G$2205,MATCH(U338,'Material routes'!$A$6:$A$2205,0)),"MISSING ID")</x:f>
        <x:v>Manufactured stock</x:v>
      </x:c>
      <x:c r="E338" s="4" t="str">
        <x:f>IFERROR(INDEX('Material routes'!$C$6:$C$2205,MATCH(U338,'Material routes'!$A$6:$A$2205,0)),"MISSING ID")</x:f>
        <x:v>Ingredient candidate</x:v>
      </x:c>
      <x:c r="F338" s="4" t="str">
        <x:f>IFERROR(INDEX('Material routes'!$E$6:$E$2205,MATCH(V338,'Material routes'!$A$6:$A$2205,0)),"MISSING ID")</x:f>
        <x:v>Ceramic conduit section</x:v>
      </x:c>
      <x:c r="G338" s="4" t="str">
        <x:f>IFERROR(INDEX('Material routes'!$F$6:$F$2205,MATCH(V338,'Material routes'!$A$6:$A$2205,0)),"MISSING ID")</x:f>
        <x:v>T3</x:v>
      </x:c>
      <x:c r="H338" s="4" t="str">
        <x:f>IFERROR(INDEX('Material routes'!$H$6:$H$2205,MATCH(V338,'Material routes'!$A$6:$A$2205,0)),"MISSING ID")</x:f>
        <x:v>Crafting component</x:v>
      </x:c>
      <x:c r="I338" s="4" t="str">
        <x:f>IFERROR(INDEX('Material routes'!$G$6:$G$2205,MATCH(V338,'Material routes'!$A$6:$A$2205,0)),"MISSING ID")</x:f>
        <x:v>Crafting components</x:v>
      </x:c>
      <x:c r="J338" s="4" t="str">
        <x:f>IFERROR(INDEX('Material routes'!$B$6:$B$2205,MATCH(U338,'Material routes'!$A$6:$A$2205,0)),"MISSING ID")</x:f>
        <x:v>design.review.proposal_ceramic_conduit</x:v>
      </x:c>
      <x:c r="K338" s="4" t="str">
        <x:f>IFERROR(INDEX('Crafting recipes'!$C$6:$C$1005,MATCH(J338,'Crafting recipes'!$A$6:$A$1005,0)),"MISSING ID")</x:f>
        <x:v>Material refinement</x:v>
      </x:c>
      <x:c r="L338" s="4" t="str">
        <x:f>IFERROR(INDEX('Material routes'!$K$6:$K$2205,MATCH(U338,'Material routes'!$A$6:$A$2205,0)),"MISSING ID")</x:f>
        <x:v>Proposal</x:v>
      </x:c>
      <x:c r="M338" s="4" t="str">
        <x:f>IFERROR(INDEX('Material routes'!$M$6:$M$2205,MATCH(U338,'Material routes'!$A$6:$A$2205,0)),"MISSING ID")</x:f>
        <x:v>Partial proposal</x:v>
      </x:c>
      <x:c r="N338" s="4" t="str">
        <x:f>IF(IFERROR(INDEX('Material routes'!$I$6:$I$1005,MATCH(U338,'Material routes'!$A$6:$A$1005,0)),"MISSING ID")=0,"",IFERROR(INDEX('Material routes'!$I$6:$I$1005,MATCH(U338,'Material routes'!$A$6:$A$1005,0)),"MISSING ID"))</x:f>
      </x:c>
      <x:c r="O338" s="4" t="str">
        <x:f>IFERROR(INDEX('Material routes'!$J$6:$J$2205,MATCH(U338,'Material routes'!$A$6:$A$2205,0)),"MISSING ID")</x:f>
        <x:v>Unspecified</x:v>
      </x:c>
      <x:c r="P338" s="4" t="str">
        <x:f>IF(IFERROR(INDEX('Material routes'!$I$6:$I$1005,MATCH(V338,'Material routes'!$A$6:$A$1005,0)),"MISSING ID")=0,"",IFERROR(INDEX('Material routes'!$I$6:$I$1005,MATCH(V338,'Material routes'!$A$6:$A$1005,0)),"MISSING ID"))</x:f>
      </x:c>
      <x:c r="Q338" s="4" t="str">
        <x:f>IFERROR(INDEX('Material routes'!$J$6:$J$2205,MATCH(V338,'Material routes'!$A$6:$A$2205,0)),"MISSING ID")</x:f>
        <x:v>Unspecified</x:v>
      </x:c>
      <x:c r="R338" s="4" t="str">
        <x:f>IF(L338="Withheld","Withheld premise",IF(E338="Tool candidate","Reusable prerequisite",IF(K338="Raw entry preparation","Entry-resource preparation",IF(G338="Not applicable",IF(IFERROR(INDEX('Items'!$AI$6:$AI$1005,MATCH(T338,'Items'!$A$6:$A$1005,0)),"MISSING ID")="Finished item","Finished endpoint",IF(IFERROR(INDEX('Items'!$AI$6:$AI$1005,MATCH(T338,'Items'!$A$6:$A$1005,0)),"MISSING ID")="Currency","Currency / no refinement tier","Recovered output / tier not applicable")),IF(OR(IFERROR(INDEX('Crafting recipes'!$H$6:$H$1005,MATCH(J338,'Crafting recipes'!$A$6:$A$1005,0)),"MISSING ID")="Unassigned",G338="Unassigned"),"Tier unresolved",IF(IFERROR(VALUE(RIGHT(G338,1))-VALUE(RIGHT(IFERROR(INDEX('Crafting recipes'!$H$6:$H$1005,MATCH(J338,'Crafting recipes'!$A$6:$A$1005,0)),"MISSING ID"),1)),0)=1,IF(B338=IFERROR(INDEX('Crafting recipes'!$H$6:$H$1005,MATCH(J338,'Crafting recipes'!$A$6:$A$1005,0)),"MISSING ID"),"Advances one material tier","Lower-tier ingredient; route advances one tier"),"Needs tier review"))))))</x:f>
        <x:v>Advances one material tier</x:v>
      </x:c>
      <x:c r="S338" s="4" t="str">
        <x:f>IFERROR(INDEX('Material routes'!$D$6:$D$2205,MATCH(U338,'Material routes'!$A$6:$A$2205,0)),"MISSING ID")</x:f>
        <x:v>proposal.natural.ceramic</x:v>
      </x:c>
      <x:c r="T338" s="4" t="str">
        <x:f>IFERROR(INDEX('Material routes'!$D$6:$D$2205,MATCH(V338,'Material routes'!$A$6:$A$2205,0)),"MISSING ID")</x:f>
        <x:v>proposal.ceramic.conduit</x:v>
      </x:c>
      <x:c r="U338" s="4" t="str">
        <x:v>design.review.proposal_ceramic_conduit.in.1</x:v>
      </x:c>
      <x:c r="V338" s="4" t="str">
        <x:v>design.review.proposal_ceramic_conduit.out</x:v>
      </x:c>
    </x:row>
    <x:row r="339" ht="115" customHeight="1">
      <x:c r="A339" s="4" t="str">
        <x:f>IFERROR(INDEX('Material routes'!$E$6:$E$2205,MATCH(U339,'Material routes'!$A$6:$A$2205,0)),"MISSING ID")</x:f>
        <x:v>Graded abrasive grit</x:v>
      </x:c>
      <x:c r="B339" s="4" t="str">
        <x:f>IFERROR(INDEX('Material routes'!$F$6:$F$2205,MATCH(U339,'Material routes'!$A$6:$A$2205,0)),"MISSING ID")</x:f>
        <x:v>T1</x:v>
      </x:c>
      <x:c r="C339" s="4" t="str">
        <x:f>IFERROR(INDEX('Material routes'!$H$6:$H$2205,MATCH(U339,'Material routes'!$A$6:$A$2205,0)),"MISSING ID")</x:f>
        <x:v>Processed material</x:v>
      </x:c>
      <x:c r="D339" s="4" t="str">
        <x:f>IFERROR(INDEX('Material routes'!$G$6:$G$2205,MATCH(U339,'Material routes'!$A$6:$A$2205,0)),"MISSING ID")</x:f>
        <x:v>Manufactured stock</x:v>
      </x:c>
      <x:c r="E339" s="4" t="str">
        <x:f>IFERROR(INDEX('Material routes'!$C$6:$C$2205,MATCH(U339,'Material routes'!$A$6:$A$2205,0)),"MISSING ID")</x:f>
        <x:v>Ingredient candidate</x:v>
      </x:c>
      <x:c r="F339" s="4" t="str">
        <x:f>IFERROR(INDEX('Material routes'!$E$6:$E$2205,MATCH(V339,'Material routes'!$A$6:$A$2205,0)),"MISSING ID")</x:f>
        <x:v>Ceramic conduit section</x:v>
      </x:c>
      <x:c r="G339" s="4" t="str">
        <x:f>IFERROR(INDEX('Material routes'!$F$6:$F$2205,MATCH(V339,'Material routes'!$A$6:$A$2205,0)),"MISSING ID")</x:f>
        <x:v>T3</x:v>
      </x:c>
      <x:c r="H339" s="4" t="str">
        <x:f>IFERROR(INDEX('Material routes'!$H$6:$H$2205,MATCH(V339,'Material routes'!$A$6:$A$2205,0)),"MISSING ID")</x:f>
        <x:v>Crafting component</x:v>
      </x:c>
      <x:c r="I339" s="4" t="str">
        <x:f>IFERROR(INDEX('Material routes'!$G$6:$G$2205,MATCH(V339,'Material routes'!$A$6:$A$2205,0)),"MISSING ID")</x:f>
        <x:v>Crafting components</x:v>
      </x:c>
      <x:c r="J339" s="4" t="str">
        <x:f>IFERROR(INDEX('Material routes'!$B$6:$B$2205,MATCH(U339,'Material routes'!$A$6:$A$2205,0)),"MISSING ID")</x:f>
        <x:v>design.review.proposal_ceramic_conduit</x:v>
      </x:c>
      <x:c r="K339" s="4" t="str">
        <x:f>IFERROR(INDEX('Crafting recipes'!$C$6:$C$1005,MATCH(J339,'Crafting recipes'!$A$6:$A$1005,0)),"MISSING ID")</x:f>
        <x:v>Material refinement</x:v>
      </x:c>
      <x:c r="L339" s="4" t="str">
        <x:f>IFERROR(INDEX('Material routes'!$K$6:$K$2205,MATCH(U339,'Material routes'!$A$6:$A$2205,0)),"MISSING ID")</x:f>
        <x:v>Proposal</x:v>
      </x:c>
      <x:c r="M339" s="4" t="str">
        <x:f>IFERROR(INDEX('Material routes'!$M$6:$M$2205,MATCH(U339,'Material routes'!$A$6:$A$2205,0)),"MISSING ID")</x:f>
        <x:v>Partial proposal</x:v>
      </x:c>
      <x:c r="N339" s="4" t="str">
        <x:f>IF(IFERROR(INDEX('Material routes'!$I$6:$I$1005,MATCH(U339,'Material routes'!$A$6:$A$1005,0)),"MISSING ID")=0,"",IFERROR(INDEX('Material routes'!$I$6:$I$1005,MATCH(U339,'Material routes'!$A$6:$A$1005,0)),"MISSING ID"))</x:f>
      </x:c>
      <x:c r="O339" s="4" t="str">
        <x:f>IFERROR(INDEX('Material routes'!$J$6:$J$2205,MATCH(U339,'Material routes'!$A$6:$A$2205,0)),"MISSING ID")</x:f>
        <x:v>Unspecified</x:v>
      </x:c>
      <x:c r="P339" s="4" t="str">
        <x:f>IF(IFERROR(INDEX('Material routes'!$I$6:$I$1005,MATCH(V339,'Material routes'!$A$6:$A$1005,0)),"MISSING ID")=0,"",IFERROR(INDEX('Material routes'!$I$6:$I$1005,MATCH(V339,'Material routes'!$A$6:$A$1005,0)),"MISSING ID"))</x:f>
      </x:c>
      <x:c r="Q339" s="4" t="str">
        <x:f>IFERROR(INDEX('Material routes'!$J$6:$J$2205,MATCH(V339,'Material routes'!$A$6:$A$2205,0)),"MISSING ID")</x:f>
        <x:v>Unspecified</x:v>
      </x:c>
      <x:c r="R339" s="4" t="str">
        <x:f>IF(L339="Withheld","Withheld premise",IF(E339="Tool candidate","Reusable prerequisite",IF(K339="Raw entry preparation","Entry-resource preparation",IF(G339="Not applicable",IF(IFERROR(INDEX('Items'!$AI$6:$AI$1005,MATCH(T339,'Items'!$A$6:$A$1005,0)),"MISSING ID")="Finished item","Finished endpoint",IF(IFERROR(INDEX('Items'!$AI$6:$AI$1005,MATCH(T339,'Items'!$A$6:$A$1005,0)),"MISSING ID")="Currency","Currency / no refinement tier","Recovered output / tier not applicable")),IF(OR(IFERROR(INDEX('Crafting recipes'!$H$6:$H$1005,MATCH(J339,'Crafting recipes'!$A$6:$A$1005,0)),"MISSING ID")="Unassigned",G339="Unassigned"),"Tier unresolved",IF(IFERROR(VALUE(RIGHT(G339,1))-VALUE(RIGHT(IFERROR(INDEX('Crafting recipes'!$H$6:$H$1005,MATCH(J339,'Crafting recipes'!$A$6:$A$1005,0)),"MISSING ID"),1)),0)=1,IF(B339=IFERROR(INDEX('Crafting recipes'!$H$6:$H$1005,MATCH(J339,'Crafting recipes'!$A$6:$A$1005,0)),"MISSING ID"),"Advances one material tier","Lower-tier ingredient; route advances one tier"),"Needs tier review"))))))</x:f>
        <x:v>Lower-tier ingredient; route advances one tier</x:v>
      </x:c>
      <x:c r="S339" s="4" t="str">
        <x:f>IFERROR(INDEX('Material routes'!$D$6:$D$2205,MATCH(U339,'Material routes'!$A$6:$A$2205,0)),"MISSING ID")</x:f>
        <x:v>proposal.natural.abrasive</x:v>
      </x:c>
      <x:c r="T339" s="4" t="str">
        <x:f>IFERROR(INDEX('Material routes'!$D$6:$D$2205,MATCH(V339,'Material routes'!$A$6:$A$2205,0)),"MISSING ID")</x:f>
        <x:v>proposal.ceramic.conduit</x:v>
      </x:c>
      <x:c r="U339" s="4" t="str">
        <x:v>design.review.proposal_ceramic_conduit.in.2</x:v>
      </x:c>
      <x:c r="V339" s="4" t="str">
        <x:v>design.review.proposal_ceramic_conduit.out</x:v>
      </x:c>
    </x:row>
    <x:row r="340" ht="115" customHeight="1">
      <x:c r="A340" s="4" t="str">
        <x:f>IFERROR(INDEX('Material routes'!$E$6:$E$2205,MATCH(U340,'Material routes'!$A$6:$A$2205,0)),"MISSING ID")</x:f>
        <x:v>Insulating ceramic blanks</x:v>
      </x:c>
      <x:c r="B340" s="4" t="str">
        <x:f>IFERROR(INDEX('Material routes'!$F$6:$F$2205,MATCH(U340,'Material routes'!$A$6:$A$2205,0)),"MISSING ID")</x:f>
        <x:v>T2</x:v>
      </x:c>
      <x:c r="C340" s="4" t="str">
        <x:f>IFERROR(INDEX('Material routes'!$H$6:$H$2205,MATCH(U340,'Material routes'!$A$6:$A$2205,0)),"MISSING ID")</x:f>
        <x:v>Processed material</x:v>
      </x:c>
      <x:c r="D340" s="4" t="str">
        <x:f>IFERROR(INDEX('Material routes'!$G$6:$G$2205,MATCH(U340,'Material routes'!$A$6:$A$2205,0)),"MISSING ID")</x:f>
        <x:v>Manufactured stock</x:v>
      </x:c>
      <x:c r="E340" s="4" t="str">
        <x:f>IFERROR(INDEX('Material routes'!$C$6:$C$2205,MATCH(U340,'Material routes'!$A$6:$A$2205,0)),"MISSING ID")</x:f>
        <x:v>Ingredient candidate</x:v>
      </x:c>
      <x:c r="F340" s="4" t="str">
        <x:f>IFERROR(INDEX('Material routes'!$E$6:$E$2205,MATCH(V340,'Material routes'!$A$6:$A$2205,0)),"MISSING ID")</x:f>
        <x:v>Ceramic toggle fastener</x:v>
      </x:c>
      <x:c r="G340" s="4" t="str">
        <x:f>IFERROR(INDEX('Material routes'!$F$6:$F$2205,MATCH(V340,'Material routes'!$A$6:$A$2205,0)),"MISSING ID")</x:f>
        <x:v>T3</x:v>
      </x:c>
      <x:c r="H340" s="4" t="str">
        <x:f>IFERROR(INDEX('Material routes'!$H$6:$H$2205,MATCH(V340,'Material routes'!$A$6:$A$2205,0)),"MISSING ID")</x:f>
        <x:v>Crafting component</x:v>
      </x:c>
      <x:c r="I340" s="4" t="str">
        <x:f>IFERROR(INDEX('Material routes'!$G$6:$G$2205,MATCH(V340,'Material routes'!$A$6:$A$2205,0)),"MISSING ID")</x:f>
        <x:v>Crafting components</x:v>
      </x:c>
      <x:c r="J340" s="4" t="str">
        <x:f>IFERROR(INDEX('Material routes'!$B$6:$B$2205,MATCH(U340,'Material routes'!$A$6:$A$2205,0)),"MISSING ID")</x:f>
        <x:v>design.review.proposal_ceramic_fastener</x:v>
      </x:c>
      <x:c r="K340" s="4" t="str">
        <x:f>IFERROR(INDEX('Crafting recipes'!$C$6:$C$1005,MATCH(J340,'Crafting recipes'!$A$6:$A$1005,0)),"MISSING ID")</x:f>
        <x:v>Material refinement</x:v>
      </x:c>
      <x:c r="L340" s="4" t="str">
        <x:f>IFERROR(INDEX('Material routes'!$K$6:$K$2205,MATCH(U340,'Material routes'!$A$6:$A$2205,0)),"MISSING ID")</x:f>
        <x:v>Proposal</x:v>
      </x:c>
      <x:c r="M340" s="4" t="str">
        <x:f>IFERROR(INDEX('Material routes'!$M$6:$M$2205,MATCH(U340,'Material routes'!$A$6:$A$2205,0)),"MISSING ID")</x:f>
        <x:v>Partial proposal</x:v>
      </x:c>
      <x:c r="N340" s="4" t="str">
        <x:f>IF(IFERROR(INDEX('Material routes'!$I$6:$I$1005,MATCH(U340,'Material routes'!$A$6:$A$1005,0)),"MISSING ID")=0,"",IFERROR(INDEX('Material routes'!$I$6:$I$1005,MATCH(U340,'Material routes'!$A$6:$A$1005,0)),"MISSING ID"))</x:f>
      </x:c>
      <x:c r="O340" s="4" t="str">
        <x:f>IFERROR(INDEX('Material routes'!$J$6:$J$2205,MATCH(U340,'Material routes'!$A$6:$A$2205,0)),"MISSING ID")</x:f>
        <x:v>Unspecified</x:v>
      </x:c>
      <x:c r="P340" s="4" t="str">
        <x:f>IF(IFERROR(INDEX('Material routes'!$I$6:$I$1005,MATCH(V340,'Material routes'!$A$6:$A$1005,0)),"MISSING ID")=0,"",IFERROR(INDEX('Material routes'!$I$6:$I$1005,MATCH(V340,'Material routes'!$A$6:$A$1005,0)),"MISSING ID"))</x:f>
      </x:c>
      <x:c r="Q340" s="4" t="str">
        <x:f>IFERROR(INDEX('Material routes'!$J$6:$J$2205,MATCH(V340,'Material routes'!$A$6:$A$2205,0)),"MISSING ID")</x:f>
        <x:v>Unspecified</x:v>
      </x:c>
      <x:c r="R340" s="4" t="str">
        <x:f>IF(L340="Withheld","Withheld premise",IF(E340="Tool candidate","Reusable prerequisite",IF(K340="Raw entry preparation","Entry-resource preparation",IF(G340="Not applicable",IF(IFERROR(INDEX('Items'!$AI$6:$AI$1005,MATCH(T340,'Items'!$A$6:$A$1005,0)),"MISSING ID")="Finished item","Finished endpoint",IF(IFERROR(INDEX('Items'!$AI$6:$AI$1005,MATCH(T340,'Items'!$A$6:$A$1005,0)),"MISSING ID")="Currency","Currency / no refinement tier","Recovered output / tier not applicable")),IF(OR(IFERROR(INDEX('Crafting recipes'!$H$6:$H$1005,MATCH(J340,'Crafting recipes'!$A$6:$A$1005,0)),"MISSING ID")="Unassigned",G340="Unassigned"),"Tier unresolved",IF(IFERROR(VALUE(RIGHT(G340,1))-VALUE(RIGHT(IFERROR(INDEX('Crafting recipes'!$H$6:$H$1005,MATCH(J340,'Crafting recipes'!$A$6:$A$1005,0)),"MISSING ID"),1)),0)=1,IF(B340=IFERROR(INDEX('Crafting recipes'!$H$6:$H$1005,MATCH(J340,'Crafting recipes'!$A$6:$A$1005,0)),"MISSING ID"),"Advances one material tier","Lower-tier ingredient; route advances one tier"),"Needs tier review"))))))</x:f>
        <x:v>Advances one material tier</x:v>
      </x:c>
      <x:c r="S340" s="4" t="str">
        <x:f>IFERROR(INDEX('Material routes'!$D$6:$D$2205,MATCH(U340,'Material routes'!$A$6:$A$2205,0)),"MISSING ID")</x:f>
        <x:v>proposal.natural.ceramic</x:v>
      </x:c>
      <x:c r="T340" s="4" t="str">
        <x:f>IFERROR(INDEX('Material routes'!$D$6:$D$2205,MATCH(V340,'Material routes'!$A$6:$A$2205,0)),"MISSING ID")</x:f>
        <x:v>proposal.ceramic.fastener</x:v>
      </x:c>
      <x:c r="U340" s="4" t="str">
        <x:v>design.review.proposal_ceramic_fastener.in.1</x:v>
      </x:c>
      <x:c r="V340" s="4" t="str">
        <x:v>design.review.proposal_ceramic_fastener.out</x:v>
      </x:c>
    </x:row>
    <x:row r="341" ht="115" customHeight="1">
      <x:c r="A341" s="4" t="str">
        <x:f>IFERROR(INDEX('Material routes'!$E$6:$E$2205,MATCH(U341,'Material routes'!$A$6:$A$2205,0)),"MISSING ID")</x:f>
        <x:v>Graded abrasive grit</x:v>
      </x:c>
      <x:c r="B341" s="4" t="str">
        <x:f>IFERROR(INDEX('Material routes'!$F$6:$F$2205,MATCH(U341,'Material routes'!$A$6:$A$2205,0)),"MISSING ID")</x:f>
        <x:v>T1</x:v>
      </x:c>
      <x:c r="C341" s="4" t="str">
        <x:f>IFERROR(INDEX('Material routes'!$H$6:$H$2205,MATCH(U341,'Material routes'!$A$6:$A$2205,0)),"MISSING ID")</x:f>
        <x:v>Processed material</x:v>
      </x:c>
      <x:c r="D341" s="4" t="str">
        <x:f>IFERROR(INDEX('Material routes'!$G$6:$G$2205,MATCH(U341,'Material routes'!$A$6:$A$2205,0)),"MISSING ID")</x:f>
        <x:v>Manufactured stock</x:v>
      </x:c>
      <x:c r="E341" s="4" t="str">
        <x:f>IFERROR(INDEX('Material routes'!$C$6:$C$2205,MATCH(U341,'Material routes'!$A$6:$A$2205,0)),"MISSING ID")</x:f>
        <x:v>Ingredient candidate</x:v>
      </x:c>
      <x:c r="F341" s="4" t="str">
        <x:f>IFERROR(INDEX('Material routes'!$E$6:$E$2205,MATCH(V341,'Material routes'!$A$6:$A$2205,0)),"MISSING ID")</x:f>
        <x:v>Ceramic toggle fastener</x:v>
      </x:c>
      <x:c r="G341" s="4" t="str">
        <x:f>IFERROR(INDEX('Material routes'!$F$6:$F$2205,MATCH(V341,'Material routes'!$A$6:$A$2205,0)),"MISSING ID")</x:f>
        <x:v>T3</x:v>
      </x:c>
      <x:c r="H341" s="4" t="str">
        <x:f>IFERROR(INDEX('Material routes'!$H$6:$H$2205,MATCH(V341,'Material routes'!$A$6:$A$2205,0)),"MISSING ID")</x:f>
        <x:v>Crafting component</x:v>
      </x:c>
      <x:c r="I341" s="4" t="str">
        <x:f>IFERROR(INDEX('Material routes'!$G$6:$G$2205,MATCH(V341,'Material routes'!$A$6:$A$2205,0)),"MISSING ID")</x:f>
        <x:v>Crafting components</x:v>
      </x:c>
      <x:c r="J341" s="4" t="str">
        <x:f>IFERROR(INDEX('Material routes'!$B$6:$B$2205,MATCH(U341,'Material routes'!$A$6:$A$2205,0)),"MISSING ID")</x:f>
        <x:v>design.review.proposal_ceramic_fastener</x:v>
      </x:c>
      <x:c r="K341" s="4" t="str">
        <x:f>IFERROR(INDEX('Crafting recipes'!$C$6:$C$1005,MATCH(J341,'Crafting recipes'!$A$6:$A$1005,0)),"MISSING ID")</x:f>
        <x:v>Material refinement</x:v>
      </x:c>
      <x:c r="L341" s="4" t="str">
        <x:f>IFERROR(INDEX('Material routes'!$K$6:$K$2205,MATCH(U341,'Material routes'!$A$6:$A$2205,0)),"MISSING ID")</x:f>
        <x:v>Proposal</x:v>
      </x:c>
      <x:c r="M341" s="4" t="str">
        <x:f>IFERROR(INDEX('Material routes'!$M$6:$M$2205,MATCH(U341,'Material routes'!$A$6:$A$2205,0)),"MISSING ID")</x:f>
        <x:v>Partial proposal</x:v>
      </x:c>
      <x:c r="N341" s="4" t="str">
        <x:f>IF(IFERROR(INDEX('Material routes'!$I$6:$I$1005,MATCH(U341,'Material routes'!$A$6:$A$1005,0)),"MISSING ID")=0,"",IFERROR(INDEX('Material routes'!$I$6:$I$1005,MATCH(U341,'Material routes'!$A$6:$A$1005,0)),"MISSING ID"))</x:f>
      </x:c>
      <x:c r="O341" s="4" t="str">
        <x:f>IFERROR(INDEX('Material routes'!$J$6:$J$2205,MATCH(U341,'Material routes'!$A$6:$A$2205,0)),"MISSING ID")</x:f>
        <x:v>Unspecified</x:v>
      </x:c>
      <x:c r="P341" s="4" t="str">
        <x:f>IF(IFERROR(INDEX('Material routes'!$I$6:$I$1005,MATCH(V341,'Material routes'!$A$6:$A$1005,0)),"MISSING ID")=0,"",IFERROR(INDEX('Material routes'!$I$6:$I$1005,MATCH(V341,'Material routes'!$A$6:$A$1005,0)),"MISSING ID"))</x:f>
      </x:c>
      <x:c r="Q341" s="4" t="str">
        <x:f>IFERROR(INDEX('Material routes'!$J$6:$J$2205,MATCH(V341,'Material routes'!$A$6:$A$2205,0)),"MISSING ID")</x:f>
        <x:v>Unspecified</x:v>
      </x:c>
      <x:c r="R341" s="4" t="str">
        <x:f>IF(L341="Withheld","Withheld premise",IF(E341="Tool candidate","Reusable prerequisite",IF(K341="Raw entry preparation","Entry-resource preparation",IF(G341="Not applicable",IF(IFERROR(INDEX('Items'!$AI$6:$AI$1005,MATCH(T341,'Items'!$A$6:$A$1005,0)),"MISSING ID")="Finished item","Finished endpoint",IF(IFERROR(INDEX('Items'!$AI$6:$AI$1005,MATCH(T341,'Items'!$A$6:$A$1005,0)),"MISSING ID")="Currency","Currency / no refinement tier","Recovered output / tier not applicable")),IF(OR(IFERROR(INDEX('Crafting recipes'!$H$6:$H$1005,MATCH(J341,'Crafting recipes'!$A$6:$A$1005,0)),"MISSING ID")="Unassigned",G341="Unassigned"),"Tier unresolved",IF(IFERROR(VALUE(RIGHT(G341,1))-VALUE(RIGHT(IFERROR(INDEX('Crafting recipes'!$H$6:$H$1005,MATCH(J341,'Crafting recipes'!$A$6:$A$1005,0)),"MISSING ID"),1)),0)=1,IF(B341=IFERROR(INDEX('Crafting recipes'!$H$6:$H$1005,MATCH(J341,'Crafting recipes'!$A$6:$A$1005,0)),"MISSING ID"),"Advances one material tier","Lower-tier ingredient; route advances one tier"),"Needs tier review"))))))</x:f>
        <x:v>Lower-tier ingredient; route advances one tier</x:v>
      </x:c>
      <x:c r="S341" s="4" t="str">
        <x:f>IFERROR(INDEX('Material routes'!$D$6:$D$2205,MATCH(U341,'Material routes'!$A$6:$A$2205,0)),"MISSING ID")</x:f>
        <x:v>proposal.natural.abrasive</x:v>
      </x:c>
      <x:c r="T341" s="4" t="str">
        <x:f>IFERROR(INDEX('Material routes'!$D$6:$D$2205,MATCH(V341,'Material routes'!$A$6:$A$2205,0)),"MISSING ID")</x:f>
        <x:v>proposal.ceramic.fastener</x:v>
      </x:c>
      <x:c r="U341" s="4" t="str">
        <x:v>design.review.proposal_ceramic_fastener.in.2</x:v>
      </x:c>
      <x:c r="V341" s="4" t="str">
        <x:v>design.review.proposal_ceramic_fastener.out</x:v>
      </x:c>
    </x:row>
    <x:row r="342" ht="115" customHeight="1">
      <x:c r="A342" s="4" t="str">
        <x:f>IFERROR(INDEX('Material routes'!$E$6:$E$2205,MATCH(U342,'Material routes'!$A$6:$A$2205,0)),"MISSING ID")</x:f>
        <x:v>Ceramic-metal feedthrough blanks</x:v>
      </x:c>
      <x:c r="B342" s="4" t="str">
        <x:f>IFERROR(INDEX('Material routes'!$F$6:$F$2205,MATCH(U342,'Material routes'!$A$6:$A$2205,0)),"MISSING ID")</x:f>
        <x:v>T3</x:v>
      </x:c>
      <x:c r="C342" s="4" t="str">
        <x:f>IFERROR(INDEX('Material routes'!$H$6:$H$2205,MATCH(U342,'Material routes'!$A$6:$A$2205,0)),"MISSING ID")</x:f>
        <x:v>Crafting component</x:v>
      </x:c>
      <x:c r="D342" s="4" t="str">
        <x:f>IFERROR(INDEX('Material routes'!$G$6:$G$2205,MATCH(U342,'Material routes'!$A$6:$A$2205,0)),"MISSING ID")</x:f>
        <x:v>Crafting components</x:v>
      </x:c>
      <x:c r="E342" s="4" t="str">
        <x:f>IFERROR(INDEX('Material routes'!$C$6:$C$2205,MATCH(U342,'Material routes'!$A$6:$A$2205,0)),"MISSING ID")</x:f>
        <x:v>Ingredient candidate</x:v>
      </x:c>
      <x:c r="F342" s="4" t="str">
        <x:f>IFERROR(INDEX('Material routes'!$E$6:$E$2205,MATCH(V342,'Material routes'!$A$6:$A$2205,0)),"MISSING ID")</x:f>
        <x:v>Ceramic electrical feedthrough</x:v>
      </x:c>
      <x:c r="G342" s="4" t="str">
        <x:f>IFERROR(INDEX('Material routes'!$F$6:$F$2205,MATCH(V342,'Material routes'!$A$6:$A$2205,0)),"MISSING ID")</x:f>
        <x:v>T4</x:v>
      </x:c>
      <x:c r="H342" s="4" t="str">
        <x:f>IFERROR(INDEX('Material routes'!$H$6:$H$2205,MATCH(V342,'Material routes'!$A$6:$A$2205,0)),"MISSING ID")</x:f>
        <x:v>Crafting component</x:v>
      </x:c>
      <x:c r="I342" s="4" t="str">
        <x:f>IFERROR(INDEX('Material routes'!$G$6:$G$2205,MATCH(V342,'Material routes'!$A$6:$A$2205,0)),"MISSING ID")</x:f>
        <x:v>Crafting components</x:v>
      </x:c>
      <x:c r="J342" s="4" t="str">
        <x:f>IFERROR(INDEX('Material routes'!$B$6:$B$2205,MATCH(U342,'Material routes'!$A$6:$A$2205,0)),"MISSING ID")</x:f>
        <x:v>design.review.proposal_ceramic_feedthrough</x:v>
      </x:c>
      <x:c r="K342" s="4" t="str">
        <x:f>IFERROR(INDEX('Crafting recipes'!$C$6:$C$1005,MATCH(J342,'Crafting recipes'!$A$6:$A$1005,0)),"MISSING ID")</x:f>
        <x:v>Material refinement</x:v>
      </x:c>
      <x:c r="L342" s="4" t="str">
        <x:f>IFERROR(INDEX('Material routes'!$K$6:$K$2205,MATCH(U342,'Material routes'!$A$6:$A$2205,0)),"MISSING ID")</x:f>
        <x:v>Proposal</x:v>
      </x:c>
      <x:c r="M342" s="4" t="str">
        <x:f>IFERROR(INDEX('Material routes'!$M$6:$M$2205,MATCH(U342,'Material routes'!$A$6:$A$2205,0)),"MISSING ID")</x:f>
        <x:v>Partial proposal</x:v>
      </x:c>
      <x:c r="N342" s="4" t="str">
        <x:f>IF(IFERROR(INDEX('Material routes'!$I$6:$I$1005,MATCH(U342,'Material routes'!$A$6:$A$1005,0)),"MISSING ID")=0,"",IFERROR(INDEX('Material routes'!$I$6:$I$1005,MATCH(U342,'Material routes'!$A$6:$A$1005,0)),"MISSING ID"))</x:f>
      </x:c>
      <x:c r="O342" s="4" t="str">
        <x:f>IFERROR(INDEX('Material routes'!$J$6:$J$2205,MATCH(U342,'Material routes'!$A$6:$A$2205,0)),"MISSING ID")</x:f>
        <x:v>Unspecified</x:v>
      </x:c>
      <x:c r="P342" s="4" t="str">
        <x:f>IF(IFERROR(INDEX('Material routes'!$I$6:$I$1005,MATCH(V342,'Material routes'!$A$6:$A$1005,0)),"MISSING ID")=0,"",IFERROR(INDEX('Material routes'!$I$6:$I$1005,MATCH(V342,'Material routes'!$A$6:$A$1005,0)),"MISSING ID"))</x:f>
      </x:c>
      <x:c r="Q342" s="4" t="str">
        <x:f>IFERROR(INDEX('Material routes'!$J$6:$J$2205,MATCH(V342,'Material routes'!$A$6:$A$2205,0)),"MISSING ID")</x:f>
        <x:v>Unspecified</x:v>
      </x:c>
      <x:c r="R342" s="4" t="str">
        <x:f>IF(L342="Withheld","Withheld premise",IF(E342="Tool candidate","Reusable prerequisite",IF(K342="Raw entry preparation","Entry-resource preparation",IF(G342="Not applicable",IF(IFERROR(INDEX('Items'!$AI$6:$AI$1005,MATCH(T342,'Items'!$A$6:$A$1005,0)),"MISSING ID")="Finished item","Finished endpoint",IF(IFERROR(INDEX('Items'!$AI$6:$AI$1005,MATCH(T342,'Items'!$A$6:$A$1005,0)),"MISSING ID")="Currency","Currency / no refinement tier","Recovered output / tier not applicable")),IF(OR(IFERROR(INDEX('Crafting recipes'!$H$6:$H$1005,MATCH(J342,'Crafting recipes'!$A$6:$A$1005,0)),"MISSING ID")="Unassigned",G342="Unassigned"),"Tier unresolved",IF(IFERROR(VALUE(RIGHT(G342,1))-VALUE(RIGHT(IFERROR(INDEX('Crafting recipes'!$H$6:$H$1005,MATCH(J342,'Crafting recipes'!$A$6:$A$1005,0)),"MISSING ID"),1)),0)=1,IF(B342=IFERROR(INDEX('Crafting recipes'!$H$6:$H$1005,MATCH(J342,'Crafting recipes'!$A$6:$A$1005,0)),"MISSING ID"),"Advances one material tier","Lower-tier ingredient; route advances one tier"),"Needs tier review"))))))</x:f>
        <x:v>Advances one material tier</x:v>
      </x:c>
      <x:c r="S342" s="4" t="str">
        <x:f>IFERROR(INDEX('Material routes'!$D$6:$D$2205,MATCH(U342,'Material routes'!$A$6:$A$2205,0)),"MISSING ID")</x:f>
        <x:v>proposal.t3.feedthrough_blank</x:v>
      </x:c>
      <x:c r="T342" s="4" t="str">
        <x:f>IFERROR(INDEX('Material routes'!$D$6:$D$2205,MATCH(V342,'Material routes'!$A$6:$A$2205,0)),"MISSING ID")</x:f>
        <x:v>proposal.ceramic.feedthrough</x:v>
      </x:c>
      <x:c r="U342" s="4" t="str">
        <x:v>design.review.proposal_ceramic_feedthrough.in.1</x:v>
      </x:c>
      <x:c r="V342" s="4" t="str">
        <x:v>design.review.proposal_ceramic_feedthrough.out</x:v>
      </x:c>
    </x:row>
    <x:row r="343" ht="115" customHeight="1">
      <x:c r="A343" s="4" t="str">
        <x:f>IFERROR(INDEX('Material routes'!$E$6:$E$2205,MATCH(U343,'Material routes'!$A$6:$A$2205,0)),"MISSING ID")</x:f>
        <x:v>Insulated conductor stock</x:v>
      </x:c>
      <x:c r="B343" s="4" t="str">
        <x:f>IFERROR(INDEX('Material routes'!$F$6:$F$2205,MATCH(U343,'Material routes'!$A$6:$A$2205,0)),"MISSING ID")</x:f>
        <x:v>T3</x:v>
      </x:c>
      <x:c r="C343" s="4" t="str">
        <x:f>IFERROR(INDEX('Material routes'!$H$6:$H$2205,MATCH(U343,'Material routes'!$A$6:$A$2205,0)),"MISSING ID")</x:f>
        <x:v>Processed material</x:v>
      </x:c>
      <x:c r="D343" s="4" t="str">
        <x:f>IFERROR(INDEX('Material routes'!$G$6:$G$2205,MATCH(U343,'Material routes'!$A$6:$A$2205,0)),"MISSING ID")</x:f>
        <x:v>Manufactured stock</x:v>
      </x:c>
      <x:c r="E343" s="4" t="str">
        <x:f>IFERROR(INDEX('Material routes'!$C$6:$C$2205,MATCH(U343,'Material routes'!$A$6:$A$2205,0)),"MISSING ID")</x:f>
        <x:v>Ingredient candidate</x:v>
      </x:c>
      <x:c r="F343" s="4" t="str">
        <x:f>IFERROR(INDEX('Material routes'!$E$6:$E$2205,MATCH(V343,'Material routes'!$A$6:$A$2205,0)),"MISSING ID")</x:f>
        <x:v>Ceramic electrical feedthrough</x:v>
      </x:c>
      <x:c r="G343" s="4" t="str">
        <x:f>IFERROR(INDEX('Material routes'!$F$6:$F$2205,MATCH(V343,'Material routes'!$A$6:$A$2205,0)),"MISSING ID")</x:f>
        <x:v>T4</x:v>
      </x:c>
      <x:c r="H343" s="4" t="str">
        <x:f>IFERROR(INDEX('Material routes'!$H$6:$H$2205,MATCH(V343,'Material routes'!$A$6:$A$2205,0)),"MISSING ID")</x:f>
        <x:v>Crafting component</x:v>
      </x:c>
      <x:c r="I343" s="4" t="str">
        <x:f>IFERROR(INDEX('Material routes'!$G$6:$G$2205,MATCH(V343,'Material routes'!$A$6:$A$2205,0)),"MISSING ID")</x:f>
        <x:v>Crafting components</x:v>
      </x:c>
      <x:c r="J343" s="4" t="str">
        <x:f>IFERROR(INDEX('Material routes'!$B$6:$B$2205,MATCH(U343,'Material routes'!$A$6:$A$2205,0)),"MISSING ID")</x:f>
        <x:v>design.review.proposal_ceramic_feedthrough</x:v>
      </x:c>
      <x:c r="K343" s="4" t="str">
        <x:f>IFERROR(INDEX('Crafting recipes'!$C$6:$C$1005,MATCH(J343,'Crafting recipes'!$A$6:$A$1005,0)),"MISSING ID")</x:f>
        <x:v>Material refinement</x:v>
      </x:c>
      <x:c r="L343" s="4" t="str">
        <x:f>IFERROR(INDEX('Material routes'!$K$6:$K$2205,MATCH(U343,'Material routes'!$A$6:$A$2205,0)),"MISSING ID")</x:f>
        <x:v>Proposal</x:v>
      </x:c>
      <x:c r="M343" s="4" t="str">
        <x:f>IFERROR(INDEX('Material routes'!$M$6:$M$2205,MATCH(U343,'Material routes'!$A$6:$A$2205,0)),"MISSING ID")</x:f>
        <x:v>Partial proposal</x:v>
      </x:c>
      <x:c r="N343" s="4" t="str">
        <x:f>IF(IFERROR(INDEX('Material routes'!$I$6:$I$1005,MATCH(U343,'Material routes'!$A$6:$A$1005,0)),"MISSING ID")=0,"",IFERROR(INDEX('Material routes'!$I$6:$I$1005,MATCH(U343,'Material routes'!$A$6:$A$1005,0)),"MISSING ID"))</x:f>
      </x:c>
      <x:c r="O343" s="4" t="str">
        <x:f>IFERROR(INDEX('Material routes'!$J$6:$J$2205,MATCH(U343,'Material routes'!$A$6:$A$2205,0)),"MISSING ID")</x:f>
        <x:v>Unspecified</x:v>
      </x:c>
      <x:c r="P343" s="4" t="str">
        <x:f>IF(IFERROR(INDEX('Material routes'!$I$6:$I$1005,MATCH(V343,'Material routes'!$A$6:$A$1005,0)),"MISSING ID")=0,"",IFERROR(INDEX('Material routes'!$I$6:$I$1005,MATCH(V343,'Material routes'!$A$6:$A$1005,0)),"MISSING ID"))</x:f>
      </x:c>
      <x:c r="Q343" s="4" t="str">
        <x:f>IFERROR(INDEX('Material routes'!$J$6:$J$2205,MATCH(V343,'Material routes'!$A$6:$A$2205,0)),"MISSING ID")</x:f>
        <x:v>Unspecified</x:v>
      </x:c>
      <x:c r="R343" s="4" t="str">
        <x:f>IF(L343="Withheld","Withheld premise",IF(E343="Tool candidate","Reusable prerequisite",IF(K343="Raw entry preparation","Entry-resource preparation",IF(G343="Not applicable",IF(IFERROR(INDEX('Items'!$AI$6:$AI$1005,MATCH(T343,'Items'!$A$6:$A$1005,0)),"MISSING ID")="Finished item","Finished endpoint",IF(IFERROR(INDEX('Items'!$AI$6:$AI$1005,MATCH(T343,'Items'!$A$6:$A$1005,0)),"MISSING ID")="Currency","Currency / no refinement tier","Recovered output / tier not applicable")),IF(OR(IFERROR(INDEX('Crafting recipes'!$H$6:$H$1005,MATCH(J343,'Crafting recipes'!$A$6:$A$1005,0)),"MISSING ID")="Unassigned",G343="Unassigned"),"Tier unresolved",IF(IFERROR(VALUE(RIGHT(G343,1))-VALUE(RIGHT(IFERROR(INDEX('Crafting recipes'!$H$6:$H$1005,MATCH(J343,'Crafting recipes'!$A$6:$A$1005,0)),"MISSING ID"),1)),0)=1,IF(B343=IFERROR(INDEX('Crafting recipes'!$H$6:$H$1005,MATCH(J343,'Crafting recipes'!$A$6:$A$1005,0)),"MISSING ID"),"Advances one material tier","Lower-tier ingredient; route advances one tier"),"Needs tier review"))))))</x:f>
        <x:v>Advances one material tier</x:v>
      </x:c>
      <x:c r="S343" s="4" t="str">
        <x:f>IFERROR(INDEX('Material routes'!$D$6:$D$2205,MATCH(U343,'Material routes'!$A$6:$A$2205,0)),"MISSING ID")</x:f>
        <x:v>proposal.branch.insulated_conductor</x:v>
      </x:c>
      <x:c r="T343" s="4" t="str">
        <x:f>IFERROR(INDEX('Material routes'!$D$6:$D$2205,MATCH(V343,'Material routes'!$A$6:$A$2205,0)),"MISSING ID")</x:f>
        <x:v>proposal.ceramic.feedthrough</x:v>
      </x:c>
      <x:c r="U343" s="4" t="str">
        <x:v>design.review.proposal_ceramic_feedthrough.in.2</x:v>
      </x:c>
      <x:c r="V343" s="4" t="str">
        <x:v>design.review.proposal_ceramic_feedthrough.out</x:v>
      </x:c>
    </x:row>
    <x:row r="344" ht="115" customHeight="1">
      <x:c r="A344" s="4" t="str">
        <x:f>IFERROR(INDEX('Material routes'!$E$6:$E$2205,MATCH(U344,'Material routes'!$A$6:$A$2205,0)),"MISSING ID")</x:f>
        <x:v>Reinforced sealing sheet</x:v>
      </x:c>
      <x:c r="B344" s="4" t="str">
        <x:f>IFERROR(INDEX('Material routes'!$F$6:$F$2205,MATCH(U344,'Material routes'!$A$6:$A$2205,0)),"MISSING ID")</x:f>
        <x:v>T3</x:v>
      </x:c>
      <x:c r="C344" s="4" t="str">
        <x:f>IFERROR(INDEX('Material routes'!$H$6:$H$2205,MATCH(U344,'Material routes'!$A$6:$A$2205,0)),"MISSING ID")</x:f>
        <x:v>Processed material</x:v>
      </x:c>
      <x:c r="D344" s="4" t="str">
        <x:f>IFERROR(INDEX('Material routes'!$G$6:$G$2205,MATCH(U344,'Material routes'!$A$6:$A$2205,0)),"MISSING ID")</x:f>
        <x:v>Manufactured stock</x:v>
      </x:c>
      <x:c r="E344" s="4" t="str">
        <x:f>IFERROR(INDEX('Material routes'!$C$6:$C$2205,MATCH(U344,'Material routes'!$A$6:$A$2205,0)),"MISSING ID")</x:f>
        <x:v>Ingredient candidate</x:v>
      </x:c>
      <x:c r="F344" s="4" t="str">
        <x:f>IFERROR(INDEX('Material routes'!$E$6:$E$2205,MATCH(V344,'Material routes'!$A$6:$A$2205,0)),"MISSING ID")</x:f>
        <x:v>Ceramic electrical feedthrough</x:v>
      </x:c>
      <x:c r="G344" s="4" t="str">
        <x:f>IFERROR(INDEX('Material routes'!$F$6:$F$2205,MATCH(V344,'Material routes'!$A$6:$A$2205,0)),"MISSING ID")</x:f>
        <x:v>T4</x:v>
      </x:c>
      <x:c r="H344" s="4" t="str">
        <x:f>IFERROR(INDEX('Material routes'!$H$6:$H$2205,MATCH(V344,'Material routes'!$A$6:$A$2205,0)),"MISSING ID")</x:f>
        <x:v>Crafting component</x:v>
      </x:c>
      <x:c r="I344" s="4" t="str">
        <x:f>IFERROR(INDEX('Material routes'!$G$6:$G$2205,MATCH(V344,'Material routes'!$A$6:$A$2205,0)),"MISSING ID")</x:f>
        <x:v>Crafting components</x:v>
      </x:c>
      <x:c r="J344" s="4" t="str">
        <x:f>IFERROR(INDEX('Material routes'!$B$6:$B$2205,MATCH(U344,'Material routes'!$A$6:$A$2205,0)),"MISSING ID")</x:f>
        <x:v>design.review.proposal_ceramic_feedthrough</x:v>
      </x:c>
      <x:c r="K344" s="4" t="str">
        <x:f>IFERROR(INDEX('Crafting recipes'!$C$6:$C$1005,MATCH(J344,'Crafting recipes'!$A$6:$A$1005,0)),"MISSING ID")</x:f>
        <x:v>Material refinement</x:v>
      </x:c>
      <x:c r="L344" s="4" t="str">
        <x:f>IFERROR(INDEX('Material routes'!$K$6:$K$2205,MATCH(U344,'Material routes'!$A$6:$A$2205,0)),"MISSING ID")</x:f>
        <x:v>Proposal</x:v>
      </x:c>
      <x:c r="M344" s="4" t="str">
        <x:f>IFERROR(INDEX('Material routes'!$M$6:$M$2205,MATCH(U344,'Material routes'!$A$6:$A$2205,0)),"MISSING ID")</x:f>
        <x:v>Partial proposal</x:v>
      </x:c>
      <x:c r="N344" s="4" t="str">
        <x:f>IF(IFERROR(INDEX('Material routes'!$I$6:$I$1005,MATCH(U344,'Material routes'!$A$6:$A$1005,0)),"MISSING ID")=0,"",IFERROR(INDEX('Material routes'!$I$6:$I$1005,MATCH(U344,'Material routes'!$A$6:$A$1005,0)),"MISSING ID"))</x:f>
      </x:c>
      <x:c r="O344" s="4" t="str">
        <x:f>IFERROR(INDEX('Material routes'!$J$6:$J$2205,MATCH(U344,'Material routes'!$A$6:$A$2205,0)),"MISSING ID")</x:f>
        <x:v>Unspecified</x:v>
      </x:c>
      <x:c r="P344" s="4" t="str">
        <x:f>IF(IFERROR(INDEX('Material routes'!$I$6:$I$1005,MATCH(V344,'Material routes'!$A$6:$A$1005,0)),"MISSING ID")=0,"",IFERROR(INDEX('Material routes'!$I$6:$I$1005,MATCH(V344,'Material routes'!$A$6:$A$1005,0)),"MISSING ID"))</x:f>
      </x:c>
      <x:c r="Q344" s="4" t="str">
        <x:f>IFERROR(INDEX('Material routes'!$J$6:$J$2205,MATCH(V344,'Material routes'!$A$6:$A$2205,0)),"MISSING ID")</x:f>
        <x:v>Unspecified</x:v>
      </x:c>
      <x:c r="R344" s="4" t="str">
        <x:f>IF(L344="Withheld","Withheld premise",IF(E344="Tool candidate","Reusable prerequisite",IF(K344="Raw entry preparation","Entry-resource preparation",IF(G344="Not applicable",IF(IFERROR(INDEX('Items'!$AI$6:$AI$1005,MATCH(T344,'Items'!$A$6:$A$1005,0)),"MISSING ID")="Finished item","Finished endpoint",IF(IFERROR(INDEX('Items'!$AI$6:$AI$1005,MATCH(T344,'Items'!$A$6:$A$1005,0)),"MISSING ID")="Currency","Currency / no refinement tier","Recovered output / tier not applicable")),IF(OR(IFERROR(INDEX('Crafting recipes'!$H$6:$H$1005,MATCH(J344,'Crafting recipes'!$A$6:$A$1005,0)),"MISSING ID")="Unassigned",G344="Unassigned"),"Tier unresolved",IF(IFERROR(VALUE(RIGHT(G344,1))-VALUE(RIGHT(IFERROR(INDEX('Crafting recipes'!$H$6:$H$1005,MATCH(J344,'Crafting recipes'!$A$6:$A$1005,0)),"MISSING ID"),1)),0)=1,IF(B344=IFERROR(INDEX('Crafting recipes'!$H$6:$H$1005,MATCH(J344,'Crafting recipes'!$A$6:$A$1005,0)),"MISSING ID"),"Advances one material tier","Lower-tier ingredient; route advances one tier"),"Needs tier review"))))))</x:f>
        <x:v>Advances one material tier</x:v>
      </x:c>
      <x:c r="S344" s="4" t="str">
        <x:f>IFERROR(INDEX('Material routes'!$D$6:$D$2205,MATCH(U344,'Material routes'!$A$6:$A$2205,0)),"MISSING ID")</x:f>
        <x:v>proposal.branch.sealing_sheet</x:v>
      </x:c>
      <x:c r="T344" s="4" t="str">
        <x:f>IFERROR(INDEX('Material routes'!$D$6:$D$2205,MATCH(V344,'Material routes'!$A$6:$A$2205,0)),"MISSING ID")</x:f>
        <x:v>proposal.ceramic.feedthrough</x:v>
      </x:c>
      <x:c r="U344" s="4" t="str">
        <x:v>design.review.proposal_ceramic_feedthrough.in.3</x:v>
      </x:c>
      <x:c r="V344" s="4" t="str">
        <x:v>design.review.proposal_ceramic_feedthrough.out</x:v>
      </x:c>
    </x:row>
    <x:row r="345" ht="115" customHeight="1">
      <x:c r="A345" s="4"/>
      <x:c r="B345" s="4"/>
      <x:c r="C345" s="4"/>
      <x:c r="D345" s="4"/>
      <x:c r="E345" s="4"/>
      <x:c r="F345" s="4"/>
      <x:c r="G345" s="4"/>
      <x:c r="H345" s="4"/>
      <x:c r="I345" s="4"/>
      <x:c r="J345" s="4"/>
      <x:c r="K345" s="4"/>
      <x:c r="L345" s="4"/>
      <x:c r="M345" s="4"/>
      <x:c r="N345" s="4"/>
      <x:c r="O345" s="4"/>
      <x:c r="P345" s="4"/>
      <x:c r="Q345" s="4"/>
      <x:c r="R345" s="4"/>
      <x:c r="S345" s="4"/>
      <x:c r="T345" s="4"/>
      <x:c r="U345" s="4"/>
      <x:c r="V345" s="4"/>
    </x:row>
    <x:row r="346" ht="115" customHeight="1">
      <x:c r="A346" s="4"/>
      <x:c r="B346" s="4"/>
      <x:c r="C346" s="4"/>
      <x:c r="D346" s="4"/>
      <x:c r="E346" s="4"/>
      <x:c r="F346" s="4"/>
      <x:c r="G346" s="4"/>
      <x:c r="H346" s="4"/>
      <x:c r="I346" s="4"/>
      <x:c r="J346" s="4"/>
      <x:c r="K346" s="4"/>
      <x:c r="L346" s="4"/>
      <x:c r="M346" s="4"/>
      <x:c r="N346" s="4"/>
      <x:c r="O346" s="4"/>
      <x:c r="P346" s="4"/>
      <x:c r="Q346" s="4"/>
      <x:c r="R346" s="4"/>
      <x:c r="S346" s="4"/>
      <x:c r="T346" s="4"/>
      <x:c r="U346" s="4"/>
      <x:c r="V346" s="4"/>
    </x:row>
    <x:row r="347" ht="115" customHeight="1">
      <x:c r="A347" s="4"/>
      <x:c r="B347" s="4"/>
      <x:c r="C347" s="4"/>
      <x:c r="D347" s="4"/>
      <x:c r="E347" s="4"/>
      <x:c r="F347" s="4"/>
      <x:c r="G347" s="4"/>
      <x:c r="H347" s="4"/>
      <x:c r="I347" s="4"/>
      <x:c r="J347" s="4"/>
      <x:c r="K347" s="4"/>
      <x:c r="L347" s="4"/>
      <x:c r="M347" s="4"/>
      <x:c r="N347" s="4"/>
      <x:c r="O347" s="4"/>
      <x:c r="P347" s="4"/>
      <x:c r="Q347" s="4"/>
      <x:c r="R347" s="4"/>
      <x:c r="S347" s="4"/>
      <x:c r="T347" s="4"/>
      <x:c r="U347" s="4"/>
      <x:c r="V347" s="4"/>
    </x:row>
    <x:row r="348" ht="115" customHeight="1">
      <x:c r="A348" s="4"/>
      <x:c r="B348" s="4"/>
      <x:c r="C348" s="4"/>
      <x:c r="D348" s="4"/>
      <x:c r="E348" s="4"/>
      <x:c r="F348" s="4"/>
      <x:c r="G348" s="4"/>
      <x:c r="H348" s="4"/>
      <x:c r="I348" s="4"/>
      <x:c r="J348" s="4"/>
      <x:c r="K348" s="4"/>
      <x:c r="L348" s="4"/>
      <x:c r="M348" s="4"/>
      <x:c r="N348" s="4"/>
      <x:c r="O348" s="4"/>
      <x:c r="P348" s="4"/>
      <x:c r="Q348" s="4"/>
      <x:c r="R348" s="4"/>
      <x:c r="S348" s="4"/>
      <x:c r="T348" s="4"/>
      <x:c r="U348" s="4"/>
      <x:c r="V348" s="4"/>
    </x:row>
    <x:row r="349" ht="115" customHeight="1">
      <x:c r="A349" s="4"/>
      <x:c r="B349" s="4"/>
      <x:c r="C349" s="4"/>
      <x:c r="D349" s="4"/>
      <x:c r="E349" s="4"/>
      <x:c r="F349" s="4"/>
      <x:c r="G349" s="4"/>
      <x:c r="H349" s="4"/>
      <x:c r="I349" s="4"/>
      <x:c r="J349" s="4"/>
      <x:c r="K349" s="4"/>
      <x:c r="L349" s="4"/>
      <x:c r="M349" s="4"/>
      <x:c r="N349" s="4"/>
      <x:c r="O349" s="4"/>
      <x:c r="P349" s="4"/>
      <x:c r="Q349" s="4"/>
      <x:c r="R349" s="4"/>
      <x:c r="S349" s="4"/>
      <x:c r="T349" s="4"/>
      <x:c r="U349" s="4"/>
      <x:c r="V349" s="4"/>
    </x:row>
    <x:row r="350" ht="115" customHeight="1">
      <x:c r="A350" s="4" t="str">
        <x:f>IFERROR(INDEX('Material routes'!$E$6:$E$2205,MATCH(U350,'Material routes'!$A$6:$A$2205,0)),"MISSING ID")</x:f>
        <x:v>Clarified faunal lubricant base</x:v>
      </x:c>
      <x:c r="B350" s="4" t="str">
        <x:f>IFERROR(INDEX('Material routes'!$F$6:$F$2205,MATCH(U350,'Material routes'!$A$6:$A$2205,0)),"MISSING ID")</x:f>
        <x:v>T1</x:v>
      </x:c>
      <x:c r="C350" s="4" t="str">
        <x:f>IFERROR(INDEX('Material routes'!$H$6:$H$2205,MATCH(U350,'Material routes'!$A$6:$A$2205,0)),"MISSING ID")</x:f>
        <x:v>Chemical material</x:v>
      </x:c>
      <x:c r="D350" s="4" t="str">
        <x:f>IFERROR(INDEX('Material routes'!$G$6:$G$2205,MATCH(U350,'Material routes'!$A$6:$A$2205,0)),"MISSING ID")</x:f>
        <x:v>Crafting components</x:v>
      </x:c>
      <x:c r="E350" s="4" t="str">
        <x:f>IFERROR(INDEX('Material routes'!$C$6:$C$2205,MATCH(U350,'Material routes'!$A$6:$A$2205,0)),"MISSING ID")</x:f>
        <x:v>Ingredient candidate</x:v>
      </x:c>
      <x:c r="F350" s="4" t="str">
        <x:f>IFERROR(INDEX('Material routes'!$E$6:$E$2205,MATCH(V350,'Material routes'!$A$6:$A$2205,0)),"MISSING ID")</x:f>
        <x:v>Dust-shedding lubricant film</x:v>
      </x:c>
      <x:c r="G350" s="4" t="str">
        <x:f>IFERROR(INDEX('Material routes'!$F$6:$F$2205,MATCH(V350,'Material routes'!$A$6:$A$2205,0)),"MISSING ID")</x:f>
        <x:v>T2</x:v>
      </x:c>
      <x:c r="H350" s="4" t="str">
        <x:f>IFERROR(INDEX('Material routes'!$H$6:$H$2205,MATCH(V350,'Material routes'!$A$6:$A$2205,0)),"MISSING ID")</x:f>
        <x:v>Chemical material</x:v>
      </x:c>
      <x:c r="I350" s="4" t="str">
        <x:f>IFERROR(INDEX('Material routes'!$G$6:$G$2205,MATCH(V350,'Material routes'!$A$6:$A$2205,0)),"MISSING ID")</x:f>
        <x:v>Crafting components</x:v>
      </x:c>
      <x:c r="J350" s="4" t="str">
        <x:f>IFERROR(INDEX('Material routes'!$B$6:$B$2205,MATCH(U350,'Material routes'!$A$6:$A$2205,0)),"MISSING ID")</x:f>
        <x:v>design.review.proposal_lubricant_dust_film</x:v>
      </x:c>
      <x:c r="K350" s="4" t="str">
        <x:f>IFERROR(INDEX('Crafting recipes'!$C$6:$C$1005,MATCH(J350,'Crafting recipes'!$A$6:$A$1005,0)),"MISSING ID")</x:f>
        <x:v>Material refinement</x:v>
      </x:c>
      <x:c r="L350" s="4" t="str">
        <x:f>IFERROR(INDEX('Material routes'!$K$6:$K$2205,MATCH(U350,'Material routes'!$A$6:$A$2205,0)),"MISSING ID")</x:f>
        <x:v>Proposal</x:v>
      </x:c>
      <x:c r="M350" s="4" t="str">
        <x:f>IFERROR(INDEX('Material routes'!$M$6:$M$2205,MATCH(U350,'Material routes'!$A$6:$A$2205,0)),"MISSING ID")</x:f>
        <x:v>Partial proposal</x:v>
      </x:c>
      <x:c r="N350" s="4" t="str">
        <x:f>IF(IFERROR(INDEX('Material routes'!$I$6:$I$1005,MATCH(U350,'Material routes'!$A$6:$A$1005,0)),"MISSING ID")=0,"",IFERROR(INDEX('Material routes'!$I$6:$I$1005,MATCH(U350,'Material routes'!$A$6:$A$1005,0)),"MISSING ID"))</x:f>
      </x:c>
      <x:c r="O350" s="4" t="str">
        <x:f>IFERROR(INDEX('Material routes'!$J$6:$J$2205,MATCH(U350,'Material routes'!$A$6:$A$2205,0)),"MISSING ID")</x:f>
        <x:v>Unspecified</x:v>
      </x:c>
      <x:c r="P350" s="4" t="str">
        <x:f>IF(IFERROR(INDEX('Material routes'!$I$6:$I$1005,MATCH(V350,'Material routes'!$A$6:$A$1005,0)),"MISSING ID")=0,"",IFERROR(INDEX('Material routes'!$I$6:$I$1005,MATCH(V350,'Material routes'!$A$6:$A$1005,0)),"MISSING ID"))</x:f>
      </x:c>
      <x:c r="Q350" s="4" t="str">
        <x:f>IFERROR(INDEX('Material routes'!$J$6:$J$2205,MATCH(V350,'Material routes'!$A$6:$A$2205,0)),"MISSING ID")</x:f>
        <x:v>Unspecified</x:v>
      </x:c>
      <x:c r="R350" s="4" t="str">
        <x:f>IF(L350="Withheld","Withheld premise",IF(E350="Tool candidate","Reusable prerequisite",IF(K350="Raw entry preparation","Entry-resource preparation",IF(G350="Not applicable",IF(IFERROR(INDEX('Items'!$AI$6:$AI$1005,MATCH(T350,'Items'!$A$6:$A$1005,0)),"MISSING ID")="Finished item","Finished endpoint",IF(IFERROR(INDEX('Items'!$AI$6:$AI$1005,MATCH(T350,'Items'!$A$6:$A$1005,0)),"MISSING ID")="Currency","Currency / no refinement tier","Recovered output / tier not applicable")),IF(OR(IFERROR(INDEX('Crafting recipes'!$H$6:$H$1005,MATCH(J350,'Crafting recipes'!$A$6:$A$1005,0)),"MISSING ID")="Unassigned",G350="Unassigned"),"Tier unresolved",IF(IFERROR(VALUE(RIGHT(G350,1))-VALUE(RIGHT(IFERROR(INDEX('Crafting recipes'!$H$6:$H$1005,MATCH(J350,'Crafting recipes'!$A$6:$A$1005,0)),"MISSING ID"),1)),0)=1,IF(B350=IFERROR(INDEX('Crafting recipes'!$H$6:$H$1005,MATCH(J350,'Crafting recipes'!$A$6:$A$1005,0)),"MISSING ID"),"Advances one material tier","Lower-tier ingredient; route advances one tier"),"Needs tier review"))))))</x:f>
        <x:v>Advances one material tier</x:v>
      </x:c>
      <x:c r="S350" s="4" t="str">
        <x:f>IFERROR(INDEX('Material routes'!$D$6:$D$2205,MATCH(U350,'Material routes'!$A$6:$A$2205,0)),"MISSING ID")</x:f>
        <x:v>proposal.lubricant.base</x:v>
      </x:c>
      <x:c r="T350" s="4" t="str">
        <x:f>IFERROR(INDEX('Material routes'!$D$6:$D$2205,MATCH(V350,'Material routes'!$A$6:$A$2205,0)),"MISSING ID")</x:f>
        <x:v>proposal.lubricant.dust_film</x:v>
      </x:c>
      <x:c r="U350" s="4" t="str">
        <x:v>design.review.proposal_lubricant_dust_film.in.1</x:v>
      </x:c>
      <x:c r="V350" s="4" t="str">
        <x:v>design.review.proposal_lubricant_dust_film.out</x:v>
      </x:c>
    </x:row>
    <x:row r="351" ht="115" customHeight="1">
      <x:c r="A351" s="4" t="str">
        <x:f>IFERROR(INDEX('Material routes'!$E$6:$E$2205,MATCH(U351,'Material routes'!$A$6:$A$2205,0)),"MISSING ID")</x:f>
        <x:v>Selected faunal carrier fraction</x:v>
      </x:c>
      <x:c r="B351" s="4" t="str">
        <x:f>IFERROR(INDEX('Material routes'!$F$6:$F$2205,MATCH(U351,'Material routes'!$A$6:$A$2205,0)),"MISSING ID")</x:f>
        <x:v>T1</x:v>
      </x:c>
      <x:c r="C351" s="4" t="str">
        <x:f>IFERROR(INDEX('Material routes'!$H$6:$H$2205,MATCH(U351,'Material routes'!$A$6:$A$2205,0)),"MISSING ID")</x:f>
        <x:v>Chemical material</x:v>
      </x:c>
      <x:c r="D351" s="4" t="str">
        <x:f>IFERROR(INDEX('Material routes'!$G$6:$G$2205,MATCH(U351,'Material routes'!$A$6:$A$2205,0)),"MISSING ID")</x:f>
        <x:v>Crafting components</x:v>
      </x:c>
      <x:c r="E351" s="4" t="str">
        <x:f>IFERROR(INDEX('Material routes'!$C$6:$C$2205,MATCH(U351,'Material routes'!$A$6:$A$2205,0)),"MISSING ID")</x:f>
        <x:v>Ingredient candidate</x:v>
      </x:c>
      <x:c r="F351" s="4" t="str">
        <x:f>IFERROR(INDEX('Material routes'!$E$6:$E$2205,MATCH(V351,'Material routes'!$A$6:$A$2205,0)),"MISSING ID")</x:f>
        <x:v>Dust-shedding lubricant film</x:v>
      </x:c>
      <x:c r="G351" s="4" t="str">
        <x:f>IFERROR(INDEX('Material routes'!$F$6:$F$2205,MATCH(V351,'Material routes'!$A$6:$A$2205,0)),"MISSING ID")</x:f>
        <x:v>T2</x:v>
      </x:c>
      <x:c r="H351" s="4" t="str">
        <x:f>IFERROR(INDEX('Material routes'!$H$6:$H$2205,MATCH(V351,'Material routes'!$A$6:$A$2205,0)),"MISSING ID")</x:f>
        <x:v>Chemical material</x:v>
      </x:c>
      <x:c r="I351" s="4" t="str">
        <x:f>IFERROR(INDEX('Material routes'!$G$6:$G$2205,MATCH(V351,'Material routes'!$A$6:$A$2205,0)),"MISSING ID")</x:f>
        <x:v>Crafting components</x:v>
      </x:c>
      <x:c r="J351" s="4" t="str">
        <x:f>IFERROR(INDEX('Material routes'!$B$6:$B$2205,MATCH(U351,'Material routes'!$A$6:$A$2205,0)),"MISSING ID")</x:f>
        <x:v>design.review.proposal_lubricant_dust_film</x:v>
      </x:c>
      <x:c r="K351" s="4" t="str">
        <x:f>IFERROR(INDEX('Crafting recipes'!$C$6:$C$1005,MATCH(J351,'Crafting recipes'!$A$6:$A$1005,0)),"MISSING ID")</x:f>
        <x:v>Material refinement</x:v>
      </x:c>
      <x:c r="L351" s="4" t="str">
        <x:f>IFERROR(INDEX('Material routes'!$K$6:$K$2205,MATCH(U351,'Material routes'!$A$6:$A$2205,0)),"MISSING ID")</x:f>
        <x:v>Proposal</x:v>
      </x:c>
      <x:c r="M351" s="4" t="str">
        <x:f>IFERROR(INDEX('Material routes'!$M$6:$M$2205,MATCH(U351,'Material routes'!$A$6:$A$2205,0)),"MISSING ID")</x:f>
        <x:v>Partial proposal</x:v>
      </x:c>
      <x:c r="N351" s="4" t="str">
        <x:f>IF(IFERROR(INDEX('Material routes'!$I$6:$I$1005,MATCH(U351,'Material routes'!$A$6:$A$1005,0)),"MISSING ID")=0,"",IFERROR(INDEX('Material routes'!$I$6:$I$1005,MATCH(U351,'Material routes'!$A$6:$A$1005,0)),"MISSING ID"))</x:f>
      </x:c>
      <x:c r="O351" s="4" t="str">
        <x:f>IFERROR(INDEX('Material routes'!$J$6:$J$2205,MATCH(U351,'Material routes'!$A$6:$A$2205,0)),"MISSING ID")</x:f>
        <x:v>Unspecified</x:v>
      </x:c>
      <x:c r="P351" s="4" t="str">
        <x:f>IF(IFERROR(INDEX('Material routes'!$I$6:$I$1005,MATCH(V351,'Material routes'!$A$6:$A$1005,0)),"MISSING ID")=0,"",IFERROR(INDEX('Material routes'!$I$6:$I$1005,MATCH(V351,'Material routes'!$A$6:$A$1005,0)),"MISSING ID"))</x:f>
      </x:c>
      <x:c r="Q351" s="4" t="str">
        <x:f>IFERROR(INDEX('Material routes'!$J$6:$J$2205,MATCH(V351,'Material routes'!$A$6:$A$2205,0)),"MISSING ID")</x:f>
        <x:v>Unspecified</x:v>
      </x:c>
      <x:c r="R351" s="4" t="str">
        <x:f>IF(L351="Withheld","Withheld premise",IF(E351="Tool candidate","Reusable prerequisite",IF(K351="Raw entry preparation","Entry-resource preparation",IF(G351="Not applicable",IF(IFERROR(INDEX('Items'!$AI$6:$AI$1005,MATCH(T351,'Items'!$A$6:$A$1005,0)),"MISSING ID")="Finished item","Finished endpoint",IF(IFERROR(INDEX('Items'!$AI$6:$AI$1005,MATCH(T351,'Items'!$A$6:$A$1005,0)),"MISSING ID")="Currency","Currency / no refinement tier","Recovered output / tier not applicable")),IF(OR(IFERROR(INDEX('Crafting recipes'!$H$6:$H$1005,MATCH(J351,'Crafting recipes'!$A$6:$A$1005,0)),"MISSING ID")="Unassigned",G351="Unassigned"),"Tier unresolved",IF(IFERROR(VALUE(RIGHT(G351,1))-VALUE(RIGHT(IFERROR(INDEX('Crafting recipes'!$H$6:$H$1005,MATCH(J351,'Crafting recipes'!$A$6:$A$1005,0)),"MISSING ID"),1)),0)=1,IF(B351=IFERROR(INDEX('Crafting recipes'!$H$6:$H$1005,MATCH(J351,'Crafting recipes'!$A$6:$A$1005,0)),"MISSING ID"),"Advances one material tier","Lower-tier ingredient; route advances one tier"),"Needs tier review"))))))</x:f>
        <x:v>Advances one material tier</x:v>
      </x:c>
      <x:c r="S351" s="4" t="str">
        <x:f>IFERROR(INDEX('Material routes'!$D$6:$D$2205,MATCH(U351,'Material routes'!$A$6:$A$2205,0)),"MISSING ID")</x:f>
        <x:v>proposal.t1.faunal_carrier</x:v>
      </x:c>
      <x:c r="T351" s="4" t="str">
        <x:f>IFERROR(INDEX('Material routes'!$D$6:$D$2205,MATCH(V351,'Material routes'!$A$6:$A$2205,0)),"MISSING ID")</x:f>
        <x:v>proposal.lubricant.dust_film</x:v>
      </x:c>
      <x:c r="U351" s="4" t="str">
        <x:v>design.review.proposal_lubricant_dust_film.in.2</x:v>
      </x:c>
      <x:c r="V351" s="4" t="str">
        <x:v>design.review.proposal_lubricant_dust_film.out</x:v>
      </x:c>
    </x:row>
    <x:row r="352" ht="115" customHeight="1">
      <x:c r="A352" s="4" t="str">
        <x:f>IFERROR(INDEX('Material routes'!$E$6:$E$2205,MATCH(U352,'Material routes'!$A$6:$A$2205,0)),"MISSING ID")</x:f>
        <x:v>Clarified faunal lubricant base</x:v>
      </x:c>
      <x:c r="B352" s="4" t="str">
        <x:f>IFERROR(INDEX('Material routes'!$F$6:$F$2205,MATCH(U352,'Material routes'!$A$6:$A$2205,0)),"MISSING ID")</x:f>
        <x:v>T1</x:v>
      </x:c>
      <x:c r="C352" s="4" t="str">
        <x:f>IFERROR(INDEX('Material routes'!$H$6:$H$2205,MATCH(U352,'Material routes'!$A$6:$A$2205,0)),"MISSING ID")</x:f>
        <x:v>Chemical material</x:v>
      </x:c>
      <x:c r="D352" s="4" t="str">
        <x:f>IFERROR(INDEX('Material routes'!$G$6:$G$2205,MATCH(U352,'Material routes'!$A$6:$A$2205,0)),"MISSING ID")</x:f>
        <x:v>Crafting components</x:v>
      </x:c>
      <x:c r="E352" s="4" t="str">
        <x:f>IFERROR(INDEX('Material routes'!$C$6:$C$2205,MATCH(U352,'Material routes'!$A$6:$A$2205,0)),"MISSING ID")</x:f>
        <x:v>Ingredient candidate</x:v>
      </x:c>
      <x:c r="F352" s="4" t="str">
        <x:f>IFERROR(INDEX('Material routes'!$E$6:$E$2205,MATCH(V352,'Material routes'!$A$6:$A$2205,0)),"MISSING ID")</x:f>
        <x:v>Seal-conditioning paste</x:v>
      </x:c>
      <x:c r="G352" s="4" t="str">
        <x:f>IFERROR(INDEX('Material routes'!$F$6:$F$2205,MATCH(V352,'Material routes'!$A$6:$A$2205,0)),"MISSING ID")</x:f>
        <x:v>T2</x:v>
      </x:c>
      <x:c r="H352" s="4" t="str">
        <x:f>IFERROR(INDEX('Material routes'!$H$6:$H$2205,MATCH(V352,'Material routes'!$A$6:$A$2205,0)),"MISSING ID")</x:f>
        <x:v>Chemical material</x:v>
      </x:c>
      <x:c r="I352" s="4" t="str">
        <x:f>IFERROR(INDEX('Material routes'!$G$6:$G$2205,MATCH(V352,'Material routes'!$A$6:$A$2205,0)),"MISSING ID")</x:f>
        <x:v>Crafting components</x:v>
      </x:c>
      <x:c r="J352" s="4" t="str">
        <x:f>IFERROR(INDEX('Material routes'!$B$6:$B$2205,MATCH(U352,'Material routes'!$A$6:$A$2205,0)),"MISSING ID")</x:f>
        <x:v>design.review.proposal_lubricant_seal_paste</x:v>
      </x:c>
      <x:c r="K352" s="4" t="str">
        <x:f>IFERROR(INDEX('Crafting recipes'!$C$6:$C$1005,MATCH(J352,'Crafting recipes'!$A$6:$A$1005,0)),"MISSING ID")</x:f>
        <x:v>Material refinement</x:v>
      </x:c>
      <x:c r="L352" s="4" t="str">
        <x:f>IFERROR(INDEX('Material routes'!$K$6:$K$2205,MATCH(U352,'Material routes'!$A$6:$A$2205,0)),"MISSING ID")</x:f>
        <x:v>Proposal</x:v>
      </x:c>
      <x:c r="M352" s="4" t="str">
        <x:f>IFERROR(INDEX('Material routes'!$M$6:$M$2205,MATCH(U352,'Material routes'!$A$6:$A$2205,0)),"MISSING ID")</x:f>
        <x:v>Partial proposal</x:v>
      </x:c>
      <x:c r="N352" s="4" t="str">
        <x:f>IF(IFERROR(INDEX('Material routes'!$I$6:$I$1005,MATCH(U352,'Material routes'!$A$6:$A$1005,0)),"MISSING ID")=0,"",IFERROR(INDEX('Material routes'!$I$6:$I$1005,MATCH(U352,'Material routes'!$A$6:$A$1005,0)),"MISSING ID"))</x:f>
      </x:c>
      <x:c r="O352" s="4" t="str">
        <x:f>IFERROR(INDEX('Material routes'!$J$6:$J$2205,MATCH(U352,'Material routes'!$A$6:$A$2205,0)),"MISSING ID")</x:f>
        <x:v>Unspecified</x:v>
      </x:c>
      <x:c r="P352" s="4" t="str">
        <x:f>IF(IFERROR(INDEX('Material routes'!$I$6:$I$1005,MATCH(V352,'Material routes'!$A$6:$A$1005,0)),"MISSING ID")=0,"",IFERROR(INDEX('Material routes'!$I$6:$I$1005,MATCH(V352,'Material routes'!$A$6:$A$1005,0)),"MISSING ID"))</x:f>
      </x:c>
      <x:c r="Q352" s="4" t="str">
        <x:f>IFERROR(INDEX('Material routes'!$J$6:$J$2205,MATCH(V352,'Material routes'!$A$6:$A$2205,0)),"MISSING ID")</x:f>
        <x:v>Unspecified</x:v>
      </x:c>
      <x:c r="R352" s="4" t="str">
        <x:f>IF(L352="Withheld","Withheld premise",IF(E352="Tool candidate","Reusable prerequisite",IF(K352="Raw entry preparation","Entry-resource preparation",IF(G352="Not applicable",IF(IFERROR(INDEX('Items'!$AI$6:$AI$1005,MATCH(T352,'Items'!$A$6:$A$1005,0)),"MISSING ID")="Finished item","Finished endpoint",IF(IFERROR(INDEX('Items'!$AI$6:$AI$1005,MATCH(T352,'Items'!$A$6:$A$1005,0)),"MISSING ID")="Currency","Currency / no refinement tier","Recovered output / tier not applicable")),IF(OR(IFERROR(INDEX('Crafting recipes'!$H$6:$H$1005,MATCH(J352,'Crafting recipes'!$A$6:$A$1005,0)),"MISSING ID")="Unassigned",G352="Unassigned"),"Tier unresolved",IF(IFERROR(VALUE(RIGHT(G352,1))-VALUE(RIGHT(IFERROR(INDEX('Crafting recipes'!$H$6:$H$1005,MATCH(J352,'Crafting recipes'!$A$6:$A$1005,0)),"MISSING ID"),1)),0)=1,IF(B352=IFERROR(INDEX('Crafting recipes'!$H$6:$H$1005,MATCH(J352,'Crafting recipes'!$A$6:$A$1005,0)),"MISSING ID"),"Advances one material tier","Lower-tier ingredient; route advances one tier"),"Needs tier review"))))))</x:f>
        <x:v>Advances one material tier</x:v>
      </x:c>
      <x:c r="S352" s="4" t="str">
        <x:f>IFERROR(INDEX('Material routes'!$D$6:$D$2205,MATCH(U352,'Material routes'!$A$6:$A$2205,0)),"MISSING ID")</x:f>
        <x:v>proposal.lubricant.base</x:v>
      </x:c>
      <x:c r="T352" s="4" t="str">
        <x:f>IFERROR(INDEX('Material routes'!$D$6:$D$2205,MATCH(V352,'Material routes'!$A$6:$A$2205,0)),"MISSING ID")</x:f>
        <x:v>proposal.lubricant.seal_paste</x:v>
      </x:c>
      <x:c r="U352" s="4" t="str">
        <x:v>design.review.proposal_lubricant_seal_paste.in.1</x:v>
      </x:c>
      <x:c r="V352" s="4" t="str">
        <x:v>design.review.proposal_lubricant_seal_paste.out</x:v>
      </x:c>
    </x:row>
    <x:row r="353" ht="115" customHeight="1">
      <x:c r="A353" s="4" t="str">
        <x:f>IFERROR(INDEX('Material routes'!$E$6:$E$2205,MATCH(U353,'Material routes'!$A$6:$A$2205,0)),"MISSING ID")</x:f>
        <x:v>Prepared clot-seal compound</x:v>
      </x:c>
      <x:c r="B353" s="4" t="str">
        <x:f>IFERROR(INDEX('Material routes'!$F$6:$F$2205,MATCH(U353,'Material routes'!$A$6:$A$2205,0)),"MISSING ID")</x:f>
        <x:v>T1</x:v>
      </x:c>
      <x:c r="C353" s="4" t="str">
        <x:f>IFERROR(INDEX('Material routes'!$H$6:$H$2205,MATCH(U353,'Material routes'!$A$6:$A$2205,0)),"MISSING ID")</x:f>
        <x:v>Chemical material</x:v>
      </x:c>
      <x:c r="D353" s="4" t="str">
        <x:f>IFERROR(INDEX('Material routes'!$G$6:$G$2205,MATCH(U353,'Material routes'!$A$6:$A$2205,0)),"MISSING ID")</x:f>
        <x:v>Crafting components</x:v>
      </x:c>
      <x:c r="E353" s="4" t="str">
        <x:f>IFERROR(INDEX('Material routes'!$C$6:$C$2205,MATCH(U353,'Material routes'!$A$6:$A$2205,0)),"MISSING ID")</x:f>
        <x:v>Ingredient candidate</x:v>
      </x:c>
      <x:c r="F353" s="4" t="str">
        <x:f>IFERROR(INDEX('Material routes'!$E$6:$E$2205,MATCH(V353,'Material routes'!$A$6:$A$2205,0)),"MISSING ID")</x:f>
        <x:v>Seal-conditioning paste</x:v>
      </x:c>
      <x:c r="G353" s="4" t="str">
        <x:f>IFERROR(INDEX('Material routes'!$F$6:$F$2205,MATCH(V353,'Material routes'!$A$6:$A$2205,0)),"MISSING ID")</x:f>
        <x:v>T2</x:v>
      </x:c>
      <x:c r="H353" s="4" t="str">
        <x:f>IFERROR(INDEX('Material routes'!$H$6:$H$2205,MATCH(V353,'Material routes'!$A$6:$A$2205,0)),"MISSING ID")</x:f>
        <x:v>Chemical material</x:v>
      </x:c>
      <x:c r="I353" s="4" t="str">
        <x:f>IFERROR(INDEX('Material routes'!$G$6:$G$2205,MATCH(V353,'Material routes'!$A$6:$A$2205,0)),"MISSING ID")</x:f>
        <x:v>Crafting components</x:v>
      </x:c>
      <x:c r="J353" s="4" t="str">
        <x:f>IFERROR(INDEX('Material routes'!$B$6:$B$2205,MATCH(U353,'Material routes'!$A$6:$A$2205,0)),"MISSING ID")</x:f>
        <x:v>design.review.proposal_lubricant_seal_paste</x:v>
      </x:c>
      <x:c r="K353" s="4" t="str">
        <x:f>IFERROR(INDEX('Crafting recipes'!$C$6:$C$1005,MATCH(J353,'Crafting recipes'!$A$6:$A$1005,0)),"MISSING ID")</x:f>
        <x:v>Material refinement</x:v>
      </x:c>
      <x:c r="L353" s="4" t="str">
        <x:f>IFERROR(INDEX('Material routes'!$K$6:$K$2205,MATCH(U353,'Material routes'!$A$6:$A$2205,0)),"MISSING ID")</x:f>
        <x:v>Proposal</x:v>
      </x:c>
      <x:c r="M353" s="4" t="str">
        <x:f>IFERROR(INDEX('Material routes'!$M$6:$M$2205,MATCH(U353,'Material routes'!$A$6:$A$2205,0)),"MISSING ID")</x:f>
        <x:v>Partial proposal</x:v>
      </x:c>
      <x:c r="N353" s="4" t="str">
        <x:f>IF(IFERROR(INDEX('Material routes'!$I$6:$I$1005,MATCH(U353,'Material routes'!$A$6:$A$1005,0)),"MISSING ID")=0,"",IFERROR(INDEX('Material routes'!$I$6:$I$1005,MATCH(U353,'Material routes'!$A$6:$A$1005,0)),"MISSING ID"))</x:f>
      </x:c>
      <x:c r="O353" s="4" t="str">
        <x:f>IFERROR(INDEX('Material routes'!$J$6:$J$2205,MATCH(U353,'Material routes'!$A$6:$A$2205,0)),"MISSING ID")</x:f>
        <x:v>Unspecified</x:v>
      </x:c>
      <x:c r="P353" s="4" t="str">
        <x:f>IF(IFERROR(INDEX('Material routes'!$I$6:$I$1005,MATCH(V353,'Material routes'!$A$6:$A$1005,0)),"MISSING ID")=0,"",IFERROR(INDEX('Material routes'!$I$6:$I$1005,MATCH(V353,'Material routes'!$A$6:$A$1005,0)),"MISSING ID"))</x:f>
      </x:c>
      <x:c r="Q353" s="4" t="str">
        <x:f>IFERROR(INDEX('Material routes'!$J$6:$J$2205,MATCH(V353,'Material routes'!$A$6:$A$2205,0)),"MISSING ID")</x:f>
        <x:v>Unspecified</x:v>
      </x:c>
      <x:c r="R353" s="4" t="str">
        <x:f>IF(L353="Withheld","Withheld premise",IF(E353="Tool candidate","Reusable prerequisite",IF(K353="Raw entry preparation","Entry-resource preparation",IF(G353="Not applicable",IF(IFERROR(INDEX('Items'!$AI$6:$AI$1005,MATCH(T353,'Items'!$A$6:$A$1005,0)),"MISSING ID")="Finished item","Finished endpoint",IF(IFERROR(INDEX('Items'!$AI$6:$AI$1005,MATCH(T353,'Items'!$A$6:$A$1005,0)),"MISSING ID")="Currency","Currency / no refinement tier","Recovered output / tier not applicable")),IF(OR(IFERROR(INDEX('Crafting recipes'!$H$6:$H$1005,MATCH(J353,'Crafting recipes'!$A$6:$A$1005,0)),"MISSING ID")="Unassigned",G353="Unassigned"),"Tier unresolved",IF(IFERROR(VALUE(RIGHT(G353,1))-VALUE(RIGHT(IFERROR(INDEX('Crafting recipes'!$H$6:$H$1005,MATCH(J353,'Crafting recipes'!$A$6:$A$1005,0)),"MISSING ID"),1)),0)=1,IF(B353=IFERROR(INDEX('Crafting recipes'!$H$6:$H$1005,MATCH(J353,'Crafting recipes'!$A$6:$A$1005,0)),"MISSING ID"),"Advances one material tier","Lower-tier ingredient; route advances one tier"),"Needs tier review"))))))</x:f>
        <x:v>Advances one material tier</x:v>
      </x:c>
      <x:c r="S353" s="4" t="str">
        <x:f>IFERROR(INDEX('Material routes'!$D$6:$D$2205,MATCH(U353,'Material routes'!$A$6:$A$2205,0)),"MISSING ID")</x:f>
        <x:v>proposal.t1.clot_seal</x:v>
      </x:c>
      <x:c r="T353" s="4" t="str">
        <x:f>IFERROR(INDEX('Material routes'!$D$6:$D$2205,MATCH(V353,'Material routes'!$A$6:$A$2205,0)),"MISSING ID")</x:f>
        <x:v>proposal.lubricant.seal_paste</x:v>
      </x:c>
      <x:c r="U353" s="4" t="str">
        <x:v>design.review.proposal_lubricant_seal_paste.in.2</x:v>
      </x:c>
      <x:c r="V353" s="4" t="str">
        <x:v>design.review.proposal_lubricant_seal_paste.out</x:v>
      </x:c>
    </x:row>
    <x:row r="354" ht="115" customHeight="1">
      <x:c r="A354" s="4" t="str">
        <x:f>IFERROR(INDEX('Material routes'!$E$6:$E$2205,MATCH(U354,'Material routes'!$A$6:$A$2205,0)),"MISSING ID")</x:f>
        <x:v>Clarified faunal lubricant base</x:v>
      </x:c>
      <x:c r="B354" s="4" t="str">
        <x:f>IFERROR(INDEX('Material routes'!$F$6:$F$2205,MATCH(U354,'Material routes'!$A$6:$A$2205,0)),"MISSING ID")</x:f>
        <x:v>T1</x:v>
      </x:c>
      <x:c r="C354" s="4" t="str">
        <x:f>IFERROR(INDEX('Material routes'!$H$6:$H$2205,MATCH(U354,'Material routes'!$A$6:$A$2205,0)),"MISSING ID")</x:f>
        <x:v>Chemical material</x:v>
      </x:c>
      <x:c r="D354" s="4" t="str">
        <x:f>IFERROR(INDEX('Material routes'!$G$6:$G$2205,MATCH(U354,'Material routes'!$A$6:$A$2205,0)),"MISSING ID")</x:f>
        <x:v>Crafting components</x:v>
      </x:c>
      <x:c r="E354" s="4" t="str">
        <x:f>IFERROR(INDEX('Material routes'!$C$6:$C$2205,MATCH(U354,'Material routes'!$A$6:$A$2205,0)),"MISSING ID")</x:f>
        <x:v>Ingredient candidate</x:v>
      </x:c>
      <x:c r="F354" s="4" t="str">
        <x:f>IFERROR(INDEX('Material routes'!$E$6:$E$2205,MATCH(V354,'Material routes'!$A$6:$A$2205,0)),"MISSING ID")</x:f>
        <x:v>Electrically insulating grease</x:v>
      </x:c>
      <x:c r="G354" s="4" t="str">
        <x:f>IFERROR(INDEX('Material routes'!$F$6:$F$2205,MATCH(V354,'Material routes'!$A$6:$A$2205,0)),"MISSING ID")</x:f>
        <x:v>T2</x:v>
      </x:c>
      <x:c r="H354" s="4" t="str">
        <x:f>IFERROR(INDEX('Material routes'!$H$6:$H$2205,MATCH(V354,'Material routes'!$A$6:$A$2205,0)),"MISSING ID")</x:f>
        <x:v>Chemical material</x:v>
      </x:c>
      <x:c r="I354" s="4" t="str">
        <x:f>IFERROR(INDEX('Material routes'!$G$6:$G$2205,MATCH(V354,'Material routes'!$A$6:$A$2205,0)),"MISSING ID")</x:f>
        <x:v>Crafting components</x:v>
      </x:c>
      <x:c r="J354" s="4" t="str">
        <x:f>IFERROR(INDEX('Material routes'!$B$6:$B$2205,MATCH(U354,'Material routes'!$A$6:$A$2205,0)),"MISSING ID")</x:f>
        <x:v>design.review.proposal_lubricant_insulating_grease</x:v>
      </x:c>
      <x:c r="K354" s="4" t="str">
        <x:f>IFERROR(INDEX('Crafting recipes'!$C$6:$C$1005,MATCH(J354,'Crafting recipes'!$A$6:$A$1005,0)),"MISSING ID")</x:f>
        <x:v>Material refinement</x:v>
      </x:c>
      <x:c r="L354" s="4" t="str">
        <x:f>IFERROR(INDEX('Material routes'!$K$6:$K$2205,MATCH(U354,'Material routes'!$A$6:$A$2205,0)),"MISSING ID")</x:f>
        <x:v>Proposal</x:v>
      </x:c>
      <x:c r="M354" s="4" t="str">
        <x:f>IFERROR(INDEX('Material routes'!$M$6:$M$2205,MATCH(U354,'Material routes'!$A$6:$A$2205,0)),"MISSING ID")</x:f>
        <x:v>Partial proposal</x:v>
      </x:c>
      <x:c r="N354" s="4" t="str">
        <x:f>IF(IFERROR(INDEX('Material routes'!$I$6:$I$1005,MATCH(U354,'Material routes'!$A$6:$A$1005,0)),"MISSING ID")=0,"",IFERROR(INDEX('Material routes'!$I$6:$I$1005,MATCH(U354,'Material routes'!$A$6:$A$1005,0)),"MISSING ID"))</x:f>
      </x:c>
      <x:c r="O354" s="4" t="str">
        <x:f>IFERROR(INDEX('Material routes'!$J$6:$J$2205,MATCH(U354,'Material routes'!$A$6:$A$2205,0)),"MISSING ID")</x:f>
        <x:v>Unspecified</x:v>
      </x:c>
      <x:c r="P354" s="4" t="str">
        <x:f>IF(IFERROR(INDEX('Material routes'!$I$6:$I$1005,MATCH(V354,'Material routes'!$A$6:$A$1005,0)),"MISSING ID")=0,"",IFERROR(INDEX('Material routes'!$I$6:$I$1005,MATCH(V354,'Material routes'!$A$6:$A$1005,0)),"MISSING ID"))</x:f>
      </x:c>
      <x:c r="Q354" s="4" t="str">
        <x:f>IFERROR(INDEX('Material routes'!$J$6:$J$2205,MATCH(V354,'Material routes'!$A$6:$A$2205,0)),"MISSING ID")</x:f>
        <x:v>Unspecified</x:v>
      </x:c>
      <x:c r="R354" s="4" t="str">
        <x:f>IF(L354="Withheld","Withheld premise",IF(E354="Tool candidate","Reusable prerequisite",IF(K354="Raw entry preparation","Entry-resource preparation",IF(G354="Not applicable",IF(IFERROR(INDEX('Items'!$AI$6:$AI$1005,MATCH(T354,'Items'!$A$6:$A$1005,0)),"MISSING ID")="Finished item","Finished endpoint",IF(IFERROR(INDEX('Items'!$AI$6:$AI$1005,MATCH(T354,'Items'!$A$6:$A$1005,0)),"MISSING ID")="Currency","Currency / no refinement tier","Recovered output / tier not applicable")),IF(OR(IFERROR(INDEX('Crafting recipes'!$H$6:$H$1005,MATCH(J354,'Crafting recipes'!$A$6:$A$1005,0)),"MISSING ID")="Unassigned",G354="Unassigned"),"Tier unresolved",IF(IFERROR(VALUE(RIGHT(G354,1))-VALUE(RIGHT(IFERROR(INDEX('Crafting recipes'!$H$6:$H$1005,MATCH(J354,'Crafting recipes'!$A$6:$A$1005,0)),"MISSING ID"),1)),0)=1,IF(B354=IFERROR(INDEX('Crafting recipes'!$H$6:$H$1005,MATCH(J354,'Crafting recipes'!$A$6:$A$1005,0)),"MISSING ID"),"Advances one material tier","Lower-tier ingredient; route advances one tier"),"Needs tier review"))))))</x:f>
        <x:v>Advances one material tier</x:v>
      </x:c>
      <x:c r="S354" s="4" t="str">
        <x:f>IFERROR(INDEX('Material routes'!$D$6:$D$2205,MATCH(U354,'Material routes'!$A$6:$A$2205,0)),"MISSING ID")</x:f>
        <x:v>proposal.lubricant.base</x:v>
      </x:c>
      <x:c r="T354" s="4" t="str">
        <x:f>IFERROR(INDEX('Material routes'!$D$6:$D$2205,MATCH(V354,'Material routes'!$A$6:$A$2205,0)),"MISSING ID")</x:f>
        <x:v>proposal.lubricant.insulating_grease</x:v>
      </x:c>
      <x:c r="U354" s="4" t="str">
        <x:v>design.review.proposal_lubricant_insulating_grease.in.1</x:v>
      </x:c>
      <x:c r="V354" s="4" t="str">
        <x:v>design.review.proposal_lubricant_insulating_grease.out</x:v>
      </x:c>
    </x:row>
    <x:row r="355" ht="115" customHeight="1">
      <x:c r="A355" s="4" t="str">
        <x:f>IFERROR(INDEX('Material routes'!$E$6:$E$2205,MATCH(U355,'Material routes'!$A$6:$A$2205,0)),"MISSING ID")</x:f>
        <x:v>Prepared secretion thickener</x:v>
      </x:c>
      <x:c r="B355" s="4" t="str">
        <x:f>IFERROR(INDEX('Material routes'!$F$6:$F$2205,MATCH(U355,'Material routes'!$A$6:$A$2205,0)),"MISSING ID")</x:f>
        <x:v>T1</x:v>
      </x:c>
      <x:c r="C355" s="4" t="str">
        <x:f>IFERROR(INDEX('Material routes'!$H$6:$H$2205,MATCH(U355,'Material routes'!$A$6:$A$2205,0)),"MISSING ID")</x:f>
        <x:v>Chemical material</x:v>
      </x:c>
      <x:c r="D355" s="4" t="str">
        <x:f>IFERROR(INDEX('Material routes'!$G$6:$G$2205,MATCH(U355,'Material routes'!$A$6:$A$2205,0)),"MISSING ID")</x:f>
        <x:v>Crafting components</x:v>
      </x:c>
      <x:c r="E355" s="4" t="str">
        <x:f>IFERROR(INDEX('Material routes'!$C$6:$C$2205,MATCH(U355,'Material routes'!$A$6:$A$2205,0)),"MISSING ID")</x:f>
        <x:v>Ingredient candidate</x:v>
      </x:c>
      <x:c r="F355" s="4" t="str">
        <x:f>IFERROR(INDEX('Material routes'!$E$6:$E$2205,MATCH(V355,'Material routes'!$A$6:$A$2205,0)),"MISSING ID")</x:f>
        <x:v>Electrically insulating grease</x:v>
      </x:c>
      <x:c r="G355" s="4" t="str">
        <x:f>IFERROR(INDEX('Material routes'!$F$6:$F$2205,MATCH(V355,'Material routes'!$A$6:$A$2205,0)),"MISSING ID")</x:f>
        <x:v>T2</x:v>
      </x:c>
      <x:c r="H355" s="4" t="str">
        <x:f>IFERROR(INDEX('Material routes'!$H$6:$H$2205,MATCH(V355,'Material routes'!$A$6:$A$2205,0)),"MISSING ID")</x:f>
        <x:v>Chemical material</x:v>
      </x:c>
      <x:c r="I355" s="4" t="str">
        <x:f>IFERROR(INDEX('Material routes'!$G$6:$G$2205,MATCH(V355,'Material routes'!$A$6:$A$2205,0)),"MISSING ID")</x:f>
        <x:v>Crafting components</x:v>
      </x:c>
      <x:c r="J355" s="4" t="str">
        <x:f>IFERROR(INDEX('Material routes'!$B$6:$B$2205,MATCH(U355,'Material routes'!$A$6:$A$2205,0)),"MISSING ID")</x:f>
        <x:v>design.review.proposal_lubricant_insulating_grease</x:v>
      </x:c>
      <x:c r="K355" s="4" t="str">
        <x:f>IFERROR(INDEX('Crafting recipes'!$C$6:$C$1005,MATCH(J355,'Crafting recipes'!$A$6:$A$1005,0)),"MISSING ID")</x:f>
        <x:v>Material refinement</x:v>
      </x:c>
      <x:c r="L355" s="4" t="str">
        <x:f>IFERROR(INDEX('Material routes'!$K$6:$K$2205,MATCH(U355,'Material routes'!$A$6:$A$2205,0)),"MISSING ID")</x:f>
        <x:v>Proposal</x:v>
      </x:c>
      <x:c r="M355" s="4" t="str">
        <x:f>IFERROR(INDEX('Material routes'!$M$6:$M$2205,MATCH(U355,'Material routes'!$A$6:$A$2205,0)),"MISSING ID")</x:f>
        <x:v>Partial proposal</x:v>
      </x:c>
      <x:c r="N355" s="4" t="str">
        <x:f>IF(IFERROR(INDEX('Material routes'!$I$6:$I$1005,MATCH(U355,'Material routes'!$A$6:$A$1005,0)),"MISSING ID")=0,"",IFERROR(INDEX('Material routes'!$I$6:$I$1005,MATCH(U355,'Material routes'!$A$6:$A$1005,0)),"MISSING ID"))</x:f>
      </x:c>
      <x:c r="O355" s="4" t="str">
        <x:f>IFERROR(INDEX('Material routes'!$J$6:$J$2205,MATCH(U355,'Material routes'!$A$6:$A$2205,0)),"MISSING ID")</x:f>
        <x:v>Unspecified</x:v>
      </x:c>
      <x:c r="P355" s="4" t="str">
        <x:f>IF(IFERROR(INDEX('Material routes'!$I$6:$I$1005,MATCH(V355,'Material routes'!$A$6:$A$1005,0)),"MISSING ID")=0,"",IFERROR(INDEX('Material routes'!$I$6:$I$1005,MATCH(V355,'Material routes'!$A$6:$A$1005,0)),"MISSING ID"))</x:f>
      </x:c>
      <x:c r="Q355" s="4" t="str">
        <x:f>IFERROR(INDEX('Material routes'!$J$6:$J$2205,MATCH(V355,'Material routes'!$A$6:$A$2205,0)),"MISSING ID")</x:f>
        <x:v>Unspecified</x:v>
      </x:c>
      <x:c r="R355" s="4" t="str">
        <x:f>IF(L355="Withheld","Withheld premise",IF(E355="Tool candidate","Reusable prerequisite",IF(K355="Raw entry preparation","Entry-resource preparation",IF(G355="Not applicable",IF(IFERROR(INDEX('Items'!$AI$6:$AI$1005,MATCH(T355,'Items'!$A$6:$A$1005,0)),"MISSING ID")="Finished item","Finished endpoint",IF(IFERROR(INDEX('Items'!$AI$6:$AI$1005,MATCH(T355,'Items'!$A$6:$A$1005,0)),"MISSING ID")="Currency","Currency / no refinement tier","Recovered output / tier not applicable")),IF(OR(IFERROR(INDEX('Crafting recipes'!$H$6:$H$1005,MATCH(J355,'Crafting recipes'!$A$6:$A$1005,0)),"MISSING ID")="Unassigned",G355="Unassigned"),"Tier unresolved",IF(IFERROR(VALUE(RIGHT(G355,1))-VALUE(RIGHT(IFERROR(INDEX('Crafting recipes'!$H$6:$H$1005,MATCH(J355,'Crafting recipes'!$A$6:$A$1005,0)),"MISSING ID"),1)),0)=1,IF(B355=IFERROR(INDEX('Crafting recipes'!$H$6:$H$1005,MATCH(J355,'Crafting recipes'!$A$6:$A$1005,0)),"MISSING ID"),"Advances one material tier","Lower-tier ingredient; route advances one tier"),"Needs tier review"))))))</x:f>
        <x:v>Advances one material tier</x:v>
      </x:c>
      <x:c r="S355" s="4" t="str">
        <x:f>IFERROR(INDEX('Material routes'!$D$6:$D$2205,MATCH(U355,'Material routes'!$A$6:$A$2205,0)),"MISSING ID")</x:f>
        <x:v>proposal.lubricant.thickener</x:v>
      </x:c>
      <x:c r="T355" s="4" t="str">
        <x:f>IFERROR(INDEX('Material routes'!$D$6:$D$2205,MATCH(V355,'Material routes'!$A$6:$A$2205,0)),"MISSING ID")</x:f>
        <x:v>proposal.lubricant.insulating_grease</x:v>
      </x:c>
      <x:c r="U355" s="4" t="str">
        <x:v>design.review.proposal_lubricant_insulating_grease.in.2</x:v>
      </x:c>
      <x:c r="V355" s="4" t="str">
        <x:v>design.review.proposal_lubricant_insulating_grease.out</x:v>
      </x:c>
    </x:row>
    <x:row r="356" ht="115" customHeight="1">
      <x:c r="A356" s="4" t="str">
        <x:f>IFERROR(INDEX('Material routes'!$E$6:$E$2205,MATCH(U356,'Material routes'!$A$6:$A$2205,0)),"MISSING ID")</x:f>
        <x:v>Separated mica flake grade</x:v>
      </x:c>
      <x:c r="B356" s="4" t="str">
        <x:f>IFERROR(INDEX('Material routes'!$F$6:$F$2205,MATCH(U356,'Material routes'!$A$6:$A$2205,0)),"MISSING ID")</x:f>
        <x:v>T1</x:v>
      </x:c>
      <x:c r="C356" s="4" t="str">
        <x:f>IFERROR(INDEX('Material routes'!$H$6:$H$2205,MATCH(U356,'Material routes'!$A$6:$A$2205,0)),"MISSING ID")</x:f>
        <x:v>Processed material</x:v>
      </x:c>
      <x:c r="D356" s="4" t="str">
        <x:f>IFERROR(INDEX('Material routes'!$G$6:$G$2205,MATCH(U356,'Material routes'!$A$6:$A$2205,0)),"MISSING ID")</x:f>
        <x:v>Manufactured stock</x:v>
      </x:c>
      <x:c r="E356" s="4" t="str">
        <x:f>IFERROR(INDEX('Material routes'!$C$6:$C$2205,MATCH(U356,'Material routes'!$A$6:$A$2205,0)),"MISSING ID")</x:f>
        <x:v>Ingredient candidate</x:v>
      </x:c>
      <x:c r="F356" s="4" t="str">
        <x:f>IFERROR(INDEX('Material routes'!$E$6:$E$2205,MATCH(V356,'Material routes'!$A$6:$A$2205,0)),"MISSING ID")</x:f>
        <x:v>Electrically insulating grease</x:v>
      </x:c>
      <x:c r="G356" s="4" t="str">
        <x:f>IFERROR(INDEX('Material routes'!$F$6:$F$2205,MATCH(V356,'Material routes'!$A$6:$A$2205,0)),"MISSING ID")</x:f>
        <x:v>T2</x:v>
      </x:c>
      <x:c r="H356" s="4" t="str">
        <x:f>IFERROR(INDEX('Material routes'!$H$6:$H$2205,MATCH(V356,'Material routes'!$A$6:$A$2205,0)),"MISSING ID")</x:f>
        <x:v>Chemical material</x:v>
      </x:c>
      <x:c r="I356" s="4" t="str">
        <x:f>IFERROR(INDEX('Material routes'!$G$6:$G$2205,MATCH(V356,'Material routes'!$A$6:$A$2205,0)),"MISSING ID")</x:f>
        <x:v>Crafting components</x:v>
      </x:c>
      <x:c r="J356" s="4" t="str">
        <x:f>IFERROR(INDEX('Material routes'!$B$6:$B$2205,MATCH(U356,'Material routes'!$A$6:$A$2205,0)),"MISSING ID")</x:f>
        <x:v>design.review.proposal_lubricant_insulating_grease</x:v>
      </x:c>
      <x:c r="K356" s="4" t="str">
        <x:f>IFERROR(INDEX('Crafting recipes'!$C$6:$C$1005,MATCH(J356,'Crafting recipes'!$A$6:$A$1005,0)),"MISSING ID")</x:f>
        <x:v>Material refinement</x:v>
      </x:c>
      <x:c r="L356" s="4" t="str">
        <x:f>IFERROR(INDEX('Material routes'!$K$6:$K$2205,MATCH(U356,'Material routes'!$A$6:$A$2205,0)),"MISSING ID")</x:f>
        <x:v>Proposal</x:v>
      </x:c>
      <x:c r="M356" s="4" t="str">
        <x:f>IFERROR(INDEX('Material routes'!$M$6:$M$2205,MATCH(U356,'Material routes'!$A$6:$A$2205,0)),"MISSING ID")</x:f>
        <x:v>Partial proposal</x:v>
      </x:c>
      <x:c r="N356" s="4" t="str">
        <x:f>IF(IFERROR(INDEX('Material routes'!$I$6:$I$1005,MATCH(U356,'Material routes'!$A$6:$A$1005,0)),"MISSING ID")=0,"",IFERROR(INDEX('Material routes'!$I$6:$I$1005,MATCH(U356,'Material routes'!$A$6:$A$1005,0)),"MISSING ID"))</x:f>
      </x:c>
      <x:c r="O356" s="4" t="str">
        <x:f>IFERROR(INDEX('Material routes'!$J$6:$J$2205,MATCH(U356,'Material routes'!$A$6:$A$2205,0)),"MISSING ID")</x:f>
        <x:v>Unspecified</x:v>
      </x:c>
      <x:c r="P356" s="4" t="str">
        <x:f>IF(IFERROR(INDEX('Material routes'!$I$6:$I$1005,MATCH(V356,'Material routes'!$A$6:$A$1005,0)),"MISSING ID")=0,"",IFERROR(INDEX('Material routes'!$I$6:$I$1005,MATCH(V356,'Material routes'!$A$6:$A$1005,0)),"MISSING ID"))</x:f>
      </x:c>
      <x:c r="Q356" s="4" t="str">
        <x:f>IFERROR(INDEX('Material routes'!$J$6:$J$2205,MATCH(V356,'Material routes'!$A$6:$A$2205,0)),"MISSING ID")</x:f>
        <x:v>Unspecified</x:v>
      </x:c>
      <x:c r="R356" s="4" t="str">
        <x:f>IF(L356="Withheld","Withheld premise",IF(E356="Tool candidate","Reusable prerequisite",IF(K356="Raw entry preparation","Entry-resource preparation",IF(G356="Not applicable",IF(IFERROR(INDEX('Items'!$AI$6:$AI$1005,MATCH(T356,'Items'!$A$6:$A$1005,0)),"MISSING ID")="Finished item","Finished endpoint",IF(IFERROR(INDEX('Items'!$AI$6:$AI$1005,MATCH(T356,'Items'!$A$6:$A$1005,0)),"MISSING ID")="Currency","Currency / no refinement tier","Recovered output / tier not applicable")),IF(OR(IFERROR(INDEX('Crafting recipes'!$H$6:$H$1005,MATCH(J356,'Crafting recipes'!$A$6:$A$1005,0)),"MISSING ID")="Unassigned",G356="Unassigned"),"Tier unresolved",IF(IFERROR(VALUE(RIGHT(G356,1))-VALUE(RIGHT(IFERROR(INDEX('Crafting recipes'!$H$6:$H$1005,MATCH(J356,'Crafting recipes'!$A$6:$A$1005,0)),"MISSING ID"),1)),0)=1,IF(B356=IFERROR(INDEX('Crafting recipes'!$H$6:$H$1005,MATCH(J356,'Crafting recipes'!$A$6:$A$1005,0)),"MISSING ID"),"Advances one material tier","Lower-tier ingredient; route advances one tier"),"Needs tier review"))))))</x:f>
        <x:v>Advances one material tier</x:v>
      </x:c>
      <x:c r="S356" s="4" t="str">
        <x:f>IFERROR(INDEX('Material routes'!$D$6:$D$2205,MATCH(U356,'Material routes'!$A$6:$A$2205,0)),"MISSING ID")</x:f>
        <x:v>proposal.t1.mica_flakes</x:v>
      </x:c>
      <x:c r="T356" s="4" t="str">
        <x:f>IFERROR(INDEX('Material routes'!$D$6:$D$2205,MATCH(V356,'Material routes'!$A$6:$A$2205,0)),"MISSING ID")</x:f>
        <x:v>proposal.lubricant.insulating_grease</x:v>
      </x:c>
      <x:c r="U356" s="4" t="str">
        <x:v>design.review.proposal_lubricant_insulating_grease.in.3</x:v>
      </x:c>
      <x:c r="V356" s="4" t="str">
        <x:v>design.review.proposal_lubricant_insulating_grease.out</x:v>
      </x:c>
    </x:row>
    <x:row r="357" ht="115" customHeight="1">
      <x:c r="A357" s="4" t="str">
        <x:f>IFERROR(INDEX('Material routes'!$E$6:$E$2205,MATCH(U357,'Material routes'!$A$6:$A$2205,0)),"MISSING ID")</x:f>
        <x:v>Drawn steel tube stock</x:v>
      </x:c>
      <x:c r="B357" s="4" t="str">
        <x:f>IFERROR(INDEX('Material routes'!$F$6:$F$2205,MATCH(U357,'Material routes'!$A$6:$A$2205,0)),"MISSING ID")</x:f>
        <x:v>T3</x:v>
      </x:c>
      <x:c r="C357" s="4" t="str">
        <x:f>IFERROR(INDEX('Material routes'!$H$6:$H$2205,MATCH(U357,'Material routes'!$A$6:$A$2205,0)),"MISSING ID")</x:f>
        <x:v>Processed material</x:v>
      </x:c>
      <x:c r="D357" s="4" t="str">
        <x:f>IFERROR(INDEX('Material routes'!$G$6:$G$2205,MATCH(U357,'Material routes'!$A$6:$A$2205,0)),"MISSING ID")</x:f>
        <x:v>Manufactured stock</x:v>
      </x:c>
      <x:c r="E357" s="4" t="str">
        <x:f>IFERROR(INDEX('Material routes'!$C$6:$C$2205,MATCH(U357,'Material routes'!$A$6:$A$2205,0)),"MISSING ID")</x:f>
        <x:v>Ingredient candidate</x:v>
      </x:c>
      <x:c r="F357" s="4" t="str">
        <x:f>IFERROR(INDEX('Material routes'!$E$6:$E$2205,MATCH(V357,'Material routes'!$A$6:$A$2205,0)),"MISSING ID")</x:f>
        <x:v>Collapsible sail frame</x:v>
      </x:c>
      <x:c r="G357" s="4" t="str">
        <x:f>IFERROR(INDEX('Material routes'!$F$6:$F$2205,MATCH(V357,'Material routes'!$A$6:$A$2205,0)),"MISSING ID")</x:f>
        <x:v>T4</x:v>
      </x:c>
      <x:c r="H357" s="4" t="str">
        <x:f>IFERROR(INDEX('Material routes'!$H$6:$H$2205,MATCH(V357,'Material routes'!$A$6:$A$2205,0)),"MISSING ID")</x:f>
        <x:v>Crafting component</x:v>
      </x:c>
      <x:c r="I357" s="4" t="str">
        <x:f>IFERROR(INDEX('Material routes'!$G$6:$G$2205,MATCH(V357,'Material routes'!$A$6:$A$2205,0)),"MISSING ID")</x:f>
        <x:v>Salvage</x:v>
      </x:c>
      <x:c r="J357" s="4" t="str">
        <x:f>IFERROR(INDEX('Material routes'!$B$6:$B$2205,MATCH(U357,'Material routes'!$A$6:$A$2205,0)),"MISSING ID")</x:f>
        <x:v>design.review.proposal_wind_folding_frame</x:v>
      </x:c>
      <x:c r="K357" s="4" t="str">
        <x:f>IFERROR(INDEX('Crafting recipes'!$C$6:$C$1005,MATCH(J357,'Crafting recipes'!$A$6:$A$1005,0)),"MISSING ID")</x:f>
        <x:v>Material refinement</x:v>
      </x:c>
      <x:c r="L357" s="4" t="str">
        <x:f>IFERROR(INDEX('Material routes'!$K$6:$K$2205,MATCH(U357,'Material routes'!$A$6:$A$2205,0)),"MISSING ID")</x:f>
        <x:v>Proposal</x:v>
      </x:c>
      <x:c r="M357" s="4" t="str">
        <x:f>IFERROR(INDEX('Material routes'!$M$6:$M$2205,MATCH(U357,'Material routes'!$A$6:$A$2205,0)),"MISSING ID")</x:f>
        <x:v>Partial proposal</x:v>
      </x:c>
      <x:c r="N357" s="4" t="str">
        <x:f>IF(IFERROR(INDEX('Material routes'!$I$6:$I$1005,MATCH(U357,'Material routes'!$A$6:$A$1005,0)),"MISSING ID")=0,"",IFERROR(INDEX('Material routes'!$I$6:$I$1005,MATCH(U357,'Material routes'!$A$6:$A$1005,0)),"MISSING ID"))</x:f>
      </x:c>
      <x:c r="O357" s="4" t="str">
        <x:f>IFERROR(INDEX('Material routes'!$J$6:$J$2205,MATCH(U357,'Material routes'!$A$6:$A$2205,0)),"MISSING ID")</x:f>
        <x:v>Unspecified</x:v>
      </x:c>
      <x:c r="P357" s="4" t="str">
        <x:f>IF(IFERROR(INDEX('Material routes'!$I$6:$I$1005,MATCH(V357,'Material routes'!$A$6:$A$1005,0)),"MISSING ID")=0,"",IFERROR(INDEX('Material routes'!$I$6:$I$1005,MATCH(V357,'Material routes'!$A$6:$A$1005,0)),"MISSING ID"))</x:f>
      </x:c>
      <x:c r="Q357" s="4" t="str">
        <x:f>IFERROR(INDEX('Material routes'!$J$6:$J$2205,MATCH(V357,'Material routes'!$A$6:$A$2205,0)),"MISSING ID")</x:f>
        <x:v>Unspecified</x:v>
      </x:c>
      <x:c r="R357" s="4" t="str">
        <x:f>IF(L357="Withheld","Withheld premise",IF(E357="Tool candidate","Reusable prerequisite",IF(K357="Raw entry preparation","Entry-resource preparation",IF(G357="Not applicable",IF(IFERROR(INDEX('Items'!$AI$6:$AI$1005,MATCH(T357,'Items'!$A$6:$A$1005,0)),"MISSING ID")="Finished item","Finished endpoint",IF(IFERROR(INDEX('Items'!$AI$6:$AI$1005,MATCH(T357,'Items'!$A$6:$A$1005,0)),"MISSING ID")="Currency","Currency / no refinement tier","Recovered output / tier not applicable")),IF(OR(IFERROR(INDEX('Crafting recipes'!$H$6:$H$1005,MATCH(J357,'Crafting recipes'!$A$6:$A$1005,0)),"MISSING ID")="Unassigned",G357="Unassigned"),"Tier unresolved",IF(IFERROR(VALUE(RIGHT(G357,1))-VALUE(RIGHT(IFERROR(INDEX('Crafting recipes'!$H$6:$H$1005,MATCH(J357,'Crafting recipes'!$A$6:$A$1005,0)),"MISSING ID"),1)),0)=1,IF(B357=IFERROR(INDEX('Crafting recipes'!$H$6:$H$1005,MATCH(J357,'Crafting recipes'!$A$6:$A$1005,0)),"MISSING ID"),"Advances one material tier","Lower-tier ingredient; route advances one tier"),"Needs tier review"))))))</x:f>
        <x:v>Advances one material tier</x:v>
      </x:c>
      <x:c r="S357" s="4" t="str">
        <x:f>IFERROR(INDEX('Material routes'!$D$6:$D$2205,MATCH(U357,'Material routes'!$A$6:$A$2205,0)),"MISSING ID")</x:f>
        <x:v>proposal.t3.precision_tube</x:v>
      </x:c>
      <x:c r="T357" s="4" t="str">
        <x:f>IFERROR(INDEX('Material routes'!$D$6:$D$2205,MATCH(V357,'Material routes'!$A$6:$A$2205,0)),"MISSING ID")</x:f>
        <x:v>proposal.wind.folding_frame</x:v>
      </x:c>
      <x:c r="U357" s="4" t="str">
        <x:v>design.review.proposal_wind_folding_frame.in.1</x:v>
      </x:c>
      <x:c r="V357" s="4" t="str">
        <x:v>design.review.proposal_wind_folding_frame.out</x:v>
      </x:c>
    </x:row>
    <x:row r="358" ht="115" customHeight="1">
      <x:c r="A358" s="4" t="str">
        <x:f>IFERROR(INDEX('Material routes'!$E$6:$E$2205,MATCH(U358,'Material routes'!$A$6:$A$2205,0)),"MISSING ID")</x:f>
        <x:v>Spring-grade steel stock</x:v>
      </x:c>
      <x:c r="B358" s="4" t="str">
        <x:f>IFERROR(INDEX('Material routes'!$F$6:$F$2205,MATCH(U358,'Material routes'!$A$6:$A$2205,0)),"MISSING ID")</x:f>
        <x:v>T3</x:v>
      </x:c>
      <x:c r="C358" s="4" t="str">
        <x:f>IFERROR(INDEX('Material routes'!$H$6:$H$2205,MATCH(U358,'Material routes'!$A$6:$A$2205,0)),"MISSING ID")</x:f>
        <x:v>Processed material</x:v>
      </x:c>
      <x:c r="D358" s="4" t="str">
        <x:f>IFERROR(INDEX('Material routes'!$G$6:$G$2205,MATCH(U358,'Material routes'!$A$6:$A$2205,0)),"MISSING ID")</x:f>
        <x:v>Manufactured stock</x:v>
      </x:c>
      <x:c r="E358" s="4" t="str">
        <x:f>IFERROR(INDEX('Material routes'!$C$6:$C$2205,MATCH(U358,'Material routes'!$A$6:$A$2205,0)),"MISSING ID")</x:f>
        <x:v>Ingredient candidate</x:v>
      </x:c>
      <x:c r="F358" s="4" t="str">
        <x:f>IFERROR(INDEX('Material routes'!$E$6:$E$2205,MATCH(V358,'Material routes'!$A$6:$A$2205,0)),"MISSING ID")</x:f>
        <x:v>Collapsible sail frame</x:v>
      </x:c>
      <x:c r="G358" s="4" t="str">
        <x:f>IFERROR(INDEX('Material routes'!$F$6:$F$2205,MATCH(V358,'Material routes'!$A$6:$A$2205,0)),"MISSING ID")</x:f>
        <x:v>T4</x:v>
      </x:c>
      <x:c r="H358" s="4" t="str">
        <x:f>IFERROR(INDEX('Material routes'!$H$6:$H$2205,MATCH(V358,'Material routes'!$A$6:$A$2205,0)),"MISSING ID")</x:f>
        <x:v>Crafting component</x:v>
      </x:c>
      <x:c r="I358" s="4" t="str">
        <x:f>IFERROR(INDEX('Material routes'!$G$6:$G$2205,MATCH(V358,'Material routes'!$A$6:$A$2205,0)),"MISSING ID")</x:f>
        <x:v>Salvage</x:v>
      </x:c>
      <x:c r="J358" s="4" t="str">
        <x:f>IFERROR(INDEX('Material routes'!$B$6:$B$2205,MATCH(U358,'Material routes'!$A$6:$A$2205,0)),"MISSING ID")</x:f>
        <x:v>design.review.proposal_wind_folding_frame</x:v>
      </x:c>
      <x:c r="K358" s="4" t="str">
        <x:f>IFERROR(INDEX('Crafting recipes'!$C$6:$C$1005,MATCH(J358,'Crafting recipes'!$A$6:$A$1005,0)),"MISSING ID")</x:f>
        <x:v>Material refinement</x:v>
      </x:c>
      <x:c r="L358" s="4" t="str">
        <x:f>IFERROR(INDEX('Material routes'!$K$6:$K$2205,MATCH(U358,'Material routes'!$A$6:$A$2205,0)),"MISSING ID")</x:f>
        <x:v>Proposal</x:v>
      </x:c>
      <x:c r="M358" s="4" t="str">
        <x:f>IFERROR(INDEX('Material routes'!$M$6:$M$2205,MATCH(U358,'Material routes'!$A$6:$A$2205,0)),"MISSING ID")</x:f>
        <x:v>Partial proposal</x:v>
      </x:c>
      <x:c r="N358" s="4" t="str">
        <x:f>IF(IFERROR(INDEX('Material routes'!$I$6:$I$1005,MATCH(U358,'Material routes'!$A$6:$A$1005,0)),"MISSING ID")=0,"",IFERROR(INDEX('Material routes'!$I$6:$I$1005,MATCH(U358,'Material routes'!$A$6:$A$1005,0)),"MISSING ID"))</x:f>
      </x:c>
      <x:c r="O358" s="4" t="str">
        <x:f>IFERROR(INDEX('Material routes'!$J$6:$J$2205,MATCH(U358,'Material routes'!$A$6:$A$2205,0)),"MISSING ID")</x:f>
        <x:v>Unspecified</x:v>
      </x:c>
      <x:c r="P358" s="4" t="str">
        <x:f>IF(IFERROR(INDEX('Material routes'!$I$6:$I$1005,MATCH(V358,'Material routes'!$A$6:$A$1005,0)),"MISSING ID")=0,"",IFERROR(INDEX('Material routes'!$I$6:$I$1005,MATCH(V358,'Material routes'!$A$6:$A$1005,0)),"MISSING ID"))</x:f>
      </x:c>
      <x:c r="Q358" s="4" t="str">
        <x:f>IFERROR(INDEX('Material routes'!$J$6:$J$2205,MATCH(V358,'Material routes'!$A$6:$A$2205,0)),"MISSING ID")</x:f>
        <x:v>Unspecified</x:v>
      </x:c>
      <x:c r="R358" s="4" t="str">
        <x:f>IF(L358="Withheld","Withheld premise",IF(E358="Tool candidate","Reusable prerequisite",IF(K358="Raw entry preparation","Entry-resource preparation",IF(G358="Not applicable",IF(IFERROR(INDEX('Items'!$AI$6:$AI$1005,MATCH(T358,'Items'!$A$6:$A$1005,0)),"MISSING ID")="Finished item","Finished endpoint",IF(IFERROR(INDEX('Items'!$AI$6:$AI$1005,MATCH(T358,'Items'!$A$6:$A$1005,0)),"MISSING ID")="Currency","Currency / no refinement tier","Recovered output / tier not applicable")),IF(OR(IFERROR(INDEX('Crafting recipes'!$H$6:$H$1005,MATCH(J358,'Crafting recipes'!$A$6:$A$1005,0)),"MISSING ID")="Unassigned",G358="Unassigned"),"Tier unresolved",IF(IFERROR(VALUE(RIGHT(G358,1))-VALUE(RIGHT(IFERROR(INDEX('Crafting recipes'!$H$6:$H$1005,MATCH(J358,'Crafting recipes'!$A$6:$A$1005,0)),"MISSING ID"),1)),0)=1,IF(B358=IFERROR(INDEX('Crafting recipes'!$H$6:$H$1005,MATCH(J358,'Crafting recipes'!$A$6:$A$1005,0)),"MISSING ID"),"Advances one material tier","Lower-tier ingredient; route advances one tier"),"Needs tier review"))))))</x:f>
        <x:v>Advances one material tier</x:v>
      </x:c>
      <x:c r="S358" s="4" t="str">
        <x:f>IFERROR(INDEX('Material routes'!$D$6:$D$2205,MATCH(U358,'Material routes'!$A$6:$A$2205,0)),"MISSING ID")</x:f>
        <x:v>proposal.branch.spring_steel</x:v>
      </x:c>
      <x:c r="T358" s="4" t="str">
        <x:f>IFERROR(INDEX('Material routes'!$D$6:$D$2205,MATCH(V358,'Material routes'!$A$6:$A$2205,0)),"MISSING ID")</x:f>
        <x:v>proposal.wind.folding_frame</x:v>
      </x:c>
      <x:c r="U358" s="4" t="str">
        <x:v>design.review.proposal_wind_folding_frame.in.2</x:v>
      </x:c>
      <x:c r="V358" s="4" t="str">
        <x:v>design.review.proposal_wind_folding_frame.out</x:v>
      </x:c>
    </x:row>
    <x:row r="359" ht="115" customHeight="1">
      <x:c r="A359" s="4" t="str">
        <x:f>IFERROR(INDEX('Material routes'!$E$6:$E$2205,MATCH(U359,'Material routes'!$A$6:$A$2205,0)),"MISSING ID")</x:f>
        <x:v>Prepared bronze bearing stock</x:v>
      </x:c>
      <x:c r="B359" s="4" t="str">
        <x:f>IFERROR(INDEX('Material routes'!$F$6:$F$2205,MATCH(U359,'Material routes'!$A$6:$A$2205,0)),"MISSING ID")</x:f>
        <x:v>T2</x:v>
      </x:c>
      <x:c r="C359" s="4" t="str">
        <x:f>IFERROR(INDEX('Material routes'!$H$6:$H$2205,MATCH(U359,'Material routes'!$A$6:$A$2205,0)),"MISSING ID")</x:f>
        <x:v>Processed material</x:v>
      </x:c>
      <x:c r="D359" s="4" t="str">
        <x:f>IFERROR(INDEX('Material routes'!$G$6:$G$2205,MATCH(U359,'Material routes'!$A$6:$A$2205,0)),"MISSING ID")</x:f>
        <x:v>Manufactured stock</x:v>
      </x:c>
      <x:c r="E359" s="4" t="str">
        <x:f>IFERROR(INDEX('Material routes'!$C$6:$C$2205,MATCH(U359,'Material routes'!$A$6:$A$2205,0)),"MISSING ID")</x:f>
        <x:v>Ingredient candidate</x:v>
      </x:c>
      <x:c r="F359" s="4" t="str">
        <x:f>IFERROR(INDEX('Material routes'!$E$6:$E$2205,MATCH(V359,'Material routes'!$A$6:$A$2205,0)),"MISSING ID")</x:f>
        <x:v>Collapsible sail frame</x:v>
      </x:c>
      <x:c r="G359" s="4" t="str">
        <x:f>IFERROR(INDEX('Material routes'!$F$6:$F$2205,MATCH(V359,'Material routes'!$A$6:$A$2205,0)),"MISSING ID")</x:f>
        <x:v>T4</x:v>
      </x:c>
      <x:c r="H359" s="4" t="str">
        <x:f>IFERROR(INDEX('Material routes'!$H$6:$H$2205,MATCH(V359,'Material routes'!$A$6:$A$2205,0)),"MISSING ID")</x:f>
        <x:v>Crafting component</x:v>
      </x:c>
      <x:c r="I359" s="4" t="str">
        <x:f>IFERROR(INDEX('Material routes'!$G$6:$G$2205,MATCH(V359,'Material routes'!$A$6:$A$2205,0)),"MISSING ID")</x:f>
        <x:v>Salvage</x:v>
      </x:c>
      <x:c r="J359" s="4" t="str">
        <x:f>IFERROR(INDEX('Material routes'!$B$6:$B$2205,MATCH(U359,'Material routes'!$A$6:$A$2205,0)),"MISSING ID")</x:f>
        <x:v>design.review.proposal_wind_folding_frame</x:v>
      </x:c>
      <x:c r="K359" s="4" t="str">
        <x:f>IFERROR(INDEX('Crafting recipes'!$C$6:$C$1005,MATCH(J359,'Crafting recipes'!$A$6:$A$1005,0)),"MISSING ID")</x:f>
        <x:v>Material refinement</x:v>
      </x:c>
      <x:c r="L359" s="4" t="str">
        <x:f>IFERROR(INDEX('Material routes'!$K$6:$K$2205,MATCH(U359,'Material routes'!$A$6:$A$2205,0)),"MISSING ID")</x:f>
        <x:v>Proposal</x:v>
      </x:c>
      <x:c r="M359" s="4" t="str">
        <x:f>IFERROR(INDEX('Material routes'!$M$6:$M$2205,MATCH(U359,'Material routes'!$A$6:$A$2205,0)),"MISSING ID")</x:f>
        <x:v>Partial proposal</x:v>
      </x:c>
      <x:c r="N359" s="4" t="str">
        <x:f>IF(IFERROR(INDEX('Material routes'!$I$6:$I$1005,MATCH(U359,'Material routes'!$A$6:$A$1005,0)),"MISSING ID")=0,"",IFERROR(INDEX('Material routes'!$I$6:$I$1005,MATCH(U359,'Material routes'!$A$6:$A$1005,0)),"MISSING ID"))</x:f>
      </x:c>
      <x:c r="O359" s="4" t="str">
        <x:f>IFERROR(INDEX('Material routes'!$J$6:$J$2205,MATCH(U359,'Material routes'!$A$6:$A$2205,0)),"MISSING ID")</x:f>
        <x:v>Unspecified</x:v>
      </x:c>
      <x:c r="P359" s="4" t="str">
        <x:f>IF(IFERROR(INDEX('Material routes'!$I$6:$I$1005,MATCH(V359,'Material routes'!$A$6:$A$1005,0)),"MISSING ID")=0,"",IFERROR(INDEX('Material routes'!$I$6:$I$1005,MATCH(V359,'Material routes'!$A$6:$A$1005,0)),"MISSING ID"))</x:f>
      </x:c>
      <x:c r="Q359" s="4" t="str">
        <x:f>IFERROR(INDEX('Material routes'!$J$6:$J$2205,MATCH(V359,'Material routes'!$A$6:$A$2205,0)),"MISSING ID")</x:f>
        <x:v>Unspecified</x:v>
      </x:c>
      <x:c r="R359" s="4" t="str">
        <x:f>IF(L359="Withheld","Withheld premise",IF(E359="Tool candidate","Reusable prerequisite",IF(K359="Raw entry preparation","Entry-resource preparation",IF(G359="Not applicable",IF(IFERROR(INDEX('Items'!$AI$6:$AI$1005,MATCH(T359,'Items'!$A$6:$A$1005,0)),"MISSING ID")="Finished item","Finished endpoint",IF(IFERROR(INDEX('Items'!$AI$6:$AI$1005,MATCH(T359,'Items'!$A$6:$A$1005,0)),"MISSING ID")="Currency","Currency / no refinement tier","Recovered output / tier not applicable")),IF(OR(IFERROR(INDEX('Crafting recipes'!$H$6:$H$1005,MATCH(J359,'Crafting recipes'!$A$6:$A$1005,0)),"MISSING ID")="Unassigned",G359="Unassigned"),"Tier unresolved",IF(IFERROR(VALUE(RIGHT(G359,1))-VALUE(RIGHT(IFERROR(INDEX('Crafting recipes'!$H$6:$H$1005,MATCH(J359,'Crafting recipes'!$A$6:$A$1005,0)),"MISSING ID"),1)),0)=1,IF(B359=IFERROR(INDEX('Crafting recipes'!$H$6:$H$1005,MATCH(J359,'Crafting recipes'!$A$6:$A$1005,0)),"MISSING ID"),"Advances one material tier","Lower-tier ingredient; route advances one tier"),"Needs tier review"))))))</x:f>
        <x:v>Lower-tier ingredient; route advances one tier</x:v>
      </x:c>
      <x:c r="S359" s="4" t="str">
        <x:f>IFERROR(INDEX('Material routes'!$D$6:$D$2205,MATCH(U359,'Material routes'!$A$6:$A$2205,0)),"MISSING ID")</x:f>
        <x:v>proposal.branch.bearing_bronze</x:v>
      </x:c>
      <x:c r="T359" s="4" t="str">
        <x:f>IFERROR(INDEX('Material routes'!$D$6:$D$2205,MATCH(V359,'Material routes'!$A$6:$A$2205,0)),"MISSING ID")</x:f>
        <x:v>proposal.wind.folding_frame</x:v>
      </x:c>
      <x:c r="U359" s="4" t="str">
        <x:v>design.review.proposal_wind_folding_frame.in.3</x:v>
      </x:c>
      <x:c r="V359" s="4" t="str">
        <x:v>design.review.proposal_wind_folding_frame.out</x:v>
      </x:c>
    </x:row>
    <x:row r="360" ht="115" customHeight="1">
      <x:c r="A360" s="4" t="str">
        <x:f>IFERROR(INDEX('Material routes'!$E$6:$E$2205,MATCH(U360,'Material routes'!$A$6:$A$2205,0)),"MISSING ID")</x:f>
        <x:v>Steel stock</x:v>
      </x:c>
      <x:c r="B360" s="4" t="str">
        <x:f>IFERROR(INDEX('Material routes'!$F$6:$F$2205,MATCH(U360,'Material routes'!$A$6:$A$2205,0)),"MISSING ID")</x:f>
        <x:v>T2</x:v>
      </x:c>
      <x:c r="C360" s="4" t="str">
        <x:f>IFERROR(INDEX('Material routes'!$H$6:$H$2205,MATCH(U360,'Material routes'!$A$6:$A$2205,0)),"MISSING ID")</x:f>
        <x:v>Processed material</x:v>
      </x:c>
      <x:c r="D360" s="4" t="str">
        <x:f>IFERROR(INDEX('Material routes'!$G$6:$G$2205,MATCH(U360,'Material routes'!$A$6:$A$2205,0)),"MISSING ID")</x:f>
        <x:v>Manufactured stock</x:v>
      </x:c>
      <x:c r="E360" s="4" t="str">
        <x:f>IFERROR(INDEX('Material routes'!$C$6:$C$2205,MATCH(U360,'Material routes'!$A$6:$A$2205,0)),"MISSING ID")</x:f>
        <x:v>Ingredient candidate</x:v>
      </x:c>
      <x:c r="F360" s="4" t="str">
        <x:f>IFERROR(INDEX('Material routes'!$E$6:$E$2205,MATCH(V360,'Material routes'!$A$6:$A$2205,0)),"MISSING ID")</x:f>
        <x:v>Hand-sail grip assembly</x:v>
      </x:c>
      <x:c r="G360" s="4" t="str">
        <x:f>IFERROR(INDEX('Material routes'!$F$6:$F$2205,MATCH(V360,'Material routes'!$A$6:$A$2205,0)),"MISSING ID")</x:f>
        <x:v>T3</x:v>
      </x:c>
      <x:c r="H360" s="4" t="str">
        <x:f>IFERROR(INDEX('Material routes'!$H$6:$H$2205,MATCH(V360,'Material routes'!$A$6:$A$2205,0)),"MISSING ID")</x:f>
        <x:v>Crafting component</x:v>
      </x:c>
      <x:c r="I360" s="4" t="str">
        <x:f>IFERROR(INDEX('Material routes'!$G$6:$G$2205,MATCH(V360,'Material routes'!$A$6:$A$2205,0)),"MISSING ID")</x:f>
        <x:v>Salvage</x:v>
      </x:c>
      <x:c r="J360" s="4" t="str">
        <x:f>IFERROR(INDEX('Material routes'!$B$6:$B$2205,MATCH(U360,'Material routes'!$A$6:$A$2205,0)),"MISSING ID")</x:f>
        <x:v>design.review.proposal_wind_sail_grip</x:v>
      </x:c>
      <x:c r="K360" s="4" t="str">
        <x:f>IFERROR(INDEX('Crafting recipes'!$C$6:$C$1005,MATCH(J360,'Crafting recipes'!$A$6:$A$1005,0)),"MISSING ID")</x:f>
        <x:v>Material refinement</x:v>
      </x:c>
      <x:c r="L360" s="4" t="str">
        <x:f>IFERROR(INDEX('Material routes'!$K$6:$K$2205,MATCH(U360,'Material routes'!$A$6:$A$2205,0)),"MISSING ID")</x:f>
        <x:v>Proposal</x:v>
      </x:c>
      <x:c r="M360" s="4" t="str">
        <x:f>IFERROR(INDEX('Material routes'!$M$6:$M$2205,MATCH(U360,'Material routes'!$A$6:$A$2205,0)),"MISSING ID")</x:f>
        <x:v>Partial proposal</x:v>
      </x:c>
      <x:c r="N360" s="4" t="str">
        <x:f>IF(IFERROR(INDEX('Material routes'!$I$6:$I$1005,MATCH(U360,'Material routes'!$A$6:$A$1005,0)),"MISSING ID")=0,"",IFERROR(INDEX('Material routes'!$I$6:$I$1005,MATCH(U360,'Material routes'!$A$6:$A$1005,0)),"MISSING ID"))</x:f>
      </x:c>
      <x:c r="O360" s="4" t="str">
        <x:f>IFERROR(INDEX('Material routes'!$J$6:$J$2205,MATCH(U360,'Material routes'!$A$6:$A$2205,0)),"MISSING ID")</x:f>
        <x:v>Unspecified</x:v>
      </x:c>
      <x:c r="P360" s="4" t="str">
        <x:f>IF(IFERROR(INDEX('Material routes'!$I$6:$I$1005,MATCH(V360,'Material routes'!$A$6:$A$1005,0)),"MISSING ID")=0,"",IFERROR(INDEX('Material routes'!$I$6:$I$1005,MATCH(V360,'Material routes'!$A$6:$A$1005,0)),"MISSING ID"))</x:f>
      </x:c>
      <x:c r="Q360" s="4" t="str">
        <x:f>IFERROR(INDEX('Material routes'!$J$6:$J$2205,MATCH(V360,'Material routes'!$A$6:$A$2205,0)),"MISSING ID")</x:f>
        <x:v>Unspecified</x:v>
      </x:c>
      <x:c r="R360" s="4" t="str">
        <x:f>IF(L360="Withheld","Withheld premise",IF(E360="Tool candidate","Reusable prerequisite",IF(K360="Raw entry preparation","Entry-resource preparation",IF(G360="Not applicable",IF(IFERROR(INDEX('Items'!$AI$6:$AI$1005,MATCH(T360,'Items'!$A$6:$A$1005,0)),"MISSING ID")="Finished item","Finished endpoint",IF(IFERROR(INDEX('Items'!$AI$6:$AI$1005,MATCH(T360,'Items'!$A$6:$A$1005,0)),"MISSING ID")="Currency","Currency / no refinement tier","Recovered output / tier not applicable")),IF(OR(IFERROR(INDEX('Crafting recipes'!$H$6:$H$1005,MATCH(J360,'Crafting recipes'!$A$6:$A$1005,0)),"MISSING ID")="Unassigned",G360="Unassigned"),"Tier unresolved",IF(IFERROR(VALUE(RIGHT(G360,1))-VALUE(RIGHT(IFERROR(INDEX('Crafting recipes'!$H$6:$H$1005,MATCH(J360,'Crafting recipes'!$A$6:$A$1005,0)),"MISSING ID"),1)),0)=1,IF(B360=IFERROR(INDEX('Crafting recipes'!$H$6:$H$1005,MATCH(J360,'Crafting recipes'!$A$6:$A$1005,0)),"MISSING ID"),"Advances one material tier","Lower-tier ingredient; route advances one tier"),"Needs tier review"))))))</x:f>
        <x:v>Advances one material tier</x:v>
      </x:c>
      <x:c r="S360" s="4" t="str">
        <x:f>IFERROR(INDEX('Material routes'!$D$6:$D$2205,MATCH(U360,'Material routes'!$A$6:$A$2205,0)),"MISSING ID")</x:f>
        <x:v>author.metallurgy.steel_stock</x:v>
      </x:c>
      <x:c r="T360" s="4" t="str">
        <x:f>IFERROR(INDEX('Material routes'!$D$6:$D$2205,MATCH(V360,'Material routes'!$A$6:$A$2205,0)),"MISSING ID")</x:f>
        <x:v>proposal.wind.sail_grip</x:v>
      </x:c>
      <x:c r="U360" s="4" t="str">
        <x:v>design.review.proposal_wind_sail_grip.in.1</x:v>
      </x:c>
      <x:c r="V360" s="4" t="str">
        <x:v>design.review.proposal_wind_sail_grip.out</x:v>
      </x:c>
    </x:row>
    <x:row r="361" ht="115" customHeight="1">
      <x:c r="A361" s="4" t="str">
        <x:f>IFERROR(INDEX('Material routes'!$E$6:$E$2205,MATCH(U361,'Material routes'!$A$6:$A$2205,0)),"MISSING ID")</x:f>
        <x:v>Processed hide material</x:v>
      </x:c>
      <x:c r="B361" s="4" t="str">
        <x:f>IFERROR(INDEX('Material routes'!$F$6:$F$2205,MATCH(U361,'Material routes'!$A$6:$A$2205,0)),"MISSING ID")</x:f>
        <x:v>T1</x:v>
      </x:c>
      <x:c r="C361" s="4" t="str">
        <x:f>IFERROR(INDEX('Material routes'!$H$6:$H$2205,MATCH(U361,'Material routes'!$A$6:$A$2205,0)),"MISSING ID")</x:f>
        <x:v>Processed material</x:v>
      </x:c>
      <x:c r="D361" s="4" t="str">
        <x:f>IFERROR(INDEX('Material routes'!$G$6:$G$2205,MATCH(U361,'Material routes'!$A$6:$A$2205,0)),"MISSING ID")</x:f>
        <x:v>Crafting components</x:v>
      </x:c>
      <x:c r="E361" s="4" t="str">
        <x:f>IFERROR(INDEX('Material routes'!$C$6:$C$2205,MATCH(U361,'Material routes'!$A$6:$A$2205,0)),"MISSING ID")</x:f>
        <x:v>Ingredient candidate</x:v>
      </x:c>
      <x:c r="F361" s="4" t="str">
        <x:f>IFERROR(INDEX('Material routes'!$E$6:$E$2205,MATCH(V361,'Material routes'!$A$6:$A$2205,0)),"MISSING ID")</x:f>
        <x:v>Hand-sail grip assembly</x:v>
      </x:c>
      <x:c r="G361" s="4" t="str">
        <x:f>IFERROR(INDEX('Material routes'!$F$6:$F$2205,MATCH(V361,'Material routes'!$A$6:$A$2205,0)),"MISSING ID")</x:f>
        <x:v>T3</x:v>
      </x:c>
      <x:c r="H361" s="4" t="str">
        <x:f>IFERROR(INDEX('Material routes'!$H$6:$H$2205,MATCH(V361,'Material routes'!$A$6:$A$2205,0)),"MISSING ID")</x:f>
        <x:v>Crafting component</x:v>
      </x:c>
      <x:c r="I361" s="4" t="str">
        <x:f>IFERROR(INDEX('Material routes'!$G$6:$G$2205,MATCH(V361,'Material routes'!$A$6:$A$2205,0)),"MISSING ID")</x:f>
        <x:v>Salvage</x:v>
      </x:c>
      <x:c r="J361" s="4" t="str">
        <x:f>IFERROR(INDEX('Material routes'!$B$6:$B$2205,MATCH(U361,'Material routes'!$A$6:$A$2205,0)),"MISSING ID")</x:f>
        <x:v>design.review.proposal_wind_sail_grip</x:v>
      </x:c>
      <x:c r="K361" s="4" t="str">
        <x:f>IFERROR(INDEX('Crafting recipes'!$C$6:$C$1005,MATCH(J361,'Crafting recipes'!$A$6:$A$1005,0)),"MISSING ID")</x:f>
        <x:v>Material refinement</x:v>
      </x:c>
      <x:c r="L361" s="4" t="str">
        <x:f>IFERROR(INDEX('Material routes'!$K$6:$K$2205,MATCH(U361,'Material routes'!$A$6:$A$2205,0)),"MISSING ID")</x:f>
        <x:v>Proposal</x:v>
      </x:c>
      <x:c r="M361" s="4" t="str">
        <x:f>IFERROR(INDEX('Material routes'!$M$6:$M$2205,MATCH(U361,'Material routes'!$A$6:$A$2205,0)),"MISSING ID")</x:f>
        <x:v>Partial proposal</x:v>
      </x:c>
      <x:c r="N361" s="4" t="str">
        <x:f>IF(IFERROR(INDEX('Material routes'!$I$6:$I$1005,MATCH(U361,'Material routes'!$A$6:$A$1005,0)),"MISSING ID")=0,"",IFERROR(INDEX('Material routes'!$I$6:$I$1005,MATCH(U361,'Material routes'!$A$6:$A$1005,0)),"MISSING ID"))</x:f>
      </x:c>
      <x:c r="O361" s="4" t="str">
        <x:f>IFERROR(INDEX('Material routes'!$J$6:$J$2205,MATCH(U361,'Material routes'!$A$6:$A$2205,0)),"MISSING ID")</x:f>
        <x:v>Unspecified</x:v>
      </x:c>
      <x:c r="P361" s="4" t="str">
        <x:f>IF(IFERROR(INDEX('Material routes'!$I$6:$I$1005,MATCH(V361,'Material routes'!$A$6:$A$1005,0)),"MISSING ID")=0,"",IFERROR(INDEX('Material routes'!$I$6:$I$1005,MATCH(V361,'Material routes'!$A$6:$A$1005,0)),"MISSING ID"))</x:f>
      </x:c>
      <x:c r="Q361" s="4" t="str">
        <x:f>IFERROR(INDEX('Material routes'!$J$6:$J$2205,MATCH(V361,'Material routes'!$A$6:$A$2205,0)),"MISSING ID")</x:f>
        <x:v>Unspecified</x:v>
      </x:c>
      <x:c r="R361" s="4" t="str">
        <x:f>IF(L361="Withheld","Withheld premise",IF(E361="Tool candidate","Reusable prerequisite",IF(K361="Raw entry preparation","Entry-resource preparation",IF(G361="Not applicable",IF(IFERROR(INDEX('Items'!$AI$6:$AI$1005,MATCH(T361,'Items'!$A$6:$A$1005,0)),"MISSING ID")="Finished item","Finished endpoint",IF(IFERROR(INDEX('Items'!$AI$6:$AI$1005,MATCH(T361,'Items'!$A$6:$A$1005,0)),"MISSING ID")="Currency","Currency / no refinement tier","Recovered output / tier not applicable")),IF(OR(IFERROR(INDEX('Crafting recipes'!$H$6:$H$1005,MATCH(J361,'Crafting recipes'!$A$6:$A$1005,0)),"MISSING ID")="Unassigned",G361="Unassigned"),"Tier unresolved",IF(IFERROR(VALUE(RIGHT(G361,1))-VALUE(RIGHT(IFERROR(INDEX('Crafting recipes'!$H$6:$H$1005,MATCH(J361,'Crafting recipes'!$A$6:$A$1005,0)),"MISSING ID"),1)),0)=1,IF(B361=IFERROR(INDEX('Crafting recipes'!$H$6:$H$1005,MATCH(J361,'Crafting recipes'!$A$6:$A$1005,0)),"MISSING ID"),"Advances one material tier","Lower-tier ingredient; route advances one tier"),"Needs tier review"))))))</x:f>
        <x:v>Lower-tier ingredient; route advances one tier</x:v>
      </x:c>
      <x:c r="S361" s="4" t="str">
        <x:f>IFERROR(INDEX('Material routes'!$D$6:$D$2205,MATCH(U361,'Material routes'!$A$6:$A$2205,0)),"MISSING ID")</x:f>
        <x:v>proposal.bio.hide_material</x:v>
      </x:c>
      <x:c r="T361" s="4" t="str">
        <x:f>IFERROR(INDEX('Material routes'!$D$6:$D$2205,MATCH(V361,'Material routes'!$A$6:$A$2205,0)),"MISSING ID")</x:f>
        <x:v>proposal.wind.sail_grip</x:v>
      </x:c>
      <x:c r="U361" s="4" t="str">
        <x:v>design.review.proposal_wind_sail_grip.in.2</x:v>
      </x:c>
      <x:c r="V361" s="4" t="str">
        <x:v>design.review.proposal_wind_sail_grip.out</x:v>
      </x:c>
    </x:row>
    <x:row r="362" ht="115" customHeight="1">
      <x:c r="A362" s="4" t="str">
        <x:f>IFERROR(INDEX('Material routes'!$E$6:$E$2205,MATCH(U362,'Material routes'!$A$6:$A$2205,0)),"MISSING ID")</x:f>
        <x:v>Lapped bronze bearing blanks</x:v>
      </x:c>
      <x:c r="B362" s="4" t="str">
        <x:f>IFERROR(INDEX('Material routes'!$F$6:$F$2205,MATCH(U362,'Material routes'!$A$6:$A$2205,0)),"MISSING ID")</x:f>
        <x:v>T3</x:v>
      </x:c>
      <x:c r="C362" s="4" t="str">
        <x:f>IFERROR(INDEX('Material routes'!$H$6:$H$2205,MATCH(U362,'Material routes'!$A$6:$A$2205,0)),"MISSING ID")</x:f>
        <x:v>Crafting component</x:v>
      </x:c>
      <x:c r="D362" s="4" t="str">
        <x:f>IFERROR(INDEX('Material routes'!$G$6:$G$2205,MATCH(U362,'Material routes'!$A$6:$A$2205,0)),"MISSING ID")</x:f>
        <x:v>Crafting components</x:v>
      </x:c>
      <x:c r="E362" s="4" t="str">
        <x:f>IFERROR(INDEX('Material routes'!$C$6:$C$2205,MATCH(U362,'Material routes'!$A$6:$A$2205,0)),"MISSING ID")</x:f>
        <x:v>Ingredient candidate</x:v>
      </x:c>
      <x:c r="F362" s="4" t="str">
        <x:f>IFERROR(INDEX('Material routes'!$E$6:$E$2205,MATCH(V362,'Material routes'!$A$6:$A$2205,0)),"MISSING ID")</x:f>
        <x:v>Dirtboard wheel assembly</x:v>
      </x:c>
      <x:c r="G362" s="4" t="str">
        <x:f>IFERROR(INDEX('Material routes'!$F$6:$F$2205,MATCH(V362,'Material routes'!$A$6:$A$2205,0)),"MISSING ID")</x:f>
        <x:v>T4</x:v>
      </x:c>
      <x:c r="H362" s="4" t="str">
        <x:f>IFERROR(INDEX('Material routes'!$H$6:$H$2205,MATCH(V362,'Material routes'!$A$6:$A$2205,0)),"MISSING ID")</x:f>
        <x:v>Crafting component</x:v>
      </x:c>
      <x:c r="I362" s="4" t="str">
        <x:f>IFERROR(INDEX('Material routes'!$G$6:$G$2205,MATCH(V362,'Material routes'!$A$6:$A$2205,0)),"MISSING ID")</x:f>
        <x:v>Salvage</x:v>
      </x:c>
      <x:c r="J362" s="4" t="str">
        <x:f>IFERROR(INDEX('Material routes'!$B$6:$B$2205,MATCH(U362,'Material routes'!$A$6:$A$2205,0)),"MISSING ID")</x:f>
        <x:v>design.review.proposal_wind_wheel</x:v>
      </x:c>
      <x:c r="K362" s="4" t="str">
        <x:f>IFERROR(INDEX('Crafting recipes'!$C$6:$C$1005,MATCH(J362,'Crafting recipes'!$A$6:$A$1005,0)),"MISSING ID")</x:f>
        <x:v>Material refinement</x:v>
      </x:c>
      <x:c r="L362" s="4" t="str">
        <x:f>IFERROR(INDEX('Material routes'!$K$6:$K$2205,MATCH(U362,'Material routes'!$A$6:$A$2205,0)),"MISSING ID")</x:f>
        <x:v>Proposal</x:v>
      </x:c>
      <x:c r="M362" s="4" t="str">
        <x:f>IFERROR(INDEX('Material routes'!$M$6:$M$2205,MATCH(U362,'Material routes'!$A$6:$A$2205,0)),"MISSING ID")</x:f>
        <x:v>Partial proposal</x:v>
      </x:c>
      <x:c r="N362" s="4" t="str">
        <x:f>IF(IFERROR(INDEX('Material routes'!$I$6:$I$1005,MATCH(U362,'Material routes'!$A$6:$A$1005,0)),"MISSING ID")=0,"",IFERROR(INDEX('Material routes'!$I$6:$I$1005,MATCH(U362,'Material routes'!$A$6:$A$1005,0)),"MISSING ID"))</x:f>
      </x:c>
      <x:c r="O362" s="4" t="str">
        <x:f>IFERROR(INDEX('Material routes'!$J$6:$J$2205,MATCH(U362,'Material routes'!$A$6:$A$2205,0)),"MISSING ID")</x:f>
        <x:v>Unspecified</x:v>
      </x:c>
      <x:c r="P362" s="4" t="str">
        <x:f>IF(IFERROR(INDEX('Material routes'!$I$6:$I$1005,MATCH(V362,'Material routes'!$A$6:$A$1005,0)),"MISSING ID")=0,"",IFERROR(INDEX('Material routes'!$I$6:$I$1005,MATCH(V362,'Material routes'!$A$6:$A$1005,0)),"MISSING ID"))</x:f>
      </x:c>
      <x:c r="Q362" s="4" t="str">
        <x:f>IFERROR(INDEX('Material routes'!$J$6:$J$2205,MATCH(V362,'Material routes'!$A$6:$A$2205,0)),"MISSING ID")</x:f>
        <x:v>Unspecified</x:v>
      </x:c>
      <x:c r="R362" s="4" t="str">
        <x:f>IF(L362="Withheld","Withheld premise",IF(E362="Tool candidate","Reusable prerequisite",IF(K362="Raw entry preparation","Entry-resource preparation",IF(G362="Not applicable",IF(IFERROR(INDEX('Items'!$AI$6:$AI$1005,MATCH(T362,'Items'!$A$6:$A$1005,0)),"MISSING ID")="Finished item","Finished endpoint",IF(IFERROR(INDEX('Items'!$AI$6:$AI$1005,MATCH(T362,'Items'!$A$6:$A$1005,0)),"MISSING ID")="Currency","Currency / no refinement tier","Recovered output / tier not applicable")),IF(OR(IFERROR(INDEX('Crafting recipes'!$H$6:$H$1005,MATCH(J362,'Crafting recipes'!$A$6:$A$1005,0)),"MISSING ID")="Unassigned",G362="Unassigned"),"Tier unresolved",IF(IFERROR(VALUE(RIGHT(G362,1))-VALUE(RIGHT(IFERROR(INDEX('Crafting recipes'!$H$6:$H$1005,MATCH(J362,'Crafting recipes'!$A$6:$A$1005,0)),"MISSING ID"),1)),0)=1,IF(B362=IFERROR(INDEX('Crafting recipes'!$H$6:$H$1005,MATCH(J362,'Crafting recipes'!$A$6:$A$1005,0)),"MISSING ID"),"Advances one material tier","Lower-tier ingredient; route advances one tier"),"Needs tier review"))))))</x:f>
        <x:v>Advances one material tier</x:v>
      </x:c>
      <x:c r="S362" s="4" t="str">
        <x:f>IFERROR(INDEX('Material routes'!$D$6:$D$2205,MATCH(U362,'Material routes'!$A$6:$A$2205,0)),"MISSING ID")</x:f>
        <x:v>proposal.t3.bearing_blank</x:v>
      </x:c>
      <x:c r="T362" s="4" t="str">
        <x:f>IFERROR(INDEX('Material routes'!$D$6:$D$2205,MATCH(V362,'Material routes'!$A$6:$A$2205,0)),"MISSING ID")</x:f>
        <x:v>proposal.wind.wheel</x:v>
      </x:c>
      <x:c r="U362" s="4" t="str">
        <x:v>design.review.proposal_wind_wheel.in.1</x:v>
      </x:c>
      <x:c r="V362" s="4" t="str">
        <x:v>design.review.proposal_wind_wheel.out</x:v>
      </x:c>
    </x:row>
    <x:row r="363" ht="115" customHeight="1">
      <x:c r="A363" s="4" t="str">
        <x:f>IFERROR(INDEX('Material routes'!$E$6:$E$2205,MATCH(U363,'Material routes'!$A$6:$A$2205,0)),"MISSING ID")</x:f>
        <x:v>Drawn steel tube stock</x:v>
      </x:c>
      <x:c r="B363" s="4" t="str">
        <x:f>IFERROR(INDEX('Material routes'!$F$6:$F$2205,MATCH(U363,'Material routes'!$A$6:$A$2205,0)),"MISSING ID")</x:f>
        <x:v>T3</x:v>
      </x:c>
      <x:c r="C363" s="4" t="str">
        <x:f>IFERROR(INDEX('Material routes'!$H$6:$H$2205,MATCH(U363,'Material routes'!$A$6:$A$2205,0)),"MISSING ID")</x:f>
        <x:v>Processed material</x:v>
      </x:c>
      <x:c r="D363" s="4" t="str">
        <x:f>IFERROR(INDEX('Material routes'!$G$6:$G$2205,MATCH(U363,'Material routes'!$A$6:$A$2205,0)),"MISSING ID")</x:f>
        <x:v>Manufactured stock</x:v>
      </x:c>
      <x:c r="E363" s="4" t="str">
        <x:f>IFERROR(INDEX('Material routes'!$C$6:$C$2205,MATCH(U363,'Material routes'!$A$6:$A$2205,0)),"MISSING ID")</x:f>
        <x:v>Ingredient candidate</x:v>
      </x:c>
      <x:c r="F363" s="4" t="str">
        <x:f>IFERROR(INDEX('Material routes'!$E$6:$E$2205,MATCH(V363,'Material routes'!$A$6:$A$2205,0)),"MISSING ID")</x:f>
        <x:v>Dirtboard wheel assembly</x:v>
      </x:c>
      <x:c r="G363" s="4" t="str">
        <x:f>IFERROR(INDEX('Material routes'!$F$6:$F$2205,MATCH(V363,'Material routes'!$A$6:$A$2205,0)),"MISSING ID")</x:f>
        <x:v>T4</x:v>
      </x:c>
      <x:c r="H363" s="4" t="str">
        <x:f>IFERROR(INDEX('Material routes'!$H$6:$H$2205,MATCH(V363,'Material routes'!$A$6:$A$2205,0)),"MISSING ID")</x:f>
        <x:v>Crafting component</x:v>
      </x:c>
      <x:c r="I363" s="4" t="str">
        <x:f>IFERROR(INDEX('Material routes'!$G$6:$G$2205,MATCH(V363,'Material routes'!$A$6:$A$2205,0)),"MISSING ID")</x:f>
        <x:v>Salvage</x:v>
      </x:c>
      <x:c r="J363" s="4" t="str">
        <x:f>IFERROR(INDEX('Material routes'!$B$6:$B$2205,MATCH(U363,'Material routes'!$A$6:$A$2205,0)),"MISSING ID")</x:f>
        <x:v>design.review.proposal_wind_wheel</x:v>
      </x:c>
      <x:c r="K363" s="4" t="str">
        <x:f>IFERROR(INDEX('Crafting recipes'!$C$6:$C$1005,MATCH(J363,'Crafting recipes'!$A$6:$A$1005,0)),"MISSING ID")</x:f>
        <x:v>Material refinement</x:v>
      </x:c>
      <x:c r="L363" s="4" t="str">
        <x:f>IFERROR(INDEX('Material routes'!$K$6:$K$2205,MATCH(U363,'Material routes'!$A$6:$A$2205,0)),"MISSING ID")</x:f>
        <x:v>Proposal</x:v>
      </x:c>
      <x:c r="M363" s="4" t="str">
        <x:f>IFERROR(INDEX('Material routes'!$M$6:$M$2205,MATCH(U363,'Material routes'!$A$6:$A$2205,0)),"MISSING ID")</x:f>
        <x:v>Partial proposal</x:v>
      </x:c>
      <x:c r="N363" s="4" t="str">
        <x:f>IF(IFERROR(INDEX('Material routes'!$I$6:$I$1005,MATCH(U363,'Material routes'!$A$6:$A$1005,0)),"MISSING ID")=0,"",IFERROR(INDEX('Material routes'!$I$6:$I$1005,MATCH(U363,'Material routes'!$A$6:$A$1005,0)),"MISSING ID"))</x:f>
      </x:c>
      <x:c r="O363" s="4" t="str">
        <x:f>IFERROR(INDEX('Material routes'!$J$6:$J$2205,MATCH(U363,'Material routes'!$A$6:$A$2205,0)),"MISSING ID")</x:f>
        <x:v>Unspecified</x:v>
      </x:c>
      <x:c r="P363" s="4" t="str">
        <x:f>IF(IFERROR(INDEX('Material routes'!$I$6:$I$1005,MATCH(V363,'Material routes'!$A$6:$A$1005,0)),"MISSING ID")=0,"",IFERROR(INDEX('Material routes'!$I$6:$I$1005,MATCH(V363,'Material routes'!$A$6:$A$1005,0)),"MISSING ID"))</x:f>
      </x:c>
      <x:c r="Q363" s="4" t="str">
        <x:f>IFERROR(INDEX('Material routes'!$J$6:$J$2205,MATCH(V363,'Material routes'!$A$6:$A$2205,0)),"MISSING ID")</x:f>
        <x:v>Unspecified</x:v>
      </x:c>
      <x:c r="R363" s="4" t="str">
        <x:f>IF(L363="Withheld","Withheld premise",IF(E363="Tool candidate","Reusable prerequisite",IF(K363="Raw entry preparation","Entry-resource preparation",IF(G363="Not applicable",IF(IFERROR(INDEX('Items'!$AI$6:$AI$1005,MATCH(T363,'Items'!$A$6:$A$1005,0)),"MISSING ID")="Finished item","Finished endpoint",IF(IFERROR(INDEX('Items'!$AI$6:$AI$1005,MATCH(T363,'Items'!$A$6:$A$1005,0)),"MISSING ID")="Currency","Currency / no refinement tier","Recovered output / tier not applicable")),IF(OR(IFERROR(INDEX('Crafting recipes'!$H$6:$H$1005,MATCH(J363,'Crafting recipes'!$A$6:$A$1005,0)),"MISSING ID")="Unassigned",G363="Unassigned"),"Tier unresolved",IF(IFERROR(VALUE(RIGHT(G363,1))-VALUE(RIGHT(IFERROR(INDEX('Crafting recipes'!$H$6:$H$1005,MATCH(J363,'Crafting recipes'!$A$6:$A$1005,0)),"MISSING ID"),1)),0)=1,IF(B363=IFERROR(INDEX('Crafting recipes'!$H$6:$H$1005,MATCH(J363,'Crafting recipes'!$A$6:$A$1005,0)),"MISSING ID"),"Advances one material tier","Lower-tier ingredient; route advances one tier"),"Needs tier review"))))))</x:f>
        <x:v>Advances one material tier</x:v>
      </x:c>
      <x:c r="S363" s="4" t="str">
        <x:f>IFERROR(INDEX('Material routes'!$D$6:$D$2205,MATCH(U363,'Material routes'!$A$6:$A$2205,0)),"MISSING ID")</x:f>
        <x:v>proposal.t3.precision_tube</x:v>
      </x:c>
      <x:c r="T363" s="4" t="str">
        <x:f>IFERROR(INDEX('Material routes'!$D$6:$D$2205,MATCH(V363,'Material routes'!$A$6:$A$2205,0)),"MISSING ID")</x:f>
        <x:v>proposal.wind.wheel</x:v>
      </x:c>
      <x:c r="U363" s="4" t="str">
        <x:v>design.review.proposal_wind_wheel.in.2</x:v>
      </x:c>
      <x:c r="V363" s="4" t="str">
        <x:v>design.review.proposal_wind_wheel.out</x:v>
      </x:c>
    </x:row>
    <x:row r="364" ht="115" customHeight="1">
      <x:c r="A364" s="4" t="str">
        <x:f>IFERROR(INDEX('Material routes'!$E$6:$E$2205,MATCH(U364,'Material routes'!$A$6:$A$2205,0)),"MISSING ID")</x:f>
        <x:v>Steel stock</x:v>
      </x:c>
      <x:c r="B364" s="4" t="str">
        <x:f>IFERROR(INDEX('Material routes'!$F$6:$F$2205,MATCH(U364,'Material routes'!$A$6:$A$2205,0)),"MISSING ID")</x:f>
        <x:v>T2</x:v>
      </x:c>
      <x:c r="C364" s="4" t="str">
        <x:f>IFERROR(INDEX('Material routes'!$H$6:$H$2205,MATCH(U364,'Material routes'!$A$6:$A$2205,0)),"MISSING ID")</x:f>
        <x:v>Processed material</x:v>
      </x:c>
      <x:c r="D364" s="4" t="str">
        <x:f>IFERROR(INDEX('Material routes'!$G$6:$G$2205,MATCH(U364,'Material routes'!$A$6:$A$2205,0)),"MISSING ID")</x:f>
        <x:v>Manufactured stock</x:v>
      </x:c>
      <x:c r="E364" s="4" t="str">
        <x:f>IFERROR(INDEX('Material routes'!$C$6:$C$2205,MATCH(U364,'Material routes'!$A$6:$A$2205,0)),"MISSING ID")</x:f>
        <x:v>Ingredient candidate</x:v>
      </x:c>
      <x:c r="F364" s="4" t="str">
        <x:f>IFERROR(INDEX('Material routes'!$E$6:$E$2205,MATCH(V364,'Material routes'!$A$6:$A$2205,0)),"MISSING ID")</x:f>
        <x:v>Dirtboard wheel assembly</x:v>
      </x:c>
      <x:c r="G364" s="4" t="str">
        <x:f>IFERROR(INDEX('Material routes'!$F$6:$F$2205,MATCH(V364,'Material routes'!$A$6:$A$2205,0)),"MISSING ID")</x:f>
        <x:v>T4</x:v>
      </x:c>
      <x:c r="H364" s="4" t="str">
        <x:f>IFERROR(INDEX('Material routes'!$H$6:$H$2205,MATCH(V364,'Material routes'!$A$6:$A$2205,0)),"MISSING ID")</x:f>
        <x:v>Crafting component</x:v>
      </x:c>
      <x:c r="I364" s="4" t="str">
        <x:f>IFERROR(INDEX('Material routes'!$G$6:$G$2205,MATCH(V364,'Material routes'!$A$6:$A$2205,0)),"MISSING ID")</x:f>
        <x:v>Salvage</x:v>
      </x:c>
      <x:c r="J364" s="4" t="str">
        <x:f>IFERROR(INDEX('Material routes'!$B$6:$B$2205,MATCH(U364,'Material routes'!$A$6:$A$2205,0)),"MISSING ID")</x:f>
        <x:v>design.review.proposal_wind_wheel</x:v>
      </x:c>
      <x:c r="K364" s="4" t="str">
        <x:f>IFERROR(INDEX('Crafting recipes'!$C$6:$C$1005,MATCH(J364,'Crafting recipes'!$A$6:$A$1005,0)),"MISSING ID")</x:f>
        <x:v>Material refinement</x:v>
      </x:c>
      <x:c r="L364" s="4" t="str">
        <x:f>IFERROR(INDEX('Material routes'!$K$6:$K$2205,MATCH(U364,'Material routes'!$A$6:$A$2205,0)),"MISSING ID")</x:f>
        <x:v>Proposal</x:v>
      </x:c>
      <x:c r="M364" s="4" t="str">
        <x:f>IFERROR(INDEX('Material routes'!$M$6:$M$2205,MATCH(U364,'Material routes'!$A$6:$A$2205,0)),"MISSING ID")</x:f>
        <x:v>Partial proposal</x:v>
      </x:c>
      <x:c r="N364" s="4" t="str">
        <x:f>IF(IFERROR(INDEX('Material routes'!$I$6:$I$1005,MATCH(U364,'Material routes'!$A$6:$A$1005,0)),"MISSING ID")=0,"",IFERROR(INDEX('Material routes'!$I$6:$I$1005,MATCH(U364,'Material routes'!$A$6:$A$1005,0)),"MISSING ID"))</x:f>
      </x:c>
      <x:c r="O364" s="4" t="str">
        <x:f>IFERROR(INDEX('Material routes'!$J$6:$J$2205,MATCH(U364,'Material routes'!$A$6:$A$2205,0)),"MISSING ID")</x:f>
        <x:v>Unspecified</x:v>
      </x:c>
      <x:c r="P364" s="4" t="str">
        <x:f>IF(IFERROR(INDEX('Material routes'!$I$6:$I$1005,MATCH(V364,'Material routes'!$A$6:$A$1005,0)),"MISSING ID")=0,"",IFERROR(INDEX('Material routes'!$I$6:$I$1005,MATCH(V364,'Material routes'!$A$6:$A$1005,0)),"MISSING ID"))</x:f>
      </x:c>
      <x:c r="Q364" s="4" t="str">
        <x:f>IFERROR(INDEX('Material routes'!$J$6:$J$2205,MATCH(V364,'Material routes'!$A$6:$A$2205,0)),"MISSING ID")</x:f>
        <x:v>Unspecified</x:v>
      </x:c>
      <x:c r="R364" s="4" t="str">
        <x:f>IF(L364="Withheld","Withheld premise",IF(E364="Tool candidate","Reusable prerequisite",IF(K364="Raw entry preparation","Entry-resource preparation",IF(G364="Not applicable",IF(IFERROR(INDEX('Items'!$AI$6:$AI$1005,MATCH(T364,'Items'!$A$6:$A$1005,0)),"MISSING ID")="Finished item","Finished endpoint",IF(IFERROR(INDEX('Items'!$AI$6:$AI$1005,MATCH(T364,'Items'!$A$6:$A$1005,0)),"MISSING ID")="Currency","Currency / no refinement tier","Recovered output / tier not applicable")),IF(OR(IFERROR(INDEX('Crafting recipes'!$H$6:$H$1005,MATCH(J364,'Crafting recipes'!$A$6:$A$1005,0)),"MISSING ID")="Unassigned",G364="Unassigned"),"Tier unresolved",IF(IFERROR(VALUE(RIGHT(G364,1))-VALUE(RIGHT(IFERROR(INDEX('Crafting recipes'!$H$6:$H$1005,MATCH(J364,'Crafting recipes'!$A$6:$A$1005,0)),"MISSING ID"),1)),0)=1,IF(B364=IFERROR(INDEX('Crafting recipes'!$H$6:$H$1005,MATCH(J364,'Crafting recipes'!$A$6:$A$1005,0)),"MISSING ID"),"Advances one material tier","Lower-tier ingredient; route advances one tier"),"Needs tier review"))))))</x:f>
        <x:v>Lower-tier ingredient; route advances one tier</x:v>
      </x:c>
      <x:c r="S364" s="4" t="str">
        <x:f>IFERROR(INDEX('Material routes'!$D$6:$D$2205,MATCH(U364,'Material routes'!$A$6:$A$2205,0)),"MISSING ID")</x:f>
        <x:v>author.metallurgy.steel_stock</x:v>
      </x:c>
      <x:c r="T364" s="4" t="str">
        <x:f>IFERROR(INDEX('Material routes'!$D$6:$D$2205,MATCH(V364,'Material routes'!$A$6:$A$2205,0)),"MISSING ID")</x:f>
        <x:v>proposal.wind.wheel</x:v>
      </x:c>
      <x:c r="U364" s="4" t="str">
        <x:v>design.review.proposal_wind_wheel.in.3</x:v>
      </x:c>
      <x:c r="V364" s="4" t="str">
        <x:v>design.review.proposal_wind_wheel.out</x:v>
      </x:c>
    </x:row>
    <x:row r="365" ht="115" customHeight="1">
      <x:c r="A365" s="4" t="str">
        <x:f>IFERROR(INDEX('Material routes'!$E$6:$E$2205,MATCH(U365,'Material routes'!$A$6:$A$2205,0)),"MISSING ID")</x:f>
        <x:v>Shell laminate</x:v>
      </x:c>
      <x:c r="B365" s="4" t="str">
        <x:f>IFERROR(INDEX('Material routes'!$F$6:$F$2205,MATCH(U365,'Material routes'!$A$6:$A$2205,0)),"MISSING ID")</x:f>
        <x:v>T2</x:v>
      </x:c>
      <x:c r="C365" s="4" t="str">
        <x:f>IFERROR(INDEX('Material routes'!$H$6:$H$2205,MATCH(U365,'Material routes'!$A$6:$A$2205,0)),"MISSING ID")</x:f>
        <x:v>Crafting component</x:v>
      </x:c>
      <x:c r="D365" s="4" t="str">
        <x:f>IFERROR(INDEX('Material routes'!$G$6:$G$2205,MATCH(U365,'Material routes'!$A$6:$A$2205,0)),"MISSING ID")</x:f>
        <x:v>Crafting components</x:v>
      </x:c>
      <x:c r="E365" s="4" t="str">
        <x:f>IFERROR(INDEX('Material routes'!$C$6:$C$2205,MATCH(U365,'Material routes'!$A$6:$A$2205,0)),"MISSING ID")</x:f>
        <x:v>Ingredient candidate</x:v>
      </x:c>
      <x:c r="F365" s="4" t="str">
        <x:f>IFERROR(INDEX('Material routes'!$E$6:$E$2205,MATCH(V365,'Material routes'!$A$6:$A$2205,0)),"MISSING ID")</x:f>
        <x:v>Dirtboard wheel assembly</x:v>
      </x:c>
      <x:c r="G365" s="4" t="str">
        <x:f>IFERROR(INDEX('Material routes'!$F$6:$F$2205,MATCH(V365,'Material routes'!$A$6:$A$2205,0)),"MISSING ID")</x:f>
        <x:v>T4</x:v>
      </x:c>
      <x:c r="H365" s="4" t="str">
        <x:f>IFERROR(INDEX('Material routes'!$H$6:$H$2205,MATCH(V365,'Material routes'!$A$6:$A$2205,0)),"MISSING ID")</x:f>
        <x:v>Crafting component</x:v>
      </x:c>
      <x:c r="I365" s="4" t="str">
        <x:f>IFERROR(INDEX('Material routes'!$G$6:$G$2205,MATCH(V365,'Material routes'!$A$6:$A$2205,0)),"MISSING ID")</x:f>
        <x:v>Salvage</x:v>
      </x:c>
      <x:c r="J365" s="4" t="str">
        <x:f>IFERROR(INDEX('Material routes'!$B$6:$B$2205,MATCH(U365,'Material routes'!$A$6:$A$2205,0)),"MISSING ID")</x:f>
        <x:v>design.review.proposal_wind_wheel</x:v>
      </x:c>
      <x:c r="K365" s="4" t="str">
        <x:f>IFERROR(INDEX('Crafting recipes'!$C$6:$C$1005,MATCH(J365,'Crafting recipes'!$A$6:$A$1005,0)),"MISSING ID")</x:f>
        <x:v>Material refinement</x:v>
      </x:c>
      <x:c r="L365" s="4" t="str">
        <x:f>IFERROR(INDEX('Material routes'!$K$6:$K$2205,MATCH(U365,'Material routes'!$A$6:$A$2205,0)),"MISSING ID")</x:f>
        <x:v>Proposal</x:v>
      </x:c>
      <x:c r="M365" s="4" t="str">
        <x:f>IFERROR(INDEX('Material routes'!$M$6:$M$2205,MATCH(U365,'Material routes'!$A$6:$A$2205,0)),"MISSING ID")</x:f>
        <x:v>Partial proposal</x:v>
      </x:c>
      <x:c r="N365" s="4" t="str">
        <x:f>IF(IFERROR(INDEX('Material routes'!$I$6:$I$1005,MATCH(U365,'Material routes'!$A$6:$A$1005,0)),"MISSING ID")=0,"",IFERROR(INDEX('Material routes'!$I$6:$I$1005,MATCH(U365,'Material routes'!$A$6:$A$1005,0)),"MISSING ID"))</x:f>
      </x:c>
      <x:c r="O365" s="4" t="str">
        <x:f>IFERROR(INDEX('Material routes'!$J$6:$J$2205,MATCH(U365,'Material routes'!$A$6:$A$2205,0)),"MISSING ID")</x:f>
        <x:v>Unspecified</x:v>
      </x:c>
      <x:c r="P365" s="4" t="str">
        <x:f>IF(IFERROR(INDEX('Material routes'!$I$6:$I$1005,MATCH(V365,'Material routes'!$A$6:$A$1005,0)),"MISSING ID")=0,"",IFERROR(INDEX('Material routes'!$I$6:$I$1005,MATCH(V365,'Material routes'!$A$6:$A$1005,0)),"MISSING ID"))</x:f>
      </x:c>
      <x:c r="Q365" s="4" t="str">
        <x:f>IFERROR(INDEX('Material routes'!$J$6:$J$2205,MATCH(V365,'Material routes'!$A$6:$A$2205,0)),"MISSING ID")</x:f>
        <x:v>Unspecified</x:v>
      </x:c>
      <x:c r="R365" s="4" t="str">
        <x:f>IF(L365="Withheld","Withheld premise",IF(E365="Tool candidate","Reusable prerequisite",IF(K365="Raw entry preparation","Entry-resource preparation",IF(G365="Not applicable",IF(IFERROR(INDEX('Items'!$AI$6:$AI$1005,MATCH(T365,'Items'!$A$6:$A$1005,0)),"MISSING ID")="Finished item","Finished endpoint",IF(IFERROR(INDEX('Items'!$AI$6:$AI$1005,MATCH(T365,'Items'!$A$6:$A$1005,0)),"MISSING ID")="Currency","Currency / no refinement tier","Recovered output / tier not applicable")),IF(OR(IFERROR(INDEX('Crafting recipes'!$H$6:$H$1005,MATCH(J365,'Crafting recipes'!$A$6:$A$1005,0)),"MISSING ID")="Unassigned",G365="Unassigned"),"Tier unresolved",IF(IFERROR(VALUE(RIGHT(G365,1))-VALUE(RIGHT(IFERROR(INDEX('Crafting recipes'!$H$6:$H$1005,MATCH(J365,'Crafting recipes'!$A$6:$A$1005,0)),"MISSING ID"),1)),0)=1,IF(B365=IFERROR(INDEX('Crafting recipes'!$H$6:$H$1005,MATCH(J365,'Crafting recipes'!$A$6:$A$1005,0)),"MISSING ID"),"Advances one material tier","Lower-tier ingredient; route advances one tier"),"Needs tier review"))))))</x:f>
        <x:v>Lower-tier ingredient; route advances one tier</x:v>
      </x:c>
      <x:c r="S365" s="4" t="str">
        <x:f>IFERROR(INDEX('Material routes'!$D$6:$D$2205,MATCH(U365,'Material routes'!$A$6:$A$2205,0)),"MISSING ID")</x:f>
        <x:v>proposal.bio.laminate</x:v>
      </x:c>
      <x:c r="T365" s="4" t="str">
        <x:f>IFERROR(INDEX('Material routes'!$D$6:$D$2205,MATCH(V365,'Material routes'!$A$6:$A$2205,0)),"MISSING ID")</x:f>
        <x:v>proposal.wind.wheel</x:v>
      </x:c>
      <x:c r="U365" s="4" t="str">
        <x:v>design.review.proposal_wind_wheel.in.4</x:v>
      </x:c>
      <x:c r="V365" s="4" t="str">
        <x:v>design.review.proposal_wind_wheel.out</x:v>
      </x:c>
    </x:row>
    <x:row r="366" ht="115" customHeight="1">
      <x:c r="A366" s="4" t="str">
        <x:f>IFERROR(INDEX('Material routes'!$E$6:$E$2205,MATCH(U366,'Material routes'!$A$6:$A$2205,0)),"MISSING ID")</x:f>
        <x:v>Drawn steel tube stock</x:v>
      </x:c>
      <x:c r="B366" s="4" t="str">
        <x:f>IFERROR(INDEX('Material routes'!$F$6:$F$2205,MATCH(U366,'Material routes'!$A$6:$A$2205,0)),"MISSING ID")</x:f>
        <x:v>T3</x:v>
      </x:c>
      <x:c r="C366" s="4" t="str">
        <x:f>IFERROR(INDEX('Material routes'!$H$6:$H$2205,MATCH(U366,'Material routes'!$A$6:$A$2205,0)),"MISSING ID")</x:f>
        <x:v>Processed material</x:v>
      </x:c>
      <x:c r="D366" s="4" t="str">
        <x:f>IFERROR(INDEX('Material routes'!$G$6:$G$2205,MATCH(U366,'Material routes'!$A$6:$A$2205,0)),"MISSING ID")</x:f>
        <x:v>Manufactured stock</x:v>
      </x:c>
      <x:c r="E366" s="4" t="str">
        <x:f>IFERROR(INDEX('Material routes'!$C$6:$C$2205,MATCH(U366,'Material routes'!$A$6:$A$2205,0)),"MISSING ID")</x:f>
        <x:v>Ingredient candidate</x:v>
      </x:c>
      <x:c r="F366" s="4" t="str">
        <x:f>IFERROR(INDEX('Material routes'!$E$6:$E$2205,MATCH(V366,'Material routes'!$A$6:$A$2205,0)),"MISSING ID")</x:f>
        <x:v>Dirtboard axle / steering assembly</x:v>
      </x:c>
      <x:c r="G366" s="4" t="str">
        <x:f>IFERROR(INDEX('Material routes'!$F$6:$F$2205,MATCH(V366,'Material routes'!$A$6:$A$2205,0)),"MISSING ID")</x:f>
        <x:v>T4</x:v>
      </x:c>
      <x:c r="H366" s="4" t="str">
        <x:f>IFERROR(INDEX('Material routes'!$H$6:$H$2205,MATCH(V366,'Material routes'!$A$6:$A$2205,0)),"MISSING ID")</x:f>
        <x:v>Crafting component</x:v>
      </x:c>
      <x:c r="I366" s="4" t="str">
        <x:f>IFERROR(INDEX('Material routes'!$G$6:$G$2205,MATCH(V366,'Material routes'!$A$6:$A$2205,0)),"MISSING ID")</x:f>
        <x:v>Salvage</x:v>
      </x:c>
      <x:c r="J366" s="4" t="str">
        <x:f>IFERROR(INDEX('Material routes'!$B$6:$B$2205,MATCH(U366,'Material routes'!$A$6:$A$2205,0)),"MISSING ID")</x:f>
        <x:v>design.review.proposal_wind_truck</x:v>
      </x:c>
      <x:c r="K366" s="4" t="str">
        <x:f>IFERROR(INDEX('Crafting recipes'!$C$6:$C$1005,MATCH(J366,'Crafting recipes'!$A$6:$A$1005,0)),"MISSING ID")</x:f>
        <x:v>Material refinement</x:v>
      </x:c>
      <x:c r="L366" s="4" t="str">
        <x:f>IFERROR(INDEX('Material routes'!$K$6:$K$2205,MATCH(U366,'Material routes'!$A$6:$A$2205,0)),"MISSING ID")</x:f>
        <x:v>Proposal</x:v>
      </x:c>
      <x:c r="M366" s="4" t="str">
        <x:f>IFERROR(INDEX('Material routes'!$M$6:$M$2205,MATCH(U366,'Material routes'!$A$6:$A$2205,0)),"MISSING ID")</x:f>
        <x:v>Partial proposal</x:v>
      </x:c>
      <x:c r="N366" s="4" t="str">
        <x:f>IF(IFERROR(INDEX('Material routes'!$I$6:$I$1005,MATCH(U366,'Material routes'!$A$6:$A$1005,0)),"MISSING ID")=0,"",IFERROR(INDEX('Material routes'!$I$6:$I$1005,MATCH(U366,'Material routes'!$A$6:$A$1005,0)),"MISSING ID"))</x:f>
      </x:c>
      <x:c r="O366" s="4" t="str">
        <x:f>IFERROR(INDEX('Material routes'!$J$6:$J$2205,MATCH(U366,'Material routes'!$A$6:$A$2205,0)),"MISSING ID")</x:f>
        <x:v>Unspecified</x:v>
      </x:c>
      <x:c r="P366" s="4" t="str">
        <x:f>IF(IFERROR(INDEX('Material routes'!$I$6:$I$1005,MATCH(V366,'Material routes'!$A$6:$A$1005,0)),"MISSING ID")=0,"",IFERROR(INDEX('Material routes'!$I$6:$I$1005,MATCH(V366,'Material routes'!$A$6:$A$1005,0)),"MISSING ID"))</x:f>
      </x:c>
      <x:c r="Q366" s="4" t="str">
        <x:f>IFERROR(INDEX('Material routes'!$J$6:$J$2205,MATCH(V366,'Material routes'!$A$6:$A$2205,0)),"MISSING ID")</x:f>
        <x:v>Unspecified</x:v>
      </x:c>
      <x:c r="R366" s="4" t="str">
        <x:f>IF(L366="Withheld","Withheld premise",IF(E366="Tool candidate","Reusable prerequisite",IF(K366="Raw entry preparation","Entry-resource preparation",IF(G366="Not applicable",IF(IFERROR(INDEX('Items'!$AI$6:$AI$1005,MATCH(T366,'Items'!$A$6:$A$1005,0)),"MISSING ID")="Finished item","Finished endpoint",IF(IFERROR(INDEX('Items'!$AI$6:$AI$1005,MATCH(T366,'Items'!$A$6:$A$1005,0)),"MISSING ID")="Currency","Currency / no refinement tier","Recovered output / tier not applicable")),IF(OR(IFERROR(INDEX('Crafting recipes'!$H$6:$H$1005,MATCH(J366,'Crafting recipes'!$A$6:$A$1005,0)),"MISSING ID")="Unassigned",G366="Unassigned"),"Tier unresolved",IF(IFERROR(VALUE(RIGHT(G366,1))-VALUE(RIGHT(IFERROR(INDEX('Crafting recipes'!$H$6:$H$1005,MATCH(J366,'Crafting recipes'!$A$6:$A$1005,0)),"MISSING ID"),1)),0)=1,IF(B366=IFERROR(INDEX('Crafting recipes'!$H$6:$H$1005,MATCH(J366,'Crafting recipes'!$A$6:$A$1005,0)),"MISSING ID"),"Advances one material tier","Lower-tier ingredient; route advances one tier"),"Needs tier review"))))))</x:f>
        <x:v>Advances one material tier</x:v>
      </x:c>
      <x:c r="S366" s="4" t="str">
        <x:f>IFERROR(INDEX('Material routes'!$D$6:$D$2205,MATCH(U366,'Material routes'!$A$6:$A$2205,0)),"MISSING ID")</x:f>
        <x:v>proposal.t3.precision_tube</x:v>
      </x:c>
      <x:c r="T366" s="4" t="str">
        <x:f>IFERROR(INDEX('Material routes'!$D$6:$D$2205,MATCH(V366,'Material routes'!$A$6:$A$2205,0)),"MISSING ID")</x:f>
        <x:v>proposal.wind.truck</x:v>
      </x:c>
      <x:c r="U366" s="4" t="str">
        <x:v>design.review.proposal_wind_truck.in.1</x:v>
      </x:c>
      <x:c r="V366" s="4" t="str">
        <x:v>design.review.proposal_wind_truck.out</x:v>
      </x:c>
    </x:row>
    <x:row r="367" ht="115" customHeight="1">
      <x:c r="A367" s="4" t="str">
        <x:f>IFERROR(INDEX('Material routes'!$E$6:$E$2205,MATCH(U367,'Material routes'!$A$6:$A$2205,0)),"MISSING ID")</x:f>
        <x:v>Spring-grade steel stock</x:v>
      </x:c>
      <x:c r="B367" s="4" t="str">
        <x:f>IFERROR(INDEX('Material routes'!$F$6:$F$2205,MATCH(U367,'Material routes'!$A$6:$A$2205,0)),"MISSING ID")</x:f>
        <x:v>T3</x:v>
      </x:c>
      <x:c r="C367" s="4" t="str">
        <x:f>IFERROR(INDEX('Material routes'!$H$6:$H$2205,MATCH(U367,'Material routes'!$A$6:$A$2205,0)),"MISSING ID")</x:f>
        <x:v>Processed material</x:v>
      </x:c>
      <x:c r="D367" s="4" t="str">
        <x:f>IFERROR(INDEX('Material routes'!$G$6:$G$2205,MATCH(U367,'Material routes'!$A$6:$A$2205,0)),"MISSING ID")</x:f>
        <x:v>Manufactured stock</x:v>
      </x:c>
      <x:c r="E367" s="4" t="str">
        <x:f>IFERROR(INDEX('Material routes'!$C$6:$C$2205,MATCH(U367,'Material routes'!$A$6:$A$2205,0)),"MISSING ID")</x:f>
        <x:v>Ingredient candidate</x:v>
      </x:c>
      <x:c r="F367" s="4" t="str">
        <x:f>IFERROR(INDEX('Material routes'!$E$6:$E$2205,MATCH(V367,'Material routes'!$A$6:$A$2205,0)),"MISSING ID")</x:f>
        <x:v>Dirtboard axle / steering assembly</x:v>
      </x:c>
      <x:c r="G367" s="4" t="str">
        <x:f>IFERROR(INDEX('Material routes'!$F$6:$F$2205,MATCH(V367,'Material routes'!$A$6:$A$2205,0)),"MISSING ID")</x:f>
        <x:v>T4</x:v>
      </x:c>
      <x:c r="H367" s="4" t="str">
        <x:f>IFERROR(INDEX('Material routes'!$H$6:$H$2205,MATCH(V367,'Material routes'!$A$6:$A$2205,0)),"MISSING ID")</x:f>
        <x:v>Crafting component</x:v>
      </x:c>
      <x:c r="I367" s="4" t="str">
        <x:f>IFERROR(INDEX('Material routes'!$G$6:$G$2205,MATCH(V367,'Material routes'!$A$6:$A$2205,0)),"MISSING ID")</x:f>
        <x:v>Salvage</x:v>
      </x:c>
      <x:c r="J367" s="4" t="str">
        <x:f>IFERROR(INDEX('Material routes'!$B$6:$B$2205,MATCH(U367,'Material routes'!$A$6:$A$2205,0)),"MISSING ID")</x:f>
        <x:v>design.review.proposal_wind_truck</x:v>
      </x:c>
      <x:c r="K367" s="4" t="str">
        <x:f>IFERROR(INDEX('Crafting recipes'!$C$6:$C$1005,MATCH(J367,'Crafting recipes'!$A$6:$A$1005,0)),"MISSING ID")</x:f>
        <x:v>Material refinement</x:v>
      </x:c>
      <x:c r="L367" s="4" t="str">
        <x:f>IFERROR(INDEX('Material routes'!$K$6:$K$2205,MATCH(U367,'Material routes'!$A$6:$A$2205,0)),"MISSING ID")</x:f>
        <x:v>Proposal</x:v>
      </x:c>
      <x:c r="M367" s="4" t="str">
        <x:f>IFERROR(INDEX('Material routes'!$M$6:$M$2205,MATCH(U367,'Material routes'!$A$6:$A$2205,0)),"MISSING ID")</x:f>
        <x:v>Partial proposal</x:v>
      </x:c>
      <x:c r="N367" s="4" t="str">
        <x:f>IF(IFERROR(INDEX('Material routes'!$I$6:$I$1005,MATCH(U367,'Material routes'!$A$6:$A$1005,0)),"MISSING ID")=0,"",IFERROR(INDEX('Material routes'!$I$6:$I$1005,MATCH(U367,'Material routes'!$A$6:$A$1005,0)),"MISSING ID"))</x:f>
      </x:c>
      <x:c r="O367" s="4" t="str">
        <x:f>IFERROR(INDEX('Material routes'!$J$6:$J$2205,MATCH(U367,'Material routes'!$A$6:$A$2205,0)),"MISSING ID")</x:f>
        <x:v>Unspecified</x:v>
      </x:c>
      <x:c r="P367" s="4" t="str">
        <x:f>IF(IFERROR(INDEX('Material routes'!$I$6:$I$1005,MATCH(V367,'Material routes'!$A$6:$A$1005,0)),"MISSING ID")=0,"",IFERROR(INDEX('Material routes'!$I$6:$I$1005,MATCH(V367,'Material routes'!$A$6:$A$1005,0)),"MISSING ID"))</x:f>
      </x:c>
      <x:c r="Q367" s="4" t="str">
        <x:f>IFERROR(INDEX('Material routes'!$J$6:$J$2205,MATCH(V367,'Material routes'!$A$6:$A$2205,0)),"MISSING ID")</x:f>
        <x:v>Unspecified</x:v>
      </x:c>
      <x:c r="R367" s="4" t="str">
        <x:f>IF(L367="Withheld","Withheld premise",IF(E367="Tool candidate","Reusable prerequisite",IF(K367="Raw entry preparation","Entry-resource preparation",IF(G367="Not applicable",IF(IFERROR(INDEX('Items'!$AI$6:$AI$1005,MATCH(T367,'Items'!$A$6:$A$1005,0)),"MISSING ID")="Finished item","Finished endpoint",IF(IFERROR(INDEX('Items'!$AI$6:$AI$1005,MATCH(T367,'Items'!$A$6:$A$1005,0)),"MISSING ID")="Currency","Currency / no refinement tier","Recovered output / tier not applicable")),IF(OR(IFERROR(INDEX('Crafting recipes'!$H$6:$H$1005,MATCH(J367,'Crafting recipes'!$A$6:$A$1005,0)),"MISSING ID")="Unassigned",G367="Unassigned"),"Tier unresolved",IF(IFERROR(VALUE(RIGHT(G367,1))-VALUE(RIGHT(IFERROR(INDEX('Crafting recipes'!$H$6:$H$1005,MATCH(J367,'Crafting recipes'!$A$6:$A$1005,0)),"MISSING ID"),1)),0)=1,IF(B367=IFERROR(INDEX('Crafting recipes'!$H$6:$H$1005,MATCH(J367,'Crafting recipes'!$A$6:$A$1005,0)),"MISSING ID"),"Advances one material tier","Lower-tier ingredient; route advances one tier"),"Needs tier review"))))))</x:f>
        <x:v>Advances one material tier</x:v>
      </x:c>
      <x:c r="S367" s="4" t="str">
        <x:f>IFERROR(INDEX('Material routes'!$D$6:$D$2205,MATCH(U367,'Material routes'!$A$6:$A$2205,0)),"MISSING ID")</x:f>
        <x:v>proposal.branch.spring_steel</x:v>
      </x:c>
      <x:c r="T367" s="4" t="str">
        <x:f>IFERROR(INDEX('Material routes'!$D$6:$D$2205,MATCH(V367,'Material routes'!$A$6:$A$2205,0)),"MISSING ID")</x:f>
        <x:v>proposal.wind.truck</x:v>
      </x:c>
      <x:c r="U367" s="4" t="str">
        <x:v>design.review.proposal_wind_truck.in.2</x:v>
      </x:c>
      <x:c r="V367" s="4" t="str">
        <x:v>design.review.proposal_wind_truck.out</x:v>
      </x:c>
    </x:row>
    <x:row r="368" ht="115" customHeight="1">
      <x:c r="A368" s="4" t="str">
        <x:f>IFERROR(INDEX('Material routes'!$E$6:$E$2205,MATCH(U368,'Material routes'!$A$6:$A$2205,0)),"MISSING ID")</x:f>
        <x:v>Lapped bronze bearing blanks</x:v>
      </x:c>
      <x:c r="B368" s="4" t="str">
        <x:f>IFERROR(INDEX('Material routes'!$F$6:$F$2205,MATCH(U368,'Material routes'!$A$6:$A$2205,0)),"MISSING ID")</x:f>
        <x:v>T3</x:v>
      </x:c>
      <x:c r="C368" s="4" t="str">
        <x:f>IFERROR(INDEX('Material routes'!$H$6:$H$2205,MATCH(U368,'Material routes'!$A$6:$A$2205,0)),"MISSING ID")</x:f>
        <x:v>Crafting component</x:v>
      </x:c>
      <x:c r="D368" s="4" t="str">
        <x:f>IFERROR(INDEX('Material routes'!$G$6:$G$2205,MATCH(U368,'Material routes'!$A$6:$A$2205,0)),"MISSING ID")</x:f>
        <x:v>Crafting components</x:v>
      </x:c>
      <x:c r="E368" s="4" t="str">
        <x:f>IFERROR(INDEX('Material routes'!$C$6:$C$2205,MATCH(U368,'Material routes'!$A$6:$A$2205,0)),"MISSING ID")</x:f>
        <x:v>Ingredient candidate</x:v>
      </x:c>
      <x:c r="F368" s="4" t="str">
        <x:f>IFERROR(INDEX('Material routes'!$E$6:$E$2205,MATCH(V368,'Material routes'!$A$6:$A$2205,0)),"MISSING ID")</x:f>
        <x:v>Dirtboard axle / steering assembly</x:v>
      </x:c>
      <x:c r="G368" s="4" t="str">
        <x:f>IFERROR(INDEX('Material routes'!$F$6:$F$2205,MATCH(V368,'Material routes'!$A$6:$A$2205,0)),"MISSING ID")</x:f>
        <x:v>T4</x:v>
      </x:c>
      <x:c r="H368" s="4" t="str">
        <x:f>IFERROR(INDEX('Material routes'!$H$6:$H$2205,MATCH(V368,'Material routes'!$A$6:$A$2205,0)),"MISSING ID")</x:f>
        <x:v>Crafting component</x:v>
      </x:c>
      <x:c r="I368" s="4" t="str">
        <x:f>IFERROR(INDEX('Material routes'!$G$6:$G$2205,MATCH(V368,'Material routes'!$A$6:$A$2205,0)),"MISSING ID")</x:f>
        <x:v>Salvage</x:v>
      </x:c>
      <x:c r="J368" s="4" t="str">
        <x:f>IFERROR(INDEX('Material routes'!$B$6:$B$2205,MATCH(U368,'Material routes'!$A$6:$A$2205,0)),"MISSING ID")</x:f>
        <x:v>design.review.proposal_wind_truck</x:v>
      </x:c>
      <x:c r="K368" s="4" t="str">
        <x:f>IFERROR(INDEX('Crafting recipes'!$C$6:$C$1005,MATCH(J368,'Crafting recipes'!$A$6:$A$1005,0)),"MISSING ID")</x:f>
        <x:v>Material refinement</x:v>
      </x:c>
      <x:c r="L368" s="4" t="str">
        <x:f>IFERROR(INDEX('Material routes'!$K$6:$K$2205,MATCH(U368,'Material routes'!$A$6:$A$2205,0)),"MISSING ID")</x:f>
        <x:v>Proposal</x:v>
      </x:c>
      <x:c r="M368" s="4" t="str">
        <x:f>IFERROR(INDEX('Material routes'!$M$6:$M$2205,MATCH(U368,'Material routes'!$A$6:$A$2205,0)),"MISSING ID")</x:f>
        <x:v>Partial proposal</x:v>
      </x:c>
      <x:c r="N368" s="4" t="str">
        <x:f>IF(IFERROR(INDEX('Material routes'!$I$6:$I$1005,MATCH(U368,'Material routes'!$A$6:$A$1005,0)),"MISSING ID")=0,"",IFERROR(INDEX('Material routes'!$I$6:$I$1005,MATCH(U368,'Material routes'!$A$6:$A$1005,0)),"MISSING ID"))</x:f>
      </x:c>
      <x:c r="O368" s="4" t="str">
        <x:f>IFERROR(INDEX('Material routes'!$J$6:$J$2205,MATCH(U368,'Material routes'!$A$6:$A$2205,0)),"MISSING ID")</x:f>
        <x:v>Unspecified</x:v>
      </x:c>
      <x:c r="P368" s="4" t="str">
        <x:f>IF(IFERROR(INDEX('Material routes'!$I$6:$I$1005,MATCH(V368,'Material routes'!$A$6:$A$1005,0)),"MISSING ID")=0,"",IFERROR(INDEX('Material routes'!$I$6:$I$1005,MATCH(V368,'Material routes'!$A$6:$A$1005,0)),"MISSING ID"))</x:f>
      </x:c>
      <x:c r="Q368" s="4" t="str">
        <x:f>IFERROR(INDEX('Material routes'!$J$6:$J$2205,MATCH(V368,'Material routes'!$A$6:$A$2205,0)),"MISSING ID")</x:f>
        <x:v>Unspecified</x:v>
      </x:c>
      <x:c r="R368" s="4" t="str">
        <x:f>IF(L368="Withheld","Withheld premise",IF(E368="Tool candidate","Reusable prerequisite",IF(K368="Raw entry preparation","Entry-resource preparation",IF(G368="Not applicable",IF(IFERROR(INDEX('Items'!$AI$6:$AI$1005,MATCH(T368,'Items'!$A$6:$A$1005,0)),"MISSING ID")="Finished item","Finished endpoint",IF(IFERROR(INDEX('Items'!$AI$6:$AI$1005,MATCH(T368,'Items'!$A$6:$A$1005,0)),"MISSING ID")="Currency","Currency / no refinement tier","Recovered output / tier not applicable")),IF(OR(IFERROR(INDEX('Crafting recipes'!$H$6:$H$1005,MATCH(J368,'Crafting recipes'!$A$6:$A$1005,0)),"MISSING ID")="Unassigned",G368="Unassigned"),"Tier unresolved",IF(IFERROR(VALUE(RIGHT(G368,1))-VALUE(RIGHT(IFERROR(INDEX('Crafting recipes'!$H$6:$H$1005,MATCH(J368,'Crafting recipes'!$A$6:$A$1005,0)),"MISSING ID"),1)),0)=1,IF(B368=IFERROR(INDEX('Crafting recipes'!$H$6:$H$1005,MATCH(J368,'Crafting recipes'!$A$6:$A$1005,0)),"MISSING ID"),"Advances one material tier","Lower-tier ingredient; route advances one tier"),"Needs tier review"))))))</x:f>
        <x:v>Advances one material tier</x:v>
      </x:c>
      <x:c r="S368" s="4" t="str">
        <x:f>IFERROR(INDEX('Material routes'!$D$6:$D$2205,MATCH(U368,'Material routes'!$A$6:$A$2205,0)),"MISSING ID")</x:f>
        <x:v>proposal.t3.bearing_blank</x:v>
      </x:c>
      <x:c r="T368" s="4" t="str">
        <x:f>IFERROR(INDEX('Material routes'!$D$6:$D$2205,MATCH(V368,'Material routes'!$A$6:$A$2205,0)),"MISSING ID")</x:f>
        <x:v>proposal.wind.truck</x:v>
      </x:c>
      <x:c r="U368" s="4" t="str">
        <x:v>design.review.proposal_wind_truck.in.3</x:v>
      </x:c>
      <x:c r="V368" s="4" t="str">
        <x:v>design.review.proposal_wind_truck.out</x:v>
      </x:c>
    </x:row>
    <x:row r="369" ht="115" customHeight="1">
      <x:c r="A369" s="4" t="str">
        <x:f>IFERROR(INDEX('Material routes'!$E$6:$E$2205,MATCH(U369,'Material routes'!$A$6:$A$2205,0)),"MISSING ID")</x:f>
        <x:v>Steel stock</x:v>
      </x:c>
      <x:c r="B369" s="4" t="str">
        <x:f>IFERROR(INDEX('Material routes'!$F$6:$F$2205,MATCH(U369,'Material routes'!$A$6:$A$2205,0)),"MISSING ID")</x:f>
        <x:v>T2</x:v>
      </x:c>
      <x:c r="C369" s="4" t="str">
        <x:f>IFERROR(INDEX('Material routes'!$H$6:$H$2205,MATCH(U369,'Material routes'!$A$6:$A$2205,0)),"MISSING ID")</x:f>
        <x:v>Processed material</x:v>
      </x:c>
      <x:c r="D369" s="4" t="str">
        <x:f>IFERROR(INDEX('Material routes'!$G$6:$G$2205,MATCH(U369,'Material routes'!$A$6:$A$2205,0)),"MISSING ID")</x:f>
        <x:v>Manufactured stock</x:v>
      </x:c>
      <x:c r="E369" s="4" t="str">
        <x:f>IFERROR(INDEX('Material routes'!$C$6:$C$2205,MATCH(U369,'Material routes'!$A$6:$A$2205,0)),"MISSING ID")</x:f>
        <x:v>Ingredient candidate</x:v>
      </x:c>
      <x:c r="F369" s="4" t="str">
        <x:f>IFERROR(INDEX('Material routes'!$E$6:$E$2205,MATCH(V369,'Material routes'!$A$6:$A$2205,0)),"MISSING ID")</x:f>
        <x:v>Dirtboard axle / steering assembly</x:v>
      </x:c>
      <x:c r="G369" s="4" t="str">
        <x:f>IFERROR(INDEX('Material routes'!$F$6:$F$2205,MATCH(V369,'Material routes'!$A$6:$A$2205,0)),"MISSING ID")</x:f>
        <x:v>T4</x:v>
      </x:c>
      <x:c r="H369" s="4" t="str">
        <x:f>IFERROR(INDEX('Material routes'!$H$6:$H$2205,MATCH(V369,'Material routes'!$A$6:$A$2205,0)),"MISSING ID")</x:f>
        <x:v>Crafting component</x:v>
      </x:c>
      <x:c r="I369" s="4" t="str">
        <x:f>IFERROR(INDEX('Material routes'!$G$6:$G$2205,MATCH(V369,'Material routes'!$A$6:$A$2205,0)),"MISSING ID")</x:f>
        <x:v>Salvage</x:v>
      </x:c>
      <x:c r="J369" s="4" t="str">
        <x:f>IFERROR(INDEX('Material routes'!$B$6:$B$2205,MATCH(U369,'Material routes'!$A$6:$A$2205,0)),"MISSING ID")</x:f>
        <x:v>design.review.proposal_wind_truck</x:v>
      </x:c>
      <x:c r="K369" s="4" t="str">
        <x:f>IFERROR(INDEX('Crafting recipes'!$C$6:$C$1005,MATCH(J369,'Crafting recipes'!$A$6:$A$1005,0)),"MISSING ID")</x:f>
        <x:v>Material refinement</x:v>
      </x:c>
      <x:c r="L369" s="4" t="str">
        <x:f>IFERROR(INDEX('Material routes'!$K$6:$K$2205,MATCH(U369,'Material routes'!$A$6:$A$2205,0)),"MISSING ID")</x:f>
        <x:v>Proposal</x:v>
      </x:c>
      <x:c r="M369" s="4" t="str">
        <x:f>IFERROR(INDEX('Material routes'!$M$6:$M$2205,MATCH(U369,'Material routes'!$A$6:$A$2205,0)),"MISSING ID")</x:f>
        <x:v>Partial proposal</x:v>
      </x:c>
      <x:c r="N369" s="4" t="str">
        <x:f>IF(IFERROR(INDEX('Material routes'!$I$6:$I$1005,MATCH(U369,'Material routes'!$A$6:$A$1005,0)),"MISSING ID")=0,"",IFERROR(INDEX('Material routes'!$I$6:$I$1005,MATCH(U369,'Material routes'!$A$6:$A$1005,0)),"MISSING ID"))</x:f>
      </x:c>
      <x:c r="O369" s="4" t="str">
        <x:f>IFERROR(INDEX('Material routes'!$J$6:$J$2205,MATCH(U369,'Material routes'!$A$6:$A$2205,0)),"MISSING ID")</x:f>
        <x:v>Unspecified</x:v>
      </x:c>
      <x:c r="P369" s="4" t="str">
        <x:f>IF(IFERROR(INDEX('Material routes'!$I$6:$I$1005,MATCH(V369,'Material routes'!$A$6:$A$1005,0)),"MISSING ID")=0,"",IFERROR(INDEX('Material routes'!$I$6:$I$1005,MATCH(V369,'Material routes'!$A$6:$A$1005,0)),"MISSING ID"))</x:f>
      </x:c>
      <x:c r="Q369" s="4" t="str">
        <x:f>IFERROR(INDEX('Material routes'!$J$6:$J$2205,MATCH(V369,'Material routes'!$A$6:$A$2205,0)),"MISSING ID")</x:f>
        <x:v>Unspecified</x:v>
      </x:c>
      <x:c r="R369" s="4" t="str">
        <x:f>IF(L369="Withheld","Withheld premise",IF(E369="Tool candidate","Reusable prerequisite",IF(K369="Raw entry preparation","Entry-resource preparation",IF(G369="Not applicable",IF(IFERROR(INDEX('Items'!$AI$6:$AI$1005,MATCH(T369,'Items'!$A$6:$A$1005,0)),"MISSING ID")="Finished item","Finished endpoint",IF(IFERROR(INDEX('Items'!$AI$6:$AI$1005,MATCH(T369,'Items'!$A$6:$A$1005,0)),"MISSING ID")="Currency","Currency / no refinement tier","Recovered output / tier not applicable")),IF(OR(IFERROR(INDEX('Crafting recipes'!$H$6:$H$1005,MATCH(J369,'Crafting recipes'!$A$6:$A$1005,0)),"MISSING ID")="Unassigned",G369="Unassigned"),"Tier unresolved",IF(IFERROR(VALUE(RIGHT(G369,1))-VALUE(RIGHT(IFERROR(INDEX('Crafting recipes'!$H$6:$H$1005,MATCH(J369,'Crafting recipes'!$A$6:$A$1005,0)),"MISSING ID"),1)),0)=1,IF(B369=IFERROR(INDEX('Crafting recipes'!$H$6:$H$1005,MATCH(J369,'Crafting recipes'!$A$6:$A$1005,0)),"MISSING ID"),"Advances one material tier","Lower-tier ingredient; route advances one tier"),"Needs tier review"))))))</x:f>
        <x:v>Lower-tier ingredient; route advances one tier</x:v>
      </x:c>
      <x:c r="S369" s="4" t="str">
        <x:f>IFERROR(INDEX('Material routes'!$D$6:$D$2205,MATCH(U369,'Material routes'!$A$6:$A$2205,0)),"MISSING ID")</x:f>
        <x:v>author.metallurgy.steel_stock</x:v>
      </x:c>
      <x:c r="T369" s="4" t="str">
        <x:f>IFERROR(INDEX('Material routes'!$D$6:$D$2205,MATCH(V369,'Material routes'!$A$6:$A$2205,0)),"MISSING ID")</x:f>
        <x:v>proposal.wind.truck</x:v>
      </x:c>
      <x:c r="U369" s="4" t="str">
        <x:v>design.review.proposal_wind_truck.in.4</x:v>
      </x:c>
      <x:c r="V369" s="4" t="str">
        <x:v>design.review.proposal_wind_truck.out</x:v>
      </x:c>
    </x:row>
    <x:row r="370" ht="115" customHeight="1">
      <x:c r="A370" s="4" t="str">
        <x:f>IFERROR(INDEX('Material routes'!$E$6:$E$2205,MATCH(U370,'Material routes'!$A$6:$A$2205,0)),"MISSING ID")</x:f>
        <x:v>Steel stock</x:v>
      </x:c>
      <x:c r="B370" s="4" t="str">
        <x:f>IFERROR(INDEX('Material routes'!$F$6:$F$2205,MATCH(U370,'Material routes'!$A$6:$A$2205,0)),"MISSING ID")</x:f>
        <x:v>T2</x:v>
      </x:c>
      <x:c r="C370" s="4" t="str">
        <x:f>IFERROR(INDEX('Material routes'!$H$6:$H$2205,MATCH(U370,'Material routes'!$A$6:$A$2205,0)),"MISSING ID")</x:f>
        <x:v>Processed material</x:v>
      </x:c>
      <x:c r="D370" s="4" t="str">
        <x:f>IFERROR(INDEX('Material routes'!$G$6:$G$2205,MATCH(U370,'Material routes'!$A$6:$A$2205,0)),"MISSING ID")</x:f>
        <x:v>Manufactured stock</x:v>
      </x:c>
      <x:c r="E370" s="4" t="str">
        <x:f>IFERROR(INDEX('Material routes'!$C$6:$C$2205,MATCH(U370,'Material routes'!$A$6:$A$2205,0)),"MISSING ID")</x:f>
        <x:v>Ingredient candidate</x:v>
      </x:c>
      <x:c r="F370" s="4" t="str">
        <x:f>IFERROR(INDEX('Material routes'!$E$6:$E$2205,MATCH(V370,'Material routes'!$A$6:$A$2205,0)),"MISSING ID")</x:f>
        <x:v>Legger lashing-anchor set</x:v>
      </x:c>
      <x:c r="G370" s="4" t="str">
        <x:f>IFERROR(INDEX('Material routes'!$F$6:$F$2205,MATCH(V370,'Material routes'!$A$6:$A$2205,0)),"MISSING ID")</x:f>
        <x:v>T3</x:v>
      </x:c>
      <x:c r="H370" s="4" t="str">
        <x:f>IFERROR(INDEX('Material routes'!$H$6:$H$2205,MATCH(V370,'Material routes'!$A$6:$A$2205,0)),"MISSING ID")</x:f>
        <x:v>Crafting component</x:v>
      </x:c>
      <x:c r="I370" s="4" t="str">
        <x:f>IFERROR(INDEX('Material routes'!$G$6:$G$2205,MATCH(V370,'Material routes'!$A$6:$A$2205,0)),"MISSING ID")</x:f>
        <x:v>Crafting components</x:v>
      </x:c>
      <x:c r="J370" s="4" t="str">
        <x:f>IFERROR(INDEX('Material routes'!$B$6:$B$2205,MATCH(U370,'Material routes'!$A$6:$A$2205,0)),"MISSING ID")</x:f>
        <x:v>design.review.proposal_legger_anchors</x:v>
      </x:c>
      <x:c r="K370" s="4" t="str">
        <x:f>IFERROR(INDEX('Crafting recipes'!$C$6:$C$1005,MATCH(J370,'Crafting recipes'!$A$6:$A$1005,0)),"MISSING ID")</x:f>
        <x:v>Material refinement</x:v>
      </x:c>
      <x:c r="L370" s="4" t="str">
        <x:f>IFERROR(INDEX('Material routes'!$K$6:$K$2205,MATCH(U370,'Material routes'!$A$6:$A$2205,0)),"MISSING ID")</x:f>
        <x:v>Proposal</x:v>
      </x:c>
      <x:c r="M370" s="4" t="str">
        <x:f>IFERROR(INDEX('Material routes'!$M$6:$M$2205,MATCH(U370,'Material routes'!$A$6:$A$2205,0)),"MISSING ID")</x:f>
        <x:v>Partial proposal</x:v>
      </x:c>
      <x:c r="N370" s="4" t="str">
        <x:f>IF(IFERROR(INDEX('Material routes'!$I$6:$I$1005,MATCH(U370,'Material routes'!$A$6:$A$1005,0)),"MISSING ID")=0,"",IFERROR(INDEX('Material routes'!$I$6:$I$1005,MATCH(U370,'Material routes'!$A$6:$A$1005,0)),"MISSING ID"))</x:f>
      </x:c>
      <x:c r="O370" s="4" t="str">
        <x:f>IFERROR(INDEX('Material routes'!$J$6:$J$2205,MATCH(U370,'Material routes'!$A$6:$A$2205,0)),"MISSING ID")</x:f>
        <x:v>Unspecified</x:v>
      </x:c>
      <x:c r="P370" s="4" t="str">
        <x:f>IF(IFERROR(INDEX('Material routes'!$I$6:$I$1005,MATCH(V370,'Material routes'!$A$6:$A$1005,0)),"MISSING ID")=0,"",IFERROR(INDEX('Material routes'!$I$6:$I$1005,MATCH(V370,'Material routes'!$A$6:$A$1005,0)),"MISSING ID"))</x:f>
      </x:c>
      <x:c r="Q370" s="4" t="str">
        <x:f>IFERROR(INDEX('Material routes'!$J$6:$J$2205,MATCH(V370,'Material routes'!$A$6:$A$2205,0)),"MISSING ID")</x:f>
        <x:v>Unspecified</x:v>
      </x:c>
      <x:c r="R370" s="4" t="str">
        <x:f>IF(L370="Withheld","Withheld premise",IF(E370="Tool candidate","Reusable prerequisite",IF(K370="Raw entry preparation","Entry-resource preparation",IF(G370="Not applicable",IF(IFERROR(INDEX('Items'!$AI$6:$AI$1005,MATCH(T370,'Items'!$A$6:$A$1005,0)),"MISSING ID")="Finished item","Finished endpoint",IF(IFERROR(INDEX('Items'!$AI$6:$AI$1005,MATCH(T370,'Items'!$A$6:$A$1005,0)),"MISSING ID")="Currency","Currency / no refinement tier","Recovered output / tier not applicable")),IF(OR(IFERROR(INDEX('Crafting recipes'!$H$6:$H$1005,MATCH(J370,'Crafting recipes'!$A$6:$A$1005,0)),"MISSING ID")="Unassigned",G370="Unassigned"),"Tier unresolved",IF(IFERROR(VALUE(RIGHT(G370,1))-VALUE(RIGHT(IFERROR(INDEX('Crafting recipes'!$H$6:$H$1005,MATCH(J370,'Crafting recipes'!$A$6:$A$1005,0)),"MISSING ID"),1)),0)=1,IF(B370=IFERROR(INDEX('Crafting recipes'!$H$6:$H$1005,MATCH(J370,'Crafting recipes'!$A$6:$A$1005,0)),"MISSING ID"),"Advances one material tier","Lower-tier ingredient; route advances one tier"),"Needs tier review"))))))</x:f>
        <x:v>Advances one material tier</x:v>
      </x:c>
      <x:c r="S370" s="4" t="str">
        <x:f>IFERROR(INDEX('Material routes'!$D$6:$D$2205,MATCH(U370,'Material routes'!$A$6:$A$2205,0)),"MISSING ID")</x:f>
        <x:v>author.metallurgy.steel_stock</x:v>
      </x:c>
      <x:c r="T370" s="4" t="str">
        <x:f>IFERROR(INDEX('Material routes'!$D$6:$D$2205,MATCH(V370,'Material routes'!$A$6:$A$2205,0)),"MISSING ID")</x:f>
        <x:v>proposal.legger.anchors</x:v>
      </x:c>
      <x:c r="U370" s="4" t="str">
        <x:v>design.review.proposal_legger_anchors.in.1</x:v>
      </x:c>
      <x:c r="V370" s="4" t="str">
        <x:v>design.review.proposal_legger_anchors.out</x:v>
      </x:c>
    </x:row>
    <x:row r="371" ht="115" customHeight="1">
      <x:c r="A371" s="4" t="str">
        <x:f>IFERROR(INDEX('Material routes'!$E$6:$E$2205,MATCH(U371,'Material routes'!$A$6:$A$2205,0)),"MISSING ID")</x:f>
        <x:v>Steel stock</x:v>
      </x:c>
      <x:c r="B371" s="4" t="str">
        <x:f>IFERROR(INDEX('Material routes'!$F$6:$F$2205,MATCH(U371,'Material routes'!$A$6:$A$2205,0)),"MISSING ID")</x:f>
        <x:v>T2</x:v>
      </x:c>
      <x:c r="C371" s="4" t="str">
        <x:f>IFERROR(INDEX('Material routes'!$H$6:$H$2205,MATCH(U371,'Material routes'!$A$6:$A$2205,0)),"MISSING ID")</x:f>
        <x:v>Processed material</x:v>
      </x:c>
      <x:c r="D371" s="4" t="str">
        <x:f>IFERROR(INDEX('Material routes'!$G$6:$G$2205,MATCH(U371,'Material routes'!$A$6:$A$2205,0)),"MISSING ID")</x:f>
        <x:v>Manufactured stock</x:v>
      </x:c>
      <x:c r="E371" s="4" t="str">
        <x:f>IFERROR(INDEX('Material routes'!$C$6:$C$2205,MATCH(U371,'Material routes'!$A$6:$A$2205,0)),"MISSING ID")</x:f>
        <x:v>Ingredient candidate</x:v>
      </x:c>
      <x:c r="F371" s="4" t="str">
        <x:f>IFERROR(INDEX('Material routes'!$E$6:$E$2205,MATCH(V371,'Material routes'!$A$6:$A$2205,0)),"MISSING ID")</x:f>
        <x:v>Legger attachment rail</x:v>
      </x:c>
      <x:c r="G371" s="4" t="str">
        <x:f>IFERROR(INDEX('Material routes'!$F$6:$F$2205,MATCH(V371,'Material routes'!$A$6:$A$2205,0)),"MISSING ID")</x:f>
        <x:v>T3</x:v>
      </x:c>
      <x:c r="H371" s="4" t="str">
        <x:f>IFERROR(INDEX('Material routes'!$H$6:$H$2205,MATCH(V371,'Material routes'!$A$6:$A$2205,0)),"MISSING ID")</x:f>
        <x:v>Crafting component</x:v>
      </x:c>
      <x:c r="I371" s="4" t="str">
        <x:f>IFERROR(INDEX('Material routes'!$G$6:$G$2205,MATCH(V371,'Material routes'!$A$6:$A$2205,0)),"MISSING ID")</x:f>
        <x:v>Crafting components</x:v>
      </x:c>
      <x:c r="J371" s="4" t="str">
        <x:f>IFERROR(INDEX('Material routes'!$B$6:$B$2205,MATCH(U371,'Material routes'!$A$6:$A$2205,0)),"MISSING ID")</x:f>
        <x:v>design.review.proposal_legger_mount_rail</x:v>
      </x:c>
      <x:c r="K371" s="4" t="str">
        <x:f>IFERROR(INDEX('Crafting recipes'!$C$6:$C$1005,MATCH(J371,'Crafting recipes'!$A$6:$A$1005,0)),"MISSING ID")</x:f>
        <x:v>Material refinement</x:v>
      </x:c>
      <x:c r="L371" s="4" t="str">
        <x:f>IFERROR(INDEX('Material routes'!$K$6:$K$2205,MATCH(U371,'Material routes'!$A$6:$A$2205,0)),"MISSING ID")</x:f>
        <x:v>Proposal</x:v>
      </x:c>
      <x:c r="M371" s="4" t="str">
        <x:f>IFERROR(INDEX('Material routes'!$M$6:$M$2205,MATCH(U371,'Material routes'!$A$6:$A$2205,0)),"MISSING ID")</x:f>
        <x:v>Partial proposal</x:v>
      </x:c>
      <x:c r="N371" s="4" t="str">
        <x:f>IF(IFERROR(INDEX('Material routes'!$I$6:$I$1005,MATCH(U371,'Material routes'!$A$6:$A$1005,0)),"MISSING ID")=0,"",IFERROR(INDEX('Material routes'!$I$6:$I$1005,MATCH(U371,'Material routes'!$A$6:$A$1005,0)),"MISSING ID"))</x:f>
      </x:c>
      <x:c r="O371" s="4" t="str">
        <x:f>IFERROR(INDEX('Material routes'!$J$6:$J$2205,MATCH(U371,'Material routes'!$A$6:$A$2205,0)),"MISSING ID")</x:f>
        <x:v>Unspecified</x:v>
      </x:c>
      <x:c r="P371" s="4" t="str">
        <x:f>IF(IFERROR(INDEX('Material routes'!$I$6:$I$1005,MATCH(V371,'Material routes'!$A$6:$A$1005,0)),"MISSING ID")=0,"",IFERROR(INDEX('Material routes'!$I$6:$I$1005,MATCH(V371,'Material routes'!$A$6:$A$1005,0)),"MISSING ID"))</x:f>
      </x:c>
      <x:c r="Q371" s="4" t="str">
        <x:f>IFERROR(INDEX('Material routes'!$J$6:$J$2205,MATCH(V371,'Material routes'!$A$6:$A$2205,0)),"MISSING ID")</x:f>
        <x:v>Unspecified</x:v>
      </x:c>
      <x:c r="R371" s="4" t="str">
        <x:f>IF(L371="Withheld","Withheld premise",IF(E371="Tool candidate","Reusable prerequisite",IF(K371="Raw entry preparation","Entry-resource preparation",IF(G371="Not applicable",IF(IFERROR(INDEX('Items'!$AI$6:$AI$1005,MATCH(T371,'Items'!$A$6:$A$1005,0)),"MISSING ID")="Finished item","Finished endpoint",IF(IFERROR(INDEX('Items'!$AI$6:$AI$1005,MATCH(T371,'Items'!$A$6:$A$1005,0)),"MISSING ID")="Currency","Currency / no refinement tier","Recovered output / tier not applicable")),IF(OR(IFERROR(INDEX('Crafting recipes'!$H$6:$H$1005,MATCH(J371,'Crafting recipes'!$A$6:$A$1005,0)),"MISSING ID")="Unassigned",G371="Unassigned"),"Tier unresolved",IF(IFERROR(VALUE(RIGHT(G371,1))-VALUE(RIGHT(IFERROR(INDEX('Crafting recipes'!$H$6:$H$1005,MATCH(J371,'Crafting recipes'!$A$6:$A$1005,0)),"MISSING ID"),1)),0)=1,IF(B371=IFERROR(INDEX('Crafting recipes'!$H$6:$H$1005,MATCH(J371,'Crafting recipes'!$A$6:$A$1005,0)),"MISSING ID"),"Advances one material tier","Lower-tier ingredient; route advances one tier"),"Needs tier review"))))))</x:f>
        <x:v>Advances one material tier</x:v>
      </x:c>
      <x:c r="S371" s="4" t="str">
        <x:f>IFERROR(INDEX('Material routes'!$D$6:$D$2205,MATCH(U371,'Material routes'!$A$6:$A$2205,0)),"MISSING ID")</x:f>
        <x:v>author.metallurgy.steel_stock</x:v>
      </x:c>
      <x:c r="T371" s="4" t="str">
        <x:f>IFERROR(INDEX('Material routes'!$D$6:$D$2205,MATCH(V371,'Material routes'!$A$6:$A$2205,0)),"MISSING ID")</x:f>
        <x:v>proposal.legger.mount_rail</x:v>
      </x:c>
      <x:c r="U371" s="4" t="str">
        <x:v>design.review.proposal_legger_mount_rail.in.1</x:v>
      </x:c>
      <x:c r="V371" s="4" t="str">
        <x:v>design.review.proposal_legger_mount_rail.out</x:v>
      </x:c>
    </x:row>
    <x:row r="372" ht="115" customHeight="1">
      <x:c r="A372" s="4" t="str">
        <x:f>IFERROR(INDEX('Material routes'!$E$6:$E$2205,MATCH(U372,'Material routes'!$A$6:$A$2205,0)),"MISSING ID")</x:f>
        <x:v>Steel stock</x:v>
      </x:c>
      <x:c r="B372" s="4" t="str">
        <x:f>IFERROR(INDEX('Material routes'!$F$6:$F$2205,MATCH(U372,'Material routes'!$A$6:$A$2205,0)),"MISSING ID")</x:f>
        <x:v>T2</x:v>
      </x:c>
      <x:c r="C372" s="4" t="str">
        <x:f>IFERROR(INDEX('Material routes'!$H$6:$H$2205,MATCH(U372,'Material routes'!$A$6:$A$2205,0)),"MISSING ID")</x:f>
        <x:v>Processed material</x:v>
      </x:c>
      <x:c r="D372" s="4" t="str">
        <x:f>IFERROR(INDEX('Material routes'!$G$6:$G$2205,MATCH(U372,'Material routes'!$A$6:$A$2205,0)),"MISSING ID")</x:f>
        <x:v>Manufactured stock</x:v>
      </x:c>
      <x:c r="E372" s="4" t="str">
        <x:f>IFERROR(INDEX('Material routes'!$C$6:$C$2205,MATCH(U372,'Material routes'!$A$6:$A$2205,0)),"MISSING ID")</x:f>
        <x:v>Ingredient candidate</x:v>
      </x:c>
      <x:c r="F372" s="4" t="str">
        <x:f>IFERROR(INDEX('Material routes'!$E$6:$E$2205,MATCH(V372,'Material routes'!$A$6:$A$2205,0)),"MISSING ID")</x:f>
        <x:v>Legger long-load clamp</x:v>
      </x:c>
      <x:c r="G372" s="4" t="str">
        <x:f>IFERROR(INDEX('Material routes'!$F$6:$F$2205,MATCH(V372,'Material routes'!$A$6:$A$2205,0)),"MISSING ID")</x:f>
        <x:v>T3</x:v>
      </x:c>
      <x:c r="H372" s="4" t="str">
        <x:f>IFERROR(INDEX('Material routes'!$H$6:$H$2205,MATCH(V372,'Material routes'!$A$6:$A$2205,0)),"MISSING ID")</x:f>
        <x:v>Crafting component</x:v>
      </x:c>
      <x:c r="I372" s="4" t="str">
        <x:f>IFERROR(INDEX('Material routes'!$G$6:$G$2205,MATCH(V372,'Material routes'!$A$6:$A$2205,0)),"MISSING ID")</x:f>
        <x:v>Crafting components</x:v>
      </x:c>
      <x:c r="J372" s="4" t="str">
        <x:f>IFERROR(INDEX('Material routes'!$B$6:$B$2205,MATCH(U372,'Material routes'!$A$6:$A$2205,0)),"MISSING ID")</x:f>
        <x:v>design.review.proposal_legger_long_load_clamp</x:v>
      </x:c>
      <x:c r="K372" s="4" t="str">
        <x:f>IFERROR(INDEX('Crafting recipes'!$C$6:$C$1005,MATCH(J372,'Crafting recipes'!$A$6:$A$1005,0)),"MISSING ID")</x:f>
        <x:v>Material refinement</x:v>
      </x:c>
      <x:c r="L372" s="4" t="str">
        <x:f>IFERROR(INDEX('Material routes'!$K$6:$K$2205,MATCH(U372,'Material routes'!$A$6:$A$2205,0)),"MISSING ID")</x:f>
        <x:v>Proposal</x:v>
      </x:c>
      <x:c r="M372" s="4" t="str">
        <x:f>IFERROR(INDEX('Material routes'!$M$6:$M$2205,MATCH(U372,'Material routes'!$A$6:$A$2205,0)),"MISSING ID")</x:f>
        <x:v>Partial proposal</x:v>
      </x:c>
      <x:c r="N372" s="4" t="str">
        <x:f>IF(IFERROR(INDEX('Material routes'!$I$6:$I$1005,MATCH(U372,'Material routes'!$A$6:$A$1005,0)),"MISSING ID")=0,"",IFERROR(INDEX('Material routes'!$I$6:$I$1005,MATCH(U372,'Material routes'!$A$6:$A$1005,0)),"MISSING ID"))</x:f>
      </x:c>
      <x:c r="O372" s="4" t="str">
        <x:f>IFERROR(INDEX('Material routes'!$J$6:$J$2205,MATCH(U372,'Material routes'!$A$6:$A$2205,0)),"MISSING ID")</x:f>
        <x:v>Unspecified</x:v>
      </x:c>
      <x:c r="P372" s="4" t="str">
        <x:f>IF(IFERROR(INDEX('Material routes'!$I$6:$I$1005,MATCH(V372,'Material routes'!$A$6:$A$1005,0)),"MISSING ID")=0,"",IFERROR(INDEX('Material routes'!$I$6:$I$1005,MATCH(V372,'Material routes'!$A$6:$A$1005,0)),"MISSING ID"))</x:f>
      </x:c>
      <x:c r="Q372" s="4" t="str">
        <x:f>IFERROR(INDEX('Material routes'!$J$6:$J$2205,MATCH(V372,'Material routes'!$A$6:$A$2205,0)),"MISSING ID")</x:f>
        <x:v>Unspecified</x:v>
      </x:c>
      <x:c r="R372" s="4" t="str">
        <x:f>IF(L372="Withheld","Withheld premise",IF(E372="Tool candidate","Reusable prerequisite",IF(K372="Raw entry preparation","Entry-resource preparation",IF(G372="Not applicable",IF(IFERROR(INDEX('Items'!$AI$6:$AI$1005,MATCH(T372,'Items'!$A$6:$A$1005,0)),"MISSING ID")="Finished item","Finished endpoint",IF(IFERROR(INDEX('Items'!$AI$6:$AI$1005,MATCH(T372,'Items'!$A$6:$A$1005,0)),"MISSING ID")="Currency","Currency / no refinement tier","Recovered output / tier not applicable")),IF(OR(IFERROR(INDEX('Crafting recipes'!$H$6:$H$1005,MATCH(J372,'Crafting recipes'!$A$6:$A$1005,0)),"MISSING ID")="Unassigned",G372="Unassigned"),"Tier unresolved",IF(IFERROR(VALUE(RIGHT(G372,1))-VALUE(RIGHT(IFERROR(INDEX('Crafting recipes'!$H$6:$H$1005,MATCH(J372,'Crafting recipes'!$A$6:$A$1005,0)),"MISSING ID"),1)),0)=1,IF(B372=IFERROR(INDEX('Crafting recipes'!$H$6:$H$1005,MATCH(J372,'Crafting recipes'!$A$6:$A$1005,0)),"MISSING ID"),"Advances one material tier","Lower-tier ingredient; route advances one tier"),"Needs tier review"))))))</x:f>
        <x:v>Advances one material tier</x:v>
      </x:c>
      <x:c r="S372" s="4" t="str">
        <x:f>IFERROR(INDEX('Material routes'!$D$6:$D$2205,MATCH(U372,'Material routes'!$A$6:$A$2205,0)),"MISSING ID")</x:f>
        <x:v>author.metallurgy.steel_stock</x:v>
      </x:c>
      <x:c r="T372" s="4" t="str">
        <x:f>IFERROR(INDEX('Material routes'!$D$6:$D$2205,MATCH(V372,'Material routes'!$A$6:$A$2205,0)),"MISSING ID")</x:f>
        <x:v>proposal.legger.long_load_clamp</x:v>
      </x:c>
      <x:c r="U372" s="4" t="str">
        <x:v>design.review.proposal_legger_long_load_clamp.in.1</x:v>
      </x:c>
      <x:c r="V372" s="4" t="str">
        <x:v>design.review.proposal_legger_long_load_clamp.out</x:v>
      </x:c>
    </x:row>
    <x:row r="373" ht="115" customHeight="1">
      <x:c r="A373" s="4" t="str">
        <x:f>IFERROR(INDEX('Material routes'!$E$6:$E$2205,MATCH(U373,'Material routes'!$A$6:$A$2205,0)),"MISSING ID")</x:f>
        <x:v>Steel stock</x:v>
      </x:c>
      <x:c r="B373" s="4" t="str">
        <x:f>IFERROR(INDEX('Material routes'!$F$6:$F$2205,MATCH(U373,'Material routes'!$A$6:$A$2205,0)),"MISSING ID")</x:f>
        <x:v>T2</x:v>
      </x:c>
      <x:c r="C373" s="4" t="str">
        <x:f>IFERROR(INDEX('Material routes'!$H$6:$H$2205,MATCH(U373,'Material routes'!$A$6:$A$2205,0)),"MISSING ID")</x:f>
        <x:v>Processed material</x:v>
      </x:c>
      <x:c r="D373" s="4" t="str">
        <x:f>IFERROR(INDEX('Material routes'!$G$6:$G$2205,MATCH(U373,'Material routes'!$A$6:$A$2205,0)),"MISSING ID")</x:f>
        <x:v>Manufactured stock</x:v>
      </x:c>
      <x:c r="E373" s="4" t="str">
        <x:f>IFERROR(INDEX('Material routes'!$C$6:$C$2205,MATCH(U373,'Material routes'!$A$6:$A$2205,0)),"MISSING ID")</x:f>
        <x:v>Ingredient candidate</x:v>
      </x:c>
      <x:c r="F373" s="4" t="str">
        <x:f>IFERROR(INDEX('Material routes'!$E$6:$E$2205,MATCH(V373,'Material routes'!$A$6:$A$2205,0)),"MISSING ID")</x:f>
        <x:v>Chassis hinge-mount plate</x:v>
      </x:c>
      <x:c r="G373" s="4" t="str">
        <x:f>IFERROR(INDEX('Material routes'!$F$6:$F$2205,MATCH(V373,'Material routes'!$A$6:$A$2205,0)),"MISSING ID")</x:f>
        <x:v>T3</x:v>
      </x:c>
      <x:c r="H373" s="4" t="str">
        <x:f>IFERROR(INDEX('Material routes'!$H$6:$H$2205,MATCH(V373,'Material routes'!$A$6:$A$2205,0)),"MISSING ID")</x:f>
        <x:v>Crafting component</x:v>
      </x:c>
      <x:c r="I373" s="4" t="str">
        <x:f>IFERROR(INDEX('Material routes'!$G$6:$G$2205,MATCH(V373,'Material routes'!$A$6:$A$2205,0)),"MISSING ID")</x:f>
        <x:v>Crafting components</x:v>
      </x:c>
      <x:c r="J373" s="4" t="str">
        <x:f>IFERROR(INDEX('Material routes'!$B$6:$B$2205,MATCH(U373,'Material routes'!$A$6:$A$2205,0)),"MISSING ID")</x:f>
        <x:v>design.review.proposal_legger_hinge_plate</x:v>
      </x:c>
      <x:c r="K373" s="4" t="str">
        <x:f>IFERROR(INDEX('Crafting recipes'!$C$6:$C$1005,MATCH(J373,'Crafting recipes'!$A$6:$A$1005,0)),"MISSING ID")</x:f>
        <x:v>Material refinement</x:v>
      </x:c>
      <x:c r="L373" s="4" t="str">
        <x:f>IFERROR(INDEX('Material routes'!$K$6:$K$2205,MATCH(U373,'Material routes'!$A$6:$A$2205,0)),"MISSING ID")</x:f>
        <x:v>Proposal</x:v>
      </x:c>
      <x:c r="M373" s="4" t="str">
        <x:f>IFERROR(INDEX('Material routes'!$M$6:$M$2205,MATCH(U373,'Material routes'!$A$6:$A$2205,0)),"MISSING ID")</x:f>
        <x:v>Partial proposal</x:v>
      </x:c>
      <x:c r="N373" s="4" t="str">
        <x:f>IF(IFERROR(INDEX('Material routes'!$I$6:$I$1005,MATCH(U373,'Material routes'!$A$6:$A$1005,0)),"MISSING ID")=0,"",IFERROR(INDEX('Material routes'!$I$6:$I$1005,MATCH(U373,'Material routes'!$A$6:$A$1005,0)),"MISSING ID"))</x:f>
      </x:c>
      <x:c r="O373" s="4" t="str">
        <x:f>IFERROR(INDEX('Material routes'!$J$6:$J$2205,MATCH(U373,'Material routes'!$A$6:$A$2205,0)),"MISSING ID")</x:f>
        <x:v>Unspecified</x:v>
      </x:c>
      <x:c r="P373" s="4" t="str">
        <x:f>IF(IFERROR(INDEX('Material routes'!$I$6:$I$1005,MATCH(V373,'Material routes'!$A$6:$A$1005,0)),"MISSING ID")=0,"",IFERROR(INDEX('Material routes'!$I$6:$I$1005,MATCH(V373,'Material routes'!$A$6:$A$1005,0)),"MISSING ID"))</x:f>
      </x:c>
      <x:c r="Q373" s="4" t="str">
        <x:f>IFERROR(INDEX('Material routes'!$J$6:$J$2205,MATCH(V373,'Material routes'!$A$6:$A$2205,0)),"MISSING ID")</x:f>
        <x:v>Unspecified</x:v>
      </x:c>
      <x:c r="R373" s="4" t="str">
        <x:f>IF(L373="Withheld","Withheld premise",IF(E373="Tool candidate","Reusable prerequisite",IF(K373="Raw entry preparation","Entry-resource preparation",IF(G373="Not applicable",IF(IFERROR(INDEX('Items'!$AI$6:$AI$1005,MATCH(T373,'Items'!$A$6:$A$1005,0)),"MISSING ID")="Finished item","Finished endpoint",IF(IFERROR(INDEX('Items'!$AI$6:$AI$1005,MATCH(T373,'Items'!$A$6:$A$1005,0)),"MISSING ID")="Currency","Currency / no refinement tier","Recovered output / tier not applicable")),IF(OR(IFERROR(INDEX('Crafting recipes'!$H$6:$H$1005,MATCH(J373,'Crafting recipes'!$A$6:$A$1005,0)),"MISSING ID")="Unassigned",G373="Unassigned"),"Tier unresolved",IF(IFERROR(VALUE(RIGHT(G373,1))-VALUE(RIGHT(IFERROR(INDEX('Crafting recipes'!$H$6:$H$1005,MATCH(J373,'Crafting recipes'!$A$6:$A$1005,0)),"MISSING ID"),1)),0)=1,IF(B373=IFERROR(INDEX('Crafting recipes'!$H$6:$H$1005,MATCH(J373,'Crafting recipes'!$A$6:$A$1005,0)),"MISSING ID"),"Advances one material tier","Lower-tier ingredient; route advances one tier"),"Needs tier review"))))))</x:f>
        <x:v>Advances one material tier</x:v>
      </x:c>
      <x:c r="S373" s="4" t="str">
        <x:f>IFERROR(INDEX('Material routes'!$D$6:$D$2205,MATCH(U373,'Material routes'!$A$6:$A$2205,0)),"MISSING ID")</x:f>
        <x:v>author.metallurgy.steel_stock</x:v>
      </x:c>
      <x:c r="T373" s="4" t="str">
        <x:f>IFERROR(INDEX('Material routes'!$D$6:$D$2205,MATCH(V373,'Material routes'!$A$6:$A$2205,0)),"MISSING ID")</x:f>
        <x:v>proposal.legger.hinge_plate</x:v>
      </x:c>
      <x:c r="U373" s="4" t="str">
        <x:v>design.review.proposal_legger_hinge_plate.in.1</x:v>
      </x:c>
      <x:c r="V373" s="4" t="str">
        <x:v>design.review.proposal_legger_hinge_plate.out</x:v>
      </x:c>
    </x:row>
    <x:row r="374" ht="115" customHeight="1">
      <x:c r="A374" s="4" t="str">
        <x:f>IFERROR(INDEX('Material routes'!$E$6:$E$2205,MATCH(U374,'Material routes'!$A$6:$A$2205,0)),"MISSING ID")</x:f>
        <x:v>Steel stock</x:v>
      </x:c>
      <x:c r="B374" s="4" t="str">
        <x:f>IFERROR(INDEX('Material routes'!$F$6:$F$2205,MATCH(U374,'Material routes'!$A$6:$A$2205,0)),"MISSING ID")</x:f>
        <x:v>T2</x:v>
      </x:c>
      <x:c r="C374" s="4" t="str">
        <x:f>IFERROR(INDEX('Material routes'!$H$6:$H$2205,MATCH(U374,'Material routes'!$A$6:$A$2205,0)),"MISSING ID")</x:f>
        <x:v>Processed material</x:v>
      </x:c>
      <x:c r="D374" s="4" t="str">
        <x:f>IFERROR(INDEX('Material routes'!$G$6:$G$2205,MATCH(U374,'Material routes'!$A$6:$A$2205,0)),"MISSING ID")</x:f>
        <x:v>Manufactured stock</x:v>
      </x:c>
      <x:c r="E374" s="4" t="str">
        <x:f>IFERROR(INDEX('Material routes'!$C$6:$C$2205,MATCH(U374,'Material routes'!$A$6:$A$2205,0)),"MISSING ID")</x:f>
        <x:v>Ingredient candidate</x:v>
      </x:c>
      <x:c r="F374" s="4" t="str">
        <x:f>IFERROR(INDEX('Material routes'!$E$6:$E$2205,MATCH(V374,'Material routes'!$A$6:$A$2205,0)),"MISSING ID")</x:f>
        <x:v>Sacrificial attachment mount</x:v>
      </x:c>
      <x:c r="G374" s="4" t="str">
        <x:f>IFERROR(INDEX('Material routes'!$F$6:$F$2205,MATCH(V374,'Material routes'!$A$6:$A$2205,0)),"MISSING ID")</x:f>
        <x:v>T3</x:v>
      </x:c>
      <x:c r="H374" s="4" t="str">
        <x:f>IFERROR(INDEX('Material routes'!$H$6:$H$2205,MATCH(V374,'Material routes'!$A$6:$A$2205,0)),"MISSING ID")</x:f>
        <x:v>Crafting component</x:v>
      </x:c>
      <x:c r="I374" s="4" t="str">
        <x:f>IFERROR(INDEX('Material routes'!$G$6:$G$2205,MATCH(V374,'Material routes'!$A$6:$A$2205,0)),"MISSING ID")</x:f>
        <x:v>Crafting components</x:v>
      </x:c>
      <x:c r="J374" s="4" t="str">
        <x:f>IFERROR(INDEX('Material routes'!$B$6:$B$2205,MATCH(U374,'Material routes'!$A$6:$A$2205,0)),"MISSING ID")</x:f>
        <x:v>design.review.proposal_legger_crush_mount</x:v>
      </x:c>
      <x:c r="K374" s="4" t="str">
        <x:f>IFERROR(INDEX('Crafting recipes'!$C$6:$C$1005,MATCH(J374,'Crafting recipes'!$A$6:$A$1005,0)),"MISSING ID")</x:f>
        <x:v>Material refinement</x:v>
      </x:c>
      <x:c r="L374" s="4" t="str">
        <x:f>IFERROR(INDEX('Material routes'!$K$6:$K$2205,MATCH(U374,'Material routes'!$A$6:$A$2205,0)),"MISSING ID")</x:f>
        <x:v>Proposal</x:v>
      </x:c>
      <x:c r="M374" s="4" t="str">
        <x:f>IFERROR(INDEX('Material routes'!$M$6:$M$2205,MATCH(U374,'Material routes'!$A$6:$A$2205,0)),"MISSING ID")</x:f>
        <x:v>Partial proposal</x:v>
      </x:c>
      <x:c r="N374" s="4" t="str">
        <x:f>IF(IFERROR(INDEX('Material routes'!$I$6:$I$1005,MATCH(U374,'Material routes'!$A$6:$A$1005,0)),"MISSING ID")=0,"",IFERROR(INDEX('Material routes'!$I$6:$I$1005,MATCH(U374,'Material routes'!$A$6:$A$1005,0)),"MISSING ID"))</x:f>
      </x:c>
      <x:c r="O374" s="4" t="str">
        <x:f>IFERROR(INDEX('Material routes'!$J$6:$J$2205,MATCH(U374,'Material routes'!$A$6:$A$2205,0)),"MISSING ID")</x:f>
        <x:v>Unspecified</x:v>
      </x:c>
      <x:c r="P374" s="4" t="str">
        <x:f>IF(IFERROR(INDEX('Material routes'!$I$6:$I$1005,MATCH(V374,'Material routes'!$A$6:$A$1005,0)),"MISSING ID")=0,"",IFERROR(INDEX('Material routes'!$I$6:$I$1005,MATCH(V374,'Material routes'!$A$6:$A$1005,0)),"MISSING ID"))</x:f>
      </x:c>
      <x:c r="Q374" s="4" t="str">
        <x:f>IFERROR(INDEX('Material routes'!$J$6:$J$2205,MATCH(V374,'Material routes'!$A$6:$A$2205,0)),"MISSING ID")</x:f>
        <x:v>Unspecified</x:v>
      </x:c>
      <x:c r="R374" s="4" t="str">
        <x:f>IF(L374="Withheld","Withheld premise",IF(E374="Tool candidate","Reusable prerequisite",IF(K374="Raw entry preparation","Entry-resource preparation",IF(G374="Not applicable",IF(IFERROR(INDEX('Items'!$AI$6:$AI$1005,MATCH(T374,'Items'!$A$6:$A$1005,0)),"MISSING ID")="Finished item","Finished endpoint",IF(IFERROR(INDEX('Items'!$AI$6:$AI$1005,MATCH(T374,'Items'!$A$6:$A$1005,0)),"MISSING ID")="Currency","Currency / no refinement tier","Recovered output / tier not applicable")),IF(OR(IFERROR(INDEX('Crafting recipes'!$H$6:$H$1005,MATCH(J374,'Crafting recipes'!$A$6:$A$1005,0)),"MISSING ID")="Unassigned",G374="Unassigned"),"Tier unresolved",IF(IFERROR(VALUE(RIGHT(G374,1))-VALUE(RIGHT(IFERROR(INDEX('Crafting recipes'!$H$6:$H$1005,MATCH(J374,'Crafting recipes'!$A$6:$A$1005,0)),"MISSING ID"),1)),0)=1,IF(B374=IFERROR(INDEX('Crafting recipes'!$H$6:$H$1005,MATCH(J374,'Crafting recipes'!$A$6:$A$1005,0)),"MISSING ID"),"Advances one material tier","Lower-tier ingredient; route advances one tier"),"Needs tier review"))))))</x:f>
        <x:v>Advances one material tier</x:v>
      </x:c>
      <x:c r="S374" s="4" t="str">
        <x:f>IFERROR(INDEX('Material routes'!$D$6:$D$2205,MATCH(U374,'Material routes'!$A$6:$A$2205,0)),"MISSING ID")</x:f>
        <x:v>author.metallurgy.steel_stock</x:v>
      </x:c>
      <x:c r="T374" s="4" t="str">
        <x:f>IFERROR(INDEX('Material routes'!$D$6:$D$2205,MATCH(V374,'Material routes'!$A$6:$A$2205,0)),"MISSING ID")</x:f>
        <x:v>proposal.legger.crush_mount</x:v>
      </x:c>
      <x:c r="U374" s="4" t="str">
        <x:v>design.review.proposal_legger_crush_mount.in.1</x:v>
      </x:c>
      <x:c r="V374" s="4" t="str">
        <x:v>design.review.proposal_legger_crush_mount.out</x:v>
      </x:c>
    </x:row>
    <x:row r="375" ht="115" customHeight="1">
      <x:c r="A375" s="4" t="str">
        <x:f>IFERROR(INDEX('Material routes'!$E$6:$E$2205,MATCH(U375,'Material routes'!$A$6:$A$2205,0)),"MISSING ID")</x:f>
        <x:v>Worked iron stock</x:v>
      </x:c>
      <x:c r="B375" s="4" t="str">
        <x:f>IFERROR(INDEX('Material routes'!$F$6:$F$2205,MATCH(U375,'Material routes'!$A$6:$A$2205,0)),"MISSING ID")</x:f>
        <x:v>T2</x:v>
      </x:c>
      <x:c r="C375" s="4" t="str">
        <x:f>IFERROR(INDEX('Material routes'!$H$6:$H$2205,MATCH(U375,'Material routes'!$A$6:$A$2205,0)),"MISSING ID")</x:f>
        <x:v>Processed material</x:v>
      </x:c>
      <x:c r="D375" s="4" t="str">
        <x:f>IFERROR(INDEX('Material routes'!$G$6:$G$2205,MATCH(U375,'Material routes'!$A$6:$A$2205,0)),"MISSING ID")</x:f>
        <x:v>Manufactured stock</x:v>
      </x:c>
      <x:c r="E375" s="4" t="str">
        <x:f>IFERROR(INDEX('Material routes'!$C$6:$C$2205,MATCH(U375,'Material routes'!$A$6:$A$2205,0)),"MISSING ID")</x:f>
        <x:v>Ingredient candidate</x:v>
      </x:c>
      <x:c r="F375" s="4" t="str">
        <x:f>IFERROR(INDEX('Material routes'!$E$6:$E$2205,MATCH(V375,'Material routes'!$A$6:$A$2205,0)),"MISSING ID")</x:f>
        <x:v>Iron chassis replacement rib</x:v>
      </x:c>
      <x:c r="G375" s="4" t="str">
        <x:f>IFERROR(INDEX('Material routes'!$F$6:$F$2205,MATCH(V375,'Material routes'!$A$6:$A$2205,0)),"MISSING ID")</x:f>
        <x:v>T3</x:v>
      </x:c>
      <x:c r="H375" s="4" t="str">
        <x:f>IFERROR(INDEX('Material routes'!$H$6:$H$2205,MATCH(V375,'Material routes'!$A$6:$A$2205,0)),"MISSING ID")</x:f>
        <x:v>Crafting component</x:v>
      </x:c>
      <x:c r="I375" s="4" t="str">
        <x:f>IFERROR(INDEX('Material routes'!$G$6:$G$2205,MATCH(V375,'Material routes'!$A$6:$A$2205,0)),"MISSING ID")</x:f>
        <x:v>Crafting components</x:v>
      </x:c>
      <x:c r="J375" s="4" t="str">
        <x:f>IFERROR(INDEX('Material routes'!$B$6:$B$2205,MATCH(U375,'Material routes'!$A$6:$A$2205,0)),"MISSING ID")</x:f>
        <x:v>design.review.proposal_legger_iron_rib</x:v>
      </x:c>
      <x:c r="K375" s="4" t="str">
        <x:f>IFERROR(INDEX('Crafting recipes'!$C$6:$C$1005,MATCH(J375,'Crafting recipes'!$A$6:$A$1005,0)),"MISSING ID")</x:f>
        <x:v>Material refinement</x:v>
      </x:c>
      <x:c r="L375" s="4" t="str">
        <x:f>IFERROR(INDEX('Material routes'!$K$6:$K$2205,MATCH(U375,'Material routes'!$A$6:$A$2205,0)),"MISSING ID")</x:f>
        <x:v>Proposal</x:v>
      </x:c>
      <x:c r="M375" s="4" t="str">
        <x:f>IFERROR(INDEX('Material routes'!$M$6:$M$2205,MATCH(U375,'Material routes'!$A$6:$A$2205,0)),"MISSING ID")</x:f>
        <x:v>Partial proposal</x:v>
      </x:c>
      <x:c r="N375" s="4" t="str">
        <x:f>IF(IFERROR(INDEX('Material routes'!$I$6:$I$1005,MATCH(U375,'Material routes'!$A$6:$A$1005,0)),"MISSING ID")=0,"",IFERROR(INDEX('Material routes'!$I$6:$I$1005,MATCH(U375,'Material routes'!$A$6:$A$1005,0)),"MISSING ID"))</x:f>
      </x:c>
      <x:c r="O375" s="4" t="str">
        <x:f>IFERROR(INDEX('Material routes'!$J$6:$J$2205,MATCH(U375,'Material routes'!$A$6:$A$2205,0)),"MISSING ID")</x:f>
        <x:v>Unspecified</x:v>
      </x:c>
      <x:c r="P375" s="4" t="str">
        <x:f>IF(IFERROR(INDEX('Material routes'!$I$6:$I$1005,MATCH(V375,'Material routes'!$A$6:$A$1005,0)),"MISSING ID")=0,"",IFERROR(INDEX('Material routes'!$I$6:$I$1005,MATCH(V375,'Material routes'!$A$6:$A$1005,0)),"MISSING ID"))</x:f>
      </x:c>
      <x:c r="Q375" s="4" t="str">
        <x:f>IFERROR(INDEX('Material routes'!$J$6:$J$2205,MATCH(V375,'Material routes'!$A$6:$A$2205,0)),"MISSING ID")</x:f>
        <x:v>Unspecified</x:v>
      </x:c>
      <x:c r="R375" s="4" t="str">
        <x:f>IF(L375="Withheld","Withheld premise",IF(E375="Tool candidate","Reusable prerequisite",IF(K375="Raw entry preparation","Entry-resource preparation",IF(G375="Not applicable",IF(IFERROR(INDEX('Items'!$AI$6:$AI$1005,MATCH(T375,'Items'!$A$6:$A$1005,0)),"MISSING ID")="Finished item","Finished endpoint",IF(IFERROR(INDEX('Items'!$AI$6:$AI$1005,MATCH(T375,'Items'!$A$6:$A$1005,0)),"MISSING ID")="Currency","Currency / no refinement tier","Recovered output / tier not applicable")),IF(OR(IFERROR(INDEX('Crafting recipes'!$H$6:$H$1005,MATCH(J375,'Crafting recipes'!$A$6:$A$1005,0)),"MISSING ID")="Unassigned",G375="Unassigned"),"Tier unresolved",IF(IFERROR(VALUE(RIGHT(G375,1))-VALUE(RIGHT(IFERROR(INDEX('Crafting recipes'!$H$6:$H$1005,MATCH(J375,'Crafting recipes'!$A$6:$A$1005,0)),"MISSING ID"),1)),0)=1,IF(B375=IFERROR(INDEX('Crafting recipes'!$H$6:$H$1005,MATCH(J375,'Crafting recipes'!$A$6:$A$1005,0)),"MISSING ID"),"Advances one material tier","Lower-tier ingredient; route advances one tier"),"Needs tier review"))))))</x:f>
        <x:v>Advances one material tier</x:v>
      </x:c>
      <x:c r="S375" s="4" t="str">
        <x:f>IFERROR(INDEX('Material routes'!$D$6:$D$2205,MATCH(U375,'Material routes'!$A$6:$A$2205,0)),"MISSING ID")</x:f>
        <x:v>proposal.natural.iron_stock</x:v>
      </x:c>
      <x:c r="T375" s="4" t="str">
        <x:f>IFERROR(INDEX('Material routes'!$D$6:$D$2205,MATCH(V375,'Material routes'!$A$6:$A$2205,0)),"MISSING ID")</x:f>
        <x:v>proposal.legger.iron_rib</x:v>
      </x:c>
      <x:c r="U375" s="4" t="str">
        <x:v>design.review.proposal_legger_iron_rib.in.1</x:v>
      </x:c>
      <x:c r="V375" s="4" t="str">
        <x:v>design.review.proposal_legger_iron_rib.out</x:v>
      </x:c>
    </x:row>
    <x:row r="376" ht="115" customHeight="1">
      <x:c r="A376" s="4" t="str">
        <x:f>IFERROR(INDEX('Material routes'!$E$6:$E$2205,MATCH(U376,'Material routes'!$A$6:$A$2205,0)),"MISSING ID")</x:f>
        <x:v>Worked iron stock</x:v>
      </x:c>
      <x:c r="B376" s="4" t="str">
        <x:f>IFERROR(INDEX('Material routes'!$F$6:$F$2205,MATCH(U376,'Material routes'!$A$6:$A$2205,0)),"MISSING ID")</x:f>
        <x:v>T2</x:v>
      </x:c>
      <x:c r="C376" s="4" t="str">
        <x:f>IFERROR(INDEX('Material routes'!$H$6:$H$2205,MATCH(U376,'Material routes'!$A$6:$A$2205,0)),"MISSING ID")</x:f>
        <x:v>Processed material</x:v>
      </x:c>
      <x:c r="D376" s="4" t="str">
        <x:f>IFERROR(INDEX('Material routes'!$G$6:$G$2205,MATCH(U376,'Material routes'!$A$6:$A$2205,0)),"MISSING ID")</x:f>
        <x:v>Manufactured stock</x:v>
      </x:c>
      <x:c r="E376" s="4" t="str">
        <x:f>IFERROR(INDEX('Material routes'!$C$6:$C$2205,MATCH(U376,'Material routes'!$A$6:$A$2205,0)),"MISSING ID")</x:f>
        <x:v>Ingredient candidate</x:v>
      </x:c>
      <x:c r="F376" s="4" t="str">
        <x:f>IFERROR(INDEX('Material routes'!$E$6:$E$2205,MATCH(V376,'Material routes'!$A$6:$A$2205,0)),"MISSING ID")</x:f>
        <x:v>Chassis crossbrace</x:v>
      </x:c>
      <x:c r="G376" s="4" t="str">
        <x:f>IFERROR(INDEX('Material routes'!$F$6:$F$2205,MATCH(V376,'Material routes'!$A$6:$A$2205,0)),"MISSING ID")</x:f>
        <x:v>T3</x:v>
      </x:c>
      <x:c r="H376" s="4" t="str">
        <x:f>IFERROR(INDEX('Material routes'!$H$6:$H$2205,MATCH(V376,'Material routes'!$A$6:$A$2205,0)),"MISSING ID")</x:f>
        <x:v>Crafting component</x:v>
      </x:c>
      <x:c r="I376" s="4" t="str">
        <x:f>IFERROR(INDEX('Material routes'!$G$6:$G$2205,MATCH(V376,'Material routes'!$A$6:$A$2205,0)),"MISSING ID")</x:f>
        <x:v>Crafting components</x:v>
      </x:c>
      <x:c r="J376" s="4" t="str">
        <x:f>IFERROR(INDEX('Material routes'!$B$6:$B$2205,MATCH(U376,'Material routes'!$A$6:$A$2205,0)),"MISSING ID")</x:f>
        <x:v>design.review.proposal_legger_crossbrace</x:v>
      </x:c>
      <x:c r="K376" s="4" t="str">
        <x:f>IFERROR(INDEX('Crafting recipes'!$C$6:$C$1005,MATCH(J376,'Crafting recipes'!$A$6:$A$1005,0)),"MISSING ID")</x:f>
        <x:v>Material refinement</x:v>
      </x:c>
      <x:c r="L376" s="4" t="str">
        <x:f>IFERROR(INDEX('Material routes'!$K$6:$K$2205,MATCH(U376,'Material routes'!$A$6:$A$2205,0)),"MISSING ID")</x:f>
        <x:v>Proposal</x:v>
      </x:c>
      <x:c r="M376" s="4" t="str">
        <x:f>IFERROR(INDEX('Material routes'!$M$6:$M$2205,MATCH(U376,'Material routes'!$A$6:$A$2205,0)),"MISSING ID")</x:f>
        <x:v>Partial proposal</x:v>
      </x:c>
      <x:c r="N376" s="4" t="str">
        <x:f>IF(IFERROR(INDEX('Material routes'!$I$6:$I$1005,MATCH(U376,'Material routes'!$A$6:$A$1005,0)),"MISSING ID")=0,"",IFERROR(INDEX('Material routes'!$I$6:$I$1005,MATCH(U376,'Material routes'!$A$6:$A$1005,0)),"MISSING ID"))</x:f>
      </x:c>
      <x:c r="O376" s="4" t="str">
        <x:f>IFERROR(INDEX('Material routes'!$J$6:$J$2205,MATCH(U376,'Material routes'!$A$6:$A$2205,0)),"MISSING ID")</x:f>
        <x:v>Unspecified</x:v>
      </x:c>
      <x:c r="P376" s="4" t="str">
        <x:f>IF(IFERROR(INDEX('Material routes'!$I$6:$I$1005,MATCH(V376,'Material routes'!$A$6:$A$1005,0)),"MISSING ID")=0,"",IFERROR(INDEX('Material routes'!$I$6:$I$1005,MATCH(V376,'Material routes'!$A$6:$A$1005,0)),"MISSING ID"))</x:f>
      </x:c>
      <x:c r="Q376" s="4" t="str">
        <x:f>IFERROR(INDEX('Material routes'!$J$6:$J$2205,MATCH(V376,'Material routes'!$A$6:$A$2205,0)),"MISSING ID")</x:f>
        <x:v>Unspecified</x:v>
      </x:c>
      <x:c r="R376" s="4" t="str">
        <x:f>IF(L376="Withheld","Withheld premise",IF(E376="Tool candidate","Reusable prerequisite",IF(K376="Raw entry preparation","Entry-resource preparation",IF(G376="Not applicable",IF(IFERROR(INDEX('Items'!$AI$6:$AI$1005,MATCH(T376,'Items'!$A$6:$A$1005,0)),"MISSING ID")="Finished item","Finished endpoint",IF(IFERROR(INDEX('Items'!$AI$6:$AI$1005,MATCH(T376,'Items'!$A$6:$A$1005,0)),"MISSING ID")="Currency","Currency / no refinement tier","Recovered output / tier not applicable")),IF(OR(IFERROR(INDEX('Crafting recipes'!$H$6:$H$1005,MATCH(J376,'Crafting recipes'!$A$6:$A$1005,0)),"MISSING ID")="Unassigned",G376="Unassigned"),"Tier unresolved",IF(IFERROR(VALUE(RIGHT(G376,1))-VALUE(RIGHT(IFERROR(INDEX('Crafting recipes'!$H$6:$H$1005,MATCH(J376,'Crafting recipes'!$A$6:$A$1005,0)),"MISSING ID"),1)),0)=1,IF(B376=IFERROR(INDEX('Crafting recipes'!$H$6:$H$1005,MATCH(J376,'Crafting recipes'!$A$6:$A$1005,0)),"MISSING ID"),"Advances one material tier","Lower-tier ingredient; route advances one tier"),"Needs tier review"))))))</x:f>
        <x:v>Advances one material tier</x:v>
      </x:c>
      <x:c r="S376" s="4" t="str">
        <x:f>IFERROR(INDEX('Material routes'!$D$6:$D$2205,MATCH(U376,'Material routes'!$A$6:$A$2205,0)),"MISSING ID")</x:f>
        <x:v>proposal.natural.iron_stock</x:v>
      </x:c>
      <x:c r="T376" s="4" t="str">
        <x:f>IFERROR(INDEX('Material routes'!$D$6:$D$2205,MATCH(V376,'Material routes'!$A$6:$A$2205,0)),"MISSING ID")</x:f>
        <x:v>proposal.legger.crossbrace</x:v>
      </x:c>
      <x:c r="U376" s="4" t="str">
        <x:v>design.review.proposal_legger_crossbrace.in.1</x:v>
      </x:c>
      <x:c r="V376" s="4" t="str">
        <x:v>design.review.proposal_legger_crossbrace.out</x:v>
      </x:c>
    </x:row>
    <x:row r="377" ht="115" customHeight="1">
      <x:c r="A377" s="4" t="str">
        <x:f>IFERROR(INDEX('Material routes'!$E$6:$E$2205,MATCH(U377,'Material routes'!$A$6:$A$2205,0)),"MISSING ID")</x:f>
        <x:v>Worked iron stock</x:v>
      </x:c>
      <x:c r="B377" s="4" t="str">
        <x:f>IFERROR(INDEX('Material routes'!$F$6:$F$2205,MATCH(U377,'Material routes'!$A$6:$A$2205,0)),"MISSING ID")</x:f>
        <x:v>T2</x:v>
      </x:c>
      <x:c r="C377" s="4" t="str">
        <x:f>IFERROR(INDEX('Material routes'!$H$6:$H$2205,MATCH(U377,'Material routes'!$A$6:$A$2205,0)),"MISSING ID")</x:f>
        <x:v>Processed material</x:v>
      </x:c>
      <x:c r="D377" s="4" t="str">
        <x:f>IFERROR(INDEX('Material routes'!$G$6:$G$2205,MATCH(U377,'Material routes'!$A$6:$A$2205,0)),"MISSING ID")</x:f>
        <x:v>Manufactured stock</x:v>
      </x:c>
      <x:c r="E377" s="4" t="str">
        <x:f>IFERROR(INDEX('Material routes'!$C$6:$C$2205,MATCH(U377,'Material routes'!$A$6:$A$2205,0)),"MISSING ID")</x:f>
        <x:v>Ingredient candidate</x:v>
      </x:c>
      <x:c r="F377" s="4" t="str">
        <x:f>IFERROR(INDEX('Material routes'!$E$6:$E$2205,MATCH(V377,'Material routes'!$A$6:$A$2205,0)),"MISSING ID")</x:f>
        <x:v>Replaceable foot contact plate</x:v>
      </x:c>
      <x:c r="G377" s="4" t="str">
        <x:f>IFERROR(INDEX('Material routes'!$F$6:$F$2205,MATCH(V377,'Material routes'!$A$6:$A$2205,0)),"MISSING ID")</x:f>
        <x:v>T3</x:v>
      </x:c>
      <x:c r="H377" s="4" t="str">
        <x:f>IFERROR(INDEX('Material routes'!$H$6:$H$2205,MATCH(V377,'Material routes'!$A$6:$A$2205,0)),"MISSING ID")</x:f>
        <x:v>Crafting component</x:v>
      </x:c>
      <x:c r="I377" s="4" t="str">
        <x:f>IFERROR(INDEX('Material routes'!$G$6:$G$2205,MATCH(V377,'Material routes'!$A$6:$A$2205,0)),"MISSING ID")</x:f>
        <x:v>Crafting components</x:v>
      </x:c>
      <x:c r="J377" s="4" t="str">
        <x:f>IFERROR(INDEX('Material routes'!$B$6:$B$2205,MATCH(U377,'Material routes'!$A$6:$A$2205,0)),"MISSING ID")</x:f>
        <x:v>design.review.proposal_legger_foot_plate</x:v>
      </x:c>
      <x:c r="K377" s="4" t="str">
        <x:f>IFERROR(INDEX('Crafting recipes'!$C$6:$C$1005,MATCH(J377,'Crafting recipes'!$A$6:$A$1005,0)),"MISSING ID")</x:f>
        <x:v>Material refinement</x:v>
      </x:c>
      <x:c r="L377" s="4" t="str">
        <x:f>IFERROR(INDEX('Material routes'!$K$6:$K$2205,MATCH(U377,'Material routes'!$A$6:$A$2205,0)),"MISSING ID")</x:f>
        <x:v>Proposal</x:v>
      </x:c>
      <x:c r="M377" s="4" t="str">
        <x:f>IFERROR(INDEX('Material routes'!$M$6:$M$2205,MATCH(U377,'Material routes'!$A$6:$A$2205,0)),"MISSING ID")</x:f>
        <x:v>Partial proposal</x:v>
      </x:c>
      <x:c r="N377" s="4" t="str">
        <x:f>IF(IFERROR(INDEX('Material routes'!$I$6:$I$1005,MATCH(U377,'Material routes'!$A$6:$A$1005,0)),"MISSING ID")=0,"",IFERROR(INDEX('Material routes'!$I$6:$I$1005,MATCH(U377,'Material routes'!$A$6:$A$1005,0)),"MISSING ID"))</x:f>
      </x:c>
      <x:c r="O377" s="4" t="str">
        <x:f>IFERROR(INDEX('Material routes'!$J$6:$J$2205,MATCH(U377,'Material routes'!$A$6:$A$2205,0)),"MISSING ID")</x:f>
        <x:v>Unspecified</x:v>
      </x:c>
      <x:c r="P377" s="4" t="str">
        <x:f>IF(IFERROR(INDEX('Material routes'!$I$6:$I$1005,MATCH(V377,'Material routes'!$A$6:$A$1005,0)),"MISSING ID")=0,"",IFERROR(INDEX('Material routes'!$I$6:$I$1005,MATCH(V377,'Material routes'!$A$6:$A$1005,0)),"MISSING ID"))</x:f>
      </x:c>
      <x:c r="Q377" s="4" t="str">
        <x:f>IFERROR(INDEX('Material routes'!$J$6:$J$2205,MATCH(V377,'Material routes'!$A$6:$A$2205,0)),"MISSING ID")</x:f>
        <x:v>Unspecified</x:v>
      </x:c>
      <x:c r="R377" s="4" t="str">
        <x:f>IF(L377="Withheld","Withheld premise",IF(E377="Tool candidate","Reusable prerequisite",IF(K377="Raw entry preparation","Entry-resource preparation",IF(G377="Not applicable",IF(IFERROR(INDEX('Items'!$AI$6:$AI$1005,MATCH(T377,'Items'!$A$6:$A$1005,0)),"MISSING ID")="Finished item","Finished endpoint",IF(IFERROR(INDEX('Items'!$AI$6:$AI$1005,MATCH(T377,'Items'!$A$6:$A$1005,0)),"MISSING ID")="Currency","Currency / no refinement tier","Recovered output / tier not applicable")),IF(OR(IFERROR(INDEX('Crafting recipes'!$H$6:$H$1005,MATCH(J377,'Crafting recipes'!$A$6:$A$1005,0)),"MISSING ID")="Unassigned",G377="Unassigned"),"Tier unresolved",IF(IFERROR(VALUE(RIGHT(G377,1))-VALUE(RIGHT(IFERROR(INDEX('Crafting recipes'!$H$6:$H$1005,MATCH(J377,'Crafting recipes'!$A$6:$A$1005,0)),"MISSING ID"),1)),0)=1,IF(B377=IFERROR(INDEX('Crafting recipes'!$H$6:$H$1005,MATCH(J377,'Crafting recipes'!$A$6:$A$1005,0)),"MISSING ID"),"Advances one material tier","Lower-tier ingredient; route advances one tier"),"Needs tier review"))))))</x:f>
        <x:v>Advances one material tier</x:v>
      </x:c>
      <x:c r="S377" s="4" t="str">
        <x:f>IFERROR(INDEX('Material routes'!$D$6:$D$2205,MATCH(U377,'Material routes'!$A$6:$A$2205,0)),"MISSING ID")</x:f>
        <x:v>proposal.natural.iron_stock</x:v>
      </x:c>
      <x:c r="T377" s="4" t="str">
        <x:f>IFERROR(INDEX('Material routes'!$D$6:$D$2205,MATCH(V377,'Material routes'!$A$6:$A$2205,0)),"MISSING ID")</x:f>
        <x:v>proposal.legger.foot_plate</x:v>
      </x:c>
      <x:c r="U377" s="4" t="str">
        <x:v>design.review.proposal_legger_foot_plate.in.1</x:v>
      </x:c>
      <x:c r="V377" s="4" t="str">
        <x:v>design.review.proposal_legger_foot_plate.out</x:v>
      </x:c>
    </x:row>
    <x:row r="378" ht="115" customHeight="1">
      <x:c r="A378" s="4" t="str">
        <x:f>IFERROR(INDEX('Material routes'!$E$6:$E$2205,MATCH(U378,'Material routes'!$A$6:$A$2205,0)),"MISSING ID")</x:f>
        <x:v>Worked iron stock</x:v>
      </x:c>
      <x:c r="B378" s="4" t="str">
        <x:f>IFERROR(INDEX('Material routes'!$F$6:$F$2205,MATCH(U378,'Material routes'!$A$6:$A$2205,0)),"MISSING ID")</x:f>
        <x:v>T2</x:v>
      </x:c>
      <x:c r="C378" s="4" t="str">
        <x:f>IFERROR(INDEX('Material routes'!$H$6:$H$2205,MATCH(U378,'Material routes'!$A$6:$A$2205,0)),"MISSING ID")</x:f>
        <x:v>Processed material</x:v>
      </x:c>
      <x:c r="D378" s="4" t="str">
        <x:f>IFERROR(INDEX('Material routes'!$G$6:$G$2205,MATCH(U378,'Material routes'!$A$6:$A$2205,0)),"MISSING ID")</x:f>
        <x:v>Manufactured stock</x:v>
      </x:c>
      <x:c r="E378" s="4" t="str">
        <x:f>IFERROR(INDEX('Material routes'!$C$6:$C$2205,MATCH(U378,'Material routes'!$A$6:$A$2205,0)),"MISSING ID")</x:f>
        <x:v>Ingredient candidate</x:v>
      </x:c>
      <x:c r="F378" s="4" t="str">
        <x:f>IFERROR(INDEX('Material routes'!$E$6:$E$2205,MATCH(V378,'Material routes'!$A$6:$A$2205,0)),"MISSING ID")</x:f>
        <x:v>Iron chassis fracture patch</x:v>
      </x:c>
      <x:c r="G378" s="4" t="str">
        <x:f>IFERROR(INDEX('Material routes'!$F$6:$F$2205,MATCH(V378,'Material routes'!$A$6:$A$2205,0)),"MISSING ID")</x:f>
        <x:v>T3</x:v>
      </x:c>
      <x:c r="H378" s="4" t="str">
        <x:f>IFERROR(INDEX('Material routes'!$H$6:$H$2205,MATCH(V378,'Material routes'!$A$6:$A$2205,0)),"MISSING ID")</x:f>
        <x:v>Crafting component</x:v>
      </x:c>
      <x:c r="I378" s="4" t="str">
        <x:f>IFERROR(INDEX('Material routes'!$G$6:$G$2205,MATCH(V378,'Material routes'!$A$6:$A$2205,0)),"MISSING ID")</x:f>
        <x:v>Crafting components</x:v>
      </x:c>
      <x:c r="J378" s="4" t="str">
        <x:f>IFERROR(INDEX('Material routes'!$B$6:$B$2205,MATCH(U378,'Material routes'!$A$6:$A$2205,0)),"MISSING ID")</x:f>
        <x:v>design.review.proposal_legger_fracture_patch</x:v>
      </x:c>
      <x:c r="K378" s="4" t="str">
        <x:f>IFERROR(INDEX('Crafting recipes'!$C$6:$C$1005,MATCH(J378,'Crafting recipes'!$A$6:$A$1005,0)),"MISSING ID")</x:f>
        <x:v>Material refinement</x:v>
      </x:c>
      <x:c r="L378" s="4" t="str">
        <x:f>IFERROR(INDEX('Material routes'!$K$6:$K$2205,MATCH(U378,'Material routes'!$A$6:$A$2205,0)),"MISSING ID")</x:f>
        <x:v>Proposal</x:v>
      </x:c>
      <x:c r="M378" s="4" t="str">
        <x:f>IFERROR(INDEX('Material routes'!$M$6:$M$2205,MATCH(U378,'Material routes'!$A$6:$A$2205,0)),"MISSING ID")</x:f>
        <x:v>Partial proposal</x:v>
      </x:c>
      <x:c r="N378" s="4" t="str">
        <x:f>IF(IFERROR(INDEX('Material routes'!$I$6:$I$1005,MATCH(U378,'Material routes'!$A$6:$A$1005,0)),"MISSING ID")=0,"",IFERROR(INDEX('Material routes'!$I$6:$I$1005,MATCH(U378,'Material routes'!$A$6:$A$1005,0)),"MISSING ID"))</x:f>
      </x:c>
      <x:c r="O378" s="4" t="str">
        <x:f>IFERROR(INDEX('Material routes'!$J$6:$J$2205,MATCH(U378,'Material routes'!$A$6:$A$2205,0)),"MISSING ID")</x:f>
        <x:v>Unspecified</x:v>
      </x:c>
      <x:c r="P378" s="4" t="str">
        <x:f>IF(IFERROR(INDEX('Material routes'!$I$6:$I$1005,MATCH(V378,'Material routes'!$A$6:$A$1005,0)),"MISSING ID")=0,"",IFERROR(INDEX('Material routes'!$I$6:$I$1005,MATCH(V378,'Material routes'!$A$6:$A$1005,0)),"MISSING ID"))</x:f>
      </x:c>
      <x:c r="Q378" s="4" t="str">
        <x:f>IFERROR(INDEX('Material routes'!$J$6:$J$2205,MATCH(V378,'Material routes'!$A$6:$A$2205,0)),"MISSING ID")</x:f>
        <x:v>Unspecified</x:v>
      </x:c>
      <x:c r="R378" s="4" t="str">
        <x:f>IF(L378="Withheld","Withheld premise",IF(E378="Tool candidate","Reusable prerequisite",IF(K378="Raw entry preparation","Entry-resource preparation",IF(G378="Not applicable",IF(IFERROR(INDEX('Items'!$AI$6:$AI$1005,MATCH(T378,'Items'!$A$6:$A$1005,0)),"MISSING ID")="Finished item","Finished endpoint",IF(IFERROR(INDEX('Items'!$AI$6:$AI$1005,MATCH(T378,'Items'!$A$6:$A$1005,0)),"MISSING ID")="Currency","Currency / no refinement tier","Recovered output / tier not applicable")),IF(OR(IFERROR(INDEX('Crafting recipes'!$H$6:$H$1005,MATCH(J378,'Crafting recipes'!$A$6:$A$1005,0)),"MISSING ID")="Unassigned",G378="Unassigned"),"Tier unresolved",IF(IFERROR(VALUE(RIGHT(G378,1))-VALUE(RIGHT(IFERROR(INDEX('Crafting recipes'!$H$6:$H$1005,MATCH(J378,'Crafting recipes'!$A$6:$A$1005,0)),"MISSING ID"),1)),0)=1,IF(B378=IFERROR(INDEX('Crafting recipes'!$H$6:$H$1005,MATCH(J378,'Crafting recipes'!$A$6:$A$1005,0)),"MISSING ID"),"Advances one material tier","Lower-tier ingredient; route advances one tier"),"Needs tier review"))))))</x:f>
        <x:v>Advances one material tier</x:v>
      </x:c>
      <x:c r="S378" s="4" t="str">
        <x:f>IFERROR(INDEX('Material routes'!$D$6:$D$2205,MATCH(U378,'Material routes'!$A$6:$A$2205,0)),"MISSING ID")</x:f>
        <x:v>proposal.natural.iron_stock</x:v>
      </x:c>
      <x:c r="T378" s="4" t="str">
        <x:f>IFERROR(INDEX('Material routes'!$D$6:$D$2205,MATCH(V378,'Material routes'!$A$6:$A$2205,0)),"MISSING ID")</x:f>
        <x:v>proposal.legger.fracture_patch</x:v>
      </x:c>
      <x:c r="U378" s="4" t="str">
        <x:v>design.review.proposal_legger_fracture_patch.in.1</x:v>
      </x:c>
      <x:c r="V378" s="4" t="str">
        <x:v>design.review.proposal_legger_fracture_patch.out</x:v>
      </x:c>
    </x:row>
    <x:row r="379" ht="115" customHeight="1">
      <x:c r="A379" s="4" t="str">
        <x:f>IFERROR(INDEX('Material routes'!$E$6:$E$2205,MATCH(U379,'Material routes'!$A$6:$A$2205,0)),"MISSING ID")</x:f>
        <x:v>Worked iron stock</x:v>
      </x:c>
      <x:c r="B379" s="4" t="str">
        <x:f>IFERROR(INDEX('Material routes'!$F$6:$F$2205,MATCH(U379,'Material routes'!$A$6:$A$2205,0)),"MISSING ID")</x:f>
        <x:v>T2</x:v>
      </x:c>
      <x:c r="C379" s="4" t="str">
        <x:f>IFERROR(INDEX('Material routes'!$H$6:$H$2205,MATCH(U379,'Material routes'!$A$6:$A$2205,0)),"MISSING ID")</x:f>
        <x:v>Processed material</x:v>
      </x:c>
      <x:c r="D379" s="4" t="str">
        <x:f>IFERROR(INDEX('Material routes'!$G$6:$G$2205,MATCH(U379,'Material routes'!$A$6:$A$2205,0)),"MISSING ID")</x:f>
        <x:v>Manufactured stock</x:v>
      </x:c>
      <x:c r="E379" s="4" t="str">
        <x:f>IFERROR(INDEX('Material routes'!$C$6:$C$2205,MATCH(U379,'Material routes'!$A$6:$A$2205,0)),"MISSING ID")</x:f>
        <x:v>Ingredient candidate</x:v>
      </x:c>
      <x:c r="F379" s="4" t="str">
        <x:f>IFERROR(INDEX('Material routes'!$E$6:$E$2205,MATCH(V379,'Material routes'!$A$6:$A$2205,0)),"MISSING ID")</x:f>
        <x:v>Chassis reinforcing ring</x:v>
      </x:c>
      <x:c r="G379" s="4" t="str">
        <x:f>IFERROR(INDEX('Material routes'!$F$6:$F$2205,MATCH(V379,'Material routes'!$A$6:$A$2205,0)),"MISSING ID")</x:f>
        <x:v>T3</x:v>
      </x:c>
      <x:c r="H379" s="4" t="str">
        <x:f>IFERROR(INDEX('Material routes'!$H$6:$H$2205,MATCH(V379,'Material routes'!$A$6:$A$2205,0)),"MISSING ID")</x:f>
        <x:v>Crafting component</x:v>
      </x:c>
      <x:c r="I379" s="4" t="str">
        <x:f>IFERROR(INDEX('Material routes'!$G$6:$G$2205,MATCH(V379,'Material routes'!$A$6:$A$2205,0)),"MISSING ID")</x:f>
        <x:v>Crafting components</x:v>
      </x:c>
      <x:c r="J379" s="4" t="str">
        <x:f>IFERROR(INDEX('Material routes'!$B$6:$B$2205,MATCH(U379,'Material routes'!$A$6:$A$2205,0)),"MISSING ID")</x:f>
        <x:v>design.review.proposal_legger_bulkhead_ring</x:v>
      </x:c>
      <x:c r="K379" s="4" t="str">
        <x:f>IFERROR(INDEX('Crafting recipes'!$C$6:$C$1005,MATCH(J379,'Crafting recipes'!$A$6:$A$1005,0)),"MISSING ID")</x:f>
        <x:v>Material refinement</x:v>
      </x:c>
      <x:c r="L379" s="4" t="str">
        <x:f>IFERROR(INDEX('Material routes'!$K$6:$K$2205,MATCH(U379,'Material routes'!$A$6:$A$2205,0)),"MISSING ID")</x:f>
        <x:v>Proposal</x:v>
      </x:c>
      <x:c r="M379" s="4" t="str">
        <x:f>IFERROR(INDEX('Material routes'!$M$6:$M$2205,MATCH(U379,'Material routes'!$A$6:$A$2205,0)),"MISSING ID")</x:f>
        <x:v>Partial proposal</x:v>
      </x:c>
      <x:c r="N379" s="4" t="str">
        <x:f>IF(IFERROR(INDEX('Material routes'!$I$6:$I$1005,MATCH(U379,'Material routes'!$A$6:$A$1005,0)),"MISSING ID")=0,"",IFERROR(INDEX('Material routes'!$I$6:$I$1005,MATCH(U379,'Material routes'!$A$6:$A$1005,0)),"MISSING ID"))</x:f>
      </x:c>
      <x:c r="O379" s="4" t="str">
        <x:f>IFERROR(INDEX('Material routes'!$J$6:$J$2205,MATCH(U379,'Material routes'!$A$6:$A$2205,0)),"MISSING ID")</x:f>
        <x:v>Unspecified</x:v>
      </x:c>
      <x:c r="P379" s="4" t="str">
        <x:f>IF(IFERROR(INDEX('Material routes'!$I$6:$I$1005,MATCH(V379,'Material routes'!$A$6:$A$1005,0)),"MISSING ID")=0,"",IFERROR(INDEX('Material routes'!$I$6:$I$1005,MATCH(V379,'Material routes'!$A$6:$A$1005,0)),"MISSING ID"))</x:f>
      </x:c>
      <x:c r="Q379" s="4" t="str">
        <x:f>IFERROR(INDEX('Material routes'!$J$6:$J$2205,MATCH(V379,'Material routes'!$A$6:$A$2205,0)),"MISSING ID")</x:f>
        <x:v>Unspecified</x:v>
      </x:c>
      <x:c r="R379" s="4" t="str">
        <x:f>IF(L379="Withheld","Withheld premise",IF(E379="Tool candidate","Reusable prerequisite",IF(K379="Raw entry preparation","Entry-resource preparation",IF(G379="Not applicable",IF(IFERROR(INDEX('Items'!$AI$6:$AI$1005,MATCH(T379,'Items'!$A$6:$A$1005,0)),"MISSING ID")="Finished item","Finished endpoint",IF(IFERROR(INDEX('Items'!$AI$6:$AI$1005,MATCH(T379,'Items'!$A$6:$A$1005,0)),"MISSING ID")="Currency","Currency / no refinement tier","Recovered output / tier not applicable")),IF(OR(IFERROR(INDEX('Crafting recipes'!$H$6:$H$1005,MATCH(J379,'Crafting recipes'!$A$6:$A$1005,0)),"MISSING ID")="Unassigned",G379="Unassigned"),"Tier unresolved",IF(IFERROR(VALUE(RIGHT(G379,1))-VALUE(RIGHT(IFERROR(INDEX('Crafting recipes'!$H$6:$H$1005,MATCH(J379,'Crafting recipes'!$A$6:$A$1005,0)),"MISSING ID"),1)),0)=1,IF(B379=IFERROR(INDEX('Crafting recipes'!$H$6:$H$1005,MATCH(J379,'Crafting recipes'!$A$6:$A$1005,0)),"MISSING ID"),"Advances one material tier","Lower-tier ingredient; route advances one tier"),"Needs tier review"))))))</x:f>
        <x:v>Advances one material tier</x:v>
      </x:c>
      <x:c r="S379" s="4" t="str">
        <x:f>IFERROR(INDEX('Material routes'!$D$6:$D$2205,MATCH(U379,'Material routes'!$A$6:$A$2205,0)),"MISSING ID")</x:f>
        <x:v>proposal.natural.iron_stock</x:v>
      </x:c>
      <x:c r="T379" s="4" t="str">
        <x:f>IFERROR(INDEX('Material routes'!$D$6:$D$2205,MATCH(V379,'Material routes'!$A$6:$A$2205,0)),"MISSING ID")</x:f>
        <x:v>proposal.legger.bulkhead_ring</x:v>
      </x:c>
      <x:c r="U379" s="4" t="str">
        <x:v>design.review.proposal_legger_bulkhead_ring.in.1</x:v>
      </x:c>
      <x:c r="V379" s="4" t="str">
        <x:v>design.review.proposal_legger_bulkhead_ring.out</x:v>
      </x:c>
    </x:row>
    <x:row r="380" ht="115" customHeight="1">
      <x:c r="A380" s="4" t="str">
        <x:f>IFERROR(INDEX('Material routes'!$E$6:$E$2205,MATCH(U380,'Material routes'!$A$6:$A$2205,0)),"MISSING ID")</x:f>
        <x:v>Worked iron stock</x:v>
      </x:c>
      <x:c r="B380" s="4" t="str">
        <x:f>IFERROR(INDEX('Material routes'!$F$6:$F$2205,MATCH(U380,'Material routes'!$A$6:$A$2205,0)),"MISSING ID")</x:f>
        <x:v>T2</x:v>
      </x:c>
      <x:c r="C380" s="4" t="str">
        <x:f>IFERROR(INDEX('Material routes'!$H$6:$H$2205,MATCH(U380,'Material routes'!$A$6:$A$2205,0)),"MISSING ID")</x:f>
        <x:v>Processed material</x:v>
      </x:c>
      <x:c r="D380" s="4" t="str">
        <x:f>IFERROR(INDEX('Material routes'!$G$6:$G$2205,MATCH(U380,'Material routes'!$A$6:$A$2205,0)),"MISSING ID")</x:f>
        <x:v>Manufactured stock</x:v>
      </x:c>
      <x:c r="E380" s="4" t="str">
        <x:f>IFERROR(INDEX('Material routes'!$C$6:$C$2205,MATCH(U380,'Material routes'!$A$6:$A$2205,0)),"MISSING ID")</x:f>
        <x:v>Ingredient candidate</x:v>
      </x:c>
      <x:c r="F380" s="4" t="str">
        <x:f>IFERROR(INDEX('Material routes'!$E$6:$E$2205,MATCH(V380,'Material routes'!$A$6:$A$2205,0)),"MISSING ID")</x:f>
        <x:v>Legger load-balance linkage</x:v>
      </x:c>
      <x:c r="G380" s="4" t="str">
        <x:f>IFERROR(INDEX('Material routes'!$F$6:$F$2205,MATCH(V380,'Material routes'!$A$6:$A$2205,0)),"MISSING ID")</x:f>
        <x:v>T3</x:v>
      </x:c>
      <x:c r="H380" s="4" t="str">
        <x:f>IFERROR(INDEX('Material routes'!$H$6:$H$2205,MATCH(V380,'Material routes'!$A$6:$A$2205,0)),"MISSING ID")</x:f>
        <x:v>Crafting component</x:v>
      </x:c>
      <x:c r="I380" s="4" t="str">
        <x:f>IFERROR(INDEX('Material routes'!$G$6:$G$2205,MATCH(V380,'Material routes'!$A$6:$A$2205,0)),"MISSING ID")</x:f>
        <x:v>Crafting components</x:v>
      </x:c>
      <x:c r="J380" s="4" t="str">
        <x:f>IFERROR(INDEX('Material routes'!$B$6:$B$2205,MATCH(U380,'Material routes'!$A$6:$A$2205,0)),"MISSING ID")</x:f>
        <x:v>design.review.proposal_legger_balance_link</x:v>
      </x:c>
      <x:c r="K380" s="4" t="str">
        <x:f>IFERROR(INDEX('Crafting recipes'!$C$6:$C$1005,MATCH(J380,'Crafting recipes'!$A$6:$A$1005,0)),"MISSING ID")</x:f>
        <x:v>Material refinement</x:v>
      </x:c>
      <x:c r="L380" s="4" t="str">
        <x:f>IFERROR(INDEX('Material routes'!$K$6:$K$2205,MATCH(U380,'Material routes'!$A$6:$A$2205,0)),"MISSING ID")</x:f>
        <x:v>Proposal</x:v>
      </x:c>
      <x:c r="M380" s="4" t="str">
        <x:f>IFERROR(INDEX('Material routes'!$M$6:$M$2205,MATCH(U380,'Material routes'!$A$6:$A$2205,0)),"MISSING ID")</x:f>
        <x:v>Partial proposal</x:v>
      </x:c>
      <x:c r="N380" s="4" t="str">
        <x:f>IF(IFERROR(INDEX('Material routes'!$I$6:$I$1005,MATCH(U380,'Material routes'!$A$6:$A$1005,0)),"MISSING ID")=0,"",IFERROR(INDEX('Material routes'!$I$6:$I$1005,MATCH(U380,'Material routes'!$A$6:$A$1005,0)),"MISSING ID"))</x:f>
      </x:c>
      <x:c r="O380" s="4" t="str">
        <x:f>IFERROR(INDEX('Material routes'!$J$6:$J$2205,MATCH(U380,'Material routes'!$A$6:$A$2205,0)),"MISSING ID")</x:f>
        <x:v>Unspecified</x:v>
      </x:c>
      <x:c r="P380" s="4" t="str">
        <x:f>IF(IFERROR(INDEX('Material routes'!$I$6:$I$1005,MATCH(V380,'Material routes'!$A$6:$A$1005,0)),"MISSING ID")=0,"",IFERROR(INDEX('Material routes'!$I$6:$I$1005,MATCH(V380,'Material routes'!$A$6:$A$1005,0)),"MISSING ID"))</x:f>
      </x:c>
      <x:c r="Q380" s="4" t="str">
        <x:f>IFERROR(INDEX('Material routes'!$J$6:$J$2205,MATCH(V380,'Material routes'!$A$6:$A$2205,0)),"MISSING ID")</x:f>
        <x:v>Unspecified</x:v>
      </x:c>
      <x:c r="R380" s="4" t="str">
        <x:f>IF(L380="Withheld","Withheld premise",IF(E380="Tool candidate","Reusable prerequisite",IF(K380="Raw entry preparation","Entry-resource preparation",IF(G380="Not applicable",IF(IFERROR(INDEX('Items'!$AI$6:$AI$1005,MATCH(T380,'Items'!$A$6:$A$1005,0)),"MISSING ID")="Finished item","Finished endpoint",IF(IFERROR(INDEX('Items'!$AI$6:$AI$1005,MATCH(T380,'Items'!$A$6:$A$1005,0)),"MISSING ID")="Currency","Currency / no refinement tier","Recovered output / tier not applicable")),IF(OR(IFERROR(INDEX('Crafting recipes'!$H$6:$H$1005,MATCH(J380,'Crafting recipes'!$A$6:$A$1005,0)),"MISSING ID")="Unassigned",G380="Unassigned"),"Tier unresolved",IF(IFERROR(VALUE(RIGHT(G380,1))-VALUE(RIGHT(IFERROR(INDEX('Crafting recipes'!$H$6:$H$1005,MATCH(J380,'Crafting recipes'!$A$6:$A$1005,0)),"MISSING ID"),1)),0)=1,IF(B380=IFERROR(INDEX('Crafting recipes'!$H$6:$H$1005,MATCH(J380,'Crafting recipes'!$A$6:$A$1005,0)),"MISSING ID"),"Advances one material tier","Lower-tier ingredient; route advances one tier"),"Needs tier review"))))))</x:f>
        <x:v>Advances one material tier</x:v>
      </x:c>
      <x:c r="S380" s="4" t="str">
        <x:f>IFERROR(INDEX('Material routes'!$D$6:$D$2205,MATCH(U380,'Material routes'!$A$6:$A$2205,0)),"MISSING ID")</x:f>
        <x:v>proposal.natural.iron_stock</x:v>
      </x:c>
      <x:c r="T380" s="4" t="str">
        <x:f>IFERROR(INDEX('Material routes'!$D$6:$D$2205,MATCH(V380,'Material routes'!$A$6:$A$2205,0)),"MISSING ID")</x:f>
        <x:v>proposal.legger.balance_link</x:v>
      </x:c>
      <x:c r="U380" s="4" t="str">
        <x:v>design.review.proposal_legger_balance_link.in.1</x:v>
      </x:c>
      <x:c r="V380" s="4" t="str">
        <x:v>design.review.proposal_legger_balance_link.out</x:v>
      </x:c>
    </x:row>
    <x:row r="381" ht="115" customHeight="1">
      <x:c r="A381" s="4" t="str">
        <x:f>IFERROR(INDEX('Material routes'!$E$6:$E$2205,MATCH(U381,'Material routes'!$A$6:$A$2205,0)),"MISSING ID")</x:f>
        <x:v>Prepared bronze bearing stock</x:v>
      </x:c>
      <x:c r="B381" s="4" t="str">
        <x:f>IFERROR(INDEX('Material routes'!$F$6:$F$2205,MATCH(U381,'Material routes'!$A$6:$A$2205,0)),"MISSING ID")</x:f>
        <x:v>T2</x:v>
      </x:c>
      <x:c r="C381" s="4" t="str">
        <x:f>IFERROR(INDEX('Material routes'!$H$6:$H$2205,MATCH(U381,'Material routes'!$A$6:$A$2205,0)),"MISSING ID")</x:f>
        <x:v>Processed material</x:v>
      </x:c>
      <x:c r="D381" s="4" t="str">
        <x:f>IFERROR(INDEX('Material routes'!$G$6:$G$2205,MATCH(U381,'Material routes'!$A$6:$A$2205,0)),"MISSING ID")</x:f>
        <x:v>Manufactured stock</x:v>
      </x:c>
      <x:c r="E381" s="4" t="str">
        <x:f>IFERROR(INDEX('Material routes'!$C$6:$C$2205,MATCH(U381,'Material routes'!$A$6:$A$2205,0)),"MISSING ID")</x:f>
        <x:v>Ingredient candidate</x:v>
      </x:c>
      <x:c r="F381" s="4" t="str">
        <x:f>IFERROR(INDEX('Material routes'!$E$6:$E$2205,MATCH(V381,'Material routes'!$A$6:$A$2205,0)),"MISSING ID")</x:f>
        <x:v>Legger load-balance linkage</x:v>
      </x:c>
      <x:c r="G381" s="4" t="str">
        <x:f>IFERROR(INDEX('Material routes'!$F$6:$F$2205,MATCH(V381,'Material routes'!$A$6:$A$2205,0)),"MISSING ID")</x:f>
        <x:v>T3</x:v>
      </x:c>
      <x:c r="H381" s="4" t="str">
        <x:f>IFERROR(INDEX('Material routes'!$H$6:$H$2205,MATCH(V381,'Material routes'!$A$6:$A$2205,0)),"MISSING ID")</x:f>
        <x:v>Crafting component</x:v>
      </x:c>
      <x:c r="I381" s="4" t="str">
        <x:f>IFERROR(INDEX('Material routes'!$G$6:$G$2205,MATCH(V381,'Material routes'!$A$6:$A$2205,0)),"MISSING ID")</x:f>
        <x:v>Crafting components</x:v>
      </x:c>
      <x:c r="J381" s="4" t="str">
        <x:f>IFERROR(INDEX('Material routes'!$B$6:$B$2205,MATCH(U381,'Material routes'!$A$6:$A$2205,0)),"MISSING ID")</x:f>
        <x:v>design.review.proposal_legger_balance_link</x:v>
      </x:c>
      <x:c r="K381" s="4" t="str">
        <x:f>IFERROR(INDEX('Crafting recipes'!$C$6:$C$1005,MATCH(J381,'Crafting recipes'!$A$6:$A$1005,0)),"MISSING ID")</x:f>
        <x:v>Material refinement</x:v>
      </x:c>
      <x:c r="L381" s="4" t="str">
        <x:f>IFERROR(INDEX('Material routes'!$K$6:$K$2205,MATCH(U381,'Material routes'!$A$6:$A$2205,0)),"MISSING ID")</x:f>
        <x:v>Proposal</x:v>
      </x:c>
      <x:c r="M381" s="4" t="str">
        <x:f>IFERROR(INDEX('Material routes'!$M$6:$M$2205,MATCH(U381,'Material routes'!$A$6:$A$2205,0)),"MISSING ID")</x:f>
        <x:v>Partial proposal</x:v>
      </x:c>
      <x:c r="N381" s="4" t="str">
        <x:f>IF(IFERROR(INDEX('Material routes'!$I$6:$I$1005,MATCH(U381,'Material routes'!$A$6:$A$1005,0)),"MISSING ID")=0,"",IFERROR(INDEX('Material routes'!$I$6:$I$1005,MATCH(U381,'Material routes'!$A$6:$A$1005,0)),"MISSING ID"))</x:f>
      </x:c>
      <x:c r="O381" s="4" t="str">
        <x:f>IFERROR(INDEX('Material routes'!$J$6:$J$2205,MATCH(U381,'Material routes'!$A$6:$A$2205,0)),"MISSING ID")</x:f>
        <x:v>Unspecified</x:v>
      </x:c>
      <x:c r="P381" s="4" t="str">
        <x:f>IF(IFERROR(INDEX('Material routes'!$I$6:$I$1005,MATCH(V381,'Material routes'!$A$6:$A$1005,0)),"MISSING ID")=0,"",IFERROR(INDEX('Material routes'!$I$6:$I$1005,MATCH(V381,'Material routes'!$A$6:$A$1005,0)),"MISSING ID"))</x:f>
      </x:c>
      <x:c r="Q381" s="4" t="str">
        <x:f>IFERROR(INDEX('Material routes'!$J$6:$J$2205,MATCH(V381,'Material routes'!$A$6:$A$2205,0)),"MISSING ID")</x:f>
        <x:v>Unspecified</x:v>
      </x:c>
      <x:c r="R381" s="4" t="str">
        <x:f>IF(L381="Withheld","Withheld premise",IF(E381="Tool candidate","Reusable prerequisite",IF(K381="Raw entry preparation","Entry-resource preparation",IF(G381="Not applicable",IF(IFERROR(INDEX('Items'!$AI$6:$AI$1005,MATCH(T381,'Items'!$A$6:$A$1005,0)),"MISSING ID")="Finished item","Finished endpoint",IF(IFERROR(INDEX('Items'!$AI$6:$AI$1005,MATCH(T381,'Items'!$A$6:$A$1005,0)),"MISSING ID")="Currency","Currency / no refinement tier","Recovered output / tier not applicable")),IF(OR(IFERROR(INDEX('Crafting recipes'!$H$6:$H$1005,MATCH(J381,'Crafting recipes'!$A$6:$A$1005,0)),"MISSING ID")="Unassigned",G381="Unassigned"),"Tier unresolved",IF(IFERROR(VALUE(RIGHT(G381,1))-VALUE(RIGHT(IFERROR(INDEX('Crafting recipes'!$H$6:$H$1005,MATCH(J381,'Crafting recipes'!$A$6:$A$1005,0)),"MISSING ID"),1)),0)=1,IF(B381=IFERROR(INDEX('Crafting recipes'!$H$6:$H$1005,MATCH(J381,'Crafting recipes'!$A$6:$A$1005,0)),"MISSING ID"),"Advances one material tier","Lower-tier ingredient; route advances one tier"),"Needs tier review"))))))</x:f>
        <x:v>Advances one material tier</x:v>
      </x:c>
      <x:c r="S381" s="4" t="str">
        <x:f>IFERROR(INDEX('Material routes'!$D$6:$D$2205,MATCH(U381,'Material routes'!$A$6:$A$2205,0)),"MISSING ID")</x:f>
        <x:v>proposal.branch.bearing_bronze</x:v>
      </x:c>
      <x:c r="T381" s="4" t="str">
        <x:f>IFERROR(INDEX('Material routes'!$D$6:$D$2205,MATCH(V381,'Material routes'!$A$6:$A$2205,0)),"MISSING ID")</x:f>
        <x:v>proposal.legger.balance_link</x:v>
      </x:c>
      <x:c r="U381" s="4" t="str">
        <x:v>design.review.proposal_legger_balance_link.in.2</x:v>
      </x:c>
      <x:c r="V381" s="4" t="str">
        <x:v>design.review.proposal_legger_balance_link.out</x:v>
      </x:c>
    </x:row>
    <x:row r="382" ht="115" customHeight="1">
      <x:c r="A382" s="4" t="str">
        <x:f>IFERROR(INDEX('Material routes'!$E$6:$E$2205,MATCH(U382,'Material routes'!$A$6:$A$2205,0)),"MISSING ID")</x:f>
        <x:v>Worked iron stock</x:v>
      </x:c>
      <x:c r="B382" s="4" t="str">
        <x:f>IFERROR(INDEX('Material routes'!$F$6:$F$2205,MATCH(U382,'Material routes'!$A$6:$A$2205,0)),"MISSING ID")</x:f>
        <x:v>T2</x:v>
      </x:c>
      <x:c r="C382" s="4" t="str">
        <x:f>IFERROR(INDEX('Material routes'!$H$6:$H$2205,MATCH(U382,'Material routes'!$A$6:$A$2205,0)),"MISSING ID")</x:f>
        <x:v>Processed material</x:v>
      </x:c>
      <x:c r="D382" s="4" t="str">
        <x:f>IFERROR(INDEX('Material routes'!$G$6:$G$2205,MATCH(U382,'Material routes'!$A$6:$A$2205,0)),"MISSING ID")</x:f>
        <x:v>Manufactured stock</x:v>
      </x:c>
      <x:c r="E382" s="4" t="str">
        <x:f>IFERROR(INDEX('Material routes'!$C$6:$C$2205,MATCH(U382,'Material routes'!$A$6:$A$2205,0)),"MISSING ID")</x:f>
        <x:v>Ingredient candidate</x:v>
      </x:c>
      <x:c r="F382" s="4" t="str">
        <x:f>IFERROR(INDEX('Material routes'!$E$6:$E$2205,MATCH(V382,'Material routes'!$A$6:$A$2205,0)),"MISSING ID")</x:f>
        <x:v>Iron joint bushing</x:v>
      </x:c>
      <x:c r="G382" s="4" t="str">
        <x:f>IFERROR(INDEX('Material routes'!$F$6:$F$2205,MATCH(V382,'Material routes'!$A$6:$A$2205,0)),"MISSING ID")</x:f>
        <x:v>T3</x:v>
      </x:c>
      <x:c r="H382" s="4" t="str">
        <x:f>IFERROR(INDEX('Material routes'!$H$6:$H$2205,MATCH(V382,'Material routes'!$A$6:$A$2205,0)),"MISSING ID")</x:f>
        <x:v>Crafting component</x:v>
      </x:c>
      <x:c r="I382" s="4" t="str">
        <x:f>IFERROR(INDEX('Material routes'!$G$6:$G$2205,MATCH(V382,'Material routes'!$A$6:$A$2205,0)),"MISSING ID")</x:f>
        <x:v>Crafting components</x:v>
      </x:c>
      <x:c r="J382" s="4" t="str">
        <x:f>IFERROR(INDEX('Material routes'!$B$6:$B$2205,MATCH(U382,'Material routes'!$A$6:$A$2205,0)),"MISSING ID")</x:f>
        <x:v>design.review.proposal_legger_joint_bush</x:v>
      </x:c>
      <x:c r="K382" s="4" t="str">
        <x:f>IFERROR(INDEX('Crafting recipes'!$C$6:$C$1005,MATCH(J382,'Crafting recipes'!$A$6:$A$1005,0)),"MISSING ID")</x:f>
        <x:v>Material refinement</x:v>
      </x:c>
      <x:c r="L382" s="4" t="str">
        <x:f>IFERROR(INDEX('Material routes'!$K$6:$K$2205,MATCH(U382,'Material routes'!$A$6:$A$2205,0)),"MISSING ID")</x:f>
        <x:v>Proposal</x:v>
      </x:c>
      <x:c r="M382" s="4" t="str">
        <x:f>IFERROR(INDEX('Material routes'!$M$6:$M$2205,MATCH(U382,'Material routes'!$A$6:$A$2205,0)),"MISSING ID")</x:f>
        <x:v>Partial proposal</x:v>
      </x:c>
      <x:c r="N382" s="4" t="str">
        <x:f>IF(IFERROR(INDEX('Material routes'!$I$6:$I$1005,MATCH(U382,'Material routes'!$A$6:$A$1005,0)),"MISSING ID")=0,"",IFERROR(INDEX('Material routes'!$I$6:$I$1005,MATCH(U382,'Material routes'!$A$6:$A$1005,0)),"MISSING ID"))</x:f>
      </x:c>
      <x:c r="O382" s="4" t="str">
        <x:f>IFERROR(INDEX('Material routes'!$J$6:$J$2205,MATCH(U382,'Material routes'!$A$6:$A$2205,0)),"MISSING ID")</x:f>
        <x:v>Unspecified</x:v>
      </x:c>
      <x:c r="P382" s="4" t="str">
        <x:f>IF(IFERROR(INDEX('Material routes'!$I$6:$I$1005,MATCH(V382,'Material routes'!$A$6:$A$1005,0)),"MISSING ID")=0,"",IFERROR(INDEX('Material routes'!$I$6:$I$1005,MATCH(V382,'Material routes'!$A$6:$A$1005,0)),"MISSING ID"))</x:f>
      </x:c>
      <x:c r="Q382" s="4" t="str">
        <x:f>IFERROR(INDEX('Material routes'!$J$6:$J$2205,MATCH(V382,'Material routes'!$A$6:$A$2205,0)),"MISSING ID")</x:f>
        <x:v>Unspecified</x:v>
      </x:c>
      <x:c r="R382" s="4" t="str">
        <x:f>IF(L382="Withheld","Withheld premise",IF(E382="Tool candidate","Reusable prerequisite",IF(K382="Raw entry preparation","Entry-resource preparation",IF(G382="Not applicable",IF(IFERROR(INDEX('Items'!$AI$6:$AI$1005,MATCH(T382,'Items'!$A$6:$A$1005,0)),"MISSING ID")="Finished item","Finished endpoint",IF(IFERROR(INDEX('Items'!$AI$6:$AI$1005,MATCH(T382,'Items'!$A$6:$A$1005,0)),"MISSING ID")="Currency","Currency / no refinement tier","Recovered output / tier not applicable")),IF(OR(IFERROR(INDEX('Crafting recipes'!$H$6:$H$1005,MATCH(J382,'Crafting recipes'!$A$6:$A$1005,0)),"MISSING ID")="Unassigned",G382="Unassigned"),"Tier unresolved",IF(IFERROR(VALUE(RIGHT(G382,1))-VALUE(RIGHT(IFERROR(INDEX('Crafting recipes'!$H$6:$H$1005,MATCH(J382,'Crafting recipes'!$A$6:$A$1005,0)),"MISSING ID"),1)),0)=1,IF(B382=IFERROR(INDEX('Crafting recipes'!$H$6:$H$1005,MATCH(J382,'Crafting recipes'!$A$6:$A$1005,0)),"MISSING ID"),"Advances one material tier","Lower-tier ingredient; route advances one tier"),"Needs tier review"))))))</x:f>
        <x:v>Advances one material tier</x:v>
      </x:c>
      <x:c r="S382" s="4" t="str">
        <x:f>IFERROR(INDEX('Material routes'!$D$6:$D$2205,MATCH(U382,'Material routes'!$A$6:$A$2205,0)),"MISSING ID")</x:f>
        <x:v>proposal.natural.iron_stock</x:v>
      </x:c>
      <x:c r="T382" s="4" t="str">
        <x:f>IFERROR(INDEX('Material routes'!$D$6:$D$2205,MATCH(V382,'Material routes'!$A$6:$A$2205,0)),"MISSING ID")</x:f>
        <x:v>proposal.legger.joint_bush</x:v>
      </x:c>
      <x:c r="U382" s="4" t="str">
        <x:v>design.review.proposal_legger_joint_bush.in.1</x:v>
      </x:c>
      <x:c r="V382" s="4" t="str">
        <x:v>design.review.proposal_legger_joint_bush.out</x:v>
      </x:c>
    </x:row>
    <x:row r="383" ht="115" customHeight="1">
      <x:c r="A383" s="4" t="str">
        <x:f>IFERROR(INDEX('Material routes'!$E$6:$E$2205,MATCH(U383,'Material routes'!$A$6:$A$2205,0)),"MISSING ID")</x:f>
        <x:v>Graded abrasive grit</x:v>
      </x:c>
      <x:c r="B383" s="4" t="str">
        <x:f>IFERROR(INDEX('Material routes'!$F$6:$F$2205,MATCH(U383,'Material routes'!$A$6:$A$2205,0)),"MISSING ID")</x:f>
        <x:v>T1</x:v>
      </x:c>
      <x:c r="C383" s="4" t="str">
        <x:f>IFERROR(INDEX('Material routes'!$H$6:$H$2205,MATCH(U383,'Material routes'!$A$6:$A$2205,0)),"MISSING ID")</x:f>
        <x:v>Processed material</x:v>
      </x:c>
      <x:c r="D383" s="4" t="str">
        <x:f>IFERROR(INDEX('Material routes'!$G$6:$G$2205,MATCH(U383,'Material routes'!$A$6:$A$2205,0)),"MISSING ID")</x:f>
        <x:v>Manufactured stock</x:v>
      </x:c>
      <x:c r="E383" s="4" t="str">
        <x:f>IFERROR(INDEX('Material routes'!$C$6:$C$2205,MATCH(U383,'Material routes'!$A$6:$A$2205,0)),"MISSING ID")</x:f>
        <x:v>Ingredient candidate</x:v>
      </x:c>
      <x:c r="F383" s="4" t="str">
        <x:f>IFERROR(INDEX('Material routes'!$E$6:$E$2205,MATCH(V383,'Material routes'!$A$6:$A$2205,0)),"MISSING ID")</x:f>
        <x:v>Iron joint bushing</x:v>
      </x:c>
      <x:c r="G383" s="4" t="str">
        <x:f>IFERROR(INDEX('Material routes'!$F$6:$F$2205,MATCH(V383,'Material routes'!$A$6:$A$2205,0)),"MISSING ID")</x:f>
        <x:v>T3</x:v>
      </x:c>
      <x:c r="H383" s="4" t="str">
        <x:f>IFERROR(INDEX('Material routes'!$H$6:$H$2205,MATCH(V383,'Material routes'!$A$6:$A$2205,0)),"MISSING ID")</x:f>
        <x:v>Crafting component</x:v>
      </x:c>
      <x:c r="I383" s="4" t="str">
        <x:f>IFERROR(INDEX('Material routes'!$G$6:$G$2205,MATCH(V383,'Material routes'!$A$6:$A$2205,0)),"MISSING ID")</x:f>
        <x:v>Crafting components</x:v>
      </x:c>
      <x:c r="J383" s="4" t="str">
        <x:f>IFERROR(INDEX('Material routes'!$B$6:$B$2205,MATCH(U383,'Material routes'!$A$6:$A$2205,0)),"MISSING ID")</x:f>
        <x:v>design.review.proposal_legger_joint_bush</x:v>
      </x:c>
      <x:c r="K383" s="4" t="str">
        <x:f>IFERROR(INDEX('Crafting recipes'!$C$6:$C$1005,MATCH(J383,'Crafting recipes'!$A$6:$A$1005,0)),"MISSING ID")</x:f>
        <x:v>Material refinement</x:v>
      </x:c>
      <x:c r="L383" s="4" t="str">
        <x:f>IFERROR(INDEX('Material routes'!$K$6:$K$2205,MATCH(U383,'Material routes'!$A$6:$A$2205,0)),"MISSING ID")</x:f>
        <x:v>Proposal</x:v>
      </x:c>
      <x:c r="M383" s="4" t="str">
        <x:f>IFERROR(INDEX('Material routes'!$M$6:$M$2205,MATCH(U383,'Material routes'!$A$6:$A$2205,0)),"MISSING ID")</x:f>
        <x:v>Partial proposal</x:v>
      </x:c>
      <x:c r="N383" s="4" t="str">
        <x:f>IF(IFERROR(INDEX('Material routes'!$I$6:$I$1005,MATCH(U383,'Material routes'!$A$6:$A$1005,0)),"MISSING ID")=0,"",IFERROR(INDEX('Material routes'!$I$6:$I$1005,MATCH(U383,'Material routes'!$A$6:$A$1005,0)),"MISSING ID"))</x:f>
      </x:c>
      <x:c r="O383" s="4" t="str">
        <x:f>IFERROR(INDEX('Material routes'!$J$6:$J$2205,MATCH(U383,'Material routes'!$A$6:$A$2205,0)),"MISSING ID")</x:f>
        <x:v>Unspecified</x:v>
      </x:c>
      <x:c r="P383" s="4" t="str">
        <x:f>IF(IFERROR(INDEX('Material routes'!$I$6:$I$1005,MATCH(V383,'Material routes'!$A$6:$A$1005,0)),"MISSING ID")=0,"",IFERROR(INDEX('Material routes'!$I$6:$I$1005,MATCH(V383,'Material routes'!$A$6:$A$1005,0)),"MISSING ID"))</x:f>
      </x:c>
      <x:c r="Q383" s="4" t="str">
        <x:f>IFERROR(INDEX('Material routes'!$J$6:$J$2205,MATCH(V383,'Material routes'!$A$6:$A$2205,0)),"MISSING ID")</x:f>
        <x:v>Unspecified</x:v>
      </x:c>
      <x:c r="R383" s="4" t="str">
        <x:f>IF(L383="Withheld","Withheld premise",IF(E383="Tool candidate","Reusable prerequisite",IF(K383="Raw entry preparation","Entry-resource preparation",IF(G383="Not applicable",IF(IFERROR(INDEX('Items'!$AI$6:$AI$1005,MATCH(T383,'Items'!$A$6:$A$1005,0)),"MISSING ID")="Finished item","Finished endpoint",IF(IFERROR(INDEX('Items'!$AI$6:$AI$1005,MATCH(T383,'Items'!$A$6:$A$1005,0)),"MISSING ID")="Currency","Currency / no refinement tier","Recovered output / tier not applicable")),IF(OR(IFERROR(INDEX('Crafting recipes'!$H$6:$H$1005,MATCH(J383,'Crafting recipes'!$A$6:$A$1005,0)),"MISSING ID")="Unassigned",G383="Unassigned"),"Tier unresolved",IF(IFERROR(VALUE(RIGHT(G383,1))-VALUE(RIGHT(IFERROR(INDEX('Crafting recipes'!$H$6:$H$1005,MATCH(J383,'Crafting recipes'!$A$6:$A$1005,0)),"MISSING ID"),1)),0)=1,IF(B383=IFERROR(INDEX('Crafting recipes'!$H$6:$H$1005,MATCH(J383,'Crafting recipes'!$A$6:$A$1005,0)),"MISSING ID"),"Advances one material tier","Lower-tier ingredient; route advances one tier"),"Needs tier review"))))))</x:f>
        <x:v>Lower-tier ingredient; route advances one tier</x:v>
      </x:c>
      <x:c r="S383" s="4" t="str">
        <x:f>IFERROR(INDEX('Material routes'!$D$6:$D$2205,MATCH(U383,'Material routes'!$A$6:$A$2205,0)),"MISSING ID")</x:f>
        <x:v>proposal.natural.abrasive</x:v>
      </x:c>
      <x:c r="T383" s="4" t="str">
        <x:f>IFERROR(INDEX('Material routes'!$D$6:$D$2205,MATCH(V383,'Material routes'!$A$6:$A$2205,0)),"MISSING ID")</x:f>
        <x:v>proposal.legger.joint_bush</x:v>
      </x:c>
      <x:c r="U383" s="4" t="str">
        <x:v>design.review.proposal_legger_joint_bush.in.2</x:v>
      </x:c>
      <x:c r="V383" s="4" t="str">
        <x:v>design.review.proposal_legger_joint_bush.out</x:v>
      </x:c>
    </x:row>
    <x:row r="384" ht="115" customHeight="1">
      <x:c r="A384" s="4" t="str">
        <x:f>IFERROR(INDEX('Material routes'!$E$6:$E$2205,MATCH(U384,'Material routes'!$A$6:$A$2205,0)),"MISSING ID")</x:f>
        <x:v>Lapped bronze bearing blanks</x:v>
      </x:c>
      <x:c r="B384" s="4" t="str">
        <x:f>IFERROR(INDEX('Material routes'!$F$6:$F$2205,MATCH(U384,'Material routes'!$A$6:$A$2205,0)),"MISSING ID")</x:f>
        <x:v>T3</x:v>
      </x:c>
      <x:c r="C384" s="4" t="str">
        <x:f>IFERROR(INDEX('Material routes'!$H$6:$H$2205,MATCH(U384,'Material routes'!$A$6:$A$2205,0)),"MISSING ID")</x:f>
        <x:v>Crafting component</x:v>
      </x:c>
      <x:c r="D384" s="4" t="str">
        <x:f>IFERROR(INDEX('Material routes'!$G$6:$G$2205,MATCH(U384,'Material routes'!$A$6:$A$2205,0)),"MISSING ID")</x:f>
        <x:v>Crafting components</x:v>
      </x:c>
      <x:c r="E384" s="4" t="str">
        <x:f>IFERROR(INDEX('Material routes'!$C$6:$C$2205,MATCH(U384,'Material routes'!$A$6:$A$2205,0)),"MISSING ID")</x:f>
        <x:v>Ingredient candidate</x:v>
      </x:c>
      <x:c r="F384" s="4" t="str">
        <x:f>IFERROR(INDEX('Material routes'!$E$6:$E$2205,MATCH(V384,'Material routes'!$A$6:$A$2205,0)),"MISSING ID")</x:f>
        <x:v>Replacement bearing assembly</x:v>
      </x:c>
      <x:c r="G384" s="4" t="str">
        <x:f>IFERROR(INDEX('Material routes'!$F$6:$F$2205,MATCH(V384,'Material routes'!$A$6:$A$2205,0)),"MISSING ID")</x:f>
        <x:v>T4</x:v>
      </x:c>
      <x:c r="H384" s="4" t="str">
        <x:f>IFERROR(INDEX('Material routes'!$H$6:$H$2205,MATCH(V384,'Material routes'!$A$6:$A$2205,0)),"MISSING ID")</x:f>
        <x:v>Crafting component</x:v>
      </x:c>
      <x:c r="I384" s="4" t="str">
        <x:f>IFERROR(INDEX('Material routes'!$G$6:$G$2205,MATCH(V384,'Material routes'!$A$6:$A$2205,0)),"MISSING ID")</x:f>
        <x:v>Crafting components</x:v>
      </x:c>
      <x:c r="J384" s="4" t="str">
        <x:f>IFERROR(INDEX('Material routes'!$B$6:$B$2205,MATCH(U384,'Material routes'!$A$6:$A$2205,0)),"MISSING ID")</x:f>
        <x:v>design.review.proposal_legger_bearing</x:v>
      </x:c>
      <x:c r="K384" s="4" t="str">
        <x:f>IFERROR(INDEX('Crafting recipes'!$C$6:$C$1005,MATCH(J384,'Crafting recipes'!$A$6:$A$1005,0)),"MISSING ID")</x:f>
        <x:v>Material refinement</x:v>
      </x:c>
      <x:c r="L384" s="4" t="str">
        <x:f>IFERROR(INDEX('Material routes'!$K$6:$K$2205,MATCH(U384,'Material routes'!$A$6:$A$2205,0)),"MISSING ID")</x:f>
        <x:v>Proposal</x:v>
      </x:c>
      <x:c r="M384" s="4" t="str">
        <x:f>IFERROR(INDEX('Material routes'!$M$6:$M$2205,MATCH(U384,'Material routes'!$A$6:$A$2205,0)),"MISSING ID")</x:f>
        <x:v>Partial proposal</x:v>
      </x:c>
      <x:c r="N384" s="4" t="str">
        <x:f>IF(IFERROR(INDEX('Material routes'!$I$6:$I$1005,MATCH(U384,'Material routes'!$A$6:$A$1005,0)),"MISSING ID")=0,"",IFERROR(INDEX('Material routes'!$I$6:$I$1005,MATCH(U384,'Material routes'!$A$6:$A$1005,0)),"MISSING ID"))</x:f>
      </x:c>
      <x:c r="O384" s="4" t="str">
        <x:f>IFERROR(INDEX('Material routes'!$J$6:$J$2205,MATCH(U384,'Material routes'!$A$6:$A$2205,0)),"MISSING ID")</x:f>
        <x:v>Unspecified</x:v>
      </x:c>
      <x:c r="P384" s="4" t="str">
        <x:f>IF(IFERROR(INDEX('Material routes'!$I$6:$I$1005,MATCH(V384,'Material routes'!$A$6:$A$1005,0)),"MISSING ID")=0,"",IFERROR(INDEX('Material routes'!$I$6:$I$1005,MATCH(V384,'Material routes'!$A$6:$A$1005,0)),"MISSING ID"))</x:f>
      </x:c>
      <x:c r="Q384" s="4" t="str">
        <x:f>IFERROR(INDEX('Material routes'!$J$6:$J$2205,MATCH(V384,'Material routes'!$A$6:$A$2205,0)),"MISSING ID")</x:f>
        <x:v>Unspecified</x:v>
      </x:c>
      <x:c r="R384" s="4" t="str">
        <x:f>IF(L384="Withheld","Withheld premise",IF(E384="Tool candidate","Reusable prerequisite",IF(K384="Raw entry preparation","Entry-resource preparation",IF(G384="Not applicable",IF(IFERROR(INDEX('Items'!$AI$6:$AI$1005,MATCH(T384,'Items'!$A$6:$A$1005,0)),"MISSING ID")="Finished item","Finished endpoint",IF(IFERROR(INDEX('Items'!$AI$6:$AI$1005,MATCH(T384,'Items'!$A$6:$A$1005,0)),"MISSING ID")="Currency","Currency / no refinement tier","Recovered output / tier not applicable")),IF(OR(IFERROR(INDEX('Crafting recipes'!$H$6:$H$1005,MATCH(J384,'Crafting recipes'!$A$6:$A$1005,0)),"MISSING ID")="Unassigned",G384="Unassigned"),"Tier unresolved",IF(IFERROR(VALUE(RIGHT(G384,1))-VALUE(RIGHT(IFERROR(INDEX('Crafting recipes'!$H$6:$H$1005,MATCH(J384,'Crafting recipes'!$A$6:$A$1005,0)),"MISSING ID"),1)),0)=1,IF(B384=IFERROR(INDEX('Crafting recipes'!$H$6:$H$1005,MATCH(J384,'Crafting recipes'!$A$6:$A$1005,0)),"MISSING ID"),"Advances one material tier","Lower-tier ingredient; route advances one tier"),"Needs tier review"))))))</x:f>
        <x:v>Advances one material tier</x:v>
      </x:c>
      <x:c r="S384" s="4" t="str">
        <x:f>IFERROR(INDEX('Material routes'!$D$6:$D$2205,MATCH(U384,'Material routes'!$A$6:$A$2205,0)),"MISSING ID")</x:f>
        <x:v>proposal.t3.bearing_blank</x:v>
      </x:c>
      <x:c r="T384" s="4" t="str">
        <x:f>IFERROR(INDEX('Material routes'!$D$6:$D$2205,MATCH(V384,'Material routes'!$A$6:$A$2205,0)),"MISSING ID")</x:f>
        <x:v>proposal.legger.bearing</x:v>
      </x:c>
      <x:c r="U384" s="4" t="str">
        <x:v>design.review.proposal_legger_bearing.in.1</x:v>
      </x:c>
      <x:c r="V384" s="4" t="str">
        <x:v>design.review.proposal_legger_bearing.out</x:v>
      </x:c>
    </x:row>
    <x:row r="385" ht="115" customHeight="1">
      <x:c r="A385" s="4" t="str">
        <x:f>IFERROR(INDEX('Material routes'!$E$6:$E$2205,MATCH(U385,'Material routes'!$A$6:$A$2205,0)),"MISSING ID")</x:f>
        <x:v>Drawn steel tube stock</x:v>
      </x:c>
      <x:c r="B385" s="4" t="str">
        <x:f>IFERROR(INDEX('Material routes'!$F$6:$F$2205,MATCH(U385,'Material routes'!$A$6:$A$2205,0)),"MISSING ID")</x:f>
        <x:v>T3</x:v>
      </x:c>
      <x:c r="C385" s="4" t="str">
        <x:f>IFERROR(INDEX('Material routes'!$H$6:$H$2205,MATCH(U385,'Material routes'!$A$6:$A$2205,0)),"MISSING ID")</x:f>
        <x:v>Processed material</x:v>
      </x:c>
      <x:c r="D385" s="4" t="str">
        <x:f>IFERROR(INDEX('Material routes'!$G$6:$G$2205,MATCH(U385,'Material routes'!$A$6:$A$2205,0)),"MISSING ID")</x:f>
        <x:v>Manufactured stock</x:v>
      </x:c>
      <x:c r="E385" s="4" t="str">
        <x:f>IFERROR(INDEX('Material routes'!$C$6:$C$2205,MATCH(U385,'Material routes'!$A$6:$A$2205,0)),"MISSING ID")</x:f>
        <x:v>Ingredient candidate</x:v>
      </x:c>
      <x:c r="F385" s="4" t="str">
        <x:f>IFERROR(INDEX('Material routes'!$E$6:$E$2205,MATCH(V385,'Material routes'!$A$6:$A$2205,0)),"MISSING ID")</x:f>
        <x:v>Replacement bearing assembly</x:v>
      </x:c>
      <x:c r="G385" s="4" t="str">
        <x:f>IFERROR(INDEX('Material routes'!$F$6:$F$2205,MATCH(V385,'Material routes'!$A$6:$A$2205,0)),"MISSING ID")</x:f>
        <x:v>T4</x:v>
      </x:c>
      <x:c r="H385" s="4" t="str">
        <x:f>IFERROR(INDEX('Material routes'!$H$6:$H$2205,MATCH(V385,'Material routes'!$A$6:$A$2205,0)),"MISSING ID")</x:f>
        <x:v>Crafting component</x:v>
      </x:c>
      <x:c r="I385" s="4" t="str">
        <x:f>IFERROR(INDEX('Material routes'!$G$6:$G$2205,MATCH(V385,'Material routes'!$A$6:$A$2205,0)),"MISSING ID")</x:f>
        <x:v>Crafting components</x:v>
      </x:c>
      <x:c r="J385" s="4" t="str">
        <x:f>IFERROR(INDEX('Material routes'!$B$6:$B$2205,MATCH(U385,'Material routes'!$A$6:$A$2205,0)),"MISSING ID")</x:f>
        <x:v>design.review.proposal_legger_bearing</x:v>
      </x:c>
      <x:c r="K385" s="4" t="str">
        <x:f>IFERROR(INDEX('Crafting recipes'!$C$6:$C$1005,MATCH(J385,'Crafting recipes'!$A$6:$A$1005,0)),"MISSING ID")</x:f>
        <x:v>Material refinement</x:v>
      </x:c>
      <x:c r="L385" s="4" t="str">
        <x:f>IFERROR(INDEX('Material routes'!$K$6:$K$2205,MATCH(U385,'Material routes'!$A$6:$A$2205,0)),"MISSING ID")</x:f>
        <x:v>Proposal</x:v>
      </x:c>
      <x:c r="M385" s="4" t="str">
        <x:f>IFERROR(INDEX('Material routes'!$M$6:$M$2205,MATCH(U385,'Material routes'!$A$6:$A$2205,0)),"MISSING ID")</x:f>
        <x:v>Partial proposal</x:v>
      </x:c>
      <x:c r="N385" s="4" t="str">
        <x:f>IF(IFERROR(INDEX('Material routes'!$I$6:$I$1005,MATCH(U385,'Material routes'!$A$6:$A$1005,0)),"MISSING ID")=0,"",IFERROR(INDEX('Material routes'!$I$6:$I$1005,MATCH(U385,'Material routes'!$A$6:$A$1005,0)),"MISSING ID"))</x:f>
      </x:c>
      <x:c r="O385" s="4" t="str">
        <x:f>IFERROR(INDEX('Material routes'!$J$6:$J$2205,MATCH(U385,'Material routes'!$A$6:$A$2205,0)),"MISSING ID")</x:f>
        <x:v>Unspecified</x:v>
      </x:c>
      <x:c r="P385" s="4" t="str">
        <x:f>IF(IFERROR(INDEX('Material routes'!$I$6:$I$1005,MATCH(V385,'Material routes'!$A$6:$A$1005,0)),"MISSING ID")=0,"",IFERROR(INDEX('Material routes'!$I$6:$I$1005,MATCH(V385,'Material routes'!$A$6:$A$1005,0)),"MISSING ID"))</x:f>
      </x:c>
      <x:c r="Q385" s="4" t="str">
        <x:f>IFERROR(INDEX('Material routes'!$J$6:$J$2205,MATCH(V385,'Material routes'!$A$6:$A$2205,0)),"MISSING ID")</x:f>
        <x:v>Unspecified</x:v>
      </x:c>
      <x:c r="R385" s="4" t="str">
        <x:f>IF(L385="Withheld","Withheld premise",IF(E385="Tool candidate","Reusable prerequisite",IF(K385="Raw entry preparation","Entry-resource preparation",IF(G385="Not applicable",IF(IFERROR(INDEX('Items'!$AI$6:$AI$1005,MATCH(T385,'Items'!$A$6:$A$1005,0)),"MISSING ID")="Finished item","Finished endpoint",IF(IFERROR(INDEX('Items'!$AI$6:$AI$1005,MATCH(T385,'Items'!$A$6:$A$1005,0)),"MISSING ID")="Currency","Currency / no refinement tier","Recovered output / tier not applicable")),IF(OR(IFERROR(INDEX('Crafting recipes'!$H$6:$H$1005,MATCH(J385,'Crafting recipes'!$A$6:$A$1005,0)),"MISSING ID")="Unassigned",G385="Unassigned"),"Tier unresolved",IF(IFERROR(VALUE(RIGHT(G385,1))-VALUE(RIGHT(IFERROR(INDEX('Crafting recipes'!$H$6:$H$1005,MATCH(J385,'Crafting recipes'!$A$6:$A$1005,0)),"MISSING ID"),1)),0)=1,IF(B385=IFERROR(INDEX('Crafting recipes'!$H$6:$H$1005,MATCH(J385,'Crafting recipes'!$A$6:$A$1005,0)),"MISSING ID"),"Advances one material tier","Lower-tier ingredient; route advances one tier"),"Needs tier review"))))))</x:f>
        <x:v>Advances one material tier</x:v>
      </x:c>
      <x:c r="S385" s="4" t="str">
        <x:f>IFERROR(INDEX('Material routes'!$D$6:$D$2205,MATCH(U385,'Material routes'!$A$6:$A$2205,0)),"MISSING ID")</x:f>
        <x:v>proposal.t3.precision_tube</x:v>
      </x:c>
      <x:c r="T385" s="4" t="str">
        <x:f>IFERROR(INDEX('Material routes'!$D$6:$D$2205,MATCH(V385,'Material routes'!$A$6:$A$2205,0)),"MISSING ID")</x:f>
        <x:v>proposal.legger.bearing</x:v>
      </x:c>
      <x:c r="U385" s="4" t="str">
        <x:v>design.review.proposal_legger_bearing.in.2</x:v>
      </x:c>
      <x:c r="V385" s="4" t="str">
        <x:v>design.review.proposal_legger_bearing.out</x:v>
      </x:c>
    </x:row>
    <x:row r="386" ht="115" customHeight="1">
      <x:c r="A386" s="4" t="str">
        <x:f>IFERROR(INDEX('Material routes'!$E$6:$E$2205,MATCH(U386,'Material routes'!$A$6:$A$2205,0)),"MISSING ID")</x:f>
        <x:v>Conditioned mechanism-service grease</x:v>
      </x:c>
      <x:c r="B386" s="4" t="str">
        <x:f>IFERROR(INDEX('Material routes'!$F$6:$F$2205,MATCH(U386,'Material routes'!$A$6:$A$2205,0)),"MISSING ID")</x:f>
        <x:v>T3</x:v>
      </x:c>
      <x:c r="C386" s="4" t="str">
        <x:f>IFERROR(INDEX('Material routes'!$H$6:$H$2205,MATCH(U386,'Material routes'!$A$6:$A$2205,0)),"MISSING ID")</x:f>
        <x:v>Chemical material</x:v>
      </x:c>
      <x:c r="D386" s="4" t="str">
        <x:f>IFERROR(INDEX('Material routes'!$G$6:$G$2205,MATCH(U386,'Material routes'!$A$6:$A$2205,0)),"MISSING ID")</x:f>
        <x:v>Crafting components</x:v>
      </x:c>
      <x:c r="E386" s="4" t="str">
        <x:f>IFERROR(INDEX('Material routes'!$C$6:$C$2205,MATCH(U386,'Material routes'!$A$6:$A$2205,0)),"MISSING ID")</x:f>
        <x:v>Ingredient candidate</x:v>
      </x:c>
      <x:c r="F386" s="4" t="str">
        <x:f>IFERROR(INDEX('Material routes'!$E$6:$E$2205,MATCH(V386,'Material routes'!$A$6:$A$2205,0)),"MISSING ID")</x:f>
        <x:v>Replacement bearing assembly</x:v>
      </x:c>
      <x:c r="G386" s="4" t="str">
        <x:f>IFERROR(INDEX('Material routes'!$F$6:$F$2205,MATCH(V386,'Material routes'!$A$6:$A$2205,0)),"MISSING ID")</x:f>
        <x:v>T4</x:v>
      </x:c>
      <x:c r="H386" s="4" t="str">
        <x:f>IFERROR(INDEX('Material routes'!$H$6:$H$2205,MATCH(V386,'Material routes'!$A$6:$A$2205,0)),"MISSING ID")</x:f>
        <x:v>Crafting component</x:v>
      </x:c>
      <x:c r="I386" s="4" t="str">
        <x:f>IFERROR(INDEX('Material routes'!$G$6:$G$2205,MATCH(V386,'Material routes'!$A$6:$A$2205,0)),"MISSING ID")</x:f>
        <x:v>Crafting components</x:v>
      </x:c>
      <x:c r="J386" s="4" t="str">
        <x:f>IFERROR(INDEX('Material routes'!$B$6:$B$2205,MATCH(U386,'Material routes'!$A$6:$A$2205,0)),"MISSING ID")</x:f>
        <x:v>design.review.proposal_legger_bearing</x:v>
      </x:c>
      <x:c r="K386" s="4" t="str">
        <x:f>IFERROR(INDEX('Crafting recipes'!$C$6:$C$1005,MATCH(J386,'Crafting recipes'!$A$6:$A$1005,0)),"MISSING ID")</x:f>
        <x:v>Material refinement</x:v>
      </x:c>
      <x:c r="L386" s="4" t="str">
        <x:f>IFERROR(INDEX('Material routes'!$K$6:$K$2205,MATCH(U386,'Material routes'!$A$6:$A$2205,0)),"MISSING ID")</x:f>
        <x:v>Proposal</x:v>
      </x:c>
      <x:c r="M386" s="4" t="str">
        <x:f>IFERROR(INDEX('Material routes'!$M$6:$M$2205,MATCH(U386,'Material routes'!$A$6:$A$2205,0)),"MISSING ID")</x:f>
        <x:v>Partial proposal</x:v>
      </x:c>
      <x:c r="N386" s="4" t="str">
        <x:f>IF(IFERROR(INDEX('Material routes'!$I$6:$I$1005,MATCH(U386,'Material routes'!$A$6:$A$1005,0)),"MISSING ID")=0,"",IFERROR(INDEX('Material routes'!$I$6:$I$1005,MATCH(U386,'Material routes'!$A$6:$A$1005,0)),"MISSING ID"))</x:f>
      </x:c>
      <x:c r="O386" s="4" t="str">
        <x:f>IFERROR(INDEX('Material routes'!$J$6:$J$2205,MATCH(U386,'Material routes'!$A$6:$A$2205,0)),"MISSING ID")</x:f>
        <x:v>Unspecified</x:v>
      </x:c>
      <x:c r="P386" s="4" t="str">
        <x:f>IF(IFERROR(INDEX('Material routes'!$I$6:$I$1005,MATCH(V386,'Material routes'!$A$6:$A$1005,0)),"MISSING ID")=0,"",IFERROR(INDEX('Material routes'!$I$6:$I$1005,MATCH(V386,'Material routes'!$A$6:$A$1005,0)),"MISSING ID"))</x:f>
      </x:c>
      <x:c r="Q386" s="4" t="str">
        <x:f>IFERROR(INDEX('Material routes'!$J$6:$J$2205,MATCH(V386,'Material routes'!$A$6:$A$2205,0)),"MISSING ID")</x:f>
        <x:v>Unspecified</x:v>
      </x:c>
      <x:c r="R386" s="4" t="str">
        <x:f>IF(L386="Withheld","Withheld premise",IF(E386="Tool candidate","Reusable prerequisite",IF(K386="Raw entry preparation","Entry-resource preparation",IF(G386="Not applicable",IF(IFERROR(INDEX('Items'!$AI$6:$AI$1005,MATCH(T386,'Items'!$A$6:$A$1005,0)),"MISSING ID")="Finished item","Finished endpoint",IF(IFERROR(INDEX('Items'!$AI$6:$AI$1005,MATCH(T386,'Items'!$A$6:$A$1005,0)),"MISSING ID")="Currency","Currency / no refinement tier","Recovered output / tier not applicable")),IF(OR(IFERROR(INDEX('Crafting recipes'!$H$6:$H$1005,MATCH(J386,'Crafting recipes'!$A$6:$A$1005,0)),"MISSING ID")="Unassigned",G386="Unassigned"),"Tier unresolved",IF(IFERROR(VALUE(RIGHT(G386,1))-VALUE(RIGHT(IFERROR(INDEX('Crafting recipes'!$H$6:$H$1005,MATCH(J386,'Crafting recipes'!$A$6:$A$1005,0)),"MISSING ID"),1)),0)=1,IF(B386=IFERROR(INDEX('Crafting recipes'!$H$6:$H$1005,MATCH(J386,'Crafting recipes'!$A$6:$A$1005,0)),"MISSING ID"),"Advances one material tier","Lower-tier ingredient; route advances one tier"),"Needs tier review"))))))</x:f>
        <x:v>Advances one material tier</x:v>
      </x:c>
      <x:c r="S386" s="4" t="str">
        <x:f>IFERROR(INDEX('Material routes'!$D$6:$D$2205,MATCH(U386,'Material routes'!$A$6:$A$2205,0)),"MISSING ID")</x:f>
        <x:v>proposal.t3.service_grease</x:v>
      </x:c>
      <x:c r="T386" s="4" t="str">
        <x:f>IFERROR(INDEX('Material routes'!$D$6:$D$2205,MATCH(V386,'Material routes'!$A$6:$A$2205,0)),"MISSING ID")</x:f>
        <x:v>proposal.legger.bearing</x:v>
      </x:c>
      <x:c r="U386" s="4" t="str">
        <x:v>design.review.proposal_legger_bearing.in.3</x:v>
      </x:c>
      <x:c r="V386" s="4" t="str">
        <x:v>design.review.proposal_legger_bearing.out</x:v>
      </x:c>
    </x:row>
    <x:row r="387" ht="115" customHeight="1">
      <x:c r="A387" s="4" t="str">
        <x:f>IFERROR(INDEX('Material routes'!$E$6:$E$2205,MATCH(U387,'Material routes'!$A$6:$A$2205,0)),"MISSING ID")</x:f>
        <x:v>Steel stock</x:v>
      </x:c>
      <x:c r="B387" s="4" t="str">
        <x:f>IFERROR(INDEX('Material routes'!$F$6:$F$2205,MATCH(U387,'Material routes'!$A$6:$A$2205,0)),"MISSING ID")</x:f>
        <x:v>T2</x:v>
      </x:c>
      <x:c r="C387" s="4" t="str">
        <x:f>IFERROR(INDEX('Material routes'!$H$6:$H$2205,MATCH(U387,'Material routes'!$A$6:$A$2205,0)),"MISSING ID")</x:f>
        <x:v>Processed material</x:v>
      </x:c>
      <x:c r="D387" s="4" t="str">
        <x:f>IFERROR(INDEX('Material routes'!$G$6:$G$2205,MATCH(U387,'Material routes'!$A$6:$A$2205,0)),"MISSING ID")</x:f>
        <x:v>Manufactured stock</x:v>
      </x:c>
      <x:c r="E387" s="4" t="str">
        <x:f>IFERROR(INDEX('Material routes'!$C$6:$C$2205,MATCH(U387,'Material routes'!$A$6:$A$2205,0)),"MISSING ID")</x:f>
        <x:v>Ingredient candidate</x:v>
      </x:c>
      <x:c r="F387" s="4" t="str">
        <x:f>IFERROR(INDEX('Material routes'!$E$6:$E$2205,MATCH(V387,'Material routes'!$A$6:$A$2205,0)),"MISSING ID")</x:f>
        <x:v>Replacement actuator link</x:v>
      </x:c>
      <x:c r="G387" s="4" t="str">
        <x:f>IFERROR(INDEX('Material routes'!$F$6:$F$2205,MATCH(V387,'Material routes'!$A$6:$A$2205,0)),"MISSING ID")</x:f>
        <x:v>T3</x:v>
      </x:c>
      <x:c r="H387" s="4" t="str">
        <x:f>IFERROR(INDEX('Material routes'!$H$6:$H$2205,MATCH(V387,'Material routes'!$A$6:$A$2205,0)),"MISSING ID")</x:f>
        <x:v>Crafting component</x:v>
      </x:c>
      <x:c r="I387" s="4" t="str">
        <x:f>IFERROR(INDEX('Material routes'!$G$6:$G$2205,MATCH(V387,'Material routes'!$A$6:$A$2205,0)),"MISSING ID")</x:f>
        <x:v>Crafting components</x:v>
      </x:c>
      <x:c r="J387" s="4" t="str">
        <x:f>IFERROR(INDEX('Material routes'!$B$6:$B$2205,MATCH(U387,'Material routes'!$A$6:$A$2205,0)),"MISSING ID")</x:f>
        <x:v>design.review.proposal_legger_actuator_rod</x:v>
      </x:c>
      <x:c r="K387" s="4" t="str">
        <x:f>IFERROR(INDEX('Crafting recipes'!$C$6:$C$1005,MATCH(J387,'Crafting recipes'!$A$6:$A$1005,0)),"MISSING ID")</x:f>
        <x:v>Material refinement</x:v>
      </x:c>
      <x:c r="L387" s="4" t="str">
        <x:f>IFERROR(INDEX('Material routes'!$K$6:$K$2205,MATCH(U387,'Material routes'!$A$6:$A$2205,0)),"MISSING ID")</x:f>
        <x:v>Proposal</x:v>
      </x:c>
      <x:c r="M387" s="4" t="str">
        <x:f>IFERROR(INDEX('Material routes'!$M$6:$M$2205,MATCH(U387,'Material routes'!$A$6:$A$2205,0)),"MISSING ID")</x:f>
        <x:v>Partial proposal</x:v>
      </x:c>
      <x:c r="N387" s="4" t="str">
        <x:f>IF(IFERROR(INDEX('Material routes'!$I$6:$I$1005,MATCH(U387,'Material routes'!$A$6:$A$1005,0)),"MISSING ID")=0,"",IFERROR(INDEX('Material routes'!$I$6:$I$1005,MATCH(U387,'Material routes'!$A$6:$A$1005,0)),"MISSING ID"))</x:f>
      </x:c>
      <x:c r="O387" s="4" t="str">
        <x:f>IFERROR(INDEX('Material routes'!$J$6:$J$2205,MATCH(U387,'Material routes'!$A$6:$A$2205,0)),"MISSING ID")</x:f>
        <x:v>Unspecified</x:v>
      </x:c>
      <x:c r="P387" s="4" t="str">
        <x:f>IF(IFERROR(INDEX('Material routes'!$I$6:$I$1005,MATCH(V387,'Material routes'!$A$6:$A$1005,0)),"MISSING ID")=0,"",IFERROR(INDEX('Material routes'!$I$6:$I$1005,MATCH(V387,'Material routes'!$A$6:$A$1005,0)),"MISSING ID"))</x:f>
      </x:c>
      <x:c r="Q387" s="4" t="str">
        <x:f>IFERROR(INDEX('Material routes'!$J$6:$J$2205,MATCH(V387,'Material routes'!$A$6:$A$2205,0)),"MISSING ID")</x:f>
        <x:v>Unspecified</x:v>
      </x:c>
      <x:c r="R387" s="4" t="str">
        <x:f>IF(L387="Withheld","Withheld premise",IF(E387="Tool candidate","Reusable prerequisite",IF(K387="Raw entry preparation","Entry-resource preparation",IF(G387="Not applicable",IF(IFERROR(INDEX('Items'!$AI$6:$AI$1005,MATCH(T387,'Items'!$A$6:$A$1005,0)),"MISSING ID")="Finished item","Finished endpoint",IF(IFERROR(INDEX('Items'!$AI$6:$AI$1005,MATCH(T387,'Items'!$A$6:$A$1005,0)),"MISSING ID")="Currency","Currency / no refinement tier","Recovered output / tier not applicable")),IF(OR(IFERROR(INDEX('Crafting recipes'!$H$6:$H$1005,MATCH(J387,'Crafting recipes'!$A$6:$A$1005,0)),"MISSING ID")="Unassigned",G387="Unassigned"),"Tier unresolved",IF(IFERROR(VALUE(RIGHT(G387,1))-VALUE(RIGHT(IFERROR(INDEX('Crafting recipes'!$H$6:$H$1005,MATCH(J387,'Crafting recipes'!$A$6:$A$1005,0)),"MISSING ID"),1)),0)=1,IF(B387=IFERROR(INDEX('Crafting recipes'!$H$6:$H$1005,MATCH(J387,'Crafting recipes'!$A$6:$A$1005,0)),"MISSING ID"),"Advances one material tier","Lower-tier ingredient; route advances one tier"),"Needs tier review"))))))</x:f>
        <x:v>Advances one material tier</x:v>
      </x:c>
      <x:c r="S387" s="4" t="str">
        <x:f>IFERROR(INDEX('Material routes'!$D$6:$D$2205,MATCH(U387,'Material routes'!$A$6:$A$2205,0)),"MISSING ID")</x:f>
        <x:v>author.metallurgy.steel_stock</x:v>
      </x:c>
      <x:c r="T387" s="4" t="str">
        <x:f>IFERROR(INDEX('Material routes'!$D$6:$D$2205,MATCH(V387,'Material routes'!$A$6:$A$2205,0)),"MISSING ID")</x:f>
        <x:v>proposal.legger.actuator_rod</x:v>
      </x:c>
      <x:c r="U387" s="4" t="str">
        <x:v>design.review.proposal_legger_actuator_rod.in.1</x:v>
      </x:c>
      <x:c r="V387" s="4" t="str">
        <x:v>design.review.proposal_legger_actuator_rod.out</x:v>
      </x:c>
    </x:row>
    <x:row r="388" ht="115" customHeight="1">
      <x:c r="A388" s="4" t="str">
        <x:f>IFERROR(INDEX('Material routes'!$E$6:$E$2205,MATCH(U388,'Material routes'!$A$6:$A$2205,0)),"MISSING ID")</x:f>
        <x:v>Graded abrasive grit</x:v>
      </x:c>
      <x:c r="B388" s="4" t="str">
        <x:f>IFERROR(INDEX('Material routes'!$F$6:$F$2205,MATCH(U388,'Material routes'!$A$6:$A$2205,0)),"MISSING ID")</x:f>
        <x:v>T1</x:v>
      </x:c>
      <x:c r="C388" s="4" t="str">
        <x:f>IFERROR(INDEX('Material routes'!$H$6:$H$2205,MATCH(U388,'Material routes'!$A$6:$A$2205,0)),"MISSING ID")</x:f>
        <x:v>Processed material</x:v>
      </x:c>
      <x:c r="D388" s="4" t="str">
        <x:f>IFERROR(INDEX('Material routes'!$G$6:$G$2205,MATCH(U388,'Material routes'!$A$6:$A$2205,0)),"MISSING ID")</x:f>
        <x:v>Manufactured stock</x:v>
      </x:c>
      <x:c r="E388" s="4" t="str">
        <x:f>IFERROR(INDEX('Material routes'!$C$6:$C$2205,MATCH(U388,'Material routes'!$A$6:$A$2205,0)),"MISSING ID")</x:f>
        <x:v>Ingredient candidate</x:v>
      </x:c>
      <x:c r="F388" s="4" t="str">
        <x:f>IFERROR(INDEX('Material routes'!$E$6:$E$2205,MATCH(V388,'Material routes'!$A$6:$A$2205,0)),"MISSING ID")</x:f>
        <x:v>Replacement actuator link</x:v>
      </x:c>
      <x:c r="G388" s="4" t="str">
        <x:f>IFERROR(INDEX('Material routes'!$F$6:$F$2205,MATCH(V388,'Material routes'!$A$6:$A$2205,0)),"MISSING ID")</x:f>
        <x:v>T3</x:v>
      </x:c>
      <x:c r="H388" s="4" t="str">
        <x:f>IFERROR(INDEX('Material routes'!$H$6:$H$2205,MATCH(V388,'Material routes'!$A$6:$A$2205,0)),"MISSING ID")</x:f>
        <x:v>Crafting component</x:v>
      </x:c>
      <x:c r="I388" s="4" t="str">
        <x:f>IFERROR(INDEX('Material routes'!$G$6:$G$2205,MATCH(V388,'Material routes'!$A$6:$A$2205,0)),"MISSING ID")</x:f>
        <x:v>Crafting components</x:v>
      </x:c>
      <x:c r="J388" s="4" t="str">
        <x:f>IFERROR(INDEX('Material routes'!$B$6:$B$2205,MATCH(U388,'Material routes'!$A$6:$A$2205,0)),"MISSING ID")</x:f>
        <x:v>design.review.proposal_legger_actuator_rod</x:v>
      </x:c>
      <x:c r="K388" s="4" t="str">
        <x:f>IFERROR(INDEX('Crafting recipes'!$C$6:$C$1005,MATCH(J388,'Crafting recipes'!$A$6:$A$1005,0)),"MISSING ID")</x:f>
        <x:v>Material refinement</x:v>
      </x:c>
      <x:c r="L388" s="4" t="str">
        <x:f>IFERROR(INDEX('Material routes'!$K$6:$K$2205,MATCH(U388,'Material routes'!$A$6:$A$2205,0)),"MISSING ID")</x:f>
        <x:v>Proposal</x:v>
      </x:c>
      <x:c r="M388" s="4" t="str">
        <x:f>IFERROR(INDEX('Material routes'!$M$6:$M$2205,MATCH(U388,'Material routes'!$A$6:$A$2205,0)),"MISSING ID")</x:f>
        <x:v>Partial proposal</x:v>
      </x:c>
      <x:c r="N388" s="4" t="str">
        <x:f>IF(IFERROR(INDEX('Material routes'!$I$6:$I$1005,MATCH(U388,'Material routes'!$A$6:$A$1005,0)),"MISSING ID")=0,"",IFERROR(INDEX('Material routes'!$I$6:$I$1005,MATCH(U388,'Material routes'!$A$6:$A$1005,0)),"MISSING ID"))</x:f>
      </x:c>
      <x:c r="O388" s="4" t="str">
        <x:f>IFERROR(INDEX('Material routes'!$J$6:$J$2205,MATCH(U388,'Material routes'!$A$6:$A$2205,0)),"MISSING ID")</x:f>
        <x:v>Unspecified</x:v>
      </x:c>
      <x:c r="P388" s="4" t="str">
        <x:f>IF(IFERROR(INDEX('Material routes'!$I$6:$I$1005,MATCH(V388,'Material routes'!$A$6:$A$1005,0)),"MISSING ID")=0,"",IFERROR(INDEX('Material routes'!$I$6:$I$1005,MATCH(V388,'Material routes'!$A$6:$A$1005,0)),"MISSING ID"))</x:f>
      </x:c>
      <x:c r="Q388" s="4" t="str">
        <x:f>IFERROR(INDEX('Material routes'!$J$6:$J$2205,MATCH(V388,'Material routes'!$A$6:$A$2205,0)),"MISSING ID")</x:f>
        <x:v>Unspecified</x:v>
      </x:c>
      <x:c r="R388" s="4" t="str">
        <x:f>IF(L388="Withheld","Withheld premise",IF(E388="Tool candidate","Reusable prerequisite",IF(K388="Raw entry preparation","Entry-resource preparation",IF(G388="Not applicable",IF(IFERROR(INDEX('Items'!$AI$6:$AI$1005,MATCH(T388,'Items'!$A$6:$A$1005,0)),"MISSING ID")="Finished item","Finished endpoint",IF(IFERROR(INDEX('Items'!$AI$6:$AI$1005,MATCH(T388,'Items'!$A$6:$A$1005,0)),"MISSING ID")="Currency","Currency / no refinement tier","Recovered output / tier not applicable")),IF(OR(IFERROR(INDEX('Crafting recipes'!$H$6:$H$1005,MATCH(J388,'Crafting recipes'!$A$6:$A$1005,0)),"MISSING ID")="Unassigned",G388="Unassigned"),"Tier unresolved",IF(IFERROR(VALUE(RIGHT(G388,1))-VALUE(RIGHT(IFERROR(INDEX('Crafting recipes'!$H$6:$H$1005,MATCH(J388,'Crafting recipes'!$A$6:$A$1005,0)),"MISSING ID"),1)),0)=1,IF(B388=IFERROR(INDEX('Crafting recipes'!$H$6:$H$1005,MATCH(J388,'Crafting recipes'!$A$6:$A$1005,0)),"MISSING ID"),"Advances one material tier","Lower-tier ingredient; route advances one tier"),"Needs tier review"))))))</x:f>
        <x:v>Lower-tier ingredient; route advances one tier</x:v>
      </x:c>
      <x:c r="S388" s="4" t="str">
        <x:f>IFERROR(INDEX('Material routes'!$D$6:$D$2205,MATCH(U388,'Material routes'!$A$6:$A$2205,0)),"MISSING ID")</x:f>
        <x:v>proposal.natural.abrasive</x:v>
      </x:c>
      <x:c r="T388" s="4" t="str">
        <x:f>IFERROR(INDEX('Material routes'!$D$6:$D$2205,MATCH(V388,'Material routes'!$A$6:$A$2205,0)),"MISSING ID")</x:f>
        <x:v>proposal.legger.actuator_rod</x:v>
      </x:c>
      <x:c r="U388" s="4" t="str">
        <x:v>design.review.proposal_legger_actuator_rod.in.2</x:v>
      </x:c>
      <x:c r="V388" s="4" t="str">
        <x:v>design.review.proposal_legger_actuator_rod.out</x:v>
      </x:c>
    </x:row>
    <x:row r="389" ht="115" customHeight="1">
      <x:c r="A389" s="4" t="str">
        <x:f>IFERROR(INDEX('Material routes'!$E$6:$E$2205,MATCH(U389,'Material routes'!$A$6:$A$2205,0)),"MISSING ID")</x:f>
        <x:v>Bonded husk sheet</x:v>
      </x:c>
      <x:c r="B389" s="4" t="str">
        <x:f>IFERROR(INDEX('Material routes'!$F$6:$F$2205,MATCH(U389,'Material routes'!$A$6:$A$2205,0)),"MISSING ID")</x:f>
        <x:v>T2</x:v>
      </x:c>
      <x:c r="C389" s="4" t="str">
        <x:f>IFERROR(INDEX('Material routes'!$H$6:$H$2205,MATCH(U389,'Material routes'!$A$6:$A$2205,0)),"MISSING ID")</x:f>
        <x:v>Processed material</x:v>
      </x:c>
      <x:c r="D389" s="4" t="str">
        <x:f>IFERROR(INDEX('Material routes'!$G$6:$G$2205,MATCH(U389,'Material routes'!$A$6:$A$2205,0)),"MISSING ID")</x:f>
        <x:v>Manufactured stock</x:v>
      </x:c>
      <x:c r="E389" s="4" t="str">
        <x:f>IFERROR(INDEX('Material routes'!$C$6:$C$2205,MATCH(U389,'Material routes'!$A$6:$A$2205,0)),"MISSING ID")</x:f>
        <x:v>Ingredient candidate</x:v>
      </x:c>
      <x:c r="F389" s="4" t="str">
        <x:f>IFERROR(INDEX('Material routes'!$E$6:$E$2205,MATCH(V389,'Material routes'!$A$6:$A$2205,0)),"MISSING ID")</x:f>
        <x:v>Joint dust shroud</x:v>
      </x:c>
      <x:c r="G389" s="4" t="str">
        <x:f>IFERROR(INDEX('Material routes'!$F$6:$F$2205,MATCH(V389,'Material routes'!$A$6:$A$2205,0)),"MISSING ID")</x:f>
        <x:v>T3</x:v>
      </x:c>
      <x:c r="H389" s="4" t="str">
        <x:f>IFERROR(INDEX('Material routes'!$H$6:$H$2205,MATCH(V389,'Material routes'!$A$6:$A$2205,0)),"MISSING ID")</x:f>
        <x:v>Crafting component</x:v>
      </x:c>
      <x:c r="I389" s="4" t="str">
        <x:f>IFERROR(INDEX('Material routes'!$G$6:$G$2205,MATCH(V389,'Material routes'!$A$6:$A$2205,0)),"MISSING ID")</x:f>
        <x:v>Crafting components</x:v>
      </x:c>
      <x:c r="J389" s="4" t="str">
        <x:f>IFERROR(INDEX('Material routes'!$B$6:$B$2205,MATCH(U389,'Material routes'!$A$6:$A$2205,0)),"MISSING ID")</x:f>
        <x:v>design.review.proposal_legger_joint_shroud</x:v>
      </x:c>
      <x:c r="K389" s="4" t="str">
        <x:f>IFERROR(INDEX('Crafting recipes'!$C$6:$C$1005,MATCH(J389,'Crafting recipes'!$A$6:$A$1005,0)),"MISSING ID")</x:f>
        <x:v>Material refinement</x:v>
      </x:c>
      <x:c r="L389" s="4" t="str">
        <x:f>IFERROR(INDEX('Material routes'!$K$6:$K$2205,MATCH(U389,'Material routes'!$A$6:$A$2205,0)),"MISSING ID")</x:f>
        <x:v>Proposal</x:v>
      </x:c>
      <x:c r="M389" s="4" t="str">
        <x:f>IFERROR(INDEX('Material routes'!$M$6:$M$2205,MATCH(U389,'Material routes'!$A$6:$A$2205,0)),"MISSING ID")</x:f>
        <x:v>Partial proposal</x:v>
      </x:c>
      <x:c r="N389" s="4" t="str">
        <x:f>IF(IFERROR(INDEX('Material routes'!$I$6:$I$1005,MATCH(U389,'Material routes'!$A$6:$A$1005,0)),"MISSING ID")=0,"",IFERROR(INDEX('Material routes'!$I$6:$I$1005,MATCH(U389,'Material routes'!$A$6:$A$1005,0)),"MISSING ID"))</x:f>
      </x:c>
      <x:c r="O389" s="4" t="str">
        <x:f>IFERROR(INDEX('Material routes'!$J$6:$J$2205,MATCH(U389,'Material routes'!$A$6:$A$2205,0)),"MISSING ID")</x:f>
        <x:v>Unspecified</x:v>
      </x:c>
      <x:c r="P389" s="4" t="str">
        <x:f>IF(IFERROR(INDEX('Material routes'!$I$6:$I$1005,MATCH(V389,'Material routes'!$A$6:$A$1005,0)),"MISSING ID")=0,"",IFERROR(INDEX('Material routes'!$I$6:$I$1005,MATCH(V389,'Material routes'!$A$6:$A$1005,0)),"MISSING ID"))</x:f>
      </x:c>
      <x:c r="Q389" s="4" t="str">
        <x:f>IFERROR(INDEX('Material routes'!$J$6:$J$2205,MATCH(V389,'Material routes'!$A$6:$A$2205,0)),"MISSING ID")</x:f>
        <x:v>Unspecified</x:v>
      </x:c>
      <x:c r="R389" s="4" t="str">
        <x:f>IF(L389="Withheld","Withheld premise",IF(E389="Tool candidate","Reusable prerequisite",IF(K389="Raw entry preparation","Entry-resource preparation",IF(G389="Not applicable",IF(IFERROR(INDEX('Items'!$AI$6:$AI$1005,MATCH(T389,'Items'!$A$6:$A$1005,0)),"MISSING ID")="Finished item","Finished endpoint",IF(IFERROR(INDEX('Items'!$AI$6:$AI$1005,MATCH(T389,'Items'!$A$6:$A$1005,0)),"MISSING ID")="Currency","Currency / no refinement tier","Recovered output / tier not applicable")),IF(OR(IFERROR(INDEX('Crafting recipes'!$H$6:$H$1005,MATCH(J389,'Crafting recipes'!$A$6:$A$1005,0)),"MISSING ID")="Unassigned",G389="Unassigned"),"Tier unresolved",IF(IFERROR(VALUE(RIGHT(G389,1))-VALUE(RIGHT(IFERROR(INDEX('Crafting recipes'!$H$6:$H$1005,MATCH(J389,'Crafting recipes'!$A$6:$A$1005,0)),"MISSING ID"),1)),0)=1,IF(B389=IFERROR(INDEX('Crafting recipes'!$H$6:$H$1005,MATCH(J389,'Crafting recipes'!$A$6:$A$1005,0)),"MISSING ID"),"Advances one material tier","Lower-tier ingredient; route advances one tier"),"Needs tier review"))))))</x:f>
        <x:v>Advances one material tier</x:v>
      </x:c>
      <x:c r="S389" s="4" t="str">
        <x:f>IFERROR(INDEX('Material routes'!$D$6:$D$2205,MATCH(U389,'Material routes'!$A$6:$A$2205,0)),"MISSING ID")</x:f>
        <x:v>proposal.branch.husk_sheet</x:v>
      </x:c>
      <x:c r="T389" s="4" t="str">
        <x:f>IFERROR(INDEX('Material routes'!$D$6:$D$2205,MATCH(V389,'Material routes'!$A$6:$A$2205,0)),"MISSING ID")</x:f>
        <x:v>proposal.legger.joint_shroud</x:v>
      </x:c>
      <x:c r="U389" s="4" t="str">
        <x:v>design.review.proposal_legger_joint_shroud.in.1</x:v>
      </x:c>
      <x:c r="V389" s="4" t="str">
        <x:v>design.review.proposal_legger_joint_shroud.out</x:v>
      </x:c>
    </x:row>
    <x:row r="390" ht="115" customHeight="1">
      <x:c r="A390" s="4" t="str">
        <x:f>IFERROR(INDEX('Material routes'!$E$6:$E$2205,MATCH(U390,'Material routes'!$A$6:$A$2205,0)),"MISSING ID")</x:f>
        <x:v>Flexible membrane-bonding compound</x:v>
      </x:c>
      <x:c r="B390" s="4" t="str">
        <x:f>IFERROR(INDEX('Material routes'!$F$6:$F$2205,MATCH(U390,'Material routes'!$A$6:$A$2205,0)),"MISSING ID")</x:f>
        <x:v>T2</x:v>
      </x:c>
      <x:c r="C390" s="4" t="str">
        <x:f>IFERROR(INDEX('Material routes'!$H$6:$H$2205,MATCH(U390,'Material routes'!$A$6:$A$2205,0)),"MISSING ID")</x:f>
        <x:v>Chemical material</x:v>
      </x:c>
      <x:c r="D390" s="4" t="str">
        <x:f>IFERROR(INDEX('Material routes'!$G$6:$G$2205,MATCH(U390,'Material routes'!$A$6:$A$2205,0)),"MISSING ID")</x:f>
        <x:v>Crafting components</x:v>
      </x:c>
      <x:c r="E390" s="4" t="str">
        <x:f>IFERROR(INDEX('Material routes'!$C$6:$C$2205,MATCH(U390,'Material routes'!$A$6:$A$2205,0)),"MISSING ID")</x:f>
        <x:v>Ingredient candidate</x:v>
      </x:c>
      <x:c r="F390" s="4" t="str">
        <x:f>IFERROR(INDEX('Material routes'!$E$6:$E$2205,MATCH(V390,'Material routes'!$A$6:$A$2205,0)),"MISSING ID")</x:f>
        <x:v>Joint dust shroud</x:v>
      </x:c>
      <x:c r="G390" s="4" t="str">
        <x:f>IFERROR(INDEX('Material routes'!$F$6:$F$2205,MATCH(V390,'Material routes'!$A$6:$A$2205,0)),"MISSING ID")</x:f>
        <x:v>T3</x:v>
      </x:c>
      <x:c r="H390" s="4" t="str">
        <x:f>IFERROR(INDEX('Material routes'!$H$6:$H$2205,MATCH(V390,'Material routes'!$A$6:$A$2205,0)),"MISSING ID")</x:f>
        <x:v>Crafting component</x:v>
      </x:c>
      <x:c r="I390" s="4" t="str">
        <x:f>IFERROR(INDEX('Material routes'!$G$6:$G$2205,MATCH(V390,'Material routes'!$A$6:$A$2205,0)),"MISSING ID")</x:f>
        <x:v>Crafting components</x:v>
      </x:c>
      <x:c r="J390" s="4" t="str">
        <x:f>IFERROR(INDEX('Material routes'!$B$6:$B$2205,MATCH(U390,'Material routes'!$A$6:$A$2205,0)),"MISSING ID")</x:f>
        <x:v>design.review.proposal_legger_joint_shroud</x:v>
      </x:c>
      <x:c r="K390" s="4" t="str">
        <x:f>IFERROR(INDEX('Crafting recipes'!$C$6:$C$1005,MATCH(J390,'Crafting recipes'!$A$6:$A$1005,0)),"MISSING ID")</x:f>
        <x:v>Material refinement</x:v>
      </x:c>
      <x:c r="L390" s="4" t="str">
        <x:f>IFERROR(INDEX('Material routes'!$K$6:$K$2205,MATCH(U390,'Material routes'!$A$6:$A$2205,0)),"MISSING ID")</x:f>
        <x:v>Proposal</x:v>
      </x:c>
      <x:c r="M390" s="4" t="str">
        <x:f>IFERROR(INDEX('Material routes'!$M$6:$M$2205,MATCH(U390,'Material routes'!$A$6:$A$2205,0)),"MISSING ID")</x:f>
        <x:v>Partial proposal</x:v>
      </x:c>
      <x:c r="N390" s="4" t="str">
        <x:f>IF(IFERROR(INDEX('Material routes'!$I$6:$I$1005,MATCH(U390,'Material routes'!$A$6:$A$1005,0)),"MISSING ID")=0,"",IFERROR(INDEX('Material routes'!$I$6:$I$1005,MATCH(U390,'Material routes'!$A$6:$A$1005,0)),"MISSING ID"))</x:f>
      </x:c>
      <x:c r="O390" s="4" t="str">
        <x:f>IFERROR(INDEX('Material routes'!$J$6:$J$2205,MATCH(U390,'Material routes'!$A$6:$A$2205,0)),"MISSING ID")</x:f>
        <x:v>Unspecified</x:v>
      </x:c>
      <x:c r="P390" s="4" t="str">
        <x:f>IF(IFERROR(INDEX('Material routes'!$I$6:$I$1005,MATCH(V390,'Material routes'!$A$6:$A$1005,0)),"MISSING ID")=0,"",IFERROR(INDEX('Material routes'!$I$6:$I$1005,MATCH(V390,'Material routes'!$A$6:$A$1005,0)),"MISSING ID"))</x:f>
      </x:c>
      <x:c r="Q390" s="4" t="str">
        <x:f>IFERROR(INDEX('Material routes'!$J$6:$J$2205,MATCH(V390,'Material routes'!$A$6:$A$2205,0)),"MISSING ID")</x:f>
        <x:v>Unspecified</x:v>
      </x:c>
      <x:c r="R390" s="4" t="str">
        <x:f>IF(L390="Withheld","Withheld premise",IF(E390="Tool candidate","Reusable prerequisite",IF(K390="Raw entry preparation","Entry-resource preparation",IF(G390="Not applicable",IF(IFERROR(INDEX('Items'!$AI$6:$AI$1005,MATCH(T390,'Items'!$A$6:$A$1005,0)),"MISSING ID")="Finished item","Finished endpoint",IF(IFERROR(INDEX('Items'!$AI$6:$AI$1005,MATCH(T390,'Items'!$A$6:$A$1005,0)),"MISSING ID")="Currency","Currency / no refinement tier","Recovered output / tier not applicable")),IF(OR(IFERROR(INDEX('Crafting recipes'!$H$6:$H$1005,MATCH(J390,'Crafting recipes'!$A$6:$A$1005,0)),"MISSING ID")="Unassigned",G390="Unassigned"),"Tier unresolved",IF(IFERROR(VALUE(RIGHT(G390,1))-VALUE(RIGHT(IFERROR(INDEX('Crafting recipes'!$H$6:$H$1005,MATCH(J390,'Crafting recipes'!$A$6:$A$1005,0)),"MISSING ID"),1)),0)=1,IF(B390=IFERROR(INDEX('Crafting recipes'!$H$6:$H$1005,MATCH(J390,'Crafting recipes'!$A$6:$A$1005,0)),"MISSING ID"),"Advances one material tier","Lower-tier ingredient; route advances one tier"),"Needs tier review"))))))</x:f>
        <x:v>Advances one material tier</x:v>
      </x:c>
      <x:c r="S390" s="4" t="str">
        <x:f>IFERROR(INDEX('Material routes'!$D$6:$D$2205,MATCH(U390,'Material routes'!$A$6:$A$2205,0)),"MISSING ID")</x:f>
        <x:v>proposal.branch.flex_bond</x:v>
      </x:c>
      <x:c r="T390" s="4" t="str">
        <x:f>IFERROR(INDEX('Material routes'!$D$6:$D$2205,MATCH(V390,'Material routes'!$A$6:$A$2205,0)),"MISSING ID")</x:f>
        <x:v>proposal.legger.joint_shroud</x:v>
      </x:c>
      <x:c r="U390" s="4" t="str">
        <x:v>design.review.proposal_legger_joint_shroud.in.2</x:v>
      </x:c>
      <x:c r="V390" s="4" t="str">
        <x:v>design.review.proposal_legger_joint_shroud.out</x:v>
      </x:c>
    </x:row>
    <x:row r="391" ht="115" customHeight="1">
      <x:c r="A391" s="4" t="str">
        <x:f>IFERROR(INDEX('Material routes'!$E$6:$E$2205,MATCH(U391,'Material routes'!$A$6:$A$2205,0)),"MISSING ID")</x:f>
        <x:v>Steel stock</x:v>
      </x:c>
      <x:c r="B391" s="4" t="str">
        <x:f>IFERROR(INDEX('Material routes'!$F$6:$F$2205,MATCH(U391,'Material routes'!$A$6:$A$2205,0)),"MISSING ID")</x:f>
        <x:v>T2</x:v>
      </x:c>
      <x:c r="C391" s="4" t="str">
        <x:f>IFERROR(INDEX('Material routes'!$H$6:$H$2205,MATCH(U391,'Material routes'!$A$6:$A$2205,0)),"MISSING ID")</x:f>
        <x:v>Processed material</x:v>
      </x:c>
      <x:c r="D391" s="4" t="str">
        <x:f>IFERROR(INDEX('Material routes'!$G$6:$G$2205,MATCH(U391,'Material routes'!$A$6:$A$2205,0)),"MISSING ID")</x:f>
        <x:v>Manufactured stock</x:v>
      </x:c>
      <x:c r="E391" s="4" t="str">
        <x:f>IFERROR(INDEX('Material routes'!$C$6:$C$2205,MATCH(U391,'Material routes'!$A$6:$A$2205,0)),"MISSING ID")</x:f>
        <x:v>Ingredient candidate</x:v>
      </x:c>
      <x:c r="F391" s="4" t="str">
        <x:f>IFERROR(INDEX('Material routes'!$E$6:$E$2205,MATCH(V391,'Material routes'!$A$6:$A$2205,0)),"MISSING ID")</x:f>
        <x:v>Fitted joint lubricant cup</x:v>
      </x:c>
      <x:c r="G391" s="4" t="str">
        <x:f>IFERROR(INDEX('Material routes'!$F$6:$F$2205,MATCH(V391,'Material routes'!$A$6:$A$2205,0)),"MISSING ID")</x:f>
        <x:v>T3</x:v>
      </x:c>
      <x:c r="H391" s="4" t="str">
        <x:f>IFERROR(INDEX('Material routes'!$H$6:$H$2205,MATCH(V391,'Material routes'!$A$6:$A$2205,0)),"MISSING ID")</x:f>
        <x:v>Container part</x:v>
      </x:c>
      <x:c r="I391" s="4" t="str">
        <x:f>IFERROR(INDEX('Material routes'!$G$6:$G$2205,MATCH(V391,'Material routes'!$A$6:$A$2205,0)),"MISSING ID")</x:f>
        <x:v>Crafting components</x:v>
      </x:c>
      <x:c r="J391" s="4" t="str">
        <x:f>IFERROR(INDEX('Material routes'!$B$6:$B$2205,MATCH(U391,'Material routes'!$A$6:$A$2205,0)),"MISSING ID")</x:f>
        <x:v>design.review.proposal_legger_grease_cup</x:v>
      </x:c>
      <x:c r="K391" s="4" t="str">
        <x:f>IFERROR(INDEX('Crafting recipes'!$C$6:$C$1005,MATCH(J391,'Crafting recipes'!$A$6:$A$1005,0)),"MISSING ID")</x:f>
        <x:v>Material refinement</x:v>
      </x:c>
      <x:c r="L391" s="4" t="str">
        <x:f>IFERROR(INDEX('Material routes'!$K$6:$K$2205,MATCH(U391,'Material routes'!$A$6:$A$2205,0)),"MISSING ID")</x:f>
        <x:v>Proposal</x:v>
      </x:c>
      <x:c r="M391" s="4" t="str">
        <x:f>IFERROR(INDEX('Material routes'!$M$6:$M$2205,MATCH(U391,'Material routes'!$A$6:$A$2205,0)),"MISSING ID")</x:f>
        <x:v>Partial proposal</x:v>
      </x:c>
      <x:c r="N391" s="4" t="str">
        <x:f>IF(IFERROR(INDEX('Material routes'!$I$6:$I$1005,MATCH(U391,'Material routes'!$A$6:$A$1005,0)),"MISSING ID")=0,"",IFERROR(INDEX('Material routes'!$I$6:$I$1005,MATCH(U391,'Material routes'!$A$6:$A$1005,0)),"MISSING ID"))</x:f>
      </x:c>
      <x:c r="O391" s="4" t="str">
        <x:f>IFERROR(INDEX('Material routes'!$J$6:$J$2205,MATCH(U391,'Material routes'!$A$6:$A$2205,0)),"MISSING ID")</x:f>
        <x:v>Unspecified</x:v>
      </x:c>
      <x:c r="P391" s="4" t="str">
        <x:f>IF(IFERROR(INDEX('Material routes'!$I$6:$I$1005,MATCH(V391,'Material routes'!$A$6:$A$1005,0)),"MISSING ID")=0,"",IFERROR(INDEX('Material routes'!$I$6:$I$1005,MATCH(V391,'Material routes'!$A$6:$A$1005,0)),"MISSING ID"))</x:f>
      </x:c>
      <x:c r="Q391" s="4" t="str">
        <x:f>IFERROR(INDEX('Material routes'!$J$6:$J$2205,MATCH(V391,'Material routes'!$A$6:$A$2205,0)),"MISSING ID")</x:f>
        <x:v>Unspecified</x:v>
      </x:c>
      <x:c r="R391" s="4" t="str">
        <x:f>IF(L391="Withheld","Withheld premise",IF(E391="Tool candidate","Reusable prerequisite",IF(K391="Raw entry preparation","Entry-resource preparation",IF(G391="Not applicable",IF(IFERROR(INDEX('Items'!$AI$6:$AI$1005,MATCH(T391,'Items'!$A$6:$A$1005,0)),"MISSING ID")="Finished item","Finished endpoint",IF(IFERROR(INDEX('Items'!$AI$6:$AI$1005,MATCH(T391,'Items'!$A$6:$A$1005,0)),"MISSING ID")="Currency","Currency / no refinement tier","Recovered output / tier not applicable")),IF(OR(IFERROR(INDEX('Crafting recipes'!$H$6:$H$1005,MATCH(J391,'Crafting recipes'!$A$6:$A$1005,0)),"MISSING ID")="Unassigned",G391="Unassigned"),"Tier unresolved",IF(IFERROR(VALUE(RIGHT(G391,1))-VALUE(RIGHT(IFERROR(INDEX('Crafting recipes'!$H$6:$H$1005,MATCH(J391,'Crafting recipes'!$A$6:$A$1005,0)),"MISSING ID"),1)),0)=1,IF(B391=IFERROR(INDEX('Crafting recipes'!$H$6:$H$1005,MATCH(J391,'Crafting recipes'!$A$6:$A$1005,0)),"MISSING ID"),"Advances one material tier","Lower-tier ingredient; route advances one tier"),"Needs tier review"))))))</x:f>
        <x:v>Advances one material tier</x:v>
      </x:c>
      <x:c r="S391" s="4" t="str">
        <x:f>IFERROR(INDEX('Material routes'!$D$6:$D$2205,MATCH(U391,'Material routes'!$A$6:$A$2205,0)),"MISSING ID")</x:f>
        <x:v>author.metallurgy.steel_stock</x:v>
      </x:c>
      <x:c r="T391" s="4" t="str">
        <x:f>IFERROR(INDEX('Material routes'!$D$6:$D$2205,MATCH(V391,'Material routes'!$A$6:$A$2205,0)),"MISSING ID")</x:f>
        <x:v>proposal.legger.grease_cup</x:v>
      </x:c>
      <x:c r="U391" s="4" t="str">
        <x:v>design.review.proposal_legger_grease_cup.in.1</x:v>
      </x:c>
      <x:c r="V391" s="4" t="str">
        <x:v>design.review.proposal_legger_grease_cup.out</x:v>
      </x:c>
    </x:row>
    <x:row r="392" ht="115" customHeight="1">
      <x:c r="A392" s="4" t="str">
        <x:f>IFERROR(INDEX('Material routes'!$E$6:$E$2205,MATCH(U392,'Material routes'!$A$6:$A$2205,0)),"MISSING ID")</x:f>
        <x:v>Prepared bronze bearing stock</x:v>
      </x:c>
      <x:c r="B392" s="4" t="str">
        <x:f>IFERROR(INDEX('Material routes'!$F$6:$F$2205,MATCH(U392,'Material routes'!$A$6:$A$2205,0)),"MISSING ID")</x:f>
        <x:v>T2</x:v>
      </x:c>
      <x:c r="C392" s="4" t="str">
        <x:f>IFERROR(INDEX('Material routes'!$H$6:$H$2205,MATCH(U392,'Material routes'!$A$6:$A$2205,0)),"MISSING ID")</x:f>
        <x:v>Processed material</x:v>
      </x:c>
      <x:c r="D392" s="4" t="str">
        <x:f>IFERROR(INDEX('Material routes'!$G$6:$G$2205,MATCH(U392,'Material routes'!$A$6:$A$2205,0)),"MISSING ID")</x:f>
        <x:v>Manufactured stock</x:v>
      </x:c>
      <x:c r="E392" s="4" t="str">
        <x:f>IFERROR(INDEX('Material routes'!$C$6:$C$2205,MATCH(U392,'Material routes'!$A$6:$A$2205,0)),"MISSING ID")</x:f>
        <x:v>Ingredient candidate</x:v>
      </x:c>
      <x:c r="F392" s="4" t="str">
        <x:f>IFERROR(INDEX('Material routes'!$E$6:$E$2205,MATCH(V392,'Material routes'!$A$6:$A$2205,0)),"MISSING ID")</x:f>
        <x:v>Fitted joint lubricant cup</x:v>
      </x:c>
      <x:c r="G392" s="4" t="str">
        <x:f>IFERROR(INDEX('Material routes'!$F$6:$F$2205,MATCH(V392,'Material routes'!$A$6:$A$2205,0)),"MISSING ID")</x:f>
        <x:v>T3</x:v>
      </x:c>
      <x:c r="H392" s="4" t="str">
        <x:f>IFERROR(INDEX('Material routes'!$H$6:$H$2205,MATCH(V392,'Material routes'!$A$6:$A$2205,0)),"MISSING ID")</x:f>
        <x:v>Container part</x:v>
      </x:c>
      <x:c r="I392" s="4" t="str">
        <x:f>IFERROR(INDEX('Material routes'!$G$6:$G$2205,MATCH(V392,'Material routes'!$A$6:$A$2205,0)),"MISSING ID")</x:f>
        <x:v>Crafting components</x:v>
      </x:c>
      <x:c r="J392" s="4" t="str">
        <x:f>IFERROR(INDEX('Material routes'!$B$6:$B$2205,MATCH(U392,'Material routes'!$A$6:$A$2205,0)),"MISSING ID")</x:f>
        <x:v>design.review.proposal_legger_grease_cup</x:v>
      </x:c>
      <x:c r="K392" s="4" t="str">
        <x:f>IFERROR(INDEX('Crafting recipes'!$C$6:$C$1005,MATCH(J392,'Crafting recipes'!$A$6:$A$1005,0)),"MISSING ID")</x:f>
        <x:v>Material refinement</x:v>
      </x:c>
      <x:c r="L392" s="4" t="str">
        <x:f>IFERROR(INDEX('Material routes'!$K$6:$K$2205,MATCH(U392,'Material routes'!$A$6:$A$2205,0)),"MISSING ID")</x:f>
        <x:v>Proposal</x:v>
      </x:c>
      <x:c r="M392" s="4" t="str">
        <x:f>IFERROR(INDEX('Material routes'!$M$6:$M$2205,MATCH(U392,'Material routes'!$A$6:$A$2205,0)),"MISSING ID")</x:f>
        <x:v>Partial proposal</x:v>
      </x:c>
      <x:c r="N392" s="4" t="str">
        <x:f>IF(IFERROR(INDEX('Material routes'!$I$6:$I$1005,MATCH(U392,'Material routes'!$A$6:$A$1005,0)),"MISSING ID")=0,"",IFERROR(INDEX('Material routes'!$I$6:$I$1005,MATCH(U392,'Material routes'!$A$6:$A$1005,0)),"MISSING ID"))</x:f>
      </x:c>
      <x:c r="O392" s="4" t="str">
        <x:f>IFERROR(INDEX('Material routes'!$J$6:$J$2205,MATCH(U392,'Material routes'!$A$6:$A$2205,0)),"MISSING ID")</x:f>
        <x:v>Unspecified</x:v>
      </x:c>
      <x:c r="P392" s="4" t="str">
        <x:f>IF(IFERROR(INDEX('Material routes'!$I$6:$I$1005,MATCH(V392,'Material routes'!$A$6:$A$1005,0)),"MISSING ID")=0,"",IFERROR(INDEX('Material routes'!$I$6:$I$1005,MATCH(V392,'Material routes'!$A$6:$A$1005,0)),"MISSING ID"))</x:f>
      </x:c>
      <x:c r="Q392" s="4" t="str">
        <x:f>IFERROR(INDEX('Material routes'!$J$6:$J$2205,MATCH(V392,'Material routes'!$A$6:$A$2205,0)),"MISSING ID")</x:f>
        <x:v>Unspecified</x:v>
      </x:c>
      <x:c r="R392" s="4" t="str">
        <x:f>IF(L392="Withheld","Withheld premise",IF(E392="Tool candidate","Reusable prerequisite",IF(K392="Raw entry preparation","Entry-resource preparation",IF(G392="Not applicable",IF(IFERROR(INDEX('Items'!$AI$6:$AI$1005,MATCH(T392,'Items'!$A$6:$A$1005,0)),"MISSING ID")="Finished item","Finished endpoint",IF(IFERROR(INDEX('Items'!$AI$6:$AI$1005,MATCH(T392,'Items'!$A$6:$A$1005,0)),"MISSING ID")="Currency","Currency / no refinement tier","Recovered output / tier not applicable")),IF(OR(IFERROR(INDEX('Crafting recipes'!$H$6:$H$1005,MATCH(J392,'Crafting recipes'!$A$6:$A$1005,0)),"MISSING ID")="Unassigned",G392="Unassigned"),"Tier unresolved",IF(IFERROR(VALUE(RIGHT(G392,1))-VALUE(RIGHT(IFERROR(INDEX('Crafting recipes'!$H$6:$H$1005,MATCH(J392,'Crafting recipes'!$A$6:$A$1005,0)),"MISSING ID"),1)),0)=1,IF(B392=IFERROR(INDEX('Crafting recipes'!$H$6:$H$1005,MATCH(J392,'Crafting recipes'!$A$6:$A$1005,0)),"MISSING ID"),"Advances one material tier","Lower-tier ingredient; route advances one tier"),"Needs tier review"))))))</x:f>
        <x:v>Advances one material tier</x:v>
      </x:c>
      <x:c r="S392" s="4" t="str">
        <x:f>IFERROR(INDEX('Material routes'!$D$6:$D$2205,MATCH(U392,'Material routes'!$A$6:$A$2205,0)),"MISSING ID")</x:f>
        <x:v>proposal.branch.bearing_bronze</x:v>
      </x:c>
      <x:c r="T392" s="4" t="str">
        <x:f>IFERROR(INDEX('Material routes'!$D$6:$D$2205,MATCH(V392,'Material routes'!$A$6:$A$2205,0)),"MISSING ID")</x:f>
        <x:v>proposal.legger.grease_cup</x:v>
      </x:c>
      <x:c r="U392" s="4" t="str">
        <x:v>design.review.proposal_legger_grease_cup.in.2</x:v>
      </x:c>
      <x:c r="V392" s="4" t="str">
        <x:v>design.review.proposal_legger_grease_cup.out</x:v>
      </x:c>
    </x:row>
    <x:row r="393" ht="115" customHeight="1">
      <x:c r="A393" s="4" t="str">
        <x:f>IFERROR(INDEX('Material routes'!$E$6:$E$2205,MATCH(U393,'Material routes'!$A$6:$A$2205,0)),"MISSING ID")</x:f>
        <x:v>Husk-reinforced packing stock</x:v>
      </x:c>
      <x:c r="B393" s="4" t="str">
        <x:f>IFERROR(INDEX('Material routes'!$F$6:$F$2205,MATCH(U393,'Material routes'!$A$6:$A$2205,0)),"MISSING ID")</x:f>
        <x:v>T3</x:v>
      </x:c>
      <x:c r="C393" s="4" t="str">
        <x:f>IFERROR(INDEX('Material routes'!$H$6:$H$2205,MATCH(U393,'Material routes'!$A$6:$A$2205,0)),"MISSING ID")</x:f>
        <x:v>Processed material</x:v>
      </x:c>
      <x:c r="D393" s="4" t="str">
        <x:f>IFERROR(INDEX('Material routes'!$G$6:$G$2205,MATCH(U393,'Material routes'!$A$6:$A$2205,0)),"MISSING ID")</x:f>
        <x:v>Manufactured stock</x:v>
      </x:c>
      <x:c r="E393" s="4" t="str">
        <x:f>IFERROR(INDEX('Material routes'!$C$6:$C$2205,MATCH(U393,'Material routes'!$A$6:$A$2205,0)),"MISSING ID")</x:f>
        <x:v>Ingredient candidate</x:v>
      </x:c>
      <x:c r="F393" s="4" t="str">
        <x:f>IFERROR(INDEX('Material routes'!$E$6:$E$2205,MATCH(V393,'Material routes'!$A$6:$A$2205,0)),"MISSING ID")</x:f>
        <x:v>Replaceable joint-seal cartridge</x:v>
      </x:c>
      <x:c r="G393" s="4" t="str">
        <x:f>IFERROR(INDEX('Material routes'!$F$6:$F$2205,MATCH(V393,'Material routes'!$A$6:$A$2205,0)),"MISSING ID")</x:f>
        <x:v>T4</x:v>
      </x:c>
      <x:c r="H393" s="4" t="str">
        <x:f>IFERROR(INDEX('Material routes'!$H$6:$H$2205,MATCH(V393,'Material routes'!$A$6:$A$2205,0)),"MISSING ID")</x:f>
        <x:v>Crafting component</x:v>
      </x:c>
      <x:c r="I393" s="4" t="str">
        <x:f>IFERROR(INDEX('Material routes'!$G$6:$G$2205,MATCH(V393,'Material routes'!$A$6:$A$2205,0)),"MISSING ID")</x:f>
        <x:v>Crafting components</x:v>
      </x:c>
      <x:c r="J393" s="4" t="str">
        <x:f>IFERROR(INDEX('Material routes'!$B$6:$B$2205,MATCH(U393,'Material routes'!$A$6:$A$2205,0)),"MISSING ID")</x:f>
        <x:v>design.review.proposal_legger_seal_cartridge</x:v>
      </x:c>
      <x:c r="K393" s="4" t="str">
        <x:f>IFERROR(INDEX('Crafting recipes'!$C$6:$C$1005,MATCH(J393,'Crafting recipes'!$A$6:$A$1005,0)),"MISSING ID")</x:f>
        <x:v>Material refinement</x:v>
      </x:c>
      <x:c r="L393" s="4" t="str">
        <x:f>IFERROR(INDEX('Material routes'!$K$6:$K$2205,MATCH(U393,'Material routes'!$A$6:$A$2205,0)),"MISSING ID")</x:f>
        <x:v>Proposal</x:v>
      </x:c>
      <x:c r="M393" s="4" t="str">
        <x:f>IFERROR(INDEX('Material routes'!$M$6:$M$2205,MATCH(U393,'Material routes'!$A$6:$A$2205,0)),"MISSING ID")</x:f>
        <x:v>Partial proposal</x:v>
      </x:c>
      <x:c r="N393" s="4" t="str">
        <x:f>IF(IFERROR(INDEX('Material routes'!$I$6:$I$1005,MATCH(U393,'Material routes'!$A$6:$A$1005,0)),"MISSING ID")=0,"",IFERROR(INDEX('Material routes'!$I$6:$I$1005,MATCH(U393,'Material routes'!$A$6:$A$1005,0)),"MISSING ID"))</x:f>
      </x:c>
      <x:c r="O393" s="4" t="str">
        <x:f>IFERROR(INDEX('Material routes'!$J$6:$J$2205,MATCH(U393,'Material routes'!$A$6:$A$2205,0)),"MISSING ID")</x:f>
        <x:v>Unspecified</x:v>
      </x:c>
      <x:c r="P393" s="4" t="str">
        <x:f>IF(IFERROR(INDEX('Material routes'!$I$6:$I$1005,MATCH(V393,'Material routes'!$A$6:$A$1005,0)),"MISSING ID")=0,"",IFERROR(INDEX('Material routes'!$I$6:$I$1005,MATCH(V393,'Material routes'!$A$6:$A$1005,0)),"MISSING ID"))</x:f>
      </x:c>
      <x:c r="Q393" s="4" t="str">
        <x:f>IFERROR(INDEX('Material routes'!$J$6:$J$2205,MATCH(V393,'Material routes'!$A$6:$A$2205,0)),"MISSING ID")</x:f>
        <x:v>Unspecified</x:v>
      </x:c>
      <x:c r="R393" s="4" t="str">
        <x:f>IF(L393="Withheld","Withheld premise",IF(E393="Tool candidate","Reusable prerequisite",IF(K393="Raw entry preparation","Entry-resource preparation",IF(G393="Not applicable",IF(IFERROR(INDEX('Items'!$AI$6:$AI$1005,MATCH(T393,'Items'!$A$6:$A$1005,0)),"MISSING ID")="Finished item","Finished endpoint",IF(IFERROR(INDEX('Items'!$AI$6:$AI$1005,MATCH(T393,'Items'!$A$6:$A$1005,0)),"MISSING ID")="Currency","Currency / no refinement tier","Recovered output / tier not applicable")),IF(OR(IFERROR(INDEX('Crafting recipes'!$H$6:$H$1005,MATCH(J393,'Crafting recipes'!$A$6:$A$1005,0)),"MISSING ID")="Unassigned",G393="Unassigned"),"Tier unresolved",IF(IFERROR(VALUE(RIGHT(G393,1))-VALUE(RIGHT(IFERROR(INDEX('Crafting recipes'!$H$6:$H$1005,MATCH(J393,'Crafting recipes'!$A$6:$A$1005,0)),"MISSING ID"),1)),0)=1,IF(B393=IFERROR(INDEX('Crafting recipes'!$H$6:$H$1005,MATCH(J393,'Crafting recipes'!$A$6:$A$1005,0)),"MISSING ID"),"Advances one material tier","Lower-tier ingredient; route advances one tier"),"Needs tier review"))))))</x:f>
        <x:v>Advances one material tier</x:v>
      </x:c>
      <x:c r="S393" s="4" t="str">
        <x:f>IFERROR(INDEX('Material routes'!$D$6:$D$2205,MATCH(U393,'Material routes'!$A$6:$A$2205,0)),"MISSING ID")</x:f>
        <x:v>proposal.t3.packing_stock</x:v>
      </x:c>
      <x:c r="T393" s="4" t="str">
        <x:f>IFERROR(INDEX('Material routes'!$D$6:$D$2205,MATCH(V393,'Material routes'!$A$6:$A$2205,0)),"MISSING ID")</x:f>
        <x:v>proposal.legger.seal_cartridge</x:v>
      </x:c>
      <x:c r="U393" s="4" t="str">
        <x:v>design.review.proposal_legger_seal_cartridge.in.1</x:v>
      </x:c>
      <x:c r="V393" s="4" t="str">
        <x:v>design.review.proposal_legger_seal_cartridge.out</x:v>
      </x:c>
    </x:row>
    <x:row r="394" ht="115" customHeight="1">
      <x:c r="A394" s="4" t="str">
        <x:f>IFERROR(INDEX('Material routes'!$E$6:$E$2205,MATCH(U394,'Material routes'!$A$6:$A$2205,0)),"MISSING ID")</x:f>
        <x:v>Reinforced sealing sheet</x:v>
      </x:c>
      <x:c r="B394" s="4" t="str">
        <x:f>IFERROR(INDEX('Material routes'!$F$6:$F$2205,MATCH(U394,'Material routes'!$A$6:$A$2205,0)),"MISSING ID")</x:f>
        <x:v>T3</x:v>
      </x:c>
      <x:c r="C394" s="4" t="str">
        <x:f>IFERROR(INDEX('Material routes'!$H$6:$H$2205,MATCH(U394,'Material routes'!$A$6:$A$2205,0)),"MISSING ID")</x:f>
        <x:v>Processed material</x:v>
      </x:c>
      <x:c r="D394" s="4" t="str">
        <x:f>IFERROR(INDEX('Material routes'!$G$6:$G$2205,MATCH(U394,'Material routes'!$A$6:$A$2205,0)),"MISSING ID")</x:f>
        <x:v>Manufactured stock</x:v>
      </x:c>
      <x:c r="E394" s="4" t="str">
        <x:f>IFERROR(INDEX('Material routes'!$C$6:$C$2205,MATCH(U394,'Material routes'!$A$6:$A$2205,0)),"MISSING ID")</x:f>
        <x:v>Ingredient candidate</x:v>
      </x:c>
      <x:c r="F394" s="4" t="str">
        <x:f>IFERROR(INDEX('Material routes'!$E$6:$E$2205,MATCH(V394,'Material routes'!$A$6:$A$2205,0)),"MISSING ID")</x:f>
        <x:v>Replaceable joint-seal cartridge</x:v>
      </x:c>
      <x:c r="G394" s="4" t="str">
        <x:f>IFERROR(INDEX('Material routes'!$F$6:$F$2205,MATCH(V394,'Material routes'!$A$6:$A$2205,0)),"MISSING ID")</x:f>
        <x:v>T4</x:v>
      </x:c>
      <x:c r="H394" s="4" t="str">
        <x:f>IFERROR(INDEX('Material routes'!$H$6:$H$2205,MATCH(V394,'Material routes'!$A$6:$A$2205,0)),"MISSING ID")</x:f>
        <x:v>Crafting component</x:v>
      </x:c>
      <x:c r="I394" s="4" t="str">
        <x:f>IFERROR(INDEX('Material routes'!$G$6:$G$2205,MATCH(V394,'Material routes'!$A$6:$A$2205,0)),"MISSING ID")</x:f>
        <x:v>Crafting components</x:v>
      </x:c>
      <x:c r="J394" s="4" t="str">
        <x:f>IFERROR(INDEX('Material routes'!$B$6:$B$2205,MATCH(U394,'Material routes'!$A$6:$A$2205,0)),"MISSING ID")</x:f>
        <x:v>design.review.proposal_legger_seal_cartridge</x:v>
      </x:c>
      <x:c r="K394" s="4" t="str">
        <x:f>IFERROR(INDEX('Crafting recipes'!$C$6:$C$1005,MATCH(J394,'Crafting recipes'!$A$6:$A$1005,0)),"MISSING ID")</x:f>
        <x:v>Material refinement</x:v>
      </x:c>
      <x:c r="L394" s="4" t="str">
        <x:f>IFERROR(INDEX('Material routes'!$K$6:$K$2205,MATCH(U394,'Material routes'!$A$6:$A$2205,0)),"MISSING ID")</x:f>
        <x:v>Proposal</x:v>
      </x:c>
      <x:c r="M394" s="4" t="str">
        <x:f>IFERROR(INDEX('Material routes'!$M$6:$M$2205,MATCH(U394,'Material routes'!$A$6:$A$2205,0)),"MISSING ID")</x:f>
        <x:v>Partial proposal</x:v>
      </x:c>
      <x:c r="N394" s="4" t="str">
        <x:f>IF(IFERROR(INDEX('Material routes'!$I$6:$I$1005,MATCH(U394,'Material routes'!$A$6:$A$1005,0)),"MISSING ID")=0,"",IFERROR(INDEX('Material routes'!$I$6:$I$1005,MATCH(U394,'Material routes'!$A$6:$A$1005,0)),"MISSING ID"))</x:f>
      </x:c>
      <x:c r="O394" s="4" t="str">
        <x:f>IFERROR(INDEX('Material routes'!$J$6:$J$2205,MATCH(U394,'Material routes'!$A$6:$A$2205,0)),"MISSING ID")</x:f>
        <x:v>Unspecified</x:v>
      </x:c>
      <x:c r="P394" s="4" t="str">
        <x:f>IF(IFERROR(INDEX('Material routes'!$I$6:$I$1005,MATCH(V394,'Material routes'!$A$6:$A$1005,0)),"MISSING ID")=0,"",IFERROR(INDEX('Material routes'!$I$6:$I$1005,MATCH(V394,'Material routes'!$A$6:$A$1005,0)),"MISSING ID"))</x:f>
      </x:c>
      <x:c r="Q394" s="4" t="str">
        <x:f>IFERROR(INDEX('Material routes'!$J$6:$J$2205,MATCH(V394,'Material routes'!$A$6:$A$2205,0)),"MISSING ID")</x:f>
        <x:v>Unspecified</x:v>
      </x:c>
      <x:c r="R394" s="4" t="str">
        <x:f>IF(L394="Withheld","Withheld premise",IF(E394="Tool candidate","Reusable prerequisite",IF(K394="Raw entry preparation","Entry-resource preparation",IF(G394="Not applicable",IF(IFERROR(INDEX('Items'!$AI$6:$AI$1005,MATCH(T394,'Items'!$A$6:$A$1005,0)),"MISSING ID")="Finished item","Finished endpoint",IF(IFERROR(INDEX('Items'!$AI$6:$AI$1005,MATCH(T394,'Items'!$A$6:$A$1005,0)),"MISSING ID")="Currency","Currency / no refinement tier","Recovered output / tier not applicable")),IF(OR(IFERROR(INDEX('Crafting recipes'!$H$6:$H$1005,MATCH(J394,'Crafting recipes'!$A$6:$A$1005,0)),"MISSING ID")="Unassigned",G394="Unassigned"),"Tier unresolved",IF(IFERROR(VALUE(RIGHT(G394,1))-VALUE(RIGHT(IFERROR(INDEX('Crafting recipes'!$H$6:$H$1005,MATCH(J394,'Crafting recipes'!$A$6:$A$1005,0)),"MISSING ID"),1)),0)=1,IF(B394=IFERROR(INDEX('Crafting recipes'!$H$6:$H$1005,MATCH(J394,'Crafting recipes'!$A$6:$A$1005,0)),"MISSING ID"),"Advances one material tier","Lower-tier ingredient; route advances one tier"),"Needs tier review"))))))</x:f>
        <x:v>Advances one material tier</x:v>
      </x:c>
      <x:c r="S394" s="4" t="str">
        <x:f>IFERROR(INDEX('Material routes'!$D$6:$D$2205,MATCH(U394,'Material routes'!$A$6:$A$2205,0)),"MISSING ID")</x:f>
        <x:v>proposal.branch.sealing_sheet</x:v>
      </x:c>
      <x:c r="T394" s="4" t="str">
        <x:f>IFERROR(INDEX('Material routes'!$D$6:$D$2205,MATCH(V394,'Material routes'!$A$6:$A$2205,0)),"MISSING ID")</x:f>
        <x:v>proposal.legger.seal_cartridge</x:v>
      </x:c>
      <x:c r="U394" s="4" t="str">
        <x:v>design.review.proposal_legger_seal_cartridge.in.2</x:v>
      </x:c>
      <x:c r="V394" s="4" t="str">
        <x:v>design.review.proposal_legger_seal_cartridge.out</x:v>
      </x:c>
    </x:row>
    <x:row r="395" ht="115" customHeight="1">
      <x:c r="A395" s="4" t="str">
        <x:f>IFERROR(INDEX('Material routes'!$E$6:$E$2205,MATCH(U395,'Material routes'!$A$6:$A$2205,0)),"MISSING ID")</x:f>
        <x:v>Steel stock</x:v>
      </x:c>
      <x:c r="B395" s="4" t="str">
        <x:f>IFERROR(INDEX('Material routes'!$F$6:$F$2205,MATCH(U395,'Material routes'!$A$6:$A$2205,0)),"MISSING ID")</x:f>
        <x:v>T2</x:v>
      </x:c>
      <x:c r="C395" s="4" t="str">
        <x:f>IFERROR(INDEX('Material routes'!$H$6:$H$2205,MATCH(U395,'Material routes'!$A$6:$A$2205,0)),"MISSING ID")</x:f>
        <x:v>Processed material</x:v>
      </x:c>
      <x:c r="D395" s="4" t="str">
        <x:f>IFERROR(INDEX('Material routes'!$G$6:$G$2205,MATCH(U395,'Material routes'!$A$6:$A$2205,0)),"MISSING ID")</x:f>
        <x:v>Manufactured stock</x:v>
      </x:c>
      <x:c r="E395" s="4" t="str">
        <x:f>IFERROR(INDEX('Material routes'!$C$6:$C$2205,MATCH(U395,'Material routes'!$A$6:$A$2205,0)),"MISSING ID")</x:f>
        <x:v>Ingredient candidate</x:v>
      </x:c>
      <x:c r="F395" s="4" t="str">
        <x:f>IFERROR(INDEX('Material routes'!$E$6:$E$2205,MATCH(V395,'Material routes'!$A$6:$A$2205,0)),"MISSING ID")</x:f>
        <x:v>Replaceable joint-seal cartridge</x:v>
      </x:c>
      <x:c r="G395" s="4" t="str">
        <x:f>IFERROR(INDEX('Material routes'!$F$6:$F$2205,MATCH(V395,'Material routes'!$A$6:$A$2205,0)),"MISSING ID")</x:f>
        <x:v>T4</x:v>
      </x:c>
      <x:c r="H395" s="4" t="str">
        <x:f>IFERROR(INDEX('Material routes'!$H$6:$H$2205,MATCH(V395,'Material routes'!$A$6:$A$2205,0)),"MISSING ID")</x:f>
        <x:v>Crafting component</x:v>
      </x:c>
      <x:c r="I395" s="4" t="str">
        <x:f>IFERROR(INDEX('Material routes'!$G$6:$G$2205,MATCH(V395,'Material routes'!$A$6:$A$2205,0)),"MISSING ID")</x:f>
        <x:v>Crafting components</x:v>
      </x:c>
      <x:c r="J395" s="4" t="str">
        <x:f>IFERROR(INDEX('Material routes'!$B$6:$B$2205,MATCH(U395,'Material routes'!$A$6:$A$2205,0)),"MISSING ID")</x:f>
        <x:v>design.review.proposal_legger_seal_cartridge</x:v>
      </x:c>
      <x:c r="K395" s="4" t="str">
        <x:f>IFERROR(INDEX('Crafting recipes'!$C$6:$C$1005,MATCH(J395,'Crafting recipes'!$A$6:$A$1005,0)),"MISSING ID")</x:f>
        <x:v>Material refinement</x:v>
      </x:c>
      <x:c r="L395" s="4" t="str">
        <x:f>IFERROR(INDEX('Material routes'!$K$6:$K$2205,MATCH(U395,'Material routes'!$A$6:$A$2205,0)),"MISSING ID")</x:f>
        <x:v>Proposal</x:v>
      </x:c>
      <x:c r="M395" s="4" t="str">
        <x:f>IFERROR(INDEX('Material routes'!$M$6:$M$2205,MATCH(U395,'Material routes'!$A$6:$A$2205,0)),"MISSING ID")</x:f>
        <x:v>Partial proposal</x:v>
      </x:c>
      <x:c r="N395" s="4" t="str">
        <x:f>IF(IFERROR(INDEX('Material routes'!$I$6:$I$1005,MATCH(U395,'Material routes'!$A$6:$A$1005,0)),"MISSING ID")=0,"",IFERROR(INDEX('Material routes'!$I$6:$I$1005,MATCH(U395,'Material routes'!$A$6:$A$1005,0)),"MISSING ID"))</x:f>
      </x:c>
      <x:c r="O395" s="4" t="str">
        <x:f>IFERROR(INDEX('Material routes'!$J$6:$J$2205,MATCH(U395,'Material routes'!$A$6:$A$2205,0)),"MISSING ID")</x:f>
        <x:v>Unspecified</x:v>
      </x:c>
      <x:c r="P395" s="4" t="str">
        <x:f>IF(IFERROR(INDEX('Material routes'!$I$6:$I$1005,MATCH(V395,'Material routes'!$A$6:$A$1005,0)),"MISSING ID")=0,"",IFERROR(INDEX('Material routes'!$I$6:$I$1005,MATCH(V395,'Material routes'!$A$6:$A$1005,0)),"MISSING ID"))</x:f>
      </x:c>
      <x:c r="Q395" s="4" t="str">
        <x:f>IFERROR(INDEX('Material routes'!$J$6:$J$2205,MATCH(V395,'Material routes'!$A$6:$A$2205,0)),"MISSING ID")</x:f>
        <x:v>Unspecified</x:v>
      </x:c>
      <x:c r="R395" s="4" t="str">
        <x:f>IF(L395="Withheld","Withheld premise",IF(E395="Tool candidate","Reusable prerequisite",IF(K395="Raw entry preparation","Entry-resource preparation",IF(G395="Not applicable",IF(IFERROR(INDEX('Items'!$AI$6:$AI$1005,MATCH(T395,'Items'!$A$6:$A$1005,0)),"MISSING ID")="Finished item","Finished endpoint",IF(IFERROR(INDEX('Items'!$AI$6:$AI$1005,MATCH(T395,'Items'!$A$6:$A$1005,0)),"MISSING ID")="Currency","Currency / no refinement tier","Recovered output / tier not applicable")),IF(OR(IFERROR(INDEX('Crafting recipes'!$H$6:$H$1005,MATCH(J395,'Crafting recipes'!$A$6:$A$1005,0)),"MISSING ID")="Unassigned",G395="Unassigned"),"Tier unresolved",IF(IFERROR(VALUE(RIGHT(G395,1))-VALUE(RIGHT(IFERROR(INDEX('Crafting recipes'!$H$6:$H$1005,MATCH(J395,'Crafting recipes'!$A$6:$A$1005,0)),"MISSING ID"),1)),0)=1,IF(B395=IFERROR(INDEX('Crafting recipes'!$H$6:$H$1005,MATCH(J395,'Crafting recipes'!$A$6:$A$1005,0)),"MISSING ID"),"Advances one material tier","Lower-tier ingredient; route advances one tier"),"Needs tier review"))))))</x:f>
        <x:v>Lower-tier ingredient; route advances one tier</x:v>
      </x:c>
      <x:c r="S395" s="4" t="str">
        <x:f>IFERROR(INDEX('Material routes'!$D$6:$D$2205,MATCH(U395,'Material routes'!$A$6:$A$2205,0)),"MISSING ID")</x:f>
        <x:v>author.metallurgy.steel_stock</x:v>
      </x:c>
      <x:c r="T395" s="4" t="str">
        <x:f>IFERROR(INDEX('Material routes'!$D$6:$D$2205,MATCH(V395,'Material routes'!$A$6:$A$2205,0)),"MISSING ID")</x:f>
        <x:v>proposal.legger.seal_cartridge</x:v>
      </x:c>
      <x:c r="U395" s="4" t="str">
        <x:v>design.review.proposal_legger_seal_cartridge.in.3</x:v>
      </x:c>
      <x:c r="V395" s="4" t="str">
        <x:v>design.review.proposal_legger_seal_cartridge.out</x:v>
      </x:c>
    </x:row>
    <x:row r="396" ht="115" customHeight="1">
      <x:c r="A396" s="4"/>
      <x:c r="B396" s="4"/>
      <x:c r="C396" s="4"/>
      <x:c r="D396" s="4"/>
      <x:c r="E396" s="4"/>
      <x:c r="F396" s="4"/>
      <x:c r="G396" s="4"/>
      <x:c r="H396" s="4"/>
      <x:c r="I396" s="4"/>
      <x:c r="J396" s="4"/>
      <x:c r="K396" s="4"/>
      <x:c r="L396" s="4"/>
      <x:c r="M396" s="4"/>
      <x:c r="N396" s="4"/>
      <x:c r="O396" s="4"/>
      <x:c r="P396" s="4"/>
      <x:c r="Q396" s="4"/>
      <x:c r="R396" s="4"/>
      <x:c r="S396" s="4"/>
      <x:c r="T396" s="4"/>
      <x:c r="U396" s="4"/>
      <x:c r="V396" s="4"/>
    </x:row>
    <x:row r="397" ht="115" customHeight="1">
      <x:c r="A397" s="4"/>
      <x:c r="B397" s="4"/>
      <x:c r="C397" s="4"/>
      <x:c r="D397" s="4"/>
      <x:c r="E397" s="4"/>
      <x:c r="F397" s="4"/>
      <x:c r="G397" s="4"/>
      <x:c r="H397" s="4"/>
      <x:c r="I397" s="4"/>
      <x:c r="J397" s="4"/>
      <x:c r="K397" s="4"/>
      <x:c r="L397" s="4"/>
      <x:c r="M397" s="4"/>
      <x:c r="N397" s="4"/>
      <x:c r="O397" s="4"/>
      <x:c r="P397" s="4"/>
      <x:c r="Q397" s="4"/>
      <x:c r="R397" s="4"/>
      <x:c r="S397" s="4"/>
      <x:c r="T397" s="4"/>
      <x:c r="U397" s="4"/>
      <x:c r="V397" s="4"/>
    </x:row>
    <x:row r="398" ht="115" customHeight="1">
      <x:c r="A398" s="4"/>
      <x:c r="B398" s="4"/>
      <x:c r="C398" s="4"/>
      <x:c r="D398" s="4"/>
      <x:c r="E398" s="4"/>
      <x:c r="F398" s="4"/>
      <x:c r="G398" s="4"/>
      <x:c r="H398" s="4"/>
      <x:c r="I398" s="4"/>
      <x:c r="J398" s="4"/>
      <x:c r="K398" s="4"/>
      <x:c r="L398" s="4"/>
      <x:c r="M398" s="4"/>
      <x:c r="N398" s="4"/>
      <x:c r="O398" s="4"/>
      <x:c r="P398" s="4"/>
      <x:c r="Q398" s="4"/>
      <x:c r="R398" s="4"/>
      <x:c r="S398" s="4"/>
      <x:c r="T398" s="4"/>
      <x:c r="U398" s="4"/>
      <x:c r="V398" s="4"/>
    </x:row>
    <x:row r="399" ht="115" customHeight="1">
      <x:c r="A399" s="4" t="str">
        <x:f>IFERROR(INDEX('Material routes'!$E$6:$E$2205,MATCH(U399,'Material routes'!$A$6:$A$2205,0)),"MISSING ID")</x:f>
        <x:v>Steel stock</x:v>
      </x:c>
      <x:c r="B399" s="4" t="str">
        <x:f>IFERROR(INDEX('Material routes'!$F$6:$F$2205,MATCH(U399,'Material routes'!$A$6:$A$2205,0)),"MISSING ID")</x:f>
        <x:v>T2</x:v>
      </x:c>
      <x:c r="C399" s="4" t="str">
        <x:f>IFERROR(INDEX('Material routes'!$H$6:$H$2205,MATCH(U399,'Material routes'!$A$6:$A$2205,0)),"MISSING ID")</x:f>
        <x:v>Processed material</x:v>
      </x:c>
      <x:c r="D399" s="4" t="str">
        <x:f>IFERROR(INDEX('Material routes'!$G$6:$G$2205,MATCH(U399,'Material routes'!$A$6:$A$2205,0)),"MISSING ID")</x:f>
        <x:v>Manufactured stock</x:v>
      </x:c>
      <x:c r="E399" s="4" t="str">
        <x:f>IFERROR(INDEX('Material routes'!$C$6:$C$2205,MATCH(U399,'Material routes'!$A$6:$A$2205,0)),"MISSING ID")</x:f>
        <x:v>Ingredient candidate</x:v>
      </x:c>
      <x:c r="F399" s="4" t="str">
        <x:f>IFERROR(INDEX('Material routes'!$E$6:$E$2205,MATCH(V399,'Material routes'!$A$6:$A$2205,0)),"MISSING ID")</x:f>
        <x:v>Legger inspection hatch</x:v>
      </x:c>
      <x:c r="G399" s="4" t="str">
        <x:f>IFERROR(INDEX('Material routes'!$F$6:$F$2205,MATCH(V399,'Material routes'!$A$6:$A$2205,0)),"MISSING ID")</x:f>
        <x:v>T3</x:v>
      </x:c>
      <x:c r="H399" s="4" t="str">
        <x:f>IFERROR(INDEX('Material routes'!$H$6:$H$2205,MATCH(V399,'Material routes'!$A$6:$A$2205,0)),"MISSING ID")</x:f>
        <x:v>Crafting component</x:v>
      </x:c>
      <x:c r="I399" s="4" t="str">
        <x:f>IFERROR(INDEX('Material routes'!$G$6:$G$2205,MATCH(V399,'Material routes'!$A$6:$A$2205,0)),"MISSING ID")</x:f>
        <x:v>Crafting components</x:v>
      </x:c>
      <x:c r="J399" s="4" t="str">
        <x:f>IFERROR(INDEX('Material routes'!$B$6:$B$2205,MATCH(U399,'Material routes'!$A$6:$A$2205,0)),"MISSING ID")</x:f>
        <x:v>design.review.proposal_legger_inspection_hatch</x:v>
      </x:c>
      <x:c r="K399" s="4" t="str">
        <x:f>IFERROR(INDEX('Crafting recipes'!$C$6:$C$1005,MATCH(J399,'Crafting recipes'!$A$6:$A$1005,0)),"MISSING ID")</x:f>
        <x:v>Material refinement</x:v>
      </x:c>
      <x:c r="L399" s="4" t="str">
        <x:f>IFERROR(INDEX('Material routes'!$K$6:$K$2205,MATCH(U399,'Material routes'!$A$6:$A$2205,0)),"MISSING ID")</x:f>
        <x:v>Proposal</x:v>
      </x:c>
      <x:c r="M399" s="4" t="str">
        <x:f>IFERROR(INDEX('Material routes'!$M$6:$M$2205,MATCH(U399,'Material routes'!$A$6:$A$2205,0)),"MISSING ID")</x:f>
        <x:v>Partial proposal</x:v>
      </x:c>
      <x:c r="N399" s="4" t="str">
        <x:f>IF(IFERROR(INDEX('Material routes'!$I$6:$I$1005,MATCH(U399,'Material routes'!$A$6:$A$1005,0)),"MISSING ID")=0,"",IFERROR(INDEX('Material routes'!$I$6:$I$1005,MATCH(U399,'Material routes'!$A$6:$A$1005,0)),"MISSING ID"))</x:f>
      </x:c>
      <x:c r="O399" s="4" t="str">
        <x:f>IFERROR(INDEX('Material routes'!$J$6:$J$2205,MATCH(U399,'Material routes'!$A$6:$A$2205,0)),"MISSING ID")</x:f>
        <x:v>Unspecified</x:v>
      </x:c>
      <x:c r="P399" s="4" t="str">
        <x:f>IF(IFERROR(INDEX('Material routes'!$I$6:$I$1005,MATCH(V399,'Material routes'!$A$6:$A$1005,0)),"MISSING ID")=0,"",IFERROR(INDEX('Material routes'!$I$6:$I$1005,MATCH(V399,'Material routes'!$A$6:$A$1005,0)),"MISSING ID"))</x:f>
      </x:c>
      <x:c r="Q399" s="4" t="str">
        <x:f>IFERROR(INDEX('Material routes'!$J$6:$J$2205,MATCH(V399,'Material routes'!$A$6:$A$2205,0)),"MISSING ID")</x:f>
        <x:v>Unspecified</x:v>
      </x:c>
      <x:c r="R399" s="4" t="str">
        <x:f>IF(L399="Withheld","Withheld premise",IF(E399="Tool candidate","Reusable prerequisite",IF(K399="Raw entry preparation","Entry-resource preparation",IF(G399="Not applicable",IF(IFERROR(INDEX('Items'!$AI$6:$AI$1005,MATCH(T399,'Items'!$A$6:$A$1005,0)),"MISSING ID")="Finished item","Finished endpoint",IF(IFERROR(INDEX('Items'!$AI$6:$AI$1005,MATCH(T399,'Items'!$A$6:$A$1005,0)),"MISSING ID")="Currency","Currency / no refinement tier","Recovered output / tier not applicable")),IF(OR(IFERROR(INDEX('Crafting recipes'!$H$6:$H$1005,MATCH(J399,'Crafting recipes'!$A$6:$A$1005,0)),"MISSING ID")="Unassigned",G399="Unassigned"),"Tier unresolved",IF(IFERROR(VALUE(RIGHT(G399,1))-VALUE(RIGHT(IFERROR(INDEX('Crafting recipes'!$H$6:$H$1005,MATCH(J399,'Crafting recipes'!$A$6:$A$1005,0)),"MISSING ID"),1)),0)=1,IF(B399=IFERROR(INDEX('Crafting recipes'!$H$6:$H$1005,MATCH(J399,'Crafting recipes'!$A$6:$A$1005,0)),"MISSING ID"),"Advances one material tier","Lower-tier ingredient; route advances one tier"),"Needs tier review"))))))</x:f>
        <x:v>Advances one material tier</x:v>
      </x:c>
      <x:c r="S399" s="4" t="str">
        <x:f>IFERROR(INDEX('Material routes'!$D$6:$D$2205,MATCH(U399,'Material routes'!$A$6:$A$2205,0)),"MISSING ID")</x:f>
        <x:v>author.metallurgy.steel_stock</x:v>
      </x:c>
      <x:c r="T399" s="4" t="str">
        <x:f>IFERROR(INDEX('Material routes'!$D$6:$D$2205,MATCH(V399,'Material routes'!$A$6:$A$2205,0)),"MISSING ID")</x:f>
        <x:v>proposal.legger.inspection_hatch</x:v>
      </x:c>
      <x:c r="U399" s="4" t="str">
        <x:v>design.review.proposal_legger_inspection_hatch.in.1</x:v>
      </x:c>
      <x:c r="V399" s="4" t="str">
        <x:v>design.review.proposal_legger_inspection_hatch.out</x:v>
      </x:c>
    </x:row>
    <x:row r="400" ht="115" customHeight="1">
      <x:c r="A400" s="4" t="str">
        <x:f>IFERROR(INDEX('Material routes'!$E$6:$E$2205,MATCH(U400,'Material routes'!$A$6:$A$2205,0)),"MISSING ID")</x:f>
        <x:v>Prepared bronze bearing stock</x:v>
      </x:c>
      <x:c r="B400" s="4" t="str">
        <x:f>IFERROR(INDEX('Material routes'!$F$6:$F$2205,MATCH(U400,'Material routes'!$A$6:$A$2205,0)),"MISSING ID")</x:f>
        <x:v>T2</x:v>
      </x:c>
      <x:c r="C400" s="4" t="str">
        <x:f>IFERROR(INDEX('Material routes'!$H$6:$H$2205,MATCH(U400,'Material routes'!$A$6:$A$2205,0)),"MISSING ID")</x:f>
        <x:v>Processed material</x:v>
      </x:c>
      <x:c r="D400" s="4" t="str">
        <x:f>IFERROR(INDEX('Material routes'!$G$6:$G$2205,MATCH(U400,'Material routes'!$A$6:$A$2205,0)),"MISSING ID")</x:f>
        <x:v>Manufactured stock</x:v>
      </x:c>
      <x:c r="E400" s="4" t="str">
        <x:f>IFERROR(INDEX('Material routes'!$C$6:$C$2205,MATCH(U400,'Material routes'!$A$6:$A$2205,0)),"MISSING ID")</x:f>
        <x:v>Ingredient candidate</x:v>
      </x:c>
      <x:c r="F400" s="4" t="str">
        <x:f>IFERROR(INDEX('Material routes'!$E$6:$E$2205,MATCH(V400,'Material routes'!$A$6:$A$2205,0)),"MISSING ID")</x:f>
        <x:v>Legger inspection hatch</x:v>
      </x:c>
      <x:c r="G400" s="4" t="str">
        <x:f>IFERROR(INDEX('Material routes'!$F$6:$F$2205,MATCH(V400,'Material routes'!$A$6:$A$2205,0)),"MISSING ID")</x:f>
        <x:v>T3</x:v>
      </x:c>
      <x:c r="H400" s="4" t="str">
        <x:f>IFERROR(INDEX('Material routes'!$H$6:$H$2205,MATCH(V400,'Material routes'!$A$6:$A$2205,0)),"MISSING ID")</x:f>
        <x:v>Crafting component</x:v>
      </x:c>
      <x:c r="I400" s="4" t="str">
        <x:f>IFERROR(INDEX('Material routes'!$G$6:$G$2205,MATCH(V400,'Material routes'!$A$6:$A$2205,0)),"MISSING ID")</x:f>
        <x:v>Crafting components</x:v>
      </x:c>
      <x:c r="J400" s="4" t="str">
        <x:f>IFERROR(INDEX('Material routes'!$B$6:$B$2205,MATCH(U400,'Material routes'!$A$6:$A$2205,0)),"MISSING ID")</x:f>
        <x:v>design.review.proposal_legger_inspection_hatch</x:v>
      </x:c>
      <x:c r="K400" s="4" t="str">
        <x:f>IFERROR(INDEX('Crafting recipes'!$C$6:$C$1005,MATCH(J400,'Crafting recipes'!$A$6:$A$1005,0)),"MISSING ID")</x:f>
        <x:v>Material refinement</x:v>
      </x:c>
      <x:c r="L400" s="4" t="str">
        <x:f>IFERROR(INDEX('Material routes'!$K$6:$K$2205,MATCH(U400,'Material routes'!$A$6:$A$2205,0)),"MISSING ID")</x:f>
        <x:v>Proposal</x:v>
      </x:c>
      <x:c r="M400" s="4" t="str">
        <x:f>IFERROR(INDEX('Material routes'!$M$6:$M$2205,MATCH(U400,'Material routes'!$A$6:$A$2205,0)),"MISSING ID")</x:f>
        <x:v>Partial proposal</x:v>
      </x:c>
      <x:c r="N400" s="4" t="str">
        <x:f>IF(IFERROR(INDEX('Material routes'!$I$6:$I$1005,MATCH(U400,'Material routes'!$A$6:$A$1005,0)),"MISSING ID")=0,"",IFERROR(INDEX('Material routes'!$I$6:$I$1005,MATCH(U400,'Material routes'!$A$6:$A$1005,0)),"MISSING ID"))</x:f>
      </x:c>
      <x:c r="O400" s="4" t="str">
        <x:f>IFERROR(INDEX('Material routes'!$J$6:$J$2205,MATCH(U400,'Material routes'!$A$6:$A$2205,0)),"MISSING ID")</x:f>
        <x:v>Unspecified</x:v>
      </x:c>
      <x:c r="P400" s="4" t="str">
        <x:f>IF(IFERROR(INDEX('Material routes'!$I$6:$I$1005,MATCH(V400,'Material routes'!$A$6:$A$1005,0)),"MISSING ID")=0,"",IFERROR(INDEX('Material routes'!$I$6:$I$1005,MATCH(V400,'Material routes'!$A$6:$A$1005,0)),"MISSING ID"))</x:f>
      </x:c>
      <x:c r="Q400" s="4" t="str">
        <x:f>IFERROR(INDEX('Material routes'!$J$6:$J$2205,MATCH(V400,'Material routes'!$A$6:$A$2205,0)),"MISSING ID")</x:f>
        <x:v>Unspecified</x:v>
      </x:c>
      <x:c r="R400" s="4" t="str">
        <x:f>IF(L400="Withheld","Withheld premise",IF(E400="Tool candidate","Reusable prerequisite",IF(K400="Raw entry preparation","Entry-resource preparation",IF(G400="Not applicable",IF(IFERROR(INDEX('Items'!$AI$6:$AI$1005,MATCH(T400,'Items'!$A$6:$A$1005,0)),"MISSING ID")="Finished item","Finished endpoint",IF(IFERROR(INDEX('Items'!$AI$6:$AI$1005,MATCH(T400,'Items'!$A$6:$A$1005,0)),"MISSING ID")="Currency","Currency / no refinement tier","Recovered output / tier not applicable")),IF(OR(IFERROR(INDEX('Crafting recipes'!$H$6:$H$1005,MATCH(J400,'Crafting recipes'!$A$6:$A$1005,0)),"MISSING ID")="Unassigned",G400="Unassigned"),"Tier unresolved",IF(IFERROR(VALUE(RIGHT(G400,1))-VALUE(RIGHT(IFERROR(INDEX('Crafting recipes'!$H$6:$H$1005,MATCH(J400,'Crafting recipes'!$A$6:$A$1005,0)),"MISSING ID"),1)),0)=1,IF(B400=IFERROR(INDEX('Crafting recipes'!$H$6:$H$1005,MATCH(J400,'Crafting recipes'!$A$6:$A$1005,0)),"MISSING ID"),"Advances one material tier","Lower-tier ingredient; route advances one tier"),"Needs tier review"))))))</x:f>
        <x:v>Advances one material tier</x:v>
      </x:c>
      <x:c r="S400" s="4" t="str">
        <x:f>IFERROR(INDEX('Material routes'!$D$6:$D$2205,MATCH(U400,'Material routes'!$A$6:$A$2205,0)),"MISSING ID")</x:f>
        <x:v>proposal.branch.bearing_bronze</x:v>
      </x:c>
      <x:c r="T400" s="4" t="str">
        <x:f>IFERROR(INDEX('Material routes'!$D$6:$D$2205,MATCH(V400,'Material routes'!$A$6:$A$2205,0)),"MISSING ID")</x:f>
        <x:v>proposal.legger.inspection_hatch</x:v>
      </x:c>
      <x:c r="U400" s="4" t="str">
        <x:v>design.review.proposal_legger_inspection_hatch.in.2</x:v>
      </x:c>
      <x:c r="V400" s="4" t="str">
        <x:v>design.review.proposal_legger_inspection_hatch.out</x:v>
      </x:c>
    </x:row>
    <x:row r="401" ht="115" customHeight="1">
      <x:c r="A401" s="4" t="str">
        <x:f>IFERROR(INDEX('Material routes'!$E$6:$E$2205,MATCH(U401,'Material routes'!$A$6:$A$2205,0)),"MISSING ID")</x:f>
        <x:v>Filled faunal seal compound</x:v>
      </x:c>
      <x:c r="B401" s="4" t="str">
        <x:f>IFERROR(INDEX('Material routes'!$F$6:$F$2205,MATCH(U401,'Material routes'!$A$6:$A$2205,0)),"MISSING ID")</x:f>
        <x:v>T2</x:v>
      </x:c>
      <x:c r="C401" s="4" t="str">
        <x:f>IFERROR(INDEX('Material routes'!$H$6:$H$2205,MATCH(U401,'Material routes'!$A$6:$A$2205,0)),"MISSING ID")</x:f>
        <x:v>Chemical material</x:v>
      </x:c>
      <x:c r="D401" s="4" t="str">
        <x:f>IFERROR(INDEX('Material routes'!$G$6:$G$2205,MATCH(U401,'Material routes'!$A$6:$A$2205,0)),"MISSING ID")</x:f>
        <x:v>Crafting components</x:v>
      </x:c>
      <x:c r="E401" s="4" t="str">
        <x:f>IFERROR(INDEX('Material routes'!$C$6:$C$2205,MATCH(U401,'Material routes'!$A$6:$A$2205,0)),"MISSING ID")</x:f>
        <x:v>Ingredient candidate</x:v>
      </x:c>
      <x:c r="F401" s="4" t="str">
        <x:f>IFERROR(INDEX('Material routes'!$E$6:$E$2205,MATCH(V401,'Material routes'!$A$6:$A$2205,0)),"MISSING ID")</x:f>
        <x:v>Legger inspection hatch</x:v>
      </x:c>
      <x:c r="G401" s="4" t="str">
        <x:f>IFERROR(INDEX('Material routes'!$F$6:$F$2205,MATCH(V401,'Material routes'!$A$6:$A$2205,0)),"MISSING ID")</x:f>
        <x:v>T3</x:v>
      </x:c>
      <x:c r="H401" s="4" t="str">
        <x:f>IFERROR(INDEX('Material routes'!$H$6:$H$2205,MATCH(V401,'Material routes'!$A$6:$A$2205,0)),"MISSING ID")</x:f>
        <x:v>Crafting component</x:v>
      </x:c>
      <x:c r="I401" s="4" t="str">
        <x:f>IFERROR(INDEX('Material routes'!$G$6:$G$2205,MATCH(V401,'Material routes'!$A$6:$A$2205,0)),"MISSING ID")</x:f>
        <x:v>Crafting components</x:v>
      </x:c>
      <x:c r="J401" s="4" t="str">
        <x:f>IFERROR(INDEX('Material routes'!$B$6:$B$2205,MATCH(U401,'Material routes'!$A$6:$A$2205,0)),"MISSING ID")</x:f>
        <x:v>design.review.proposal_legger_inspection_hatch</x:v>
      </x:c>
      <x:c r="K401" s="4" t="str">
        <x:f>IFERROR(INDEX('Crafting recipes'!$C$6:$C$1005,MATCH(J401,'Crafting recipes'!$A$6:$A$1005,0)),"MISSING ID")</x:f>
        <x:v>Material refinement</x:v>
      </x:c>
      <x:c r="L401" s="4" t="str">
        <x:f>IFERROR(INDEX('Material routes'!$K$6:$K$2205,MATCH(U401,'Material routes'!$A$6:$A$2205,0)),"MISSING ID")</x:f>
        <x:v>Proposal</x:v>
      </x:c>
      <x:c r="M401" s="4" t="str">
        <x:f>IFERROR(INDEX('Material routes'!$M$6:$M$2205,MATCH(U401,'Material routes'!$A$6:$A$2205,0)),"MISSING ID")</x:f>
        <x:v>Partial proposal</x:v>
      </x:c>
      <x:c r="N401" s="4" t="str">
        <x:f>IF(IFERROR(INDEX('Material routes'!$I$6:$I$1005,MATCH(U401,'Material routes'!$A$6:$A$1005,0)),"MISSING ID")=0,"",IFERROR(INDEX('Material routes'!$I$6:$I$1005,MATCH(U401,'Material routes'!$A$6:$A$1005,0)),"MISSING ID"))</x:f>
      </x:c>
      <x:c r="O401" s="4" t="str">
        <x:f>IFERROR(INDEX('Material routes'!$J$6:$J$2205,MATCH(U401,'Material routes'!$A$6:$A$2205,0)),"MISSING ID")</x:f>
        <x:v>Unspecified</x:v>
      </x:c>
      <x:c r="P401" s="4" t="str">
        <x:f>IF(IFERROR(INDEX('Material routes'!$I$6:$I$1005,MATCH(V401,'Material routes'!$A$6:$A$1005,0)),"MISSING ID")=0,"",IFERROR(INDEX('Material routes'!$I$6:$I$1005,MATCH(V401,'Material routes'!$A$6:$A$1005,0)),"MISSING ID"))</x:f>
      </x:c>
      <x:c r="Q401" s="4" t="str">
        <x:f>IFERROR(INDEX('Material routes'!$J$6:$J$2205,MATCH(V401,'Material routes'!$A$6:$A$2205,0)),"MISSING ID")</x:f>
        <x:v>Unspecified</x:v>
      </x:c>
      <x:c r="R401" s="4" t="str">
        <x:f>IF(L401="Withheld","Withheld premise",IF(E401="Tool candidate","Reusable prerequisite",IF(K401="Raw entry preparation","Entry-resource preparation",IF(G401="Not applicable",IF(IFERROR(INDEX('Items'!$AI$6:$AI$1005,MATCH(T401,'Items'!$A$6:$A$1005,0)),"MISSING ID")="Finished item","Finished endpoint",IF(IFERROR(INDEX('Items'!$AI$6:$AI$1005,MATCH(T401,'Items'!$A$6:$A$1005,0)),"MISSING ID")="Currency","Currency / no refinement tier","Recovered output / tier not applicable")),IF(OR(IFERROR(INDEX('Crafting recipes'!$H$6:$H$1005,MATCH(J401,'Crafting recipes'!$A$6:$A$1005,0)),"MISSING ID")="Unassigned",G401="Unassigned"),"Tier unresolved",IF(IFERROR(VALUE(RIGHT(G401,1))-VALUE(RIGHT(IFERROR(INDEX('Crafting recipes'!$H$6:$H$1005,MATCH(J401,'Crafting recipes'!$A$6:$A$1005,0)),"MISSING ID"),1)),0)=1,IF(B401=IFERROR(INDEX('Crafting recipes'!$H$6:$H$1005,MATCH(J401,'Crafting recipes'!$A$6:$A$1005,0)),"MISSING ID"),"Advances one material tier","Lower-tier ingredient; route advances one tier"),"Needs tier review"))))))</x:f>
        <x:v>Advances one material tier</x:v>
      </x:c>
      <x:c r="S401" s="4" t="str">
        <x:f>IFERROR(INDEX('Material routes'!$D$6:$D$2205,MATCH(U401,'Material routes'!$A$6:$A$2205,0)),"MISSING ID")</x:f>
        <x:v>proposal.branch.filled_seal</x:v>
      </x:c>
      <x:c r="T401" s="4" t="str">
        <x:f>IFERROR(INDEX('Material routes'!$D$6:$D$2205,MATCH(V401,'Material routes'!$A$6:$A$2205,0)),"MISSING ID")</x:f>
        <x:v>proposal.legger.inspection_hatch</x:v>
      </x:c>
      <x:c r="U401" s="4" t="str">
        <x:v>design.review.proposal_legger_inspection_hatch.in.3</x:v>
      </x:c>
      <x:c r="V401" s="4" t="str">
        <x:v>design.review.proposal_legger_inspection_hatch.out</x:v>
      </x:c>
    </x:row>
    <x:row r="402" ht="115" customHeight="1">
      <x:c r="A402" s="4" t="str">
        <x:f>IFERROR(INDEX('Material routes'!$E$6:$E$2205,MATCH(U402,'Material routes'!$A$6:$A$2205,0)),"MISSING ID")</x:f>
        <x:v>Steel stock</x:v>
      </x:c>
      <x:c r="B402" s="4" t="str">
        <x:f>IFERROR(INDEX('Material routes'!$F$6:$F$2205,MATCH(U402,'Material routes'!$A$6:$A$2205,0)),"MISSING ID")</x:f>
        <x:v>T2</x:v>
      </x:c>
      <x:c r="C402" s="4" t="str">
        <x:f>IFERROR(INDEX('Material routes'!$H$6:$H$2205,MATCH(U402,'Material routes'!$A$6:$A$2205,0)),"MISSING ID")</x:f>
        <x:v>Processed material</x:v>
      </x:c>
      <x:c r="D402" s="4" t="str">
        <x:f>IFERROR(INDEX('Material routes'!$G$6:$G$2205,MATCH(U402,'Material routes'!$A$6:$A$2205,0)),"MISSING ID")</x:f>
        <x:v>Manufactured stock</x:v>
      </x:c>
      <x:c r="E402" s="4" t="str">
        <x:f>IFERROR(INDEX('Material routes'!$C$6:$C$2205,MATCH(U402,'Material routes'!$A$6:$A$2205,0)),"MISSING ID")</x:f>
        <x:v>Ingredient candidate</x:v>
      </x:c>
      <x:c r="F402" s="4" t="str">
        <x:f>IFERROR(INDEX('Material routes'!$E$6:$E$2205,MATCH(V402,'Material routes'!$A$6:$A$2205,0)),"MISSING ID")</x:f>
        <x:v>Chassis alignment-shim set</x:v>
      </x:c>
      <x:c r="G402" s="4" t="str">
        <x:f>IFERROR(INDEX('Material routes'!$F$6:$F$2205,MATCH(V402,'Material routes'!$A$6:$A$2205,0)),"MISSING ID")</x:f>
        <x:v>T3</x:v>
      </x:c>
      <x:c r="H402" s="4" t="str">
        <x:f>IFERROR(INDEX('Material routes'!$H$6:$H$2205,MATCH(V402,'Material routes'!$A$6:$A$2205,0)),"MISSING ID")</x:f>
        <x:v>Crafting component</x:v>
      </x:c>
      <x:c r="I402" s="4" t="str">
        <x:f>IFERROR(INDEX('Material routes'!$G$6:$G$2205,MATCH(V402,'Material routes'!$A$6:$A$2205,0)),"MISSING ID")</x:f>
        <x:v>Crafting components</x:v>
      </x:c>
      <x:c r="J402" s="4" t="str">
        <x:f>IFERROR(INDEX('Material routes'!$B$6:$B$2205,MATCH(U402,'Material routes'!$A$6:$A$2205,0)),"MISSING ID")</x:f>
        <x:v>design.review.proposal_legger_alignment_shims</x:v>
      </x:c>
      <x:c r="K402" s="4" t="str">
        <x:f>IFERROR(INDEX('Crafting recipes'!$C$6:$C$1005,MATCH(J402,'Crafting recipes'!$A$6:$A$1005,0)),"MISSING ID")</x:f>
        <x:v>Material refinement</x:v>
      </x:c>
      <x:c r="L402" s="4" t="str">
        <x:f>IFERROR(INDEX('Material routes'!$K$6:$K$2205,MATCH(U402,'Material routes'!$A$6:$A$2205,0)),"MISSING ID")</x:f>
        <x:v>Proposal</x:v>
      </x:c>
      <x:c r="M402" s="4" t="str">
        <x:f>IFERROR(INDEX('Material routes'!$M$6:$M$2205,MATCH(U402,'Material routes'!$A$6:$A$2205,0)),"MISSING ID")</x:f>
        <x:v>Partial proposal</x:v>
      </x:c>
      <x:c r="N402" s="4" t="str">
        <x:f>IF(IFERROR(INDEX('Material routes'!$I$6:$I$1005,MATCH(U402,'Material routes'!$A$6:$A$1005,0)),"MISSING ID")=0,"",IFERROR(INDEX('Material routes'!$I$6:$I$1005,MATCH(U402,'Material routes'!$A$6:$A$1005,0)),"MISSING ID"))</x:f>
      </x:c>
      <x:c r="O402" s="4" t="str">
        <x:f>IFERROR(INDEX('Material routes'!$J$6:$J$2205,MATCH(U402,'Material routes'!$A$6:$A$2205,0)),"MISSING ID")</x:f>
        <x:v>Unspecified</x:v>
      </x:c>
      <x:c r="P402" s="4" t="str">
        <x:f>IF(IFERROR(INDEX('Material routes'!$I$6:$I$1005,MATCH(V402,'Material routes'!$A$6:$A$1005,0)),"MISSING ID")=0,"",IFERROR(INDEX('Material routes'!$I$6:$I$1005,MATCH(V402,'Material routes'!$A$6:$A$1005,0)),"MISSING ID"))</x:f>
      </x:c>
      <x:c r="Q402" s="4" t="str">
        <x:f>IFERROR(INDEX('Material routes'!$J$6:$J$2205,MATCH(V402,'Material routes'!$A$6:$A$2205,0)),"MISSING ID")</x:f>
        <x:v>Unspecified</x:v>
      </x:c>
      <x:c r="R402" s="4" t="str">
        <x:f>IF(L402="Withheld","Withheld premise",IF(E402="Tool candidate","Reusable prerequisite",IF(K402="Raw entry preparation","Entry-resource preparation",IF(G402="Not applicable",IF(IFERROR(INDEX('Items'!$AI$6:$AI$1005,MATCH(T402,'Items'!$A$6:$A$1005,0)),"MISSING ID")="Finished item","Finished endpoint",IF(IFERROR(INDEX('Items'!$AI$6:$AI$1005,MATCH(T402,'Items'!$A$6:$A$1005,0)),"MISSING ID")="Currency","Currency / no refinement tier","Recovered output / tier not applicable")),IF(OR(IFERROR(INDEX('Crafting recipes'!$H$6:$H$1005,MATCH(J402,'Crafting recipes'!$A$6:$A$1005,0)),"MISSING ID")="Unassigned",G402="Unassigned"),"Tier unresolved",IF(IFERROR(VALUE(RIGHT(G402,1))-VALUE(RIGHT(IFERROR(INDEX('Crafting recipes'!$H$6:$H$1005,MATCH(J402,'Crafting recipes'!$A$6:$A$1005,0)),"MISSING ID"),1)),0)=1,IF(B402=IFERROR(INDEX('Crafting recipes'!$H$6:$H$1005,MATCH(J402,'Crafting recipes'!$A$6:$A$1005,0)),"MISSING ID"),"Advances one material tier","Lower-tier ingredient; route advances one tier"),"Needs tier review"))))))</x:f>
        <x:v>Advances one material tier</x:v>
      </x:c>
      <x:c r="S402" s="4" t="str">
        <x:f>IFERROR(INDEX('Material routes'!$D$6:$D$2205,MATCH(U402,'Material routes'!$A$6:$A$2205,0)),"MISSING ID")</x:f>
        <x:v>author.metallurgy.steel_stock</x:v>
      </x:c>
      <x:c r="T402" s="4" t="str">
        <x:f>IFERROR(INDEX('Material routes'!$D$6:$D$2205,MATCH(V402,'Material routes'!$A$6:$A$2205,0)),"MISSING ID")</x:f>
        <x:v>proposal.legger.alignment_shims</x:v>
      </x:c>
      <x:c r="U402" s="4" t="str">
        <x:v>design.review.proposal_legger_alignment_shims.in.1</x:v>
      </x:c>
      <x:c r="V402" s="4" t="str">
        <x:v>design.review.proposal_legger_alignment_shims.out</x:v>
      </x:c>
    </x:row>
    <x:row r="403" ht="115" customHeight="1">
      <x:c r="A403" s="4" t="str">
        <x:f>IFERROR(INDEX('Material routes'!$E$6:$E$2205,MATCH(U403,'Material routes'!$A$6:$A$2205,0)),"MISSING ID")</x:f>
        <x:v>Graded abrasive grit</x:v>
      </x:c>
      <x:c r="B403" s="4" t="str">
        <x:f>IFERROR(INDEX('Material routes'!$F$6:$F$2205,MATCH(U403,'Material routes'!$A$6:$A$2205,0)),"MISSING ID")</x:f>
        <x:v>T1</x:v>
      </x:c>
      <x:c r="C403" s="4" t="str">
        <x:f>IFERROR(INDEX('Material routes'!$H$6:$H$2205,MATCH(U403,'Material routes'!$A$6:$A$2205,0)),"MISSING ID")</x:f>
        <x:v>Processed material</x:v>
      </x:c>
      <x:c r="D403" s="4" t="str">
        <x:f>IFERROR(INDEX('Material routes'!$G$6:$G$2205,MATCH(U403,'Material routes'!$A$6:$A$2205,0)),"MISSING ID")</x:f>
        <x:v>Manufactured stock</x:v>
      </x:c>
      <x:c r="E403" s="4" t="str">
        <x:f>IFERROR(INDEX('Material routes'!$C$6:$C$2205,MATCH(U403,'Material routes'!$A$6:$A$2205,0)),"MISSING ID")</x:f>
        <x:v>Ingredient candidate</x:v>
      </x:c>
      <x:c r="F403" s="4" t="str">
        <x:f>IFERROR(INDEX('Material routes'!$E$6:$E$2205,MATCH(V403,'Material routes'!$A$6:$A$2205,0)),"MISSING ID")</x:f>
        <x:v>Chassis alignment-shim set</x:v>
      </x:c>
      <x:c r="G403" s="4" t="str">
        <x:f>IFERROR(INDEX('Material routes'!$F$6:$F$2205,MATCH(V403,'Material routes'!$A$6:$A$2205,0)),"MISSING ID")</x:f>
        <x:v>T3</x:v>
      </x:c>
      <x:c r="H403" s="4" t="str">
        <x:f>IFERROR(INDEX('Material routes'!$H$6:$H$2205,MATCH(V403,'Material routes'!$A$6:$A$2205,0)),"MISSING ID")</x:f>
        <x:v>Crafting component</x:v>
      </x:c>
      <x:c r="I403" s="4" t="str">
        <x:f>IFERROR(INDEX('Material routes'!$G$6:$G$2205,MATCH(V403,'Material routes'!$A$6:$A$2205,0)),"MISSING ID")</x:f>
        <x:v>Crafting components</x:v>
      </x:c>
      <x:c r="J403" s="4" t="str">
        <x:f>IFERROR(INDEX('Material routes'!$B$6:$B$2205,MATCH(U403,'Material routes'!$A$6:$A$2205,0)),"MISSING ID")</x:f>
        <x:v>design.review.proposal_legger_alignment_shims</x:v>
      </x:c>
      <x:c r="K403" s="4" t="str">
        <x:f>IFERROR(INDEX('Crafting recipes'!$C$6:$C$1005,MATCH(J403,'Crafting recipes'!$A$6:$A$1005,0)),"MISSING ID")</x:f>
        <x:v>Material refinement</x:v>
      </x:c>
      <x:c r="L403" s="4" t="str">
        <x:f>IFERROR(INDEX('Material routes'!$K$6:$K$2205,MATCH(U403,'Material routes'!$A$6:$A$2205,0)),"MISSING ID")</x:f>
        <x:v>Proposal</x:v>
      </x:c>
      <x:c r="M403" s="4" t="str">
        <x:f>IFERROR(INDEX('Material routes'!$M$6:$M$2205,MATCH(U403,'Material routes'!$A$6:$A$2205,0)),"MISSING ID")</x:f>
        <x:v>Partial proposal</x:v>
      </x:c>
      <x:c r="N403" s="4" t="str">
        <x:f>IF(IFERROR(INDEX('Material routes'!$I$6:$I$1005,MATCH(U403,'Material routes'!$A$6:$A$1005,0)),"MISSING ID")=0,"",IFERROR(INDEX('Material routes'!$I$6:$I$1005,MATCH(U403,'Material routes'!$A$6:$A$1005,0)),"MISSING ID"))</x:f>
      </x:c>
      <x:c r="O403" s="4" t="str">
        <x:f>IFERROR(INDEX('Material routes'!$J$6:$J$2205,MATCH(U403,'Material routes'!$A$6:$A$2205,0)),"MISSING ID")</x:f>
        <x:v>Unspecified</x:v>
      </x:c>
      <x:c r="P403" s="4" t="str">
        <x:f>IF(IFERROR(INDEX('Material routes'!$I$6:$I$1005,MATCH(V403,'Material routes'!$A$6:$A$1005,0)),"MISSING ID")=0,"",IFERROR(INDEX('Material routes'!$I$6:$I$1005,MATCH(V403,'Material routes'!$A$6:$A$1005,0)),"MISSING ID"))</x:f>
      </x:c>
      <x:c r="Q403" s="4" t="str">
        <x:f>IFERROR(INDEX('Material routes'!$J$6:$J$2205,MATCH(V403,'Material routes'!$A$6:$A$2205,0)),"MISSING ID")</x:f>
        <x:v>Unspecified</x:v>
      </x:c>
      <x:c r="R403" s="4" t="str">
        <x:f>IF(L403="Withheld","Withheld premise",IF(E403="Tool candidate","Reusable prerequisite",IF(K403="Raw entry preparation","Entry-resource preparation",IF(G403="Not applicable",IF(IFERROR(INDEX('Items'!$AI$6:$AI$1005,MATCH(T403,'Items'!$A$6:$A$1005,0)),"MISSING ID")="Finished item","Finished endpoint",IF(IFERROR(INDEX('Items'!$AI$6:$AI$1005,MATCH(T403,'Items'!$A$6:$A$1005,0)),"MISSING ID")="Currency","Currency / no refinement tier","Recovered output / tier not applicable")),IF(OR(IFERROR(INDEX('Crafting recipes'!$H$6:$H$1005,MATCH(J403,'Crafting recipes'!$A$6:$A$1005,0)),"MISSING ID")="Unassigned",G403="Unassigned"),"Tier unresolved",IF(IFERROR(VALUE(RIGHT(G403,1))-VALUE(RIGHT(IFERROR(INDEX('Crafting recipes'!$H$6:$H$1005,MATCH(J403,'Crafting recipes'!$A$6:$A$1005,0)),"MISSING ID"),1)),0)=1,IF(B403=IFERROR(INDEX('Crafting recipes'!$H$6:$H$1005,MATCH(J403,'Crafting recipes'!$A$6:$A$1005,0)),"MISSING ID"),"Advances one material tier","Lower-tier ingredient; route advances one tier"),"Needs tier review"))))))</x:f>
        <x:v>Lower-tier ingredient; route advances one tier</x:v>
      </x:c>
      <x:c r="S403" s="4" t="str">
        <x:f>IFERROR(INDEX('Material routes'!$D$6:$D$2205,MATCH(U403,'Material routes'!$A$6:$A$2205,0)),"MISSING ID")</x:f>
        <x:v>proposal.natural.abrasive</x:v>
      </x:c>
      <x:c r="T403" s="4" t="str">
        <x:f>IFERROR(INDEX('Material routes'!$D$6:$D$2205,MATCH(V403,'Material routes'!$A$6:$A$2205,0)),"MISSING ID")</x:f>
        <x:v>proposal.legger.alignment_shims</x:v>
      </x:c>
      <x:c r="U403" s="4" t="str">
        <x:v>design.review.proposal_legger_alignment_shims.in.2</x:v>
      </x:c>
      <x:c r="V403" s="4" t="str">
        <x:v>design.review.proposal_legger_alignment_shims.out</x:v>
      </x:c>
    </x:row>
    <x:row r="404" ht="115" customHeight="1">
      <x:c r="A404" s="4" t="str">
        <x:f>IFERROR(INDEX('Material routes'!$E$6:$E$2205,MATCH(U404,'Material routes'!$A$6:$A$2205,0)),"MISSING ID")</x:f>
        <x:v>Steel stock</x:v>
      </x:c>
      <x:c r="B404" s="4" t="str">
        <x:f>IFERROR(INDEX('Material routes'!$F$6:$F$2205,MATCH(U404,'Material routes'!$A$6:$A$2205,0)),"MISSING ID")</x:f>
        <x:v>T2</x:v>
      </x:c>
      <x:c r="C404" s="4" t="str">
        <x:f>IFERROR(INDEX('Material routes'!$H$6:$H$2205,MATCH(U404,'Material routes'!$A$6:$A$2205,0)),"MISSING ID")</x:f>
        <x:v>Processed material</x:v>
      </x:c>
      <x:c r="D404" s="4" t="str">
        <x:f>IFERROR(INDEX('Material routes'!$G$6:$G$2205,MATCH(U404,'Material routes'!$A$6:$A$2205,0)),"MISSING ID")</x:f>
        <x:v>Manufactured stock</x:v>
      </x:c>
      <x:c r="E404" s="4" t="str">
        <x:f>IFERROR(INDEX('Material routes'!$C$6:$C$2205,MATCH(U404,'Material routes'!$A$6:$A$2205,0)),"MISSING ID")</x:f>
        <x:v>Ingredient candidate</x:v>
      </x:c>
      <x:c r="F404" s="4" t="str">
        <x:f>IFERROR(INDEX('Material routes'!$E$6:$E$2205,MATCH(V404,'Material routes'!$A$6:$A$2205,0)),"MISSING ID")</x:f>
        <x:v>Replaceable joint pin</x:v>
      </x:c>
      <x:c r="G404" s="4" t="str">
        <x:f>IFERROR(INDEX('Material routes'!$F$6:$F$2205,MATCH(V404,'Material routes'!$A$6:$A$2205,0)),"MISSING ID")</x:f>
        <x:v>T3</x:v>
      </x:c>
      <x:c r="H404" s="4" t="str">
        <x:f>IFERROR(INDEX('Material routes'!$H$6:$H$2205,MATCH(V404,'Material routes'!$A$6:$A$2205,0)),"MISSING ID")</x:f>
        <x:v>Crafting component</x:v>
      </x:c>
      <x:c r="I404" s="4" t="str">
        <x:f>IFERROR(INDEX('Material routes'!$G$6:$G$2205,MATCH(V404,'Material routes'!$A$6:$A$2205,0)),"MISSING ID")</x:f>
        <x:v>Crafting components</x:v>
      </x:c>
      <x:c r="J404" s="4" t="str">
        <x:f>IFERROR(INDEX('Material routes'!$B$6:$B$2205,MATCH(U404,'Material routes'!$A$6:$A$2205,0)),"MISSING ID")</x:f>
        <x:v>design.review.proposal_legger_joint_pin</x:v>
      </x:c>
      <x:c r="K404" s="4" t="str">
        <x:f>IFERROR(INDEX('Crafting recipes'!$C$6:$C$1005,MATCH(J404,'Crafting recipes'!$A$6:$A$1005,0)),"MISSING ID")</x:f>
        <x:v>Material refinement</x:v>
      </x:c>
      <x:c r="L404" s="4" t="str">
        <x:f>IFERROR(INDEX('Material routes'!$K$6:$K$2205,MATCH(U404,'Material routes'!$A$6:$A$2205,0)),"MISSING ID")</x:f>
        <x:v>Proposal</x:v>
      </x:c>
      <x:c r="M404" s="4" t="str">
        <x:f>IFERROR(INDEX('Material routes'!$M$6:$M$2205,MATCH(U404,'Material routes'!$A$6:$A$2205,0)),"MISSING ID")</x:f>
        <x:v>Partial proposal</x:v>
      </x:c>
      <x:c r="N404" s="4" t="str">
        <x:f>IF(IFERROR(INDEX('Material routes'!$I$6:$I$1005,MATCH(U404,'Material routes'!$A$6:$A$1005,0)),"MISSING ID")=0,"",IFERROR(INDEX('Material routes'!$I$6:$I$1005,MATCH(U404,'Material routes'!$A$6:$A$1005,0)),"MISSING ID"))</x:f>
      </x:c>
      <x:c r="O404" s="4" t="str">
        <x:f>IFERROR(INDEX('Material routes'!$J$6:$J$2205,MATCH(U404,'Material routes'!$A$6:$A$2205,0)),"MISSING ID")</x:f>
        <x:v>Unspecified</x:v>
      </x:c>
      <x:c r="P404" s="4" t="str">
        <x:f>IF(IFERROR(INDEX('Material routes'!$I$6:$I$1005,MATCH(V404,'Material routes'!$A$6:$A$1005,0)),"MISSING ID")=0,"",IFERROR(INDEX('Material routes'!$I$6:$I$1005,MATCH(V404,'Material routes'!$A$6:$A$1005,0)),"MISSING ID"))</x:f>
      </x:c>
      <x:c r="Q404" s="4" t="str">
        <x:f>IFERROR(INDEX('Material routes'!$J$6:$J$2205,MATCH(V404,'Material routes'!$A$6:$A$2205,0)),"MISSING ID")</x:f>
        <x:v>Unspecified</x:v>
      </x:c>
      <x:c r="R404" s="4" t="str">
        <x:f>IF(L404="Withheld","Withheld premise",IF(E404="Tool candidate","Reusable prerequisite",IF(K404="Raw entry preparation","Entry-resource preparation",IF(G404="Not applicable",IF(IFERROR(INDEX('Items'!$AI$6:$AI$1005,MATCH(T404,'Items'!$A$6:$A$1005,0)),"MISSING ID")="Finished item","Finished endpoint",IF(IFERROR(INDEX('Items'!$AI$6:$AI$1005,MATCH(T404,'Items'!$A$6:$A$1005,0)),"MISSING ID")="Currency","Currency / no refinement tier","Recovered output / tier not applicable")),IF(OR(IFERROR(INDEX('Crafting recipes'!$H$6:$H$1005,MATCH(J404,'Crafting recipes'!$A$6:$A$1005,0)),"MISSING ID")="Unassigned",G404="Unassigned"),"Tier unresolved",IF(IFERROR(VALUE(RIGHT(G404,1))-VALUE(RIGHT(IFERROR(INDEX('Crafting recipes'!$H$6:$H$1005,MATCH(J404,'Crafting recipes'!$A$6:$A$1005,0)),"MISSING ID"),1)),0)=1,IF(B404=IFERROR(INDEX('Crafting recipes'!$H$6:$H$1005,MATCH(J404,'Crafting recipes'!$A$6:$A$1005,0)),"MISSING ID"),"Advances one material tier","Lower-tier ingredient; route advances one tier"),"Needs tier review"))))))</x:f>
        <x:v>Advances one material tier</x:v>
      </x:c>
      <x:c r="S404" s="4" t="str">
        <x:f>IFERROR(INDEX('Material routes'!$D$6:$D$2205,MATCH(U404,'Material routes'!$A$6:$A$2205,0)),"MISSING ID")</x:f>
        <x:v>author.metallurgy.steel_stock</x:v>
      </x:c>
      <x:c r="T404" s="4" t="str">
        <x:f>IFERROR(INDEX('Material routes'!$D$6:$D$2205,MATCH(V404,'Material routes'!$A$6:$A$2205,0)),"MISSING ID")</x:f>
        <x:v>proposal.legger.joint_pin</x:v>
      </x:c>
      <x:c r="U404" s="4" t="str">
        <x:v>design.review.proposal_legger_joint_pin.in.1</x:v>
      </x:c>
      <x:c r="V404" s="4" t="str">
        <x:v>design.review.proposal_legger_joint_pin.out</x:v>
      </x:c>
    </x:row>
    <x:row r="405" ht="115" customHeight="1">
      <x:c r="A405" s="4" t="str">
        <x:f>IFERROR(INDEX('Material routes'!$E$6:$E$2205,MATCH(U405,'Material routes'!$A$6:$A$2205,0)),"MISSING ID")</x:f>
        <x:v>Graded abrasive grit</x:v>
      </x:c>
      <x:c r="B405" s="4" t="str">
        <x:f>IFERROR(INDEX('Material routes'!$F$6:$F$2205,MATCH(U405,'Material routes'!$A$6:$A$2205,0)),"MISSING ID")</x:f>
        <x:v>T1</x:v>
      </x:c>
      <x:c r="C405" s="4" t="str">
        <x:f>IFERROR(INDEX('Material routes'!$H$6:$H$2205,MATCH(U405,'Material routes'!$A$6:$A$2205,0)),"MISSING ID")</x:f>
        <x:v>Processed material</x:v>
      </x:c>
      <x:c r="D405" s="4" t="str">
        <x:f>IFERROR(INDEX('Material routes'!$G$6:$G$2205,MATCH(U405,'Material routes'!$A$6:$A$2205,0)),"MISSING ID")</x:f>
        <x:v>Manufactured stock</x:v>
      </x:c>
      <x:c r="E405" s="4" t="str">
        <x:f>IFERROR(INDEX('Material routes'!$C$6:$C$2205,MATCH(U405,'Material routes'!$A$6:$A$2205,0)),"MISSING ID")</x:f>
        <x:v>Ingredient candidate</x:v>
      </x:c>
      <x:c r="F405" s="4" t="str">
        <x:f>IFERROR(INDEX('Material routes'!$E$6:$E$2205,MATCH(V405,'Material routes'!$A$6:$A$2205,0)),"MISSING ID")</x:f>
        <x:v>Replaceable joint pin</x:v>
      </x:c>
      <x:c r="G405" s="4" t="str">
        <x:f>IFERROR(INDEX('Material routes'!$F$6:$F$2205,MATCH(V405,'Material routes'!$A$6:$A$2205,0)),"MISSING ID")</x:f>
        <x:v>T3</x:v>
      </x:c>
      <x:c r="H405" s="4" t="str">
        <x:f>IFERROR(INDEX('Material routes'!$H$6:$H$2205,MATCH(V405,'Material routes'!$A$6:$A$2205,0)),"MISSING ID")</x:f>
        <x:v>Crafting component</x:v>
      </x:c>
      <x:c r="I405" s="4" t="str">
        <x:f>IFERROR(INDEX('Material routes'!$G$6:$G$2205,MATCH(V405,'Material routes'!$A$6:$A$2205,0)),"MISSING ID")</x:f>
        <x:v>Crafting components</x:v>
      </x:c>
      <x:c r="J405" s="4" t="str">
        <x:f>IFERROR(INDEX('Material routes'!$B$6:$B$2205,MATCH(U405,'Material routes'!$A$6:$A$2205,0)),"MISSING ID")</x:f>
        <x:v>design.review.proposal_legger_joint_pin</x:v>
      </x:c>
      <x:c r="K405" s="4" t="str">
        <x:f>IFERROR(INDEX('Crafting recipes'!$C$6:$C$1005,MATCH(J405,'Crafting recipes'!$A$6:$A$1005,0)),"MISSING ID")</x:f>
        <x:v>Material refinement</x:v>
      </x:c>
      <x:c r="L405" s="4" t="str">
        <x:f>IFERROR(INDEX('Material routes'!$K$6:$K$2205,MATCH(U405,'Material routes'!$A$6:$A$2205,0)),"MISSING ID")</x:f>
        <x:v>Proposal</x:v>
      </x:c>
      <x:c r="M405" s="4" t="str">
        <x:f>IFERROR(INDEX('Material routes'!$M$6:$M$2205,MATCH(U405,'Material routes'!$A$6:$A$2205,0)),"MISSING ID")</x:f>
        <x:v>Partial proposal</x:v>
      </x:c>
      <x:c r="N405" s="4" t="str">
        <x:f>IF(IFERROR(INDEX('Material routes'!$I$6:$I$1005,MATCH(U405,'Material routes'!$A$6:$A$1005,0)),"MISSING ID")=0,"",IFERROR(INDEX('Material routes'!$I$6:$I$1005,MATCH(U405,'Material routes'!$A$6:$A$1005,0)),"MISSING ID"))</x:f>
      </x:c>
      <x:c r="O405" s="4" t="str">
        <x:f>IFERROR(INDEX('Material routes'!$J$6:$J$2205,MATCH(U405,'Material routes'!$A$6:$A$2205,0)),"MISSING ID")</x:f>
        <x:v>Unspecified</x:v>
      </x:c>
      <x:c r="P405" s="4" t="str">
        <x:f>IF(IFERROR(INDEX('Material routes'!$I$6:$I$1005,MATCH(V405,'Material routes'!$A$6:$A$1005,0)),"MISSING ID")=0,"",IFERROR(INDEX('Material routes'!$I$6:$I$1005,MATCH(V405,'Material routes'!$A$6:$A$1005,0)),"MISSING ID"))</x:f>
      </x:c>
      <x:c r="Q405" s="4" t="str">
        <x:f>IFERROR(INDEX('Material routes'!$J$6:$J$2205,MATCH(V405,'Material routes'!$A$6:$A$2205,0)),"MISSING ID")</x:f>
        <x:v>Unspecified</x:v>
      </x:c>
      <x:c r="R405" s="4" t="str">
        <x:f>IF(L405="Withheld","Withheld premise",IF(E405="Tool candidate","Reusable prerequisite",IF(K405="Raw entry preparation","Entry-resource preparation",IF(G405="Not applicable",IF(IFERROR(INDEX('Items'!$AI$6:$AI$1005,MATCH(T405,'Items'!$A$6:$A$1005,0)),"MISSING ID")="Finished item","Finished endpoint",IF(IFERROR(INDEX('Items'!$AI$6:$AI$1005,MATCH(T405,'Items'!$A$6:$A$1005,0)),"MISSING ID")="Currency","Currency / no refinement tier","Recovered output / tier not applicable")),IF(OR(IFERROR(INDEX('Crafting recipes'!$H$6:$H$1005,MATCH(J405,'Crafting recipes'!$A$6:$A$1005,0)),"MISSING ID")="Unassigned",G405="Unassigned"),"Tier unresolved",IF(IFERROR(VALUE(RIGHT(G405,1))-VALUE(RIGHT(IFERROR(INDEX('Crafting recipes'!$H$6:$H$1005,MATCH(J405,'Crafting recipes'!$A$6:$A$1005,0)),"MISSING ID"),1)),0)=1,IF(B405=IFERROR(INDEX('Crafting recipes'!$H$6:$H$1005,MATCH(J405,'Crafting recipes'!$A$6:$A$1005,0)),"MISSING ID"),"Advances one material tier","Lower-tier ingredient; route advances one tier"),"Needs tier review"))))))</x:f>
        <x:v>Lower-tier ingredient; route advances one tier</x:v>
      </x:c>
      <x:c r="S405" s="4" t="str">
        <x:f>IFERROR(INDEX('Material routes'!$D$6:$D$2205,MATCH(U405,'Material routes'!$A$6:$A$2205,0)),"MISSING ID")</x:f>
        <x:v>proposal.natural.abrasive</x:v>
      </x:c>
      <x:c r="T405" s="4" t="str">
        <x:f>IFERROR(INDEX('Material routes'!$D$6:$D$2205,MATCH(V405,'Material routes'!$A$6:$A$2205,0)),"MISSING ID")</x:f>
        <x:v>proposal.legger.joint_pin</x:v>
      </x:c>
      <x:c r="U405" s="4" t="str">
        <x:v>design.review.proposal_legger_joint_pin.in.2</x:v>
      </x:c>
      <x:c r="V405" s="4" t="str">
        <x:v>design.review.proposal_legger_joint_pin.out</x:v>
      </x:c>
    </x:row>
    <x:row r="406" ht="115" customHeight="1">
      <x:c r="A406" s="4" t="str">
        <x:f>IFERROR(INDEX('Material routes'!$E$6:$E$2205,MATCH(U406,'Material routes'!$A$6:$A$2205,0)),"MISSING ID")</x:f>
        <x:v>Prepared bronze bearing stock</x:v>
      </x:c>
      <x:c r="B406" s="4" t="str">
        <x:f>IFERROR(INDEX('Material routes'!$F$6:$F$2205,MATCH(U406,'Material routes'!$A$6:$A$2205,0)),"MISSING ID")</x:f>
        <x:v>T2</x:v>
      </x:c>
      <x:c r="C406" s="4" t="str">
        <x:f>IFERROR(INDEX('Material routes'!$H$6:$H$2205,MATCH(U406,'Material routes'!$A$6:$A$2205,0)),"MISSING ID")</x:f>
        <x:v>Processed material</x:v>
      </x:c>
      <x:c r="D406" s="4" t="str">
        <x:f>IFERROR(INDEX('Material routes'!$G$6:$G$2205,MATCH(U406,'Material routes'!$A$6:$A$2205,0)),"MISSING ID")</x:f>
        <x:v>Manufactured stock</x:v>
      </x:c>
      <x:c r="E406" s="4" t="str">
        <x:f>IFERROR(INDEX('Material routes'!$C$6:$C$2205,MATCH(U406,'Material routes'!$A$6:$A$2205,0)),"MISSING ID")</x:f>
        <x:v>Ingredient candidate</x:v>
      </x:c>
      <x:c r="F406" s="4" t="str">
        <x:f>IFERROR(INDEX('Material routes'!$E$6:$E$2205,MATCH(V406,'Material routes'!$A$6:$A$2205,0)),"MISSING ID")</x:f>
        <x:v>Joint thrust washer</x:v>
      </x:c>
      <x:c r="G406" s="4" t="str">
        <x:f>IFERROR(INDEX('Material routes'!$F$6:$F$2205,MATCH(V406,'Material routes'!$A$6:$A$2205,0)),"MISSING ID")</x:f>
        <x:v>T3</x:v>
      </x:c>
      <x:c r="H406" s="4" t="str">
        <x:f>IFERROR(INDEX('Material routes'!$H$6:$H$2205,MATCH(V406,'Material routes'!$A$6:$A$2205,0)),"MISSING ID")</x:f>
        <x:v>Crafting component</x:v>
      </x:c>
      <x:c r="I406" s="4" t="str">
        <x:f>IFERROR(INDEX('Material routes'!$G$6:$G$2205,MATCH(V406,'Material routes'!$A$6:$A$2205,0)),"MISSING ID")</x:f>
        <x:v>Crafting components</x:v>
      </x:c>
      <x:c r="J406" s="4" t="str">
        <x:f>IFERROR(INDEX('Material routes'!$B$6:$B$2205,MATCH(U406,'Material routes'!$A$6:$A$2205,0)),"MISSING ID")</x:f>
        <x:v>design.review.proposal_legger_thrust_washer</x:v>
      </x:c>
      <x:c r="K406" s="4" t="str">
        <x:f>IFERROR(INDEX('Crafting recipes'!$C$6:$C$1005,MATCH(J406,'Crafting recipes'!$A$6:$A$1005,0)),"MISSING ID")</x:f>
        <x:v>Material refinement</x:v>
      </x:c>
      <x:c r="L406" s="4" t="str">
        <x:f>IFERROR(INDEX('Material routes'!$K$6:$K$2205,MATCH(U406,'Material routes'!$A$6:$A$2205,0)),"MISSING ID")</x:f>
        <x:v>Proposal</x:v>
      </x:c>
      <x:c r="M406" s="4" t="str">
        <x:f>IFERROR(INDEX('Material routes'!$M$6:$M$2205,MATCH(U406,'Material routes'!$A$6:$A$2205,0)),"MISSING ID")</x:f>
        <x:v>Partial proposal</x:v>
      </x:c>
      <x:c r="N406" s="4" t="str">
        <x:f>IF(IFERROR(INDEX('Material routes'!$I$6:$I$1005,MATCH(U406,'Material routes'!$A$6:$A$1005,0)),"MISSING ID")=0,"",IFERROR(INDEX('Material routes'!$I$6:$I$1005,MATCH(U406,'Material routes'!$A$6:$A$1005,0)),"MISSING ID"))</x:f>
      </x:c>
      <x:c r="O406" s="4" t="str">
        <x:f>IFERROR(INDEX('Material routes'!$J$6:$J$2205,MATCH(U406,'Material routes'!$A$6:$A$2205,0)),"MISSING ID")</x:f>
        <x:v>Unspecified</x:v>
      </x:c>
      <x:c r="P406" s="4" t="str">
        <x:f>IF(IFERROR(INDEX('Material routes'!$I$6:$I$1005,MATCH(V406,'Material routes'!$A$6:$A$1005,0)),"MISSING ID")=0,"",IFERROR(INDEX('Material routes'!$I$6:$I$1005,MATCH(V406,'Material routes'!$A$6:$A$1005,0)),"MISSING ID"))</x:f>
      </x:c>
      <x:c r="Q406" s="4" t="str">
        <x:f>IFERROR(INDEX('Material routes'!$J$6:$J$2205,MATCH(V406,'Material routes'!$A$6:$A$2205,0)),"MISSING ID")</x:f>
        <x:v>Unspecified</x:v>
      </x:c>
      <x:c r="R406" s="4" t="str">
        <x:f>IF(L406="Withheld","Withheld premise",IF(E406="Tool candidate","Reusable prerequisite",IF(K406="Raw entry preparation","Entry-resource preparation",IF(G406="Not applicable",IF(IFERROR(INDEX('Items'!$AI$6:$AI$1005,MATCH(T406,'Items'!$A$6:$A$1005,0)),"MISSING ID")="Finished item","Finished endpoint",IF(IFERROR(INDEX('Items'!$AI$6:$AI$1005,MATCH(T406,'Items'!$A$6:$A$1005,0)),"MISSING ID")="Currency","Currency / no refinement tier","Recovered output / tier not applicable")),IF(OR(IFERROR(INDEX('Crafting recipes'!$H$6:$H$1005,MATCH(J406,'Crafting recipes'!$A$6:$A$1005,0)),"MISSING ID")="Unassigned",G406="Unassigned"),"Tier unresolved",IF(IFERROR(VALUE(RIGHT(G406,1))-VALUE(RIGHT(IFERROR(INDEX('Crafting recipes'!$H$6:$H$1005,MATCH(J406,'Crafting recipes'!$A$6:$A$1005,0)),"MISSING ID"),1)),0)=1,IF(B406=IFERROR(INDEX('Crafting recipes'!$H$6:$H$1005,MATCH(J406,'Crafting recipes'!$A$6:$A$1005,0)),"MISSING ID"),"Advances one material tier","Lower-tier ingredient; route advances one tier"),"Needs tier review"))))))</x:f>
        <x:v>Advances one material tier</x:v>
      </x:c>
      <x:c r="S406" s="4" t="str">
        <x:f>IFERROR(INDEX('Material routes'!$D$6:$D$2205,MATCH(U406,'Material routes'!$A$6:$A$2205,0)),"MISSING ID")</x:f>
        <x:v>proposal.branch.bearing_bronze</x:v>
      </x:c>
      <x:c r="T406" s="4" t="str">
        <x:f>IFERROR(INDEX('Material routes'!$D$6:$D$2205,MATCH(V406,'Material routes'!$A$6:$A$2205,0)),"MISSING ID")</x:f>
        <x:v>proposal.legger.thrust_washer</x:v>
      </x:c>
      <x:c r="U406" s="4" t="str">
        <x:v>design.review.proposal_legger_thrust_washer.in.1</x:v>
      </x:c>
      <x:c r="V406" s="4" t="str">
        <x:v>design.review.proposal_legger_thrust_washer.out</x:v>
      </x:c>
    </x:row>
    <x:row r="407" ht="115" customHeight="1">
      <x:c r="A407" s="4" t="str">
        <x:f>IFERROR(INDEX('Material routes'!$E$6:$E$2205,MATCH(U407,'Material routes'!$A$6:$A$2205,0)),"MISSING ID")</x:f>
        <x:v>Graded abrasive grit</x:v>
      </x:c>
      <x:c r="B407" s="4" t="str">
        <x:f>IFERROR(INDEX('Material routes'!$F$6:$F$2205,MATCH(U407,'Material routes'!$A$6:$A$2205,0)),"MISSING ID")</x:f>
        <x:v>T1</x:v>
      </x:c>
      <x:c r="C407" s="4" t="str">
        <x:f>IFERROR(INDEX('Material routes'!$H$6:$H$2205,MATCH(U407,'Material routes'!$A$6:$A$2205,0)),"MISSING ID")</x:f>
        <x:v>Processed material</x:v>
      </x:c>
      <x:c r="D407" s="4" t="str">
        <x:f>IFERROR(INDEX('Material routes'!$G$6:$G$2205,MATCH(U407,'Material routes'!$A$6:$A$2205,0)),"MISSING ID")</x:f>
        <x:v>Manufactured stock</x:v>
      </x:c>
      <x:c r="E407" s="4" t="str">
        <x:f>IFERROR(INDEX('Material routes'!$C$6:$C$2205,MATCH(U407,'Material routes'!$A$6:$A$2205,0)),"MISSING ID")</x:f>
        <x:v>Ingredient candidate</x:v>
      </x:c>
      <x:c r="F407" s="4" t="str">
        <x:f>IFERROR(INDEX('Material routes'!$E$6:$E$2205,MATCH(V407,'Material routes'!$A$6:$A$2205,0)),"MISSING ID")</x:f>
        <x:v>Joint thrust washer</x:v>
      </x:c>
      <x:c r="G407" s="4" t="str">
        <x:f>IFERROR(INDEX('Material routes'!$F$6:$F$2205,MATCH(V407,'Material routes'!$A$6:$A$2205,0)),"MISSING ID")</x:f>
        <x:v>T3</x:v>
      </x:c>
      <x:c r="H407" s="4" t="str">
        <x:f>IFERROR(INDEX('Material routes'!$H$6:$H$2205,MATCH(V407,'Material routes'!$A$6:$A$2205,0)),"MISSING ID")</x:f>
        <x:v>Crafting component</x:v>
      </x:c>
      <x:c r="I407" s="4" t="str">
        <x:f>IFERROR(INDEX('Material routes'!$G$6:$G$2205,MATCH(V407,'Material routes'!$A$6:$A$2205,0)),"MISSING ID")</x:f>
        <x:v>Crafting components</x:v>
      </x:c>
      <x:c r="J407" s="4" t="str">
        <x:f>IFERROR(INDEX('Material routes'!$B$6:$B$2205,MATCH(U407,'Material routes'!$A$6:$A$2205,0)),"MISSING ID")</x:f>
        <x:v>design.review.proposal_legger_thrust_washer</x:v>
      </x:c>
      <x:c r="K407" s="4" t="str">
        <x:f>IFERROR(INDEX('Crafting recipes'!$C$6:$C$1005,MATCH(J407,'Crafting recipes'!$A$6:$A$1005,0)),"MISSING ID")</x:f>
        <x:v>Material refinement</x:v>
      </x:c>
      <x:c r="L407" s="4" t="str">
        <x:f>IFERROR(INDEX('Material routes'!$K$6:$K$2205,MATCH(U407,'Material routes'!$A$6:$A$2205,0)),"MISSING ID")</x:f>
        <x:v>Proposal</x:v>
      </x:c>
      <x:c r="M407" s="4" t="str">
        <x:f>IFERROR(INDEX('Material routes'!$M$6:$M$2205,MATCH(U407,'Material routes'!$A$6:$A$2205,0)),"MISSING ID")</x:f>
        <x:v>Partial proposal</x:v>
      </x:c>
      <x:c r="N407" s="4" t="str">
        <x:f>IF(IFERROR(INDEX('Material routes'!$I$6:$I$1005,MATCH(U407,'Material routes'!$A$6:$A$1005,0)),"MISSING ID")=0,"",IFERROR(INDEX('Material routes'!$I$6:$I$1005,MATCH(U407,'Material routes'!$A$6:$A$1005,0)),"MISSING ID"))</x:f>
      </x:c>
      <x:c r="O407" s="4" t="str">
        <x:f>IFERROR(INDEX('Material routes'!$J$6:$J$2205,MATCH(U407,'Material routes'!$A$6:$A$2205,0)),"MISSING ID")</x:f>
        <x:v>Unspecified</x:v>
      </x:c>
      <x:c r="P407" s="4" t="str">
        <x:f>IF(IFERROR(INDEX('Material routes'!$I$6:$I$1005,MATCH(V407,'Material routes'!$A$6:$A$1005,0)),"MISSING ID")=0,"",IFERROR(INDEX('Material routes'!$I$6:$I$1005,MATCH(V407,'Material routes'!$A$6:$A$1005,0)),"MISSING ID"))</x:f>
      </x:c>
      <x:c r="Q407" s="4" t="str">
        <x:f>IFERROR(INDEX('Material routes'!$J$6:$J$2205,MATCH(V407,'Material routes'!$A$6:$A$2205,0)),"MISSING ID")</x:f>
        <x:v>Unspecified</x:v>
      </x:c>
      <x:c r="R407" s="4" t="str">
        <x:f>IF(L407="Withheld","Withheld premise",IF(E407="Tool candidate","Reusable prerequisite",IF(K407="Raw entry preparation","Entry-resource preparation",IF(G407="Not applicable",IF(IFERROR(INDEX('Items'!$AI$6:$AI$1005,MATCH(T407,'Items'!$A$6:$A$1005,0)),"MISSING ID")="Finished item","Finished endpoint",IF(IFERROR(INDEX('Items'!$AI$6:$AI$1005,MATCH(T407,'Items'!$A$6:$A$1005,0)),"MISSING ID")="Currency","Currency / no refinement tier","Recovered output / tier not applicable")),IF(OR(IFERROR(INDEX('Crafting recipes'!$H$6:$H$1005,MATCH(J407,'Crafting recipes'!$A$6:$A$1005,0)),"MISSING ID")="Unassigned",G407="Unassigned"),"Tier unresolved",IF(IFERROR(VALUE(RIGHT(G407,1))-VALUE(RIGHT(IFERROR(INDEX('Crafting recipes'!$H$6:$H$1005,MATCH(J407,'Crafting recipes'!$A$6:$A$1005,0)),"MISSING ID"),1)),0)=1,IF(B407=IFERROR(INDEX('Crafting recipes'!$H$6:$H$1005,MATCH(J407,'Crafting recipes'!$A$6:$A$1005,0)),"MISSING ID"),"Advances one material tier","Lower-tier ingredient; route advances one tier"),"Needs tier review"))))))</x:f>
        <x:v>Lower-tier ingredient; route advances one tier</x:v>
      </x:c>
      <x:c r="S407" s="4" t="str">
        <x:f>IFERROR(INDEX('Material routes'!$D$6:$D$2205,MATCH(U407,'Material routes'!$A$6:$A$2205,0)),"MISSING ID")</x:f>
        <x:v>proposal.natural.abrasive</x:v>
      </x:c>
      <x:c r="T407" s="4" t="str">
        <x:f>IFERROR(INDEX('Material routes'!$D$6:$D$2205,MATCH(V407,'Material routes'!$A$6:$A$2205,0)),"MISSING ID")</x:f>
        <x:v>proposal.legger.thrust_washer</x:v>
      </x:c>
      <x:c r="U407" s="4" t="str">
        <x:v>design.review.proposal_legger_thrust_washer.in.2</x:v>
      </x:c>
      <x:c r="V407" s="4" t="str">
        <x:v>design.review.proposal_legger_thrust_washer.out</x:v>
      </x:c>
    </x:row>
    <x:row r="408" ht="115" customHeight="1">
      <x:c r="A408" s="4" t="str">
        <x:f>IFERROR(INDEX('Material routes'!$E$6:$E$2205,MATCH(U408,'Material routes'!$A$6:$A$2205,0)),"MISSING ID")</x:f>
        <x:v>Heat-treated steel gear blanks</x:v>
      </x:c>
      <x:c r="B408" s="4" t="str">
        <x:f>IFERROR(INDEX('Material routes'!$F$6:$F$2205,MATCH(U408,'Material routes'!$A$6:$A$2205,0)),"MISSING ID")</x:f>
        <x:v>T3</x:v>
      </x:c>
      <x:c r="C408" s="4" t="str">
        <x:f>IFERROR(INDEX('Material routes'!$H$6:$H$2205,MATCH(U408,'Material routes'!$A$6:$A$2205,0)),"MISSING ID")</x:f>
        <x:v>Crafting component</x:v>
      </x:c>
      <x:c r="D408" s="4" t="str">
        <x:f>IFERROR(INDEX('Material routes'!$G$6:$G$2205,MATCH(U408,'Material routes'!$A$6:$A$2205,0)),"MISSING ID")</x:f>
        <x:v>Crafting components</x:v>
      </x:c>
      <x:c r="E408" s="4" t="str">
        <x:f>IFERROR(INDEX('Material routes'!$C$6:$C$2205,MATCH(U408,'Material routes'!$A$6:$A$2205,0)),"MISSING ID")</x:f>
        <x:v>Ingredient candidate</x:v>
      </x:c>
      <x:c r="F408" s="4" t="str">
        <x:f>IFERROR(INDEX('Material routes'!$E$6:$E$2205,MATCH(V408,'Material routes'!$A$6:$A$2205,0)),"MISSING ID")</x:f>
        <x:v>Replacement gear cluster</x:v>
      </x:c>
      <x:c r="G408" s="4" t="str">
        <x:f>IFERROR(INDEX('Material routes'!$F$6:$F$2205,MATCH(V408,'Material routes'!$A$6:$A$2205,0)),"MISSING ID")</x:f>
        <x:v>T4</x:v>
      </x:c>
      <x:c r="H408" s="4" t="str">
        <x:f>IFERROR(INDEX('Material routes'!$H$6:$H$2205,MATCH(V408,'Material routes'!$A$6:$A$2205,0)),"MISSING ID")</x:f>
        <x:v>Crafting component</x:v>
      </x:c>
      <x:c r="I408" s="4" t="str">
        <x:f>IFERROR(INDEX('Material routes'!$G$6:$G$2205,MATCH(V408,'Material routes'!$A$6:$A$2205,0)),"MISSING ID")</x:f>
        <x:v>Crafting components</x:v>
      </x:c>
      <x:c r="J408" s="4" t="str">
        <x:f>IFERROR(INDEX('Material routes'!$B$6:$B$2205,MATCH(U408,'Material routes'!$A$6:$A$2205,0)),"MISSING ID")</x:f>
        <x:v>design.review.proposal_legger_gear_cluster</x:v>
      </x:c>
      <x:c r="K408" s="4" t="str">
        <x:f>IFERROR(INDEX('Crafting recipes'!$C$6:$C$1005,MATCH(J408,'Crafting recipes'!$A$6:$A$1005,0)),"MISSING ID")</x:f>
        <x:v>Material refinement</x:v>
      </x:c>
      <x:c r="L408" s="4" t="str">
        <x:f>IFERROR(INDEX('Material routes'!$K$6:$K$2205,MATCH(U408,'Material routes'!$A$6:$A$2205,0)),"MISSING ID")</x:f>
        <x:v>Proposal</x:v>
      </x:c>
      <x:c r="M408" s="4" t="str">
        <x:f>IFERROR(INDEX('Material routes'!$M$6:$M$2205,MATCH(U408,'Material routes'!$A$6:$A$2205,0)),"MISSING ID")</x:f>
        <x:v>Partial proposal</x:v>
      </x:c>
      <x:c r="N408" s="4" t="str">
        <x:f>IF(IFERROR(INDEX('Material routes'!$I$6:$I$1005,MATCH(U408,'Material routes'!$A$6:$A$1005,0)),"MISSING ID")=0,"",IFERROR(INDEX('Material routes'!$I$6:$I$1005,MATCH(U408,'Material routes'!$A$6:$A$1005,0)),"MISSING ID"))</x:f>
      </x:c>
      <x:c r="O408" s="4" t="str">
        <x:f>IFERROR(INDEX('Material routes'!$J$6:$J$2205,MATCH(U408,'Material routes'!$A$6:$A$2205,0)),"MISSING ID")</x:f>
        <x:v>Unspecified</x:v>
      </x:c>
      <x:c r="P408" s="4" t="str">
        <x:f>IF(IFERROR(INDEX('Material routes'!$I$6:$I$1005,MATCH(V408,'Material routes'!$A$6:$A$1005,0)),"MISSING ID")=0,"",IFERROR(INDEX('Material routes'!$I$6:$I$1005,MATCH(V408,'Material routes'!$A$6:$A$1005,0)),"MISSING ID"))</x:f>
      </x:c>
      <x:c r="Q408" s="4" t="str">
        <x:f>IFERROR(INDEX('Material routes'!$J$6:$J$2205,MATCH(V408,'Material routes'!$A$6:$A$2205,0)),"MISSING ID")</x:f>
        <x:v>Unspecified</x:v>
      </x:c>
      <x:c r="R408" s="4" t="str">
        <x:f>IF(L408="Withheld","Withheld premise",IF(E408="Tool candidate","Reusable prerequisite",IF(K408="Raw entry preparation","Entry-resource preparation",IF(G408="Not applicable",IF(IFERROR(INDEX('Items'!$AI$6:$AI$1005,MATCH(T408,'Items'!$A$6:$A$1005,0)),"MISSING ID")="Finished item","Finished endpoint",IF(IFERROR(INDEX('Items'!$AI$6:$AI$1005,MATCH(T408,'Items'!$A$6:$A$1005,0)),"MISSING ID")="Currency","Currency / no refinement tier","Recovered output / tier not applicable")),IF(OR(IFERROR(INDEX('Crafting recipes'!$H$6:$H$1005,MATCH(J408,'Crafting recipes'!$A$6:$A$1005,0)),"MISSING ID")="Unassigned",G408="Unassigned"),"Tier unresolved",IF(IFERROR(VALUE(RIGHT(G408,1))-VALUE(RIGHT(IFERROR(INDEX('Crafting recipes'!$H$6:$H$1005,MATCH(J408,'Crafting recipes'!$A$6:$A$1005,0)),"MISSING ID"),1)),0)=1,IF(B408=IFERROR(INDEX('Crafting recipes'!$H$6:$H$1005,MATCH(J408,'Crafting recipes'!$A$6:$A$1005,0)),"MISSING ID"),"Advances one material tier","Lower-tier ingredient; route advances one tier"),"Needs tier review"))))))</x:f>
        <x:v>Advances one material tier</x:v>
      </x:c>
      <x:c r="S408" s="4" t="str">
        <x:f>IFERROR(INDEX('Material routes'!$D$6:$D$2205,MATCH(U408,'Material routes'!$A$6:$A$2205,0)),"MISSING ID")</x:f>
        <x:v>proposal.t3.gear_blank</x:v>
      </x:c>
      <x:c r="T408" s="4" t="str">
        <x:f>IFERROR(INDEX('Material routes'!$D$6:$D$2205,MATCH(V408,'Material routes'!$A$6:$A$2205,0)),"MISSING ID")</x:f>
        <x:v>proposal.legger.gear_cluster</x:v>
      </x:c>
      <x:c r="U408" s="4" t="str">
        <x:v>design.review.proposal_legger_gear_cluster.in.1</x:v>
      </x:c>
      <x:c r="V408" s="4" t="str">
        <x:v>design.review.proposal_legger_gear_cluster.out</x:v>
      </x:c>
    </x:row>
    <x:row r="409" ht="115" customHeight="1">
      <x:c r="A409" s="4" t="str">
        <x:f>IFERROR(INDEX('Material routes'!$E$6:$E$2205,MATCH(U409,'Material routes'!$A$6:$A$2205,0)),"MISSING ID")</x:f>
        <x:v>Steel stock</x:v>
      </x:c>
      <x:c r="B409" s="4" t="str">
        <x:f>IFERROR(INDEX('Material routes'!$F$6:$F$2205,MATCH(U409,'Material routes'!$A$6:$A$2205,0)),"MISSING ID")</x:f>
        <x:v>T2</x:v>
      </x:c>
      <x:c r="C409" s="4" t="str">
        <x:f>IFERROR(INDEX('Material routes'!$H$6:$H$2205,MATCH(U409,'Material routes'!$A$6:$A$2205,0)),"MISSING ID")</x:f>
        <x:v>Processed material</x:v>
      </x:c>
      <x:c r="D409" s="4" t="str">
        <x:f>IFERROR(INDEX('Material routes'!$G$6:$G$2205,MATCH(U409,'Material routes'!$A$6:$A$2205,0)),"MISSING ID")</x:f>
        <x:v>Manufactured stock</x:v>
      </x:c>
      <x:c r="E409" s="4" t="str">
        <x:f>IFERROR(INDEX('Material routes'!$C$6:$C$2205,MATCH(U409,'Material routes'!$A$6:$A$2205,0)),"MISSING ID")</x:f>
        <x:v>Ingredient candidate</x:v>
      </x:c>
      <x:c r="F409" s="4" t="str">
        <x:f>IFERROR(INDEX('Material routes'!$E$6:$E$2205,MATCH(V409,'Material routes'!$A$6:$A$2205,0)),"MISSING ID")</x:f>
        <x:v>Replacement gear cluster</x:v>
      </x:c>
      <x:c r="G409" s="4" t="str">
        <x:f>IFERROR(INDEX('Material routes'!$F$6:$F$2205,MATCH(V409,'Material routes'!$A$6:$A$2205,0)),"MISSING ID")</x:f>
        <x:v>T4</x:v>
      </x:c>
      <x:c r="H409" s="4" t="str">
        <x:f>IFERROR(INDEX('Material routes'!$H$6:$H$2205,MATCH(V409,'Material routes'!$A$6:$A$2205,0)),"MISSING ID")</x:f>
        <x:v>Crafting component</x:v>
      </x:c>
      <x:c r="I409" s="4" t="str">
        <x:f>IFERROR(INDEX('Material routes'!$G$6:$G$2205,MATCH(V409,'Material routes'!$A$6:$A$2205,0)),"MISSING ID")</x:f>
        <x:v>Crafting components</x:v>
      </x:c>
      <x:c r="J409" s="4" t="str">
        <x:f>IFERROR(INDEX('Material routes'!$B$6:$B$2205,MATCH(U409,'Material routes'!$A$6:$A$2205,0)),"MISSING ID")</x:f>
        <x:v>design.review.proposal_legger_gear_cluster</x:v>
      </x:c>
      <x:c r="K409" s="4" t="str">
        <x:f>IFERROR(INDEX('Crafting recipes'!$C$6:$C$1005,MATCH(J409,'Crafting recipes'!$A$6:$A$1005,0)),"MISSING ID")</x:f>
        <x:v>Material refinement</x:v>
      </x:c>
      <x:c r="L409" s="4" t="str">
        <x:f>IFERROR(INDEX('Material routes'!$K$6:$K$2205,MATCH(U409,'Material routes'!$A$6:$A$2205,0)),"MISSING ID")</x:f>
        <x:v>Proposal</x:v>
      </x:c>
      <x:c r="M409" s="4" t="str">
        <x:f>IFERROR(INDEX('Material routes'!$M$6:$M$2205,MATCH(U409,'Material routes'!$A$6:$A$2205,0)),"MISSING ID")</x:f>
        <x:v>Partial proposal</x:v>
      </x:c>
      <x:c r="N409" s="4" t="str">
        <x:f>IF(IFERROR(INDEX('Material routes'!$I$6:$I$1005,MATCH(U409,'Material routes'!$A$6:$A$1005,0)),"MISSING ID")=0,"",IFERROR(INDEX('Material routes'!$I$6:$I$1005,MATCH(U409,'Material routes'!$A$6:$A$1005,0)),"MISSING ID"))</x:f>
      </x:c>
      <x:c r="O409" s="4" t="str">
        <x:f>IFERROR(INDEX('Material routes'!$J$6:$J$2205,MATCH(U409,'Material routes'!$A$6:$A$2205,0)),"MISSING ID")</x:f>
        <x:v>Unspecified</x:v>
      </x:c>
      <x:c r="P409" s="4" t="str">
        <x:f>IF(IFERROR(INDEX('Material routes'!$I$6:$I$1005,MATCH(V409,'Material routes'!$A$6:$A$1005,0)),"MISSING ID")=0,"",IFERROR(INDEX('Material routes'!$I$6:$I$1005,MATCH(V409,'Material routes'!$A$6:$A$1005,0)),"MISSING ID"))</x:f>
      </x:c>
      <x:c r="Q409" s="4" t="str">
        <x:f>IFERROR(INDEX('Material routes'!$J$6:$J$2205,MATCH(V409,'Material routes'!$A$6:$A$2205,0)),"MISSING ID")</x:f>
        <x:v>Unspecified</x:v>
      </x:c>
      <x:c r="R409" s="4" t="str">
        <x:f>IF(L409="Withheld","Withheld premise",IF(E409="Tool candidate","Reusable prerequisite",IF(K409="Raw entry preparation","Entry-resource preparation",IF(G409="Not applicable",IF(IFERROR(INDEX('Items'!$AI$6:$AI$1005,MATCH(T409,'Items'!$A$6:$A$1005,0)),"MISSING ID")="Finished item","Finished endpoint",IF(IFERROR(INDEX('Items'!$AI$6:$AI$1005,MATCH(T409,'Items'!$A$6:$A$1005,0)),"MISSING ID")="Currency","Currency / no refinement tier","Recovered output / tier not applicable")),IF(OR(IFERROR(INDEX('Crafting recipes'!$H$6:$H$1005,MATCH(J409,'Crafting recipes'!$A$6:$A$1005,0)),"MISSING ID")="Unassigned",G409="Unassigned"),"Tier unresolved",IF(IFERROR(VALUE(RIGHT(G409,1))-VALUE(RIGHT(IFERROR(INDEX('Crafting recipes'!$H$6:$H$1005,MATCH(J409,'Crafting recipes'!$A$6:$A$1005,0)),"MISSING ID"),1)),0)=1,IF(B409=IFERROR(INDEX('Crafting recipes'!$H$6:$H$1005,MATCH(J409,'Crafting recipes'!$A$6:$A$1005,0)),"MISSING ID"),"Advances one material tier","Lower-tier ingredient; route advances one tier"),"Needs tier review"))))))</x:f>
        <x:v>Lower-tier ingredient; route advances one tier</x:v>
      </x:c>
      <x:c r="S409" s="4" t="str">
        <x:f>IFERROR(INDEX('Material routes'!$D$6:$D$2205,MATCH(U409,'Material routes'!$A$6:$A$2205,0)),"MISSING ID")</x:f>
        <x:v>author.metallurgy.steel_stock</x:v>
      </x:c>
      <x:c r="T409" s="4" t="str">
        <x:f>IFERROR(INDEX('Material routes'!$D$6:$D$2205,MATCH(V409,'Material routes'!$A$6:$A$2205,0)),"MISSING ID")</x:f>
        <x:v>proposal.legger.gear_cluster</x:v>
      </x:c>
      <x:c r="U409" s="4" t="str">
        <x:v>design.review.proposal_legger_gear_cluster.in.2</x:v>
      </x:c>
      <x:c r="V409" s="4" t="str">
        <x:v>design.review.proposal_legger_gear_cluster.out</x:v>
      </x:c>
    </x:row>
    <x:row r="410" ht="115" customHeight="1">
      <x:c r="A410" s="4" t="str">
        <x:f>IFERROR(INDEX('Material routes'!$E$6:$E$2205,MATCH(U410,'Material routes'!$A$6:$A$2205,0)),"MISSING ID")</x:f>
        <x:v>Prepared bronze bearing stock</x:v>
      </x:c>
      <x:c r="B410" s="4" t="str">
        <x:f>IFERROR(INDEX('Material routes'!$F$6:$F$2205,MATCH(U410,'Material routes'!$A$6:$A$2205,0)),"MISSING ID")</x:f>
        <x:v>T2</x:v>
      </x:c>
      <x:c r="C410" s="4" t="str">
        <x:f>IFERROR(INDEX('Material routes'!$H$6:$H$2205,MATCH(U410,'Material routes'!$A$6:$A$2205,0)),"MISSING ID")</x:f>
        <x:v>Processed material</x:v>
      </x:c>
      <x:c r="D410" s="4" t="str">
        <x:f>IFERROR(INDEX('Material routes'!$G$6:$G$2205,MATCH(U410,'Material routes'!$A$6:$A$2205,0)),"MISSING ID")</x:f>
        <x:v>Manufactured stock</x:v>
      </x:c>
      <x:c r="E410" s="4" t="str">
        <x:f>IFERROR(INDEX('Material routes'!$C$6:$C$2205,MATCH(U410,'Material routes'!$A$6:$A$2205,0)),"MISSING ID")</x:f>
        <x:v>Ingredient candidate</x:v>
      </x:c>
      <x:c r="F410" s="4" t="str">
        <x:f>IFERROR(INDEX('Material routes'!$E$6:$E$2205,MATCH(V410,'Material routes'!$A$6:$A$2205,0)),"MISSING ID")</x:f>
        <x:v>Replacement gear cluster</x:v>
      </x:c>
      <x:c r="G410" s="4" t="str">
        <x:f>IFERROR(INDEX('Material routes'!$F$6:$F$2205,MATCH(V410,'Material routes'!$A$6:$A$2205,0)),"MISSING ID")</x:f>
        <x:v>T4</x:v>
      </x:c>
      <x:c r="H410" s="4" t="str">
        <x:f>IFERROR(INDEX('Material routes'!$H$6:$H$2205,MATCH(V410,'Material routes'!$A$6:$A$2205,0)),"MISSING ID")</x:f>
        <x:v>Crafting component</x:v>
      </x:c>
      <x:c r="I410" s="4" t="str">
        <x:f>IFERROR(INDEX('Material routes'!$G$6:$G$2205,MATCH(V410,'Material routes'!$A$6:$A$2205,0)),"MISSING ID")</x:f>
        <x:v>Crafting components</x:v>
      </x:c>
      <x:c r="J410" s="4" t="str">
        <x:f>IFERROR(INDEX('Material routes'!$B$6:$B$2205,MATCH(U410,'Material routes'!$A$6:$A$2205,0)),"MISSING ID")</x:f>
        <x:v>design.review.proposal_legger_gear_cluster</x:v>
      </x:c>
      <x:c r="K410" s="4" t="str">
        <x:f>IFERROR(INDEX('Crafting recipes'!$C$6:$C$1005,MATCH(J410,'Crafting recipes'!$A$6:$A$1005,0)),"MISSING ID")</x:f>
        <x:v>Material refinement</x:v>
      </x:c>
      <x:c r="L410" s="4" t="str">
        <x:f>IFERROR(INDEX('Material routes'!$K$6:$K$2205,MATCH(U410,'Material routes'!$A$6:$A$2205,0)),"MISSING ID")</x:f>
        <x:v>Proposal</x:v>
      </x:c>
      <x:c r="M410" s="4" t="str">
        <x:f>IFERROR(INDEX('Material routes'!$M$6:$M$2205,MATCH(U410,'Material routes'!$A$6:$A$2205,0)),"MISSING ID")</x:f>
        <x:v>Partial proposal</x:v>
      </x:c>
      <x:c r="N410" s="4" t="str">
        <x:f>IF(IFERROR(INDEX('Material routes'!$I$6:$I$1005,MATCH(U410,'Material routes'!$A$6:$A$1005,0)),"MISSING ID")=0,"",IFERROR(INDEX('Material routes'!$I$6:$I$1005,MATCH(U410,'Material routes'!$A$6:$A$1005,0)),"MISSING ID"))</x:f>
      </x:c>
      <x:c r="O410" s="4" t="str">
        <x:f>IFERROR(INDEX('Material routes'!$J$6:$J$2205,MATCH(U410,'Material routes'!$A$6:$A$2205,0)),"MISSING ID")</x:f>
        <x:v>Unspecified</x:v>
      </x:c>
      <x:c r="P410" s="4" t="str">
        <x:f>IF(IFERROR(INDEX('Material routes'!$I$6:$I$1005,MATCH(V410,'Material routes'!$A$6:$A$1005,0)),"MISSING ID")=0,"",IFERROR(INDEX('Material routes'!$I$6:$I$1005,MATCH(V410,'Material routes'!$A$6:$A$1005,0)),"MISSING ID"))</x:f>
      </x:c>
      <x:c r="Q410" s="4" t="str">
        <x:f>IFERROR(INDEX('Material routes'!$J$6:$J$2205,MATCH(V410,'Material routes'!$A$6:$A$2205,0)),"MISSING ID")</x:f>
        <x:v>Unspecified</x:v>
      </x:c>
      <x:c r="R410" s="4" t="str">
        <x:f>IF(L410="Withheld","Withheld premise",IF(E410="Tool candidate","Reusable prerequisite",IF(K410="Raw entry preparation","Entry-resource preparation",IF(G410="Not applicable",IF(IFERROR(INDEX('Items'!$AI$6:$AI$1005,MATCH(T410,'Items'!$A$6:$A$1005,0)),"MISSING ID")="Finished item","Finished endpoint",IF(IFERROR(INDEX('Items'!$AI$6:$AI$1005,MATCH(T410,'Items'!$A$6:$A$1005,0)),"MISSING ID")="Currency","Currency / no refinement tier","Recovered output / tier not applicable")),IF(OR(IFERROR(INDEX('Crafting recipes'!$H$6:$H$1005,MATCH(J410,'Crafting recipes'!$A$6:$A$1005,0)),"MISSING ID")="Unassigned",G410="Unassigned"),"Tier unresolved",IF(IFERROR(VALUE(RIGHT(G410,1))-VALUE(RIGHT(IFERROR(INDEX('Crafting recipes'!$H$6:$H$1005,MATCH(J410,'Crafting recipes'!$A$6:$A$1005,0)),"MISSING ID"),1)),0)=1,IF(B410=IFERROR(INDEX('Crafting recipes'!$H$6:$H$1005,MATCH(J410,'Crafting recipes'!$A$6:$A$1005,0)),"MISSING ID"),"Advances one material tier","Lower-tier ingredient; route advances one tier"),"Needs tier review"))))))</x:f>
        <x:v>Lower-tier ingredient; route advances one tier</x:v>
      </x:c>
      <x:c r="S410" s="4" t="str">
        <x:f>IFERROR(INDEX('Material routes'!$D$6:$D$2205,MATCH(U410,'Material routes'!$A$6:$A$2205,0)),"MISSING ID")</x:f>
        <x:v>proposal.branch.bearing_bronze</x:v>
      </x:c>
      <x:c r="T410" s="4" t="str">
        <x:f>IFERROR(INDEX('Material routes'!$D$6:$D$2205,MATCH(V410,'Material routes'!$A$6:$A$2205,0)),"MISSING ID")</x:f>
        <x:v>proposal.legger.gear_cluster</x:v>
      </x:c>
      <x:c r="U410" s="4" t="str">
        <x:v>design.review.proposal_legger_gear_cluster.in.3</x:v>
      </x:c>
      <x:c r="V410" s="4" t="str">
        <x:v>design.review.proposal_legger_gear_cluster.out</x:v>
      </x:c>
    </x:row>
    <x:row r="411" ht="115" customHeight="1">
      <x:c r="A411" s="4" t="str">
        <x:f>IFERROR(INDEX('Material routes'!$E$6:$E$2205,MATCH(U411,'Material routes'!$A$6:$A$2205,0)),"MISSING ID")</x:f>
        <x:v>Steel stock</x:v>
      </x:c>
      <x:c r="B411" s="4" t="str">
        <x:f>IFERROR(INDEX('Material routes'!$F$6:$F$2205,MATCH(U411,'Material routes'!$A$6:$A$2205,0)),"MISSING ID")</x:f>
        <x:v>T2</x:v>
      </x:c>
      <x:c r="C411" s="4" t="str">
        <x:f>IFERROR(INDEX('Material routes'!$H$6:$H$2205,MATCH(U411,'Material routes'!$A$6:$A$2205,0)),"MISSING ID")</x:f>
        <x:v>Processed material</x:v>
      </x:c>
      <x:c r="D411" s="4" t="str">
        <x:f>IFERROR(INDEX('Material routes'!$G$6:$G$2205,MATCH(U411,'Material routes'!$A$6:$A$2205,0)),"MISSING ID")</x:f>
        <x:v>Manufactured stock</x:v>
      </x:c>
      <x:c r="E411" s="4" t="str">
        <x:f>IFERROR(INDEX('Material routes'!$C$6:$C$2205,MATCH(U411,'Material routes'!$A$6:$A$2205,0)),"MISSING ID")</x:f>
        <x:v>Ingredient candidate</x:v>
      </x:c>
      <x:c r="F411" s="4" t="str">
        <x:f>IFERROR(INDEX('Material routes'!$E$6:$E$2205,MATCH(V411,'Material routes'!$A$6:$A$2205,0)),"MISSING ID")</x:f>
        <x:v>Replacement linkage-end joint</x:v>
      </x:c>
      <x:c r="G411" s="4" t="str">
        <x:f>IFERROR(INDEX('Material routes'!$F$6:$F$2205,MATCH(V411,'Material routes'!$A$6:$A$2205,0)),"MISSING ID")</x:f>
        <x:v>T3</x:v>
      </x:c>
      <x:c r="H411" s="4" t="str">
        <x:f>IFERROR(INDEX('Material routes'!$H$6:$H$2205,MATCH(V411,'Material routes'!$A$6:$A$2205,0)),"MISSING ID")</x:f>
        <x:v>Crafting component</x:v>
      </x:c>
      <x:c r="I411" s="4" t="str">
        <x:f>IFERROR(INDEX('Material routes'!$G$6:$G$2205,MATCH(V411,'Material routes'!$A$6:$A$2205,0)),"MISSING ID")</x:f>
        <x:v>Crafting components</x:v>
      </x:c>
      <x:c r="J411" s="4" t="str">
        <x:f>IFERROR(INDEX('Material routes'!$B$6:$B$2205,MATCH(U411,'Material routes'!$A$6:$A$2205,0)),"MISSING ID")</x:f>
        <x:v>design.review.proposal_legger_linkage_end</x:v>
      </x:c>
      <x:c r="K411" s="4" t="str">
        <x:f>IFERROR(INDEX('Crafting recipes'!$C$6:$C$1005,MATCH(J411,'Crafting recipes'!$A$6:$A$1005,0)),"MISSING ID")</x:f>
        <x:v>Material refinement</x:v>
      </x:c>
      <x:c r="L411" s="4" t="str">
        <x:f>IFERROR(INDEX('Material routes'!$K$6:$K$2205,MATCH(U411,'Material routes'!$A$6:$A$2205,0)),"MISSING ID")</x:f>
        <x:v>Proposal</x:v>
      </x:c>
      <x:c r="M411" s="4" t="str">
        <x:f>IFERROR(INDEX('Material routes'!$M$6:$M$2205,MATCH(U411,'Material routes'!$A$6:$A$2205,0)),"MISSING ID")</x:f>
        <x:v>Partial proposal</x:v>
      </x:c>
      <x:c r="N411" s="4" t="str">
        <x:f>IF(IFERROR(INDEX('Material routes'!$I$6:$I$1005,MATCH(U411,'Material routes'!$A$6:$A$1005,0)),"MISSING ID")=0,"",IFERROR(INDEX('Material routes'!$I$6:$I$1005,MATCH(U411,'Material routes'!$A$6:$A$1005,0)),"MISSING ID"))</x:f>
      </x:c>
      <x:c r="O411" s="4" t="str">
        <x:f>IFERROR(INDEX('Material routes'!$J$6:$J$2205,MATCH(U411,'Material routes'!$A$6:$A$2205,0)),"MISSING ID")</x:f>
        <x:v>Unspecified</x:v>
      </x:c>
      <x:c r="P411" s="4" t="str">
        <x:f>IF(IFERROR(INDEX('Material routes'!$I$6:$I$1005,MATCH(V411,'Material routes'!$A$6:$A$1005,0)),"MISSING ID")=0,"",IFERROR(INDEX('Material routes'!$I$6:$I$1005,MATCH(V411,'Material routes'!$A$6:$A$1005,0)),"MISSING ID"))</x:f>
      </x:c>
      <x:c r="Q411" s="4" t="str">
        <x:f>IFERROR(INDEX('Material routes'!$J$6:$J$2205,MATCH(V411,'Material routes'!$A$6:$A$2205,0)),"MISSING ID")</x:f>
        <x:v>Unspecified</x:v>
      </x:c>
      <x:c r="R411" s="4" t="str">
        <x:f>IF(L411="Withheld","Withheld premise",IF(E411="Tool candidate","Reusable prerequisite",IF(K411="Raw entry preparation","Entry-resource preparation",IF(G411="Not applicable",IF(IFERROR(INDEX('Items'!$AI$6:$AI$1005,MATCH(T411,'Items'!$A$6:$A$1005,0)),"MISSING ID")="Finished item","Finished endpoint",IF(IFERROR(INDEX('Items'!$AI$6:$AI$1005,MATCH(T411,'Items'!$A$6:$A$1005,0)),"MISSING ID")="Currency","Currency / no refinement tier","Recovered output / tier not applicable")),IF(OR(IFERROR(INDEX('Crafting recipes'!$H$6:$H$1005,MATCH(J411,'Crafting recipes'!$A$6:$A$1005,0)),"MISSING ID")="Unassigned",G411="Unassigned"),"Tier unresolved",IF(IFERROR(VALUE(RIGHT(G411,1))-VALUE(RIGHT(IFERROR(INDEX('Crafting recipes'!$H$6:$H$1005,MATCH(J411,'Crafting recipes'!$A$6:$A$1005,0)),"MISSING ID"),1)),0)=1,IF(B411=IFERROR(INDEX('Crafting recipes'!$H$6:$H$1005,MATCH(J411,'Crafting recipes'!$A$6:$A$1005,0)),"MISSING ID"),"Advances one material tier","Lower-tier ingredient; route advances one tier"),"Needs tier review"))))))</x:f>
        <x:v>Advances one material tier</x:v>
      </x:c>
      <x:c r="S411" s="4" t="str">
        <x:f>IFERROR(INDEX('Material routes'!$D$6:$D$2205,MATCH(U411,'Material routes'!$A$6:$A$2205,0)),"MISSING ID")</x:f>
        <x:v>author.metallurgy.steel_stock</x:v>
      </x:c>
      <x:c r="T411" s="4" t="str">
        <x:f>IFERROR(INDEX('Material routes'!$D$6:$D$2205,MATCH(V411,'Material routes'!$A$6:$A$2205,0)),"MISSING ID")</x:f>
        <x:v>proposal.legger.linkage_end</x:v>
      </x:c>
      <x:c r="U411" s="4" t="str">
        <x:v>design.review.proposal_legger_linkage_end.in.1</x:v>
      </x:c>
      <x:c r="V411" s="4" t="str">
        <x:v>design.review.proposal_legger_linkage_end.out</x:v>
      </x:c>
    </x:row>
    <x:row r="412" ht="115" customHeight="1">
      <x:c r="A412" s="4" t="str">
        <x:f>IFERROR(INDEX('Material routes'!$E$6:$E$2205,MATCH(U412,'Material routes'!$A$6:$A$2205,0)),"MISSING ID")</x:f>
        <x:v>Prepared bronze bearing stock</x:v>
      </x:c>
      <x:c r="B412" s="4" t="str">
        <x:f>IFERROR(INDEX('Material routes'!$F$6:$F$2205,MATCH(U412,'Material routes'!$A$6:$A$2205,0)),"MISSING ID")</x:f>
        <x:v>T2</x:v>
      </x:c>
      <x:c r="C412" s="4" t="str">
        <x:f>IFERROR(INDEX('Material routes'!$H$6:$H$2205,MATCH(U412,'Material routes'!$A$6:$A$2205,0)),"MISSING ID")</x:f>
        <x:v>Processed material</x:v>
      </x:c>
      <x:c r="D412" s="4" t="str">
        <x:f>IFERROR(INDEX('Material routes'!$G$6:$G$2205,MATCH(U412,'Material routes'!$A$6:$A$2205,0)),"MISSING ID")</x:f>
        <x:v>Manufactured stock</x:v>
      </x:c>
      <x:c r="E412" s="4" t="str">
        <x:f>IFERROR(INDEX('Material routes'!$C$6:$C$2205,MATCH(U412,'Material routes'!$A$6:$A$2205,0)),"MISSING ID")</x:f>
        <x:v>Ingredient candidate</x:v>
      </x:c>
      <x:c r="F412" s="4" t="str">
        <x:f>IFERROR(INDEX('Material routes'!$E$6:$E$2205,MATCH(V412,'Material routes'!$A$6:$A$2205,0)),"MISSING ID")</x:f>
        <x:v>Replacement linkage-end joint</x:v>
      </x:c>
      <x:c r="G412" s="4" t="str">
        <x:f>IFERROR(INDEX('Material routes'!$F$6:$F$2205,MATCH(V412,'Material routes'!$A$6:$A$2205,0)),"MISSING ID")</x:f>
        <x:v>T3</x:v>
      </x:c>
      <x:c r="H412" s="4" t="str">
        <x:f>IFERROR(INDEX('Material routes'!$H$6:$H$2205,MATCH(V412,'Material routes'!$A$6:$A$2205,0)),"MISSING ID")</x:f>
        <x:v>Crafting component</x:v>
      </x:c>
      <x:c r="I412" s="4" t="str">
        <x:f>IFERROR(INDEX('Material routes'!$G$6:$G$2205,MATCH(V412,'Material routes'!$A$6:$A$2205,0)),"MISSING ID")</x:f>
        <x:v>Crafting components</x:v>
      </x:c>
      <x:c r="J412" s="4" t="str">
        <x:f>IFERROR(INDEX('Material routes'!$B$6:$B$2205,MATCH(U412,'Material routes'!$A$6:$A$2205,0)),"MISSING ID")</x:f>
        <x:v>design.review.proposal_legger_linkage_end</x:v>
      </x:c>
      <x:c r="K412" s="4" t="str">
        <x:f>IFERROR(INDEX('Crafting recipes'!$C$6:$C$1005,MATCH(J412,'Crafting recipes'!$A$6:$A$1005,0)),"MISSING ID")</x:f>
        <x:v>Material refinement</x:v>
      </x:c>
      <x:c r="L412" s="4" t="str">
        <x:f>IFERROR(INDEX('Material routes'!$K$6:$K$2205,MATCH(U412,'Material routes'!$A$6:$A$2205,0)),"MISSING ID")</x:f>
        <x:v>Proposal</x:v>
      </x:c>
      <x:c r="M412" s="4" t="str">
        <x:f>IFERROR(INDEX('Material routes'!$M$6:$M$2205,MATCH(U412,'Material routes'!$A$6:$A$2205,0)),"MISSING ID")</x:f>
        <x:v>Partial proposal</x:v>
      </x:c>
      <x:c r="N412" s="4" t="str">
        <x:f>IF(IFERROR(INDEX('Material routes'!$I$6:$I$1005,MATCH(U412,'Material routes'!$A$6:$A$1005,0)),"MISSING ID")=0,"",IFERROR(INDEX('Material routes'!$I$6:$I$1005,MATCH(U412,'Material routes'!$A$6:$A$1005,0)),"MISSING ID"))</x:f>
      </x:c>
      <x:c r="O412" s="4" t="str">
        <x:f>IFERROR(INDEX('Material routes'!$J$6:$J$2205,MATCH(U412,'Material routes'!$A$6:$A$2205,0)),"MISSING ID")</x:f>
        <x:v>Unspecified</x:v>
      </x:c>
      <x:c r="P412" s="4" t="str">
        <x:f>IF(IFERROR(INDEX('Material routes'!$I$6:$I$1005,MATCH(V412,'Material routes'!$A$6:$A$1005,0)),"MISSING ID")=0,"",IFERROR(INDEX('Material routes'!$I$6:$I$1005,MATCH(V412,'Material routes'!$A$6:$A$1005,0)),"MISSING ID"))</x:f>
      </x:c>
      <x:c r="Q412" s="4" t="str">
        <x:f>IFERROR(INDEX('Material routes'!$J$6:$J$2205,MATCH(V412,'Material routes'!$A$6:$A$2205,0)),"MISSING ID")</x:f>
        <x:v>Unspecified</x:v>
      </x:c>
      <x:c r="R412" s="4" t="str">
        <x:f>IF(L412="Withheld","Withheld premise",IF(E412="Tool candidate","Reusable prerequisite",IF(K412="Raw entry preparation","Entry-resource preparation",IF(G412="Not applicable",IF(IFERROR(INDEX('Items'!$AI$6:$AI$1005,MATCH(T412,'Items'!$A$6:$A$1005,0)),"MISSING ID")="Finished item","Finished endpoint",IF(IFERROR(INDEX('Items'!$AI$6:$AI$1005,MATCH(T412,'Items'!$A$6:$A$1005,0)),"MISSING ID")="Currency","Currency / no refinement tier","Recovered output / tier not applicable")),IF(OR(IFERROR(INDEX('Crafting recipes'!$H$6:$H$1005,MATCH(J412,'Crafting recipes'!$A$6:$A$1005,0)),"MISSING ID")="Unassigned",G412="Unassigned"),"Tier unresolved",IF(IFERROR(VALUE(RIGHT(G412,1))-VALUE(RIGHT(IFERROR(INDEX('Crafting recipes'!$H$6:$H$1005,MATCH(J412,'Crafting recipes'!$A$6:$A$1005,0)),"MISSING ID"),1)),0)=1,IF(B412=IFERROR(INDEX('Crafting recipes'!$H$6:$H$1005,MATCH(J412,'Crafting recipes'!$A$6:$A$1005,0)),"MISSING ID"),"Advances one material tier","Lower-tier ingredient; route advances one tier"),"Needs tier review"))))))</x:f>
        <x:v>Advances one material tier</x:v>
      </x:c>
      <x:c r="S412" s="4" t="str">
        <x:f>IFERROR(INDEX('Material routes'!$D$6:$D$2205,MATCH(U412,'Material routes'!$A$6:$A$2205,0)),"MISSING ID")</x:f>
        <x:v>proposal.branch.bearing_bronze</x:v>
      </x:c>
      <x:c r="T412" s="4" t="str">
        <x:f>IFERROR(INDEX('Material routes'!$D$6:$D$2205,MATCH(V412,'Material routes'!$A$6:$A$2205,0)),"MISSING ID")</x:f>
        <x:v>proposal.legger.linkage_end</x:v>
      </x:c>
      <x:c r="U412" s="4" t="str">
        <x:v>design.review.proposal_legger_linkage_end.in.2</x:v>
      </x:c>
      <x:c r="V412" s="4" t="str">
        <x:v>design.review.proposal_legger_linkage_end.out</x:v>
      </x:c>
    </x:row>
    <x:row r="413" ht="115" customHeight="1">
      <x:c r="A413" s="4" t="str">
        <x:f>IFERROR(INDEX('Material routes'!$E$6:$E$2205,MATCH(U413,'Material routes'!$A$6:$A$2205,0)),"MISSING ID")</x:f>
        <x:v>Spring-grade steel stock</x:v>
      </x:c>
      <x:c r="B413" s="4" t="str">
        <x:f>IFERROR(INDEX('Material routes'!$F$6:$F$2205,MATCH(U413,'Material routes'!$A$6:$A$2205,0)),"MISSING ID")</x:f>
        <x:v>T3</x:v>
      </x:c>
      <x:c r="C413" s="4" t="str">
        <x:f>IFERROR(INDEX('Material routes'!$H$6:$H$2205,MATCH(U413,'Material routes'!$A$6:$A$2205,0)),"MISSING ID")</x:f>
        <x:v>Processed material</x:v>
      </x:c>
      <x:c r="D413" s="4" t="str">
        <x:f>IFERROR(INDEX('Material routes'!$G$6:$G$2205,MATCH(U413,'Material routes'!$A$6:$A$2205,0)),"MISSING ID")</x:f>
        <x:v>Manufactured stock</x:v>
      </x:c>
      <x:c r="E413" s="4" t="str">
        <x:f>IFERROR(INDEX('Material routes'!$C$6:$C$2205,MATCH(U413,'Material routes'!$A$6:$A$2205,0)),"MISSING ID")</x:f>
        <x:v>Ingredient candidate</x:v>
      </x:c>
      <x:c r="F413" s="4" t="str">
        <x:f>IFERROR(INDEX('Material routes'!$E$6:$E$2205,MATCH(V413,'Material routes'!$A$6:$A$2205,0)),"MISSING ID")</x:f>
        <x:v>Drive tensioner assembly</x:v>
      </x:c>
      <x:c r="G413" s="4" t="str">
        <x:f>IFERROR(INDEX('Material routes'!$F$6:$F$2205,MATCH(V413,'Material routes'!$A$6:$A$2205,0)),"MISSING ID")</x:f>
        <x:v>T4</x:v>
      </x:c>
      <x:c r="H413" s="4" t="str">
        <x:f>IFERROR(INDEX('Material routes'!$H$6:$H$2205,MATCH(V413,'Material routes'!$A$6:$A$2205,0)),"MISSING ID")</x:f>
        <x:v>Crafting component</x:v>
      </x:c>
      <x:c r="I413" s="4" t="str">
        <x:f>IFERROR(INDEX('Material routes'!$G$6:$G$2205,MATCH(V413,'Material routes'!$A$6:$A$2205,0)),"MISSING ID")</x:f>
        <x:v>Crafting components</x:v>
      </x:c>
      <x:c r="J413" s="4" t="str">
        <x:f>IFERROR(INDEX('Material routes'!$B$6:$B$2205,MATCH(U413,'Material routes'!$A$6:$A$2205,0)),"MISSING ID")</x:f>
        <x:v>design.review.proposal_legger_tensioner</x:v>
      </x:c>
      <x:c r="K413" s="4" t="str">
        <x:f>IFERROR(INDEX('Crafting recipes'!$C$6:$C$1005,MATCH(J413,'Crafting recipes'!$A$6:$A$1005,0)),"MISSING ID")</x:f>
        <x:v>Material refinement</x:v>
      </x:c>
      <x:c r="L413" s="4" t="str">
        <x:f>IFERROR(INDEX('Material routes'!$K$6:$K$2205,MATCH(U413,'Material routes'!$A$6:$A$2205,0)),"MISSING ID")</x:f>
        <x:v>Proposal</x:v>
      </x:c>
      <x:c r="M413" s="4" t="str">
        <x:f>IFERROR(INDEX('Material routes'!$M$6:$M$2205,MATCH(U413,'Material routes'!$A$6:$A$2205,0)),"MISSING ID")</x:f>
        <x:v>Partial proposal</x:v>
      </x:c>
      <x:c r="N413" s="4" t="str">
        <x:f>IF(IFERROR(INDEX('Material routes'!$I$6:$I$1005,MATCH(U413,'Material routes'!$A$6:$A$1005,0)),"MISSING ID")=0,"",IFERROR(INDEX('Material routes'!$I$6:$I$1005,MATCH(U413,'Material routes'!$A$6:$A$1005,0)),"MISSING ID"))</x:f>
      </x:c>
      <x:c r="O413" s="4" t="str">
        <x:f>IFERROR(INDEX('Material routes'!$J$6:$J$2205,MATCH(U413,'Material routes'!$A$6:$A$2205,0)),"MISSING ID")</x:f>
        <x:v>Unspecified</x:v>
      </x:c>
      <x:c r="P413" s="4" t="str">
        <x:f>IF(IFERROR(INDEX('Material routes'!$I$6:$I$1005,MATCH(V413,'Material routes'!$A$6:$A$1005,0)),"MISSING ID")=0,"",IFERROR(INDEX('Material routes'!$I$6:$I$1005,MATCH(V413,'Material routes'!$A$6:$A$1005,0)),"MISSING ID"))</x:f>
      </x:c>
      <x:c r="Q413" s="4" t="str">
        <x:f>IFERROR(INDEX('Material routes'!$J$6:$J$2205,MATCH(V413,'Material routes'!$A$6:$A$2205,0)),"MISSING ID")</x:f>
        <x:v>Unspecified</x:v>
      </x:c>
      <x:c r="R413" s="4" t="str">
        <x:f>IF(L413="Withheld","Withheld premise",IF(E413="Tool candidate","Reusable prerequisite",IF(K413="Raw entry preparation","Entry-resource preparation",IF(G413="Not applicable",IF(IFERROR(INDEX('Items'!$AI$6:$AI$1005,MATCH(T413,'Items'!$A$6:$A$1005,0)),"MISSING ID")="Finished item","Finished endpoint",IF(IFERROR(INDEX('Items'!$AI$6:$AI$1005,MATCH(T413,'Items'!$A$6:$A$1005,0)),"MISSING ID")="Currency","Currency / no refinement tier","Recovered output / tier not applicable")),IF(OR(IFERROR(INDEX('Crafting recipes'!$H$6:$H$1005,MATCH(J413,'Crafting recipes'!$A$6:$A$1005,0)),"MISSING ID")="Unassigned",G413="Unassigned"),"Tier unresolved",IF(IFERROR(VALUE(RIGHT(G413,1))-VALUE(RIGHT(IFERROR(INDEX('Crafting recipes'!$H$6:$H$1005,MATCH(J413,'Crafting recipes'!$A$6:$A$1005,0)),"MISSING ID"),1)),0)=1,IF(B413=IFERROR(INDEX('Crafting recipes'!$H$6:$H$1005,MATCH(J413,'Crafting recipes'!$A$6:$A$1005,0)),"MISSING ID"),"Advances one material tier","Lower-tier ingredient; route advances one tier"),"Needs tier review"))))))</x:f>
        <x:v>Advances one material tier</x:v>
      </x:c>
      <x:c r="S413" s="4" t="str">
        <x:f>IFERROR(INDEX('Material routes'!$D$6:$D$2205,MATCH(U413,'Material routes'!$A$6:$A$2205,0)),"MISSING ID")</x:f>
        <x:v>proposal.branch.spring_steel</x:v>
      </x:c>
      <x:c r="T413" s="4" t="str">
        <x:f>IFERROR(INDEX('Material routes'!$D$6:$D$2205,MATCH(V413,'Material routes'!$A$6:$A$2205,0)),"MISSING ID")</x:f>
        <x:v>proposal.legger.tensioner</x:v>
      </x:c>
      <x:c r="U413" s="4" t="str">
        <x:v>design.review.proposal_legger_tensioner.in.1</x:v>
      </x:c>
      <x:c r="V413" s="4" t="str">
        <x:v>design.review.proposal_legger_tensioner.out</x:v>
      </x:c>
    </x:row>
    <x:row r="414" ht="115" customHeight="1">
      <x:c r="A414" s="4" t="str">
        <x:f>IFERROR(INDEX('Material routes'!$E$6:$E$2205,MATCH(U414,'Material routes'!$A$6:$A$2205,0)),"MISSING ID")</x:f>
        <x:v>Lapped bronze bearing blanks</x:v>
      </x:c>
      <x:c r="B414" s="4" t="str">
        <x:f>IFERROR(INDEX('Material routes'!$F$6:$F$2205,MATCH(U414,'Material routes'!$A$6:$A$2205,0)),"MISSING ID")</x:f>
        <x:v>T3</x:v>
      </x:c>
      <x:c r="C414" s="4" t="str">
        <x:f>IFERROR(INDEX('Material routes'!$H$6:$H$2205,MATCH(U414,'Material routes'!$A$6:$A$2205,0)),"MISSING ID")</x:f>
        <x:v>Crafting component</x:v>
      </x:c>
      <x:c r="D414" s="4" t="str">
        <x:f>IFERROR(INDEX('Material routes'!$G$6:$G$2205,MATCH(U414,'Material routes'!$A$6:$A$2205,0)),"MISSING ID")</x:f>
        <x:v>Crafting components</x:v>
      </x:c>
      <x:c r="E414" s="4" t="str">
        <x:f>IFERROR(INDEX('Material routes'!$C$6:$C$2205,MATCH(U414,'Material routes'!$A$6:$A$2205,0)),"MISSING ID")</x:f>
        <x:v>Ingredient candidate</x:v>
      </x:c>
      <x:c r="F414" s="4" t="str">
        <x:f>IFERROR(INDEX('Material routes'!$E$6:$E$2205,MATCH(V414,'Material routes'!$A$6:$A$2205,0)),"MISSING ID")</x:f>
        <x:v>Drive tensioner assembly</x:v>
      </x:c>
      <x:c r="G414" s="4" t="str">
        <x:f>IFERROR(INDEX('Material routes'!$F$6:$F$2205,MATCH(V414,'Material routes'!$A$6:$A$2205,0)),"MISSING ID")</x:f>
        <x:v>T4</x:v>
      </x:c>
      <x:c r="H414" s="4" t="str">
        <x:f>IFERROR(INDEX('Material routes'!$H$6:$H$2205,MATCH(V414,'Material routes'!$A$6:$A$2205,0)),"MISSING ID")</x:f>
        <x:v>Crafting component</x:v>
      </x:c>
      <x:c r="I414" s="4" t="str">
        <x:f>IFERROR(INDEX('Material routes'!$G$6:$G$2205,MATCH(V414,'Material routes'!$A$6:$A$2205,0)),"MISSING ID")</x:f>
        <x:v>Crafting components</x:v>
      </x:c>
      <x:c r="J414" s="4" t="str">
        <x:f>IFERROR(INDEX('Material routes'!$B$6:$B$2205,MATCH(U414,'Material routes'!$A$6:$A$2205,0)),"MISSING ID")</x:f>
        <x:v>design.review.proposal_legger_tensioner</x:v>
      </x:c>
      <x:c r="K414" s="4" t="str">
        <x:f>IFERROR(INDEX('Crafting recipes'!$C$6:$C$1005,MATCH(J414,'Crafting recipes'!$A$6:$A$1005,0)),"MISSING ID")</x:f>
        <x:v>Material refinement</x:v>
      </x:c>
      <x:c r="L414" s="4" t="str">
        <x:f>IFERROR(INDEX('Material routes'!$K$6:$K$2205,MATCH(U414,'Material routes'!$A$6:$A$2205,0)),"MISSING ID")</x:f>
        <x:v>Proposal</x:v>
      </x:c>
      <x:c r="M414" s="4" t="str">
        <x:f>IFERROR(INDEX('Material routes'!$M$6:$M$2205,MATCH(U414,'Material routes'!$A$6:$A$2205,0)),"MISSING ID")</x:f>
        <x:v>Partial proposal</x:v>
      </x:c>
      <x:c r="N414" s="4" t="str">
        <x:f>IF(IFERROR(INDEX('Material routes'!$I$6:$I$1005,MATCH(U414,'Material routes'!$A$6:$A$1005,0)),"MISSING ID")=0,"",IFERROR(INDEX('Material routes'!$I$6:$I$1005,MATCH(U414,'Material routes'!$A$6:$A$1005,0)),"MISSING ID"))</x:f>
      </x:c>
      <x:c r="O414" s="4" t="str">
        <x:f>IFERROR(INDEX('Material routes'!$J$6:$J$2205,MATCH(U414,'Material routes'!$A$6:$A$2205,0)),"MISSING ID")</x:f>
        <x:v>Unspecified</x:v>
      </x:c>
      <x:c r="P414" s="4" t="str">
        <x:f>IF(IFERROR(INDEX('Material routes'!$I$6:$I$1005,MATCH(V414,'Material routes'!$A$6:$A$1005,0)),"MISSING ID")=0,"",IFERROR(INDEX('Material routes'!$I$6:$I$1005,MATCH(V414,'Material routes'!$A$6:$A$1005,0)),"MISSING ID"))</x:f>
      </x:c>
      <x:c r="Q414" s="4" t="str">
        <x:f>IFERROR(INDEX('Material routes'!$J$6:$J$2205,MATCH(V414,'Material routes'!$A$6:$A$2205,0)),"MISSING ID")</x:f>
        <x:v>Unspecified</x:v>
      </x:c>
      <x:c r="R414" s="4" t="str">
        <x:f>IF(L414="Withheld","Withheld premise",IF(E414="Tool candidate","Reusable prerequisite",IF(K414="Raw entry preparation","Entry-resource preparation",IF(G414="Not applicable",IF(IFERROR(INDEX('Items'!$AI$6:$AI$1005,MATCH(T414,'Items'!$A$6:$A$1005,0)),"MISSING ID")="Finished item","Finished endpoint",IF(IFERROR(INDEX('Items'!$AI$6:$AI$1005,MATCH(T414,'Items'!$A$6:$A$1005,0)),"MISSING ID")="Currency","Currency / no refinement tier","Recovered output / tier not applicable")),IF(OR(IFERROR(INDEX('Crafting recipes'!$H$6:$H$1005,MATCH(J414,'Crafting recipes'!$A$6:$A$1005,0)),"MISSING ID")="Unassigned",G414="Unassigned"),"Tier unresolved",IF(IFERROR(VALUE(RIGHT(G414,1))-VALUE(RIGHT(IFERROR(INDEX('Crafting recipes'!$H$6:$H$1005,MATCH(J414,'Crafting recipes'!$A$6:$A$1005,0)),"MISSING ID"),1)),0)=1,IF(B414=IFERROR(INDEX('Crafting recipes'!$H$6:$H$1005,MATCH(J414,'Crafting recipes'!$A$6:$A$1005,0)),"MISSING ID"),"Advances one material tier","Lower-tier ingredient; route advances one tier"),"Needs tier review"))))))</x:f>
        <x:v>Advances one material tier</x:v>
      </x:c>
      <x:c r="S414" s="4" t="str">
        <x:f>IFERROR(INDEX('Material routes'!$D$6:$D$2205,MATCH(U414,'Material routes'!$A$6:$A$2205,0)),"MISSING ID")</x:f>
        <x:v>proposal.t3.bearing_blank</x:v>
      </x:c>
      <x:c r="T414" s="4" t="str">
        <x:f>IFERROR(INDEX('Material routes'!$D$6:$D$2205,MATCH(V414,'Material routes'!$A$6:$A$2205,0)),"MISSING ID")</x:f>
        <x:v>proposal.legger.tensioner</x:v>
      </x:c>
      <x:c r="U414" s="4" t="str">
        <x:v>design.review.proposal_legger_tensioner.in.2</x:v>
      </x:c>
      <x:c r="V414" s="4" t="str">
        <x:v>design.review.proposal_legger_tensioner.out</x:v>
      </x:c>
    </x:row>
    <x:row r="415" ht="115" customHeight="1">
      <x:c r="A415" s="4" t="str">
        <x:f>IFERROR(INDEX('Material routes'!$E$6:$E$2205,MATCH(U415,'Material routes'!$A$6:$A$2205,0)),"MISSING ID")</x:f>
        <x:v>Steel stock</x:v>
      </x:c>
      <x:c r="B415" s="4" t="str">
        <x:f>IFERROR(INDEX('Material routes'!$F$6:$F$2205,MATCH(U415,'Material routes'!$A$6:$A$2205,0)),"MISSING ID")</x:f>
        <x:v>T2</x:v>
      </x:c>
      <x:c r="C415" s="4" t="str">
        <x:f>IFERROR(INDEX('Material routes'!$H$6:$H$2205,MATCH(U415,'Material routes'!$A$6:$A$2205,0)),"MISSING ID")</x:f>
        <x:v>Processed material</x:v>
      </x:c>
      <x:c r="D415" s="4" t="str">
        <x:f>IFERROR(INDEX('Material routes'!$G$6:$G$2205,MATCH(U415,'Material routes'!$A$6:$A$2205,0)),"MISSING ID")</x:f>
        <x:v>Manufactured stock</x:v>
      </x:c>
      <x:c r="E415" s="4" t="str">
        <x:f>IFERROR(INDEX('Material routes'!$C$6:$C$2205,MATCH(U415,'Material routes'!$A$6:$A$2205,0)),"MISSING ID")</x:f>
        <x:v>Ingredient candidate</x:v>
      </x:c>
      <x:c r="F415" s="4" t="str">
        <x:f>IFERROR(INDEX('Material routes'!$E$6:$E$2205,MATCH(V415,'Material routes'!$A$6:$A$2205,0)),"MISSING ID")</x:f>
        <x:v>Drive tensioner assembly</x:v>
      </x:c>
      <x:c r="G415" s="4" t="str">
        <x:f>IFERROR(INDEX('Material routes'!$F$6:$F$2205,MATCH(V415,'Material routes'!$A$6:$A$2205,0)),"MISSING ID")</x:f>
        <x:v>T4</x:v>
      </x:c>
      <x:c r="H415" s="4" t="str">
        <x:f>IFERROR(INDEX('Material routes'!$H$6:$H$2205,MATCH(V415,'Material routes'!$A$6:$A$2205,0)),"MISSING ID")</x:f>
        <x:v>Crafting component</x:v>
      </x:c>
      <x:c r="I415" s="4" t="str">
        <x:f>IFERROR(INDEX('Material routes'!$G$6:$G$2205,MATCH(V415,'Material routes'!$A$6:$A$2205,0)),"MISSING ID")</x:f>
        <x:v>Crafting components</x:v>
      </x:c>
      <x:c r="J415" s="4" t="str">
        <x:f>IFERROR(INDEX('Material routes'!$B$6:$B$2205,MATCH(U415,'Material routes'!$A$6:$A$2205,0)),"MISSING ID")</x:f>
        <x:v>design.review.proposal_legger_tensioner</x:v>
      </x:c>
      <x:c r="K415" s="4" t="str">
        <x:f>IFERROR(INDEX('Crafting recipes'!$C$6:$C$1005,MATCH(J415,'Crafting recipes'!$A$6:$A$1005,0)),"MISSING ID")</x:f>
        <x:v>Material refinement</x:v>
      </x:c>
      <x:c r="L415" s="4" t="str">
        <x:f>IFERROR(INDEX('Material routes'!$K$6:$K$2205,MATCH(U415,'Material routes'!$A$6:$A$2205,0)),"MISSING ID")</x:f>
        <x:v>Proposal</x:v>
      </x:c>
      <x:c r="M415" s="4" t="str">
        <x:f>IFERROR(INDEX('Material routes'!$M$6:$M$2205,MATCH(U415,'Material routes'!$A$6:$A$2205,0)),"MISSING ID")</x:f>
        <x:v>Partial proposal</x:v>
      </x:c>
      <x:c r="N415" s="4" t="str">
        <x:f>IF(IFERROR(INDEX('Material routes'!$I$6:$I$1005,MATCH(U415,'Material routes'!$A$6:$A$1005,0)),"MISSING ID")=0,"",IFERROR(INDEX('Material routes'!$I$6:$I$1005,MATCH(U415,'Material routes'!$A$6:$A$1005,0)),"MISSING ID"))</x:f>
      </x:c>
      <x:c r="O415" s="4" t="str">
        <x:f>IFERROR(INDEX('Material routes'!$J$6:$J$2205,MATCH(U415,'Material routes'!$A$6:$A$2205,0)),"MISSING ID")</x:f>
        <x:v>Unspecified</x:v>
      </x:c>
      <x:c r="P415" s="4" t="str">
        <x:f>IF(IFERROR(INDEX('Material routes'!$I$6:$I$1005,MATCH(V415,'Material routes'!$A$6:$A$1005,0)),"MISSING ID")=0,"",IFERROR(INDEX('Material routes'!$I$6:$I$1005,MATCH(V415,'Material routes'!$A$6:$A$1005,0)),"MISSING ID"))</x:f>
      </x:c>
      <x:c r="Q415" s="4" t="str">
        <x:f>IFERROR(INDEX('Material routes'!$J$6:$J$2205,MATCH(V415,'Material routes'!$A$6:$A$2205,0)),"MISSING ID")</x:f>
        <x:v>Unspecified</x:v>
      </x:c>
      <x:c r="R415" s="4" t="str">
        <x:f>IF(L415="Withheld","Withheld premise",IF(E415="Tool candidate","Reusable prerequisite",IF(K415="Raw entry preparation","Entry-resource preparation",IF(G415="Not applicable",IF(IFERROR(INDEX('Items'!$AI$6:$AI$1005,MATCH(T415,'Items'!$A$6:$A$1005,0)),"MISSING ID")="Finished item","Finished endpoint",IF(IFERROR(INDEX('Items'!$AI$6:$AI$1005,MATCH(T415,'Items'!$A$6:$A$1005,0)),"MISSING ID")="Currency","Currency / no refinement tier","Recovered output / tier not applicable")),IF(OR(IFERROR(INDEX('Crafting recipes'!$H$6:$H$1005,MATCH(J415,'Crafting recipes'!$A$6:$A$1005,0)),"MISSING ID")="Unassigned",G415="Unassigned"),"Tier unresolved",IF(IFERROR(VALUE(RIGHT(G415,1))-VALUE(RIGHT(IFERROR(INDEX('Crafting recipes'!$H$6:$H$1005,MATCH(J415,'Crafting recipes'!$A$6:$A$1005,0)),"MISSING ID"),1)),0)=1,IF(B415=IFERROR(INDEX('Crafting recipes'!$H$6:$H$1005,MATCH(J415,'Crafting recipes'!$A$6:$A$1005,0)),"MISSING ID"),"Advances one material tier","Lower-tier ingredient; route advances one tier"),"Needs tier review"))))))</x:f>
        <x:v>Lower-tier ingredient; route advances one tier</x:v>
      </x:c>
      <x:c r="S415" s="4" t="str">
        <x:f>IFERROR(INDEX('Material routes'!$D$6:$D$2205,MATCH(U415,'Material routes'!$A$6:$A$2205,0)),"MISSING ID")</x:f>
        <x:v>author.metallurgy.steel_stock</x:v>
      </x:c>
      <x:c r="T415" s="4" t="str">
        <x:f>IFERROR(INDEX('Material routes'!$D$6:$D$2205,MATCH(V415,'Material routes'!$A$6:$A$2205,0)),"MISSING ID")</x:f>
        <x:v>proposal.legger.tensioner</x:v>
      </x:c>
      <x:c r="U415" s="4" t="str">
        <x:v>design.review.proposal_legger_tensioner.in.3</x:v>
      </x:c>
      <x:c r="V415" s="4" t="str">
        <x:v>design.review.proposal_legger_tensioner.out</x:v>
      </x:c>
    </x:row>
    <x:row r="416" ht="115" customHeight="1">
      <x:c r="A416" s="4" t="str">
        <x:f>IFERROR(INDEX('Material routes'!$E$6:$E$2205,MATCH(U416,'Material routes'!$A$6:$A$2205,0)),"MISSING ID")</x:f>
        <x:v>Conditioned mechanism-service grease</x:v>
      </x:c>
      <x:c r="B416" s="4" t="str">
        <x:f>IFERROR(INDEX('Material routes'!$F$6:$F$2205,MATCH(U416,'Material routes'!$A$6:$A$2205,0)),"MISSING ID")</x:f>
        <x:v>T3</x:v>
      </x:c>
      <x:c r="C416" s="4" t="str">
        <x:f>IFERROR(INDEX('Material routes'!$H$6:$H$2205,MATCH(U416,'Material routes'!$A$6:$A$2205,0)),"MISSING ID")</x:f>
        <x:v>Chemical material</x:v>
      </x:c>
      <x:c r="D416" s="4" t="str">
        <x:f>IFERROR(INDEX('Material routes'!$G$6:$G$2205,MATCH(U416,'Material routes'!$A$6:$A$2205,0)),"MISSING ID")</x:f>
        <x:v>Crafting components</x:v>
      </x:c>
      <x:c r="E416" s="4" t="str">
        <x:f>IFERROR(INDEX('Material routes'!$C$6:$C$2205,MATCH(U416,'Material routes'!$A$6:$A$2205,0)),"MISSING ID")</x:f>
        <x:v>Ingredient candidate</x:v>
      </x:c>
      <x:c r="F416" s="4" t="str">
        <x:f>IFERROR(INDEX('Material routes'!$E$6:$E$2205,MATCH(V416,'Material routes'!$A$6:$A$2205,0)),"MISSING ID")</x:f>
        <x:v>Drive tensioner assembly</x:v>
      </x:c>
      <x:c r="G416" s="4" t="str">
        <x:f>IFERROR(INDEX('Material routes'!$F$6:$F$2205,MATCH(V416,'Material routes'!$A$6:$A$2205,0)),"MISSING ID")</x:f>
        <x:v>T4</x:v>
      </x:c>
      <x:c r="H416" s="4" t="str">
        <x:f>IFERROR(INDEX('Material routes'!$H$6:$H$2205,MATCH(V416,'Material routes'!$A$6:$A$2205,0)),"MISSING ID")</x:f>
        <x:v>Crafting component</x:v>
      </x:c>
      <x:c r="I416" s="4" t="str">
        <x:f>IFERROR(INDEX('Material routes'!$G$6:$G$2205,MATCH(V416,'Material routes'!$A$6:$A$2205,0)),"MISSING ID")</x:f>
        <x:v>Crafting components</x:v>
      </x:c>
      <x:c r="J416" s="4" t="str">
        <x:f>IFERROR(INDEX('Material routes'!$B$6:$B$2205,MATCH(U416,'Material routes'!$A$6:$A$2205,0)),"MISSING ID")</x:f>
        <x:v>design.review.proposal_legger_tensioner</x:v>
      </x:c>
      <x:c r="K416" s="4" t="str">
        <x:f>IFERROR(INDEX('Crafting recipes'!$C$6:$C$1005,MATCH(J416,'Crafting recipes'!$A$6:$A$1005,0)),"MISSING ID")</x:f>
        <x:v>Material refinement</x:v>
      </x:c>
      <x:c r="L416" s="4" t="str">
        <x:f>IFERROR(INDEX('Material routes'!$K$6:$K$2205,MATCH(U416,'Material routes'!$A$6:$A$2205,0)),"MISSING ID")</x:f>
        <x:v>Proposal</x:v>
      </x:c>
      <x:c r="M416" s="4" t="str">
        <x:f>IFERROR(INDEX('Material routes'!$M$6:$M$2205,MATCH(U416,'Material routes'!$A$6:$A$2205,0)),"MISSING ID")</x:f>
        <x:v>Partial proposal</x:v>
      </x:c>
      <x:c r="N416" s="4" t="str">
        <x:f>IF(IFERROR(INDEX('Material routes'!$I$6:$I$1005,MATCH(U416,'Material routes'!$A$6:$A$1005,0)),"MISSING ID")=0,"",IFERROR(INDEX('Material routes'!$I$6:$I$1005,MATCH(U416,'Material routes'!$A$6:$A$1005,0)),"MISSING ID"))</x:f>
      </x:c>
      <x:c r="O416" s="4" t="str">
        <x:f>IFERROR(INDEX('Material routes'!$J$6:$J$2205,MATCH(U416,'Material routes'!$A$6:$A$2205,0)),"MISSING ID")</x:f>
        <x:v>Unspecified</x:v>
      </x:c>
      <x:c r="P416" s="4" t="str">
        <x:f>IF(IFERROR(INDEX('Material routes'!$I$6:$I$1005,MATCH(V416,'Material routes'!$A$6:$A$1005,0)),"MISSING ID")=0,"",IFERROR(INDEX('Material routes'!$I$6:$I$1005,MATCH(V416,'Material routes'!$A$6:$A$1005,0)),"MISSING ID"))</x:f>
      </x:c>
      <x:c r="Q416" s="4" t="str">
        <x:f>IFERROR(INDEX('Material routes'!$J$6:$J$2205,MATCH(V416,'Material routes'!$A$6:$A$2205,0)),"MISSING ID")</x:f>
        <x:v>Unspecified</x:v>
      </x:c>
      <x:c r="R416" s="4" t="str">
        <x:f>IF(L416="Withheld","Withheld premise",IF(E416="Tool candidate","Reusable prerequisite",IF(K416="Raw entry preparation","Entry-resource preparation",IF(G416="Not applicable",IF(IFERROR(INDEX('Items'!$AI$6:$AI$1005,MATCH(T416,'Items'!$A$6:$A$1005,0)),"MISSING ID")="Finished item","Finished endpoint",IF(IFERROR(INDEX('Items'!$AI$6:$AI$1005,MATCH(T416,'Items'!$A$6:$A$1005,0)),"MISSING ID")="Currency","Currency / no refinement tier","Recovered output / tier not applicable")),IF(OR(IFERROR(INDEX('Crafting recipes'!$H$6:$H$1005,MATCH(J416,'Crafting recipes'!$A$6:$A$1005,0)),"MISSING ID")="Unassigned",G416="Unassigned"),"Tier unresolved",IF(IFERROR(VALUE(RIGHT(G416,1))-VALUE(RIGHT(IFERROR(INDEX('Crafting recipes'!$H$6:$H$1005,MATCH(J416,'Crafting recipes'!$A$6:$A$1005,0)),"MISSING ID"),1)),0)=1,IF(B416=IFERROR(INDEX('Crafting recipes'!$H$6:$H$1005,MATCH(J416,'Crafting recipes'!$A$6:$A$1005,0)),"MISSING ID"),"Advances one material tier","Lower-tier ingredient; route advances one tier"),"Needs tier review"))))))</x:f>
        <x:v>Advances one material tier</x:v>
      </x:c>
      <x:c r="S416" s="4" t="str">
        <x:f>IFERROR(INDEX('Material routes'!$D$6:$D$2205,MATCH(U416,'Material routes'!$A$6:$A$2205,0)),"MISSING ID")</x:f>
        <x:v>proposal.t3.service_grease</x:v>
      </x:c>
      <x:c r="T416" s="4" t="str">
        <x:f>IFERROR(INDEX('Material routes'!$D$6:$D$2205,MATCH(V416,'Material routes'!$A$6:$A$2205,0)),"MISSING ID")</x:f>
        <x:v>proposal.legger.tensioner</x:v>
      </x:c>
      <x:c r="U416" s="4" t="str">
        <x:v>design.review.proposal_legger_tensioner.in.4</x:v>
      </x:c>
      <x:c r="V416" s="4" t="str">
        <x:v>design.review.proposal_legger_tensioner.out</x:v>
      </x:c>
    </x:row>
    <x:row r="417" ht="115" customHeight="1">
      <x:c r="A417" s="4" t="str">
        <x:f>IFERROR(INDEX('Material routes'!$E$6:$E$2205,MATCH(U417,'Material routes'!$A$6:$A$2205,0)),"MISSING ID")</x:f>
        <x:v>Steel stock</x:v>
      </x:c>
      <x:c r="B417" s="4" t="str">
        <x:f>IFERROR(INDEX('Material routes'!$F$6:$F$2205,MATCH(U417,'Material routes'!$A$6:$A$2205,0)),"MISSING ID")</x:f>
        <x:v>T2</x:v>
      </x:c>
      <x:c r="C417" s="4" t="str">
        <x:f>IFERROR(INDEX('Material routes'!$H$6:$H$2205,MATCH(U417,'Material routes'!$A$6:$A$2205,0)),"MISSING ID")</x:f>
        <x:v>Processed material</x:v>
      </x:c>
      <x:c r="D417" s="4" t="str">
        <x:f>IFERROR(INDEX('Material routes'!$G$6:$G$2205,MATCH(U417,'Material routes'!$A$6:$A$2205,0)),"MISSING ID")</x:f>
        <x:v>Manufactured stock</x:v>
      </x:c>
      <x:c r="E417" s="4" t="str">
        <x:f>IFERROR(INDEX('Material routes'!$C$6:$C$2205,MATCH(U417,'Material routes'!$A$6:$A$2205,0)),"MISSING ID")</x:f>
        <x:v>Ingredient candidate</x:v>
      </x:c>
      <x:c r="F417" s="4" t="str">
        <x:f>IFERROR(INDEX('Material routes'!$E$6:$E$2205,MATCH(V417,'Material routes'!$A$6:$A$2205,0)),"MISSING ID")</x:f>
        <x:v>Joint grit-scraper ring</x:v>
      </x:c>
      <x:c r="G417" s="4" t="str">
        <x:f>IFERROR(INDEX('Material routes'!$F$6:$F$2205,MATCH(V417,'Material routes'!$A$6:$A$2205,0)),"MISSING ID")</x:f>
        <x:v>T3</x:v>
      </x:c>
      <x:c r="H417" s="4" t="str">
        <x:f>IFERROR(INDEX('Material routes'!$H$6:$H$2205,MATCH(V417,'Material routes'!$A$6:$A$2205,0)),"MISSING ID")</x:f>
        <x:v>Crafting component</x:v>
      </x:c>
      <x:c r="I417" s="4" t="str">
        <x:f>IFERROR(INDEX('Material routes'!$G$6:$G$2205,MATCH(V417,'Material routes'!$A$6:$A$2205,0)),"MISSING ID")</x:f>
        <x:v>Crafting components</x:v>
      </x:c>
      <x:c r="J417" s="4" t="str">
        <x:f>IFERROR(INDEX('Material routes'!$B$6:$B$2205,MATCH(U417,'Material routes'!$A$6:$A$2205,0)),"MISSING ID")</x:f>
        <x:v>design.review.proposal_legger_scraper_ring</x:v>
      </x:c>
      <x:c r="K417" s="4" t="str">
        <x:f>IFERROR(INDEX('Crafting recipes'!$C$6:$C$1005,MATCH(J417,'Crafting recipes'!$A$6:$A$1005,0)),"MISSING ID")</x:f>
        <x:v>Material refinement</x:v>
      </x:c>
      <x:c r="L417" s="4" t="str">
        <x:f>IFERROR(INDEX('Material routes'!$K$6:$K$2205,MATCH(U417,'Material routes'!$A$6:$A$2205,0)),"MISSING ID")</x:f>
        <x:v>Proposal</x:v>
      </x:c>
      <x:c r="M417" s="4" t="str">
        <x:f>IFERROR(INDEX('Material routes'!$M$6:$M$2205,MATCH(U417,'Material routes'!$A$6:$A$2205,0)),"MISSING ID")</x:f>
        <x:v>Partial proposal</x:v>
      </x:c>
      <x:c r="N417" s="4" t="str">
        <x:f>IF(IFERROR(INDEX('Material routes'!$I$6:$I$1005,MATCH(U417,'Material routes'!$A$6:$A$1005,0)),"MISSING ID")=0,"",IFERROR(INDEX('Material routes'!$I$6:$I$1005,MATCH(U417,'Material routes'!$A$6:$A$1005,0)),"MISSING ID"))</x:f>
      </x:c>
      <x:c r="O417" s="4" t="str">
        <x:f>IFERROR(INDEX('Material routes'!$J$6:$J$2205,MATCH(U417,'Material routes'!$A$6:$A$2205,0)),"MISSING ID")</x:f>
        <x:v>Unspecified</x:v>
      </x:c>
      <x:c r="P417" s="4" t="str">
        <x:f>IF(IFERROR(INDEX('Material routes'!$I$6:$I$1005,MATCH(V417,'Material routes'!$A$6:$A$1005,0)),"MISSING ID")=0,"",IFERROR(INDEX('Material routes'!$I$6:$I$1005,MATCH(V417,'Material routes'!$A$6:$A$1005,0)),"MISSING ID"))</x:f>
      </x:c>
      <x:c r="Q417" s="4" t="str">
        <x:f>IFERROR(INDEX('Material routes'!$J$6:$J$2205,MATCH(V417,'Material routes'!$A$6:$A$2205,0)),"MISSING ID")</x:f>
        <x:v>Unspecified</x:v>
      </x:c>
      <x:c r="R417" s="4" t="str">
        <x:f>IF(L417="Withheld","Withheld premise",IF(E417="Tool candidate","Reusable prerequisite",IF(K417="Raw entry preparation","Entry-resource preparation",IF(G417="Not applicable",IF(IFERROR(INDEX('Items'!$AI$6:$AI$1005,MATCH(T417,'Items'!$A$6:$A$1005,0)),"MISSING ID")="Finished item","Finished endpoint",IF(IFERROR(INDEX('Items'!$AI$6:$AI$1005,MATCH(T417,'Items'!$A$6:$A$1005,0)),"MISSING ID")="Currency","Currency / no refinement tier","Recovered output / tier not applicable")),IF(OR(IFERROR(INDEX('Crafting recipes'!$H$6:$H$1005,MATCH(J417,'Crafting recipes'!$A$6:$A$1005,0)),"MISSING ID")="Unassigned",G417="Unassigned"),"Tier unresolved",IF(IFERROR(VALUE(RIGHT(G417,1))-VALUE(RIGHT(IFERROR(INDEX('Crafting recipes'!$H$6:$H$1005,MATCH(J417,'Crafting recipes'!$A$6:$A$1005,0)),"MISSING ID"),1)),0)=1,IF(B417=IFERROR(INDEX('Crafting recipes'!$H$6:$H$1005,MATCH(J417,'Crafting recipes'!$A$6:$A$1005,0)),"MISSING ID"),"Advances one material tier","Lower-tier ingredient; route advances one tier"),"Needs tier review"))))))</x:f>
        <x:v>Advances one material tier</x:v>
      </x:c>
      <x:c r="S417" s="4" t="str">
        <x:f>IFERROR(INDEX('Material routes'!$D$6:$D$2205,MATCH(U417,'Material routes'!$A$6:$A$2205,0)),"MISSING ID")</x:f>
        <x:v>author.metallurgy.steel_stock</x:v>
      </x:c>
      <x:c r="T417" s="4" t="str">
        <x:f>IFERROR(INDEX('Material routes'!$D$6:$D$2205,MATCH(V417,'Material routes'!$A$6:$A$2205,0)),"MISSING ID")</x:f>
        <x:v>proposal.legger.scraper_ring</x:v>
      </x:c>
      <x:c r="U417" s="4" t="str">
        <x:v>design.review.proposal_legger_scraper_ring.in.1</x:v>
      </x:c>
      <x:c r="V417" s="4" t="str">
        <x:v>design.review.proposal_legger_scraper_ring.out</x:v>
      </x:c>
    </x:row>
    <x:row r="418" ht="115" customHeight="1">
      <x:c r="A418" s="4" t="str">
        <x:f>IFERROR(INDEX('Material routes'!$E$6:$E$2205,MATCH(U418,'Material routes'!$A$6:$A$2205,0)),"MISSING ID")</x:f>
        <x:v>Filled faunal seal compound</x:v>
      </x:c>
      <x:c r="B418" s="4" t="str">
        <x:f>IFERROR(INDEX('Material routes'!$F$6:$F$2205,MATCH(U418,'Material routes'!$A$6:$A$2205,0)),"MISSING ID")</x:f>
        <x:v>T2</x:v>
      </x:c>
      <x:c r="C418" s="4" t="str">
        <x:f>IFERROR(INDEX('Material routes'!$H$6:$H$2205,MATCH(U418,'Material routes'!$A$6:$A$2205,0)),"MISSING ID")</x:f>
        <x:v>Chemical material</x:v>
      </x:c>
      <x:c r="D418" s="4" t="str">
        <x:f>IFERROR(INDEX('Material routes'!$G$6:$G$2205,MATCH(U418,'Material routes'!$A$6:$A$2205,0)),"MISSING ID")</x:f>
        <x:v>Crafting components</x:v>
      </x:c>
      <x:c r="E418" s="4" t="str">
        <x:f>IFERROR(INDEX('Material routes'!$C$6:$C$2205,MATCH(U418,'Material routes'!$A$6:$A$2205,0)),"MISSING ID")</x:f>
        <x:v>Ingredient candidate</x:v>
      </x:c>
      <x:c r="F418" s="4" t="str">
        <x:f>IFERROR(INDEX('Material routes'!$E$6:$E$2205,MATCH(V418,'Material routes'!$A$6:$A$2205,0)),"MISSING ID")</x:f>
        <x:v>Joint grit-scraper ring</x:v>
      </x:c>
      <x:c r="G418" s="4" t="str">
        <x:f>IFERROR(INDEX('Material routes'!$F$6:$F$2205,MATCH(V418,'Material routes'!$A$6:$A$2205,0)),"MISSING ID")</x:f>
        <x:v>T3</x:v>
      </x:c>
      <x:c r="H418" s="4" t="str">
        <x:f>IFERROR(INDEX('Material routes'!$H$6:$H$2205,MATCH(V418,'Material routes'!$A$6:$A$2205,0)),"MISSING ID")</x:f>
        <x:v>Crafting component</x:v>
      </x:c>
      <x:c r="I418" s="4" t="str">
        <x:f>IFERROR(INDEX('Material routes'!$G$6:$G$2205,MATCH(V418,'Material routes'!$A$6:$A$2205,0)),"MISSING ID")</x:f>
        <x:v>Crafting components</x:v>
      </x:c>
      <x:c r="J418" s="4" t="str">
        <x:f>IFERROR(INDEX('Material routes'!$B$6:$B$2205,MATCH(U418,'Material routes'!$A$6:$A$2205,0)),"MISSING ID")</x:f>
        <x:v>design.review.proposal_legger_scraper_ring</x:v>
      </x:c>
      <x:c r="K418" s="4" t="str">
        <x:f>IFERROR(INDEX('Crafting recipes'!$C$6:$C$1005,MATCH(J418,'Crafting recipes'!$A$6:$A$1005,0)),"MISSING ID")</x:f>
        <x:v>Material refinement</x:v>
      </x:c>
      <x:c r="L418" s="4" t="str">
        <x:f>IFERROR(INDEX('Material routes'!$K$6:$K$2205,MATCH(U418,'Material routes'!$A$6:$A$2205,0)),"MISSING ID")</x:f>
        <x:v>Proposal</x:v>
      </x:c>
      <x:c r="M418" s="4" t="str">
        <x:f>IFERROR(INDEX('Material routes'!$M$6:$M$2205,MATCH(U418,'Material routes'!$A$6:$A$2205,0)),"MISSING ID")</x:f>
        <x:v>Partial proposal</x:v>
      </x:c>
      <x:c r="N418" s="4" t="str">
        <x:f>IF(IFERROR(INDEX('Material routes'!$I$6:$I$1005,MATCH(U418,'Material routes'!$A$6:$A$1005,0)),"MISSING ID")=0,"",IFERROR(INDEX('Material routes'!$I$6:$I$1005,MATCH(U418,'Material routes'!$A$6:$A$1005,0)),"MISSING ID"))</x:f>
      </x:c>
      <x:c r="O418" s="4" t="str">
        <x:f>IFERROR(INDEX('Material routes'!$J$6:$J$2205,MATCH(U418,'Material routes'!$A$6:$A$2205,0)),"MISSING ID")</x:f>
        <x:v>Unspecified</x:v>
      </x:c>
      <x:c r="P418" s="4" t="str">
        <x:f>IF(IFERROR(INDEX('Material routes'!$I$6:$I$1005,MATCH(V418,'Material routes'!$A$6:$A$1005,0)),"MISSING ID")=0,"",IFERROR(INDEX('Material routes'!$I$6:$I$1005,MATCH(V418,'Material routes'!$A$6:$A$1005,0)),"MISSING ID"))</x:f>
      </x:c>
      <x:c r="Q418" s="4" t="str">
        <x:f>IFERROR(INDEX('Material routes'!$J$6:$J$2205,MATCH(V418,'Material routes'!$A$6:$A$2205,0)),"MISSING ID")</x:f>
        <x:v>Unspecified</x:v>
      </x:c>
      <x:c r="R418" s="4" t="str">
        <x:f>IF(L418="Withheld","Withheld premise",IF(E418="Tool candidate","Reusable prerequisite",IF(K418="Raw entry preparation","Entry-resource preparation",IF(G418="Not applicable",IF(IFERROR(INDEX('Items'!$AI$6:$AI$1005,MATCH(T418,'Items'!$A$6:$A$1005,0)),"MISSING ID")="Finished item","Finished endpoint",IF(IFERROR(INDEX('Items'!$AI$6:$AI$1005,MATCH(T418,'Items'!$A$6:$A$1005,0)),"MISSING ID")="Currency","Currency / no refinement tier","Recovered output / tier not applicable")),IF(OR(IFERROR(INDEX('Crafting recipes'!$H$6:$H$1005,MATCH(J418,'Crafting recipes'!$A$6:$A$1005,0)),"MISSING ID")="Unassigned",G418="Unassigned"),"Tier unresolved",IF(IFERROR(VALUE(RIGHT(G418,1))-VALUE(RIGHT(IFERROR(INDEX('Crafting recipes'!$H$6:$H$1005,MATCH(J418,'Crafting recipes'!$A$6:$A$1005,0)),"MISSING ID"),1)),0)=1,IF(B418=IFERROR(INDEX('Crafting recipes'!$H$6:$H$1005,MATCH(J418,'Crafting recipes'!$A$6:$A$1005,0)),"MISSING ID"),"Advances one material tier","Lower-tier ingredient; route advances one tier"),"Needs tier review"))))))</x:f>
        <x:v>Advances one material tier</x:v>
      </x:c>
      <x:c r="S418" s="4" t="str">
        <x:f>IFERROR(INDEX('Material routes'!$D$6:$D$2205,MATCH(U418,'Material routes'!$A$6:$A$2205,0)),"MISSING ID")</x:f>
        <x:v>proposal.branch.filled_seal</x:v>
      </x:c>
      <x:c r="T418" s="4" t="str">
        <x:f>IFERROR(INDEX('Material routes'!$D$6:$D$2205,MATCH(V418,'Material routes'!$A$6:$A$2205,0)),"MISSING ID")</x:f>
        <x:v>proposal.legger.scraper_ring</x:v>
      </x:c>
      <x:c r="U418" s="4" t="str">
        <x:v>design.review.proposal_legger_scraper_ring.in.2</x:v>
      </x:c>
      <x:c r="V418" s="4" t="str">
        <x:v>design.review.proposal_legger_scraper_ring.out</x:v>
      </x:c>
    </x:row>
    <x:row r="419" ht="115" customHeight="1">
      <x:c r="A419" s="4" t="str">
        <x:f>IFERROR(INDEX('Material routes'!$E$6:$E$2205,MATCH(U419,'Material routes'!$A$6:$A$2205,0)),"MISSING ID")</x:f>
        <x:v>Drawn steel tube stock</x:v>
      </x:c>
      <x:c r="B419" s="4" t="str">
        <x:f>IFERROR(INDEX('Material routes'!$F$6:$F$2205,MATCH(U419,'Material routes'!$A$6:$A$2205,0)),"MISSING ID")</x:f>
        <x:v>T3</x:v>
      </x:c>
      <x:c r="C419" s="4" t="str">
        <x:f>IFERROR(INDEX('Material routes'!$H$6:$H$2205,MATCH(U419,'Material routes'!$A$6:$A$2205,0)),"MISSING ID")</x:f>
        <x:v>Processed material</x:v>
      </x:c>
      <x:c r="D419" s="4" t="str">
        <x:f>IFERROR(INDEX('Material routes'!$G$6:$G$2205,MATCH(U419,'Material routes'!$A$6:$A$2205,0)),"MISSING ID")</x:f>
        <x:v>Manufactured stock</x:v>
      </x:c>
      <x:c r="E419" s="4" t="str">
        <x:f>IFERROR(INDEX('Material routes'!$C$6:$C$2205,MATCH(U419,'Material routes'!$A$6:$A$2205,0)),"MISSING ID")</x:f>
        <x:v>Ingredient candidate</x:v>
      </x:c>
      <x:c r="F419" s="4" t="str">
        <x:f>IFERROR(INDEX('Material routes'!$E$6:$E$2205,MATCH(V419,'Material routes'!$A$6:$A$2205,0)),"MISSING ID")</x:f>
        <x:v>Lubricant service-port adapter</x:v>
      </x:c>
      <x:c r="G419" s="4" t="str">
        <x:f>IFERROR(INDEX('Material routes'!$F$6:$F$2205,MATCH(V419,'Material routes'!$A$6:$A$2205,0)),"MISSING ID")</x:f>
        <x:v>T4</x:v>
      </x:c>
      <x:c r="H419" s="4" t="str">
        <x:f>IFERROR(INDEX('Material routes'!$H$6:$H$2205,MATCH(V419,'Material routes'!$A$6:$A$2205,0)),"MISSING ID")</x:f>
        <x:v>Container part</x:v>
      </x:c>
      <x:c r="I419" s="4" t="str">
        <x:f>IFERROR(INDEX('Material routes'!$G$6:$G$2205,MATCH(V419,'Material routes'!$A$6:$A$2205,0)),"MISSING ID")</x:f>
        <x:v>Crafting components</x:v>
      </x:c>
      <x:c r="J419" s="4" t="str">
        <x:f>IFERROR(INDEX('Material routes'!$B$6:$B$2205,MATCH(U419,'Material routes'!$A$6:$A$2205,0)),"MISSING ID")</x:f>
        <x:v>design.review.proposal_legger_service_adapter</x:v>
      </x:c>
      <x:c r="K419" s="4" t="str">
        <x:f>IFERROR(INDEX('Crafting recipes'!$C$6:$C$1005,MATCH(J419,'Crafting recipes'!$A$6:$A$1005,0)),"MISSING ID")</x:f>
        <x:v>Material refinement</x:v>
      </x:c>
      <x:c r="L419" s="4" t="str">
        <x:f>IFERROR(INDEX('Material routes'!$K$6:$K$2205,MATCH(U419,'Material routes'!$A$6:$A$2205,0)),"MISSING ID")</x:f>
        <x:v>Proposal</x:v>
      </x:c>
      <x:c r="M419" s="4" t="str">
        <x:f>IFERROR(INDEX('Material routes'!$M$6:$M$2205,MATCH(U419,'Material routes'!$A$6:$A$2205,0)),"MISSING ID")</x:f>
        <x:v>Partial proposal</x:v>
      </x:c>
      <x:c r="N419" s="4" t="str">
        <x:f>IF(IFERROR(INDEX('Material routes'!$I$6:$I$1005,MATCH(U419,'Material routes'!$A$6:$A$1005,0)),"MISSING ID")=0,"",IFERROR(INDEX('Material routes'!$I$6:$I$1005,MATCH(U419,'Material routes'!$A$6:$A$1005,0)),"MISSING ID"))</x:f>
      </x:c>
      <x:c r="O419" s="4" t="str">
        <x:f>IFERROR(INDEX('Material routes'!$J$6:$J$2205,MATCH(U419,'Material routes'!$A$6:$A$2205,0)),"MISSING ID")</x:f>
        <x:v>Unspecified</x:v>
      </x:c>
      <x:c r="P419" s="4" t="str">
        <x:f>IF(IFERROR(INDEX('Material routes'!$I$6:$I$1005,MATCH(V419,'Material routes'!$A$6:$A$1005,0)),"MISSING ID")=0,"",IFERROR(INDEX('Material routes'!$I$6:$I$1005,MATCH(V419,'Material routes'!$A$6:$A$1005,0)),"MISSING ID"))</x:f>
      </x:c>
      <x:c r="Q419" s="4" t="str">
        <x:f>IFERROR(INDEX('Material routes'!$J$6:$J$2205,MATCH(V419,'Material routes'!$A$6:$A$2205,0)),"MISSING ID")</x:f>
        <x:v>Unspecified</x:v>
      </x:c>
      <x:c r="R419" s="4" t="str">
        <x:f>IF(L419="Withheld","Withheld premise",IF(E419="Tool candidate","Reusable prerequisite",IF(K419="Raw entry preparation","Entry-resource preparation",IF(G419="Not applicable",IF(IFERROR(INDEX('Items'!$AI$6:$AI$1005,MATCH(T419,'Items'!$A$6:$A$1005,0)),"MISSING ID")="Finished item","Finished endpoint",IF(IFERROR(INDEX('Items'!$AI$6:$AI$1005,MATCH(T419,'Items'!$A$6:$A$1005,0)),"MISSING ID")="Currency","Currency / no refinement tier","Recovered output / tier not applicable")),IF(OR(IFERROR(INDEX('Crafting recipes'!$H$6:$H$1005,MATCH(J419,'Crafting recipes'!$A$6:$A$1005,0)),"MISSING ID")="Unassigned",G419="Unassigned"),"Tier unresolved",IF(IFERROR(VALUE(RIGHT(G419,1))-VALUE(RIGHT(IFERROR(INDEX('Crafting recipes'!$H$6:$H$1005,MATCH(J419,'Crafting recipes'!$A$6:$A$1005,0)),"MISSING ID"),1)),0)=1,IF(B419=IFERROR(INDEX('Crafting recipes'!$H$6:$H$1005,MATCH(J419,'Crafting recipes'!$A$6:$A$1005,0)),"MISSING ID"),"Advances one material tier","Lower-tier ingredient; route advances one tier"),"Needs tier review"))))))</x:f>
        <x:v>Advances one material tier</x:v>
      </x:c>
      <x:c r="S419" s="4" t="str">
        <x:f>IFERROR(INDEX('Material routes'!$D$6:$D$2205,MATCH(U419,'Material routes'!$A$6:$A$2205,0)),"MISSING ID")</x:f>
        <x:v>proposal.t3.precision_tube</x:v>
      </x:c>
      <x:c r="T419" s="4" t="str">
        <x:f>IFERROR(INDEX('Material routes'!$D$6:$D$2205,MATCH(V419,'Material routes'!$A$6:$A$2205,0)),"MISSING ID")</x:f>
        <x:v>proposal.legger.service_adapter</x:v>
      </x:c>
      <x:c r="U419" s="4" t="str">
        <x:v>design.review.proposal_legger_service_adapter.in.1</x:v>
      </x:c>
      <x:c r="V419" s="4" t="str">
        <x:v>design.review.proposal_legger_service_adapter.out</x:v>
      </x:c>
    </x:row>
    <x:row r="420" ht="115" customHeight="1">
      <x:c r="A420" s="4" t="str">
        <x:f>IFERROR(INDEX('Material routes'!$E$6:$E$2205,MATCH(U420,'Material routes'!$A$6:$A$2205,0)),"MISSING ID")</x:f>
        <x:v>Prepared bronze bearing stock</x:v>
      </x:c>
      <x:c r="B420" s="4" t="str">
        <x:f>IFERROR(INDEX('Material routes'!$F$6:$F$2205,MATCH(U420,'Material routes'!$A$6:$A$2205,0)),"MISSING ID")</x:f>
        <x:v>T2</x:v>
      </x:c>
      <x:c r="C420" s="4" t="str">
        <x:f>IFERROR(INDEX('Material routes'!$H$6:$H$2205,MATCH(U420,'Material routes'!$A$6:$A$2205,0)),"MISSING ID")</x:f>
        <x:v>Processed material</x:v>
      </x:c>
      <x:c r="D420" s="4" t="str">
        <x:f>IFERROR(INDEX('Material routes'!$G$6:$G$2205,MATCH(U420,'Material routes'!$A$6:$A$2205,0)),"MISSING ID")</x:f>
        <x:v>Manufactured stock</x:v>
      </x:c>
      <x:c r="E420" s="4" t="str">
        <x:f>IFERROR(INDEX('Material routes'!$C$6:$C$2205,MATCH(U420,'Material routes'!$A$6:$A$2205,0)),"MISSING ID")</x:f>
        <x:v>Ingredient candidate</x:v>
      </x:c>
      <x:c r="F420" s="4" t="str">
        <x:f>IFERROR(INDEX('Material routes'!$E$6:$E$2205,MATCH(V420,'Material routes'!$A$6:$A$2205,0)),"MISSING ID")</x:f>
        <x:v>Lubricant service-port adapter</x:v>
      </x:c>
      <x:c r="G420" s="4" t="str">
        <x:f>IFERROR(INDEX('Material routes'!$F$6:$F$2205,MATCH(V420,'Material routes'!$A$6:$A$2205,0)),"MISSING ID")</x:f>
        <x:v>T4</x:v>
      </x:c>
      <x:c r="H420" s="4" t="str">
        <x:f>IFERROR(INDEX('Material routes'!$H$6:$H$2205,MATCH(V420,'Material routes'!$A$6:$A$2205,0)),"MISSING ID")</x:f>
        <x:v>Container part</x:v>
      </x:c>
      <x:c r="I420" s="4" t="str">
        <x:f>IFERROR(INDEX('Material routes'!$G$6:$G$2205,MATCH(V420,'Material routes'!$A$6:$A$2205,0)),"MISSING ID")</x:f>
        <x:v>Crafting components</x:v>
      </x:c>
      <x:c r="J420" s="4" t="str">
        <x:f>IFERROR(INDEX('Material routes'!$B$6:$B$2205,MATCH(U420,'Material routes'!$A$6:$A$2205,0)),"MISSING ID")</x:f>
        <x:v>design.review.proposal_legger_service_adapter</x:v>
      </x:c>
      <x:c r="K420" s="4" t="str">
        <x:f>IFERROR(INDEX('Crafting recipes'!$C$6:$C$1005,MATCH(J420,'Crafting recipes'!$A$6:$A$1005,0)),"MISSING ID")</x:f>
        <x:v>Material refinement</x:v>
      </x:c>
      <x:c r="L420" s="4" t="str">
        <x:f>IFERROR(INDEX('Material routes'!$K$6:$K$2205,MATCH(U420,'Material routes'!$A$6:$A$2205,0)),"MISSING ID")</x:f>
        <x:v>Proposal</x:v>
      </x:c>
      <x:c r="M420" s="4" t="str">
        <x:f>IFERROR(INDEX('Material routes'!$M$6:$M$2205,MATCH(U420,'Material routes'!$A$6:$A$2205,0)),"MISSING ID")</x:f>
        <x:v>Partial proposal</x:v>
      </x:c>
      <x:c r="N420" s="4" t="str">
        <x:f>IF(IFERROR(INDEX('Material routes'!$I$6:$I$1005,MATCH(U420,'Material routes'!$A$6:$A$1005,0)),"MISSING ID")=0,"",IFERROR(INDEX('Material routes'!$I$6:$I$1005,MATCH(U420,'Material routes'!$A$6:$A$1005,0)),"MISSING ID"))</x:f>
      </x:c>
      <x:c r="O420" s="4" t="str">
        <x:f>IFERROR(INDEX('Material routes'!$J$6:$J$2205,MATCH(U420,'Material routes'!$A$6:$A$2205,0)),"MISSING ID")</x:f>
        <x:v>Unspecified</x:v>
      </x:c>
      <x:c r="P420" s="4" t="str">
        <x:f>IF(IFERROR(INDEX('Material routes'!$I$6:$I$1005,MATCH(V420,'Material routes'!$A$6:$A$1005,0)),"MISSING ID")=0,"",IFERROR(INDEX('Material routes'!$I$6:$I$1005,MATCH(V420,'Material routes'!$A$6:$A$1005,0)),"MISSING ID"))</x:f>
      </x:c>
      <x:c r="Q420" s="4" t="str">
        <x:f>IFERROR(INDEX('Material routes'!$J$6:$J$2205,MATCH(V420,'Material routes'!$A$6:$A$2205,0)),"MISSING ID")</x:f>
        <x:v>Unspecified</x:v>
      </x:c>
      <x:c r="R420" s="4" t="str">
        <x:f>IF(L420="Withheld","Withheld premise",IF(E420="Tool candidate","Reusable prerequisite",IF(K420="Raw entry preparation","Entry-resource preparation",IF(G420="Not applicable",IF(IFERROR(INDEX('Items'!$AI$6:$AI$1005,MATCH(T420,'Items'!$A$6:$A$1005,0)),"MISSING ID")="Finished item","Finished endpoint",IF(IFERROR(INDEX('Items'!$AI$6:$AI$1005,MATCH(T420,'Items'!$A$6:$A$1005,0)),"MISSING ID")="Currency","Currency / no refinement tier","Recovered output / tier not applicable")),IF(OR(IFERROR(INDEX('Crafting recipes'!$H$6:$H$1005,MATCH(J420,'Crafting recipes'!$A$6:$A$1005,0)),"MISSING ID")="Unassigned",G420="Unassigned"),"Tier unresolved",IF(IFERROR(VALUE(RIGHT(G420,1))-VALUE(RIGHT(IFERROR(INDEX('Crafting recipes'!$H$6:$H$1005,MATCH(J420,'Crafting recipes'!$A$6:$A$1005,0)),"MISSING ID"),1)),0)=1,IF(B420=IFERROR(INDEX('Crafting recipes'!$H$6:$H$1005,MATCH(J420,'Crafting recipes'!$A$6:$A$1005,0)),"MISSING ID"),"Advances one material tier","Lower-tier ingredient; route advances one tier"),"Needs tier review"))))))</x:f>
        <x:v>Lower-tier ingredient; route advances one tier</x:v>
      </x:c>
      <x:c r="S420" s="4" t="str">
        <x:f>IFERROR(INDEX('Material routes'!$D$6:$D$2205,MATCH(U420,'Material routes'!$A$6:$A$2205,0)),"MISSING ID")</x:f>
        <x:v>proposal.branch.bearing_bronze</x:v>
      </x:c>
      <x:c r="T420" s="4" t="str">
        <x:f>IFERROR(INDEX('Material routes'!$D$6:$D$2205,MATCH(V420,'Material routes'!$A$6:$A$2205,0)),"MISSING ID")</x:f>
        <x:v>proposal.legger.service_adapter</x:v>
      </x:c>
      <x:c r="U420" s="4" t="str">
        <x:v>design.review.proposal_legger_service_adapter.in.2</x:v>
      </x:c>
      <x:c r="V420" s="4" t="str">
        <x:v>design.review.proposal_legger_service_adapter.out</x:v>
      </x:c>
    </x:row>
    <x:row r="421" ht="115" customHeight="1">
      <x:c r="A421" s="4" t="str">
        <x:f>IFERROR(INDEX('Material routes'!$E$6:$E$2205,MATCH(U421,'Material routes'!$A$6:$A$2205,0)),"MISSING ID")</x:f>
        <x:v>Husk-reinforced packing stock</x:v>
      </x:c>
      <x:c r="B421" s="4" t="str">
        <x:f>IFERROR(INDEX('Material routes'!$F$6:$F$2205,MATCH(U421,'Material routes'!$A$6:$A$2205,0)),"MISSING ID")</x:f>
        <x:v>T3</x:v>
      </x:c>
      <x:c r="C421" s="4" t="str">
        <x:f>IFERROR(INDEX('Material routes'!$H$6:$H$2205,MATCH(U421,'Material routes'!$A$6:$A$2205,0)),"MISSING ID")</x:f>
        <x:v>Processed material</x:v>
      </x:c>
      <x:c r="D421" s="4" t="str">
        <x:f>IFERROR(INDEX('Material routes'!$G$6:$G$2205,MATCH(U421,'Material routes'!$A$6:$A$2205,0)),"MISSING ID")</x:f>
        <x:v>Manufactured stock</x:v>
      </x:c>
      <x:c r="E421" s="4" t="str">
        <x:f>IFERROR(INDEX('Material routes'!$C$6:$C$2205,MATCH(U421,'Material routes'!$A$6:$A$2205,0)),"MISSING ID")</x:f>
        <x:v>Ingredient candidate</x:v>
      </x:c>
      <x:c r="F421" s="4" t="str">
        <x:f>IFERROR(INDEX('Material routes'!$E$6:$E$2205,MATCH(V421,'Material routes'!$A$6:$A$2205,0)),"MISSING ID")</x:f>
        <x:v>Lubricant service-port adapter</x:v>
      </x:c>
      <x:c r="G421" s="4" t="str">
        <x:f>IFERROR(INDEX('Material routes'!$F$6:$F$2205,MATCH(V421,'Material routes'!$A$6:$A$2205,0)),"MISSING ID")</x:f>
        <x:v>T4</x:v>
      </x:c>
      <x:c r="H421" s="4" t="str">
        <x:f>IFERROR(INDEX('Material routes'!$H$6:$H$2205,MATCH(V421,'Material routes'!$A$6:$A$2205,0)),"MISSING ID")</x:f>
        <x:v>Container part</x:v>
      </x:c>
      <x:c r="I421" s="4" t="str">
        <x:f>IFERROR(INDEX('Material routes'!$G$6:$G$2205,MATCH(V421,'Material routes'!$A$6:$A$2205,0)),"MISSING ID")</x:f>
        <x:v>Crafting components</x:v>
      </x:c>
      <x:c r="J421" s="4" t="str">
        <x:f>IFERROR(INDEX('Material routes'!$B$6:$B$2205,MATCH(U421,'Material routes'!$A$6:$A$2205,0)),"MISSING ID")</x:f>
        <x:v>design.review.proposal_legger_service_adapter</x:v>
      </x:c>
      <x:c r="K421" s="4" t="str">
        <x:f>IFERROR(INDEX('Crafting recipes'!$C$6:$C$1005,MATCH(J421,'Crafting recipes'!$A$6:$A$1005,0)),"MISSING ID")</x:f>
        <x:v>Material refinement</x:v>
      </x:c>
      <x:c r="L421" s="4" t="str">
        <x:f>IFERROR(INDEX('Material routes'!$K$6:$K$2205,MATCH(U421,'Material routes'!$A$6:$A$2205,0)),"MISSING ID")</x:f>
        <x:v>Proposal</x:v>
      </x:c>
      <x:c r="M421" s="4" t="str">
        <x:f>IFERROR(INDEX('Material routes'!$M$6:$M$2205,MATCH(U421,'Material routes'!$A$6:$A$2205,0)),"MISSING ID")</x:f>
        <x:v>Partial proposal</x:v>
      </x:c>
      <x:c r="N421" s="4" t="str">
        <x:f>IF(IFERROR(INDEX('Material routes'!$I$6:$I$1005,MATCH(U421,'Material routes'!$A$6:$A$1005,0)),"MISSING ID")=0,"",IFERROR(INDEX('Material routes'!$I$6:$I$1005,MATCH(U421,'Material routes'!$A$6:$A$1005,0)),"MISSING ID"))</x:f>
      </x:c>
      <x:c r="O421" s="4" t="str">
        <x:f>IFERROR(INDEX('Material routes'!$J$6:$J$2205,MATCH(U421,'Material routes'!$A$6:$A$2205,0)),"MISSING ID")</x:f>
        <x:v>Unspecified</x:v>
      </x:c>
      <x:c r="P421" s="4" t="str">
        <x:f>IF(IFERROR(INDEX('Material routes'!$I$6:$I$1005,MATCH(V421,'Material routes'!$A$6:$A$1005,0)),"MISSING ID")=0,"",IFERROR(INDEX('Material routes'!$I$6:$I$1005,MATCH(V421,'Material routes'!$A$6:$A$1005,0)),"MISSING ID"))</x:f>
      </x:c>
      <x:c r="Q421" s="4" t="str">
        <x:f>IFERROR(INDEX('Material routes'!$J$6:$J$2205,MATCH(V421,'Material routes'!$A$6:$A$2205,0)),"MISSING ID")</x:f>
        <x:v>Unspecified</x:v>
      </x:c>
      <x:c r="R421" s="4" t="str">
        <x:f>IF(L421="Withheld","Withheld premise",IF(E421="Tool candidate","Reusable prerequisite",IF(K421="Raw entry preparation","Entry-resource preparation",IF(G421="Not applicable",IF(IFERROR(INDEX('Items'!$AI$6:$AI$1005,MATCH(T421,'Items'!$A$6:$A$1005,0)),"MISSING ID")="Finished item","Finished endpoint",IF(IFERROR(INDEX('Items'!$AI$6:$AI$1005,MATCH(T421,'Items'!$A$6:$A$1005,0)),"MISSING ID")="Currency","Currency / no refinement tier","Recovered output / tier not applicable")),IF(OR(IFERROR(INDEX('Crafting recipes'!$H$6:$H$1005,MATCH(J421,'Crafting recipes'!$A$6:$A$1005,0)),"MISSING ID")="Unassigned",G421="Unassigned"),"Tier unresolved",IF(IFERROR(VALUE(RIGHT(G421,1))-VALUE(RIGHT(IFERROR(INDEX('Crafting recipes'!$H$6:$H$1005,MATCH(J421,'Crafting recipes'!$A$6:$A$1005,0)),"MISSING ID"),1)),0)=1,IF(B421=IFERROR(INDEX('Crafting recipes'!$H$6:$H$1005,MATCH(J421,'Crafting recipes'!$A$6:$A$1005,0)),"MISSING ID"),"Advances one material tier","Lower-tier ingredient; route advances one tier"),"Needs tier review"))))))</x:f>
        <x:v>Advances one material tier</x:v>
      </x:c>
      <x:c r="S421" s="4" t="str">
        <x:f>IFERROR(INDEX('Material routes'!$D$6:$D$2205,MATCH(U421,'Material routes'!$A$6:$A$2205,0)),"MISSING ID")</x:f>
        <x:v>proposal.t3.packing_stock</x:v>
      </x:c>
      <x:c r="T421" s="4" t="str">
        <x:f>IFERROR(INDEX('Material routes'!$D$6:$D$2205,MATCH(V421,'Material routes'!$A$6:$A$2205,0)),"MISSING ID")</x:f>
        <x:v>proposal.legger.service_adapter</x:v>
      </x:c>
      <x:c r="U421" s="4" t="str">
        <x:v>design.review.proposal_legger_service_adapter.in.3</x:v>
      </x:c>
      <x:c r="V421" s="4" t="str">
        <x:v>design.review.proposal_legger_service_adapter.out</x:v>
      </x:c>
    </x:row>
    <x:row r="422" ht="115" customHeight="1">
      <x:c r="A422" s="4" t="str">
        <x:f>IFERROR(INDEX('Material routes'!$E$6:$E$2205,MATCH(U422,'Material routes'!$A$6:$A$2205,0)),"MISSING ID")</x:f>
        <x:v>Spring-grade steel stock</x:v>
      </x:c>
      <x:c r="B422" s="4" t="str">
        <x:f>IFERROR(INDEX('Material routes'!$F$6:$F$2205,MATCH(U422,'Material routes'!$A$6:$A$2205,0)),"MISSING ID")</x:f>
        <x:v>T3</x:v>
      </x:c>
      <x:c r="C422" s="4" t="str">
        <x:f>IFERROR(INDEX('Material routes'!$H$6:$H$2205,MATCH(U422,'Material routes'!$A$6:$A$2205,0)),"MISSING ID")</x:f>
        <x:v>Processed material</x:v>
      </x:c>
      <x:c r="D422" s="4" t="str">
        <x:f>IFERROR(INDEX('Material routes'!$G$6:$G$2205,MATCH(U422,'Material routes'!$A$6:$A$2205,0)),"MISSING ID")</x:f>
        <x:v>Manufactured stock</x:v>
      </x:c>
      <x:c r="E422" s="4" t="str">
        <x:f>IFERROR(INDEX('Material routes'!$C$6:$C$2205,MATCH(U422,'Material routes'!$A$6:$A$2205,0)),"MISSING ID")</x:f>
        <x:v>Ingredient candidate</x:v>
      </x:c>
      <x:c r="F422" s="4" t="str">
        <x:f>IFERROR(INDEX('Material routes'!$E$6:$E$2205,MATCH(V422,'Material routes'!$A$6:$A$2205,0)),"MISSING ID")</x:f>
        <x:v>Armor-guard hinge assembly</x:v>
      </x:c>
      <x:c r="G422" s="4" t="str">
        <x:f>IFERROR(INDEX('Material routes'!$F$6:$F$2205,MATCH(V422,'Material routes'!$A$6:$A$2205,0)),"MISSING ID")</x:f>
        <x:v>T4</x:v>
      </x:c>
      <x:c r="H422" s="4" t="str">
        <x:f>IFERROR(INDEX('Material routes'!$H$6:$H$2205,MATCH(V422,'Material routes'!$A$6:$A$2205,0)),"MISSING ID")</x:f>
        <x:v>Crafting component</x:v>
      </x:c>
      <x:c r="I422" s="4" t="str">
        <x:f>IFERROR(INDEX('Material routes'!$G$6:$G$2205,MATCH(V422,'Material routes'!$A$6:$A$2205,0)),"MISSING ID")</x:f>
        <x:v>Crafting components</x:v>
      </x:c>
      <x:c r="J422" s="4" t="str">
        <x:f>IFERROR(INDEX('Material routes'!$B$6:$B$2205,MATCH(U422,'Material routes'!$A$6:$A$2205,0)),"MISSING ID")</x:f>
        <x:v>design.review.proposal_legger_guard_hinge</x:v>
      </x:c>
      <x:c r="K422" s="4" t="str">
        <x:f>IFERROR(INDEX('Crafting recipes'!$C$6:$C$1005,MATCH(J422,'Crafting recipes'!$A$6:$A$1005,0)),"MISSING ID")</x:f>
        <x:v>Material refinement</x:v>
      </x:c>
      <x:c r="L422" s="4" t="str">
        <x:f>IFERROR(INDEX('Material routes'!$K$6:$K$2205,MATCH(U422,'Material routes'!$A$6:$A$2205,0)),"MISSING ID")</x:f>
        <x:v>Proposal</x:v>
      </x:c>
      <x:c r="M422" s="4" t="str">
        <x:f>IFERROR(INDEX('Material routes'!$M$6:$M$2205,MATCH(U422,'Material routes'!$A$6:$A$2205,0)),"MISSING ID")</x:f>
        <x:v>Partial proposal</x:v>
      </x:c>
      <x:c r="N422" s="4" t="str">
        <x:f>IF(IFERROR(INDEX('Material routes'!$I$6:$I$1005,MATCH(U422,'Material routes'!$A$6:$A$1005,0)),"MISSING ID")=0,"",IFERROR(INDEX('Material routes'!$I$6:$I$1005,MATCH(U422,'Material routes'!$A$6:$A$1005,0)),"MISSING ID"))</x:f>
      </x:c>
      <x:c r="O422" s="4" t="str">
        <x:f>IFERROR(INDEX('Material routes'!$J$6:$J$2205,MATCH(U422,'Material routes'!$A$6:$A$2205,0)),"MISSING ID")</x:f>
        <x:v>Unspecified</x:v>
      </x:c>
      <x:c r="P422" s="4" t="str">
        <x:f>IF(IFERROR(INDEX('Material routes'!$I$6:$I$1005,MATCH(V422,'Material routes'!$A$6:$A$1005,0)),"MISSING ID")=0,"",IFERROR(INDEX('Material routes'!$I$6:$I$1005,MATCH(V422,'Material routes'!$A$6:$A$1005,0)),"MISSING ID"))</x:f>
      </x:c>
      <x:c r="Q422" s="4" t="str">
        <x:f>IFERROR(INDEX('Material routes'!$J$6:$J$2205,MATCH(V422,'Material routes'!$A$6:$A$2205,0)),"MISSING ID")</x:f>
        <x:v>Unspecified</x:v>
      </x:c>
      <x:c r="R422" s="4" t="str">
        <x:f>IF(L422="Withheld","Withheld premise",IF(E422="Tool candidate","Reusable prerequisite",IF(K422="Raw entry preparation","Entry-resource preparation",IF(G422="Not applicable",IF(IFERROR(INDEX('Items'!$AI$6:$AI$1005,MATCH(T422,'Items'!$A$6:$A$1005,0)),"MISSING ID")="Finished item","Finished endpoint",IF(IFERROR(INDEX('Items'!$AI$6:$AI$1005,MATCH(T422,'Items'!$A$6:$A$1005,0)),"MISSING ID")="Currency","Currency / no refinement tier","Recovered output / tier not applicable")),IF(OR(IFERROR(INDEX('Crafting recipes'!$H$6:$H$1005,MATCH(J422,'Crafting recipes'!$A$6:$A$1005,0)),"MISSING ID")="Unassigned",G422="Unassigned"),"Tier unresolved",IF(IFERROR(VALUE(RIGHT(G422,1))-VALUE(RIGHT(IFERROR(INDEX('Crafting recipes'!$H$6:$H$1005,MATCH(J422,'Crafting recipes'!$A$6:$A$1005,0)),"MISSING ID"),1)),0)=1,IF(B422=IFERROR(INDEX('Crafting recipes'!$H$6:$H$1005,MATCH(J422,'Crafting recipes'!$A$6:$A$1005,0)),"MISSING ID"),"Advances one material tier","Lower-tier ingredient; route advances one tier"),"Needs tier review"))))))</x:f>
        <x:v>Advances one material tier</x:v>
      </x:c>
      <x:c r="S422" s="4" t="str">
        <x:f>IFERROR(INDEX('Material routes'!$D$6:$D$2205,MATCH(U422,'Material routes'!$A$6:$A$2205,0)),"MISSING ID")</x:f>
        <x:v>proposal.branch.spring_steel</x:v>
      </x:c>
      <x:c r="T422" s="4" t="str">
        <x:f>IFERROR(INDEX('Material routes'!$D$6:$D$2205,MATCH(V422,'Material routes'!$A$6:$A$2205,0)),"MISSING ID")</x:f>
        <x:v>proposal.legger.guard_hinge</x:v>
      </x:c>
      <x:c r="U422" s="4" t="str">
        <x:v>design.review.proposal_legger_guard_hinge.in.1</x:v>
      </x:c>
      <x:c r="V422" s="4" t="str">
        <x:v>design.review.proposal_legger_guard_hinge.out</x:v>
      </x:c>
    </x:row>
    <x:row r="423" ht="115" customHeight="1">
      <x:c r="A423" s="4" t="str">
        <x:f>IFERROR(INDEX('Material routes'!$E$6:$E$2205,MATCH(U423,'Material routes'!$A$6:$A$2205,0)),"MISSING ID")</x:f>
        <x:v>Steel stock</x:v>
      </x:c>
      <x:c r="B423" s="4" t="str">
        <x:f>IFERROR(INDEX('Material routes'!$F$6:$F$2205,MATCH(U423,'Material routes'!$A$6:$A$2205,0)),"MISSING ID")</x:f>
        <x:v>T2</x:v>
      </x:c>
      <x:c r="C423" s="4" t="str">
        <x:f>IFERROR(INDEX('Material routes'!$H$6:$H$2205,MATCH(U423,'Material routes'!$A$6:$A$2205,0)),"MISSING ID")</x:f>
        <x:v>Processed material</x:v>
      </x:c>
      <x:c r="D423" s="4" t="str">
        <x:f>IFERROR(INDEX('Material routes'!$G$6:$G$2205,MATCH(U423,'Material routes'!$A$6:$A$2205,0)),"MISSING ID")</x:f>
        <x:v>Manufactured stock</x:v>
      </x:c>
      <x:c r="E423" s="4" t="str">
        <x:f>IFERROR(INDEX('Material routes'!$C$6:$C$2205,MATCH(U423,'Material routes'!$A$6:$A$2205,0)),"MISSING ID")</x:f>
        <x:v>Ingredient candidate</x:v>
      </x:c>
      <x:c r="F423" s="4" t="str">
        <x:f>IFERROR(INDEX('Material routes'!$E$6:$E$2205,MATCH(V423,'Material routes'!$A$6:$A$2205,0)),"MISSING ID")</x:f>
        <x:v>Armor-guard hinge assembly</x:v>
      </x:c>
      <x:c r="G423" s="4" t="str">
        <x:f>IFERROR(INDEX('Material routes'!$F$6:$F$2205,MATCH(V423,'Material routes'!$A$6:$A$2205,0)),"MISSING ID")</x:f>
        <x:v>T4</x:v>
      </x:c>
      <x:c r="H423" s="4" t="str">
        <x:f>IFERROR(INDEX('Material routes'!$H$6:$H$2205,MATCH(V423,'Material routes'!$A$6:$A$2205,0)),"MISSING ID")</x:f>
        <x:v>Crafting component</x:v>
      </x:c>
      <x:c r="I423" s="4" t="str">
        <x:f>IFERROR(INDEX('Material routes'!$G$6:$G$2205,MATCH(V423,'Material routes'!$A$6:$A$2205,0)),"MISSING ID")</x:f>
        <x:v>Crafting components</x:v>
      </x:c>
      <x:c r="J423" s="4" t="str">
        <x:f>IFERROR(INDEX('Material routes'!$B$6:$B$2205,MATCH(U423,'Material routes'!$A$6:$A$2205,0)),"MISSING ID")</x:f>
        <x:v>design.review.proposal_legger_guard_hinge</x:v>
      </x:c>
      <x:c r="K423" s="4" t="str">
        <x:f>IFERROR(INDEX('Crafting recipes'!$C$6:$C$1005,MATCH(J423,'Crafting recipes'!$A$6:$A$1005,0)),"MISSING ID")</x:f>
        <x:v>Material refinement</x:v>
      </x:c>
      <x:c r="L423" s="4" t="str">
        <x:f>IFERROR(INDEX('Material routes'!$K$6:$K$2205,MATCH(U423,'Material routes'!$A$6:$A$2205,0)),"MISSING ID")</x:f>
        <x:v>Proposal</x:v>
      </x:c>
      <x:c r="M423" s="4" t="str">
        <x:f>IFERROR(INDEX('Material routes'!$M$6:$M$2205,MATCH(U423,'Material routes'!$A$6:$A$2205,0)),"MISSING ID")</x:f>
        <x:v>Partial proposal</x:v>
      </x:c>
      <x:c r="N423" s="4" t="str">
        <x:f>IF(IFERROR(INDEX('Material routes'!$I$6:$I$1005,MATCH(U423,'Material routes'!$A$6:$A$1005,0)),"MISSING ID")=0,"",IFERROR(INDEX('Material routes'!$I$6:$I$1005,MATCH(U423,'Material routes'!$A$6:$A$1005,0)),"MISSING ID"))</x:f>
      </x:c>
      <x:c r="O423" s="4" t="str">
        <x:f>IFERROR(INDEX('Material routes'!$J$6:$J$2205,MATCH(U423,'Material routes'!$A$6:$A$2205,0)),"MISSING ID")</x:f>
        <x:v>Unspecified</x:v>
      </x:c>
      <x:c r="P423" s="4" t="str">
        <x:f>IF(IFERROR(INDEX('Material routes'!$I$6:$I$1005,MATCH(V423,'Material routes'!$A$6:$A$1005,0)),"MISSING ID")=0,"",IFERROR(INDEX('Material routes'!$I$6:$I$1005,MATCH(V423,'Material routes'!$A$6:$A$1005,0)),"MISSING ID"))</x:f>
      </x:c>
      <x:c r="Q423" s="4" t="str">
        <x:f>IFERROR(INDEX('Material routes'!$J$6:$J$2205,MATCH(V423,'Material routes'!$A$6:$A$2205,0)),"MISSING ID")</x:f>
        <x:v>Unspecified</x:v>
      </x:c>
      <x:c r="R423" s="4" t="str">
        <x:f>IF(L423="Withheld","Withheld premise",IF(E423="Tool candidate","Reusable prerequisite",IF(K423="Raw entry preparation","Entry-resource preparation",IF(G423="Not applicable",IF(IFERROR(INDEX('Items'!$AI$6:$AI$1005,MATCH(T423,'Items'!$A$6:$A$1005,0)),"MISSING ID")="Finished item","Finished endpoint",IF(IFERROR(INDEX('Items'!$AI$6:$AI$1005,MATCH(T423,'Items'!$A$6:$A$1005,0)),"MISSING ID")="Currency","Currency / no refinement tier","Recovered output / tier not applicable")),IF(OR(IFERROR(INDEX('Crafting recipes'!$H$6:$H$1005,MATCH(J423,'Crafting recipes'!$A$6:$A$1005,0)),"MISSING ID")="Unassigned",G423="Unassigned"),"Tier unresolved",IF(IFERROR(VALUE(RIGHT(G423,1))-VALUE(RIGHT(IFERROR(INDEX('Crafting recipes'!$H$6:$H$1005,MATCH(J423,'Crafting recipes'!$A$6:$A$1005,0)),"MISSING ID"),1)),0)=1,IF(B423=IFERROR(INDEX('Crafting recipes'!$H$6:$H$1005,MATCH(J423,'Crafting recipes'!$A$6:$A$1005,0)),"MISSING ID"),"Advances one material tier","Lower-tier ingredient; route advances one tier"),"Needs tier review"))))))</x:f>
        <x:v>Lower-tier ingredient; route advances one tier</x:v>
      </x:c>
      <x:c r="S423" s="4" t="str">
        <x:f>IFERROR(INDEX('Material routes'!$D$6:$D$2205,MATCH(U423,'Material routes'!$A$6:$A$2205,0)),"MISSING ID")</x:f>
        <x:v>author.metallurgy.steel_stock</x:v>
      </x:c>
      <x:c r="T423" s="4" t="str">
        <x:f>IFERROR(INDEX('Material routes'!$D$6:$D$2205,MATCH(V423,'Material routes'!$A$6:$A$2205,0)),"MISSING ID")</x:f>
        <x:v>proposal.legger.guard_hinge</x:v>
      </x:c>
      <x:c r="U423" s="4" t="str">
        <x:v>design.review.proposal_legger_guard_hinge.in.2</x:v>
      </x:c>
      <x:c r="V423" s="4" t="str">
        <x:v>design.review.proposal_legger_guard_hinge.out</x:v>
      </x:c>
    </x:row>
    <x:row r="424" ht="115" customHeight="1">
      <x:c r="A424" s="4" t="str">
        <x:f>IFERROR(INDEX('Material routes'!$E$6:$E$2205,MATCH(U424,'Material routes'!$A$6:$A$2205,0)),"MISSING ID")</x:f>
        <x:v>Prepared bronze bearing stock</x:v>
      </x:c>
      <x:c r="B424" s="4" t="str">
        <x:f>IFERROR(INDEX('Material routes'!$F$6:$F$2205,MATCH(U424,'Material routes'!$A$6:$A$2205,0)),"MISSING ID")</x:f>
        <x:v>T2</x:v>
      </x:c>
      <x:c r="C424" s="4" t="str">
        <x:f>IFERROR(INDEX('Material routes'!$H$6:$H$2205,MATCH(U424,'Material routes'!$A$6:$A$2205,0)),"MISSING ID")</x:f>
        <x:v>Processed material</x:v>
      </x:c>
      <x:c r="D424" s="4" t="str">
        <x:f>IFERROR(INDEX('Material routes'!$G$6:$G$2205,MATCH(U424,'Material routes'!$A$6:$A$2205,0)),"MISSING ID")</x:f>
        <x:v>Manufactured stock</x:v>
      </x:c>
      <x:c r="E424" s="4" t="str">
        <x:f>IFERROR(INDEX('Material routes'!$C$6:$C$2205,MATCH(U424,'Material routes'!$A$6:$A$2205,0)),"MISSING ID")</x:f>
        <x:v>Ingredient candidate</x:v>
      </x:c>
      <x:c r="F424" s="4" t="str">
        <x:f>IFERROR(INDEX('Material routes'!$E$6:$E$2205,MATCH(V424,'Material routes'!$A$6:$A$2205,0)),"MISSING ID")</x:f>
        <x:v>Armor-guard hinge assembly</x:v>
      </x:c>
      <x:c r="G424" s="4" t="str">
        <x:f>IFERROR(INDEX('Material routes'!$F$6:$F$2205,MATCH(V424,'Material routes'!$A$6:$A$2205,0)),"MISSING ID")</x:f>
        <x:v>T4</x:v>
      </x:c>
      <x:c r="H424" s="4" t="str">
        <x:f>IFERROR(INDEX('Material routes'!$H$6:$H$2205,MATCH(V424,'Material routes'!$A$6:$A$2205,0)),"MISSING ID")</x:f>
        <x:v>Crafting component</x:v>
      </x:c>
      <x:c r="I424" s="4" t="str">
        <x:f>IFERROR(INDEX('Material routes'!$G$6:$G$2205,MATCH(V424,'Material routes'!$A$6:$A$2205,0)),"MISSING ID")</x:f>
        <x:v>Crafting components</x:v>
      </x:c>
      <x:c r="J424" s="4" t="str">
        <x:f>IFERROR(INDEX('Material routes'!$B$6:$B$2205,MATCH(U424,'Material routes'!$A$6:$A$2205,0)),"MISSING ID")</x:f>
        <x:v>design.review.proposal_legger_guard_hinge</x:v>
      </x:c>
      <x:c r="K424" s="4" t="str">
        <x:f>IFERROR(INDEX('Crafting recipes'!$C$6:$C$1005,MATCH(J424,'Crafting recipes'!$A$6:$A$1005,0)),"MISSING ID")</x:f>
        <x:v>Material refinement</x:v>
      </x:c>
      <x:c r="L424" s="4" t="str">
        <x:f>IFERROR(INDEX('Material routes'!$K$6:$K$2205,MATCH(U424,'Material routes'!$A$6:$A$2205,0)),"MISSING ID")</x:f>
        <x:v>Proposal</x:v>
      </x:c>
      <x:c r="M424" s="4" t="str">
        <x:f>IFERROR(INDEX('Material routes'!$M$6:$M$2205,MATCH(U424,'Material routes'!$A$6:$A$2205,0)),"MISSING ID")</x:f>
        <x:v>Partial proposal</x:v>
      </x:c>
      <x:c r="N424" s="4" t="str">
        <x:f>IF(IFERROR(INDEX('Material routes'!$I$6:$I$1005,MATCH(U424,'Material routes'!$A$6:$A$1005,0)),"MISSING ID")=0,"",IFERROR(INDEX('Material routes'!$I$6:$I$1005,MATCH(U424,'Material routes'!$A$6:$A$1005,0)),"MISSING ID"))</x:f>
      </x:c>
      <x:c r="O424" s="4" t="str">
        <x:f>IFERROR(INDEX('Material routes'!$J$6:$J$2205,MATCH(U424,'Material routes'!$A$6:$A$2205,0)),"MISSING ID")</x:f>
        <x:v>Unspecified</x:v>
      </x:c>
      <x:c r="P424" s="4" t="str">
        <x:f>IF(IFERROR(INDEX('Material routes'!$I$6:$I$1005,MATCH(V424,'Material routes'!$A$6:$A$1005,0)),"MISSING ID")=0,"",IFERROR(INDEX('Material routes'!$I$6:$I$1005,MATCH(V424,'Material routes'!$A$6:$A$1005,0)),"MISSING ID"))</x:f>
      </x:c>
      <x:c r="Q424" s="4" t="str">
        <x:f>IFERROR(INDEX('Material routes'!$J$6:$J$2205,MATCH(V424,'Material routes'!$A$6:$A$2205,0)),"MISSING ID")</x:f>
        <x:v>Unspecified</x:v>
      </x:c>
      <x:c r="R424" s="4" t="str">
        <x:f>IF(L424="Withheld","Withheld premise",IF(E424="Tool candidate","Reusable prerequisite",IF(K424="Raw entry preparation","Entry-resource preparation",IF(G424="Not applicable",IF(IFERROR(INDEX('Items'!$AI$6:$AI$1005,MATCH(T424,'Items'!$A$6:$A$1005,0)),"MISSING ID")="Finished item","Finished endpoint",IF(IFERROR(INDEX('Items'!$AI$6:$AI$1005,MATCH(T424,'Items'!$A$6:$A$1005,0)),"MISSING ID")="Currency","Currency / no refinement tier","Recovered output / tier not applicable")),IF(OR(IFERROR(INDEX('Crafting recipes'!$H$6:$H$1005,MATCH(J424,'Crafting recipes'!$A$6:$A$1005,0)),"MISSING ID")="Unassigned",G424="Unassigned"),"Tier unresolved",IF(IFERROR(VALUE(RIGHT(G424,1))-VALUE(RIGHT(IFERROR(INDEX('Crafting recipes'!$H$6:$H$1005,MATCH(J424,'Crafting recipes'!$A$6:$A$1005,0)),"MISSING ID"),1)),0)=1,IF(B424=IFERROR(INDEX('Crafting recipes'!$H$6:$H$1005,MATCH(J424,'Crafting recipes'!$A$6:$A$1005,0)),"MISSING ID"),"Advances one material tier","Lower-tier ingredient; route advances one tier"),"Needs tier review"))))))</x:f>
        <x:v>Lower-tier ingredient; route advances one tier</x:v>
      </x:c>
      <x:c r="S424" s="4" t="str">
        <x:f>IFERROR(INDEX('Material routes'!$D$6:$D$2205,MATCH(U424,'Material routes'!$A$6:$A$2205,0)),"MISSING ID")</x:f>
        <x:v>proposal.branch.bearing_bronze</x:v>
      </x:c>
      <x:c r="T424" s="4" t="str">
        <x:f>IFERROR(INDEX('Material routes'!$D$6:$D$2205,MATCH(V424,'Material routes'!$A$6:$A$2205,0)),"MISSING ID")</x:f>
        <x:v>proposal.legger.guard_hinge</x:v>
      </x:c>
      <x:c r="U424" s="4" t="str">
        <x:v>design.review.proposal_legger_guard_hinge.in.3</x:v>
      </x:c>
      <x:c r="V424" s="4" t="str">
        <x:v>design.review.proposal_legger_guard_hinge.out</x:v>
      </x:c>
    </x:row>
    <x:row r="425" ht="115" customHeight="1">
      <x:c r="A425" s="4" t="str">
        <x:f>IFERROR(INDEX('Material routes'!$E$6:$E$2205,MATCH(U425,'Material routes'!$A$6:$A$2205,0)),"MISSING ID")</x:f>
        <x:v>Edible fauna fraction (species TBD)</x:v>
      </x:c>
      <x:c r="B425" s="4" t="str">
        <x:f>IFERROR(INDEX('Material routes'!$F$6:$F$2205,MATCH(U425,'Material routes'!$A$6:$A$2205,0)),"MISSING ID")</x:f>
        <x:v>T0</x:v>
      </x:c>
      <x:c r="C425" s="4" t="str">
        <x:f>IFERROR(INDEX('Material routes'!$H$6:$H$2205,MATCH(U425,'Material routes'!$A$6:$A$2205,0)),"MISSING ID")</x:f>
        <x:v>Food material</x:v>
      </x:c>
      <x:c r="D425" s="4" t="str">
        <x:f>IFERROR(INDEX('Material routes'!$G$6:$G$2205,MATCH(U425,'Material routes'!$A$6:$A$2205,0)),"MISSING ID")</x:f>
        <x:v>Cooking ingredients</x:v>
      </x:c>
      <x:c r="E425" s="4" t="str">
        <x:f>IFERROR(INDEX('Material routes'!$C$6:$C$2205,MATCH(U425,'Material routes'!$A$6:$A$2205,0)),"MISSING ID")</x:f>
        <x:v>Ingredient candidate</x:v>
      </x:c>
      <x:c r="F425" s="4" t="str">
        <x:f>IFERROR(INDEX('Material routes'!$E$6:$E$2205,MATCH(V425,'Material routes'!$A$6:$A$2205,0)),"MISSING ID")</x:f>
        <x:v>Prepared edible-fauna flakes</x:v>
      </x:c>
      <x:c r="G425" s="4" t="str">
        <x:f>IFERROR(INDEX('Material routes'!$F$6:$F$2205,MATCH(V425,'Material routes'!$A$6:$A$2205,0)),"MISSING ID")</x:f>
        <x:v>T1</x:v>
      </x:c>
      <x:c r="H425" s="4" t="str">
        <x:f>IFERROR(INDEX('Material routes'!$H$6:$H$2205,MATCH(V425,'Material routes'!$A$6:$A$2205,0)),"MISSING ID")</x:f>
        <x:v>Food material</x:v>
      </x:c>
      <x:c r="I425" s="4" t="str">
        <x:f>IFERROR(INDEX('Material routes'!$G$6:$G$2205,MATCH(V425,'Material routes'!$A$6:$A$2205,0)),"MISSING ID")</x:f>
        <x:v>Cooking ingredients</x:v>
      </x:c>
      <x:c r="J425" s="4" t="str">
        <x:f>IFERROR(INDEX('Material routes'!$B$6:$B$2205,MATCH(U425,'Material routes'!$A$6:$A$2205,0)),"MISSING ID")</x:f>
        <x:v>design.review.proposal_food_edible_flakes</x:v>
      </x:c>
      <x:c r="K425" s="4" t="str">
        <x:f>IFERROR(INDEX('Crafting recipes'!$C$6:$C$1005,MATCH(J425,'Crafting recipes'!$A$6:$A$1005,0)),"MISSING ID")</x:f>
        <x:v>Material refinement</x:v>
      </x:c>
      <x:c r="L425" s="4" t="str">
        <x:f>IFERROR(INDEX('Material routes'!$K$6:$K$2205,MATCH(U425,'Material routes'!$A$6:$A$2205,0)),"MISSING ID")</x:f>
        <x:v>Proposal</x:v>
      </x:c>
      <x:c r="M425" s="4" t="str">
        <x:f>IFERROR(INDEX('Material routes'!$M$6:$M$2205,MATCH(U425,'Material routes'!$A$6:$A$2205,0)),"MISSING ID")</x:f>
        <x:v>Partial proposal</x:v>
      </x:c>
      <x:c r="N425" s="4" t="str">
        <x:f>IF(IFERROR(INDEX('Material routes'!$I$6:$I$1005,MATCH(U425,'Material routes'!$A$6:$A$1005,0)),"MISSING ID")=0,"",IFERROR(INDEX('Material routes'!$I$6:$I$1005,MATCH(U425,'Material routes'!$A$6:$A$1005,0)),"MISSING ID"))</x:f>
      </x:c>
      <x:c r="O425" s="4" t="str">
        <x:f>IFERROR(INDEX('Material routes'!$J$6:$J$2205,MATCH(U425,'Material routes'!$A$6:$A$2205,0)),"MISSING ID")</x:f>
        <x:v>Unspecified</x:v>
      </x:c>
      <x:c r="P425" s="4" t="str">
        <x:f>IF(IFERROR(INDEX('Material routes'!$I$6:$I$1005,MATCH(V425,'Material routes'!$A$6:$A$1005,0)),"MISSING ID")=0,"",IFERROR(INDEX('Material routes'!$I$6:$I$1005,MATCH(V425,'Material routes'!$A$6:$A$1005,0)),"MISSING ID"))</x:f>
      </x:c>
      <x:c r="Q425" s="4" t="str">
        <x:f>IFERROR(INDEX('Material routes'!$J$6:$J$2205,MATCH(V425,'Material routes'!$A$6:$A$2205,0)),"MISSING ID")</x:f>
        <x:v>Unspecified</x:v>
      </x:c>
      <x:c r="R425" s="4" t="str">
        <x:f>IF(L425="Withheld","Withheld premise",IF(E425="Tool candidate","Reusable prerequisite",IF(K425="Raw entry preparation","Entry-resource preparation",IF(G425="Not applicable",IF(IFERROR(INDEX('Items'!$AI$6:$AI$1005,MATCH(T425,'Items'!$A$6:$A$1005,0)),"MISSING ID")="Finished item","Finished endpoint",IF(IFERROR(INDEX('Items'!$AI$6:$AI$1005,MATCH(T425,'Items'!$A$6:$A$1005,0)),"MISSING ID")="Currency","Currency / no refinement tier","Recovered output / tier not applicable")),IF(OR(IFERROR(INDEX('Crafting recipes'!$H$6:$H$1005,MATCH(J425,'Crafting recipes'!$A$6:$A$1005,0)),"MISSING ID")="Unassigned",G425="Unassigned"),"Tier unresolved",IF(IFERROR(VALUE(RIGHT(G425,1))-VALUE(RIGHT(IFERROR(INDEX('Crafting recipes'!$H$6:$H$1005,MATCH(J425,'Crafting recipes'!$A$6:$A$1005,0)),"MISSING ID"),1)),0)=1,IF(B425=IFERROR(INDEX('Crafting recipes'!$H$6:$H$1005,MATCH(J425,'Crafting recipes'!$A$6:$A$1005,0)),"MISSING ID"),"Advances one material tier","Lower-tier ingredient; route advances one tier"),"Needs tier review"))))))</x:f>
        <x:v>Advances one material tier</x:v>
      </x:c>
      <x:c r="S425" s="4" t="str">
        <x:f>IFERROR(INDEX('Material routes'!$D$6:$D$2205,MATCH(U425,'Material routes'!$A$6:$A$2205,0)),"MISSING ID")</x:f>
        <x:v>proposal.bio.edible_fraction</x:v>
      </x:c>
      <x:c r="T425" s="4" t="str">
        <x:f>IFERROR(INDEX('Material routes'!$D$6:$D$2205,MATCH(V425,'Material routes'!$A$6:$A$2205,0)),"MISSING ID")</x:f>
        <x:v>proposal.food.edible_flakes</x:v>
      </x:c>
      <x:c r="U425" s="4" t="str">
        <x:v>design.review.proposal_food_edible_flakes.in.1</x:v>
      </x:c>
      <x:c r="V425" s="4" t="str">
        <x:v>design.review.proposal_food_edible_flakes.out</x:v>
      </x:c>
    </x:row>
    <x:row r="426" ht="115" customHeight="1">
      <x:c r="A426" s="4" t="str">
        <x:f>IFERROR(INDEX('Material routes'!$E$6:$E$2205,MATCH(U426,'Material routes'!$A$6:$A$2205,0)),"MISSING ID")</x:f>
        <x:v>Edible fauna fraction (species TBD)</x:v>
      </x:c>
      <x:c r="B426" s="4" t="str">
        <x:f>IFERROR(INDEX('Material routes'!$F$6:$F$2205,MATCH(U426,'Material routes'!$A$6:$A$2205,0)),"MISSING ID")</x:f>
        <x:v>T0</x:v>
      </x:c>
      <x:c r="C426" s="4" t="str">
        <x:f>IFERROR(INDEX('Material routes'!$H$6:$H$2205,MATCH(U426,'Material routes'!$A$6:$A$2205,0)),"MISSING ID")</x:f>
        <x:v>Food material</x:v>
      </x:c>
      <x:c r="D426" s="4" t="str">
        <x:f>IFERROR(INDEX('Material routes'!$G$6:$G$2205,MATCH(U426,'Material routes'!$A$6:$A$2205,0)),"MISSING ID")</x:f>
        <x:v>Cooking ingredients</x:v>
      </x:c>
      <x:c r="E426" s="4" t="str">
        <x:f>IFERROR(INDEX('Material routes'!$C$6:$C$2205,MATCH(U426,'Material routes'!$A$6:$A$2205,0)),"MISSING ID")</x:f>
        <x:v>Ingredient candidate</x:v>
      </x:c>
      <x:c r="F426" s="4" t="str">
        <x:f>IFERROR(INDEX('Material routes'!$E$6:$E$2205,MATCH(V426,'Material routes'!$A$6:$A$2205,0)),"MISSING ID")</x:f>
        <x:v>Prepared edible-fauna paste</x:v>
      </x:c>
      <x:c r="G426" s="4" t="str">
        <x:f>IFERROR(INDEX('Material routes'!$F$6:$F$2205,MATCH(V426,'Material routes'!$A$6:$A$2205,0)),"MISSING ID")</x:f>
        <x:v>T1</x:v>
      </x:c>
      <x:c r="H426" s="4" t="str">
        <x:f>IFERROR(INDEX('Material routes'!$H$6:$H$2205,MATCH(V426,'Material routes'!$A$6:$A$2205,0)),"MISSING ID")</x:f>
        <x:v>Food material</x:v>
      </x:c>
      <x:c r="I426" s="4" t="str">
        <x:f>IFERROR(INDEX('Material routes'!$G$6:$G$2205,MATCH(V426,'Material routes'!$A$6:$A$2205,0)),"MISSING ID")</x:f>
        <x:v>Cooking ingredients</x:v>
      </x:c>
      <x:c r="J426" s="4" t="str">
        <x:f>IFERROR(INDEX('Material routes'!$B$6:$B$2205,MATCH(U426,'Material routes'!$A$6:$A$2205,0)),"MISSING ID")</x:f>
        <x:v>design.review.proposal_food_edible_paste</x:v>
      </x:c>
      <x:c r="K426" s="4" t="str">
        <x:f>IFERROR(INDEX('Crafting recipes'!$C$6:$C$1005,MATCH(J426,'Crafting recipes'!$A$6:$A$1005,0)),"MISSING ID")</x:f>
        <x:v>Material refinement</x:v>
      </x:c>
      <x:c r="L426" s="4" t="str">
        <x:f>IFERROR(INDEX('Material routes'!$K$6:$K$2205,MATCH(U426,'Material routes'!$A$6:$A$2205,0)),"MISSING ID")</x:f>
        <x:v>Proposal</x:v>
      </x:c>
      <x:c r="M426" s="4" t="str">
        <x:f>IFERROR(INDEX('Material routes'!$M$6:$M$2205,MATCH(U426,'Material routes'!$A$6:$A$2205,0)),"MISSING ID")</x:f>
        <x:v>Partial proposal</x:v>
      </x:c>
      <x:c r="N426" s="4" t="str">
        <x:f>IF(IFERROR(INDEX('Material routes'!$I$6:$I$1005,MATCH(U426,'Material routes'!$A$6:$A$1005,0)),"MISSING ID")=0,"",IFERROR(INDEX('Material routes'!$I$6:$I$1005,MATCH(U426,'Material routes'!$A$6:$A$1005,0)),"MISSING ID"))</x:f>
      </x:c>
      <x:c r="O426" s="4" t="str">
        <x:f>IFERROR(INDEX('Material routes'!$J$6:$J$2205,MATCH(U426,'Material routes'!$A$6:$A$2205,0)),"MISSING ID")</x:f>
        <x:v>Unspecified</x:v>
      </x:c>
      <x:c r="P426" s="4" t="str">
        <x:f>IF(IFERROR(INDEX('Material routes'!$I$6:$I$1005,MATCH(V426,'Material routes'!$A$6:$A$1005,0)),"MISSING ID")=0,"",IFERROR(INDEX('Material routes'!$I$6:$I$1005,MATCH(V426,'Material routes'!$A$6:$A$1005,0)),"MISSING ID"))</x:f>
      </x:c>
      <x:c r="Q426" s="4" t="str">
        <x:f>IFERROR(INDEX('Material routes'!$J$6:$J$2205,MATCH(V426,'Material routes'!$A$6:$A$2205,0)),"MISSING ID")</x:f>
        <x:v>Unspecified</x:v>
      </x:c>
      <x:c r="R426" s="4" t="str">
        <x:f>IF(L426="Withheld","Withheld premise",IF(E426="Tool candidate","Reusable prerequisite",IF(K426="Raw entry preparation","Entry-resource preparation",IF(G426="Not applicable",IF(IFERROR(INDEX('Items'!$AI$6:$AI$1005,MATCH(T426,'Items'!$A$6:$A$1005,0)),"MISSING ID")="Finished item","Finished endpoint",IF(IFERROR(INDEX('Items'!$AI$6:$AI$1005,MATCH(T426,'Items'!$A$6:$A$1005,0)),"MISSING ID")="Currency","Currency / no refinement tier","Recovered output / tier not applicable")),IF(OR(IFERROR(INDEX('Crafting recipes'!$H$6:$H$1005,MATCH(J426,'Crafting recipes'!$A$6:$A$1005,0)),"MISSING ID")="Unassigned",G426="Unassigned"),"Tier unresolved",IF(IFERROR(VALUE(RIGHT(G426,1))-VALUE(RIGHT(IFERROR(INDEX('Crafting recipes'!$H$6:$H$1005,MATCH(J426,'Crafting recipes'!$A$6:$A$1005,0)),"MISSING ID"),1)),0)=1,IF(B426=IFERROR(INDEX('Crafting recipes'!$H$6:$H$1005,MATCH(J426,'Crafting recipes'!$A$6:$A$1005,0)),"MISSING ID"),"Advances one material tier","Lower-tier ingredient; route advances one tier"),"Needs tier review"))))))</x:f>
        <x:v>Advances one material tier</x:v>
      </x:c>
      <x:c r="S426" s="4" t="str">
        <x:f>IFERROR(INDEX('Material routes'!$D$6:$D$2205,MATCH(U426,'Material routes'!$A$6:$A$2205,0)),"MISSING ID")</x:f>
        <x:v>proposal.bio.edible_fraction</x:v>
      </x:c>
      <x:c r="T426" s="4" t="str">
        <x:f>IFERROR(INDEX('Material routes'!$D$6:$D$2205,MATCH(V426,'Material routes'!$A$6:$A$2205,0)),"MISSING ID")</x:f>
        <x:v>proposal.food.edible_paste</x:v>
      </x:c>
      <x:c r="U426" s="4" t="str">
        <x:v>design.review.proposal_food_edible_paste.in.1</x:v>
      </x:c>
      <x:c r="V426" s="4" t="str">
        <x:v>design.review.proposal_food_edible_paste.out</x:v>
      </x:c>
    </x:row>
    <x:row r="427" ht="115" customHeight="1">
      <x:c r="A427" s="4" t="str">
        <x:f>IFERROR(INDEX('Material routes'!$E$6:$E$2205,MATCH(U427,'Material routes'!$A$6:$A$2205,0)),"MISSING ID")</x:f>
        <x:v>Mica composite sheet</x:v>
      </x:c>
      <x:c r="B427" s="4" t="str">
        <x:f>IFERROR(INDEX('Material routes'!$F$6:$F$2205,MATCH(U427,'Material routes'!$A$6:$A$2205,0)),"MISSING ID")</x:f>
        <x:v>T2</x:v>
      </x:c>
      <x:c r="C427" s="4" t="str">
        <x:f>IFERROR(INDEX('Material routes'!$H$6:$H$2205,MATCH(U427,'Material routes'!$A$6:$A$2205,0)),"MISSING ID")</x:f>
        <x:v>Processed material</x:v>
      </x:c>
      <x:c r="D427" s="4" t="str">
        <x:f>IFERROR(INDEX('Material routes'!$G$6:$G$2205,MATCH(U427,'Material routes'!$A$6:$A$2205,0)),"MISSING ID")</x:f>
        <x:v>Manufactured stock</x:v>
      </x:c>
      <x:c r="E427" s="4" t="str">
        <x:f>IFERROR(INDEX('Material routes'!$C$6:$C$2205,MATCH(U427,'Material routes'!$A$6:$A$2205,0)),"MISSING ID")</x:f>
        <x:v>Ingredient candidate</x:v>
      </x:c>
      <x:c r="F427" s="4" t="str">
        <x:f>IFERROR(INDEX('Material routes'!$E$6:$E$2205,MATCH(V427,'Material routes'!$A$6:$A$2205,0)),"MISSING ID")</x:f>
        <x:v>Prepared electrical insulation stock</x:v>
      </x:c>
      <x:c r="G427" s="4" t="str">
        <x:f>IFERROR(INDEX('Material routes'!$F$6:$F$2205,MATCH(V427,'Material routes'!$A$6:$A$2205,0)),"MISSING ID")</x:f>
        <x:v>T3</x:v>
      </x:c>
      <x:c r="H427" s="4" t="str">
        <x:f>IFERROR(INDEX('Material routes'!$H$6:$H$2205,MATCH(V427,'Material routes'!$A$6:$A$2205,0)),"MISSING ID")</x:f>
        <x:v>Processed material</x:v>
      </x:c>
      <x:c r="I427" s="4" t="str">
        <x:f>IFERROR(INDEX('Material routes'!$G$6:$G$2205,MATCH(V427,'Material routes'!$A$6:$A$2205,0)),"MISSING ID")</x:f>
        <x:v>Manufactured stock</x:v>
      </x:c>
      <x:c r="J427" s="4" t="str">
        <x:f>IFERROR(INDEX('Material routes'!$B$6:$B$2205,MATCH(U427,'Material routes'!$A$6:$A$2205,0)),"MISSING ID")</x:f>
        <x:v>design.review.author_electrical_insulation_stock</x:v>
      </x:c>
      <x:c r="K427" s="4" t="str">
        <x:f>IFERROR(INDEX('Crafting recipes'!$C$6:$C$1005,MATCH(J427,'Crafting recipes'!$A$6:$A$1005,0)),"MISSING ID")</x:f>
        <x:v>Material refinement</x:v>
      </x:c>
      <x:c r="L427" s="4" t="str">
        <x:f>IFERROR(INDEX('Material routes'!$K$6:$K$2205,MATCH(U427,'Material routes'!$A$6:$A$2205,0)),"MISSING ID")</x:f>
        <x:v>Proposal</x:v>
      </x:c>
      <x:c r="M427" s="4" t="str">
        <x:f>IFERROR(INDEX('Material routes'!$M$6:$M$2205,MATCH(U427,'Material routes'!$A$6:$A$2205,0)),"MISSING ID")</x:f>
        <x:v>Partial proposal</x:v>
      </x:c>
      <x:c r="N427" s="4" t="str">
        <x:f>IF(IFERROR(INDEX('Material routes'!$I$6:$I$1005,MATCH(U427,'Material routes'!$A$6:$A$1005,0)),"MISSING ID")=0,"",IFERROR(INDEX('Material routes'!$I$6:$I$1005,MATCH(U427,'Material routes'!$A$6:$A$1005,0)),"MISSING ID"))</x:f>
      </x:c>
      <x:c r="O427" s="4" t="str">
        <x:f>IFERROR(INDEX('Material routes'!$J$6:$J$2205,MATCH(U427,'Material routes'!$A$6:$A$2205,0)),"MISSING ID")</x:f>
        <x:v>Unspecified</x:v>
      </x:c>
      <x:c r="P427" s="4" t="str">
        <x:f>IF(IFERROR(INDEX('Material routes'!$I$6:$I$1005,MATCH(V427,'Material routes'!$A$6:$A$1005,0)),"MISSING ID")=0,"",IFERROR(INDEX('Material routes'!$I$6:$I$1005,MATCH(V427,'Material routes'!$A$6:$A$1005,0)),"MISSING ID"))</x:f>
      </x:c>
      <x:c r="Q427" s="4" t="str">
        <x:f>IFERROR(INDEX('Material routes'!$J$6:$J$2205,MATCH(V427,'Material routes'!$A$6:$A$2205,0)),"MISSING ID")</x:f>
        <x:v>Unspecified</x:v>
      </x:c>
      <x:c r="R427" s="4" t="str">
        <x:f>IF(L427="Withheld","Withheld premise",IF(E427="Tool candidate","Reusable prerequisite",IF(K427="Raw entry preparation","Entry-resource preparation",IF(G427="Not applicable",IF(IFERROR(INDEX('Items'!$AI$6:$AI$1005,MATCH(T427,'Items'!$A$6:$A$1005,0)),"MISSING ID")="Finished item","Finished endpoint",IF(IFERROR(INDEX('Items'!$AI$6:$AI$1005,MATCH(T427,'Items'!$A$6:$A$1005,0)),"MISSING ID")="Currency","Currency / no refinement tier","Recovered output / tier not applicable")),IF(OR(IFERROR(INDEX('Crafting recipes'!$H$6:$H$1005,MATCH(J427,'Crafting recipes'!$A$6:$A$1005,0)),"MISSING ID")="Unassigned",G427="Unassigned"),"Tier unresolved",IF(IFERROR(VALUE(RIGHT(G427,1))-VALUE(RIGHT(IFERROR(INDEX('Crafting recipes'!$H$6:$H$1005,MATCH(J427,'Crafting recipes'!$A$6:$A$1005,0)),"MISSING ID"),1)),0)=1,IF(B427=IFERROR(INDEX('Crafting recipes'!$H$6:$H$1005,MATCH(J427,'Crafting recipes'!$A$6:$A$1005,0)),"MISSING ID"),"Advances one material tier","Lower-tier ingredient; route advances one tier"),"Needs tier review"))))))</x:f>
        <x:v>Advances one material tier</x:v>
      </x:c>
      <x:c r="S427" s="4" t="str">
        <x:f>IFERROR(INDEX('Material routes'!$D$6:$D$2205,MATCH(U427,'Material routes'!$A$6:$A$2205,0)),"MISSING ID")</x:f>
        <x:v>proposal.branch.mica_sheet</x:v>
      </x:c>
      <x:c r="T427" s="4" t="str">
        <x:f>IFERROR(INDEX('Material routes'!$D$6:$D$2205,MATCH(V427,'Material routes'!$A$6:$A$2205,0)),"MISSING ID")</x:f>
        <x:v>author.electrical.insulation_stock</x:v>
      </x:c>
      <x:c r="U427" s="4" t="str">
        <x:v>design.review.author_electrical_insulation_stock.in.1</x:v>
      </x:c>
      <x:c r="V427" s="4" t="str">
        <x:v>design.review.author_electrical_insulation_stock.out</x:v>
      </x:c>
    </x:row>
    <x:row r="428" ht="115" customHeight="1">
      <x:c r="A428" s="4" t="str">
        <x:f>IFERROR(INDEX('Material routes'!$E$6:$E$2205,MATCH(U428,'Material routes'!$A$6:$A$2205,0)),"MISSING ID")</x:f>
        <x:v>Flexible membrane-bonding compound</x:v>
      </x:c>
      <x:c r="B428" s="4" t="str">
        <x:f>IFERROR(INDEX('Material routes'!$F$6:$F$2205,MATCH(U428,'Material routes'!$A$6:$A$2205,0)),"MISSING ID")</x:f>
        <x:v>T2</x:v>
      </x:c>
      <x:c r="C428" s="4" t="str">
        <x:f>IFERROR(INDEX('Material routes'!$H$6:$H$2205,MATCH(U428,'Material routes'!$A$6:$A$2205,0)),"MISSING ID")</x:f>
        <x:v>Chemical material</x:v>
      </x:c>
      <x:c r="D428" s="4" t="str">
        <x:f>IFERROR(INDEX('Material routes'!$G$6:$G$2205,MATCH(U428,'Material routes'!$A$6:$A$2205,0)),"MISSING ID")</x:f>
        <x:v>Crafting components</x:v>
      </x:c>
      <x:c r="E428" s="4" t="str">
        <x:f>IFERROR(INDEX('Material routes'!$C$6:$C$2205,MATCH(U428,'Material routes'!$A$6:$A$2205,0)),"MISSING ID")</x:f>
        <x:v>Ingredient candidate</x:v>
      </x:c>
      <x:c r="F428" s="4" t="str">
        <x:f>IFERROR(INDEX('Material routes'!$E$6:$E$2205,MATCH(V428,'Material routes'!$A$6:$A$2205,0)),"MISSING ID")</x:f>
        <x:v>Prepared electrical insulation stock</x:v>
      </x:c>
      <x:c r="G428" s="4" t="str">
        <x:f>IFERROR(INDEX('Material routes'!$F$6:$F$2205,MATCH(V428,'Material routes'!$A$6:$A$2205,0)),"MISSING ID")</x:f>
        <x:v>T3</x:v>
      </x:c>
      <x:c r="H428" s="4" t="str">
        <x:f>IFERROR(INDEX('Material routes'!$H$6:$H$2205,MATCH(V428,'Material routes'!$A$6:$A$2205,0)),"MISSING ID")</x:f>
        <x:v>Processed material</x:v>
      </x:c>
      <x:c r="I428" s="4" t="str">
        <x:f>IFERROR(INDEX('Material routes'!$G$6:$G$2205,MATCH(V428,'Material routes'!$A$6:$A$2205,0)),"MISSING ID")</x:f>
        <x:v>Manufactured stock</x:v>
      </x:c>
      <x:c r="J428" s="4" t="str">
        <x:f>IFERROR(INDEX('Material routes'!$B$6:$B$2205,MATCH(U428,'Material routes'!$A$6:$A$2205,0)),"MISSING ID")</x:f>
        <x:v>design.review.author_electrical_insulation_stock</x:v>
      </x:c>
      <x:c r="K428" s="4" t="str">
        <x:f>IFERROR(INDEX('Crafting recipes'!$C$6:$C$1005,MATCH(J428,'Crafting recipes'!$A$6:$A$1005,0)),"MISSING ID")</x:f>
        <x:v>Material refinement</x:v>
      </x:c>
      <x:c r="L428" s="4" t="str">
        <x:f>IFERROR(INDEX('Material routes'!$K$6:$K$2205,MATCH(U428,'Material routes'!$A$6:$A$2205,0)),"MISSING ID")</x:f>
        <x:v>Proposal</x:v>
      </x:c>
      <x:c r="M428" s="4" t="str">
        <x:f>IFERROR(INDEX('Material routes'!$M$6:$M$2205,MATCH(U428,'Material routes'!$A$6:$A$2205,0)),"MISSING ID")</x:f>
        <x:v>Partial proposal</x:v>
      </x:c>
      <x:c r="N428" s="4" t="str">
        <x:f>IF(IFERROR(INDEX('Material routes'!$I$6:$I$1005,MATCH(U428,'Material routes'!$A$6:$A$1005,0)),"MISSING ID")=0,"",IFERROR(INDEX('Material routes'!$I$6:$I$1005,MATCH(U428,'Material routes'!$A$6:$A$1005,0)),"MISSING ID"))</x:f>
      </x:c>
      <x:c r="O428" s="4" t="str">
        <x:f>IFERROR(INDEX('Material routes'!$J$6:$J$2205,MATCH(U428,'Material routes'!$A$6:$A$2205,0)),"MISSING ID")</x:f>
        <x:v>Unspecified</x:v>
      </x:c>
      <x:c r="P428" s="4" t="str">
        <x:f>IF(IFERROR(INDEX('Material routes'!$I$6:$I$1005,MATCH(V428,'Material routes'!$A$6:$A$1005,0)),"MISSING ID")=0,"",IFERROR(INDEX('Material routes'!$I$6:$I$1005,MATCH(V428,'Material routes'!$A$6:$A$1005,0)),"MISSING ID"))</x:f>
      </x:c>
      <x:c r="Q428" s="4" t="str">
        <x:f>IFERROR(INDEX('Material routes'!$J$6:$J$2205,MATCH(V428,'Material routes'!$A$6:$A$2205,0)),"MISSING ID")</x:f>
        <x:v>Unspecified</x:v>
      </x:c>
      <x:c r="R428" s="4" t="str">
        <x:f>IF(L428="Withheld","Withheld premise",IF(E428="Tool candidate","Reusable prerequisite",IF(K428="Raw entry preparation","Entry-resource preparation",IF(G428="Not applicable",IF(IFERROR(INDEX('Items'!$AI$6:$AI$1005,MATCH(T428,'Items'!$A$6:$A$1005,0)),"MISSING ID")="Finished item","Finished endpoint",IF(IFERROR(INDEX('Items'!$AI$6:$AI$1005,MATCH(T428,'Items'!$A$6:$A$1005,0)),"MISSING ID")="Currency","Currency / no refinement tier","Recovered output / tier not applicable")),IF(OR(IFERROR(INDEX('Crafting recipes'!$H$6:$H$1005,MATCH(J428,'Crafting recipes'!$A$6:$A$1005,0)),"MISSING ID")="Unassigned",G428="Unassigned"),"Tier unresolved",IF(IFERROR(VALUE(RIGHT(G428,1))-VALUE(RIGHT(IFERROR(INDEX('Crafting recipes'!$H$6:$H$1005,MATCH(J428,'Crafting recipes'!$A$6:$A$1005,0)),"MISSING ID"),1)),0)=1,IF(B428=IFERROR(INDEX('Crafting recipes'!$H$6:$H$1005,MATCH(J428,'Crafting recipes'!$A$6:$A$1005,0)),"MISSING ID"),"Advances one material tier","Lower-tier ingredient; route advances one tier"),"Needs tier review"))))))</x:f>
        <x:v>Advances one material tier</x:v>
      </x:c>
      <x:c r="S428" s="4" t="str">
        <x:f>IFERROR(INDEX('Material routes'!$D$6:$D$2205,MATCH(U428,'Material routes'!$A$6:$A$2205,0)),"MISSING ID")</x:f>
        <x:v>proposal.branch.flex_bond</x:v>
      </x:c>
      <x:c r="T428" s="4" t="str">
        <x:f>IFERROR(INDEX('Material routes'!$D$6:$D$2205,MATCH(V428,'Material routes'!$A$6:$A$2205,0)),"MISSING ID")</x:f>
        <x:v>author.electrical.insulation_stock</x:v>
      </x:c>
      <x:c r="U428" s="4" t="str">
        <x:v>design.review.author_electrical_insulation_stock.in.2</x:v>
      </x:c>
      <x:c r="V428" s="4" t="str">
        <x:v>design.review.author_electrical_insulation_stock.out</x:v>
      </x:c>
    </x:row>
    <x:row r="429" ht="115" customHeight="1">
      <x:c r="A429" s="4" t="str">
        <x:f>IFERROR(INDEX('Material routes'!$E$6:$E$2205,MATCH(U429,'Material routes'!$A$6:$A$2205,0)),"MISSING ID")</x:f>
        <x:v>Insulating ceramic blanks</x:v>
      </x:c>
      <x:c r="B429" s="4" t="str">
        <x:f>IFERROR(INDEX('Material routes'!$F$6:$F$2205,MATCH(U429,'Material routes'!$A$6:$A$2205,0)),"MISSING ID")</x:f>
        <x:v>T2</x:v>
      </x:c>
      <x:c r="C429" s="4" t="str">
        <x:f>IFERROR(INDEX('Material routes'!$H$6:$H$2205,MATCH(U429,'Material routes'!$A$6:$A$2205,0)),"MISSING ID")</x:f>
        <x:v>Processed material</x:v>
      </x:c>
      <x:c r="D429" s="4" t="str">
        <x:f>IFERROR(INDEX('Material routes'!$G$6:$G$2205,MATCH(U429,'Material routes'!$A$6:$A$2205,0)),"MISSING ID")</x:f>
        <x:v>Manufactured stock</x:v>
      </x:c>
      <x:c r="E429" s="4" t="str">
        <x:f>IFERROR(INDEX('Material routes'!$C$6:$C$2205,MATCH(U429,'Material routes'!$A$6:$A$2205,0)),"MISSING ID")</x:f>
        <x:v>Ingredient candidate</x:v>
      </x:c>
      <x:c r="F429" s="4" t="str">
        <x:f>IFERROR(INDEX('Material routes'!$E$6:$E$2205,MATCH(V429,'Material routes'!$A$6:$A$2205,0)),"MISSING ID")</x:f>
        <x:v>Prepared electrical insulation stock</x:v>
      </x:c>
      <x:c r="G429" s="4" t="str">
        <x:f>IFERROR(INDEX('Material routes'!$F$6:$F$2205,MATCH(V429,'Material routes'!$A$6:$A$2205,0)),"MISSING ID")</x:f>
        <x:v>T3</x:v>
      </x:c>
      <x:c r="H429" s="4" t="str">
        <x:f>IFERROR(INDEX('Material routes'!$H$6:$H$2205,MATCH(V429,'Material routes'!$A$6:$A$2205,0)),"MISSING ID")</x:f>
        <x:v>Processed material</x:v>
      </x:c>
      <x:c r="I429" s="4" t="str">
        <x:f>IFERROR(INDEX('Material routes'!$G$6:$G$2205,MATCH(V429,'Material routes'!$A$6:$A$2205,0)),"MISSING ID")</x:f>
        <x:v>Manufactured stock</x:v>
      </x:c>
      <x:c r="J429" s="4" t="str">
        <x:f>IFERROR(INDEX('Material routes'!$B$6:$B$2205,MATCH(U429,'Material routes'!$A$6:$A$2205,0)),"MISSING ID")</x:f>
        <x:v>design.review.author_electrical_insulation_stock</x:v>
      </x:c>
      <x:c r="K429" s="4" t="str">
        <x:f>IFERROR(INDEX('Crafting recipes'!$C$6:$C$1005,MATCH(J429,'Crafting recipes'!$A$6:$A$1005,0)),"MISSING ID")</x:f>
        <x:v>Material refinement</x:v>
      </x:c>
      <x:c r="L429" s="4" t="str">
        <x:f>IFERROR(INDEX('Material routes'!$K$6:$K$2205,MATCH(U429,'Material routes'!$A$6:$A$2205,0)),"MISSING ID")</x:f>
        <x:v>Proposal</x:v>
      </x:c>
      <x:c r="M429" s="4" t="str">
        <x:f>IFERROR(INDEX('Material routes'!$M$6:$M$2205,MATCH(U429,'Material routes'!$A$6:$A$2205,0)),"MISSING ID")</x:f>
        <x:v>Partial proposal</x:v>
      </x:c>
      <x:c r="N429" s="4" t="str">
        <x:f>IF(IFERROR(INDEX('Material routes'!$I$6:$I$1005,MATCH(U429,'Material routes'!$A$6:$A$1005,0)),"MISSING ID")=0,"",IFERROR(INDEX('Material routes'!$I$6:$I$1005,MATCH(U429,'Material routes'!$A$6:$A$1005,0)),"MISSING ID"))</x:f>
      </x:c>
      <x:c r="O429" s="4" t="str">
        <x:f>IFERROR(INDEX('Material routes'!$J$6:$J$2205,MATCH(U429,'Material routes'!$A$6:$A$2205,0)),"MISSING ID")</x:f>
        <x:v>Unspecified</x:v>
      </x:c>
      <x:c r="P429" s="4" t="str">
        <x:f>IF(IFERROR(INDEX('Material routes'!$I$6:$I$1005,MATCH(V429,'Material routes'!$A$6:$A$1005,0)),"MISSING ID")=0,"",IFERROR(INDEX('Material routes'!$I$6:$I$1005,MATCH(V429,'Material routes'!$A$6:$A$1005,0)),"MISSING ID"))</x:f>
      </x:c>
      <x:c r="Q429" s="4" t="str">
        <x:f>IFERROR(INDEX('Material routes'!$J$6:$J$2205,MATCH(V429,'Material routes'!$A$6:$A$2205,0)),"MISSING ID")</x:f>
        <x:v>Unspecified</x:v>
      </x:c>
      <x:c r="R429" s="4" t="str">
        <x:f>IF(L429="Withheld","Withheld premise",IF(E429="Tool candidate","Reusable prerequisite",IF(K429="Raw entry preparation","Entry-resource preparation",IF(G429="Not applicable",IF(IFERROR(INDEX('Items'!$AI$6:$AI$1005,MATCH(T429,'Items'!$A$6:$A$1005,0)),"MISSING ID")="Finished item","Finished endpoint",IF(IFERROR(INDEX('Items'!$AI$6:$AI$1005,MATCH(T429,'Items'!$A$6:$A$1005,0)),"MISSING ID")="Currency","Currency / no refinement tier","Recovered output / tier not applicable")),IF(OR(IFERROR(INDEX('Crafting recipes'!$H$6:$H$1005,MATCH(J429,'Crafting recipes'!$A$6:$A$1005,0)),"MISSING ID")="Unassigned",G429="Unassigned"),"Tier unresolved",IF(IFERROR(VALUE(RIGHT(G429,1))-VALUE(RIGHT(IFERROR(INDEX('Crafting recipes'!$H$6:$H$1005,MATCH(J429,'Crafting recipes'!$A$6:$A$1005,0)),"MISSING ID"),1)),0)=1,IF(B429=IFERROR(INDEX('Crafting recipes'!$H$6:$H$1005,MATCH(J429,'Crafting recipes'!$A$6:$A$1005,0)),"MISSING ID"),"Advances one material tier","Lower-tier ingredient; route advances one tier"),"Needs tier review"))))))</x:f>
        <x:v>Advances one material tier</x:v>
      </x:c>
      <x:c r="S429" s="4" t="str">
        <x:f>IFERROR(INDEX('Material routes'!$D$6:$D$2205,MATCH(U429,'Material routes'!$A$6:$A$2205,0)),"MISSING ID")</x:f>
        <x:v>proposal.natural.ceramic</x:v>
      </x:c>
      <x:c r="T429" s="4" t="str">
        <x:f>IFERROR(INDEX('Material routes'!$D$6:$D$2205,MATCH(V429,'Material routes'!$A$6:$A$2205,0)),"MISSING ID")</x:f>
        <x:v>author.electrical.insulation_stock</x:v>
      </x:c>
      <x:c r="U429" s="4" t="str">
        <x:v>design.review.author_electrical_insulation_stock.in.3</x:v>
      </x:c>
      <x:c r="V429" s="4" t="str">
        <x:v>design.review.author_electrical_insulation_stock.out</x:v>
      </x:c>
    </x:row>
    <x:row r="430" ht="115" customHeight="1">
      <x:c r="A430" s="4" t="str">
        <x:f>IFERROR(INDEX('Material routes'!$E$6:$E$2205,MATCH(U430,'Material routes'!$A$6:$A$2205,0)),"MISSING ID")</x:f>
        <x:v>Selected oxide-reactive faunal fraction</x:v>
      </x:c>
      <x:c r="B430" s="4" t="str">
        <x:f>IFERROR(INDEX('Material routes'!$F$6:$F$2205,MATCH(U430,'Material routes'!$A$6:$A$2205,0)),"MISSING ID")</x:f>
        <x:v>T1</x:v>
      </x:c>
      <x:c r="C430" s="4" t="str">
        <x:f>IFERROR(INDEX('Material routes'!$H$6:$H$2205,MATCH(U430,'Material routes'!$A$6:$A$2205,0)),"MISSING ID")</x:f>
        <x:v>Chemical material</x:v>
      </x:c>
      <x:c r="D430" s="4" t="str">
        <x:f>IFERROR(INDEX('Material routes'!$G$6:$G$2205,MATCH(U430,'Material routes'!$A$6:$A$2205,0)),"MISSING ID")</x:f>
        <x:v>Crafting components</x:v>
      </x:c>
      <x:c r="E430" s="4" t="str">
        <x:f>IFERROR(INDEX('Material routes'!$C$6:$C$2205,MATCH(U430,'Material routes'!$A$6:$A$2205,0)),"MISSING ID")</x:f>
        <x:v>Ingredient candidate</x:v>
      </x:c>
      <x:c r="F430" s="4" t="str">
        <x:f>IFERROR(INDEX('Material routes'!$E$6:$E$2205,MATCH(V430,'Material routes'!$A$6:$A$2205,0)),"MISSING ID")</x:f>
        <x:v>Rust-conversion treatment</x:v>
      </x:c>
      <x:c r="G430" s="4" t="str">
        <x:f>IFERROR(INDEX('Material routes'!$F$6:$F$2205,MATCH(V430,'Material routes'!$A$6:$A$2205,0)),"MISSING ID")</x:f>
        <x:v>T2</x:v>
      </x:c>
      <x:c r="H430" s="4" t="str">
        <x:f>IFERROR(INDEX('Material routes'!$H$6:$H$2205,MATCH(V430,'Material routes'!$A$6:$A$2205,0)),"MISSING ID")</x:f>
        <x:v>Chemical material</x:v>
      </x:c>
      <x:c r="I430" s="4" t="str">
        <x:f>IFERROR(INDEX('Material routes'!$G$6:$G$2205,MATCH(V430,'Material routes'!$A$6:$A$2205,0)),"MISSING ID")</x:f>
        <x:v>Crafting components</x:v>
      </x:c>
      <x:c r="J430" s="4" t="str">
        <x:f>IFERROR(INDEX('Material routes'!$B$6:$B$2205,MATCH(U430,'Material routes'!$A$6:$A$2205,0)),"MISSING ID")</x:f>
        <x:v>design.review.proposal_corrosion_converter</x:v>
      </x:c>
      <x:c r="K430" s="4" t="str">
        <x:f>IFERROR(INDEX('Crafting recipes'!$C$6:$C$1005,MATCH(J430,'Crafting recipes'!$A$6:$A$1005,0)),"MISSING ID")</x:f>
        <x:v>Material refinement</x:v>
      </x:c>
      <x:c r="L430" s="4" t="str">
        <x:f>IFERROR(INDEX('Material routes'!$K$6:$K$2205,MATCH(U430,'Material routes'!$A$6:$A$2205,0)),"MISSING ID")</x:f>
        <x:v>Proposal</x:v>
      </x:c>
      <x:c r="M430" s="4" t="str">
        <x:f>IFERROR(INDEX('Material routes'!$M$6:$M$2205,MATCH(U430,'Material routes'!$A$6:$A$2205,0)),"MISSING ID")</x:f>
        <x:v>Partial proposal</x:v>
      </x:c>
      <x:c r="N430" s="4" t="str">
        <x:f>IF(IFERROR(INDEX('Material routes'!$I$6:$I$1005,MATCH(U430,'Material routes'!$A$6:$A$1005,0)),"MISSING ID")=0,"",IFERROR(INDEX('Material routes'!$I$6:$I$1005,MATCH(U430,'Material routes'!$A$6:$A$1005,0)),"MISSING ID"))</x:f>
      </x:c>
      <x:c r="O430" s="4" t="str">
        <x:f>IFERROR(INDEX('Material routes'!$J$6:$J$2205,MATCH(U430,'Material routes'!$A$6:$A$2205,0)),"MISSING ID")</x:f>
        <x:v>Unspecified</x:v>
      </x:c>
      <x:c r="P430" s="4" t="str">
        <x:f>IF(IFERROR(INDEX('Material routes'!$I$6:$I$1005,MATCH(V430,'Material routes'!$A$6:$A$1005,0)),"MISSING ID")=0,"",IFERROR(INDEX('Material routes'!$I$6:$I$1005,MATCH(V430,'Material routes'!$A$6:$A$1005,0)),"MISSING ID"))</x:f>
      </x:c>
      <x:c r="Q430" s="4" t="str">
        <x:f>IFERROR(INDEX('Material routes'!$J$6:$J$2205,MATCH(V430,'Material routes'!$A$6:$A$2205,0)),"MISSING ID")</x:f>
        <x:v>Unspecified</x:v>
      </x:c>
      <x:c r="R430" s="4" t="str">
        <x:f>IF(L430="Withheld","Withheld premise",IF(E430="Tool candidate","Reusable prerequisite",IF(K430="Raw entry preparation","Entry-resource preparation",IF(G430="Not applicable",IF(IFERROR(INDEX('Items'!$AI$6:$AI$1005,MATCH(T430,'Items'!$A$6:$A$1005,0)),"MISSING ID")="Finished item","Finished endpoint",IF(IFERROR(INDEX('Items'!$AI$6:$AI$1005,MATCH(T430,'Items'!$A$6:$A$1005,0)),"MISSING ID")="Currency","Currency / no refinement tier","Recovered output / tier not applicable")),IF(OR(IFERROR(INDEX('Crafting recipes'!$H$6:$H$1005,MATCH(J430,'Crafting recipes'!$A$6:$A$1005,0)),"MISSING ID")="Unassigned",G430="Unassigned"),"Tier unresolved",IF(IFERROR(VALUE(RIGHT(G430,1))-VALUE(RIGHT(IFERROR(INDEX('Crafting recipes'!$H$6:$H$1005,MATCH(J430,'Crafting recipes'!$A$6:$A$1005,0)),"MISSING ID"),1)),0)=1,IF(B430=IFERROR(INDEX('Crafting recipes'!$H$6:$H$1005,MATCH(J430,'Crafting recipes'!$A$6:$A$1005,0)),"MISSING ID"),"Advances one material tier","Lower-tier ingredient; route advances one tier"),"Needs tier review"))))))</x:f>
        <x:v>Advances one material tier</x:v>
      </x:c>
      <x:c r="S430" s="4" t="str">
        <x:f>IFERROR(INDEX('Material routes'!$D$6:$D$2205,MATCH(U430,'Material routes'!$A$6:$A$2205,0)),"MISSING ID")</x:f>
        <x:v>proposal.review.oxide_reactive_fraction</x:v>
      </x:c>
      <x:c r="T430" s="4" t="str">
        <x:f>IFERROR(INDEX('Material routes'!$D$6:$D$2205,MATCH(V430,'Material routes'!$A$6:$A$2205,0)),"MISSING ID")</x:f>
        <x:v>proposal.corrosion.converter</x:v>
      </x:c>
      <x:c r="U430" s="4" t="str">
        <x:v>design.review.proposal_corrosion_converter.in.1</x:v>
      </x:c>
      <x:c r="V430" s="4" t="str">
        <x:v>design.review.proposal_corrosion_converter.out</x:v>
      </x:c>
    </x:row>
    <x:row r="431" ht="115" customHeight="1">
      <x:c r="A431" s="4" t="str">
        <x:f>IFERROR(INDEX('Material routes'!$E$6:$E$2205,MATCH(U431,'Material routes'!$A$6:$A$2205,0)),"MISSING ID")</x:f>
        <x:v>Selected faunal carrier fraction</x:v>
      </x:c>
      <x:c r="B431" s="4" t="str">
        <x:f>IFERROR(INDEX('Material routes'!$F$6:$F$2205,MATCH(U431,'Material routes'!$A$6:$A$2205,0)),"MISSING ID")</x:f>
        <x:v>T1</x:v>
      </x:c>
      <x:c r="C431" s="4" t="str">
        <x:f>IFERROR(INDEX('Material routes'!$H$6:$H$2205,MATCH(U431,'Material routes'!$A$6:$A$2205,0)),"MISSING ID")</x:f>
        <x:v>Chemical material</x:v>
      </x:c>
      <x:c r="D431" s="4" t="str">
        <x:f>IFERROR(INDEX('Material routes'!$G$6:$G$2205,MATCH(U431,'Material routes'!$A$6:$A$2205,0)),"MISSING ID")</x:f>
        <x:v>Crafting components</x:v>
      </x:c>
      <x:c r="E431" s="4" t="str">
        <x:f>IFERROR(INDEX('Material routes'!$C$6:$C$2205,MATCH(U431,'Material routes'!$A$6:$A$2205,0)),"MISSING ID")</x:f>
        <x:v>Ingredient candidate</x:v>
      </x:c>
      <x:c r="F431" s="4" t="str">
        <x:f>IFERROR(INDEX('Material routes'!$E$6:$E$2205,MATCH(V431,'Material routes'!$A$6:$A$2205,0)),"MISSING ID")</x:f>
        <x:v>Rust-conversion treatment</x:v>
      </x:c>
      <x:c r="G431" s="4" t="str">
        <x:f>IFERROR(INDEX('Material routes'!$F$6:$F$2205,MATCH(V431,'Material routes'!$A$6:$A$2205,0)),"MISSING ID")</x:f>
        <x:v>T2</x:v>
      </x:c>
      <x:c r="H431" s="4" t="str">
        <x:f>IFERROR(INDEX('Material routes'!$H$6:$H$2205,MATCH(V431,'Material routes'!$A$6:$A$2205,0)),"MISSING ID")</x:f>
        <x:v>Chemical material</x:v>
      </x:c>
      <x:c r="I431" s="4" t="str">
        <x:f>IFERROR(INDEX('Material routes'!$G$6:$G$2205,MATCH(V431,'Material routes'!$A$6:$A$2205,0)),"MISSING ID")</x:f>
        <x:v>Crafting components</x:v>
      </x:c>
      <x:c r="J431" s="4" t="str">
        <x:f>IFERROR(INDEX('Material routes'!$B$6:$B$2205,MATCH(U431,'Material routes'!$A$6:$A$2205,0)),"MISSING ID")</x:f>
        <x:v>design.review.proposal_corrosion_converter</x:v>
      </x:c>
      <x:c r="K431" s="4" t="str">
        <x:f>IFERROR(INDEX('Crafting recipes'!$C$6:$C$1005,MATCH(J431,'Crafting recipes'!$A$6:$A$1005,0)),"MISSING ID")</x:f>
        <x:v>Material refinement</x:v>
      </x:c>
      <x:c r="L431" s="4" t="str">
        <x:f>IFERROR(INDEX('Material routes'!$K$6:$K$2205,MATCH(U431,'Material routes'!$A$6:$A$2205,0)),"MISSING ID")</x:f>
        <x:v>Proposal</x:v>
      </x:c>
      <x:c r="M431" s="4" t="str">
        <x:f>IFERROR(INDEX('Material routes'!$M$6:$M$2205,MATCH(U431,'Material routes'!$A$6:$A$2205,0)),"MISSING ID")</x:f>
        <x:v>Partial proposal</x:v>
      </x:c>
      <x:c r="N431" s="4" t="str">
        <x:f>IF(IFERROR(INDEX('Material routes'!$I$6:$I$1005,MATCH(U431,'Material routes'!$A$6:$A$1005,0)),"MISSING ID")=0,"",IFERROR(INDEX('Material routes'!$I$6:$I$1005,MATCH(U431,'Material routes'!$A$6:$A$1005,0)),"MISSING ID"))</x:f>
      </x:c>
      <x:c r="O431" s="4" t="str">
        <x:f>IFERROR(INDEX('Material routes'!$J$6:$J$2205,MATCH(U431,'Material routes'!$A$6:$A$2205,0)),"MISSING ID")</x:f>
        <x:v>Unspecified</x:v>
      </x:c>
      <x:c r="P431" s="4" t="str">
        <x:f>IF(IFERROR(INDEX('Material routes'!$I$6:$I$1005,MATCH(V431,'Material routes'!$A$6:$A$1005,0)),"MISSING ID")=0,"",IFERROR(INDEX('Material routes'!$I$6:$I$1005,MATCH(V431,'Material routes'!$A$6:$A$1005,0)),"MISSING ID"))</x:f>
      </x:c>
      <x:c r="Q431" s="4" t="str">
        <x:f>IFERROR(INDEX('Material routes'!$J$6:$J$2205,MATCH(V431,'Material routes'!$A$6:$A$2205,0)),"MISSING ID")</x:f>
        <x:v>Unspecified</x:v>
      </x:c>
      <x:c r="R431" s="4" t="str">
        <x:f>IF(L431="Withheld","Withheld premise",IF(E431="Tool candidate","Reusable prerequisite",IF(K431="Raw entry preparation","Entry-resource preparation",IF(G431="Not applicable",IF(IFERROR(INDEX('Items'!$AI$6:$AI$1005,MATCH(T431,'Items'!$A$6:$A$1005,0)),"MISSING ID")="Finished item","Finished endpoint",IF(IFERROR(INDEX('Items'!$AI$6:$AI$1005,MATCH(T431,'Items'!$A$6:$A$1005,0)),"MISSING ID")="Currency","Currency / no refinement tier","Recovered output / tier not applicable")),IF(OR(IFERROR(INDEX('Crafting recipes'!$H$6:$H$1005,MATCH(J431,'Crafting recipes'!$A$6:$A$1005,0)),"MISSING ID")="Unassigned",G431="Unassigned"),"Tier unresolved",IF(IFERROR(VALUE(RIGHT(G431,1))-VALUE(RIGHT(IFERROR(INDEX('Crafting recipes'!$H$6:$H$1005,MATCH(J431,'Crafting recipes'!$A$6:$A$1005,0)),"MISSING ID"),1)),0)=1,IF(B431=IFERROR(INDEX('Crafting recipes'!$H$6:$H$1005,MATCH(J431,'Crafting recipes'!$A$6:$A$1005,0)),"MISSING ID"),"Advances one material tier","Lower-tier ingredient; route advances one tier"),"Needs tier review"))))))</x:f>
        <x:v>Advances one material tier</x:v>
      </x:c>
      <x:c r="S431" s="4" t="str">
        <x:f>IFERROR(INDEX('Material routes'!$D$6:$D$2205,MATCH(U431,'Material routes'!$A$6:$A$2205,0)),"MISSING ID")</x:f>
        <x:v>proposal.t1.faunal_carrier</x:v>
      </x:c>
      <x:c r="T431" s="4" t="str">
        <x:f>IFERROR(INDEX('Material routes'!$D$6:$D$2205,MATCH(V431,'Material routes'!$A$6:$A$2205,0)),"MISSING ID")</x:f>
        <x:v>proposal.corrosion.converter</x:v>
      </x:c>
      <x:c r="U431" s="4" t="str">
        <x:v>design.review.proposal_corrosion_converter.in.2</x:v>
      </x:c>
      <x:c r="V431" s="4" t="str">
        <x:v>design.review.proposal_corrosion_converter.out</x:v>
      </x:c>
    </x:row>
    <x:row r="432" ht="115" customHeight="1">
      <x:c r="A432" s="4" t="str">
        <x:f>IFERROR(INDEX('Material routes'!$E$6:$E$2205,MATCH(U432,'Material routes'!$A$6:$A$2205,0)),"MISSING ID")</x:f>
        <x:v>Prepared flexible faunal binder</x:v>
      </x:c>
      <x:c r="B432" s="4" t="str">
        <x:f>IFERROR(INDEX('Material routes'!$F$6:$F$2205,MATCH(U432,'Material routes'!$A$6:$A$2205,0)),"MISSING ID")</x:f>
        <x:v>T1</x:v>
      </x:c>
      <x:c r="C432" s="4" t="str">
        <x:f>IFERROR(INDEX('Material routes'!$H$6:$H$2205,MATCH(U432,'Material routes'!$A$6:$A$2205,0)),"MISSING ID")</x:f>
        <x:v>Chemical material</x:v>
      </x:c>
      <x:c r="D432" s="4" t="str">
        <x:f>IFERROR(INDEX('Material routes'!$G$6:$G$2205,MATCH(U432,'Material routes'!$A$6:$A$2205,0)),"MISSING ID")</x:f>
        <x:v>Crafting components</x:v>
      </x:c>
      <x:c r="E432" s="4" t="str">
        <x:f>IFERROR(INDEX('Material routes'!$C$6:$C$2205,MATCH(U432,'Material routes'!$A$6:$A$2205,0)),"MISSING ID")</x:f>
        <x:v>Ingredient candidate</x:v>
      </x:c>
      <x:c r="F432" s="4" t="str">
        <x:f>IFERROR(INDEX('Material routes'!$E$6:$E$2205,MATCH(V432,'Material routes'!$A$6:$A$2205,0)),"MISSING ID")</x:f>
        <x:v>Corrosion-inhibiting finish</x:v>
      </x:c>
      <x:c r="G432" s="4" t="str">
        <x:f>IFERROR(INDEX('Material routes'!$F$6:$F$2205,MATCH(V432,'Material routes'!$A$6:$A$2205,0)),"MISSING ID")</x:f>
        <x:v>T2</x:v>
      </x:c>
      <x:c r="H432" s="4" t="str">
        <x:f>IFERROR(INDEX('Material routes'!$H$6:$H$2205,MATCH(V432,'Material routes'!$A$6:$A$2205,0)),"MISSING ID")</x:f>
        <x:v>Chemical material</x:v>
      </x:c>
      <x:c r="I432" s="4" t="str">
        <x:f>IFERROR(INDEX('Material routes'!$G$6:$G$2205,MATCH(V432,'Material routes'!$A$6:$A$2205,0)),"MISSING ID")</x:f>
        <x:v>Crafting components</x:v>
      </x:c>
      <x:c r="J432" s="4" t="str">
        <x:f>IFERROR(INDEX('Material routes'!$B$6:$B$2205,MATCH(U432,'Material routes'!$A$6:$A$2205,0)),"MISSING ID")</x:f>
        <x:v>design.review.proposal_corrosion_inhibitor</x:v>
      </x:c>
      <x:c r="K432" s="4" t="str">
        <x:f>IFERROR(INDEX('Crafting recipes'!$C$6:$C$1005,MATCH(J432,'Crafting recipes'!$A$6:$A$1005,0)),"MISSING ID")</x:f>
        <x:v>Material refinement</x:v>
      </x:c>
      <x:c r="L432" s="4" t="str">
        <x:f>IFERROR(INDEX('Material routes'!$K$6:$K$2205,MATCH(U432,'Material routes'!$A$6:$A$2205,0)),"MISSING ID")</x:f>
        <x:v>Proposal</x:v>
      </x:c>
      <x:c r="M432" s="4" t="str">
        <x:f>IFERROR(INDEX('Material routes'!$M$6:$M$2205,MATCH(U432,'Material routes'!$A$6:$A$2205,0)),"MISSING ID")</x:f>
        <x:v>Partial proposal</x:v>
      </x:c>
      <x:c r="N432" s="4" t="str">
        <x:f>IF(IFERROR(INDEX('Material routes'!$I$6:$I$1005,MATCH(U432,'Material routes'!$A$6:$A$1005,0)),"MISSING ID")=0,"",IFERROR(INDEX('Material routes'!$I$6:$I$1005,MATCH(U432,'Material routes'!$A$6:$A$1005,0)),"MISSING ID"))</x:f>
      </x:c>
      <x:c r="O432" s="4" t="str">
        <x:f>IFERROR(INDEX('Material routes'!$J$6:$J$2205,MATCH(U432,'Material routes'!$A$6:$A$2205,0)),"MISSING ID")</x:f>
        <x:v>Unspecified</x:v>
      </x:c>
      <x:c r="P432" s="4" t="str">
        <x:f>IF(IFERROR(INDEX('Material routes'!$I$6:$I$1005,MATCH(V432,'Material routes'!$A$6:$A$1005,0)),"MISSING ID")=0,"",IFERROR(INDEX('Material routes'!$I$6:$I$1005,MATCH(V432,'Material routes'!$A$6:$A$1005,0)),"MISSING ID"))</x:f>
      </x:c>
      <x:c r="Q432" s="4" t="str">
        <x:f>IFERROR(INDEX('Material routes'!$J$6:$J$2205,MATCH(V432,'Material routes'!$A$6:$A$2205,0)),"MISSING ID")</x:f>
        <x:v>Unspecified</x:v>
      </x:c>
      <x:c r="R432" s="4" t="str">
        <x:f>IF(L432="Withheld","Withheld premise",IF(E432="Tool candidate","Reusable prerequisite",IF(K432="Raw entry preparation","Entry-resource preparation",IF(G432="Not applicable",IF(IFERROR(INDEX('Items'!$AI$6:$AI$1005,MATCH(T432,'Items'!$A$6:$A$1005,0)),"MISSING ID")="Finished item","Finished endpoint",IF(IFERROR(INDEX('Items'!$AI$6:$AI$1005,MATCH(T432,'Items'!$A$6:$A$1005,0)),"MISSING ID")="Currency","Currency / no refinement tier","Recovered output / tier not applicable")),IF(OR(IFERROR(INDEX('Crafting recipes'!$H$6:$H$1005,MATCH(J432,'Crafting recipes'!$A$6:$A$1005,0)),"MISSING ID")="Unassigned",G432="Unassigned"),"Tier unresolved",IF(IFERROR(VALUE(RIGHT(G432,1))-VALUE(RIGHT(IFERROR(INDEX('Crafting recipes'!$H$6:$H$1005,MATCH(J432,'Crafting recipes'!$A$6:$A$1005,0)),"MISSING ID"),1)),0)=1,IF(B432=IFERROR(INDEX('Crafting recipes'!$H$6:$H$1005,MATCH(J432,'Crafting recipes'!$A$6:$A$1005,0)),"MISSING ID"),"Advances one material tier","Lower-tier ingredient; route advances one tier"),"Needs tier review"))))))</x:f>
        <x:v>Advances one material tier</x:v>
      </x:c>
      <x:c r="S432" s="4" t="str">
        <x:f>IFERROR(INDEX('Material routes'!$D$6:$D$2205,MATCH(U432,'Material routes'!$A$6:$A$2205,0)),"MISSING ID")</x:f>
        <x:v>proposal.branch.flex_binder</x:v>
      </x:c>
      <x:c r="T432" s="4" t="str">
        <x:f>IFERROR(INDEX('Material routes'!$D$6:$D$2205,MATCH(V432,'Material routes'!$A$6:$A$2205,0)),"MISSING ID")</x:f>
        <x:v>proposal.corrosion.inhibitor</x:v>
      </x:c>
      <x:c r="U432" s="4" t="str">
        <x:v>design.review.proposal_corrosion_inhibitor.in.1</x:v>
      </x:c>
      <x:c r="V432" s="4" t="str">
        <x:v>design.review.proposal_corrosion_inhibitor.out</x:v>
      </x:c>
    </x:row>
    <x:row r="433" ht="115" customHeight="1">
      <x:c r="A433" s="4" t="str">
        <x:f>IFERROR(INDEX('Material routes'!$E$6:$E$2205,MATCH(U433,'Material routes'!$A$6:$A$2205,0)),"MISSING ID")</x:f>
        <x:v>Selected faunal carrier fraction</x:v>
      </x:c>
      <x:c r="B433" s="4" t="str">
        <x:f>IFERROR(INDEX('Material routes'!$F$6:$F$2205,MATCH(U433,'Material routes'!$A$6:$A$2205,0)),"MISSING ID")</x:f>
        <x:v>T1</x:v>
      </x:c>
      <x:c r="C433" s="4" t="str">
        <x:f>IFERROR(INDEX('Material routes'!$H$6:$H$2205,MATCH(U433,'Material routes'!$A$6:$A$2205,0)),"MISSING ID")</x:f>
        <x:v>Chemical material</x:v>
      </x:c>
      <x:c r="D433" s="4" t="str">
        <x:f>IFERROR(INDEX('Material routes'!$G$6:$G$2205,MATCH(U433,'Material routes'!$A$6:$A$2205,0)),"MISSING ID")</x:f>
        <x:v>Crafting components</x:v>
      </x:c>
      <x:c r="E433" s="4" t="str">
        <x:f>IFERROR(INDEX('Material routes'!$C$6:$C$2205,MATCH(U433,'Material routes'!$A$6:$A$2205,0)),"MISSING ID")</x:f>
        <x:v>Ingredient candidate</x:v>
      </x:c>
      <x:c r="F433" s="4" t="str">
        <x:f>IFERROR(INDEX('Material routes'!$E$6:$E$2205,MATCH(V433,'Material routes'!$A$6:$A$2205,0)),"MISSING ID")</x:f>
        <x:v>Corrosion-inhibiting finish</x:v>
      </x:c>
      <x:c r="G433" s="4" t="str">
        <x:f>IFERROR(INDEX('Material routes'!$F$6:$F$2205,MATCH(V433,'Material routes'!$A$6:$A$2205,0)),"MISSING ID")</x:f>
        <x:v>T2</x:v>
      </x:c>
      <x:c r="H433" s="4" t="str">
        <x:f>IFERROR(INDEX('Material routes'!$H$6:$H$2205,MATCH(V433,'Material routes'!$A$6:$A$2205,0)),"MISSING ID")</x:f>
        <x:v>Chemical material</x:v>
      </x:c>
      <x:c r="I433" s="4" t="str">
        <x:f>IFERROR(INDEX('Material routes'!$G$6:$G$2205,MATCH(V433,'Material routes'!$A$6:$A$2205,0)),"MISSING ID")</x:f>
        <x:v>Crafting components</x:v>
      </x:c>
      <x:c r="J433" s="4" t="str">
        <x:f>IFERROR(INDEX('Material routes'!$B$6:$B$2205,MATCH(U433,'Material routes'!$A$6:$A$2205,0)),"MISSING ID")</x:f>
        <x:v>design.review.proposal_corrosion_inhibitor</x:v>
      </x:c>
      <x:c r="K433" s="4" t="str">
        <x:f>IFERROR(INDEX('Crafting recipes'!$C$6:$C$1005,MATCH(J433,'Crafting recipes'!$A$6:$A$1005,0)),"MISSING ID")</x:f>
        <x:v>Material refinement</x:v>
      </x:c>
      <x:c r="L433" s="4" t="str">
        <x:f>IFERROR(INDEX('Material routes'!$K$6:$K$2205,MATCH(U433,'Material routes'!$A$6:$A$2205,0)),"MISSING ID")</x:f>
        <x:v>Proposal</x:v>
      </x:c>
      <x:c r="M433" s="4" t="str">
        <x:f>IFERROR(INDEX('Material routes'!$M$6:$M$2205,MATCH(U433,'Material routes'!$A$6:$A$2205,0)),"MISSING ID")</x:f>
        <x:v>Partial proposal</x:v>
      </x:c>
      <x:c r="N433" s="4" t="str">
        <x:f>IF(IFERROR(INDEX('Material routes'!$I$6:$I$1005,MATCH(U433,'Material routes'!$A$6:$A$1005,0)),"MISSING ID")=0,"",IFERROR(INDEX('Material routes'!$I$6:$I$1005,MATCH(U433,'Material routes'!$A$6:$A$1005,0)),"MISSING ID"))</x:f>
      </x:c>
      <x:c r="O433" s="4" t="str">
        <x:f>IFERROR(INDEX('Material routes'!$J$6:$J$2205,MATCH(U433,'Material routes'!$A$6:$A$2205,0)),"MISSING ID")</x:f>
        <x:v>Unspecified</x:v>
      </x:c>
      <x:c r="P433" s="4" t="str">
        <x:f>IF(IFERROR(INDEX('Material routes'!$I$6:$I$1005,MATCH(V433,'Material routes'!$A$6:$A$1005,0)),"MISSING ID")=0,"",IFERROR(INDEX('Material routes'!$I$6:$I$1005,MATCH(V433,'Material routes'!$A$6:$A$1005,0)),"MISSING ID"))</x:f>
      </x:c>
      <x:c r="Q433" s="4" t="str">
        <x:f>IFERROR(INDEX('Material routes'!$J$6:$J$2205,MATCH(V433,'Material routes'!$A$6:$A$2205,0)),"MISSING ID")</x:f>
        <x:v>Unspecified</x:v>
      </x:c>
      <x:c r="R433" s="4" t="str">
        <x:f>IF(L433="Withheld","Withheld premise",IF(E433="Tool candidate","Reusable prerequisite",IF(K433="Raw entry preparation","Entry-resource preparation",IF(G433="Not applicable",IF(IFERROR(INDEX('Items'!$AI$6:$AI$1005,MATCH(T433,'Items'!$A$6:$A$1005,0)),"MISSING ID")="Finished item","Finished endpoint",IF(IFERROR(INDEX('Items'!$AI$6:$AI$1005,MATCH(T433,'Items'!$A$6:$A$1005,0)),"MISSING ID")="Currency","Currency / no refinement tier","Recovered output / tier not applicable")),IF(OR(IFERROR(INDEX('Crafting recipes'!$H$6:$H$1005,MATCH(J433,'Crafting recipes'!$A$6:$A$1005,0)),"MISSING ID")="Unassigned",G433="Unassigned"),"Tier unresolved",IF(IFERROR(VALUE(RIGHT(G433,1))-VALUE(RIGHT(IFERROR(INDEX('Crafting recipes'!$H$6:$H$1005,MATCH(J433,'Crafting recipes'!$A$6:$A$1005,0)),"MISSING ID"),1)),0)=1,IF(B433=IFERROR(INDEX('Crafting recipes'!$H$6:$H$1005,MATCH(J433,'Crafting recipes'!$A$6:$A$1005,0)),"MISSING ID"),"Advances one material tier","Lower-tier ingredient; route advances one tier"),"Needs tier review"))))))</x:f>
        <x:v>Advances one material tier</x:v>
      </x:c>
      <x:c r="S433" s="4" t="str">
        <x:f>IFERROR(INDEX('Material routes'!$D$6:$D$2205,MATCH(U433,'Material routes'!$A$6:$A$2205,0)),"MISSING ID")</x:f>
        <x:v>proposal.t1.faunal_carrier</x:v>
      </x:c>
      <x:c r="T433" s="4" t="str">
        <x:f>IFERROR(INDEX('Material routes'!$D$6:$D$2205,MATCH(V433,'Material routes'!$A$6:$A$2205,0)),"MISSING ID")</x:f>
        <x:v>proposal.corrosion.inhibitor</x:v>
      </x:c>
      <x:c r="U433" s="4" t="str">
        <x:v>design.review.proposal_corrosion_inhibitor.in.2</x:v>
      </x:c>
      <x:c r="V433" s="4" t="str">
        <x:v>design.review.proposal_corrosion_inhibitor.out</x:v>
      </x:c>
    </x:row>
    <x:row r="434" ht="115" customHeight="1">
      <x:c r="A434" s="4" t="str">
        <x:f>IFERROR(INDEX('Material routes'!$E$6:$E$2205,MATCH(U434,'Material routes'!$A$6:$A$2205,0)),"MISSING ID")</x:f>
        <x:v>Graded mineral filler</x:v>
      </x:c>
      <x:c r="B434" s="4" t="str">
        <x:f>IFERROR(INDEX('Material routes'!$F$6:$F$2205,MATCH(U434,'Material routes'!$A$6:$A$2205,0)),"MISSING ID")</x:f>
        <x:v>T1</x:v>
      </x:c>
      <x:c r="C434" s="4" t="str">
        <x:f>IFERROR(INDEX('Material routes'!$H$6:$H$2205,MATCH(U434,'Material routes'!$A$6:$A$2205,0)),"MISSING ID")</x:f>
        <x:v>Processed material</x:v>
      </x:c>
      <x:c r="D434" s="4" t="str">
        <x:f>IFERROR(INDEX('Material routes'!$G$6:$G$2205,MATCH(U434,'Material routes'!$A$6:$A$2205,0)),"MISSING ID")</x:f>
        <x:v>Manufactured stock</x:v>
      </x:c>
      <x:c r="E434" s="4" t="str">
        <x:f>IFERROR(INDEX('Material routes'!$C$6:$C$2205,MATCH(U434,'Material routes'!$A$6:$A$2205,0)),"MISSING ID")</x:f>
        <x:v>Ingredient candidate</x:v>
      </x:c>
      <x:c r="F434" s="4" t="str">
        <x:f>IFERROR(INDEX('Material routes'!$E$6:$E$2205,MATCH(V434,'Material routes'!$A$6:$A$2205,0)),"MISSING ID")</x:f>
        <x:v>Corrosion-inhibiting finish</x:v>
      </x:c>
      <x:c r="G434" s="4" t="str">
        <x:f>IFERROR(INDEX('Material routes'!$F$6:$F$2205,MATCH(V434,'Material routes'!$A$6:$A$2205,0)),"MISSING ID")</x:f>
        <x:v>T2</x:v>
      </x:c>
      <x:c r="H434" s="4" t="str">
        <x:f>IFERROR(INDEX('Material routes'!$H$6:$H$2205,MATCH(V434,'Material routes'!$A$6:$A$2205,0)),"MISSING ID")</x:f>
        <x:v>Chemical material</x:v>
      </x:c>
      <x:c r="I434" s="4" t="str">
        <x:f>IFERROR(INDEX('Material routes'!$G$6:$G$2205,MATCH(V434,'Material routes'!$A$6:$A$2205,0)),"MISSING ID")</x:f>
        <x:v>Crafting components</x:v>
      </x:c>
      <x:c r="J434" s="4" t="str">
        <x:f>IFERROR(INDEX('Material routes'!$B$6:$B$2205,MATCH(U434,'Material routes'!$A$6:$A$2205,0)),"MISSING ID")</x:f>
        <x:v>design.review.proposal_corrosion_inhibitor</x:v>
      </x:c>
      <x:c r="K434" s="4" t="str">
        <x:f>IFERROR(INDEX('Crafting recipes'!$C$6:$C$1005,MATCH(J434,'Crafting recipes'!$A$6:$A$1005,0)),"MISSING ID")</x:f>
        <x:v>Material refinement</x:v>
      </x:c>
      <x:c r="L434" s="4" t="str">
        <x:f>IFERROR(INDEX('Material routes'!$K$6:$K$2205,MATCH(U434,'Material routes'!$A$6:$A$2205,0)),"MISSING ID")</x:f>
        <x:v>Proposal</x:v>
      </x:c>
      <x:c r="M434" s="4" t="str">
        <x:f>IFERROR(INDEX('Material routes'!$M$6:$M$2205,MATCH(U434,'Material routes'!$A$6:$A$2205,0)),"MISSING ID")</x:f>
        <x:v>Partial proposal</x:v>
      </x:c>
      <x:c r="N434" s="4" t="str">
        <x:f>IF(IFERROR(INDEX('Material routes'!$I$6:$I$1005,MATCH(U434,'Material routes'!$A$6:$A$1005,0)),"MISSING ID")=0,"",IFERROR(INDEX('Material routes'!$I$6:$I$1005,MATCH(U434,'Material routes'!$A$6:$A$1005,0)),"MISSING ID"))</x:f>
      </x:c>
      <x:c r="O434" s="4" t="str">
        <x:f>IFERROR(INDEX('Material routes'!$J$6:$J$2205,MATCH(U434,'Material routes'!$A$6:$A$2205,0)),"MISSING ID")</x:f>
        <x:v>Unspecified</x:v>
      </x:c>
      <x:c r="P434" s="4" t="str">
        <x:f>IF(IFERROR(INDEX('Material routes'!$I$6:$I$1005,MATCH(V434,'Material routes'!$A$6:$A$1005,0)),"MISSING ID")=0,"",IFERROR(INDEX('Material routes'!$I$6:$I$1005,MATCH(V434,'Material routes'!$A$6:$A$1005,0)),"MISSING ID"))</x:f>
      </x:c>
      <x:c r="Q434" s="4" t="str">
        <x:f>IFERROR(INDEX('Material routes'!$J$6:$J$2205,MATCH(V434,'Material routes'!$A$6:$A$2205,0)),"MISSING ID")</x:f>
        <x:v>Unspecified</x:v>
      </x:c>
      <x:c r="R434" s="4" t="str">
        <x:f>IF(L434="Withheld","Withheld premise",IF(E434="Tool candidate","Reusable prerequisite",IF(K434="Raw entry preparation","Entry-resource preparation",IF(G434="Not applicable",IF(IFERROR(INDEX('Items'!$AI$6:$AI$1005,MATCH(T434,'Items'!$A$6:$A$1005,0)),"MISSING ID")="Finished item","Finished endpoint",IF(IFERROR(INDEX('Items'!$AI$6:$AI$1005,MATCH(T434,'Items'!$A$6:$A$1005,0)),"MISSING ID")="Currency","Currency / no refinement tier","Recovered output / tier not applicable")),IF(OR(IFERROR(INDEX('Crafting recipes'!$H$6:$H$1005,MATCH(J434,'Crafting recipes'!$A$6:$A$1005,0)),"MISSING ID")="Unassigned",G434="Unassigned"),"Tier unresolved",IF(IFERROR(VALUE(RIGHT(G434,1))-VALUE(RIGHT(IFERROR(INDEX('Crafting recipes'!$H$6:$H$1005,MATCH(J434,'Crafting recipes'!$A$6:$A$1005,0)),"MISSING ID"),1)),0)=1,IF(B434=IFERROR(INDEX('Crafting recipes'!$H$6:$H$1005,MATCH(J434,'Crafting recipes'!$A$6:$A$1005,0)),"MISSING ID"),"Advances one material tier","Lower-tier ingredient; route advances one tier"),"Needs tier review"))))))</x:f>
        <x:v>Advances one material tier</x:v>
      </x:c>
      <x:c r="S434" s="4" t="str">
        <x:f>IFERROR(INDEX('Material routes'!$D$6:$D$2205,MATCH(U434,'Material routes'!$A$6:$A$2205,0)),"MISSING ID")</x:f>
        <x:v>proposal.t1.mineral_filler</x:v>
      </x:c>
      <x:c r="T434" s="4" t="str">
        <x:f>IFERROR(INDEX('Material routes'!$D$6:$D$2205,MATCH(V434,'Material routes'!$A$6:$A$2205,0)),"MISSING ID")</x:f>
        <x:v>proposal.corrosion.inhibitor</x:v>
      </x:c>
      <x:c r="U434" s="4" t="str">
        <x:v>design.review.proposal_corrosion_inhibitor.in.3</x:v>
      </x:c>
      <x:c r="V434" s="4" t="str">
        <x:v>design.review.proposal_corrosion_inhibitor.out</x:v>
      </x:c>
    </x:row>
    <x:row r="435" ht="115" customHeight="1">
      <x:c r="A435" s="4" t="str">
        <x:f>IFERROR(INDEX('Material routes'!$E$6:$E$2205,MATCH(U435,'Material routes'!$A$6:$A$2205,0)),"MISSING ID")</x:f>
        <x:v>Faunal chemical material (unspecified)</x:v>
      </x:c>
      <x:c r="B435" s="4" t="str">
        <x:f>IFERROR(INDEX('Material routes'!$F$6:$F$2205,MATCH(U435,'Material routes'!$A$6:$A$2205,0)),"MISSING ID")</x:f>
        <x:v>T0</x:v>
      </x:c>
      <x:c r="C435" s="4" t="str">
        <x:f>IFERROR(INDEX('Material routes'!$H$6:$H$2205,MATCH(U435,'Material routes'!$A$6:$A$2205,0)),"MISSING ID")</x:f>
        <x:v>Chemical material</x:v>
      </x:c>
      <x:c r="D435" s="4" t="str">
        <x:f>IFERROR(INDEX('Material routes'!$G$6:$G$2205,MATCH(U435,'Material routes'!$A$6:$A$2205,0)),"MISSING ID")</x:f>
        <x:v>Biological resources</x:v>
      </x:c>
      <x:c r="E435" s="4" t="str">
        <x:f>IFERROR(INDEX('Material routes'!$C$6:$C$2205,MATCH(U435,'Material routes'!$A$6:$A$2205,0)),"MISSING ID")</x:f>
        <x:v>Ingredient candidate</x:v>
      </x:c>
      <x:c r="F435" s="4" t="str">
        <x:f>IFERROR(INDEX('Material routes'!$E$6:$E$2205,MATCH(V435,'Material routes'!$A$6:$A$2205,0)),"MISSING ID")</x:f>
        <x:v>Selected oxide-reactive faunal fraction</x:v>
      </x:c>
      <x:c r="G435" s="4" t="str">
        <x:f>IFERROR(INDEX('Material routes'!$F$6:$F$2205,MATCH(V435,'Material routes'!$A$6:$A$2205,0)),"MISSING ID")</x:f>
        <x:v>T1</x:v>
      </x:c>
      <x:c r="H435" s="4" t="str">
        <x:f>IFERROR(INDEX('Material routes'!$H$6:$H$2205,MATCH(V435,'Material routes'!$A$6:$A$2205,0)),"MISSING ID")</x:f>
        <x:v>Chemical material</x:v>
      </x:c>
      <x:c r="I435" s="4" t="str">
        <x:f>IFERROR(INDEX('Material routes'!$G$6:$G$2205,MATCH(V435,'Material routes'!$A$6:$A$2205,0)),"MISSING ID")</x:f>
        <x:v>Crafting components</x:v>
      </x:c>
      <x:c r="J435" s="4" t="str">
        <x:f>IFERROR(INDEX('Material routes'!$B$6:$B$2205,MATCH(U435,'Material routes'!$A$6:$A$2205,0)),"MISSING ID")</x:f>
        <x:v>design.review.proposal_review_oxide_reactive_fraction</x:v>
      </x:c>
      <x:c r="K435" s="4" t="str">
        <x:f>IFERROR(INDEX('Crafting recipes'!$C$6:$C$1005,MATCH(J435,'Crafting recipes'!$A$6:$A$1005,0)),"MISSING ID")</x:f>
        <x:v>Material refinement</x:v>
      </x:c>
      <x:c r="L435" s="4" t="str">
        <x:f>IFERROR(INDEX('Material routes'!$K$6:$K$2205,MATCH(U435,'Material routes'!$A$6:$A$2205,0)),"MISSING ID")</x:f>
        <x:v>Proposal</x:v>
      </x:c>
      <x:c r="M435" s="4" t="str">
        <x:f>IFERROR(INDEX('Material routes'!$M$6:$M$2205,MATCH(U435,'Material routes'!$A$6:$A$2205,0)),"MISSING ID")</x:f>
        <x:v>Partial proposal</x:v>
      </x:c>
      <x:c r="N435" s="4" t="str">
        <x:f>IF(IFERROR(INDEX('Material routes'!$I$6:$I$1005,MATCH(U435,'Material routes'!$A$6:$A$1005,0)),"MISSING ID")=0,"",IFERROR(INDEX('Material routes'!$I$6:$I$1005,MATCH(U435,'Material routes'!$A$6:$A$1005,0)),"MISSING ID"))</x:f>
      </x:c>
      <x:c r="O435" s="4" t="str">
        <x:f>IFERROR(INDEX('Material routes'!$J$6:$J$2205,MATCH(U435,'Material routes'!$A$6:$A$2205,0)),"MISSING ID")</x:f>
        <x:v>Unspecified</x:v>
      </x:c>
      <x:c r="P435" s="4" t="str">
        <x:f>IF(IFERROR(INDEX('Material routes'!$I$6:$I$1005,MATCH(V435,'Material routes'!$A$6:$A$1005,0)),"MISSING ID")=0,"",IFERROR(INDEX('Material routes'!$I$6:$I$1005,MATCH(V435,'Material routes'!$A$6:$A$1005,0)),"MISSING ID"))</x:f>
      </x:c>
      <x:c r="Q435" s="4" t="str">
        <x:f>IFERROR(INDEX('Material routes'!$J$6:$J$2205,MATCH(V435,'Material routes'!$A$6:$A$2205,0)),"MISSING ID")</x:f>
        <x:v>Unspecified</x:v>
      </x:c>
      <x:c r="R435" s="4" t="str">
        <x:f>IF(L435="Withheld","Withheld premise",IF(E435="Tool candidate","Reusable prerequisite",IF(K435="Raw entry preparation","Entry-resource preparation",IF(G435="Not applicable",IF(IFERROR(INDEX('Items'!$AI$6:$AI$1005,MATCH(T435,'Items'!$A$6:$A$1005,0)),"MISSING ID")="Finished item","Finished endpoint",IF(IFERROR(INDEX('Items'!$AI$6:$AI$1005,MATCH(T435,'Items'!$A$6:$A$1005,0)),"MISSING ID")="Currency","Currency / no refinement tier","Recovered output / tier not applicable")),IF(OR(IFERROR(INDEX('Crafting recipes'!$H$6:$H$1005,MATCH(J435,'Crafting recipes'!$A$6:$A$1005,0)),"MISSING ID")="Unassigned",G435="Unassigned"),"Tier unresolved",IF(IFERROR(VALUE(RIGHT(G435,1))-VALUE(RIGHT(IFERROR(INDEX('Crafting recipes'!$H$6:$H$1005,MATCH(J435,'Crafting recipes'!$A$6:$A$1005,0)),"MISSING ID"),1)),0)=1,IF(B435=IFERROR(INDEX('Crafting recipes'!$H$6:$H$1005,MATCH(J435,'Crafting recipes'!$A$6:$A$1005,0)),"MISSING ID"),"Advances one material tier","Lower-tier ingredient; route advances one tier"),"Needs tier review"))))))</x:f>
        <x:v>Advances one material tier</x:v>
      </x:c>
      <x:c r="S435" s="4" t="str">
        <x:f>IFERROR(INDEX('Material routes'!$D$6:$D$2205,MATCH(U435,'Material routes'!$A$6:$A$2205,0)),"MISSING ID")</x:f>
        <x:v>proposal.bio.chemical_material</x:v>
      </x:c>
      <x:c r="T435" s="4" t="str">
        <x:f>IFERROR(INDEX('Material routes'!$D$6:$D$2205,MATCH(V435,'Material routes'!$A$6:$A$2205,0)),"MISSING ID")</x:f>
        <x:v>proposal.review.oxide_reactive_fraction</x:v>
      </x:c>
      <x:c r="U435" s="4" t="str">
        <x:v>design.review.proposal_review_oxide_reactive_fraction.in.1</x:v>
      </x:c>
      <x:c r="V435" s="4" t="str">
        <x:v>design.review.proposal_review_oxide_reactive_fraction.out</x:v>
      </x:c>
    </x:row>
    <x:row r="436" ht="115" customHeight="1">
      <x:c r="A436" s="4" t="str">
        <x:f>IFERROR(INDEX('Material routes'!$E$6:$E$2205,MATCH(U436,'Material routes'!$A$6:$A$2205,0)),"MISSING ID")</x:f>
        <x:v>Dry mineral salts</x:v>
      </x:c>
      <x:c r="B436" s="4" t="str">
        <x:f>IFERROR(INDEX('Material routes'!$F$6:$F$2205,MATCH(U436,'Material routes'!$A$6:$A$2205,0)),"MISSING ID")</x:f>
        <x:v>T0</x:v>
      </x:c>
      <x:c r="C436" s="4" t="str">
        <x:f>IFERROR(INDEX('Material routes'!$H$6:$H$2205,MATCH(U436,'Material routes'!$A$6:$A$2205,0)),"MISSING ID")</x:f>
        <x:v>Raw material</x:v>
      </x:c>
      <x:c r="D436" s="4" t="str">
        <x:f>IFERROR(INDEX('Material routes'!$G$6:$G$2205,MATCH(U436,'Material routes'!$A$6:$A$2205,0)),"MISSING ID")</x:f>
        <x:v>Mineral resources</x:v>
      </x:c>
      <x:c r="E436" s="4" t="str">
        <x:f>IFERROR(INDEX('Material routes'!$C$6:$C$2205,MATCH(U436,'Material routes'!$A$6:$A$2205,0)),"MISSING ID")</x:f>
        <x:v>Ingredient candidate</x:v>
      </x:c>
      <x:c r="F436" s="4" t="str">
        <x:f>IFERROR(INDEX('Material routes'!$E$6:$E$2205,MATCH(V436,'Material routes'!$A$6:$A$2205,0)),"MISSING ID")</x:f>
        <x:v>Selected oxide-reactive faunal fraction</x:v>
      </x:c>
      <x:c r="G436" s="4" t="str">
        <x:f>IFERROR(INDEX('Material routes'!$F$6:$F$2205,MATCH(V436,'Material routes'!$A$6:$A$2205,0)),"MISSING ID")</x:f>
        <x:v>T1</x:v>
      </x:c>
      <x:c r="H436" s="4" t="str">
        <x:f>IFERROR(INDEX('Material routes'!$H$6:$H$2205,MATCH(V436,'Material routes'!$A$6:$A$2205,0)),"MISSING ID")</x:f>
        <x:v>Chemical material</x:v>
      </x:c>
      <x:c r="I436" s="4" t="str">
        <x:f>IFERROR(INDEX('Material routes'!$G$6:$G$2205,MATCH(V436,'Material routes'!$A$6:$A$2205,0)),"MISSING ID")</x:f>
        <x:v>Crafting components</x:v>
      </x:c>
      <x:c r="J436" s="4" t="str">
        <x:f>IFERROR(INDEX('Material routes'!$B$6:$B$2205,MATCH(U436,'Material routes'!$A$6:$A$2205,0)),"MISSING ID")</x:f>
        <x:v>design.review.proposal_review_oxide_reactive_fraction</x:v>
      </x:c>
      <x:c r="K436" s="4" t="str">
        <x:f>IFERROR(INDEX('Crafting recipes'!$C$6:$C$1005,MATCH(J436,'Crafting recipes'!$A$6:$A$1005,0)),"MISSING ID")</x:f>
        <x:v>Material refinement</x:v>
      </x:c>
      <x:c r="L436" s="4" t="str">
        <x:f>IFERROR(INDEX('Material routes'!$K$6:$K$2205,MATCH(U436,'Material routes'!$A$6:$A$2205,0)),"MISSING ID")</x:f>
        <x:v>Proposal</x:v>
      </x:c>
      <x:c r="M436" s="4" t="str">
        <x:f>IFERROR(INDEX('Material routes'!$M$6:$M$2205,MATCH(U436,'Material routes'!$A$6:$A$2205,0)),"MISSING ID")</x:f>
        <x:v>Partial proposal</x:v>
      </x:c>
      <x:c r="N436" s="4" t="str">
        <x:f>IF(IFERROR(INDEX('Material routes'!$I$6:$I$1005,MATCH(U436,'Material routes'!$A$6:$A$1005,0)),"MISSING ID")=0,"",IFERROR(INDEX('Material routes'!$I$6:$I$1005,MATCH(U436,'Material routes'!$A$6:$A$1005,0)),"MISSING ID"))</x:f>
      </x:c>
      <x:c r="O436" s="4" t="str">
        <x:f>IFERROR(INDEX('Material routes'!$J$6:$J$2205,MATCH(U436,'Material routes'!$A$6:$A$2205,0)),"MISSING ID")</x:f>
        <x:v>Unspecified</x:v>
      </x:c>
      <x:c r="P436" s="4" t="str">
        <x:f>IF(IFERROR(INDEX('Material routes'!$I$6:$I$1005,MATCH(V436,'Material routes'!$A$6:$A$1005,0)),"MISSING ID")=0,"",IFERROR(INDEX('Material routes'!$I$6:$I$1005,MATCH(V436,'Material routes'!$A$6:$A$1005,0)),"MISSING ID"))</x:f>
      </x:c>
      <x:c r="Q436" s="4" t="str">
        <x:f>IFERROR(INDEX('Material routes'!$J$6:$J$2205,MATCH(V436,'Material routes'!$A$6:$A$2205,0)),"MISSING ID")</x:f>
        <x:v>Unspecified</x:v>
      </x:c>
      <x:c r="R436" s="4" t="str">
        <x:f>IF(L436="Withheld","Withheld premise",IF(E436="Tool candidate","Reusable prerequisite",IF(K436="Raw entry preparation","Entry-resource preparation",IF(G436="Not applicable",IF(IFERROR(INDEX('Items'!$AI$6:$AI$1005,MATCH(T436,'Items'!$A$6:$A$1005,0)),"MISSING ID")="Finished item","Finished endpoint",IF(IFERROR(INDEX('Items'!$AI$6:$AI$1005,MATCH(T436,'Items'!$A$6:$A$1005,0)),"MISSING ID")="Currency","Currency / no refinement tier","Recovered output / tier not applicable")),IF(OR(IFERROR(INDEX('Crafting recipes'!$H$6:$H$1005,MATCH(J436,'Crafting recipes'!$A$6:$A$1005,0)),"MISSING ID")="Unassigned",G436="Unassigned"),"Tier unresolved",IF(IFERROR(VALUE(RIGHT(G436,1))-VALUE(RIGHT(IFERROR(INDEX('Crafting recipes'!$H$6:$H$1005,MATCH(J436,'Crafting recipes'!$A$6:$A$1005,0)),"MISSING ID"),1)),0)=1,IF(B436=IFERROR(INDEX('Crafting recipes'!$H$6:$H$1005,MATCH(J436,'Crafting recipes'!$A$6:$A$1005,0)),"MISSING ID"),"Advances one material tier","Lower-tier ingredient; route advances one tier"),"Needs tier review"))))))</x:f>
        <x:v>Advances one material tier</x:v>
      </x:c>
      <x:c r="S436" s="4" t="str">
        <x:f>IFERROR(INDEX('Material routes'!$D$6:$D$2205,MATCH(U436,'Material routes'!$A$6:$A$2205,0)),"MISSING ID")</x:f>
        <x:v>proposal.natural.salts</x:v>
      </x:c>
      <x:c r="T436" s="4" t="str">
        <x:f>IFERROR(INDEX('Material routes'!$D$6:$D$2205,MATCH(V436,'Material routes'!$A$6:$A$2205,0)),"MISSING ID")</x:f>
        <x:v>proposal.review.oxide_reactive_fraction</x:v>
      </x:c>
      <x:c r="U436" s="4" t="str">
        <x:v>design.review.proposal_review_oxide_reactive_fraction.in.2</x:v>
      </x:c>
      <x:c r="V436" s="4" t="str">
        <x:v>design.review.proposal_review_oxide_reactive_fraction.out</x:v>
      </x:c>
    </x:row>
    <x:row r="437" ht="115" customHeight="1">
      <x:c r="A437" s="4" t="str">
        <x:f>IFERROR(INDEX('Material routes'!$E$6:$E$2205,MATCH(U437,'Material routes'!$A$6:$A$2205,0)),"MISSING ID")</x:f>
        <x:v>Mature formation Iron Growth pieces</x:v>
      </x:c>
      <x:c r="B437" s="4" t="str">
        <x:f>IFERROR(INDEX('Material routes'!$F$6:$F$2205,MATCH(U437,'Material routes'!$A$6:$A$2205,0)),"MISSING ID")</x:f>
        <x:v>T0</x:v>
      </x:c>
      <x:c r="C437" s="4" t="str">
        <x:f>IFERROR(INDEX('Material routes'!$H$6:$H$2205,MATCH(U437,'Material routes'!$A$6:$A$2205,0)),"MISSING ID")</x:f>
        <x:v>Raw material</x:v>
      </x:c>
      <x:c r="D437" s="4" t="str">
        <x:f>IFERROR(INDEX('Material routes'!$G$6:$G$2205,MATCH(U437,'Material routes'!$A$6:$A$2205,0)),"MISSING ID")</x:f>
        <x:v>Mineral resources</x:v>
      </x:c>
      <x:c r="E437" s="4" t="str">
        <x:f>IFERROR(INDEX('Material routes'!$C$6:$C$2205,MATCH(U437,'Material routes'!$A$6:$A$2205,0)),"MISSING ID")</x:f>
        <x:v>Ingredient candidate</x:v>
      </x:c>
      <x:c r="F437" s="4" t="str">
        <x:f>IFERROR(INDEX('Material routes'!$E$6:$E$2205,MATCH(V437,'Material routes'!$A$6:$A$2205,0)),"MISSING ID")</x:f>
        <x:v>Assayed Iron Growth feedstock</x:v>
      </x:c>
      <x:c r="G437" s="4" t="str">
        <x:f>IFERROR(INDEX('Material routes'!$F$6:$F$2205,MATCH(V437,'Material routes'!$A$6:$A$2205,0)),"MISSING ID")</x:f>
        <x:v>T1</x:v>
      </x:c>
      <x:c r="H437" s="4" t="str">
        <x:f>IFERROR(INDEX('Material routes'!$H$6:$H$2205,MATCH(V437,'Material routes'!$A$6:$A$2205,0)),"MISSING ID")</x:f>
        <x:v>Processed material</x:v>
      </x:c>
      <x:c r="I437" s="4" t="str">
        <x:f>IFERROR(INDEX('Material routes'!$G$6:$G$2205,MATCH(V437,'Material routes'!$A$6:$A$2205,0)),"MISSING ID")</x:f>
        <x:v>Manufactured stock</x:v>
      </x:c>
      <x:c r="J437" s="4" t="str">
        <x:f>IFERROR(INDEX('Material routes'!$B$6:$B$2205,MATCH(U437,'Material routes'!$A$6:$A$2205,0)),"MISSING ID")</x:f>
        <x:v>design.lore.assayed_growth</x:v>
      </x:c>
      <x:c r="K437" s="4" t="str">
        <x:f>IFERROR(INDEX('Crafting recipes'!$C$6:$C$1005,MATCH(J437,'Crafting recipes'!$A$6:$A$1005,0)),"MISSING ID")</x:f>
        <x:v>Material refinement</x:v>
      </x:c>
      <x:c r="L437" s="4" t="str">
        <x:f>IFERROR(INDEX('Material routes'!$K$6:$K$2205,MATCH(U437,'Material routes'!$A$6:$A$2205,0)),"MISSING ID")</x:f>
        <x:v>Proposal</x:v>
      </x:c>
      <x:c r="M437" s="4" t="str">
        <x:f>IFERROR(INDEX('Material routes'!$M$6:$M$2205,MATCH(U437,'Material routes'!$A$6:$A$2205,0)),"MISSING ID")</x:f>
        <x:v>Partial proposal</x:v>
      </x:c>
      <x:c r="N437" s="4" t="str">
        <x:f>IF(IFERROR(INDEX('Material routes'!$I$6:$I$1005,MATCH(U437,'Material routes'!$A$6:$A$1005,0)),"MISSING ID")=0,"",IFERROR(INDEX('Material routes'!$I$6:$I$1005,MATCH(U437,'Material routes'!$A$6:$A$1005,0)),"MISSING ID"))</x:f>
      </x:c>
      <x:c r="O437" s="4" t="str">
        <x:f>IFERROR(INDEX('Material routes'!$J$6:$J$2205,MATCH(U437,'Material routes'!$A$6:$A$2205,0)),"MISSING ID")</x:f>
        <x:v>Unspecified</x:v>
      </x:c>
      <x:c r="P437" s="4" t="str">
        <x:f>IF(IFERROR(INDEX('Material routes'!$I$6:$I$1005,MATCH(V437,'Material routes'!$A$6:$A$1005,0)),"MISSING ID")=0,"",IFERROR(INDEX('Material routes'!$I$6:$I$1005,MATCH(V437,'Material routes'!$A$6:$A$1005,0)),"MISSING ID"))</x:f>
      </x:c>
      <x:c r="Q437" s="4" t="str">
        <x:f>IFERROR(INDEX('Material routes'!$J$6:$J$2205,MATCH(V437,'Material routes'!$A$6:$A$2205,0)),"MISSING ID")</x:f>
        <x:v>Unspecified</x:v>
      </x:c>
      <x:c r="R437" s="4" t="str">
        <x:f>IF(L437="Withheld","Withheld premise",IF(E437="Tool candidate","Reusable prerequisite",IF(K437="Raw entry preparation","Entry-resource preparation",IF(G437="Not applicable",IF(IFERROR(INDEX('Items'!$AI$6:$AI$1005,MATCH(T437,'Items'!$A$6:$A$1005,0)),"MISSING ID")="Finished item","Finished endpoint",IF(IFERROR(INDEX('Items'!$AI$6:$AI$1005,MATCH(T437,'Items'!$A$6:$A$1005,0)),"MISSING ID")="Currency","Currency / no refinement tier","Recovered output / tier not applicable")),IF(OR(IFERROR(INDEX('Crafting recipes'!$H$6:$H$1005,MATCH(J437,'Crafting recipes'!$A$6:$A$1005,0)),"MISSING ID")="Unassigned",G437="Unassigned"),"Tier unresolved",IF(IFERROR(VALUE(RIGHT(G437,1))-VALUE(RIGHT(IFERROR(INDEX('Crafting recipes'!$H$6:$H$1005,MATCH(J437,'Crafting recipes'!$A$6:$A$1005,0)),"MISSING ID"),1)),0)=1,IF(B437=IFERROR(INDEX('Crafting recipes'!$H$6:$H$1005,MATCH(J437,'Crafting recipes'!$A$6:$A$1005,0)),"MISSING ID"),"Advances one material tier","Lower-tier ingredient; route advances one tier"),"Needs tier review"))))))</x:f>
        <x:v>Advances one material tier</x:v>
      </x:c>
      <x:c r="S437" s="4" t="str">
        <x:f>IFERROR(INDEX('Material routes'!$D$6:$D$2205,MATCH(U437,'Material routes'!$A$6:$A$2205,0)),"MISSING ID")</x:f>
        <x:v>proposal.lore.mature_growth</x:v>
      </x:c>
      <x:c r="T437" s="4" t="str">
        <x:f>IFERROR(INDEX('Material routes'!$D$6:$D$2205,MATCH(V437,'Material routes'!$A$6:$A$2205,0)),"MISSING ID")</x:f>
        <x:v>proposal.lore.assayed_growth</x:v>
      </x:c>
      <x:c r="U437" s="4" t="str">
        <x:v>design.lore.assayed_growth.in.1</x:v>
      </x:c>
      <x:c r="V437" s="4" t="str">
        <x:v>design.lore.assayed_growth.out</x:v>
      </x:c>
    </x:row>
    <x:row r="438" ht="115" customHeight="1">
      <x:c r="A438" s="4" t="str">
        <x:f>IFERROR(INDEX('Material routes'!$E$6:$E$2205,MATCH(U438,'Material routes'!$A$6:$A$2205,0)),"MISSING ID")</x:f>
        <x:v>Assayed Iron Growth feedstock</x:v>
      </x:c>
      <x:c r="B438" s="4" t="str">
        <x:f>IFERROR(INDEX('Material routes'!$F$6:$F$2205,MATCH(U438,'Material routes'!$A$6:$A$2205,0)),"MISSING ID")</x:f>
        <x:v>T1</x:v>
      </x:c>
      <x:c r="C438" s="4" t="str">
        <x:f>IFERROR(INDEX('Material routes'!$H$6:$H$2205,MATCH(U438,'Material routes'!$A$6:$A$2205,0)),"MISSING ID")</x:f>
        <x:v>Processed material</x:v>
      </x:c>
      <x:c r="D438" s="4" t="str">
        <x:f>IFERROR(INDEX('Material routes'!$G$6:$G$2205,MATCH(U438,'Material routes'!$A$6:$A$2205,0)),"MISSING ID")</x:f>
        <x:v>Manufactured stock</x:v>
      </x:c>
      <x:c r="E438" s="4" t="str">
        <x:f>IFERROR(INDEX('Material routes'!$C$6:$C$2205,MATCH(U438,'Material routes'!$A$6:$A$2205,0)),"MISSING ID")</x:f>
        <x:v>Ingredient candidate</x:v>
      </x:c>
      <x:c r="F438" s="4" t="str">
        <x:f>IFERROR(INDEX('Material routes'!$E$6:$E$2205,MATCH(V438,'Material routes'!$A$6:$A$2205,0)),"MISSING ID")</x:f>
        <x:v>Canister-grade Growth alloy stock</x:v>
      </x:c>
      <x:c r="G438" s="4" t="str">
        <x:f>IFERROR(INDEX('Material routes'!$F$6:$F$2205,MATCH(V438,'Material routes'!$A$6:$A$2205,0)),"MISSING ID")</x:f>
        <x:v>T2</x:v>
      </x:c>
      <x:c r="H438" s="4" t="str">
        <x:f>IFERROR(INDEX('Material routes'!$H$6:$H$2205,MATCH(V438,'Material routes'!$A$6:$A$2205,0)),"MISSING ID")</x:f>
        <x:v>Processed material</x:v>
      </x:c>
      <x:c r="I438" s="4" t="str">
        <x:f>IFERROR(INDEX('Material routes'!$G$6:$G$2205,MATCH(V438,'Material routes'!$A$6:$A$2205,0)),"MISSING ID")</x:f>
        <x:v>Manufactured stock</x:v>
      </x:c>
      <x:c r="J438" s="4" t="str">
        <x:f>IFERROR(INDEX('Material routes'!$B$6:$B$2205,MATCH(U438,'Material routes'!$A$6:$A$2205,0)),"MISSING ID")</x:f>
        <x:v>design.lore.growth_alloy</x:v>
      </x:c>
      <x:c r="K438" s="4" t="str">
        <x:f>IFERROR(INDEX('Crafting recipes'!$C$6:$C$1005,MATCH(J438,'Crafting recipes'!$A$6:$A$1005,0)),"MISSING ID")</x:f>
        <x:v>Material refinement</x:v>
      </x:c>
      <x:c r="L438" s="4" t="str">
        <x:f>IFERROR(INDEX('Material routes'!$K$6:$K$2205,MATCH(U438,'Material routes'!$A$6:$A$2205,0)),"MISSING ID")</x:f>
        <x:v>Proposal</x:v>
      </x:c>
      <x:c r="M438" s="4" t="str">
        <x:f>IFERROR(INDEX('Material routes'!$M$6:$M$2205,MATCH(U438,'Material routes'!$A$6:$A$2205,0)),"MISSING ID")</x:f>
        <x:v>Partial proposal</x:v>
      </x:c>
      <x:c r="N438" s="4" t="str">
        <x:f>IF(IFERROR(INDEX('Material routes'!$I$6:$I$1005,MATCH(U438,'Material routes'!$A$6:$A$1005,0)),"MISSING ID")=0,"",IFERROR(INDEX('Material routes'!$I$6:$I$1005,MATCH(U438,'Material routes'!$A$6:$A$1005,0)),"MISSING ID"))</x:f>
      </x:c>
      <x:c r="O438" s="4" t="str">
        <x:f>IFERROR(INDEX('Material routes'!$J$6:$J$2205,MATCH(U438,'Material routes'!$A$6:$A$2205,0)),"MISSING ID")</x:f>
        <x:v>Unspecified</x:v>
      </x:c>
      <x:c r="P438" s="4" t="str">
        <x:f>IF(IFERROR(INDEX('Material routes'!$I$6:$I$1005,MATCH(V438,'Material routes'!$A$6:$A$1005,0)),"MISSING ID")=0,"",IFERROR(INDEX('Material routes'!$I$6:$I$1005,MATCH(V438,'Material routes'!$A$6:$A$1005,0)),"MISSING ID"))</x:f>
      </x:c>
      <x:c r="Q438" s="4" t="str">
        <x:f>IFERROR(INDEX('Material routes'!$J$6:$J$2205,MATCH(V438,'Material routes'!$A$6:$A$2205,0)),"MISSING ID")</x:f>
        <x:v>Unspecified</x:v>
      </x:c>
      <x:c r="R438" s="4" t="str">
        <x:f>IF(L438="Withheld","Withheld premise",IF(E438="Tool candidate","Reusable prerequisite",IF(K438="Raw entry preparation","Entry-resource preparation",IF(G438="Not applicable",IF(IFERROR(INDEX('Items'!$AI$6:$AI$1005,MATCH(T438,'Items'!$A$6:$A$1005,0)),"MISSING ID")="Finished item","Finished endpoint",IF(IFERROR(INDEX('Items'!$AI$6:$AI$1005,MATCH(T438,'Items'!$A$6:$A$1005,0)),"MISSING ID")="Currency","Currency / no refinement tier","Recovered output / tier not applicable")),IF(OR(IFERROR(INDEX('Crafting recipes'!$H$6:$H$1005,MATCH(J438,'Crafting recipes'!$A$6:$A$1005,0)),"MISSING ID")="Unassigned",G438="Unassigned"),"Tier unresolved",IF(IFERROR(VALUE(RIGHT(G438,1))-VALUE(RIGHT(IFERROR(INDEX('Crafting recipes'!$H$6:$H$1005,MATCH(J438,'Crafting recipes'!$A$6:$A$1005,0)),"MISSING ID"),1)),0)=1,IF(B438=IFERROR(INDEX('Crafting recipes'!$H$6:$H$1005,MATCH(J438,'Crafting recipes'!$A$6:$A$1005,0)),"MISSING ID"),"Advances one material tier","Lower-tier ingredient; route advances one tier"),"Needs tier review"))))))</x:f>
        <x:v>Advances one material tier</x:v>
      </x:c>
      <x:c r="S438" s="4" t="str">
        <x:f>IFERROR(INDEX('Material routes'!$D$6:$D$2205,MATCH(U438,'Material routes'!$A$6:$A$2205,0)),"MISSING ID")</x:f>
        <x:v>proposal.lore.assayed_growth</x:v>
      </x:c>
      <x:c r="T438" s="4" t="str">
        <x:f>IFERROR(INDEX('Material routes'!$D$6:$D$2205,MATCH(V438,'Material routes'!$A$6:$A$2205,0)),"MISSING ID")</x:f>
        <x:v>proposal.lore.growth_alloy</x:v>
      </x:c>
      <x:c r="U438" s="4" t="str">
        <x:v>design.lore.growth_alloy.in.1</x:v>
      </x:c>
      <x:c r="V438" s="4" t="str">
        <x:v>design.lore.growth_alloy.out</x:v>
      </x:c>
    </x:row>
    <x:row r="439" ht="115" customHeight="1">
      <x:c r="A439" s="4" t="str">
        <x:f>IFERROR(INDEX('Material routes'!$E$6:$E$2205,MATCH(U439,'Material routes'!$A$6:$A$2205,0)),"MISSING ID")</x:f>
        <x:v>Prepared metallurgical flux</x:v>
      </x:c>
      <x:c r="B439" s="4" t="str">
        <x:f>IFERROR(INDEX('Material routes'!$F$6:$F$2205,MATCH(U439,'Material routes'!$A$6:$A$2205,0)),"MISSING ID")</x:f>
        <x:v>T1</x:v>
      </x:c>
      <x:c r="C439" s="4" t="str">
        <x:f>IFERROR(INDEX('Material routes'!$H$6:$H$2205,MATCH(U439,'Material routes'!$A$6:$A$2205,0)),"MISSING ID")</x:f>
        <x:v>Processed material</x:v>
      </x:c>
      <x:c r="D439" s="4" t="str">
        <x:f>IFERROR(INDEX('Material routes'!$G$6:$G$2205,MATCH(U439,'Material routes'!$A$6:$A$2205,0)),"MISSING ID")</x:f>
        <x:v>Crafting components</x:v>
      </x:c>
      <x:c r="E439" s="4" t="str">
        <x:f>IFERROR(INDEX('Material routes'!$C$6:$C$2205,MATCH(U439,'Material routes'!$A$6:$A$2205,0)),"MISSING ID")</x:f>
        <x:v>Ingredient candidate</x:v>
      </x:c>
      <x:c r="F439" s="4" t="str">
        <x:f>IFERROR(INDEX('Material routes'!$E$6:$E$2205,MATCH(V439,'Material routes'!$A$6:$A$2205,0)),"MISSING ID")</x:f>
        <x:v>Canister-grade Growth alloy stock</x:v>
      </x:c>
      <x:c r="G439" s="4" t="str">
        <x:f>IFERROR(INDEX('Material routes'!$F$6:$F$2205,MATCH(V439,'Material routes'!$A$6:$A$2205,0)),"MISSING ID")</x:f>
        <x:v>T2</x:v>
      </x:c>
      <x:c r="H439" s="4" t="str">
        <x:f>IFERROR(INDEX('Material routes'!$H$6:$H$2205,MATCH(V439,'Material routes'!$A$6:$A$2205,0)),"MISSING ID")</x:f>
        <x:v>Processed material</x:v>
      </x:c>
      <x:c r="I439" s="4" t="str">
        <x:f>IFERROR(INDEX('Material routes'!$G$6:$G$2205,MATCH(V439,'Material routes'!$A$6:$A$2205,0)),"MISSING ID")</x:f>
        <x:v>Manufactured stock</x:v>
      </x:c>
      <x:c r="J439" s="4" t="str">
        <x:f>IFERROR(INDEX('Material routes'!$B$6:$B$2205,MATCH(U439,'Material routes'!$A$6:$A$2205,0)),"MISSING ID")</x:f>
        <x:v>design.lore.growth_alloy</x:v>
      </x:c>
      <x:c r="K439" s="4" t="str">
        <x:f>IFERROR(INDEX('Crafting recipes'!$C$6:$C$1005,MATCH(J439,'Crafting recipes'!$A$6:$A$1005,0)),"MISSING ID")</x:f>
        <x:v>Material refinement</x:v>
      </x:c>
      <x:c r="L439" s="4" t="str">
        <x:f>IFERROR(INDEX('Material routes'!$K$6:$K$2205,MATCH(U439,'Material routes'!$A$6:$A$2205,0)),"MISSING ID")</x:f>
        <x:v>Proposal</x:v>
      </x:c>
      <x:c r="M439" s="4" t="str">
        <x:f>IFERROR(INDEX('Material routes'!$M$6:$M$2205,MATCH(U439,'Material routes'!$A$6:$A$2205,0)),"MISSING ID")</x:f>
        <x:v>Partial proposal</x:v>
      </x:c>
      <x:c r="N439" s="4" t="str">
        <x:f>IF(IFERROR(INDEX('Material routes'!$I$6:$I$1005,MATCH(U439,'Material routes'!$A$6:$A$1005,0)),"MISSING ID")=0,"",IFERROR(INDEX('Material routes'!$I$6:$I$1005,MATCH(U439,'Material routes'!$A$6:$A$1005,0)),"MISSING ID"))</x:f>
      </x:c>
      <x:c r="O439" s="4" t="str">
        <x:f>IFERROR(INDEX('Material routes'!$J$6:$J$2205,MATCH(U439,'Material routes'!$A$6:$A$2205,0)),"MISSING ID")</x:f>
        <x:v>Unspecified</x:v>
      </x:c>
      <x:c r="P439" s="4" t="str">
        <x:f>IF(IFERROR(INDEX('Material routes'!$I$6:$I$1005,MATCH(V439,'Material routes'!$A$6:$A$1005,0)),"MISSING ID")=0,"",IFERROR(INDEX('Material routes'!$I$6:$I$1005,MATCH(V439,'Material routes'!$A$6:$A$1005,0)),"MISSING ID"))</x:f>
      </x:c>
      <x:c r="Q439" s="4" t="str">
        <x:f>IFERROR(INDEX('Material routes'!$J$6:$J$2205,MATCH(V439,'Material routes'!$A$6:$A$2205,0)),"MISSING ID")</x:f>
        <x:v>Unspecified</x:v>
      </x:c>
      <x:c r="R439" s="4" t="str">
        <x:f>IF(L439="Withheld","Withheld premise",IF(E439="Tool candidate","Reusable prerequisite",IF(K439="Raw entry preparation","Entry-resource preparation",IF(G439="Not applicable",IF(IFERROR(INDEX('Items'!$AI$6:$AI$1005,MATCH(T439,'Items'!$A$6:$A$1005,0)),"MISSING ID")="Finished item","Finished endpoint",IF(IFERROR(INDEX('Items'!$AI$6:$AI$1005,MATCH(T439,'Items'!$A$6:$A$1005,0)),"MISSING ID")="Currency","Currency / no refinement tier","Recovered output / tier not applicable")),IF(OR(IFERROR(INDEX('Crafting recipes'!$H$6:$H$1005,MATCH(J439,'Crafting recipes'!$A$6:$A$1005,0)),"MISSING ID")="Unassigned",G439="Unassigned"),"Tier unresolved",IF(IFERROR(VALUE(RIGHT(G439,1))-VALUE(RIGHT(IFERROR(INDEX('Crafting recipes'!$H$6:$H$1005,MATCH(J439,'Crafting recipes'!$A$6:$A$1005,0)),"MISSING ID"),1)),0)=1,IF(B439=IFERROR(INDEX('Crafting recipes'!$H$6:$H$1005,MATCH(J439,'Crafting recipes'!$A$6:$A$1005,0)),"MISSING ID"),"Advances one material tier","Lower-tier ingredient; route advances one tier"),"Needs tier review"))))))</x:f>
        <x:v>Advances one material tier</x:v>
      </x:c>
      <x:c r="S439" s="4" t="str">
        <x:f>IFERROR(INDEX('Material routes'!$D$6:$D$2205,MATCH(U439,'Material routes'!$A$6:$A$2205,0)),"MISSING ID")</x:f>
        <x:v>proposal.branch.flux</x:v>
      </x:c>
      <x:c r="T439" s="4" t="str">
        <x:f>IFERROR(INDEX('Material routes'!$D$6:$D$2205,MATCH(V439,'Material routes'!$A$6:$A$2205,0)),"MISSING ID")</x:f>
        <x:v>proposal.lore.growth_alloy</x:v>
      </x:c>
      <x:c r="U439" s="4" t="str">
        <x:v>design.lore.growth_alloy.in.2</x:v>
      </x:c>
      <x:c r="V439" s="4" t="str">
        <x:v>design.lore.growth_alloy.out</x:v>
      </x:c>
    </x:row>
    <x:row r="440" ht="115" customHeight="1">
      <x:c r="A440" s="4" t="str">
        <x:f>IFERROR(INDEX('Material routes'!$E$6:$E$2205,MATCH(U440,'Material routes'!$A$6:$A$2205,0)),"MISSING ID")</x:f>
        <x:v>Manganese-bearing alloy feed</x:v>
      </x:c>
      <x:c r="B440" s="4" t="str">
        <x:f>IFERROR(INDEX('Material routes'!$F$6:$F$2205,MATCH(U440,'Material routes'!$A$6:$A$2205,0)),"MISSING ID")</x:f>
        <x:v>T1</x:v>
      </x:c>
      <x:c r="C440" s="4" t="str">
        <x:f>IFERROR(INDEX('Material routes'!$H$6:$H$2205,MATCH(U440,'Material routes'!$A$6:$A$2205,0)),"MISSING ID")</x:f>
        <x:v>Processed material</x:v>
      </x:c>
      <x:c r="D440" s="4" t="str">
        <x:f>IFERROR(INDEX('Material routes'!$G$6:$G$2205,MATCH(U440,'Material routes'!$A$6:$A$2205,0)),"MISSING ID")</x:f>
        <x:v>Manufactured stock</x:v>
      </x:c>
      <x:c r="E440" s="4" t="str">
        <x:f>IFERROR(INDEX('Material routes'!$C$6:$C$2205,MATCH(U440,'Material routes'!$A$6:$A$2205,0)),"MISSING ID")</x:f>
        <x:v>Ingredient candidate</x:v>
      </x:c>
      <x:c r="F440" s="4" t="str">
        <x:f>IFERROR(INDEX('Material routes'!$E$6:$E$2205,MATCH(V440,'Material routes'!$A$6:$A$2205,0)),"MISSING ID")</x:f>
        <x:v>Canister-grade Growth alloy stock</x:v>
      </x:c>
      <x:c r="G440" s="4" t="str">
        <x:f>IFERROR(INDEX('Material routes'!$F$6:$F$2205,MATCH(V440,'Material routes'!$A$6:$A$2205,0)),"MISSING ID")</x:f>
        <x:v>T2</x:v>
      </x:c>
      <x:c r="H440" s="4" t="str">
        <x:f>IFERROR(INDEX('Material routes'!$H$6:$H$2205,MATCH(V440,'Material routes'!$A$6:$A$2205,0)),"MISSING ID")</x:f>
        <x:v>Processed material</x:v>
      </x:c>
      <x:c r="I440" s="4" t="str">
        <x:f>IFERROR(INDEX('Material routes'!$G$6:$G$2205,MATCH(V440,'Material routes'!$A$6:$A$2205,0)),"MISSING ID")</x:f>
        <x:v>Manufactured stock</x:v>
      </x:c>
      <x:c r="J440" s="4" t="str">
        <x:f>IFERROR(INDEX('Material routes'!$B$6:$B$2205,MATCH(U440,'Material routes'!$A$6:$A$2205,0)),"MISSING ID")</x:f>
        <x:v>design.lore.growth_alloy</x:v>
      </x:c>
      <x:c r="K440" s="4" t="str">
        <x:f>IFERROR(INDEX('Crafting recipes'!$C$6:$C$1005,MATCH(J440,'Crafting recipes'!$A$6:$A$1005,0)),"MISSING ID")</x:f>
        <x:v>Material refinement</x:v>
      </x:c>
      <x:c r="L440" s="4" t="str">
        <x:f>IFERROR(INDEX('Material routes'!$K$6:$K$2205,MATCH(U440,'Material routes'!$A$6:$A$2205,0)),"MISSING ID")</x:f>
        <x:v>Proposal</x:v>
      </x:c>
      <x:c r="M440" s="4" t="str">
        <x:f>IFERROR(INDEX('Material routes'!$M$6:$M$2205,MATCH(U440,'Material routes'!$A$6:$A$2205,0)),"MISSING ID")</x:f>
        <x:v>Partial proposal</x:v>
      </x:c>
      <x:c r="N440" s="4" t="str">
        <x:f>IF(IFERROR(INDEX('Material routes'!$I$6:$I$1005,MATCH(U440,'Material routes'!$A$6:$A$1005,0)),"MISSING ID")=0,"",IFERROR(INDEX('Material routes'!$I$6:$I$1005,MATCH(U440,'Material routes'!$A$6:$A$1005,0)),"MISSING ID"))</x:f>
      </x:c>
      <x:c r="O440" s="4" t="str">
        <x:f>IFERROR(INDEX('Material routes'!$J$6:$J$2205,MATCH(U440,'Material routes'!$A$6:$A$2205,0)),"MISSING ID")</x:f>
        <x:v>Unspecified</x:v>
      </x:c>
      <x:c r="P440" s="4" t="str">
        <x:f>IF(IFERROR(INDEX('Material routes'!$I$6:$I$1005,MATCH(V440,'Material routes'!$A$6:$A$1005,0)),"MISSING ID")=0,"",IFERROR(INDEX('Material routes'!$I$6:$I$1005,MATCH(V440,'Material routes'!$A$6:$A$1005,0)),"MISSING ID"))</x:f>
      </x:c>
      <x:c r="Q440" s="4" t="str">
        <x:f>IFERROR(INDEX('Material routes'!$J$6:$J$2205,MATCH(V440,'Material routes'!$A$6:$A$2205,0)),"MISSING ID")</x:f>
        <x:v>Unspecified</x:v>
      </x:c>
      <x:c r="R440" s="4" t="str">
        <x:f>IF(L440="Withheld","Withheld premise",IF(E440="Tool candidate","Reusable prerequisite",IF(K440="Raw entry preparation","Entry-resource preparation",IF(G440="Not applicable",IF(IFERROR(INDEX('Items'!$AI$6:$AI$1005,MATCH(T440,'Items'!$A$6:$A$1005,0)),"MISSING ID")="Finished item","Finished endpoint",IF(IFERROR(INDEX('Items'!$AI$6:$AI$1005,MATCH(T440,'Items'!$A$6:$A$1005,0)),"MISSING ID")="Currency","Currency / no refinement tier","Recovered output / tier not applicable")),IF(OR(IFERROR(INDEX('Crafting recipes'!$H$6:$H$1005,MATCH(J440,'Crafting recipes'!$A$6:$A$1005,0)),"MISSING ID")="Unassigned",G440="Unassigned"),"Tier unresolved",IF(IFERROR(VALUE(RIGHT(G440,1))-VALUE(RIGHT(IFERROR(INDEX('Crafting recipes'!$H$6:$H$1005,MATCH(J440,'Crafting recipes'!$A$6:$A$1005,0)),"MISSING ID"),1)),0)=1,IF(B440=IFERROR(INDEX('Crafting recipes'!$H$6:$H$1005,MATCH(J440,'Crafting recipes'!$A$6:$A$1005,0)),"MISSING ID"),"Advances one material tier","Lower-tier ingredient; route advances one tier"),"Needs tier review"))))))</x:f>
        <x:v>Advances one material tier</x:v>
      </x:c>
      <x:c r="S440" s="4" t="str">
        <x:f>IFERROR(INDEX('Material routes'!$D$6:$D$2205,MATCH(U440,'Material routes'!$A$6:$A$2205,0)),"MISSING ID")</x:f>
        <x:v>proposal.branch.manganese_feed</x:v>
      </x:c>
      <x:c r="T440" s="4" t="str">
        <x:f>IFERROR(INDEX('Material routes'!$D$6:$D$2205,MATCH(V440,'Material routes'!$A$6:$A$2205,0)),"MISSING ID")</x:f>
        <x:v>proposal.lore.growth_alloy</x:v>
      </x:c>
      <x:c r="U440" s="4" t="str">
        <x:v>design.lore.growth_alloy.in.3</x:v>
      </x:c>
      <x:c r="V440" s="4" t="str">
        <x:v>design.lore.growth_alloy.out</x:v>
      </x:c>
    </x:row>
    <x:row r="441" ht="115" customHeight="1">
      <x:c r="A441" s="4" t="str">
        <x:f>IFERROR(INDEX('Material routes'!$E$6:$E$2205,MATCH(U441,'Material routes'!$A$6:$A$2205,0)),"MISSING ID")</x:f>
        <x:v>Canister-grade Growth alloy stock</x:v>
      </x:c>
      <x:c r="B441" s="4" t="str">
        <x:f>IFERROR(INDEX('Material routes'!$F$6:$F$2205,MATCH(U441,'Material routes'!$A$6:$A$2205,0)),"MISSING ID")</x:f>
        <x:v>T2</x:v>
      </x:c>
      <x:c r="C441" s="4" t="str">
        <x:f>IFERROR(INDEX('Material routes'!$H$6:$H$2205,MATCH(U441,'Material routes'!$A$6:$A$2205,0)),"MISSING ID")</x:f>
        <x:v>Processed material</x:v>
      </x:c>
      <x:c r="D441" s="4" t="str">
        <x:f>IFERROR(INDEX('Material routes'!$G$6:$G$2205,MATCH(U441,'Material routes'!$A$6:$A$2205,0)),"MISSING ID")</x:f>
        <x:v>Manufactured stock</x:v>
      </x:c>
      <x:c r="E441" s="4" t="str">
        <x:f>IFERROR(INDEX('Material routes'!$C$6:$C$2205,MATCH(U441,'Material routes'!$A$6:$A$2205,0)),"MISSING ID")</x:f>
        <x:v>Ingredient candidate</x:v>
      </x:c>
      <x:c r="F441" s="4" t="str">
        <x:f>IFERROR(INDEX('Material routes'!$E$6:$E$2205,MATCH(V441,'Material routes'!$A$6:$A$2205,0)),"MISSING ID")</x:f>
        <x:v>Growth-alloy seal-seat blanks</x:v>
      </x:c>
      <x:c r="G441" s="4" t="str">
        <x:f>IFERROR(INDEX('Material routes'!$F$6:$F$2205,MATCH(V441,'Material routes'!$A$6:$A$2205,0)),"MISSING ID")</x:f>
        <x:v>T3</x:v>
      </x:c>
      <x:c r="H441" s="4" t="str">
        <x:f>IFERROR(INDEX('Material routes'!$H$6:$H$2205,MATCH(V441,'Material routes'!$A$6:$A$2205,0)),"MISSING ID")</x:f>
        <x:v>Crafting component</x:v>
      </x:c>
      <x:c r="I441" s="4" t="str">
        <x:f>IFERROR(INDEX('Material routes'!$G$6:$G$2205,MATCH(V441,'Material routes'!$A$6:$A$2205,0)),"MISSING ID")</x:f>
        <x:v>Crafting components</x:v>
      </x:c>
      <x:c r="J441" s="4" t="str">
        <x:f>IFERROR(INDEX('Material routes'!$B$6:$B$2205,MATCH(U441,'Material routes'!$A$6:$A$2205,0)),"MISSING ID")</x:f>
        <x:v>design.lore.growth_seat_blank</x:v>
      </x:c>
      <x:c r="K441" s="4" t="str">
        <x:f>IFERROR(INDEX('Crafting recipes'!$C$6:$C$1005,MATCH(J441,'Crafting recipes'!$A$6:$A$1005,0)),"MISSING ID")</x:f>
        <x:v>Material refinement</x:v>
      </x:c>
      <x:c r="L441" s="4" t="str">
        <x:f>IFERROR(INDEX('Material routes'!$K$6:$K$2205,MATCH(U441,'Material routes'!$A$6:$A$2205,0)),"MISSING ID")</x:f>
        <x:v>Proposal</x:v>
      </x:c>
      <x:c r="M441" s="4" t="str">
        <x:f>IFERROR(INDEX('Material routes'!$M$6:$M$2205,MATCH(U441,'Material routes'!$A$6:$A$2205,0)),"MISSING ID")</x:f>
        <x:v>Partial proposal</x:v>
      </x:c>
      <x:c r="N441" s="4" t="str">
        <x:f>IF(IFERROR(INDEX('Material routes'!$I$6:$I$1005,MATCH(U441,'Material routes'!$A$6:$A$1005,0)),"MISSING ID")=0,"",IFERROR(INDEX('Material routes'!$I$6:$I$1005,MATCH(U441,'Material routes'!$A$6:$A$1005,0)),"MISSING ID"))</x:f>
      </x:c>
      <x:c r="O441" s="4" t="str">
        <x:f>IFERROR(INDEX('Material routes'!$J$6:$J$2205,MATCH(U441,'Material routes'!$A$6:$A$2205,0)),"MISSING ID")</x:f>
        <x:v>Unspecified</x:v>
      </x:c>
      <x:c r="P441" s="4" t="str">
        <x:f>IF(IFERROR(INDEX('Material routes'!$I$6:$I$1005,MATCH(V441,'Material routes'!$A$6:$A$1005,0)),"MISSING ID")=0,"",IFERROR(INDEX('Material routes'!$I$6:$I$1005,MATCH(V441,'Material routes'!$A$6:$A$1005,0)),"MISSING ID"))</x:f>
      </x:c>
      <x:c r="Q441" s="4" t="str">
        <x:f>IFERROR(INDEX('Material routes'!$J$6:$J$2205,MATCH(V441,'Material routes'!$A$6:$A$2205,0)),"MISSING ID")</x:f>
        <x:v>Unspecified</x:v>
      </x:c>
      <x:c r="R441" s="4" t="str">
        <x:f>IF(L441="Withheld","Withheld premise",IF(E441="Tool candidate","Reusable prerequisite",IF(K441="Raw entry preparation","Entry-resource preparation",IF(G441="Not applicable",IF(IFERROR(INDEX('Items'!$AI$6:$AI$1005,MATCH(T441,'Items'!$A$6:$A$1005,0)),"MISSING ID")="Finished item","Finished endpoint",IF(IFERROR(INDEX('Items'!$AI$6:$AI$1005,MATCH(T441,'Items'!$A$6:$A$1005,0)),"MISSING ID")="Currency","Currency / no refinement tier","Recovered output / tier not applicable")),IF(OR(IFERROR(INDEX('Crafting recipes'!$H$6:$H$1005,MATCH(J441,'Crafting recipes'!$A$6:$A$1005,0)),"MISSING ID")="Unassigned",G441="Unassigned"),"Tier unresolved",IF(IFERROR(VALUE(RIGHT(G441,1))-VALUE(RIGHT(IFERROR(INDEX('Crafting recipes'!$H$6:$H$1005,MATCH(J441,'Crafting recipes'!$A$6:$A$1005,0)),"MISSING ID"),1)),0)=1,IF(B441=IFERROR(INDEX('Crafting recipes'!$H$6:$H$1005,MATCH(J441,'Crafting recipes'!$A$6:$A$1005,0)),"MISSING ID"),"Advances one material tier","Lower-tier ingredient; route advances one tier"),"Needs tier review"))))))</x:f>
        <x:v>Advances one material tier</x:v>
      </x:c>
      <x:c r="S441" s="4" t="str">
        <x:f>IFERROR(INDEX('Material routes'!$D$6:$D$2205,MATCH(U441,'Material routes'!$A$6:$A$2205,0)),"MISSING ID")</x:f>
        <x:v>proposal.lore.growth_alloy</x:v>
      </x:c>
      <x:c r="T441" s="4" t="str">
        <x:f>IFERROR(INDEX('Material routes'!$D$6:$D$2205,MATCH(V441,'Material routes'!$A$6:$A$2205,0)),"MISSING ID")</x:f>
        <x:v>proposal.lore.growth_seat_blank</x:v>
      </x:c>
      <x:c r="U441" s="4" t="str">
        <x:v>design.lore.growth_seat_blank.in.1</x:v>
      </x:c>
      <x:c r="V441" s="4" t="str">
        <x:v>design.lore.growth_seat_blank.out</x:v>
      </x:c>
    </x:row>
    <x:row r="442" ht="115" customHeight="1">
      <x:c r="A442" s="4" t="str">
        <x:f>IFERROR(INDEX('Material routes'!$E$6:$E$2205,MATCH(U442,'Material routes'!$A$6:$A$2205,0)),"MISSING ID")</x:f>
        <x:v>Graded abrasive grit</x:v>
      </x:c>
      <x:c r="B442" s="4" t="str">
        <x:f>IFERROR(INDEX('Material routes'!$F$6:$F$2205,MATCH(U442,'Material routes'!$A$6:$A$2205,0)),"MISSING ID")</x:f>
        <x:v>T1</x:v>
      </x:c>
      <x:c r="C442" s="4" t="str">
        <x:f>IFERROR(INDEX('Material routes'!$H$6:$H$2205,MATCH(U442,'Material routes'!$A$6:$A$2205,0)),"MISSING ID")</x:f>
        <x:v>Processed material</x:v>
      </x:c>
      <x:c r="D442" s="4" t="str">
        <x:f>IFERROR(INDEX('Material routes'!$G$6:$G$2205,MATCH(U442,'Material routes'!$A$6:$A$2205,0)),"MISSING ID")</x:f>
        <x:v>Manufactured stock</x:v>
      </x:c>
      <x:c r="E442" s="4" t="str">
        <x:f>IFERROR(INDEX('Material routes'!$C$6:$C$2205,MATCH(U442,'Material routes'!$A$6:$A$2205,0)),"MISSING ID")</x:f>
        <x:v>Ingredient candidate</x:v>
      </x:c>
      <x:c r="F442" s="4" t="str">
        <x:f>IFERROR(INDEX('Material routes'!$E$6:$E$2205,MATCH(V442,'Material routes'!$A$6:$A$2205,0)),"MISSING ID")</x:f>
        <x:v>Growth-alloy seal-seat blanks</x:v>
      </x:c>
      <x:c r="G442" s="4" t="str">
        <x:f>IFERROR(INDEX('Material routes'!$F$6:$F$2205,MATCH(V442,'Material routes'!$A$6:$A$2205,0)),"MISSING ID")</x:f>
        <x:v>T3</x:v>
      </x:c>
      <x:c r="H442" s="4" t="str">
        <x:f>IFERROR(INDEX('Material routes'!$H$6:$H$2205,MATCH(V442,'Material routes'!$A$6:$A$2205,0)),"MISSING ID")</x:f>
        <x:v>Crafting component</x:v>
      </x:c>
      <x:c r="I442" s="4" t="str">
        <x:f>IFERROR(INDEX('Material routes'!$G$6:$G$2205,MATCH(V442,'Material routes'!$A$6:$A$2205,0)),"MISSING ID")</x:f>
        <x:v>Crafting components</x:v>
      </x:c>
      <x:c r="J442" s="4" t="str">
        <x:f>IFERROR(INDEX('Material routes'!$B$6:$B$2205,MATCH(U442,'Material routes'!$A$6:$A$2205,0)),"MISSING ID")</x:f>
        <x:v>design.lore.growth_seat_blank</x:v>
      </x:c>
      <x:c r="K442" s="4" t="str">
        <x:f>IFERROR(INDEX('Crafting recipes'!$C$6:$C$1005,MATCH(J442,'Crafting recipes'!$A$6:$A$1005,0)),"MISSING ID")</x:f>
        <x:v>Material refinement</x:v>
      </x:c>
      <x:c r="L442" s="4" t="str">
        <x:f>IFERROR(INDEX('Material routes'!$K$6:$K$2205,MATCH(U442,'Material routes'!$A$6:$A$2205,0)),"MISSING ID")</x:f>
        <x:v>Proposal</x:v>
      </x:c>
      <x:c r="M442" s="4" t="str">
        <x:f>IFERROR(INDEX('Material routes'!$M$6:$M$2205,MATCH(U442,'Material routes'!$A$6:$A$2205,0)),"MISSING ID")</x:f>
        <x:v>Partial proposal</x:v>
      </x:c>
      <x:c r="N442" s="4" t="str">
        <x:f>IF(IFERROR(INDEX('Material routes'!$I$6:$I$1005,MATCH(U442,'Material routes'!$A$6:$A$1005,0)),"MISSING ID")=0,"",IFERROR(INDEX('Material routes'!$I$6:$I$1005,MATCH(U442,'Material routes'!$A$6:$A$1005,0)),"MISSING ID"))</x:f>
      </x:c>
      <x:c r="O442" s="4" t="str">
        <x:f>IFERROR(INDEX('Material routes'!$J$6:$J$2205,MATCH(U442,'Material routes'!$A$6:$A$2205,0)),"MISSING ID")</x:f>
        <x:v>Unspecified</x:v>
      </x:c>
      <x:c r="P442" s="4" t="str">
        <x:f>IF(IFERROR(INDEX('Material routes'!$I$6:$I$1005,MATCH(V442,'Material routes'!$A$6:$A$1005,0)),"MISSING ID")=0,"",IFERROR(INDEX('Material routes'!$I$6:$I$1005,MATCH(V442,'Material routes'!$A$6:$A$1005,0)),"MISSING ID"))</x:f>
      </x:c>
      <x:c r="Q442" s="4" t="str">
        <x:f>IFERROR(INDEX('Material routes'!$J$6:$J$2205,MATCH(V442,'Material routes'!$A$6:$A$2205,0)),"MISSING ID")</x:f>
        <x:v>Unspecified</x:v>
      </x:c>
      <x:c r="R442" s="4" t="str">
        <x:f>IF(L442="Withheld","Withheld premise",IF(E442="Tool candidate","Reusable prerequisite",IF(K442="Raw entry preparation","Entry-resource preparation",IF(G442="Not applicable",IF(IFERROR(INDEX('Items'!$AI$6:$AI$1005,MATCH(T442,'Items'!$A$6:$A$1005,0)),"MISSING ID")="Finished item","Finished endpoint",IF(IFERROR(INDEX('Items'!$AI$6:$AI$1005,MATCH(T442,'Items'!$A$6:$A$1005,0)),"MISSING ID")="Currency","Currency / no refinement tier","Recovered output / tier not applicable")),IF(OR(IFERROR(INDEX('Crafting recipes'!$H$6:$H$1005,MATCH(J442,'Crafting recipes'!$A$6:$A$1005,0)),"MISSING ID")="Unassigned",G442="Unassigned"),"Tier unresolved",IF(IFERROR(VALUE(RIGHT(G442,1))-VALUE(RIGHT(IFERROR(INDEX('Crafting recipes'!$H$6:$H$1005,MATCH(J442,'Crafting recipes'!$A$6:$A$1005,0)),"MISSING ID"),1)),0)=1,IF(B442=IFERROR(INDEX('Crafting recipes'!$H$6:$H$1005,MATCH(J442,'Crafting recipes'!$A$6:$A$1005,0)),"MISSING ID"),"Advances one material tier","Lower-tier ingredient; route advances one tier"),"Needs tier review"))))))</x:f>
        <x:v>Lower-tier ingredient; route advances one tier</x:v>
      </x:c>
      <x:c r="S442" s="4" t="str">
        <x:f>IFERROR(INDEX('Material routes'!$D$6:$D$2205,MATCH(U442,'Material routes'!$A$6:$A$2205,0)),"MISSING ID")</x:f>
        <x:v>proposal.natural.abrasive</x:v>
      </x:c>
      <x:c r="T442" s="4" t="str">
        <x:f>IFERROR(INDEX('Material routes'!$D$6:$D$2205,MATCH(V442,'Material routes'!$A$6:$A$2205,0)),"MISSING ID")</x:f>
        <x:v>proposal.lore.growth_seat_blank</x:v>
      </x:c>
      <x:c r="U442" s="4" t="str">
        <x:v>design.lore.growth_seat_blank.in.2</x:v>
      </x:c>
      <x:c r="V442" s="4" t="str">
        <x:v>design.lore.growth_seat_blank.out</x:v>
      </x:c>
    </x:row>
    <x:row r="443" ht="115" customHeight="1">
      <x:c r="A443" s="4" t="str">
        <x:f>IFERROR(INDEX('Material routes'!$E$6:$E$2205,MATCH(U443,'Material routes'!$A$6:$A$2205,0)),"MISSING ID")</x:f>
        <x:v>Growth-alloy seal-seat blanks</x:v>
      </x:c>
      <x:c r="B443" s="4" t="str">
        <x:f>IFERROR(INDEX('Material routes'!$F$6:$F$2205,MATCH(U443,'Material routes'!$A$6:$A$2205,0)),"MISSING ID")</x:f>
        <x:v>T3</x:v>
      </x:c>
      <x:c r="C443" s="4" t="str">
        <x:f>IFERROR(INDEX('Material routes'!$H$6:$H$2205,MATCH(U443,'Material routes'!$A$6:$A$2205,0)),"MISSING ID")</x:f>
        <x:v>Crafting component</x:v>
      </x:c>
      <x:c r="D443" s="4" t="str">
        <x:f>IFERROR(INDEX('Material routes'!$G$6:$G$2205,MATCH(U443,'Material routes'!$A$6:$A$2205,0)),"MISSING ID")</x:f>
        <x:v>Crafting components</x:v>
      </x:c>
      <x:c r="E443" s="4" t="str">
        <x:f>IFERROR(INDEX('Material routes'!$C$6:$C$2205,MATCH(U443,'Material routes'!$A$6:$A$2205,0)),"MISSING ID")</x:f>
        <x:v>Ingredient candidate</x:v>
      </x:c>
      <x:c r="F443" s="4" t="str">
        <x:f>IFERROR(INDEX('Material routes'!$E$6:$E$2205,MATCH(V443,'Material routes'!$A$6:$A$2205,0)),"MISSING ID")</x:f>
        <x:v>Matched Growth seal-seat assembly</x:v>
      </x:c>
      <x:c r="G443" s="4" t="str">
        <x:f>IFERROR(INDEX('Material routes'!$F$6:$F$2205,MATCH(V443,'Material routes'!$A$6:$A$2205,0)),"MISSING ID")</x:f>
        <x:v>T4</x:v>
      </x:c>
      <x:c r="H443" s="4" t="str">
        <x:f>IFERROR(INDEX('Material routes'!$H$6:$H$2205,MATCH(V443,'Material routes'!$A$6:$A$2205,0)),"MISSING ID")</x:f>
        <x:v>Crafting component</x:v>
      </x:c>
      <x:c r="I443" s="4" t="str">
        <x:f>IFERROR(INDEX('Material routes'!$G$6:$G$2205,MATCH(V443,'Material routes'!$A$6:$A$2205,0)),"MISSING ID")</x:f>
        <x:v>Crafting components</x:v>
      </x:c>
      <x:c r="J443" s="4" t="str">
        <x:f>IFERROR(INDEX('Material routes'!$B$6:$B$2205,MATCH(U443,'Material routes'!$A$6:$A$2205,0)),"MISSING ID")</x:f>
        <x:v>design.lore.growth_seat_assembly</x:v>
      </x:c>
      <x:c r="K443" s="4" t="str">
        <x:f>IFERROR(INDEX('Crafting recipes'!$C$6:$C$1005,MATCH(J443,'Crafting recipes'!$A$6:$A$1005,0)),"MISSING ID")</x:f>
        <x:v>Material refinement</x:v>
      </x:c>
      <x:c r="L443" s="4" t="str">
        <x:f>IFERROR(INDEX('Material routes'!$K$6:$K$2205,MATCH(U443,'Material routes'!$A$6:$A$2205,0)),"MISSING ID")</x:f>
        <x:v>Proposal</x:v>
      </x:c>
      <x:c r="M443" s="4" t="str">
        <x:f>IFERROR(INDEX('Material routes'!$M$6:$M$2205,MATCH(U443,'Material routes'!$A$6:$A$2205,0)),"MISSING ID")</x:f>
        <x:v>Partial proposal</x:v>
      </x:c>
      <x:c r="N443" s="4" t="str">
        <x:f>IF(IFERROR(INDEX('Material routes'!$I$6:$I$1005,MATCH(U443,'Material routes'!$A$6:$A$1005,0)),"MISSING ID")=0,"",IFERROR(INDEX('Material routes'!$I$6:$I$1005,MATCH(U443,'Material routes'!$A$6:$A$1005,0)),"MISSING ID"))</x:f>
      </x:c>
      <x:c r="O443" s="4" t="str">
        <x:f>IFERROR(INDEX('Material routes'!$J$6:$J$2205,MATCH(U443,'Material routes'!$A$6:$A$2205,0)),"MISSING ID")</x:f>
        <x:v>Unspecified</x:v>
      </x:c>
      <x:c r="P443" s="4" t="str">
        <x:f>IF(IFERROR(INDEX('Material routes'!$I$6:$I$1005,MATCH(V443,'Material routes'!$A$6:$A$1005,0)),"MISSING ID")=0,"",IFERROR(INDEX('Material routes'!$I$6:$I$1005,MATCH(V443,'Material routes'!$A$6:$A$1005,0)),"MISSING ID"))</x:f>
      </x:c>
      <x:c r="Q443" s="4" t="str">
        <x:f>IFERROR(INDEX('Material routes'!$J$6:$J$2205,MATCH(V443,'Material routes'!$A$6:$A$2205,0)),"MISSING ID")</x:f>
        <x:v>Unspecified</x:v>
      </x:c>
      <x:c r="R443" s="4" t="str">
        <x:f>IF(L443="Withheld","Withheld premise",IF(E443="Tool candidate","Reusable prerequisite",IF(K443="Raw entry preparation","Entry-resource preparation",IF(G443="Not applicable",IF(IFERROR(INDEX('Items'!$AI$6:$AI$1005,MATCH(T443,'Items'!$A$6:$A$1005,0)),"MISSING ID")="Finished item","Finished endpoint",IF(IFERROR(INDEX('Items'!$AI$6:$AI$1005,MATCH(T443,'Items'!$A$6:$A$1005,0)),"MISSING ID")="Currency","Currency / no refinement tier","Recovered output / tier not applicable")),IF(OR(IFERROR(INDEX('Crafting recipes'!$H$6:$H$1005,MATCH(J443,'Crafting recipes'!$A$6:$A$1005,0)),"MISSING ID")="Unassigned",G443="Unassigned"),"Tier unresolved",IF(IFERROR(VALUE(RIGHT(G443,1))-VALUE(RIGHT(IFERROR(INDEX('Crafting recipes'!$H$6:$H$1005,MATCH(J443,'Crafting recipes'!$A$6:$A$1005,0)),"MISSING ID"),1)),0)=1,IF(B443=IFERROR(INDEX('Crafting recipes'!$H$6:$H$1005,MATCH(J443,'Crafting recipes'!$A$6:$A$1005,0)),"MISSING ID"),"Advances one material tier","Lower-tier ingredient; route advances one tier"),"Needs tier review"))))))</x:f>
        <x:v>Advances one material tier</x:v>
      </x:c>
      <x:c r="S443" s="4" t="str">
        <x:f>IFERROR(INDEX('Material routes'!$D$6:$D$2205,MATCH(U443,'Material routes'!$A$6:$A$2205,0)),"MISSING ID")</x:f>
        <x:v>proposal.lore.growth_seat_blank</x:v>
      </x:c>
      <x:c r="T443" s="4" t="str">
        <x:f>IFERROR(INDEX('Material routes'!$D$6:$D$2205,MATCH(V443,'Material routes'!$A$6:$A$2205,0)),"MISSING ID")</x:f>
        <x:v>proposal.lore.growth_seat_assembly</x:v>
      </x:c>
      <x:c r="U443" s="4" t="str">
        <x:v>design.lore.growth_seat_assembly.in.1</x:v>
      </x:c>
      <x:c r="V443" s="4" t="str">
        <x:v>design.lore.growth_seat_assembly.out</x:v>
      </x:c>
    </x:row>
    <x:row r="444" ht="115" customHeight="1">
      <x:c r="A444" s="4" t="str">
        <x:f>IFERROR(INDEX('Material routes'!$E$6:$E$2205,MATCH(U444,'Material routes'!$A$6:$A$2205,0)),"MISSING ID")</x:f>
        <x:v>Canister joint sealant</x:v>
      </x:c>
      <x:c r="B444" s="4" t="str">
        <x:f>IFERROR(INDEX('Material routes'!$F$6:$F$2205,MATCH(U444,'Material routes'!$A$6:$A$2205,0)),"MISSING ID")</x:f>
        <x:v>T3</x:v>
      </x:c>
      <x:c r="C444" s="4" t="str">
        <x:f>IFERROR(INDEX('Material routes'!$H$6:$H$2205,MATCH(U444,'Material routes'!$A$6:$A$2205,0)),"MISSING ID")</x:f>
        <x:v>Chemical material</x:v>
      </x:c>
      <x:c r="D444" s="4" t="str">
        <x:f>IFERROR(INDEX('Material routes'!$G$6:$G$2205,MATCH(U444,'Material routes'!$A$6:$A$2205,0)),"MISSING ID")</x:f>
        <x:v>Crafting components</x:v>
      </x:c>
      <x:c r="E444" s="4" t="str">
        <x:f>IFERROR(INDEX('Material routes'!$C$6:$C$2205,MATCH(U444,'Material routes'!$A$6:$A$2205,0)),"MISSING ID")</x:f>
        <x:v>Ingredient candidate</x:v>
      </x:c>
      <x:c r="F444" s="4" t="str">
        <x:f>IFERROR(INDEX('Material routes'!$E$6:$E$2205,MATCH(V444,'Material routes'!$A$6:$A$2205,0)),"MISSING ID")</x:f>
        <x:v>Matched Growth seal-seat assembly</x:v>
      </x:c>
      <x:c r="G444" s="4" t="str">
        <x:f>IFERROR(INDEX('Material routes'!$F$6:$F$2205,MATCH(V444,'Material routes'!$A$6:$A$2205,0)),"MISSING ID")</x:f>
        <x:v>T4</x:v>
      </x:c>
      <x:c r="H444" s="4" t="str">
        <x:f>IFERROR(INDEX('Material routes'!$H$6:$H$2205,MATCH(V444,'Material routes'!$A$6:$A$2205,0)),"MISSING ID")</x:f>
        <x:v>Crafting component</x:v>
      </x:c>
      <x:c r="I444" s="4" t="str">
        <x:f>IFERROR(INDEX('Material routes'!$G$6:$G$2205,MATCH(V444,'Material routes'!$A$6:$A$2205,0)),"MISSING ID")</x:f>
        <x:v>Crafting components</x:v>
      </x:c>
      <x:c r="J444" s="4" t="str">
        <x:f>IFERROR(INDEX('Material routes'!$B$6:$B$2205,MATCH(U444,'Material routes'!$A$6:$A$2205,0)),"MISSING ID")</x:f>
        <x:v>design.lore.growth_seat_assembly</x:v>
      </x:c>
      <x:c r="K444" s="4" t="str">
        <x:f>IFERROR(INDEX('Crafting recipes'!$C$6:$C$1005,MATCH(J444,'Crafting recipes'!$A$6:$A$1005,0)),"MISSING ID")</x:f>
        <x:v>Material refinement</x:v>
      </x:c>
      <x:c r="L444" s="4" t="str">
        <x:f>IFERROR(INDEX('Material routes'!$K$6:$K$2205,MATCH(U444,'Material routes'!$A$6:$A$2205,0)),"MISSING ID")</x:f>
        <x:v>Proposal</x:v>
      </x:c>
      <x:c r="M444" s="4" t="str">
        <x:f>IFERROR(INDEX('Material routes'!$M$6:$M$2205,MATCH(U444,'Material routes'!$A$6:$A$2205,0)),"MISSING ID")</x:f>
        <x:v>Partial proposal</x:v>
      </x:c>
      <x:c r="N444" s="4" t="str">
        <x:f>IF(IFERROR(INDEX('Material routes'!$I$6:$I$1005,MATCH(U444,'Material routes'!$A$6:$A$1005,0)),"MISSING ID")=0,"",IFERROR(INDEX('Material routes'!$I$6:$I$1005,MATCH(U444,'Material routes'!$A$6:$A$1005,0)),"MISSING ID"))</x:f>
      </x:c>
      <x:c r="O444" s="4" t="str">
        <x:f>IFERROR(INDEX('Material routes'!$J$6:$J$2205,MATCH(U444,'Material routes'!$A$6:$A$2205,0)),"MISSING ID")</x:f>
        <x:v>Unspecified</x:v>
      </x:c>
      <x:c r="P444" s="4" t="str">
        <x:f>IF(IFERROR(INDEX('Material routes'!$I$6:$I$1005,MATCH(V444,'Material routes'!$A$6:$A$1005,0)),"MISSING ID")=0,"",IFERROR(INDEX('Material routes'!$I$6:$I$1005,MATCH(V444,'Material routes'!$A$6:$A$1005,0)),"MISSING ID"))</x:f>
      </x:c>
      <x:c r="Q444" s="4" t="str">
        <x:f>IFERROR(INDEX('Material routes'!$J$6:$J$2205,MATCH(V444,'Material routes'!$A$6:$A$2205,0)),"MISSING ID")</x:f>
        <x:v>Unspecified</x:v>
      </x:c>
      <x:c r="R444" s="4" t="str">
        <x:f>IF(L444="Withheld","Withheld premise",IF(E444="Tool candidate","Reusable prerequisite",IF(K444="Raw entry preparation","Entry-resource preparation",IF(G444="Not applicable",IF(IFERROR(INDEX('Items'!$AI$6:$AI$1005,MATCH(T444,'Items'!$A$6:$A$1005,0)),"MISSING ID")="Finished item","Finished endpoint",IF(IFERROR(INDEX('Items'!$AI$6:$AI$1005,MATCH(T444,'Items'!$A$6:$A$1005,0)),"MISSING ID")="Currency","Currency / no refinement tier","Recovered output / tier not applicable")),IF(OR(IFERROR(INDEX('Crafting recipes'!$H$6:$H$1005,MATCH(J444,'Crafting recipes'!$A$6:$A$1005,0)),"MISSING ID")="Unassigned",G444="Unassigned"),"Tier unresolved",IF(IFERROR(VALUE(RIGHT(G444,1))-VALUE(RIGHT(IFERROR(INDEX('Crafting recipes'!$H$6:$H$1005,MATCH(J444,'Crafting recipes'!$A$6:$A$1005,0)),"MISSING ID"),1)),0)=1,IF(B444=IFERROR(INDEX('Crafting recipes'!$H$6:$H$1005,MATCH(J444,'Crafting recipes'!$A$6:$A$1005,0)),"MISSING ID"),"Advances one material tier","Lower-tier ingredient; route advances one tier"),"Needs tier review"))))))</x:f>
        <x:v>Advances one material tier</x:v>
      </x:c>
      <x:c r="S444" s="4" t="str">
        <x:f>IFERROR(INDEX('Material routes'!$D$6:$D$2205,MATCH(U444,'Material routes'!$A$6:$A$2205,0)),"MISSING ID")</x:f>
        <x:v>proposal.canister.sealant</x:v>
      </x:c>
      <x:c r="T444" s="4" t="str">
        <x:f>IFERROR(INDEX('Material routes'!$D$6:$D$2205,MATCH(V444,'Material routes'!$A$6:$A$2205,0)),"MISSING ID")</x:f>
        <x:v>proposal.lore.growth_seat_assembly</x:v>
      </x:c>
      <x:c r="U444" s="4" t="str">
        <x:v>design.lore.growth_seat_assembly.in.2</x:v>
      </x:c>
      <x:c r="V444" s="4" t="str">
        <x:v>design.lore.growth_seat_assembly.out</x:v>
      </x:c>
    </x:row>
    <x:row r="445" ht="115" customHeight="1">
      <x:c r="A445" s="4" t="str">
        <x:f>IFERROR(INDEX('Material routes'!$E$6:$E$2205,MATCH(U445,'Material routes'!$A$6:$A$2205,0)),"MISSING ID")</x:f>
        <x:v>Prepared bronze bearing stock</x:v>
      </x:c>
      <x:c r="B445" s="4" t="str">
        <x:f>IFERROR(INDEX('Material routes'!$F$6:$F$2205,MATCH(U445,'Material routes'!$A$6:$A$2205,0)),"MISSING ID")</x:f>
        <x:v>T2</x:v>
      </x:c>
      <x:c r="C445" s="4" t="str">
        <x:f>IFERROR(INDEX('Material routes'!$H$6:$H$2205,MATCH(U445,'Material routes'!$A$6:$A$2205,0)),"MISSING ID")</x:f>
        <x:v>Processed material</x:v>
      </x:c>
      <x:c r="D445" s="4" t="str">
        <x:f>IFERROR(INDEX('Material routes'!$G$6:$G$2205,MATCH(U445,'Material routes'!$A$6:$A$2205,0)),"MISSING ID")</x:f>
        <x:v>Manufactured stock</x:v>
      </x:c>
      <x:c r="E445" s="4" t="str">
        <x:f>IFERROR(INDEX('Material routes'!$C$6:$C$2205,MATCH(U445,'Material routes'!$A$6:$A$2205,0)),"MISSING ID")</x:f>
        <x:v>Ingredient candidate</x:v>
      </x:c>
      <x:c r="F445" s="4" t="str">
        <x:f>IFERROR(INDEX('Material routes'!$E$6:$E$2205,MATCH(V445,'Material routes'!$A$6:$A$2205,0)),"MISSING ID")</x:f>
        <x:v>Matched Growth seal-seat assembly</x:v>
      </x:c>
      <x:c r="G445" s="4" t="str">
        <x:f>IFERROR(INDEX('Material routes'!$F$6:$F$2205,MATCH(V445,'Material routes'!$A$6:$A$2205,0)),"MISSING ID")</x:f>
        <x:v>T4</x:v>
      </x:c>
      <x:c r="H445" s="4" t="str">
        <x:f>IFERROR(INDEX('Material routes'!$H$6:$H$2205,MATCH(V445,'Material routes'!$A$6:$A$2205,0)),"MISSING ID")</x:f>
        <x:v>Crafting component</x:v>
      </x:c>
      <x:c r="I445" s="4" t="str">
        <x:f>IFERROR(INDEX('Material routes'!$G$6:$G$2205,MATCH(V445,'Material routes'!$A$6:$A$2205,0)),"MISSING ID")</x:f>
        <x:v>Crafting components</x:v>
      </x:c>
      <x:c r="J445" s="4" t="str">
        <x:f>IFERROR(INDEX('Material routes'!$B$6:$B$2205,MATCH(U445,'Material routes'!$A$6:$A$2205,0)),"MISSING ID")</x:f>
        <x:v>design.lore.growth_seat_assembly</x:v>
      </x:c>
      <x:c r="K445" s="4" t="str">
        <x:f>IFERROR(INDEX('Crafting recipes'!$C$6:$C$1005,MATCH(J445,'Crafting recipes'!$A$6:$A$1005,0)),"MISSING ID")</x:f>
        <x:v>Material refinement</x:v>
      </x:c>
      <x:c r="L445" s="4" t="str">
        <x:f>IFERROR(INDEX('Material routes'!$K$6:$K$2205,MATCH(U445,'Material routes'!$A$6:$A$2205,0)),"MISSING ID")</x:f>
        <x:v>Proposal</x:v>
      </x:c>
      <x:c r="M445" s="4" t="str">
        <x:f>IFERROR(INDEX('Material routes'!$M$6:$M$2205,MATCH(U445,'Material routes'!$A$6:$A$2205,0)),"MISSING ID")</x:f>
        <x:v>Partial proposal</x:v>
      </x:c>
      <x:c r="N445" s="4" t="str">
        <x:f>IF(IFERROR(INDEX('Material routes'!$I$6:$I$1005,MATCH(U445,'Material routes'!$A$6:$A$1005,0)),"MISSING ID")=0,"",IFERROR(INDEX('Material routes'!$I$6:$I$1005,MATCH(U445,'Material routes'!$A$6:$A$1005,0)),"MISSING ID"))</x:f>
      </x:c>
      <x:c r="O445" s="4" t="str">
        <x:f>IFERROR(INDEX('Material routes'!$J$6:$J$2205,MATCH(U445,'Material routes'!$A$6:$A$2205,0)),"MISSING ID")</x:f>
        <x:v>Unspecified</x:v>
      </x:c>
      <x:c r="P445" s="4" t="str">
        <x:f>IF(IFERROR(INDEX('Material routes'!$I$6:$I$1005,MATCH(V445,'Material routes'!$A$6:$A$1005,0)),"MISSING ID")=0,"",IFERROR(INDEX('Material routes'!$I$6:$I$1005,MATCH(V445,'Material routes'!$A$6:$A$1005,0)),"MISSING ID"))</x:f>
      </x:c>
      <x:c r="Q445" s="4" t="str">
        <x:f>IFERROR(INDEX('Material routes'!$J$6:$J$2205,MATCH(V445,'Material routes'!$A$6:$A$2205,0)),"MISSING ID")</x:f>
        <x:v>Unspecified</x:v>
      </x:c>
      <x:c r="R445" s="4" t="str">
        <x:f>IF(L445="Withheld","Withheld premise",IF(E445="Tool candidate","Reusable prerequisite",IF(K445="Raw entry preparation","Entry-resource preparation",IF(G445="Not applicable",IF(IFERROR(INDEX('Items'!$AI$6:$AI$1005,MATCH(T445,'Items'!$A$6:$A$1005,0)),"MISSING ID")="Finished item","Finished endpoint",IF(IFERROR(INDEX('Items'!$AI$6:$AI$1005,MATCH(T445,'Items'!$A$6:$A$1005,0)),"MISSING ID")="Currency","Currency / no refinement tier","Recovered output / tier not applicable")),IF(OR(IFERROR(INDEX('Crafting recipes'!$H$6:$H$1005,MATCH(J445,'Crafting recipes'!$A$6:$A$1005,0)),"MISSING ID")="Unassigned",G445="Unassigned"),"Tier unresolved",IF(IFERROR(VALUE(RIGHT(G445,1))-VALUE(RIGHT(IFERROR(INDEX('Crafting recipes'!$H$6:$H$1005,MATCH(J445,'Crafting recipes'!$A$6:$A$1005,0)),"MISSING ID"),1)),0)=1,IF(B445=IFERROR(INDEX('Crafting recipes'!$H$6:$H$1005,MATCH(J445,'Crafting recipes'!$A$6:$A$1005,0)),"MISSING ID"),"Advances one material tier","Lower-tier ingredient; route advances one tier"),"Needs tier review"))))))</x:f>
        <x:v>Lower-tier ingredient; route advances one tier</x:v>
      </x:c>
      <x:c r="S445" s="4" t="str">
        <x:f>IFERROR(INDEX('Material routes'!$D$6:$D$2205,MATCH(U445,'Material routes'!$A$6:$A$2205,0)),"MISSING ID")</x:f>
        <x:v>proposal.branch.bearing_bronze</x:v>
      </x:c>
      <x:c r="T445" s="4" t="str">
        <x:f>IFERROR(INDEX('Material routes'!$D$6:$D$2205,MATCH(V445,'Material routes'!$A$6:$A$2205,0)),"MISSING ID")</x:f>
        <x:v>proposal.lore.growth_seat_assembly</x:v>
      </x:c>
      <x:c r="U445" s="4" t="str">
        <x:v>design.lore.growth_seat_assembly.in.3</x:v>
      </x:c>
      <x:c r="V445" s="4" t="str">
        <x:v>design.lore.growth_seat_assembly.out</x:v>
      </x:c>
    </x:row>
    <x:row r="446" ht="115" customHeight="1">
      <x:c r="A446" s="4" t="str">
        <x:f>IFERROR(INDEX('Material routes'!$E$6:$E$2205,MATCH(U446,'Material routes'!$A$6:$A$2205,0)),"MISSING ID")</x:f>
        <x:v>Alkaline mineral crust</x:v>
      </x:c>
      <x:c r="B446" s="4" t="str">
        <x:f>IFERROR(INDEX('Material routes'!$F$6:$F$2205,MATCH(U446,'Material routes'!$A$6:$A$2205,0)),"MISSING ID")</x:f>
        <x:v>T0</x:v>
      </x:c>
      <x:c r="C446" s="4" t="str">
        <x:f>IFERROR(INDEX('Material routes'!$H$6:$H$2205,MATCH(U446,'Material routes'!$A$6:$A$2205,0)),"MISSING ID")</x:f>
        <x:v>Raw material</x:v>
      </x:c>
      <x:c r="D446" s="4" t="str">
        <x:f>IFERROR(INDEX('Material routes'!$G$6:$G$2205,MATCH(U446,'Material routes'!$A$6:$A$2205,0)),"MISSING ID")</x:f>
        <x:v>Mineral resources</x:v>
      </x:c>
      <x:c r="E446" s="4" t="str">
        <x:f>IFERROR(INDEX('Material routes'!$C$6:$C$2205,MATCH(U446,'Material routes'!$A$6:$A$2205,0)),"MISSING ID")</x:f>
        <x:v>Ingredient candidate</x:v>
      </x:c>
      <x:c r="F446" s="4" t="str">
        <x:f>IFERROR(INDEX('Material routes'!$E$6:$E$2205,MATCH(V446,'Material routes'!$A$6:$A$2205,0)),"MISSING ID")</x:f>
        <x:v>Prepared alkaline mineral concentrate</x:v>
      </x:c>
      <x:c r="G446" s="4" t="str">
        <x:f>IFERROR(INDEX('Material routes'!$F$6:$F$2205,MATCH(V446,'Material routes'!$A$6:$A$2205,0)),"MISSING ID")</x:f>
        <x:v>T1</x:v>
      </x:c>
      <x:c r="H446" s="4" t="str">
        <x:f>IFERROR(INDEX('Material routes'!$H$6:$H$2205,MATCH(V446,'Material routes'!$A$6:$A$2205,0)),"MISSING ID")</x:f>
        <x:v>Chemical material</x:v>
      </x:c>
      <x:c r="I446" s="4" t="str">
        <x:f>IFERROR(INDEX('Material routes'!$G$6:$G$2205,MATCH(V446,'Material routes'!$A$6:$A$2205,0)),"MISSING ID")</x:f>
        <x:v>Crafting components</x:v>
      </x:c>
      <x:c r="J446" s="4" t="str">
        <x:f>IFERROR(INDEX('Material routes'!$B$6:$B$2205,MATCH(U446,'Material routes'!$A$6:$A$2205,0)),"MISSING ID")</x:f>
        <x:v>design.lore.alkali_concentrate</x:v>
      </x:c>
      <x:c r="K446" s="4" t="str">
        <x:f>IFERROR(INDEX('Crafting recipes'!$C$6:$C$1005,MATCH(J446,'Crafting recipes'!$A$6:$A$1005,0)),"MISSING ID")</x:f>
        <x:v>Material refinement</x:v>
      </x:c>
      <x:c r="L446" s="4" t="str">
        <x:f>IFERROR(INDEX('Material routes'!$K$6:$K$2205,MATCH(U446,'Material routes'!$A$6:$A$2205,0)),"MISSING ID")</x:f>
        <x:v>Proposal</x:v>
      </x:c>
      <x:c r="M446" s="4" t="str">
        <x:f>IFERROR(INDEX('Material routes'!$M$6:$M$2205,MATCH(U446,'Material routes'!$A$6:$A$2205,0)),"MISSING ID")</x:f>
        <x:v>Partial proposal</x:v>
      </x:c>
      <x:c r="N446" s="4" t="str">
        <x:f>IF(IFERROR(INDEX('Material routes'!$I$6:$I$1005,MATCH(U446,'Material routes'!$A$6:$A$1005,0)),"MISSING ID")=0,"",IFERROR(INDEX('Material routes'!$I$6:$I$1005,MATCH(U446,'Material routes'!$A$6:$A$1005,0)),"MISSING ID"))</x:f>
      </x:c>
      <x:c r="O446" s="4" t="str">
        <x:f>IFERROR(INDEX('Material routes'!$J$6:$J$2205,MATCH(U446,'Material routes'!$A$6:$A$2205,0)),"MISSING ID")</x:f>
        <x:v>Unspecified</x:v>
      </x:c>
      <x:c r="P446" s="4" t="str">
        <x:f>IF(IFERROR(INDEX('Material routes'!$I$6:$I$1005,MATCH(V446,'Material routes'!$A$6:$A$1005,0)),"MISSING ID")=0,"",IFERROR(INDEX('Material routes'!$I$6:$I$1005,MATCH(V446,'Material routes'!$A$6:$A$1005,0)),"MISSING ID"))</x:f>
      </x:c>
      <x:c r="Q446" s="4" t="str">
        <x:f>IFERROR(INDEX('Material routes'!$J$6:$J$2205,MATCH(V446,'Material routes'!$A$6:$A$2205,0)),"MISSING ID")</x:f>
        <x:v>Unspecified</x:v>
      </x:c>
      <x:c r="R446" s="4" t="str">
        <x:f>IF(L446="Withheld","Withheld premise",IF(E446="Tool candidate","Reusable prerequisite",IF(K446="Raw entry preparation","Entry-resource preparation",IF(G446="Not applicable",IF(IFERROR(INDEX('Items'!$AI$6:$AI$1005,MATCH(T446,'Items'!$A$6:$A$1005,0)),"MISSING ID")="Finished item","Finished endpoint",IF(IFERROR(INDEX('Items'!$AI$6:$AI$1005,MATCH(T446,'Items'!$A$6:$A$1005,0)),"MISSING ID")="Currency","Currency / no refinement tier","Recovered output / tier not applicable")),IF(OR(IFERROR(INDEX('Crafting recipes'!$H$6:$H$1005,MATCH(J446,'Crafting recipes'!$A$6:$A$1005,0)),"MISSING ID")="Unassigned",G446="Unassigned"),"Tier unresolved",IF(IFERROR(VALUE(RIGHT(G446,1))-VALUE(RIGHT(IFERROR(INDEX('Crafting recipes'!$H$6:$H$1005,MATCH(J446,'Crafting recipes'!$A$6:$A$1005,0)),"MISSING ID"),1)),0)=1,IF(B446=IFERROR(INDEX('Crafting recipes'!$H$6:$H$1005,MATCH(J446,'Crafting recipes'!$A$6:$A$1005,0)),"MISSING ID"),"Advances one material tier","Lower-tier ingredient; route advances one tier"),"Needs tier review"))))))</x:f>
        <x:v>Advances one material tier</x:v>
      </x:c>
      <x:c r="S446" s="4" t="str">
        <x:f>IFERROR(INDEX('Material routes'!$D$6:$D$2205,MATCH(U446,'Material routes'!$A$6:$A$2205,0)),"MISSING ID")</x:f>
        <x:v>proposal.lore.alkaline_crust</x:v>
      </x:c>
      <x:c r="T446" s="4" t="str">
        <x:f>IFERROR(INDEX('Material routes'!$D$6:$D$2205,MATCH(V446,'Material routes'!$A$6:$A$2205,0)),"MISSING ID")</x:f>
        <x:v>proposal.lore.alkali_concentrate</x:v>
      </x:c>
      <x:c r="U446" s="4" t="str">
        <x:v>design.lore.alkali_concentrate.in.1</x:v>
      </x:c>
      <x:c r="V446" s="4" t="str">
        <x:v>design.lore.alkali_concentrate.out</x:v>
      </x:c>
    </x:row>
    <x:row r="447" ht="115" customHeight="1">
      <x:c r="A447" s="4" t="str">
        <x:f>IFERROR(INDEX('Material routes'!$E$6:$E$2205,MATCH(U447,'Material routes'!$A$6:$A$2205,0)),"MISSING ID")</x:f>
        <x:v>Raw sulfur</x:v>
      </x:c>
      <x:c r="B447" s="4" t="str">
        <x:f>IFERROR(INDEX('Material routes'!$F$6:$F$2205,MATCH(U447,'Material routes'!$A$6:$A$2205,0)),"MISSING ID")</x:f>
        <x:v>T0</x:v>
      </x:c>
      <x:c r="C447" s="4" t="str">
        <x:f>IFERROR(INDEX('Material routes'!$H$6:$H$2205,MATCH(U447,'Material routes'!$A$6:$A$2205,0)),"MISSING ID")</x:f>
        <x:v>Raw material</x:v>
      </x:c>
      <x:c r="D447" s="4" t="str">
        <x:f>IFERROR(INDEX('Material routes'!$G$6:$G$2205,MATCH(U447,'Material routes'!$A$6:$A$2205,0)),"MISSING ID")</x:f>
        <x:v>Mineral resources</x:v>
      </x:c>
      <x:c r="E447" s="4" t="str">
        <x:f>IFERROR(INDEX('Material routes'!$C$6:$C$2205,MATCH(U447,'Material routes'!$A$6:$A$2205,0)),"MISSING ID")</x:f>
        <x:v>Ingredient candidate</x:v>
      </x:c>
      <x:c r="F447" s="4" t="str">
        <x:f>IFERROR(INDEX('Material routes'!$E$6:$E$2205,MATCH(V447,'Material routes'!$A$6:$A$2205,0)),"MISSING ID")</x:f>
        <x:v>Prepared sulfur process charge</x:v>
      </x:c>
      <x:c r="G447" s="4" t="str">
        <x:f>IFERROR(INDEX('Material routes'!$F$6:$F$2205,MATCH(V447,'Material routes'!$A$6:$A$2205,0)),"MISSING ID")</x:f>
        <x:v>T1</x:v>
      </x:c>
      <x:c r="H447" s="4" t="str">
        <x:f>IFERROR(INDEX('Material routes'!$H$6:$H$2205,MATCH(V447,'Material routes'!$A$6:$A$2205,0)),"MISSING ID")</x:f>
        <x:v>Chemical material</x:v>
      </x:c>
      <x:c r="I447" s="4" t="str">
        <x:f>IFERROR(INDEX('Material routes'!$G$6:$G$2205,MATCH(V447,'Material routes'!$A$6:$A$2205,0)),"MISSING ID")</x:f>
        <x:v>Crafting components</x:v>
      </x:c>
      <x:c r="J447" s="4" t="str">
        <x:f>IFERROR(INDEX('Material routes'!$B$6:$B$2205,MATCH(U447,'Material routes'!$A$6:$A$2205,0)),"MISSING ID")</x:f>
        <x:v>design.lore.sulfur_charge</x:v>
      </x:c>
      <x:c r="K447" s="4" t="str">
        <x:f>IFERROR(INDEX('Crafting recipes'!$C$6:$C$1005,MATCH(J447,'Crafting recipes'!$A$6:$A$1005,0)),"MISSING ID")</x:f>
        <x:v>Material refinement</x:v>
      </x:c>
      <x:c r="L447" s="4" t="str">
        <x:f>IFERROR(INDEX('Material routes'!$K$6:$K$2205,MATCH(U447,'Material routes'!$A$6:$A$2205,0)),"MISSING ID")</x:f>
        <x:v>Proposal</x:v>
      </x:c>
      <x:c r="M447" s="4" t="str">
        <x:f>IFERROR(INDEX('Material routes'!$M$6:$M$2205,MATCH(U447,'Material routes'!$A$6:$A$2205,0)),"MISSING ID")</x:f>
        <x:v>Partial proposal</x:v>
      </x:c>
      <x:c r="N447" s="4" t="str">
        <x:f>IF(IFERROR(INDEX('Material routes'!$I$6:$I$1005,MATCH(U447,'Material routes'!$A$6:$A$1005,0)),"MISSING ID")=0,"",IFERROR(INDEX('Material routes'!$I$6:$I$1005,MATCH(U447,'Material routes'!$A$6:$A$1005,0)),"MISSING ID"))</x:f>
      </x:c>
      <x:c r="O447" s="4" t="str">
        <x:f>IFERROR(INDEX('Material routes'!$J$6:$J$2205,MATCH(U447,'Material routes'!$A$6:$A$2205,0)),"MISSING ID")</x:f>
        <x:v>Unspecified</x:v>
      </x:c>
      <x:c r="P447" s="4" t="str">
        <x:f>IF(IFERROR(INDEX('Material routes'!$I$6:$I$1005,MATCH(V447,'Material routes'!$A$6:$A$1005,0)),"MISSING ID")=0,"",IFERROR(INDEX('Material routes'!$I$6:$I$1005,MATCH(V447,'Material routes'!$A$6:$A$1005,0)),"MISSING ID"))</x:f>
      </x:c>
      <x:c r="Q447" s="4" t="str">
        <x:f>IFERROR(INDEX('Material routes'!$J$6:$J$2205,MATCH(V447,'Material routes'!$A$6:$A$2205,0)),"MISSING ID")</x:f>
        <x:v>Unspecified</x:v>
      </x:c>
      <x:c r="R447" s="4" t="str">
        <x:f>IF(L447="Withheld","Withheld premise",IF(E447="Tool candidate","Reusable prerequisite",IF(K447="Raw entry preparation","Entry-resource preparation",IF(G447="Not applicable",IF(IFERROR(INDEX('Items'!$AI$6:$AI$1005,MATCH(T447,'Items'!$A$6:$A$1005,0)),"MISSING ID")="Finished item","Finished endpoint",IF(IFERROR(INDEX('Items'!$AI$6:$AI$1005,MATCH(T447,'Items'!$A$6:$A$1005,0)),"MISSING ID")="Currency","Currency / no refinement tier","Recovered output / tier not applicable")),IF(OR(IFERROR(INDEX('Crafting recipes'!$H$6:$H$1005,MATCH(J447,'Crafting recipes'!$A$6:$A$1005,0)),"MISSING ID")="Unassigned",G447="Unassigned"),"Tier unresolved",IF(IFERROR(VALUE(RIGHT(G447,1))-VALUE(RIGHT(IFERROR(INDEX('Crafting recipes'!$H$6:$H$1005,MATCH(J447,'Crafting recipes'!$A$6:$A$1005,0)),"MISSING ID"),1)),0)=1,IF(B447=IFERROR(INDEX('Crafting recipes'!$H$6:$H$1005,MATCH(J447,'Crafting recipes'!$A$6:$A$1005,0)),"MISSING ID"),"Advances one material tier","Lower-tier ingredient; route advances one tier"),"Needs tier review"))))))</x:f>
        <x:v>Advances one material tier</x:v>
      </x:c>
      <x:c r="S447" s="4" t="str">
        <x:f>IFERROR(INDEX('Material routes'!$D$6:$D$2205,MATCH(U447,'Material routes'!$A$6:$A$2205,0)),"MISSING ID")</x:f>
        <x:v>proposal.natural.sulfur</x:v>
      </x:c>
      <x:c r="T447" s="4" t="str">
        <x:f>IFERROR(INDEX('Material routes'!$D$6:$D$2205,MATCH(V447,'Material routes'!$A$6:$A$2205,0)),"MISSING ID")</x:f>
        <x:v>proposal.lore.sulfur_charge</x:v>
      </x:c>
      <x:c r="U447" s="4" t="str">
        <x:v>design.lore.sulfur_charge.in.1</x:v>
      </x:c>
      <x:c r="V447" s="4" t="str">
        <x:v>design.lore.sulfur_charge.out</x:v>
      </x:c>
    </x:row>
    <x:row r="448" ht="115" customHeight="1">
      <x:c r="A448" s="4" t="str">
        <x:f>IFERROR(INDEX('Material routes'!$E$6:$E$2205,MATCH(U448,'Material routes'!$A$6:$A$2205,0)),"MISSING ID")</x:f>
        <x:v>Dry mineral salts</x:v>
      </x:c>
      <x:c r="B448" s="4" t="str">
        <x:f>IFERROR(INDEX('Material routes'!$F$6:$F$2205,MATCH(U448,'Material routes'!$A$6:$A$2205,0)),"MISSING ID")</x:f>
        <x:v>T0</x:v>
      </x:c>
      <x:c r="C448" s="4" t="str">
        <x:f>IFERROR(INDEX('Material routes'!$H$6:$H$2205,MATCH(U448,'Material routes'!$A$6:$A$2205,0)),"MISSING ID")</x:f>
        <x:v>Raw material</x:v>
      </x:c>
      <x:c r="D448" s="4" t="str">
        <x:f>IFERROR(INDEX('Material routes'!$G$6:$G$2205,MATCH(U448,'Material routes'!$A$6:$A$2205,0)),"MISSING ID")</x:f>
        <x:v>Mineral resources</x:v>
      </x:c>
      <x:c r="E448" s="4" t="str">
        <x:f>IFERROR(INDEX('Material routes'!$C$6:$C$2205,MATCH(U448,'Material routes'!$A$6:$A$2205,0)),"MISSING ID")</x:f>
        <x:v>Ingredient candidate</x:v>
      </x:c>
      <x:c r="F448" s="4" t="str">
        <x:f>IFERROR(INDEX('Material routes'!$E$6:$E$2205,MATCH(V448,'Material routes'!$A$6:$A$2205,0)),"MISSING ID")</x:f>
        <x:v>Prepared sulfur process charge</x:v>
      </x:c>
      <x:c r="G448" s="4" t="str">
        <x:f>IFERROR(INDEX('Material routes'!$F$6:$F$2205,MATCH(V448,'Material routes'!$A$6:$A$2205,0)),"MISSING ID")</x:f>
        <x:v>T1</x:v>
      </x:c>
      <x:c r="H448" s="4" t="str">
        <x:f>IFERROR(INDEX('Material routes'!$H$6:$H$2205,MATCH(V448,'Material routes'!$A$6:$A$2205,0)),"MISSING ID")</x:f>
        <x:v>Chemical material</x:v>
      </x:c>
      <x:c r="I448" s="4" t="str">
        <x:f>IFERROR(INDEX('Material routes'!$G$6:$G$2205,MATCH(V448,'Material routes'!$A$6:$A$2205,0)),"MISSING ID")</x:f>
        <x:v>Crafting components</x:v>
      </x:c>
      <x:c r="J448" s="4" t="str">
        <x:f>IFERROR(INDEX('Material routes'!$B$6:$B$2205,MATCH(U448,'Material routes'!$A$6:$A$2205,0)),"MISSING ID")</x:f>
        <x:v>design.lore.sulfur_charge</x:v>
      </x:c>
      <x:c r="K448" s="4" t="str">
        <x:f>IFERROR(INDEX('Crafting recipes'!$C$6:$C$1005,MATCH(J448,'Crafting recipes'!$A$6:$A$1005,0)),"MISSING ID")</x:f>
        <x:v>Material refinement</x:v>
      </x:c>
      <x:c r="L448" s="4" t="str">
        <x:f>IFERROR(INDEX('Material routes'!$K$6:$K$2205,MATCH(U448,'Material routes'!$A$6:$A$2205,0)),"MISSING ID")</x:f>
        <x:v>Proposal</x:v>
      </x:c>
      <x:c r="M448" s="4" t="str">
        <x:f>IFERROR(INDEX('Material routes'!$M$6:$M$2205,MATCH(U448,'Material routes'!$A$6:$A$2205,0)),"MISSING ID")</x:f>
        <x:v>Partial proposal</x:v>
      </x:c>
      <x:c r="N448" s="4" t="str">
        <x:f>IF(IFERROR(INDEX('Material routes'!$I$6:$I$1005,MATCH(U448,'Material routes'!$A$6:$A$1005,0)),"MISSING ID")=0,"",IFERROR(INDEX('Material routes'!$I$6:$I$1005,MATCH(U448,'Material routes'!$A$6:$A$1005,0)),"MISSING ID"))</x:f>
      </x:c>
      <x:c r="O448" s="4" t="str">
        <x:f>IFERROR(INDEX('Material routes'!$J$6:$J$2205,MATCH(U448,'Material routes'!$A$6:$A$2205,0)),"MISSING ID")</x:f>
        <x:v>Unspecified</x:v>
      </x:c>
      <x:c r="P448" s="4" t="str">
        <x:f>IF(IFERROR(INDEX('Material routes'!$I$6:$I$1005,MATCH(V448,'Material routes'!$A$6:$A$1005,0)),"MISSING ID")=0,"",IFERROR(INDEX('Material routes'!$I$6:$I$1005,MATCH(V448,'Material routes'!$A$6:$A$1005,0)),"MISSING ID"))</x:f>
      </x:c>
      <x:c r="Q448" s="4" t="str">
        <x:f>IFERROR(INDEX('Material routes'!$J$6:$J$2205,MATCH(V448,'Material routes'!$A$6:$A$2205,0)),"MISSING ID")</x:f>
        <x:v>Unspecified</x:v>
      </x:c>
      <x:c r="R448" s="4" t="str">
        <x:f>IF(L448="Withheld","Withheld premise",IF(E448="Tool candidate","Reusable prerequisite",IF(K448="Raw entry preparation","Entry-resource preparation",IF(G448="Not applicable",IF(IFERROR(INDEX('Items'!$AI$6:$AI$1005,MATCH(T448,'Items'!$A$6:$A$1005,0)),"MISSING ID")="Finished item","Finished endpoint",IF(IFERROR(INDEX('Items'!$AI$6:$AI$1005,MATCH(T448,'Items'!$A$6:$A$1005,0)),"MISSING ID")="Currency","Currency / no refinement tier","Recovered output / tier not applicable")),IF(OR(IFERROR(INDEX('Crafting recipes'!$H$6:$H$1005,MATCH(J448,'Crafting recipes'!$A$6:$A$1005,0)),"MISSING ID")="Unassigned",G448="Unassigned"),"Tier unresolved",IF(IFERROR(VALUE(RIGHT(G448,1))-VALUE(RIGHT(IFERROR(INDEX('Crafting recipes'!$H$6:$H$1005,MATCH(J448,'Crafting recipes'!$A$6:$A$1005,0)),"MISSING ID"),1)),0)=1,IF(B448=IFERROR(INDEX('Crafting recipes'!$H$6:$H$1005,MATCH(J448,'Crafting recipes'!$A$6:$A$1005,0)),"MISSING ID"),"Advances one material tier","Lower-tier ingredient; route advances one tier"),"Needs tier review"))))))</x:f>
        <x:v>Advances one material tier</x:v>
      </x:c>
      <x:c r="S448" s="4" t="str">
        <x:f>IFERROR(INDEX('Material routes'!$D$6:$D$2205,MATCH(U448,'Material routes'!$A$6:$A$2205,0)),"MISSING ID")</x:f>
        <x:v>proposal.natural.salts</x:v>
      </x:c>
      <x:c r="T448" s="4" t="str">
        <x:f>IFERROR(INDEX('Material routes'!$D$6:$D$2205,MATCH(V448,'Material routes'!$A$6:$A$2205,0)),"MISSING ID")</x:f>
        <x:v>proposal.lore.sulfur_charge</x:v>
      </x:c>
      <x:c r="U448" s="4" t="str">
        <x:v>design.lore.sulfur_charge.in.2</x:v>
      </x:c>
      <x:c r="V448" s="4" t="str">
        <x:v>design.lore.sulfur_charge.out</x:v>
      </x:c>
    </x:row>
    <x:row r="449" ht="115" customHeight="1">
      <x:c r="A449" s="4" t="str">
        <x:f>IFERROR(INDEX('Material routes'!$E$6:$E$2205,MATCH(U449,'Material routes'!$A$6:$A$2205,0)),"MISSING ID")</x:f>
        <x:v>Contained Phagia vat byproduct</x:v>
      </x:c>
      <x:c r="B449" s="4" t="str">
        <x:f>IFERROR(INDEX('Material routes'!$F$6:$F$2205,MATCH(U449,'Material routes'!$A$6:$A$2205,0)),"MISSING ID")</x:f>
        <x:v>T0</x:v>
      </x:c>
      <x:c r="C449" s="4" t="str">
        <x:f>IFERROR(INDEX('Material routes'!$H$6:$H$2205,MATCH(U449,'Material routes'!$A$6:$A$2205,0)),"MISSING ID")</x:f>
        <x:v>Raw material</x:v>
      </x:c>
      <x:c r="D449" s="4" t="str">
        <x:f>IFERROR(INDEX('Material routes'!$G$6:$G$2205,MATCH(U449,'Material routes'!$A$6:$A$2205,0)),"MISSING ID")</x:f>
        <x:v>Biological resources</x:v>
      </x:c>
      <x:c r="E449" s="4" t="str">
        <x:f>IFERROR(INDEX('Material routes'!$C$6:$C$2205,MATCH(U449,'Material routes'!$A$6:$A$2205,0)),"MISSING ID")</x:f>
        <x:v>Ingredient candidate</x:v>
      </x:c>
      <x:c r="F449" s="4" t="str">
        <x:f>IFERROR(INDEX('Material routes'!$E$6:$E$2205,MATCH(V449,'Material routes'!$A$6:$A$2205,0)),"MISSING ID")</x:f>
        <x:v>Selected Phagia enzyme fraction</x:v>
      </x:c>
      <x:c r="G449" s="4" t="str">
        <x:f>IFERROR(INDEX('Material routes'!$F$6:$F$2205,MATCH(V449,'Material routes'!$A$6:$A$2205,0)),"MISSING ID")</x:f>
        <x:v>T1</x:v>
      </x:c>
      <x:c r="H449" s="4" t="str">
        <x:f>IFERROR(INDEX('Material routes'!$H$6:$H$2205,MATCH(V449,'Material routes'!$A$6:$A$2205,0)),"MISSING ID")</x:f>
        <x:v>Chemical material</x:v>
      </x:c>
      <x:c r="I449" s="4" t="str">
        <x:f>IFERROR(INDEX('Material routes'!$G$6:$G$2205,MATCH(V449,'Material routes'!$A$6:$A$2205,0)),"MISSING ID")</x:f>
        <x:v>Crafting components</x:v>
      </x:c>
      <x:c r="J449" s="4" t="str">
        <x:f>IFERROR(INDEX('Material routes'!$B$6:$B$2205,MATCH(U449,'Material routes'!$A$6:$A$2205,0)),"MISSING ID")</x:f>
        <x:v>design.lore.phagia_enzyme</x:v>
      </x:c>
      <x:c r="K449" s="4" t="str">
        <x:f>IFERROR(INDEX('Crafting recipes'!$C$6:$C$1005,MATCH(J449,'Crafting recipes'!$A$6:$A$1005,0)),"MISSING ID")</x:f>
        <x:v>Material refinement</x:v>
      </x:c>
      <x:c r="L449" s="4" t="str">
        <x:f>IFERROR(INDEX('Material routes'!$K$6:$K$2205,MATCH(U449,'Material routes'!$A$6:$A$2205,0)),"MISSING ID")</x:f>
        <x:v>Proposal</x:v>
      </x:c>
      <x:c r="M449" s="4" t="str">
        <x:f>IFERROR(INDEX('Material routes'!$M$6:$M$2205,MATCH(U449,'Material routes'!$A$6:$A$2205,0)),"MISSING ID")</x:f>
        <x:v>Partial proposal</x:v>
      </x:c>
      <x:c r="N449" s="4" t="str">
        <x:f>IF(IFERROR(INDEX('Material routes'!$I$6:$I$1005,MATCH(U449,'Material routes'!$A$6:$A$1005,0)),"MISSING ID")=0,"",IFERROR(INDEX('Material routes'!$I$6:$I$1005,MATCH(U449,'Material routes'!$A$6:$A$1005,0)),"MISSING ID"))</x:f>
      </x:c>
      <x:c r="O449" s="4" t="str">
        <x:f>IFERROR(INDEX('Material routes'!$J$6:$J$2205,MATCH(U449,'Material routes'!$A$6:$A$2205,0)),"MISSING ID")</x:f>
        <x:v>Unspecified</x:v>
      </x:c>
      <x:c r="P449" s="4" t="str">
        <x:f>IF(IFERROR(INDEX('Material routes'!$I$6:$I$1005,MATCH(V449,'Material routes'!$A$6:$A$1005,0)),"MISSING ID")=0,"",IFERROR(INDEX('Material routes'!$I$6:$I$1005,MATCH(V449,'Material routes'!$A$6:$A$1005,0)),"MISSING ID"))</x:f>
      </x:c>
      <x:c r="Q449" s="4" t="str">
        <x:f>IFERROR(INDEX('Material routes'!$J$6:$J$2205,MATCH(V449,'Material routes'!$A$6:$A$2205,0)),"MISSING ID")</x:f>
        <x:v>Unspecified</x:v>
      </x:c>
      <x:c r="R449" s="4" t="str">
        <x:f>IF(L449="Withheld","Withheld premise",IF(E449="Tool candidate","Reusable prerequisite",IF(K449="Raw entry preparation","Entry-resource preparation",IF(G449="Not applicable",IF(IFERROR(INDEX('Items'!$AI$6:$AI$1005,MATCH(T449,'Items'!$A$6:$A$1005,0)),"MISSING ID")="Finished item","Finished endpoint",IF(IFERROR(INDEX('Items'!$AI$6:$AI$1005,MATCH(T449,'Items'!$A$6:$A$1005,0)),"MISSING ID")="Currency","Currency / no refinement tier","Recovered output / tier not applicable")),IF(OR(IFERROR(INDEX('Crafting recipes'!$H$6:$H$1005,MATCH(J449,'Crafting recipes'!$A$6:$A$1005,0)),"MISSING ID")="Unassigned",G449="Unassigned"),"Tier unresolved",IF(IFERROR(VALUE(RIGHT(G449,1))-VALUE(RIGHT(IFERROR(INDEX('Crafting recipes'!$H$6:$H$1005,MATCH(J449,'Crafting recipes'!$A$6:$A$1005,0)),"MISSING ID"),1)),0)=1,IF(B449=IFERROR(INDEX('Crafting recipes'!$H$6:$H$1005,MATCH(J449,'Crafting recipes'!$A$6:$A$1005,0)),"MISSING ID"),"Advances one material tier","Lower-tier ingredient; route advances one tier"),"Needs tier review"))))))</x:f>
        <x:v>Advances one material tier</x:v>
      </x:c>
      <x:c r="S449" s="4" t="str">
        <x:f>IFERROR(INDEX('Material routes'!$D$6:$D$2205,MATCH(U449,'Material routes'!$A$6:$A$2205,0)),"MISSING ID")</x:f>
        <x:v>proposal.lore.phagia_byproduct</x:v>
      </x:c>
      <x:c r="T449" s="4" t="str">
        <x:f>IFERROR(INDEX('Material routes'!$D$6:$D$2205,MATCH(V449,'Material routes'!$A$6:$A$2205,0)),"MISSING ID")</x:f>
        <x:v>proposal.lore.phagia_enzyme</x:v>
      </x:c>
      <x:c r="U449" s="4" t="str">
        <x:v>design.lore.phagia_enzyme.in.1</x:v>
      </x:c>
      <x:c r="V449" s="4" t="str">
        <x:v>design.lore.phagia_enzyme.out</x:v>
      </x:c>
    </x:row>
    <x:row r="450" ht="115" customHeight="1">
      <x:c r="A450" s="4" t="str">
        <x:f>IFERROR(INDEX('Material routes'!$E$6:$E$2205,MATCH(U450,'Material routes'!$A$6:$A$2205,0)),"MISSING ID")</x:f>
        <x:v>Contained Phagia vat byproduct</x:v>
      </x:c>
      <x:c r="B450" s="4" t="str">
        <x:f>IFERROR(INDEX('Material routes'!$F$6:$F$2205,MATCH(U450,'Material routes'!$A$6:$A$2205,0)),"MISSING ID")</x:f>
        <x:v>T0</x:v>
      </x:c>
      <x:c r="C450" s="4" t="str">
        <x:f>IFERROR(INDEX('Material routes'!$H$6:$H$2205,MATCH(U450,'Material routes'!$A$6:$A$2205,0)),"MISSING ID")</x:f>
        <x:v>Raw material</x:v>
      </x:c>
      <x:c r="D450" s="4" t="str">
        <x:f>IFERROR(INDEX('Material routes'!$G$6:$G$2205,MATCH(U450,'Material routes'!$A$6:$A$2205,0)),"MISSING ID")</x:f>
        <x:v>Biological resources</x:v>
      </x:c>
      <x:c r="E450" s="4" t="str">
        <x:f>IFERROR(INDEX('Material routes'!$C$6:$C$2205,MATCH(U450,'Material routes'!$A$6:$A$2205,0)),"MISSING ID")</x:f>
        <x:v>Ingredient candidate</x:v>
      </x:c>
      <x:c r="F450" s="4" t="str">
        <x:f>IFERROR(INDEX('Material routes'!$E$6:$E$2205,MATCH(V450,'Material routes'!$A$6:$A$2205,0)),"MISSING ID")</x:f>
        <x:v>Selected Phagia mild-acid fraction</x:v>
      </x:c>
      <x:c r="G450" s="4" t="str">
        <x:f>IFERROR(INDEX('Material routes'!$F$6:$F$2205,MATCH(V450,'Material routes'!$A$6:$A$2205,0)),"MISSING ID")</x:f>
        <x:v>T1</x:v>
      </x:c>
      <x:c r="H450" s="4" t="str">
        <x:f>IFERROR(INDEX('Material routes'!$H$6:$H$2205,MATCH(V450,'Material routes'!$A$6:$A$2205,0)),"MISSING ID")</x:f>
        <x:v>Chemical material</x:v>
      </x:c>
      <x:c r="I450" s="4" t="str">
        <x:f>IFERROR(INDEX('Material routes'!$G$6:$G$2205,MATCH(V450,'Material routes'!$A$6:$A$2205,0)),"MISSING ID")</x:f>
        <x:v>Crafting components</x:v>
      </x:c>
      <x:c r="J450" s="4" t="str">
        <x:f>IFERROR(INDEX('Material routes'!$B$6:$B$2205,MATCH(U450,'Material routes'!$A$6:$A$2205,0)),"MISSING ID")</x:f>
        <x:v>design.lore.phagia_acid</x:v>
      </x:c>
      <x:c r="K450" s="4" t="str">
        <x:f>IFERROR(INDEX('Crafting recipes'!$C$6:$C$1005,MATCH(J450,'Crafting recipes'!$A$6:$A$1005,0)),"MISSING ID")</x:f>
        <x:v>Material refinement</x:v>
      </x:c>
      <x:c r="L450" s="4" t="str">
        <x:f>IFERROR(INDEX('Material routes'!$K$6:$K$2205,MATCH(U450,'Material routes'!$A$6:$A$2205,0)),"MISSING ID")</x:f>
        <x:v>Proposal</x:v>
      </x:c>
      <x:c r="M450" s="4" t="str">
        <x:f>IFERROR(INDEX('Material routes'!$M$6:$M$2205,MATCH(U450,'Material routes'!$A$6:$A$2205,0)),"MISSING ID")</x:f>
        <x:v>Partial proposal</x:v>
      </x:c>
      <x:c r="N450" s="4" t="str">
        <x:f>IF(IFERROR(INDEX('Material routes'!$I$6:$I$1005,MATCH(U450,'Material routes'!$A$6:$A$1005,0)),"MISSING ID")=0,"",IFERROR(INDEX('Material routes'!$I$6:$I$1005,MATCH(U450,'Material routes'!$A$6:$A$1005,0)),"MISSING ID"))</x:f>
      </x:c>
      <x:c r="O450" s="4" t="str">
        <x:f>IFERROR(INDEX('Material routes'!$J$6:$J$2205,MATCH(U450,'Material routes'!$A$6:$A$2205,0)),"MISSING ID")</x:f>
        <x:v>Unspecified</x:v>
      </x:c>
      <x:c r="P450" s="4" t="str">
        <x:f>IF(IFERROR(INDEX('Material routes'!$I$6:$I$1005,MATCH(V450,'Material routes'!$A$6:$A$1005,0)),"MISSING ID")=0,"",IFERROR(INDEX('Material routes'!$I$6:$I$1005,MATCH(V450,'Material routes'!$A$6:$A$1005,0)),"MISSING ID"))</x:f>
      </x:c>
      <x:c r="Q450" s="4" t="str">
        <x:f>IFERROR(INDEX('Material routes'!$J$6:$J$2205,MATCH(V450,'Material routes'!$A$6:$A$2205,0)),"MISSING ID")</x:f>
        <x:v>Unspecified</x:v>
      </x:c>
      <x:c r="R450" s="4" t="str">
        <x:f>IF(L450="Withheld","Withheld premise",IF(E450="Tool candidate","Reusable prerequisite",IF(K450="Raw entry preparation","Entry-resource preparation",IF(G450="Not applicable",IF(IFERROR(INDEX('Items'!$AI$6:$AI$1005,MATCH(T450,'Items'!$A$6:$A$1005,0)),"MISSING ID")="Finished item","Finished endpoint",IF(IFERROR(INDEX('Items'!$AI$6:$AI$1005,MATCH(T450,'Items'!$A$6:$A$1005,0)),"MISSING ID")="Currency","Currency / no refinement tier","Recovered output / tier not applicable")),IF(OR(IFERROR(INDEX('Crafting recipes'!$H$6:$H$1005,MATCH(J450,'Crafting recipes'!$A$6:$A$1005,0)),"MISSING ID")="Unassigned",G450="Unassigned"),"Tier unresolved",IF(IFERROR(VALUE(RIGHT(G450,1))-VALUE(RIGHT(IFERROR(INDEX('Crafting recipes'!$H$6:$H$1005,MATCH(J450,'Crafting recipes'!$A$6:$A$1005,0)),"MISSING ID"),1)),0)=1,IF(B450=IFERROR(INDEX('Crafting recipes'!$H$6:$H$1005,MATCH(J450,'Crafting recipes'!$A$6:$A$1005,0)),"MISSING ID"),"Advances one material tier","Lower-tier ingredient; route advances one tier"),"Needs tier review"))))))</x:f>
        <x:v>Advances one material tier</x:v>
      </x:c>
      <x:c r="S450" s="4" t="str">
        <x:f>IFERROR(INDEX('Material routes'!$D$6:$D$2205,MATCH(U450,'Material routes'!$A$6:$A$2205,0)),"MISSING ID")</x:f>
        <x:v>proposal.lore.phagia_byproduct</x:v>
      </x:c>
      <x:c r="T450" s="4" t="str">
        <x:f>IFERROR(INDEX('Material routes'!$D$6:$D$2205,MATCH(V450,'Material routes'!$A$6:$A$2205,0)),"MISSING ID")</x:f>
        <x:v>proposal.lore.phagia_acid</x:v>
      </x:c>
      <x:c r="U450" s="4" t="str">
        <x:v>design.lore.phagia_acid.in.1</x:v>
      </x:c>
      <x:c r="V450" s="4" t="str">
        <x:v>design.lore.phagia_acid.out</x:v>
      </x:c>
    </x:row>
    <x:row r="451" ht="115" customHeight="1">
      <x:c r="A451" s="4" t="str">
        <x:f>IFERROR(INDEX('Material routes'!$E$6:$E$2205,MATCH(U451,'Material routes'!$A$6:$A$2205,0)),"MISSING ID")</x:f>
        <x:v>Contained Phagia vat byproduct</x:v>
      </x:c>
      <x:c r="B451" s="4" t="str">
        <x:f>IFERROR(INDEX('Material routes'!$F$6:$F$2205,MATCH(U451,'Material routes'!$A$6:$A$2205,0)),"MISSING ID")</x:f>
        <x:v>T0</x:v>
      </x:c>
      <x:c r="C451" s="4" t="str">
        <x:f>IFERROR(INDEX('Material routes'!$H$6:$H$2205,MATCH(U451,'Material routes'!$A$6:$A$2205,0)),"MISSING ID")</x:f>
        <x:v>Raw material</x:v>
      </x:c>
      <x:c r="D451" s="4" t="str">
        <x:f>IFERROR(INDEX('Material routes'!$G$6:$G$2205,MATCH(U451,'Material routes'!$A$6:$A$2205,0)),"MISSING ID")</x:f>
        <x:v>Biological resources</x:v>
      </x:c>
      <x:c r="E451" s="4" t="str">
        <x:f>IFERROR(INDEX('Material routes'!$C$6:$C$2205,MATCH(U451,'Material routes'!$A$6:$A$2205,0)),"MISSING ID")</x:f>
        <x:v>Ingredient candidate</x:v>
      </x:c>
      <x:c r="F451" s="4" t="str">
        <x:f>IFERROR(INDEX('Material routes'!$E$6:$E$2205,MATCH(V451,'Material routes'!$A$6:$A$2205,0)),"MISSING ID")</x:f>
        <x:v>Concentrated Phagia adhesive base</x:v>
      </x:c>
      <x:c r="G451" s="4" t="str">
        <x:f>IFERROR(INDEX('Material routes'!$F$6:$F$2205,MATCH(V451,'Material routes'!$A$6:$A$2205,0)),"MISSING ID")</x:f>
        <x:v>T1</x:v>
      </x:c>
      <x:c r="H451" s="4" t="str">
        <x:f>IFERROR(INDEX('Material routes'!$H$6:$H$2205,MATCH(V451,'Material routes'!$A$6:$A$2205,0)),"MISSING ID")</x:f>
        <x:v>Chemical material</x:v>
      </x:c>
      <x:c r="I451" s="4" t="str">
        <x:f>IFERROR(INDEX('Material routes'!$G$6:$G$2205,MATCH(V451,'Material routes'!$A$6:$A$2205,0)),"MISSING ID")</x:f>
        <x:v>Crafting components</x:v>
      </x:c>
      <x:c r="J451" s="4" t="str">
        <x:f>IFERROR(INDEX('Material routes'!$B$6:$B$2205,MATCH(U451,'Material routes'!$A$6:$A$2205,0)),"MISSING ID")</x:f>
        <x:v>design.lore.phagia_adhesive</x:v>
      </x:c>
      <x:c r="K451" s="4" t="str">
        <x:f>IFERROR(INDEX('Crafting recipes'!$C$6:$C$1005,MATCH(J451,'Crafting recipes'!$A$6:$A$1005,0)),"MISSING ID")</x:f>
        <x:v>Material refinement</x:v>
      </x:c>
      <x:c r="L451" s="4" t="str">
        <x:f>IFERROR(INDEX('Material routes'!$K$6:$K$2205,MATCH(U451,'Material routes'!$A$6:$A$2205,0)),"MISSING ID")</x:f>
        <x:v>Proposal</x:v>
      </x:c>
      <x:c r="M451" s="4" t="str">
        <x:f>IFERROR(INDEX('Material routes'!$M$6:$M$2205,MATCH(U451,'Material routes'!$A$6:$A$2205,0)),"MISSING ID")</x:f>
        <x:v>Partial proposal</x:v>
      </x:c>
      <x:c r="N451" s="4" t="str">
        <x:f>IF(IFERROR(INDEX('Material routes'!$I$6:$I$1005,MATCH(U451,'Material routes'!$A$6:$A$1005,0)),"MISSING ID")=0,"",IFERROR(INDEX('Material routes'!$I$6:$I$1005,MATCH(U451,'Material routes'!$A$6:$A$1005,0)),"MISSING ID"))</x:f>
      </x:c>
      <x:c r="O451" s="4" t="str">
        <x:f>IFERROR(INDEX('Material routes'!$J$6:$J$2205,MATCH(U451,'Material routes'!$A$6:$A$2205,0)),"MISSING ID")</x:f>
        <x:v>Unspecified</x:v>
      </x:c>
      <x:c r="P451" s="4" t="str">
        <x:f>IF(IFERROR(INDEX('Material routes'!$I$6:$I$1005,MATCH(V451,'Material routes'!$A$6:$A$1005,0)),"MISSING ID")=0,"",IFERROR(INDEX('Material routes'!$I$6:$I$1005,MATCH(V451,'Material routes'!$A$6:$A$1005,0)),"MISSING ID"))</x:f>
      </x:c>
      <x:c r="Q451" s="4" t="str">
        <x:f>IFERROR(INDEX('Material routes'!$J$6:$J$2205,MATCH(V451,'Material routes'!$A$6:$A$2205,0)),"MISSING ID")</x:f>
        <x:v>Unspecified</x:v>
      </x:c>
      <x:c r="R451" s="4" t="str">
        <x:f>IF(L451="Withheld","Withheld premise",IF(E451="Tool candidate","Reusable prerequisite",IF(K451="Raw entry preparation","Entry-resource preparation",IF(G451="Not applicable",IF(IFERROR(INDEX('Items'!$AI$6:$AI$1005,MATCH(T451,'Items'!$A$6:$A$1005,0)),"MISSING ID")="Finished item","Finished endpoint",IF(IFERROR(INDEX('Items'!$AI$6:$AI$1005,MATCH(T451,'Items'!$A$6:$A$1005,0)),"MISSING ID")="Currency","Currency / no refinement tier","Recovered output / tier not applicable")),IF(OR(IFERROR(INDEX('Crafting recipes'!$H$6:$H$1005,MATCH(J451,'Crafting recipes'!$A$6:$A$1005,0)),"MISSING ID")="Unassigned",G451="Unassigned"),"Tier unresolved",IF(IFERROR(VALUE(RIGHT(G451,1))-VALUE(RIGHT(IFERROR(INDEX('Crafting recipes'!$H$6:$H$1005,MATCH(J451,'Crafting recipes'!$A$6:$A$1005,0)),"MISSING ID"),1)),0)=1,IF(B451=IFERROR(INDEX('Crafting recipes'!$H$6:$H$1005,MATCH(J451,'Crafting recipes'!$A$6:$A$1005,0)),"MISSING ID"),"Advances one material tier","Lower-tier ingredient; route advances one tier"),"Needs tier review"))))))</x:f>
        <x:v>Advances one material tier</x:v>
      </x:c>
      <x:c r="S451" s="4" t="str">
        <x:f>IFERROR(INDEX('Material routes'!$D$6:$D$2205,MATCH(U451,'Material routes'!$A$6:$A$2205,0)),"MISSING ID")</x:f>
        <x:v>proposal.lore.phagia_byproduct</x:v>
      </x:c>
      <x:c r="T451" s="4" t="str">
        <x:f>IFERROR(INDEX('Material routes'!$D$6:$D$2205,MATCH(V451,'Material routes'!$A$6:$A$2205,0)),"MISSING ID")</x:f>
        <x:v>proposal.lore.phagia_adhesive</x:v>
      </x:c>
      <x:c r="U451" s="4" t="str">
        <x:v>design.lore.phagia_adhesive.in.1</x:v>
      </x:c>
      <x:c r="V451" s="4" t="str">
        <x:v>design.lore.phagia_adhesive.out</x:v>
      </x:c>
    </x:row>
    <x:row r="452" ht="115" customHeight="1">
      <x:c r="A452" s="4" t="str">
        <x:f>IFERROR(INDEX('Material routes'!$E$6:$E$2205,MATCH(U452,'Material routes'!$A$6:$A$2205,0)),"MISSING ID")</x:f>
        <x:v>Prepared alkaline mineral concentrate</x:v>
      </x:c>
      <x:c r="B452" s="4" t="str">
        <x:f>IFERROR(INDEX('Material routes'!$F$6:$F$2205,MATCH(U452,'Material routes'!$A$6:$A$2205,0)),"MISSING ID")</x:f>
        <x:v>T1</x:v>
      </x:c>
      <x:c r="C452" s="4" t="str">
        <x:f>IFERROR(INDEX('Material routes'!$H$6:$H$2205,MATCH(U452,'Material routes'!$A$6:$A$2205,0)),"MISSING ID")</x:f>
        <x:v>Chemical material</x:v>
      </x:c>
      <x:c r="D452" s="4" t="str">
        <x:f>IFERROR(INDEX('Material routes'!$G$6:$G$2205,MATCH(U452,'Material routes'!$A$6:$A$2205,0)),"MISSING ID")</x:f>
        <x:v>Crafting components</x:v>
      </x:c>
      <x:c r="E452" s="4" t="str">
        <x:f>IFERROR(INDEX('Material routes'!$C$6:$C$2205,MATCH(U452,'Material routes'!$A$6:$A$2205,0)),"MISSING ID")</x:f>
        <x:v>Ingredient candidate</x:v>
      </x:c>
      <x:c r="F452" s="4" t="str">
        <x:f>IFERROR(INDEX('Material routes'!$E$6:$E$2205,MATCH(V452,'Material routes'!$A$6:$A$2205,0)),"MISSING ID")</x:f>
        <x:v>Chitin-cleaning process charge</x:v>
      </x:c>
      <x:c r="G452" s="4" t="str">
        <x:f>IFERROR(INDEX('Material routes'!$F$6:$F$2205,MATCH(V452,'Material routes'!$A$6:$A$2205,0)),"MISSING ID")</x:f>
        <x:v>T2</x:v>
      </x:c>
      <x:c r="H452" s="4" t="str">
        <x:f>IFERROR(INDEX('Material routes'!$H$6:$H$2205,MATCH(V452,'Material routes'!$A$6:$A$2205,0)),"MISSING ID")</x:f>
        <x:v>Chemical material</x:v>
      </x:c>
      <x:c r="I452" s="4" t="str">
        <x:f>IFERROR(INDEX('Material routes'!$G$6:$G$2205,MATCH(V452,'Material routes'!$A$6:$A$2205,0)),"MISSING ID")</x:f>
        <x:v>Crafting components</x:v>
      </x:c>
      <x:c r="J452" s="4" t="str">
        <x:f>IFERROR(INDEX('Material routes'!$B$6:$B$2205,MATCH(U452,'Material routes'!$A$6:$A$2205,0)),"MISSING ID")</x:f>
        <x:v>design.lore.shell_cleaning_charge</x:v>
      </x:c>
      <x:c r="K452" s="4" t="str">
        <x:f>IFERROR(INDEX('Crafting recipes'!$C$6:$C$1005,MATCH(J452,'Crafting recipes'!$A$6:$A$1005,0)),"MISSING ID")</x:f>
        <x:v>Material refinement</x:v>
      </x:c>
      <x:c r="L452" s="4" t="str">
        <x:f>IFERROR(INDEX('Material routes'!$K$6:$K$2205,MATCH(U452,'Material routes'!$A$6:$A$2205,0)),"MISSING ID")</x:f>
        <x:v>Proposal</x:v>
      </x:c>
      <x:c r="M452" s="4" t="str">
        <x:f>IFERROR(INDEX('Material routes'!$M$6:$M$2205,MATCH(U452,'Material routes'!$A$6:$A$2205,0)),"MISSING ID")</x:f>
        <x:v>Partial proposal</x:v>
      </x:c>
      <x:c r="N452" s="4" t="str">
        <x:f>IF(IFERROR(INDEX('Material routes'!$I$6:$I$1005,MATCH(U452,'Material routes'!$A$6:$A$1005,0)),"MISSING ID")=0,"",IFERROR(INDEX('Material routes'!$I$6:$I$1005,MATCH(U452,'Material routes'!$A$6:$A$1005,0)),"MISSING ID"))</x:f>
      </x:c>
      <x:c r="O452" s="4" t="str">
        <x:f>IFERROR(INDEX('Material routes'!$J$6:$J$2205,MATCH(U452,'Material routes'!$A$6:$A$2205,0)),"MISSING ID")</x:f>
        <x:v>Unspecified</x:v>
      </x:c>
      <x:c r="P452" s="4" t="str">
        <x:f>IF(IFERROR(INDEX('Material routes'!$I$6:$I$1005,MATCH(V452,'Material routes'!$A$6:$A$1005,0)),"MISSING ID")=0,"",IFERROR(INDEX('Material routes'!$I$6:$I$1005,MATCH(V452,'Material routes'!$A$6:$A$1005,0)),"MISSING ID"))</x:f>
      </x:c>
      <x:c r="Q452" s="4" t="str">
        <x:f>IFERROR(INDEX('Material routes'!$J$6:$J$2205,MATCH(V452,'Material routes'!$A$6:$A$2205,0)),"MISSING ID")</x:f>
        <x:v>Unspecified</x:v>
      </x:c>
      <x:c r="R452" s="4" t="str">
        <x:f>IF(L452="Withheld","Withheld premise",IF(E452="Tool candidate","Reusable prerequisite",IF(K452="Raw entry preparation","Entry-resource preparation",IF(G452="Not applicable",IF(IFERROR(INDEX('Items'!$AI$6:$AI$1005,MATCH(T452,'Items'!$A$6:$A$1005,0)),"MISSING ID")="Finished item","Finished endpoint",IF(IFERROR(INDEX('Items'!$AI$6:$AI$1005,MATCH(T452,'Items'!$A$6:$A$1005,0)),"MISSING ID")="Currency","Currency / no refinement tier","Recovered output / tier not applicable")),IF(OR(IFERROR(INDEX('Crafting recipes'!$H$6:$H$1005,MATCH(J452,'Crafting recipes'!$A$6:$A$1005,0)),"MISSING ID")="Unassigned",G452="Unassigned"),"Tier unresolved",IF(IFERROR(VALUE(RIGHT(G452,1))-VALUE(RIGHT(IFERROR(INDEX('Crafting recipes'!$H$6:$H$1005,MATCH(J452,'Crafting recipes'!$A$6:$A$1005,0)),"MISSING ID"),1)),0)=1,IF(B452=IFERROR(INDEX('Crafting recipes'!$H$6:$H$1005,MATCH(J452,'Crafting recipes'!$A$6:$A$1005,0)),"MISSING ID"),"Advances one material tier","Lower-tier ingredient; route advances one tier"),"Needs tier review"))))))</x:f>
        <x:v>Advances one material tier</x:v>
      </x:c>
      <x:c r="S452" s="4" t="str">
        <x:f>IFERROR(INDEX('Material routes'!$D$6:$D$2205,MATCH(U452,'Material routes'!$A$6:$A$2205,0)),"MISSING ID")</x:f>
        <x:v>proposal.lore.alkali_concentrate</x:v>
      </x:c>
      <x:c r="T452" s="4" t="str">
        <x:f>IFERROR(INDEX('Material routes'!$D$6:$D$2205,MATCH(V452,'Material routes'!$A$6:$A$2205,0)),"MISSING ID")</x:f>
        <x:v>proposal.lore.shell_cleaning_charge</x:v>
      </x:c>
      <x:c r="U452" s="4" t="str">
        <x:v>design.lore.shell_cleaning_charge.in.1</x:v>
      </x:c>
      <x:c r="V452" s="4" t="str">
        <x:v>design.lore.shell_cleaning_charge.out</x:v>
      </x:c>
    </x:row>
    <x:row r="453" ht="115" customHeight="1">
      <x:c r="A453" s="4" t="str">
        <x:f>IFERROR(INDEX('Material routes'!$E$6:$E$2205,MATCH(U453,'Material routes'!$A$6:$A$2205,0)),"MISSING ID")</x:f>
        <x:v>Selected Phagia enzyme fraction</x:v>
      </x:c>
      <x:c r="B453" s="4" t="str">
        <x:f>IFERROR(INDEX('Material routes'!$F$6:$F$2205,MATCH(U453,'Material routes'!$A$6:$A$2205,0)),"MISSING ID")</x:f>
        <x:v>T1</x:v>
      </x:c>
      <x:c r="C453" s="4" t="str">
        <x:f>IFERROR(INDEX('Material routes'!$H$6:$H$2205,MATCH(U453,'Material routes'!$A$6:$A$2205,0)),"MISSING ID")</x:f>
        <x:v>Chemical material</x:v>
      </x:c>
      <x:c r="D453" s="4" t="str">
        <x:f>IFERROR(INDEX('Material routes'!$G$6:$G$2205,MATCH(U453,'Material routes'!$A$6:$A$2205,0)),"MISSING ID")</x:f>
        <x:v>Crafting components</x:v>
      </x:c>
      <x:c r="E453" s="4" t="str">
        <x:f>IFERROR(INDEX('Material routes'!$C$6:$C$2205,MATCH(U453,'Material routes'!$A$6:$A$2205,0)),"MISSING ID")</x:f>
        <x:v>Ingredient candidate</x:v>
      </x:c>
      <x:c r="F453" s="4" t="str">
        <x:f>IFERROR(INDEX('Material routes'!$E$6:$E$2205,MATCH(V453,'Material routes'!$A$6:$A$2205,0)),"MISSING ID")</x:f>
        <x:v>Chitin-cleaning process charge</x:v>
      </x:c>
      <x:c r="G453" s="4" t="str">
        <x:f>IFERROR(INDEX('Material routes'!$F$6:$F$2205,MATCH(V453,'Material routes'!$A$6:$A$2205,0)),"MISSING ID")</x:f>
        <x:v>T2</x:v>
      </x:c>
      <x:c r="H453" s="4" t="str">
        <x:f>IFERROR(INDEX('Material routes'!$H$6:$H$2205,MATCH(V453,'Material routes'!$A$6:$A$2205,0)),"MISSING ID")</x:f>
        <x:v>Chemical material</x:v>
      </x:c>
      <x:c r="I453" s="4" t="str">
        <x:f>IFERROR(INDEX('Material routes'!$G$6:$G$2205,MATCH(V453,'Material routes'!$A$6:$A$2205,0)),"MISSING ID")</x:f>
        <x:v>Crafting components</x:v>
      </x:c>
      <x:c r="J453" s="4" t="str">
        <x:f>IFERROR(INDEX('Material routes'!$B$6:$B$2205,MATCH(U453,'Material routes'!$A$6:$A$2205,0)),"MISSING ID")</x:f>
        <x:v>design.lore.shell_cleaning_charge</x:v>
      </x:c>
      <x:c r="K453" s="4" t="str">
        <x:f>IFERROR(INDEX('Crafting recipes'!$C$6:$C$1005,MATCH(J453,'Crafting recipes'!$A$6:$A$1005,0)),"MISSING ID")</x:f>
        <x:v>Material refinement</x:v>
      </x:c>
      <x:c r="L453" s="4" t="str">
        <x:f>IFERROR(INDEX('Material routes'!$K$6:$K$2205,MATCH(U453,'Material routes'!$A$6:$A$2205,0)),"MISSING ID")</x:f>
        <x:v>Proposal</x:v>
      </x:c>
      <x:c r="M453" s="4" t="str">
        <x:f>IFERROR(INDEX('Material routes'!$M$6:$M$2205,MATCH(U453,'Material routes'!$A$6:$A$2205,0)),"MISSING ID")</x:f>
        <x:v>Partial proposal</x:v>
      </x:c>
      <x:c r="N453" s="4" t="str">
        <x:f>IF(IFERROR(INDEX('Material routes'!$I$6:$I$1005,MATCH(U453,'Material routes'!$A$6:$A$1005,0)),"MISSING ID")=0,"",IFERROR(INDEX('Material routes'!$I$6:$I$1005,MATCH(U453,'Material routes'!$A$6:$A$1005,0)),"MISSING ID"))</x:f>
      </x:c>
      <x:c r="O453" s="4" t="str">
        <x:f>IFERROR(INDEX('Material routes'!$J$6:$J$2205,MATCH(U453,'Material routes'!$A$6:$A$2205,0)),"MISSING ID")</x:f>
        <x:v>Unspecified</x:v>
      </x:c>
      <x:c r="P453" s="4" t="str">
        <x:f>IF(IFERROR(INDEX('Material routes'!$I$6:$I$1005,MATCH(V453,'Material routes'!$A$6:$A$1005,0)),"MISSING ID")=0,"",IFERROR(INDEX('Material routes'!$I$6:$I$1005,MATCH(V453,'Material routes'!$A$6:$A$1005,0)),"MISSING ID"))</x:f>
      </x:c>
      <x:c r="Q453" s="4" t="str">
        <x:f>IFERROR(INDEX('Material routes'!$J$6:$J$2205,MATCH(V453,'Material routes'!$A$6:$A$2205,0)),"MISSING ID")</x:f>
        <x:v>Unspecified</x:v>
      </x:c>
      <x:c r="R453" s="4" t="str">
        <x:f>IF(L453="Withheld","Withheld premise",IF(E453="Tool candidate","Reusable prerequisite",IF(K453="Raw entry preparation","Entry-resource preparation",IF(G453="Not applicable",IF(IFERROR(INDEX('Items'!$AI$6:$AI$1005,MATCH(T453,'Items'!$A$6:$A$1005,0)),"MISSING ID")="Finished item","Finished endpoint",IF(IFERROR(INDEX('Items'!$AI$6:$AI$1005,MATCH(T453,'Items'!$A$6:$A$1005,0)),"MISSING ID")="Currency","Currency / no refinement tier","Recovered output / tier not applicable")),IF(OR(IFERROR(INDEX('Crafting recipes'!$H$6:$H$1005,MATCH(J453,'Crafting recipes'!$A$6:$A$1005,0)),"MISSING ID")="Unassigned",G453="Unassigned"),"Tier unresolved",IF(IFERROR(VALUE(RIGHT(G453,1))-VALUE(RIGHT(IFERROR(INDEX('Crafting recipes'!$H$6:$H$1005,MATCH(J453,'Crafting recipes'!$A$6:$A$1005,0)),"MISSING ID"),1)),0)=1,IF(B453=IFERROR(INDEX('Crafting recipes'!$H$6:$H$1005,MATCH(J453,'Crafting recipes'!$A$6:$A$1005,0)),"MISSING ID"),"Advances one material tier","Lower-tier ingredient; route advances one tier"),"Needs tier review"))))))</x:f>
        <x:v>Advances one material tier</x:v>
      </x:c>
      <x:c r="S453" s="4" t="str">
        <x:f>IFERROR(INDEX('Material routes'!$D$6:$D$2205,MATCH(U453,'Material routes'!$A$6:$A$2205,0)),"MISSING ID")</x:f>
        <x:v>proposal.lore.phagia_enzyme</x:v>
      </x:c>
      <x:c r="T453" s="4" t="str">
        <x:f>IFERROR(INDEX('Material routes'!$D$6:$D$2205,MATCH(V453,'Material routes'!$A$6:$A$2205,0)),"MISSING ID")</x:f>
        <x:v>proposal.lore.shell_cleaning_charge</x:v>
      </x:c>
      <x:c r="U453" s="4" t="str">
        <x:v>design.lore.shell_cleaning_charge.in.2</x:v>
      </x:c>
      <x:c r="V453" s="4" t="str">
        <x:v>design.lore.shell_cleaning_charge.out</x:v>
      </x:c>
    </x:row>
    <x:row r="454" ht="115" customHeight="1">
      <x:c r="A454" s="4" t="str">
        <x:f>IFERROR(INDEX('Material routes'!$E$6:$E$2205,MATCH(U454,'Material routes'!$A$6:$A$2205,0)),"MISSING ID")</x:f>
        <x:v>Selected faunal carrier fraction</x:v>
      </x:c>
      <x:c r="B454" s="4" t="str">
        <x:f>IFERROR(INDEX('Material routes'!$F$6:$F$2205,MATCH(U454,'Material routes'!$A$6:$A$2205,0)),"MISSING ID")</x:f>
        <x:v>T1</x:v>
      </x:c>
      <x:c r="C454" s="4" t="str">
        <x:f>IFERROR(INDEX('Material routes'!$H$6:$H$2205,MATCH(U454,'Material routes'!$A$6:$A$2205,0)),"MISSING ID")</x:f>
        <x:v>Chemical material</x:v>
      </x:c>
      <x:c r="D454" s="4" t="str">
        <x:f>IFERROR(INDEX('Material routes'!$G$6:$G$2205,MATCH(U454,'Material routes'!$A$6:$A$2205,0)),"MISSING ID")</x:f>
        <x:v>Crafting components</x:v>
      </x:c>
      <x:c r="E454" s="4" t="str">
        <x:f>IFERROR(INDEX('Material routes'!$C$6:$C$2205,MATCH(U454,'Material routes'!$A$6:$A$2205,0)),"MISSING ID")</x:f>
        <x:v>Ingredient candidate</x:v>
      </x:c>
      <x:c r="F454" s="4" t="str">
        <x:f>IFERROR(INDEX('Material routes'!$E$6:$E$2205,MATCH(V454,'Material routes'!$A$6:$A$2205,0)),"MISSING ID")</x:f>
        <x:v>Chitin-cleaning process charge</x:v>
      </x:c>
      <x:c r="G454" s="4" t="str">
        <x:f>IFERROR(INDEX('Material routes'!$F$6:$F$2205,MATCH(V454,'Material routes'!$A$6:$A$2205,0)),"MISSING ID")</x:f>
        <x:v>T2</x:v>
      </x:c>
      <x:c r="H454" s="4" t="str">
        <x:f>IFERROR(INDEX('Material routes'!$H$6:$H$2205,MATCH(V454,'Material routes'!$A$6:$A$2205,0)),"MISSING ID")</x:f>
        <x:v>Chemical material</x:v>
      </x:c>
      <x:c r="I454" s="4" t="str">
        <x:f>IFERROR(INDEX('Material routes'!$G$6:$G$2205,MATCH(V454,'Material routes'!$A$6:$A$2205,0)),"MISSING ID")</x:f>
        <x:v>Crafting components</x:v>
      </x:c>
      <x:c r="J454" s="4" t="str">
        <x:f>IFERROR(INDEX('Material routes'!$B$6:$B$2205,MATCH(U454,'Material routes'!$A$6:$A$2205,0)),"MISSING ID")</x:f>
        <x:v>design.lore.shell_cleaning_charge</x:v>
      </x:c>
      <x:c r="K454" s="4" t="str">
        <x:f>IFERROR(INDEX('Crafting recipes'!$C$6:$C$1005,MATCH(J454,'Crafting recipes'!$A$6:$A$1005,0)),"MISSING ID")</x:f>
        <x:v>Material refinement</x:v>
      </x:c>
      <x:c r="L454" s="4" t="str">
        <x:f>IFERROR(INDEX('Material routes'!$K$6:$K$2205,MATCH(U454,'Material routes'!$A$6:$A$2205,0)),"MISSING ID")</x:f>
        <x:v>Proposal</x:v>
      </x:c>
      <x:c r="M454" s="4" t="str">
        <x:f>IFERROR(INDEX('Material routes'!$M$6:$M$2205,MATCH(U454,'Material routes'!$A$6:$A$2205,0)),"MISSING ID")</x:f>
        <x:v>Partial proposal</x:v>
      </x:c>
      <x:c r="N454" s="4" t="str">
        <x:f>IF(IFERROR(INDEX('Material routes'!$I$6:$I$1005,MATCH(U454,'Material routes'!$A$6:$A$1005,0)),"MISSING ID")=0,"",IFERROR(INDEX('Material routes'!$I$6:$I$1005,MATCH(U454,'Material routes'!$A$6:$A$1005,0)),"MISSING ID"))</x:f>
      </x:c>
      <x:c r="O454" s="4" t="str">
        <x:f>IFERROR(INDEX('Material routes'!$J$6:$J$2205,MATCH(U454,'Material routes'!$A$6:$A$2205,0)),"MISSING ID")</x:f>
        <x:v>Unspecified</x:v>
      </x:c>
      <x:c r="P454" s="4" t="str">
        <x:f>IF(IFERROR(INDEX('Material routes'!$I$6:$I$1005,MATCH(V454,'Material routes'!$A$6:$A$1005,0)),"MISSING ID")=0,"",IFERROR(INDEX('Material routes'!$I$6:$I$1005,MATCH(V454,'Material routes'!$A$6:$A$1005,0)),"MISSING ID"))</x:f>
      </x:c>
      <x:c r="Q454" s="4" t="str">
        <x:f>IFERROR(INDEX('Material routes'!$J$6:$J$2205,MATCH(V454,'Material routes'!$A$6:$A$2205,0)),"MISSING ID")</x:f>
        <x:v>Unspecified</x:v>
      </x:c>
      <x:c r="R454" s="4" t="str">
        <x:f>IF(L454="Withheld","Withheld premise",IF(E454="Tool candidate","Reusable prerequisite",IF(K454="Raw entry preparation","Entry-resource preparation",IF(G454="Not applicable",IF(IFERROR(INDEX('Items'!$AI$6:$AI$1005,MATCH(T454,'Items'!$A$6:$A$1005,0)),"MISSING ID")="Finished item","Finished endpoint",IF(IFERROR(INDEX('Items'!$AI$6:$AI$1005,MATCH(T454,'Items'!$A$6:$A$1005,0)),"MISSING ID")="Currency","Currency / no refinement tier","Recovered output / tier not applicable")),IF(OR(IFERROR(INDEX('Crafting recipes'!$H$6:$H$1005,MATCH(J454,'Crafting recipes'!$A$6:$A$1005,0)),"MISSING ID")="Unassigned",G454="Unassigned"),"Tier unresolved",IF(IFERROR(VALUE(RIGHT(G454,1))-VALUE(RIGHT(IFERROR(INDEX('Crafting recipes'!$H$6:$H$1005,MATCH(J454,'Crafting recipes'!$A$6:$A$1005,0)),"MISSING ID"),1)),0)=1,IF(B454=IFERROR(INDEX('Crafting recipes'!$H$6:$H$1005,MATCH(J454,'Crafting recipes'!$A$6:$A$1005,0)),"MISSING ID"),"Advances one material tier","Lower-tier ingredient; route advances one tier"),"Needs tier review"))))))</x:f>
        <x:v>Advances one material tier</x:v>
      </x:c>
      <x:c r="S454" s="4" t="str">
        <x:f>IFERROR(INDEX('Material routes'!$D$6:$D$2205,MATCH(U454,'Material routes'!$A$6:$A$2205,0)),"MISSING ID")</x:f>
        <x:v>proposal.t1.faunal_carrier</x:v>
      </x:c>
      <x:c r="T454" s="4" t="str">
        <x:f>IFERROR(INDEX('Material routes'!$D$6:$D$2205,MATCH(V454,'Material routes'!$A$6:$A$2205,0)),"MISSING ID")</x:f>
        <x:v>proposal.lore.shell_cleaning_charge</x:v>
      </x:c>
      <x:c r="U454" s="4" t="str">
        <x:v>design.lore.shell_cleaning_charge.in.3</x:v>
      </x:c>
      <x:c r="V454" s="4" t="str">
        <x:v>design.lore.shell_cleaning_charge.out</x:v>
      </x:c>
    </x:row>
    <x:row r="455" ht="115" customHeight="1">
      <x:c r="A455" s="4" t="str">
        <x:f>IFERROR(INDEX('Material routes'!$E$6:$E$2205,MATCH(U455,'Material routes'!$A$6:$A$2205,0)),"MISSING ID")</x:f>
        <x:v>Prepared alkaline mineral concentrate</x:v>
      </x:c>
      <x:c r="B455" s="4" t="str">
        <x:f>IFERROR(INDEX('Material routes'!$F$6:$F$2205,MATCH(U455,'Material routes'!$A$6:$A$2205,0)),"MISSING ID")</x:f>
        <x:v>T1</x:v>
      </x:c>
      <x:c r="C455" s="4" t="str">
        <x:f>IFERROR(INDEX('Material routes'!$H$6:$H$2205,MATCH(U455,'Material routes'!$A$6:$A$2205,0)),"MISSING ID")</x:f>
        <x:v>Chemical material</x:v>
      </x:c>
      <x:c r="D455" s="4" t="str">
        <x:f>IFERROR(INDEX('Material routes'!$G$6:$G$2205,MATCH(U455,'Material routes'!$A$6:$A$2205,0)),"MISSING ID")</x:f>
        <x:v>Crafting components</x:v>
      </x:c>
      <x:c r="E455" s="4" t="str">
        <x:f>IFERROR(INDEX('Material routes'!$C$6:$C$2205,MATCH(U455,'Material routes'!$A$6:$A$2205,0)),"MISSING ID")</x:f>
        <x:v>Ingredient candidate</x:v>
      </x:c>
      <x:c r="F455" s="4" t="str">
        <x:f>IFERROR(INDEX('Material routes'!$E$6:$E$2205,MATCH(V455,'Material routes'!$A$6:$A$2205,0)),"MISSING ID")</x:f>
        <x:v>Concentrated chitin binder residue</x:v>
      </x:c>
      <x:c r="G455" s="4" t="str">
        <x:f>IFERROR(INDEX('Material routes'!$F$6:$F$2205,MATCH(V455,'Material routes'!$A$6:$A$2205,0)),"MISSING ID")</x:f>
        <x:v>T2</x:v>
      </x:c>
      <x:c r="H455" s="4" t="str">
        <x:f>IFERROR(INDEX('Material routes'!$H$6:$H$2205,MATCH(V455,'Material routes'!$A$6:$A$2205,0)),"MISSING ID")</x:f>
        <x:v>Chemical material</x:v>
      </x:c>
      <x:c r="I455" s="4" t="str">
        <x:f>IFERROR(INDEX('Material routes'!$G$6:$G$2205,MATCH(V455,'Material routes'!$A$6:$A$2205,0)),"MISSING ID")</x:f>
        <x:v>Crafting components</x:v>
      </x:c>
      <x:c r="J455" s="4" t="str">
        <x:f>IFERROR(INDEX('Material routes'!$B$6:$B$2205,MATCH(U455,'Material routes'!$A$6:$A$2205,0)),"MISSING ID")</x:f>
        <x:v>design.lore.chitin_binder_residue</x:v>
      </x:c>
      <x:c r="K455" s="4" t="str">
        <x:f>IFERROR(INDEX('Crafting recipes'!$C$6:$C$1005,MATCH(J455,'Crafting recipes'!$A$6:$A$1005,0)),"MISSING ID")</x:f>
        <x:v>Material refinement</x:v>
      </x:c>
      <x:c r="L455" s="4" t="str">
        <x:f>IFERROR(INDEX('Material routes'!$K$6:$K$2205,MATCH(U455,'Material routes'!$A$6:$A$2205,0)),"MISSING ID")</x:f>
        <x:v>Proposal</x:v>
      </x:c>
      <x:c r="M455" s="4" t="str">
        <x:f>IFERROR(INDEX('Material routes'!$M$6:$M$2205,MATCH(U455,'Material routes'!$A$6:$A$2205,0)),"MISSING ID")</x:f>
        <x:v>Partial proposal</x:v>
      </x:c>
      <x:c r="N455" s="4" t="str">
        <x:f>IF(IFERROR(INDEX('Material routes'!$I$6:$I$1005,MATCH(U455,'Material routes'!$A$6:$A$1005,0)),"MISSING ID")=0,"",IFERROR(INDEX('Material routes'!$I$6:$I$1005,MATCH(U455,'Material routes'!$A$6:$A$1005,0)),"MISSING ID"))</x:f>
      </x:c>
      <x:c r="O455" s="4" t="str">
        <x:f>IFERROR(INDEX('Material routes'!$J$6:$J$2205,MATCH(U455,'Material routes'!$A$6:$A$2205,0)),"MISSING ID")</x:f>
        <x:v>Unspecified</x:v>
      </x:c>
      <x:c r="P455" s="4" t="str">
        <x:f>IF(IFERROR(INDEX('Material routes'!$I$6:$I$1005,MATCH(V455,'Material routes'!$A$6:$A$1005,0)),"MISSING ID")=0,"",IFERROR(INDEX('Material routes'!$I$6:$I$1005,MATCH(V455,'Material routes'!$A$6:$A$1005,0)),"MISSING ID"))</x:f>
      </x:c>
      <x:c r="Q455" s="4" t="str">
        <x:f>IFERROR(INDEX('Material routes'!$J$6:$J$2205,MATCH(V455,'Material routes'!$A$6:$A$2205,0)),"MISSING ID")</x:f>
        <x:v>Unspecified</x:v>
      </x:c>
      <x:c r="R455" s="4" t="str">
        <x:f>IF(L455="Withheld","Withheld premise",IF(E455="Tool candidate","Reusable prerequisite",IF(K455="Raw entry preparation","Entry-resource preparation",IF(G455="Not applicable",IF(IFERROR(INDEX('Items'!$AI$6:$AI$1005,MATCH(T455,'Items'!$A$6:$A$1005,0)),"MISSING ID")="Finished item","Finished endpoint",IF(IFERROR(INDEX('Items'!$AI$6:$AI$1005,MATCH(T455,'Items'!$A$6:$A$1005,0)),"MISSING ID")="Currency","Currency / no refinement tier","Recovered output / tier not applicable")),IF(OR(IFERROR(INDEX('Crafting recipes'!$H$6:$H$1005,MATCH(J455,'Crafting recipes'!$A$6:$A$1005,0)),"MISSING ID")="Unassigned",G455="Unassigned"),"Tier unresolved",IF(IFERROR(VALUE(RIGHT(G455,1))-VALUE(RIGHT(IFERROR(INDEX('Crafting recipes'!$H$6:$H$1005,MATCH(J455,'Crafting recipes'!$A$6:$A$1005,0)),"MISSING ID"),1)),0)=1,IF(B455=IFERROR(INDEX('Crafting recipes'!$H$6:$H$1005,MATCH(J455,'Crafting recipes'!$A$6:$A$1005,0)),"MISSING ID"),"Advances one material tier","Lower-tier ingredient; route advances one tier"),"Needs tier review"))))))</x:f>
        <x:v>Advances one material tier</x:v>
      </x:c>
      <x:c r="S455" s="4" t="str">
        <x:f>IFERROR(INDEX('Material routes'!$D$6:$D$2205,MATCH(U455,'Material routes'!$A$6:$A$2205,0)),"MISSING ID")</x:f>
        <x:v>proposal.lore.alkali_concentrate</x:v>
      </x:c>
      <x:c r="T455" s="4" t="str">
        <x:f>IFERROR(INDEX('Material routes'!$D$6:$D$2205,MATCH(V455,'Material routes'!$A$6:$A$2205,0)),"MISSING ID")</x:f>
        <x:v>proposal.lore.chitin_binder_residue</x:v>
      </x:c>
      <x:c r="U455" s="4" t="str">
        <x:v>design.lore.chitin_binder_residue.in.1</x:v>
      </x:c>
      <x:c r="V455" s="4" t="str">
        <x:v>design.lore.chitin_binder_residue.out</x:v>
      </x:c>
    </x:row>
    <x:row r="456" ht="115" customHeight="1">
      <x:c r="A456" s="4" t="str">
        <x:f>IFERROR(INDEX('Material routes'!$E$6:$E$2205,MATCH(U456,'Material routes'!$A$6:$A$2205,0)),"MISSING ID")</x:f>
        <x:v>Shell husks / shed plates</x:v>
      </x:c>
      <x:c r="B456" s="4" t="str">
        <x:f>IFERROR(INDEX('Material routes'!$F$6:$F$2205,MATCH(U456,'Material routes'!$A$6:$A$2205,0)),"MISSING ID")</x:f>
        <x:v>T0</x:v>
      </x:c>
      <x:c r="C456" s="4" t="str">
        <x:f>IFERROR(INDEX('Material routes'!$H$6:$H$2205,MATCH(U456,'Material routes'!$A$6:$A$2205,0)),"MISSING ID")</x:f>
        <x:v>Raw material</x:v>
      </x:c>
      <x:c r="D456" s="4" t="str">
        <x:f>IFERROR(INDEX('Material routes'!$G$6:$G$2205,MATCH(U456,'Material routes'!$A$6:$A$2205,0)),"MISSING ID")</x:f>
        <x:v>Biological resources</x:v>
      </x:c>
      <x:c r="E456" s="4" t="str">
        <x:f>IFERROR(INDEX('Material routes'!$C$6:$C$2205,MATCH(U456,'Material routes'!$A$6:$A$2205,0)),"MISSING ID")</x:f>
        <x:v>Ingredient candidate</x:v>
      </x:c>
      <x:c r="F456" s="4" t="str">
        <x:f>IFERROR(INDEX('Material routes'!$E$6:$E$2205,MATCH(V456,'Material routes'!$A$6:$A$2205,0)),"MISSING ID")</x:f>
        <x:v>Concentrated chitin binder residue</x:v>
      </x:c>
      <x:c r="G456" s="4" t="str">
        <x:f>IFERROR(INDEX('Material routes'!$F$6:$F$2205,MATCH(V456,'Material routes'!$A$6:$A$2205,0)),"MISSING ID")</x:f>
        <x:v>T2</x:v>
      </x:c>
      <x:c r="H456" s="4" t="str">
        <x:f>IFERROR(INDEX('Material routes'!$H$6:$H$2205,MATCH(V456,'Material routes'!$A$6:$A$2205,0)),"MISSING ID")</x:f>
        <x:v>Chemical material</x:v>
      </x:c>
      <x:c r="I456" s="4" t="str">
        <x:f>IFERROR(INDEX('Material routes'!$G$6:$G$2205,MATCH(V456,'Material routes'!$A$6:$A$2205,0)),"MISSING ID")</x:f>
        <x:v>Crafting components</x:v>
      </x:c>
      <x:c r="J456" s="4" t="str">
        <x:f>IFERROR(INDEX('Material routes'!$B$6:$B$2205,MATCH(U456,'Material routes'!$A$6:$A$2205,0)),"MISSING ID")</x:f>
        <x:v>design.lore.chitin_binder_residue</x:v>
      </x:c>
      <x:c r="K456" s="4" t="str">
        <x:f>IFERROR(INDEX('Crafting recipes'!$C$6:$C$1005,MATCH(J456,'Crafting recipes'!$A$6:$A$1005,0)),"MISSING ID")</x:f>
        <x:v>Material refinement</x:v>
      </x:c>
      <x:c r="L456" s="4" t="str">
        <x:f>IFERROR(INDEX('Material routes'!$K$6:$K$2205,MATCH(U456,'Material routes'!$A$6:$A$2205,0)),"MISSING ID")</x:f>
        <x:v>Proposal</x:v>
      </x:c>
      <x:c r="M456" s="4" t="str">
        <x:f>IFERROR(INDEX('Material routes'!$M$6:$M$2205,MATCH(U456,'Material routes'!$A$6:$A$2205,0)),"MISSING ID")</x:f>
        <x:v>Partial proposal</x:v>
      </x:c>
      <x:c r="N456" s="4" t="str">
        <x:f>IF(IFERROR(INDEX('Material routes'!$I$6:$I$1005,MATCH(U456,'Material routes'!$A$6:$A$1005,0)),"MISSING ID")=0,"",IFERROR(INDEX('Material routes'!$I$6:$I$1005,MATCH(U456,'Material routes'!$A$6:$A$1005,0)),"MISSING ID"))</x:f>
      </x:c>
      <x:c r="O456" s="4" t="str">
        <x:f>IFERROR(INDEX('Material routes'!$J$6:$J$2205,MATCH(U456,'Material routes'!$A$6:$A$2205,0)),"MISSING ID")</x:f>
        <x:v>Unspecified</x:v>
      </x:c>
      <x:c r="P456" s="4" t="str">
        <x:f>IF(IFERROR(INDEX('Material routes'!$I$6:$I$1005,MATCH(V456,'Material routes'!$A$6:$A$1005,0)),"MISSING ID")=0,"",IFERROR(INDEX('Material routes'!$I$6:$I$1005,MATCH(V456,'Material routes'!$A$6:$A$1005,0)),"MISSING ID"))</x:f>
      </x:c>
      <x:c r="Q456" s="4" t="str">
        <x:f>IFERROR(INDEX('Material routes'!$J$6:$J$2205,MATCH(V456,'Material routes'!$A$6:$A$2205,0)),"MISSING ID")</x:f>
        <x:v>Unspecified</x:v>
      </x:c>
      <x:c r="R456" s="4" t="str">
        <x:f>IF(L456="Withheld","Withheld premise",IF(E456="Tool candidate","Reusable prerequisite",IF(K456="Raw entry preparation","Entry-resource preparation",IF(G456="Not applicable",IF(IFERROR(INDEX('Items'!$AI$6:$AI$1005,MATCH(T456,'Items'!$A$6:$A$1005,0)),"MISSING ID")="Finished item","Finished endpoint",IF(IFERROR(INDEX('Items'!$AI$6:$AI$1005,MATCH(T456,'Items'!$A$6:$A$1005,0)),"MISSING ID")="Currency","Currency / no refinement tier","Recovered output / tier not applicable")),IF(OR(IFERROR(INDEX('Crafting recipes'!$H$6:$H$1005,MATCH(J456,'Crafting recipes'!$A$6:$A$1005,0)),"MISSING ID")="Unassigned",G456="Unassigned"),"Tier unresolved",IF(IFERROR(VALUE(RIGHT(G456,1))-VALUE(RIGHT(IFERROR(INDEX('Crafting recipes'!$H$6:$H$1005,MATCH(J456,'Crafting recipes'!$A$6:$A$1005,0)),"MISSING ID"),1)),0)=1,IF(B456=IFERROR(INDEX('Crafting recipes'!$H$6:$H$1005,MATCH(J456,'Crafting recipes'!$A$6:$A$1005,0)),"MISSING ID"),"Advances one material tier","Lower-tier ingredient; route advances one tier"),"Needs tier review"))))))</x:f>
        <x:v>Lower-tier ingredient; route advances one tier</x:v>
      </x:c>
      <x:c r="S456" s="4" t="str">
        <x:f>IFERROR(INDEX('Material routes'!$D$6:$D$2205,MATCH(U456,'Material routes'!$A$6:$A$2205,0)),"MISSING ID")</x:f>
        <x:v>proposal.bio.shell</x:v>
      </x:c>
      <x:c r="T456" s="4" t="str">
        <x:f>IFERROR(INDEX('Material routes'!$D$6:$D$2205,MATCH(V456,'Material routes'!$A$6:$A$2205,0)),"MISSING ID")</x:f>
        <x:v>proposal.lore.chitin_binder_residue</x:v>
      </x:c>
      <x:c r="U456" s="4" t="str">
        <x:v>design.lore.chitin_binder_residue.in.2</x:v>
      </x:c>
      <x:c r="V456" s="4" t="str">
        <x:v>design.lore.chitin_binder_residue.out</x:v>
      </x:c>
    </x:row>
    <x:row r="457" ht="115" customHeight="1">
      <x:c r="A457" s="4" t="str">
        <x:f>IFERROR(INDEX('Material routes'!$E$6:$E$2205,MATCH(U457,'Material routes'!$A$6:$A$2205,0)),"MISSING ID")</x:f>
        <x:v>Selected faunal carrier fraction</x:v>
      </x:c>
      <x:c r="B457" s="4" t="str">
        <x:f>IFERROR(INDEX('Material routes'!$F$6:$F$2205,MATCH(U457,'Material routes'!$A$6:$A$2205,0)),"MISSING ID")</x:f>
        <x:v>T1</x:v>
      </x:c>
      <x:c r="C457" s="4" t="str">
        <x:f>IFERROR(INDEX('Material routes'!$H$6:$H$2205,MATCH(U457,'Material routes'!$A$6:$A$2205,0)),"MISSING ID")</x:f>
        <x:v>Chemical material</x:v>
      </x:c>
      <x:c r="D457" s="4" t="str">
        <x:f>IFERROR(INDEX('Material routes'!$G$6:$G$2205,MATCH(U457,'Material routes'!$A$6:$A$2205,0)),"MISSING ID")</x:f>
        <x:v>Crafting components</x:v>
      </x:c>
      <x:c r="E457" s="4" t="str">
        <x:f>IFERROR(INDEX('Material routes'!$C$6:$C$2205,MATCH(U457,'Material routes'!$A$6:$A$2205,0)),"MISSING ID")</x:f>
        <x:v>Ingredient candidate</x:v>
      </x:c>
      <x:c r="F457" s="4" t="str">
        <x:f>IFERROR(INDEX('Material routes'!$E$6:$E$2205,MATCH(V457,'Material routes'!$A$6:$A$2205,0)),"MISSING ID")</x:f>
        <x:v>Concentrated chitin binder residue</x:v>
      </x:c>
      <x:c r="G457" s="4" t="str">
        <x:f>IFERROR(INDEX('Material routes'!$F$6:$F$2205,MATCH(V457,'Material routes'!$A$6:$A$2205,0)),"MISSING ID")</x:f>
        <x:v>T2</x:v>
      </x:c>
      <x:c r="H457" s="4" t="str">
        <x:f>IFERROR(INDEX('Material routes'!$H$6:$H$2205,MATCH(V457,'Material routes'!$A$6:$A$2205,0)),"MISSING ID")</x:f>
        <x:v>Chemical material</x:v>
      </x:c>
      <x:c r="I457" s="4" t="str">
        <x:f>IFERROR(INDEX('Material routes'!$G$6:$G$2205,MATCH(V457,'Material routes'!$A$6:$A$2205,0)),"MISSING ID")</x:f>
        <x:v>Crafting components</x:v>
      </x:c>
      <x:c r="J457" s="4" t="str">
        <x:f>IFERROR(INDEX('Material routes'!$B$6:$B$2205,MATCH(U457,'Material routes'!$A$6:$A$2205,0)),"MISSING ID")</x:f>
        <x:v>design.lore.chitin_binder_residue</x:v>
      </x:c>
      <x:c r="K457" s="4" t="str">
        <x:f>IFERROR(INDEX('Crafting recipes'!$C$6:$C$1005,MATCH(J457,'Crafting recipes'!$A$6:$A$1005,0)),"MISSING ID")</x:f>
        <x:v>Material refinement</x:v>
      </x:c>
      <x:c r="L457" s="4" t="str">
        <x:f>IFERROR(INDEX('Material routes'!$K$6:$K$2205,MATCH(U457,'Material routes'!$A$6:$A$2205,0)),"MISSING ID")</x:f>
        <x:v>Proposal</x:v>
      </x:c>
      <x:c r="M457" s="4" t="str">
        <x:f>IFERROR(INDEX('Material routes'!$M$6:$M$2205,MATCH(U457,'Material routes'!$A$6:$A$2205,0)),"MISSING ID")</x:f>
        <x:v>Partial proposal</x:v>
      </x:c>
      <x:c r="N457" s="4" t="str">
        <x:f>IF(IFERROR(INDEX('Material routes'!$I$6:$I$1005,MATCH(U457,'Material routes'!$A$6:$A$1005,0)),"MISSING ID")=0,"",IFERROR(INDEX('Material routes'!$I$6:$I$1005,MATCH(U457,'Material routes'!$A$6:$A$1005,0)),"MISSING ID"))</x:f>
      </x:c>
      <x:c r="O457" s="4" t="str">
        <x:f>IFERROR(INDEX('Material routes'!$J$6:$J$2205,MATCH(U457,'Material routes'!$A$6:$A$2205,0)),"MISSING ID")</x:f>
        <x:v>Unspecified</x:v>
      </x:c>
      <x:c r="P457" s="4" t="str">
        <x:f>IF(IFERROR(INDEX('Material routes'!$I$6:$I$1005,MATCH(V457,'Material routes'!$A$6:$A$1005,0)),"MISSING ID")=0,"",IFERROR(INDEX('Material routes'!$I$6:$I$1005,MATCH(V457,'Material routes'!$A$6:$A$1005,0)),"MISSING ID"))</x:f>
      </x:c>
      <x:c r="Q457" s="4" t="str">
        <x:f>IFERROR(INDEX('Material routes'!$J$6:$J$2205,MATCH(V457,'Material routes'!$A$6:$A$2205,0)),"MISSING ID")</x:f>
        <x:v>Unspecified</x:v>
      </x:c>
      <x:c r="R457" s="4" t="str">
        <x:f>IF(L457="Withheld","Withheld premise",IF(E457="Tool candidate","Reusable prerequisite",IF(K457="Raw entry preparation","Entry-resource preparation",IF(G457="Not applicable",IF(IFERROR(INDEX('Items'!$AI$6:$AI$1005,MATCH(T457,'Items'!$A$6:$A$1005,0)),"MISSING ID")="Finished item","Finished endpoint",IF(IFERROR(INDEX('Items'!$AI$6:$AI$1005,MATCH(T457,'Items'!$A$6:$A$1005,0)),"MISSING ID")="Currency","Currency / no refinement tier","Recovered output / tier not applicable")),IF(OR(IFERROR(INDEX('Crafting recipes'!$H$6:$H$1005,MATCH(J457,'Crafting recipes'!$A$6:$A$1005,0)),"MISSING ID")="Unassigned",G457="Unassigned"),"Tier unresolved",IF(IFERROR(VALUE(RIGHT(G457,1))-VALUE(RIGHT(IFERROR(INDEX('Crafting recipes'!$H$6:$H$1005,MATCH(J457,'Crafting recipes'!$A$6:$A$1005,0)),"MISSING ID"),1)),0)=1,IF(B457=IFERROR(INDEX('Crafting recipes'!$H$6:$H$1005,MATCH(J457,'Crafting recipes'!$A$6:$A$1005,0)),"MISSING ID"),"Advances one material tier","Lower-tier ingredient; route advances one tier"),"Needs tier review"))))))</x:f>
        <x:v>Advances one material tier</x:v>
      </x:c>
      <x:c r="S457" s="4" t="str">
        <x:f>IFERROR(INDEX('Material routes'!$D$6:$D$2205,MATCH(U457,'Material routes'!$A$6:$A$2205,0)),"MISSING ID")</x:f>
        <x:v>proposal.t1.faunal_carrier</x:v>
      </x:c>
      <x:c r="T457" s="4" t="str">
        <x:f>IFERROR(INDEX('Material routes'!$D$6:$D$2205,MATCH(V457,'Material routes'!$A$6:$A$2205,0)),"MISSING ID")</x:f>
        <x:v>proposal.lore.chitin_binder_residue</x:v>
      </x:c>
      <x:c r="U457" s="4" t="str">
        <x:v>design.lore.chitin_binder_residue.in.3</x:v>
      </x:c>
      <x:c r="V457" s="4" t="str">
        <x:v>design.lore.chitin_binder_residue.out</x:v>
      </x:c>
    </x:row>
    <x:row r="458" ht="115" customHeight="1">
      <x:c r="A458" s="4" t="str">
        <x:f>IFERROR(INDEX('Material routes'!$E$6:$E$2205,MATCH(U458,'Material routes'!$A$6:$A$2205,0)),"MISSING ID")</x:f>
        <x:v>Dried joint membrane</x:v>
      </x:c>
      <x:c r="B458" s="4" t="str">
        <x:f>IFERROR(INDEX('Material routes'!$F$6:$F$2205,MATCH(U458,'Material routes'!$A$6:$A$2205,0)),"MISSING ID")</x:f>
        <x:v>T0</x:v>
      </x:c>
      <x:c r="C458" s="4" t="str">
        <x:f>IFERROR(INDEX('Material routes'!$H$6:$H$2205,MATCH(U458,'Material routes'!$A$6:$A$2205,0)),"MISSING ID")</x:f>
        <x:v>Raw material</x:v>
      </x:c>
      <x:c r="D458" s="4" t="str">
        <x:f>IFERROR(INDEX('Material routes'!$G$6:$G$2205,MATCH(U458,'Material routes'!$A$6:$A$2205,0)),"MISSING ID")</x:f>
        <x:v>Biological resources</x:v>
      </x:c>
      <x:c r="E458" s="4" t="str">
        <x:f>IFERROR(INDEX('Material routes'!$C$6:$C$2205,MATCH(U458,'Material routes'!$A$6:$A$2205,0)),"MISSING ID")</x:f>
        <x:v>Ingredient candidate</x:v>
      </x:c>
      <x:c r="F458" s="4" t="str">
        <x:f>IFERROR(INDEX('Material routes'!$E$6:$E$2205,MATCH(V458,'Material routes'!$A$6:$A$2205,0)),"MISSING ID")</x:f>
        <x:v>Rendered membrane bonding stock</x:v>
      </x:c>
      <x:c r="G458" s="4" t="str">
        <x:f>IFERROR(INDEX('Material routes'!$F$6:$F$2205,MATCH(V458,'Material routes'!$A$6:$A$2205,0)),"MISSING ID")</x:f>
        <x:v>T1</x:v>
      </x:c>
      <x:c r="H458" s="4" t="str">
        <x:f>IFERROR(INDEX('Material routes'!$H$6:$H$2205,MATCH(V458,'Material routes'!$A$6:$A$2205,0)),"MISSING ID")</x:f>
        <x:v>Chemical material</x:v>
      </x:c>
      <x:c r="I458" s="4" t="str">
        <x:f>IFERROR(INDEX('Material routes'!$G$6:$G$2205,MATCH(V458,'Material routes'!$A$6:$A$2205,0)),"MISSING ID")</x:f>
        <x:v>Crafting components</x:v>
      </x:c>
      <x:c r="J458" s="4" t="str">
        <x:f>IFERROR(INDEX('Material routes'!$B$6:$B$2205,MATCH(U458,'Material routes'!$A$6:$A$2205,0)),"MISSING ID")</x:f>
        <x:v>design.lore.membrane_bond</x:v>
      </x:c>
      <x:c r="K458" s="4" t="str">
        <x:f>IFERROR(INDEX('Crafting recipes'!$C$6:$C$1005,MATCH(J458,'Crafting recipes'!$A$6:$A$1005,0)),"MISSING ID")</x:f>
        <x:v>Material refinement</x:v>
      </x:c>
      <x:c r="L458" s="4" t="str">
        <x:f>IFERROR(INDEX('Material routes'!$K$6:$K$2205,MATCH(U458,'Material routes'!$A$6:$A$2205,0)),"MISSING ID")</x:f>
        <x:v>Proposal</x:v>
      </x:c>
      <x:c r="M458" s="4" t="str">
        <x:f>IFERROR(INDEX('Material routes'!$M$6:$M$2205,MATCH(U458,'Material routes'!$A$6:$A$2205,0)),"MISSING ID")</x:f>
        <x:v>Partial proposal</x:v>
      </x:c>
      <x:c r="N458" s="4" t="str">
        <x:f>IF(IFERROR(INDEX('Material routes'!$I$6:$I$1005,MATCH(U458,'Material routes'!$A$6:$A$1005,0)),"MISSING ID")=0,"",IFERROR(INDEX('Material routes'!$I$6:$I$1005,MATCH(U458,'Material routes'!$A$6:$A$1005,0)),"MISSING ID"))</x:f>
      </x:c>
      <x:c r="O458" s="4" t="str">
        <x:f>IFERROR(INDEX('Material routes'!$J$6:$J$2205,MATCH(U458,'Material routes'!$A$6:$A$2205,0)),"MISSING ID")</x:f>
        <x:v>Unspecified</x:v>
      </x:c>
      <x:c r="P458" s="4" t="str">
        <x:f>IF(IFERROR(INDEX('Material routes'!$I$6:$I$1005,MATCH(V458,'Material routes'!$A$6:$A$1005,0)),"MISSING ID")=0,"",IFERROR(INDEX('Material routes'!$I$6:$I$1005,MATCH(V458,'Material routes'!$A$6:$A$1005,0)),"MISSING ID"))</x:f>
      </x:c>
      <x:c r="Q458" s="4" t="str">
        <x:f>IFERROR(INDEX('Material routes'!$J$6:$J$2205,MATCH(V458,'Material routes'!$A$6:$A$2205,0)),"MISSING ID")</x:f>
        <x:v>Unspecified</x:v>
      </x:c>
      <x:c r="R458" s="4" t="str">
        <x:f>IF(L458="Withheld","Withheld premise",IF(E458="Tool candidate","Reusable prerequisite",IF(K458="Raw entry preparation","Entry-resource preparation",IF(G458="Not applicable",IF(IFERROR(INDEX('Items'!$AI$6:$AI$1005,MATCH(T458,'Items'!$A$6:$A$1005,0)),"MISSING ID")="Finished item","Finished endpoint",IF(IFERROR(INDEX('Items'!$AI$6:$AI$1005,MATCH(T458,'Items'!$A$6:$A$1005,0)),"MISSING ID")="Currency","Currency / no refinement tier","Recovered output / tier not applicable")),IF(OR(IFERROR(INDEX('Crafting recipes'!$H$6:$H$1005,MATCH(J458,'Crafting recipes'!$A$6:$A$1005,0)),"MISSING ID")="Unassigned",G458="Unassigned"),"Tier unresolved",IF(IFERROR(VALUE(RIGHT(G458,1))-VALUE(RIGHT(IFERROR(INDEX('Crafting recipes'!$H$6:$H$1005,MATCH(J458,'Crafting recipes'!$A$6:$A$1005,0)),"MISSING ID"),1)),0)=1,IF(B458=IFERROR(INDEX('Crafting recipes'!$H$6:$H$1005,MATCH(J458,'Crafting recipes'!$A$6:$A$1005,0)),"MISSING ID"),"Advances one material tier","Lower-tier ingredient; route advances one tier"),"Needs tier review"))))))</x:f>
        <x:v>Advances one material tier</x:v>
      </x:c>
      <x:c r="S458" s="4" t="str">
        <x:f>IFERROR(INDEX('Material routes'!$D$6:$D$2205,MATCH(U458,'Material routes'!$A$6:$A$2205,0)),"MISSING ID")</x:f>
        <x:v>proposal.bio.membrane</x:v>
      </x:c>
      <x:c r="T458" s="4" t="str">
        <x:f>IFERROR(INDEX('Material routes'!$D$6:$D$2205,MATCH(V458,'Material routes'!$A$6:$A$2205,0)),"MISSING ID")</x:f>
        <x:v>proposal.lore.membrane_bond</x:v>
      </x:c>
      <x:c r="U458" s="4" t="str">
        <x:v>design.lore.membrane_bond.in.1</x:v>
      </x:c>
      <x:c r="V458" s="4" t="str">
        <x:v>design.lore.membrane_bond.out</x:v>
      </x:c>
    </x:row>
    <x:row r="459" ht="115" customHeight="1">
      <x:c r="A459" s="4" t="str">
        <x:f>IFERROR(INDEX('Material routes'!$E$6:$E$2205,MATCH(U459,'Material routes'!$A$6:$A$2205,0)),"MISSING ID")</x:f>
        <x:v>Faunal liquid material (unspecified)</x:v>
      </x:c>
      <x:c r="B459" s="4" t="str">
        <x:f>IFERROR(INDEX('Material routes'!$F$6:$F$2205,MATCH(U459,'Material routes'!$A$6:$A$2205,0)),"MISSING ID")</x:f>
        <x:v>T0</x:v>
      </x:c>
      <x:c r="C459" s="4" t="str">
        <x:f>IFERROR(INDEX('Material routes'!$H$6:$H$2205,MATCH(U459,'Material routes'!$A$6:$A$2205,0)),"MISSING ID")</x:f>
        <x:v>Chemical material</x:v>
      </x:c>
      <x:c r="D459" s="4" t="str">
        <x:f>IFERROR(INDEX('Material routes'!$G$6:$G$2205,MATCH(U459,'Material routes'!$A$6:$A$2205,0)),"MISSING ID")</x:f>
        <x:v>Biological resources</x:v>
      </x:c>
      <x:c r="E459" s="4" t="str">
        <x:f>IFERROR(INDEX('Material routes'!$C$6:$C$2205,MATCH(U459,'Material routes'!$A$6:$A$2205,0)),"MISSING ID")</x:f>
        <x:v>Ingredient candidate</x:v>
      </x:c>
      <x:c r="F459" s="4" t="str">
        <x:f>IFERROR(INDEX('Material routes'!$E$6:$E$2205,MATCH(V459,'Material routes'!$A$6:$A$2205,0)),"MISSING ID")</x:f>
        <x:v>Rendered membrane bonding stock</x:v>
      </x:c>
      <x:c r="G459" s="4" t="str">
        <x:f>IFERROR(INDEX('Material routes'!$F$6:$F$2205,MATCH(V459,'Material routes'!$A$6:$A$2205,0)),"MISSING ID")</x:f>
        <x:v>T1</x:v>
      </x:c>
      <x:c r="H459" s="4" t="str">
        <x:f>IFERROR(INDEX('Material routes'!$H$6:$H$2205,MATCH(V459,'Material routes'!$A$6:$A$2205,0)),"MISSING ID")</x:f>
        <x:v>Chemical material</x:v>
      </x:c>
      <x:c r="I459" s="4" t="str">
        <x:f>IFERROR(INDEX('Material routes'!$G$6:$G$2205,MATCH(V459,'Material routes'!$A$6:$A$2205,0)),"MISSING ID")</x:f>
        <x:v>Crafting components</x:v>
      </x:c>
      <x:c r="J459" s="4" t="str">
        <x:f>IFERROR(INDEX('Material routes'!$B$6:$B$2205,MATCH(U459,'Material routes'!$A$6:$A$2205,0)),"MISSING ID")</x:f>
        <x:v>design.lore.membrane_bond</x:v>
      </x:c>
      <x:c r="K459" s="4" t="str">
        <x:f>IFERROR(INDEX('Crafting recipes'!$C$6:$C$1005,MATCH(J459,'Crafting recipes'!$A$6:$A$1005,0)),"MISSING ID")</x:f>
        <x:v>Material refinement</x:v>
      </x:c>
      <x:c r="L459" s="4" t="str">
        <x:f>IFERROR(INDEX('Material routes'!$K$6:$K$2205,MATCH(U459,'Material routes'!$A$6:$A$2205,0)),"MISSING ID")</x:f>
        <x:v>Proposal</x:v>
      </x:c>
      <x:c r="M459" s="4" t="str">
        <x:f>IFERROR(INDEX('Material routes'!$M$6:$M$2205,MATCH(U459,'Material routes'!$A$6:$A$2205,0)),"MISSING ID")</x:f>
        <x:v>Partial proposal</x:v>
      </x:c>
      <x:c r="N459" s="4" t="str">
        <x:f>IF(IFERROR(INDEX('Material routes'!$I$6:$I$1005,MATCH(U459,'Material routes'!$A$6:$A$1005,0)),"MISSING ID")=0,"",IFERROR(INDEX('Material routes'!$I$6:$I$1005,MATCH(U459,'Material routes'!$A$6:$A$1005,0)),"MISSING ID"))</x:f>
      </x:c>
      <x:c r="O459" s="4" t="str">
        <x:f>IFERROR(INDEX('Material routes'!$J$6:$J$2205,MATCH(U459,'Material routes'!$A$6:$A$2205,0)),"MISSING ID")</x:f>
        <x:v>Unspecified</x:v>
      </x:c>
      <x:c r="P459" s="4" t="str">
        <x:f>IF(IFERROR(INDEX('Material routes'!$I$6:$I$1005,MATCH(V459,'Material routes'!$A$6:$A$1005,0)),"MISSING ID")=0,"",IFERROR(INDEX('Material routes'!$I$6:$I$1005,MATCH(V459,'Material routes'!$A$6:$A$1005,0)),"MISSING ID"))</x:f>
      </x:c>
      <x:c r="Q459" s="4" t="str">
        <x:f>IFERROR(INDEX('Material routes'!$J$6:$J$2205,MATCH(V459,'Material routes'!$A$6:$A$2205,0)),"MISSING ID")</x:f>
        <x:v>Unspecified</x:v>
      </x:c>
      <x:c r="R459" s="4" t="str">
        <x:f>IF(L459="Withheld","Withheld premise",IF(E459="Tool candidate","Reusable prerequisite",IF(K459="Raw entry preparation","Entry-resource preparation",IF(G459="Not applicable",IF(IFERROR(INDEX('Items'!$AI$6:$AI$1005,MATCH(T459,'Items'!$A$6:$A$1005,0)),"MISSING ID")="Finished item","Finished endpoint",IF(IFERROR(INDEX('Items'!$AI$6:$AI$1005,MATCH(T459,'Items'!$A$6:$A$1005,0)),"MISSING ID")="Currency","Currency / no refinement tier","Recovered output / tier not applicable")),IF(OR(IFERROR(INDEX('Crafting recipes'!$H$6:$H$1005,MATCH(J459,'Crafting recipes'!$A$6:$A$1005,0)),"MISSING ID")="Unassigned",G459="Unassigned"),"Tier unresolved",IF(IFERROR(VALUE(RIGHT(G459,1))-VALUE(RIGHT(IFERROR(INDEX('Crafting recipes'!$H$6:$H$1005,MATCH(J459,'Crafting recipes'!$A$6:$A$1005,0)),"MISSING ID"),1)),0)=1,IF(B459=IFERROR(INDEX('Crafting recipes'!$H$6:$H$1005,MATCH(J459,'Crafting recipes'!$A$6:$A$1005,0)),"MISSING ID"),"Advances one material tier","Lower-tier ingredient; route advances one tier"),"Needs tier review"))))))</x:f>
        <x:v>Advances one material tier</x:v>
      </x:c>
      <x:c r="S459" s="4" t="str">
        <x:f>IFERROR(INDEX('Material routes'!$D$6:$D$2205,MATCH(U459,'Material routes'!$A$6:$A$2205,0)),"MISSING ID")</x:f>
        <x:v>proposal.bio.liquid_material</x:v>
      </x:c>
      <x:c r="T459" s="4" t="str">
        <x:f>IFERROR(INDEX('Material routes'!$D$6:$D$2205,MATCH(V459,'Material routes'!$A$6:$A$2205,0)),"MISSING ID")</x:f>
        <x:v>proposal.lore.membrane_bond</x:v>
      </x:c>
      <x:c r="U459" s="4" t="str">
        <x:v>design.lore.membrane_bond.in.2</x:v>
      </x:c>
      <x:c r="V459" s="4" t="str">
        <x:v>design.lore.membrane_bond.out</x:v>
      </x:c>
    </x:row>
    <x:row r="460" ht="115" customHeight="1">
      <x:c r="A460" s="4" t="str">
        <x:f>IFERROR(INDEX('Material routes'!$E$6:$E$2205,MATCH(U460,'Material routes'!$A$6:$A$2205,0)),"MISSING ID")</x:f>
        <x:v>Mineral-rich ichor</x:v>
      </x:c>
      <x:c r="B460" s="4" t="str">
        <x:f>IFERROR(INDEX('Material routes'!$F$6:$F$2205,MATCH(U460,'Material routes'!$A$6:$A$2205,0)),"MISSING ID")</x:f>
        <x:v>T0</x:v>
      </x:c>
      <x:c r="C460" s="4" t="str">
        <x:f>IFERROR(INDEX('Material routes'!$H$6:$H$2205,MATCH(U460,'Material routes'!$A$6:$A$2205,0)),"MISSING ID")</x:f>
        <x:v>Chemical material</x:v>
      </x:c>
      <x:c r="D460" s="4" t="str">
        <x:f>IFERROR(INDEX('Material routes'!$G$6:$G$2205,MATCH(U460,'Material routes'!$A$6:$A$2205,0)),"MISSING ID")</x:f>
        <x:v>Biological resources</x:v>
      </x:c>
      <x:c r="E460" s="4" t="str">
        <x:f>IFERROR(INDEX('Material routes'!$C$6:$C$2205,MATCH(U460,'Material routes'!$A$6:$A$2205,0)),"MISSING ID")</x:f>
        <x:v>Ingredient candidate</x:v>
      </x:c>
      <x:c r="F460" s="4" t="str">
        <x:f>IFERROR(INDEX('Material routes'!$E$6:$E$2205,MATCH(V460,'Material routes'!$A$6:$A$2205,0)),"MISSING ID")</x:f>
        <x:v>Separated ichor mineral sediment</x:v>
      </x:c>
      <x:c r="G460" s="4" t="str">
        <x:f>IFERROR(INDEX('Material routes'!$F$6:$F$2205,MATCH(V460,'Material routes'!$A$6:$A$2205,0)),"MISSING ID")</x:f>
        <x:v>T1</x:v>
      </x:c>
      <x:c r="H460" s="4" t="str">
        <x:f>IFERROR(INDEX('Material routes'!$H$6:$H$2205,MATCH(V460,'Material routes'!$A$6:$A$2205,0)),"MISSING ID")</x:f>
        <x:v>Chemical material</x:v>
      </x:c>
      <x:c r="I460" s="4" t="str">
        <x:f>IFERROR(INDEX('Material routes'!$G$6:$G$2205,MATCH(V460,'Material routes'!$A$6:$A$2205,0)),"MISSING ID")</x:f>
        <x:v>Crafting components</x:v>
      </x:c>
      <x:c r="J460" s="4" t="str">
        <x:f>IFERROR(INDEX('Material routes'!$B$6:$B$2205,MATCH(U460,'Material routes'!$A$6:$A$2205,0)),"MISSING ID")</x:f>
        <x:v>design.lore.ichor_sediment</x:v>
      </x:c>
      <x:c r="K460" s="4" t="str">
        <x:f>IFERROR(INDEX('Crafting recipes'!$C$6:$C$1005,MATCH(J460,'Crafting recipes'!$A$6:$A$1005,0)),"MISSING ID")</x:f>
        <x:v>Material refinement</x:v>
      </x:c>
      <x:c r="L460" s="4" t="str">
        <x:f>IFERROR(INDEX('Material routes'!$K$6:$K$2205,MATCH(U460,'Material routes'!$A$6:$A$2205,0)),"MISSING ID")</x:f>
        <x:v>Proposal</x:v>
      </x:c>
      <x:c r="M460" s="4" t="str">
        <x:f>IFERROR(INDEX('Material routes'!$M$6:$M$2205,MATCH(U460,'Material routes'!$A$6:$A$2205,0)),"MISSING ID")</x:f>
        <x:v>Partial proposal</x:v>
      </x:c>
      <x:c r="N460" s="4" t="str">
        <x:f>IF(IFERROR(INDEX('Material routes'!$I$6:$I$1005,MATCH(U460,'Material routes'!$A$6:$A$1005,0)),"MISSING ID")=0,"",IFERROR(INDEX('Material routes'!$I$6:$I$1005,MATCH(U460,'Material routes'!$A$6:$A$1005,0)),"MISSING ID"))</x:f>
      </x:c>
      <x:c r="O460" s="4" t="str">
        <x:f>IFERROR(INDEX('Material routes'!$J$6:$J$2205,MATCH(U460,'Material routes'!$A$6:$A$2205,0)),"MISSING ID")</x:f>
        <x:v>Unspecified</x:v>
      </x:c>
      <x:c r="P460" s="4" t="str">
        <x:f>IF(IFERROR(INDEX('Material routes'!$I$6:$I$1005,MATCH(V460,'Material routes'!$A$6:$A$1005,0)),"MISSING ID")=0,"",IFERROR(INDEX('Material routes'!$I$6:$I$1005,MATCH(V460,'Material routes'!$A$6:$A$1005,0)),"MISSING ID"))</x:f>
      </x:c>
      <x:c r="Q460" s="4" t="str">
        <x:f>IFERROR(INDEX('Material routes'!$J$6:$J$2205,MATCH(V460,'Material routes'!$A$6:$A$2205,0)),"MISSING ID")</x:f>
        <x:v>Unspecified</x:v>
      </x:c>
      <x:c r="R460" s="4" t="str">
        <x:f>IF(L460="Withheld","Withheld premise",IF(E460="Tool candidate","Reusable prerequisite",IF(K460="Raw entry preparation","Entry-resource preparation",IF(G460="Not applicable",IF(IFERROR(INDEX('Items'!$AI$6:$AI$1005,MATCH(T460,'Items'!$A$6:$A$1005,0)),"MISSING ID")="Finished item","Finished endpoint",IF(IFERROR(INDEX('Items'!$AI$6:$AI$1005,MATCH(T460,'Items'!$A$6:$A$1005,0)),"MISSING ID")="Currency","Currency / no refinement tier","Recovered output / tier not applicable")),IF(OR(IFERROR(INDEX('Crafting recipes'!$H$6:$H$1005,MATCH(J460,'Crafting recipes'!$A$6:$A$1005,0)),"MISSING ID")="Unassigned",G460="Unassigned"),"Tier unresolved",IF(IFERROR(VALUE(RIGHT(G460,1))-VALUE(RIGHT(IFERROR(INDEX('Crafting recipes'!$H$6:$H$1005,MATCH(J460,'Crafting recipes'!$A$6:$A$1005,0)),"MISSING ID"),1)),0)=1,IF(B460=IFERROR(INDEX('Crafting recipes'!$H$6:$H$1005,MATCH(J460,'Crafting recipes'!$A$6:$A$1005,0)),"MISSING ID"),"Advances one material tier","Lower-tier ingredient; route advances one tier"),"Needs tier review"))))))</x:f>
        <x:v>Advances one material tier</x:v>
      </x:c>
      <x:c r="S460" s="4" t="str">
        <x:f>IFERROR(INDEX('Material routes'!$D$6:$D$2205,MATCH(U460,'Material routes'!$A$6:$A$2205,0)),"MISSING ID")</x:f>
        <x:v>proposal.chemical.mineral_ichor</x:v>
      </x:c>
      <x:c r="T460" s="4" t="str">
        <x:f>IFERROR(INDEX('Material routes'!$D$6:$D$2205,MATCH(V460,'Material routes'!$A$6:$A$2205,0)),"MISSING ID")</x:f>
        <x:v>proposal.lore.ichor_sediment</x:v>
      </x:c>
      <x:c r="U460" s="4" t="str">
        <x:v>design.lore.ichor_sediment.in.1</x:v>
      </x:c>
      <x:c r="V460" s="4" t="str">
        <x:v>design.lore.ichor_sediment.out</x:v>
      </x:c>
    </x:row>
    <x:row r="461" ht="115" customHeight="1">
      <x:c r="A461" s="4" t="str">
        <x:f>IFERROR(INDEX('Material routes'!$E$6:$E$2205,MATCH(U461,'Material routes'!$A$6:$A$2205,0)),"MISSING ID")</x:f>
        <x:v>Harvested electroactive fiber bundles</x:v>
      </x:c>
      <x:c r="B461" s="4" t="str">
        <x:f>IFERROR(INDEX('Material routes'!$F$6:$F$2205,MATCH(U461,'Material routes'!$A$6:$A$2205,0)),"MISSING ID")</x:f>
        <x:v>T0</x:v>
      </x:c>
      <x:c r="C461" s="4" t="str">
        <x:f>IFERROR(INDEX('Material routes'!$H$6:$H$2205,MATCH(U461,'Material routes'!$A$6:$A$2205,0)),"MISSING ID")</x:f>
        <x:v>Raw material</x:v>
      </x:c>
      <x:c r="D461" s="4" t="str">
        <x:f>IFERROR(INDEX('Material routes'!$G$6:$G$2205,MATCH(U461,'Material routes'!$A$6:$A$2205,0)),"MISSING ID")</x:f>
        <x:v>Biological resources</x:v>
      </x:c>
      <x:c r="E461" s="4" t="str">
        <x:f>IFERROR(INDEX('Material routes'!$C$6:$C$2205,MATCH(U461,'Material routes'!$A$6:$A$2205,0)),"MISSING ID")</x:f>
        <x:v>Ingredient candidate</x:v>
      </x:c>
      <x:c r="F461" s="4" t="str">
        <x:f>IFERROR(INDEX('Material routes'!$E$6:$E$2205,MATCH(V461,'Material routes'!$A$6:$A$2205,0)),"MISSING ID")</x:f>
        <x:v>Dried electroactive-fiber reinforcement stock</x:v>
      </x:c>
      <x:c r="G461" s="4" t="str">
        <x:f>IFERROR(INDEX('Material routes'!$F$6:$F$2205,MATCH(V461,'Material routes'!$A$6:$A$2205,0)),"MISSING ID")</x:f>
        <x:v>T1</x:v>
      </x:c>
      <x:c r="H461" s="4" t="str">
        <x:f>IFERROR(INDEX('Material routes'!$H$6:$H$2205,MATCH(V461,'Material routes'!$A$6:$A$2205,0)),"MISSING ID")</x:f>
        <x:v>Processed material</x:v>
      </x:c>
      <x:c r="I461" s="4" t="str">
        <x:f>IFERROR(INDEX('Material routes'!$G$6:$G$2205,MATCH(V461,'Material routes'!$A$6:$A$2205,0)),"MISSING ID")</x:f>
        <x:v>Manufactured stock</x:v>
      </x:c>
      <x:c r="J461" s="4" t="str">
        <x:f>IFERROR(INDEX('Material routes'!$B$6:$B$2205,MATCH(U461,'Material routes'!$A$6:$A$2205,0)),"MISSING ID")</x:f>
        <x:v>design.lore.dried_fiber</x:v>
      </x:c>
      <x:c r="K461" s="4" t="str">
        <x:f>IFERROR(INDEX('Crafting recipes'!$C$6:$C$1005,MATCH(J461,'Crafting recipes'!$A$6:$A$1005,0)),"MISSING ID")</x:f>
        <x:v>Material refinement</x:v>
      </x:c>
      <x:c r="L461" s="4" t="str">
        <x:f>IFERROR(INDEX('Material routes'!$K$6:$K$2205,MATCH(U461,'Material routes'!$A$6:$A$2205,0)),"MISSING ID")</x:f>
        <x:v>Proposal</x:v>
      </x:c>
      <x:c r="M461" s="4" t="str">
        <x:f>IFERROR(INDEX('Material routes'!$M$6:$M$2205,MATCH(U461,'Material routes'!$A$6:$A$2205,0)),"MISSING ID")</x:f>
        <x:v>Partial proposal</x:v>
      </x:c>
      <x:c r="N461" s="4" t="str">
        <x:f>IF(IFERROR(INDEX('Material routes'!$I$6:$I$1005,MATCH(U461,'Material routes'!$A$6:$A$1005,0)),"MISSING ID")=0,"",IFERROR(INDEX('Material routes'!$I$6:$I$1005,MATCH(U461,'Material routes'!$A$6:$A$1005,0)),"MISSING ID"))</x:f>
      </x:c>
      <x:c r="O461" s="4" t="str">
        <x:f>IFERROR(INDEX('Material routes'!$J$6:$J$2205,MATCH(U461,'Material routes'!$A$6:$A$2205,0)),"MISSING ID")</x:f>
        <x:v>Unspecified</x:v>
      </x:c>
      <x:c r="P461" s="4" t="str">
        <x:f>IF(IFERROR(INDEX('Material routes'!$I$6:$I$1005,MATCH(V461,'Material routes'!$A$6:$A$1005,0)),"MISSING ID")=0,"",IFERROR(INDEX('Material routes'!$I$6:$I$1005,MATCH(V461,'Material routes'!$A$6:$A$1005,0)),"MISSING ID"))</x:f>
      </x:c>
      <x:c r="Q461" s="4" t="str">
        <x:f>IFERROR(INDEX('Material routes'!$J$6:$J$2205,MATCH(V461,'Material routes'!$A$6:$A$2205,0)),"MISSING ID")</x:f>
        <x:v>Unspecified</x:v>
      </x:c>
      <x:c r="R461" s="4" t="str">
        <x:f>IF(L461="Withheld","Withheld premise",IF(E461="Tool candidate","Reusable prerequisite",IF(K461="Raw entry preparation","Entry-resource preparation",IF(G461="Not applicable",IF(IFERROR(INDEX('Items'!$AI$6:$AI$1005,MATCH(T461,'Items'!$A$6:$A$1005,0)),"MISSING ID")="Finished item","Finished endpoint",IF(IFERROR(INDEX('Items'!$AI$6:$AI$1005,MATCH(T461,'Items'!$A$6:$A$1005,0)),"MISSING ID")="Currency","Currency / no refinement tier","Recovered output / tier not applicable")),IF(OR(IFERROR(INDEX('Crafting recipes'!$H$6:$H$1005,MATCH(J461,'Crafting recipes'!$A$6:$A$1005,0)),"MISSING ID")="Unassigned",G461="Unassigned"),"Tier unresolved",IF(IFERROR(VALUE(RIGHT(G461,1))-VALUE(RIGHT(IFERROR(INDEX('Crafting recipes'!$H$6:$H$1005,MATCH(J461,'Crafting recipes'!$A$6:$A$1005,0)),"MISSING ID"),1)),0)=1,IF(B461=IFERROR(INDEX('Crafting recipes'!$H$6:$H$1005,MATCH(J461,'Crafting recipes'!$A$6:$A$1005,0)),"MISSING ID"),"Advances one material tier","Lower-tier ingredient; route advances one tier"),"Needs tier review"))))))</x:f>
        <x:v>Advances one material tier</x:v>
      </x:c>
      <x:c r="S461" s="4" t="str">
        <x:f>IFERROR(INDEX('Material routes'!$D$6:$D$2205,MATCH(U461,'Material routes'!$A$6:$A$2205,0)),"MISSING ID")</x:f>
        <x:v>proposal.lore.electroactive_bundle</x:v>
      </x:c>
      <x:c r="T461" s="4" t="str">
        <x:f>IFERROR(INDEX('Material routes'!$D$6:$D$2205,MATCH(V461,'Material routes'!$A$6:$A$2205,0)),"MISSING ID")</x:f>
        <x:v>proposal.lore.dried_fiber</x:v>
      </x:c>
      <x:c r="U461" s="4" t="str">
        <x:v>design.lore.dried_fiber.in.1</x:v>
      </x:c>
      <x:c r="V461" s="4" t="str">
        <x:v>design.lore.dried_fiber.out</x:v>
      </x:c>
    </x:row>
    <x:row r="462" ht="115" customHeight="1">
      <x:c r="A462" s="4" t="str">
        <x:f>IFERROR(INDEX('Material routes'!$E$6:$E$2205,MATCH(U462,'Material routes'!$A$6:$A$2205,0)),"MISSING ID")</x:f>
        <x:v>Coarse Aggregate</x:v>
      </x:c>
      <x:c r="B462" s="4" t="str">
        <x:f>IFERROR(INDEX('Material routes'!$F$6:$F$2205,MATCH(U462,'Material routes'!$A$6:$A$2205,0)),"MISSING ID")</x:f>
        <x:v>T1</x:v>
      </x:c>
      <x:c r="C462" s="4" t="str">
        <x:f>IFERROR(INDEX('Material routes'!$H$6:$H$2205,MATCH(U462,'Material routes'!$A$6:$A$2205,0)),"MISSING ID")</x:f>
        <x:v>Processed material</x:v>
      </x:c>
      <x:c r="D462" s="4" t="str">
        <x:f>IFERROR(INDEX('Material routes'!$G$6:$G$2205,MATCH(U462,'Material routes'!$A$6:$A$2205,0)),"MISSING ID")</x:f>
        <x:v>Manufactured stock</x:v>
      </x:c>
      <x:c r="E462" s="4" t="str">
        <x:f>IFERROR(INDEX('Material routes'!$C$6:$C$2205,MATCH(U462,'Material routes'!$A$6:$A$2205,0)),"MISSING ID")</x:f>
        <x:v>Ingredient candidate</x:v>
      </x:c>
      <x:c r="F462" s="4" t="str">
        <x:f>IFERROR(INDEX('Material routes'!$E$6:$E$2205,MATCH(V462,'Material routes'!$A$6:$A$2205,0)),"MISSING ID")</x:f>
        <x:v>Graded domestic-beetle feedstone mix</x:v>
      </x:c>
      <x:c r="G462" s="4" t="str">
        <x:f>IFERROR(INDEX('Material routes'!$F$6:$F$2205,MATCH(V462,'Material routes'!$A$6:$A$2205,0)),"MISSING ID")</x:f>
        <x:v>T2</x:v>
      </x:c>
      <x:c r="H462" s="4" t="str">
        <x:f>IFERROR(INDEX('Material routes'!$H$6:$H$2205,MATCH(V462,'Material routes'!$A$6:$A$2205,0)),"MISSING ID")</x:f>
        <x:v>Processed material</x:v>
      </x:c>
      <x:c r="I462" s="4" t="str">
        <x:f>IFERROR(INDEX('Material routes'!$G$6:$G$2205,MATCH(V462,'Material routes'!$A$6:$A$2205,0)),"MISSING ID")</x:f>
        <x:v>Manufactured stock</x:v>
      </x:c>
      <x:c r="J462" s="4" t="str">
        <x:f>IFERROR(INDEX('Material routes'!$B$6:$B$2205,MATCH(U462,'Material routes'!$A$6:$A$2205,0)),"MISSING ID")</x:f>
        <x:v>design.lore.feedstone_mix</x:v>
      </x:c>
      <x:c r="K462" s="4" t="str">
        <x:f>IFERROR(INDEX('Crafting recipes'!$C$6:$C$1005,MATCH(J462,'Crafting recipes'!$A$6:$A$1005,0)),"MISSING ID")</x:f>
        <x:v>Material refinement</x:v>
      </x:c>
      <x:c r="L462" s="4" t="str">
        <x:f>IFERROR(INDEX('Material routes'!$K$6:$K$2205,MATCH(U462,'Material routes'!$A$6:$A$2205,0)),"MISSING ID")</x:f>
        <x:v>Proposal</x:v>
      </x:c>
      <x:c r="M462" s="4" t="str">
        <x:f>IFERROR(INDEX('Material routes'!$M$6:$M$2205,MATCH(U462,'Material routes'!$A$6:$A$2205,0)),"MISSING ID")</x:f>
        <x:v>Partial proposal</x:v>
      </x:c>
      <x:c r="N462" s="4" t="str">
        <x:f>IF(IFERROR(INDEX('Material routes'!$I$6:$I$1005,MATCH(U462,'Material routes'!$A$6:$A$1005,0)),"MISSING ID")=0,"",IFERROR(INDEX('Material routes'!$I$6:$I$1005,MATCH(U462,'Material routes'!$A$6:$A$1005,0)),"MISSING ID"))</x:f>
      </x:c>
      <x:c r="O462" s="4" t="str">
        <x:f>IFERROR(INDEX('Material routes'!$J$6:$J$2205,MATCH(U462,'Material routes'!$A$6:$A$2205,0)),"MISSING ID")</x:f>
        <x:v>Unspecified</x:v>
      </x:c>
      <x:c r="P462" s="4" t="str">
        <x:f>IF(IFERROR(INDEX('Material routes'!$I$6:$I$1005,MATCH(V462,'Material routes'!$A$6:$A$1005,0)),"MISSING ID")=0,"",IFERROR(INDEX('Material routes'!$I$6:$I$1005,MATCH(V462,'Material routes'!$A$6:$A$1005,0)),"MISSING ID"))</x:f>
      </x:c>
      <x:c r="Q462" s="4" t="str">
        <x:f>IFERROR(INDEX('Material routes'!$J$6:$J$2205,MATCH(V462,'Material routes'!$A$6:$A$2205,0)),"MISSING ID")</x:f>
        <x:v>Unspecified</x:v>
      </x:c>
      <x:c r="R462" s="4" t="str">
        <x:f>IF(L462="Withheld","Withheld premise",IF(E462="Tool candidate","Reusable prerequisite",IF(K462="Raw entry preparation","Entry-resource preparation",IF(G462="Not applicable",IF(IFERROR(INDEX('Items'!$AI$6:$AI$1005,MATCH(T462,'Items'!$A$6:$A$1005,0)),"MISSING ID")="Finished item","Finished endpoint",IF(IFERROR(INDEX('Items'!$AI$6:$AI$1005,MATCH(T462,'Items'!$A$6:$A$1005,0)),"MISSING ID")="Currency","Currency / no refinement tier","Recovered output / tier not applicable")),IF(OR(IFERROR(INDEX('Crafting recipes'!$H$6:$H$1005,MATCH(J462,'Crafting recipes'!$A$6:$A$1005,0)),"MISSING ID")="Unassigned",G462="Unassigned"),"Tier unresolved",IF(IFERROR(VALUE(RIGHT(G462,1))-VALUE(RIGHT(IFERROR(INDEX('Crafting recipes'!$H$6:$H$1005,MATCH(J462,'Crafting recipes'!$A$6:$A$1005,0)),"MISSING ID"),1)),0)=1,IF(B462=IFERROR(INDEX('Crafting recipes'!$H$6:$H$1005,MATCH(J462,'Crafting recipes'!$A$6:$A$1005,0)),"MISSING ID"),"Advances one material tier","Lower-tier ingredient; route advances one tier"),"Needs tier review"))))))</x:f>
        <x:v>Advances one material tier</x:v>
      </x:c>
      <x:c r="S462" s="4" t="str">
        <x:f>IFERROR(INDEX('Material routes'!$D$6:$D$2205,MATCH(U462,'Material routes'!$A$6:$A$2205,0)),"MISSING ID")</x:f>
        <x:v>lab.ironstone.aggregate</x:v>
      </x:c>
      <x:c r="T462" s="4" t="str">
        <x:f>IFERROR(INDEX('Material routes'!$D$6:$D$2205,MATCH(V462,'Material routes'!$A$6:$A$2205,0)),"MISSING ID")</x:f>
        <x:v>proposal.lore.feedstone_mix</x:v>
      </x:c>
      <x:c r="U462" s="4" t="str">
        <x:v>design.lore.feedstone_mix.in.1</x:v>
      </x:c>
      <x:c r="V462" s="4" t="str">
        <x:v>design.lore.feedstone_mix.out</x:v>
      </x:c>
    </x:row>
    <x:row r="463" ht="115" customHeight="1">
      <x:c r="A463" s="4" t="str">
        <x:f>IFERROR(INDEX('Material routes'!$E$6:$E$2205,MATCH(U463,'Material routes'!$A$6:$A$2205,0)),"MISSING ID")</x:f>
        <x:v>Iron-rich mineral feed</x:v>
      </x:c>
      <x:c r="B463" s="4" t="str">
        <x:f>IFERROR(INDEX('Material routes'!$F$6:$F$2205,MATCH(U463,'Material routes'!$A$6:$A$2205,0)),"MISSING ID")</x:f>
        <x:v>T1</x:v>
      </x:c>
      <x:c r="C463" s="4" t="str">
        <x:f>IFERROR(INDEX('Material routes'!$H$6:$H$2205,MATCH(U463,'Material routes'!$A$6:$A$2205,0)),"MISSING ID")</x:f>
        <x:v>Processed material</x:v>
      </x:c>
      <x:c r="D463" s="4" t="str">
        <x:f>IFERROR(INDEX('Material routes'!$G$6:$G$2205,MATCH(U463,'Material routes'!$A$6:$A$2205,0)),"MISSING ID")</x:f>
        <x:v>Manufactured stock</x:v>
      </x:c>
      <x:c r="E463" s="4" t="str">
        <x:f>IFERROR(INDEX('Material routes'!$C$6:$C$2205,MATCH(U463,'Material routes'!$A$6:$A$2205,0)),"MISSING ID")</x:f>
        <x:v>Ingredient candidate</x:v>
      </x:c>
      <x:c r="F463" s="4" t="str">
        <x:f>IFERROR(INDEX('Material routes'!$E$6:$E$2205,MATCH(V463,'Material routes'!$A$6:$A$2205,0)),"MISSING ID")</x:f>
        <x:v>Graded domestic-beetle feedstone mix</x:v>
      </x:c>
      <x:c r="G463" s="4" t="str">
        <x:f>IFERROR(INDEX('Material routes'!$F$6:$F$2205,MATCH(V463,'Material routes'!$A$6:$A$2205,0)),"MISSING ID")</x:f>
        <x:v>T2</x:v>
      </x:c>
      <x:c r="H463" s="4" t="str">
        <x:f>IFERROR(INDEX('Material routes'!$H$6:$H$2205,MATCH(V463,'Material routes'!$A$6:$A$2205,0)),"MISSING ID")</x:f>
        <x:v>Processed material</x:v>
      </x:c>
      <x:c r="I463" s="4" t="str">
        <x:f>IFERROR(INDEX('Material routes'!$G$6:$G$2205,MATCH(V463,'Material routes'!$A$6:$A$2205,0)),"MISSING ID")</x:f>
        <x:v>Manufactured stock</x:v>
      </x:c>
      <x:c r="J463" s="4" t="str">
        <x:f>IFERROR(INDEX('Material routes'!$B$6:$B$2205,MATCH(U463,'Material routes'!$A$6:$A$2205,0)),"MISSING ID")</x:f>
        <x:v>design.lore.feedstone_mix</x:v>
      </x:c>
      <x:c r="K463" s="4" t="str">
        <x:f>IFERROR(INDEX('Crafting recipes'!$C$6:$C$1005,MATCH(J463,'Crafting recipes'!$A$6:$A$1005,0)),"MISSING ID")</x:f>
        <x:v>Material refinement</x:v>
      </x:c>
      <x:c r="L463" s="4" t="str">
        <x:f>IFERROR(INDEX('Material routes'!$K$6:$K$2205,MATCH(U463,'Material routes'!$A$6:$A$2205,0)),"MISSING ID")</x:f>
        <x:v>Proposal</x:v>
      </x:c>
      <x:c r="M463" s="4" t="str">
        <x:f>IFERROR(INDEX('Material routes'!$M$6:$M$2205,MATCH(U463,'Material routes'!$A$6:$A$2205,0)),"MISSING ID")</x:f>
        <x:v>Partial proposal</x:v>
      </x:c>
      <x:c r="N463" s="4" t="str">
        <x:f>IF(IFERROR(INDEX('Material routes'!$I$6:$I$1005,MATCH(U463,'Material routes'!$A$6:$A$1005,0)),"MISSING ID")=0,"",IFERROR(INDEX('Material routes'!$I$6:$I$1005,MATCH(U463,'Material routes'!$A$6:$A$1005,0)),"MISSING ID"))</x:f>
      </x:c>
      <x:c r="O463" s="4" t="str">
        <x:f>IFERROR(INDEX('Material routes'!$J$6:$J$2205,MATCH(U463,'Material routes'!$A$6:$A$2205,0)),"MISSING ID")</x:f>
        <x:v>Unspecified</x:v>
      </x:c>
      <x:c r="P463" s="4" t="str">
        <x:f>IF(IFERROR(INDEX('Material routes'!$I$6:$I$1005,MATCH(V463,'Material routes'!$A$6:$A$1005,0)),"MISSING ID")=0,"",IFERROR(INDEX('Material routes'!$I$6:$I$1005,MATCH(V463,'Material routes'!$A$6:$A$1005,0)),"MISSING ID"))</x:f>
      </x:c>
      <x:c r="Q463" s="4" t="str">
        <x:f>IFERROR(INDEX('Material routes'!$J$6:$J$2205,MATCH(V463,'Material routes'!$A$6:$A$2205,0)),"MISSING ID")</x:f>
        <x:v>Unspecified</x:v>
      </x:c>
      <x:c r="R463" s="4" t="str">
        <x:f>IF(L463="Withheld","Withheld premise",IF(E463="Tool candidate","Reusable prerequisite",IF(K463="Raw entry preparation","Entry-resource preparation",IF(G463="Not applicable",IF(IFERROR(INDEX('Items'!$AI$6:$AI$1005,MATCH(T463,'Items'!$A$6:$A$1005,0)),"MISSING ID")="Finished item","Finished endpoint",IF(IFERROR(INDEX('Items'!$AI$6:$AI$1005,MATCH(T463,'Items'!$A$6:$A$1005,0)),"MISSING ID")="Currency","Currency / no refinement tier","Recovered output / tier not applicable")),IF(OR(IFERROR(INDEX('Crafting recipes'!$H$6:$H$1005,MATCH(J463,'Crafting recipes'!$A$6:$A$1005,0)),"MISSING ID")="Unassigned",G463="Unassigned"),"Tier unresolved",IF(IFERROR(VALUE(RIGHT(G463,1))-VALUE(RIGHT(IFERROR(INDEX('Crafting recipes'!$H$6:$H$1005,MATCH(J463,'Crafting recipes'!$A$6:$A$1005,0)),"MISSING ID"),1)),0)=1,IF(B463=IFERROR(INDEX('Crafting recipes'!$H$6:$H$1005,MATCH(J463,'Crafting recipes'!$A$6:$A$1005,0)),"MISSING ID"),"Advances one material tier","Lower-tier ingredient; route advances one tier"),"Needs tier review"))))))</x:f>
        <x:v>Advances one material tier</x:v>
      </x:c>
      <x:c r="S463" s="4" t="str">
        <x:f>IFERROR(INDEX('Material routes'!$D$6:$D$2205,MATCH(U463,'Material routes'!$A$6:$A$2205,0)),"MISSING ID")</x:f>
        <x:v>proposal.natural.iron_feed</x:v>
      </x:c>
      <x:c r="T463" s="4" t="str">
        <x:f>IFERROR(INDEX('Material routes'!$D$6:$D$2205,MATCH(V463,'Material routes'!$A$6:$A$2205,0)),"MISSING ID")</x:f>
        <x:v>proposal.lore.feedstone_mix</x:v>
      </x:c>
      <x:c r="U463" s="4" t="str">
        <x:v>design.lore.feedstone_mix.in.2</x:v>
      </x:c>
      <x:c r="V463" s="4" t="str">
        <x:v>design.lore.feedstone_mix.out</x:v>
      </x:c>
    </x:row>
    <x:row r="464" ht="115" customHeight="1">
      <x:c r="A464" s="4" t="str">
        <x:f>IFERROR(INDEX('Material routes'!$E$6:$E$2205,MATCH(U464,'Material routes'!$A$6:$A$2205,0)),"MISSING ID")</x:f>
        <x:v>Graded process salts</x:v>
      </x:c>
      <x:c r="B464" s="4" t="str">
        <x:f>IFERROR(INDEX('Material routes'!$F$6:$F$2205,MATCH(U464,'Material routes'!$A$6:$A$2205,0)),"MISSING ID")</x:f>
        <x:v>T1</x:v>
      </x:c>
      <x:c r="C464" s="4" t="str">
        <x:f>IFERROR(INDEX('Material routes'!$H$6:$H$2205,MATCH(U464,'Material routes'!$A$6:$A$2205,0)),"MISSING ID")</x:f>
        <x:v>Processed material</x:v>
      </x:c>
      <x:c r="D464" s="4" t="str">
        <x:f>IFERROR(INDEX('Material routes'!$G$6:$G$2205,MATCH(U464,'Material routes'!$A$6:$A$2205,0)),"MISSING ID")</x:f>
        <x:v>Manufactured stock</x:v>
      </x:c>
      <x:c r="E464" s="4" t="str">
        <x:f>IFERROR(INDEX('Material routes'!$C$6:$C$2205,MATCH(U464,'Material routes'!$A$6:$A$2205,0)),"MISSING ID")</x:f>
        <x:v>Ingredient candidate</x:v>
      </x:c>
      <x:c r="F464" s="4" t="str">
        <x:f>IFERROR(INDEX('Material routes'!$E$6:$E$2205,MATCH(V464,'Material routes'!$A$6:$A$2205,0)),"MISSING ID")</x:f>
        <x:v>Graded domestic-beetle feedstone mix</x:v>
      </x:c>
      <x:c r="G464" s="4" t="str">
        <x:f>IFERROR(INDEX('Material routes'!$F$6:$F$2205,MATCH(V464,'Material routes'!$A$6:$A$2205,0)),"MISSING ID")</x:f>
        <x:v>T2</x:v>
      </x:c>
      <x:c r="H464" s="4" t="str">
        <x:f>IFERROR(INDEX('Material routes'!$H$6:$H$2205,MATCH(V464,'Material routes'!$A$6:$A$2205,0)),"MISSING ID")</x:f>
        <x:v>Processed material</x:v>
      </x:c>
      <x:c r="I464" s="4" t="str">
        <x:f>IFERROR(INDEX('Material routes'!$G$6:$G$2205,MATCH(V464,'Material routes'!$A$6:$A$2205,0)),"MISSING ID")</x:f>
        <x:v>Manufactured stock</x:v>
      </x:c>
      <x:c r="J464" s="4" t="str">
        <x:f>IFERROR(INDEX('Material routes'!$B$6:$B$2205,MATCH(U464,'Material routes'!$A$6:$A$2205,0)),"MISSING ID")</x:f>
        <x:v>design.lore.feedstone_mix</x:v>
      </x:c>
      <x:c r="K464" s="4" t="str">
        <x:f>IFERROR(INDEX('Crafting recipes'!$C$6:$C$1005,MATCH(J464,'Crafting recipes'!$A$6:$A$1005,0)),"MISSING ID")</x:f>
        <x:v>Material refinement</x:v>
      </x:c>
      <x:c r="L464" s="4" t="str">
        <x:f>IFERROR(INDEX('Material routes'!$K$6:$K$2205,MATCH(U464,'Material routes'!$A$6:$A$2205,0)),"MISSING ID")</x:f>
        <x:v>Proposal</x:v>
      </x:c>
      <x:c r="M464" s="4" t="str">
        <x:f>IFERROR(INDEX('Material routes'!$M$6:$M$2205,MATCH(U464,'Material routes'!$A$6:$A$2205,0)),"MISSING ID")</x:f>
        <x:v>Partial proposal</x:v>
      </x:c>
      <x:c r="N464" s="4" t="str">
        <x:f>IF(IFERROR(INDEX('Material routes'!$I$6:$I$1005,MATCH(U464,'Material routes'!$A$6:$A$1005,0)),"MISSING ID")=0,"",IFERROR(INDEX('Material routes'!$I$6:$I$1005,MATCH(U464,'Material routes'!$A$6:$A$1005,0)),"MISSING ID"))</x:f>
      </x:c>
      <x:c r="O464" s="4" t="str">
        <x:f>IFERROR(INDEX('Material routes'!$J$6:$J$2205,MATCH(U464,'Material routes'!$A$6:$A$2205,0)),"MISSING ID")</x:f>
        <x:v>Unspecified</x:v>
      </x:c>
      <x:c r="P464" s="4" t="str">
        <x:f>IF(IFERROR(INDEX('Material routes'!$I$6:$I$1005,MATCH(V464,'Material routes'!$A$6:$A$1005,0)),"MISSING ID")=0,"",IFERROR(INDEX('Material routes'!$I$6:$I$1005,MATCH(V464,'Material routes'!$A$6:$A$1005,0)),"MISSING ID"))</x:f>
      </x:c>
      <x:c r="Q464" s="4" t="str">
        <x:f>IFERROR(INDEX('Material routes'!$J$6:$J$2205,MATCH(V464,'Material routes'!$A$6:$A$2205,0)),"MISSING ID")</x:f>
        <x:v>Unspecified</x:v>
      </x:c>
      <x:c r="R464" s="4" t="str">
        <x:f>IF(L464="Withheld","Withheld premise",IF(E464="Tool candidate","Reusable prerequisite",IF(K464="Raw entry preparation","Entry-resource preparation",IF(G464="Not applicable",IF(IFERROR(INDEX('Items'!$AI$6:$AI$1005,MATCH(T464,'Items'!$A$6:$A$1005,0)),"MISSING ID")="Finished item","Finished endpoint",IF(IFERROR(INDEX('Items'!$AI$6:$AI$1005,MATCH(T464,'Items'!$A$6:$A$1005,0)),"MISSING ID")="Currency","Currency / no refinement tier","Recovered output / tier not applicable")),IF(OR(IFERROR(INDEX('Crafting recipes'!$H$6:$H$1005,MATCH(J464,'Crafting recipes'!$A$6:$A$1005,0)),"MISSING ID")="Unassigned",G464="Unassigned"),"Tier unresolved",IF(IFERROR(VALUE(RIGHT(G464,1))-VALUE(RIGHT(IFERROR(INDEX('Crafting recipes'!$H$6:$H$1005,MATCH(J464,'Crafting recipes'!$A$6:$A$1005,0)),"MISSING ID"),1)),0)=1,IF(B464=IFERROR(INDEX('Crafting recipes'!$H$6:$H$1005,MATCH(J464,'Crafting recipes'!$A$6:$A$1005,0)),"MISSING ID"),"Advances one material tier","Lower-tier ingredient; route advances one tier"),"Needs tier review"))))))</x:f>
        <x:v>Advances one material tier</x:v>
      </x:c>
      <x:c r="S464" s="4" t="str">
        <x:f>IFERROR(INDEX('Material routes'!$D$6:$D$2205,MATCH(U464,'Material routes'!$A$6:$A$2205,0)),"MISSING ID")</x:f>
        <x:v>proposal.t1.process_salts</x:v>
      </x:c>
      <x:c r="T464" s="4" t="str">
        <x:f>IFERROR(INDEX('Material routes'!$D$6:$D$2205,MATCH(V464,'Material routes'!$A$6:$A$2205,0)),"MISSING ID")</x:f>
        <x:v>proposal.lore.feedstone_mix</x:v>
      </x:c>
      <x:c r="U464" s="4" t="str">
        <x:v>design.lore.feedstone_mix.in.3</x:v>
      </x:c>
      <x:c r="V464" s="4" t="str">
        <x:v>design.lore.feedstone_mix.out</x:v>
      </x:c>
    </x:row>
    <x:row r="465" ht="115" customHeight="1">
      <x:c r="A465" s="4" t="str">
        <x:f>IFERROR(INDEX('Material routes'!$E$6:$E$2205,MATCH(U465,'Material routes'!$A$6:$A$2205,0)),"MISSING ID")</x:f>
        <x:v>Silica-rich grit</x:v>
      </x:c>
      <x:c r="B465" s="4" t="str">
        <x:f>IFERROR(INDEX('Material routes'!$F$6:$F$2205,MATCH(U465,'Material routes'!$A$6:$A$2205,0)),"MISSING ID")</x:f>
        <x:v>T0</x:v>
      </x:c>
      <x:c r="C465" s="4" t="str">
        <x:f>IFERROR(INDEX('Material routes'!$H$6:$H$2205,MATCH(U465,'Material routes'!$A$6:$A$2205,0)),"MISSING ID")</x:f>
        <x:v>Raw material</x:v>
      </x:c>
      <x:c r="D465" s="4" t="str">
        <x:f>IFERROR(INDEX('Material routes'!$G$6:$G$2205,MATCH(U465,'Material routes'!$A$6:$A$2205,0)),"MISSING ID")</x:f>
        <x:v>Mineral resources</x:v>
      </x:c>
      <x:c r="E465" s="4" t="str">
        <x:f>IFERROR(INDEX('Material routes'!$C$6:$C$2205,MATCH(U465,'Material routes'!$A$6:$A$2205,0)),"MISSING ID")</x:f>
        <x:v>Ingredient candidate</x:v>
      </x:c>
      <x:c r="F465" s="4" t="str">
        <x:f>IFERROR(INDEX('Material routes'!$E$6:$E$2205,MATCH(V465,'Material routes'!$A$6:$A$2205,0)),"MISSING ID")</x:f>
        <x:v>Graded domestic-beetle feedstone mix</x:v>
      </x:c>
      <x:c r="G465" s="4" t="str">
        <x:f>IFERROR(INDEX('Material routes'!$F$6:$F$2205,MATCH(V465,'Material routes'!$A$6:$A$2205,0)),"MISSING ID")</x:f>
        <x:v>T2</x:v>
      </x:c>
      <x:c r="H465" s="4" t="str">
        <x:f>IFERROR(INDEX('Material routes'!$H$6:$H$2205,MATCH(V465,'Material routes'!$A$6:$A$2205,0)),"MISSING ID")</x:f>
        <x:v>Processed material</x:v>
      </x:c>
      <x:c r="I465" s="4" t="str">
        <x:f>IFERROR(INDEX('Material routes'!$G$6:$G$2205,MATCH(V465,'Material routes'!$A$6:$A$2205,0)),"MISSING ID")</x:f>
        <x:v>Manufactured stock</x:v>
      </x:c>
      <x:c r="J465" s="4" t="str">
        <x:f>IFERROR(INDEX('Material routes'!$B$6:$B$2205,MATCH(U465,'Material routes'!$A$6:$A$2205,0)),"MISSING ID")</x:f>
        <x:v>design.lore.feedstone_mix</x:v>
      </x:c>
      <x:c r="K465" s="4" t="str">
        <x:f>IFERROR(INDEX('Crafting recipes'!$C$6:$C$1005,MATCH(J465,'Crafting recipes'!$A$6:$A$1005,0)),"MISSING ID")</x:f>
        <x:v>Material refinement</x:v>
      </x:c>
      <x:c r="L465" s="4" t="str">
        <x:f>IFERROR(INDEX('Material routes'!$K$6:$K$2205,MATCH(U465,'Material routes'!$A$6:$A$2205,0)),"MISSING ID")</x:f>
        <x:v>Proposal</x:v>
      </x:c>
      <x:c r="M465" s="4" t="str">
        <x:f>IFERROR(INDEX('Material routes'!$M$6:$M$2205,MATCH(U465,'Material routes'!$A$6:$A$2205,0)),"MISSING ID")</x:f>
        <x:v>Partial proposal</x:v>
      </x:c>
      <x:c r="N465" s="4" t="str">
        <x:f>IF(IFERROR(INDEX('Material routes'!$I$6:$I$1005,MATCH(U465,'Material routes'!$A$6:$A$1005,0)),"MISSING ID")=0,"",IFERROR(INDEX('Material routes'!$I$6:$I$1005,MATCH(U465,'Material routes'!$A$6:$A$1005,0)),"MISSING ID"))</x:f>
      </x:c>
      <x:c r="O465" s="4" t="str">
        <x:f>IFERROR(INDEX('Material routes'!$J$6:$J$2205,MATCH(U465,'Material routes'!$A$6:$A$2205,0)),"MISSING ID")</x:f>
        <x:v>Unspecified</x:v>
      </x:c>
      <x:c r="P465" s="4" t="str">
        <x:f>IF(IFERROR(INDEX('Material routes'!$I$6:$I$1005,MATCH(V465,'Material routes'!$A$6:$A$1005,0)),"MISSING ID")=0,"",IFERROR(INDEX('Material routes'!$I$6:$I$1005,MATCH(V465,'Material routes'!$A$6:$A$1005,0)),"MISSING ID"))</x:f>
      </x:c>
      <x:c r="Q465" s="4" t="str">
        <x:f>IFERROR(INDEX('Material routes'!$J$6:$J$2205,MATCH(V465,'Material routes'!$A$6:$A$2205,0)),"MISSING ID")</x:f>
        <x:v>Unspecified</x:v>
      </x:c>
      <x:c r="R465" s="4" t="str">
        <x:f>IF(L465="Withheld","Withheld premise",IF(E465="Tool candidate","Reusable prerequisite",IF(K465="Raw entry preparation","Entry-resource preparation",IF(G465="Not applicable",IF(IFERROR(INDEX('Items'!$AI$6:$AI$1005,MATCH(T465,'Items'!$A$6:$A$1005,0)),"MISSING ID")="Finished item","Finished endpoint",IF(IFERROR(INDEX('Items'!$AI$6:$AI$1005,MATCH(T465,'Items'!$A$6:$A$1005,0)),"MISSING ID")="Currency","Currency / no refinement tier","Recovered output / tier not applicable")),IF(OR(IFERROR(INDEX('Crafting recipes'!$H$6:$H$1005,MATCH(J465,'Crafting recipes'!$A$6:$A$1005,0)),"MISSING ID")="Unassigned",G465="Unassigned"),"Tier unresolved",IF(IFERROR(VALUE(RIGHT(G465,1))-VALUE(RIGHT(IFERROR(INDEX('Crafting recipes'!$H$6:$H$1005,MATCH(J465,'Crafting recipes'!$A$6:$A$1005,0)),"MISSING ID"),1)),0)=1,IF(B465=IFERROR(INDEX('Crafting recipes'!$H$6:$H$1005,MATCH(J465,'Crafting recipes'!$A$6:$A$1005,0)),"MISSING ID"),"Advances one material tier","Lower-tier ingredient; route advances one tier"),"Needs tier review"))))))</x:f>
        <x:v>Lower-tier ingredient; route advances one tier</x:v>
      </x:c>
      <x:c r="S465" s="4" t="str">
        <x:f>IFERROR(INDEX('Material routes'!$D$6:$D$2205,MATCH(U465,'Material routes'!$A$6:$A$2205,0)),"MISSING ID")</x:f>
        <x:v>proposal.natural.silica</x:v>
      </x:c>
      <x:c r="T465" s="4" t="str">
        <x:f>IFERROR(INDEX('Material routes'!$D$6:$D$2205,MATCH(V465,'Material routes'!$A$6:$A$2205,0)),"MISSING ID")</x:f>
        <x:v>proposal.lore.feedstone_mix</x:v>
      </x:c>
      <x:c r="U465" s="4" t="str">
        <x:v>design.lore.feedstone_mix.in.4</x:v>
      </x:c>
      <x:c r="V465" s="4" t="str">
        <x:v>design.lore.feedstone_mix.out</x:v>
      </x:c>
    </x:row>
    <x:row r="466" ht="115" customHeight="1">
      <x:c r="A466" s="4"/>
      <x:c r="B466" s="4"/>
      <x:c r="C466" s="4"/>
      <x:c r="D466" s="4"/>
      <x:c r="E466" s="4"/>
      <x:c r="F466" s="4"/>
      <x:c r="G466" s="4"/>
      <x:c r="H466" s="4"/>
      <x:c r="I466" s="4"/>
      <x:c r="J466" s="4"/>
      <x:c r="K466" s="4"/>
      <x:c r="L466" s="4"/>
      <x:c r="M466" s="4"/>
      <x:c r="N466" s="4"/>
      <x:c r="O466" s="4"/>
      <x:c r="P466" s="4"/>
      <x:c r="Q466" s="4"/>
      <x:c r="R466" s="4"/>
      <x:c r="S466" s="4"/>
      <x:c r="T466" s="4"/>
      <x:c r="U466" s="4"/>
      <x:c r="V466" s="4"/>
    </x:row>
    <x:row r="467" ht="115" customHeight="1">
      <x:c r="A467" s="4"/>
      <x:c r="B467" s="4"/>
      <x:c r="C467" s="4"/>
      <x:c r="D467" s="4"/>
      <x:c r="E467" s="4"/>
      <x:c r="F467" s="4"/>
      <x:c r="G467" s="4"/>
      <x:c r="H467" s="4"/>
      <x:c r="I467" s="4"/>
      <x:c r="J467" s="4"/>
      <x:c r="K467" s="4"/>
      <x:c r="L467" s="4"/>
      <x:c r="M467" s="4"/>
      <x:c r="N467" s="4"/>
      <x:c r="O467" s="4"/>
      <x:c r="P467" s="4"/>
      <x:c r="Q467" s="4"/>
      <x:c r="R467" s="4"/>
      <x:c r="S467" s="4"/>
      <x:c r="T467" s="4"/>
      <x:c r="U467" s="4"/>
      <x:c r="V467" s="4"/>
    </x:row>
    <x:row r="468" ht="115" customHeight="1">
      <x:c r="A468" s="4"/>
      <x:c r="B468" s="4"/>
      <x:c r="C468" s="4"/>
      <x:c r="D468" s="4"/>
      <x:c r="E468" s="4"/>
      <x:c r="F468" s="4"/>
      <x:c r="G468" s="4"/>
      <x:c r="H468" s="4"/>
      <x:c r="I468" s="4"/>
      <x:c r="J468" s="4"/>
      <x:c r="K468" s="4"/>
      <x:c r="L468" s="4"/>
      <x:c r="M468" s="4"/>
      <x:c r="N468" s="4"/>
      <x:c r="O468" s="4"/>
      <x:c r="P468" s="4"/>
      <x:c r="Q468" s="4"/>
      <x:c r="R468" s="4"/>
      <x:c r="S468" s="4"/>
      <x:c r="T468" s="4"/>
      <x:c r="U468" s="4"/>
      <x:c r="V468" s="4"/>
    </x:row>
    <x:row r="469" ht="115" customHeight="1">
      <x:c r="A469" s="4"/>
      <x:c r="B469" s="4"/>
      <x:c r="C469" s="4"/>
      <x:c r="D469" s="4"/>
      <x:c r="E469" s="4"/>
      <x:c r="F469" s="4"/>
      <x:c r="G469" s="4"/>
      <x:c r="H469" s="4"/>
      <x:c r="I469" s="4"/>
      <x:c r="J469" s="4"/>
      <x:c r="K469" s="4"/>
      <x:c r="L469" s="4"/>
      <x:c r="M469" s="4"/>
      <x:c r="N469" s="4"/>
      <x:c r="O469" s="4"/>
      <x:c r="P469" s="4"/>
      <x:c r="Q469" s="4"/>
      <x:c r="R469" s="4"/>
      <x:c r="S469" s="4"/>
      <x:c r="T469" s="4"/>
      <x:c r="U469" s="4"/>
      <x:c r="V469" s="4"/>
    </x:row>
    <x:row r="470" ht="115" customHeight="1">
      <x:c r="A470" s="4" t="str">
        <x:f>IFERROR(INDEX('Material routes'!$E$6:$E$2205,MATCH(U470,'Material routes'!$A$6:$A$2205,0)),"MISSING ID")</x:f>
        <x:v>Jaw cutting insert</x:v>
      </x:c>
      <x:c r="B470" s="4" t="str">
        <x:f>IFERROR(INDEX('Material routes'!$F$6:$F$2205,MATCH(U470,'Material routes'!$A$6:$A$2205,0)),"MISSING ID")</x:f>
        <x:v>T2</x:v>
      </x:c>
      <x:c r="C470" s="4" t="str">
        <x:f>IFERROR(INDEX('Material routes'!$H$6:$H$2205,MATCH(U470,'Material routes'!$A$6:$A$2205,0)),"MISSING ID")</x:f>
        <x:v>Crafting component</x:v>
      </x:c>
      <x:c r="D470" s="4" t="str">
        <x:f>IFERROR(INDEX('Material routes'!$G$6:$G$2205,MATCH(U470,'Material routes'!$A$6:$A$2205,0)),"MISSING ID")</x:f>
        <x:v>Crafting components</x:v>
      </x:c>
      <x:c r="E470" s="4" t="str">
        <x:f>IFERROR(INDEX('Material routes'!$C$6:$C$2205,MATCH(U470,'Material routes'!$A$6:$A$2205,0)),"MISSING ID")</x:f>
        <x:v>Ingredient candidate</x:v>
      </x:c>
      <x:c r="F470" s="4" t="str">
        <x:f>IFERROR(INDEX('Material routes'!$E$6:$E$2205,MATCH(V470,'Material routes'!$A$6:$A$2205,0)),"MISSING ID")</x:f>
        <x:v>Domestic shell-trimming scraper</x:v>
      </x:c>
      <x:c r="G470" s="4" t="str">
        <x:f>IFERROR(INDEX('Material routes'!$F$6:$F$2205,MATCH(V470,'Material routes'!$A$6:$A$2205,0)),"MISSING ID")</x:f>
        <x:v>Not applicable</x:v>
      </x:c>
      <x:c r="H470" s="4" t="str">
        <x:f>IFERROR(INDEX('Material routes'!$H$6:$H$2205,MATCH(V470,'Material routes'!$A$6:$A$2205,0)),"MISSING ID")</x:f>
        <x:v>Tool</x:v>
      </x:c>
      <x:c r="I470" s="4" t="str">
        <x:f>IFERROR(INDEX('Material routes'!$G$6:$G$2205,MATCH(V470,'Material routes'!$A$6:$A$2205,0)),"MISSING ID")</x:f>
        <x:v>Salvage</x:v>
      </x:c>
      <x:c r="J470" s="4" t="str">
        <x:f>IFERROR(INDEX('Material routes'!$B$6:$B$2205,MATCH(U470,'Material routes'!$A$6:$A$2205,0)),"MISSING ID")</x:f>
        <x:v>design.lore.shell_scraper</x:v>
      </x:c>
      <x:c r="K470" s="4" t="str">
        <x:f>IFERROR(INDEX('Crafting recipes'!$C$6:$C$1005,MATCH(J470,'Crafting recipes'!$A$6:$A$1005,0)),"MISSING ID")</x:f>
        <x:v>Finished-item crafting</x:v>
      </x:c>
      <x:c r="L470" s="4" t="str">
        <x:f>IFERROR(INDEX('Material routes'!$K$6:$K$2205,MATCH(U470,'Material routes'!$A$6:$A$2205,0)),"MISSING ID")</x:f>
        <x:v>Proposal</x:v>
      </x:c>
      <x:c r="M470" s="4" t="str">
        <x:f>IFERROR(INDEX('Material routes'!$M$6:$M$2205,MATCH(U470,'Material routes'!$A$6:$A$2205,0)),"MISSING ID")</x:f>
        <x:v>Partial proposal</x:v>
      </x:c>
      <x:c r="N470" s="4" t="str">
        <x:f>IF(IFERROR(INDEX('Material routes'!$I$6:$I$1005,MATCH(U470,'Material routes'!$A$6:$A$1005,0)),"MISSING ID")=0,"",IFERROR(INDEX('Material routes'!$I$6:$I$1005,MATCH(U470,'Material routes'!$A$6:$A$1005,0)),"MISSING ID"))</x:f>
      </x:c>
      <x:c r="O470" s="4" t="str">
        <x:f>IFERROR(INDEX('Material routes'!$J$6:$J$2205,MATCH(U470,'Material routes'!$A$6:$A$2205,0)),"MISSING ID")</x:f>
        <x:v>Unspecified</x:v>
      </x:c>
      <x:c r="P470" s="4" t="str">
        <x:f>IF(IFERROR(INDEX('Material routes'!$I$6:$I$1005,MATCH(V470,'Material routes'!$A$6:$A$1005,0)),"MISSING ID")=0,"",IFERROR(INDEX('Material routes'!$I$6:$I$1005,MATCH(V470,'Material routes'!$A$6:$A$1005,0)),"MISSING ID"))</x:f>
      </x:c>
      <x:c r="Q470" s="4" t="str">
        <x:f>IFERROR(INDEX('Material routes'!$J$6:$J$2205,MATCH(V470,'Material routes'!$A$6:$A$2205,0)),"MISSING ID")</x:f>
        <x:v>Unspecified</x:v>
      </x:c>
      <x:c r="R470" s="4" t="str">
        <x:f>IF(L470="Withheld","Withheld premise",IF(E470="Tool candidate","Reusable prerequisite",IF(K470="Raw entry preparation","Entry-resource preparation",IF(G470="Not applicable",IF(IFERROR(INDEX('Items'!$AI$6:$AI$1005,MATCH(T470,'Items'!$A$6:$A$1005,0)),"MISSING ID")="Finished item","Finished endpoint",IF(IFERROR(INDEX('Items'!$AI$6:$AI$1005,MATCH(T470,'Items'!$A$6:$A$1005,0)),"MISSING ID")="Currency","Currency / no refinement tier","Recovered output / tier not applicable")),IF(OR(IFERROR(INDEX('Crafting recipes'!$H$6:$H$1005,MATCH(J470,'Crafting recipes'!$A$6:$A$1005,0)),"MISSING ID")="Unassigned",G470="Unassigned"),"Tier unresolved",IF(IFERROR(VALUE(RIGHT(G470,1))-VALUE(RIGHT(IFERROR(INDEX('Crafting recipes'!$H$6:$H$1005,MATCH(J470,'Crafting recipes'!$A$6:$A$1005,0)),"MISSING ID"),1)),0)=1,IF(B470=IFERROR(INDEX('Crafting recipes'!$H$6:$H$1005,MATCH(J470,'Crafting recipes'!$A$6:$A$1005,0)),"MISSING ID"),"Advances one material tier","Lower-tier ingredient; route advances one tier"),"Needs tier review"))))))</x:f>
        <x:v>Finished endpoint</x:v>
      </x:c>
      <x:c r="S470" s="4" t="str">
        <x:f>IFERROR(INDEX('Material routes'!$D$6:$D$2205,MATCH(U470,'Material routes'!$A$6:$A$2205,0)),"MISSING ID")</x:f>
        <x:v>proposal.bio.insert</x:v>
      </x:c>
      <x:c r="T470" s="4" t="str">
        <x:f>IFERROR(INDEX('Material routes'!$D$6:$D$2205,MATCH(V470,'Material routes'!$A$6:$A$2205,0)),"MISSING ID")</x:f>
        <x:v>proposal.lore.shell_scraper</x:v>
      </x:c>
      <x:c r="U470" s="4" t="str">
        <x:v>design.lore.shell_scraper.in.1</x:v>
      </x:c>
      <x:c r="V470" s="4" t="str">
        <x:v>design.lore.shell_scraper.out</x:v>
      </x:c>
    </x:row>
    <x:row r="471" ht="115" customHeight="1">
      <x:c r="A471" s="4" t="str">
        <x:f>IFERROR(INDEX('Material routes'!$E$6:$E$2205,MATCH(U471,'Material routes'!$A$6:$A$2205,0)),"MISSING ID")</x:f>
        <x:v>Worked iron stock</x:v>
      </x:c>
      <x:c r="B471" s="4" t="str">
        <x:f>IFERROR(INDEX('Material routes'!$F$6:$F$2205,MATCH(U471,'Material routes'!$A$6:$A$2205,0)),"MISSING ID")</x:f>
        <x:v>T2</x:v>
      </x:c>
      <x:c r="C471" s="4" t="str">
        <x:f>IFERROR(INDEX('Material routes'!$H$6:$H$2205,MATCH(U471,'Material routes'!$A$6:$A$2205,0)),"MISSING ID")</x:f>
        <x:v>Processed material</x:v>
      </x:c>
      <x:c r="D471" s="4" t="str">
        <x:f>IFERROR(INDEX('Material routes'!$G$6:$G$2205,MATCH(U471,'Material routes'!$A$6:$A$2205,0)),"MISSING ID")</x:f>
        <x:v>Manufactured stock</x:v>
      </x:c>
      <x:c r="E471" s="4" t="str">
        <x:f>IFERROR(INDEX('Material routes'!$C$6:$C$2205,MATCH(U471,'Material routes'!$A$6:$A$2205,0)),"MISSING ID")</x:f>
        <x:v>Ingredient candidate</x:v>
      </x:c>
      <x:c r="F471" s="4" t="str">
        <x:f>IFERROR(INDEX('Material routes'!$E$6:$E$2205,MATCH(V471,'Material routes'!$A$6:$A$2205,0)),"MISSING ID")</x:f>
        <x:v>Domestic shell-trimming scraper</x:v>
      </x:c>
      <x:c r="G471" s="4" t="str">
        <x:f>IFERROR(INDEX('Material routes'!$F$6:$F$2205,MATCH(V471,'Material routes'!$A$6:$A$2205,0)),"MISSING ID")</x:f>
        <x:v>Not applicable</x:v>
      </x:c>
      <x:c r="H471" s="4" t="str">
        <x:f>IFERROR(INDEX('Material routes'!$H$6:$H$2205,MATCH(V471,'Material routes'!$A$6:$A$2205,0)),"MISSING ID")</x:f>
        <x:v>Tool</x:v>
      </x:c>
      <x:c r="I471" s="4" t="str">
        <x:f>IFERROR(INDEX('Material routes'!$G$6:$G$2205,MATCH(V471,'Material routes'!$A$6:$A$2205,0)),"MISSING ID")</x:f>
        <x:v>Salvage</x:v>
      </x:c>
      <x:c r="J471" s="4" t="str">
        <x:f>IFERROR(INDEX('Material routes'!$B$6:$B$2205,MATCH(U471,'Material routes'!$A$6:$A$2205,0)),"MISSING ID")</x:f>
        <x:v>design.lore.shell_scraper</x:v>
      </x:c>
      <x:c r="K471" s="4" t="str">
        <x:f>IFERROR(INDEX('Crafting recipes'!$C$6:$C$1005,MATCH(J471,'Crafting recipes'!$A$6:$A$1005,0)),"MISSING ID")</x:f>
        <x:v>Finished-item crafting</x:v>
      </x:c>
      <x:c r="L471" s="4" t="str">
        <x:f>IFERROR(INDEX('Material routes'!$K$6:$K$2205,MATCH(U471,'Material routes'!$A$6:$A$2205,0)),"MISSING ID")</x:f>
        <x:v>Proposal</x:v>
      </x:c>
      <x:c r="M471" s="4" t="str">
        <x:f>IFERROR(INDEX('Material routes'!$M$6:$M$2205,MATCH(U471,'Material routes'!$A$6:$A$2205,0)),"MISSING ID")</x:f>
        <x:v>Partial proposal</x:v>
      </x:c>
      <x:c r="N471" s="4" t="str">
        <x:f>IF(IFERROR(INDEX('Material routes'!$I$6:$I$1005,MATCH(U471,'Material routes'!$A$6:$A$1005,0)),"MISSING ID")=0,"",IFERROR(INDEX('Material routes'!$I$6:$I$1005,MATCH(U471,'Material routes'!$A$6:$A$1005,0)),"MISSING ID"))</x:f>
      </x:c>
      <x:c r="O471" s="4" t="str">
        <x:f>IFERROR(INDEX('Material routes'!$J$6:$J$2205,MATCH(U471,'Material routes'!$A$6:$A$2205,0)),"MISSING ID")</x:f>
        <x:v>Unspecified</x:v>
      </x:c>
      <x:c r="P471" s="4" t="str">
        <x:f>IF(IFERROR(INDEX('Material routes'!$I$6:$I$1005,MATCH(V471,'Material routes'!$A$6:$A$1005,0)),"MISSING ID")=0,"",IFERROR(INDEX('Material routes'!$I$6:$I$1005,MATCH(V471,'Material routes'!$A$6:$A$1005,0)),"MISSING ID"))</x:f>
      </x:c>
      <x:c r="Q471" s="4" t="str">
        <x:f>IFERROR(INDEX('Material routes'!$J$6:$J$2205,MATCH(V471,'Material routes'!$A$6:$A$2205,0)),"MISSING ID")</x:f>
        <x:v>Unspecified</x:v>
      </x:c>
      <x:c r="R471" s="4" t="str">
        <x:f>IF(L471="Withheld","Withheld premise",IF(E471="Tool candidate","Reusable prerequisite",IF(K471="Raw entry preparation","Entry-resource preparation",IF(G471="Not applicable",IF(IFERROR(INDEX('Items'!$AI$6:$AI$1005,MATCH(T471,'Items'!$A$6:$A$1005,0)),"MISSING ID")="Finished item","Finished endpoint",IF(IFERROR(INDEX('Items'!$AI$6:$AI$1005,MATCH(T471,'Items'!$A$6:$A$1005,0)),"MISSING ID")="Currency","Currency / no refinement tier","Recovered output / tier not applicable")),IF(OR(IFERROR(INDEX('Crafting recipes'!$H$6:$H$1005,MATCH(J471,'Crafting recipes'!$A$6:$A$1005,0)),"MISSING ID")="Unassigned",G471="Unassigned"),"Tier unresolved",IF(IFERROR(VALUE(RIGHT(G471,1))-VALUE(RIGHT(IFERROR(INDEX('Crafting recipes'!$H$6:$H$1005,MATCH(J471,'Crafting recipes'!$A$6:$A$1005,0)),"MISSING ID"),1)),0)=1,IF(B471=IFERROR(INDEX('Crafting recipes'!$H$6:$H$1005,MATCH(J471,'Crafting recipes'!$A$6:$A$1005,0)),"MISSING ID"),"Advances one material tier","Lower-tier ingredient; route advances one tier"),"Needs tier review"))))))</x:f>
        <x:v>Finished endpoint</x:v>
      </x:c>
      <x:c r="S471" s="4" t="str">
        <x:f>IFERROR(INDEX('Material routes'!$D$6:$D$2205,MATCH(U471,'Material routes'!$A$6:$A$2205,0)),"MISSING ID")</x:f>
        <x:v>proposal.natural.iron_stock</x:v>
      </x:c>
      <x:c r="T471" s="4" t="str">
        <x:f>IFERROR(INDEX('Material routes'!$D$6:$D$2205,MATCH(V471,'Material routes'!$A$6:$A$2205,0)),"MISSING ID")</x:f>
        <x:v>proposal.lore.shell_scraper</x:v>
      </x:c>
      <x:c r="U471" s="4" t="str">
        <x:v>design.lore.shell_scraper.in.2</x:v>
      </x:c>
      <x:c r="V471" s="4" t="str">
        <x:v>design.lore.shell_scraper.out</x:v>
      </x:c>
    </x:row>
    <x:row r="472" ht="115" customHeight="1">
      <x:c r="A472" s="4" t="str">
        <x:f>IFERROR(INDEX('Material routes'!$E$6:$E$2205,MATCH(U472,'Material routes'!$A$6:$A$2205,0)),"MISSING ID")</x:f>
        <x:v>Smelted iron bloom</x:v>
      </x:c>
      <x:c r="B472" s="4" t="str">
        <x:f>IFERROR(INDEX('Material routes'!$F$6:$F$2205,MATCH(U472,'Material routes'!$A$6:$A$2205,0)),"MISSING ID")</x:f>
        <x:v>T1</x:v>
      </x:c>
      <x:c r="C472" s="4" t="str">
        <x:f>IFERROR(INDEX('Material routes'!$H$6:$H$2205,MATCH(U472,'Material routes'!$A$6:$A$2205,0)),"MISSING ID")</x:f>
        <x:v>Processed material</x:v>
      </x:c>
      <x:c r="D472" s="4" t="str">
        <x:f>IFERROR(INDEX('Material routes'!$G$6:$G$2205,MATCH(U472,'Material routes'!$A$6:$A$2205,0)),"MISSING ID")</x:f>
        <x:v>Manufactured stock</x:v>
      </x:c>
      <x:c r="E472" s="4" t="str">
        <x:f>IFERROR(INDEX('Material routes'!$C$6:$C$2205,MATCH(U472,'Material routes'!$A$6:$A$2205,0)),"MISSING ID")</x:f>
        <x:v>Ingredient candidate</x:v>
      </x:c>
      <x:c r="F472" s="4" t="str">
        <x:f>IFERROR(INDEX('Material routes'!$E$6:$E$2205,MATCH(V472,'Material routes'!$A$6:$A$2205,0)),"MISSING ID")</x:f>
        <x:v>Drawn iron conductor stock</x:v>
      </x:c>
      <x:c r="G472" s="4" t="str">
        <x:f>IFERROR(INDEX('Material routes'!$F$6:$F$2205,MATCH(V472,'Material routes'!$A$6:$A$2205,0)),"MISSING ID")</x:f>
        <x:v>T2</x:v>
      </x:c>
      <x:c r="H472" s="4" t="str">
        <x:f>IFERROR(INDEX('Material routes'!$H$6:$H$2205,MATCH(V472,'Material routes'!$A$6:$A$2205,0)),"MISSING ID")</x:f>
        <x:v>Processed material</x:v>
      </x:c>
      <x:c r="I472" s="4" t="str">
        <x:f>IFERROR(INDEX('Material routes'!$G$6:$G$2205,MATCH(V472,'Material routes'!$A$6:$A$2205,0)),"MISSING ID")</x:f>
        <x:v>Manufactured stock</x:v>
      </x:c>
      <x:c r="J472" s="4" t="str">
        <x:f>IFERROR(INDEX('Material routes'!$B$6:$B$2205,MATCH(U472,'Material routes'!$A$6:$A$2205,0)),"MISSING ID")</x:f>
        <x:v>design.lore.iron_conductor</x:v>
      </x:c>
      <x:c r="K472" s="4" t="str">
        <x:f>IFERROR(INDEX('Crafting recipes'!$C$6:$C$1005,MATCH(J472,'Crafting recipes'!$A$6:$A$1005,0)),"MISSING ID")</x:f>
        <x:v>Material refinement</x:v>
      </x:c>
      <x:c r="L472" s="4" t="str">
        <x:f>IFERROR(INDEX('Material routes'!$K$6:$K$2205,MATCH(U472,'Material routes'!$A$6:$A$2205,0)),"MISSING ID")</x:f>
        <x:v>Proposal</x:v>
      </x:c>
      <x:c r="M472" s="4" t="str">
        <x:f>IFERROR(INDEX('Material routes'!$M$6:$M$2205,MATCH(U472,'Material routes'!$A$6:$A$2205,0)),"MISSING ID")</x:f>
        <x:v>Partial proposal</x:v>
      </x:c>
      <x:c r="N472" s="4" t="str">
        <x:f>IF(IFERROR(INDEX('Material routes'!$I$6:$I$1005,MATCH(U472,'Material routes'!$A$6:$A$1005,0)),"MISSING ID")=0,"",IFERROR(INDEX('Material routes'!$I$6:$I$1005,MATCH(U472,'Material routes'!$A$6:$A$1005,0)),"MISSING ID"))</x:f>
      </x:c>
      <x:c r="O472" s="4" t="str">
        <x:f>IFERROR(INDEX('Material routes'!$J$6:$J$2205,MATCH(U472,'Material routes'!$A$6:$A$2205,0)),"MISSING ID")</x:f>
        <x:v>Unspecified</x:v>
      </x:c>
      <x:c r="P472" s="4" t="str">
        <x:f>IF(IFERROR(INDEX('Material routes'!$I$6:$I$1005,MATCH(V472,'Material routes'!$A$6:$A$1005,0)),"MISSING ID")=0,"",IFERROR(INDEX('Material routes'!$I$6:$I$1005,MATCH(V472,'Material routes'!$A$6:$A$1005,0)),"MISSING ID"))</x:f>
      </x:c>
      <x:c r="Q472" s="4" t="str">
        <x:f>IFERROR(INDEX('Material routes'!$J$6:$J$2205,MATCH(V472,'Material routes'!$A$6:$A$2205,0)),"MISSING ID")</x:f>
        <x:v>Unspecified</x:v>
      </x:c>
      <x:c r="R472" s="4" t="str">
        <x:f>IF(L472="Withheld","Withheld premise",IF(E472="Tool candidate","Reusable prerequisite",IF(K472="Raw entry preparation","Entry-resource preparation",IF(G472="Not applicable",IF(IFERROR(INDEX('Items'!$AI$6:$AI$1005,MATCH(T472,'Items'!$A$6:$A$1005,0)),"MISSING ID")="Finished item","Finished endpoint",IF(IFERROR(INDEX('Items'!$AI$6:$AI$1005,MATCH(T472,'Items'!$A$6:$A$1005,0)),"MISSING ID")="Currency","Currency / no refinement tier","Recovered output / tier not applicable")),IF(OR(IFERROR(INDEX('Crafting recipes'!$H$6:$H$1005,MATCH(J472,'Crafting recipes'!$A$6:$A$1005,0)),"MISSING ID")="Unassigned",G472="Unassigned"),"Tier unresolved",IF(IFERROR(VALUE(RIGHT(G472,1))-VALUE(RIGHT(IFERROR(INDEX('Crafting recipes'!$H$6:$H$1005,MATCH(J472,'Crafting recipes'!$A$6:$A$1005,0)),"MISSING ID"),1)),0)=1,IF(B472=IFERROR(INDEX('Crafting recipes'!$H$6:$H$1005,MATCH(J472,'Crafting recipes'!$A$6:$A$1005,0)),"MISSING ID"),"Advances one material tier","Lower-tier ingredient; route advances one tier"),"Needs tier review"))))))</x:f>
        <x:v>Advances one material tier</x:v>
      </x:c>
      <x:c r="S472" s="4" t="str">
        <x:f>IFERROR(INDEX('Material routes'!$D$6:$D$2205,MATCH(U472,'Material routes'!$A$6:$A$2205,0)),"MISSING ID")</x:f>
        <x:v>proposal.t1.iron_bloom</x:v>
      </x:c>
      <x:c r="T472" s="4" t="str">
        <x:f>IFERROR(INDEX('Material routes'!$D$6:$D$2205,MATCH(V472,'Material routes'!$A$6:$A$2205,0)),"MISSING ID")</x:f>
        <x:v>proposal.lore.iron_conductor</x:v>
      </x:c>
      <x:c r="U472" s="4" t="str">
        <x:v>design.lore.iron_conductor.in.1</x:v>
      </x:c>
      <x:c r="V472" s="4" t="str">
        <x:v>design.lore.iron_conductor.out</x:v>
      </x:c>
    </x:row>
    <x:row r="473" ht="115" customHeight="1">
      <x:c r="A473" s="4" t="str">
        <x:f>IFERROR(INDEX('Material routes'!$E$6:$E$2205,MATCH(U473,'Material routes'!$A$6:$A$2205,0)),"MISSING ID")</x:f>
        <x:v>Prepared metallurgical flux</x:v>
      </x:c>
      <x:c r="B473" s="4" t="str">
        <x:f>IFERROR(INDEX('Material routes'!$F$6:$F$2205,MATCH(U473,'Material routes'!$A$6:$A$2205,0)),"MISSING ID")</x:f>
        <x:v>T1</x:v>
      </x:c>
      <x:c r="C473" s="4" t="str">
        <x:f>IFERROR(INDEX('Material routes'!$H$6:$H$2205,MATCH(U473,'Material routes'!$A$6:$A$2205,0)),"MISSING ID")</x:f>
        <x:v>Processed material</x:v>
      </x:c>
      <x:c r="D473" s="4" t="str">
        <x:f>IFERROR(INDEX('Material routes'!$G$6:$G$2205,MATCH(U473,'Material routes'!$A$6:$A$2205,0)),"MISSING ID")</x:f>
        <x:v>Crafting components</x:v>
      </x:c>
      <x:c r="E473" s="4" t="str">
        <x:f>IFERROR(INDEX('Material routes'!$C$6:$C$2205,MATCH(U473,'Material routes'!$A$6:$A$2205,0)),"MISSING ID")</x:f>
        <x:v>Ingredient candidate</x:v>
      </x:c>
      <x:c r="F473" s="4" t="str">
        <x:f>IFERROR(INDEX('Material routes'!$E$6:$E$2205,MATCH(V473,'Material routes'!$A$6:$A$2205,0)),"MISSING ID")</x:f>
        <x:v>Drawn iron conductor stock</x:v>
      </x:c>
      <x:c r="G473" s="4" t="str">
        <x:f>IFERROR(INDEX('Material routes'!$F$6:$F$2205,MATCH(V473,'Material routes'!$A$6:$A$2205,0)),"MISSING ID")</x:f>
        <x:v>T2</x:v>
      </x:c>
      <x:c r="H473" s="4" t="str">
        <x:f>IFERROR(INDEX('Material routes'!$H$6:$H$2205,MATCH(V473,'Material routes'!$A$6:$A$2205,0)),"MISSING ID")</x:f>
        <x:v>Processed material</x:v>
      </x:c>
      <x:c r="I473" s="4" t="str">
        <x:f>IFERROR(INDEX('Material routes'!$G$6:$G$2205,MATCH(V473,'Material routes'!$A$6:$A$2205,0)),"MISSING ID")</x:f>
        <x:v>Manufactured stock</x:v>
      </x:c>
      <x:c r="J473" s="4" t="str">
        <x:f>IFERROR(INDEX('Material routes'!$B$6:$B$2205,MATCH(U473,'Material routes'!$A$6:$A$2205,0)),"MISSING ID")</x:f>
        <x:v>design.lore.iron_conductor</x:v>
      </x:c>
      <x:c r="K473" s="4" t="str">
        <x:f>IFERROR(INDEX('Crafting recipes'!$C$6:$C$1005,MATCH(J473,'Crafting recipes'!$A$6:$A$1005,0)),"MISSING ID")</x:f>
        <x:v>Material refinement</x:v>
      </x:c>
      <x:c r="L473" s="4" t="str">
        <x:f>IFERROR(INDEX('Material routes'!$K$6:$K$2205,MATCH(U473,'Material routes'!$A$6:$A$2205,0)),"MISSING ID")</x:f>
        <x:v>Proposal</x:v>
      </x:c>
      <x:c r="M473" s="4" t="str">
        <x:f>IFERROR(INDEX('Material routes'!$M$6:$M$2205,MATCH(U473,'Material routes'!$A$6:$A$2205,0)),"MISSING ID")</x:f>
        <x:v>Partial proposal</x:v>
      </x:c>
      <x:c r="N473" s="4" t="str">
        <x:f>IF(IFERROR(INDEX('Material routes'!$I$6:$I$1005,MATCH(U473,'Material routes'!$A$6:$A$1005,0)),"MISSING ID")=0,"",IFERROR(INDEX('Material routes'!$I$6:$I$1005,MATCH(U473,'Material routes'!$A$6:$A$1005,0)),"MISSING ID"))</x:f>
      </x:c>
      <x:c r="O473" s="4" t="str">
        <x:f>IFERROR(INDEX('Material routes'!$J$6:$J$2205,MATCH(U473,'Material routes'!$A$6:$A$2205,0)),"MISSING ID")</x:f>
        <x:v>Unspecified</x:v>
      </x:c>
      <x:c r="P473" s="4" t="str">
        <x:f>IF(IFERROR(INDEX('Material routes'!$I$6:$I$1005,MATCH(V473,'Material routes'!$A$6:$A$1005,0)),"MISSING ID")=0,"",IFERROR(INDEX('Material routes'!$I$6:$I$1005,MATCH(V473,'Material routes'!$A$6:$A$1005,0)),"MISSING ID"))</x:f>
      </x:c>
      <x:c r="Q473" s="4" t="str">
        <x:f>IFERROR(INDEX('Material routes'!$J$6:$J$2205,MATCH(V473,'Material routes'!$A$6:$A$2205,0)),"MISSING ID")</x:f>
        <x:v>Unspecified</x:v>
      </x:c>
      <x:c r="R473" s="4" t="str">
        <x:f>IF(L473="Withheld","Withheld premise",IF(E473="Tool candidate","Reusable prerequisite",IF(K473="Raw entry preparation","Entry-resource preparation",IF(G473="Not applicable",IF(IFERROR(INDEX('Items'!$AI$6:$AI$1005,MATCH(T473,'Items'!$A$6:$A$1005,0)),"MISSING ID")="Finished item","Finished endpoint",IF(IFERROR(INDEX('Items'!$AI$6:$AI$1005,MATCH(T473,'Items'!$A$6:$A$1005,0)),"MISSING ID")="Currency","Currency / no refinement tier","Recovered output / tier not applicable")),IF(OR(IFERROR(INDEX('Crafting recipes'!$H$6:$H$1005,MATCH(J473,'Crafting recipes'!$A$6:$A$1005,0)),"MISSING ID")="Unassigned",G473="Unassigned"),"Tier unresolved",IF(IFERROR(VALUE(RIGHT(G473,1))-VALUE(RIGHT(IFERROR(INDEX('Crafting recipes'!$H$6:$H$1005,MATCH(J473,'Crafting recipes'!$A$6:$A$1005,0)),"MISSING ID"),1)),0)=1,IF(B473=IFERROR(INDEX('Crafting recipes'!$H$6:$H$1005,MATCH(J473,'Crafting recipes'!$A$6:$A$1005,0)),"MISSING ID"),"Advances one material tier","Lower-tier ingredient; route advances one tier"),"Needs tier review"))))))</x:f>
        <x:v>Advances one material tier</x:v>
      </x:c>
      <x:c r="S473" s="4" t="str">
        <x:f>IFERROR(INDEX('Material routes'!$D$6:$D$2205,MATCH(U473,'Material routes'!$A$6:$A$2205,0)),"MISSING ID")</x:f>
        <x:v>proposal.branch.flux</x:v>
      </x:c>
      <x:c r="T473" s="4" t="str">
        <x:f>IFERROR(INDEX('Material routes'!$D$6:$D$2205,MATCH(V473,'Material routes'!$A$6:$A$2205,0)),"MISSING ID")</x:f>
        <x:v>proposal.lore.iron_conductor</x:v>
      </x:c>
      <x:c r="U473" s="4" t="str">
        <x:v>design.lore.iron_conductor.in.2</x:v>
      </x:c>
      <x:c r="V473" s="4" t="str">
        <x:v>design.lore.iron_conductor.out</x:v>
      </x:c>
    </x:row>
    <x:row r="474" ht="115" customHeight="1">
      <x:c r="A474" s="4" t="str">
        <x:f>IFERROR(INDEX('Material routes'!$E$6:$E$2205,MATCH(U474,'Material routes'!$A$6:$A$2205,0)),"MISSING ID")</x:f>
        <x:v>Smelted iron bloom</x:v>
      </x:c>
      <x:c r="B474" s="4" t="str">
        <x:f>IFERROR(INDEX('Material routes'!$F$6:$F$2205,MATCH(U474,'Material routes'!$A$6:$A$2205,0)),"MISSING ID")</x:f>
        <x:v>T1</x:v>
      </x:c>
      <x:c r="C474" s="4" t="str">
        <x:f>IFERROR(INDEX('Material routes'!$H$6:$H$2205,MATCH(U474,'Material routes'!$A$6:$A$2205,0)),"MISSING ID")</x:f>
        <x:v>Processed material</x:v>
      </x:c>
      <x:c r="D474" s="4" t="str">
        <x:f>IFERROR(INDEX('Material routes'!$G$6:$G$2205,MATCH(U474,'Material routes'!$A$6:$A$2205,0)),"MISSING ID")</x:f>
        <x:v>Manufactured stock</x:v>
      </x:c>
      <x:c r="E474" s="4" t="str">
        <x:f>IFERROR(INDEX('Material routes'!$C$6:$C$2205,MATCH(U474,'Material routes'!$A$6:$A$2205,0)),"MISSING ID")</x:f>
        <x:v>Ingredient candidate</x:v>
      </x:c>
      <x:c r="F474" s="4" t="str">
        <x:f>IFERROR(INDEX('Material routes'!$E$6:$E$2205,MATCH(V474,'Material routes'!$A$6:$A$2205,0)),"MISSING ID")</x:f>
        <x:v>Shaped iron core plates</x:v>
      </x:c>
      <x:c r="G474" s="4" t="str">
        <x:f>IFERROR(INDEX('Material routes'!$F$6:$F$2205,MATCH(V474,'Material routes'!$A$6:$A$2205,0)),"MISSING ID")</x:f>
        <x:v>T2</x:v>
      </x:c>
      <x:c r="H474" s="4" t="str">
        <x:f>IFERROR(INDEX('Material routes'!$H$6:$H$2205,MATCH(V474,'Material routes'!$A$6:$A$2205,0)),"MISSING ID")</x:f>
        <x:v>Crafting component</x:v>
      </x:c>
      <x:c r="I474" s="4" t="str">
        <x:f>IFERROR(INDEX('Material routes'!$G$6:$G$2205,MATCH(V474,'Material routes'!$A$6:$A$2205,0)),"MISSING ID")</x:f>
        <x:v>Crafting components</x:v>
      </x:c>
      <x:c r="J474" s="4" t="str">
        <x:f>IFERROR(INDEX('Material routes'!$B$6:$B$2205,MATCH(U474,'Material routes'!$A$6:$A$2205,0)),"MISSING ID")</x:f>
        <x:v>design.lore.iron_core_plates</x:v>
      </x:c>
      <x:c r="K474" s="4" t="str">
        <x:f>IFERROR(INDEX('Crafting recipes'!$C$6:$C$1005,MATCH(J474,'Crafting recipes'!$A$6:$A$1005,0)),"MISSING ID")</x:f>
        <x:v>Material refinement</x:v>
      </x:c>
      <x:c r="L474" s="4" t="str">
        <x:f>IFERROR(INDEX('Material routes'!$K$6:$K$2205,MATCH(U474,'Material routes'!$A$6:$A$2205,0)),"MISSING ID")</x:f>
        <x:v>Proposal</x:v>
      </x:c>
      <x:c r="M474" s="4" t="str">
        <x:f>IFERROR(INDEX('Material routes'!$M$6:$M$2205,MATCH(U474,'Material routes'!$A$6:$A$2205,0)),"MISSING ID")</x:f>
        <x:v>Partial proposal</x:v>
      </x:c>
      <x:c r="N474" s="4" t="str">
        <x:f>IF(IFERROR(INDEX('Material routes'!$I$6:$I$1005,MATCH(U474,'Material routes'!$A$6:$A$1005,0)),"MISSING ID")=0,"",IFERROR(INDEX('Material routes'!$I$6:$I$1005,MATCH(U474,'Material routes'!$A$6:$A$1005,0)),"MISSING ID"))</x:f>
      </x:c>
      <x:c r="O474" s="4" t="str">
        <x:f>IFERROR(INDEX('Material routes'!$J$6:$J$2205,MATCH(U474,'Material routes'!$A$6:$A$2205,0)),"MISSING ID")</x:f>
        <x:v>Unspecified</x:v>
      </x:c>
      <x:c r="P474" s="4" t="str">
        <x:f>IF(IFERROR(INDEX('Material routes'!$I$6:$I$1005,MATCH(V474,'Material routes'!$A$6:$A$1005,0)),"MISSING ID")=0,"",IFERROR(INDEX('Material routes'!$I$6:$I$1005,MATCH(V474,'Material routes'!$A$6:$A$1005,0)),"MISSING ID"))</x:f>
      </x:c>
      <x:c r="Q474" s="4" t="str">
        <x:f>IFERROR(INDEX('Material routes'!$J$6:$J$2205,MATCH(V474,'Material routes'!$A$6:$A$2205,0)),"MISSING ID")</x:f>
        <x:v>Unspecified</x:v>
      </x:c>
      <x:c r="R474" s="4" t="str">
        <x:f>IF(L474="Withheld","Withheld premise",IF(E474="Tool candidate","Reusable prerequisite",IF(K474="Raw entry preparation","Entry-resource preparation",IF(G474="Not applicable",IF(IFERROR(INDEX('Items'!$AI$6:$AI$1005,MATCH(T474,'Items'!$A$6:$A$1005,0)),"MISSING ID")="Finished item","Finished endpoint",IF(IFERROR(INDEX('Items'!$AI$6:$AI$1005,MATCH(T474,'Items'!$A$6:$A$1005,0)),"MISSING ID")="Currency","Currency / no refinement tier","Recovered output / tier not applicable")),IF(OR(IFERROR(INDEX('Crafting recipes'!$H$6:$H$1005,MATCH(J474,'Crafting recipes'!$A$6:$A$1005,0)),"MISSING ID")="Unassigned",G474="Unassigned"),"Tier unresolved",IF(IFERROR(VALUE(RIGHT(G474,1))-VALUE(RIGHT(IFERROR(INDEX('Crafting recipes'!$H$6:$H$1005,MATCH(J474,'Crafting recipes'!$A$6:$A$1005,0)),"MISSING ID"),1)),0)=1,IF(B474=IFERROR(INDEX('Crafting recipes'!$H$6:$H$1005,MATCH(J474,'Crafting recipes'!$A$6:$A$1005,0)),"MISSING ID"),"Advances one material tier","Lower-tier ingredient; route advances one tier"),"Needs tier review"))))))</x:f>
        <x:v>Advances one material tier</x:v>
      </x:c>
      <x:c r="S474" s="4" t="str">
        <x:f>IFERROR(INDEX('Material routes'!$D$6:$D$2205,MATCH(U474,'Material routes'!$A$6:$A$2205,0)),"MISSING ID")</x:f>
        <x:v>proposal.t1.iron_bloom</x:v>
      </x:c>
      <x:c r="T474" s="4" t="str">
        <x:f>IFERROR(INDEX('Material routes'!$D$6:$D$2205,MATCH(V474,'Material routes'!$A$6:$A$2205,0)),"MISSING ID")</x:f>
        <x:v>proposal.lore.iron_core_plates</x:v>
      </x:c>
      <x:c r="U474" s="4" t="str">
        <x:v>design.lore.iron_core_plates.in.1</x:v>
      </x:c>
      <x:c r="V474" s="4" t="str">
        <x:v>design.lore.iron_core_plates.out</x:v>
      </x:c>
    </x:row>
    <x:row r="475" ht="115" customHeight="1">
      <x:c r="A475" s="4" t="str">
        <x:f>IFERROR(INDEX('Material routes'!$E$6:$E$2205,MATCH(U475,'Material routes'!$A$6:$A$2205,0)),"MISSING ID")</x:f>
        <x:v>Drawn iron conductor stock</x:v>
      </x:c>
      <x:c r="B475" s="4" t="str">
        <x:f>IFERROR(INDEX('Material routes'!$F$6:$F$2205,MATCH(U475,'Material routes'!$A$6:$A$2205,0)),"MISSING ID")</x:f>
        <x:v>T2</x:v>
      </x:c>
      <x:c r="C475" s="4" t="str">
        <x:f>IFERROR(INDEX('Material routes'!$H$6:$H$2205,MATCH(U475,'Material routes'!$A$6:$A$2205,0)),"MISSING ID")</x:f>
        <x:v>Processed material</x:v>
      </x:c>
      <x:c r="D475" s="4" t="str">
        <x:f>IFERROR(INDEX('Material routes'!$G$6:$G$2205,MATCH(U475,'Material routes'!$A$6:$A$2205,0)),"MISSING ID")</x:f>
        <x:v>Manufactured stock</x:v>
      </x:c>
      <x:c r="E475" s="4" t="str">
        <x:f>IFERROR(INDEX('Material routes'!$C$6:$C$2205,MATCH(U475,'Material routes'!$A$6:$A$2205,0)),"MISSING ID")</x:f>
        <x:v>Ingredient candidate</x:v>
      </x:c>
      <x:c r="F475" s="4" t="str">
        <x:f>IFERROR(INDEX('Material routes'!$E$6:$E$2205,MATCH(V475,'Material routes'!$A$6:$A$2205,0)),"MISSING ID")</x:f>
        <x:v>Iron-wound core blank</x:v>
      </x:c>
      <x:c r="G475" s="4" t="str">
        <x:f>IFERROR(INDEX('Material routes'!$F$6:$F$2205,MATCH(V475,'Material routes'!$A$6:$A$2205,0)),"MISSING ID")</x:f>
        <x:v>T3</x:v>
      </x:c>
      <x:c r="H475" s="4" t="str">
        <x:f>IFERROR(INDEX('Material routes'!$H$6:$H$2205,MATCH(V475,'Material routes'!$A$6:$A$2205,0)),"MISSING ID")</x:f>
        <x:v>Crafting component</x:v>
      </x:c>
      <x:c r="I475" s="4" t="str">
        <x:f>IFERROR(INDEX('Material routes'!$G$6:$G$2205,MATCH(V475,'Material routes'!$A$6:$A$2205,0)),"MISSING ID")</x:f>
        <x:v>Crafting components</x:v>
      </x:c>
      <x:c r="J475" s="4" t="str">
        <x:f>IFERROR(INDEX('Material routes'!$B$6:$B$2205,MATCH(U475,'Material routes'!$A$6:$A$2205,0)),"MISSING ID")</x:f>
        <x:v>design.lore.iron_winding</x:v>
      </x:c>
      <x:c r="K475" s="4" t="str">
        <x:f>IFERROR(INDEX('Crafting recipes'!$C$6:$C$1005,MATCH(J475,'Crafting recipes'!$A$6:$A$1005,0)),"MISSING ID")</x:f>
        <x:v>Material refinement</x:v>
      </x:c>
      <x:c r="L475" s="4" t="str">
        <x:f>IFERROR(INDEX('Material routes'!$K$6:$K$2205,MATCH(U475,'Material routes'!$A$6:$A$2205,0)),"MISSING ID")</x:f>
        <x:v>Proposal</x:v>
      </x:c>
      <x:c r="M475" s="4" t="str">
        <x:f>IFERROR(INDEX('Material routes'!$M$6:$M$2205,MATCH(U475,'Material routes'!$A$6:$A$2205,0)),"MISSING ID")</x:f>
        <x:v>Partial proposal</x:v>
      </x:c>
      <x:c r="N475" s="4" t="str">
        <x:f>IF(IFERROR(INDEX('Material routes'!$I$6:$I$1005,MATCH(U475,'Material routes'!$A$6:$A$1005,0)),"MISSING ID")=0,"",IFERROR(INDEX('Material routes'!$I$6:$I$1005,MATCH(U475,'Material routes'!$A$6:$A$1005,0)),"MISSING ID"))</x:f>
      </x:c>
      <x:c r="O475" s="4" t="str">
        <x:f>IFERROR(INDEX('Material routes'!$J$6:$J$2205,MATCH(U475,'Material routes'!$A$6:$A$2205,0)),"MISSING ID")</x:f>
        <x:v>Unspecified</x:v>
      </x:c>
      <x:c r="P475" s="4" t="str">
        <x:f>IF(IFERROR(INDEX('Material routes'!$I$6:$I$1005,MATCH(V475,'Material routes'!$A$6:$A$1005,0)),"MISSING ID")=0,"",IFERROR(INDEX('Material routes'!$I$6:$I$1005,MATCH(V475,'Material routes'!$A$6:$A$1005,0)),"MISSING ID"))</x:f>
      </x:c>
      <x:c r="Q475" s="4" t="str">
        <x:f>IFERROR(INDEX('Material routes'!$J$6:$J$2205,MATCH(V475,'Material routes'!$A$6:$A$2205,0)),"MISSING ID")</x:f>
        <x:v>Unspecified</x:v>
      </x:c>
      <x:c r="R475" s="4" t="str">
        <x:f>IF(L475="Withheld","Withheld premise",IF(E475="Tool candidate","Reusable prerequisite",IF(K475="Raw entry preparation","Entry-resource preparation",IF(G475="Not applicable",IF(IFERROR(INDEX('Items'!$AI$6:$AI$1005,MATCH(T475,'Items'!$A$6:$A$1005,0)),"MISSING ID")="Finished item","Finished endpoint",IF(IFERROR(INDEX('Items'!$AI$6:$AI$1005,MATCH(T475,'Items'!$A$6:$A$1005,0)),"MISSING ID")="Currency","Currency / no refinement tier","Recovered output / tier not applicable")),IF(OR(IFERROR(INDEX('Crafting recipes'!$H$6:$H$1005,MATCH(J475,'Crafting recipes'!$A$6:$A$1005,0)),"MISSING ID")="Unassigned",G475="Unassigned"),"Tier unresolved",IF(IFERROR(VALUE(RIGHT(G475,1))-VALUE(RIGHT(IFERROR(INDEX('Crafting recipes'!$H$6:$H$1005,MATCH(J475,'Crafting recipes'!$A$6:$A$1005,0)),"MISSING ID"),1)),0)=1,IF(B475=IFERROR(INDEX('Crafting recipes'!$H$6:$H$1005,MATCH(J475,'Crafting recipes'!$A$6:$A$1005,0)),"MISSING ID"),"Advances one material tier","Lower-tier ingredient; route advances one tier"),"Needs tier review"))))))</x:f>
        <x:v>Advances one material tier</x:v>
      </x:c>
      <x:c r="S475" s="4" t="str">
        <x:f>IFERROR(INDEX('Material routes'!$D$6:$D$2205,MATCH(U475,'Material routes'!$A$6:$A$2205,0)),"MISSING ID")</x:f>
        <x:v>proposal.lore.iron_conductor</x:v>
      </x:c>
      <x:c r="T475" s="4" t="str">
        <x:f>IFERROR(INDEX('Material routes'!$D$6:$D$2205,MATCH(V475,'Material routes'!$A$6:$A$2205,0)),"MISSING ID")</x:f>
        <x:v>proposal.lore.iron_winding</x:v>
      </x:c>
      <x:c r="U475" s="4" t="str">
        <x:v>design.lore.iron_winding.in.1</x:v>
      </x:c>
      <x:c r="V475" s="4" t="str">
        <x:v>design.lore.iron_winding.out</x:v>
      </x:c>
    </x:row>
    <x:row r="476" ht="115" customHeight="1">
      <x:c r="A476" s="4" t="str">
        <x:f>IFERROR(INDEX('Material routes'!$E$6:$E$2205,MATCH(U476,'Material routes'!$A$6:$A$2205,0)),"MISSING ID")</x:f>
        <x:v>Shaped iron core plates</x:v>
      </x:c>
      <x:c r="B476" s="4" t="str">
        <x:f>IFERROR(INDEX('Material routes'!$F$6:$F$2205,MATCH(U476,'Material routes'!$A$6:$A$2205,0)),"MISSING ID")</x:f>
        <x:v>T2</x:v>
      </x:c>
      <x:c r="C476" s="4" t="str">
        <x:f>IFERROR(INDEX('Material routes'!$H$6:$H$2205,MATCH(U476,'Material routes'!$A$6:$A$2205,0)),"MISSING ID")</x:f>
        <x:v>Crafting component</x:v>
      </x:c>
      <x:c r="D476" s="4" t="str">
        <x:f>IFERROR(INDEX('Material routes'!$G$6:$G$2205,MATCH(U476,'Material routes'!$A$6:$A$2205,0)),"MISSING ID")</x:f>
        <x:v>Crafting components</x:v>
      </x:c>
      <x:c r="E476" s="4" t="str">
        <x:f>IFERROR(INDEX('Material routes'!$C$6:$C$2205,MATCH(U476,'Material routes'!$A$6:$A$2205,0)),"MISSING ID")</x:f>
        <x:v>Ingredient candidate</x:v>
      </x:c>
      <x:c r="F476" s="4" t="str">
        <x:f>IFERROR(INDEX('Material routes'!$E$6:$E$2205,MATCH(V476,'Material routes'!$A$6:$A$2205,0)),"MISSING ID")</x:f>
        <x:v>Iron-wound core blank</x:v>
      </x:c>
      <x:c r="G476" s="4" t="str">
        <x:f>IFERROR(INDEX('Material routes'!$F$6:$F$2205,MATCH(V476,'Material routes'!$A$6:$A$2205,0)),"MISSING ID")</x:f>
        <x:v>T3</x:v>
      </x:c>
      <x:c r="H476" s="4" t="str">
        <x:f>IFERROR(INDEX('Material routes'!$H$6:$H$2205,MATCH(V476,'Material routes'!$A$6:$A$2205,0)),"MISSING ID")</x:f>
        <x:v>Crafting component</x:v>
      </x:c>
      <x:c r="I476" s="4" t="str">
        <x:f>IFERROR(INDEX('Material routes'!$G$6:$G$2205,MATCH(V476,'Material routes'!$A$6:$A$2205,0)),"MISSING ID")</x:f>
        <x:v>Crafting components</x:v>
      </x:c>
      <x:c r="J476" s="4" t="str">
        <x:f>IFERROR(INDEX('Material routes'!$B$6:$B$2205,MATCH(U476,'Material routes'!$A$6:$A$2205,0)),"MISSING ID")</x:f>
        <x:v>design.lore.iron_winding</x:v>
      </x:c>
      <x:c r="K476" s="4" t="str">
        <x:f>IFERROR(INDEX('Crafting recipes'!$C$6:$C$1005,MATCH(J476,'Crafting recipes'!$A$6:$A$1005,0)),"MISSING ID")</x:f>
        <x:v>Material refinement</x:v>
      </x:c>
      <x:c r="L476" s="4" t="str">
        <x:f>IFERROR(INDEX('Material routes'!$K$6:$K$2205,MATCH(U476,'Material routes'!$A$6:$A$2205,0)),"MISSING ID")</x:f>
        <x:v>Proposal</x:v>
      </x:c>
      <x:c r="M476" s="4" t="str">
        <x:f>IFERROR(INDEX('Material routes'!$M$6:$M$2205,MATCH(U476,'Material routes'!$A$6:$A$2205,0)),"MISSING ID")</x:f>
        <x:v>Partial proposal</x:v>
      </x:c>
      <x:c r="N476" s="4" t="str">
        <x:f>IF(IFERROR(INDEX('Material routes'!$I$6:$I$1005,MATCH(U476,'Material routes'!$A$6:$A$1005,0)),"MISSING ID")=0,"",IFERROR(INDEX('Material routes'!$I$6:$I$1005,MATCH(U476,'Material routes'!$A$6:$A$1005,0)),"MISSING ID"))</x:f>
      </x:c>
      <x:c r="O476" s="4" t="str">
        <x:f>IFERROR(INDEX('Material routes'!$J$6:$J$2205,MATCH(U476,'Material routes'!$A$6:$A$2205,0)),"MISSING ID")</x:f>
        <x:v>Unspecified</x:v>
      </x:c>
      <x:c r="P476" s="4" t="str">
        <x:f>IF(IFERROR(INDEX('Material routes'!$I$6:$I$1005,MATCH(V476,'Material routes'!$A$6:$A$1005,0)),"MISSING ID")=0,"",IFERROR(INDEX('Material routes'!$I$6:$I$1005,MATCH(V476,'Material routes'!$A$6:$A$1005,0)),"MISSING ID"))</x:f>
      </x:c>
      <x:c r="Q476" s="4" t="str">
        <x:f>IFERROR(INDEX('Material routes'!$J$6:$J$2205,MATCH(V476,'Material routes'!$A$6:$A$2205,0)),"MISSING ID")</x:f>
        <x:v>Unspecified</x:v>
      </x:c>
      <x:c r="R476" s="4" t="str">
        <x:f>IF(L476="Withheld","Withheld premise",IF(E476="Tool candidate","Reusable prerequisite",IF(K476="Raw entry preparation","Entry-resource preparation",IF(G476="Not applicable",IF(IFERROR(INDEX('Items'!$AI$6:$AI$1005,MATCH(T476,'Items'!$A$6:$A$1005,0)),"MISSING ID")="Finished item","Finished endpoint",IF(IFERROR(INDEX('Items'!$AI$6:$AI$1005,MATCH(T476,'Items'!$A$6:$A$1005,0)),"MISSING ID")="Currency","Currency / no refinement tier","Recovered output / tier not applicable")),IF(OR(IFERROR(INDEX('Crafting recipes'!$H$6:$H$1005,MATCH(J476,'Crafting recipes'!$A$6:$A$1005,0)),"MISSING ID")="Unassigned",G476="Unassigned"),"Tier unresolved",IF(IFERROR(VALUE(RIGHT(G476,1))-VALUE(RIGHT(IFERROR(INDEX('Crafting recipes'!$H$6:$H$1005,MATCH(J476,'Crafting recipes'!$A$6:$A$1005,0)),"MISSING ID"),1)),0)=1,IF(B476=IFERROR(INDEX('Crafting recipes'!$H$6:$H$1005,MATCH(J476,'Crafting recipes'!$A$6:$A$1005,0)),"MISSING ID"),"Advances one material tier","Lower-tier ingredient; route advances one tier"),"Needs tier review"))))))</x:f>
        <x:v>Advances one material tier</x:v>
      </x:c>
      <x:c r="S476" s="4" t="str">
        <x:f>IFERROR(INDEX('Material routes'!$D$6:$D$2205,MATCH(U476,'Material routes'!$A$6:$A$2205,0)),"MISSING ID")</x:f>
        <x:v>proposal.lore.iron_core_plates</x:v>
      </x:c>
      <x:c r="T476" s="4" t="str">
        <x:f>IFERROR(INDEX('Material routes'!$D$6:$D$2205,MATCH(V476,'Material routes'!$A$6:$A$2205,0)),"MISSING ID")</x:f>
        <x:v>proposal.lore.iron_winding</x:v>
      </x:c>
      <x:c r="U476" s="4" t="str">
        <x:v>design.lore.iron_winding.in.2</x:v>
      </x:c>
      <x:c r="V476" s="4" t="str">
        <x:v>design.lore.iron_winding.out</x:v>
      </x:c>
    </x:row>
    <x:row r="477" ht="115" customHeight="1">
      <x:c r="A477" s="4" t="str">
        <x:f>IFERROR(INDEX('Material routes'!$E$6:$E$2205,MATCH(U477,'Material routes'!$A$6:$A$2205,0)),"MISSING ID")</x:f>
        <x:v>Insulating ceramic blanks</x:v>
      </x:c>
      <x:c r="B477" s="4" t="str">
        <x:f>IFERROR(INDEX('Material routes'!$F$6:$F$2205,MATCH(U477,'Material routes'!$A$6:$A$2205,0)),"MISSING ID")</x:f>
        <x:v>T2</x:v>
      </x:c>
      <x:c r="C477" s="4" t="str">
        <x:f>IFERROR(INDEX('Material routes'!$H$6:$H$2205,MATCH(U477,'Material routes'!$A$6:$A$2205,0)),"MISSING ID")</x:f>
        <x:v>Processed material</x:v>
      </x:c>
      <x:c r="D477" s="4" t="str">
        <x:f>IFERROR(INDEX('Material routes'!$G$6:$G$2205,MATCH(U477,'Material routes'!$A$6:$A$2205,0)),"MISSING ID")</x:f>
        <x:v>Manufactured stock</x:v>
      </x:c>
      <x:c r="E477" s="4" t="str">
        <x:f>IFERROR(INDEX('Material routes'!$C$6:$C$2205,MATCH(U477,'Material routes'!$A$6:$A$2205,0)),"MISSING ID")</x:f>
        <x:v>Ingredient candidate</x:v>
      </x:c>
      <x:c r="F477" s="4" t="str">
        <x:f>IFERROR(INDEX('Material routes'!$E$6:$E$2205,MATCH(V477,'Material routes'!$A$6:$A$2205,0)),"MISSING ID")</x:f>
        <x:v>Iron-wound core blank</x:v>
      </x:c>
      <x:c r="G477" s="4" t="str">
        <x:f>IFERROR(INDEX('Material routes'!$F$6:$F$2205,MATCH(V477,'Material routes'!$A$6:$A$2205,0)),"MISSING ID")</x:f>
        <x:v>T3</x:v>
      </x:c>
      <x:c r="H477" s="4" t="str">
        <x:f>IFERROR(INDEX('Material routes'!$H$6:$H$2205,MATCH(V477,'Material routes'!$A$6:$A$2205,0)),"MISSING ID")</x:f>
        <x:v>Crafting component</x:v>
      </x:c>
      <x:c r="I477" s="4" t="str">
        <x:f>IFERROR(INDEX('Material routes'!$G$6:$G$2205,MATCH(V477,'Material routes'!$A$6:$A$2205,0)),"MISSING ID")</x:f>
        <x:v>Crafting components</x:v>
      </x:c>
      <x:c r="J477" s="4" t="str">
        <x:f>IFERROR(INDEX('Material routes'!$B$6:$B$2205,MATCH(U477,'Material routes'!$A$6:$A$2205,0)),"MISSING ID")</x:f>
        <x:v>design.lore.iron_winding</x:v>
      </x:c>
      <x:c r="K477" s="4" t="str">
        <x:f>IFERROR(INDEX('Crafting recipes'!$C$6:$C$1005,MATCH(J477,'Crafting recipes'!$A$6:$A$1005,0)),"MISSING ID")</x:f>
        <x:v>Material refinement</x:v>
      </x:c>
      <x:c r="L477" s="4" t="str">
        <x:f>IFERROR(INDEX('Material routes'!$K$6:$K$2205,MATCH(U477,'Material routes'!$A$6:$A$2205,0)),"MISSING ID")</x:f>
        <x:v>Proposal</x:v>
      </x:c>
      <x:c r="M477" s="4" t="str">
        <x:f>IFERROR(INDEX('Material routes'!$M$6:$M$2205,MATCH(U477,'Material routes'!$A$6:$A$2205,0)),"MISSING ID")</x:f>
        <x:v>Partial proposal</x:v>
      </x:c>
      <x:c r="N477" s="4" t="str">
        <x:f>IF(IFERROR(INDEX('Material routes'!$I$6:$I$1005,MATCH(U477,'Material routes'!$A$6:$A$1005,0)),"MISSING ID")=0,"",IFERROR(INDEX('Material routes'!$I$6:$I$1005,MATCH(U477,'Material routes'!$A$6:$A$1005,0)),"MISSING ID"))</x:f>
      </x:c>
      <x:c r="O477" s="4" t="str">
        <x:f>IFERROR(INDEX('Material routes'!$J$6:$J$2205,MATCH(U477,'Material routes'!$A$6:$A$2205,0)),"MISSING ID")</x:f>
        <x:v>Unspecified</x:v>
      </x:c>
      <x:c r="P477" s="4" t="str">
        <x:f>IF(IFERROR(INDEX('Material routes'!$I$6:$I$1005,MATCH(V477,'Material routes'!$A$6:$A$1005,0)),"MISSING ID")=0,"",IFERROR(INDEX('Material routes'!$I$6:$I$1005,MATCH(V477,'Material routes'!$A$6:$A$1005,0)),"MISSING ID"))</x:f>
      </x:c>
      <x:c r="Q477" s="4" t="str">
        <x:f>IFERROR(INDEX('Material routes'!$J$6:$J$2205,MATCH(V477,'Material routes'!$A$6:$A$2205,0)),"MISSING ID")</x:f>
        <x:v>Unspecified</x:v>
      </x:c>
      <x:c r="R477" s="4" t="str">
        <x:f>IF(L477="Withheld","Withheld premise",IF(E477="Tool candidate","Reusable prerequisite",IF(K477="Raw entry preparation","Entry-resource preparation",IF(G477="Not applicable",IF(IFERROR(INDEX('Items'!$AI$6:$AI$1005,MATCH(T477,'Items'!$A$6:$A$1005,0)),"MISSING ID")="Finished item","Finished endpoint",IF(IFERROR(INDEX('Items'!$AI$6:$AI$1005,MATCH(T477,'Items'!$A$6:$A$1005,0)),"MISSING ID")="Currency","Currency / no refinement tier","Recovered output / tier not applicable")),IF(OR(IFERROR(INDEX('Crafting recipes'!$H$6:$H$1005,MATCH(J477,'Crafting recipes'!$A$6:$A$1005,0)),"MISSING ID")="Unassigned",G477="Unassigned"),"Tier unresolved",IF(IFERROR(VALUE(RIGHT(G477,1))-VALUE(RIGHT(IFERROR(INDEX('Crafting recipes'!$H$6:$H$1005,MATCH(J477,'Crafting recipes'!$A$6:$A$1005,0)),"MISSING ID"),1)),0)=1,IF(B477=IFERROR(INDEX('Crafting recipes'!$H$6:$H$1005,MATCH(J477,'Crafting recipes'!$A$6:$A$1005,0)),"MISSING ID"),"Advances one material tier","Lower-tier ingredient; route advances one tier"),"Needs tier review"))))))</x:f>
        <x:v>Advances one material tier</x:v>
      </x:c>
      <x:c r="S477" s="4" t="str">
        <x:f>IFERROR(INDEX('Material routes'!$D$6:$D$2205,MATCH(U477,'Material routes'!$A$6:$A$2205,0)),"MISSING ID")</x:f>
        <x:v>proposal.natural.ceramic</x:v>
      </x:c>
      <x:c r="T477" s="4" t="str">
        <x:f>IFERROR(INDEX('Material routes'!$D$6:$D$2205,MATCH(V477,'Material routes'!$A$6:$A$2205,0)),"MISSING ID")</x:f>
        <x:v>proposal.lore.iron_winding</x:v>
      </x:c>
      <x:c r="U477" s="4" t="str">
        <x:v>design.lore.iron_winding.in.3</x:v>
      </x:c>
      <x:c r="V477" s="4" t="str">
        <x:v>design.lore.iron_winding.out</x:v>
      </x:c>
    </x:row>
    <x:row r="478" ht="115" customHeight="1">
      <x:c r="A478" s="4" t="str">
        <x:f>IFERROR(INDEX('Material routes'!$E$6:$E$2205,MATCH(U478,'Material routes'!$A$6:$A$2205,0)),"MISSING ID")</x:f>
        <x:v>Smelted iron bloom</x:v>
      </x:c>
      <x:c r="B478" s="4" t="str">
        <x:f>IFERROR(INDEX('Material routes'!$F$6:$F$2205,MATCH(U478,'Material routes'!$A$6:$A$2205,0)),"MISSING ID")</x:f>
        <x:v>T1</x:v>
      </x:c>
      <x:c r="C478" s="4" t="str">
        <x:f>IFERROR(INDEX('Material routes'!$H$6:$H$2205,MATCH(U478,'Material routes'!$A$6:$A$2205,0)),"MISSING ID")</x:f>
        <x:v>Processed material</x:v>
      </x:c>
      <x:c r="D478" s="4" t="str">
        <x:f>IFERROR(INDEX('Material routes'!$G$6:$G$2205,MATCH(U478,'Material routes'!$A$6:$A$2205,0)),"MISSING ID")</x:f>
        <x:v>Manufactured stock</x:v>
      </x:c>
      <x:c r="E478" s="4" t="str">
        <x:f>IFERROR(INDEX('Material routes'!$C$6:$C$2205,MATCH(U478,'Material routes'!$A$6:$A$2205,0)),"MISSING ID")</x:f>
        <x:v>Ingredient candidate</x:v>
      </x:c>
      <x:c r="F478" s="4" t="str">
        <x:f>IFERROR(INDEX('Material routes'!$E$6:$E$2205,MATCH(V478,'Material routes'!$A$6:$A$2205,0)),"MISSING ID")</x:f>
        <x:v>Rough iron rivet stock</x:v>
      </x:c>
      <x:c r="G478" s="4" t="str">
        <x:f>IFERROR(INDEX('Material routes'!$F$6:$F$2205,MATCH(V478,'Material routes'!$A$6:$A$2205,0)),"MISSING ID")</x:f>
        <x:v>T2</x:v>
      </x:c>
      <x:c r="H478" s="4" t="str">
        <x:f>IFERROR(INDEX('Material routes'!$H$6:$H$2205,MATCH(V478,'Material routes'!$A$6:$A$2205,0)),"MISSING ID")</x:f>
        <x:v>Processed material</x:v>
      </x:c>
      <x:c r="I478" s="4" t="str">
        <x:f>IFERROR(INDEX('Material routes'!$G$6:$G$2205,MATCH(V478,'Material routes'!$A$6:$A$2205,0)),"MISSING ID")</x:f>
        <x:v>Manufactured stock</x:v>
      </x:c>
      <x:c r="J478" s="4" t="str">
        <x:f>IFERROR(INDEX('Material routes'!$B$6:$B$2205,MATCH(U478,'Material routes'!$A$6:$A$2205,0)),"MISSING ID")</x:f>
        <x:v>design.lore.rivet_stock</x:v>
      </x:c>
      <x:c r="K478" s="4" t="str">
        <x:f>IFERROR(INDEX('Crafting recipes'!$C$6:$C$1005,MATCH(J478,'Crafting recipes'!$A$6:$A$1005,0)),"MISSING ID")</x:f>
        <x:v>Material refinement</x:v>
      </x:c>
      <x:c r="L478" s="4" t="str">
        <x:f>IFERROR(INDEX('Material routes'!$K$6:$K$2205,MATCH(U478,'Material routes'!$A$6:$A$2205,0)),"MISSING ID")</x:f>
        <x:v>Proposal</x:v>
      </x:c>
      <x:c r="M478" s="4" t="str">
        <x:f>IFERROR(INDEX('Material routes'!$M$6:$M$2205,MATCH(U478,'Material routes'!$A$6:$A$2205,0)),"MISSING ID")</x:f>
        <x:v>Partial proposal</x:v>
      </x:c>
      <x:c r="N478" s="4" t="str">
        <x:f>IF(IFERROR(INDEX('Material routes'!$I$6:$I$1005,MATCH(U478,'Material routes'!$A$6:$A$1005,0)),"MISSING ID")=0,"",IFERROR(INDEX('Material routes'!$I$6:$I$1005,MATCH(U478,'Material routes'!$A$6:$A$1005,0)),"MISSING ID"))</x:f>
      </x:c>
      <x:c r="O478" s="4" t="str">
        <x:f>IFERROR(INDEX('Material routes'!$J$6:$J$2205,MATCH(U478,'Material routes'!$A$6:$A$2205,0)),"MISSING ID")</x:f>
        <x:v>Unspecified</x:v>
      </x:c>
      <x:c r="P478" s="4" t="str">
        <x:f>IF(IFERROR(INDEX('Material routes'!$I$6:$I$1005,MATCH(V478,'Material routes'!$A$6:$A$1005,0)),"MISSING ID")=0,"",IFERROR(INDEX('Material routes'!$I$6:$I$1005,MATCH(V478,'Material routes'!$A$6:$A$1005,0)),"MISSING ID"))</x:f>
      </x:c>
      <x:c r="Q478" s="4" t="str">
        <x:f>IFERROR(INDEX('Material routes'!$J$6:$J$2205,MATCH(V478,'Material routes'!$A$6:$A$2205,0)),"MISSING ID")</x:f>
        <x:v>Unspecified</x:v>
      </x:c>
      <x:c r="R478" s="4" t="str">
        <x:f>IF(L478="Withheld","Withheld premise",IF(E478="Tool candidate","Reusable prerequisite",IF(K478="Raw entry preparation","Entry-resource preparation",IF(G478="Not applicable",IF(IFERROR(INDEX('Items'!$AI$6:$AI$1005,MATCH(T478,'Items'!$A$6:$A$1005,0)),"MISSING ID")="Finished item","Finished endpoint",IF(IFERROR(INDEX('Items'!$AI$6:$AI$1005,MATCH(T478,'Items'!$A$6:$A$1005,0)),"MISSING ID")="Currency","Currency / no refinement tier","Recovered output / tier not applicable")),IF(OR(IFERROR(INDEX('Crafting recipes'!$H$6:$H$1005,MATCH(J478,'Crafting recipes'!$A$6:$A$1005,0)),"MISSING ID")="Unassigned",G478="Unassigned"),"Tier unresolved",IF(IFERROR(VALUE(RIGHT(G478,1))-VALUE(RIGHT(IFERROR(INDEX('Crafting recipes'!$H$6:$H$1005,MATCH(J478,'Crafting recipes'!$A$6:$A$1005,0)),"MISSING ID"),1)),0)=1,IF(B478=IFERROR(INDEX('Crafting recipes'!$H$6:$H$1005,MATCH(J478,'Crafting recipes'!$A$6:$A$1005,0)),"MISSING ID"),"Advances one material tier","Lower-tier ingredient; route advances one tier"),"Needs tier review"))))))</x:f>
        <x:v>Advances one material tier</x:v>
      </x:c>
      <x:c r="S478" s="4" t="str">
        <x:f>IFERROR(INDEX('Material routes'!$D$6:$D$2205,MATCH(U478,'Material routes'!$A$6:$A$2205,0)),"MISSING ID")</x:f>
        <x:v>proposal.t1.iron_bloom</x:v>
      </x:c>
      <x:c r="T478" s="4" t="str">
        <x:f>IFERROR(INDEX('Material routes'!$D$6:$D$2205,MATCH(V478,'Material routes'!$A$6:$A$2205,0)),"MISSING ID")</x:f>
        <x:v>proposal.lore.rivet_stock</x:v>
      </x:c>
      <x:c r="U478" s="4" t="str">
        <x:v>design.lore.rivet_stock.in.1</x:v>
      </x:c>
      <x:c r="V478" s="4" t="str">
        <x:v>design.lore.rivet_stock.out</x:v>
      </x:c>
    </x:row>
    <x:row r="479" ht="115" customHeight="1">
      <x:c r="A479" s="4" t="str">
        <x:f>IFERROR(INDEX('Material routes'!$E$6:$E$2205,MATCH(U479,'Material routes'!$A$6:$A$2205,0)),"MISSING ID")</x:f>
        <x:v>Steel stock</x:v>
      </x:c>
      <x:c r="B479" s="4" t="str">
        <x:f>IFERROR(INDEX('Material routes'!$F$6:$F$2205,MATCH(U479,'Material routes'!$A$6:$A$2205,0)),"MISSING ID")</x:f>
        <x:v>T2</x:v>
      </x:c>
      <x:c r="C479" s="4" t="str">
        <x:f>IFERROR(INDEX('Material routes'!$H$6:$H$2205,MATCH(U479,'Material routes'!$A$6:$A$2205,0)),"MISSING ID")</x:f>
        <x:v>Processed material</x:v>
      </x:c>
      <x:c r="D479" s="4" t="str">
        <x:f>IFERROR(INDEX('Material routes'!$G$6:$G$2205,MATCH(U479,'Material routes'!$A$6:$A$2205,0)),"MISSING ID")</x:f>
        <x:v>Manufactured stock</x:v>
      </x:c>
      <x:c r="E479" s="4" t="str">
        <x:f>IFERROR(INDEX('Material routes'!$C$6:$C$2205,MATCH(U479,'Material routes'!$A$6:$A$2205,0)),"MISSING ID")</x:f>
        <x:v>Ingredient candidate</x:v>
      </x:c>
      <x:c r="F479" s="4" t="str">
        <x:f>IFERROR(INDEX('Material routes'!$E$6:$E$2205,MATCH(V479,'Material routes'!$A$6:$A$2205,0)),"MISSING ID")</x:f>
        <x:v>Matched metal fastener set</x:v>
      </x:c>
      <x:c r="G479" s="4" t="str">
        <x:f>IFERROR(INDEX('Material routes'!$F$6:$F$2205,MATCH(V479,'Material routes'!$A$6:$A$2205,0)),"MISSING ID")</x:f>
        <x:v>T3</x:v>
      </x:c>
      <x:c r="H479" s="4" t="str">
        <x:f>IFERROR(INDEX('Material routes'!$H$6:$H$2205,MATCH(V479,'Material routes'!$A$6:$A$2205,0)),"MISSING ID")</x:f>
        <x:v>Crafting component</x:v>
      </x:c>
      <x:c r="I479" s="4" t="str">
        <x:f>IFERROR(INDEX('Material routes'!$G$6:$G$2205,MATCH(V479,'Material routes'!$A$6:$A$2205,0)),"MISSING ID")</x:f>
        <x:v>Crafting components</x:v>
      </x:c>
      <x:c r="J479" s="4" t="str">
        <x:f>IFERROR(INDEX('Material routes'!$B$6:$B$2205,MATCH(U479,'Material routes'!$A$6:$A$2205,0)),"MISSING ID")</x:f>
        <x:v>design.lore.fastener_set</x:v>
      </x:c>
      <x:c r="K479" s="4" t="str">
        <x:f>IFERROR(INDEX('Crafting recipes'!$C$6:$C$1005,MATCH(J479,'Crafting recipes'!$A$6:$A$1005,0)),"MISSING ID")</x:f>
        <x:v>Material refinement</x:v>
      </x:c>
      <x:c r="L479" s="4" t="str">
        <x:f>IFERROR(INDEX('Material routes'!$K$6:$K$2205,MATCH(U479,'Material routes'!$A$6:$A$2205,0)),"MISSING ID")</x:f>
        <x:v>Proposal</x:v>
      </x:c>
      <x:c r="M479" s="4" t="str">
        <x:f>IFERROR(INDEX('Material routes'!$M$6:$M$2205,MATCH(U479,'Material routes'!$A$6:$A$2205,0)),"MISSING ID")</x:f>
        <x:v>Partial proposal</x:v>
      </x:c>
      <x:c r="N479" s="4" t="str">
        <x:f>IF(IFERROR(INDEX('Material routes'!$I$6:$I$1005,MATCH(U479,'Material routes'!$A$6:$A$1005,0)),"MISSING ID")=0,"",IFERROR(INDEX('Material routes'!$I$6:$I$1005,MATCH(U479,'Material routes'!$A$6:$A$1005,0)),"MISSING ID"))</x:f>
      </x:c>
      <x:c r="O479" s="4" t="str">
        <x:f>IFERROR(INDEX('Material routes'!$J$6:$J$2205,MATCH(U479,'Material routes'!$A$6:$A$2205,0)),"MISSING ID")</x:f>
        <x:v>Unspecified</x:v>
      </x:c>
      <x:c r="P479" s="4" t="str">
        <x:f>IF(IFERROR(INDEX('Material routes'!$I$6:$I$1005,MATCH(V479,'Material routes'!$A$6:$A$1005,0)),"MISSING ID")=0,"",IFERROR(INDEX('Material routes'!$I$6:$I$1005,MATCH(V479,'Material routes'!$A$6:$A$1005,0)),"MISSING ID"))</x:f>
      </x:c>
      <x:c r="Q479" s="4" t="str">
        <x:f>IFERROR(INDEX('Material routes'!$J$6:$J$2205,MATCH(V479,'Material routes'!$A$6:$A$2205,0)),"MISSING ID")</x:f>
        <x:v>Unspecified</x:v>
      </x:c>
      <x:c r="R479" s="4" t="str">
        <x:f>IF(L479="Withheld","Withheld premise",IF(E479="Tool candidate","Reusable prerequisite",IF(K479="Raw entry preparation","Entry-resource preparation",IF(G479="Not applicable",IF(IFERROR(INDEX('Items'!$AI$6:$AI$1005,MATCH(T479,'Items'!$A$6:$A$1005,0)),"MISSING ID")="Finished item","Finished endpoint",IF(IFERROR(INDEX('Items'!$AI$6:$AI$1005,MATCH(T479,'Items'!$A$6:$A$1005,0)),"MISSING ID")="Currency","Currency / no refinement tier","Recovered output / tier not applicable")),IF(OR(IFERROR(INDEX('Crafting recipes'!$H$6:$H$1005,MATCH(J479,'Crafting recipes'!$A$6:$A$1005,0)),"MISSING ID")="Unassigned",G479="Unassigned"),"Tier unresolved",IF(IFERROR(VALUE(RIGHT(G479,1))-VALUE(RIGHT(IFERROR(INDEX('Crafting recipes'!$H$6:$H$1005,MATCH(J479,'Crafting recipes'!$A$6:$A$1005,0)),"MISSING ID"),1)),0)=1,IF(B479=IFERROR(INDEX('Crafting recipes'!$H$6:$H$1005,MATCH(J479,'Crafting recipes'!$A$6:$A$1005,0)),"MISSING ID"),"Advances one material tier","Lower-tier ingredient; route advances one tier"),"Needs tier review"))))))</x:f>
        <x:v>Advances one material tier</x:v>
      </x:c>
      <x:c r="S479" s="4" t="str">
        <x:f>IFERROR(INDEX('Material routes'!$D$6:$D$2205,MATCH(U479,'Material routes'!$A$6:$A$2205,0)),"MISSING ID")</x:f>
        <x:v>author.metallurgy.steel_stock</x:v>
      </x:c>
      <x:c r="T479" s="4" t="str">
        <x:f>IFERROR(INDEX('Material routes'!$D$6:$D$2205,MATCH(V479,'Material routes'!$A$6:$A$2205,0)),"MISSING ID")</x:f>
        <x:v>proposal.lore.fastener_set</x:v>
      </x:c>
      <x:c r="U479" s="4" t="str">
        <x:v>design.lore.fastener_set.in.1</x:v>
      </x:c>
      <x:c r="V479" s="4" t="str">
        <x:v>design.lore.fastener_set.out</x:v>
      </x:c>
    </x:row>
    <x:row r="480" ht="115" customHeight="1">
      <x:c r="A480" s="4" t="str">
        <x:f>IFERROR(INDEX('Material routes'!$E$6:$E$2205,MATCH(U480,'Material routes'!$A$6:$A$2205,0)),"MISSING ID")</x:f>
        <x:v>Rough iron rivet stock</x:v>
      </x:c>
      <x:c r="B480" s="4" t="str">
        <x:f>IFERROR(INDEX('Material routes'!$F$6:$F$2205,MATCH(U480,'Material routes'!$A$6:$A$2205,0)),"MISSING ID")</x:f>
        <x:v>T2</x:v>
      </x:c>
      <x:c r="C480" s="4" t="str">
        <x:f>IFERROR(INDEX('Material routes'!$H$6:$H$2205,MATCH(U480,'Material routes'!$A$6:$A$2205,0)),"MISSING ID")</x:f>
        <x:v>Processed material</x:v>
      </x:c>
      <x:c r="D480" s="4" t="str">
        <x:f>IFERROR(INDEX('Material routes'!$G$6:$G$2205,MATCH(U480,'Material routes'!$A$6:$A$2205,0)),"MISSING ID")</x:f>
        <x:v>Manufactured stock</x:v>
      </x:c>
      <x:c r="E480" s="4" t="str">
        <x:f>IFERROR(INDEX('Material routes'!$C$6:$C$2205,MATCH(U480,'Material routes'!$A$6:$A$2205,0)),"MISSING ID")</x:f>
        <x:v>Ingredient candidate</x:v>
      </x:c>
      <x:c r="F480" s="4" t="str">
        <x:f>IFERROR(INDEX('Material routes'!$E$6:$E$2205,MATCH(V480,'Material routes'!$A$6:$A$2205,0)),"MISSING ID")</x:f>
        <x:v>Matched metal fastener set</x:v>
      </x:c>
      <x:c r="G480" s="4" t="str">
        <x:f>IFERROR(INDEX('Material routes'!$F$6:$F$2205,MATCH(V480,'Material routes'!$A$6:$A$2205,0)),"MISSING ID")</x:f>
        <x:v>T3</x:v>
      </x:c>
      <x:c r="H480" s="4" t="str">
        <x:f>IFERROR(INDEX('Material routes'!$H$6:$H$2205,MATCH(V480,'Material routes'!$A$6:$A$2205,0)),"MISSING ID")</x:f>
        <x:v>Crafting component</x:v>
      </x:c>
      <x:c r="I480" s="4" t="str">
        <x:f>IFERROR(INDEX('Material routes'!$G$6:$G$2205,MATCH(V480,'Material routes'!$A$6:$A$2205,0)),"MISSING ID")</x:f>
        <x:v>Crafting components</x:v>
      </x:c>
      <x:c r="J480" s="4" t="str">
        <x:f>IFERROR(INDEX('Material routes'!$B$6:$B$2205,MATCH(U480,'Material routes'!$A$6:$A$2205,0)),"MISSING ID")</x:f>
        <x:v>design.lore.fastener_set</x:v>
      </x:c>
      <x:c r="K480" s="4" t="str">
        <x:f>IFERROR(INDEX('Crafting recipes'!$C$6:$C$1005,MATCH(J480,'Crafting recipes'!$A$6:$A$1005,0)),"MISSING ID")</x:f>
        <x:v>Material refinement</x:v>
      </x:c>
      <x:c r="L480" s="4" t="str">
        <x:f>IFERROR(INDEX('Material routes'!$K$6:$K$2205,MATCH(U480,'Material routes'!$A$6:$A$2205,0)),"MISSING ID")</x:f>
        <x:v>Proposal</x:v>
      </x:c>
      <x:c r="M480" s="4" t="str">
        <x:f>IFERROR(INDEX('Material routes'!$M$6:$M$2205,MATCH(U480,'Material routes'!$A$6:$A$2205,0)),"MISSING ID")</x:f>
        <x:v>Partial proposal</x:v>
      </x:c>
      <x:c r="N480" s="4" t="str">
        <x:f>IF(IFERROR(INDEX('Material routes'!$I$6:$I$1005,MATCH(U480,'Material routes'!$A$6:$A$1005,0)),"MISSING ID")=0,"",IFERROR(INDEX('Material routes'!$I$6:$I$1005,MATCH(U480,'Material routes'!$A$6:$A$1005,0)),"MISSING ID"))</x:f>
      </x:c>
      <x:c r="O480" s="4" t="str">
        <x:f>IFERROR(INDEX('Material routes'!$J$6:$J$2205,MATCH(U480,'Material routes'!$A$6:$A$2205,0)),"MISSING ID")</x:f>
        <x:v>Unspecified</x:v>
      </x:c>
      <x:c r="P480" s="4" t="str">
        <x:f>IF(IFERROR(INDEX('Material routes'!$I$6:$I$1005,MATCH(V480,'Material routes'!$A$6:$A$1005,0)),"MISSING ID")=0,"",IFERROR(INDEX('Material routes'!$I$6:$I$1005,MATCH(V480,'Material routes'!$A$6:$A$1005,0)),"MISSING ID"))</x:f>
      </x:c>
      <x:c r="Q480" s="4" t="str">
        <x:f>IFERROR(INDEX('Material routes'!$J$6:$J$2205,MATCH(V480,'Material routes'!$A$6:$A$2205,0)),"MISSING ID")</x:f>
        <x:v>Unspecified</x:v>
      </x:c>
      <x:c r="R480" s="4" t="str">
        <x:f>IF(L480="Withheld","Withheld premise",IF(E480="Tool candidate","Reusable prerequisite",IF(K480="Raw entry preparation","Entry-resource preparation",IF(G480="Not applicable",IF(IFERROR(INDEX('Items'!$AI$6:$AI$1005,MATCH(T480,'Items'!$A$6:$A$1005,0)),"MISSING ID")="Finished item","Finished endpoint",IF(IFERROR(INDEX('Items'!$AI$6:$AI$1005,MATCH(T480,'Items'!$A$6:$A$1005,0)),"MISSING ID")="Currency","Currency / no refinement tier","Recovered output / tier not applicable")),IF(OR(IFERROR(INDEX('Crafting recipes'!$H$6:$H$1005,MATCH(J480,'Crafting recipes'!$A$6:$A$1005,0)),"MISSING ID")="Unassigned",G480="Unassigned"),"Tier unresolved",IF(IFERROR(VALUE(RIGHT(G480,1))-VALUE(RIGHT(IFERROR(INDEX('Crafting recipes'!$H$6:$H$1005,MATCH(J480,'Crafting recipes'!$A$6:$A$1005,0)),"MISSING ID"),1)),0)=1,IF(B480=IFERROR(INDEX('Crafting recipes'!$H$6:$H$1005,MATCH(J480,'Crafting recipes'!$A$6:$A$1005,0)),"MISSING ID"),"Advances one material tier","Lower-tier ingredient; route advances one tier"),"Needs tier review"))))))</x:f>
        <x:v>Advances one material tier</x:v>
      </x:c>
      <x:c r="S480" s="4" t="str">
        <x:f>IFERROR(INDEX('Material routes'!$D$6:$D$2205,MATCH(U480,'Material routes'!$A$6:$A$2205,0)),"MISSING ID")</x:f>
        <x:v>proposal.lore.rivet_stock</x:v>
      </x:c>
      <x:c r="T480" s="4" t="str">
        <x:f>IFERROR(INDEX('Material routes'!$D$6:$D$2205,MATCH(V480,'Material routes'!$A$6:$A$2205,0)),"MISSING ID")</x:f>
        <x:v>proposal.lore.fastener_set</x:v>
      </x:c>
      <x:c r="U480" s="4" t="str">
        <x:v>design.lore.fastener_set.in.2</x:v>
      </x:c>
      <x:c r="V480" s="4" t="str">
        <x:v>design.lore.fastener_set.out</x:v>
      </x:c>
    </x:row>
    <x:row r="481" ht="115" customHeight="1">
      <x:c r="A481" s="4" t="str">
        <x:f>IFERROR(INDEX('Material routes'!$E$6:$E$2205,MATCH(U481,'Material routes'!$A$6:$A$2205,0)),"MISSING ID")</x:f>
        <x:v>Graded abrasive grit</x:v>
      </x:c>
      <x:c r="B481" s="4" t="str">
        <x:f>IFERROR(INDEX('Material routes'!$F$6:$F$2205,MATCH(U481,'Material routes'!$A$6:$A$2205,0)),"MISSING ID")</x:f>
        <x:v>T1</x:v>
      </x:c>
      <x:c r="C481" s="4" t="str">
        <x:f>IFERROR(INDEX('Material routes'!$H$6:$H$2205,MATCH(U481,'Material routes'!$A$6:$A$2205,0)),"MISSING ID")</x:f>
        <x:v>Processed material</x:v>
      </x:c>
      <x:c r="D481" s="4" t="str">
        <x:f>IFERROR(INDEX('Material routes'!$G$6:$G$2205,MATCH(U481,'Material routes'!$A$6:$A$2205,0)),"MISSING ID")</x:f>
        <x:v>Manufactured stock</x:v>
      </x:c>
      <x:c r="E481" s="4" t="str">
        <x:f>IFERROR(INDEX('Material routes'!$C$6:$C$2205,MATCH(U481,'Material routes'!$A$6:$A$2205,0)),"MISSING ID")</x:f>
        <x:v>Ingredient candidate</x:v>
      </x:c>
      <x:c r="F481" s="4" t="str">
        <x:f>IFERROR(INDEX('Material routes'!$E$6:$E$2205,MATCH(V481,'Material routes'!$A$6:$A$2205,0)),"MISSING ID")</x:f>
        <x:v>Matched metal fastener set</x:v>
      </x:c>
      <x:c r="G481" s="4" t="str">
        <x:f>IFERROR(INDEX('Material routes'!$F$6:$F$2205,MATCH(V481,'Material routes'!$A$6:$A$2205,0)),"MISSING ID")</x:f>
        <x:v>T3</x:v>
      </x:c>
      <x:c r="H481" s="4" t="str">
        <x:f>IFERROR(INDEX('Material routes'!$H$6:$H$2205,MATCH(V481,'Material routes'!$A$6:$A$2205,0)),"MISSING ID")</x:f>
        <x:v>Crafting component</x:v>
      </x:c>
      <x:c r="I481" s="4" t="str">
        <x:f>IFERROR(INDEX('Material routes'!$G$6:$G$2205,MATCH(V481,'Material routes'!$A$6:$A$2205,0)),"MISSING ID")</x:f>
        <x:v>Crafting components</x:v>
      </x:c>
      <x:c r="J481" s="4" t="str">
        <x:f>IFERROR(INDEX('Material routes'!$B$6:$B$2205,MATCH(U481,'Material routes'!$A$6:$A$2205,0)),"MISSING ID")</x:f>
        <x:v>design.lore.fastener_set</x:v>
      </x:c>
      <x:c r="K481" s="4" t="str">
        <x:f>IFERROR(INDEX('Crafting recipes'!$C$6:$C$1005,MATCH(J481,'Crafting recipes'!$A$6:$A$1005,0)),"MISSING ID")</x:f>
        <x:v>Material refinement</x:v>
      </x:c>
      <x:c r="L481" s="4" t="str">
        <x:f>IFERROR(INDEX('Material routes'!$K$6:$K$2205,MATCH(U481,'Material routes'!$A$6:$A$2205,0)),"MISSING ID")</x:f>
        <x:v>Proposal</x:v>
      </x:c>
      <x:c r="M481" s="4" t="str">
        <x:f>IFERROR(INDEX('Material routes'!$M$6:$M$2205,MATCH(U481,'Material routes'!$A$6:$A$2205,0)),"MISSING ID")</x:f>
        <x:v>Partial proposal</x:v>
      </x:c>
      <x:c r="N481" s="4" t="str">
        <x:f>IF(IFERROR(INDEX('Material routes'!$I$6:$I$1005,MATCH(U481,'Material routes'!$A$6:$A$1005,0)),"MISSING ID")=0,"",IFERROR(INDEX('Material routes'!$I$6:$I$1005,MATCH(U481,'Material routes'!$A$6:$A$1005,0)),"MISSING ID"))</x:f>
      </x:c>
      <x:c r="O481" s="4" t="str">
        <x:f>IFERROR(INDEX('Material routes'!$J$6:$J$2205,MATCH(U481,'Material routes'!$A$6:$A$2205,0)),"MISSING ID")</x:f>
        <x:v>Unspecified</x:v>
      </x:c>
      <x:c r="P481" s="4" t="str">
        <x:f>IF(IFERROR(INDEX('Material routes'!$I$6:$I$1005,MATCH(V481,'Material routes'!$A$6:$A$1005,0)),"MISSING ID")=0,"",IFERROR(INDEX('Material routes'!$I$6:$I$1005,MATCH(V481,'Material routes'!$A$6:$A$1005,0)),"MISSING ID"))</x:f>
      </x:c>
      <x:c r="Q481" s="4" t="str">
        <x:f>IFERROR(INDEX('Material routes'!$J$6:$J$2205,MATCH(V481,'Material routes'!$A$6:$A$2205,0)),"MISSING ID")</x:f>
        <x:v>Unspecified</x:v>
      </x:c>
      <x:c r="R481" s="4" t="str">
        <x:f>IF(L481="Withheld","Withheld premise",IF(E481="Tool candidate","Reusable prerequisite",IF(K481="Raw entry preparation","Entry-resource preparation",IF(G481="Not applicable",IF(IFERROR(INDEX('Items'!$AI$6:$AI$1005,MATCH(T481,'Items'!$A$6:$A$1005,0)),"MISSING ID")="Finished item","Finished endpoint",IF(IFERROR(INDEX('Items'!$AI$6:$AI$1005,MATCH(T481,'Items'!$A$6:$A$1005,0)),"MISSING ID")="Currency","Currency / no refinement tier","Recovered output / tier not applicable")),IF(OR(IFERROR(INDEX('Crafting recipes'!$H$6:$H$1005,MATCH(J481,'Crafting recipes'!$A$6:$A$1005,0)),"MISSING ID")="Unassigned",G481="Unassigned"),"Tier unresolved",IF(IFERROR(VALUE(RIGHT(G481,1))-VALUE(RIGHT(IFERROR(INDEX('Crafting recipes'!$H$6:$H$1005,MATCH(J481,'Crafting recipes'!$A$6:$A$1005,0)),"MISSING ID"),1)),0)=1,IF(B481=IFERROR(INDEX('Crafting recipes'!$H$6:$H$1005,MATCH(J481,'Crafting recipes'!$A$6:$A$1005,0)),"MISSING ID"),"Advances one material tier","Lower-tier ingredient; route advances one tier"),"Needs tier review"))))))</x:f>
        <x:v>Lower-tier ingredient; route advances one tier</x:v>
      </x:c>
      <x:c r="S481" s="4" t="str">
        <x:f>IFERROR(INDEX('Material routes'!$D$6:$D$2205,MATCH(U481,'Material routes'!$A$6:$A$2205,0)),"MISSING ID")</x:f>
        <x:v>proposal.natural.abrasive</x:v>
      </x:c>
      <x:c r="T481" s="4" t="str">
        <x:f>IFERROR(INDEX('Material routes'!$D$6:$D$2205,MATCH(V481,'Material routes'!$A$6:$A$2205,0)),"MISSING ID")</x:f>
        <x:v>proposal.lore.fastener_set</x:v>
      </x:c>
      <x:c r="U481" s="4" t="str">
        <x:v>design.lore.fastener_set.in.3</x:v>
      </x:c>
      <x:c r="V481" s="4" t="str">
        <x:v>design.lore.fastener_set.out</x:v>
      </x:c>
    </x:row>
    <x:row r="482" ht="115" customHeight="1">
      <x:c r="A482" s="4" t="str">
        <x:f>IFERROR(INDEX('Material routes'!$E$6:$E$2205,MATCH(U482,'Material routes'!$A$6:$A$2205,0)),"MISSING ID")</x:f>
        <x:v>Prepared bronze bearing stock</x:v>
      </x:c>
      <x:c r="B482" s="4" t="str">
        <x:f>IFERROR(INDEX('Material routes'!$F$6:$F$2205,MATCH(U482,'Material routes'!$A$6:$A$2205,0)),"MISSING ID")</x:f>
        <x:v>T2</x:v>
      </x:c>
      <x:c r="C482" s="4" t="str">
        <x:f>IFERROR(INDEX('Material routes'!$H$6:$H$2205,MATCH(U482,'Material routes'!$A$6:$A$2205,0)),"MISSING ID")</x:f>
        <x:v>Processed material</x:v>
      </x:c>
      <x:c r="D482" s="4" t="str">
        <x:f>IFERROR(INDEX('Material routes'!$G$6:$G$2205,MATCH(U482,'Material routes'!$A$6:$A$2205,0)),"MISSING ID")</x:f>
        <x:v>Manufactured stock</x:v>
      </x:c>
      <x:c r="E482" s="4" t="str">
        <x:f>IFERROR(INDEX('Material routes'!$C$6:$C$2205,MATCH(U482,'Material routes'!$A$6:$A$2205,0)),"MISSING ID")</x:f>
        <x:v>Ingredient candidate</x:v>
      </x:c>
      <x:c r="F482" s="4" t="str">
        <x:f>IFERROR(INDEX('Material routes'!$E$6:$E$2205,MATCH(V482,'Material routes'!$A$6:$A$2205,0)),"MISSING ID")</x:f>
        <x:v>Threaded metal fitting blanks</x:v>
      </x:c>
      <x:c r="G482" s="4" t="str">
        <x:f>IFERROR(INDEX('Material routes'!$F$6:$F$2205,MATCH(V482,'Material routes'!$A$6:$A$2205,0)),"MISSING ID")</x:f>
        <x:v>T3</x:v>
      </x:c>
      <x:c r="H482" s="4" t="str">
        <x:f>IFERROR(INDEX('Material routes'!$H$6:$H$2205,MATCH(V482,'Material routes'!$A$6:$A$2205,0)),"MISSING ID")</x:f>
        <x:v>Crafting component</x:v>
      </x:c>
      <x:c r="I482" s="4" t="str">
        <x:f>IFERROR(INDEX('Material routes'!$G$6:$G$2205,MATCH(V482,'Material routes'!$A$6:$A$2205,0)),"MISSING ID")</x:f>
        <x:v>Crafting components</x:v>
      </x:c>
      <x:c r="J482" s="4" t="str">
        <x:f>IFERROR(INDEX('Material routes'!$B$6:$B$2205,MATCH(U482,'Material routes'!$A$6:$A$2205,0)),"MISSING ID")</x:f>
        <x:v>design.lore.threaded_fittings</x:v>
      </x:c>
      <x:c r="K482" s="4" t="str">
        <x:f>IFERROR(INDEX('Crafting recipes'!$C$6:$C$1005,MATCH(J482,'Crafting recipes'!$A$6:$A$1005,0)),"MISSING ID")</x:f>
        <x:v>Material refinement</x:v>
      </x:c>
      <x:c r="L482" s="4" t="str">
        <x:f>IFERROR(INDEX('Material routes'!$K$6:$K$2205,MATCH(U482,'Material routes'!$A$6:$A$2205,0)),"MISSING ID")</x:f>
        <x:v>Proposal</x:v>
      </x:c>
      <x:c r="M482" s="4" t="str">
        <x:f>IFERROR(INDEX('Material routes'!$M$6:$M$2205,MATCH(U482,'Material routes'!$A$6:$A$2205,0)),"MISSING ID")</x:f>
        <x:v>Partial proposal</x:v>
      </x:c>
      <x:c r="N482" s="4" t="str">
        <x:f>IF(IFERROR(INDEX('Material routes'!$I$6:$I$1005,MATCH(U482,'Material routes'!$A$6:$A$1005,0)),"MISSING ID")=0,"",IFERROR(INDEX('Material routes'!$I$6:$I$1005,MATCH(U482,'Material routes'!$A$6:$A$1005,0)),"MISSING ID"))</x:f>
      </x:c>
      <x:c r="O482" s="4" t="str">
        <x:f>IFERROR(INDEX('Material routes'!$J$6:$J$2205,MATCH(U482,'Material routes'!$A$6:$A$2205,0)),"MISSING ID")</x:f>
        <x:v>Unspecified</x:v>
      </x:c>
      <x:c r="P482" s="4" t="str">
        <x:f>IF(IFERROR(INDEX('Material routes'!$I$6:$I$1005,MATCH(V482,'Material routes'!$A$6:$A$1005,0)),"MISSING ID")=0,"",IFERROR(INDEX('Material routes'!$I$6:$I$1005,MATCH(V482,'Material routes'!$A$6:$A$1005,0)),"MISSING ID"))</x:f>
      </x:c>
      <x:c r="Q482" s="4" t="str">
        <x:f>IFERROR(INDEX('Material routes'!$J$6:$J$2205,MATCH(V482,'Material routes'!$A$6:$A$2205,0)),"MISSING ID")</x:f>
        <x:v>Unspecified</x:v>
      </x:c>
      <x:c r="R482" s="4" t="str">
        <x:f>IF(L482="Withheld","Withheld premise",IF(E482="Tool candidate","Reusable prerequisite",IF(K482="Raw entry preparation","Entry-resource preparation",IF(G482="Not applicable",IF(IFERROR(INDEX('Items'!$AI$6:$AI$1005,MATCH(T482,'Items'!$A$6:$A$1005,0)),"MISSING ID")="Finished item","Finished endpoint",IF(IFERROR(INDEX('Items'!$AI$6:$AI$1005,MATCH(T482,'Items'!$A$6:$A$1005,0)),"MISSING ID")="Currency","Currency / no refinement tier","Recovered output / tier not applicable")),IF(OR(IFERROR(INDEX('Crafting recipes'!$H$6:$H$1005,MATCH(J482,'Crafting recipes'!$A$6:$A$1005,0)),"MISSING ID")="Unassigned",G482="Unassigned"),"Tier unresolved",IF(IFERROR(VALUE(RIGHT(G482,1))-VALUE(RIGHT(IFERROR(INDEX('Crafting recipes'!$H$6:$H$1005,MATCH(J482,'Crafting recipes'!$A$6:$A$1005,0)),"MISSING ID"),1)),0)=1,IF(B482=IFERROR(INDEX('Crafting recipes'!$H$6:$H$1005,MATCH(J482,'Crafting recipes'!$A$6:$A$1005,0)),"MISSING ID"),"Advances one material tier","Lower-tier ingredient; route advances one tier"),"Needs tier review"))))))</x:f>
        <x:v>Advances one material tier</x:v>
      </x:c>
      <x:c r="S482" s="4" t="str">
        <x:f>IFERROR(INDEX('Material routes'!$D$6:$D$2205,MATCH(U482,'Material routes'!$A$6:$A$2205,0)),"MISSING ID")</x:f>
        <x:v>proposal.branch.bearing_bronze</x:v>
      </x:c>
      <x:c r="T482" s="4" t="str">
        <x:f>IFERROR(INDEX('Material routes'!$D$6:$D$2205,MATCH(V482,'Material routes'!$A$6:$A$2205,0)),"MISSING ID")</x:f>
        <x:v>proposal.lore.threaded_fittings</x:v>
      </x:c>
      <x:c r="U482" s="4" t="str">
        <x:v>design.lore.threaded_fittings.in.1</x:v>
      </x:c>
      <x:c r="V482" s="4" t="str">
        <x:v>design.lore.threaded_fittings.out</x:v>
      </x:c>
    </x:row>
    <x:row r="483" ht="115" customHeight="1">
      <x:c r="A483" s="4" t="str">
        <x:f>IFERROR(INDEX('Material routes'!$E$6:$E$2205,MATCH(U483,'Material routes'!$A$6:$A$2205,0)),"MISSING ID")</x:f>
        <x:v>Steel stock</x:v>
      </x:c>
      <x:c r="B483" s="4" t="str">
        <x:f>IFERROR(INDEX('Material routes'!$F$6:$F$2205,MATCH(U483,'Material routes'!$A$6:$A$2205,0)),"MISSING ID")</x:f>
        <x:v>T2</x:v>
      </x:c>
      <x:c r="C483" s="4" t="str">
        <x:f>IFERROR(INDEX('Material routes'!$H$6:$H$2205,MATCH(U483,'Material routes'!$A$6:$A$2205,0)),"MISSING ID")</x:f>
        <x:v>Processed material</x:v>
      </x:c>
      <x:c r="D483" s="4" t="str">
        <x:f>IFERROR(INDEX('Material routes'!$G$6:$G$2205,MATCH(U483,'Material routes'!$A$6:$A$2205,0)),"MISSING ID")</x:f>
        <x:v>Manufactured stock</x:v>
      </x:c>
      <x:c r="E483" s="4" t="str">
        <x:f>IFERROR(INDEX('Material routes'!$C$6:$C$2205,MATCH(U483,'Material routes'!$A$6:$A$2205,0)),"MISSING ID")</x:f>
        <x:v>Ingredient candidate</x:v>
      </x:c>
      <x:c r="F483" s="4" t="str">
        <x:f>IFERROR(INDEX('Material routes'!$E$6:$E$2205,MATCH(V483,'Material routes'!$A$6:$A$2205,0)),"MISSING ID")</x:f>
        <x:v>Threaded metal fitting blanks</x:v>
      </x:c>
      <x:c r="G483" s="4" t="str">
        <x:f>IFERROR(INDEX('Material routes'!$F$6:$F$2205,MATCH(V483,'Material routes'!$A$6:$A$2205,0)),"MISSING ID")</x:f>
        <x:v>T3</x:v>
      </x:c>
      <x:c r="H483" s="4" t="str">
        <x:f>IFERROR(INDEX('Material routes'!$H$6:$H$2205,MATCH(V483,'Material routes'!$A$6:$A$2205,0)),"MISSING ID")</x:f>
        <x:v>Crafting component</x:v>
      </x:c>
      <x:c r="I483" s="4" t="str">
        <x:f>IFERROR(INDEX('Material routes'!$G$6:$G$2205,MATCH(V483,'Material routes'!$A$6:$A$2205,0)),"MISSING ID")</x:f>
        <x:v>Crafting components</x:v>
      </x:c>
      <x:c r="J483" s="4" t="str">
        <x:f>IFERROR(INDEX('Material routes'!$B$6:$B$2205,MATCH(U483,'Material routes'!$A$6:$A$2205,0)),"MISSING ID")</x:f>
        <x:v>design.lore.threaded_fittings</x:v>
      </x:c>
      <x:c r="K483" s="4" t="str">
        <x:f>IFERROR(INDEX('Crafting recipes'!$C$6:$C$1005,MATCH(J483,'Crafting recipes'!$A$6:$A$1005,0)),"MISSING ID")</x:f>
        <x:v>Material refinement</x:v>
      </x:c>
      <x:c r="L483" s="4" t="str">
        <x:f>IFERROR(INDEX('Material routes'!$K$6:$K$2205,MATCH(U483,'Material routes'!$A$6:$A$2205,0)),"MISSING ID")</x:f>
        <x:v>Proposal</x:v>
      </x:c>
      <x:c r="M483" s="4" t="str">
        <x:f>IFERROR(INDEX('Material routes'!$M$6:$M$2205,MATCH(U483,'Material routes'!$A$6:$A$2205,0)),"MISSING ID")</x:f>
        <x:v>Partial proposal</x:v>
      </x:c>
      <x:c r="N483" s="4" t="str">
        <x:f>IF(IFERROR(INDEX('Material routes'!$I$6:$I$1005,MATCH(U483,'Material routes'!$A$6:$A$1005,0)),"MISSING ID")=0,"",IFERROR(INDEX('Material routes'!$I$6:$I$1005,MATCH(U483,'Material routes'!$A$6:$A$1005,0)),"MISSING ID"))</x:f>
      </x:c>
      <x:c r="O483" s="4" t="str">
        <x:f>IFERROR(INDEX('Material routes'!$J$6:$J$2205,MATCH(U483,'Material routes'!$A$6:$A$2205,0)),"MISSING ID")</x:f>
        <x:v>Unspecified</x:v>
      </x:c>
      <x:c r="P483" s="4" t="str">
        <x:f>IF(IFERROR(INDEX('Material routes'!$I$6:$I$1005,MATCH(V483,'Material routes'!$A$6:$A$1005,0)),"MISSING ID")=0,"",IFERROR(INDEX('Material routes'!$I$6:$I$1005,MATCH(V483,'Material routes'!$A$6:$A$1005,0)),"MISSING ID"))</x:f>
      </x:c>
      <x:c r="Q483" s="4" t="str">
        <x:f>IFERROR(INDEX('Material routes'!$J$6:$J$2205,MATCH(V483,'Material routes'!$A$6:$A$2205,0)),"MISSING ID")</x:f>
        <x:v>Unspecified</x:v>
      </x:c>
      <x:c r="R483" s="4" t="str">
        <x:f>IF(L483="Withheld","Withheld premise",IF(E483="Tool candidate","Reusable prerequisite",IF(K483="Raw entry preparation","Entry-resource preparation",IF(G483="Not applicable",IF(IFERROR(INDEX('Items'!$AI$6:$AI$1005,MATCH(T483,'Items'!$A$6:$A$1005,0)),"MISSING ID")="Finished item","Finished endpoint",IF(IFERROR(INDEX('Items'!$AI$6:$AI$1005,MATCH(T483,'Items'!$A$6:$A$1005,0)),"MISSING ID")="Currency","Currency / no refinement tier","Recovered output / tier not applicable")),IF(OR(IFERROR(INDEX('Crafting recipes'!$H$6:$H$1005,MATCH(J483,'Crafting recipes'!$A$6:$A$1005,0)),"MISSING ID")="Unassigned",G483="Unassigned"),"Tier unresolved",IF(IFERROR(VALUE(RIGHT(G483,1))-VALUE(RIGHT(IFERROR(INDEX('Crafting recipes'!$H$6:$H$1005,MATCH(J483,'Crafting recipes'!$A$6:$A$1005,0)),"MISSING ID"),1)),0)=1,IF(B483=IFERROR(INDEX('Crafting recipes'!$H$6:$H$1005,MATCH(J483,'Crafting recipes'!$A$6:$A$1005,0)),"MISSING ID"),"Advances one material tier","Lower-tier ingredient; route advances one tier"),"Needs tier review"))))))</x:f>
        <x:v>Advances one material tier</x:v>
      </x:c>
      <x:c r="S483" s="4" t="str">
        <x:f>IFERROR(INDEX('Material routes'!$D$6:$D$2205,MATCH(U483,'Material routes'!$A$6:$A$2205,0)),"MISSING ID")</x:f>
        <x:v>author.metallurgy.steel_stock</x:v>
      </x:c>
      <x:c r="T483" s="4" t="str">
        <x:f>IFERROR(INDEX('Material routes'!$D$6:$D$2205,MATCH(V483,'Material routes'!$A$6:$A$2205,0)),"MISSING ID")</x:f>
        <x:v>proposal.lore.threaded_fittings</x:v>
      </x:c>
      <x:c r="U483" s="4" t="str">
        <x:v>design.lore.threaded_fittings.in.2</x:v>
      </x:c>
      <x:c r="V483" s="4" t="str">
        <x:v>design.lore.threaded_fittings.out</x:v>
      </x:c>
    </x:row>
    <x:row r="484" ht="115" customHeight="1">
      <x:c r="A484" s="4" t="str">
        <x:f>IFERROR(INDEX('Material routes'!$E$6:$E$2205,MATCH(U484,'Material routes'!$A$6:$A$2205,0)),"MISSING ID")</x:f>
        <x:v>Graded abrasive grit</x:v>
      </x:c>
      <x:c r="B484" s="4" t="str">
        <x:f>IFERROR(INDEX('Material routes'!$F$6:$F$2205,MATCH(U484,'Material routes'!$A$6:$A$2205,0)),"MISSING ID")</x:f>
        <x:v>T1</x:v>
      </x:c>
      <x:c r="C484" s="4" t="str">
        <x:f>IFERROR(INDEX('Material routes'!$H$6:$H$2205,MATCH(U484,'Material routes'!$A$6:$A$2205,0)),"MISSING ID")</x:f>
        <x:v>Processed material</x:v>
      </x:c>
      <x:c r="D484" s="4" t="str">
        <x:f>IFERROR(INDEX('Material routes'!$G$6:$G$2205,MATCH(U484,'Material routes'!$A$6:$A$2205,0)),"MISSING ID")</x:f>
        <x:v>Manufactured stock</x:v>
      </x:c>
      <x:c r="E484" s="4" t="str">
        <x:f>IFERROR(INDEX('Material routes'!$C$6:$C$2205,MATCH(U484,'Material routes'!$A$6:$A$2205,0)),"MISSING ID")</x:f>
        <x:v>Ingredient candidate</x:v>
      </x:c>
      <x:c r="F484" s="4" t="str">
        <x:f>IFERROR(INDEX('Material routes'!$E$6:$E$2205,MATCH(V484,'Material routes'!$A$6:$A$2205,0)),"MISSING ID")</x:f>
        <x:v>Threaded metal fitting blanks</x:v>
      </x:c>
      <x:c r="G484" s="4" t="str">
        <x:f>IFERROR(INDEX('Material routes'!$F$6:$F$2205,MATCH(V484,'Material routes'!$A$6:$A$2205,0)),"MISSING ID")</x:f>
        <x:v>T3</x:v>
      </x:c>
      <x:c r="H484" s="4" t="str">
        <x:f>IFERROR(INDEX('Material routes'!$H$6:$H$2205,MATCH(V484,'Material routes'!$A$6:$A$2205,0)),"MISSING ID")</x:f>
        <x:v>Crafting component</x:v>
      </x:c>
      <x:c r="I484" s="4" t="str">
        <x:f>IFERROR(INDEX('Material routes'!$G$6:$G$2205,MATCH(V484,'Material routes'!$A$6:$A$2205,0)),"MISSING ID")</x:f>
        <x:v>Crafting components</x:v>
      </x:c>
      <x:c r="J484" s="4" t="str">
        <x:f>IFERROR(INDEX('Material routes'!$B$6:$B$2205,MATCH(U484,'Material routes'!$A$6:$A$2205,0)),"MISSING ID")</x:f>
        <x:v>design.lore.threaded_fittings</x:v>
      </x:c>
      <x:c r="K484" s="4" t="str">
        <x:f>IFERROR(INDEX('Crafting recipes'!$C$6:$C$1005,MATCH(J484,'Crafting recipes'!$A$6:$A$1005,0)),"MISSING ID")</x:f>
        <x:v>Material refinement</x:v>
      </x:c>
      <x:c r="L484" s="4" t="str">
        <x:f>IFERROR(INDEX('Material routes'!$K$6:$K$2205,MATCH(U484,'Material routes'!$A$6:$A$2205,0)),"MISSING ID")</x:f>
        <x:v>Proposal</x:v>
      </x:c>
      <x:c r="M484" s="4" t="str">
        <x:f>IFERROR(INDEX('Material routes'!$M$6:$M$2205,MATCH(U484,'Material routes'!$A$6:$A$2205,0)),"MISSING ID")</x:f>
        <x:v>Partial proposal</x:v>
      </x:c>
      <x:c r="N484" s="4" t="str">
        <x:f>IF(IFERROR(INDEX('Material routes'!$I$6:$I$1005,MATCH(U484,'Material routes'!$A$6:$A$1005,0)),"MISSING ID")=0,"",IFERROR(INDEX('Material routes'!$I$6:$I$1005,MATCH(U484,'Material routes'!$A$6:$A$1005,0)),"MISSING ID"))</x:f>
      </x:c>
      <x:c r="O484" s="4" t="str">
        <x:f>IFERROR(INDEX('Material routes'!$J$6:$J$2205,MATCH(U484,'Material routes'!$A$6:$A$2205,0)),"MISSING ID")</x:f>
        <x:v>Unspecified</x:v>
      </x:c>
      <x:c r="P484" s="4" t="str">
        <x:f>IF(IFERROR(INDEX('Material routes'!$I$6:$I$1005,MATCH(V484,'Material routes'!$A$6:$A$1005,0)),"MISSING ID")=0,"",IFERROR(INDEX('Material routes'!$I$6:$I$1005,MATCH(V484,'Material routes'!$A$6:$A$1005,0)),"MISSING ID"))</x:f>
      </x:c>
      <x:c r="Q484" s="4" t="str">
        <x:f>IFERROR(INDEX('Material routes'!$J$6:$J$2205,MATCH(V484,'Material routes'!$A$6:$A$2205,0)),"MISSING ID")</x:f>
        <x:v>Unspecified</x:v>
      </x:c>
      <x:c r="R484" s="4" t="str">
        <x:f>IF(L484="Withheld","Withheld premise",IF(E484="Tool candidate","Reusable prerequisite",IF(K484="Raw entry preparation","Entry-resource preparation",IF(G484="Not applicable",IF(IFERROR(INDEX('Items'!$AI$6:$AI$1005,MATCH(T484,'Items'!$A$6:$A$1005,0)),"MISSING ID")="Finished item","Finished endpoint",IF(IFERROR(INDEX('Items'!$AI$6:$AI$1005,MATCH(T484,'Items'!$A$6:$A$1005,0)),"MISSING ID")="Currency","Currency / no refinement tier","Recovered output / tier not applicable")),IF(OR(IFERROR(INDEX('Crafting recipes'!$H$6:$H$1005,MATCH(J484,'Crafting recipes'!$A$6:$A$1005,0)),"MISSING ID")="Unassigned",G484="Unassigned"),"Tier unresolved",IF(IFERROR(VALUE(RIGHT(G484,1))-VALUE(RIGHT(IFERROR(INDEX('Crafting recipes'!$H$6:$H$1005,MATCH(J484,'Crafting recipes'!$A$6:$A$1005,0)),"MISSING ID"),1)),0)=1,IF(B484=IFERROR(INDEX('Crafting recipes'!$H$6:$H$1005,MATCH(J484,'Crafting recipes'!$A$6:$A$1005,0)),"MISSING ID"),"Advances one material tier","Lower-tier ingredient; route advances one tier"),"Needs tier review"))))))</x:f>
        <x:v>Lower-tier ingredient; route advances one tier</x:v>
      </x:c>
      <x:c r="S484" s="4" t="str">
        <x:f>IFERROR(INDEX('Material routes'!$D$6:$D$2205,MATCH(U484,'Material routes'!$A$6:$A$2205,0)),"MISSING ID")</x:f>
        <x:v>proposal.natural.abrasive</x:v>
      </x:c>
      <x:c r="T484" s="4" t="str">
        <x:f>IFERROR(INDEX('Material routes'!$D$6:$D$2205,MATCH(V484,'Material routes'!$A$6:$A$2205,0)),"MISSING ID")</x:f>
        <x:v>proposal.lore.threaded_fittings</x:v>
      </x:c>
      <x:c r="U484" s="4" t="str">
        <x:v>design.lore.threaded_fittings.in.3</x:v>
      </x:c>
      <x:c r="V484" s="4" t="str">
        <x:v>design.lore.threaded_fittings.out</x:v>
      </x:c>
    </x:row>
    <x:row r="485" ht="115" customHeight="1">
      <x:c r="A485" s="4"/>
      <x:c r="B485" s="4"/>
      <x:c r="C485" s="4"/>
      <x:c r="D485" s="4"/>
      <x:c r="E485" s="4"/>
      <x:c r="F485" s="4"/>
      <x:c r="G485" s="4"/>
      <x:c r="H485" s="4"/>
      <x:c r="I485" s="4"/>
      <x:c r="J485" s="4"/>
      <x:c r="K485" s="4"/>
      <x:c r="L485" s="4"/>
      <x:c r="M485" s="4"/>
      <x:c r="N485" s="4"/>
      <x:c r="O485" s="4"/>
      <x:c r="P485" s="4"/>
      <x:c r="Q485" s="4"/>
      <x:c r="R485" s="4"/>
      <x:c r="S485" s="4"/>
      <x:c r="T485" s="4"/>
      <x:c r="U485" s="4"/>
      <x:c r="V485" s="4"/>
    </x:row>
    <x:row r="486" ht="115" customHeight="1">
      <x:c r="A486" s="4"/>
      <x:c r="B486" s="4"/>
      <x:c r="C486" s="4"/>
      <x:c r="D486" s="4"/>
      <x:c r="E486" s="4"/>
      <x:c r="F486" s="4"/>
      <x:c r="G486" s="4"/>
      <x:c r="H486" s="4"/>
      <x:c r="I486" s="4"/>
      <x:c r="J486" s="4"/>
      <x:c r="K486" s="4"/>
      <x:c r="L486" s="4"/>
      <x:c r="M486" s="4"/>
      <x:c r="N486" s="4"/>
      <x:c r="O486" s="4"/>
      <x:c r="P486" s="4"/>
      <x:c r="Q486" s="4"/>
      <x:c r="R486" s="4"/>
      <x:c r="S486" s="4"/>
      <x:c r="T486" s="4"/>
      <x:c r="U486" s="4"/>
      <x:c r="V486" s="4"/>
    </x:row>
    <x:row r="487" ht="115" customHeight="1">
      <x:c r="A487" s="4" t="str">
        <x:f>IFERROR(INDEX('Material routes'!$E$6:$E$2205,MATCH(U487,'Material routes'!$A$6:$A$2205,0)),"MISSING ID")</x:f>
        <x:v>Concentrated Phagia adhesive base</x:v>
      </x:c>
      <x:c r="B487" s="4" t="str">
        <x:f>IFERROR(INDEX('Material routes'!$F$6:$F$2205,MATCH(U487,'Material routes'!$A$6:$A$2205,0)),"MISSING ID")</x:f>
        <x:v>T1</x:v>
      </x:c>
      <x:c r="C487" s="4" t="str">
        <x:f>IFERROR(INDEX('Material routes'!$H$6:$H$2205,MATCH(U487,'Material routes'!$A$6:$A$2205,0)),"MISSING ID")</x:f>
        <x:v>Chemical material</x:v>
      </x:c>
      <x:c r="D487" s="4" t="str">
        <x:f>IFERROR(INDEX('Material routes'!$G$6:$G$2205,MATCH(U487,'Material routes'!$A$6:$A$2205,0)),"MISSING ID")</x:f>
        <x:v>Crafting components</x:v>
      </x:c>
      <x:c r="E487" s="4" t="str">
        <x:f>IFERROR(INDEX('Material routes'!$C$6:$C$2205,MATCH(U487,'Material routes'!$A$6:$A$2205,0)),"MISSING ID")</x:f>
        <x:v>Ingredient candidate</x:v>
      </x:c>
      <x:c r="F487" s="4" t="str">
        <x:f>IFERROR(INDEX('Material routes'!$E$6:$E$2205,MATCH(V487,'Material routes'!$A$6:$A$2205,0)),"MISSING ID")</x:f>
        <x:v>Filled shell-binding compound</x:v>
      </x:c>
      <x:c r="G487" s="4" t="str">
        <x:f>IFERROR(INDEX('Material routes'!$F$6:$F$2205,MATCH(V487,'Material routes'!$A$6:$A$2205,0)),"MISSING ID")</x:f>
        <x:v>T2</x:v>
      </x:c>
      <x:c r="H487" s="4" t="str">
        <x:f>IFERROR(INDEX('Material routes'!$H$6:$H$2205,MATCH(V487,'Material routes'!$A$6:$A$2205,0)),"MISSING ID")</x:f>
        <x:v>Chemical material</x:v>
      </x:c>
      <x:c r="I487" s="4" t="str">
        <x:f>IFERROR(INDEX('Material routes'!$G$6:$G$2205,MATCH(V487,'Material routes'!$A$6:$A$2205,0)),"MISSING ID")</x:f>
        <x:v>Crafting components</x:v>
      </x:c>
      <x:c r="J487" s="4" t="str">
        <x:f>IFERROR(INDEX('Material routes'!$B$6:$B$2205,MATCH(U487,'Material routes'!$A$6:$A$2205,0)),"MISSING ID")</x:f>
        <x:v>design.lore.phagia_filled_binder</x:v>
      </x:c>
      <x:c r="K487" s="4" t="str">
        <x:f>IFERROR(INDEX('Crafting recipes'!$C$6:$C$1005,MATCH(J487,'Crafting recipes'!$A$6:$A$1005,0)),"MISSING ID")</x:f>
        <x:v>Material refinement</x:v>
      </x:c>
      <x:c r="L487" s="4" t="str">
        <x:f>IFERROR(INDEX('Material routes'!$K$6:$K$2205,MATCH(U487,'Material routes'!$A$6:$A$2205,0)),"MISSING ID")</x:f>
        <x:v>Proposal</x:v>
      </x:c>
      <x:c r="M487" s="4" t="str">
        <x:f>IFERROR(INDEX('Material routes'!$M$6:$M$2205,MATCH(U487,'Material routes'!$A$6:$A$2205,0)),"MISSING ID")</x:f>
        <x:v>Partial proposal</x:v>
      </x:c>
      <x:c r="N487" s="4" t="str">
        <x:f>IF(IFERROR(INDEX('Material routes'!$I$6:$I$1005,MATCH(U487,'Material routes'!$A$6:$A$1005,0)),"MISSING ID")=0,"",IFERROR(INDEX('Material routes'!$I$6:$I$1005,MATCH(U487,'Material routes'!$A$6:$A$1005,0)),"MISSING ID"))</x:f>
      </x:c>
      <x:c r="O487" s="4" t="str">
        <x:f>IFERROR(INDEX('Material routes'!$J$6:$J$2205,MATCH(U487,'Material routes'!$A$6:$A$2205,0)),"MISSING ID")</x:f>
        <x:v>Unspecified</x:v>
      </x:c>
      <x:c r="P487" s="4" t="str">
        <x:f>IF(IFERROR(INDEX('Material routes'!$I$6:$I$1005,MATCH(V487,'Material routes'!$A$6:$A$1005,0)),"MISSING ID")=0,"",IFERROR(INDEX('Material routes'!$I$6:$I$1005,MATCH(V487,'Material routes'!$A$6:$A$1005,0)),"MISSING ID"))</x:f>
      </x:c>
      <x:c r="Q487" s="4" t="str">
        <x:f>IFERROR(INDEX('Material routes'!$J$6:$J$2205,MATCH(V487,'Material routes'!$A$6:$A$2205,0)),"MISSING ID")</x:f>
        <x:v>Unspecified</x:v>
      </x:c>
      <x:c r="R487" s="4" t="str">
        <x:f>IF(L487="Withheld","Withheld premise",IF(E487="Tool candidate","Reusable prerequisite",IF(K487="Raw entry preparation","Entry-resource preparation",IF(G487="Not applicable",IF(IFERROR(INDEX('Items'!$AI$6:$AI$1005,MATCH(T487,'Items'!$A$6:$A$1005,0)),"MISSING ID")="Finished item","Finished endpoint",IF(IFERROR(INDEX('Items'!$AI$6:$AI$1005,MATCH(T487,'Items'!$A$6:$A$1005,0)),"MISSING ID")="Currency","Currency / no refinement tier","Recovered output / tier not applicable")),IF(OR(IFERROR(INDEX('Crafting recipes'!$H$6:$H$1005,MATCH(J487,'Crafting recipes'!$A$6:$A$1005,0)),"MISSING ID")="Unassigned",G487="Unassigned"),"Tier unresolved",IF(IFERROR(VALUE(RIGHT(G487,1))-VALUE(RIGHT(IFERROR(INDEX('Crafting recipes'!$H$6:$H$1005,MATCH(J487,'Crafting recipes'!$A$6:$A$1005,0)),"MISSING ID"),1)),0)=1,IF(B487=IFERROR(INDEX('Crafting recipes'!$H$6:$H$1005,MATCH(J487,'Crafting recipes'!$A$6:$A$1005,0)),"MISSING ID"),"Advances one material tier","Lower-tier ingredient; route advances one tier"),"Needs tier review"))))))</x:f>
        <x:v>Advances one material tier</x:v>
      </x:c>
      <x:c r="S487" s="4" t="str">
        <x:f>IFERROR(INDEX('Material routes'!$D$6:$D$2205,MATCH(U487,'Material routes'!$A$6:$A$2205,0)),"MISSING ID")</x:f>
        <x:v>proposal.lore.phagia_adhesive</x:v>
      </x:c>
      <x:c r="T487" s="4" t="str">
        <x:f>IFERROR(INDEX('Material routes'!$D$6:$D$2205,MATCH(V487,'Material routes'!$A$6:$A$2205,0)),"MISSING ID")</x:f>
        <x:v>proposal.branch.filled_binder</x:v>
      </x:c>
      <x:c r="U487" s="4" t="str">
        <x:v>design.lore.phagia_filled_binder.in.1</x:v>
      </x:c>
      <x:c r="V487" s="4" t="str">
        <x:v>design.lore.phagia_filled_binder.out</x:v>
      </x:c>
    </x:row>
    <x:row r="488" ht="115" customHeight="1">
      <x:c r="A488" s="4" t="str">
        <x:f>IFERROR(INDEX('Material routes'!$E$6:$E$2205,MATCH(U488,'Material routes'!$A$6:$A$2205,0)),"MISSING ID")</x:f>
        <x:v>Graded mineral filler</x:v>
      </x:c>
      <x:c r="B488" s="4" t="str">
        <x:f>IFERROR(INDEX('Material routes'!$F$6:$F$2205,MATCH(U488,'Material routes'!$A$6:$A$2205,0)),"MISSING ID")</x:f>
        <x:v>T1</x:v>
      </x:c>
      <x:c r="C488" s="4" t="str">
        <x:f>IFERROR(INDEX('Material routes'!$H$6:$H$2205,MATCH(U488,'Material routes'!$A$6:$A$2205,0)),"MISSING ID")</x:f>
        <x:v>Processed material</x:v>
      </x:c>
      <x:c r="D488" s="4" t="str">
        <x:f>IFERROR(INDEX('Material routes'!$G$6:$G$2205,MATCH(U488,'Material routes'!$A$6:$A$2205,0)),"MISSING ID")</x:f>
        <x:v>Manufactured stock</x:v>
      </x:c>
      <x:c r="E488" s="4" t="str">
        <x:f>IFERROR(INDEX('Material routes'!$C$6:$C$2205,MATCH(U488,'Material routes'!$A$6:$A$2205,0)),"MISSING ID")</x:f>
        <x:v>Ingredient candidate</x:v>
      </x:c>
      <x:c r="F488" s="4" t="str">
        <x:f>IFERROR(INDEX('Material routes'!$E$6:$E$2205,MATCH(V488,'Material routes'!$A$6:$A$2205,0)),"MISSING ID")</x:f>
        <x:v>Filled shell-binding compound</x:v>
      </x:c>
      <x:c r="G488" s="4" t="str">
        <x:f>IFERROR(INDEX('Material routes'!$F$6:$F$2205,MATCH(V488,'Material routes'!$A$6:$A$2205,0)),"MISSING ID")</x:f>
        <x:v>T2</x:v>
      </x:c>
      <x:c r="H488" s="4" t="str">
        <x:f>IFERROR(INDEX('Material routes'!$H$6:$H$2205,MATCH(V488,'Material routes'!$A$6:$A$2205,0)),"MISSING ID")</x:f>
        <x:v>Chemical material</x:v>
      </x:c>
      <x:c r="I488" s="4" t="str">
        <x:f>IFERROR(INDEX('Material routes'!$G$6:$G$2205,MATCH(V488,'Material routes'!$A$6:$A$2205,0)),"MISSING ID")</x:f>
        <x:v>Crafting components</x:v>
      </x:c>
      <x:c r="J488" s="4" t="str">
        <x:f>IFERROR(INDEX('Material routes'!$B$6:$B$2205,MATCH(U488,'Material routes'!$A$6:$A$2205,0)),"MISSING ID")</x:f>
        <x:v>design.lore.phagia_filled_binder</x:v>
      </x:c>
      <x:c r="K488" s="4" t="str">
        <x:f>IFERROR(INDEX('Crafting recipes'!$C$6:$C$1005,MATCH(J488,'Crafting recipes'!$A$6:$A$1005,0)),"MISSING ID")</x:f>
        <x:v>Material refinement</x:v>
      </x:c>
      <x:c r="L488" s="4" t="str">
        <x:f>IFERROR(INDEX('Material routes'!$K$6:$K$2205,MATCH(U488,'Material routes'!$A$6:$A$2205,0)),"MISSING ID")</x:f>
        <x:v>Proposal</x:v>
      </x:c>
      <x:c r="M488" s="4" t="str">
        <x:f>IFERROR(INDEX('Material routes'!$M$6:$M$2205,MATCH(U488,'Material routes'!$A$6:$A$2205,0)),"MISSING ID")</x:f>
        <x:v>Partial proposal</x:v>
      </x:c>
      <x:c r="N488" s="4" t="str">
        <x:f>IF(IFERROR(INDEX('Material routes'!$I$6:$I$1005,MATCH(U488,'Material routes'!$A$6:$A$1005,0)),"MISSING ID")=0,"",IFERROR(INDEX('Material routes'!$I$6:$I$1005,MATCH(U488,'Material routes'!$A$6:$A$1005,0)),"MISSING ID"))</x:f>
      </x:c>
      <x:c r="O488" s="4" t="str">
        <x:f>IFERROR(INDEX('Material routes'!$J$6:$J$2205,MATCH(U488,'Material routes'!$A$6:$A$2205,0)),"MISSING ID")</x:f>
        <x:v>Unspecified</x:v>
      </x:c>
      <x:c r="P488" s="4" t="str">
        <x:f>IF(IFERROR(INDEX('Material routes'!$I$6:$I$1005,MATCH(V488,'Material routes'!$A$6:$A$1005,0)),"MISSING ID")=0,"",IFERROR(INDEX('Material routes'!$I$6:$I$1005,MATCH(V488,'Material routes'!$A$6:$A$1005,0)),"MISSING ID"))</x:f>
      </x:c>
      <x:c r="Q488" s="4" t="str">
        <x:f>IFERROR(INDEX('Material routes'!$J$6:$J$2205,MATCH(V488,'Material routes'!$A$6:$A$2205,0)),"MISSING ID")</x:f>
        <x:v>Unspecified</x:v>
      </x:c>
      <x:c r="R488" s="4" t="str">
        <x:f>IF(L488="Withheld","Withheld premise",IF(E488="Tool candidate","Reusable prerequisite",IF(K488="Raw entry preparation","Entry-resource preparation",IF(G488="Not applicable",IF(IFERROR(INDEX('Items'!$AI$6:$AI$1005,MATCH(T488,'Items'!$A$6:$A$1005,0)),"MISSING ID")="Finished item","Finished endpoint",IF(IFERROR(INDEX('Items'!$AI$6:$AI$1005,MATCH(T488,'Items'!$A$6:$A$1005,0)),"MISSING ID")="Currency","Currency / no refinement tier","Recovered output / tier not applicable")),IF(OR(IFERROR(INDEX('Crafting recipes'!$H$6:$H$1005,MATCH(J488,'Crafting recipes'!$A$6:$A$1005,0)),"MISSING ID")="Unassigned",G488="Unassigned"),"Tier unresolved",IF(IFERROR(VALUE(RIGHT(G488,1))-VALUE(RIGHT(IFERROR(INDEX('Crafting recipes'!$H$6:$H$1005,MATCH(J488,'Crafting recipes'!$A$6:$A$1005,0)),"MISSING ID"),1)),0)=1,IF(B488=IFERROR(INDEX('Crafting recipes'!$H$6:$H$1005,MATCH(J488,'Crafting recipes'!$A$6:$A$1005,0)),"MISSING ID"),"Advances one material tier","Lower-tier ingredient; route advances one tier"),"Needs tier review"))))))</x:f>
        <x:v>Advances one material tier</x:v>
      </x:c>
      <x:c r="S488" s="4" t="str">
        <x:f>IFERROR(INDEX('Material routes'!$D$6:$D$2205,MATCH(U488,'Material routes'!$A$6:$A$2205,0)),"MISSING ID")</x:f>
        <x:v>proposal.t1.mineral_filler</x:v>
      </x:c>
      <x:c r="T488" s="4" t="str">
        <x:f>IFERROR(INDEX('Material routes'!$D$6:$D$2205,MATCH(V488,'Material routes'!$A$6:$A$2205,0)),"MISSING ID")</x:f>
        <x:v>proposal.branch.filled_binder</x:v>
      </x:c>
      <x:c r="U488" s="4" t="str">
        <x:v>design.lore.phagia_filled_binder.in.2</x:v>
      </x:c>
      <x:c r="V488" s="4" t="str">
        <x:v>design.lore.phagia_filled_binder.out</x:v>
      </x:c>
    </x:row>
    <x:row r="489" ht="115" customHeight="1">
      <x:c r="A489" s="4" t="str">
        <x:f>IFERROR(INDEX('Material routes'!$E$6:$E$2205,MATCH(U489,'Material routes'!$A$6:$A$2205,0)),"MISSING ID")</x:f>
        <x:v>Prepared sulfur process charge</x:v>
      </x:c>
      <x:c r="B489" s="4" t="str">
        <x:f>IFERROR(INDEX('Material routes'!$F$6:$F$2205,MATCH(U489,'Material routes'!$A$6:$A$2205,0)),"MISSING ID")</x:f>
        <x:v>T1</x:v>
      </x:c>
      <x:c r="C489" s="4" t="str">
        <x:f>IFERROR(INDEX('Material routes'!$H$6:$H$2205,MATCH(U489,'Material routes'!$A$6:$A$2205,0)),"MISSING ID")</x:f>
        <x:v>Chemical material</x:v>
      </x:c>
      <x:c r="D489" s="4" t="str">
        <x:f>IFERROR(INDEX('Material routes'!$G$6:$G$2205,MATCH(U489,'Material routes'!$A$6:$A$2205,0)),"MISSING ID")</x:f>
        <x:v>Crafting components</x:v>
      </x:c>
      <x:c r="E489" s="4" t="str">
        <x:f>IFERROR(INDEX('Material routes'!$C$6:$C$2205,MATCH(U489,'Material routes'!$A$6:$A$2205,0)),"MISSING ID")</x:f>
        <x:v>Ingredient candidate</x:v>
      </x:c>
      <x:c r="F489" s="4" t="str">
        <x:f>IFERROR(INDEX('Material routes'!$E$6:$E$2205,MATCH(V489,'Material routes'!$A$6:$A$2205,0)),"MISSING ID")</x:f>
        <x:v>Advanced rust-removal compound</x:v>
      </x:c>
      <x:c r="G489" s="4" t="str">
        <x:f>IFERROR(INDEX('Material routes'!$F$6:$F$2205,MATCH(V489,'Material routes'!$A$6:$A$2205,0)),"MISSING ID")</x:f>
        <x:v>T2</x:v>
      </x:c>
      <x:c r="H489" s="4" t="str">
        <x:f>IFERROR(INDEX('Material routes'!$H$6:$H$2205,MATCH(V489,'Material routes'!$A$6:$A$2205,0)),"MISSING ID")</x:f>
        <x:v>Chemical material</x:v>
      </x:c>
      <x:c r="I489" s="4" t="str">
        <x:f>IFERROR(INDEX('Material routes'!$G$6:$G$2205,MATCH(V489,'Material routes'!$A$6:$A$2205,0)),"MISSING ID")</x:f>
        <x:v>Crafting components</x:v>
      </x:c>
      <x:c r="J489" s="4" t="str">
        <x:f>IFERROR(INDEX('Material routes'!$B$6:$B$2205,MATCH(U489,'Material routes'!$A$6:$A$2205,0)),"MISSING ID")</x:f>
        <x:v>design.lore.mineral_surface_treatment</x:v>
      </x:c>
      <x:c r="K489" s="4" t="str">
        <x:f>IFERROR(INDEX('Crafting recipes'!$C$6:$C$1005,MATCH(J489,'Crafting recipes'!$A$6:$A$1005,0)),"MISSING ID")</x:f>
        <x:v>Material refinement</x:v>
      </x:c>
      <x:c r="L489" s="4" t="str">
        <x:f>IFERROR(INDEX('Material routes'!$K$6:$K$2205,MATCH(U489,'Material routes'!$A$6:$A$2205,0)),"MISSING ID")</x:f>
        <x:v>Proposal</x:v>
      </x:c>
      <x:c r="M489" s="4" t="str">
        <x:f>IFERROR(INDEX('Material routes'!$M$6:$M$2205,MATCH(U489,'Material routes'!$A$6:$A$2205,0)),"MISSING ID")</x:f>
        <x:v>Partial proposal</x:v>
      </x:c>
      <x:c r="N489" s="4" t="str">
        <x:f>IF(IFERROR(INDEX('Material routes'!$I$6:$I$1005,MATCH(U489,'Material routes'!$A$6:$A$1005,0)),"MISSING ID")=0,"",IFERROR(INDEX('Material routes'!$I$6:$I$1005,MATCH(U489,'Material routes'!$A$6:$A$1005,0)),"MISSING ID"))</x:f>
      </x:c>
      <x:c r="O489" s="4" t="str">
        <x:f>IFERROR(INDEX('Material routes'!$J$6:$J$2205,MATCH(U489,'Material routes'!$A$6:$A$2205,0)),"MISSING ID")</x:f>
        <x:v>Unspecified</x:v>
      </x:c>
      <x:c r="P489" s="4" t="str">
        <x:f>IF(IFERROR(INDEX('Material routes'!$I$6:$I$1005,MATCH(V489,'Material routes'!$A$6:$A$1005,0)),"MISSING ID")=0,"",IFERROR(INDEX('Material routes'!$I$6:$I$1005,MATCH(V489,'Material routes'!$A$6:$A$1005,0)),"MISSING ID"))</x:f>
      </x:c>
      <x:c r="Q489" s="4" t="str">
        <x:f>IFERROR(INDEX('Material routes'!$J$6:$J$2205,MATCH(V489,'Material routes'!$A$6:$A$2205,0)),"MISSING ID")</x:f>
        <x:v>Unspecified</x:v>
      </x:c>
      <x:c r="R489" s="4" t="str">
        <x:f>IF(L489="Withheld","Withheld premise",IF(E489="Tool candidate","Reusable prerequisite",IF(K489="Raw entry preparation","Entry-resource preparation",IF(G489="Not applicable",IF(IFERROR(INDEX('Items'!$AI$6:$AI$1005,MATCH(T489,'Items'!$A$6:$A$1005,0)),"MISSING ID")="Finished item","Finished endpoint",IF(IFERROR(INDEX('Items'!$AI$6:$AI$1005,MATCH(T489,'Items'!$A$6:$A$1005,0)),"MISSING ID")="Currency","Currency / no refinement tier","Recovered output / tier not applicable")),IF(OR(IFERROR(INDEX('Crafting recipes'!$H$6:$H$1005,MATCH(J489,'Crafting recipes'!$A$6:$A$1005,0)),"MISSING ID")="Unassigned",G489="Unassigned"),"Tier unresolved",IF(IFERROR(VALUE(RIGHT(G489,1))-VALUE(RIGHT(IFERROR(INDEX('Crafting recipes'!$H$6:$H$1005,MATCH(J489,'Crafting recipes'!$A$6:$A$1005,0)),"MISSING ID"),1)),0)=1,IF(B489=IFERROR(INDEX('Crafting recipes'!$H$6:$H$1005,MATCH(J489,'Crafting recipes'!$A$6:$A$1005,0)),"MISSING ID"),"Advances one material tier","Lower-tier ingredient; route advances one tier"),"Needs tier review"))))))</x:f>
        <x:v>Advances one material tier</x:v>
      </x:c>
      <x:c r="S489" s="4" t="str">
        <x:f>IFERROR(INDEX('Material routes'!$D$6:$D$2205,MATCH(U489,'Material routes'!$A$6:$A$2205,0)),"MISSING ID")</x:f>
        <x:v>proposal.lore.sulfur_charge</x:v>
      </x:c>
      <x:c r="T489" s="4" t="str">
        <x:f>IFERROR(INDEX('Material routes'!$D$6:$D$2205,MATCH(V489,'Material routes'!$A$6:$A$2205,0)),"MISSING ID")</x:f>
        <x:v>author.corrosion.advanced_remover</x:v>
      </x:c>
      <x:c r="U489" s="4" t="str">
        <x:v>design.lore.mineral_surface_treatment.in.1</x:v>
      </x:c>
      <x:c r="V489" s="4" t="str">
        <x:v>design.lore.mineral_surface_treatment.out</x:v>
      </x:c>
    </x:row>
    <x:row r="490" ht="115" customHeight="1">
      <x:c r="A490" s="4" t="str">
        <x:f>IFERROR(INDEX('Material routes'!$E$6:$E$2205,MATCH(U490,'Material routes'!$A$6:$A$2205,0)),"MISSING ID")</x:f>
        <x:v>Selected faunal carrier fraction</x:v>
      </x:c>
      <x:c r="B490" s="4" t="str">
        <x:f>IFERROR(INDEX('Material routes'!$F$6:$F$2205,MATCH(U490,'Material routes'!$A$6:$A$2205,0)),"MISSING ID")</x:f>
        <x:v>T1</x:v>
      </x:c>
      <x:c r="C490" s="4" t="str">
        <x:f>IFERROR(INDEX('Material routes'!$H$6:$H$2205,MATCH(U490,'Material routes'!$A$6:$A$2205,0)),"MISSING ID")</x:f>
        <x:v>Chemical material</x:v>
      </x:c>
      <x:c r="D490" s="4" t="str">
        <x:f>IFERROR(INDEX('Material routes'!$G$6:$G$2205,MATCH(U490,'Material routes'!$A$6:$A$2205,0)),"MISSING ID")</x:f>
        <x:v>Crafting components</x:v>
      </x:c>
      <x:c r="E490" s="4" t="str">
        <x:f>IFERROR(INDEX('Material routes'!$C$6:$C$2205,MATCH(U490,'Material routes'!$A$6:$A$2205,0)),"MISSING ID")</x:f>
        <x:v>Ingredient candidate</x:v>
      </x:c>
      <x:c r="F490" s="4" t="str">
        <x:f>IFERROR(INDEX('Material routes'!$E$6:$E$2205,MATCH(V490,'Material routes'!$A$6:$A$2205,0)),"MISSING ID")</x:f>
        <x:v>Advanced rust-removal compound</x:v>
      </x:c>
      <x:c r="G490" s="4" t="str">
        <x:f>IFERROR(INDEX('Material routes'!$F$6:$F$2205,MATCH(V490,'Material routes'!$A$6:$A$2205,0)),"MISSING ID")</x:f>
        <x:v>T2</x:v>
      </x:c>
      <x:c r="H490" s="4" t="str">
        <x:f>IFERROR(INDEX('Material routes'!$H$6:$H$2205,MATCH(V490,'Material routes'!$A$6:$A$2205,0)),"MISSING ID")</x:f>
        <x:v>Chemical material</x:v>
      </x:c>
      <x:c r="I490" s="4" t="str">
        <x:f>IFERROR(INDEX('Material routes'!$G$6:$G$2205,MATCH(V490,'Material routes'!$A$6:$A$2205,0)),"MISSING ID")</x:f>
        <x:v>Crafting components</x:v>
      </x:c>
      <x:c r="J490" s="4" t="str">
        <x:f>IFERROR(INDEX('Material routes'!$B$6:$B$2205,MATCH(U490,'Material routes'!$A$6:$A$2205,0)),"MISSING ID")</x:f>
        <x:v>design.lore.mineral_surface_treatment</x:v>
      </x:c>
      <x:c r="K490" s="4" t="str">
        <x:f>IFERROR(INDEX('Crafting recipes'!$C$6:$C$1005,MATCH(J490,'Crafting recipes'!$A$6:$A$1005,0)),"MISSING ID")</x:f>
        <x:v>Material refinement</x:v>
      </x:c>
      <x:c r="L490" s="4" t="str">
        <x:f>IFERROR(INDEX('Material routes'!$K$6:$K$2205,MATCH(U490,'Material routes'!$A$6:$A$2205,0)),"MISSING ID")</x:f>
        <x:v>Proposal</x:v>
      </x:c>
      <x:c r="M490" s="4" t="str">
        <x:f>IFERROR(INDEX('Material routes'!$M$6:$M$2205,MATCH(U490,'Material routes'!$A$6:$A$2205,0)),"MISSING ID")</x:f>
        <x:v>Partial proposal</x:v>
      </x:c>
      <x:c r="N490" s="4" t="str">
        <x:f>IF(IFERROR(INDEX('Material routes'!$I$6:$I$1005,MATCH(U490,'Material routes'!$A$6:$A$1005,0)),"MISSING ID")=0,"",IFERROR(INDEX('Material routes'!$I$6:$I$1005,MATCH(U490,'Material routes'!$A$6:$A$1005,0)),"MISSING ID"))</x:f>
      </x:c>
      <x:c r="O490" s="4" t="str">
        <x:f>IFERROR(INDEX('Material routes'!$J$6:$J$2205,MATCH(U490,'Material routes'!$A$6:$A$2205,0)),"MISSING ID")</x:f>
        <x:v>Unspecified</x:v>
      </x:c>
      <x:c r="P490" s="4" t="str">
        <x:f>IF(IFERROR(INDEX('Material routes'!$I$6:$I$1005,MATCH(V490,'Material routes'!$A$6:$A$1005,0)),"MISSING ID")=0,"",IFERROR(INDEX('Material routes'!$I$6:$I$1005,MATCH(V490,'Material routes'!$A$6:$A$1005,0)),"MISSING ID"))</x:f>
      </x:c>
      <x:c r="Q490" s="4" t="str">
        <x:f>IFERROR(INDEX('Material routes'!$J$6:$J$2205,MATCH(V490,'Material routes'!$A$6:$A$2205,0)),"MISSING ID")</x:f>
        <x:v>Unspecified</x:v>
      </x:c>
      <x:c r="R490" s="4" t="str">
        <x:f>IF(L490="Withheld","Withheld premise",IF(E490="Tool candidate","Reusable prerequisite",IF(K490="Raw entry preparation","Entry-resource preparation",IF(G490="Not applicable",IF(IFERROR(INDEX('Items'!$AI$6:$AI$1005,MATCH(T490,'Items'!$A$6:$A$1005,0)),"MISSING ID")="Finished item","Finished endpoint",IF(IFERROR(INDEX('Items'!$AI$6:$AI$1005,MATCH(T490,'Items'!$A$6:$A$1005,0)),"MISSING ID")="Currency","Currency / no refinement tier","Recovered output / tier not applicable")),IF(OR(IFERROR(INDEX('Crafting recipes'!$H$6:$H$1005,MATCH(J490,'Crafting recipes'!$A$6:$A$1005,0)),"MISSING ID")="Unassigned",G490="Unassigned"),"Tier unresolved",IF(IFERROR(VALUE(RIGHT(G490,1))-VALUE(RIGHT(IFERROR(INDEX('Crafting recipes'!$H$6:$H$1005,MATCH(J490,'Crafting recipes'!$A$6:$A$1005,0)),"MISSING ID"),1)),0)=1,IF(B490=IFERROR(INDEX('Crafting recipes'!$H$6:$H$1005,MATCH(J490,'Crafting recipes'!$A$6:$A$1005,0)),"MISSING ID"),"Advances one material tier","Lower-tier ingredient; route advances one tier"),"Needs tier review"))))))</x:f>
        <x:v>Advances one material tier</x:v>
      </x:c>
      <x:c r="S490" s="4" t="str">
        <x:f>IFERROR(INDEX('Material routes'!$D$6:$D$2205,MATCH(U490,'Material routes'!$A$6:$A$2205,0)),"MISSING ID")</x:f>
        <x:v>proposal.t1.faunal_carrier</x:v>
      </x:c>
      <x:c r="T490" s="4" t="str">
        <x:f>IFERROR(INDEX('Material routes'!$D$6:$D$2205,MATCH(V490,'Material routes'!$A$6:$A$2205,0)),"MISSING ID")</x:f>
        <x:v>author.corrosion.advanced_remover</x:v>
      </x:c>
      <x:c r="U490" s="4" t="str">
        <x:v>design.lore.mineral_surface_treatment.in.2</x:v>
      </x:c>
      <x:c r="V490" s="4" t="str">
        <x:v>design.lore.mineral_surface_treatment.out</x:v>
      </x:c>
    </x:row>
    <x:row r="491" ht="115" customHeight="1">
      <x:c r="A491" s="4" t="str">
        <x:f>IFERROR(INDEX('Material routes'!$E$6:$E$2205,MATCH(U491,'Material routes'!$A$6:$A$2205,0)),"MISSING ID")</x:f>
        <x:v>Concentrated chitin binder residue</x:v>
      </x:c>
      <x:c r="B491" s="4" t="str">
        <x:f>IFERROR(INDEX('Material routes'!$F$6:$F$2205,MATCH(U491,'Material routes'!$A$6:$A$2205,0)),"MISSING ID")</x:f>
        <x:v>T2</x:v>
      </x:c>
      <x:c r="C491" s="4" t="str">
        <x:f>IFERROR(INDEX('Material routes'!$H$6:$H$2205,MATCH(U491,'Material routes'!$A$6:$A$2205,0)),"MISSING ID")</x:f>
        <x:v>Chemical material</x:v>
      </x:c>
      <x:c r="D491" s="4" t="str">
        <x:f>IFERROR(INDEX('Material routes'!$G$6:$G$2205,MATCH(U491,'Material routes'!$A$6:$A$2205,0)),"MISSING ID")</x:f>
        <x:v>Crafting components</x:v>
      </x:c>
      <x:c r="E491" s="4" t="str">
        <x:f>IFERROR(INDEX('Material routes'!$C$6:$C$2205,MATCH(U491,'Material routes'!$A$6:$A$2205,0)),"MISSING ID")</x:f>
        <x:v>Ingredient candidate</x:v>
      </x:c>
      <x:c r="F491" s="4" t="str">
        <x:f>IFERROR(INDEX('Material routes'!$E$6:$E$2205,MATCH(V491,'Material routes'!$A$6:$A$2205,0)),"MISSING ID")</x:f>
        <x:v>Prepared electrical insulation stock</x:v>
      </x:c>
      <x:c r="G491" s="4" t="str">
        <x:f>IFERROR(INDEX('Material routes'!$F$6:$F$2205,MATCH(V491,'Material routes'!$A$6:$A$2205,0)),"MISSING ID")</x:f>
        <x:v>T3</x:v>
      </x:c>
      <x:c r="H491" s="4" t="str">
        <x:f>IFERROR(INDEX('Material routes'!$H$6:$H$2205,MATCH(V491,'Material routes'!$A$6:$A$2205,0)),"MISSING ID")</x:f>
        <x:v>Processed material</x:v>
      </x:c>
      <x:c r="I491" s="4" t="str">
        <x:f>IFERROR(INDEX('Material routes'!$G$6:$G$2205,MATCH(V491,'Material routes'!$A$6:$A$2205,0)),"MISSING ID")</x:f>
        <x:v>Manufactured stock</x:v>
      </x:c>
      <x:c r="J491" s="4" t="str">
        <x:f>IFERROR(INDEX('Material routes'!$B$6:$B$2205,MATCH(U491,'Material routes'!$A$6:$A$2205,0)),"MISSING ID")</x:f>
        <x:v>design.lore.residue_insulation_stock</x:v>
      </x:c>
      <x:c r="K491" s="4" t="str">
        <x:f>IFERROR(INDEX('Crafting recipes'!$C$6:$C$1005,MATCH(J491,'Crafting recipes'!$A$6:$A$1005,0)),"MISSING ID")</x:f>
        <x:v>Material refinement</x:v>
      </x:c>
      <x:c r="L491" s="4" t="str">
        <x:f>IFERROR(INDEX('Material routes'!$K$6:$K$2205,MATCH(U491,'Material routes'!$A$6:$A$2205,0)),"MISSING ID")</x:f>
        <x:v>Proposal</x:v>
      </x:c>
      <x:c r="M491" s="4" t="str">
        <x:f>IFERROR(INDEX('Material routes'!$M$6:$M$2205,MATCH(U491,'Material routes'!$A$6:$A$2205,0)),"MISSING ID")</x:f>
        <x:v>Partial proposal</x:v>
      </x:c>
      <x:c r="N491" s="4" t="str">
        <x:f>IF(IFERROR(INDEX('Material routes'!$I$6:$I$1005,MATCH(U491,'Material routes'!$A$6:$A$1005,0)),"MISSING ID")=0,"",IFERROR(INDEX('Material routes'!$I$6:$I$1005,MATCH(U491,'Material routes'!$A$6:$A$1005,0)),"MISSING ID"))</x:f>
      </x:c>
      <x:c r="O491" s="4" t="str">
        <x:f>IFERROR(INDEX('Material routes'!$J$6:$J$2205,MATCH(U491,'Material routes'!$A$6:$A$2205,0)),"MISSING ID")</x:f>
        <x:v>Unspecified</x:v>
      </x:c>
      <x:c r="P491" s="4" t="str">
        <x:f>IF(IFERROR(INDEX('Material routes'!$I$6:$I$1005,MATCH(V491,'Material routes'!$A$6:$A$1005,0)),"MISSING ID")=0,"",IFERROR(INDEX('Material routes'!$I$6:$I$1005,MATCH(V491,'Material routes'!$A$6:$A$1005,0)),"MISSING ID"))</x:f>
      </x:c>
      <x:c r="Q491" s="4" t="str">
        <x:f>IFERROR(INDEX('Material routes'!$J$6:$J$2205,MATCH(V491,'Material routes'!$A$6:$A$2205,0)),"MISSING ID")</x:f>
        <x:v>Unspecified</x:v>
      </x:c>
      <x:c r="R491" s="4" t="str">
        <x:f>IF(L491="Withheld","Withheld premise",IF(E491="Tool candidate","Reusable prerequisite",IF(K491="Raw entry preparation","Entry-resource preparation",IF(G491="Not applicable",IF(IFERROR(INDEX('Items'!$AI$6:$AI$1005,MATCH(T491,'Items'!$A$6:$A$1005,0)),"MISSING ID")="Finished item","Finished endpoint",IF(IFERROR(INDEX('Items'!$AI$6:$AI$1005,MATCH(T491,'Items'!$A$6:$A$1005,0)),"MISSING ID")="Currency","Currency / no refinement tier","Recovered output / tier not applicable")),IF(OR(IFERROR(INDEX('Crafting recipes'!$H$6:$H$1005,MATCH(J491,'Crafting recipes'!$A$6:$A$1005,0)),"MISSING ID")="Unassigned",G491="Unassigned"),"Tier unresolved",IF(IFERROR(VALUE(RIGHT(G491,1))-VALUE(RIGHT(IFERROR(INDEX('Crafting recipes'!$H$6:$H$1005,MATCH(J491,'Crafting recipes'!$A$6:$A$1005,0)),"MISSING ID"),1)),0)=1,IF(B491=IFERROR(INDEX('Crafting recipes'!$H$6:$H$1005,MATCH(J491,'Crafting recipes'!$A$6:$A$1005,0)),"MISSING ID"),"Advances one material tier","Lower-tier ingredient; route advances one tier"),"Needs tier review"))))))</x:f>
        <x:v>Advances one material tier</x:v>
      </x:c>
      <x:c r="S491" s="4" t="str">
        <x:f>IFERROR(INDEX('Material routes'!$D$6:$D$2205,MATCH(U491,'Material routes'!$A$6:$A$2205,0)),"MISSING ID")</x:f>
        <x:v>proposal.lore.chitin_binder_residue</x:v>
      </x:c>
      <x:c r="T491" s="4" t="str">
        <x:f>IFERROR(INDEX('Material routes'!$D$6:$D$2205,MATCH(V491,'Material routes'!$A$6:$A$2205,0)),"MISSING ID")</x:f>
        <x:v>author.electrical.insulation_stock</x:v>
      </x:c>
      <x:c r="U491" s="4" t="str">
        <x:v>design.lore.residue_insulation_stock.in.1</x:v>
      </x:c>
      <x:c r="V491" s="4" t="str">
        <x:v>design.lore.residue_insulation_stock.out</x:v>
      </x:c>
    </x:row>
    <x:row r="492" ht="115" customHeight="1">
      <x:c r="A492" s="4" t="str">
        <x:f>IFERROR(INDEX('Material routes'!$E$6:$E$2205,MATCH(U492,'Material routes'!$A$6:$A$2205,0)),"MISSING ID")</x:f>
        <x:v>Mica composite sheet</x:v>
      </x:c>
      <x:c r="B492" s="4" t="str">
        <x:f>IFERROR(INDEX('Material routes'!$F$6:$F$2205,MATCH(U492,'Material routes'!$A$6:$A$2205,0)),"MISSING ID")</x:f>
        <x:v>T2</x:v>
      </x:c>
      <x:c r="C492" s="4" t="str">
        <x:f>IFERROR(INDEX('Material routes'!$H$6:$H$2205,MATCH(U492,'Material routes'!$A$6:$A$2205,0)),"MISSING ID")</x:f>
        <x:v>Processed material</x:v>
      </x:c>
      <x:c r="D492" s="4" t="str">
        <x:f>IFERROR(INDEX('Material routes'!$G$6:$G$2205,MATCH(U492,'Material routes'!$A$6:$A$2205,0)),"MISSING ID")</x:f>
        <x:v>Manufactured stock</x:v>
      </x:c>
      <x:c r="E492" s="4" t="str">
        <x:f>IFERROR(INDEX('Material routes'!$C$6:$C$2205,MATCH(U492,'Material routes'!$A$6:$A$2205,0)),"MISSING ID")</x:f>
        <x:v>Ingredient candidate</x:v>
      </x:c>
      <x:c r="F492" s="4" t="str">
        <x:f>IFERROR(INDEX('Material routes'!$E$6:$E$2205,MATCH(V492,'Material routes'!$A$6:$A$2205,0)),"MISSING ID")</x:f>
        <x:v>Prepared electrical insulation stock</x:v>
      </x:c>
      <x:c r="G492" s="4" t="str">
        <x:f>IFERROR(INDEX('Material routes'!$F$6:$F$2205,MATCH(V492,'Material routes'!$A$6:$A$2205,0)),"MISSING ID")</x:f>
        <x:v>T3</x:v>
      </x:c>
      <x:c r="H492" s="4" t="str">
        <x:f>IFERROR(INDEX('Material routes'!$H$6:$H$2205,MATCH(V492,'Material routes'!$A$6:$A$2205,0)),"MISSING ID")</x:f>
        <x:v>Processed material</x:v>
      </x:c>
      <x:c r="I492" s="4" t="str">
        <x:f>IFERROR(INDEX('Material routes'!$G$6:$G$2205,MATCH(V492,'Material routes'!$A$6:$A$2205,0)),"MISSING ID")</x:f>
        <x:v>Manufactured stock</x:v>
      </x:c>
      <x:c r="J492" s="4" t="str">
        <x:f>IFERROR(INDEX('Material routes'!$B$6:$B$2205,MATCH(U492,'Material routes'!$A$6:$A$2205,0)),"MISSING ID")</x:f>
        <x:v>design.lore.residue_insulation_stock</x:v>
      </x:c>
      <x:c r="K492" s="4" t="str">
        <x:f>IFERROR(INDEX('Crafting recipes'!$C$6:$C$1005,MATCH(J492,'Crafting recipes'!$A$6:$A$1005,0)),"MISSING ID")</x:f>
        <x:v>Material refinement</x:v>
      </x:c>
      <x:c r="L492" s="4" t="str">
        <x:f>IFERROR(INDEX('Material routes'!$K$6:$K$2205,MATCH(U492,'Material routes'!$A$6:$A$2205,0)),"MISSING ID")</x:f>
        <x:v>Proposal</x:v>
      </x:c>
      <x:c r="M492" s="4" t="str">
        <x:f>IFERROR(INDEX('Material routes'!$M$6:$M$2205,MATCH(U492,'Material routes'!$A$6:$A$2205,0)),"MISSING ID")</x:f>
        <x:v>Partial proposal</x:v>
      </x:c>
      <x:c r="N492" s="4" t="str">
        <x:f>IF(IFERROR(INDEX('Material routes'!$I$6:$I$1005,MATCH(U492,'Material routes'!$A$6:$A$1005,0)),"MISSING ID")=0,"",IFERROR(INDEX('Material routes'!$I$6:$I$1005,MATCH(U492,'Material routes'!$A$6:$A$1005,0)),"MISSING ID"))</x:f>
      </x:c>
      <x:c r="O492" s="4" t="str">
        <x:f>IFERROR(INDEX('Material routes'!$J$6:$J$2205,MATCH(U492,'Material routes'!$A$6:$A$2205,0)),"MISSING ID")</x:f>
        <x:v>Unspecified</x:v>
      </x:c>
      <x:c r="P492" s="4" t="str">
        <x:f>IF(IFERROR(INDEX('Material routes'!$I$6:$I$1005,MATCH(V492,'Material routes'!$A$6:$A$1005,0)),"MISSING ID")=0,"",IFERROR(INDEX('Material routes'!$I$6:$I$1005,MATCH(V492,'Material routes'!$A$6:$A$1005,0)),"MISSING ID"))</x:f>
      </x:c>
      <x:c r="Q492" s="4" t="str">
        <x:f>IFERROR(INDEX('Material routes'!$J$6:$J$2205,MATCH(V492,'Material routes'!$A$6:$A$2205,0)),"MISSING ID")</x:f>
        <x:v>Unspecified</x:v>
      </x:c>
      <x:c r="R492" s="4" t="str">
        <x:f>IF(L492="Withheld","Withheld premise",IF(E492="Tool candidate","Reusable prerequisite",IF(K492="Raw entry preparation","Entry-resource preparation",IF(G492="Not applicable",IF(IFERROR(INDEX('Items'!$AI$6:$AI$1005,MATCH(T492,'Items'!$A$6:$A$1005,0)),"MISSING ID")="Finished item","Finished endpoint",IF(IFERROR(INDEX('Items'!$AI$6:$AI$1005,MATCH(T492,'Items'!$A$6:$A$1005,0)),"MISSING ID")="Currency","Currency / no refinement tier","Recovered output / tier not applicable")),IF(OR(IFERROR(INDEX('Crafting recipes'!$H$6:$H$1005,MATCH(J492,'Crafting recipes'!$A$6:$A$1005,0)),"MISSING ID")="Unassigned",G492="Unassigned"),"Tier unresolved",IF(IFERROR(VALUE(RIGHT(G492,1))-VALUE(RIGHT(IFERROR(INDEX('Crafting recipes'!$H$6:$H$1005,MATCH(J492,'Crafting recipes'!$A$6:$A$1005,0)),"MISSING ID"),1)),0)=1,IF(B492=IFERROR(INDEX('Crafting recipes'!$H$6:$H$1005,MATCH(J492,'Crafting recipes'!$A$6:$A$1005,0)),"MISSING ID"),"Advances one material tier","Lower-tier ingredient; route advances one tier"),"Needs tier review"))))))</x:f>
        <x:v>Advances one material tier</x:v>
      </x:c>
      <x:c r="S492" s="4" t="str">
        <x:f>IFERROR(INDEX('Material routes'!$D$6:$D$2205,MATCH(U492,'Material routes'!$A$6:$A$2205,0)),"MISSING ID")</x:f>
        <x:v>proposal.branch.mica_sheet</x:v>
      </x:c>
      <x:c r="T492" s="4" t="str">
        <x:f>IFERROR(INDEX('Material routes'!$D$6:$D$2205,MATCH(V492,'Material routes'!$A$6:$A$2205,0)),"MISSING ID")</x:f>
        <x:v>author.electrical.insulation_stock</x:v>
      </x:c>
      <x:c r="U492" s="4" t="str">
        <x:v>design.lore.residue_insulation_stock.in.2</x:v>
      </x:c>
      <x:c r="V492" s="4" t="str">
        <x:v>design.lore.residue_insulation_stock.out</x:v>
      </x:c>
    </x:row>
    <x:row r="493" ht="115" customHeight="1">
      <x:c r="A493" s="4" t="str">
        <x:f>IFERROR(INDEX('Material routes'!$E$6:$E$2205,MATCH(U493,'Material routes'!$A$6:$A$2205,0)),"MISSING ID")</x:f>
        <x:v>Insulating ceramic blanks</x:v>
      </x:c>
      <x:c r="B493" s="4" t="str">
        <x:f>IFERROR(INDEX('Material routes'!$F$6:$F$2205,MATCH(U493,'Material routes'!$A$6:$A$2205,0)),"MISSING ID")</x:f>
        <x:v>T2</x:v>
      </x:c>
      <x:c r="C493" s="4" t="str">
        <x:f>IFERROR(INDEX('Material routes'!$H$6:$H$2205,MATCH(U493,'Material routes'!$A$6:$A$2205,0)),"MISSING ID")</x:f>
        <x:v>Processed material</x:v>
      </x:c>
      <x:c r="D493" s="4" t="str">
        <x:f>IFERROR(INDEX('Material routes'!$G$6:$G$2205,MATCH(U493,'Material routes'!$A$6:$A$2205,0)),"MISSING ID")</x:f>
        <x:v>Manufactured stock</x:v>
      </x:c>
      <x:c r="E493" s="4" t="str">
        <x:f>IFERROR(INDEX('Material routes'!$C$6:$C$2205,MATCH(U493,'Material routes'!$A$6:$A$2205,0)),"MISSING ID")</x:f>
        <x:v>Ingredient candidate</x:v>
      </x:c>
      <x:c r="F493" s="4" t="str">
        <x:f>IFERROR(INDEX('Material routes'!$E$6:$E$2205,MATCH(V493,'Material routes'!$A$6:$A$2205,0)),"MISSING ID")</x:f>
        <x:v>Prepared electrical insulation stock</x:v>
      </x:c>
      <x:c r="G493" s="4" t="str">
        <x:f>IFERROR(INDEX('Material routes'!$F$6:$F$2205,MATCH(V493,'Material routes'!$A$6:$A$2205,0)),"MISSING ID")</x:f>
        <x:v>T3</x:v>
      </x:c>
      <x:c r="H493" s="4" t="str">
        <x:f>IFERROR(INDEX('Material routes'!$H$6:$H$2205,MATCH(V493,'Material routes'!$A$6:$A$2205,0)),"MISSING ID")</x:f>
        <x:v>Processed material</x:v>
      </x:c>
      <x:c r="I493" s="4" t="str">
        <x:f>IFERROR(INDEX('Material routes'!$G$6:$G$2205,MATCH(V493,'Material routes'!$A$6:$A$2205,0)),"MISSING ID")</x:f>
        <x:v>Manufactured stock</x:v>
      </x:c>
      <x:c r="J493" s="4" t="str">
        <x:f>IFERROR(INDEX('Material routes'!$B$6:$B$2205,MATCH(U493,'Material routes'!$A$6:$A$2205,0)),"MISSING ID")</x:f>
        <x:v>design.lore.residue_insulation_stock</x:v>
      </x:c>
      <x:c r="K493" s="4" t="str">
        <x:f>IFERROR(INDEX('Crafting recipes'!$C$6:$C$1005,MATCH(J493,'Crafting recipes'!$A$6:$A$1005,0)),"MISSING ID")</x:f>
        <x:v>Material refinement</x:v>
      </x:c>
      <x:c r="L493" s="4" t="str">
        <x:f>IFERROR(INDEX('Material routes'!$K$6:$K$2205,MATCH(U493,'Material routes'!$A$6:$A$2205,0)),"MISSING ID")</x:f>
        <x:v>Proposal</x:v>
      </x:c>
      <x:c r="M493" s="4" t="str">
        <x:f>IFERROR(INDEX('Material routes'!$M$6:$M$2205,MATCH(U493,'Material routes'!$A$6:$A$2205,0)),"MISSING ID")</x:f>
        <x:v>Partial proposal</x:v>
      </x:c>
      <x:c r="N493" s="4" t="str">
        <x:f>IF(IFERROR(INDEX('Material routes'!$I$6:$I$1005,MATCH(U493,'Material routes'!$A$6:$A$1005,0)),"MISSING ID")=0,"",IFERROR(INDEX('Material routes'!$I$6:$I$1005,MATCH(U493,'Material routes'!$A$6:$A$1005,0)),"MISSING ID"))</x:f>
      </x:c>
      <x:c r="O493" s="4" t="str">
        <x:f>IFERROR(INDEX('Material routes'!$J$6:$J$2205,MATCH(U493,'Material routes'!$A$6:$A$2205,0)),"MISSING ID")</x:f>
        <x:v>Unspecified</x:v>
      </x:c>
      <x:c r="P493" s="4" t="str">
        <x:f>IF(IFERROR(INDEX('Material routes'!$I$6:$I$1005,MATCH(V493,'Material routes'!$A$6:$A$1005,0)),"MISSING ID")=0,"",IFERROR(INDEX('Material routes'!$I$6:$I$1005,MATCH(V493,'Material routes'!$A$6:$A$1005,0)),"MISSING ID"))</x:f>
      </x:c>
      <x:c r="Q493" s="4" t="str">
        <x:f>IFERROR(INDEX('Material routes'!$J$6:$J$2205,MATCH(V493,'Material routes'!$A$6:$A$2205,0)),"MISSING ID")</x:f>
        <x:v>Unspecified</x:v>
      </x:c>
      <x:c r="R493" s="4" t="str">
        <x:f>IF(L493="Withheld","Withheld premise",IF(E493="Tool candidate","Reusable prerequisite",IF(K493="Raw entry preparation","Entry-resource preparation",IF(G493="Not applicable",IF(IFERROR(INDEX('Items'!$AI$6:$AI$1005,MATCH(T493,'Items'!$A$6:$A$1005,0)),"MISSING ID")="Finished item","Finished endpoint",IF(IFERROR(INDEX('Items'!$AI$6:$AI$1005,MATCH(T493,'Items'!$A$6:$A$1005,0)),"MISSING ID")="Currency","Currency / no refinement tier","Recovered output / tier not applicable")),IF(OR(IFERROR(INDEX('Crafting recipes'!$H$6:$H$1005,MATCH(J493,'Crafting recipes'!$A$6:$A$1005,0)),"MISSING ID")="Unassigned",G493="Unassigned"),"Tier unresolved",IF(IFERROR(VALUE(RIGHT(G493,1))-VALUE(RIGHT(IFERROR(INDEX('Crafting recipes'!$H$6:$H$1005,MATCH(J493,'Crafting recipes'!$A$6:$A$1005,0)),"MISSING ID"),1)),0)=1,IF(B493=IFERROR(INDEX('Crafting recipes'!$H$6:$H$1005,MATCH(J493,'Crafting recipes'!$A$6:$A$1005,0)),"MISSING ID"),"Advances one material tier","Lower-tier ingredient; route advances one tier"),"Needs tier review"))))))</x:f>
        <x:v>Advances one material tier</x:v>
      </x:c>
      <x:c r="S493" s="4" t="str">
        <x:f>IFERROR(INDEX('Material routes'!$D$6:$D$2205,MATCH(U493,'Material routes'!$A$6:$A$2205,0)),"MISSING ID")</x:f>
        <x:v>proposal.natural.ceramic</x:v>
      </x:c>
      <x:c r="T493" s="4" t="str">
        <x:f>IFERROR(INDEX('Material routes'!$D$6:$D$2205,MATCH(V493,'Material routes'!$A$6:$A$2205,0)),"MISSING ID")</x:f>
        <x:v>author.electrical.insulation_stock</x:v>
      </x:c>
      <x:c r="U493" s="4" t="str">
        <x:v>design.lore.residue_insulation_stock.in.3</x:v>
      </x:c>
      <x:c r="V493" s="4" t="str">
        <x:v>design.lore.residue_insulation_stock.out</x:v>
      </x:c>
    </x:row>
    <x:row r="494" ht="115" customHeight="1">
      <x:c r="A494" s="4" t="str">
        <x:f>IFERROR(INDEX('Material routes'!$E$6:$E$2205,MATCH(U494,'Material routes'!$A$6:$A$2205,0)),"MISSING ID")</x:f>
        <x:v>Iron-wound core blank</x:v>
      </x:c>
      <x:c r="B494" s="4" t="str">
        <x:f>IFERROR(INDEX('Material routes'!$F$6:$F$2205,MATCH(U494,'Material routes'!$A$6:$A$2205,0)),"MISSING ID")</x:f>
        <x:v>T3</x:v>
      </x:c>
      <x:c r="C494" s="4" t="str">
        <x:f>IFERROR(INDEX('Material routes'!$H$6:$H$2205,MATCH(U494,'Material routes'!$A$6:$A$2205,0)),"MISSING ID")</x:f>
        <x:v>Crafting component</x:v>
      </x:c>
      <x:c r="D494" s="4" t="str">
        <x:f>IFERROR(INDEX('Material routes'!$G$6:$G$2205,MATCH(U494,'Material routes'!$A$6:$A$2205,0)),"MISSING ID")</x:f>
        <x:v>Crafting components</x:v>
      </x:c>
      <x:c r="E494" s="4" t="str">
        <x:f>IFERROR(INDEX('Material routes'!$C$6:$C$2205,MATCH(U494,'Material routes'!$A$6:$A$2205,0)),"MISSING ID")</x:f>
        <x:v>Ingredient candidate</x:v>
      </x:c>
      <x:c r="F494" s="4" t="str">
        <x:f>IFERROR(INDEX('Material routes'!$E$6:$E$2205,MATCH(V494,'Material routes'!$A$6:$A$2205,0)),"MISSING ID")</x:f>
        <x:v>Insulated winding subassembly</x:v>
      </x:c>
      <x:c r="G494" s="4" t="str">
        <x:f>IFERROR(INDEX('Material routes'!$F$6:$F$2205,MATCH(V494,'Material routes'!$A$6:$A$2205,0)),"MISSING ID")</x:f>
        <x:v>T4</x:v>
      </x:c>
      <x:c r="H494" s="4" t="str">
        <x:f>IFERROR(INDEX('Material routes'!$H$6:$H$2205,MATCH(V494,'Material routes'!$A$6:$A$2205,0)),"MISSING ID")</x:f>
        <x:v>Crafting component</x:v>
      </x:c>
      <x:c r="I494" s="4" t="str">
        <x:f>IFERROR(INDEX('Material routes'!$G$6:$G$2205,MATCH(V494,'Material routes'!$A$6:$A$2205,0)),"MISSING ID")</x:f>
        <x:v>Crafting components</x:v>
      </x:c>
      <x:c r="J494" s="4" t="str">
        <x:f>IFERROR(INDEX('Material routes'!$B$6:$B$2205,MATCH(U494,'Material routes'!$A$6:$A$2205,0)),"MISSING ID")</x:f>
        <x:v>design.lore.iron_winding_assembly</x:v>
      </x:c>
      <x:c r="K494" s="4" t="str">
        <x:f>IFERROR(INDEX('Crafting recipes'!$C$6:$C$1005,MATCH(J494,'Crafting recipes'!$A$6:$A$1005,0)),"MISSING ID")</x:f>
        <x:v>Material refinement</x:v>
      </x:c>
      <x:c r="L494" s="4" t="str">
        <x:f>IFERROR(INDEX('Material routes'!$K$6:$K$2205,MATCH(U494,'Material routes'!$A$6:$A$2205,0)),"MISSING ID")</x:f>
        <x:v>Proposal</x:v>
      </x:c>
      <x:c r="M494" s="4" t="str">
        <x:f>IFERROR(INDEX('Material routes'!$M$6:$M$2205,MATCH(U494,'Material routes'!$A$6:$A$2205,0)),"MISSING ID")</x:f>
        <x:v>Partial proposal</x:v>
      </x:c>
      <x:c r="N494" s="4" t="str">
        <x:f>IF(IFERROR(INDEX('Material routes'!$I$6:$I$1005,MATCH(U494,'Material routes'!$A$6:$A$1005,0)),"MISSING ID")=0,"",IFERROR(INDEX('Material routes'!$I$6:$I$1005,MATCH(U494,'Material routes'!$A$6:$A$1005,0)),"MISSING ID"))</x:f>
      </x:c>
      <x:c r="O494" s="4" t="str">
        <x:f>IFERROR(INDEX('Material routes'!$J$6:$J$2205,MATCH(U494,'Material routes'!$A$6:$A$2205,0)),"MISSING ID")</x:f>
        <x:v>Unspecified</x:v>
      </x:c>
      <x:c r="P494" s="4" t="str">
        <x:f>IF(IFERROR(INDEX('Material routes'!$I$6:$I$1005,MATCH(V494,'Material routes'!$A$6:$A$1005,0)),"MISSING ID")=0,"",IFERROR(INDEX('Material routes'!$I$6:$I$1005,MATCH(V494,'Material routes'!$A$6:$A$1005,0)),"MISSING ID"))</x:f>
      </x:c>
      <x:c r="Q494" s="4" t="str">
        <x:f>IFERROR(INDEX('Material routes'!$J$6:$J$2205,MATCH(V494,'Material routes'!$A$6:$A$2205,0)),"MISSING ID")</x:f>
        <x:v>Unspecified</x:v>
      </x:c>
      <x:c r="R494" s="4" t="str">
        <x:f>IF(L494="Withheld","Withheld premise",IF(E494="Tool candidate","Reusable prerequisite",IF(K494="Raw entry preparation","Entry-resource preparation",IF(G494="Not applicable",IF(IFERROR(INDEX('Items'!$AI$6:$AI$1005,MATCH(T494,'Items'!$A$6:$A$1005,0)),"MISSING ID")="Finished item","Finished endpoint",IF(IFERROR(INDEX('Items'!$AI$6:$AI$1005,MATCH(T494,'Items'!$A$6:$A$1005,0)),"MISSING ID")="Currency","Currency / no refinement tier","Recovered output / tier not applicable")),IF(OR(IFERROR(INDEX('Crafting recipes'!$H$6:$H$1005,MATCH(J494,'Crafting recipes'!$A$6:$A$1005,0)),"MISSING ID")="Unassigned",G494="Unassigned"),"Tier unresolved",IF(IFERROR(VALUE(RIGHT(G494,1))-VALUE(RIGHT(IFERROR(INDEX('Crafting recipes'!$H$6:$H$1005,MATCH(J494,'Crafting recipes'!$A$6:$A$1005,0)),"MISSING ID"),1)),0)=1,IF(B494=IFERROR(INDEX('Crafting recipes'!$H$6:$H$1005,MATCH(J494,'Crafting recipes'!$A$6:$A$1005,0)),"MISSING ID"),"Advances one material tier","Lower-tier ingredient; route advances one tier"),"Needs tier review"))))))</x:f>
        <x:v>Advances one material tier</x:v>
      </x:c>
      <x:c r="S494" s="4" t="str">
        <x:f>IFERROR(INDEX('Material routes'!$D$6:$D$2205,MATCH(U494,'Material routes'!$A$6:$A$2205,0)),"MISSING ID")</x:f>
        <x:v>proposal.lore.iron_winding</x:v>
      </x:c>
      <x:c r="T494" s="4" t="str">
        <x:f>IFERROR(INDEX('Material routes'!$D$6:$D$2205,MATCH(V494,'Material routes'!$A$6:$A$2205,0)),"MISSING ID")</x:f>
        <x:v>proposal.t4.insulated_winding</x:v>
      </x:c>
      <x:c r="U494" s="4" t="str">
        <x:v>design.lore.iron_winding_assembly.in.1</x:v>
      </x:c>
      <x:c r="V494" s="4" t="str">
        <x:v>design.lore.iron_winding_assembly.out</x:v>
      </x:c>
    </x:row>
    <x:row r="495" ht="115" customHeight="1">
      <x:c r="A495" s="4" t="str">
        <x:f>IFERROR(INDEX('Material routes'!$E$6:$E$2205,MATCH(U495,'Material routes'!$A$6:$A$2205,0)),"MISSING ID")</x:f>
        <x:v>Prepared electrical insulation stock</x:v>
      </x:c>
      <x:c r="B495" s="4" t="str">
        <x:f>IFERROR(INDEX('Material routes'!$F$6:$F$2205,MATCH(U495,'Material routes'!$A$6:$A$2205,0)),"MISSING ID")</x:f>
        <x:v>T3</x:v>
      </x:c>
      <x:c r="C495" s="4" t="str">
        <x:f>IFERROR(INDEX('Material routes'!$H$6:$H$2205,MATCH(U495,'Material routes'!$A$6:$A$2205,0)),"MISSING ID")</x:f>
        <x:v>Processed material</x:v>
      </x:c>
      <x:c r="D495" s="4" t="str">
        <x:f>IFERROR(INDEX('Material routes'!$G$6:$G$2205,MATCH(U495,'Material routes'!$A$6:$A$2205,0)),"MISSING ID")</x:f>
        <x:v>Manufactured stock</x:v>
      </x:c>
      <x:c r="E495" s="4" t="str">
        <x:f>IFERROR(INDEX('Material routes'!$C$6:$C$2205,MATCH(U495,'Material routes'!$A$6:$A$2205,0)),"MISSING ID")</x:f>
        <x:v>Ingredient candidate</x:v>
      </x:c>
      <x:c r="F495" s="4" t="str">
        <x:f>IFERROR(INDEX('Material routes'!$E$6:$E$2205,MATCH(V495,'Material routes'!$A$6:$A$2205,0)),"MISSING ID")</x:f>
        <x:v>Insulated winding subassembly</x:v>
      </x:c>
      <x:c r="G495" s="4" t="str">
        <x:f>IFERROR(INDEX('Material routes'!$F$6:$F$2205,MATCH(V495,'Material routes'!$A$6:$A$2205,0)),"MISSING ID")</x:f>
        <x:v>T4</x:v>
      </x:c>
      <x:c r="H495" s="4" t="str">
        <x:f>IFERROR(INDEX('Material routes'!$H$6:$H$2205,MATCH(V495,'Material routes'!$A$6:$A$2205,0)),"MISSING ID")</x:f>
        <x:v>Crafting component</x:v>
      </x:c>
      <x:c r="I495" s="4" t="str">
        <x:f>IFERROR(INDEX('Material routes'!$G$6:$G$2205,MATCH(V495,'Material routes'!$A$6:$A$2205,0)),"MISSING ID")</x:f>
        <x:v>Crafting components</x:v>
      </x:c>
      <x:c r="J495" s="4" t="str">
        <x:f>IFERROR(INDEX('Material routes'!$B$6:$B$2205,MATCH(U495,'Material routes'!$A$6:$A$2205,0)),"MISSING ID")</x:f>
        <x:v>design.lore.iron_winding_assembly</x:v>
      </x:c>
      <x:c r="K495" s="4" t="str">
        <x:f>IFERROR(INDEX('Crafting recipes'!$C$6:$C$1005,MATCH(J495,'Crafting recipes'!$A$6:$A$1005,0)),"MISSING ID")</x:f>
        <x:v>Material refinement</x:v>
      </x:c>
      <x:c r="L495" s="4" t="str">
        <x:f>IFERROR(INDEX('Material routes'!$K$6:$K$2205,MATCH(U495,'Material routes'!$A$6:$A$2205,0)),"MISSING ID")</x:f>
        <x:v>Proposal</x:v>
      </x:c>
      <x:c r="M495" s="4" t="str">
        <x:f>IFERROR(INDEX('Material routes'!$M$6:$M$2205,MATCH(U495,'Material routes'!$A$6:$A$2205,0)),"MISSING ID")</x:f>
        <x:v>Partial proposal</x:v>
      </x:c>
      <x:c r="N495" s="4" t="str">
        <x:f>IF(IFERROR(INDEX('Material routes'!$I$6:$I$1005,MATCH(U495,'Material routes'!$A$6:$A$1005,0)),"MISSING ID")=0,"",IFERROR(INDEX('Material routes'!$I$6:$I$1005,MATCH(U495,'Material routes'!$A$6:$A$1005,0)),"MISSING ID"))</x:f>
      </x:c>
      <x:c r="O495" s="4" t="str">
        <x:f>IFERROR(INDEX('Material routes'!$J$6:$J$2205,MATCH(U495,'Material routes'!$A$6:$A$2205,0)),"MISSING ID")</x:f>
        <x:v>Unspecified</x:v>
      </x:c>
      <x:c r="P495" s="4" t="str">
        <x:f>IF(IFERROR(INDEX('Material routes'!$I$6:$I$1005,MATCH(V495,'Material routes'!$A$6:$A$1005,0)),"MISSING ID")=0,"",IFERROR(INDEX('Material routes'!$I$6:$I$1005,MATCH(V495,'Material routes'!$A$6:$A$1005,0)),"MISSING ID"))</x:f>
      </x:c>
      <x:c r="Q495" s="4" t="str">
        <x:f>IFERROR(INDEX('Material routes'!$J$6:$J$2205,MATCH(V495,'Material routes'!$A$6:$A$2205,0)),"MISSING ID")</x:f>
        <x:v>Unspecified</x:v>
      </x:c>
      <x:c r="R495" s="4" t="str">
        <x:f>IF(L495="Withheld","Withheld premise",IF(E495="Tool candidate","Reusable prerequisite",IF(K495="Raw entry preparation","Entry-resource preparation",IF(G495="Not applicable",IF(IFERROR(INDEX('Items'!$AI$6:$AI$1005,MATCH(T495,'Items'!$A$6:$A$1005,0)),"MISSING ID")="Finished item","Finished endpoint",IF(IFERROR(INDEX('Items'!$AI$6:$AI$1005,MATCH(T495,'Items'!$A$6:$A$1005,0)),"MISSING ID")="Currency","Currency / no refinement tier","Recovered output / tier not applicable")),IF(OR(IFERROR(INDEX('Crafting recipes'!$H$6:$H$1005,MATCH(J495,'Crafting recipes'!$A$6:$A$1005,0)),"MISSING ID")="Unassigned",G495="Unassigned"),"Tier unresolved",IF(IFERROR(VALUE(RIGHT(G495,1))-VALUE(RIGHT(IFERROR(INDEX('Crafting recipes'!$H$6:$H$1005,MATCH(J495,'Crafting recipes'!$A$6:$A$1005,0)),"MISSING ID"),1)),0)=1,IF(B495=IFERROR(INDEX('Crafting recipes'!$H$6:$H$1005,MATCH(J495,'Crafting recipes'!$A$6:$A$1005,0)),"MISSING ID"),"Advances one material tier","Lower-tier ingredient; route advances one tier"),"Needs tier review"))))))</x:f>
        <x:v>Advances one material tier</x:v>
      </x:c>
      <x:c r="S495" s="4" t="str">
        <x:f>IFERROR(INDEX('Material routes'!$D$6:$D$2205,MATCH(U495,'Material routes'!$A$6:$A$2205,0)),"MISSING ID")</x:f>
        <x:v>author.electrical.insulation_stock</x:v>
      </x:c>
      <x:c r="T495" s="4" t="str">
        <x:f>IFERROR(INDEX('Material routes'!$D$6:$D$2205,MATCH(V495,'Material routes'!$A$6:$A$2205,0)),"MISSING ID")</x:f>
        <x:v>proposal.t4.insulated_winding</x:v>
      </x:c>
      <x:c r="U495" s="4" t="str">
        <x:v>design.lore.iron_winding_assembly.in.2</x:v>
      </x:c>
      <x:c r="V495" s="4" t="str">
        <x:v>design.lore.iron_winding_assembly.out</x:v>
      </x:c>
    </x:row>
    <x:row r="496" ht="115" customHeight="1">
      <x:c r="A496" s="4" t="str">
        <x:f>IFERROR(INDEX('Material routes'!$E$6:$E$2205,MATCH(U496,'Material routes'!$A$6:$A$2205,0)),"MISSING ID")</x:f>
        <x:v>Matched ceramic spacer sets</x:v>
      </x:c>
      <x:c r="B496" s="4" t="str">
        <x:f>IFERROR(INDEX('Material routes'!$F$6:$F$2205,MATCH(U496,'Material routes'!$A$6:$A$2205,0)),"MISSING ID")</x:f>
        <x:v>T3</x:v>
      </x:c>
      <x:c r="C496" s="4" t="str">
        <x:f>IFERROR(INDEX('Material routes'!$H$6:$H$2205,MATCH(U496,'Material routes'!$A$6:$A$2205,0)),"MISSING ID")</x:f>
        <x:v>Crafting component</x:v>
      </x:c>
      <x:c r="D496" s="4" t="str">
        <x:f>IFERROR(INDEX('Material routes'!$G$6:$G$2205,MATCH(U496,'Material routes'!$A$6:$A$2205,0)),"MISSING ID")</x:f>
        <x:v>Crafting components</x:v>
      </x:c>
      <x:c r="E496" s="4" t="str">
        <x:f>IFERROR(INDEX('Material routes'!$C$6:$C$2205,MATCH(U496,'Material routes'!$A$6:$A$2205,0)),"MISSING ID")</x:f>
        <x:v>Ingredient candidate</x:v>
      </x:c>
      <x:c r="F496" s="4" t="str">
        <x:f>IFERROR(INDEX('Material routes'!$E$6:$E$2205,MATCH(V496,'Material routes'!$A$6:$A$2205,0)),"MISSING ID")</x:f>
        <x:v>Insulated winding subassembly</x:v>
      </x:c>
      <x:c r="G496" s="4" t="str">
        <x:f>IFERROR(INDEX('Material routes'!$F$6:$F$2205,MATCH(V496,'Material routes'!$A$6:$A$2205,0)),"MISSING ID")</x:f>
        <x:v>T4</x:v>
      </x:c>
      <x:c r="H496" s="4" t="str">
        <x:f>IFERROR(INDEX('Material routes'!$H$6:$H$2205,MATCH(V496,'Material routes'!$A$6:$A$2205,0)),"MISSING ID")</x:f>
        <x:v>Crafting component</x:v>
      </x:c>
      <x:c r="I496" s="4" t="str">
        <x:f>IFERROR(INDEX('Material routes'!$G$6:$G$2205,MATCH(V496,'Material routes'!$A$6:$A$2205,0)),"MISSING ID")</x:f>
        <x:v>Crafting components</x:v>
      </x:c>
      <x:c r="J496" s="4" t="str">
        <x:f>IFERROR(INDEX('Material routes'!$B$6:$B$2205,MATCH(U496,'Material routes'!$A$6:$A$2205,0)),"MISSING ID")</x:f>
        <x:v>design.lore.iron_winding_assembly</x:v>
      </x:c>
      <x:c r="K496" s="4" t="str">
        <x:f>IFERROR(INDEX('Crafting recipes'!$C$6:$C$1005,MATCH(J496,'Crafting recipes'!$A$6:$A$1005,0)),"MISSING ID")</x:f>
        <x:v>Material refinement</x:v>
      </x:c>
      <x:c r="L496" s="4" t="str">
        <x:f>IFERROR(INDEX('Material routes'!$K$6:$K$2205,MATCH(U496,'Material routes'!$A$6:$A$2205,0)),"MISSING ID")</x:f>
        <x:v>Proposal</x:v>
      </x:c>
      <x:c r="M496" s="4" t="str">
        <x:f>IFERROR(INDEX('Material routes'!$M$6:$M$2205,MATCH(U496,'Material routes'!$A$6:$A$2205,0)),"MISSING ID")</x:f>
        <x:v>Partial proposal</x:v>
      </x:c>
      <x:c r="N496" s="4" t="str">
        <x:f>IF(IFERROR(INDEX('Material routes'!$I$6:$I$1005,MATCH(U496,'Material routes'!$A$6:$A$1005,0)),"MISSING ID")=0,"",IFERROR(INDEX('Material routes'!$I$6:$I$1005,MATCH(U496,'Material routes'!$A$6:$A$1005,0)),"MISSING ID"))</x:f>
      </x:c>
      <x:c r="O496" s="4" t="str">
        <x:f>IFERROR(INDEX('Material routes'!$J$6:$J$2205,MATCH(U496,'Material routes'!$A$6:$A$2205,0)),"MISSING ID")</x:f>
        <x:v>Unspecified</x:v>
      </x:c>
      <x:c r="P496" s="4" t="str">
        <x:f>IF(IFERROR(INDEX('Material routes'!$I$6:$I$1005,MATCH(V496,'Material routes'!$A$6:$A$1005,0)),"MISSING ID")=0,"",IFERROR(INDEX('Material routes'!$I$6:$I$1005,MATCH(V496,'Material routes'!$A$6:$A$1005,0)),"MISSING ID"))</x:f>
      </x:c>
      <x:c r="Q496" s="4" t="str">
        <x:f>IFERROR(INDEX('Material routes'!$J$6:$J$2205,MATCH(V496,'Material routes'!$A$6:$A$2205,0)),"MISSING ID")</x:f>
        <x:v>Unspecified</x:v>
      </x:c>
      <x:c r="R496" s="4" t="str">
        <x:f>IF(L496="Withheld","Withheld premise",IF(E496="Tool candidate","Reusable prerequisite",IF(K496="Raw entry preparation","Entry-resource preparation",IF(G496="Not applicable",IF(IFERROR(INDEX('Items'!$AI$6:$AI$1005,MATCH(T496,'Items'!$A$6:$A$1005,0)),"MISSING ID")="Finished item","Finished endpoint",IF(IFERROR(INDEX('Items'!$AI$6:$AI$1005,MATCH(T496,'Items'!$A$6:$A$1005,0)),"MISSING ID")="Currency","Currency / no refinement tier","Recovered output / tier not applicable")),IF(OR(IFERROR(INDEX('Crafting recipes'!$H$6:$H$1005,MATCH(J496,'Crafting recipes'!$A$6:$A$1005,0)),"MISSING ID")="Unassigned",G496="Unassigned"),"Tier unresolved",IF(IFERROR(VALUE(RIGHT(G496,1))-VALUE(RIGHT(IFERROR(INDEX('Crafting recipes'!$H$6:$H$1005,MATCH(J496,'Crafting recipes'!$A$6:$A$1005,0)),"MISSING ID"),1)),0)=1,IF(B496=IFERROR(INDEX('Crafting recipes'!$H$6:$H$1005,MATCH(J496,'Crafting recipes'!$A$6:$A$1005,0)),"MISSING ID"),"Advances one material tier","Lower-tier ingredient; route advances one tier"),"Needs tier review"))))))</x:f>
        <x:v>Advances one material tier</x:v>
      </x:c>
      <x:c r="S496" s="4" t="str">
        <x:f>IFERROR(INDEX('Material routes'!$D$6:$D$2205,MATCH(U496,'Material routes'!$A$6:$A$2205,0)),"MISSING ID")</x:f>
        <x:v>proposal.t3.spacer_set</x:v>
      </x:c>
      <x:c r="T496" s="4" t="str">
        <x:f>IFERROR(INDEX('Material routes'!$D$6:$D$2205,MATCH(V496,'Material routes'!$A$6:$A$2205,0)),"MISSING ID")</x:f>
        <x:v>proposal.t4.insulated_winding</x:v>
      </x:c>
      <x:c r="U496" s="4" t="str">
        <x:v>design.lore.iron_winding_assembly.in.3</x:v>
      </x:c>
      <x:c r="V496" s="4" t="str">
        <x:v>design.lore.iron_winding_assembly.out</x:v>
      </x:c>
    </x:row>
    <x:row r="497" ht="115" customHeight="1">
      <x:c r="A497" s="4"/>
      <x:c r="B497" s="4"/>
      <x:c r="C497" s="4"/>
      <x:c r="D497" s="4"/>
      <x:c r="E497" s="4"/>
      <x:c r="F497" s="4"/>
      <x:c r="G497" s="4"/>
      <x:c r="H497" s="4"/>
      <x:c r="I497" s="4"/>
      <x:c r="J497" s="4"/>
      <x:c r="K497" s="4"/>
      <x:c r="L497" s="4"/>
      <x:c r="M497" s="4"/>
      <x:c r="N497" s="4"/>
      <x:c r="O497" s="4"/>
      <x:c r="P497" s="4"/>
      <x:c r="Q497" s="4"/>
      <x:c r="R497" s="4"/>
      <x:c r="S497" s="4"/>
      <x:c r="T497" s="4"/>
      <x:c r="U497" s="4"/>
      <x:c r="V497" s="4"/>
    </x:row>
    <x:row r="498" ht="115" customHeight="1">
      <x:c r="A498" s="4"/>
      <x:c r="B498" s="4"/>
      <x:c r="C498" s="4"/>
      <x:c r="D498" s="4"/>
      <x:c r="E498" s="4"/>
      <x:c r="F498" s="4"/>
      <x:c r="G498" s="4"/>
      <x:c r="H498" s="4"/>
      <x:c r="I498" s="4"/>
      <x:c r="J498" s="4"/>
      <x:c r="K498" s="4"/>
      <x:c r="L498" s="4"/>
      <x:c r="M498" s="4"/>
      <x:c r="N498" s="4"/>
      <x:c r="O498" s="4"/>
      <x:c r="P498" s="4"/>
      <x:c r="Q498" s="4"/>
      <x:c r="R498" s="4"/>
      <x:c r="S498" s="4"/>
      <x:c r="T498" s="4"/>
      <x:c r="U498" s="4"/>
      <x:c r="V498" s="4"/>
    </x:row>
    <x:row r="499" ht="115" customHeight="1">
      <x:c r="A499" s="4" t="str">
        <x:f>IFERROR(INDEX('Material routes'!$E$6:$E$2205,MATCH(U499,'Material routes'!$A$6:$A$2205,0)),"MISSING ID")</x:f>
        <x:v>Matched metal fastener set</x:v>
      </x:c>
      <x:c r="B499" s="4" t="str">
        <x:f>IFERROR(INDEX('Material routes'!$F$6:$F$2205,MATCH(U499,'Material routes'!$A$6:$A$2205,0)),"MISSING ID")</x:f>
        <x:v>T3</x:v>
      </x:c>
      <x:c r="C499" s="4" t="str">
        <x:f>IFERROR(INDEX('Material routes'!$H$6:$H$2205,MATCH(U499,'Material routes'!$A$6:$A$2205,0)),"MISSING ID")</x:f>
        <x:v>Crafting component</x:v>
      </x:c>
      <x:c r="D499" s="4" t="str">
        <x:f>IFERROR(INDEX('Material routes'!$G$6:$G$2205,MATCH(U499,'Material routes'!$A$6:$A$2205,0)),"MISSING ID")</x:f>
        <x:v>Crafting components</x:v>
      </x:c>
      <x:c r="E499" s="4" t="str">
        <x:f>IFERROR(INDEX('Material routes'!$C$6:$C$2205,MATCH(U499,'Material routes'!$A$6:$A$2205,0)),"MISSING ID")</x:f>
        <x:v>Ingredient candidate</x:v>
      </x:c>
      <x:c r="F499" s="4" t="str">
        <x:f>IFERROR(INDEX('Material routes'!$E$6:$E$2205,MATCH(V499,'Material routes'!$A$6:$A$2205,0)),"MISSING ID")</x:f>
        <x:v>Matched mechanical drive cassette</x:v>
      </x:c>
      <x:c r="G499" s="4" t="str">
        <x:f>IFERROR(INDEX('Material routes'!$F$6:$F$2205,MATCH(V499,'Material routes'!$A$6:$A$2205,0)),"MISSING ID")</x:f>
        <x:v>T4</x:v>
      </x:c>
      <x:c r="H499" s="4" t="str">
        <x:f>IFERROR(INDEX('Material routes'!$H$6:$H$2205,MATCH(V499,'Material routes'!$A$6:$A$2205,0)),"MISSING ID")</x:f>
        <x:v>Crafting component</x:v>
      </x:c>
      <x:c r="I499" s="4" t="str">
        <x:f>IFERROR(INDEX('Material routes'!$G$6:$G$2205,MATCH(V499,'Material routes'!$A$6:$A$2205,0)),"MISSING ID")</x:f>
        <x:v>Crafting components</x:v>
      </x:c>
      <x:c r="J499" s="4" t="str">
        <x:f>IFERROR(INDEX('Material routes'!$B$6:$B$2205,MATCH(U499,'Material routes'!$A$6:$A$2205,0)),"MISSING ID")</x:f>
        <x:v>design.t4.drive_cassette</x:v>
      </x:c>
      <x:c r="K499" s="4" t="str">
        <x:f>IFERROR(INDEX('Crafting recipes'!$C$6:$C$1005,MATCH(J499,'Crafting recipes'!$A$6:$A$1005,0)),"MISSING ID")</x:f>
        <x:v>Material refinement</x:v>
      </x:c>
      <x:c r="L499" s="4" t="str">
        <x:f>IFERROR(INDEX('Material routes'!$K$6:$K$2205,MATCH(U499,'Material routes'!$A$6:$A$2205,0)),"MISSING ID")</x:f>
        <x:v>Proposal</x:v>
      </x:c>
      <x:c r="M499" s="4" t="str">
        <x:f>IFERROR(INDEX('Material routes'!$M$6:$M$2205,MATCH(U499,'Material routes'!$A$6:$A$2205,0)),"MISSING ID")</x:f>
        <x:v>Partial proposal</x:v>
      </x:c>
      <x:c r="N499" s="4" t="str">
        <x:f>IF(IFERROR(INDEX('Material routes'!$I$6:$I$1005,MATCH(U499,'Material routes'!$A$6:$A$1005,0)),"MISSING ID")=0,"",IFERROR(INDEX('Material routes'!$I$6:$I$1005,MATCH(U499,'Material routes'!$A$6:$A$1005,0)),"MISSING ID"))</x:f>
      </x:c>
      <x:c r="O499" s="4" t="str">
        <x:f>IFERROR(INDEX('Material routes'!$J$6:$J$2205,MATCH(U499,'Material routes'!$A$6:$A$2205,0)),"MISSING ID")</x:f>
        <x:v>Unspecified</x:v>
      </x:c>
      <x:c r="P499" s="4" t="str">
        <x:f>IF(IFERROR(INDEX('Material routes'!$I$6:$I$1005,MATCH(V499,'Material routes'!$A$6:$A$1005,0)),"MISSING ID")=0,"",IFERROR(INDEX('Material routes'!$I$6:$I$1005,MATCH(V499,'Material routes'!$A$6:$A$1005,0)),"MISSING ID"))</x:f>
      </x:c>
      <x:c r="Q499" s="4" t="str">
        <x:f>IFERROR(INDEX('Material routes'!$J$6:$J$2205,MATCH(V499,'Material routes'!$A$6:$A$2205,0)),"MISSING ID")</x:f>
        <x:v>Unspecified</x:v>
      </x:c>
      <x:c r="R499" s="4" t="str">
        <x:f>IF(L499="Withheld","Withheld premise",IF(E499="Tool candidate","Reusable prerequisite",IF(K499="Raw entry preparation","Entry-resource preparation",IF(G499="Not applicable",IF(IFERROR(INDEX('Items'!$AI$6:$AI$1005,MATCH(T499,'Items'!$A$6:$A$1005,0)),"MISSING ID")="Finished item","Finished endpoint",IF(IFERROR(INDEX('Items'!$AI$6:$AI$1005,MATCH(T499,'Items'!$A$6:$A$1005,0)),"MISSING ID")="Currency","Currency / no refinement tier","Recovered output / tier not applicable")),IF(OR(IFERROR(INDEX('Crafting recipes'!$H$6:$H$1005,MATCH(J499,'Crafting recipes'!$A$6:$A$1005,0)),"MISSING ID")="Unassigned",G499="Unassigned"),"Tier unresolved",IF(IFERROR(VALUE(RIGHT(G499,1))-VALUE(RIGHT(IFERROR(INDEX('Crafting recipes'!$H$6:$H$1005,MATCH(J499,'Crafting recipes'!$A$6:$A$1005,0)),"MISSING ID"),1)),0)=1,IF(B499=IFERROR(INDEX('Crafting recipes'!$H$6:$H$1005,MATCH(J499,'Crafting recipes'!$A$6:$A$1005,0)),"MISSING ID"),"Advances one material tier","Lower-tier ingredient; route advances one tier"),"Needs tier review"))))))</x:f>
        <x:v>Advances one material tier</x:v>
      </x:c>
      <x:c r="S499" s="4" t="str">
        <x:f>IFERROR(INDEX('Material routes'!$D$6:$D$2205,MATCH(U499,'Material routes'!$A$6:$A$2205,0)),"MISSING ID")</x:f>
        <x:v>proposal.lore.fastener_set</x:v>
      </x:c>
      <x:c r="T499" s="4" t="str">
        <x:f>IFERROR(INDEX('Material routes'!$D$6:$D$2205,MATCH(V499,'Material routes'!$A$6:$A$2205,0)),"MISSING ID")</x:f>
        <x:v>proposal.t4.drive_cassette</x:v>
      </x:c>
      <x:c r="U499" s="4" t="str">
        <x:v>design.t4.drive_cassette.lore.hardware.1</x:v>
      </x:c>
      <x:c r="V499" s="4" t="str">
        <x:v>design.t4.drive_cassette.out</x:v>
      </x:c>
    </x:row>
    <x:row r="500" ht="115" customHeight="1">
      <x:c r="A500" s="4" t="str">
        <x:f>IFERROR(INDEX('Material routes'!$E$6:$E$2205,MATCH(U500,'Material routes'!$A$6:$A$2205,0)),"MISSING ID")</x:f>
        <x:v>Matched metal fastener set</x:v>
      </x:c>
      <x:c r="B500" s="4" t="str">
        <x:f>IFERROR(INDEX('Material routes'!$F$6:$F$2205,MATCH(U500,'Material routes'!$A$6:$A$2205,0)),"MISSING ID")</x:f>
        <x:v>T3</x:v>
      </x:c>
      <x:c r="C500" s="4" t="str">
        <x:f>IFERROR(INDEX('Material routes'!$H$6:$H$2205,MATCH(U500,'Material routes'!$A$6:$A$2205,0)),"MISSING ID")</x:f>
        <x:v>Crafting component</x:v>
      </x:c>
      <x:c r="D500" s="4" t="str">
        <x:f>IFERROR(INDEX('Material routes'!$G$6:$G$2205,MATCH(U500,'Material routes'!$A$6:$A$2205,0)),"MISSING ID")</x:f>
        <x:v>Crafting components</x:v>
      </x:c>
      <x:c r="E500" s="4" t="str">
        <x:f>IFERROR(INDEX('Material routes'!$C$6:$C$2205,MATCH(U500,'Material routes'!$A$6:$A$2205,0)),"MISSING ID")</x:f>
        <x:v>Ingredient candidate</x:v>
      </x:c>
      <x:c r="F500" s="4" t="str">
        <x:f>IFERROR(INDEX('Material routes'!$E$6:$E$2205,MATCH(V500,'Material routes'!$A$6:$A$2205,0)),"MISSING ID")</x:f>
        <x:v>Dust-excluding bearing cartridge</x:v>
      </x:c>
      <x:c r="G500" s="4" t="str">
        <x:f>IFERROR(INDEX('Material routes'!$F$6:$F$2205,MATCH(V500,'Material routes'!$A$6:$A$2205,0)),"MISSING ID")</x:f>
        <x:v>T4</x:v>
      </x:c>
      <x:c r="H500" s="4" t="str">
        <x:f>IFERROR(INDEX('Material routes'!$H$6:$H$2205,MATCH(V500,'Material routes'!$A$6:$A$2205,0)),"MISSING ID")</x:f>
        <x:v>Crafting component</x:v>
      </x:c>
      <x:c r="I500" s="4" t="str">
        <x:f>IFERROR(INDEX('Material routes'!$G$6:$G$2205,MATCH(V500,'Material routes'!$A$6:$A$2205,0)),"MISSING ID")</x:f>
        <x:v>Crafting components</x:v>
      </x:c>
      <x:c r="J500" s="4" t="str">
        <x:f>IFERROR(INDEX('Material routes'!$B$6:$B$2205,MATCH(U500,'Material routes'!$A$6:$A$2205,0)),"MISSING ID")</x:f>
        <x:v>design.t4.bearing_cartridge</x:v>
      </x:c>
      <x:c r="K500" s="4" t="str">
        <x:f>IFERROR(INDEX('Crafting recipes'!$C$6:$C$1005,MATCH(J500,'Crafting recipes'!$A$6:$A$1005,0)),"MISSING ID")</x:f>
        <x:v>Material refinement</x:v>
      </x:c>
      <x:c r="L500" s="4" t="str">
        <x:f>IFERROR(INDEX('Material routes'!$K$6:$K$2205,MATCH(U500,'Material routes'!$A$6:$A$2205,0)),"MISSING ID")</x:f>
        <x:v>Proposal</x:v>
      </x:c>
      <x:c r="M500" s="4" t="str">
        <x:f>IFERROR(INDEX('Material routes'!$M$6:$M$2205,MATCH(U500,'Material routes'!$A$6:$A$2205,0)),"MISSING ID")</x:f>
        <x:v>Partial proposal</x:v>
      </x:c>
      <x:c r="N500" s="4" t="str">
        <x:f>IF(IFERROR(INDEX('Material routes'!$I$6:$I$1005,MATCH(U500,'Material routes'!$A$6:$A$1005,0)),"MISSING ID")=0,"",IFERROR(INDEX('Material routes'!$I$6:$I$1005,MATCH(U500,'Material routes'!$A$6:$A$1005,0)),"MISSING ID"))</x:f>
      </x:c>
      <x:c r="O500" s="4" t="str">
        <x:f>IFERROR(INDEX('Material routes'!$J$6:$J$2205,MATCH(U500,'Material routes'!$A$6:$A$2205,0)),"MISSING ID")</x:f>
        <x:v>Unspecified</x:v>
      </x:c>
      <x:c r="P500" s="4" t="str">
        <x:f>IF(IFERROR(INDEX('Material routes'!$I$6:$I$1005,MATCH(V500,'Material routes'!$A$6:$A$1005,0)),"MISSING ID")=0,"",IFERROR(INDEX('Material routes'!$I$6:$I$1005,MATCH(V500,'Material routes'!$A$6:$A$1005,0)),"MISSING ID"))</x:f>
      </x:c>
      <x:c r="Q500" s="4" t="str">
        <x:f>IFERROR(INDEX('Material routes'!$J$6:$J$2205,MATCH(V500,'Material routes'!$A$6:$A$2205,0)),"MISSING ID")</x:f>
        <x:v>Unspecified</x:v>
      </x:c>
      <x:c r="R500" s="4" t="str">
        <x:f>IF(L500="Withheld","Withheld premise",IF(E500="Tool candidate","Reusable prerequisite",IF(K500="Raw entry preparation","Entry-resource preparation",IF(G500="Not applicable",IF(IFERROR(INDEX('Items'!$AI$6:$AI$1005,MATCH(T500,'Items'!$A$6:$A$1005,0)),"MISSING ID")="Finished item","Finished endpoint",IF(IFERROR(INDEX('Items'!$AI$6:$AI$1005,MATCH(T500,'Items'!$A$6:$A$1005,0)),"MISSING ID")="Currency","Currency / no refinement tier","Recovered output / tier not applicable")),IF(OR(IFERROR(INDEX('Crafting recipes'!$H$6:$H$1005,MATCH(J500,'Crafting recipes'!$A$6:$A$1005,0)),"MISSING ID")="Unassigned",G500="Unassigned"),"Tier unresolved",IF(IFERROR(VALUE(RIGHT(G500,1))-VALUE(RIGHT(IFERROR(INDEX('Crafting recipes'!$H$6:$H$1005,MATCH(J500,'Crafting recipes'!$A$6:$A$1005,0)),"MISSING ID"),1)),0)=1,IF(B500=IFERROR(INDEX('Crafting recipes'!$H$6:$H$1005,MATCH(J500,'Crafting recipes'!$A$6:$A$1005,0)),"MISSING ID"),"Advances one material tier","Lower-tier ingredient; route advances one tier"),"Needs tier review"))))))</x:f>
        <x:v>Advances one material tier</x:v>
      </x:c>
      <x:c r="S500" s="4" t="str">
        <x:f>IFERROR(INDEX('Material routes'!$D$6:$D$2205,MATCH(U500,'Material routes'!$A$6:$A$2205,0)),"MISSING ID")</x:f>
        <x:v>proposal.lore.fastener_set</x:v>
      </x:c>
      <x:c r="T500" s="4" t="str">
        <x:f>IFERROR(INDEX('Material routes'!$D$6:$D$2205,MATCH(V500,'Material routes'!$A$6:$A$2205,0)),"MISSING ID")</x:f>
        <x:v>proposal.t4.bearing_cartridge</x:v>
      </x:c>
      <x:c r="U500" s="4" t="str">
        <x:v>design.t4.bearing_cartridge.lore.hardware.2</x:v>
      </x:c>
      <x:c r="V500" s="4" t="str">
        <x:v>design.t4.bearing_cartridge.out</x:v>
      </x:c>
    </x:row>
    <x:row r="501" ht="115" customHeight="1">
      <x:c r="A501" s="4" t="str">
        <x:f>IFERROR(INDEX('Material routes'!$E$6:$E$2205,MATCH(U501,'Material routes'!$A$6:$A$2205,0)),"MISSING ID")</x:f>
        <x:v>Matched metal fastener set</x:v>
      </x:c>
      <x:c r="B501" s="4" t="str">
        <x:f>IFERROR(INDEX('Material routes'!$F$6:$F$2205,MATCH(U501,'Material routes'!$A$6:$A$2205,0)),"MISSING ID")</x:f>
        <x:v>T3</x:v>
      </x:c>
      <x:c r="C501" s="4" t="str">
        <x:f>IFERROR(INDEX('Material routes'!$H$6:$H$2205,MATCH(U501,'Material routes'!$A$6:$A$2205,0)),"MISSING ID")</x:f>
        <x:v>Crafting component</x:v>
      </x:c>
      <x:c r="D501" s="4" t="str">
        <x:f>IFERROR(INDEX('Material routes'!$G$6:$G$2205,MATCH(U501,'Material routes'!$A$6:$A$2205,0)),"MISSING ID")</x:f>
        <x:v>Crafting components</x:v>
      </x:c>
      <x:c r="E501" s="4" t="str">
        <x:f>IFERROR(INDEX('Material routes'!$C$6:$C$2205,MATCH(U501,'Material routes'!$A$6:$A$2205,0)),"MISSING ID")</x:f>
        <x:v>Ingredient candidate</x:v>
      </x:c>
      <x:c r="F501" s="4" t="str">
        <x:f>IFERROR(INDEX('Material routes'!$E$6:$E$2205,MATCH(V501,'Material routes'!$A$6:$A$2205,0)),"MISSING ID")</x:f>
        <x:v>Screened radio chassis insert</x:v>
      </x:c>
      <x:c r="G501" s="4" t="str">
        <x:f>IFERROR(INDEX('Material routes'!$F$6:$F$2205,MATCH(V501,'Material routes'!$A$6:$A$2205,0)),"MISSING ID")</x:f>
        <x:v>T4</x:v>
      </x:c>
      <x:c r="H501" s="4" t="str">
        <x:f>IFERROR(INDEX('Material routes'!$H$6:$H$2205,MATCH(V501,'Material routes'!$A$6:$A$2205,0)),"MISSING ID")</x:f>
        <x:v>Crafting component</x:v>
      </x:c>
      <x:c r="I501" s="4" t="str">
        <x:f>IFERROR(INDEX('Material routes'!$G$6:$G$2205,MATCH(V501,'Material routes'!$A$6:$A$2205,0)),"MISSING ID")</x:f>
        <x:v>Crafting components</x:v>
      </x:c>
      <x:c r="J501" s="4" t="str">
        <x:f>IFERROR(INDEX('Material routes'!$B$6:$B$2205,MATCH(U501,'Material routes'!$A$6:$A$2205,0)),"MISSING ID")</x:f>
        <x:v>design.t4.screened_chassis</x:v>
      </x:c>
      <x:c r="K501" s="4" t="str">
        <x:f>IFERROR(INDEX('Crafting recipes'!$C$6:$C$1005,MATCH(J501,'Crafting recipes'!$A$6:$A$1005,0)),"MISSING ID")</x:f>
        <x:v>Material refinement</x:v>
      </x:c>
      <x:c r="L501" s="4" t="str">
        <x:f>IFERROR(INDEX('Material routes'!$K$6:$K$2205,MATCH(U501,'Material routes'!$A$6:$A$2205,0)),"MISSING ID")</x:f>
        <x:v>Proposal</x:v>
      </x:c>
      <x:c r="M501" s="4" t="str">
        <x:f>IFERROR(INDEX('Material routes'!$M$6:$M$2205,MATCH(U501,'Material routes'!$A$6:$A$2205,0)),"MISSING ID")</x:f>
        <x:v>Partial proposal</x:v>
      </x:c>
      <x:c r="N501" s="4" t="str">
        <x:f>IF(IFERROR(INDEX('Material routes'!$I$6:$I$1005,MATCH(U501,'Material routes'!$A$6:$A$1005,0)),"MISSING ID")=0,"",IFERROR(INDEX('Material routes'!$I$6:$I$1005,MATCH(U501,'Material routes'!$A$6:$A$1005,0)),"MISSING ID"))</x:f>
      </x:c>
      <x:c r="O501" s="4" t="str">
        <x:f>IFERROR(INDEX('Material routes'!$J$6:$J$2205,MATCH(U501,'Material routes'!$A$6:$A$2205,0)),"MISSING ID")</x:f>
        <x:v>Unspecified</x:v>
      </x:c>
      <x:c r="P501" s="4" t="str">
        <x:f>IF(IFERROR(INDEX('Material routes'!$I$6:$I$1005,MATCH(V501,'Material routes'!$A$6:$A$1005,0)),"MISSING ID")=0,"",IFERROR(INDEX('Material routes'!$I$6:$I$1005,MATCH(V501,'Material routes'!$A$6:$A$1005,0)),"MISSING ID"))</x:f>
      </x:c>
      <x:c r="Q501" s="4" t="str">
        <x:f>IFERROR(INDEX('Material routes'!$J$6:$J$2205,MATCH(V501,'Material routes'!$A$6:$A$2205,0)),"MISSING ID")</x:f>
        <x:v>Unspecified</x:v>
      </x:c>
      <x:c r="R501" s="4" t="str">
        <x:f>IF(L501="Withheld","Withheld premise",IF(E501="Tool candidate","Reusable prerequisite",IF(K501="Raw entry preparation","Entry-resource preparation",IF(G501="Not applicable",IF(IFERROR(INDEX('Items'!$AI$6:$AI$1005,MATCH(T501,'Items'!$A$6:$A$1005,0)),"MISSING ID")="Finished item","Finished endpoint",IF(IFERROR(INDEX('Items'!$AI$6:$AI$1005,MATCH(T501,'Items'!$A$6:$A$1005,0)),"MISSING ID")="Currency","Currency / no refinement tier","Recovered output / tier not applicable")),IF(OR(IFERROR(INDEX('Crafting recipes'!$H$6:$H$1005,MATCH(J501,'Crafting recipes'!$A$6:$A$1005,0)),"MISSING ID")="Unassigned",G501="Unassigned"),"Tier unresolved",IF(IFERROR(VALUE(RIGHT(G501,1))-VALUE(RIGHT(IFERROR(INDEX('Crafting recipes'!$H$6:$H$1005,MATCH(J501,'Crafting recipes'!$A$6:$A$1005,0)),"MISSING ID"),1)),0)=1,IF(B501=IFERROR(INDEX('Crafting recipes'!$H$6:$H$1005,MATCH(J501,'Crafting recipes'!$A$6:$A$1005,0)),"MISSING ID"),"Advances one material tier","Lower-tier ingredient; route advances one tier"),"Needs tier review"))))))</x:f>
        <x:v>Advances one material tier</x:v>
      </x:c>
      <x:c r="S501" s="4" t="str">
        <x:f>IFERROR(INDEX('Material routes'!$D$6:$D$2205,MATCH(U501,'Material routes'!$A$6:$A$2205,0)),"MISSING ID")</x:f>
        <x:v>proposal.lore.fastener_set</x:v>
      </x:c>
      <x:c r="T501" s="4" t="str">
        <x:f>IFERROR(INDEX('Material routes'!$D$6:$D$2205,MATCH(V501,'Material routes'!$A$6:$A$2205,0)),"MISSING ID")</x:f>
        <x:v>proposal.t4.screened_chassis</x:v>
      </x:c>
      <x:c r="U501" s="4" t="str">
        <x:v>design.t4.screened_chassis.lore.hardware.3</x:v>
      </x:c>
      <x:c r="V501" s="4" t="str">
        <x:v>design.t4.screened_chassis.out</x:v>
      </x:c>
    </x:row>
    <x:row r="502" ht="115" customHeight="1">
      <x:c r="A502" s="4" t="str">
        <x:f>IFERROR(INDEX('Material routes'!$E$6:$E$2205,MATCH(U502,'Material routes'!$A$6:$A$2205,0)),"MISSING ID")</x:f>
        <x:v>Matched metal fastener set</x:v>
      </x:c>
      <x:c r="B502" s="4" t="str">
        <x:f>IFERROR(INDEX('Material routes'!$F$6:$F$2205,MATCH(U502,'Material routes'!$A$6:$A$2205,0)),"MISSING ID")</x:f>
        <x:v>T3</x:v>
      </x:c>
      <x:c r="C502" s="4" t="str">
        <x:f>IFERROR(INDEX('Material routes'!$H$6:$H$2205,MATCH(U502,'Material routes'!$A$6:$A$2205,0)),"MISSING ID")</x:f>
        <x:v>Crafting component</x:v>
      </x:c>
      <x:c r="D502" s="4" t="str">
        <x:f>IFERROR(INDEX('Material routes'!$G$6:$G$2205,MATCH(U502,'Material routes'!$A$6:$A$2205,0)),"MISSING ID")</x:f>
        <x:v>Crafting components</x:v>
      </x:c>
      <x:c r="E502" s="4" t="str">
        <x:f>IFERROR(INDEX('Material routes'!$C$6:$C$2205,MATCH(U502,'Material routes'!$A$6:$A$2205,0)),"MISSING ID")</x:f>
        <x:v>Ingredient candidate</x:v>
      </x:c>
      <x:c r="F502" s="4" t="str">
        <x:f>IFERROR(INDEX('Material routes'!$E$6:$E$2205,MATCH(V502,'Material routes'!$A$6:$A$2205,0)),"MISSING ID")</x:f>
        <x:v>Sealed electrical bulkhead insert</x:v>
      </x:c>
      <x:c r="G502" s="4" t="str">
        <x:f>IFERROR(INDEX('Material routes'!$F$6:$F$2205,MATCH(V502,'Material routes'!$A$6:$A$2205,0)),"MISSING ID")</x:f>
        <x:v>T4</x:v>
      </x:c>
      <x:c r="H502" s="4" t="str">
        <x:f>IFERROR(INDEX('Material routes'!$H$6:$H$2205,MATCH(V502,'Material routes'!$A$6:$A$2205,0)),"MISSING ID")</x:f>
        <x:v>Crafting component</x:v>
      </x:c>
      <x:c r="I502" s="4" t="str">
        <x:f>IFERROR(INDEX('Material routes'!$G$6:$G$2205,MATCH(V502,'Material routes'!$A$6:$A$2205,0)),"MISSING ID")</x:f>
        <x:v>Crafting components</x:v>
      </x:c>
      <x:c r="J502" s="4" t="str">
        <x:f>IFERROR(INDEX('Material routes'!$B$6:$B$2205,MATCH(U502,'Material routes'!$A$6:$A$2205,0)),"MISSING ID")</x:f>
        <x:v>design.t4.electrical_bulkhead</x:v>
      </x:c>
      <x:c r="K502" s="4" t="str">
        <x:f>IFERROR(INDEX('Crafting recipes'!$C$6:$C$1005,MATCH(J502,'Crafting recipes'!$A$6:$A$1005,0)),"MISSING ID")</x:f>
        <x:v>Material refinement</x:v>
      </x:c>
      <x:c r="L502" s="4" t="str">
        <x:f>IFERROR(INDEX('Material routes'!$K$6:$K$2205,MATCH(U502,'Material routes'!$A$6:$A$2205,0)),"MISSING ID")</x:f>
        <x:v>Proposal</x:v>
      </x:c>
      <x:c r="M502" s="4" t="str">
        <x:f>IFERROR(INDEX('Material routes'!$M$6:$M$2205,MATCH(U502,'Material routes'!$A$6:$A$2205,0)),"MISSING ID")</x:f>
        <x:v>Partial proposal</x:v>
      </x:c>
      <x:c r="N502" s="4" t="str">
        <x:f>IF(IFERROR(INDEX('Material routes'!$I$6:$I$1005,MATCH(U502,'Material routes'!$A$6:$A$1005,0)),"MISSING ID")=0,"",IFERROR(INDEX('Material routes'!$I$6:$I$1005,MATCH(U502,'Material routes'!$A$6:$A$1005,0)),"MISSING ID"))</x:f>
      </x:c>
      <x:c r="O502" s="4" t="str">
        <x:f>IFERROR(INDEX('Material routes'!$J$6:$J$2205,MATCH(U502,'Material routes'!$A$6:$A$2205,0)),"MISSING ID")</x:f>
        <x:v>Unspecified</x:v>
      </x:c>
      <x:c r="P502" s="4" t="str">
        <x:f>IF(IFERROR(INDEX('Material routes'!$I$6:$I$1005,MATCH(V502,'Material routes'!$A$6:$A$1005,0)),"MISSING ID")=0,"",IFERROR(INDEX('Material routes'!$I$6:$I$1005,MATCH(V502,'Material routes'!$A$6:$A$1005,0)),"MISSING ID"))</x:f>
      </x:c>
      <x:c r="Q502" s="4" t="str">
        <x:f>IFERROR(INDEX('Material routes'!$J$6:$J$2205,MATCH(V502,'Material routes'!$A$6:$A$2205,0)),"MISSING ID")</x:f>
        <x:v>Unspecified</x:v>
      </x:c>
      <x:c r="R502" s="4" t="str">
        <x:f>IF(L502="Withheld","Withheld premise",IF(E502="Tool candidate","Reusable prerequisite",IF(K502="Raw entry preparation","Entry-resource preparation",IF(G502="Not applicable",IF(IFERROR(INDEX('Items'!$AI$6:$AI$1005,MATCH(T502,'Items'!$A$6:$A$1005,0)),"MISSING ID")="Finished item","Finished endpoint",IF(IFERROR(INDEX('Items'!$AI$6:$AI$1005,MATCH(T502,'Items'!$A$6:$A$1005,0)),"MISSING ID")="Currency","Currency / no refinement tier","Recovered output / tier not applicable")),IF(OR(IFERROR(INDEX('Crafting recipes'!$H$6:$H$1005,MATCH(J502,'Crafting recipes'!$A$6:$A$1005,0)),"MISSING ID")="Unassigned",G502="Unassigned"),"Tier unresolved",IF(IFERROR(VALUE(RIGHT(G502,1))-VALUE(RIGHT(IFERROR(INDEX('Crafting recipes'!$H$6:$H$1005,MATCH(J502,'Crafting recipes'!$A$6:$A$1005,0)),"MISSING ID"),1)),0)=1,IF(B502=IFERROR(INDEX('Crafting recipes'!$H$6:$H$1005,MATCH(J502,'Crafting recipes'!$A$6:$A$1005,0)),"MISSING ID"),"Advances one material tier","Lower-tier ingredient; route advances one tier"),"Needs tier review"))))))</x:f>
        <x:v>Advances one material tier</x:v>
      </x:c>
      <x:c r="S502" s="4" t="str">
        <x:f>IFERROR(INDEX('Material routes'!$D$6:$D$2205,MATCH(U502,'Material routes'!$A$6:$A$2205,0)),"MISSING ID")</x:f>
        <x:v>proposal.lore.fastener_set</x:v>
      </x:c>
      <x:c r="T502" s="4" t="str">
        <x:f>IFERROR(INDEX('Material routes'!$D$6:$D$2205,MATCH(V502,'Material routes'!$A$6:$A$2205,0)),"MISSING ID")</x:f>
        <x:v>proposal.t4.electrical_bulkhead</x:v>
      </x:c>
      <x:c r="U502" s="4" t="str">
        <x:v>design.t4.electrical_bulkhead.lore.hardware.4</x:v>
      </x:c>
      <x:c r="V502" s="4" t="str">
        <x:v>design.t4.electrical_bulkhead.out</x:v>
      </x:c>
    </x:row>
    <x:row r="503" ht="115" customHeight="1">
      <x:c r="A503" s="4" t="str">
        <x:f>IFERROR(INDEX('Material routes'!$E$6:$E$2205,MATCH(U503,'Material routes'!$A$6:$A$2205,0)),"MISSING ID")</x:f>
        <x:v>Matched metal fastener set</x:v>
      </x:c>
      <x:c r="B503" s="4" t="str">
        <x:f>IFERROR(INDEX('Material routes'!$F$6:$F$2205,MATCH(U503,'Material routes'!$A$6:$A$2205,0)),"MISSING ID")</x:f>
        <x:v>T3</x:v>
      </x:c>
      <x:c r="C503" s="4" t="str">
        <x:f>IFERROR(INDEX('Material routes'!$H$6:$H$2205,MATCH(U503,'Material routes'!$A$6:$A$2205,0)),"MISSING ID")</x:f>
        <x:v>Crafting component</x:v>
      </x:c>
      <x:c r="D503" s="4" t="str">
        <x:f>IFERROR(INDEX('Material routes'!$G$6:$G$2205,MATCH(U503,'Material routes'!$A$6:$A$2205,0)),"MISSING ID")</x:f>
        <x:v>Crafting components</x:v>
      </x:c>
      <x:c r="E503" s="4" t="str">
        <x:f>IFERROR(INDEX('Material routes'!$C$6:$C$2205,MATCH(U503,'Material routes'!$A$6:$A$2205,0)),"MISSING ID")</x:f>
        <x:v>Ingredient candidate</x:v>
      </x:c>
      <x:c r="F503" s="4" t="str">
        <x:f>IFERROR(INDEX('Material routes'!$E$6:$E$2205,MATCH(V503,'Material routes'!$A$6:$A$2205,0)),"MISSING ID")</x:f>
        <x:v>Serviceable insulated contact block</x:v>
      </x:c>
      <x:c r="G503" s="4" t="str">
        <x:f>IFERROR(INDEX('Material routes'!$F$6:$F$2205,MATCH(V503,'Material routes'!$A$6:$A$2205,0)),"MISSING ID")</x:f>
        <x:v>T4</x:v>
      </x:c>
      <x:c r="H503" s="4" t="str">
        <x:f>IFERROR(INDEX('Material routes'!$H$6:$H$2205,MATCH(V503,'Material routes'!$A$6:$A$2205,0)),"MISSING ID")</x:f>
        <x:v>Crafting component</x:v>
      </x:c>
      <x:c r="I503" s="4" t="str">
        <x:f>IFERROR(INDEX('Material routes'!$G$6:$G$2205,MATCH(V503,'Material routes'!$A$6:$A$2205,0)),"MISSING ID")</x:f>
        <x:v>Crafting components</x:v>
      </x:c>
      <x:c r="J503" s="4" t="str">
        <x:f>IFERROR(INDEX('Material routes'!$B$6:$B$2205,MATCH(U503,'Material routes'!$A$6:$A$2205,0)),"MISSING ID")</x:f>
        <x:v>design.t4.contact_block</x:v>
      </x:c>
      <x:c r="K503" s="4" t="str">
        <x:f>IFERROR(INDEX('Crafting recipes'!$C$6:$C$1005,MATCH(J503,'Crafting recipes'!$A$6:$A$1005,0)),"MISSING ID")</x:f>
        <x:v>Material refinement</x:v>
      </x:c>
      <x:c r="L503" s="4" t="str">
        <x:f>IFERROR(INDEX('Material routes'!$K$6:$K$2205,MATCH(U503,'Material routes'!$A$6:$A$2205,0)),"MISSING ID")</x:f>
        <x:v>Proposal</x:v>
      </x:c>
      <x:c r="M503" s="4" t="str">
        <x:f>IFERROR(INDEX('Material routes'!$M$6:$M$2205,MATCH(U503,'Material routes'!$A$6:$A$2205,0)),"MISSING ID")</x:f>
        <x:v>Partial proposal</x:v>
      </x:c>
      <x:c r="N503" s="4" t="str">
        <x:f>IF(IFERROR(INDEX('Material routes'!$I$6:$I$1005,MATCH(U503,'Material routes'!$A$6:$A$1005,0)),"MISSING ID")=0,"",IFERROR(INDEX('Material routes'!$I$6:$I$1005,MATCH(U503,'Material routes'!$A$6:$A$1005,0)),"MISSING ID"))</x:f>
      </x:c>
      <x:c r="O503" s="4" t="str">
        <x:f>IFERROR(INDEX('Material routes'!$J$6:$J$2205,MATCH(U503,'Material routes'!$A$6:$A$2205,0)),"MISSING ID")</x:f>
        <x:v>Unspecified</x:v>
      </x:c>
      <x:c r="P503" s="4" t="str">
        <x:f>IF(IFERROR(INDEX('Material routes'!$I$6:$I$1005,MATCH(V503,'Material routes'!$A$6:$A$1005,0)),"MISSING ID")=0,"",IFERROR(INDEX('Material routes'!$I$6:$I$1005,MATCH(V503,'Material routes'!$A$6:$A$1005,0)),"MISSING ID"))</x:f>
      </x:c>
      <x:c r="Q503" s="4" t="str">
        <x:f>IFERROR(INDEX('Material routes'!$J$6:$J$2205,MATCH(V503,'Material routes'!$A$6:$A$2205,0)),"MISSING ID")</x:f>
        <x:v>Unspecified</x:v>
      </x:c>
      <x:c r="R503" s="4" t="str">
        <x:f>IF(L503="Withheld","Withheld premise",IF(E503="Tool candidate","Reusable prerequisite",IF(K503="Raw entry preparation","Entry-resource preparation",IF(G503="Not applicable",IF(IFERROR(INDEX('Items'!$AI$6:$AI$1005,MATCH(T503,'Items'!$A$6:$A$1005,0)),"MISSING ID")="Finished item","Finished endpoint",IF(IFERROR(INDEX('Items'!$AI$6:$AI$1005,MATCH(T503,'Items'!$A$6:$A$1005,0)),"MISSING ID")="Currency","Currency / no refinement tier","Recovered output / tier not applicable")),IF(OR(IFERROR(INDEX('Crafting recipes'!$H$6:$H$1005,MATCH(J503,'Crafting recipes'!$A$6:$A$1005,0)),"MISSING ID")="Unassigned",G503="Unassigned"),"Tier unresolved",IF(IFERROR(VALUE(RIGHT(G503,1))-VALUE(RIGHT(IFERROR(INDEX('Crafting recipes'!$H$6:$H$1005,MATCH(J503,'Crafting recipes'!$A$6:$A$1005,0)),"MISSING ID"),1)),0)=1,IF(B503=IFERROR(INDEX('Crafting recipes'!$H$6:$H$1005,MATCH(J503,'Crafting recipes'!$A$6:$A$1005,0)),"MISSING ID"),"Advances one material tier","Lower-tier ingredient; route advances one tier"),"Needs tier review"))))))</x:f>
        <x:v>Advances one material tier</x:v>
      </x:c>
      <x:c r="S503" s="4" t="str">
        <x:f>IFERROR(INDEX('Material routes'!$D$6:$D$2205,MATCH(U503,'Material routes'!$A$6:$A$2205,0)),"MISSING ID")</x:f>
        <x:v>proposal.lore.fastener_set</x:v>
      </x:c>
      <x:c r="T503" s="4" t="str">
        <x:f>IFERROR(INDEX('Material routes'!$D$6:$D$2205,MATCH(V503,'Material routes'!$A$6:$A$2205,0)),"MISSING ID")</x:f>
        <x:v>proposal.t4.contact_block</x:v>
      </x:c>
      <x:c r="U503" s="4" t="str">
        <x:v>design.t4.contact_block.lore.hardware.5</x:v>
      </x:c>
      <x:c r="V503" s="4" t="str">
        <x:v>design.t4.contact_block.out</x:v>
      </x:c>
    </x:row>
    <x:row r="504" ht="115" customHeight="1">
      <x:c r="A504" s="4" t="str">
        <x:f>IFERROR(INDEX('Material routes'!$E$6:$E$2205,MATCH(U504,'Material routes'!$A$6:$A$2205,0)),"MISSING ID")</x:f>
        <x:v>Matched metal fastener set</x:v>
      </x:c>
      <x:c r="B504" s="4" t="str">
        <x:f>IFERROR(INDEX('Material routes'!$F$6:$F$2205,MATCH(U504,'Material routes'!$A$6:$A$2205,0)),"MISSING ID")</x:f>
        <x:v>T3</x:v>
      </x:c>
      <x:c r="C504" s="4" t="str">
        <x:f>IFERROR(INDEX('Material routes'!$H$6:$H$2205,MATCH(U504,'Material routes'!$A$6:$A$2205,0)),"MISSING ID")</x:f>
        <x:v>Crafting component</x:v>
      </x:c>
      <x:c r="D504" s="4" t="str">
        <x:f>IFERROR(INDEX('Material routes'!$G$6:$G$2205,MATCH(U504,'Material routes'!$A$6:$A$2205,0)),"MISSING ID")</x:f>
        <x:v>Crafting components</x:v>
      </x:c>
      <x:c r="E504" s="4" t="str">
        <x:f>IFERROR(INDEX('Material routes'!$C$6:$C$2205,MATCH(U504,'Material routes'!$A$6:$A$2205,0)),"MISSING ID")</x:f>
        <x:v>Ingredient candidate</x:v>
      </x:c>
      <x:c r="F504" s="4" t="str">
        <x:f>IFERROR(INDEX('Material routes'!$E$6:$E$2205,MATCH(V504,'Material routes'!$A$6:$A$2205,0)),"MISSING ID")</x:f>
        <x:v>Articulated guard-panel subassembly</x:v>
      </x:c>
      <x:c r="G504" s="4" t="str">
        <x:f>IFERROR(INDEX('Material routes'!$F$6:$F$2205,MATCH(V504,'Material routes'!$A$6:$A$2205,0)),"MISSING ID")</x:f>
        <x:v>T4</x:v>
      </x:c>
      <x:c r="H504" s="4" t="str">
        <x:f>IFERROR(INDEX('Material routes'!$H$6:$H$2205,MATCH(V504,'Material routes'!$A$6:$A$2205,0)),"MISSING ID")</x:f>
        <x:v>Crafting component</x:v>
      </x:c>
      <x:c r="I504" s="4" t="str">
        <x:f>IFERROR(INDEX('Material routes'!$G$6:$G$2205,MATCH(V504,'Material routes'!$A$6:$A$2205,0)),"MISSING ID")</x:f>
        <x:v>Crafting components</x:v>
      </x:c>
      <x:c r="J504" s="4" t="str">
        <x:f>IFERROR(INDEX('Material routes'!$B$6:$B$2205,MATCH(U504,'Material routes'!$A$6:$A$2205,0)),"MISSING ID")</x:f>
        <x:v>design.t4.articulated_guard</x:v>
      </x:c>
      <x:c r="K504" s="4" t="str">
        <x:f>IFERROR(INDEX('Crafting recipes'!$C$6:$C$1005,MATCH(J504,'Crafting recipes'!$A$6:$A$1005,0)),"MISSING ID")</x:f>
        <x:v>Material refinement</x:v>
      </x:c>
      <x:c r="L504" s="4" t="str">
        <x:f>IFERROR(INDEX('Material routes'!$K$6:$K$2205,MATCH(U504,'Material routes'!$A$6:$A$2205,0)),"MISSING ID")</x:f>
        <x:v>Proposal</x:v>
      </x:c>
      <x:c r="M504" s="4" t="str">
        <x:f>IFERROR(INDEX('Material routes'!$M$6:$M$2205,MATCH(U504,'Material routes'!$A$6:$A$2205,0)),"MISSING ID")</x:f>
        <x:v>Partial proposal</x:v>
      </x:c>
      <x:c r="N504" s="4" t="str">
        <x:f>IF(IFERROR(INDEX('Material routes'!$I$6:$I$1005,MATCH(U504,'Material routes'!$A$6:$A$1005,0)),"MISSING ID")=0,"",IFERROR(INDEX('Material routes'!$I$6:$I$1005,MATCH(U504,'Material routes'!$A$6:$A$1005,0)),"MISSING ID"))</x:f>
      </x:c>
      <x:c r="O504" s="4" t="str">
        <x:f>IFERROR(INDEX('Material routes'!$J$6:$J$2205,MATCH(U504,'Material routes'!$A$6:$A$2205,0)),"MISSING ID")</x:f>
        <x:v>Unspecified</x:v>
      </x:c>
      <x:c r="P504" s="4" t="str">
        <x:f>IF(IFERROR(INDEX('Material routes'!$I$6:$I$1005,MATCH(V504,'Material routes'!$A$6:$A$1005,0)),"MISSING ID")=0,"",IFERROR(INDEX('Material routes'!$I$6:$I$1005,MATCH(V504,'Material routes'!$A$6:$A$1005,0)),"MISSING ID"))</x:f>
      </x:c>
      <x:c r="Q504" s="4" t="str">
        <x:f>IFERROR(INDEX('Material routes'!$J$6:$J$2205,MATCH(V504,'Material routes'!$A$6:$A$2205,0)),"MISSING ID")</x:f>
        <x:v>Unspecified</x:v>
      </x:c>
      <x:c r="R504" s="4" t="str">
        <x:f>IF(L504="Withheld","Withheld premise",IF(E504="Tool candidate","Reusable prerequisite",IF(K504="Raw entry preparation","Entry-resource preparation",IF(G504="Not applicable",IF(IFERROR(INDEX('Items'!$AI$6:$AI$1005,MATCH(T504,'Items'!$A$6:$A$1005,0)),"MISSING ID")="Finished item","Finished endpoint",IF(IFERROR(INDEX('Items'!$AI$6:$AI$1005,MATCH(T504,'Items'!$A$6:$A$1005,0)),"MISSING ID")="Currency","Currency / no refinement tier","Recovered output / tier not applicable")),IF(OR(IFERROR(INDEX('Crafting recipes'!$H$6:$H$1005,MATCH(J504,'Crafting recipes'!$A$6:$A$1005,0)),"MISSING ID")="Unassigned",G504="Unassigned"),"Tier unresolved",IF(IFERROR(VALUE(RIGHT(G504,1))-VALUE(RIGHT(IFERROR(INDEX('Crafting recipes'!$H$6:$H$1005,MATCH(J504,'Crafting recipes'!$A$6:$A$1005,0)),"MISSING ID"),1)),0)=1,IF(B504=IFERROR(INDEX('Crafting recipes'!$H$6:$H$1005,MATCH(J504,'Crafting recipes'!$A$6:$A$1005,0)),"MISSING ID"),"Advances one material tier","Lower-tier ingredient; route advances one tier"),"Needs tier review"))))))</x:f>
        <x:v>Advances one material tier</x:v>
      </x:c>
      <x:c r="S504" s="4" t="str">
        <x:f>IFERROR(INDEX('Material routes'!$D$6:$D$2205,MATCH(U504,'Material routes'!$A$6:$A$2205,0)),"MISSING ID")</x:f>
        <x:v>proposal.lore.fastener_set</x:v>
      </x:c>
      <x:c r="T504" s="4" t="str">
        <x:f>IFERROR(INDEX('Material routes'!$D$6:$D$2205,MATCH(V504,'Material routes'!$A$6:$A$2205,0)),"MISSING ID")</x:f>
        <x:v>proposal.t4.articulated_guard</x:v>
      </x:c>
      <x:c r="U504" s="4" t="str">
        <x:v>design.t4.articulated_guard.lore.hardware.6</x:v>
      </x:c>
      <x:c r="V504" s="4" t="str">
        <x:v>design.t4.articulated_guard.out</x:v>
      </x:c>
    </x:row>
    <x:row r="505" ht="115" customHeight="1">
      <x:c r="A505" s="4" t="str">
        <x:f>IFERROR(INDEX('Material routes'!$E$6:$E$2205,MATCH(U505,'Material routes'!$A$6:$A$2205,0)),"MISSING ID")</x:f>
        <x:v>Matched metal fastener set</x:v>
      </x:c>
      <x:c r="B505" s="4" t="str">
        <x:f>IFERROR(INDEX('Material routes'!$F$6:$F$2205,MATCH(U505,'Material routes'!$A$6:$A$2205,0)),"MISSING ID")</x:f>
        <x:v>T3</x:v>
      </x:c>
      <x:c r="C505" s="4" t="str">
        <x:f>IFERROR(INDEX('Material routes'!$H$6:$H$2205,MATCH(U505,'Material routes'!$A$6:$A$2205,0)),"MISSING ID")</x:f>
        <x:v>Crafting component</x:v>
      </x:c>
      <x:c r="D505" s="4" t="str">
        <x:f>IFERROR(INDEX('Material routes'!$G$6:$G$2205,MATCH(U505,'Material routes'!$A$6:$A$2205,0)),"MISSING ID")</x:f>
        <x:v>Crafting components</x:v>
      </x:c>
      <x:c r="E505" s="4" t="str">
        <x:f>IFERROR(INDEX('Material routes'!$C$6:$C$2205,MATCH(U505,'Material routes'!$A$6:$A$2205,0)),"MISSING ID")</x:f>
        <x:v>Ingredient candidate</x:v>
      </x:c>
      <x:c r="F505" s="4" t="str">
        <x:f>IFERROR(INDEX('Material routes'!$E$6:$E$2205,MATCH(V505,'Material routes'!$A$6:$A$2205,0)),"MISSING ID")</x:f>
        <x:v>Fitted canister valve-core assembly</x:v>
      </x:c>
      <x:c r="G505" s="4" t="str">
        <x:f>IFERROR(INDEX('Material routes'!$F$6:$F$2205,MATCH(V505,'Material routes'!$A$6:$A$2205,0)),"MISSING ID")</x:f>
        <x:v>T4</x:v>
      </x:c>
      <x:c r="H505" s="4" t="str">
        <x:f>IFERROR(INDEX('Material routes'!$H$6:$H$2205,MATCH(V505,'Material routes'!$A$6:$A$2205,0)),"MISSING ID")</x:f>
        <x:v>Crafting component</x:v>
      </x:c>
      <x:c r="I505" s="4" t="str">
        <x:f>IFERROR(INDEX('Material routes'!$G$6:$G$2205,MATCH(V505,'Material routes'!$A$6:$A$2205,0)),"MISSING ID")</x:f>
        <x:v>Crafting components</x:v>
      </x:c>
      <x:c r="J505" s="4" t="str">
        <x:f>IFERROR(INDEX('Material routes'!$B$6:$B$2205,MATCH(U505,'Material routes'!$A$6:$A$2205,0)),"MISSING ID")</x:f>
        <x:v>design.t4.valve_core</x:v>
      </x:c>
      <x:c r="K505" s="4" t="str">
        <x:f>IFERROR(INDEX('Crafting recipes'!$C$6:$C$1005,MATCH(J505,'Crafting recipes'!$A$6:$A$1005,0)),"MISSING ID")</x:f>
        <x:v>Material refinement</x:v>
      </x:c>
      <x:c r="L505" s="4" t="str">
        <x:f>IFERROR(INDEX('Material routes'!$K$6:$K$2205,MATCH(U505,'Material routes'!$A$6:$A$2205,0)),"MISSING ID")</x:f>
        <x:v>Proposal</x:v>
      </x:c>
      <x:c r="M505" s="4" t="str">
        <x:f>IFERROR(INDEX('Material routes'!$M$6:$M$2205,MATCH(U505,'Material routes'!$A$6:$A$2205,0)),"MISSING ID")</x:f>
        <x:v>Partial proposal</x:v>
      </x:c>
      <x:c r="N505" s="4" t="str">
        <x:f>IF(IFERROR(INDEX('Material routes'!$I$6:$I$1005,MATCH(U505,'Material routes'!$A$6:$A$1005,0)),"MISSING ID")=0,"",IFERROR(INDEX('Material routes'!$I$6:$I$1005,MATCH(U505,'Material routes'!$A$6:$A$1005,0)),"MISSING ID"))</x:f>
      </x:c>
      <x:c r="O505" s="4" t="str">
        <x:f>IFERROR(INDEX('Material routes'!$J$6:$J$2205,MATCH(U505,'Material routes'!$A$6:$A$2205,0)),"MISSING ID")</x:f>
        <x:v>Unspecified</x:v>
      </x:c>
      <x:c r="P505" s="4" t="str">
        <x:f>IF(IFERROR(INDEX('Material routes'!$I$6:$I$1005,MATCH(V505,'Material routes'!$A$6:$A$1005,0)),"MISSING ID")=0,"",IFERROR(INDEX('Material routes'!$I$6:$I$1005,MATCH(V505,'Material routes'!$A$6:$A$1005,0)),"MISSING ID"))</x:f>
      </x:c>
      <x:c r="Q505" s="4" t="str">
        <x:f>IFERROR(INDEX('Material routes'!$J$6:$J$2205,MATCH(V505,'Material routes'!$A$6:$A$2205,0)),"MISSING ID")</x:f>
        <x:v>Unspecified</x:v>
      </x:c>
      <x:c r="R505" s="4" t="str">
        <x:f>IF(L505="Withheld","Withheld premise",IF(E505="Tool candidate","Reusable prerequisite",IF(K505="Raw entry preparation","Entry-resource preparation",IF(G505="Not applicable",IF(IFERROR(INDEX('Items'!$AI$6:$AI$1005,MATCH(T505,'Items'!$A$6:$A$1005,0)),"MISSING ID")="Finished item","Finished endpoint",IF(IFERROR(INDEX('Items'!$AI$6:$AI$1005,MATCH(T505,'Items'!$A$6:$A$1005,0)),"MISSING ID")="Currency","Currency / no refinement tier","Recovered output / tier not applicable")),IF(OR(IFERROR(INDEX('Crafting recipes'!$H$6:$H$1005,MATCH(J505,'Crafting recipes'!$A$6:$A$1005,0)),"MISSING ID")="Unassigned",G505="Unassigned"),"Tier unresolved",IF(IFERROR(VALUE(RIGHT(G505,1))-VALUE(RIGHT(IFERROR(INDEX('Crafting recipes'!$H$6:$H$1005,MATCH(J505,'Crafting recipes'!$A$6:$A$1005,0)),"MISSING ID"),1)),0)=1,IF(B505=IFERROR(INDEX('Crafting recipes'!$H$6:$H$1005,MATCH(J505,'Crafting recipes'!$A$6:$A$1005,0)),"MISSING ID"),"Advances one material tier","Lower-tier ingredient; route advances one tier"),"Needs tier review"))))))</x:f>
        <x:v>Advances one material tier</x:v>
      </x:c>
      <x:c r="S505" s="4" t="str">
        <x:f>IFERROR(INDEX('Material routes'!$D$6:$D$2205,MATCH(U505,'Material routes'!$A$6:$A$2205,0)),"MISSING ID")</x:f>
        <x:v>proposal.lore.fastener_set</x:v>
      </x:c>
      <x:c r="T505" s="4" t="str">
        <x:f>IFERROR(INDEX('Material routes'!$D$6:$D$2205,MATCH(V505,'Material routes'!$A$6:$A$2205,0)),"MISSING ID")</x:f>
        <x:v>proposal.t4.valve_core</x:v>
      </x:c>
      <x:c r="U505" s="4" t="str">
        <x:v>design.t4.valve_core.lore.hardware.7</x:v>
      </x:c>
      <x:c r="V505" s="4" t="str">
        <x:v>design.t4.valve_core.out</x:v>
      </x:c>
    </x:row>
    <x:row r="506" ht="115" customHeight="1">
      <x:c r="A506" s="4" t="str">
        <x:f>IFERROR(INDEX('Material routes'!$E$6:$E$2205,MATCH(U506,'Material routes'!$A$6:$A$2205,0)),"MISSING ID")</x:f>
        <x:v>Matched metal fastener set</x:v>
      </x:c>
      <x:c r="B506" s="4" t="str">
        <x:f>IFERROR(INDEX('Material routes'!$F$6:$F$2205,MATCH(U506,'Material routes'!$A$6:$A$2205,0)),"MISSING ID")</x:f>
        <x:v>T3</x:v>
      </x:c>
      <x:c r="C506" s="4" t="str">
        <x:f>IFERROR(INDEX('Material routes'!$H$6:$H$2205,MATCH(U506,'Material routes'!$A$6:$A$2205,0)),"MISSING ID")</x:f>
        <x:v>Crafting component</x:v>
      </x:c>
      <x:c r="D506" s="4" t="str">
        <x:f>IFERROR(INDEX('Material routes'!$G$6:$G$2205,MATCH(U506,'Material routes'!$A$6:$A$2205,0)),"MISSING ID")</x:f>
        <x:v>Crafting components</x:v>
      </x:c>
      <x:c r="E506" s="4" t="str">
        <x:f>IFERROR(INDEX('Material routes'!$C$6:$C$2205,MATCH(U506,'Material routes'!$A$6:$A$2205,0)),"MISSING ID")</x:f>
        <x:v>Ingredient candidate</x:v>
      </x:c>
      <x:c r="F506" s="4" t="str">
        <x:f>IFERROR(INDEX('Material routes'!$E$6:$E$2205,MATCH(V506,'Material routes'!$A$6:$A$2205,0)),"MISSING ID")</x:f>
        <x:v>Replaceable seal-carrier assembly</x:v>
      </x:c>
      <x:c r="G506" s="4" t="str">
        <x:f>IFERROR(INDEX('Material routes'!$F$6:$F$2205,MATCH(V506,'Material routes'!$A$6:$A$2205,0)),"MISSING ID")</x:f>
        <x:v>T4</x:v>
      </x:c>
      <x:c r="H506" s="4" t="str">
        <x:f>IFERROR(INDEX('Material routes'!$H$6:$H$2205,MATCH(V506,'Material routes'!$A$6:$A$2205,0)),"MISSING ID")</x:f>
        <x:v>Crafting component</x:v>
      </x:c>
      <x:c r="I506" s="4" t="str">
        <x:f>IFERROR(INDEX('Material routes'!$G$6:$G$2205,MATCH(V506,'Material routes'!$A$6:$A$2205,0)),"MISSING ID")</x:f>
        <x:v>Crafting components</x:v>
      </x:c>
      <x:c r="J506" s="4" t="str">
        <x:f>IFERROR(INDEX('Material routes'!$B$6:$B$2205,MATCH(U506,'Material routes'!$A$6:$A$2205,0)),"MISSING ID")</x:f>
        <x:v>design.t4.seal_carrier</x:v>
      </x:c>
      <x:c r="K506" s="4" t="str">
        <x:f>IFERROR(INDEX('Crafting recipes'!$C$6:$C$1005,MATCH(J506,'Crafting recipes'!$A$6:$A$1005,0)),"MISSING ID")</x:f>
        <x:v>Material refinement</x:v>
      </x:c>
      <x:c r="L506" s="4" t="str">
        <x:f>IFERROR(INDEX('Material routes'!$K$6:$K$2205,MATCH(U506,'Material routes'!$A$6:$A$2205,0)),"MISSING ID")</x:f>
        <x:v>Proposal</x:v>
      </x:c>
      <x:c r="M506" s="4" t="str">
        <x:f>IFERROR(INDEX('Material routes'!$M$6:$M$2205,MATCH(U506,'Material routes'!$A$6:$A$2205,0)),"MISSING ID")</x:f>
        <x:v>Partial proposal</x:v>
      </x:c>
      <x:c r="N506" s="4" t="str">
        <x:f>IF(IFERROR(INDEX('Material routes'!$I$6:$I$1005,MATCH(U506,'Material routes'!$A$6:$A$1005,0)),"MISSING ID")=0,"",IFERROR(INDEX('Material routes'!$I$6:$I$1005,MATCH(U506,'Material routes'!$A$6:$A$1005,0)),"MISSING ID"))</x:f>
      </x:c>
      <x:c r="O506" s="4" t="str">
        <x:f>IFERROR(INDEX('Material routes'!$J$6:$J$2205,MATCH(U506,'Material routes'!$A$6:$A$2205,0)),"MISSING ID")</x:f>
        <x:v>Unspecified</x:v>
      </x:c>
      <x:c r="P506" s="4" t="str">
        <x:f>IF(IFERROR(INDEX('Material routes'!$I$6:$I$1005,MATCH(V506,'Material routes'!$A$6:$A$1005,0)),"MISSING ID")=0,"",IFERROR(INDEX('Material routes'!$I$6:$I$1005,MATCH(V506,'Material routes'!$A$6:$A$1005,0)),"MISSING ID"))</x:f>
      </x:c>
      <x:c r="Q506" s="4" t="str">
        <x:f>IFERROR(INDEX('Material routes'!$J$6:$J$2205,MATCH(V506,'Material routes'!$A$6:$A$2205,0)),"MISSING ID")</x:f>
        <x:v>Unspecified</x:v>
      </x:c>
      <x:c r="R506" s="4" t="str">
        <x:f>IF(L506="Withheld","Withheld premise",IF(E506="Tool candidate","Reusable prerequisite",IF(K506="Raw entry preparation","Entry-resource preparation",IF(G506="Not applicable",IF(IFERROR(INDEX('Items'!$AI$6:$AI$1005,MATCH(T506,'Items'!$A$6:$A$1005,0)),"MISSING ID")="Finished item","Finished endpoint",IF(IFERROR(INDEX('Items'!$AI$6:$AI$1005,MATCH(T506,'Items'!$A$6:$A$1005,0)),"MISSING ID")="Currency","Currency / no refinement tier","Recovered output / tier not applicable")),IF(OR(IFERROR(INDEX('Crafting recipes'!$H$6:$H$1005,MATCH(J506,'Crafting recipes'!$A$6:$A$1005,0)),"MISSING ID")="Unassigned",G506="Unassigned"),"Tier unresolved",IF(IFERROR(VALUE(RIGHT(G506,1))-VALUE(RIGHT(IFERROR(INDEX('Crafting recipes'!$H$6:$H$1005,MATCH(J506,'Crafting recipes'!$A$6:$A$1005,0)),"MISSING ID"),1)),0)=1,IF(B506=IFERROR(INDEX('Crafting recipes'!$H$6:$H$1005,MATCH(J506,'Crafting recipes'!$A$6:$A$1005,0)),"MISSING ID"),"Advances one material tier","Lower-tier ingredient; route advances one tier"),"Needs tier review"))))))</x:f>
        <x:v>Advances one material tier</x:v>
      </x:c>
      <x:c r="S506" s="4" t="str">
        <x:f>IFERROR(INDEX('Material routes'!$D$6:$D$2205,MATCH(U506,'Material routes'!$A$6:$A$2205,0)),"MISSING ID")</x:f>
        <x:v>proposal.lore.fastener_set</x:v>
      </x:c>
      <x:c r="T506" s="4" t="str">
        <x:f>IFERROR(INDEX('Material routes'!$D$6:$D$2205,MATCH(V506,'Material routes'!$A$6:$A$2205,0)),"MISSING ID")</x:f>
        <x:v>proposal.t4.seal_carrier</x:v>
      </x:c>
      <x:c r="U506" s="4" t="str">
        <x:v>design.t4.seal_carrier.lore.hardware.8</x:v>
      </x:c>
      <x:c r="V506" s="4" t="str">
        <x:v>design.t4.seal_carrier.out</x:v>
      </x:c>
    </x:row>
    <x:row r="507" ht="115" customHeight="1">
      <x:c r="A507" s="4" t="str">
        <x:f>IFERROR(INDEX('Material routes'!$E$6:$E$2205,MATCH(U507,'Material routes'!$A$6:$A$2205,0)),"MISSING ID")</x:f>
        <x:v>Matched metal fastener set</x:v>
      </x:c>
      <x:c r="B507" s="4" t="str">
        <x:f>IFERROR(INDEX('Material routes'!$F$6:$F$2205,MATCH(U507,'Material routes'!$A$6:$A$2205,0)),"MISSING ID")</x:f>
        <x:v>T3</x:v>
      </x:c>
      <x:c r="C507" s="4" t="str">
        <x:f>IFERROR(INDEX('Material routes'!$H$6:$H$2205,MATCH(U507,'Material routes'!$A$6:$A$2205,0)),"MISSING ID")</x:f>
        <x:v>Crafting component</x:v>
      </x:c>
      <x:c r="D507" s="4" t="str">
        <x:f>IFERROR(INDEX('Material routes'!$G$6:$G$2205,MATCH(U507,'Material routes'!$A$6:$A$2205,0)),"MISSING ID")</x:f>
        <x:v>Crafting components</x:v>
      </x:c>
      <x:c r="E507" s="4" t="str">
        <x:f>IFERROR(INDEX('Material routes'!$C$6:$C$2205,MATCH(U507,'Material routes'!$A$6:$A$2205,0)),"MISSING ID")</x:f>
        <x:v>Ingredient candidate</x:v>
      </x:c>
      <x:c r="F507" s="4" t="str">
        <x:f>IFERROR(INDEX('Material routes'!$E$6:$E$2205,MATCH(V507,'Material routes'!$A$6:$A$2205,0)),"MISSING ID")</x:f>
        <x:v>Collapsible sail-spar joint kit</x:v>
      </x:c>
      <x:c r="G507" s="4" t="str">
        <x:f>IFERROR(INDEX('Material routes'!$F$6:$F$2205,MATCH(V507,'Material routes'!$A$6:$A$2205,0)),"MISSING ID")</x:f>
        <x:v>T4</x:v>
      </x:c>
      <x:c r="H507" s="4" t="str">
        <x:f>IFERROR(INDEX('Material routes'!$H$6:$H$2205,MATCH(V507,'Material routes'!$A$6:$A$2205,0)),"MISSING ID")</x:f>
        <x:v>Crafting component</x:v>
      </x:c>
      <x:c r="I507" s="4" t="str">
        <x:f>IFERROR(INDEX('Material routes'!$G$6:$G$2205,MATCH(V507,'Material routes'!$A$6:$A$2205,0)),"MISSING ID")</x:f>
        <x:v>Salvage</x:v>
      </x:c>
      <x:c r="J507" s="4" t="str">
        <x:f>IFERROR(INDEX('Material routes'!$B$6:$B$2205,MATCH(U507,'Material routes'!$A$6:$A$2205,0)),"MISSING ID")</x:f>
        <x:v>design.t4.spar_joint</x:v>
      </x:c>
      <x:c r="K507" s="4" t="str">
        <x:f>IFERROR(INDEX('Crafting recipes'!$C$6:$C$1005,MATCH(J507,'Crafting recipes'!$A$6:$A$1005,0)),"MISSING ID")</x:f>
        <x:v>Material refinement</x:v>
      </x:c>
      <x:c r="L507" s="4" t="str">
        <x:f>IFERROR(INDEX('Material routes'!$K$6:$K$2205,MATCH(U507,'Material routes'!$A$6:$A$2205,0)),"MISSING ID")</x:f>
        <x:v>Proposal</x:v>
      </x:c>
      <x:c r="M507" s="4" t="str">
        <x:f>IFERROR(INDEX('Material routes'!$M$6:$M$2205,MATCH(U507,'Material routes'!$A$6:$A$2205,0)),"MISSING ID")</x:f>
        <x:v>Partial proposal</x:v>
      </x:c>
      <x:c r="N507" s="4" t="str">
        <x:f>IF(IFERROR(INDEX('Material routes'!$I$6:$I$1005,MATCH(U507,'Material routes'!$A$6:$A$1005,0)),"MISSING ID")=0,"",IFERROR(INDEX('Material routes'!$I$6:$I$1005,MATCH(U507,'Material routes'!$A$6:$A$1005,0)),"MISSING ID"))</x:f>
      </x:c>
      <x:c r="O507" s="4" t="str">
        <x:f>IFERROR(INDEX('Material routes'!$J$6:$J$2205,MATCH(U507,'Material routes'!$A$6:$A$2205,0)),"MISSING ID")</x:f>
        <x:v>Unspecified</x:v>
      </x:c>
      <x:c r="P507" s="4" t="str">
        <x:f>IF(IFERROR(INDEX('Material routes'!$I$6:$I$1005,MATCH(V507,'Material routes'!$A$6:$A$1005,0)),"MISSING ID")=0,"",IFERROR(INDEX('Material routes'!$I$6:$I$1005,MATCH(V507,'Material routes'!$A$6:$A$1005,0)),"MISSING ID"))</x:f>
      </x:c>
      <x:c r="Q507" s="4" t="str">
        <x:f>IFERROR(INDEX('Material routes'!$J$6:$J$2205,MATCH(V507,'Material routes'!$A$6:$A$2205,0)),"MISSING ID")</x:f>
        <x:v>Unspecified</x:v>
      </x:c>
      <x:c r="R507" s="4" t="str">
        <x:f>IF(L507="Withheld","Withheld premise",IF(E507="Tool candidate","Reusable prerequisite",IF(K507="Raw entry preparation","Entry-resource preparation",IF(G507="Not applicable",IF(IFERROR(INDEX('Items'!$AI$6:$AI$1005,MATCH(T507,'Items'!$A$6:$A$1005,0)),"MISSING ID")="Finished item","Finished endpoint",IF(IFERROR(INDEX('Items'!$AI$6:$AI$1005,MATCH(T507,'Items'!$A$6:$A$1005,0)),"MISSING ID")="Currency","Currency / no refinement tier","Recovered output / tier not applicable")),IF(OR(IFERROR(INDEX('Crafting recipes'!$H$6:$H$1005,MATCH(J507,'Crafting recipes'!$A$6:$A$1005,0)),"MISSING ID")="Unassigned",G507="Unassigned"),"Tier unresolved",IF(IFERROR(VALUE(RIGHT(G507,1))-VALUE(RIGHT(IFERROR(INDEX('Crafting recipes'!$H$6:$H$1005,MATCH(J507,'Crafting recipes'!$A$6:$A$1005,0)),"MISSING ID"),1)),0)=1,IF(B507=IFERROR(INDEX('Crafting recipes'!$H$6:$H$1005,MATCH(J507,'Crafting recipes'!$A$6:$A$1005,0)),"MISSING ID"),"Advances one material tier","Lower-tier ingredient; route advances one tier"),"Needs tier review"))))))</x:f>
        <x:v>Advances one material tier</x:v>
      </x:c>
      <x:c r="S507" s="4" t="str">
        <x:f>IFERROR(INDEX('Material routes'!$D$6:$D$2205,MATCH(U507,'Material routes'!$A$6:$A$2205,0)),"MISSING ID")</x:f>
        <x:v>proposal.lore.fastener_set</x:v>
      </x:c>
      <x:c r="T507" s="4" t="str">
        <x:f>IFERROR(INDEX('Material routes'!$D$6:$D$2205,MATCH(V507,'Material routes'!$A$6:$A$2205,0)),"MISSING ID")</x:f>
        <x:v>proposal.t4.spar_joint</x:v>
      </x:c>
      <x:c r="U507" s="4" t="str">
        <x:v>design.t4.spar_joint.lore.hardware.9</x:v>
      </x:c>
      <x:c r="V507" s="4" t="str">
        <x:v>design.t4.spar_joint.out</x:v>
      </x:c>
    </x:row>
    <x:row r="508" ht="115" customHeight="1">
      <x:c r="A508" s="4" t="str">
        <x:f>IFERROR(INDEX('Material routes'!$E$6:$E$2205,MATCH(U508,'Material routes'!$A$6:$A$2205,0)),"MISSING ID")</x:f>
        <x:v>Matched metal fastener set</x:v>
      </x:c>
      <x:c r="B508" s="4" t="str">
        <x:f>IFERROR(INDEX('Material routes'!$F$6:$F$2205,MATCH(U508,'Material routes'!$A$6:$A$2205,0)),"MISSING ID")</x:f>
        <x:v>T3</x:v>
      </x:c>
      <x:c r="C508" s="4" t="str">
        <x:f>IFERROR(INDEX('Material routes'!$H$6:$H$2205,MATCH(U508,'Material routes'!$A$6:$A$2205,0)),"MISSING ID")</x:f>
        <x:v>Crafting component</x:v>
      </x:c>
      <x:c r="D508" s="4" t="str">
        <x:f>IFERROR(INDEX('Material routes'!$G$6:$G$2205,MATCH(U508,'Material routes'!$A$6:$A$2205,0)),"MISSING ID")</x:f>
        <x:v>Crafting components</x:v>
      </x:c>
      <x:c r="E508" s="4" t="str">
        <x:f>IFERROR(INDEX('Material routes'!$C$6:$C$2205,MATCH(U508,'Material routes'!$A$6:$A$2205,0)),"MISSING ID")</x:f>
        <x:v>Ingredient candidate</x:v>
      </x:c>
      <x:c r="F508" s="4" t="str">
        <x:f>IFERROR(INDEX('Material routes'!$E$6:$E$2205,MATCH(V508,'Material routes'!$A$6:$A$2205,0)),"MISSING ID")</x:f>
        <x:v>Joined folding wing-panel assembly</x:v>
      </x:c>
      <x:c r="G508" s="4" t="str">
        <x:f>IFERROR(INDEX('Material routes'!$F$6:$F$2205,MATCH(V508,'Material routes'!$A$6:$A$2205,0)),"MISSING ID")</x:f>
        <x:v>T4</x:v>
      </x:c>
      <x:c r="H508" s="4" t="str">
        <x:f>IFERROR(INDEX('Material routes'!$H$6:$H$2205,MATCH(V508,'Material routes'!$A$6:$A$2205,0)),"MISSING ID")</x:f>
        <x:v>Crafting component</x:v>
      </x:c>
      <x:c r="I508" s="4" t="str">
        <x:f>IFERROR(INDEX('Material routes'!$G$6:$G$2205,MATCH(V508,'Material routes'!$A$6:$A$2205,0)),"MISSING ID")</x:f>
        <x:v>Crafting components</x:v>
      </x:c>
      <x:c r="J508" s="4" t="str">
        <x:f>IFERROR(INDEX('Material routes'!$B$6:$B$2205,MATCH(U508,'Material routes'!$A$6:$A$2205,0)),"MISSING ID")</x:f>
        <x:v>design.t4.joined_wing_panels</x:v>
      </x:c>
      <x:c r="K508" s="4" t="str">
        <x:f>IFERROR(INDEX('Crafting recipes'!$C$6:$C$1005,MATCH(J508,'Crafting recipes'!$A$6:$A$1005,0)),"MISSING ID")</x:f>
        <x:v>Material refinement</x:v>
      </x:c>
      <x:c r="L508" s="4" t="str">
        <x:f>IFERROR(INDEX('Material routes'!$K$6:$K$2205,MATCH(U508,'Material routes'!$A$6:$A$2205,0)),"MISSING ID")</x:f>
        <x:v>Proposal</x:v>
      </x:c>
      <x:c r="M508" s="4" t="str">
        <x:f>IFERROR(INDEX('Material routes'!$M$6:$M$2205,MATCH(U508,'Material routes'!$A$6:$A$2205,0)),"MISSING ID")</x:f>
        <x:v>Partial proposal</x:v>
      </x:c>
      <x:c r="N508" s="4" t="str">
        <x:f>IF(IFERROR(INDEX('Material routes'!$I$6:$I$1005,MATCH(U508,'Material routes'!$A$6:$A$1005,0)),"MISSING ID")=0,"",IFERROR(INDEX('Material routes'!$I$6:$I$1005,MATCH(U508,'Material routes'!$A$6:$A$1005,0)),"MISSING ID"))</x:f>
      </x:c>
      <x:c r="O508" s="4" t="str">
        <x:f>IFERROR(INDEX('Material routes'!$J$6:$J$2205,MATCH(U508,'Material routes'!$A$6:$A$2205,0)),"MISSING ID")</x:f>
        <x:v>Unspecified</x:v>
      </x:c>
      <x:c r="P508" s="4" t="str">
        <x:f>IF(IFERROR(INDEX('Material routes'!$I$6:$I$1005,MATCH(V508,'Material routes'!$A$6:$A$1005,0)),"MISSING ID")=0,"",IFERROR(INDEX('Material routes'!$I$6:$I$1005,MATCH(V508,'Material routes'!$A$6:$A$1005,0)),"MISSING ID"))</x:f>
      </x:c>
      <x:c r="Q508" s="4" t="str">
        <x:f>IFERROR(INDEX('Material routes'!$J$6:$J$2205,MATCH(V508,'Material routes'!$A$6:$A$2205,0)),"MISSING ID")</x:f>
        <x:v>Unspecified</x:v>
      </x:c>
      <x:c r="R508" s="4" t="str">
        <x:f>IF(L508="Withheld","Withheld premise",IF(E508="Tool candidate","Reusable prerequisite",IF(K508="Raw entry preparation","Entry-resource preparation",IF(G508="Not applicable",IF(IFERROR(INDEX('Items'!$AI$6:$AI$1005,MATCH(T508,'Items'!$A$6:$A$1005,0)),"MISSING ID")="Finished item","Finished endpoint",IF(IFERROR(INDEX('Items'!$AI$6:$AI$1005,MATCH(T508,'Items'!$A$6:$A$1005,0)),"MISSING ID")="Currency","Currency / no refinement tier","Recovered output / tier not applicable")),IF(OR(IFERROR(INDEX('Crafting recipes'!$H$6:$H$1005,MATCH(J508,'Crafting recipes'!$A$6:$A$1005,0)),"MISSING ID")="Unassigned",G508="Unassigned"),"Tier unresolved",IF(IFERROR(VALUE(RIGHT(G508,1))-VALUE(RIGHT(IFERROR(INDEX('Crafting recipes'!$H$6:$H$1005,MATCH(J508,'Crafting recipes'!$A$6:$A$1005,0)),"MISSING ID"),1)),0)=1,IF(B508=IFERROR(INDEX('Crafting recipes'!$H$6:$H$1005,MATCH(J508,'Crafting recipes'!$A$6:$A$1005,0)),"MISSING ID"),"Advances one material tier","Lower-tier ingredient; route advances one tier"),"Needs tier review"))))))</x:f>
        <x:v>Advances one material tier</x:v>
      </x:c>
      <x:c r="S508" s="4" t="str">
        <x:f>IFERROR(INDEX('Material routes'!$D$6:$D$2205,MATCH(U508,'Material routes'!$A$6:$A$2205,0)),"MISSING ID")</x:f>
        <x:v>proposal.lore.fastener_set</x:v>
      </x:c>
      <x:c r="T508" s="4" t="str">
        <x:f>IFERROR(INDEX('Material routes'!$D$6:$D$2205,MATCH(V508,'Material routes'!$A$6:$A$2205,0)),"MISSING ID")</x:f>
        <x:v>proposal.t4.joined_wing_panels</x:v>
      </x:c>
      <x:c r="U508" s="4" t="str">
        <x:v>design.t4.joined_wing_panels.lore.hardware.10</x:v>
      </x:c>
      <x:c r="V508" s="4" t="str">
        <x:v>design.t4.joined_wing_panels.out</x:v>
      </x:c>
    </x:row>
    <x:row r="509" ht="115" customHeight="1">
      <x:c r="A509" s="4" t="str">
        <x:f>IFERROR(INDEX('Material routes'!$E$6:$E$2205,MATCH(U509,'Material routes'!$A$6:$A$2205,0)),"MISSING ID")</x:f>
        <x:v>Matched metal fastener set</x:v>
      </x:c>
      <x:c r="B509" s="4" t="str">
        <x:f>IFERROR(INDEX('Material routes'!$F$6:$F$2205,MATCH(U509,'Material routes'!$A$6:$A$2205,0)),"MISSING ID")</x:f>
        <x:v>T3</x:v>
      </x:c>
      <x:c r="C509" s="4" t="str">
        <x:f>IFERROR(INDEX('Material routes'!$H$6:$H$2205,MATCH(U509,'Material routes'!$A$6:$A$2205,0)),"MISSING ID")</x:f>
        <x:v>Crafting component</x:v>
      </x:c>
      <x:c r="D509" s="4" t="str">
        <x:f>IFERROR(INDEX('Material routes'!$G$6:$G$2205,MATCH(U509,'Material routes'!$A$6:$A$2205,0)),"MISSING ID")</x:f>
        <x:v>Crafting components</x:v>
      </x:c>
      <x:c r="E509" s="4" t="str">
        <x:f>IFERROR(INDEX('Material routes'!$C$6:$C$2205,MATCH(U509,'Material routes'!$A$6:$A$2205,0)),"MISSING ID")</x:f>
        <x:v>Ingredient candidate</x:v>
      </x:c>
      <x:c r="F509" s="4" t="str">
        <x:f>IFERROR(INDEX('Material routes'!$E$6:$E$2205,MATCH(V509,'Material routes'!$A$6:$A$2205,0)),"MISSING ID")</x:f>
        <x:v>Matched wind-turbine hub core</x:v>
      </x:c>
      <x:c r="G509" s="4" t="str">
        <x:f>IFERROR(INDEX('Material routes'!$F$6:$F$2205,MATCH(V509,'Material routes'!$A$6:$A$2205,0)),"MISSING ID")</x:f>
        <x:v>T4</x:v>
      </x:c>
      <x:c r="H509" s="4" t="str">
        <x:f>IFERROR(INDEX('Material routes'!$H$6:$H$2205,MATCH(V509,'Material routes'!$A$6:$A$2205,0)),"MISSING ID")</x:f>
        <x:v>Crafting component</x:v>
      </x:c>
      <x:c r="I509" s="4" t="str">
        <x:f>IFERROR(INDEX('Material routes'!$G$6:$G$2205,MATCH(V509,'Material routes'!$A$6:$A$2205,0)),"MISSING ID")</x:f>
        <x:v>Crafting components</x:v>
      </x:c>
      <x:c r="J509" s="4" t="str">
        <x:f>IFERROR(INDEX('Material routes'!$B$6:$B$2205,MATCH(U509,'Material routes'!$A$6:$A$2205,0)),"MISSING ID")</x:f>
        <x:v>design.t4.turbine_hub</x:v>
      </x:c>
      <x:c r="K509" s="4" t="str">
        <x:f>IFERROR(INDEX('Crafting recipes'!$C$6:$C$1005,MATCH(J509,'Crafting recipes'!$A$6:$A$1005,0)),"MISSING ID")</x:f>
        <x:v>Material refinement</x:v>
      </x:c>
      <x:c r="L509" s="4" t="str">
        <x:f>IFERROR(INDEX('Material routes'!$K$6:$K$2205,MATCH(U509,'Material routes'!$A$6:$A$2205,0)),"MISSING ID")</x:f>
        <x:v>Proposal</x:v>
      </x:c>
      <x:c r="M509" s="4" t="str">
        <x:f>IFERROR(INDEX('Material routes'!$M$6:$M$2205,MATCH(U509,'Material routes'!$A$6:$A$2205,0)),"MISSING ID")</x:f>
        <x:v>Partial proposal</x:v>
      </x:c>
      <x:c r="N509" s="4" t="str">
        <x:f>IF(IFERROR(INDEX('Material routes'!$I$6:$I$1005,MATCH(U509,'Material routes'!$A$6:$A$1005,0)),"MISSING ID")=0,"",IFERROR(INDEX('Material routes'!$I$6:$I$1005,MATCH(U509,'Material routes'!$A$6:$A$1005,0)),"MISSING ID"))</x:f>
      </x:c>
      <x:c r="O509" s="4" t="str">
        <x:f>IFERROR(INDEX('Material routes'!$J$6:$J$2205,MATCH(U509,'Material routes'!$A$6:$A$2205,0)),"MISSING ID")</x:f>
        <x:v>Unspecified</x:v>
      </x:c>
      <x:c r="P509" s="4" t="str">
        <x:f>IF(IFERROR(INDEX('Material routes'!$I$6:$I$1005,MATCH(V509,'Material routes'!$A$6:$A$1005,0)),"MISSING ID")=0,"",IFERROR(INDEX('Material routes'!$I$6:$I$1005,MATCH(V509,'Material routes'!$A$6:$A$1005,0)),"MISSING ID"))</x:f>
      </x:c>
      <x:c r="Q509" s="4" t="str">
        <x:f>IFERROR(INDEX('Material routes'!$J$6:$J$2205,MATCH(V509,'Material routes'!$A$6:$A$2205,0)),"MISSING ID")</x:f>
        <x:v>Unspecified</x:v>
      </x:c>
      <x:c r="R509" s="4" t="str">
        <x:f>IF(L509="Withheld","Withheld premise",IF(E509="Tool candidate","Reusable prerequisite",IF(K509="Raw entry preparation","Entry-resource preparation",IF(G509="Not applicable",IF(IFERROR(INDEX('Items'!$AI$6:$AI$1005,MATCH(T509,'Items'!$A$6:$A$1005,0)),"MISSING ID")="Finished item","Finished endpoint",IF(IFERROR(INDEX('Items'!$AI$6:$AI$1005,MATCH(T509,'Items'!$A$6:$A$1005,0)),"MISSING ID")="Currency","Currency / no refinement tier","Recovered output / tier not applicable")),IF(OR(IFERROR(INDEX('Crafting recipes'!$H$6:$H$1005,MATCH(J509,'Crafting recipes'!$A$6:$A$1005,0)),"MISSING ID")="Unassigned",G509="Unassigned"),"Tier unresolved",IF(IFERROR(VALUE(RIGHT(G509,1))-VALUE(RIGHT(IFERROR(INDEX('Crafting recipes'!$H$6:$H$1005,MATCH(J509,'Crafting recipes'!$A$6:$A$1005,0)),"MISSING ID"),1)),0)=1,IF(B509=IFERROR(INDEX('Crafting recipes'!$H$6:$H$1005,MATCH(J509,'Crafting recipes'!$A$6:$A$1005,0)),"MISSING ID"),"Advances one material tier","Lower-tier ingredient; route advances one tier"),"Needs tier review"))))))</x:f>
        <x:v>Advances one material tier</x:v>
      </x:c>
      <x:c r="S509" s="4" t="str">
        <x:f>IFERROR(INDEX('Material routes'!$D$6:$D$2205,MATCH(U509,'Material routes'!$A$6:$A$2205,0)),"MISSING ID")</x:f>
        <x:v>proposal.lore.fastener_set</x:v>
      </x:c>
      <x:c r="T509" s="4" t="str">
        <x:f>IFERROR(INDEX('Material routes'!$D$6:$D$2205,MATCH(V509,'Material routes'!$A$6:$A$2205,0)),"MISSING ID")</x:f>
        <x:v>proposal.t4.turbine_hub</x:v>
      </x:c>
      <x:c r="U509" s="4" t="str">
        <x:v>design.t4.turbine_hub.lore.hardware.11</x:v>
      </x:c>
      <x:c r="V509" s="4" t="str">
        <x:v>design.t4.turbine_hub.out</x:v>
      </x:c>
    </x:row>
    <x:row r="510" ht="115" customHeight="1">
      <x:c r="A510" s="4" t="str">
        <x:f>IFERROR(INDEX('Material routes'!$E$6:$E$2205,MATCH(U510,'Material routes'!$A$6:$A$2205,0)),"MISSING ID")</x:f>
        <x:v>Matched metal fastener set</x:v>
      </x:c>
      <x:c r="B510" s="4" t="str">
        <x:f>IFERROR(INDEX('Material routes'!$F$6:$F$2205,MATCH(U510,'Material routes'!$A$6:$A$2205,0)),"MISSING ID")</x:f>
        <x:v>T3</x:v>
      </x:c>
      <x:c r="C510" s="4" t="str">
        <x:f>IFERROR(INDEX('Material routes'!$H$6:$H$2205,MATCH(U510,'Material routes'!$A$6:$A$2205,0)),"MISSING ID")</x:f>
        <x:v>Crafting component</x:v>
      </x:c>
      <x:c r="D510" s="4" t="str">
        <x:f>IFERROR(INDEX('Material routes'!$G$6:$G$2205,MATCH(U510,'Material routes'!$A$6:$A$2205,0)),"MISSING ID")</x:f>
        <x:v>Crafting components</x:v>
      </x:c>
      <x:c r="E510" s="4" t="str">
        <x:f>IFERROR(INDEX('Material routes'!$C$6:$C$2205,MATCH(U510,'Material routes'!$A$6:$A$2205,0)),"MISSING ID")</x:f>
        <x:v>Ingredient candidate</x:v>
      </x:c>
      <x:c r="F510" s="4" t="str">
        <x:f>IFERROR(INDEX('Material routes'!$E$6:$E$2205,MATCH(V510,'Material routes'!$A$6:$A$2205,0)),"MISSING ID")</x:f>
        <x:v>Dirtboard wheel-hub core</x:v>
      </x:c>
      <x:c r="G510" s="4" t="str">
        <x:f>IFERROR(INDEX('Material routes'!$F$6:$F$2205,MATCH(V510,'Material routes'!$A$6:$A$2205,0)),"MISSING ID")</x:f>
        <x:v>T4</x:v>
      </x:c>
      <x:c r="H510" s="4" t="str">
        <x:f>IFERROR(INDEX('Material routes'!$H$6:$H$2205,MATCH(V510,'Material routes'!$A$6:$A$2205,0)),"MISSING ID")</x:f>
        <x:v>Crafting component</x:v>
      </x:c>
      <x:c r="I510" s="4" t="str">
        <x:f>IFERROR(INDEX('Material routes'!$G$6:$G$2205,MATCH(V510,'Material routes'!$A$6:$A$2205,0)),"MISSING ID")</x:f>
        <x:v>Salvage</x:v>
      </x:c>
      <x:c r="J510" s="4" t="str">
        <x:f>IFERROR(INDEX('Material routes'!$B$6:$B$2205,MATCH(U510,'Material routes'!$A$6:$A$2205,0)),"MISSING ID")</x:f>
        <x:v>design.t4.wheel_hub</x:v>
      </x:c>
      <x:c r="K510" s="4" t="str">
        <x:f>IFERROR(INDEX('Crafting recipes'!$C$6:$C$1005,MATCH(J510,'Crafting recipes'!$A$6:$A$1005,0)),"MISSING ID")</x:f>
        <x:v>Material refinement</x:v>
      </x:c>
      <x:c r="L510" s="4" t="str">
        <x:f>IFERROR(INDEX('Material routes'!$K$6:$K$2205,MATCH(U510,'Material routes'!$A$6:$A$2205,0)),"MISSING ID")</x:f>
        <x:v>Proposal</x:v>
      </x:c>
      <x:c r="M510" s="4" t="str">
        <x:f>IFERROR(INDEX('Material routes'!$M$6:$M$2205,MATCH(U510,'Material routes'!$A$6:$A$2205,0)),"MISSING ID")</x:f>
        <x:v>Partial proposal</x:v>
      </x:c>
      <x:c r="N510" s="4" t="str">
        <x:f>IF(IFERROR(INDEX('Material routes'!$I$6:$I$1005,MATCH(U510,'Material routes'!$A$6:$A$1005,0)),"MISSING ID")=0,"",IFERROR(INDEX('Material routes'!$I$6:$I$1005,MATCH(U510,'Material routes'!$A$6:$A$1005,0)),"MISSING ID"))</x:f>
      </x:c>
      <x:c r="O510" s="4" t="str">
        <x:f>IFERROR(INDEX('Material routes'!$J$6:$J$2205,MATCH(U510,'Material routes'!$A$6:$A$2205,0)),"MISSING ID")</x:f>
        <x:v>Unspecified</x:v>
      </x:c>
      <x:c r="P510" s="4" t="str">
        <x:f>IF(IFERROR(INDEX('Material routes'!$I$6:$I$1005,MATCH(V510,'Material routes'!$A$6:$A$1005,0)),"MISSING ID")=0,"",IFERROR(INDEX('Material routes'!$I$6:$I$1005,MATCH(V510,'Material routes'!$A$6:$A$1005,0)),"MISSING ID"))</x:f>
      </x:c>
      <x:c r="Q510" s="4" t="str">
        <x:f>IFERROR(INDEX('Material routes'!$J$6:$J$2205,MATCH(V510,'Material routes'!$A$6:$A$2205,0)),"MISSING ID")</x:f>
        <x:v>Unspecified</x:v>
      </x:c>
      <x:c r="R510" s="4" t="str">
        <x:f>IF(L510="Withheld","Withheld premise",IF(E510="Tool candidate","Reusable prerequisite",IF(K510="Raw entry preparation","Entry-resource preparation",IF(G510="Not applicable",IF(IFERROR(INDEX('Items'!$AI$6:$AI$1005,MATCH(T510,'Items'!$A$6:$A$1005,0)),"MISSING ID")="Finished item","Finished endpoint",IF(IFERROR(INDEX('Items'!$AI$6:$AI$1005,MATCH(T510,'Items'!$A$6:$A$1005,0)),"MISSING ID")="Currency","Currency / no refinement tier","Recovered output / tier not applicable")),IF(OR(IFERROR(INDEX('Crafting recipes'!$H$6:$H$1005,MATCH(J510,'Crafting recipes'!$A$6:$A$1005,0)),"MISSING ID")="Unassigned",G510="Unassigned"),"Tier unresolved",IF(IFERROR(VALUE(RIGHT(G510,1))-VALUE(RIGHT(IFERROR(INDEX('Crafting recipes'!$H$6:$H$1005,MATCH(J510,'Crafting recipes'!$A$6:$A$1005,0)),"MISSING ID"),1)),0)=1,IF(B510=IFERROR(INDEX('Crafting recipes'!$H$6:$H$1005,MATCH(J510,'Crafting recipes'!$A$6:$A$1005,0)),"MISSING ID"),"Advances one material tier","Lower-tier ingredient; route advances one tier"),"Needs tier review"))))))</x:f>
        <x:v>Advances one material tier</x:v>
      </x:c>
      <x:c r="S510" s="4" t="str">
        <x:f>IFERROR(INDEX('Material routes'!$D$6:$D$2205,MATCH(U510,'Material routes'!$A$6:$A$2205,0)),"MISSING ID")</x:f>
        <x:v>proposal.lore.fastener_set</x:v>
      </x:c>
      <x:c r="T510" s="4" t="str">
        <x:f>IFERROR(INDEX('Material routes'!$D$6:$D$2205,MATCH(V510,'Material routes'!$A$6:$A$2205,0)),"MISSING ID")</x:f>
        <x:v>proposal.t4.wheel_hub</x:v>
      </x:c>
      <x:c r="U510" s="4" t="str">
        <x:v>design.t4.wheel_hub.lore.hardware.12</x:v>
      </x:c>
      <x:c r="V510" s="4" t="str">
        <x:v>design.t4.wheel_hub.out</x:v>
      </x:c>
    </x:row>
    <x:row r="511" ht="115" customHeight="1">
      <x:c r="A511" s="4" t="str">
        <x:f>IFERROR(INDEX('Material routes'!$E$6:$E$2205,MATCH(U511,'Material routes'!$A$6:$A$2205,0)),"MISSING ID")</x:f>
        <x:v>Matched metal fastener set</x:v>
      </x:c>
      <x:c r="B511" s="4" t="str">
        <x:f>IFERROR(INDEX('Material routes'!$F$6:$F$2205,MATCH(U511,'Material routes'!$A$6:$A$2205,0)),"MISSING ID")</x:f>
        <x:v>T3</x:v>
      </x:c>
      <x:c r="C511" s="4" t="str">
        <x:f>IFERROR(INDEX('Material routes'!$H$6:$H$2205,MATCH(U511,'Material routes'!$A$6:$A$2205,0)),"MISSING ID")</x:f>
        <x:v>Crafting component</x:v>
      </x:c>
      <x:c r="D511" s="4" t="str">
        <x:f>IFERROR(INDEX('Material routes'!$G$6:$G$2205,MATCH(U511,'Material routes'!$A$6:$A$2205,0)),"MISSING ID")</x:f>
        <x:v>Crafting components</x:v>
      </x:c>
      <x:c r="E511" s="4" t="str">
        <x:f>IFERROR(INDEX('Material routes'!$C$6:$C$2205,MATCH(U511,'Material routes'!$A$6:$A$2205,0)),"MISSING ID")</x:f>
        <x:v>Ingredient candidate</x:v>
      </x:c>
      <x:c r="F511" s="4" t="str">
        <x:f>IFERROR(INDEX('Material routes'!$E$6:$E$2205,MATCH(V511,'Material routes'!$A$6:$A$2205,0)),"MISSING ID")</x:f>
        <x:v>Replaceable abrasive-head assembly</x:v>
      </x:c>
      <x:c r="G511" s="4" t="str">
        <x:f>IFERROR(INDEX('Material routes'!$F$6:$F$2205,MATCH(V511,'Material routes'!$A$6:$A$2205,0)),"MISSING ID")</x:f>
        <x:v>T4</x:v>
      </x:c>
      <x:c r="H511" s="4" t="str">
        <x:f>IFERROR(INDEX('Material routes'!$H$6:$H$2205,MATCH(V511,'Material routes'!$A$6:$A$2205,0)),"MISSING ID")</x:f>
        <x:v>Crafting component</x:v>
      </x:c>
      <x:c r="I511" s="4" t="str">
        <x:f>IFERROR(INDEX('Material routes'!$G$6:$G$2205,MATCH(V511,'Material routes'!$A$6:$A$2205,0)),"MISSING ID")</x:f>
        <x:v>Crafting components</x:v>
      </x:c>
      <x:c r="J511" s="4" t="str">
        <x:f>IFERROR(INDEX('Material routes'!$B$6:$B$2205,MATCH(U511,'Material routes'!$A$6:$A$2205,0)),"MISSING ID")</x:f>
        <x:v>design.t4.grinding_head</x:v>
      </x:c>
      <x:c r="K511" s="4" t="str">
        <x:f>IFERROR(INDEX('Crafting recipes'!$C$6:$C$1005,MATCH(J511,'Crafting recipes'!$A$6:$A$1005,0)),"MISSING ID")</x:f>
        <x:v>Material refinement</x:v>
      </x:c>
      <x:c r="L511" s="4" t="str">
        <x:f>IFERROR(INDEX('Material routes'!$K$6:$K$2205,MATCH(U511,'Material routes'!$A$6:$A$2205,0)),"MISSING ID")</x:f>
        <x:v>Proposal</x:v>
      </x:c>
      <x:c r="M511" s="4" t="str">
        <x:f>IFERROR(INDEX('Material routes'!$M$6:$M$2205,MATCH(U511,'Material routes'!$A$6:$A$2205,0)),"MISSING ID")</x:f>
        <x:v>Partial proposal</x:v>
      </x:c>
      <x:c r="N511" s="4" t="str">
        <x:f>IF(IFERROR(INDEX('Material routes'!$I$6:$I$1005,MATCH(U511,'Material routes'!$A$6:$A$1005,0)),"MISSING ID")=0,"",IFERROR(INDEX('Material routes'!$I$6:$I$1005,MATCH(U511,'Material routes'!$A$6:$A$1005,0)),"MISSING ID"))</x:f>
      </x:c>
      <x:c r="O511" s="4" t="str">
        <x:f>IFERROR(INDEX('Material routes'!$J$6:$J$2205,MATCH(U511,'Material routes'!$A$6:$A$2205,0)),"MISSING ID")</x:f>
        <x:v>Unspecified</x:v>
      </x:c>
      <x:c r="P511" s="4" t="str">
        <x:f>IF(IFERROR(INDEX('Material routes'!$I$6:$I$1005,MATCH(V511,'Material routes'!$A$6:$A$1005,0)),"MISSING ID")=0,"",IFERROR(INDEX('Material routes'!$I$6:$I$1005,MATCH(V511,'Material routes'!$A$6:$A$1005,0)),"MISSING ID"))</x:f>
      </x:c>
      <x:c r="Q511" s="4" t="str">
        <x:f>IFERROR(INDEX('Material routes'!$J$6:$J$2205,MATCH(V511,'Material routes'!$A$6:$A$2205,0)),"MISSING ID")</x:f>
        <x:v>Unspecified</x:v>
      </x:c>
      <x:c r="R511" s="4" t="str">
        <x:f>IF(L511="Withheld","Withheld premise",IF(E511="Tool candidate","Reusable prerequisite",IF(K511="Raw entry preparation","Entry-resource preparation",IF(G511="Not applicable",IF(IFERROR(INDEX('Items'!$AI$6:$AI$1005,MATCH(T511,'Items'!$A$6:$A$1005,0)),"MISSING ID")="Finished item","Finished endpoint",IF(IFERROR(INDEX('Items'!$AI$6:$AI$1005,MATCH(T511,'Items'!$A$6:$A$1005,0)),"MISSING ID")="Currency","Currency / no refinement tier","Recovered output / tier not applicable")),IF(OR(IFERROR(INDEX('Crafting recipes'!$H$6:$H$1005,MATCH(J511,'Crafting recipes'!$A$6:$A$1005,0)),"MISSING ID")="Unassigned",G511="Unassigned"),"Tier unresolved",IF(IFERROR(VALUE(RIGHT(G511,1))-VALUE(RIGHT(IFERROR(INDEX('Crafting recipes'!$H$6:$H$1005,MATCH(J511,'Crafting recipes'!$A$6:$A$1005,0)),"MISSING ID"),1)),0)=1,IF(B511=IFERROR(INDEX('Crafting recipes'!$H$6:$H$1005,MATCH(J511,'Crafting recipes'!$A$6:$A$1005,0)),"MISSING ID"),"Advances one material tier","Lower-tier ingredient; route advances one tier"),"Needs tier review"))))))</x:f>
        <x:v>Advances one material tier</x:v>
      </x:c>
      <x:c r="S511" s="4" t="str">
        <x:f>IFERROR(INDEX('Material routes'!$D$6:$D$2205,MATCH(U511,'Material routes'!$A$6:$A$2205,0)),"MISSING ID")</x:f>
        <x:v>proposal.lore.fastener_set</x:v>
      </x:c>
      <x:c r="T511" s="4" t="str">
        <x:f>IFERROR(INDEX('Material routes'!$D$6:$D$2205,MATCH(V511,'Material routes'!$A$6:$A$2205,0)),"MISSING ID")</x:f>
        <x:v>proposal.t4.grinding_head</x:v>
      </x:c>
      <x:c r="U511" s="4" t="str">
        <x:v>design.t4.grinding_head.lore.hardware.13</x:v>
      </x:c>
      <x:c r="V511" s="4" t="str">
        <x:v>design.t4.grinding_head.out</x:v>
      </x:c>
    </x:row>
    <x:row r="512" ht="115" customHeight="1">
      <x:c r="A512" s="4" t="str">
        <x:f>IFERROR(INDEX('Material routes'!$E$6:$E$2205,MATCH(U512,'Material routes'!$A$6:$A$2205,0)),"MISSING ID")</x:f>
        <x:v>Matched metal fastener set</x:v>
      </x:c>
      <x:c r="B512" s="4" t="str">
        <x:f>IFERROR(INDEX('Material routes'!$F$6:$F$2205,MATCH(U512,'Material routes'!$A$6:$A$2205,0)),"MISSING ID")</x:f>
        <x:v>T3</x:v>
      </x:c>
      <x:c r="C512" s="4" t="str">
        <x:f>IFERROR(INDEX('Material routes'!$H$6:$H$2205,MATCH(U512,'Material routes'!$A$6:$A$2205,0)),"MISSING ID")</x:f>
        <x:v>Crafting component</x:v>
      </x:c>
      <x:c r="D512" s="4" t="str">
        <x:f>IFERROR(INDEX('Material routes'!$G$6:$G$2205,MATCH(U512,'Material routes'!$A$6:$A$2205,0)),"MISSING ID")</x:f>
        <x:v>Crafting components</x:v>
      </x:c>
      <x:c r="E512" s="4" t="str">
        <x:f>IFERROR(INDEX('Material routes'!$C$6:$C$2205,MATCH(U512,'Material routes'!$A$6:$A$2205,0)),"MISSING ID")</x:f>
        <x:v>Ingredient candidate</x:v>
      </x:c>
      <x:c r="F512" s="4" t="str">
        <x:f>IFERROR(INDEX('Material routes'!$E$6:$E$2205,MATCH(V512,'Material routes'!$A$6:$A$2205,0)),"MISSING ID")</x:f>
        <x:v>Matched stone-resonator cassette</x:v>
      </x:c>
      <x:c r="G512" s="4" t="str">
        <x:f>IFERROR(INDEX('Material routes'!$F$6:$F$2205,MATCH(V512,'Material routes'!$A$6:$A$2205,0)),"MISSING ID")</x:f>
        <x:v>T4</x:v>
      </x:c>
      <x:c r="H512" s="4" t="str">
        <x:f>IFERROR(INDEX('Material routes'!$H$6:$H$2205,MATCH(V512,'Material routes'!$A$6:$A$2205,0)),"MISSING ID")</x:f>
        <x:v>Crafting component</x:v>
      </x:c>
      <x:c r="I512" s="4" t="str">
        <x:f>IFERROR(INDEX('Material routes'!$G$6:$G$2205,MATCH(V512,'Material routes'!$A$6:$A$2205,0)),"MISSING ID")</x:f>
        <x:v>Crafting components</x:v>
      </x:c>
      <x:c r="J512" s="4" t="str">
        <x:f>IFERROR(INDEX('Material routes'!$B$6:$B$2205,MATCH(U512,'Material routes'!$A$6:$A$2205,0)),"MISSING ID")</x:f>
        <x:v>design.t4.acoustic_cassette</x:v>
      </x:c>
      <x:c r="K512" s="4" t="str">
        <x:f>IFERROR(INDEX('Crafting recipes'!$C$6:$C$1005,MATCH(J512,'Crafting recipes'!$A$6:$A$1005,0)),"MISSING ID")</x:f>
        <x:v>Material refinement</x:v>
      </x:c>
      <x:c r="L512" s="4" t="str">
        <x:f>IFERROR(INDEX('Material routes'!$K$6:$K$2205,MATCH(U512,'Material routes'!$A$6:$A$2205,0)),"MISSING ID")</x:f>
        <x:v>Proposal</x:v>
      </x:c>
      <x:c r="M512" s="4" t="str">
        <x:f>IFERROR(INDEX('Material routes'!$M$6:$M$2205,MATCH(U512,'Material routes'!$A$6:$A$2205,0)),"MISSING ID")</x:f>
        <x:v>Partial proposal</x:v>
      </x:c>
      <x:c r="N512" s="4" t="str">
        <x:f>IF(IFERROR(INDEX('Material routes'!$I$6:$I$1005,MATCH(U512,'Material routes'!$A$6:$A$1005,0)),"MISSING ID")=0,"",IFERROR(INDEX('Material routes'!$I$6:$I$1005,MATCH(U512,'Material routes'!$A$6:$A$1005,0)),"MISSING ID"))</x:f>
      </x:c>
      <x:c r="O512" s="4" t="str">
        <x:f>IFERROR(INDEX('Material routes'!$J$6:$J$2205,MATCH(U512,'Material routes'!$A$6:$A$2205,0)),"MISSING ID")</x:f>
        <x:v>Unspecified</x:v>
      </x:c>
      <x:c r="P512" s="4" t="str">
        <x:f>IF(IFERROR(INDEX('Material routes'!$I$6:$I$1005,MATCH(V512,'Material routes'!$A$6:$A$1005,0)),"MISSING ID")=0,"",IFERROR(INDEX('Material routes'!$I$6:$I$1005,MATCH(V512,'Material routes'!$A$6:$A$1005,0)),"MISSING ID"))</x:f>
      </x:c>
      <x:c r="Q512" s="4" t="str">
        <x:f>IFERROR(INDEX('Material routes'!$J$6:$J$2205,MATCH(V512,'Material routes'!$A$6:$A$2205,0)),"MISSING ID")</x:f>
        <x:v>Unspecified</x:v>
      </x:c>
      <x:c r="R512" s="4" t="str">
        <x:f>IF(L512="Withheld","Withheld premise",IF(E512="Tool candidate","Reusable prerequisite",IF(K512="Raw entry preparation","Entry-resource preparation",IF(G512="Not applicable",IF(IFERROR(INDEX('Items'!$AI$6:$AI$1005,MATCH(T512,'Items'!$A$6:$A$1005,0)),"MISSING ID")="Finished item","Finished endpoint",IF(IFERROR(INDEX('Items'!$AI$6:$AI$1005,MATCH(T512,'Items'!$A$6:$A$1005,0)),"MISSING ID")="Currency","Currency / no refinement tier","Recovered output / tier not applicable")),IF(OR(IFERROR(INDEX('Crafting recipes'!$H$6:$H$1005,MATCH(J512,'Crafting recipes'!$A$6:$A$1005,0)),"MISSING ID")="Unassigned",G512="Unassigned"),"Tier unresolved",IF(IFERROR(VALUE(RIGHT(G512,1))-VALUE(RIGHT(IFERROR(INDEX('Crafting recipes'!$H$6:$H$1005,MATCH(J512,'Crafting recipes'!$A$6:$A$1005,0)),"MISSING ID"),1)),0)=1,IF(B512=IFERROR(INDEX('Crafting recipes'!$H$6:$H$1005,MATCH(J512,'Crafting recipes'!$A$6:$A$1005,0)),"MISSING ID"),"Advances one material tier","Lower-tier ingredient; route advances one tier"),"Needs tier review"))))))</x:f>
        <x:v>Advances one material tier</x:v>
      </x:c>
      <x:c r="S512" s="4" t="str">
        <x:f>IFERROR(INDEX('Material routes'!$D$6:$D$2205,MATCH(U512,'Material routes'!$A$6:$A$2205,0)),"MISSING ID")</x:f>
        <x:v>proposal.lore.fastener_set</x:v>
      </x:c>
      <x:c r="T512" s="4" t="str">
        <x:f>IFERROR(INDEX('Material routes'!$D$6:$D$2205,MATCH(V512,'Material routes'!$A$6:$A$2205,0)),"MISSING ID")</x:f>
        <x:v>proposal.t4.acoustic_cassette</x:v>
      </x:c>
      <x:c r="U512" s="4" t="str">
        <x:v>design.t4.acoustic_cassette.lore.hardware.14</x:v>
      </x:c>
      <x:c r="V512" s="4" t="str">
        <x:v>design.t4.acoustic_cassette.out</x:v>
      </x:c>
    </x:row>
    <x:row r="513" ht="115" customHeight="1">
      <x:c r="A513" s="4" t="str">
        <x:f>IFERROR(INDEX('Material routes'!$E$6:$E$2205,MATCH(U513,'Material routes'!$A$6:$A$2205,0)),"MISSING ID")</x:f>
        <x:v>Threaded metal fitting blanks</x:v>
      </x:c>
      <x:c r="B513" s="4" t="str">
        <x:f>IFERROR(INDEX('Material routes'!$F$6:$F$2205,MATCH(U513,'Material routes'!$A$6:$A$2205,0)),"MISSING ID")</x:f>
        <x:v>T3</x:v>
      </x:c>
      <x:c r="C513" s="4" t="str">
        <x:f>IFERROR(INDEX('Material routes'!$H$6:$H$2205,MATCH(U513,'Material routes'!$A$6:$A$2205,0)),"MISSING ID")</x:f>
        <x:v>Crafting component</x:v>
      </x:c>
      <x:c r="D513" s="4" t="str">
        <x:f>IFERROR(INDEX('Material routes'!$G$6:$G$2205,MATCH(U513,'Material routes'!$A$6:$A$2205,0)),"MISSING ID")</x:f>
        <x:v>Crafting components</x:v>
      </x:c>
      <x:c r="E513" s="4" t="str">
        <x:f>IFERROR(INDEX('Material routes'!$C$6:$C$2205,MATCH(U513,'Material routes'!$A$6:$A$2205,0)),"MISSING ID")</x:f>
        <x:v>Ingredient candidate</x:v>
      </x:c>
      <x:c r="F513" s="4" t="str">
        <x:f>IFERROR(INDEX('Material routes'!$E$6:$E$2205,MATCH(V513,'Material routes'!$A$6:$A$2205,0)),"MISSING ID")</x:f>
        <x:v>Fitted canister valve-core assembly</x:v>
      </x:c>
      <x:c r="G513" s="4" t="str">
        <x:f>IFERROR(INDEX('Material routes'!$F$6:$F$2205,MATCH(V513,'Material routes'!$A$6:$A$2205,0)),"MISSING ID")</x:f>
        <x:v>T4</x:v>
      </x:c>
      <x:c r="H513" s="4" t="str">
        <x:f>IFERROR(INDEX('Material routes'!$H$6:$H$2205,MATCH(V513,'Material routes'!$A$6:$A$2205,0)),"MISSING ID")</x:f>
        <x:v>Crafting component</x:v>
      </x:c>
      <x:c r="I513" s="4" t="str">
        <x:f>IFERROR(INDEX('Material routes'!$G$6:$G$2205,MATCH(V513,'Material routes'!$A$6:$A$2205,0)),"MISSING ID")</x:f>
        <x:v>Crafting components</x:v>
      </x:c>
      <x:c r="J513" s="4" t="str">
        <x:f>IFERROR(INDEX('Material routes'!$B$6:$B$2205,MATCH(U513,'Material routes'!$A$6:$A$2205,0)),"MISSING ID")</x:f>
        <x:v>design.t4.valve_core</x:v>
      </x:c>
      <x:c r="K513" s="4" t="str">
        <x:f>IFERROR(INDEX('Crafting recipes'!$C$6:$C$1005,MATCH(J513,'Crafting recipes'!$A$6:$A$1005,0)),"MISSING ID")</x:f>
        <x:v>Material refinement</x:v>
      </x:c>
      <x:c r="L513" s="4" t="str">
        <x:f>IFERROR(INDEX('Material routes'!$K$6:$K$2205,MATCH(U513,'Material routes'!$A$6:$A$2205,0)),"MISSING ID")</x:f>
        <x:v>Proposal</x:v>
      </x:c>
      <x:c r="M513" s="4" t="str">
        <x:f>IFERROR(INDEX('Material routes'!$M$6:$M$2205,MATCH(U513,'Material routes'!$A$6:$A$2205,0)),"MISSING ID")</x:f>
        <x:v>Partial proposal</x:v>
      </x:c>
      <x:c r="N513" s="4" t="str">
        <x:f>IF(IFERROR(INDEX('Material routes'!$I$6:$I$1005,MATCH(U513,'Material routes'!$A$6:$A$1005,0)),"MISSING ID")=0,"",IFERROR(INDEX('Material routes'!$I$6:$I$1005,MATCH(U513,'Material routes'!$A$6:$A$1005,0)),"MISSING ID"))</x:f>
      </x:c>
      <x:c r="O513" s="4" t="str">
        <x:f>IFERROR(INDEX('Material routes'!$J$6:$J$2205,MATCH(U513,'Material routes'!$A$6:$A$2205,0)),"MISSING ID")</x:f>
        <x:v>Unspecified</x:v>
      </x:c>
      <x:c r="P513" s="4" t="str">
        <x:f>IF(IFERROR(INDEX('Material routes'!$I$6:$I$1005,MATCH(V513,'Material routes'!$A$6:$A$1005,0)),"MISSING ID")=0,"",IFERROR(INDEX('Material routes'!$I$6:$I$1005,MATCH(V513,'Material routes'!$A$6:$A$1005,0)),"MISSING ID"))</x:f>
      </x:c>
      <x:c r="Q513" s="4" t="str">
        <x:f>IFERROR(INDEX('Material routes'!$J$6:$J$2205,MATCH(V513,'Material routes'!$A$6:$A$2205,0)),"MISSING ID")</x:f>
        <x:v>Unspecified</x:v>
      </x:c>
      <x:c r="R513" s="4" t="str">
        <x:f>IF(L513="Withheld","Withheld premise",IF(E513="Tool candidate","Reusable prerequisite",IF(K513="Raw entry preparation","Entry-resource preparation",IF(G513="Not applicable",IF(IFERROR(INDEX('Items'!$AI$6:$AI$1005,MATCH(T513,'Items'!$A$6:$A$1005,0)),"MISSING ID")="Finished item","Finished endpoint",IF(IFERROR(INDEX('Items'!$AI$6:$AI$1005,MATCH(T513,'Items'!$A$6:$A$1005,0)),"MISSING ID")="Currency","Currency / no refinement tier","Recovered output / tier not applicable")),IF(OR(IFERROR(INDEX('Crafting recipes'!$H$6:$H$1005,MATCH(J513,'Crafting recipes'!$A$6:$A$1005,0)),"MISSING ID")="Unassigned",G513="Unassigned"),"Tier unresolved",IF(IFERROR(VALUE(RIGHT(G513,1))-VALUE(RIGHT(IFERROR(INDEX('Crafting recipes'!$H$6:$H$1005,MATCH(J513,'Crafting recipes'!$A$6:$A$1005,0)),"MISSING ID"),1)),0)=1,IF(B513=IFERROR(INDEX('Crafting recipes'!$H$6:$H$1005,MATCH(J513,'Crafting recipes'!$A$6:$A$1005,0)),"MISSING ID"),"Advances one material tier","Lower-tier ingredient; route advances one tier"),"Needs tier review"))))))</x:f>
        <x:v>Advances one material tier</x:v>
      </x:c>
      <x:c r="S513" s="4" t="str">
        <x:f>IFERROR(INDEX('Material routes'!$D$6:$D$2205,MATCH(U513,'Material routes'!$A$6:$A$2205,0)),"MISSING ID")</x:f>
        <x:v>proposal.lore.threaded_fittings</x:v>
      </x:c>
      <x:c r="T513" s="4" t="str">
        <x:f>IFERROR(INDEX('Material routes'!$D$6:$D$2205,MATCH(V513,'Material routes'!$A$6:$A$2205,0)),"MISSING ID")</x:f>
        <x:v>proposal.t4.valve_core</x:v>
      </x:c>
      <x:c r="U513" s="4" t="str">
        <x:v>design.t4.valve_core.lore.hardware.15</x:v>
      </x:c>
      <x:c r="V513" s="4" t="str">
        <x:v>design.t4.valve_core.out</x:v>
      </x:c>
    </x:row>
    <x:row r="514" ht="115" customHeight="1">
      <x:c r="A514" s="4" t="str">
        <x:f>IFERROR(INDEX('Material routes'!$E$6:$E$2205,MATCH(U514,'Material routes'!$A$6:$A$2205,0)),"MISSING ID")</x:f>
        <x:v>Threaded metal fitting blanks</x:v>
      </x:c>
      <x:c r="B514" s="4" t="str">
        <x:f>IFERROR(INDEX('Material routes'!$F$6:$F$2205,MATCH(U514,'Material routes'!$A$6:$A$2205,0)),"MISSING ID")</x:f>
        <x:v>T3</x:v>
      </x:c>
      <x:c r="C514" s="4" t="str">
        <x:f>IFERROR(INDEX('Material routes'!$H$6:$H$2205,MATCH(U514,'Material routes'!$A$6:$A$2205,0)),"MISSING ID")</x:f>
        <x:v>Crafting component</x:v>
      </x:c>
      <x:c r="D514" s="4" t="str">
        <x:f>IFERROR(INDEX('Material routes'!$G$6:$G$2205,MATCH(U514,'Material routes'!$A$6:$A$2205,0)),"MISSING ID")</x:f>
        <x:v>Crafting components</x:v>
      </x:c>
      <x:c r="E514" s="4" t="str">
        <x:f>IFERROR(INDEX('Material routes'!$C$6:$C$2205,MATCH(U514,'Material routes'!$A$6:$A$2205,0)),"MISSING ID")</x:f>
        <x:v>Ingredient candidate</x:v>
      </x:c>
      <x:c r="F514" s="4" t="str">
        <x:f>IFERROR(INDEX('Material routes'!$E$6:$E$2205,MATCH(V514,'Material routes'!$A$6:$A$2205,0)),"MISSING ID")</x:f>
        <x:v>Feed-line section</x:v>
      </x:c>
      <x:c r="G514" s="4" t="str">
        <x:f>IFERROR(INDEX('Material routes'!$F$6:$F$2205,MATCH(V514,'Material routes'!$A$6:$A$2205,0)),"MISSING ID")</x:f>
        <x:v>T4</x:v>
      </x:c>
      <x:c r="H514" s="4" t="str">
        <x:f>IFERROR(INDEX('Material routes'!$H$6:$H$2205,MATCH(V514,'Material routes'!$A$6:$A$2205,0)),"MISSING ID")</x:f>
        <x:v>Container part</x:v>
      </x:c>
      <x:c r="I514" s="4" t="str">
        <x:f>IFERROR(INDEX('Material routes'!$G$6:$G$2205,MATCH(V514,'Material routes'!$A$6:$A$2205,0)),"MISSING ID")</x:f>
        <x:v>Crafting components</x:v>
      </x:c>
      <x:c r="J514" s="4" t="str">
        <x:f>IFERROR(INDEX('Material routes'!$B$6:$B$2205,MATCH(U514,'Material routes'!$A$6:$A$2205,0)),"MISSING ID")</x:f>
        <x:v>design.review.proposal_canister_feed_line</x:v>
      </x:c>
      <x:c r="K514" s="4" t="str">
        <x:f>IFERROR(INDEX('Crafting recipes'!$C$6:$C$1005,MATCH(J514,'Crafting recipes'!$A$6:$A$1005,0)),"MISSING ID")</x:f>
        <x:v>Material refinement</x:v>
      </x:c>
      <x:c r="L514" s="4" t="str">
        <x:f>IFERROR(INDEX('Material routes'!$K$6:$K$2205,MATCH(U514,'Material routes'!$A$6:$A$2205,0)),"MISSING ID")</x:f>
        <x:v>Proposal</x:v>
      </x:c>
      <x:c r="M514" s="4" t="str">
        <x:f>IFERROR(INDEX('Material routes'!$M$6:$M$2205,MATCH(U514,'Material routes'!$A$6:$A$2205,0)),"MISSING ID")</x:f>
        <x:v>Partial proposal</x:v>
      </x:c>
      <x:c r="N514" s="4" t="str">
        <x:f>IF(IFERROR(INDEX('Material routes'!$I$6:$I$1005,MATCH(U514,'Material routes'!$A$6:$A$1005,0)),"MISSING ID")=0,"",IFERROR(INDEX('Material routes'!$I$6:$I$1005,MATCH(U514,'Material routes'!$A$6:$A$1005,0)),"MISSING ID"))</x:f>
      </x:c>
      <x:c r="O514" s="4" t="str">
        <x:f>IFERROR(INDEX('Material routes'!$J$6:$J$2205,MATCH(U514,'Material routes'!$A$6:$A$2205,0)),"MISSING ID")</x:f>
        <x:v>Unspecified</x:v>
      </x:c>
      <x:c r="P514" s="4" t="str">
        <x:f>IF(IFERROR(INDEX('Material routes'!$I$6:$I$1005,MATCH(V514,'Material routes'!$A$6:$A$1005,0)),"MISSING ID")=0,"",IFERROR(INDEX('Material routes'!$I$6:$I$1005,MATCH(V514,'Material routes'!$A$6:$A$1005,0)),"MISSING ID"))</x:f>
      </x:c>
      <x:c r="Q514" s="4" t="str">
        <x:f>IFERROR(INDEX('Material routes'!$J$6:$J$2205,MATCH(V514,'Material routes'!$A$6:$A$2205,0)),"MISSING ID")</x:f>
        <x:v>Unspecified</x:v>
      </x:c>
      <x:c r="R514" s="4" t="str">
        <x:f>IF(L514="Withheld","Withheld premise",IF(E514="Tool candidate","Reusable prerequisite",IF(K514="Raw entry preparation","Entry-resource preparation",IF(G514="Not applicable",IF(IFERROR(INDEX('Items'!$AI$6:$AI$1005,MATCH(T514,'Items'!$A$6:$A$1005,0)),"MISSING ID")="Finished item","Finished endpoint",IF(IFERROR(INDEX('Items'!$AI$6:$AI$1005,MATCH(T514,'Items'!$A$6:$A$1005,0)),"MISSING ID")="Currency","Currency / no refinement tier","Recovered output / tier not applicable")),IF(OR(IFERROR(INDEX('Crafting recipes'!$H$6:$H$1005,MATCH(J514,'Crafting recipes'!$A$6:$A$1005,0)),"MISSING ID")="Unassigned",G514="Unassigned"),"Tier unresolved",IF(IFERROR(VALUE(RIGHT(G514,1))-VALUE(RIGHT(IFERROR(INDEX('Crafting recipes'!$H$6:$H$1005,MATCH(J514,'Crafting recipes'!$A$6:$A$1005,0)),"MISSING ID"),1)),0)=1,IF(B514=IFERROR(INDEX('Crafting recipes'!$H$6:$H$1005,MATCH(J514,'Crafting recipes'!$A$6:$A$1005,0)),"MISSING ID"),"Advances one material tier","Lower-tier ingredient; route advances one tier"),"Needs tier review"))))))</x:f>
        <x:v>Advances one material tier</x:v>
      </x:c>
      <x:c r="S514" s="4" t="str">
        <x:f>IFERROR(INDEX('Material routes'!$D$6:$D$2205,MATCH(U514,'Material routes'!$A$6:$A$2205,0)),"MISSING ID")</x:f>
        <x:v>proposal.lore.threaded_fittings</x:v>
      </x:c>
      <x:c r="T514" s="4" t="str">
        <x:f>IFERROR(INDEX('Material routes'!$D$6:$D$2205,MATCH(V514,'Material routes'!$A$6:$A$2205,0)),"MISSING ID")</x:f>
        <x:v>proposal.canister.feed_line</x:v>
      </x:c>
      <x:c r="U514" s="4" t="str">
        <x:v>design.review.proposal_canister_feed_line.lore.hardware.16</x:v>
      </x:c>
      <x:c r="V514" s="4" t="str">
        <x:v>design.review.proposal_canister_feed_line.out</x:v>
      </x:c>
    </x:row>
    <x:row r="515" ht="115" customHeight="1">
      <x:c r="A515" s="4" t="str">
        <x:f>IFERROR(INDEX('Material routes'!$E$6:$E$2205,MATCH(U515,'Material routes'!$A$6:$A$2205,0)),"MISSING ID")</x:f>
        <x:v>Threaded metal fitting blanks</x:v>
      </x:c>
      <x:c r="B515" s="4" t="str">
        <x:f>IFERROR(INDEX('Material routes'!$F$6:$F$2205,MATCH(U515,'Material routes'!$A$6:$A$2205,0)),"MISSING ID")</x:f>
        <x:v>T3</x:v>
      </x:c>
      <x:c r="C515" s="4" t="str">
        <x:f>IFERROR(INDEX('Material routes'!$H$6:$H$2205,MATCH(U515,'Material routes'!$A$6:$A$2205,0)),"MISSING ID")</x:f>
        <x:v>Crafting component</x:v>
      </x:c>
      <x:c r="D515" s="4" t="str">
        <x:f>IFERROR(INDEX('Material routes'!$G$6:$G$2205,MATCH(U515,'Material routes'!$A$6:$A$2205,0)),"MISSING ID")</x:f>
        <x:v>Crafting components</x:v>
      </x:c>
      <x:c r="E515" s="4" t="str">
        <x:f>IFERROR(INDEX('Material routes'!$C$6:$C$2205,MATCH(U515,'Material routes'!$A$6:$A$2205,0)),"MISSING ID")</x:f>
        <x:v>Ingredient candidate</x:v>
      </x:c>
      <x:c r="F515" s="4" t="str">
        <x:f>IFERROR(INDEX('Material routes'!$E$6:$E$2205,MATCH(V515,'Material routes'!$A$6:$A$2205,0)),"MISSING ID")</x:f>
        <x:v>Feed-line coupling</x:v>
      </x:c>
      <x:c r="G515" s="4" t="str">
        <x:f>IFERROR(INDEX('Material routes'!$F$6:$F$2205,MATCH(V515,'Material routes'!$A$6:$A$2205,0)),"MISSING ID")</x:f>
        <x:v>T4</x:v>
      </x:c>
      <x:c r="H515" s="4" t="str">
        <x:f>IFERROR(INDEX('Material routes'!$H$6:$H$2205,MATCH(V515,'Material routes'!$A$6:$A$2205,0)),"MISSING ID")</x:f>
        <x:v>Container part</x:v>
      </x:c>
      <x:c r="I515" s="4" t="str">
        <x:f>IFERROR(INDEX('Material routes'!$G$6:$G$2205,MATCH(V515,'Material routes'!$A$6:$A$2205,0)),"MISSING ID")</x:f>
        <x:v>Crafting components</x:v>
      </x:c>
      <x:c r="J515" s="4" t="str">
        <x:f>IFERROR(INDEX('Material routes'!$B$6:$B$2205,MATCH(U515,'Material routes'!$A$6:$A$2205,0)),"MISSING ID")</x:f>
        <x:v>design.review.proposal_canister_coupling</x:v>
      </x:c>
      <x:c r="K515" s="4" t="str">
        <x:f>IFERROR(INDEX('Crafting recipes'!$C$6:$C$1005,MATCH(J515,'Crafting recipes'!$A$6:$A$1005,0)),"MISSING ID")</x:f>
        <x:v>Material refinement</x:v>
      </x:c>
      <x:c r="L515" s="4" t="str">
        <x:f>IFERROR(INDEX('Material routes'!$K$6:$K$2205,MATCH(U515,'Material routes'!$A$6:$A$2205,0)),"MISSING ID")</x:f>
        <x:v>Proposal</x:v>
      </x:c>
      <x:c r="M515" s="4" t="str">
        <x:f>IFERROR(INDEX('Material routes'!$M$6:$M$2205,MATCH(U515,'Material routes'!$A$6:$A$2205,0)),"MISSING ID")</x:f>
        <x:v>Partial proposal</x:v>
      </x:c>
      <x:c r="N515" s="4" t="str">
        <x:f>IF(IFERROR(INDEX('Material routes'!$I$6:$I$1005,MATCH(U515,'Material routes'!$A$6:$A$1005,0)),"MISSING ID")=0,"",IFERROR(INDEX('Material routes'!$I$6:$I$1005,MATCH(U515,'Material routes'!$A$6:$A$1005,0)),"MISSING ID"))</x:f>
      </x:c>
      <x:c r="O515" s="4" t="str">
        <x:f>IFERROR(INDEX('Material routes'!$J$6:$J$2205,MATCH(U515,'Material routes'!$A$6:$A$2205,0)),"MISSING ID")</x:f>
        <x:v>Unspecified</x:v>
      </x:c>
      <x:c r="P515" s="4" t="str">
        <x:f>IF(IFERROR(INDEX('Material routes'!$I$6:$I$1005,MATCH(V515,'Material routes'!$A$6:$A$1005,0)),"MISSING ID")=0,"",IFERROR(INDEX('Material routes'!$I$6:$I$1005,MATCH(V515,'Material routes'!$A$6:$A$1005,0)),"MISSING ID"))</x:f>
      </x:c>
      <x:c r="Q515" s="4" t="str">
        <x:f>IFERROR(INDEX('Material routes'!$J$6:$J$2205,MATCH(V515,'Material routes'!$A$6:$A$2205,0)),"MISSING ID")</x:f>
        <x:v>Unspecified</x:v>
      </x:c>
      <x:c r="R515" s="4" t="str">
        <x:f>IF(L515="Withheld","Withheld premise",IF(E515="Tool candidate","Reusable prerequisite",IF(K515="Raw entry preparation","Entry-resource preparation",IF(G515="Not applicable",IF(IFERROR(INDEX('Items'!$AI$6:$AI$1005,MATCH(T515,'Items'!$A$6:$A$1005,0)),"MISSING ID")="Finished item","Finished endpoint",IF(IFERROR(INDEX('Items'!$AI$6:$AI$1005,MATCH(T515,'Items'!$A$6:$A$1005,0)),"MISSING ID")="Currency","Currency / no refinement tier","Recovered output / tier not applicable")),IF(OR(IFERROR(INDEX('Crafting recipes'!$H$6:$H$1005,MATCH(J515,'Crafting recipes'!$A$6:$A$1005,0)),"MISSING ID")="Unassigned",G515="Unassigned"),"Tier unresolved",IF(IFERROR(VALUE(RIGHT(G515,1))-VALUE(RIGHT(IFERROR(INDEX('Crafting recipes'!$H$6:$H$1005,MATCH(J515,'Crafting recipes'!$A$6:$A$1005,0)),"MISSING ID"),1)),0)=1,IF(B515=IFERROR(INDEX('Crafting recipes'!$H$6:$H$1005,MATCH(J515,'Crafting recipes'!$A$6:$A$1005,0)),"MISSING ID"),"Advances one material tier","Lower-tier ingredient; route advances one tier"),"Needs tier review"))))))</x:f>
        <x:v>Advances one material tier</x:v>
      </x:c>
      <x:c r="S515" s="4" t="str">
        <x:f>IFERROR(INDEX('Material routes'!$D$6:$D$2205,MATCH(U515,'Material routes'!$A$6:$A$2205,0)),"MISSING ID")</x:f>
        <x:v>proposal.lore.threaded_fittings</x:v>
      </x:c>
      <x:c r="T515" s="4" t="str">
        <x:f>IFERROR(INDEX('Material routes'!$D$6:$D$2205,MATCH(V515,'Material routes'!$A$6:$A$2205,0)),"MISSING ID")</x:f>
        <x:v>proposal.canister.coupling</x:v>
      </x:c>
      <x:c r="U515" s="4" t="str">
        <x:v>design.review.proposal_canister_coupling.lore.hardware.17</x:v>
      </x:c>
      <x:c r="V515" s="4" t="str">
        <x:v>design.review.proposal_canister_coupling.out</x:v>
      </x:c>
    </x:row>
    <x:row r="516" ht="115" customHeight="1">
      <x:c r="A516" s="4" t="str">
        <x:f>IFERROR(INDEX('Material routes'!$E$6:$E$2205,MATCH(U516,'Material routes'!$A$6:$A$2205,0)),"MISSING ID")</x:f>
        <x:v>Threaded metal fitting blanks</x:v>
      </x:c>
      <x:c r="B516" s="4" t="str">
        <x:f>IFERROR(INDEX('Material routes'!$F$6:$F$2205,MATCH(U516,'Material routes'!$A$6:$A$2205,0)),"MISSING ID")</x:f>
        <x:v>T3</x:v>
      </x:c>
      <x:c r="C516" s="4" t="str">
        <x:f>IFERROR(INDEX('Material routes'!$H$6:$H$2205,MATCH(U516,'Material routes'!$A$6:$A$2205,0)),"MISSING ID")</x:f>
        <x:v>Crafting component</x:v>
      </x:c>
      <x:c r="D516" s="4" t="str">
        <x:f>IFERROR(INDEX('Material routes'!$G$6:$G$2205,MATCH(U516,'Material routes'!$A$6:$A$2205,0)),"MISSING ID")</x:f>
        <x:v>Crafting components</x:v>
      </x:c>
      <x:c r="E516" s="4" t="str">
        <x:f>IFERROR(INDEX('Material routes'!$C$6:$C$2205,MATCH(U516,'Material routes'!$A$6:$A$2205,0)),"MISSING ID")</x:f>
        <x:v>Ingredient candidate</x:v>
      </x:c>
      <x:c r="F516" s="4" t="str">
        <x:f>IFERROR(INDEX('Material routes'!$E$6:$E$2205,MATCH(V516,'Material routes'!$A$6:$A$2205,0)),"MISSING ID")</x:f>
        <x:v>Lubricant service-port adapter</x:v>
      </x:c>
      <x:c r="G516" s="4" t="str">
        <x:f>IFERROR(INDEX('Material routes'!$F$6:$F$2205,MATCH(V516,'Material routes'!$A$6:$A$2205,0)),"MISSING ID")</x:f>
        <x:v>T4</x:v>
      </x:c>
      <x:c r="H516" s="4" t="str">
        <x:f>IFERROR(INDEX('Material routes'!$H$6:$H$2205,MATCH(V516,'Material routes'!$A$6:$A$2205,0)),"MISSING ID")</x:f>
        <x:v>Container part</x:v>
      </x:c>
      <x:c r="I516" s="4" t="str">
        <x:f>IFERROR(INDEX('Material routes'!$G$6:$G$2205,MATCH(V516,'Material routes'!$A$6:$A$2205,0)),"MISSING ID")</x:f>
        <x:v>Crafting components</x:v>
      </x:c>
      <x:c r="J516" s="4" t="str">
        <x:f>IFERROR(INDEX('Material routes'!$B$6:$B$2205,MATCH(U516,'Material routes'!$A$6:$A$2205,0)),"MISSING ID")</x:f>
        <x:v>design.review.proposal_legger_service_adapter</x:v>
      </x:c>
      <x:c r="K516" s="4" t="str">
        <x:f>IFERROR(INDEX('Crafting recipes'!$C$6:$C$1005,MATCH(J516,'Crafting recipes'!$A$6:$A$1005,0)),"MISSING ID")</x:f>
        <x:v>Material refinement</x:v>
      </x:c>
      <x:c r="L516" s="4" t="str">
        <x:f>IFERROR(INDEX('Material routes'!$K$6:$K$2205,MATCH(U516,'Material routes'!$A$6:$A$2205,0)),"MISSING ID")</x:f>
        <x:v>Proposal</x:v>
      </x:c>
      <x:c r="M516" s="4" t="str">
        <x:f>IFERROR(INDEX('Material routes'!$M$6:$M$2205,MATCH(U516,'Material routes'!$A$6:$A$2205,0)),"MISSING ID")</x:f>
        <x:v>Partial proposal</x:v>
      </x:c>
      <x:c r="N516" s="4" t="str">
        <x:f>IF(IFERROR(INDEX('Material routes'!$I$6:$I$1005,MATCH(U516,'Material routes'!$A$6:$A$1005,0)),"MISSING ID")=0,"",IFERROR(INDEX('Material routes'!$I$6:$I$1005,MATCH(U516,'Material routes'!$A$6:$A$1005,0)),"MISSING ID"))</x:f>
      </x:c>
      <x:c r="O516" s="4" t="str">
        <x:f>IFERROR(INDEX('Material routes'!$J$6:$J$2205,MATCH(U516,'Material routes'!$A$6:$A$2205,0)),"MISSING ID")</x:f>
        <x:v>Unspecified</x:v>
      </x:c>
      <x:c r="P516" s="4" t="str">
        <x:f>IF(IFERROR(INDEX('Material routes'!$I$6:$I$1005,MATCH(V516,'Material routes'!$A$6:$A$1005,0)),"MISSING ID")=0,"",IFERROR(INDEX('Material routes'!$I$6:$I$1005,MATCH(V516,'Material routes'!$A$6:$A$1005,0)),"MISSING ID"))</x:f>
      </x:c>
      <x:c r="Q516" s="4" t="str">
        <x:f>IFERROR(INDEX('Material routes'!$J$6:$J$2205,MATCH(V516,'Material routes'!$A$6:$A$2205,0)),"MISSING ID")</x:f>
        <x:v>Unspecified</x:v>
      </x:c>
      <x:c r="R516" s="4" t="str">
        <x:f>IF(L516="Withheld","Withheld premise",IF(E516="Tool candidate","Reusable prerequisite",IF(K516="Raw entry preparation","Entry-resource preparation",IF(G516="Not applicable",IF(IFERROR(INDEX('Items'!$AI$6:$AI$1005,MATCH(T516,'Items'!$A$6:$A$1005,0)),"MISSING ID")="Finished item","Finished endpoint",IF(IFERROR(INDEX('Items'!$AI$6:$AI$1005,MATCH(T516,'Items'!$A$6:$A$1005,0)),"MISSING ID")="Currency","Currency / no refinement tier","Recovered output / tier not applicable")),IF(OR(IFERROR(INDEX('Crafting recipes'!$H$6:$H$1005,MATCH(J516,'Crafting recipes'!$A$6:$A$1005,0)),"MISSING ID")="Unassigned",G516="Unassigned"),"Tier unresolved",IF(IFERROR(VALUE(RIGHT(G516,1))-VALUE(RIGHT(IFERROR(INDEX('Crafting recipes'!$H$6:$H$1005,MATCH(J516,'Crafting recipes'!$A$6:$A$1005,0)),"MISSING ID"),1)),0)=1,IF(B516=IFERROR(INDEX('Crafting recipes'!$H$6:$H$1005,MATCH(J516,'Crafting recipes'!$A$6:$A$1005,0)),"MISSING ID"),"Advances one material tier","Lower-tier ingredient; route advances one tier"),"Needs tier review"))))))</x:f>
        <x:v>Advances one material tier</x:v>
      </x:c>
      <x:c r="S516" s="4" t="str">
        <x:f>IFERROR(INDEX('Material routes'!$D$6:$D$2205,MATCH(U516,'Material routes'!$A$6:$A$2205,0)),"MISSING ID")</x:f>
        <x:v>proposal.lore.threaded_fittings</x:v>
      </x:c>
      <x:c r="T516" s="4" t="str">
        <x:f>IFERROR(INDEX('Material routes'!$D$6:$D$2205,MATCH(V516,'Material routes'!$A$6:$A$2205,0)),"MISSING ID")</x:f>
        <x:v>proposal.legger.service_adapter</x:v>
      </x:c>
      <x:c r="U516" s="4" t="str">
        <x:v>design.review.proposal_legger_service_adapter.lore.hardware.18</x:v>
      </x:c>
      <x:c r="V516" s="4" t="str">
        <x:v>design.review.proposal_legger_service_adapter.out</x:v>
      </x:c>
    </x:row>
    <x:row r="517" ht="115" customHeight="1">
      <x:c r="A517" s="4" t="str">
        <x:f>IFERROR(INDEX('Material routes'!$E$6:$E$2205,MATCH(U517,'Material routes'!$A$6:$A$2205,0)),"MISSING ID")</x:f>
        <x:v>Rough iron rivet stock</x:v>
      </x:c>
      <x:c r="B517" s="4" t="str">
        <x:f>IFERROR(INDEX('Material routes'!$F$6:$F$2205,MATCH(U517,'Material routes'!$A$6:$A$2205,0)),"MISSING ID")</x:f>
        <x:v>T2</x:v>
      </x:c>
      <x:c r="C517" s="4" t="str">
        <x:f>IFERROR(INDEX('Material routes'!$H$6:$H$2205,MATCH(U517,'Material routes'!$A$6:$A$2205,0)),"MISSING ID")</x:f>
        <x:v>Processed material</x:v>
      </x:c>
      <x:c r="D517" s="4" t="str">
        <x:f>IFERROR(INDEX('Material routes'!$G$6:$G$2205,MATCH(U517,'Material routes'!$A$6:$A$2205,0)),"MISSING ID")</x:f>
        <x:v>Manufactured stock</x:v>
      </x:c>
      <x:c r="E517" s="4" t="str">
        <x:f>IFERROR(INDEX('Material routes'!$C$6:$C$2205,MATCH(U517,'Material routes'!$A$6:$A$2205,0)),"MISSING ID")</x:f>
        <x:v>Ingredient candidate</x:v>
      </x:c>
      <x:c r="F517" s="4" t="str">
        <x:f>IFERROR(INDEX('Material routes'!$E$6:$E$2205,MATCH(V517,'Material routes'!$A$6:$A$2205,0)),"MISSING ID")</x:f>
        <x:v>Canister mounting bracket</x:v>
      </x:c>
      <x:c r="G517" s="4" t="str">
        <x:f>IFERROR(INDEX('Material routes'!$F$6:$F$2205,MATCH(V517,'Material routes'!$A$6:$A$2205,0)),"MISSING ID")</x:f>
        <x:v>T3</x:v>
      </x:c>
      <x:c r="H517" s="4" t="str">
        <x:f>IFERROR(INDEX('Material routes'!$H$6:$H$2205,MATCH(V517,'Material routes'!$A$6:$A$2205,0)),"MISSING ID")</x:f>
        <x:v>Container part</x:v>
      </x:c>
      <x:c r="I517" s="4" t="str">
        <x:f>IFERROR(INDEX('Material routes'!$G$6:$G$2205,MATCH(V517,'Material routes'!$A$6:$A$2205,0)),"MISSING ID")</x:f>
        <x:v>Crafting components</x:v>
      </x:c>
      <x:c r="J517" s="4" t="str">
        <x:f>IFERROR(INDEX('Material routes'!$B$6:$B$2205,MATCH(U517,'Material routes'!$A$6:$A$2205,0)),"MISSING ID")</x:f>
        <x:v>design.review.proposal_canister_mount</x:v>
      </x:c>
      <x:c r="K517" s="4" t="str">
        <x:f>IFERROR(INDEX('Crafting recipes'!$C$6:$C$1005,MATCH(J517,'Crafting recipes'!$A$6:$A$1005,0)),"MISSING ID")</x:f>
        <x:v>Material refinement</x:v>
      </x:c>
      <x:c r="L517" s="4" t="str">
        <x:f>IFERROR(INDEX('Material routes'!$K$6:$K$2205,MATCH(U517,'Material routes'!$A$6:$A$2205,0)),"MISSING ID")</x:f>
        <x:v>Proposal</x:v>
      </x:c>
      <x:c r="M517" s="4" t="str">
        <x:f>IFERROR(INDEX('Material routes'!$M$6:$M$2205,MATCH(U517,'Material routes'!$A$6:$A$2205,0)),"MISSING ID")</x:f>
        <x:v>Partial proposal</x:v>
      </x:c>
      <x:c r="N517" s="4" t="str">
        <x:f>IF(IFERROR(INDEX('Material routes'!$I$6:$I$1005,MATCH(U517,'Material routes'!$A$6:$A$1005,0)),"MISSING ID")=0,"",IFERROR(INDEX('Material routes'!$I$6:$I$1005,MATCH(U517,'Material routes'!$A$6:$A$1005,0)),"MISSING ID"))</x:f>
      </x:c>
      <x:c r="O517" s="4" t="str">
        <x:f>IFERROR(INDEX('Material routes'!$J$6:$J$2205,MATCH(U517,'Material routes'!$A$6:$A$2205,0)),"MISSING ID")</x:f>
        <x:v>Unspecified</x:v>
      </x:c>
      <x:c r="P517" s="4" t="str">
        <x:f>IF(IFERROR(INDEX('Material routes'!$I$6:$I$1005,MATCH(V517,'Material routes'!$A$6:$A$1005,0)),"MISSING ID")=0,"",IFERROR(INDEX('Material routes'!$I$6:$I$1005,MATCH(V517,'Material routes'!$A$6:$A$1005,0)),"MISSING ID"))</x:f>
      </x:c>
      <x:c r="Q517" s="4" t="str">
        <x:f>IFERROR(INDEX('Material routes'!$J$6:$J$2205,MATCH(V517,'Material routes'!$A$6:$A$2205,0)),"MISSING ID")</x:f>
        <x:v>Unspecified</x:v>
      </x:c>
      <x:c r="R517" s="4" t="str">
        <x:f>IF(L517="Withheld","Withheld premise",IF(E517="Tool candidate","Reusable prerequisite",IF(K517="Raw entry preparation","Entry-resource preparation",IF(G517="Not applicable",IF(IFERROR(INDEX('Items'!$AI$6:$AI$1005,MATCH(T517,'Items'!$A$6:$A$1005,0)),"MISSING ID")="Finished item","Finished endpoint",IF(IFERROR(INDEX('Items'!$AI$6:$AI$1005,MATCH(T517,'Items'!$A$6:$A$1005,0)),"MISSING ID")="Currency","Currency / no refinement tier","Recovered output / tier not applicable")),IF(OR(IFERROR(INDEX('Crafting recipes'!$H$6:$H$1005,MATCH(J517,'Crafting recipes'!$A$6:$A$1005,0)),"MISSING ID")="Unassigned",G517="Unassigned"),"Tier unresolved",IF(IFERROR(VALUE(RIGHT(G517,1))-VALUE(RIGHT(IFERROR(INDEX('Crafting recipes'!$H$6:$H$1005,MATCH(J517,'Crafting recipes'!$A$6:$A$1005,0)),"MISSING ID"),1)),0)=1,IF(B517=IFERROR(INDEX('Crafting recipes'!$H$6:$H$1005,MATCH(J517,'Crafting recipes'!$A$6:$A$1005,0)),"MISSING ID"),"Advances one material tier","Lower-tier ingredient; route advances one tier"),"Needs tier review"))))))</x:f>
        <x:v>Advances one material tier</x:v>
      </x:c>
      <x:c r="S517" s="4" t="str">
        <x:f>IFERROR(INDEX('Material routes'!$D$6:$D$2205,MATCH(U517,'Material routes'!$A$6:$A$2205,0)),"MISSING ID")</x:f>
        <x:v>proposal.lore.rivet_stock</x:v>
      </x:c>
      <x:c r="T517" s="4" t="str">
        <x:f>IFERROR(INDEX('Material routes'!$D$6:$D$2205,MATCH(V517,'Material routes'!$A$6:$A$2205,0)),"MISSING ID")</x:f>
        <x:v>proposal.canister.mount</x:v>
      </x:c>
      <x:c r="U517" s="4" t="str">
        <x:v>design.review.proposal_canister_mount.lore.hardware.19</x:v>
      </x:c>
      <x:c r="V517" s="4" t="str">
        <x:v>design.review.proposal_canister_mount.out</x:v>
      </x:c>
    </x:row>
    <x:row r="518" ht="115" customHeight="1">
      <x:c r="A518" s="4" t="str">
        <x:f>IFERROR(INDEX('Material routes'!$E$6:$E$2205,MATCH(U518,'Material routes'!$A$6:$A$2205,0)),"MISSING ID")</x:f>
        <x:v>Rough iron rivet stock</x:v>
      </x:c>
      <x:c r="B518" s="4" t="str">
        <x:f>IFERROR(INDEX('Material routes'!$F$6:$F$2205,MATCH(U518,'Material routes'!$A$6:$A$2205,0)),"MISSING ID")</x:f>
        <x:v>T2</x:v>
      </x:c>
      <x:c r="C518" s="4" t="str">
        <x:f>IFERROR(INDEX('Material routes'!$H$6:$H$2205,MATCH(U518,'Material routes'!$A$6:$A$2205,0)),"MISSING ID")</x:f>
        <x:v>Processed material</x:v>
      </x:c>
      <x:c r="D518" s="4" t="str">
        <x:f>IFERROR(INDEX('Material routes'!$G$6:$G$2205,MATCH(U518,'Material routes'!$A$6:$A$2205,0)),"MISSING ID")</x:f>
        <x:v>Manufactured stock</x:v>
      </x:c>
      <x:c r="E518" s="4" t="str">
        <x:f>IFERROR(INDEX('Material routes'!$C$6:$C$2205,MATCH(U518,'Material routes'!$A$6:$A$2205,0)),"MISSING ID")</x:f>
        <x:v>Ingredient candidate</x:v>
      </x:c>
      <x:c r="F518" s="4" t="str">
        <x:f>IFERROR(INDEX('Material routes'!$E$6:$E$2205,MATCH(V518,'Material routes'!$A$6:$A$2205,0)),"MISSING ID")</x:f>
        <x:v>Legger lashing-anchor set</x:v>
      </x:c>
      <x:c r="G518" s="4" t="str">
        <x:f>IFERROR(INDEX('Material routes'!$F$6:$F$2205,MATCH(V518,'Material routes'!$A$6:$A$2205,0)),"MISSING ID")</x:f>
        <x:v>T3</x:v>
      </x:c>
      <x:c r="H518" s="4" t="str">
        <x:f>IFERROR(INDEX('Material routes'!$H$6:$H$2205,MATCH(V518,'Material routes'!$A$6:$A$2205,0)),"MISSING ID")</x:f>
        <x:v>Crafting component</x:v>
      </x:c>
      <x:c r="I518" s="4" t="str">
        <x:f>IFERROR(INDEX('Material routes'!$G$6:$G$2205,MATCH(V518,'Material routes'!$A$6:$A$2205,0)),"MISSING ID")</x:f>
        <x:v>Crafting components</x:v>
      </x:c>
      <x:c r="J518" s="4" t="str">
        <x:f>IFERROR(INDEX('Material routes'!$B$6:$B$2205,MATCH(U518,'Material routes'!$A$6:$A$2205,0)),"MISSING ID")</x:f>
        <x:v>design.review.proposal_legger_anchors</x:v>
      </x:c>
      <x:c r="K518" s="4" t="str">
        <x:f>IFERROR(INDEX('Crafting recipes'!$C$6:$C$1005,MATCH(J518,'Crafting recipes'!$A$6:$A$1005,0)),"MISSING ID")</x:f>
        <x:v>Material refinement</x:v>
      </x:c>
      <x:c r="L518" s="4" t="str">
        <x:f>IFERROR(INDEX('Material routes'!$K$6:$K$2205,MATCH(U518,'Material routes'!$A$6:$A$2205,0)),"MISSING ID")</x:f>
        <x:v>Proposal</x:v>
      </x:c>
      <x:c r="M518" s="4" t="str">
        <x:f>IFERROR(INDEX('Material routes'!$M$6:$M$2205,MATCH(U518,'Material routes'!$A$6:$A$2205,0)),"MISSING ID")</x:f>
        <x:v>Partial proposal</x:v>
      </x:c>
      <x:c r="N518" s="4" t="str">
        <x:f>IF(IFERROR(INDEX('Material routes'!$I$6:$I$1005,MATCH(U518,'Material routes'!$A$6:$A$1005,0)),"MISSING ID")=0,"",IFERROR(INDEX('Material routes'!$I$6:$I$1005,MATCH(U518,'Material routes'!$A$6:$A$1005,0)),"MISSING ID"))</x:f>
      </x:c>
      <x:c r="O518" s="4" t="str">
        <x:f>IFERROR(INDEX('Material routes'!$J$6:$J$2205,MATCH(U518,'Material routes'!$A$6:$A$2205,0)),"MISSING ID")</x:f>
        <x:v>Unspecified</x:v>
      </x:c>
      <x:c r="P518" s="4" t="str">
        <x:f>IF(IFERROR(INDEX('Material routes'!$I$6:$I$1005,MATCH(V518,'Material routes'!$A$6:$A$1005,0)),"MISSING ID")=0,"",IFERROR(INDEX('Material routes'!$I$6:$I$1005,MATCH(V518,'Material routes'!$A$6:$A$1005,0)),"MISSING ID"))</x:f>
      </x:c>
      <x:c r="Q518" s="4" t="str">
        <x:f>IFERROR(INDEX('Material routes'!$J$6:$J$2205,MATCH(V518,'Material routes'!$A$6:$A$2205,0)),"MISSING ID")</x:f>
        <x:v>Unspecified</x:v>
      </x:c>
      <x:c r="R518" s="4" t="str">
        <x:f>IF(L518="Withheld","Withheld premise",IF(E518="Tool candidate","Reusable prerequisite",IF(K518="Raw entry preparation","Entry-resource preparation",IF(G518="Not applicable",IF(IFERROR(INDEX('Items'!$AI$6:$AI$1005,MATCH(T518,'Items'!$A$6:$A$1005,0)),"MISSING ID")="Finished item","Finished endpoint",IF(IFERROR(INDEX('Items'!$AI$6:$AI$1005,MATCH(T518,'Items'!$A$6:$A$1005,0)),"MISSING ID")="Currency","Currency / no refinement tier","Recovered output / tier not applicable")),IF(OR(IFERROR(INDEX('Crafting recipes'!$H$6:$H$1005,MATCH(J518,'Crafting recipes'!$A$6:$A$1005,0)),"MISSING ID")="Unassigned",G518="Unassigned"),"Tier unresolved",IF(IFERROR(VALUE(RIGHT(G518,1))-VALUE(RIGHT(IFERROR(INDEX('Crafting recipes'!$H$6:$H$1005,MATCH(J518,'Crafting recipes'!$A$6:$A$1005,0)),"MISSING ID"),1)),0)=1,IF(B518=IFERROR(INDEX('Crafting recipes'!$H$6:$H$1005,MATCH(J518,'Crafting recipes'!$A$6:$A$1005,0)),"MISSING ID"),"Advances one material tier","Lower-tier ingredient; route advances one tier"),"Needs tier review"))))))</x:f>
        <x:v>Advances one material tier</x:v>
      </x:c>
      <x:c r="S518" s="4" t="str">
        <x:f>IFERROR(INDEX('Material routes'!$D$6:$D$2205,MATCH(U518,'Material routes'!$A$6:$A$2205,0)),"MISSING ID")</x:f>
        <x:v>proposal.lore.rivet_stock</x:v>
      </x:c>
      <x:c r="T518" s="4" t="str">
        <x:f>IFERROR(INDEX('Material routes'!$D$6:$D$2205,MATCH(V518,'Material routes'!$A$6:$A$2205,0)),"MISSING ID")</x:f>
        <x:v>proposal.legger.anchors</x:v>
      </x:c>
      <x:c r="U518" s="4" t="str">
        <x:v>design.review.proposal_legger_anchors.lore.hardware.20</x:v>
      </x:c>
      <x:c r="V518" s="4" t="str">
        <x:v>design.review.proposal_legger_anchors.out</x:v>
      </x:c>
    </x:row>
    <x:row r="519" ht="115" customHeight="1">
      <x:c r="A519" s="4" t="str">
        <x:f>IFERROR(INDEX('Material routes'!$E$6:$E$2205,MATCH(U519,'Material routes'!$A$6:$A$2205,0)),"MISSING ID")</x:f>
        <x:v>Rough iron rivet stock</x:v>
      </x:c>
      <x:c r="B519" s="4" t="str">
        <x:f>IFERROR(INDEX('Material routes'!$F$6:$F$2205,MATCH(U519,'Material routes'!$A$6:$A$2205,0)),"MISSING ID")</x:f>
        <x:v>T2</x:v>
      </x:c>
      <x:c r="C519" s="4" t="str">
        <x:f>IFERROR(INDEX('Material routes'!$H$6:$H$2205,MATCH(U519,'Material routes'!$A$6:$A$2205,0)),"MISSING ID")</x:f>
        <x:v>Processed material</x:v>
      </x:c>
      <x:c r="D519" s="4" t="str">
        <x:f>IFERROR(INDEX('Material routes'!$G$6:$G$2205,MATCH(U519,'Material routes'!$A$6:$A$2205,0)),"MISSING ID")</x:f>
        <x:v>Manufactured stock</x:v>
      </x:c>
      <x:c r="E519" s="4" t="str">
        <x:f>IFERROR(INDEX('Material routes'!$C$6:$C$2205,MATCH(U519,'Material routes'!$A$6:$A$2205,0)),"MISSING ID")</x:f>
        <x:v>Ingredient candidate</x:v>
      </x:c>
      <x:c r="F519" s="4" t="str">
        <x:f>IFERROR(INDEX('Material routes'!$E$6:$E$2205,MATCH(V519,'Material routes'!$A$6:$A$2205,0)),"MISSING ID")</x:f>
        <x:v>Legger attachment rail</x:v>
      </x:c>
      <x:c r="G519" s="4" t="str">
        <x:f>IFERROR(INDEX('Material routes'!$F$6:$F$2205,MATCH(V519,'Material routes'!$A$6:$A$2205,0)),"MISSING ID")</x:f>
        <x:v>T3</x:v>
      </x:c>
      <x:c r="H519" s="4" t="str">
        <x:f>IFERROR(INDEX('Material routes'!$H$6:$H$2205,MATCH(V519,'Material routes'!$A$6:$A$2205,0)),"MISSING ID")</x:f>
        <x:v>Crafting component</x:v>
      </x:c>
      <x:c r="I519" s="4" t="str">
        <x:f>IFERROR(INDEX('Material routes'!$G$6:$G$2205,MATCH(V519,'Material routes'!$A$6:$A$2205,0)),"MISSING ID")</x:f>
        <x:v>Crafting components</x:v>
      </x:c>
      <x:c r="J519" s="4" t="str">
        <x:f>IFERROR(INDEX('Material routes'!$B$6:$B$2205,MATCH(U519,'Material routes'!$A$6:$A$2205,0)),"MISSING ID")</x:f>
        <x:v>design.review.proposal_legger_mount_rail</x:v>
      </x:c>
      <x:c r="K519" s="4" t="str">
        <x:f>IFERROR(INDEX('Crafting recipes'!$C$6:$C$1005,MATCH(J519,'Crafting recipes'!$A$6:$A$1005,0)),"MISSING ID")</x:f>
        <x:v>Material refinement</x:v>
      </x:c>
      <x:c r="L519" s="4" t="str">
        <x:f>IFERROR(INDEX('Material routes'!$K$6:$K$2205,MATCH(U519,'Material routes'!$A$6:$A$2205,0)),"MISSING ID")</x:f>
        <x:v>Proposal</x:v>
      </x:c>
      <x:c r="M519" s="4" t="str">
        <x:f>IFERROR(INDEX('Material routes'!$M$6:$M$2205,MATCH(U519,'Material routes'!$A$6:$A$2205,0)),"MISSING ID")</x:f>
        <x:v>Partial proposal</x:v>
      </x:c>
      <x:c r="N519" s="4" t="str">
        <x:f>IF(IFERROR(INDEX('Material routes'!$I$6:$I$1005,MATCH(U519,'Material routes'!$A$6:$A$1005,0)),"MISSING ID")=0,"",IFERROR(INDEX('Material routes'!$I$6:$I$1005,MATCH(U519,'Material routes'!$A$6:$A$1005,0)),"MISSING ID"))</x:f>
      </x:c>
      <x:c r="O519" s="4" t="str">
        <x:f>IFERROR(INDEX('Material routes'!$J$6:$J$2205,MATCH(U519,'Material routes'!$A$6:$A$2205,0)),"MISSING ID")</x:f>
        <x:v>Unspecified</x:v>
      </x:c>
      <x:c r="P519" s="4" t="str">
        <x:f>IF(IFERROR(INDEX('Material routes'!$I$6:$I$1005,MATCH(V519,'Material routes'!$A$6:$A$1005,0)),"MISSING ID")=0,"",IFERROR(INDEX('Material routes'!$I$6:$I$1005,MATCH(V519,'Material routes'!$A$6:$A$1005,0)),"MISSING ID"))</x:f>
      </x:c>
      <x:c r="Q519" s="4" t="str">
        <x:f>IFERROR(INDEX('Material routes'!$J$6:$J$2205,MATCH(V519,'Material routes'!$A$6:$A$2205,0)),"MISSING ID")</x:f>
        <x:v>Unspecified</x:v>
      </x:c>
      <x:c r="R519" s="4" t="str">
        <x:f>IF(L519="Withheld","Withheld premise",IF(E519="Tool candidate","Reusable prerequisite",IF(K519="Raw entry preparation","Entry-resource preparation",IF(G519="Not applicable",IF(IFERROR(INDEX('Items'!$AI$6:$AI$1005,MATCH(T519,'Items'!$A$6:$A$1005,0)),"MISSING ID")="Finished item","Finished endpoint",IF(IFERROR(INDEX('Items'!$AI$6:$AI$1005,MATCH(T519,'Items'!$A$6:$A$1005,0)),"MISSING ID")="Currency","Currency / no refinement tier","Recovered output / tier not applicable")),IF(OR(IFERROR(INDEX('Crafting recipes'!$H$6:$H$1005,MATCH(J519,'Crafting recipes'!$A$6:$A$1005,0)),"MISSING ID")="Unassigned",G519="Unassigned"),"Tier unresolved",IF(IFERROR(VALUE(RIGHT(G519,1))-VALUE(RIGHT(IFERROR(INDEX('Crafting recipes'!$H$6:$H$1005,MATCH(J519,'Crafting recipes'!$A$6:$A$1005,0)),"MISSING ID"),1)),0)=1,IF(B519=IFERROR(INDEX('Crafting recipes'!$H$6:$H$1005,MATCH(J519,'Crafting recipes'!$A$6:$A$1005,0)),"MISSING ID"),"Advances one material tier","Lower-tier ingredient; route advances one tier"),"Needs tier review"))))))</x:f>
        <x:v>Advances one material tier</x:v>
      </x:c>
      <x:c r="S519" s="4" t="str">
        <x:f>IFERROR(INDEX('Material routes'!$D$6:$D$2205,MATCH(U519,'Material routes'!$A$6:$A$2205,0)),"MISSING ID")</x:f>
        <x:v>proposal.lore.rivet_stock</x:v>
      </x:c>
      <x:c r="T519" s="4" t="str">
        <x:f>IFERROR(INDEX('Material routes'!$D$6:$D$2205,MATCH(V519,'Material routes'!$A$6:$A$2205,0)),"MISSING ID")</x:f>
        <x:v>proposal.legger.mount_rail</x:v>
      </x:c>
      <x:c r="U519" s="4" t="str">
        <x:v>design.review.proposal_legger_mount_rail.lore.hardware.21</x:v>
      </x:c>
      <x:c r="V519" s="4" t="str">
        <x:v>design.review.proposal_legger_mount_rail.out</x:v>
      </x:c>
    </x:row>
    <x:row r="520" ht="64" customHeight="1">
      <x:c r="A520" s="4" t="str">
        <x:f>IFERROR(INDEX('Material routes'!$E$6:$E$2205,MATCH(U520,'Material routes'!$A$6:$A$2205,0)),"MISSING ID")</x:f>
        <x:v>Nickel-bearing nodules</x:v>
      </x:c>
      <x:c r="B520" s="4" t="str">
        <x:f>IFERROR(INDEX('Material routes'!$F$6:$F$2205,MATCH(U520,'Material routes'!$A$6:$A$2205,0)),"MISSING ID")</x:f>
        <x:v>T0</x:v>
      </x:c>
      <x:c r="C520" s="4" t="str">
        <x:f>IFERROR(INDEX('Material routes'!$H$6:$H$2205,MATCH(U520,'Material routes'!$A$6:$A$2205,0)),"MISSING ID")</x:f>
        <x:v>Raw material</x:v>
      </x:c>
      <x:c r="D520" s="4" t="str">
        <x:f>IFERROR(INDEX('Material routes'!$G$6:$G$2205,MATCH(U520,'Material routes'!$A$6:$A$2205,0)),"MISSING ID")</x:f>
        <x:v>Mineral resources</x:v>
      </x:c>
      <x:c r="E520" s="4" t="str">
        <x:f>IFERROR(INDEX('Material routes'!$C$6:$C$2205,MATCH(U520,'Material routes'!$A$6:$A$2205,0)),"MISSING ID")</x:f>
        <x:v>Ingredient candidate</x:v>
      </x:c>
      <x:c r="F520" s="4" t="str">
        <x:f>IFERROR(INDEX('Material routes'!$E$6:$E$2205,MATCH(V520,'Material routes'!$A$6:$A$2205,0)),"MISSING ID")</x:f>
        <x:v>Sorted nickel alloying feed</x:v>
      </x:c>
      <x:c r="G520" s="4" t="str">
        <x:f>IFERROR(INDEX('Material routes'!$F$6:$F$2205,MATCH(V520,'Material routes'!$A$6:$A$2205,0)),"MISSING ID")</x:f>
        <x:v>T1</x:v>
      </x:c>
      <x:c r="H520" s="4" t="str">
        <x:f>IFERROR(INDEX('Material routes'!$H$6:$H$2205,MATCH(V520,'Material routes'!$A$6:$A$2205,0)),"MISSING ID")</x:f>
        <x:v>Processed material</x:v>
      </x:c>
      <x:c r="I520" s="4" t="str">
        <x:f>IFERROR(INDEX('Material routes'!$G$6:$G$2205,MATCH(V520,'Material routes'!$A$6:$A$2205,0)),"MISSING ID")</x:f>
        <x:v>Manufactured stock</x:v>
      </x:c>
      <x:c r="J520" s="4" t="str">
        <x:f>IFERROR(INDEX('Material routes'!$B$6:$B$2205,MATCH(U520,'Material routes'!$A$6:$A$2205,0)),"MISSING ID")</x:f>
        <x:v>design.collection.sorted_nickel_alloying_feed</x:v>
      </x:c>
      <x:c r="K520" s="4" t="str">
        <x:f>IFERROR(INDEX('Crafting recipes'!$C$6:$C$1005,MATCH(J520,'Crafting recipes'!$A$6:$A$1005,0)),"MISSING ID")</x:f>
        <x:v>Material refinement</x:v>
      </x:c>
      <x:c r="L520" s="4" t="str">
        <x:f>IFERROR(INDEX('Material routes'!$K$6:$K$2205,MATCH(U520,'Material routes'!$A$6:$A$2205,0)),"MISSING ID")</x:f>
        <x:v>Proposal</x:v>
      </x:c>
      <x:c r="M520" s="4" t="str">
        <x:f>IFERROR(INDEX('Material routes'!$M$6:$M$2205,MATCH(U520,'Material routes'!$A$6:$A$2205,0)),"MISSING ID")</x:f>
        <x:v>Partial proposal</x:v>
      </x:c>
      <x:c r="N520" s="4"/>
      <x:c r="O520" s="4" t="str">
        <x:f>IFERROR(INDEX('Material routes'!$J$6:$J$2205,MATCH(U520,'Material routes'!$A$6:$A$2205,0)),"MISSING ID")</x:f>
        <x:v>Unspecified</x:v>
      </x:c>
      <x:c r="P520" s="4"/>
      <x:c r="Q520" s="4" t="str">
        <x:f>IFERROR(INDEX('Material routes'!$J$6:$J$2205,MATCH(V520,'Material routes'!$A$6:$A$2205,0)),"MISSING ID")</x:f>
        <x:v>Unspecified</x:v>
      </x:c>
      <x:c r="R520" s="4" t="str">
        <x:f>IF(L520="Withheld","Withheld premise",IF(E520="Tool candidate","Reusable prerequisite",IF(K520="Raw entry preparation","Entry-resource preparation",IF(G520="Not applicable",IF(IFERROR(INDEX('Items'!$AI$6:$AI$1005,MATCH(T520,'Items'!$A$6:$A$1005,0)),"MISSING ID")="Finished item","Finished endpoint",IF(IFERROR(INDEX('Items'!$AI$6:$AI$1005,MATCH(T520,'Items'!$A$6:$A$1005,0)),"MISSING ID")="Currency","Currency / no refinement tier","Recovered output / tier not applicable")),IF(OR(IFERROR(INDEX('Crafting recipes'!$H$6:$H$1005,MATCH(J520,'Crafting recipes'!$A$6:$A$1005,0)),"MISSING ID")="Unassigned",G520="Unassigned"),"Tier unresolved",IF(IFERROR(VALUE(RIGHT(G520,1))-VALUE(RIGHT(IFERROR(INDEX('Crafting recipes'!$H$6:$H$1005,MATCH(J520,'Crafting recipes'!$A$6:$A$1005,0)),"MISSING ID"),1)),0)=1,IF(B520=IFERROR(INDEX('Crafting recipes'!$H$6:$H$1005,MATCH(J520,'Crafting recipes'!$A$6:$A$1005,0)),"MISSING ID"),"Advances one material tier","Lower-tier ingredient; route advances one tier"),"Needs tier review"))))))</x:f>
        <x:v>Advances one material tier</x:v>
      </x:c>
      <x:c r="S520" s="4" t="str">
        <x:f>IFERROR(INDEX('Material routes'!$D$6:$D$2205,MATCH(U520,'Material routes'!$A$6:$A$2205,0)),"MISSING ID")</x:f>
        <x:v>proposal.collection.nickel_bearing_nodules</x:v>
      </x:c>
      <x:c r="T520" s="4" t="str">
        <x:f>IFERROR(INDEX('Material routes'!$D$6:$D$2205,MATCH(V520,'Material routes'!$A$6:$A$2205,0)),"MISSING ID")</x:f>
        <x:v>proposal.collection.sorted_nickel_alloying_feed</x:v>
      </x:c>
      <x:c r="U520" s="4" t="str">
        <x:v>design.collection.sorted_nickel_alloying_feed.in.1</x:v>
      </x:c>
      <x:c r="V520" s="4" t="str">
        <x:v>design.collection.sorted_nickel_alloying_feed.out</x:v>
      </x:c>
    </x:row>
    <x:row r="521" ht="64" customHeight="1">
      <x:c r="A521" s="4" t="str">
        <x:f>IFERROR(INDEX('Material routes'!$E$6:$E$2205,MATCH(U521,'Material routes'!$A$6:$A$2205,0)),"MISSING ID")</x:f>
        <x:v>Tin-bearing gravel</x:v>
      </x:c>
      <x:c r="B521" s="4" t="str">
        <x:f>IFERROR(INDEX('Material routes'!$F$6:$F$2205,MATCH(U521,'Material routes'!$A$6:$A$2205,0)),"MISSING ID")</x:f>
        <x:v>T0</x:v>
      </x:c>
      <x:c r="C521" s="4" t="str">
        <x:f>IFERROR(INDEX('Material routes'!$H$6:$H$2205,MATCH(U521,'Material routes'!$A$6:$A$2205,0)),"MISSING ID")</x:f>
        <x:v>Raw material</x:v>
      </x:c>
      <x:c r="D521" s="4" t="str">
        <x:f>IFERROR(INDEX('Material routes'!$G$6:$G$2205,MATCH(U521,'Material routes'!$A$6:$A$2205,0)),"MISSING ID")</x:f>
        <x:v>Mineral resources</x:v>
      </x:c>
      <x:c r="E521" s="4" t="str">
        <x:f>IFERROR(INDEX('Material routes'!$C$6:$C$2205,MATCH(U521,'Material routes'!$A$6:$A$2205,0)),"MISSING ID")</x:f>
        <x:v>Ingredient candidate</x:v>
      </x:c>
      <x:c r="F521" s="4" t="str">
        <x:f>IFERROR(INDEX('Material routes'!$E$6:$E$2205,MATCH(V521,'Material routes'!$A$6:$A$2205,0)),"MISSING ID")</x:f>
        <x:v>Sorted tin smelter feed</x:v>
      </x:c>
      <x:c r="G521" s="4" t="str">
        <x:f>IFERROR(INDEX('Material routes'!$F$6:$F$2205,MATCH(V521,'Material routes'!$A$6:$A$2205,0)),"MISSING ID")</x:f>
        <x:v>T1</x:v>
      </x:c>
      <x:c r="H521" s="4" t="str">
        <x:f>IFERROR(INDEX('Material routes'!$H$6:$H$2205,MATCH(V521,'Material routes'!$A$6:$A$2205,0)),"MISSING ID")</x:f>
        <x:v>Processed material</x:v>
      </x:c>
      <x:c r="I521" s="4" t="str">
        <x:f>IFERROR(INDEX('Material routes'!$G$6:$G$2205,MATCH(V521,'Material routes'!$A$6:$A$2205,0)),"MISSING ID")</x:f>
        <x:v>Manufactured stock</x:v>
      </x:c>
      <x:c r="J521" s="4" t="str">
        <x:f>IFERROR(INDEX('Material routes'!$B$6:$B$2205,MATCH(U521,'Material routes'!$A$6:$A$2205,0)),"MISSING ID")</x:f>
        <x:v>design.collection.sorted_tin_smelter_feed</x:v>
      </x:c>
      <x:c r="K521" s="4" t="str">
        <x:f>IFERROR(INDEX('Crafting recipes'!$C$6:$C$1005,MATCH(J521,'Crafting recipes'!$A$6:$A$1005,0)),"MISSING ID")</x:f>
        <x:v>Material refinement</x:v>
      </x:c>
      <x:c r="L521" s="4" t="str">
        <x:f>IFERROR(INDEX('Material routes'!$K$6:$K$2205,MATCH(U521,'Material routes'!$A$6:$A$2205,0)),"MISSING ID")</x:f>
        <x:v>Proposal</x:v>
      </x:c>
      <x:c r="M521" s="4" t="str">
        <x:f>IFERROR(INDEX('Material routes'!$M$6:$M$2205,MATCH(U521,'Material routes'!$A$6:$A$2205,0)),"MISSING ID")</x:f>
        <x:v>Partial proposal</x:v>
      </x:c>
      <x:c r="N521" s="4"/>
      <x:c r="O521" s="4" t="str">
        <x:f>IFERROR(INDEX('Material routes'!$J$6:$J$2205,MATCH(U521,'Material routes'!$A$6:$A$2205,0)),"MISSING ID")</x:f>
        <x:v>Unspecified</x:v>
      </x:c>
      <x:c r="P521" s="4"/>
      <x:c r="Q521" s="4" t="str">
        <x:f>IFERROR(INDEX('Material routes'!$J$6:$J$2205,MATCH(V521,'Material routes'!$A$6:$A$2205,0)),"MISSING ID")</x:f>
        <x:v>Unspecified</x:v>
      </x:c>
      <x:c r="R521" s="4" t="str">
        <x:f>IF(L521="Withheld","Withheld premise",IF(E521="Tool candidate","Reusable prerequisite",IF(K521="Raw entry preparation","Entry-resource preparation",IF(G521="Not applicable",IF(IFERROR(INDEX('Items'!$AI$6:$AI$1005,MATCH(T521,'Items'!$A$6:$A$1005,0)),"MISSING ID")="Finished item","Finished endpoint",IF(IFERROR(INDEX('Items'!$AI$6:$AI$1005,MATCH(T521,'Items'!$A$6:$A$1005,0)),"MISSING ID")="Currency","Currency / no refinement tier","Recovered output / tier not applicable")),IF(OR(IFERROR(INDEX('Crafting recipes'!$H$6:$H$1005,MATCH(J521,'Crafting recipes'!$A$6:$A$1005,0)),"MISSING ID")="Unassigned",G521="Unassigned"),"Tier unresolved",IF(IFERROR(VALUE(RIGHT(G521,1))-VALUE(RIGHT(IFERROR(INDEX('Crafting recipes'!$H$6:$H$1005,MATCH(J521,'Crafting recipes'!$A$6:$A$1005,0)),"MISSING ID"),1)),0)=1,IF(B521=IFERROR(INDEX('Crafting recipes'!$H$6:$H$1005,MATCH(J521,'Crafting recipes'!$A$6:$A$1005,0)),"MISSING ID"),"Advances one material tier","Lower-tier ingredient; route advances one tier"),"Needs tier review"))))))</x:f>
        <x:v>Advances one material tier</x:v>
      </x:c>
      <x:c r="S521" s="4" t="str">
        <x:f>IFERROR(INDEX('Material routes'!$D$6:$D$2205,MATCH(U521,'Material routes'!$A$6:$A$2205,0)),"MISSING ID")</x:f>
        <x:v>proposal.collection.tin_bearing_gravel</x:v>
      </x:c>
      <x:c r="T521" s="4" t="str">
        <x:f>IFERROR(INDEX('Material routes'!$D$6:$D$2205,MATCH(V521,'Material routes'!$A$6:$A$2205,0)),"MISSING ID")</x:f>
        <x:v>proposal.collection.sorted_tin_smelter_feed</x:v>
      </x:c>
      <x:c r="U521" s="4" t="str">
        <x:v>design.collection.sorted_tin_smelter_feed.in.1</x:v>
      </x:c>
      <x:c r="V521" s="4" t="str">
        <x:v>design.collection.sorted_tin_smelter_feed.out</x:v>
      </x:c>
    </x:row>
    <x:row r="522" ht="64" customHeight="1">
      <x:c r="A522" s="4"/>
      <x:c r="B522" s="4"/>
      <x:c r="C522" s="4"/>
      <x:c r="D522" s="4"/>
      <x:c r="E522" s="4"/>
      <x:c r="F522" s="4"/>
      <x:c r="G522" s="4"/>
      <x:c r="H522" s="4"/>
      <x:c r="I522" s="4"/>
      <x:c r="J522" s="4"/>
      <x:c r="K522" s="4"/>
      <x:c r="L522" s="4"/>
      <x:c r="M522" s="4"/>
      <x:c r="N522" s="4"/>
      <x:c r="O522" s="4"/>
      <x:c r="P522" s="4"/>
      <x:c r="Q522" s="4"/>
      <x:c r="R522" s="4"/>
      <x:c r="S522" s="4"/>
      <x:c r="T522" s="4"/>
      <x:c r="U522" s="4"/>
      <x:c r="V522" s="4"/>
    </x:row>
    <x:row r="523" ht="64" customHeight="1">
      <x:c r="A523" s="4"/>
      <x:c r="B523" s="4"/>
      <x:c r="C523" s="4"/>
      <x:c r="D523" s="4"/>
      <x:c r="E523" s="4"/>
      <x:c r="F523" s="4"/>
      <x:c r="G523" s="4"/>
      <x:c r="H523" s="4"/>
      <x:c r="I523" s="4"/>
      <x:c r="J523" s="4"/>
      <x:c r="K523" s="4"/>
      <x:c r="L523" s="4"/>
      <x:c r="M523" s="4"/>
      <x:c r="N523" s="4"/>
      <x:c r="O523" s="4"/>
      <x:c r="P523" s="4"/>
      <x:c r="Q523" s="4"/>
      <x:c r="R523" s="4"/>
      <x:c r="S523" s="4"/>
      <x:c r="T523" s="4"/>
      <x:c r="U523" s="4"/>
      <x:c r="V523" s="4"/>
    </x:row>
    <x:row r="524" ht="64" customHeight="1">
      <x:c r="A524" s="4"/>
      <x:c r="B524" s="4"/>
      <x:c r="C524" s="4"/>
      <x:c r="D524" s="4"/>
      <x:c r="E524" s="4"/>
      <x:c r="F524" s="4"/>
      <x:c r="G524" s="4"/>
      <x:c r="H524" s="4"/>
      <x:c r="I524" s="4"/>
      <x:c r="J524" s="4"/>
      <x:c r="K524" s="4"/>
      <x:c r="L524" s="4"/>
      <x:c r="M524" s="4"/>
      <x:c r="N524" s="4"/>
      <x:c r="O524" s="4"/>
      <x:c r="P524" s="4"/>
      <x:c r="Q524" s="4"/>
      <x:c r="R524" s="4"/>
      <x:c r="S524" s="4"/>
      <x:c r="T524" s="4"/>
      <x:c r="U524" s="4"/>
      <x:c r="V524" s="4"/>
    </x:row>
    <x:row r="525" ht="64" customHeight="1">
      <x:c r="A525" s="4" t="str">
        <x:f>IFERROR(INDEX('Material routes'!$E$6:$E$2205,MATCH(U525,'Material routes'!$A$6:$A$2205,0)),"MISSING ID")</x:f>
        <x:v>Reclaimed bronze billet</x:v>
      </x:c>
      <x:c r="B525" s="4" t="str">
        <x:f>IFERROR(INDEX('Material routes'!$F$6:$F$2205,MATCH(U525,'Material routes'!$A$6:$A$2205,0)),"MISSING ID")</x:f>
        <x:v>T1</x:v>
      </x:c>
      <x:c r="C525" s="4" t="str">
        <x:f>IFERROR(INDEX('Material routes'!$H$6:$H$2205,MATCH(U525,'Material routes'!$A$6:$A$2205,0)),"MISSING ID")</x:f>
        <x:v>Processed material</x:v>
      </x:c>
      <x:c r="D525" s="4" t="str">
        <x:f>IFERROR(INDEX('Material routes'!$G$6:$G$2205,MATCH(U525,'Material routes'!$A$6:$A$2205,0)),"MISSING ID")</x:f>
        <x:v>Manufactured stock</x:v>
      </x:c>
      <x:c r="E525" s="4" t="str">
        <x:f>IFERROR(INDEX('Material routes'!$C$6:$C$2205,MATCH(U525,'Material routes'!$A$6:$A$2205,0)),"MISSING ID")</x:f>
        <x:v>Ingredient candidate</x:v>
      </x:c>
      <x:c r="F525" s="4" t="str">
        <x:f>IFERROR(INDEX('Material routes'!$E$6:$E$2205,MATCH(V525,'Material routes'!$A$6:$A$2205,0)),"MISSING ID")</x:f>
        <x:v>Drawn bronze strip stock</x:v>
      </x:c>
      <x:c r="G525" s="4" t="str">
        <x:f>IFERROR(INDEX('Material routes'!$F$6:$F$2205,MATCH(V525,'Material routes'!$A$6:$A$2205,0)),"MISSING ID")</x:f>
        <x:v>T2</x:v>
      </x:c>
      <x:c r="H525" s="4" t="str">
        <x:f>IFERROR(INDEX('Material routes'!$H$6:$H$2205,MATCH(V525,'Material routes'!$A$6:$A$2205,0)),"MISSING ID")</x:f>
        <x:v>Processed material</x:v>
      </x:c>
      <x:c r="I525" s="4" t="str">
        <x:f>IFERROR(INDEX('Material routes'!$G$6:$G$2205,MATCH(V525,'Material routes'!$A$6:$A$2205,0)),"MISSING ID")</x:f>
        <x:v>Manufactured stock</x:v>
      </x:c>
      <x:c r="J525" s="4" t="str">
        <x:f>IFERROR(INDEX('Material routes'!$B$6:$B$2205,MATCH(U525,'Material routes'!$A$6:$A$2205,0)),"MISSING ID")</x:f>
        <x:v>design.collection.drawn_bronze_strip_stock</x:v>
      </x:c>
      <x:c r="K525" s="4" t="str">
        <x:f>IFERROR(INDEX('Crafting recipes'!$C$6:$C$1005,MATCH(J525,'Crafting recipes'!$A$6:$A$1005,0)),"MISSING ID")</x:f>
        <x:v>Material refinement</x:v>
      </x:c>
      <x:c r="L525" s="4" t="str">
        <x:f>IFERROR(INDEX('Material routes'!$K$6:$K$2205,MATCH(U525,'Material routes'!$A$6:$A$2205,0)),"MISSING ID")</x:f>
        <x:v>Proposal</x:v>
      </x:c>
      <x:c r="M525" s="4" t="str">
        <x:f>IFERROR(INDEX('Material routes'!$M$6:$M$2205,MATCH(U525,'Material routes'!$A$6:$A$2205,0)),"MISSING ID")</x:f>
        <x:v>Partial proposal</x:v>
      </x:c>
      <x:c r="N525" s="4"/>
      <x:c r="O525" s="4" t="str">
        <x:f>IFERROR(INDEX('Material routes'!$J$6:$J$2205,MATCH(U525,'Material routes'!$A$6:$A$2205,0)),"MISSING ID")</x:f>
        <x:v>Unspecified</x:v>
      </x:c>
      <x:c r="P525" s="4"/>
      <x:c r="Q525" s="4" t="str">
        <x:f>IFERROR(INDEX('Material routes'!$J$6:$J$2205,MATCH(V525,'Material routes'!$A$6:$A$2205,0)),"MISSING ID")</x:f>
        <x:v>Unspecified</x:v>
      </x:c>
      <x:c r="R525" s="4" t="str">
        <x:f>IF(L525="Withheld","Withheld premise",IF(E525="Tool candidate","Reusable prerequisite",IF(K525="Raw entry preparation","Entry-resource preparation",IF(G525="Not applicable",IF(IFERROR(INDEX('Items'!$AI$6:$AI$1005,MATCH(T525,'Items'!$A$6:$A$1005,0)),"MISSING ID")="Finished item","Finished endpoint",IF(IFERROR(INDEX('Items'!$AI$6:$AI$1005,MATCH(T525,'Items'!$A$6:$A$1005,0)),"MISSING ID")="Currency","Currency / no refinement tier","Recovered output / tier not applicable")),IF(OR(IFERROR(INDEX('Crafting recipes'!$H$6:$H$1005,MATCH(J525,'Crafting recipes'!$A$6:$A$1005,0)),"MISSING ID")="Unassigned",G525="Unassigned"),"Tier unresolved",IF(IFERROR(VALUE(RIGHT(G525,1))-VALUE(RIGHT(IFERROR(INDEX('Crafting recipes'!$H$6:$H$1005,MATCH(J525,'Crafting recipes'!$A$6:$A$1005,0)),"MISSING ID"),1)),0)=1,IF(B525=IFERROR(INDEX('Crafting recipes'!$H$6:$H$1005,MATCH(J525,'Crafting recipes'!$A$6:$A$1005,0)),"MISSING ID"),"Advances one material tier","Lower-tier ingredient; route advances one tier"),"Needs tier review"))))))</x:f>
        <x:v>Advances one material tier</x:v>
      </x:c>
      <x:c r="S525" s="4" t="str">
        <x:f>IFERROR(INDEX('Material routes'!$D$6:$D$2205,MATCH(U525,'Material routes'!$A$6:$A$2205,0)),"MISSING ID")</x:f>
        <x:v>proposal.t1.bronze_billet</x:v>
      </x:c>
      <x:c r="T525" s="4" t="str">
        <x:f>IFERROR(INDEX('Material routes'!$D$6:$D$2205,MATCH(V525,'Material routes'!$A$6:$A$2205,0)),"MISSING ID")</x:f>
        <x:v>proposal.collection.drawn_bronze_strip_stock</x:v>
      </x:c>
      <x:c r="U525" s="4" t="str">
        <x:v>design.collection.drawn_bronze_strip_stock.in.1</x:v>
      </x:c>
      <x:c r="V525" s="4" t="str">
        <x:v>design.collection.drawn_bronze_strip_stock.out</x:v>
      </x:c>
    </x:row>
    <x:row r="526" ht="64" customHeight="1">
      <x:c r="A526" s="4" t="str">
        <x:f>IFERROR(INDEX('Material routes'!$E$6:$E$2205,MATCH(U526,'Material routes'!$A$6:$A$2205,0)),"MISSING ID")</x:f>
        <x:v>Worked iron stock</x:v>
      </x:c>
      <x:c r="B526" s="4" t="str">
        <x:f>IFERROR(INDEX('Material routes'!$F$6:$F$2205,MATCH(U526,'Material routes'!$A$6:$A$2205,0)),"MISSING ID")</x:f>
        <x:v>T2</x:v>
      </x:c>
      <x:c r="C526" s="4" t="str">
        <x:f>IFERROR(INDEX('Material routes'!$H$6:$H$2205,MATCH(U526,'Material routes'!$A$6:$A$2205,0)),"MISSING ID")</x:f>
        <x:v>Processed material</x:v>
      </x:c>
      <x:c r="D526" s="4" t="str">
        <x:f>IFERROR(INDEX('Material routes'!$G$6:$G$2205,MATCH(U526,'Material routes'!$A$6:$A$2205,0)),"MISSING ID")</x:f>
        <x:v>Manufactured stock</x:v>
      </x:c>
      <x:c r="E526" s="4" t="str">
        <x:f>IFERROR(INDEX('Material routes'!$C$6:$C$2205,MATCH(U526,'Material routes'!$A$6:$A$2205,0)),"MISSING ID")</x:f>
        <x:v>Ingredient candidate</x:v>
      </x:c>
      <x:c r="F526" s="4" t="str">
        <x:f>IFERROR(INDEX('Material routes'!$E$6:$E$2205,MATCH(V526,'Material routes'!$A$6:$A$2205,0)),"MISSING ID")</x:f>
        <x:v>Annealed iron sheet stock</x:v>
      </x:c>
      <x:c r="G526" s="4" t="str">
        <x:f>IFERROR(INDEX('Material routes'!$F$6:$F$2205,MATCH(V526,'Material routes'!$A$6:$A$2205,0)),"MISSING ID")</x:f>
        <x:v>T3</x:v>
      </x:c>
      <x:c r="H526" s="4" t="str">
        <x:f>IFERROR(INDEX('Material routes'!$H$6:$H$2205,MATCH(V526,'Material routes'!$A$6:$A$2205,0)),"MISSING ID")</x:f>
        <x:v>Processed material</x:v>
      </x:c>
      <x:c r="I526" s="4" t="str">
        <x:f>IFERROR(INDEX('Material routes'!$G$6:$G$2205,MATCH(V526,'Material routes'!$A$6:$A$2205,0)),"MISSING ID")</x:f>
        <x:v>Manufactured stock</x:v>
      </x:c>
      <x:c r="J526" s="4" t="str">
        <x:f>IFERROR(INDEX('Material routes'!$B$6:$B$2205,MATCH(U526,'Material routes'!$A$6:$A$2205,0)),"MISSING ID")</x:f>
        <x:v>design.collection.annealed_iron_sheet_stock</x:v>
      </x:c>
      <x:c r="K526" s="4" t="str">
        <x:f>IFERROR(INDEX('Crafting recipes'!$C$6:$C$1005,MATCH(J526,'Crafting recipes'!$A$6:$A$1005,0)),"MISSING ID")</x:f>
        <x:v>Material refinement</x:v>
      </x:c>
      <x:c r="L526" s="4" t="str">
        <x:f>IFERROR(INDEX('Material routes'!$K$6:$K$2205,MATCH(U526,'Material routes'!$A$6:$A$2205,0)),"MISSING ID")</x:f>
        <x:v>Proposal</x:v>
      </x:c>
      <x:c r="M526" s="4" t="str">
        <x:f>IFERROR(INDEX('Material routes'!$M$6:$M$2205,MATCH(U526,'Material routes'!$A$6:$A$2205,0)),"MISSING ID")</x:f>
        <x:v>Partial proposal</x:v>
      </x:c>
      <x:c r="N526" s="4"/>
      <x:c r="O526" s="4" t="str">
        <x:f>IFERROR(INDEX('Material routes'!$J$6:$J$2205,MATCH(U526,'Material routes'!$A$6:$A$2205,0)),"MISSING ID")</x:f>
        <x:v>Unspecified</x:v>
      </x:c>
      <x:c r="P526" s="4"/>
      <x:c r="Q526" s="4" t="str">
        <x:f>IFERROR(INDEX('Material routes'!$J$6:$J$2205,MATCH(V526,'Material routes'!$A$6:$A$2205,0)),"MISSING ID")</x:f>
        <x:v>Unspecified</x:v>
      </x:c>
      <x:c r="R526" s="4" t="str">
        <x:f>IF(L526="Withheld","Withheld premise",IF(E526="Tool candidate","Reusable prerequisite",IF(K526="Raw entry preparation","Entry-resource preparation",IF(G526="Not applicable",IF(IFERROR(INDEX('Items'!$AI$6:$AI$1005,MATCH(T526,'Items'!$A$6:$A$1005,0)),"MISSING ID")="Finished item","Finished endpoint",IF(IFERROR(INDEX('Items'!$AI$6:$AI$1005,MATCH(T526,'Items'!$A$6:$A$1005,0)),"MISSING ID")="Currency","Currency / no refinement tier","Recovered output / tier not applicable")),IF(OR(IFERROR(INDEX('Crafting recipes'!$H$6:$H$1005,MATCH(J526,'Crafting recipes'!$A$6:$A$1005,0)),"MISSING ID")="Unassigned",G526="Unassigned"),"Tier unresolved",IF(IFERROR(VALUE(RIGHT(G526,1))-VALUE(RIGHT(IFERROR(INDEX('Crafting recipes'!$H$6:$H$1005,MATCH(J526,'Crafting recipes'!$A$6:$A$1005,0)),"MISSING ID"),1)),0)=1,IF(B526=IFERROR(INDEX('Crafting recipes'!$H$6:$H$1005,MATCH(J526,'Crafting recipes'!$A$6:$A$1005,0)),"MISSING ID"),"Advances one material tier","Lower-tier ingredient; route advances one tier"),"Needs tier review"))))))</x:f>
        <x:v>Advances one material tier</x:v>
      </x:c>
      <x:c r="S526" s="4" t="str">
        <x:f>IFERROR(INDEX('Material routes'!$D$6:$D$2205,MATCH(U526,'Material routes'!$A$6:$A$2205,0)),"MISSING ID")</x:f>
        <x:v>proposal.natural.iron_stock</x:v>
      </x:c>
      <x:c r="T526" s="4" t="str">
        <x:f>IFERROR(INDEX('Material routes'!$D$6:$D$2205,MATCH(V526,'Material routes'!$A$6:$A$2205,0)),"MISSING ID")</x:f>
        <x:v>proposal.collection.annealed_iron_sheet_stock</x:v>
      </x:c>
      <x:c r="U526" s="4" t="str">
        <x:v>design.collection.annealed_iron_sheet_stock.in.1</x:v>
      </x:c>
      <x:c r="V526" s="4" t="str">
        <x:v>design.collection.annealed_iron_sheet_stock.out</x:v>
      </x:c>
    </x:row>
    <x:row r="527" ht="64" customHeight="1">
      <x:c r="A527" s="4" t="str">
        <x:f>IFERROR(INDEX('Material routes'!$E$6:$E$2205,MATCH(U527,'Material routes'!$A$6:$A$2205,0)),"MISSING ID")</x:f>
        <x:v>Separated shell lamina stock</x:v>
      </x:c>
      <x:c r="B527" s="4" t="str">
        <x:f>IFERROR(INDEX('Material routes'!$F$6:$F$2205,MATCH(U527,'Material routes'!$A$6:$A$2205,0)),"MISSING ID")</x:f>
        <x:v>T1</x:v>
      </x:c>
      <x:c r="C527" s="4" t="str">
        <x:f>IFERROR(INDEX('Material routes'!$H$6:$H$2205,MATCH(U527,'Material routes'!$A$6:$A$2205,0)),"MISSING ID")</x:f>
        <x:v>Processed material</x:v>
      </x:c>
      <x:c r="D527" s="4" t="str">
        <x:f>IFERROR(INDEX('Material routes'!$G$6:$G$2205,MATCH(U527,'Material routes'!$A$6:$A$2205,0)),"MISSING ID")</x:f>
        <x:v>Manufactured stock</x:v>
      </x:c>
      <x:c r="E527" s="4" t="str">
        <x:f>IFERROR(INDEX('Material routes'!$C$6:$C$2205,MATCH(U527,'Material routes'!$A$6:$A$2205,0)),"MISSING ID")</x:f>
        <x:v>Ingredient candidate</x:v>
      </x:c>
      <x:c r="F527" s="4" t="str">
        <x:f>IFERROR(INDEX('Material routes'!$E$6:$E$2205,MATCH(V527,'Material routes'!$A$6:$A$2205,0)),"MISSING ID")</x:f>
        <x:v>Pressed chitin friction stock</x:v>
      </x:c>
      <x:c r="G527" s="4" t="str">
        <x:f>IFERROR(INDEX('Material routes'!$F$6:$F$2205,MATCH(V527,'Material routes'!$A$6:$A$2205,0)),"MISSING ID")</x:f>
        <x:v>T2</x:v>
      </x:c>
      <x:c r="H527" s="4" t="str">
        <x:f>IFERROR(INDEX('Material routes'!$H$6:$H$2205,MATCH(V527,'Material routes'!$A$6:$A$2205,0)),"MISSING ID")</x:f>
        <x:v>Processed material</x:v>
      </x:c>
      <x:c r="I527" s="4" t="str">
        <x:f>IFERROR(INDEX('Material routes'!$G$6:$G$2205,MATCH(V527,'Material routes'!$A$6:$A$2205,0)),"MISSING ID")</x:f>
        <x:v>Manufactured stock</x:v>
      </x:c>
      <x:c r="J527" s="4" t="str">
        <x:f>IFERROR(INDEX('Material routes'!$B$6:$B$2205,MATCH(U527,'Material routes'!$A$6:$A$2205,0)),"MISSING ID")</x:f>
        <x:v>design.collection.pressed_chitin_friction_stock</x:v>
      </x:c>
      <x:c r="K527" s="4" t="str">
        <x:f>IFERROR(INDEX('Crafting recipes'!$C$6:$C$1005,MATCH(J527,'Crafting recipes'!$A$6:$A$1005,0)),"MISSING ID")</x:f>
        <x:v>Material refinement</x:v>
      </x:c>
      <x:c r="L527" s="4" t="str">
        <x:f>IFERROR(INDEX('Material routes'!$K$6:$K$2205,MATCH(U527,'Material routes'!$A$6:$A$2205,0)),"MISSING ID")</x:f>
        <x:v>Proposal</x:v>
      </x:c>
      <x:c r="M527" s="4" t="str">
        <x:f>IFERROR(INDEX('Material routes'!$M$6:$M$2205,MATCH(U527,'Material routes'!$A$6:$A$2205,0)),"MISSING ID")</x:f>
        <x:v>Partial proposal</x:v>
      </x:c>
      <x:c r="N527" s="4"/>
      <x:c r="O527" s="4" t="str">
        <x:f>IFERROR(INDEX('Material routes'!$J$6:$J$2205,MATCH(U527,'Material routes'!$A$6:$A$2205,0)),"MISSING ID")</x:f>
        <x:v>Unspecified</x:v>
      </x:c>
      <x:c r="P527" s="4"/>
      <x:c r="Q527" s="4" t="str">
        <x:f>IFERROR(INDEX('Material routes'!$J$6:$J$2205,MATCH(V527,'Material routes'!$A$6:$A$2205,0)),"MISSING ID")</x:f>
        <x:v>Unspecified</x:v>
      </x:c>
      <x:c r="R527" s="4" t="str">
        <x:f>IF(L527="Withheld","Withheld premise",IF(E527="Tool candidate","Reusable prerequisite",IF(K527="Raw entry preparation","Entry-resource preparation",IF(G527="Not applicable",IF(IFERROR(INDEX('Items'!$AI$6:$AI$1005,MATCH(T527,'Items'!$A$6:$A$1005,0)),"MISSING ID")="Finished item","Finished endpoint",IF(IFERROR(INDEX('Items'!$AI$6:$AI$1005,MATCH(T527,'Items'!$A$6:$A$1005,0)),"MISSING ID")="Currency","Currency / no refinement tier","Recovered output / tier not applicable")),IF(OR(IFERROR(INDEX('Crafting recipes'!$H$6:$H$1005,MATCH(J527,'Crafting recipes'!$A$6:$A$1005,0)),"MISSING ID")="Unassigned",G527="Unassigned"),"Tier unresolved",IF(IFERROR(VALUE(RIGHT(G527,1))-VALUE(RIGHT(IFERROR(INDEX('Crafting recipes'!$H$6:$H$1005,MATCH(J527,'Crafting recipes'!$A$6:$A$1005,0)),"MISSING ID"),1)),0)=1,IF(B527=IFERROR(INDEX('Crafting recipes'!$H$6:$H$1005,MATCH(J527,'Crafting recipes'!$A$6:$A$1005,0)),"MISSING ID"),"Advances one material tier","Lower-tier ingredient; route advances one tier"),"Needs tier review"))))))</x:f>
        <x:v>Advances one material tier</x:v>
      </x:c>
      <x:c r="S527" s="4" t="str">
        <x:f>IFERROR(INDEX('Material routes'!$D$6:$D$2205,MATCH(U527,'Material routes'!$A$6:$A$2205,0)),"MISSING ID")</x:f>
        <x:v>proposal.t1.shell_lamina</x:v>
      </x:c>
      <x:c r="T527" s="4" t="str">
        <x:f>IFERROR(INDEX('Material routes'!$D$6:$D$2205,MATCH(V527,'Material routes'!$A$6:$A$2205,0)),"MISSING ID")</x:f>
        <x:v>proposal.collection.pressed_chitin_friction_stock</x:v>
      </x:c>
      <x:c r="U527" s="4" t="str">
        <x:v>design.collection.pressed_chitin_friction_stock.in.1</x:v>
      </x:c>
      <x:c r="V527" s="4" t="str">
        <x:v>design.collection.pressed_chitin_friction_stock.out</x:v>
      </x:c>
    </x:row>
    <x:row r="528" ht="64" customHeight="1">
      <x:c r="A528" s="4" t="str">
        <x:f>IFERROR(INDEX('Material routes'!$E$6:$E$2205,MATCH(U528,'Material routes'!$A$6:$A$2205,0)),"MISSING ID")</x:f>
        <x:v>Graded mineral filler</x:v>
      </x:c>
      <x:c r="B528" s="4" t="str">
        <x:f>IFERROR(INDEX('Material routes'!$F$6:$F$2205,MATCH(U528,'Material routes'!$A$6:$A$2205,0)),"MISSING ID")</x:f>
        <x:v>T1</x:v>
      </x:c>
      <x:c r="C528" s="4" t="str">
        <x:f>IFERROR(INDEX('Material routes'!$H$6:$H$2205,MATCH(U528,'Material routes'!$A$6:$A$2205,0)),"MISSING ID")</x:f>
        <x:v>Processed material</x:v>
      </x:c>
      <x:c r="D528" s="4" t="str">
        <x:f>IFERROR(INDEX('Material routes'!$G$6:$G$2205,MATCH(U528,'Material routes'!$A$6:$A$2205,0)),"MISSING ID")</x:f>
        <x:v>Manufactured stock</x:v>
      </x:c>
      <x:c r="E528" s="4" t="str">
        <x:f>IFERROR(INDEX('Material routes'!$C$6:$C$2205,MATCH(U528,'Material routes'!$A$6:$A$2205,0)),"MISSING ID")</x:f>
        <x:v>Ingredient candidate</x:v>
      </x:c>
      <x:c r="F528" s="4" t="str">
        <x:f>IFERROR(INDEX('Material routes'!$E$6:$E$2205,MATCH(V528,'Material routes'!$A$6:$A$2205,0)),"MISSING ID")</x:f>
        <x:v>Pressed chitin friction stock</x:v>
      </x:c>
      <x:c r="G528" s="4" t="str">
        <x:f>IFERROR(INDEX('Material routes'!$F$6:$F$2205,MATCH(V528,'Material routes'!$A$6:$A$2205,0)),"MISSING ID")</x:f>
        <x:v>T2</x:v>
      </x:c>
      <x:c r="H528" s="4" t="str">
        <x:f>IFERROR(INDEX('Material routes'!$H$6:$H$2205,MATCH(V528,'Material routes'!$A$6:$A$2205,0)),"MISSING ID")</x:f>
        <x:v>Processed material</x:v>
      </x:c>
      <x:c r="I528" s="4" t="str">
        <x:f>IFERROR(INDEX('Material routes'!$G$6:$G$2205,MATCH(V528,'Material routes'!$A$6:$A$2205,0)),"MISSING ID")</x:f>
        <x:v>Manufactured stock</x:v>
      </x:c>
      <x:c r="J528" s="4" t="str">
        <x:f>IFERROR(INDEX('Material routes'!$B$6:$B$2205,MATCH(U528,'Material routes'!$A$6:$A$2205,0)),"MISSING ID")</x:f>
        <x:v>design.collection.pressed_chitin_friction_stock</x:v>
      </x:c>
      <x:c r="K528" s="4" t="str">
        <x:f>IFERROR(INDEX('Crafting recipes'!$C$6:$C$1005,MATCH(J528,'Crafting recipes'!$A$6:$A$1005,0)),"MISSING ID")</x:f>
        <x:v>Material refinement</x:v>
      </x:c>
      <x:c r="L528" s="4" t="str">
        <x:f>IFERROR(INDEX('Material routes'!$K$6:$K$2205,MATCH(U528,'Material routes'!$A$6:$A$2205,0)),"MISSING ID")</x:f>
        <x:v>Proposal</x:v>
      </x:c>
      <x:c r="M528" s="4" t="str">
        <x:f>IFERROR(INDEX('Material routes'!$M$6:$M$2205,MATCH(U528,'Material routes'!$A$6:$A$2205,0)),"MISSING ID")</x:f>
        <x:v>Partial proposal</x:v>
      </x:c>
      <x:c r="N528" s="4"/>
      <x:c r="O528" s="4" t="str">
        <x:f>IFERROR(INDEX('Material routes'!$J$6:$J$2205,MATCH(U528,'Material routes'!$A$6:$A$2205,0)),"MISSING ID")</x:f>
        <x:v>Unspecified</x:v>
      </x:c>
      <x:c r="P528" s="4"/>
      <x:c r="Q528" s="4" t="str">
        <x:f>IFERROR(INDEX('Material routes'!$J$6:$J$2205,MATCH(V528,'Material routes'!$A$6:$A$2205,0)),"MISSING ID")</x:f>
        <x:v>Unspecified</x:v>
      </x:c>
      <x:c r="R528" s="4" t="str">
        <x:f>IF(L528="Withheld","Withheld premise",IF(E528="Tool candidate","Reusable prerequisite",IF(K528="Raw entry preparation","Entry-resource preparation",IF(G528="Not applicable",IF(IFERROR(INDEX('Items'!$AI$6:$AI$1005,MATCH(T528,'Items'!$A$6:$A$1005,0)),"MISSING ID")="Finished item","Finished endpoint",IF(IFERROR(INDEX('Items'!$AI$6:$AI$1005,MATCH(T528,'Items'!$A$6:$A$1005,0)),"MISSING ID")="Currency","Currency / no refinement tier","Recovered output / tier not applicable")),IF(OR(IFERROR(INDEX('Crafting recipes'!$H$6:$H$1005,MATCH(J528,'Crafting recipes'!$A$6:$A$1005,0)),"MISSING ID")="Unassigned",G528="Unassigned"),"Tier unresolved",IF(IFERROR(VALUE(RIGHT(G528,1))-VALUE(RIGHT(IFERROR(INDEX('Crafting recipes'!$H$6:$H$1005,MATCH(J528,'Crafting recipes'!$A$6:$A$1005,0)),"MISSING ID"),1)),0)=1,IF(B528=IFERROR(INDEX('Crafting recipes'!$H$6:$H$1005,MATCH(J528,'Crafting recipes'!$A$6:$A$1005,0)),"MISSING ID"),"Advances one material tier","Lower-tier ingredient; route advances one tier"),"Needs tier review"))))))</x:f>
        <x:v>Advances one material tier</x:v>
      </x:c>
      <x:c r="S528" s="4" t="str">
        <x:f>IFERROR(INDEX('Material routes'!$D$6:$D$2205,MATCH(U528,'Material routes'!$A$6:$A$2205,0)),"MISSING ID")</x:f>
        <x:v>proposal.t1.mineral_filler</x:v>
      </x:c>
      <x:c r="T528" s="4" t="str">
        <x:f>IFERROR(INDEX('Material routes'!$D$6:$D$2205,MATCH(V528,'Material routes'!$A$6:$A$2205,0)),"MISSING ID")</x:f>
        <x:v>proposal.collection.pressed_chitin_friction_stock</x:v>
      </x:c>
      <x:c r="U528" s="4" t="str">
        <x:v>design.collection.pressed_chitin_friction_stock.in.2</x:v>
      </x:c>
      <x:c r="V528" s="4" t="str">
        <x:v>design.collection.pressed_chitin_friction_stock.out</x:v>
      </x:c>
    </x:row>
    <x:row r="529" ht="64" customHeight="1">
      <x:c r="A529" s="4" t="str">
        <x:f>IFERROR(INDEX('Material routes'!$E$6:$E$2205,MATCH(U529,'Material routes'!$A$6:$A$2205,0)),"MISSING ID")</x:f>
        <x:v>Prepared shell-binding adhesive</x:v>
      </x:c>
      <x:c r="B529" s="4" t="str">
        <x:f>IFERROR(INDEX('Material routes'!$F$6:$F$2205,MATCH(U529,'Material routes'!$A$6:$A$2205,0)),"MISSING ID")</x:f>
        <x:v>T1</x:v>
      </x:c>
      <x:c r="C529" s="4" t="str">
        <x:f>IFERROR(INDEX('Material routes'!$H$6:$H$2205,MATCH(U529,'Material routes'!$A$6:$A$2205,0)),"MISSING ID")</x:f>
        <x:v>Chemical material</x:v>
      </x:c>
      <x:c r="D529" s="4" t="str">
        <x:f>IFERROR(INDEX('Material routes'!$G$6:$G$2205,MATCH(U529,'Material routes'!$A$6:$A$2205,0)),"MISSING ID")</x:f>
        <x:v>Crafting components</x:v>
      </x:c>
      <x:c r="E529" s="4" t="str">
        <x:f>IFERROR(INDEX('Material routes'!$C$6:$C$2205,MATCH(U529,'Material routes'!$A$6:$A$2205,0)),"MISSING ID")</x:f>
        <x:v>Ingredient candidate</x:v>
      </x:c>
      <x:c r="F529" s="4" t="str">
        <x:f>IFERROR(INDEX('Material routes'!$E$6:$E$2205,MATCH(V529,'Material routes'!$A$6:$A$2205,0)),"MISSING ID")</x:f>
        <x:v>Pressed chitin friction stock</x:v>
      </x:c>
      <x:c r="G529" s="4" t="str">
        <x:f>IFERROR(INDEX('Material routes'!$F$6:$F$2205,MATCH(V529,'Material routes'!$A$6:$A$2205,0)),"MISSING ID")</x:f>
        <x:v>T2</x:v>
      </x:c>
      <x:c r="H529" s="4" t="str">
        <x:f>IFERROR(INDEX('Material routes'!$H$6:$H$2205,MATCH(V529,'Material routes'!$A$6:$A$2205,0)),"MISSING ID")</x:f>
        <x:v>Processed material</x:v>
      </x:c>
      <x:c r="I529" s="4" t="str">
        <x:f>IFERROR(INDEX('Material routes'!$G$6:$G$2205,MATCH(V529,'Material routes'!$A$6:$A$2205,0)),"MISSING ID")</x:f>
        <x:v>Manufactured stock</x:v>
      </x:c>
      <x:c r="J529" s="4" t="str">
        <x:f>IFERROR(INDEX('Material routes'!$B$6:$B$2205,MATCH(U529,'Material routes'!$A$6:$A$2205,0)),"MISSING ID")</x:f>
        <x:v>design.collection.pressed_chitin_friction_stock</x:v>
      </x:c>
      <x:c r="K529" s="4" t="str">
        <x:f>IFERROR(INDEX('Crafting recipes'!$C$6:$C$1005,MATCH(J529,'Crafting recipes'!$A$6:$A$1005,0)),"MISSING ID")</x:f>
        <x:v>Material refinement</x:v>
      </x:c>
      <x:c r="L529" s="4" t="str">
        <x:f>IFERROR(INDEX('Material routes'!$K$6:$K$2205,MATCH(U529,'Material routes'!$A$6:$A$2205,0)),"MISSING ID")</x:f>
        <x:v>Proposal</x:v>
      </x:c>
      <x:c r="M529" s="4" t="str">
        <x:f>IFERROR(INDEX('Material routes'!$M$6:$M$2205,MATCH(U529,'Material routes'!$A$6:$A$2205,0)),"MISSING ID")</x:f>
        <x:v>Partial proposal</x:v>
      </x:c>
      <x:c r="N529" s="4"/>
      <x:c r="O529" s="4" t="str">
        <x:f>IFERROR(INDEX('Material routes'!$J$6:$J$2205,MATCH(U529,'Material routes'!$A$6:$A$2205,0)),"MISSING ID")</x:f>
        <x:v>Unspecified</x:v>
      </x:c>
      <x:c r="P529" s="4"/>
      <x:c r="Q529" s="4" t="str">
        <x:f>IFERROR(INDEX('Material routes'!$J$6:$J$2205,MATCH(V529,'Material routes'!$A$6:$A$2205,0)),"MISSING ID")</x:f>
        <x:v>Unspecified</x:v>
      </x:c>
      <x:c r="R529" s="4" t="str">
        <x:f>IF(L529="Withheld","Withheld premise",IF(E529="Tool candidate","Reusable prerequisite",IF(K529="Raw entry preparation","Entry-resource preparation",IF(G529="Not applicable",IF(IFERROR(INDEX('Items'!$AI$6:$AI$1005,MATCH(T529,'Items'!$A$6:$A$1005,0)),"MISSING ID")="Finished item","Finished endpoint",IF(IFERROR(INDEX('Items'!$AI$6:$AI$1005,MATCH(T529,'Items'!$A$6:$A$1005,0)),"MISSING ID")="Currency","Currency / no refinement tier","Recovered output / tier not applicable")),IF(OR(IFERROR(INDEX('Crafting recipes'!$H$6:$H$1005,MATCH(J529,'Crafting recipes'!$A$6:$A$1005,0)),"MISSING ID")="Unassigned",G529="Unassigned"),"Tier unresolved",IF(IFERROR(VALUE(RIGHT(G529,1))-VALUE(RIGHT(IFERROR(INDEX('Crafting recipes'!$H$6:$H$1005,MATCH(J529,'Crafting recipes'!$A$6:$A$1005,0)),"MISSING ID"),1)),0)=1,IF(B529=IFERROR(INDEX('Crafting recipes'!$H$6:$H$1005,MATCH(J529,'Crafting recipes'!$A$6:$A$1005,0)),"MISSING ID"),"Advances one material tier","Lower-tier ingredient; route advances one tier"),"Needs tier review"))))))</x:f>
        <x:v>Advances one material tier</x:v>
      </x:c>
      <x:c r="S529" s="4" t="str">
        <x:f>IFERROR(INDEX('Material routes'!$D$6:$D$2205,MATCH(U529,'Material routes'!$A$6:$A$2205,0)),"MISSING ID")</x:f>
        <x:v>proposal.t1.shell_adhesive</x:v>
      </x:c>
      <x:c r="T529" s="4" t="str">
        <x:f>IFERROR(INDEX('Material routes'!$D$6:$D$2205,MATCH(V529,'Material routes'!$A$6:$A$2205,0)),"MISSING ID")</x:f>
        <x:v>proposal.collection.pressed_chitin_friction_stock</x:v>
      </x:c>
      <x:c r="U529" s="4" t="str">
        <x:v>design.collection.pressed_chitin_friction_stock.in.3</x:v>
      </x:c>
      <x:c r="V529" s="4" t="str">
        <x:v>design.collection.pressed_chitin_friction_stock.out</x:v>
      </x:c>
    </x:row>
    <x:row r="530" ht="64" customHeight="1">
      <x:c r="A530" s="4" t="str">
        <x:f>IFERROR(INDEX('Material routes'!$E$6:$E$2205,MATCH(U530,'Material routes'!$A$6:$A$2205,0)),"MISSING ID")</x:f>
        <x:v>Ceramic insulating spacer</x:v>
      </x:c>
      <x:c r="B530" s="4" t="str">
        <x:f>IFERROR(INDEX('Material routes'!$F$6:$F$2205,MATCH(U530,'Material routes'!$A$6:$A$2205,0)),"MISSING ID")</x:f>
        <x:v>T3</x:v>
      </x:c>
      <x:c r="C530" s="4" t="str">
        <x:f>IFERROR(INDEX('Material routes'!$H$6:$H$2205,MATCH(U530,'Material routes'!$A$6:$A$2205,0)),"MISSING ID")</x:f>
        <x:v>Crafting component</x:v>
      </x:c>
      <x:c r="D530" s="4" t="str">
        <x:f>IFERROR(INDEX('Material routes'!$G$6:$G$2205,MATCH(U530,'Material routes'!$A$6:$A$2205,0)),"MISSING ID")</x:f>
        <x:v>Crafting components</x:v>
      </x:c>
      <x:c r="E530" s="4" t="str">
        <x:f>IFERROR(INDEX('Material routes'!$C$6:$C$2205,MATCH(U530,'Material routes'!$A$6:$A$2205,0)),"MISSING ID")</x:f>
        <x:v>Ingredient candidate</x:v>
      </x:c>
      <x:c r="F530" s="4" t="str">
        <x:f>IFERROR(INDEX('Material routes'!$E$6:$E$2205,MATCH(V530,'Material routes'!$A$6:$A$2205,0)),"MISSING ID")</x:f>
        <x:v>Calibrated ceramic mounting saddle</x:v>
      </x:c>
      <x:c r="G530" s="4" t="str">
        <x:f>IFERROR(INDEX('Material routes'!$F$6:$F$2205,MATCH(V530,'Material routes'!$A$6:$A$2205,0)),"MISSING ID")</x:f>
        <x:v>T4</x:v>
      </x:c>
      <x:c r="H530" s="4" t="str">
        <x:f>IFERROR(INDEX('Material routes'!$H$6:$H$2205,MATCH(V530,'Material routes'!$A$6:$A$2205,0)),"MISSING ID")</x:f>
        <x:v>Crafting component</x:v>
      </x:c>
      <x:c r="I530" s="4" t="str">
        <x:f>IFERROR(INDEX('Material routes'!$G$6:$G$2205,MATCH(V530,'Material routes'!$A$6:$A$2205,0)),"MISSING ID")</x:f>
        <x:v>Crafting components</x:v>
      </x:c>
      <x:c r="J530" s="4" t="str">
        <x:f>IFERROR(INDEX('Material routes'!$B$6:$B$2205,MATCH(U530,'Material routes'!$A$6:$A$2205,0)),"MISSING ID")</x:f>
        <x:v>design.collection.calibrated_ceramic_mounting_saddle</x:v>
      </x:c>
      <x:c r="K530" s="4" t="str">
        <x:f>IFERROR(INDEX('Crafting recipes'!$C$6:$C$1005,MATCH(J530,'Crafting recipes'!$A$6:$A$1005,0)),"MISSING ID")</x:f>
        <x:v>Material refinement</x:v>
      </x:c>
      <x:c r="L530" s="4" t="str">
        <x:f>IFERROR(INDEX('Material routes'!$K$6:$K$2205,MATCH(U530,'Material routes'!$A$6:$A$2205,0)),"MISSING ID")</x:f>
        <x:v>Proposal</x:v>
      </x:c>
      <x:c r="M530" s="4" t="str">
        <x:f>IFERROR(INDEX('Material routes'!$M$6:$M$2205,MATCH(U530,'Material routes'!$A$6:$A$2205,0)),"MISSING ID")</x:f>
        <x:v>Partial proposal</x:v>
      </x:c>
      <x:c r="N530" s="4"/>
      <x:c r="O530" s="4" t="str">
        <x:f>IFERROR(INDEX('Material routes'!$J$6:$J$2205,MATCH(U530,'Material routes'!$A$6:$A$2205,0)),"MISSING ID")</x:f>
        <x:v>Unspecified</x:v>
      </x:c>
      <x:c r="P530" s="4"/>
      <x:c r="Q530" s="4" t="str">
        <x:f>IFERROR(INDEX('Material routes'!$J$6:$J$2205,MATCH(V530,'Material routes'!$A$6:$A$2205,0)),"MISSING ID")</x:f>
        <x:v>Unspecified</x:v>
      </x:c>
      <x:c r="R530" s="4" t="str">
        <x:f>IF(L530="Withheld","Withheld premise",IF(E530="Tool candidate","Reusable prerequisite",IF(K530="Raw entry preparation","Entry-resource preparation",IF(G530="Not applicable",IF(IFERROR(INDEX('Items'!$AI$6:$AI$1005,MATCH(T530,'Items'!$A$6:$A$1005,0)),"MISSING ID")="Finished item","Finished endpoint",IF(IFERROR(INDEX('Items'!$AI$6:$AI$1005,MATCH(T530,'Items'!$A$6:$A$1005,0)),"MISSING ID")="Currency","Currency / no refinement tier","Recovered output / tier not applicable")),IF(OR(IFERROR(INDEX('Crafting recipes'!$H$6:$H$1005,MATCH(J530,'Crafting recipes'!$A$6:$A$1005,0)),"MISSING ID")="Unassigned",G530="Unassigned"),"Tier unresolved",IF(IFERROR(VALUE(RIGHT(G530,1))-VALUE(RIGHT(IFERROR(INDEX('Crafting recipes'!$H$6:$H$1005,MATCH(J530,'Crafting recipes'!$A$6:$A$1005,0)),"MISSING ID"),1)),0)=1,IF(B530=IFERROR(INDEX('Crafting recipes'!$H$6:$H$1005,MATCH(J530,'Crafting recipes'!$A$6:$A$1005,0)),"MISSING ID"),"Advances one material tier","Lower-tier ingredient; route advances one tier"),"Needs tier review"))))))</x:f>
        <x:v>Advances one material tier</x:v>
      </x:c>
      <x:c r="S530" s="4" t="str">
        <x:f>IFERROR(INDEX('Material routes'!$D$6:$D$2205,MATCH(U530,'Material routes'!$A$6:$A$2205,0)),"MISSING ID")</x:f>
        <x:v>proposal.ceramic.spacer</x:v>
      </x:c>
      <x:c r="T530" s="4" t="str">
        <x:f>IFERROR(INDEX('Material routes'!$D$6:$D$2205,MATCH(V530,'Material routes'!$A$6:$A$2205,0)),"MISSING ID")</x:f>
        <x:v>proposal.collection.calibrated_ceramic_mounting_saddle</x:v>
      </x:c>
      <x:c r="U530" s="4" t="str">
        <x:v>design.collection.calibrated_ceramic_mounting_saddle.in.1</x:v>
      </x:c>
      <x:c r="V530" s="4" t="str">
        <x:v>design.collection.calibrated_ceramic_mounting_saddle.out</x:v>
      </x:c>
    </x:row>
    <x:row r="531" ht="64" customHeight="1">
      <x:c r="A531" s="4" t="str">
        <x:f>IFERROR(INDEX('Material routes'!$E$6:$E$2205,MATCH(U531,'Material routes'!$A$6:$A$2205,0)),"MISSING ID")</x:f>
        <x:v>Annealed iron sheet stock</x:v>
      </x:c>
      <x:c r="B531" s="4" t="str">
        <x:f>IFERROR(INDEX('Material routes'!$F$6:$F$2205,MATCH(U531,'Material routes'!$A$6:$A$2205,0)),"MISSING ID")</x:f>
        <x:v>T3</x:v>
      </x:c>
      <x:c r="C531" s="4" t="str">
        <x:f>IFERROR(INDEX('Material routes'!$H$6:$H$2205,MATCH(U531,'Material routes'!$A$6:$A$2205,0)),"MISSING ID")</x:f>
        <x:v>Processed material</x:v>
      </x:c>
      <x:c r="D531" s="4" t="str">
        <x:f>IFERROR(INDEX('Material routes'!$G$6:$G$2205,MATCH(U531,'Material routes'!$A$6:$A$2205,0)),"MISSING ID")</x:f>
        <x:v>Manufactured stock</x:v>
      </x:c>
      <x:c r="E531" s="4" t="str">
        <x:f>IFERROR(INDEX('Material routes'!$C$6:$C$2205,MATCH(U531,'Material routes'!$A$6:$A$2205,0)),"MISSING ID")</x:f>
        <x:v>Ingredient candidate</x:v>
      </x:c>
      <x:c r="F531" s="4" t="str">
        <x:f>IFERROR(INDEX('Material routes'!$E$6:$E$2205,MATCH(V531,'Material routes'!$A$6:$A$2205,0)),"MISSING ID")</x:f>
        <x:v>Calibrated ceramic mounting saddle</x:v>
      </x:c>
      <x:c r="G531" s="4" t="str">
        <x:f>IFERROR(INDEX('Material routes'!$F$6:$F$2205,MATCH(V531,'Material routes'!$A$6:$A$2205,0)),"MISSING ID")</x:f>
        <x:v>T4</x:v>
      </x:c>
      <x:c r="H531" s="4" t="str">
        <x:f>IFERROR(INDEX('Material routes'!$H$6:$H$2205,MATCH(V531,'Material routes'!$A$6:$A$2205,0)),"MISSING ID")</x:f>
        <x:v>Crafting component</x:v>
      </x:c>
      <x:c r="I531" s="4" t="str">
        <x:f>IFERROR(INDEX('Material routes'!$G$6:$G$2205,MATCH(V531,'Material routes'!$A$6:$A$2205,0)),"MISSING ID")</x:f>
        <x:v>Crafting components</x:v>
      </x:c>
      <x:c r="J531" s="4" t="str">
        <x:f>IFERROR(INDEX('Material routes'!$B$6:$B$2205,MATCH(U531,'Material routes'!$A$6:$A$2205,0)),"MISSING ID")</x:f>
        <x:v>design.collection.calibrated_ceramic_mounting_saddle</x:v>
      </x:c>
      <x:c r="K531" s="4" t="str">
        <x:f>IFERROR(INDEX('Crafting recipes'!$C$6:$C$1005,MATCH(J531,'Crafting recipes'!$A$6:$A$1005,0)),"MISSING ID")</x:f>
        <x:v>Material refinement</x:v>
      </x:c>
      <x:c r="L531" s="4" t="str">
        <x:f>IFERROR(INDEX('Material routes'!$K$6:$K$2205,MATCH(U531,'Material routes'!$A$6:$A$2205,0)),"MISSING ID")</x:f>
        <x:v>Proposal</x:v>
      </x:c>
      <x:c r="M531" s="4" t="str">
        <x:f>IFERROR(INDEX('Material routes'!$M$6:$M$2205,MATCH(U531,'Material routes'!$A$6:$A$2205,0)),"MISSING ID")</x:f>
        <x:v>Partial proposal</x:v>
      </x:c>
      <x:c r="N531" s="4"/>
      <x:c r="O531" s="4" t="str">
        <x:f>IFERROR(INDEX('Material routes'!$J$6:$J$2205,MATCH(U531,'Material routes'!$A$6:$A$2205,0)),"MISSING ID")</x:f>
        <x:v>Unspecified</x:v>
      </x:c>
      <x:c r="P531" s="4"/>
      <x:c r="Q531" s="4" t="str">
        <x:f>IFERROR(INDEX('Material routes'!$J$6:$J$2205,MATCH(V531,'Material routes'!$A$6:$A$2205,0)),"MISSING ID")</x:f>
        <x:v>Unspecified</x:v>
      </x:c>
      <x:c r="R531" s="4" t="str">
        <x:f>IF(L531="Withheld","Withheld premise",IF(E531="Tool candidate","Reusable prerequisite",IF(K531="Raw entry preparation","Entry-resource preparation",IF(G531="Not applicable",IF(IFERROR(INDEX('Items'!$AI$6:$AI$1005,MATCH(T531,'Items'!$A$6:$A$1005,0)),"MISSING ID")="Finished item","Finished endpoint",IF(IFERROR(INDEX('Items'!$AI$6:$AI$1005,MATCH(T531,'Items'!$A$6:$A$1005,0)),"MISSING ID")="Currency","Currency / no refinement tier","Recovered output / tier not applicable")),IF(OR(IFERROR(INDEX('Crafting recipes'!$H$6:$H$1005,MATCH(J531,'Crafting recipes'!$A$6:$A$1005,0)),"MISSING ID")="Unassigned",G531="Unassigned"),"Tier unresolved",IF(IFERROR(VALUE(RIGHT(G531,1))-VALUE(RIGHT(IFERROR(INDEX('Crafting recipes'!$H$6:$H$1005,MATCH(J531,'Crafting recipes'!$A$6:$A$1005,0)),"MISSING ID"),1)),0)=1,IF(B531=IFERROR(INDEX('Crafting recipes'!$H$6:$H$1005,MATCH(J531,'Crafting recipes'!$A$6:$A$1005,0)),"MISSING ID"),"Advances one material tier","Lower-tier ingredient; route advances one tier"),"Needs tier review"))))))</x:f>
        <x:v>Advances one material tier</x:v>
      </x:c>
      <x:c r="S531" s="4" t="str">
        <x:f>IFERROR(INDEX('Material routes'!$D$6:$D$2205,MATCH(U531,'Material routes'!$A$6:$A$2205,0)),"MISSING ID")</x:f>
        <x:v>proposal.collection.annealed_iron_sheet_stock</x:v>
      </x:c>
      <x:c r="T531" s="4" t="str">
        <x:f>IFERROR(INDEX('Material routes'!$D$6:$D$2205,MATCH(V531,'Material routes'!$A$6:$A$2205,0)),"MISSING ID")</x:f>
        <x:v>proposal.collection.calibrated_ceramic_mounting_saddle</x:v>
      </x:c>
      <x:c r="U531" s="4" t="str">
        <x:v>design.collection.calibrated_ceramic_mounting_saddle.in.2</x:v>
      </x:c>
      <x:c r="V531" s="4" t="str">
        <x:v>design.collection.calibrated_ceramic_mounting_saddle.out</x:v>
      </x:c>
    </x:row>
    <x:row r="532" ht="64" customHeight="1">
      <x:c r="A532" s="4" t="str">
        <x:f>IFERROR(INDEX('Material routes'!$E$6:$E$2205,MATCH(U532,'Material routes'!$A$6:$A$2205,0)),"MISSING ID")</x:f>
        <x:v>Prepared flexible faunal binder</x:v>
      </x:c>
      <x:c r="B532" s="4" t="str">
        <x:f>IFERROR(INDEX('Material routes'!$F$6:$F$2205,MATCH(U532,'Material routes'!$A$6:$A$2205,0)),"MISSING ID")</x:f>
        <x:v>T1</x:v>
      </x:c>
      <x:c r="C532" s="4" t="str">
        <x:f>IFERROR(INDEX('Material routes'!$H$6:$H$2205,MATCH(U532,'Material routes'!$A$6:$A$2205,0)),"MISSING ID")</x:f>
        <x:v>Chemical material</x:v>
      </x:c>
      <x:c r="D532" s="4" t="str">
        <x:f>IFERROR(INDEX('Material routes'!$G$6:$G$2205,MATCH(U532,'Material routes'!$A$6:$A$2205,0)),"MISSING ID")</x:f>
        <x:v>Crafting components</x:v>
      </x:c>
      <x:c r="E532" s="4" t="str">
        <x:f>IFERROR(INDEX('Material routes'!$C$6:$C$2205,MATCH(U532,'Material routes'!$A$6:$A$2205,0)),"MISSING ID")</x:f>
        <x:v>Ingredient candidate</x:v>
      </x:c>
      <x:c r="F532" s="4" t="str">
        <x:f>IFERROR(INDEX('Material routes'!$E$6:$E$2205,MATCH(V532,'Material routes'!$A$6:$A$2205,0)),"MISSING ID")</x:f>
        <x:v>Glass-joint bedding paste</x:v>
      </x:c>
      <x:c r="G532" s="4" t="str">
        <x:f>IFERROR(INDEX('Material routes'!$F$6:$F$2205,MATCH(V532,'Material routes'!$A$6:$A$2205,0)),"MISSING ID")</x:f>
        <x:v>T2</x:v>
      </x:c>
      <x:c r="H532" s="4" t="str">
        <x:f>IFERROR(INDEX('Material routes'!$H$6:$H$2205,MATCH(V532,'Material routes'!$A$6:$A$2205,0)),"MISSING ID")</x:f>
        <x:v>Chemical material</x:v>
      </x:c>
      <x:c r="I532" s="4" t="str">
        <x:f>IFERROR(INDEX('Material routes'!$G$6:$G$2205,MATCH(V532,'Material routes'!$A$6:$A$2205,0)),"MISSING ID")</x:f>
        <x:v>Crafting components</x:v>
      </x:c>
      <x:c r="J532" s="4" t="str">
        <x:f>IFERROR(INDEX('Material routes'!$B$6:$B$2205,MATCH(U532,'Material routes'!$A$6:$A$2205,0)),"MISSING ID")</x:f>
        <x:v>design.collection.glass_joint_bedding_paste</x:v>
      </x:c>
      <x:c r="K532" s="4" t="str">
        <x:f>IFERROR(INDEX('Crafting recipes'!$C$6:$C$1005,MATCH(J532,'Crafting recipes'!$A$6:$A$1005,0)),"MISSING ID")</x:f>
        <x:v>Material refinement</x:v>
      </x:c>
      <x:c r="L532" s="4" t="str">
        <x:f>IFERROR(INDEX('Material routes'!$K$6:$K$2205,MATCH(U532,'Material routes'!$A$6:$A$2205,0)),"MISSING ID")</x:f>
        <x:v>Proposal</x:v>
      </x:c>
      <x:c r="M532" s="4" t="str">
        <x:f>IFERROR(INDEX('Material routes'!$M$6:$M$2205,MATCH(U532,'Material routes'!$A$6:$A$2205,0)),"MISSING ID")</x:f>
        <x:v>Partial proposal</x:v>
      </x:c>
      <x:c r="N532" s="4"/>
      <x:c r="O532" s="4" t="str">
        <x:f>IFERROR(INDEX('Material routes'!$J$6:$J$2205,MATCH(U532,'Material routes'!$A$6:$A$2205,0)),"MISSING ID")</x:f>
        <x:v>Unspecified</x:v>
      </x:c>
      <x:c r="P532" s="4"/>
      <x:c r="Q532" s="4" t="str">
        <x:f>IFERROR(INDEX('Material routes'!$J$6:$J$2205,MATCH(V532,'Material routes'!$A$6:$A$2205,0)),"MISSING ID")</x:f>
        <x:v>Unspecified</x:v>
      </x:c>
      <x:c r="R532" s="4" t="str">
        <x:f>IF(L532="Withheld","Withheld premise",IF(E532="Tool candidate","Reusable prerequisite",IF(K532="Raw entry preparation","Entry-resource preparation",IF(G532="Not applicable",IF(IFERROR(INDEX('Items'!$AI$6:$AI$1005,MATCH(T532,'Items'!$A$6:$A$1005,0)),"MISSING ID")="Finished item","Finished endpoint",IF(IFERROR(INDEX('Items'!$AI$6:$AI$1005,MATCH(T532,'Items'!$A$6:$A$1005,0)),"MISSING ID")="Currency","Currency / no refinement tier","Recovered output / tier not applicable")),IF(OR(IFERROR(INDEX('Crafting recipes'!$H$6:$H$1005,MATCH(J532,'Crafting recipes'!$A$6:$A$1005,0)),"MISSING ID")="Unassigned",G532="Unassigned"),"Tier unresolved",IF(IFERROR(VALUE(RIGHT(G532,1))-VALUE(RIGHT(IFERROR(INDEX('Crafting recipes'!$H$6:$H$1005,MATCH(J532,'Crafting recipes'!$A$6:$A$1005,0)),"MISSING ID"),1)),0)=1,IF(B532=IFERROR(INDEX('Crafting recipes'!$H$6:$H$1005,MATCH(J532,'Crafting recipes'!$A$6:$A$1005,0)),"MISSING ID"),"Advances one material tier","Lower-tier ingredient; route advances one tier"),"Needs tier review"))))))</x:f>
        <x:v>Advances one material tier</x:v>
      </x:c>
      <x:c r="S532" s="4" t="str">
        <x:f>IFERROR(INDEX('Material routes'!$D$6:$D$2205,MATCH(U532,'Material routes'!$A$6:$A$2205,0)),"MISSING ID")</x:f>
        <x:v>proposal.branch.flex_binder</x:v>
      </x:c>
      <x:c r="T532" s="4" t="str">
        <x:f>IFERROR(INDEX('Material routes'!$D$6:$D$2205,MATCH(V532,'Material routes'!$A$6:$A$2205,0)),"MISSING ID")</x:f>
        <x:v>proposal.collection.glass_joint_bedding_paste</x:v>
      </x:c>
      <x:c r="U532" s="4" t="str">
        <x:v>design.collection.glass_joint_bedding_paste.in.1</x:v>
      </x:c>
      <x:c r="V532" s="4" t="str">
        <x:v>design.collection.glass_joint_bedding_paste.out</x:v>
      </x:c>
    </x:row>
    <x:row r="533" ht="64" customHeight="1">
      <x:c r="A533" s="4" t="str">
        <x:f>IFERROR(INDEX('Material routes'!$E$6:$E$2205,MATCH(U533,'Material routes'!$A$6:$A$2205,0)),"MISSING ID")</x:f>
        <x:v>Graded mineral filler</x:v>
      </x:c>
      <x:c r="B533" s="4" t="str">
        <x:f>IFERROR(INDEX('Material routes'!$F$6:$F$2205,MATCH(U533,'Material routes'!$A$6:$A$2205,0)),"MISSING ID")</x:f>
        <x:v>T1</x:v>
      </x:c>
      <x:c r="C533" s="4" t="str">
        <x:f>IFERROR(INDEX('Material routes'!$H$6:$H$2205,MATCH(U533,'Material routes'!$A$6:$A$2205,0)),"MISSING ID")</x:f>
        <x:v>Processed material</x:v>
      </x:c>
      <x:c r="D533" s="4" t="str">
        <x:f>IFERROR(INDEX('Material routes'!$G$6:$G$2205,MATCH(U533,'Material routes'!$A$6:$A$2205,0)),"MISSING ID")</x:f>
        <x:v>Manufactured stock</x:v>
      </x:c>
      <x:c r="E533" s="4" t="str">
        <x:f>IFERROR(INDEX('Material routes'!$C$6:$C$2205,MATCH(U533,'Material routes'!$A$6:$A$2205,0)),"MISSING ID")</x:f>
        <x:v>Ingredient candidate</x:v>
      </x:c>
      <x:c r="F533" s="4" t="str">
        <x:f>IFERROR(INDEX('Material routes'!$E$6:$E$2205,MATCH(V533,'Material routes'!$A$6:$A$2205,0)),"MISSING ID")</x:f>
        <x:v>Glass-joint bedding paste</x:v>
      </x:c>
      <x:c r="G533" s="4" t="str">
        <x:f>IFERROR(INDEX('Material routes'!$F$6:$F$2205,MATCH(V533,'Material routes'!$A$6:$A$2205,0)),"MISSING ID")</x:f>
        <x:v>T2</x:v>
      </x:c>
      <x:c r="H533" s="4" t="str">
        <x:f>IFERROR(INDEX('Material routes'!$H$6:$H$2205,MATCH(V533,'Material routes'!$A$6:$A$2205,0)),"MISSING ID")</x:f>
        <x:v>Chemical material</x:v>
      </x:c>
      <x:c r="I533" s="4" t="str">
        <x:f>IFERROR(INDEX('Material routes'!$G$6:$G$2205,MATCH(V533,'Material routes'!$A$6:$A$2205,0)),"MISSING ID")</x:f>
        <x:v>Crafting components</x:v>
      </x:c>
      <x:c r="J533" s="4" t="str">
        <x:f>IFERROR(INDEX('Material routes'!$B$6:$B$2205,MATCH(U533,'Material routes'!$A$6:$A$2205,0)),"MISSING ID")</x:f>
        <x:v>design.collection.glass_joint_bedding_paste</x:v>
      </x:c>
      <x:c r="K533" s="4" t="str">
        <x:f>IFERROR(INDEX('Crafting recipes'!$C$6:$C$1005,MATCH(J533,'Crafting recipes'!$A$6:$A$1005,0)),"MISSING ID")</x:f>
        <x:v>Material refinement</x:v>
      </x:c>
      <x:c r="L533" s="4" t="str">
        <x:f>IFERROR(INDEX('Material routes'!$K$6:$K$2205,MATCH(U533,'Material routes'!$A$6:$A$2205,0)),"MISSING ID")</x:f>
        <x:v>Proposal</x:v>
      </x:c>
      <x:c r="M533" s="4" t="str">
        <x:f>IFERROR(INDEX('Material routes'!$M$6:$M$2205,MATCH(U533,'Material routes'!$A$6:$A$2205,0)),"MISSING ID")</x:f>
        <x:v>Partial proposal</x:v>
      </x:c>
      <x:c r="N533" s="4"/>
      <x:c r="O533" s="4" t="str">
        <x:f>IFERROR(INDEX('Material routes'!$J$6:$J$2205,MATCH(U533,'Material routes'!$A$6:$A$2205,0)),"MISSING ID")</x:f>
        <x:v>Unspecified</x:v>
      </x:c>
      <x:c r="P533" s="4"/>
      <x:c r="Q533" s="4" t="str">
        <x:f>IFERROR(INDEX('Material routes'!$J$6:$J$2205,MATCH(V533,'Material routes'!$A$6:$A$2205,0)),"MISSING ID")</x:f>
        <x:v>Unspecified</x:v>
      </x:c>
      <x:c r="R533" s="4" t="str">
        <x:f>IF(L533="Withheld","Withheld premise",IF(E533="Tool candidate","Reusable prerequisite",IF(K533="Raw entry preparation","Entry-resource preparation",IF(G533="Not applicable",IF(IFERROR(INDEX('Items'!$AI$6:$AI$1005,MATCH(T533,'Items'!$A$6:$A$1005,0)),"MISSING ID")="Finished item","Finished endpoint",IF(IFERROR(INDEX('Items'!$AI$6:$AI$1005,MATCH(T533,'Items'!$A$6:$A$1005,0)),"MISSING ID")="Currency","Currency / no refinement tier","Recovered output / tier not applicable")),IF(OR(IFERROR(INDEX('Crafting recipes'!$H$6:$H$1005,MATCH(J533,'Crafting recipes'!$A$6:$A$1005,0)),"MISSING ID")="Unassigned",G533="Unassigned"),"Tier unresolved",IF(IFERROR(VALUE(RIGHT(G533,1))-VALUE(RIGHT(IFERROR(INDEX('Crafting recipes'!$H$6:$H$1005,MATCH(J533,'Crafting recipes'!$A$6:$A$1005,0)),"MISSING ID"),1)),0)=1,IF(B533=IFERROR(INDEX('Crafting recipes'!$H$6:$H$1005,MATCH(J533,'Crafting recipes'!$A$6:$A$1005,0)),"MISSING ID"),"Advances one material tier","Lower-tier ingredient; route advances one tier"),"Needs tier review"))))))</x:f>
        <x:v>Advances one material tier</x:v>
      </x:c>
      <x:c r="S533" s="4" t="str">
        <x:f>IFERROR(INDEX('Material routes'!$D$6:$D$2205,MATCH(U533,'Material routes'!$A$6:$A$2205,0)),"MISSING ID")</x:f>
        <x:v>proposal.t1.mineral_filler</x:v>
      </x:c>
      <x:c r="T533" s="4" t="str">
        <x:f>IFERROR(INDEX('Material routes'!$D$6:$D$2205,MATCH(V533,'Material routes'!$A$6:$A$2205,0)),"MISSING ID")</x:f>
        <x:v>proposal.collection.glass_joint_bedding_paste</x:v>
      </x:c>
      <x:c r="U533" s="4" t="str">
        <x:v>design.collection.glass_joint_bedding_paste.in.2</x:v>
      </x:c>
      <x:c r="V533" s="4" t="str">
        <x:v>design.collection.glass_joint_bedding_paste.out</x:v>
      </x:c>
    </x:row>
    <x:row r="534" ht="64" customHeight="1">
      <x:c r="A534" s="4"/>
      <x:c r="B534" s="4"/>
      <x:c r="C534" s="4"/>
      <x:c r="D534" s="4"/>
      <x:c r="E534" s="4"/>
      <x:c r="F534" s="4"/>
      <x:c r="G534" s="4"/>
      <x:c r="H534" s="4"/>
      <x:c r="I534" s="4"/>
      <x:c r="J534" s="4"/>
      <x:c r="K534" s="4"/>
      <x:c r="L534" s="4"/>
      <x:c r="M534" s="4"/>
      <x:c r="N534" s="4"/>
      <x:c r="O534" s="4"/>
      <x:c r="P534" s="4"/>
      <x:c r="Q534" s="4"/>
      <x:c r="R534" s="4"/>
      <x:c r="S534" s="4"/>
      <x:c r="T534" s="4"/>
      <x:c r="U534" s="4"/>
      <x:c r="V534" s="4"/>
    </x:row>
    <x:row r="535" ht="64" customHeight="1">
      <x:c r="A535" s="4"/>
      <x:c r="B535" s="4"/>
      <x:c r="C535" s="4"/>
      <x:c r="D535" s="4"/>
      <x:c r="E535" s="4"/>
      <x:c r="F535" s="4"/>
      <x:c r="G535" s="4"/>
      <x:c r="H535" s="4"/>
      <x:c r="I535" s="4"/>
      <x:c r="J535" s="4"/>
      <x:c r="K535" s="4"/>
      <x:c r="L535" s="4"/>
      <x:c r="M535" s="4"/>
      <x:c r="N535" s="4"/>
      <x:c r="O535" s="4"/>
      <x:c r="P535" s="4"/>
      <x:c r="Q535" s="4"/>
      <x:c r="R535" s="4"/>
      <x:c r="S535" s="4"/>
      <x:c r="T535" s="4"/>
      <x:c r="U535" s="4"/>
      <x:c r="V535" s="4"/>
    </x:row>
    <x:row r="536" ht="64" customHeight="1">
      <x:c r="A536" s="4" t="str">
        <x:f>IFERROR(INDEX('Material routes'!$E$6:$E$2205,MATCH(U536,'Material routes'!$A$6:$A$2205,0)),"MISSING ID")</x:f>
        <x:v>Selected faunal carrier fraction</x:v>
      </x:c>
      <x:c r="B536" s="4" t="str">
        <x:f>IFERROR(INDEX('Material routes'!$F$6:$F$2205,MATCH(U536,'Material routes'!$A$6:$A$2205,0)),"MISSING ID")</x:f>
        <x:v>T1</x:v>
      </x:c>
      <x:c r="C536" s="4" t="str">
        <x:f>IFERROR(INDEX('Material routes'!$H$6:$H$2205,MATCH(U536,'Material routes'!$A$6:$A$2205,0)),"MISSING ID")</x:f>
        <x:v>Chemical material</x:v>
      </x:c>
      <x:c r="D536" s="4" t="str">
        <x:f>IFERROR(INDEX('Material routes'!$G$6:$G$2205,MATCH(U536,'Material routes'!$A$6:$A$2205,0)),"MISSING ID")</x:f>
        <x:v>Crafting components</x:v>
      </x:c>
      <x:c r="E536" s="4" t="str">
        <x:f>IFERROR(INDEX('Material routes'!$C$6:$C$2205,MATCH(U536,'Material routes'!$A$6:$A$2205,0)),"MISSING ID")</x:f>
        <x:v>Ingredient candidate</x:v>
      </x:c>
      <x:c r="F536" s="4" t="str">
        <x:f>IFERROR(INDEX('Material routes'!$E$6:$E$2205,MATCH(V536,'Material routes'!$A$6:$A$2205,0)),"MISSING ID")</x:f>
        <x:v>Shell-pigment suspension</x:v>
      </x:c>
      <x:c r="G536" s="4" t="str">
        <x:f>IFERROR(INDEX('Material routes'!$F$6:$F$2205,MATCH(V536,'Material routes'!$A$6:$A$2205,0)),"MISSING ID")</x:f>
        <x:v>T2</x:v>
      </x:c>
      <x:c r="H536" s="4" t="str">
        <x:f>IFERROR(INDEX('Material routes'!$H$6:$H$2205,MATCH(V536,'Material routes'!$A$6:$A$2205,0)),"MISSING ID")</x:f>
        <x:v>Chemical material</x:v>
      </x:c>
      <x:c r="I536" s="4" t="str">
        <x:f>IFERROR(INDEX('Material routes'!$G$6:$G$2205,MATCH(V536,'Material routes'!$A$6:$A$2205,0)),"MISSING ID")</x:f>
        <x:v>Crafting components</x:v>
      </x:c>
      <x:c r="J536" s="4" t="str">
        <x:f>IFERROR(INDEX('Material routes'!$B$6:$B$2205,MATCH(U536,'Material routes'!$A$6:$A$2205,0)),"MISSING ID")</x:f>
        <x:v>design.collection.shell_pigment_suspension</x:v>
      </x:c>
      <x:c r="K536" s="4" t="str">
        <x:f>IFERROR(INDEX('Crafting recipes'!$C$6:$C$1005,MATCH(J536,'Crafting recipes'!$A$6:$A$1005,0)),"MISSING ID")</x:f>
        <x:v>Material refinement</x:v>
      </x:c>
      <x:c r="L536" s="4" t="str">
        <x:f>IFERROR(INDEX('Material routes'!$K$6:$K$2205,MATCH(U536,'Material routes'!$A$6:$A$2205,0)),"MISSING ID")</x:f>
        <x:v>Proposal</x:v>
      </x:c>
      <x:c r="M536" s="4" t="str">
        <x:f>IFERROR(INDEX('Material routes'!$M$6:$M$2205,MATCH(U536,'Material routes'!$A$6:$A$2205,0)),"MISSING ID")</x:f>
        <x:v>Partial proposal</x:v>
      </x:c>
      <x:c r="N536" s="4"/>
      <x:c r="O536" s="4" t="str">
        <x:f>IFERROR(INDEX('Material routes'!$J$6:$J$2205,MATCH(U536,'Material routes'!$A$6:$A$2205,0)),"MISSING ID")</x:f>
        <x:v>Unspecified</x:v>
      </x:c>
      <x:c r="P536" s="4"/>
      <x:c r="Q536" s="4" t="str">
        <x:f>IFERROR(INDEX('Material routes'!$J$6:$J$2205,MATCH(V536,'Material routes'!$A$6:$A$2205,0)),"MISSING ID")</x:f>
        <x:v>Unspecified</x:v>
      </x:c>
      <x:c r="R536" s="4" t="str">
        <x:f>IF(L536="Withheld","Withheld premise",IF(E536="Tool candidate","Reusable prerequisite",IF(K536="Raw entry preparation","Entry-resource preparation",IF(G536="Not applicable",IF(IFERROR(INDEX('Items'!$AI$6:$AI$1005,MATCH(T536,'Items'!$A$6:$A$1005,0)),"MISSING ID")="Finished item","Finished endpoint",IF(IFERROR(INDEX('Items'!$AI$6:$AI$1005,MATCH(T536,'Items'!$A$6:$A$1005,0)),"MISSING ID")="Currency","Currency / no refinement tier","Recovered output / tier not applicable")),IF(OR(IFERROR(INDEX('Crafting recipes'!$H$6:$H$1005,MATCH(J536,'Crafting recipes'!$A$6:$A$1005,0)),"MISSING ID")="Unassigned",G536="Unassigned"),"Tier unresolved",IF(IFERROR(VALUE(RIGHT(G536,1))-VALUE(RIGHT(IFERROR(INDEX('Crafting recipes'!$H$6:$H$1005,MATCH(J536,'Crafting recipes'!$A$6:$A$1005,0)),"MISSING ID"),1)),0)=1,IF(B536=IFERROR(INDEX('Crafting recipes'!$H$6:$H$1005,MATCH(J536,'Crafting recipes'!$A$6:$A$1005,0)),"MISSING ID"),"Advances one material tier","Lower-tier ingredient; route advances one tier"),"Needs tier review"))))))</x:f>
        <x:v>Advances one material tier</x:v>
      </x:c>
      <x:c r="S536" s="4" t="str">
        <x:f>IFERROR(INDEX('Material routes'!$D$6:$D$2205,MATCH(U536,'Material routes'!$A$6:$A$2205,0)),"MISSING ID")</x:f>
        <x:v>proposal.t1.faunal_carrier</x:v>
      </x:c>
      <x:c r="T536" s="4" t="str">
        <x:f>IFERROR(INDEX('Material routes'!$D$6:$D$2205,MATCH(V536,'Material routes'!$A$6:$A$2205,0)),"MISSING ID")</x:f>
        <x:v>proposal.collection.shell_pigment_suspension</x:v>
      </x:c>
      <x:c r="U536" s="4" t="str">
        <x:v>design.collection.shell_pigment_suspension.in.1</x:v>
      </x:c>
      <x:c r="V536" s="4" t="str">
        <x:v>design.collection.shell_pigment_suspension.out</x:v>
      </x:c>
    </x:row>
    <x:row r="537" ht="64" customHeight="1">
      <x:c r="A537" s="4" t="str">
        <x:f>IFERROR(INDEX('Material routes'!$E$6:$E$2205,MATCH(U537,'Material routes'!$A$6:$A$2205,0)),"MISSING ID")</x:f>
        <x:v>Prepared mineral pigment powder</x:v>
      </x:c>
      <x:c r="B537" s="4" t="str">
        <x:f>IFERROR(INDEX('Material routes'!$F$6:$F$2205,MATCH(U537,'Material routes'!$A$6:$A$2205,0)),"MISSING ID")</x:f>
        <x:v>T1</x:v>
      </x:c>
      <x:c r="C537" s="4" t="str">
        <x:f>IFERROR(INDEX('Material routes'!$H$6:$H$2205,MATCH(U537,'Material routes'!$A$6:$A$2205,0)),"MISSING ID")</x:f>
        <x:v>Processed material</x:v>
      </x:c>
      <x:c r="D537" s="4" t="str">
        <x:f>IFERROR(INDEX('Material routes'!$G$6:$G$2205,MATCH(U537,'Material routes'!$A$6:$A$2205,0)),"MISSING ID")</x:f>
        <x:v>Manufactured stock</x:v>
      </x:c>
      <x:c r="E537" s="4" t="str">
        <x:f>IFERROR(INDEX('Material routes'!$C$6:$C$2205,MATCH(U537,'Material routes'!$A$6:$A$2205,0)),"MISSING ID")</x:f>
        <x:v>Ingredient candidate</x:v>
      </x:c>
      <x:c r="F537" s="4" t="str">
        <x:f>IFERROR(INDEX('Material routes'!$E$6:$E$2205,MATCH(V537,'Material routes'!$A$6:$A$2205,0)),"MISSING ID")</x:f>
        <x:v>Shell-pigment suspension</x:v>
      </x:c>
      <x:c r="G537" s="4" t="str">
        <x:f>IFERROR(INDEX('Material routes'!$F$6:$F$2205,MATCH(V537,'Material routes'!$A$6:$A$2205,0)),"MISSING ID")</x:f>
        <x:v>T2</x:v>
      </x:c>
      <x:c r="H537" s="4" t="str">
        <x:f>IFERROR(INDEX('Material routes'!$H$6:$H$2205,MATCH(V537,'Material routes'!$A$6:$A$2205,0)),"MISSING ID")</x:f>
        <x:v>Chemical material</x:v>
      </x:c>
      <x:c r="I537" s="4" t="str">
        <x:f>IFERROR(INDEX('Material routes'!$G$6:$G$2205,MATCH(V537,'Material routes'!$A$6:$A$2205,0)),"MISSING ID")</x:f>
        <x:v>Crafting components</x:v>
      </x:c>
      <x:c r="J537" s="4" t="str">
        <x:f>IFERROR(INDEX('Material routes'!$B$6:$B$2205,MATCH(U537,'Material routes'!$A$6:$A$2205,0)),"MISSING ID")</x:f>
        <x:v>design.collection.shell_pigment_suspension</x:v>
      </x:c>
      <x:c r="K537" s="4" t="str">
        <x:f>IFERROR(INDEX('Crafting recipes'!$C$6:$C$1005,MATCH(J537,'Crafting recipes'!$A$6:$A$1005,0)),"MISSING ID")</x:f>
        <x:v>Material refinement</x:v>
      </x:c>
      <x:c r="L537" s="4" t="str">
        <x:f>IFERROR(INDEX('Material routes'!$K$6:$K$2205,MATCH(U537,'Material routes'!$A$6:$A$2205,0)),"MISSING ID")</x:f>
        <x:v>Proposal</x:v>
      </x:c>
      <x:c r="M537" s="4" t="str">
        <x:f>IFERROR(INDEX('Material routes'!$M$6:$M$2205,MATCH(U537,'Material routes'!$A$6:$A$2205,0)),"MISSING ID")</x:f>
        <x:v>Partial proposal</x:v>
      </x:c>
      <x:c r="N537" s="4"/>
      <x:c r="O537" s="4" t="str">
        <x:f>IFERROR(INDEX('Material routes'!$J$6:$J$2205,MATCH(U537,'Material routes'!$A$6:$A$2205,0)),"MISSING ID")</x:f>
        <x:v>Unspecified</x:v>
      </x:c>
      <x:c r="P537" s="4"/>
      <x:c r="Q537" s="4" t="str">
        <x:f>IFERROR(INDEX('Material routes'!$J$6:$J$2205,MATCH(V537,'Material routes'!$A$6:$A$2205,0)),"MISSING ID")</x:f>
        <x:v>Unspecified</x:v>
      </x:c>
      <x:c r="R537" s="4" t="str">
        <x:f>IF(L537="Withheld","Withheld premise",IF(E537="Tool candidate","Reusable prerequisite",IF(K537="Raw entry preparation","Entry-resource preparation",IF(G537="Not applicable",IF(IFERROR(INDEX('Items'!$AI$6:$AI$1005,MATCH(T537,'Items'!$A$6:$A$1005,0)),"MISSING ID")="Finished item","Finished endpoint",IF(IFERROR(INDEX('Items'!$AI$6:$AI$1005,MATCH(T537,'Items'!$A$6:$A$1005,0)),"MISSING ID")="Currency","Currency / no refinement tier","Recovered output / tier not applicable")),IF(OR(IFERROR(INDEX('Crafting recipes'!$H$6:$H$1005,MATCH(J537,'Crafting recipes'!$A$6:$A$1005,0)),"MISSING ID")="Unassigned",G537="Unassigned"),"Tier unresolved",IF(IFERROR(VALUE(RIGHT(G537,1))-VALUE(RIGHT(IFERROR(INDEX('Crafting recipes'!$H$6:$H$1005,MATCH(J537,'Crafting recipes'!$A$6:$A$1005,0)),"MISSING ID"),1)),0)=1,IF(B537=IFERROR(INDEX('Crafting recipes'!$H$6:$H$1005,MATCH(J537,'Crafting recipes'!$A$6:$A$1005,0)),"MISSING ID"),"Advances one material tier","Lower-tier ingredient; route advances one tier"),"Needs tier review"))))))</x:f>
        <x:v>Advances one material tier</x:v>
      </x:c>
      <x:c r="S537" s="4" t="str">
        <x:f>IFERROR(INDEX('Material routes'!$D$6:$D$2205,MATCH(U537,'Material routes'!$A$6:$A$2205,0)),"MISSING ID")</x:f>
        <x:v>proposal.t1.pigment_powder</x:v>
      </x:c>
      <x:c r="T537" s="4" t="str">
        <x:f>IFERROR(INDEX('Material routes'!$D$6:$D$2205,MATCH(V537,'Material routes'!$A$6:$A$2205,0)),"MISSING ID")</x:f>
        <x:v>proposal.collection.shell_pigment_suspension</x:v>
      </x:c>
      <x:c r="U537" s="4" t="str">
        <x:v>design.collection.shell_pigment_suspension.in.2</x:v>
      </x:c>
      <x:c r="V537" s="4" t="str">
        <x:v>design.collection.shell_pigment_suspension.out</x:v>
      </x:c>
    </x:row>
    <x:row r="538" ht="64" customHeight="1">
      <x:c r="A538" s="4" t="str">
        <x:f>IFERROR(INDEX('Material routes'!$E$6:$E$2205,MATCH(U538,'Material routes'!$A$6:$A$2205,0)),"MISSING ID")</x:f>
        <x:v>Prepared alkaline mineral concentrate</x:v>
      </x:c>
      <x:c r="B538" s="4" t="str">
        <x:f>IFERROR(INDEX('Material routes'!$F$6:$F$2205,MATCH(U538,'Material routes'!$A$6:$A$2205,0)),"MISSING ID")</x:f>
        <x:v>T1</x:v>
      </x:c>
      <x:c r="C538" s="4" t="str">
        <x:f>IFERROR(INDEX('Material routes'!$H$6:$H$2205,MATCH(U538,'Material routes'!$A$6:$A$2205,0)),"MISSING ID")</x:f>
        <x:v>Chemical material</x:v>
      </x:c>
      <x:c r="D538" s="4" t="str">
        <x:f>IFERROR(INDEX('Material routes'!$G$6:$G$2205,MATCH(U538,'Material routes'!$A$6:$A$2205,0)),"MISSING ID")</x:f>
        <x:v>Crafting components</x:v>
      </x:c>
      <x:c r="E538" s="4" t="str">
        <x:f>IFERROR(INDEX('Material routes'!$C$6:$C$2205,MATCH(U538,'Material routes'!$A$6:$A$2205,0)),"MISSING ID")</x:f>
        <x:v>Ingredient candidate</x:v>
      </x:c>
      <x:c r="F538" s="4" t="str">
        <x:f>IFERROR(INDEX('Material routes'!$E$6:$E$2205,MATCH(V538,'Material routes'!$A$6:$A$2205,0)),"MISSING ID")</x:f>
        <x:v>Mineral contact-cleaning charge</x:v>
      </x:c>
      <x:c r="G538" s="4" t="str">
        <x:f>IFERROR(INDEX('Material routes'!$F$6:$F$2205,MATCH(V538,'Material routes'!$A$6:$A$2205,0)),"MISSING ID")</x:f>
        <x:v>T2</x:v>
      </x:c>
      <x:c r="H538" s="4" t="str">
        <x:f>IFERROR(INDEX('Material routes'!$H$6:$H$2205,MATCH(V538,'Material routes'!$A$6:$A$2205,0)),"MISSING ID")</x:f>
        <x:v>Chemical material</x:v>
      </x:c>
      <x:c r="I538" s="4" t="str">
        <x:f>IFERROR(INDEX('Material routes'!$G$6:$G$2205,MATCH(V538,'Material routes'!$A$6:$A$2205,0)),"MISSING ID")</x:f>
        <x:v>Crafting components</x:v>
      </x:c>
      <x:c r="J538" s="4" t="str">
        <x:f>IFERROR(INDEX('Material routes'!$B$6:$B$2205,MATCH(U538,'Material routes'!$A$6:$A$2205,0)),"MISSING ID")</x:f>
        <x:v>design.collection.mineral_contact_cleaning_charge</x:v>
      </x:c>
      <x:c r="K538" s="4" t="str">
        <x:f>IFERROR(INDEX('Crafting recipes'!$C$6:$C$1005,MATCH(J538,'Crafting recipes'!$A$6:$A$1005,0)),"MISSING ID")</x:f>
        <x:v>Material refinement</x:v>
      </x:c>
      <x:c r="L538" s="4" t="str">
        <x:f>IFERROR(INDEX('Material routes'!$K$6:$K$2205,MATCH(U538,'Material routes'!$A$6:$A$2205,0)),"MISSING ID")</x:f>
        <x:v>Proposal</x:v>
      </x:c>
      <x:c r="M538" s="4" t="str">
        <x:f>IFERROR(INDEX('Material routes'!$M$6:$M$2205,MATCH(U538,'Material routes'!$A$6:$A$2205,0)),"MISSING ID")</x:f>
        <x:v>Partial proposal</x:v>
      </x:c>
      <x:c r="N538" s="4"/>
      <x:c r="O538" s="4" t="str">
        <x:f>IFERROR(INDEX('Material routes'!$J$6:$J$2205,MATCH(U538,'Material routes'!$A$6:$A$2205,0)),"MISSING ID")</x:f>
        <x:v>Unspecified</x:v>
      </x:c>
      <x:c r="P538" s="4"/>
      <x:c r="Q538" s="4" t="str">
        <x:f>IFERROR(INDEX('Material routes'!$J$6:$J$2205,MATCH(V538,'Material routes'!$A$6:$A$2205,0)),"MISSING ID")</x:f>
        <x:v>Unspecified</x:v>
      </x:c>
      <x:c r="R538" s="4" t="str">
        <x:f>IF(L538="Withheld","Withheld premise",IF(E538="Tool candidate","Reusable prerequisite",IF(K538="Raw entry preparation","Entry-resource preparation",IF(G538="Not applicable",IF(IFERROR(INDEX('Items'!$AI$6:$AI$1005,MATCH(T538,'Items'!$A$6:$A$1005,0)),"MISSING ID")="Finished item","Finished endpoint",IF(IFERROR(INDEX('Items'!$AI$6:$AI$1005,MATCH(T538,'Items'!$A$6:$A$1005,0)),"MISSING ID")="Currency","Currency / no refinement tier","Recovered output / tier not applicable")),IF(OR(IFERROR(INDEX('Crafting recipes'!$H$6:$H$1005,MATCH(J538,'Crafting recipes'!$A$6:$A$1005,0)),"MISSING ID")="Unassigned",G538="Unassigned"),"Tier unresolved",IF(IFERROR(VALUE(RIGHT(G538,1))-VALUE(RIGHT(IFERROR(INDEX('Crafting recipes'!$H$6:$H$1005,MATCH(J538,'Crafting recipes'!$A$6:$A$1005,0)),"MISSING ID"),1)),0)=1,IF(B538=IFERROR(INDEX('Crafting recipes'!$H$6:$H$1005,MATCH(J538,'Crafting recipes'!$A$6:$A$1005,0)),"MISSING ID"),"Advances one material tier","Lower-tier ingredient; route advances one tier"),"Needs tier review"))))))</x:f>
        <x:v>Advances one material tier</x:v>
      </x:c>
      <x:c r="S538" s="4" t="str">
        <x:f>IFERROR(INDEX('Material routes'!$D$6:$D$2205,MATCH(U538,'Material routes'!$A$6:$A$2205,0)),"MISSING ID")</x:f>
        <x:v>proposal.lore.alkali_concentrate</x:v>
      </x:c>
      <x:c r="T538" s="4" t="str">
        <x:f>IFERROR(INDEX('Material routes'!$D$6:$D$2205,MATCH(V538,'Material routes'!$A$6:$A$2205,0)),"MISSING ID")</x:f>
        <x:v>proposal.collection.mineral_contact_cleaning_charge</x:v>
      </x:c>
      <x:c r="U538" s="4" t="str">
        <x:v>design.collection.mineral_contact_cleaning_charge.in.1</x:v>
      </x:c>
      <x:c r="V538" s="4" t="str">
        <x:v>design.collection.mineral_contact_cleaning_charge.out</x:v>
      </x:c>
    </x:row>
    <x:row r="539" ht="64" customHeight="1">
      <x:c r="A539" s="4" t="str">
        <x:f>IFERROR(INDEX('Material routes'!$E$6:$E$2205,MATCH(U539,'Material routes'!$A$6:$A$2205,0)),"MISSING ID")</x:f>
        <x:v>Selected faunal carrier fraction</x:v>
      </x:c>
      <x:c r="B539" s="4" t="str">
        <x:f>IFERROR(INDEX('Material routes'!$F$6:$F$2205,MATCH(U539,'Material routes'!$A$6:$A$2205,0)),"MISSING ID")</x:f>
        <x:v>T1</x:v>
      </x:c>
      <x:c r="C539" s="4" t="str">
        <x:f>IFERROR(INDEX('Material routes'!$H$6:$H$2205,MATCH(U539,'Material routes'!$A$6:$A$2205,0)),"MISSING ID")</x:f>
        <x:v>Chemical material</x:v>
      </x:c>
      <x:c r="D539" s="4" t="str">
        <x:f>IFERROR(INDEX('Material routes'!$G$6:$G$2205,MATCH(U539,'Material routes'!$A$6:$A$2205,0)),"MISSING ID")</x:f>
        <x:v>Crafting components</x:v>
      </x:c>
      <x:c r="E539" s="4" t="str">
        <x:f>IFERROR(INDEX('Material routes'!$C$6:$C$2205,MATCH(U539,'Material routes'!$A$6:$A$2205,0)),"MISSING ID")</x:f>
        <x:v>Ingredient candidate</x:v>
      </x:c>
      <x:c r="F539" s="4" t="str">
        <x:f>IFERROR(INDEX('Material routes'!$E$6:$E$2205,MATCH(V539,'Material routes'!$A$6:$A$2205,0)),"MISSING ID")</x:f>
        <x:v>Mineral contact-cleaning charge</x:v>
      </x:c>
      <x:c r="G539" s="4" t="str">
        <x:f>IFERROR(INDEX('Material routes'!$F$6:$F$2205,MATCH(V539,'Material routes'!$A$6:$A$2205,0)),"MISSING ID")</x:f>
        <x:v>T2</x:v>
      </x:c>
      <x:c r="H539" s="4" t="str">
        <x:f>IFERROR(INDEX('Material routes'!$H$6:$H$2205,MATCH(V539,'Material routes'!$A$6:$A$2205,0)),"MISSING ID")</x:f>
        <x:v>Chemical material</x:v>
      </x:c>
      <x:c r="I539" s="4" t="str">
        <x:f>IFERROR(INDEX('Material routes'!$G$6:$G$2205,MATCH(V539,'Material routes'!$A$6:$A$2205,0)),"MISSING ID")</x:f>
        <x:v>Crafting components</x:v>
      </x:c>
      <x:c r="J539" s="4" t="str">
        <x:f>IFERROR(INDEX('Material routes'!$B$6:$B$2205,MATCH(U539,'Material routes'!$A$6:$A$2205,0)),"MISSING ID")</x:f>
        <x:v>design.collection.mineral_contact_cleaning_charge</x:v>
      </x:c>
      <x:c r="K539" s="4" t="str">
        <x:f>IFERROR(INDEX('Crafting recipes'!$C$6:$C$1005,MATCH(J539,'Crafting recipes'!$A$6:$A$1005,0)),"MISSING ID")</x:f>
        <x:v>Material refinement</x:v>
      </x:c>
      <x:c r="L539" s="4" t="str">
        <x:f>IFERROR(INDEX('Material routes'!$K$6:$K$2205,MATCH(U539,'Material routes'!$A$6:$A$2205,0)),"MISSING ID")</x:f>
        <x:v>Proposal</x:v>
      </x:c>
      <x:c r="M539" s="4" t="str">
        <x:f>IFERROR(INDEX('Material routes'!$M$6:$M$2205,MATCH(U539,'Material routes'!$A$6:$A$2205,0)),"MISSING ID")</x:f>
        <x:v>Partial proposal</x:v>
      </x:c>
      <x:c r="N539" s="4"/>
      <x:c r="O539" s="4" t="str">
        <x:f>IFERROR(INDEX('Material routes'!$J$6:$J$2205,MATCH(U539,'Material routes'!$A$6:$A$2205,0)),"MISSING ID")</x:f>
        <x:v>Unspecified</x:v>
      </x:c>
      <x:c r="P539" s="4"/>
      <x:c r="Q539" s="4" t="str">
        <x:f>IFERROR(INDEX('Material routes'!$J$6:$J$2205,MATCH(V539,'Material routes'!$A$6:$A$2205,0)),"MISSING ID")</x:f>
        <x:v>Unspecified</x:v>
      </x:c>
      <x:c r="R539" s="4" t="str">
        <x:f>IF(L539="Withheld","Withheld premise",IF(E539="Tool candidate","Reusable prerequisite",IF(K539="Raw entry preparation","Entry-resource preparation",IF(G539="Not applicable",IF(IFERROR(INDEX('Items'!$AI$6:$AI$1005,MATCH(T539,'Items'!$A$6:$A$1005,0)),"MISSING ID")="Finished item","Finished endpoint",IF(IFERROR(INDEX('Items'!$AI$6:$AI$1005,MATCH(T539,'Items'!$A$6:$A$1005,0)),"MISSING ID")="Currency","Currency / no refinement tier","Recovered output / tier not applicable")),IF(OR(IFERROR(INDEX('Crafting recipes'!$H$6:$H$1005,MATCH(J539,'Crafting recipes'!$A$6:$A$1005,0)),"MISSING ID")="Unassigned",G539="Unassigned"),"Tier unresolved",IF(IFERROR(VALUE(RIGHT(G539,1))-VALUE(RIGHT(IFERROR(INDEX('Crafting recipes'!$H$6:$H$1005,MATCH(J539,'Crafting recipes'!$A$6:$A$1005,0)),"MISSING ID"),1)),0)=1,IF(B539=IFERROR(INDEX('Crafting recipes'!$H$6:$H$1005,MATCH(J539,'Crafting recipes'!$A$6:$A$1005,0)),"MISSING ID"),"Advances one material tier","Lower-tier ingredient; route advances one tier"),"Needs tier review"))))))</x:f>
        <x:v>Advances one material tier</x:v>
      </x:c>
      <x:c r="S539" s="4" t="str">
        <x:f>IFERROR(INDEX('Material routes'!$D$6:$D$2205,MATCH(U539,'Material routes'!$A$6:$A$2205,0)),"MISSING ID")</x:f>
        <x:v>proposal.t1.faunal_carrier</x:v>
      </x:c>
      <x:c r="T539" s="4" t="str">
        <x:f>IFERROR(INDEX('Material routes'!$D$6:$D$2205,MATCH(V539,'Material routes'!$A$6:$A$2205,0)),"MISSING ID")</x:f>
        <x:v>proposal.collection.mineral_contact_cleaning_charge</x:v>
      </x:c>
      <x:c r="U539" s="4" t="str">
        <x:v>design.collection.mineral_contact_cleaning_charge.in.2</x:v>
      </x:c>
      <x:c r="V539" s="4" t="str">
        <x:v>design.collection.mineral_contact_cleaning_charge.out</x:v>
      </x:c>
    </x:row>
    <x:row r="540" ht="64" customHeight="1">
      <x:c r="A540" s="4" t="str">
        <x:f>IFERROR(INDEX('Material routes'!$E$6:$E$2205,MATCH(U540,'Material routes'!$A$6:$A$2205,0)),"MISSING ID")</x:f>
        <x:v>Worked iron stock</x:v>
      </x:c>
      <x:c r="B540" s="4" t="str">
        <x:f>IFERROR(INDEX('Material routes'!$F$6:$F$2205,MATCH(U540,'Material routes'!$A$6:$A$2205,0)),"MISSING ID")</x:f>
        <x:v>T2</x:v>
      </x:c>
      <x:c r="C540" s="4" t="str">
        <x:f>IFERROR(INDEX('Material routes'!$H$6:$H$2205,MATCH(U540,'Material routes'!$A$6:$A$2205,0)),"MISSING ID")</x:f>
        <x:v>Processed material</x:v>
      </x:c>
      <x:c r="D540" s="4" t="str">
        <x:f>IFERROR(INDEX('Material routes'!$G$6:$G$2205,MATCH(U540,'Material routes'!$A$6:$A$2205,0)),"MISSING ID")</x:f>
        <x:v>Manufactured stock</x:v>
      </x:c>
      <x:c r="E540" s="4" t="str">
        <x:f>IFERROR(INDEX('Material routes'!$C$6:$C$2205,MATCH(U540,'Material routes'!$A$6:$A$2205,0)),"MISSING ID")</x:f>
        <x:v>Ingredient candidate</x:v>
      </x:c>
      <x:c r="F540" s="4" t="str">
        <x:f>IFERROR(INDEX('Material routes'!$E$6:$E$2205,MATCH(V540,'Material routes'!$A$6:$A$2205,0)),"MISSING ID")</x:f>
        <x:v>Hand-cranked metal drill</x:v>
      </x:c>
      <x:c r="G540" s="4" t="str">
        <x:f>IFERROR(INDEX('Material routes'!$F$6:$F$2205,MATCH(V540,'Material routes'!$A$6:$A$2205,0)),"MISSING ID")</x:f>
        <x:v>Not applicable</x:v>
      </x:c>
      <x:c r="H540" s="4" t="str">
        <x:f>IFERROR(INDEX('Material routes'!$H$6:$H$2205,MATCH(V540,'Material routes'!$A$6:$A$2205,0)),"MISSING ID")</x:f>
        <x:v>Tool</x:v>
      </x:c>
      <x:c r="I540" s="4" t="str">
        <x:f>IFERROR(INDEX('Material routes'!$G$6:$G$2205,MATCH(V540,'Material routes'!$A$6:$A$2205,0)),"MISSING ID")</x:f>
        <x:v>Salvage</x:v>
      </x:c>
      <x:c r="J540" s="4" t="str">
        <x:f>IFERROR(INDEX('Material routes'!$B$6:$B$2205,MATCH(U540,'Material routes'!$A$6:$A$2205,0)),"MISSING ID")</x:f>
        <x:v>design.collection.hand_cranked_metal_drill</x:v>
      </x:c>
      <x:c r="K540" s="4" t="str">
        <x:f>IFERROR(INDEX('Crafting recipes'!$C$6:$C$1005,MATCH(J540,'Crafting recipes'!$A$6:$A$1005,0)),"MISSING ID")</x:f>
        <x:v>Finished-item crafting</x:v>
      </x:c>
      <x:c r="L540" s="4" t="str">
        <x:f>IFERROR(INDEX('Material routes'!$K$6:$K$2205,MATCH(U540,'Material routes'!$A$6:$A$2205,0)),"MISSING ID")</x:f>
        <x:v>Proposal</x:v>
      </x:c>
      <x:c r="M540" s="4" t="str">
        <x:f>IFERROR(INDEX('Material routes'!$M$6:$M$2205,MATCH(U540,'Material routes'!$A$6:$A$2205,0)),"MISSING ID")</x:f>
        <x:v>Partial proposal</x:v>
      </x:c>
      <x:c r="N540" s="4"/>
      <x:c r="O540" s="4" t="str">
        <x:f>IFERROR(INDEX('Material routes'!$J$6:$J$2205,MATCH(U540,'Material routes'!$A$6:$A$2205,0)),"MISSING ID")</x:f>
        <x:v>Unspecified</x:v>
      </x:c>
      <x:c r="P540" s="4"/>
      <x:c r="Q540" s="4" t="str">
        <x:f>IFERROR(INDEX('Material routes'!$J$6:$J$2205,MATCH(V540,'Material routes'!$A$6:$A$2205,0)),"MISSING ID")</x:f>
        <x:v>Unspecified</x:v>
      </x:c>
      <x:c r="R540" s="4" t="str">
        <x:f>IF(L540="Withheld","Withheld premise",IF(E540="Tool candidate","Reusable prerequisite",IF(K540="Raw entry preparation","Entry-resource preparation",IF(G540="Not applicable",IF(IFERROR(INDEX('Items'!$AI$6:$AI$1005,MATCH(T540,'Items'!$A$6:$A$1005,0)),"MISSING ID")="Finished item","Finished endpoint",IF(IFERROR(INDEX('Items'!$AI$6:$AI$1005,MATCH(T540,'Items'!$A$6:$A$1005,0)),"MISSING ID")="Currency","Currency / no refinement tier","Recovered output / tier not applicable")),IF(OR(IFERROR(INDEX('Crafting recipes'!$H$6:$H$1005,MATCH(J540,'Crafting recipes'!$A$6:$A$1005,0)),"MISSING ID")="Unassigned",G540="Unassigned"),"Tier unresolved",IF(IFERROR(VALUE(RIGHT(G540,1))-VALUE(RIGHT(IFERROR(INDEX('Crafting recipes'!$H$6:$H$1005,MATCH(J540,'Crafting recipes'!$A$6:$A$1005,0)),"MISSING ID"),1)),0)=1,IF(B540=IFERROR(INDEX('Crafting recipes'!$H$6:$H$1005,MATCH(J540,'Crafting recipes'!$A$6:$A$1005,0)),"MISSING ID"),"Advances one material tier","Lower-tier ingredient; route advances one tier"),"Needs tier review"))))))</x:f>
        <x:v>Finished endpoint</x:v>
      </x:c>
      <x:c r="S540" s="4" t="str">
        <x:f>IFERROR(INDEX('Material routes'!$D$6:$D$2205,MATCH(U540,'Material routes'!$A$6:$A$2205,0)),"MISSING ID")</x:f>
        <x:v>proposal.natural.iron_stock</x:v>
      </x:c>
      <x:c r="T540" s="4" t="str">
        <x:f>IFERROR(INDEX('Material routes'!$D$6:$D$2205,MATCH(V540,'Material routes'!$A$6:$A$2205,0)),"MISSING ID")</x:f>
        <x:v>proposal.collection.hand_cranked_metal_drill</x:v>
      </x:c>
      <x:c r="U540" s="4" t="str">
        <x:v>design.collection.hand_cranked_metal_drill.in.1</x:v>
      </x:c>
      <x:c r="V540" s="4" t="str">
        <x:v>design.collection.hand_cranked_metal_drill.out</x:v>
      </x:c>
    </x:row>
    <x:row r="541" ht="64" customHeight="1">
      <x:c r="A541" s="4" t="str">
        <x:f>IFERROR(INDEX('Material routes'!$E$6:$E$2205,MATCH(U541,'Material routes'!$A$6:$A$2205,0)),"MISSING ID")</x:f>
        <x:v>Steel stock</x:v>
      </x:c>
      <x:c r="B541" s="4" t="str">
        <x:f>IFERROR(INDEX('Material routes'!$F$6:$F$2205,MATCH(U541,'Material routes'!$A$6:$A$2205,0)),"MISSING ID")</x:f>
        <x:v>T2</x:v>
      </x:c>
      <x:c r="C541" s="4" t="str">
        <x:f>IFERROR(INDEX('Material routes'!$H$6:$H$2205,MATCH(U541,'Material routes'!$A$6:$A$2205,0)),"MISSING ID")</x:f>
        <x:v>Processed material</x:v>
      </x:c>
      <x:c r="D541" s="4" t="str">
        <x:f>IFERROR(INDEX('Material routes'!$G$6:$G$2205,MATCH(U541,'Material routes'!$A$6:$A$2205,0)),"MISSING ID")</x:f>
        <x:v>Manufactured stock</x:v>
      </x:c>
      <x:c r="E541" s="4" t="str">
        <x:f>IFERROR(INDEX('Material routes'!$C$6:$C$2205,MATCH(U541,'Material routes'!$A$6:$A$2205,0)),"MISSING ID")</x:f>
        <x:v>Ingredient candidate</x:v>
      </x:c>
      <x:c r="F541" s="4" t="str">
        <x:f>IFERROR(INDEX('Material routes'!$E$6:$E$2205,MATCH(V541,'Material routes'!$A$6:$A$2205,0)),"MISSING ID")</x:f>
        <x:v>Hand-cranked metal drill</x:v>
      </x:c>
      <x:c r="G541" s="4" t="str">
        <x:f>IFERROR(INDEX('Material routes'!$F$6:$F$2205,MATCH(V541,'Material routes'!$A$6:$A$2205,0)),"MISSING ID")</x:f>
        <x:v>Not applicable</x:v>
      </x:c>
      <x:c r="H541" s="4" t="str">
        <x:f>IFERROR(INDEX('Material routes'!$H$6:$H$2205,MATCH(V541,'Material routes'!$A$6:$A$2205,0)),"MISSING ID")</x:f>
        <x:v>Tool</x:v>
      </x:c>
      <x:c r="I541" s="4" t="str">
        <x:f>IFERROR(INDEX('Material routes'!$G$6:$G$2205,MATCH(V541,'Material routes'!$A$6:$A$2205,0)),"MISSING ID")</x:f>
        <x:v>Salvage</x:v>
      </x:c>
      <x:c r="J541" s="4" t="str">
        <x:f>IFERROR(INDEX('Material routes'!$B$6:$B$2205,MATCH(U541,'Material routes'!$A$6:$A$2205,0)),"MISSING ID")</x:f>
        <x:v>design.collection.hand_cranked_metal_drill</x:v>
      </x:c>
      <x:c r="K541" s="4" t="str">
        <x:f>IFERROR(INDEX('Crafting recipes'!$C$6:$C$1005,MATCH(J541,'Crafting recipes'!$A$6:$A$1005,0)),"MISSING ID")</x:f>
        <x:v>Finished-item crafting</x:v>
      </x:c>
      <x:c r="L541" s="4" t="str">
        <x:f>IFERROR(INDEX('Material routes'!$K$6:$K$2205,MATCH(U541,'Material routes'!$A$6:$A$2205,0)),"MISSING ID")</x:f>
        <x:v>Proposal</x:v>
      </x:c>
      <x:c r="M541" s="4" t="str">
        <x:f>IFERROR(INDEX('Material routes'!$M$6:$M$2205,MATCH(U541,'Material routes'!$A$6:$A$2205,0)),"MISSING ID")</x:f>
        <x:v>Partial proposal</x:v>
      </x:c>
      <x:c r="N541" s="4"/>
      <x:c r="O541" s="4" t="str">
        <x:f>IFERROR(INDEX('Material routes'!$J$6:$J$2205,MATCH(U541,'Material routes'!$A$6:$A$2205,0)),"MISSING ID")</x:f>
        <x:v>Unspecified</x:v>
      </x:c>
      <x:c r="P541" s="4"/>
      <x:c r="Q541" s="4" t="str">
        <x:f>IFERROR(INDEX('Material routes'!$J$6:$J$2205,MATCH(V541,'Material routes'!$A$6:$A$2205,0)),"MISSING ID")</x:f>
        <x:v>Unspecified</x:v>
      </x:c>
      <x:c r="R541" s="4" t="str">
        <x:f>IF(L541="Withheld","Withheld premise",IF(E541="Tool candidate","Reusable prerequisite",IF(K541="Raw entry preparation","Entry-resource preparation",IF(G541="Not applicable",IF(IFERROR(INDEX('Items'!$AI$6:$AI$1005,MATCH(T541,'Items'!$A$6:$A$1005,0)),"MISSING ID")="Finished item","Finished endpoint",IF(IFERROR(INDEX('Items'!$AI$6:$AI$1005,MATCH(T541,'Items'!$A$6:$A$1005,0)),"MISSING ID")="Currency","Currency / no refinement tier","Recovered output / tier not applicable")),IF(OR(IFERROR(INDEX('Crafting recipes'!$H$6:$H$1005,MATCH(J541,'Crafting recipes'!$A$6:$A$1005,0)),"MISSING ID")="Unassigned",G541="Unassigned"),"Tier unresolved",IF(IFERROR(VALUE(RIGHT(G541,1))-VALUE(RIGHT(IFERROR(INDEX('Crafting recipes'!$H$6:$H$1005,MATCH(J541,'Crafting recipes'!$A$6:$A$1005,0)),"MISSING ID"),1)),0)=1,IF(B541=IFERROR(INDEX('Crafting recipes'!$H$6:$H$1005,MATCH(J541,'Crafting recipes'!$A$6:$A$1005,0)),"MISSING ID"),"Advances one material tier","Lower-tier ingredient; route advances one tier"),"Needs tier review"))))))</x:f>
        <x:v>Finished endpoint</x:v>
      </x:c>
      <x:c r="S541" s="4" t="str">
        <x:f>IFERROR(INDEX('Material routes'!$D$6:$D$2205,MATCH(U541,'Material routes'!$A$6:$A$2205,0)),"MISSING ID")</x:f>
        <x:v>author.metallurgy.steel_stock</x:v>
      </x:c>
      <x:c r="T541" s="4" t="str">
        <x:f>IFERROR(INDEX('Material routes'!$D$6:$D$2205,MATCH(V541,'Material routes'!$A$6:$A$2205,0)),"MISSING ID")</x:f>
        <x:v>proposal.collection.hand_cranked_metal_drill</x:v>
      </x:c>
      <x:c r="U541" s="4" t="str">
        <x:v>design.collection.hand_cranked_metal_drill.in.2</x:v>
      </x:c>
      <x:c r="V541" s="4" t="str">
        <x:v>design.collection.hand_cranked_metal_drill.out</x:v>
      </x:c>
    </x:row>
    <x:row r="542" ht="64" customHeight="1">
      <x:c r="A542" s="4" t="str">
        <x:f>IFERROR(INDEX('Material routes'!$E$6:$E$2205,MATCH(U542,'Material routes'!$A$6:$A$2205,0)),"MISSING ID")</x:f>
        <x:v>Matched metal fastener set</x:v>
      </x:c>
      <x:c r="B542" s="4" t="str">
        <x:f>IFERROR(INDEX('Material routes'!$F$6:$F$2205,MATCH(U542,'Material routes'!$A$6:$A$2205,0)),"MISSING ID")</x:f>
        <x:v>T3</x:v>
      </x:c>
      <x:c r="C542" s="4" t="str">
        <x:f>IFERROR(INDEX('Material routes'!$H$6:$H$2205,MATCH(U542,'Material routes'!$A$6:$A$2205,0)),"MISSING ID")</x:f>
        <x:v>Crafting component</x:v>
      </x:c>
      <x:c r="D542" s="4" t="str">
        <x:f>IFERROR(INDEX('Material routes'!$G$6:$G$2205,MATCH(U542,'Material routes'!$A$6:$A$2205,0)),"MISSING ID")</x:f>
        <x:v>Crafting components</x:v>
      </x:c>
      <x:c r="E542" s="4" t="str">
        <x:f>IFERROR(INDEX('Material routes'!$C$6:$C$2205,MATCH(U542,'Material routes'!$A$6:$A$2205,0)),"MISSING ID")</x:f>
        <x:v>Ingredient candidate</x:v>
      </x:c>
      <x:c r="F542" s="4" t="str">
        <x:f>IFERROR(INDEX('Material routes'!$E$6:$E$2205,MATCH(V542,'Material routes'!$A$6:$A$2205,0)),"MISSING ID")</x:f>
        <x:v>Hand-cranked metal drill</x:v>
      </x:c>
      <x:c r="G542" s="4" t="str">
        <x:f>IFERROR(INDEX('Material routes'!$F$6:$F$2205,MATCH(V542,'Material routes'!$A$6:$A$2205,0)),"MISSING ID")</x:f>
        <x:v>Not applicable</x:v>
      </x:c>
      <x:c r="H542" s="4" t="str">
        <x:f>IFERROR(INDEX('Material routes'!$H$6:$H$2205,MATCH(V542,'Material routes'!$A$6:$A$2205,0)),"MISSING ID")</x:f>
        <x:v>Tool</x:v>
      </x:c>
      <x:c r="I542" s="4" t="str">
        <x:f>IFERROR(INDEX('Material routes'!$G$6:$G$2205,MATCH(V542,'Material routes'!$A$6:$A$2205,0)),"MISSING ID")</x:f>
        <x:v>Salvage</x:v>
      </x:c>
      <x:c r="J542" s="4" t="str">
        <x:f>IFERROR(INDEX('Material routes'!$B$6:$B$2205,MATCH(U542,'Material routes'!$A$6:$A$2205,0)),"MISSING ID")</x:f>
        <x:v>design.collection.hand_cranked_metal_drill</x:v>
      </x:c>
      <x:c r="K542" s="4" t="str">
        <x:f>IFERROR(INDEX('Crafting recipes'!$C$6:$C$1005,MATCH(J542,'Crafting recipes'!$A$6:$A$1005,0)),"MISSING ID")</x:f>
        <x:v>Finished-item crafting</x:v>
      </x:c>
      <x:c r="L542" s="4" t="str">
        <x:f>IFERROR(INDEX('Material routes'!$K$6:$K$2205,MATCH(U542,'Material routes'!$A$6:$A$2205,0)),"MISSING ID")</x:f>
        <x:v>Proposal</x:v>
      </x:c>
      <x:c r="M542" s="4" t="str">
        <x:f>IFERROR(INDEX('Material routes'!$M$6:$M$2205,MATCH(U542,'Material routes'!$A$6:$A$2205,0)),"MISSING ID")</x:f>
        <x:v>Partial proposal</x:v>
      </x:c>
      <x:c r="N542" s="4"/>
      <x:c r="O542" s="4" t="str">
        <x:f>IFERROR(INDEX('Material routes'!$J$6:$J$2205,MATCH(U542,'Material routes'!$A$6:$A$2205,0)),"MISSING ID")</x:f>
        <x:v>Unspecified</x:v>
      </x:c>
      <x:c r="P542" s="4"/>
      <x:c r="Q542" s="4" t="str">
        <x:f>IFERROR(INDEX('Material routes'!$J$6:$J$2205,MATCH(V542,'Material routes'!$A$6:$A$2205,0)),"MISSING ID")</x:f>
        <x:v>Unspecified</x:v>
      </x:c>
      <x:c r="R542" s="4" t="str">
        <x:f>IF(L542="Withheld","Withheld premise",IF(E542="Tool candidate","Reusable prerequisite",IF(K542="Raw entry preparation","Entry-resource preparation",IF(G542="Not applicable",IF(IFERROR(INDEX('Items'!$AI$6:$AI$1005,MATCH(T542,'Items'!$A$6:$A$1005,0)),"MISSING ID")="Finished item","Finished endpoint",IF(IFERROR(INDEX('Items'!$AI$6:$AI$1005,MATCH(T542,'Items'!$A$6:$A$1005,0)),"MISSING ID")="Currency","Currency / no refinement tier","Recovered output / tier not applicable")),IF(OR(IFERROR(INDEX('Crafting recipes'!$H$6:$H$1005,MATCH(J542,'Crafting recipes'!$A$6:$A$1005,0)),"MISSING ID")="Unassigned",G542="Unassigned"),"Tier unresolved",IF(IFERROR(VALUE(RIGHT(G542,1))-VALUE(RIGHT(IFERROR(INDEX('Crafting recipes'!$H$6:$H$1005,MATCH(J542,'Crafting recipes'!$A$6:$A$1005,0)),"MISSING ID"),1)),0)=1,IF(B542=IFERROR(INDEX('Crafting recipes'!$H$6:$H$1005,MATCH(J542,'Crafting recipes'!$A$6:$A$1005,0)),"MISSING ID"),"Advances one material tier","Lower-tier ingredient; route advances one tier"),"Needs tier review"))))))</x:f>
        <x:v>Finished endpoint</x:v>
      </x:c>
      <x:c r="S542" s="4" t="str">
        <x:f>IFERROR(INDEX('Material routes'!$D$6:$D$2205,MATCH(U542,'Material routes'!$A$6:$A$2205,0)),"MISSING ID")</x:f>
        <x:v>proposal.lore.fastener_set</x:v>
      </x:c>
      <x:c r="T542" s="4" t="str">
        <x:f>IFERROR(INDEX('Material routes'!$D$6:$D$2205,MATCH(V542,'Material routes'!$A$6:$A$2205,0)),"MISSING ID")</x:f>
        <x:v>proposal.collection.hand_cranked_metal_drill</x:v>
      </x:c>
      <x:c r="U542" s="4" t="str">
        <x:v>design.collection.hand_cranked_metal_drill.in.3</x:v>
      </x:c>
      <x:c r="V542" s="4" t="str">
        <x:v>design.collection.hand_cranked_metal_drill.out</x:v>
      </x:c>
    </x:row>
    <x:row r="543" ht="64" customHeight="1">
      <x:c r="A543" s="4"/>
      <x:c r="B543" s="4"/>
      <x:c r="C543" s="4"/>
      <x:c r="D543" s="4"/>
      <x:c r="E543" s="4"/>
      <x:c r="F543" s="4"/>
      <x:c r="G543" s="4"/>
      <x:c r="H543" s="4"/>
      <x:c r="I543" s="4"/>
      <x:c r="J543" s="4"/>
      <x:c r="K543" s="4"/>
      <x:c r="L543" s="4"/>
      <x:c r="M543" s="4"/>
      <x:c r="N543" s="4"/>
      <x:c r="P543" s="4"/>
      <x:c r="R543" s="4"/>
      <x:c r="S543" s="4"/>
      <x:c r="T543" s="4"/>
      <x:c r="U543" s="4"/>
      <x:c r="V543" s="4"/>
    </x:row>
    <x:row r="544" ht="64" customHeight="1">
      <x:c r="A544" s="4"/>
      <x:c r="B544" s="4"/>
      <x:c r="C544" s="4"/>
      <x:c r="D544" s="4"/>
      <x:c r="E544" s="4"/>
      <x:c r="F544" s="4"/>
      <x:c r="G544" s="4"/>
      <x:c r="H544" s="4"/>
      <x:c r="I544" s="4"/>
      <x:c r="J544" s="4"/>
      <x:c r="K544" s="4"/>
      <x:c r="L544" s="4"/>
      <x:c r="M544" s="4"/>
      <x:c r="N544" s="4"/>
      <x:c r="P544" s="4"/>
      <x:c r="R544" s="4"/>
      <x:c r="S544" s="4"/>
      <x:c r="T544" s="4"/>
      <x:c r="U544" s="4"/>
      <x:c r="V544" s="4"/>
    </x:row>
    <x:row r="545" ht="64" customHeight="1">
      <x:c r="A545" s="4" t="str">
        <x:f>IFERROR(INDEX('Material routes'!$E$6:$E$2205,MATCH(U545,'Material routes'!$A$6:$A$2205,0)),"MISSING ID")</x:f>
        <x:v>Steel stock</x:v>
      </x:c>
      <x:c r="B545" s="4" t="str">
        <x:f>IFERROR(INDEX('Material routes'!$F$6:$F$2205,MATCH(U545,'Material routes'!$A$6:$A$2205,0)),"MISSING ID")</x:f>
        <x:v>T2</x:v>
      </x:c>
      <x:c r="C545" s="4" t="str">
        <x:f>IFERROR(INDEX('Material routes'!$H$6:$H$2205,MATCH(U545,'Material routes'!$A$6:$A$2205,0)),"MISSING ID")</x:f>
        <x:v>Processed material</x:v>
      </x:c>
      <x:c r="D545" s="4" t="str">
        <x:f>IFERROR(INDEX('Material routes'!$G$6:$G$2205,MATCH(U545,'Material routes'!$A$6:$A$2205,0)),"MISSING ID")</x:f>
        <x:v>Manufactured stock</x:v>
      </x:c>
      <x:c r="E545" s="4" t="str">
        <x:f>IFERROR(INDEX('Material routes'!$C$6:$C$2205,MATCH(U545,'Material routes'!$A$6:$A$2205,0)),"MISSING ID")</x:f>
        <x:v>Ingredient candidate</x:v>
      </x:c>
      <x:c r="F545" s="4" t="str">
        <x:f>IFERROR(INDEX('Material routes'!$E$6:$E$2205,MATCH(V545,'Material routes'!$A$6:$A$2205,0)),"MISSING ID")</x:f>
        <x:v>Husk-sheet cutting shears</x:v>
      </x:c>
      <x:c r="G545" s="4" t="str">
        <x:f>IFERROR(INDEX('Material routes'!$F$6:$F$2205,MATCH(V545,'Material routes'!$A$6:$A$2205,0)),"MISSING ID")</x:f>
        <x:v>Not applicable</x:v>
      </x:c>
      <x:c r="H545" s="4" t="str">
        <x:f>IFERROR(INDEX('Material routes'!$H$6:$H$2205,MATCH(V545,'Material routes'!$A$6:$A$2205,0)),"MISSING ID")</x:f>
        <x:v>Tool</x:v>
      </x:c>
      <x:c r="I545" s="4" t="str">
        <x:f>IFERROR(INDEX('Material routes'!$G$6:$G$2205,MATCH(V545,'Material routes'!$A$6:$A$2205,0)),"MISSING ID")</x:f>
        <x:v>Salvage</x:v>
      </x:c>
      <x:c r="J545" s="4" t="str">
        <x:f>IFERROR(INDEX('Material routes'!$B$6:$B$2205,MATCH(U545,'Material routes'!$A$6:$A$2205,0)),"MISSING ID")</x:f>
        <x:v>design.collection.husk_sheet_cutting_shears</x:v>
      </x:c>
      <x:c r="K545" s="4" t="str">
        <x:f>IFERROR(INDEX('Crafting recipes'!$C$6:$C$1005,MATCH(J545,'Crafting recipes'!$A$6:$A$1005,0)),"MISSING ID")</x:f>
        <x:v>Finished-item crafting</x:v>
      </x:c>
      <x:c r="L545" s="4" t="str">
        <x:f>IFERROR(INDEX('Material routes'!$K$6:$K$2205,MATCH(U545,'Material routes'!$A$6:$A$2205,0)),"MISSING ID")</x:f>
        <x:v>Proposal</x:v>
      </x:c>
      <x:c r="M545" s="4" t="str">
        <x:f>IFERROR(INDEX('Material routes'!$M$6:$M$2205,MATCH(U545,'Material routes'!$A$6:$A$2205,0)),"MISSING ID")</x:f>
        <x:v>Partial proposal</x:v>
      </x:c>
      <x:c r="N545" s="4"/>
      <x:c r="O545" s="4" t="str">
        <x:f>IFERROR(INDEX('Material routes'!$J$6:$J$2205,MATCH(U545,'Material routes'!$A$6:$A$2205,0)),"MISSING ID")</x:f>
        <x:v>Unspecified</x:v>
      </x:c>
      <x:c r="P545" s="4"/>
      <x:c r="Q545" s="4" t="str">
        <x:f>IFERROR(INDEX('Material routes'!$J$6:$J$2205,MATCH(V545,'Material routes'!$A$6:$A$2205,0)),"MISSING ID")</x:f>
        <x:v>Unspecified</x:v>
      </x:c>
      <x:c r="R545" s="4" t="str">
        <x:f>IF(L545="Withheld","Withheld premise",IF(E545="Tool candidate","Reusable prerequisite",IF(K545="Raw entry preparation","Entry-resource preparation",IF(G545="Not applicable",IF(IFERROR(INDEX('Items'!$AI$6:$AI$1005,MATCH(T545,'Items'!$A$6:$A$1005,0)),"MISSING ID")="Finished item","Finished endpoint",IF(IFERROR(INDEX('Items'!$AI$6:$AI$1005,MATCH(T545,'Items'!$A$6:$A$1005,0)),"MISSING ID")="Currency","Currency / no refinement tier","Recovered output / tier not applicable")),IF(OR(IFERROR(INDEX('Crafting recipes'!$H$6:$H$1005,MATCH(J545,'Crafting recipes'!$A$6:$A$1005,0)),"MISSING ID")="Unassigned",G545="Unassigned"),"Tier unresolved",IF(IFERROR(VALUE(RIGHT(G545,1))-VALUE(RIGHT(IFERROR(INDEX('Crafting recipes'!$H$6:$H$1005,MATCH(J545,'Crafting recipes'!$A$6:$A$1005,0)),"MISSING ID"),1)),0)=1,IF(B545=IFERROR(INDEX('Crafting recipes'!$H$6:$H$1005,MATCH(J545,'Crafting recipes'!$A$6:$A$1005,0)),"MISSING ID"),"Advances one material tier","Lower-tier ingredient; route advances one tier"),"Needs tier review"))))))</x:f>
        <x:v>Finished endpoint</x:v>
      </x:c>
      <x:c r="S545" s="4" t="str">
        <x:f>IFERROR(INDEX('Material routes'!$D$6:$D$2205,MATCH(U545,'Material routes'!$A$6:$A$2205,0)),"MISSING ID")</x:f>
        <x:v>author.metallurgy.steel_stock</x:v>
      </x:c>
      <x:c r="T545" s="4" t="str">
        <x:f>IFERROR(INDEX('Material routes'!$D$6:$D$2205,MATCH(V545,'Material routes'!$A$6:$A$2205,0)),"MISSING ID")</x:f>
        <x:v>proposal.collection.husk_sheet_cutting_shears</x:v>
      </x:c>
      <x:c r="U545" s="4" t="str">
        <x:v>design.collection.husk_sheet_cutting_shears.in.1</x:v>
      </x:c>
      <x:c r="V545" s="4" t="str">
        <x:v>design.collection.husk_sheet_cutting_shears.out</x:v>
      </x:c>
    </x:row>
    <x:row r="546" ht="64" customHeight="1">
      <x:c r="A546" s="4" t="str">
        <x:f>IFERROR(INDEX('Material routes'!$E$6:$E$2205,MATCH(U546,'Material routes'!$A$6:$A$2205,0)),"MISSING ID")</x:f>
        <x:v>Replaceable joint pin</x:v>
      </x:c>
      <x:c r="B546" s="4" t="str">
        <x:f>IFERROR(INDEX('Material routes'!$F$6:$F$2205,MATCH(U546,'Material routes'!$A$6:$A$2205,0)),"MISSING ID")</x:f>
        <x:v>T3</x:v>
      </x:c>
      <x:c r="C546" s="4" t="str">
        <x:f>IFERROR(INDEX('Material routes'!$H$6:$H$2205,MATCH(U546,'Material routes'!$A$6:$A$2205,0)),"MISSING ID")</x:f>
        <x:v>Crafting component</x:v>
      </x:c>
      <x:c r="D546" s="4" t="str">
        <x:f>IFERROR(INDEX('Material routes'!$G$6:$G$2205,MATCH(U546,'Material routes'!$A$6:$A$2205,0)),"MISSING ID")</x:f>
        <x:v>Crafting components</x:v>
      </x:c>
      <x:c r="E546" s="4" t="str">
        <x:f>IFERROR(INDEX('Material routes'!$C$6:$C$2205,MATCH(U546,'Material routes'!$A$6:$A$2205,0)),"MISSING ID")</x:f>
        <x:v>Ingredient candidate</x:v>
      </x:c>
      <x:c r="F546" s="4" t="str">
        <x:f>IFERROR(INDEX('Material routes'!$E$6:$E$2205,MATCH(V546,'Material routes'!$A$6:$A$2205,0)),"MISSING ID")</x:f>
        <x:v>Husk-sheet cutting shears</x:v>
      </x:c>
      <x:c r="G546" s="4" t="str">
        <x:f>IFERROR(INDEX('Material routes'!$F$6:$F$2205,MATCH(V546,'Material routes'!$A$6:$A$2205,0)),"MISSING ID")</x:f>
        <x:v>Not applicable</x:v>
      </x:c>
      <x:c r="H546" s="4" t="str">
        <x:f>IFERROR(INDEX('Material routes'!$H$6:$H$2205,MATCH(V546,'Material routes'!$A$6:$A$2205,0)),"MISSING ID")</x:f>
        <x:v>Tool</x:v>
      </x:c>
      <x:c r="I546" s="4" t="str">
        <x:f>IFERROR(INDEX('Material routes'!$G$6:$G$2205,MATCH(V546,'Material routes'!$A$6:$A$2205,0)),"MISSING ID")</x:f>
        <x:v>Salvage</x:v>
      </x:c>
      <x:c r="J546" s="4" t="str">
        <x:f>IFERROR(INDEX('Material routes'!$B$6:$B$2205,MATCH(U546,'Material routes'!$A$6:$A$2205,0)),"MISSING ID")</x:f>
        <x:v>design.collection.husk_sheet_cutting_shears</x:v>
      </x:c>
      <x:c r="K546" s="4" t="str">
        <x:f>IFERROR(INDEX('Crafting recipes'!$C$6:$C$1005,MATCH(J546,'Crafting recipes'!$A$6:$A$1005,0)),"MISSING ID")</x:f>
        <x:v>Finished-item crafting</x:v>
      </x:c>
      <x:c r="L546" s="4" t="str">
        <x:f>IFERROR(INDEX('Material routes'!$K$6:$K$2205,MATCH(U546,'Material routes'!$A$6:$A$2205,0)),"MISSING ID")</x:f>
        <x:v>Proposal</x:v>
      </x:c>
      <x:c r="M546" s="4" t="str">
        <x:f>IFERROR(INDEX('Material routes'!$M$6:$M$2205,MATCH(U546,'Material routes'!$A$6:$A$2205,0)),"MISSING ID")</x:f>
        <x:v>Partial proposal</x:v>
      </x:c>
      <x:c r="N546" s="4"/>
      <x:c r="O546" s="4" t="str">
        <x:f>IFERROR(INDEX('Material routes'!$J$6:$J$2205,MATCH(U546,'Material routes'!$A$6:$A$2205,0)),"MISSING ID")</x:f>
        <x:v>Unspecified</x:v>
      </x:c>
      <x:c r="P546" s="4"/>
      <x:c r="Q546" s="4" t="str">
        <x:f>IFERROR(INDEX('Material routes'!$J$6:$J$2205,MATCH(V546,'Material routes'!$A$6:$A$2205,0)),"MISSING ID")</x:f>
        <x:v>Unspecified</x:v>
      </x:c>
      <x:c r="R546" s="4" t="str">
        <x:f>IF(L546="Withheld","Withheld premise",IF(E546="Tool candidate","Reusable prerequisite",IF(K546="Raw entry preparation","Entry-resource preparation",IF(G546="Not applicable",IF(IFERROR(INDEX('Items'!$AI$6:$AI$1005,MATCH(T546,'Items'!$A$6:$A$1005,0)),"MISSING ID")="Finished item","Finished endpoint",IF(IFERROR(INDEX('Items'!$AI$6:$AI$1005,MATCH(T546,'Items'!$A$6:$A$1005,0)),"MISSING ID")="Currency","Currency / no refinement tier","Recovered output / tier not applicable")),IF(OR(IFERROR(INDEX('Crafting recipes'!$H$6:$H$1005,MATCH(J546,'Crafting recipes'!$A$6:$A$1005,0)),"MISSING ID")="Unassigned",G546="Unassigned"),"Tier unresolved",IF(IFERROR(VALUE(RIGHT(G546,1))-VALUE(RIGHT(IFERROR(INDEX('Crafting recipes'!$H$6:$H$1005,MATCH(J546,'Crafting recipes'!$A$6:$A$1005,0)),"MISSING ID"),1)),0)=1,IF(B546=IFERROR(INDEX('Crafting recipes'!$H$6:$H$1005,MATCH(J546,'Crafting recipes'!$A$6:$A$1005,0)),"MISSING ID"),"Advances one material tier","Lower-tier ingredient; route advances one tier"),"Needs tier review"))))))</x:f>
        <x:v>Finished endpoint</x:v>
      </x:c>
      <x:c r="S546" s="4" t="str">
        <x:f>IFERROR(INDEX('Material routes'!$D$6:$D$2205,MATCH(U546,'Material routes'!$A$6:$A$2205,0)),"MISSING ID")</x:f>
        <x:v>proposal.legger.joint_pin</x:v>
      </x:c>
      <x:c r="T546" s="4" t="str">
        <x:f>IFERROR(INDEX('Material routes'!$D$6:$D$2205,MATCH(V546,'Material routes'!$A$6:$A$2205,0)),"MISSING ID")</x:f>
        <x:v>proposal.collection.husk_sheet_cutting_shears</x:v>
      </x:c>
      <x:c r="U546" s="4" t="str">
        <x:v>design.collection.husk_sheet_cutting_shears.in.2</x:v>
      </x:c>
      <x:c r="V546" s="4" t="str">
        <x:v>design.collection.husk_sheet_cutting_shears.out</x:v>
      </x:c>
    </x:row>
    <x:row r="547" ht="64" customHeight="1">
      <x:c r="A547" s="4" t="str">
        <x:f>IFERROR(INDEX('Material routes'!$E$6:$E$2205,MATCH(U547,'Material routes'!$A$6:$A$2205,0)),"MISSING ID")</x:f>
        <x:v>Refractory ceramic stock</x:v>
      </x:c>
      <x:c r="B547" s="4" t="str">
        <x:f>IFERROR(INDEX('Material routes'!$F$6:$F$2205,MATCH(U547,'Material routes'!$A$6:$A$2205,0)),"MISSING ID")</x:f>
        <x:v>T2</x:v>
      </x:c>
      <x:c r="C547" s="4" t="str">
        <x:f>IFERROR(INDEX('Material routes'!$H$6:$H$2205,MATCH(U547,'Material routes'!$A$6:$A$2205,0)),"MISSING ID")</x:f>
        <x:v>Processed material</x:v>
      </x:c>
      <x:c r="D547" s="4" t="str">
        <x:f>IFERROR(INDEX('Material routes'!$G$6:$G$2205,MATCH(U547,'Material routes'!$A$6:$A$2205,0)),"MISSING ID")</x:f>
        <x:v>Manufactured stock</x:v>
      </x:c>
      <x:c r="E547" s="4" t="str">
        <x:f>IFERROR(INDEX('Material routes'!$C$6:$C$2205,MATCH(U547,'Material routes'!$A$6:$A$2205,0)),"MISSING ID")</x:f>
        <x:v>Ingredient candidate</x:v>
      </x:c>
      <x:c r="F547" s="4" t="str">
        <x:f>IFERROR(INDEX('Material routes'!$E$6:$E$2205,MATCH(V547,'Material routes'!$A$6:$A$2205,0)),"MISSING ID")</x:f>
        <x:v>Divided ceramic reagent caddy</x:v>
      </x:c>
      <x:c r="G547" s="4" t="str">
        <x:f>IFERROR(INDEX('Material routes'!$F$6:$F$2205,MATCH(V547,'Material routes'!$A$6:$A$2205,0)),"MISSING ID")</x:f>
        <x:v>Not applicable</x:v>
      </x:c>
      <x:c r="H547" s="4" t="inlineStr">
        <x:is>
          <x:t xml:space="preserve">Salvage</x:t>
        </x:is>
      </x:c>
      <x:c r="I547" s="4" t="str">
        <x:f>IFERROR(INDEX('Material routes'!$G$6:$G$2205,MATCH(V547,'Material routes'!$A$6:$A$2205,0)),"MISSING ID")</x:f>
        <x:v>Salvage</x:v>
      </x:c>
      <x:c r="J547" s="4" t="str">
        <x:f>IFERROR(INDEX('Material routes'!$B$6:$B$2205,MATCH(U547,'Material routes'!$A$6:$A$2205,0)),"MISSING ID")</x:f>
        <x:v>design.collection.divided_ceramic_reagent_caddy</x:v>
      </x:c>
      <x:c r="K547" s="4" t="str">
        <x:f>IFERROR(INDEX('Crafting recipes'!$C$6:$C$1005,MATCH(J547,'Crafting recipes'!$A$6:$A$1005,0)),"MISSING ID")</x:f>
        <x:v>Finished-item crafting</x:v>
      </x:c>
      <x:c r="L547" s="4" t="inlineStr">
        <x:is>
          <x:t xml:space="preserve">Retired</x:t>
        </x:is>
      </x:c>
      <x:c r="M547" s="4" t="inlineStr">
        <x:is>
          <x:t xml:space="preserve">Withdrawn container proposal</x:t>
        </x:is>
      </x:c>
      <x:c r="N547" s="4"/>
      <x:c r="O547" s="4" t="str">
        <x:f>IFERROR(INDEX('Material routes'!$J$6:$J$2205,MATCH(U547,'Material routes'!$A$6:$A$2205,0)),"MISSING ID")</x:f>
        <x:v>Unspecified</x:v>
      </x:c>
      <x:c r="P547" s="4"/>
      <x:c r="Q547" s="4" t="str">
        <x:f>IFERROR(INDEX('Material routes'!$J$6:$J$2205,MATCH(V547,'Material routes'!$A$6:$A$2205,0)),"MISSING ID")</x:f>
        <x:v>Unspecified</x:v>
      </x:c>
      <x:c r="R547" s="4" t="str">
        <x:f>IF(L547="Withheld","Withheld premise",IF(E547="Tool candidate","Reusable prerequisite",IF(K547="Raw entry preparation","Entry-resource preparation",IF(G547="Not applicable",IF(IFERROR(INDEX('Items'!$AI$6:$AI$1005,MATCH(T547,'Items'!$A$6:$A$1005,0)),"MISSING ID")="Finished item","Finished endpoint",IF(IFERROR(INDEX('Items'!$AI$6:$AI$1005,MATCH(T547,'Items'!$A$6:$A$1005,0)),"MISSING ID")="Currency","Currency / no refinement tier","Recovered output / tier not applicable")),IF(OR(IFERROR(INDEX('Crafting recipes'!$H$6:$H$1005,MATCH(J547,'Crafting recipes'!$A$6:$A$1005,0)),"MISSING ID")="Unassigned",G547="Unassigned"),"Tier unresolved",IF(IFERROR(VALUE(RIGHT(G547,1))-VALUE(RIGHT(IFERROR(INDEX('Crafting recipes'!$H$6:$H$1005,MATCH(J547,'Crafting recipes'!$A$6:$A$1005,0)),"MISSING ID"),1)),0)=1,IF(B547=IFERROR(INDEX('Crafting recipes'!$H$6:$H$1005,MATCH(J547,'Crafting recipes'!$A$6:$A$1005,0)),"MISSING ID"),"Advances one material tier","Lower-tier ingredient; route advances one tier"),"Needs tier review"))))))</x:f>
        <x:v>Finished endpoint</x:v>
      </x:c>
      <x:c r="S547" s="4" t="str">
        <x:f>IFERROR(INDEX('Material routes'!$D$6:$D$2205,MATCH(U547,'Material routes'!$A$6:$A$2205,0)),"MISSING ID")</x:f>
        <x:v>proposal.branch.refractory_ceramic</x:v>
      </x:c>
      <x:c r="T547" s="4" t="str">
        <x:f>IFERROR(INDEX('Material routes'!$D$6:$D$2205,MATCH(V547,'Material routes'!$A$6:$A$2205,0)),"MISSING ID")</x:f>
        <x:v>proposal.collection.divided_ceramic_reagent_caddy</x:v>
      </x:c>
      <x:c r="U547" s="4" t="str">
        <x:v>design.collection.divided_ceramic_reagent_caddy.in.1</x:v>
      </x:c>
      <x:c r="V547" s="4" t="str">
        <x:v>design.collection.divided_ceramic_reagent_caddy.out</x:v>
      </x:c>
    </x:row>
    <x:row r="548" ht="64" customHeight="1">
      <x:c r="A548" s="4" t="str">
        <x:f>IFERROR(INDEX('Material routes'!$E$6:$E$2205,MATCH(U548,'Material routes'!$A$6:$A$2205,0)),"MISSING ID")</x:f>
        <x:v>Replacement seal ring</x:v>
      </x:c>
      <x:c r="B548" s="4" t="str">
        <x:f>IFERROR(INDEX('Material routes'!$F$6:$F$2205,MATCH(U548,'Material routes'!$A$6:$A$2205,0)),"MISSING ID")</x:f>
        <x:v>T3</x:v>
      </x:c>
      <x:c r="C548" s="4" t="str">
        <x:f>IFERROR(INDEX('Material routes'!$H$6:$H$2205,MATCH(U548,'Material routes'!$A$6:$A$2205,0)),"MISSING ID")</x:f>
        <x:v>Container part</x:v>
      </x:c>
      <x:c r="D548" s="4" t="str">
        <x:f>IFERROR(INDEX('Material routes'!$G$6:$G$2205,MATCH(U548,'Material routes'!$A$6:$A$2205,0)),"MISSING ID")</x:f>
        <x:v>Crafting components</x:v>
      </x:c>
      <x:c r="E548" s="4" t="str">
        <x:f>IFERROR(INDEX('Material routes'!$C$6:$C$2205,MATCH(U548,'Material routes'!$A$6:$A$2205,0)),"MISSING ID")</x:f>
        <x:v>Ingredient candidate</x:v>
      </x:c>
      <x:c r="F548" s="4" t="str">
        <x:f>IFERROR(INDEX('Material routes'!$E$6:$E$2205,MATCH(V548,'Material routes'!$A$6:$A$2205,0)),"MISSING ID")</x:f>
        <x:v>Divided ceramic reagent caddy</x:v>
      </x:c>
      <x:c r="G548" s="4" t="str">
        <x:f>IFERROR(INDEX('Material routes'!$F$6:$F$2205,MATCH(V548,'Material routes'!$A$6:$A$2205,0)),"MISSING ID")</x:f>
        <x:v>Not applicable</x:v>
      </x:c>
      <x:c r="H548" s="4" t="inlineStr">
        <x:is>
          <x:t xml:space="preserve">Salvage</x:t>
        </x:is>
      </x:c>
      <x:c r="I548" s="4" t="str">
        <x:f>IFERROR(INDEX('Material routes'!$G$6:$G$2205,MATCH(V548,'Material routes'!$A$6:$A$2205,0)),"MISSING ID")</x:f>
        <x:v>Salvage</x:v>
      </x:c>
      <x:c r="J548" s="4" t="str">
        <x:f>IFERROR(INDEX('Material routes'!$B$6:$B$2205,MATCH(U548,'Material routes'!$A$6:$A$2205,0)),"MISSING ID")</x:f>
        <x:v>design.collection.divided_ceramic_reagent_caddy</x:v>
      </x:c>
      <x:c r="K548" s="4" t="str">
        <x:f>IFERROR(INDEX('Crafting recipes'!$C$6:$C$1005,MATCH(J548,'Crafting recipes'!$A$6:$A$1005,0)),"MISSING ID")</x:f>
        <x:v>Finished-item crafting</x:v>
      </x:c>
      <x:c r="L548" s="4" t="inlineStr">
        <x:is>
          <x:t xml:space="preserve">Retired</x:t>
        </x:is>
      </x:c>
      <x:c r="M548" s="4" t="inlineStr">
        <x:is>
          <x:t xml:space="preserve">Withdrawn container proposal</x:t>
        </x:is>
      </x:c>
      <x:c r="N548" s="4"/>
      <x:c r="O548" s="4" t="str">
        <x:f>IFERROR(INDEX('Material routes'!$J$6:$J$2205,MATCH(U548,'Material routes'!$A$6:$A$2205,0)),"MISSING ID")</x:f>
        <x:v>Unspecified</x:v>
      </x:c>
      <x:c r="P548" s="4"/>
      <x:c r="Q548" s="4" t="str">
        <x:f>IFERROR(INDEX('Material routes'!$J$6:$J$2205,MATCH(V548,'Material routes'!$A$6:$A$2205,0)),"MISSING ID")</x:f>
        <x:v>Unspecified</x:v>
      </x:c>
      <x:c r="R548" s="4" t="str">
        <x:f>IF(L548="Withheld","Withheld premise",IF(E548="Tool candidate","Reusable prerequisite",IF(K548="Raw entry preparation","Entry-resource preparation",IF(G548="Not applicable",IF(IFERROR(INDEX('Items'!$AI$6:$AI$1005,MATCH(T548,'Items'!$A$6:$A$1005,0)),"MISSING ID")="Finished item","Finished endpoint",IF(IFERROR(INDEX('Items'!$AI$6:$AI$1005,MATCH(T548,'Items'!$A$6:$A$1005,0)),"MISSING ID")="Currency","Currency / no refinement tier","Recovered output / tier not applicable")),IF(OR(IFERROR(INDEX('Crafting recipes'!$H$6:$H$1005,MATCH(J548,'Crafting recipes'!$A$6:$A$1005,0)),"MISSING ID")="Unassigned",G548="Unassigned"),"Tier unresolved",IF(IFERROR(VALUE(RIGHT(G548,1))-VALUE(RIGHT(IFERROR(INDEX('Crafting recipes'!$H$6:$H$1005,MATCH(J548,'Crafting recipes'!$A$6:$A$1005,0)),"MISSING ID"),1)),0)=1,IF(B548=IFERROR(INDEX('Crafting recipes'!$H$6:$H$1005,MATCH(J548,'Crafting recipes'!$A$6:$A$1005,0)),"MISSING ID"),"Advances one material tier","Lower-tier ingredient; route advances one tier"),"Needs tier review"))))))</x:f>
        <x:v>Finished endpoint</x:v>
      </x:c>
      <x:c r="S548" s="4" t="str">
        <x:f>IFERROR(INDEX('Material routes'!$D$6:$D$2205,MATCH(U548,'Material routes'!$A$6:$A$2205,0)),"MISSING ID")</x:f>
        <x:v>proposal.canister.seal_ring</x:v>
      </x:c>
      <x:c r="T548" s="4" t="str">
        <x:f>IFERROR(INDEX('Material routes'!$D$6:$D$2205,MATCH(V548,'Material routes'!$A$6:$A$2205,0)),"MISSING ID")</x:f>
        <x:v>proposal.collection.divided_ceramic_reagent_caddy</x:v>
      </x:c>
      <x:c r="U548" s="4" t="str">
        <x:v>design.collection.divided_ceramic_reagent_caddy.in.2</x:v>
      </x:c>
      <x:c r="V548" s="4" t="str">
        <x:v>design.collection.divided_ceramic_reagent_caddy.out</x:v>
      </x:c>
    </x:row>
    <x:row r="549" ht="64" customHeight="1">
      <x:c r="A549" s="4" t="str">
        <x:f>IFERROR(INDEX('Material routes'!$E$6:$E$2205,MATCH(U549,'Material routes'!$A$6:$A$2205,0)),"MISSING ID")</x:f>
        <x:v>Ceramic vessel lid</x:v>
      </x:c>
      <x:c r="B549" s="4" t="str">
        <x:f>IFERROR(INDEX('Material routes'!$F$6:$F$2205,MATCH(U549,'Material routes'!$A$6:$A$2205,0)),"MISSING ID")</x:f>
        <x:v>T3</x:v>
      </x:c>
      <x:c r="C549" s="4" t="str">
        <x:f>IFERROR(INDEX('Material routes'!$H$6:$H$2205,MATCH(U549,'Material routes'!$A$6:$A$2205,0)),"MISSING ID")</x:f>
        <x:v>Container part</x:v>
      </x:c>
      <x:c r="D549" s="4" t="str">
        <x:f>IFERROR(INDEX('Material routes'!$G$6:$G$2205,MATCH(U549,'Material routes'!$A$6:$A$2205,0)),"MISSING ID")</x:f>
        <x:v>Crafting components</x:v>
      </x:c>
      <x:c r="E549" s="4" t="str">
        <x:f>IFERROR(INDEX('Material routes'!$C$6:$C$2205,MATCH(U549,'Material routes'!$A$6:$A$2205,0)),"MISSING ID")</x:f>
        <x:v>Ingredient candidate</x:v>
      </x:c>
      <x:c r="F549" s="4" t="str">
        <x:f>IFERROR(INDEX('Material routes'!$E$6:$E$2205,MATCH(V549,'Material routes'!$A$6:$A$2205,0)),"MISSING ID")</x:f>
        <x:v>Divided ceramic reagent caddy</x:v>
      </x:c>
      <x:c r="G549" s="4" t="str">
        <x:f>IFERROR(INDEX('Material routes'!$F$6:$F$2205,MATCH(V549,'Material routes'!$A$6:$A$2205,0)),"MISSING ID")</x:f>
        <x:v>Not applicable</x:v>
      </x:c>
      <x:c r="H549" s="4" t="inlineStr">
        <x:is>
          <x:t xml:space="preserve">Salvage</x:t>
        </x:is>
      </x:c>
      <x:c r="I549" s="4" t="str">
        <x:f>IFERROR(INDEX('Material routes'!$G$6:$G$2205,MATCH(V549,'Material routes'!$A$6:$A$2205,0)),"MISSING ID")</x:f>
        <x:v>Salvage</x:v>
      </x:c>
      <x:c r="J549" s="4" t="str">
        <x:f>IFERROR(INDEX('Material routes'!$B$6:$B$2205,MATCH(U549,'Material routes'!$A$6:$A$2205,0)),"MISSING ID")</x:f>
        <x:v>design.collection.divided_ceramic_reagent_caddy</x:v>
      </x:c>
      <x:c r="K549" s="4" t="str">
        <x:f>IFERROR(INDEX('Crafting recipes'!$C$6:$C$1005,MATCH(J549,'Crafting recipes'!$A$6:$A$1005,0)),"MISSING ID")</x:f>
        <x:v>Finished-item crafting</x:v>
      </x:c>
      <x:c r="L549" s="4" t="inlineStr">
        <x:is>
          <x:t xml:space="preserve">Retired</x:t>
        </x:is>
      </x:c>
      <x:c r="M549" s="4" t="inlineStr">
        <x:is>
          <x:t xml:space="preserve">Withdrawn container proposal</x:t>
        </x:is>
      </x:c>
      <x:c r="N549" s="4"/>
      <x:c r="O549" s="4" t="str">
        <x:f>IFERROR(INDEX('Material routes'!$J$6:$J$2205,MATCH(U549,'Material routes'!$A$6:$A$2205,0)),"MISSING ID")</x:f>
        <x:v>Unspecified</x:v>
      </x:c>
      <x:c r="P549" s="4"/>
      <x:c r="Q549" s="4" t="str">
        <x:f>IFERROR(INDEX('Material routes'!$J$6:$J$2205,MATCH(V549,'Material routes'!$A$6:$A$2205,0)),"MISSING ID")</x:f>
        <x:v>Unspecified</x:v>
      </x:c>
      <x:c r="R549" s="4" t="str">
        <x:f>IF(L549="Withheld","Withheld premise",IF(E549="Tool candidate","Reusable prerequisite",IF(K549="Raw entry preparation","Entry-resource preparation",IF(G549="Not applicable",IF(IFERROR(INDEX('Items'!$AI$6:$AI$1005,MATCH(T549,'Items'!$A$6:$A$1005,0)),"MISSING ID")="Finished item","Finished endpoint",IF(IFERROR(INDEX('Items'!$AI$6:$AI$1005,MATCH(T549,'Items'!$A$6:$A$1005,0)),"MISSING ID")="Currency","Currency / no refinement tier","Recovered output / tier not applicable")),IF(OR(IFERROR(INDEX('Crafting recipes'!$H$6:$H$1005,MATCH(J549,'Crafting recipes'!$A$6:$A$1005,0)),"MISSING ID")="Unassigned",G549="Unassigned"),"Tier unresolved",IF(IFERROR(VALUE(RIGHT(G549,1))-VALUE(RIGHT(IFERROR(INDEX('Crafting recipes'!$H$6:$H$1005,MATCH(J549,'Crafting recipes'!$A$6:$A$1005,0)),"MISSING ID"),1)),0)=1,IF(B549=IFERROR(INDEX('Crafting recipes'!$H$6:$H$1005,MATCH(J549,'Crafting recipes'!$A$6:$A$1005,0)),"MISSING ID"),"Advances one material tier","Lower-tier ingredient; route advances one tier"),"Needs tier review"))))))</x:f>
        <x:v>Finished endpoint</x:v>
      </x:c>
      <x:c r="S549" s="4" t="str">
        <x:f>IFERROR(INDEX('Material routes'!$D$6:$D$2205,MATCH(U549,'Material routes'!$A$6:$A$2205,0)),"MISSING ID")</x:f>
        <x:v>proposal.ceramic.lid</x:v>
      </x:c>
      <x:c r="T549" s="4" t="str">
        <x:f>IFERROR(INDEX('Material routes'!$D$6:$D$2205,MATCH(V549,'Material routes'!$A$6:$A$2205,0)),"MISSING ID")</x:f>
        <x:v>proposal.collection.divided_ceramic_reagent_caddy</x:v>
      </x:c>
      <x:c r="U549" s="4" t="str">
        <x:v>design.collection.divided_ceramic_reagent_caddy.in.3</x:v>
      </x:c>
      <x:c r="V549" s="4" t="str">
        <x:v>design.collection.divided_ceramic_reagent_caddy.out</x:v>
      </x:c>
    </x:row>
    <x:row r="550" ht="64" customHeight="1">
      <x:c r="A550" s="4" t="str">
        <x:f>IFERROR(INDEX('Material routes'!$E$6:$E$2205,MATCH(U550,'Material routes'!$A$6:$A$2205,0)),"MISSING ID")</x:f>
        <x:v>Threaded metal fitting blanks</x:v>
      </x:c>
      <x:c r="B550" s="4" t="str">
        <x:f>IFERROR(INDEX('Material routes'!$F$6:$F$2205,MATCH(U550,'Material routes'!$A$6:$A$2205,0)),"MISSING ID")</x:f>
        <x:v>T3</x:v>
      </x:c>
      <x:c r="C550" s="4" t="str">
        <x:f>IFERROR(INDEX('Material routes'!$H$6:$H$2205,MATCH(U550,'Material routes'!$A$6:$A$2205,0)),"MISSING ID")</x:f>
        <x:v>Crafting component</x:v>
      </x:c>
      <x:c r="D550" s="4" t="str">
        <x:f>IFERROR(INDEX('Material routes'!$G$6:$G$2205,MATCH(U550,'Material routes'!$A$6:$A$2205,0)),"MISSING ID")</x:f>
        <x:v>Crafting components</x:v>
      </x:c>
      <x:c r="E550" s="4" t="str">
        <x:f>IFERROR(INDEX('Material routes'!$C$6:$C$2205,MATCH(U550,'Material routes'!$A$6:$A$2205,0)),"MISSING ID")</x:f>
        <x:v>Ingredient candidate</x:v>
      </x:c>
      <x:c r="F550" s="4" t="str">
        <x:f>IFERROR(INDEX('Material routes'!$E$6:$E$2205,MATCH(V550,'Material routes'!$A$6:$A$2205,0)),"MISSING ID")</x:f>
        <x:v>Canister drain plug</x:v>
      </x:c>
      <x:c r="G550" s="4" t="str">
        <x:f>IFERROR(INDEX('Material routes'!$F$6:$F$2205,MATCH(V550,'Material routes'!$A$6:$A$2205,0)),"MISSING ID")</x:f>
        <x:v>T4</x:v>
      </x:c>
      <x:c r="H550" s="4" t="str">
        <x:f>IFERROR(INDEX('Material routes'!$H$6:$H$2205,MATCH(V550,'Material routes'!$A$6:$A$2205,0)),"MISSING ID")</x:f>
        <x:v>Container part</x:v>
      </x:c>
      <x:c r="I550" s="4" t="str">
        <x:f>IFERROR(INDEX('Material routes'!$G$6:$G$2205,MATCH(V550,'Material routes'!$A$6:$A$2205,0)),"MISSING ID")</x:f>
        <x:v>Crafting components</x:v>
      </x:c>
      <x:c r="J550" s="4" t="str">
        <x:f>IFERROR(INDEX('Material routes'!$B$6:$B$2205,MATCH(U550,'Material routes'!$A$6:$A$2205,0)),"MISSING ID")</x:f>
        <x:v>design.collection.canister_drain_plug</x:v>
      </x:c>
      <x:c r="K550" s="4" t="str">
        <x:f>IFERROR(INDEX('Crafting recipes'!$C$6:$C$1005,MATCH(J550,'Crafting recipes'!$A$6:$A$1005,0)),"MISSING ID")</x:f>
        <x:v>Material refinement</x:v>
      </x:c>
      <x:c r="L550" s="4" t="str">
        <x:f>IFERROR(INDEX('Material routes'!$K$6:$K$2205,MATCH(U550,'Material routes'!$A$6:$A$2205,0)),"MISSING ID")</x:f>
        <x:v>Proposal</x:v>
      </x:c>
      <x:c r="M550" s="4" t="str">
        <x:f>IFERROR(INDEX('Material routes'!$M$6:$M$2205,MATCH(U550,'Material routes'!$A$6:$A$2205,0)),"MISSING ID")</x:f>
        <x:v>Partial proposal</x:v>
      </x:c>
      <x:c r="N550" s="4"/>
      <x:c r="O550" s="4" t="str">
        <x:f>IFERROR(INDEX('Material routes'!$J$6:$J$2205,MATCH(U550,'Material routes'!$A$6:$A$2205,0)),"MISSING ID")</x:f>
        <x:v>Unspecified</x:v>
      </x:c>
      <x:c r="P550" s="4"/>
      <x:c r="Q550" s="4" t="str">
        <x:f>IFERROR(INDEX('Material routes'!$J$6:$J$2205,MATCH(V550,'Material routes'!$A$6:$A$2205,0)),"MISSING ID")</x:f>
        <x:v>Unspecified</x:v>
      </x:c>
      <x:c r="R550" s="4" t="str">
        <x:f>IF(L550="Withheld","Withheld premise",IF(E550="Tool candidate","Reusable prerequisite",IF(K550="Raw entry preparation","Entry-resource preparation",IF(G550="Not applicable",IF(IFERROR(INDEX('Items'!$AI$6:$AI$1005,MATCH(T550,'Items'!$A$6:$A$1005,0)),"MISSING ID")="Finished item","Finished endpoint",IF(IFERROR(INDEX('Items'!$AI$6:$AI$1005,MATCH(T550,'Items'!$A$6:$A$1005,0)),"MISSING ID")="Currency","Currency / no refinement tier","Recovered output / tier not applicable")),IF(OR(IFERROR(INDEX('Crafting recipes'!$H$6:$H$1005,MATCH(J550,'Crafting recipes'!$A$6:$A$1005,0)),"MISSING ID")="Unassigned",G550="Unassigned"),"Tier unresolved",IF(IFERROR(VALUE(RIGHT(G550,1))-VALUE(RIGHT(IFERROR(INDEX('Crafting recipes'!$H$6:$H$1005,MATCH(J550,'Crafting recipes'!$A$6:$A$1005,0)),"MISSING ID"),1)),0)=1,IF(B550=IFERROR(INDEX('Crafting recipes'!$H$6:$H$1005,MATCH(J550,'Crafting recipes'!$A$6:$A$1005,0)),"MISSING ID"),"Advances one material tier","Lower-tier ingredient; route advances one tier"),"Needs tier review"))))))</x:f>
        <x:v>Advances one material tier</x:v>
      </x:c>
      <x:c r="S550" s="4" t="str">
        <x:f>IFERROR(INDEX('Material routes'!$D$6:$D$2205,MATCH(U550,'Material routes'!$A$6:$A$2205,0)),"MISSING ID")</x:f>
        <x:v>proposal.lore.threaded_fittings</x:v>
      </x:c>
      <x:c r="T550" s="4" t="str">
        <x:f>IFERROR(INDEX('Material routes'!$D$6:$D$2205,MATCH(V550,'Material routes'!$A$6:$A$2205,0)),"MISSING ID")</x:f>
        <x:v>proposal.collection.canister_drain_plug</x:v>
      </x:c>
      <x:c r="U550" s="4" t="str">
        <x:v>design.collection.canister_drain_plug.in.1</x:v>
      </x:c>
      <x:c r="V550" s="4" t="str">
        <x:v>design.collection.canister_drain_plug.out</x:v>
      </x:c>
    </x:row>
    <x:row r="551" ht="64" customHeight="1">
      <x:c r="A551" s="4" t="str">
        <x:f>IFERROR(INDEX('Material routes'!$E$6:$E$2205,MATCH(U551,'Material routes'!$A$6:$A$2205,0)),"MISSING ID")</x:f>
        <x:v>Replacement seal ring</x:v>
      </x:c>
      <x:c r="B551" s="4" t="str">
        <x:f>IFERROR(INDEX('Material routes'!$F$6:$F$2205,MATCH(U551,'Material routes'!$A$6:$A$2205,0)),"MISSING ID")</x:f>
        <x:v>T3</x:v>
      </x:c>
      <x:c r="C551" s="4" t="str">
        <x:f>IFERROR(INDEX('Material routes'!$H$6:$H$2205,MATCH(U551,'Material routes'!$A$6:$A$2205,0)),"MISSING ID")</x:f>
        <x:v>Container part</x:v>
      </x:c>
      <x:c r="D551" s="4" t="str">
        <x:f>IFERROR(INDEX('Material routes'!$G$6:$G$2205,MATCH(U551,'Material routes'!$A$6:$A$2205,0)),"MISSING ID")</x:f>
        <x:v>Crafting components</x:v>
      </x:c>
      <x:c r="E551" s="4" t="str">
        <x:f>IFERROR(INDEX('Material routes'!$C$6:$C$2205,MATCH(U551,'Material routes'!$A$6:$A$2205,0)),"MISSING ID")</x:f>
        <x:v>Ingredient candidate</x:v>
      </x:c>
      <x:c r="F551" s="4" t="str">
        <x:f>IFERROR(INDEX('Material routes'!$E$6:$E$2205,MATCH(V551,'Material routes'!$A$6:$A$2205,0)),"MISSING ID")</x:f>
        <x:v>Canister drain plug</x:v>
      </x:c>
      <x:c r="G551" s="4" t="str">
        <x:f>IFERROR(INDEX('Material routes'!$F$6:$F$2205,MATCH(V551,'Material routes'!$A$6:$A$2205,0)),"MISSING ID")</x:f>
        <x:v>T4</x:v>
      </x:c>
      <x:c r="H551" s="4" t="str">
        <x:f>IFERROR(INDEX('Material routes'!$H$6:$H$2205,MATCH(V551,'Material routes'!$A$6:$A$2205,0)),"MISSING ID")</x:f>
        <x:v>Container part</x:v>
      </x:c>
      <x:c r="I551" s="4" t="str">
        <x:f>IFERROR(INDEX('Material routes'!$G$6:$G$2205,MATCH(V551,'Material routes'!$A$6:$A$2205,0)),"MISSING ID")</x:f>
        <x:v>Crafting components</x:v>
      </x:c>
      <x:c r="J551" s="4" t="str">
        <x:f>IFERROR(INDEX('Material routes'!$B$6:$B$2205,MATCH(U551,'Material routes'!$A$6:$A$2205,0)),"MISSING ID")</x:f>
        <x:v>design.collection.canister_drain_plug</x:v>
      </x:c>
      <x:c r="K551" s="4" t="str">
        <x:f>IFERROR(INDEX('Crafting recipes'!$C$6:$C$1005,MATCH(J551,'Crafting recipes'!$A$6:$A$1005,0)),"MISSING ID")</x:f>
        <x:v>Material refinement</x:v>
      </x:c>
      <x:c r="L551" s="4" t="str">
        <x:f>IFERROR(INDEX('Material routes'!$K$6:$K$2205,MATCH(U551,'Material routes'!$A$6:$A$2205,0)),"MISSING ID")</x:f>
        <x:v>Proposal</x:v>
      </x:c>
      <x:c r="M551" s="4" t="str">
        <x:f>IFERROR(INDEX('Material routes'!$M$6:$M$2205,MATCH(U551,'Material routes'!$A$6:$A$2205,0)),"MISSING ID")</x:f>
        <x:v>Partial proposal</x:v>
      </x:c>
      <x:c r="N551" s="4"/>
      <x:c r="O551" s="4" t="str">
        <x:f>IFERROR(INDEX('Material routes'!$J$6:$J$2205,MATCH(U551,'Material routes'!$A$6:$A$2205,0)),"MISSING ID")</x:f>
        <x:v>Unspecified</x:v>
      </x:c>
      <x:c r="P551" s="4"/>
      <x:c r="Q551" s="4" t="str">
        <x:f>IFERROR(INDEX('Material routes'!$J$6:$J$2205,MATCH(V551,'Material routes'!$A$6:$A$2205,0)),"MISSING ID")</x:f>
        <x:v>Unspecified</x:v>
      </x:c>
      <x:c r="R551" s="4" t="str">
        <x:f>IF(L551="Withheld","Withheld premise",IF(E551="Tool candidate","Reusable prerequisite",IF(K551="Raw entry preparation","Entry-resource preparation",IF(G551="Not applicable",IF(IFERROR(INDEX('Items'!$AI$6:$AI$1005,MATCH(T551,'Items'!$A$6:$A$1005,0)),"MISSING ID")="Finished item","Finished endpoint",IF(IFERROR(INDEX('Items'!$AI$6:$AI$1005,MATCH(T551,'Items'!$A$6:$A$1005,0)),"MISSING ID")="Currency","Currency / no refinement tier","Recovered output / tier not applicable")),IF(OR(IFERROR(INDEX('Crafting recipes'!$H$6:$H$1005,MATCH(J551,'Crafting recipes'!$A$6:$A$1005,0)),"MISSING ID")="Unassigned",G551="Unassigned"),"Tier unresolved",IF(IFERROR(VALUE(RIGHT(G551,1))-VALUE(RIGHT(IFERROR(INDEX('Crafting recipes'!$H$6:$H$1005,MATCH(J551,'Crafting recipes'!$A$6:$A$1005,0)),"MISSING ID"),1)),0)=1,IF(B551=IFERROR(INDEX('Crafting recipes'!$H$6:$H$1005,MATCH(J551,'Crafting recipes'!$A$6:$A$1005,0)),"MISSING ID"),"Advances one material tier","Lower-tier ingredient; route advances one tier"),"Needs tier review"))))))</x:f>
        <x:v>Advances one material tier</x:v>
      </x:c>
      <x:c r="S551" s="4" t="str">
        <x:f>IFERROR(INDEX('Material routes'!$D$6:$D$2205,MATCH(U551,'Material routes'!$A$6:$A$2205,0)),"MISSING ID")</x:f>
        <x:v>proposal.canister.seal_ring</x:v>
      </x:c>
      <x:c r="T551" s="4" t="str">
        <x:f>IFERROR(INDEX('Material routes'!$D$6:$D$2205,MATCH(V551,'Material routes'!$A$6:$A$2205,0)),"MISSING ID")</x:f>
        <x:v>proposal.collection.canister_drain_plug</x:v>
      </x:c>
      <x:c r="U551" s="4" t="str">
        <x:v>design.collection.canister_drain_plug.in.2</x:v>
      </x:c>
      <x:c r="V551" s="4" t="str">
        <x:v>design.collection.canister_drain_plug.out</x:v>
      </x:c>
    </x:row>
    <x:row r="552" ht="64" customHeight="1">
      <x:c r="A552" s="4" t="str">
        <x:f>IFERROR(INDEX('Material routes'!$E$6:$E$2205,MATCH(U552,'Material routes'!$A$6:$A$2205,0)),"MISSING ID")</x:f>
        <x:v>Drawn iron conductor stock</x:v>
      </x:c>
      <x:c r="B552" s="4" t="str">
        <x:f>IFERROR(INDEX('Material routes'!$F$6:$F$2205,MATCH(U552,'Material routes'!$A$6:$A$2205,0)),"MISSING ID")</x:f>
        <x:v>T2</x:v>
      </x:c>
      <x:c r="C552" s="4" t="str">
        <x:f>IFERROR(INDEX('Material routes'!$H$6:$H$2205,MATCH(U552,'Material routes'!$A$6:$A$2205,0)),"MISSING ID")</x:f>
        <x:v>Processed material</x:v>
      </x:c>
      <x:c r="D552" s="4" t="str">
        <x:f>IFERROR(INDEX('Material routes'!$G$6:$G$2205,MATCH(U552,'Material routes'!$A$6:$A$2205,0)),"MISSING ID")</x:f>
        <x:v>Manufactured stock</x:v>
      </x:c>
      <x:c r="E552" s="4" t="str">
        <x:f>IFERROR(INDEX('Material routes'!$C$6:$C$2205,MATCH(U552,'Material routes'!$A$6:$A$2205,0)),"MISSING ID")</x:f>
        <x:v>Ingredient candidate</x:v>
      </x:c>
      <x:c r="F552" s="4" t="str">
        <x:f>IFERROR(INDEX('Material routes'!$E$6:$E$2205,MATCH(V552,'Material routes'!$A$6:$A$2205,0)),"MISSING ID")</x:f>
        <x:v>Bottle retaining cage</x:v>
      </x:c>
      <x:c r="G552" s="4" t="str">
        <x:f>IFERROR(INDEX('Material routes'!$F$6:$F$2205,MATCH(V552,'Material routes'!$A$6:$A$2205,0)),"MISSING ID")</x:f>
        <x:v>T4</x:v>
      </x:c>
      <x:c r="H552" s="4" t="str">
        <x:f>IFERROR(INDEX('Material routes'!$H$6:$H$2205,MATCH(V552,'Material routes'!$A$6:$A$2205,0)),"MISSING ID")</x:f>
        <x:v>Container part</x:v>
      </x:c>
      <x:c r="I552" s="4" t="str">
        <x:f>IFERROR(INDEX('Material routes'!$G$6:$G$2205,MATCH(V552,'Material routes'!$A$6:$A$2205,0)),"MISSING ID")</x:f>
        <x:v>Crafting components</x:v>
      </x:c>
      <x:c r="J552" s="4" t="str">
        <x:f>IFERROR(INDEX('Material routes'!$B$6:$B$2205,MATCH(U552,'Material routes'!$A$6:$A$2205,0)),"MISSING ID")</x:f>
        <x:v>design.collection.bottle_retaining_cage</x:v>
      </x:c>
      <x:c r="K552" s="4" t="str">
        <x:f>IFERROR(INDEX('Crafting recipes'!$C$6:$C$1005,MATCH(J552,'Crafting recipes'!$A$6:$A$1005,0)),"MISSING ID")</x:f>
        <x:v>Material refinement</x:v>
      </x:c>
      <x:c r="L552" s="4" t="str">
        <x:f>IFERROR(INDEX('Material routes'!$K$6:$K$2205,MATCH(U552,'Material routes'!$A$6:$A$2205,0)),"MISSING ID")</x:f>
        <x:v>Proposal</x:v>
      </x:c>
      <x:c r="M552" s="4" t="str">
        <x:f>IFERROR(INDEX('Material routes'!$M$6:$M$2205,MATCH(U552,'Material routes'!$A$6:$A$2205,0)),"MISSING ID")</x:f>
        <x:v>Partial proposal</x:v>
      </x:c>
      <x:c r="N552" s="4"/>
      <x:c r="O552" s="4" t="str">
        <x:f>IFERROR(INDEX('Material routes'!$J$6:$J$2205,MATCH(U552,'Material routes'!$A$6:$A$2205,0)),"MISSING ID")</x:f>
        <x:v>Unspecified</x:v>
      </x:c>
      <x:c r="P552" s="4"/>
      <x:c r="Q552" s="4" t="str">
        <x:f>IFERROR(INDEX('Material routes'!$J$6:$J$2205,MATCH(V552,'Material routes'!$A$6:$A$2205,0)),"MISSING ID")</x:f>
        <x:v>Unspecified</x:v>
      </x:c>
      <x:c r="R552" s="4" t="str">
        <x:f>IF(L552="Withheld","Withheld premise",IF(E552="Tool candidate","Reusable prerequisite",IF(K552="Raw entry preparation","Entry-resource preparation",IF(G552="Not applicable",IF(IFERROR(INDEX('Items'!$AI$6:$AI$1005,MATCH(T552,'Items'!$A$6:$A$1005,0)),"MISSING ID")="Finished item","Finished endpoint",IF(IFERROR(INDEX('Items'!$AI$6:$AI$1005,MATCH(T552,'Items'!$A$6:$A$1005,0)),"MISSING ID")="Currency","Currency / no refinement tier","Recovered output / tier not applicable")),IF(OR(IFERROR(INDEX('Crafting recipes'!$H$6:$H$1005,MATCH(J552,'Crafting recipes'!$A$6:$A$1005,0)),"MISSING ID")="Unassigned",G552="Unassigned"),"Tier unresolved",IF(IFERROR(VALUE(RIGHT(G552,1))-VALUE(RIGHT(IFERROR(INDEX('Crafting recipes'!$H$6:$H$1005,MATCH(J552,'Crafting recipes'!$A$6:$A$1005,0)),"MISSING ID"),1)),0)=1,IF(B552=IFERROR(INDEX('Crafting recipes'!$H$6:$H$1005,MATCH(J552,'Crafting recipes'!$A$6:$A$1005,0)),"MISSING ID"),"Advances one material tier","Lower-tier ingredient; route advances one tier"),"Needs tier review"))))))</x:f>
        <x:v>Lower-tier ingredient; route advances one tier</x:v>
      </x:c>
      <x:c r="S552" s="4" t="str">
        <x:f>IFERROR(INDEX('Material routes'!$D$6:$D$2205,MATCH(U552,'Material routes'!$A$6:$A$2205,0)),"MISSING ID")</x:f>
        <x:v>proposal.lore.iron_conductor</x:v>
      </x:c>
      <x:c r="T552" s="4" t="str">
        <x:f>IFERROR(INDEX('Material routes'!$D$6:$D$2205,MATCH(V552,'Material routes'!$A$6:$A$2205,0)),"MISSING ID")</x:f>
        <x:v>proposal.collection.bottle_retaining_cage</x:v>
      </x:c>
      <x:c r="U552" s="4" t="str">
        <x:v>design.collection.bottle_retaining_cage.in.1</x:v>
      </x:c>
      <x:c r="V552" s="4" t="str">
        <x:v>design.collection.bottle_retaining_cage.out</x:v>
      </x:c>
    </x:row>
    <x:row r="553" ht="64" customHeight="1">
      <x:c r="A553" s="4" t="str">
        <x:f>IFERROR(INDEX('Material routes'!$E$6:$E$2205,MATCH(U553,'Material routes'!$A$6:$A$2205,0)),"MISSING ID")</x:f>
        <x:v>Annealed iron sheet stock</x:v>
      </x:c>
      <x:c r="B553" s="4" t="str">
        <x:f>IFERROR(INDEX('Material routes'!$F$6:$F$2205,MATCH(U553,'Material routes'!$A$6:$A$2205,0)),"MISSING ID")</x:f>
        <x:v>T3</x:v>
      </x:c>
      <x:c r="C553" s="4" t="str">
        <x:f>IFERROR(INDEX('Material routes'!$H$6:$H$2205,MATCH(U553,'Material routes'!$A$6:$A$2205,0)),"MISSING ID")</x:f>
        <x:v>Processed material</x:v>
      </x:c>
      <x:c r="D553" s="4" t="str">
        <x:f>IFERROR(INDEX('Material routes'!$G$6:$G$2205,MATCH(U553,'Material routes'!$A$6:$A$2205,0)),"MISSING ID")</x:f>
        <x:v>Manufactured stock</x:v>
      </x:c>
      <x:c r="E553" s="4" t="str">
        <x:f>IFERROR(INDEX('Material routes'!$C$6:$C$2205,MATCH(U553,'Material routes'!$A$6:$A$2205,0)),"MISSING ID")</x:f>
        <x:v>Ingredient candidate</x:v>
      </x:c>
      <x:c r="F553" s="4" t="str">
        <x:f>IFERROR(INDEX('Material routes'!$E$6:$E$2205,MATCH(V553,'Material routes'!$A$6:$A$2205,0)),"MISSING ID")</x:f>
        <x:v>Bottle retaining cage</x:v>
      </x:c>
      <x:c r="G553" s="4" t="str">
        <x:f>IFERROR(INDEX('Material routes'!$F$6:$F$2205,MATCH(V553,'Material routes'!$A$6:$A$2205,0)),"MISSING ID")</x:f>
        <x:v>T4</x:v>
      </x:c>
      <x:c r="H553" s="4" t="str">
        <x:f>IFERROR(INDEX('Material routes'!$H$6:$H$2205,MATCH(V553,'Material routes'!$A$6:$A$2205,0)),"MISSING ID")</x:f>
        <x:v>Container part</x:v>
      </x:c>
      <x:c r="I553" s="4" t="str">
        <x:f>IFERROR(INDEX('Material routes'!$G$6:$G$2205,MATCH(V553,'Material routes'!$A$6:$A$2205,0)),"MISSING ID")</x:f>
        <x:v>Crafting components</x:v>
      </x:c>
      <x:c r="J553" s="4" t="str">
        <x:f>IFERROR(INDEX('Material routes'!$B$6:$B$2205,MATCH(U553,'Material routes'!$A$6:$A$2205,0)),"MISSING ID")</x:f>
        <x:v>design.collection.bottle_retaining_cage</x:v>
      </x:c>
      <x:c r="K553" s="4" t="str">
        <x:f>IFERROR(INDEX('Crafting recipes'!$C$6:$C$1005,MATCH(J553,'Crafting recipes'!$A$6:$A$1005,0)),"MISSING ID")</x:f>
        <x:v>Material refinement</x:v>
      </x:c>
      <x:c r="L553" s="4" t="str">
        <x:f>IFERROR(INDEX('Material routes'!$K$6:$K$2205,MATCH(U553,'Material routes'!$A$6:$A$2205,0)),"MISSING ID")</x:f>
        <x:v>Proposal</x:v>
      </x:c>
      <x:c r="M553" s="4" t="str">
        <x:f>IFERROR(INDEX('Material routes'!$M$6:$M$2205,MATCH(U553,'Material routes'!$A$6:$A$2205,0)),"MISSING ID")</x:f>
        <x:v>Partial proposal</x:v>
      </x:c>
      <x:c r="N553" s="4"/>
      <x:c r="O553" s="4" t="str">
        <x:f>IFERROR(INDEX('Material routes'!$J$6:$J$2205,MATCH(U553,'Material routes'!$A$6:$A$2205,0)),"MISSING ID")</x:f>
        <x:v>Unspecified</x:v>
      </x:c>
      <x:c r="P553" s="4"/>
      <x:c r="Q553" s="4" t="str">
        <x:f>IFERROR(INDEX('Material routes'!$J$6:$J$2205,MATCH(V553,'Material routes'!$A$6:$A$2205,0)),"MISSING ID")</x:f>
        <x:v>Unspecified</x:v>
      </x:c>
      <x:c r="R553" s="4" t="str">
        <x:f>IF(L553="Withheld","Withheld premise",IF(E553="Tool candidate","Reusable prerequisite",IF(K553="Raw entry preparation","Entry-resource preparation",IF(G553="Not applicable",IF(IFERROR(INDEX('Items'!$AI$6:$AI$1005,MATCH(T553,'Items'!$A$6:$A$1005,0)),"MISSING ID")="Finished item","Finished endpoint",IF(IFERROR(INDEX('Items'!$AI$6:$AI$1005,MATCH(T553,'Items'!$A$6:$A$1005,0)),"MISSING ID")="Currency","Currency / no refinement tier","Recovered output / tier not applicable")),IF(OR(IFERROR(INDEX('Crafting recipes'!$H$6:$H$1005,MATCH(J553,'Crafting recipes'!$A$6:$A$1005,0)),"MISSING ID")="Unassigned",G553="Unassigned"),"Tier unresolved",IF(IFERROR(VALUE(RIGHT(G553,1))-VALUE(RIGHT(IFERROR(INDEX('Crafting recipes'!$H$6:$H$1005,MATCH(J553,'Crafting recipes'!$A$6:$A$1005,0)),"MISSING ID"),1)),0)=1,IF(B553=IFERROR(INDEX('Crafting recipes'!$H$6:$H$1005,MATCH(J553,'Crafting recipes'!$A$6:$A$1005,0)),"MISSING ID"),"Advances one material tier","Lower-tier ingredient; route advances one tier"),"Needs tier review"))))))</x:f>
        <x:v>Advances one material tier</x:v>
      </x:c>
      <x:c r="S553" s="4" t="str">
        <x:f>IFERROR(INDEX('Material routes'!$D$6:$D$2205,MATCH(U553,'Material routes'!$A$6:$A$2205,0)),"MISSING ID")</x:f>
        <x:v>proposal.collection.annealed_iron_sheet_stock</x:v>
      </x:c>
      <x:c r="T553" s="4" t="str">
        <x:f>IFERROR(INDEX('Material routes'!$D$6:$D$2205,MATCH(V553,'Material routes'!$A$6:$A$2205,0)),"MISSING ID")</x:f>
        <x:v>proposal.collection.bottle_retaining_cage</x:v>
      </x:c>
      <x:c r="U553" s="4" t="str">
        <x:v>design.collection.bottle_retaining_cage.in.2</x:v>
      </x:c>
      <x:c r="V553" s="4" t="str">
        <x:v>design.collection.bottle_retaining_cage.out</x:v>
      </x:c>
    </x:row>
    <x:row r="554" ht="64" customHeight="1">
      <x:c r="A554" s="4" t="str">
        <x:f>IFERROR(INDEX('Material routes'!$E$6:$E$2205,MATCH(U554,'Material routes'!$A$6:$A$2205,0)),"MISSING ID")</x:f>
        <x:v>Refractory ceramic stock</x:v>
      </x:c>
      <x:c r="B554" s="4" t="str">
        <x:f>IFERROR(INDEX('Material routes'!$F$6:$F$2205,MATCH(U554,'Material routes'!$A$6:$A$2205,0)),"MISSING ID")</x:f>
        <x:v>T2</x:v>
      </x:c>
      <x:c r="C554" s="4" t="str">
        <x:f>IFERROR(INDEX('Material routes'!$H$6:$H$2205,MATCH(U554,'Material routes'!$A$6:$A$2205,0)),"MISSING ID")</x:f>
        <x:v>Processed material</x:v>
      </x:c>
      <x:c r="D554" s="4" t="str">
        <x:f>IFERROR(INDEX('Material routes'!$G$6:$G$2205,MATCH(U554,'Material routes'!$A$6:$A$2205,0)),"MISSING ID")</x:f>
        <x:v>Manufactured stock</x:v>
      </x:c>
      <x:c r="E554" s="4" t="str">
        <x:f>IFERROR(INDEX('Material routes'!$C$6:$C$2205,MATCH(U554,'Material routes'!$A$6:$A$2205,0)),"MISSING ID")</x:f>
        <x:v>Ingredient candidate</x:v>
      </x:c>
      <x:c r="F554" s="4" t="str">
        <x:f>IFERROR(INDEX('Material routes'!$E$6:$E$2205,MATCH(V554,'Material routes'!$A$6:$A$2205,0)),"MISSING ID")</x:f>
        <x:v>Ceramic vent labyrinth insert</x:v>
      </x:c>
      <x:c r="G554" s="4" t="str">
        <x:f>IFERROR(INDEX('Material routes'!$F$6:$F$2205,MATCH(V554,'Material routes'!$A$6:$A$2205,0)),"MISSING ID")</x:f>
        <x:v>T3</x:v>
      </x:c>
      <x:c r="H554" s="4" t="str">
        <x:f>IFERROR(INDEX('Material routes'!$H$6:$H$2205,MATCH(V554,'Material routes'!$A$6:$A$2205,0)),"MISSING ID")</x:f>
        <x:v>Container part</x:v>
      </x:c>
      <x:c r="I554" s="4" t="str">
        <x:f>IFERROR(INDEX('Material routes'!$G$6:$G$2205,MATCH(V554,'Material routes'!$A$6:$A$2205,0)),"MISSING ID")</x:f>
        <x:v>Crafting components</x:v>
      </x:c>
      <x:c r="J554" s="4" t="str">
        <x:f>IFERROR(INDEX('Material routes'!$B$6:$B$2205,MATCH(U554,'Material routes'!$A$6:$A$2205,0)),"MISSING ID")</x:f>
        <x:v>design.collection.ceramic_vent_labyrinth_insert</x:v>
      </x:c>
      <x:c r="K554" s="4" t="str">
        <x:f>IFERROR(INDEX('Crafting recipes'!$C$6:$C$1005,MATCH(J554,'Crafting recipes'!$A$6:$A$1005,0)),"MISSING ID")</x:f>
        <x:v>Material refinement</x:v>
      </x:c>
      <x:c r="L554" s="4" t="str">
        <x:f>IFERROR(INDEX('Material routes'!$K$6:$K$2205,MATCH(U554,'Material routes'!$A$6:$A$2205,0)),"MISSING ID")</x:f>
        <x:v>Proposal</x:v>
      </x:c>
      <x:c r="M554" s="4" t="str">
        <x:f>IFERROR(INDEX('Material routes'!$M$6:$M$2205,MATCH(U554,'Material routes'!$A$6:$A$2205,0)),"MISSING ID")</x:f>
        <x:v>Partial proposal</x:v>
      </x:c>
      <x:c r="N554" s="4"/>
      <x:c r="O554" s="4" t="str">
        <x:f>IFERROR(INDEX('Material routes'!$J$6:$J$2205,MATCH(U554,'Material routes'!$A$6:$A$2205,0)),"MISSING ID")</x:f>
        <x:v>Unspecified</x:v>
      </x:c>
      <x:c r="P554" s="4"/>
      <x:c r="Q554" s="4" t="str">
        <x:f>IFERROR(INDEX('Material routes'!$J$6:$J$2205,MATCH(V554,'Material routes'!$A$6:$A$2205,0)),"MISSING ID")</x:f>
        <x:v>Unspecified</x:v>
      </x:c>
      <x:c r="R554" s="4" t="str">
        <x:f>IF(L554="Withheld","Withheld premise",IF(E554="Tool candidate","Reusable prerequisite",IF(K554="Raw entry preparation","Entry-resource preparation",IF(G554="Not applicable",IF(IFERROR(INDEX('Items'!$AI$6:$AI$1005,MATCH(T554,'Items'!$A$6:$A$1005,0)),"MISSING ID")="Finished item","Finished endpoint",IF(IFERROR(INDEX('Items'!$AI$6:$AI$1005,MATCH(T554,'Items'!$A$6:$A$1005,0)),"MISSING ID")="Currency","Currency / no refinement tier","Recovered output / tier not applicable")),IF(OR(IFERROR(INDEX('Crafting recipes'!$H$6:$H$1005,MATCH(J554,'Crafting recipes'!$A$6:$A$1005,0)),"MISSING ID")="Unassigned",G554="Unassigned"),"Tier unresolved",IF(IFERROR(VALUE(RIGHT(G554,1))-VALUE(RIGHT(IFERROR(INDEX('Crafting recipes'!$H$6:$H$1005,MATCH(J554,'Crafting recipes'!$A$6:$A$1005,0)),"MISSING ID"),1)),0)=1,IF(B554=IFERROR(INDEX('Crafting recipes'!$H$6:$H$1005,MATCH(J554,'Crafting recipes'!$A$6:$A$1005,0)),"MISSING ID"),"Advances one material tier","Lower-tier ingredient; route advances one tier"),"Needs tier review"))))))</x:f>
        <x:v>Advances one material tier</x:v>
      </x:c>
      <x:c r="S554" s="4" t="str">
        <x:f>IFERROR(INDEX('Material routes'!$D$6:$D$2205,MATCH(U554,'Material routes'!$A$6:$A$2205,0)),"MISSING ID")</x:f>
        <x:v>proposal.branch.refractory_ceramic</x:v>
      </x:c>
      <x:c r="T554" s="4" t="str">
        <x:f>IFERROR(INDEX('Material routes'!$D$6:$D$2205,MATCH(V554,'Material routes'!$A$6:$A$2205,0)),"MISSING ID")</x:f>
        <x:v>proposal.collection.ceramic_vent_labyrinth_insert</x:v>
      </x:c>
      <x:c r="U554" s="4" t="str">
        <x:v>design.collection.ceramic_vent_labyrinth_insert.in.1</x:v>
      </x:c>
      <x:c r="V554" s="4" t="str">
        <x:v>design.collection.ceramic_vent_labyrinth_insert.out</x:v>
      </x:c>
    </x:row>
    <x:row r="555" ht="64" customHeight="1">
      <x:c r="A555" s="4" t="str">
        <x:f>IFERROR(INDEX('Material routes'!$E$6:$E$2205,MATCH(U555,'Material routes'!$A$6:$A$2205,0)),"MISSING ID")</x:f>
        <x:v>Spring-grade steel stock</x:v>
      </x:c>
      <x:c r="B555" s="4" t="str">
        <x:f>IFERROR(INDEX('Material routes'!$F$6:$F$2205,MATCH(U555,'Material routes'!$A$6:$A$2205,0)),"MISSING ID")</x:f>
        <x:v>T3</x:v>
      </x:c>
      <x:c r="C555" s="4" t="str">
        <x:f>IFERROR(INDEX('Material routes'!$H$6:$H$2205,MATCH(U555,'Material routes'!$A$6:$A$2205,0)),"MISSING ID")</x:f>
        <x:v>Processed material</x:v>
      </x:c>
      <x:c r="D555" s="4" t="str">
        <x:f>IFERROR(INDEX('Material routes'!$G$6:$G$2205,MATCH(U555,'Material routes'!$A$6:$A$2205,0)),"MISSING ID")</x:f>
        <x:v>Manufactured stock</x:v>
      </x:c>
      <x:c r="E555" s="4" t="str">
        <x:f>IFERROR(INDEX('Material routes'!$C$6:$C$2205,MATCH(U555,'Material routes'!$A$6:$A$2205,0)),"MISSING ID")</x:f>
        <x:v>Ingredient candidate</x:v>
      </x:c>
      <x:c r="F555" s="4" t="str">
        <x:f>IFERROR(INDEX('Material routes'!$E$6:$E$2205,MATCH(V555,'Material routes'!$A$6:$A$2205,0)),"MISSING ID")</x:f>
        <x:v>Vial neck locking clip</x:v>
      </x:c>
      <x:c r="G555" s="4" t="str">
        <x:f>IFERROR(INDEX('Material routes'!$F$6:$F$2205,MATCH(V555,'Material routes'!$A$6:$A$2205,0)),"MISSING ID")</x:f>
        <x:v>T4</x:v>
      </x:c>
      <x:c r="H555" s="4" t="str">
        <x:f>IFERROR(INDEX('Material routes'!$H$6:$H$2205,MATCH(V555,'Material routes'!$A$6:$A$2205,0)),"MISSING ID")</x:f>
        <x:v>Container part</x:v>
      </x:c>
      <x:c r="I555" s="4" t="str">
        <x:f>IFERROR(INDEX('Material routes'!$G$6:$G$2205,MATCH(V555,'Material routes'!$A$6:$A$2205,0)),"MISSING ID")</x:f>
        <x:v>Crafting components</x:v>
      </x:c>
      <x:c r="J555" s="4" t="str">
        <x:f>IFERROR(INDEX('Material routes'!$B$6:$B$2205,MATCH(U555,'Material routes'!$A$6:$A$2205,0)),"MISSING ID")</x:f>
        <x:v>design.collection.vial_neck_locking_clip</x:v>
      </x:c>
      <x:c r="K555" s="4" t="str">
        <x:f>IFERROR(INDEX('Crafting recipes'!$C$6:$C$1005,MATCH(J555,'Crafting recipes'!$A$6:$A$1005,0)),"MISSING ID")</x:f>
        <x:v>Material refinement</x:v>
      </x:c>
      <x:c r="L555" s="4" t="str">
        <x:f>IFERROR(INDEX('Material routes'!$K$6:$K$2205,MATCH(U555,'Material routes'!$A$6:$A$2205,0)),"MISSING ID")</x:f>
        <x:v>Proposal</x:v>
      </x:c>
      <x:c r="M555" s="4" t="str">
        <x:f>IFERROR(INDEX('Material routes'!$M$6:$M$2205,MATCH(U555,'Material routes'!$A$6:$A$2205,0)),"MISSING ID")</x:f>
        <x:v>Partial proposal</x:v>
      </x:c>
      <x:c r="N555" s="4"/>
      <x:c r="O555" s="4" t="str">
        <x:f>IFERROR(INDEX('Material routes'!$J$6:$J$2205,MATCH(U555,'Material routes'!$A$6:$A$2205,0)),"MISSING ID")</x:f>
        <x:v>Unspecified</x:v>
      </x:c>
      <x:c r="P555" s="4"/>
      <x:c r="Q555" s="4" t="str">
        <x:f>IFERROR(INDEX('Material routes'!$J$6:$J$2205,MATCH(V555,'Material routes'!$A$6:$A$2205,0)),"MISSING ID")</x:f>
        <x:v>Unspecified</x:v>
      </x:c>
      <x:c r="R555" s="4" t="str">
        <x:f>IF(L555="Withheld","Withheld premise",IF(E555="Tool candidate","Reusable prerequisite",IF(K555="Raw entry preparation","Entry-resource preparation",IF(G555="Not applicable",IF(IFERROR(INDEX('Items'!$AI$6:$AI$1005,MATCH(T555,'Items'!$A$6:$A$1005,0)),"MISSING ID")="Finished item","Finished endpoint",IF(IFERROR(INDEX('Items'!$AI$6:$AI$1005,MATCH(T555,'Items'!$A$6:$A$1005,0)),"MISSING ID")="Currency","Currency / no refinement tier","Recovered output / tier not applicable")),IF(OR(IFERROR(INDEX('Crafting recipes'!$H$6:$H$1005,MATCH(J555,'Crafting recipes'!$A$6:$A$1005,0)),"MISSING ID")="Unassigned",G555="Unassigned"),"Tier unresolved",IF(IFERROR(VALUE(RIGHT(G555,1))-VALUE(RIGHT(IFERROR(INDEX('Crafting recipes'!$H$6:$H$1005,MATCH(J555,'Crafting recipes'!$A$6:$A$1005,0)),"MISSING ID"),1)),0)=1,IF(B555=IFERROR(INDEX('Crafting recipes'!$H$6:$H$1005,MATCH(J555,'Crafting recipes'!$A$6:$A$1005,0)),"MISSING ID"),"Advances one material tier","Lower-tier ingredient; route advances one tier"),"Needs tier review"))))))</x:f>
        <x:v>Advances one material tier</x:v>
      </x:c>
      <x:c r="S555" s="4" t="str">
        <x:f>IFERROR(INDEX('Material routes'!$D$6:$D$2205,MATCH(U555,'Material routes'!$A$6:$A$2205,0)),"MISSING ID")</x:f>
        <x:v>proposal.branch.spring_steel</x:v>
      </x:c>
      <x:c r="T555" s="4" t="str">
        <x:f>IFERROR(INDEX('Material routes'!$D$6:$D$2205,MATCH(V555,'Material routes'!$A$6:$A$2205,0)),"MISSING ID")</x:f>
        <x:v>proposal.collection.vial_neck_locking_clip</x:v>
      </x:c>
      <x:c r="U555" s="4" t="str">
        <x:v>design.collection.vial_neck_locking_clip.in.1</x:v>
      </x:c>
      <x:c r="V555" s="4" t="str">
        <x:v>design.collection.vial_neck_locking_clip.out</x:v>
      </x:c>
    </x:row>
    <x:row r="556" ht="64" customHeight="1">
      <x:c r="A556" s="4" t="str">
        <x:f>IFERROR(INDEX('Material routes'!$E$6:$E$2205,MATCH(U556,'Material routes'!$A$6:$A$2205,0)),"MISSING ID")</x:f>
        <x:v>Pressed husk-fiber textile material</x:v>
      </x:c>
      <x:c r="B556" s="4" t="str">
        <x:f>IFERROR(INDEX('Material routes'!$F$6:$F$2205,MATCH(U556,'Material routes'!$A$6:$A$2205,0)),"MISSING ID")</x:f>
        <x:v>T1</x:v>
      </x:c>
      <x:c r="C556" s="4" t="str">
        <x:f>IFERROR(INDEX('Material routes'!$H$6:$H$2205,MATCH(U556,'Material routes'!$A$6:$A$2205,0)),"MISSING ID")</x:f>
        <x:v>Processed material</x:v>
      </x:c>
      <x:c r="D556" s="4" t="str">
        <x:f>IFERROR(INDEX('Material routes'!$G$6:$G$2205,MATCH(U556,'Material routes'!$A$6:$A$2205,0)),"MISSING ID")</x:f>
        <x:v>Crafting components</x:v>
      </x:c>
      <x:c r="E556" s="4" t="str">
        <x:f>IFERROR(INDEX('Material routes'!$C$6:$C$2205,MATCH(U556,'Material routes'!$A$6:$A$2205,0)),"MISSING ID")</x:f>
        <x:v>Ingredient candidate</x:v>
      </x:c>
      <x:c r="F556" s="4" t="str">
        <x:f>IFERROR(INDEX('Material routes'!$E$6:$E$2205,MATCH(V556,'Material routes'!$A$6:$A$2205,0)),"MISSING ID")</x:f>
        <x:v>Husk-fiber face wrap</x:v>
      </x:c>
      <x:c r="G556" s="4" t="str">
        <x:f>IFERROR(INDEX('Material routes'!$F$6:$F$2205,MATCH(V556,'Material routes'!$A$6:$A$2205,0)),"MISSING ID")</x:f>
        <x:v>Not applicable</x:v>
      </x:c>
      <x:c r="H556" s="4" t="str">
        <x:f>IFERROR(INDEX('Material routes'!$H$6:$H$2205,MATCH(V556,'Material routes'!$A$6:$A$2205,0)),"MISSING ID")</x:f>
        <x:v>Wearable</x:v>
      </x:c>
      <x:c r="I556" s="4" t="str">
        <x:f>IFERROR(INDEX('Material routes'!$G$6:$G$2205,MATCH(V556,'Material routes'!$A$6:$A$2205,0)),"MISSING ID")</x:f>
        <x:v>Clothing</x:v>
      </x:c>
      <x:c r="J556" s="4" t="str">
        <x:f>IFERROR(INDEX('Material routes'!$B$6:$B$2205,MATCH(U556,'Material routes'!$A$6:$A$2205,0)),"MISSING ID")</x:f>
        <x:v>design.collection.husk_fiber_face_wrap</x:v>
      </x:c>
      <x:c r="K556" s="4" t="str">
        <x:f>IFERROR(INDEX('Crafting recipes'!$C$6:$C$1005,MATCH(J556,'Crafting recipes'!$A$6:$A$1005,0)),"MISSING ID")</x:f>
        <x:v>Finished-item crafting</x:v>
      </x:c>
      <x:c r="L556" s="4" t="str">
        <x:f>IFERROR(INDEX('Material routes'!$K$6:$K$2205,MATCH(U556,'Material routes'!$A$6:$A$2205,0)),"MISSING ID")</x:f>
        <x:v>Proposal</x:v>
      </x:c>
      <x:c r="M556" s="4" t="str">
        <x:f>IFERROR(INDEX('Material routes'!$M$6:$M$2205,MATCH(U556,'Material routes'!$A$6:$A$2205,0)),"MISSING ID")</x:f>
        <x:v>Partial proposal</x:v>
      </x:c>
      <x:c r="N556" s="4"/>
      <x:c r="O556" s="4" t="str">
        <x:f>IFERROR(INDEX('Material routes'!$J$6:$J$2205,MATCH(U556,'Material routes'!$A$6:$A$2205,0)),"MISSING ID")</x:f>
        <x:v>Unspecified</x:v>
      </x:c>
      <x:c r="P556" s="4"/>
      <x:c r="Q556" s="4" t="str">
        <x:f>IFERROR(INDEX('Material routes'!$J$6:$J$2205,MATCH(V556,'Material routes'!$A$6:$A$2205,0)),"MISSING ID")</x:f>
        <x:v>Unspecified</x:v>
      </x:c>
      <x:c r="R556" s="4" t="str">
        <x:f>IF(L556="Withheld","Withheld premise",IF(E556="Tool candidate","Reusable prerequisite",IF(K556="Raw entry preparation","Entry-resource preparation",IF(G556="Not applicable",IF(IFERROR(INDEX('Items'!$AI$6:$AI$1005,MATCH(T556,'Items'!$A$6:$A$1005,0)),"MISSING ID")="Finished item","Finished endpoint",IF(IFERROR(INDEX('Items'!$AI$6:$AI$1005,MATCH(T556,'Items'!$A$6:$A$1005,0)),"MISSING ID")="Currency","Currency / no refinement tier","Recovered output / tier not applicable")),IF(OR(IFERROR(INDEX('Crafting recipes'!$H$6:$H$1005,MATCH(J556,'Crafting recipes'!$A$6:$A$1005,0)),"MISSING ID")="Unassigned",G556="Unassigned"),"Tier unresolved",IF(IFERROR(VALUE(RIGHT(G556,1))-VALUE(RIGHT(IFERROR(INDEX('Crafting recipes'!$H$6:$H$1005,MATCH(J556,'Crafting recipes'!$A$6:$A$1005,0)),"MISSING ID"),1)),0)=1,IF(B556=IFERROR(INDEX('Crafting recipes'!$H$6:$H$1005,MATCH(J556,'Crafting recipes'!$A$6:$A$1005,0)),"MISSING ID"),"Advances one material tier","Lower-tier ingredient; route advances one tier"),"Needs tier review"))))))</x:f>
        <x:v>Finished endpoint</x:v>
      </x:c>
      <x:c r="S556" s="4" t="str">
        <x:f>IFERROR(INDEX('Material routes'!$D$6:$D$2205,MATCH(U556,'Material routes'!$A$6:$A$2205,0)),"MISSING ID")</x:f>
        <x:v>proposal.bio.pressed_husk</x:v>
      </x:c>
      <x:c r="T556" s="4" t="str">
        <x:f>IFERROR(INDEX('Material routes'!$D$6:$D$2205,MATCH(V556,'Material routes'!$A$6:$A$2205,0)),"MISSING ID")</x:f>
        <x:v>proposal.collection.husk_fiber_face_wrap</x:v>
      </x:c>
      <x:c r="U556" s="4" t="str">
        <x:v>design.collection.husk_fiber_face_wrap.in.1</x:v>
      </x:c>
      <x:c r="V556" s="4" t="str">
        <x:v>design.collection.husk_fiber_face_wrap.out</x:v>
      </x:c>
    </x:row>
    <x:row r="557" ht="64" customHeight="1">
      <x:c r="A557" s="4" t="str">
        <x:f>IFERROR(INDEX('Material routes'!$E$6:$E$2205,MATCH(U557,'Material routes'!$A$6:$A$2205,0)),"MISSING ID")</x:f>
        <x:v>Ceramic toggle fastener</x:v>
      </x:c>
      <x:c r="B557" s="4" t="str">
        <x:f>IFERROR(INDEX('Material routes'!$F$6:$F$2205,MATCH(U557,'Material routes'!$A$6:$A$2205,0)),"MISSING ID")</x:f>
        <x:v>T3</x:v>
      </x:c>
      <x:c r="C557" s="4" t="str">
        <x:f>IFERROR(INDEX('Material routes'!$H$6:$H$2205,MATCH(U557,'Material routes'!$A$6:$A$2205,0)),"MISSING ID")</x:f>
        <x:v>Crafting component</x:v>
      </x:c>
      <x:c r="D557" s="4" t="str">
        <x:f>IFERROR(INDEX('Material routes'!$G$6:$G$2205,MATCH(U557,'Material routes'!$A$6:$A$2205,0)),"MISSING ID")</x:f>
        <x:v>Crafting components</x:v>
      </x:c>
      <x:c r="E557" s="4" t="str">
        <x:f>IFERROR(INDEX('Material routes'!$C$6:$C$2205,MATCH(U557,'Material routes'!$A$6:$A$2205,0)),"MISSING ID")</x:f>
        <x:v>Ingredient candidate</x:v>
      </x:c>
      <x:c r="F557" s="4" t="str">
        <x:f>IFERROR(INDEX('Material routes'!$E$6:$E$2205,MATCH(V557,'Material routes'!$A$6:$A$2205,0)),"MISSING ID")</x:f>
        <x:v>Husk-fiber face wrap</x:v>
      </x:c>
      <x:c r="G557" s="4" t="str">
        <x:f>IFERROR(INDEX('Material routes'!$F$6:$F$2205,MATCH(V557,'Material routes'!$A$6:$A$2205,0)),"MISSING ID")</x:f>
        <x:v>Not applicable</x:v>
      </x:c>
      <x:c r="H557" s="4" t="str">
        <x:f>IFERROR(INDEX('Material routes'!$H$6:$H$2205,MATCH(V557,'Material routes'!$A$6:$A$2205,0)),"MISSING ID")</x:f>
        <x:v>Wearable</x:v>
      </x:c>
      <x:c r="I557" s="4" t="str">
        <x:f>IFERROR(INDEX('Material routes'!$G$6:$G$2205,MATCH(V557,'Material routes'!$A$6:$A$2205,0)),"MISSING ID")</x:f>
        <x:v>Clothing</x:v>
      </x:c>
      <x:c r="J557" s="4" t="str">
        <x:f>IFERROR(INDEX('Material routes'!$B$6:$B$2205,MATCH(U557,'Material routes'!$A$6:$A$2205,0)),"MISSING ID")</x:f>
        <x:v>design.collection.husk_fiber_face_wrap</x:v>
      </x:c>
      <x:c r="K557" s="4" t="str">
        <x:f>IFERROR(INDEX('Crafting recipes'!$C$6:$C$1005,MATCH(J557,'Crafting recipes'!$A$6:$A$1005,0)),"MISSING ID")</x:f>
        <x:v>Finished-item crafting</x:v>
      </x:c>
      <x:c r="L557" s="4" t="str">
        <x:f>IFERROR(INDEX('Material routes'!$K$6:$K$2205,MATCH(U557,'Material routes'!$A$6:$A$2205,0)),"MISSING ID")</x:f>
        <x:v>Proposal</x:v>
      </x:c>
      <x:c r="M557" s="4" t="str">
        <x:f>IFERROR(INDEX('Material routes'!$M$6:$M$2205,MATCH(U557,'Material routes'!$A$6:$A$2205,0)),"MISSING ID")</x:f>
        <x:v>Partial proposal</x:v>
      </x:c>
      <x:c r="N557" s="4"/>
      <x:c r="O557" s="4" t="str">
        <x:f>IFERROR(INDEX('Material routes'!$J$6:$J$2205,MATCH(U557,'Material routes'!$A$6:$A$2205,0)),"MISSING ID")</x:f>
        <x:v>Unspecified</x:v>
      </x:c>
      <x:c r="P557" s="4"/>
      <x:c r="Q557" s="4" t="str">
        <x:f>IFERROR(INDEX('Material routes'!$J$6:$J$2205,MATCH(V557,'Material routes'!$A$6:$A$2205,0)),"MISSING ID")</x:f>
        <x:v>Unspecified</x:v>
      </x:c>
      <x:c r="R557" s="4" t="str">
        <x:f>IF(L557="Withheld","Withheld premise",IF(E557="Tool candidate","Reusable prerequisite",IF(K557="Raw entry preparation","Entry-resource preparation",IF(G557="Not applicable",IF(IFERROR(INDEX('Items'!$AI$6:$AI$1005,MATCH(T557,'Items'!$A$6:$A$1005,0)),"MISSING ID")="Finished item","Finished endpoint",IF(IFERROR(INDEX('Items'!$AI$6:$AI$1005,MATCH(T557,'Items'!$A$6:$A$1005,0)),"MISSING ID")="Currency","Currency / no refinement tier","Recovered output / tier not applicable")),IF(OR(IFERROR(INDEX('Crafting recipes'!$H$6:$H$1005,MATCH(J557,'Crafting recipes'!$A$6:$A$1005,0)),"MISSING ID")="Unassigned",G557="Unassigned"),"Tier unresolved",IF(IFERROR(VALUE(RIGHT(G557,1))-VALUE(RIGHT(IFERROR(INDEX('Crafting recipes'!$H$6:$H$1005,MATCH(J557,'Crafting recipes'!$A$6:$A$1005,0)),"MISSING ID"),1)),0)=1,IF(B557=IFERROR(INDEX('Crafting recipes'!$H$6:$H$1005,MATCH(J557,'Crafting recipes'!$A$6:$A$1005,0)),"MISSING ID"),"Advances one material tier","Lower-tier ingredient; route advances one tier"),"Needs tier review"))))))</x:f>
        <x:v>Finished endpoint</x:v>
      </x:c>
      <x:c r="S557" s="4" t="str">
        <x:f>IFERROR(INDEX('Material routes'!$D$6:$D$2205,MATCH(U557,'Material routes'!$A$6:$A$2205,0)),"MISSING ID")</x:f>
        <x:v>proposal.ceramic.fastener</x:v>
      </x:c>
      <x:c r="T557" s="4" t="str">
        <x:f>IFERROR(INDEX('Material routes'!$D$6:$D$2205,MATCH(V557,'Material routes'!$A$6:$A$2205,0)),"MISSING ID")</x:f>
        <x:v>proposal.collection.husk_fiber_face_wrap</x:v>
      </x:c>
      <x:c r="U557" s="4" t="str">
        <x:v>design.collection.husk_fiber_face_wrap.in.2</x:v>
      </x:c>
      <x:c r="V557" s="4" t="str">
        <x:v>design.collection.husk_fiber_face_wrap.out</x:v>
      </x:c>
    </x:row>
    <x:row r="558" ht="64" customHeight="1">
      <x:c r="A558" s="4" t="str">
        <x:f>IFERROR(INDEX('Material routes'!$E$6:$E$2205,MATCH(U558,'Material routes'!$A$6:$A$2205,0)),"MISSING ID")</x:f>
        <x:v>Steel stock</x:v>
      </x:c>
      <x:c r="B558" s="4" t="str">
        <x:f>IFERROR(INDEX('Material routes'!$F$6:$F$2205,MATCH(U558,'Material routes'!$A$6:$A$2205,0)),"MISSING ID")</x:f>
        <x:v>T2</x:v>
      </x:c>
      <x:c r="C558" s="4" t="str">
        <x:f>IFERROR(INDEX('Material routes'!$H$6:$H$2205,MATCH(U558,'Material routes'!$A$6:$A$2205,0)),"MISSING ID")</x:f>
        <x:v>Processed material</x:v>
      </x:c>
      <x:c r="D558" s="4" t="str">
        <x:f>IFERROR(INDEX('Material routes'!$G$6:$G$2205,MATCH(U558,'Material routes'!$A$6:$A$2205,0)),"MISSING ID")</x:f>
        <x:v>Manufactured stock</x:v>
      </x:c>
      <x:c r="E558" s="4" t="str">
        <x:f>IFERROR(INDEX('Material routes'!$C$6:$C$2205,MATCH(U558,'Material routes'!$A$6:$A$2205,0)),"MISSING ID")</x:f>
        <x:v>Ingredient candidate</x:v>
      </x:c>
      <x:c r="F558" s="4" t="str">
        <x:f>IFERROR(INDEX('Material routes'!$E$6:$E$2205,MATCH(V558,'Material routes'!$A$6:$A$2205,0)),"MISSING ID")</x:f>
        <x:v>Chainmail shoulder mantle</x:v>
      </x:c>
      <x:c r="G558" s="4" t="str">
        <x:f>IFERROR(INDEX('Material routes'!$F$6:$F$2205,MATCH(V558,'Material routes'!$A$6:$A$2205,0)),"MISSING ID")</x:f>
        <x:v>Not applicable</x:v>
      </x:c>
      <x:c r="H558" s="4" t="str">
        <x:f>IFERROR(INDEX('Material routes'!$H$6:$H$2205,MATCH(V558,'Material routes'!$A$6:$A$2205,0)),"MISSING ID")</x:f>
        <x:v>Wearable</x:v>
      </x:c>
      <x:c r="I558" s="4" t="str">
        <x:f>IFERROR(INDEX('Material routes'!$G$6:$G$2205,MATCH(V558,'Material routes'!$A$6:$A$2205,0)),"MISSING ID")</x:f>
        <x:v>Armor</x:v>
      </x:c>
      <x:c r="J558" s="4" t="str">
        <x:f>IFERROR(INDEX('Material routes'!$B$6:$B$2205,MATCH(U558,'Material routes'!$A$6:$A$2205,0)),"MISSING ID")</x:f>
        <x:v>design.collection.chainmail_shoulder_mantle</x:v>
      </x:c>
      <x:c r="K558" s="4" t="str">
        <x:f>IFERROR(INDEX('Crafting recipes'!$C$6:$C$1005,MATCH(J558,'Crafting recipes'!$A$6:$A$1005,0)),"MISSING ID")</x:f>
        <x:v>Finished-item crafting</x:v>
      </x:c>
      <x:c r="L558" s="4" t="str">
        <x:f>IFERROR(INDEX('Material routes'!$K$6:$K$2205,MATCH(U558,'Material routes'!$A$6:$A$2205,0)),"MISSING ID")</x:f>
        <x:v>Proposal</x:v>
      </x:c>
      <x:c r="M558" s="4" t="str">
        <x:f>IFERROR(INDEX('Material routes'!$M$6:$M$2205,MATCH(U558,'Material routes'!$A$6:$A$2205,0)),"MISSING ID")</x:f>
        <x:v>Partial proposal</x:v>
      </x:c>
      <x:c r="N558" s="4"/>
      <x:c r="O558" s="4" t="str">
        <x:f>IFERROR(INDEX('Material routes'!$J$6:$J$2205,MATCH(U558,'Material routes'!$A$6:$A$2205,0)),"MISSING ID")</x:f>
        <x:v>Unspecified</x:v>
      </x:c>
      <x:c r="P558" s="4"/>
      <x:c r="Q558" s="4" t="str">
        <x:f>IFERROR(INDEX('Material routes'!$J$6:$J$2205,MATCH(V558,'Material routes'!$A$6:$A$2205,0)),"MISSING ID")</x:f>
        <x:v>Unspecified</x:v>
      </x:c>
      <x:c r="R558" s="4" t="str">
        <x:f>IF(L558="Withheld","Withheld premise",IF(E558="Tool candidate","Reusable prerequisite",IF(K558="Raw entry preparation","Entry-resource preparation",IF(G558="Not applicable",IF(IFERROR(INDEX('Items'!$AI$6:$AI$1005,MATCH(T558,'Items'!$A$6:$A$1005,0)),"MISSING ID")="Finished item","Finished endpoint",IF(IFERROR(INDEX('Items'!$AI$6:$AI$1005,MATCH(T558,'Items'!$A$6:$A$1005,0)),"MISSING ID")="Currency","Currency / no refinement tier","Recovered output / tier not applicable")),IF(OR(IFERROR(INDEX('Crafting recipes'!$H$6:$H$1005,MATCH(J558,'Crafting recipes'!$A$6:$A$1005,0)),"MISSING ID")="Unassigned",G558="Unassigned"),"Tier unresolved",IF(IFERROR(VALUE(RIGHT(G558,1))-VALUE(RIGHT(IFERROR(INDEX('Crafting recipes'!$H$6:$H$1005,MATCH(J558,'Crafting recipes'!$A$6:$A$1005,0)),"MISSING ID"),1)),0)=1,IF(B558=IFERROR(INDEX('Crafting recipes'!$H$6:$H$1005,MATCH(J558,'Crafting recipes'!$A$6:$A$1005,0)),"MISSING ID"),"Advances one material tier","Lower-tier ingredient; route advances one tier"),"Needs tier review"))))))</x:f>
        <x:v>Finished endpoint</x:v>
      </x:c>
      <x:c r="S558" s="4" t="str">
        <x:f>IFERROR(INDEX('Material routes'!$D$6:$D$2205,MATCH(U558,'Material routes'!$A$6:$A$2205,0)),"MISSING ID")</x:f>
        <x:v>author.metallurgy.steel_stock</x:v>
      </x:c>
      <x:c r="T558" s="4" t="str">
        <x:f>IFERROR(INDEX('Material routes'!$D$6:$D$2205,MATCH(V558,'Material routes'!$A$6:$A$2205,0)),"MISSING ID")</x:f>
        <x:v>proposal.collection.chainmail_shoulder_mantle</x:v>
      </x:c>
      <x:c r="U558" s="4" t="str">
        <x:v>design.collection.chainmail_shoulder_mantle.in.1</x:v>
      </x:c>
      <x:c r="V558" s="4" t="str">
        <x:v>design.collection.chainmail_shoulder_mantle.out</x:v>
      </x:c>
    </x:row>
    <x:row r="559" ht="64" customHeight="1">
      <x:c r="A559" s="4" t="str">
        <x:f>IFERROR(INDEX('Material routes'!$E$6:$E$2205,MATCH(U559,'Material routes'!$A$6:$A$2205,0)),"MISSING ID")</x:f>
        <x:v>Processed hide material</x:v>
      </x:c>
      <x:c r="B559" s="4" t="str">
        <x:f>IFERROR(INDEX('Material routes'!$F$6:$F$2205,MATCH(U559,'Material routes'!$A$6:$A$2205,0)),"MISSING ID")</x:f>
        <x:v>T1</x:v>
      </x:c>
      <x:c r="C559" s="4" t="str">
        <x:f>IFERROR(INDEX('Material routes'!$H$6:$H$2205,MATCH(U559,'Material routes'!$A$6:$A$2205,0)),"MISSING ID")</x:f>
        <x:v>Processed material</x:v>
      </x:c>
      <x:c r="D559" s="4" t="str">
        <x:f>IFERROR(INDEX('Material routes'!$G$6:$G$2205,MATCH(U559,'Material routes'!$A$6:$A$2205,0)),"MISSING ID")</x:f>
        <x:v>Crafting components</x:v>
      </x:c>
      <x:c r="E559" s="4" t="str">
        <x:f>IFERROR(INDEX('Material routes'!$C$6:$C$2205,MATCH(U559,'Material routes'!$A$6:$A$2205,0)),"MISSING ID")</x:f>
        <x:v>Ingredient candidate</x:v>
      </x:c>
      <x:c r="F559" s="4" t="str">
        <x:f>IFERROR(INDEX('Material routes'!$E$6:$E$2205,MATCH(V559,'Material routes'!$A$6:$A$2205,0)),"MISSING ID")</x:f>
        <x:v>Chainmail shoulder mantle</x:v>
      </x:c>
      <x:c r="G559" s="4" t="str">
        <x:f>IFERROR(INDEX('Material routes'!$F$6:$F$2205,MATCH(V559,'Material routes'!$A$6:$A$2205,0)),"MISSING ID")</x:f>
        <x:v>Not applicable</x:v>
      </x:c>
      <x:c r="H559" s="4" t="str">
        <x:f>IFERROR(INDEX('Material routes'!$H$6:$H$2205,MATCH(V559,'Material routes'!$A$6:$A$2205,0)),"MISSING ID")</x:f>
        <x:v>Wearable</x:v>
      </x:c>
      <x:c r="I559" s="4" t="str">
        <x:f>IFERROR(INDEX('Material routes'!$G$6:$G$2205,MATCH(V559,'Material routes'!$A$6:$A$2205,0)),"MISSING ID")</x:f>
        <x:v>Armor</x:v>
      </x:c>
      <x:c r="J559" s="4" t="str">
        <x:f>IFERROR(INDEX('Material routes'!$B$6:$B$2205,MATCH(U559,'Material routes'!$A$6:$A$2205,0)),"MISSING ID")</x:f>
        <x:v>design.collection.chainmail_shoulder_mantle</x:v>
      </x:c>
      <x:c r="K559" s="4" t="str">
        <x:f>IFERROR(INDEX('Crafting recipes'!$C$6:$C$1005,MATCH(J559,'Crafting recipes'!$A$6:$A$1005,0)),"MISSING ID")</x:f>
        <x:v>Finished-item crafting</x:v>
      </x:c>
      <x:c r="L559" s="4" t="str">
        <x:f>IFERROR(INDEX('Material routes'!$K$6:$K$2205,MATCH(U559,'Material routes'!$A$6:$A$2205,0)),"MISSING ID")</x:f>
        <x:v>Proposal</x:v>
      </x:c>
      <x:c r="M559" s="4" t="str">
        <x:f>IFERROR(INDEX('Material routes'!$M$6:$M$2205,MATCH(U559,'Material routes'!$A$6:$A$2205,0)),"MISSING ID")</x:f>
        <x:v>Partial proposal</x:v>
      </x:c>
      <x:c r="N559" s="4"/>
      <x:c r="O559" s="4" t="str">
        <x:f>IFERROR(INDEX('Material routes'!$J$6:$J$2205,MATCH(U559,'Material routes'!$A$6:$A$2205,0)),"MISSING ID")</x:f>
        <x:v>Unspecified</x:v>
      </x:c>
      <x:c r="P559" s="4"/>
      <x:c r="Q559" s="4" t="str">
        <x:f>IFERROR(INDEX('Material routes'!$J$6:$J$2205,MATCH(V559,'Material routes'!$A$6:$A$2205,0)),"MISSING ID")</x:f>
        <x:v>Unspecified</x:v>
      </x:c>
      <x:c r="R559" s="4" t="str">
        <x:f>IF(L559="Withheld","Withheld premise",IF(E559="Tool candidate","Reusable prerequisite",IF(K559="Raw entry preparation","Entry-resource preparation",IF(G559="Not applicable",IF(IFERROR(INDEX('Items'!$AI$6:$AI$1005,MATCH(T559,'Items'!$A$6:$A$1005,0)),"MISSING ID")="Finished item","Finished endpoint",IF(IFERROR(INDEX('Items'!$AI$6:$AI$1005,MATCH(T559,'Items'!$A$6:$A$1005,0)),"MISSING ID")="Currency","Currency / no refinement tier","Recovered output / tier not applicable")),IF(OR(IFERROR(INDEX('Crafting recipes'!$H$6:$H$1005,MATCH(J559,'Crafting recipes'!$A$6:$A$1005,0)),"MISSING ID")="Unassigned",G559="Unassigned"),"Tier unresolved",IF(IFERROR(VALUE(RIGHT(G559,1))-VALUE(RIGHT(IFERROR(INDEX('Crafting recipes'!$H$6:$H$1005,MATCH(J559,'Crafting recipes'!$A$6:$A$1005,0)),"MISSING ID"),1)),0)=1,IF(B559=IFERROR(INDEX('Crafting recipes'!$H$6:$H$1005,MATCH(J559,'Crafting recipes'!$A$6:$A$1005,0)),"MISSING ID"),"Advances one material tier","Lower-tier ingredient; route advances one tier"),"Needs tier review"))))))</x:f>
        <x:v>Finished endpoint</x:v>
      </x:c>
      <x:c r="S559" s="4" t="str">
        <x:f>IFERROR(INDEX('Material routes'!$D$6:$D$2205,MATCH(U559,'Material routes'!$A$6:$A$2205,0)),"MISSING ID")</x:f>
        <x:v>proposal.bio.hide_material</x:v>
      </x:c>
      <x:c r="T559" s="4" t="str">
        <x:f>IFERROR(INDEX('Material routes'!$D$6:$D$2205,MATCH(V559,'Material routes'!$A$6:$A$2205,0)),"MISSING ID")</x:f>
        <x:v>proposal.collection.chainmail_shoulder_mantle</x:v>
      </x:c>
      <x:c r="U559" s="4" t="str">
        <x:v>design.collection.chainmail_shoulder_mantle.in.2</x:v>
      </x:c>
      <x:c r="V559" s="4" t="str">
        <x:v>design.collection.chainmail_shoulder_mantle.out</x:v>
      </x:c>
    </x:row>
    <x:row r="560" ht="64" customHeight="1">
      <x:c r="A560" s="4"/>
      <x:c r="B560" s="4"/>
      <x:c r="C560" s="4"/>
      <x:c r="D560" s="4"/>
      <x:c r="E560" s="4"/>
      <x:c r="F560" s="4"/>
      <x:c r="G560" s="4"/>
      <x:c r="H560" s="4"/>
      <x:c r="I560" s="4"/>
      <x:c r="J560" s="4"/>
      <x:c r="K560" s="4"/>
      <x:c r="L560" s="4"/>
      <x:c r="M560" s="4"/>
      <x:c r="N560" s="4"/>
      <x:c r="O560" s="4"/>
      <x:c r="P560" s="4"/>
      <x:c r="Q560" s="4"/>
      <x:c r="R560" s="4"/>
      <x:c r="S560" s="4"/>
      <x:c r="T560" s="4"/>
      <x:c r="U560" s="4"/>
      <x:c r="V560" s="4"/>
    </x:row>
    <x:row r="561" ht="64" customHeight="1">
      <x:c r="A561" s="4"/>
      <x:c r="B561" s="4"/>
      <x:c r="C561" s="4"/>
      <x:c r="D561" s="4"/>
      <x:c r="E561" s="4"/>
      <x:c r="F561" s="4"/>
      <x:c r="G561" s="4"/>
      <x:c r="H561" s="4"/>
      <x:c r="I561" s="4"/>
      <x:c r="J561" s="4"/>
      <x:c r="K561" s="4"/>
      <x:c r="L561" s="4"/>
      <x:c r="M561" s="4"/>
      <x:c r="N561" s="4"/>
      <x:c r="O561" s="4"/>
      <x:c r="P561" s="4"/>
      <x:c r="Q561" s="4"/>
      <x:c r="R561" s="4"/>
      <x:c r="S561" s="4"/>
      <x:c r="T561" s="4"/>
      <x:c r="U561" s="4"/>
      <x:c r="V561" s="4"/>
    </x:row>
    <x:row r="562" ht="64" customHeight="1">
      <x:c r="A562" s="4"/>
      <x:c r="B562" s="4"/>
      <x:c r="C562" s="4"/>
      <x:c r="D562" s="4"/>
      <x:c r="E562" s="4"/>
      <x:c r="F562" s="4"/>
      <x:c r="G562" s="4"/>
      <x:c r="H562" s="4"/>
      <x:c r="I562" s="4"/>
      <x:c r="J562" s="4"/>
      <x:c r="K562" s="4"/>
      <x:c r="L562" s="4"/>
      <x:c r="M562" s="4"/>
      <x:c r="N562" s="4"/>
      <x:c r="O562" s="4"/>
      <x:c r="P562" s="4"/>
      <x:c r="Q562" s="4"/>
      <x:c r="R562" s="4"/>
      <x:c r="S562" s="4"/>
      <x:c r="T562" s="4"/>
      <x:c r="U562" s="4"/>
      <x:c r="V562" s="4"/>
    </x:row>
    <x:row r="563" ht="64" customHeight="1">
      <x:c r="A563" s="4"/>
      <x:c r="B563" s="4"/>
      <x:c r="C563" s="4"/>
      <x:c r="D563" s="4"/>
      <x:c r="E563" s="4"/>
      <x:c r="F563" s="4"/>
      <x:c r="G563" s="4"/>
      <x:c r="H563" s="4"/>
      <x:c r="I563" s="4"/>
      <x:c r="J563" s="4"/>
      <x:c r="K563" s="4"/>
      <x:c r="L563" s="4"/>
      <x:c r="M563" s="4"/>
      <x:c r="N563" s="4"/>
      <x:c r="O563" s="4"/>
      <x:c r="P563" s="4"/>
      <x:c r="Q563" s="4"/>
      <x:c r="R563" s="4"/>
      <x:c r="S563" s="4"/>
      <x:c r="T563" s="4"/>
      <x:c r="U563" s="4"/>
      <x:c r="V563" s="4"/>
    </x:row>
    <x:row r="564" ht="64" customHeight="1">
      <x:c r="A564" s="4"/>
      <x:c r="B564" s="4"/>
      <x:c r="C564" s="4"/>
      <x:c r="D564" s="4"/>
      <x:c r="E564" s="4"/>
      <x:c r="F564" s="4"/>
      <x:c r="G564" s="4"/>
      <x:c r="H564" s="4"/>
      <x:c r="I564" s="4"/>
      <x:c r="J564" s="4"/>
      <x:c r="K564" s="4"/>
      <x:c r="L564" s="4"/>
      <x:c r="M564" s="4"/>
      <x:c r="N564" s="4"/>
      <x:c r="P564" s="4"/>
      <x:c r="R564" s="4"/>
      <x:c r="S564" s="4"/>
      <x:c r="T564" s="4"/>
      <x:c r="U564" s="4"/>
      <x:c r="V564" s="4"/>
    </x:row>
    <x:row r="565" ht="64" customHeight="1">
      <x:c r="A565" s="4"/>
      <x:c r="B565" s="4"/>
      <x:c r="C565" s="4"/>
      <x:c r="D565" s="4"/>
      <x:c r="E565" s="4"/>
      <x:c r="F565" s="4"/>
      <x:c r="G565" s="4"/>
      <x:c r="H565" s="4"/>
      <x:c r="I565" s="4"/>
      <x:c r="J565" s="4"/>
      <x:c r="K565" s="4"/>
      <x:c r="L565" s="4"/>
      <x:c r="M565" s="4"/>
      <x:c r="N565" s="4"/>
      <x:c r="P565" s="4"/>
      <x:c r="R565" s="4"/>
      <x:c r="S565" s="4"/>
      <x:c r="T565" s="4"/>
      <x:c r="U565" s="4"/>
      <x:c r="V565" s="4"/>
    </x:row>
    <x:row r="566" ht="64" customHeight="1">
      <x:c r="A566" s="4" t="str">
        <x:f>IFERROR(INDEX('Material routes'!$E$6:$E$2205,MATCH(U566,'Material routes'!$A$6:$A$2205,0)),"MISSING ID")</x:f>
        <x:v>Sized mica viewing sheet</x:v>
      </x:c>
      <x:c r="B566" s="4" t="str">
        <x:f>IFERROR(INDEX('Material routes'!$F$6:$F$2205,MATCH(U566,'Material routes'!$A$6:$A$2205,0)),"MISSING ID")</x:f>
        <x:v>T1</x:v>
      </x:c>
      <x:c r="C566" s="4" t="str">
        <x:f>IFERROR(INDEX('Material routes'!$H$6:$H$2205,MATCH(U566,'Material routes'!$A$6:$A$2205,0)),"MISSING ID")</x:f>
        <x:v>Processed material</x:v>
      </x:c>
      <x:c r="D566" s="4" t="str">
        <x:f>IFERROR(INDEX('Material routes'!$G$6:$G$2205,MATCH(U566,'Material routes'!$A$6:$A$2205,0)),"MISSING ID")</x:f>
        <x:v>Manufactured stock</x:v>
      </x:c>
      <x:c r="E566" s="4" t="str">
        <x:f>IFERROR(INDEX('Material routes'!$C$6:$C$2205,MATCH(U566,'Material routes'!$A$6:$A$2205,0)),"MISSING ID")</x:f>
        <x:v>Ingredient candidate</x:v>
      </x:c>
      <x:c r="F566" s="4" t="str">
        <x:f>IFERROR(INDEX('Material routes'!$E$6:$E$2205,MATCH(V566,'Material routes'!$A$6:$A$2205,0)),"MISSING ID")</x:f>
        <x:v>Mica-brim sun visor</x:v>
      </x:c>
      <x:c r="G566" s="4" t="str">
        <x:f>IFERROR(INDEX('Material routes'!$F$6:$F$2205,MATCH(V566,'Material routes'!$A$6:$A$2205,0)),"MISSING ID")</x:f>
        <x:v>Not applicable</x:v>
      </x:c>
      <x:c r="H566" s="4" t="str">
        <x:f>IFERROR(INDEX('Material routes'!$H$6:$H$2205,MATCH(V566,'Material routes'!$A$6:$A$2205,0)),"MISSING ID")</x:f>
        <x:v>Wearable</x:v>
      </x:c>
      <x:c r="I566" s="4" t="str">
        <x:f>IFERROR(INDEX('Material routes'!$G$6:$G$2205,MATCH(V566,'Material routes'!$A$6:$A$2205,0)),"MISSING ID")</x:f>
        <x:v>Clothing</x:v>
      </x:c>
      <x:c r="J566" s="4" t="str">
        <x:f>IFERROR(INDEX('Material routes'!$B$6:$B$2205,MATCH(U566,'Material routes'!$A$6:$A$2205,0)),"MISSING ID")</x:f>
        <x:v>design.collection.mica_brim_sun_visor</x:v>
      </x:c>
      <x:c r="K566" s="4" t="str">
        <x:f>IFERROR(INDEX('Crafting recipes'!$C$6:$C$1005,MATCH(J566,'Crafting recipes'!$A$6:$A$1005,0)),"MISSING ID")</x:f>
        <x:v>Finished-item crafting</x:v>
      </x:c>
      <x:c r="L566" s="4" t="str">
        <x:f>IFERROR(INDEX('Material routes'!$K$6:$K$2205,MATCH(U566,'Material routes'!$A$6:$A$2205,0)),"MISSING ID")</x:f>
        <x:v>Proposal</x:v>
      </x:c>
      <x:c r="M566" s="4" t="str">
        <x:f>IFERROR(INDEX('Material routes'!$M$6:$M$2205,MATCH(U566,'Material routes'!$A$6:$A$2205,0)),"MISSING ID")</x:f>
        <x:v>Partial proposal</x:v>
      </x:c>
      <x:c r="N566" s="4"/>
      <x:c r="O566" s="4" t="str">
        <x:f>IFERROR(INDEX('Material routes'!$J$6:$J$2205,MATCH(U566,'Material routes'!$A$6:$A$2205,0)),"MISSING ID")</x:f>
        <x:v>Unspecified</x:v>
      </x:c>
      <x:c r="P566" s="4"/>
      <x:c r="Q566" s="4" t="str">
        <x:f>IFERROR(INDEX('Material routes'!$J$6:$J$2205,MATCH(V566,'Material routes'!$A$6:$A$2205,0)),"MISSING ID")</x:f>
        <x:v>Unspecified</x:v>
      </x:c>
      <x:c r="R566" s="4" t="str">
        <x:f>IF(L566="Withheld","Withheld premise",IF(E566="Tool candidate","Reusable prerequisite",IF(K566="Raw entry preparation","Entry-resource preparation",IF(G566="Not applicable",IF(IFERROR(INDEX('Items'!$AI$6:$AI$1005,MATCH(T566,'Items'!$A$6:$A$1005,0)),"MISSING ID")="Finished item","Finished endpoint",IF(IFERROR(INDEX('Items'!$AI$6:$AI$1005,MATCH(T566,'Items'!$A$6:$A$1005,0)),"MISSING ID")="Currency","Currency / no refinement tier","Recovered output / tier not applicable")),IF(OR(IFERROR(INDEX('Crafting recipes'!$H$6:$H$1005,MATCH(J566,'Crafting recipes'!$A$6:$A$1005,0)),"MISSING ID")="Unassigned",G566="Unassigned"),"Tier unresolved",IF(IFERROR(VALUE(RIGHT(G566,1))-VALUE(RIGHT(IFERROR(INDEX('Crafting recipes'!$H$6:$H$1005,MATCH(J566,'Crafting recipes'!$A$6:$A$1005,0)),"MISSING ID"),1)),0)=1,IF(B566=IFERROR(INDEX('Crafting recipes'!$H$6:$H$1005,MATCH(J566,'Crafting recipes'!$A$6:$A$1005,0)),"MISSING ID"),"Advances one material tier","Lower-tier ingredient; route advances one tier"),"Needs tier review"))))))</x:f>
        <x:v>Finished endpoint</x:v>
      </x:c>
      <x:c r="S566" s="4" t="str">
        <x:f>IFERROR(INDEX('Material routes'!$D$6:$D$2205,MATCH(U566,'Material routes'!$A$6:$A$2205,0)),"MISSING ID")</x:f>
        <x:v>proposal.t1.mica_window</x:v>
      </x:c>
      <x:c r="T566" s="4" t="str">
        <x:f>IFERROR(INDEX('Material routes'!$D$6:$D$2205,MATCH(V566,'Material routes'!$A$6:$A$2205,0)),"MISSING ID")</x:f>
        <x:v>proposal.collection.mica_brim_sun_visor</x:v>
      </x:c>
      <x:c r="U566" s="4" t="str">
        <x:v>design.collection.mica_brim_sun_visor.in.1</x:v>
      </x:c>
      <x:c r="V566" s="4" t="str">
        <x:v>design.collection.mica_brim_sun_visor.out</x:v>
      </x:c>
    </x:row>
    <x:row r="567" ht="64" customHeight="1">
      <x:c r="A567" s="4" t="str">
        <x:f>IFERROR(INDEX('Material routes'!$E$6:$E$2205,MATCH(U567,'Material routes'!$A$6:$A$2205,0)),"MISSING ID")</x:f>
        <x:v>Worked iron stock</x:v>
      </x:c>
      <x:c r="B567" s="4" t="str">
        <x:f>IFERROR(INDEX('Material routes'!$F$6:$F$2205,MATCH(U567,'Material routes'!$A$6:$A$2205,0)),"MISSING ID")</x:f>
        <x:v>T2</x:v>
      </x:c>
      <x:c r="C567" s="4" t="str">
        <x:f>IFERROR(INDEX('Material routes'!$H$6:$H$2205,MATCH(U567,'Material routes'!$A$6:$A$2205,0)),"MISSING ID")</x:f>
        <x:v>Processed material</x:v>
      </x:c>
      <x:c r="D567" s="4" t="str">
        <x:f>IFERROR(INDEX('Material routes'!$G$6:$G$2205,MATCH(U567,'Material routes'!$A$6:$A$2205,0)),"MISSING ID")</x:f>
        <x:v>Manufactured stock</x:v>
      </x:c>
      <x:c r="E567" s="4" t="str">
        <x:f>IFERROR(INDEX('Material routes'!$C$6:$C$2205,MATCH(U567,'Material routes'!$A$6:$A$2205,0)),"MISSING ID")</x:f>
        <x:v>Ingredient candidate</x:v>
      </x:c>
      <x:c r="F567" s="4" t="str">
        <x:f>IFERROR(INDEX('Material routes'!$E$6:$E$2205,MATCH(V567,'Material routes'!$A$6:$A$2205,0)),"MISSING ID")</x:f>
        <x:v>Mica-brim sun visor</x:v>
      </x:c>
      <x:c r="G567" s="4" t="str">
        <x:f>IFERROR(INDEX('Material routes'!$F$6:$F$2205,MATCH(V567,'Material routes'!$A$6:$A$2205,0)),"MISSING ID")</x:f>
        <x:v>Not applicable</x:v>
      </x:c>
      <x:c r="H567" s="4" t="str">
        <x:f>IFERROR(INDEX('Material routes'!$H$6:$H$2205,MATCH(V567,'Material routes'!$A$6:$A$2205,0)),"MISSING ID")</x:f>
        <x:v>Wearable</x:v>
      </x:c>
      <x:c r="I567" s="4" t="str">
        <x:f>IFERROR(INDEX('Material routes'!$G$6:$G$2205,MATCH(V567,'Material routes'!$A$6:$A$2205,0)),"MISSING ID")</x:f>
        <x:v>Clothing</x:v>
      </x:c>
      <x:c r="J567" s="4" t="str">
        <x:f>IFERROR(INDEX('Material routes'!$B$6:$B$2205,MATCH(U567,'Material routes'!$A$6:$A$2205,0)),"MISSING ID")</x:f>
        <x:v>design.collection.mica_brim_sun_visor</x:v>
      </x:c>
      <x:c r="K567" s="4" t="str">
        <x:f>IFERROR(INDEX('Crafting recipes'!$C$6:$C$1005,MATCH(J567,'Crafting recipes'!$A$6:$A$1005,0)),"MISSING ID")</x:f>
        <x:v>Finished-item crafting</x:v>
      </x:c>
      <x:c r="L567" s="4" t="str">
        <x:f>IFERROR(INDEX('Material routes'!$K$6:$K$2205,MATCH(U567,'Material routes'!$A$6:$A$2205,0)),"MISSING ID")</x:f>
        <x:v>Proposal</x:v>
      </x:c>
      <x:c r="M567" s="4" t="str">
        <x:f>IFERROR(INDEX('Material routes'!$M$6:$M$2205,MATCH(U567,'Material routes'!$A$6:$A$2205,0)),"MISSING ID")</x:f>
        <x:v>Partial proposal</x:v>
      </x:c>
      <x:c r="N567" s="4"/>
      <x:c r="O567" s="4" t="str">
        <x:f>IFERROR(INDEX('Material routes'!$J$6:$J$2205,MATCH(U567,'Material routes'!$A$6:$A$2205,0)),"MISSING ID")</x:f>
        <x:v>Unspecified</x:v>
      </x:c>
      <x:c r="P567" s="4"/>
      <x:c r="Q567" s="4" t="str">
        <x:f>IFERROR(INDEX('Material routes'!$J$6:$J$2205,MATCH(V567,'Material routes'!$A$6:$A$2205,0)),"MISSING ID")</x:f>
        <x:v>Unspecified</x:v>
      </x:c>
      <x:c r="R567" s="4" t="str">
        <x:f>IF(L567="Withheld","Withheld premise",IF(E567="Tool candidate","Reusable prerequisite",IF(K567="Raw entry preparation","Entry-resource preparation",IF(G567="Not applicable",IF(IFERROR(INDEX('Items'!$AI$6:$AI$1005,MATCH(T567,'Items'!$A$6:$A$1005,0)),"MISSING ID")="Finished item","Finished endpoint",IF(IFERROR(INDEX('Items'!$AI$6:$AI$1005,MATCH(T567,'Items'!$A$6:$A$1005,0)),"MISSING ID")="Currency","Currency / no refinement tier","Recovered output / tier not applicable")),IF(OR(IFERROR(INDEX('Crafting recipes'!$H$6:$H$1005,MATCH(J567,'Crafting recipes'!$A$6:$A$1005,0)),"MISSING ID")="Unassigned",G567="Unassigned"),"Tier unresolved",IF(IFERROR(VALUE(RIGHT(G567,1))-VALUE(RIGHT(IFERROR(INDEX('Crafting recipes'!$H$6:$H$1005,MATCH(J567,'Crafting recipes'!$A$6:$A$1005,0)),"MISSING ID"),1)),0)=1,IF(B567=IFERROR(INDEX('Crafting recipes'!$H$6:$H$1005,MATCH(J567,'Crafting recipes'!$A$6:$A$1005,0)),"MISSING ID"),"Advances one material tier","Lower-tier ingredient; route advances one tier"),"Needs tier review"))))))</x:f>
        <x:v>Finished endpoint</x:v>
      </x:c>
      <x:c r="S567" s="4" t="str">
        <x:f>IFERROR(INDEX('Material routes'!$D$6:$D$2205,MATCH(U567,'Material routes'!$A$6:$A$2205,0)),"MISSING ID")</x:f>
        <x:v>proposal.natural.iron_stock</x:v>
      </x:c>
      <x:c r="T567" s="4" t="str">
        <x:f>IFERROR(INDEX('Material routes'!$D$6:$D$2205,MATCH(V567,'Material routes'!$A$6:$A$2205,0)),"MISSING ID")</x:f>
        <x:v>proposal.collection.mica_brim_sun_visor</x:v>
      </x:c>
      <x:c r="U567" s="4" t="str">
        <x:v>design.collection.mica_brim_sun_visor.in.2</x:v>
      </x:c>
      <x:c r="V567" s="4" t="str">
        <x:v>design.collection.mica_brim_sun_visor.out</x:v>
      </x:c>
    </x:row>
    <x:row r="568" ht="64" customHeight="1">
      <x:c r="A568" s="4" t="str">
        <x:f>IFERROR(INDEX('Material routes'!$E$6:$E$2205,MATCH(U568,'Material routes'!$A$6:$A$2205,0)),"MISSING ID")</x:f>
        <x:v>Dressed building-stone stock</x:v>
      </x:c>
      <x:c r="B568" s="4" t="str">
        <x:f>IFERROR(INDEX('Material routes'!$F$6:$F$2205,MATCH(U568,'Material routes'!$A$6:$A$2205,0)),"MISSING ID")</x:f>
        <x:v>T1</x:v>
      </x:c>
      <x:c r="C568" s="4" t="str">
        <x:f>IFERROR(INDEX('Material routes'!$H$6:$H$2205,MATCH(U568,'Material routes'!$A$6:$A$2205,0)),"MISSING ID")</x:f>
        <x:v>Processed material</x:v>
      </x:c>
      <x:c r="D568" s="4" t="str">
        <x:f>IFERROR(INDEX('Material routes'!$G$6:$G$2205,MATCH(U568,'Material routes'!$A$6:$A$2205,0)),"MISSING ID")</x:f>
        <x:v>Manufactured stock</x:v>
      </x:c>
      <x:c r="E568" s="4" t="str">
        <x:f>IFERROR(INDEX('Material routes'!$C$6:$C$2205,MATCH(U568,'Material routes'!$A$6:$A$2205,0)),"MISSING ID")</x:f>
        <x:v>Ingredient candidate</x:v>
      </x:c>
      <x:c r="F568" s="4" t="str">
        <x:f>IFERROR(INDEX('Material routes'!$E$6:$E$2205,MATCH(V568,'Material routes'!$A$6:$A$2205,0)),"MISSING ID")</x:f>
        <x:v>Founding-stone keepsake</x:v>
      </x:c>
      <x:c r="G568" s="4" t="str">
        <x:f>IFERROR(INDEX('Material routes'!$F$6:$F$2205,MATCH(V568,'Material routes'!$A$6:$A$2205,0)),"MISSING ID")</x:f>
        <x:v>Not applicable</x:v>
      </x:c>
      <x:c r="H568" s="4" t="str">
        <x:f>IFERROR(INDEX('Material routes'!$H$6:$H$2205,MATCH(V568,'Material routes'!$A$6:$A$2205,0)),"MISSING ID")</x:f>
        <x:v>Cultural object</x:v>
      </x:c>
      <x:c r="I568" s="4" t="str">
        <x:f>IFERROR(INDEX('Material routes'!$G$6:$G$2205,MATCH(V568,'Material routes'!$A$6:$A$2205,0)),"MISSING ID")</x:f>
        <x:v>Salvage</x:v>
      </x:c>
      <x:c r="J568" s="4" t="str">
        <x:f>IFERROR(INDEX('Material routes'!$B$6:$B$2205,MATCH(U568,'Material routes'!$A$6:$A$2205,0)),"MISSING ID")</x:f>
        <x:v>design.collection.founding_stone_keepsake</x:v>
      </x:c>
      <x:c r="K568" s="4" t="str">
        <x:f>IFERROR(INDEX('Crafting recipes'!$C$6:$C$1005,MATCH(J568,'Crafting recipes'!$A$6:$A$1005,0)),"MISSING ID")</x:f>
        <x:v>Finished-item crafting</x:v>
      </x:c>
      <x:c r="L568" s="4" t="str">
        <x:f>IFERROR(INDEX('Material routes'!$K$6:$K$2205,MATCH(U568,'Material routes'!$A$6:$A$2205,0)),"MISSING ID")</x:f>
        <x:v>Proposal</x:v>
      </x:c>
      <x:c r="M568" s="4" t="str">
        <x:f>IFERROR(INDEX('Material routes'!$M$6:$M$2205,MATCH(U568,'Material routes'!$A$6:$A$2205,0)),"MISSING ID")</x:f>
        <x:v>Partial proposal</x:v>
      </x:c>
      <x:c r="N568" s="4"/>
      <x:c r="O568" s="4" t="str">
        <x:f>IFERROR(INDEX('Material routes'!$J$6:$J$2205,MATCH(U568,'Material routes'!$A$6:$A$2205,0)),"MISSING ID")</x:f>
        <x:v>Unspecified</x:v>
      </x:c>
      <x:c r="P568" s="4"/>
      <x:c r="Q568" s="4" t="str">
        <x:f>IFERROR(INDEX('Material routes'!$J$6:$J$2205,MATCH(V568,'Material routes'!$A$6:$A$2205,0)),"MISSING ID")</x:f>
        <x:v>Unspecified</x:v>
      </x:c>
      <x:c r="R568" s="4" t="str">
        <x:f>IF(L568="Withheld","Withheld premise",IF(E568="Tool candidate","Reusable prerequisite",IF(K568="Raw entry preparation","Entry-resource preparation",IF(G568="Not applicable",IF(IFERROR(INDEX('Items'!$AI$6:$AI$1005,MATCH(T568,'Items'!$A$6:$A$1005,0)),"MISSING ID")="Finished item","Finished endpoint",IF(IFERROR(INDEX('Items'!$AI$6:$AI$1005,MATCH(T568,'Items'!$A$6:$A$1005,0)),"MISSING ID")="Currency","Currency / no refinement tier","Recovered output / tier not applicable")),IF(OR(IFERROR(INDEX('Crafting recipes'!$H$6:$H$1005,MATCH(J568,'Crafting recipes'!$A$6:$A$1005,0)),"MISSING ID")="Unassigned",G568="Unassigned"),"Tier unresolved",IF(IFERROR(VALUE(RIGHT(G568,1))-VALUE(RIGHT(IFERROR(INDEX('Crafting recipes'!$H$6:$H$1005,MATCH(J568,'Crafting recipes'!$A$6:$A$1005,0)),"MISSING ID"),1)),0)=1,IF(B568=IFERROR(INDEX('Crafting recipes'!$H$6:$H$1005,MATCH(J568,'Crafting recipes'!$A$6:$A$1005,0)),"MISSING ID"),"Advances one material tier","Lower-tier ingredient; route advances one tier"),"Needs tier review"))))))</x:f>
        <x:v>Finished endpoint</x:v>
      </x:c>
      <x:c r="S568" s="4" t="str">
        <x:f>IFERROR(INDEX('Material routes'!$D$6:$D$2205,MATCH(U568,'Material routes'!$A$6:$A$2205,0)),"MISSING ID")</x:f>
        <x:v>proposal.t1.dressed_stone</x:v>
      </x:c>
      <x:c r="T568" s="4" t="str">
        <x:f>IFERROR(INDEX('Material routes'!$D$6:$D$2205,MATCH(V568,'Material routes'!$A$6:$A$2205,0)),"MISSING ID")</x:f>
        <x:v>proposal.collection.founding_stone_keepsake</x:v>
      </x:c>
      <x:c r="U568" s="4" t="str">
        <x:v>design.collection.founding_stone_keepsake.in.1</x:v>
      </x:c>
      <x:c r="V568" s="4" t="str">
        <x:v>design.collection.founding_stone_keepsake.out</x:v>
      </x:c>
    </x:row>
    <x:row r="569" ht="64" customHeight="1">
      <x:c r="A569" s="4" t="str">
        <x:f>IFERROR(INDEX('Material routes'!$E$6:$E$2205,MATCH(U569,'Material routes'!$A$6:$A$2205,0)),"MISSING ID")</x:f>
        <x:v>Polished gemstone blanks</x:v>
      </x:c>
      <x:c r="B569" s="4" t="str">
        <x:f>IFERROR(INDEX('Material routes'!$F$6:$F$2205,MATCH(U569,'Material routes'!$A$6:$A$2205,0)),"MISSING ID")</x:f>
        <x:v>T2</x:v>
      </x:c>
      <x:c r="C569" s="4" t="str">
        <x:f>IFERROR(INDEX('Material routes'!$H$6:$H$2205,MATCH(U569,'Material routes'!$A$6:$A$2205,0)),"MISSING ID")</x:f>
        <x:v>Processed material</x:v>
      </x:c>
      <x:c r="D569" s="4" t="str">
        <x:f>IFERROR(INDEX('Material routes'!$G$6:$G$2205,MATCH(U569,'Material routes'!$A$6:$A$2205,0)),"MISSING ID")</x:f>
        <x:v>Manufactured stock</x:v>
      </x:c>
      <x:c r="E569" s="4" t="str">
        <x:f>IFERROR(INDEX('Material routes'!$C$6:$C$2205,MATCH(U569,'Material routes'!$A$6:$A$2205,0)),"MISSING ID")</x:f>
        <x:v>Ingredient candidate</x:v>
      </x:c>
      <x:c r="F569" s="4" t="str">
        <x:f>IFERROR(INDEX('Material routes'!$E$6:$E$2205,MATCH(V569,'Material routes'!$A$6:$A$2205,0)),"MISSING ID")</x:f>
        <x:v>Guild craft exemplar</x:v>
      </x:c>
      <x:c r="G569" s="4" t="str">
        <x:f>IFERROR(INDEX('Material routes'!$F$6:$F$2205,MATCH(V569,'Material routes'!$A$6:$A$2205,0)),"MISSING ID")</x:f>
        <x:v>Not applicable</x:v>
      </x:c>
      <x:c r="H569" s="4" t="str">
        <x:f>IFERROR(INDEX('Material routes'!$H$6:$H$2205,MATCH(V569,'Material routes'!$A$6:$A$2205,0)),"MISSING ID")</x:f>
        <x:v>Cultural object</x:v>
      </x:c>
      <x:c r="I569" s="4" t="str">
        <x:f>IFERROR(INDEX('Material routes'!$G$6:$G$2205,MATCH(V569,'Material routes'!$A$6:$A$2205,0)),"MISSING ID")</x:f>
        <x:v>Salvage</x:v>
      </x:c>
      <x:c r="J569" s="4" t="str">
        <x:f>IFERROR(INDEX('Material routes'!$B$6:$B$2205,MATCH(U569,'Material routes'!$A$6:$A$2205,0)),"MISSING ID")</x:f>
        <x:v>design.collection.guild_craft_exemplar</x:v>
      </x:c>
      <x:c r="K569" s="4" t="str">
        <x:f>IFERROR(INDEX('Crafting recipes'!$C$6:$C$1005,MATCH(J569,'Crafting recipes'!$A$6:$A$1005,0)),"MISSING ID")</x:f>
        <x:v>Finished-item crafting</x:v>
      </x:c>
      <x:c r="L569" s="4" t="str">
        <x:f>IFERROR(INDEX('Material routes'!$K$6:$K$2205,MATCH(U569,'Material routes'!$A$6:$A$2205,0)),"MISSING ID")</x:f>
        <x:v>Proposal</x:v>
      </x:c>
      <x:c r="M569" s="4" t="str">
        <x:f>IFERROR(INDEX('Material routes'!$M$6:$M$2205,MATCH(U569,'Material routes'!$A$6:$A$2205,0)),"MISSING ID")</x:f>
        <x:v>Partial proposal</x:v>
      </x:c>
      <x:c r="N569" s="4"/>
      <x:c r="O569" s="4" t="str">
        <x:f>IFERROR(INDEX('Material routes'!$J$6:$J$2205,MATCH(U569,'Material routes'!$A$6:$A$2205,0)),"MISSING ID")</x:f>
        <x:v>Unspecified</x:v>
      </x:c>
      <x:c r="P569" s="4"/>
      <x:c r="Q569" s="4" t="str">
        <x:f>IFERROR(INDEX('Material routes'!$J$6:$J$2205,MATCH(V569,'Material routes'!$A$6:$A$2205,0)),"MISSING ID")</x:f>
        <x:v>Unspecified</x:v>
      </x:c>
      <x:c r="R569" s="4" t="str">
        <x:f>IF(L569="Withheld","Withheld premise",IF(E569="Tool candidate","Reusable prerequisite",IF(K569="Raw entry preparation","Entry-resource preparation",IF(G569="Not applicable",IF(IFERROR(INDEX('Items'!$AI$6:$AI$1005,MATCH(T569,'Items'!$A$6:$A$1005,0)),"MISSING ID")="Finished item","Finished endpoint",IF(IFERROR(INDEX('Items'!$AI$6:$AI$1005,MATCH(T569,'Items'!$A$6:$A$1005,0)),"MISSING ID")="Currency","Currency / no refinement tier","Recovered output / tier not applicable")),IF(OR(IFERROR(INDEX('Crafting recipes'!$H$6:$H$1005,MATCH(J569,'Crafting recipes'!$A$6:$A$1005,0)),"MISSING ID")="Unassigned",G569="Unassigned"),"Tier unresolved",IF(IFERROR(VALUE(RIGHT(G569,1))-VALUE(RIGHT(IFERROR(INDEX('Crafting recipes'!$H$6:$H$1005,MATCH(J569,'Crafting recipes'!$A$6:$A$1005,0)),"MISSING ID"),1)),0)=1,IF(B569=IFERROR(INDEX('Crafting recipes'!$H$6:$H$1005,MATCH(J569,'Crafting recipes'!$A$6:$A$1005,0)),"MISSING ID"),"Advances one material tier","Lower-tier ingredient; route advances one tier"),"Needs tier review"))))))</x:f>
        <x:v>Finished endpoint</x:v>
      </x:c>
      <x:c r="S569" s="4" t="str">
        <x:f>IFERROR(INDEX('Material routes'!$D$6:$D$2205,MATCH(U569,'Material routes'!$A$6:$A$2205,0)),"MISSING ID")</x:f>
        <x:v>proposal.branch.polished_gem</x:v>
      </x:c>
      <x:c r="T569" s="4" t="str">
        <x:f>IFERROR(INDEX('Material routes'!$D$6:$D$2205,MATCH(V569,'Material routes'!$A$6:$A$2205,0)),"MISSING ID")</x:f>
        <x:v>proposal.collection.guild_craft_exemplar</x:v>
      </x:c>
      <x:c r="U569" s="4" t="str">
        <x:v>design.collection.guild_craft_exemplar.in.1</x:v>
      </x:c>
      <x:c r="V569" s="4" t="str">
        <x:v>design.collection.guild_craft_exemplar.out</x:v>
      </x:c>
    </x:row>
    <x:row r="570" ht="64" customHeight="1">
      <x:c r="A570" s="4" t="str">
        <x:f>IFERROR(INDEX('Material routes'!$E$6:$E$2205,MATCH(U570,'Material routes'!$A$6:$A$2205,0)),"MISSING ID")</x:f>
        <x:v>Worked iron stock</x:v>
      </x:c>
      <x:c r="B570" s="4" t="str">
        <x:f>IFERROR(INDEX('Material routes'!$F$6:$F$2205,MATCH(U570,'Material routes'!$A$6:$A$2205,0)),"MISSING ID")</x:f>
        <x:v>T2</x:v>
      </x:c>
      <x:c r="C570" s="4" t="str">
        <x:f>IFERROR(INDEX('Material routes'!$H$6:$H$2205,MATCH(U570,'Material routes'!$A$6:$A$2205,0)),"MISSING ID")</x:f>
        <x:v>Processed material</x:v>
      </x:c>
      <x:c r="D570" s="4" t="str">
        <x:f>IFERROR(INDEX('Material routes'!$G$6:$G$2205,MATCH(U570,'Material routes'!$A$6:$A$2205,0)),"MISSING ID")</x:f>
        <x:v>Manufactured stock</x:v>
      </x:c>
      <x:c r="E570" s="4" t="str">
        <x:f>IFERROR(INDEX('Material routes'!$C$6:$C$2205,MATCH(U570,'Material routes'!$A$6:$A$2205,0)),"MISSING ID")</x:f>
        <x:v>Ingredient candidate</x:v>
      </x:c>
      <x:c r="F570" s="4" t="str">
        <x:f>IFERROR(INDEX('Material routes'!$E$6:$E$2205,MATCH(V570,'Material routes'!$A$6:$A$2205,0)),"MISSING ID")</x:f>
        <x:v>Guild craft exemplar</x:v>
      </x:c>
      <x:c r="G570" s="4" t="str">
        <x:f>IFERROR(INDEX('Material routes'!$F$6:$F$2205,MATCH(V570,'Material routes'!$A$6:$A$2205,0)),"MISSING ID")</x:f>
        <x:v>Not applicable</x:v>
      </x:c>
      <x:c r="H570" s="4" t="str">
        <x:f>IFERROR(INDEX('Material routes'!$H$6:$H$2205,MATCH(V570,'Material routes'!$A$6:$A$2205,0)),"MISSING ID")</x:f>
        <x:v>Cultural object</x:v>
      </x:c>
      <x:c r="I570" s="4" t="str">
        <x:f>IFERROR(INDEX('Material routes'!$G$6:$G$2205,MATCH(V570,'Material routes'!$A$6:$A$2205,0)),"MISSING ID")</x:f>
        <x:v>Salvage</x:v>
      </x:c>
      <x:c r="J570" s="4" t="str">
        <x:f>IFERROR(INDEX('Material routes'!$B$6:$B$2205,MATCH(U570,'Material routes'!$A$6:$A$2205,0)),"MISSING ID")</x:f>
        <x:v>design.collection.guild_craft_exemplar</x:v>
      </x:c>
      <x:c r="K570" s="4" t="str">
        <x:f>IFERROR(INDEX('Crafting recipes'!$C$6:$C$1005,MATCH(J570,'Crafting recipes'!$A$6:$A$1005,0)),"MISSING ID")</x:f>
        <x:v>Finished-item crafting</x:v>
      </x:c>
      <x:c r="L570" s="4" t="str">
        <x:f>IFERROR(INDEX('Material routes'!$K$6:$K$2205,MATCH(U570,'Material routes'!$A$6:$A$2205,0)),"MISSING ID")</x:f>
        <x:v>Proposal</x:v>
      </x:c>
      <x:c r="M570" s="4" t="str">
        <x:f>IFERROR(INDEX('Material routes'!$M$6:$M$2205,MATCH(U570,'Material routes'!$A$6:$A$2205,0)),"MISSING ID")</x:f>
        <x:v>Partial proposal</x:v>
      </x:c>
      <x:c r="N570" s="4"/>
      <x:c r="O570" s="4" t="str">
        <x:f>IFERROR(INDEX('Material routes'!$J$6:$J$2205,MATCH(U570,'Material routes'!$A$6:$A$2205,0)),"MISSING ID")</x:f>
        <x:v>Unspecified</x:v>
      </x:c>
      <x:c r="P570" s="4"/>
      <x:c r="Q570" s="4" t="str">
        <x:f>IFERROR(INDEX('Material routes'!$J$6:$J$2205,MATCH(V570,'Material routes'!$A$6:$A$2205,0)),"MISSING ID")</x:f>
        <x:v>Unspecified</x:v>
      </x:c>
      <x:c r="R570" s="4" t="str">
        <x:f>IF(L570="Withheld","Withheld premise",IF(E570="Tool candidate","Reusable prerequisite",IF(K570="Raw entry preparation","Entry-resource preparation",IF(G570="Not applicable",IF(IFERROR(INDEX('Items'!$AI$6:$AI$1005,MATCH(T570,'Items'!$A$6:$A$1005,0)),"MISSING ID")="Finished item","Finished endpoint",IF(IFERROR(INDEX('Items'!$AI$6:$AI$1005,MATCH(T570,'Items'!$A$6:$A$1005,0)),"MISSING ID")="Currency","Currency / no refinement tier","Recovered output / tier not applicable")),IF(OR(IFERROR(INDEX('Crafting recipes'!$H$6:$H$1005,MATCH(J570,'Crafting recipes'!$A$6:$A$1005,0)),"MISSING ID")="Unassigned",G570="Unassigned"),"Tier unresolved",IF(IFERROR(VALUE(RIGHT(G570,1))-VALUE(RIGHT(IFERROR(INDEX('Crafting recipes'!$H$6:$H$1005,MATCH(J570,'Crafting recipes'!$A$6:$A$1005,0)),"MISSING ID"),1)),0)=1,IF(B570=IFERROR(INDEX('Crafting recipes'!$H$6:$H$1005,MATCH(J570,'Crafting recipes'!$A$6:$A$1005,0)),"MISSING ID"),"Advances one material tier","Lower-tier ingredient; route advances one tier"),"Needs tier review"))))))</x:f>
        <x:v>Finished endpoint</x:v>
      </x:c>
      <x:c r="S570" s="4" t="str">
        <x:f>IFERROR(INDEX('Material routes'!$D$6:$D$2205,MATCH(U570,'Material routes'!$A$6:$A$2205,0)),"MISSING ID")</x:f>
        <x:v>proposal.natural.iron_stock</x:v>
      </x:c>
      <x:c r="T570" s="4" t="str">
        <x:f>IFERROR(INDEX('Material routes'!$D$6:$D$2205,MATCH(V570,'Material routes'!$A$6:$A$2205,0)),"MISSING ID")</x:f>
        <x:v>proposal.collection.guild_craft_exemplar</x:v>
      </x:c>
      <x:c r="U570" s="4" t="str">
        <x:v>design.collection.guild_craft_exemplar.in.2</x:v>
      </x:c>
      <x:c r="V570" s="4" t="str">
        <x:v>design.collection.guild_craft_exemplar.out</x:v>
      </x:c>
    </x:row>
    <x:row r="571" ht="64" customHeight="1">
      <x:c r="A571" s="4" t="str">
        <x:f>IFERROR(INDEX('Material routes'!$E$6:$E$2205,MATCH(U571,'Material routes'!$A$6:$A$2205,0)),"MISSING ID")</x:f>
        <x:v>Steel stock</x:v>
      </x:c>
      <x:c r="B571" s="4" t="str">
        <x:f>IFERROR(INDEX('Material routes'!$F$6:$F$2205,MATCH(U571,'Material routes'!$A$6:$A$2205,0)),"MISSING ID")</x:f>
        <x:v>T2</x:v>
      </x:c>
      <x:c r="C571" s="4" t="str">
        <x:f>IFERROR(INDEX('Material routes'!$H$6:$H$2205,MATCH(U571,'Material routes'!$A$6:$A$2205,0)),"MISSING ID")</x:f>
        <x:v>Processed material</x:v>
      </x:c>
      <x:c r="D571" s="4" t="str">
        <x:f>IFERROR(INDEX('Material routes'!$G$6:$G$2205,MATCH(U571,'Material routes'!$A$6:$A$2205,0)),"MISSING ID")</x:f>
        <x:v>Manufactured stock</x:v>
      </x:c>
      <x:c r="E571" s="4" t="str">
        <x:f>IFERROR(INDEX('Material routes'!$C$6:$C$2205,MATCH(U571,'Material routes'!$A$6:$A$2205,0)),"MISSING ID")</x:f>
        <x:v>Ingredient candidate</x:v>
      </x:c>
      <x:c r="F571" s="4" t="str">
        <x:f>IFERROR(INDEX('Material routes'!$E$6:$E$2205,MATCH(V571,'Material routes'!$A$6:$A$2205,0)),"MISSING ID")</x:f>
        <x:v>Witness chain</x:v>
      </x:c>
      <x:c r="G571" s="4" t="str">
        <x:f>IFERROR(INDEX('Material routes'!$F$6:$F$2205,MATCH(V571,'Material routes'!$A$6:$A$2205,0)),"MISSING ID")</x:f>
        <x:v>Not applicable</x:v>
      </x:c>
      <x:c r="H571" s="4" t="str">
        <x:f>IFERROR(INDEX('Material routes'!$H$6:$H$2205,MATCH(V571,'Material routes'!$A$6:$A$2205,0)),"MISSING ID")</x:f>
        <x:v>Cultural object</x:v>
      </x:c>
      <x:c r="I571" s="4" t="str">
        <x:f>IFERROR(INDEX('Material routes'!$G$6:$G$2205,MATCH(V571,'Material routes'!$A$6:$A$2205,0)),"MISSING ID")</x:f>
        <x:v>Salvage</x:v>
      </x:c>
      <x:c r="J571" s="4" t="str">
        <x:f>IFERROR(INDEX('Material routes'!$B$6:$B$2205,MATCH(U571,'Material routes'!$A$6:$A$2205,0)),"MISSING ID")</x:f>
        <x:v>design.collection.witness_chain</x:v>
      </x:c>
      <x:c r="K571" s="4" t="str">
        <x:f>IFERROR(INDEX('Crafting recipes'!$C$6:$C$1005,MATCH(J571,'Crafting recipes'!$A$6:$A$1005,0)),"MISSING ID")</x:f>
        <x:v>Finished-item crafting</x:v>
      </x:c>
      <x:c r="L571" s="4" t="str">
        <x:f>IFERROR(INDEX('Material routes'!$K$6:$K$2205,MATCH(U571,'Material routes'!$A$6:$A$2205,0)),"MISSING ID")</x:f>
        <x:v>Proposal</x:v>
      </x:c>
      <x:c r="M571" s="4" t="str">
        <x:f>IFERROR(INDEX('Material routes'!$M$6:$M$2205,MATCH(U571,'Material routes'!$A$6:$A$2205,0)),"MISSING ID")</x:f>
        <x:v>Partial proposal</x:v>
      </x:c>
      <x:c r="N571" s="4"/>
      <x:c r="O571" s="4" t="str">
        <x:f>IFERROR(INDEX('Material routes'!$J$6:$J$2205,MATCH(U571,'Material routes'!$A$6:$A$2205,0)),"MISSING ID")</x:f>
        <x:v>Unspecified</x:v>
      </x:c>
      <x:c r="P571" s="4"/>
      <x:c r="Q571" s="4" t="str">
        <x:f>IFERROR(INDEX('Material routes'!$J$6:$J$2205,MATCH(V571,'Material routes'!$A$6:$A$2205,0)),"MISSING ID")</x:f>
        <x:v>Unspecified</x:v>
      </x:c>
      <x:c r="R571" s="4" t="str">
        <x:f>IF(L571="Withheld","Withheld premise",IF(E571="Tool candidate","Reusable prerequisite",IF(K571="Raw entry preparation","Entry-resource preparation",IF(G571="Not applicable",IF(IFERROR(INDEX('Items'!$AI$6:$AI$1005,MATCH(T571,'Items'!$A$6:$A$1005,0)),"MISSING ID")="Finished item","Finished endpoint",IF(IFERROR(INDEX('Items'!$AI$6:$AI$1005,MATCH(T571,'Items'!$A$6:$A$1005,0)),"MISSING ID")="Currency","Currency / no refinement tier","Recovered output / tier not applicable")),IF(OR(IFERROR(INDEX('Crafting recipes'!$H$6:$H$1005,MATCH(J571,'Crafting recipes'!$A$6:$A$1005,0)),"MISSING ID")="Unassigned",G571="Unassigned"),"Tier unresolved",IF(IFERROR(VALUE(RIGHT(G571,1))-VALUE(RIGHT(IFERROR(INDEX('Crafting recipes'!$H$6:$H$1005,MATCH(J571,'Crafting recipes'!$A$6:$A$1005,0)),"MISSING ID"),1)),0)=1,IF(B571=IFERROR(INDEX('Crafting recipes'!$H$6:$H$1005,MATCH(J571,'Crafting recipes'!$A$6:$A$1005,0)),"MISSING ID"),"Advances one material tier","Lower-tier ingredient; route advances one tier"),"Needs tier review"))))))</x:f>
        <x:v>Finished endpoint</x:v>
      </x:c>
      <x:c r="S571" s="4" t="str">
        <x:f>IFERROR(INDEX('Material routes'!$D$6:$D$2205,MATCH(U571,'Material routes'!$A$6:$A$2205,0)),"MISSING ID")</x:f>
        <x:v>author.metallurgy.steel_stock</x:v>
      </x:c>
      <x:c r="T571" s="4" t="str">
        <x:f>IFERROR(INDEX('Material routes'!$D$6:$D$2205,MATCH(V571,'Material routes'!$A$6:$A$2205,0)),"MISSING ID")</x:f>
        <x:v>proposal.collection.witness_chain</x:v>
      </x:c>
      <x:c r="U571" s="4" t="str">
        <x:v>design.collection.witness_chain.in.1</x:v>
      </x:c>
      <x:c r="V571" s="4" t="str">
        <x:v>design.collection.witness_chain.out</x:v>
      </x:c>
    </x:row>
    <x:row r="572" ht="64" customHeight="1">
      <x:c r="A572" s="4"/>
      <x:c r="B572" s="4"/>
      <x:c r="C572" s="4"/>
      <x:c r="D572" s="4"/>
      <x:c r="E572" s="4"/>
      <x:c r="F572" s="4"/>
      <x:c r="G572" s="4"/>
      <x:c r="H572" s="4"/>
      <x:c r="I572" s="4"/>
      <x:c r="J572" s="4"/>
      <x:c r="K572" s="4"/>
      <x:c r="L572" s="4"/>
      <x:c r="M572" s="4"/>
      <x:c r="N572" s="4"/>
      <x:c r="O572" s="4"/>
      <x:c r="P572" s="4"/>
      <x:c r="Q572" s="4"/>
      <x:c r="R572" s="4"/>
      <x:c r="S572" s="4"/>
      <x:c r="T572" s="4"/>
      <x:c r="U572" s="4"/>
      <x:c r="V572" s="4"/>
    </x:row>
    <x:row r="573" ht="64" customHeight="1">
      <x:c r="A573" s="4"/>
      <x:c r="B573" s="4"/>
      <x:c r="C573" s="4"/>
      <x:c r="D573" s="4"/>
      <x:c r="E573" s="4"/>
      <x:c r="F573" s="4"/>
      <x:c r="G573" s="4"/>
      <x:c r="H573" s="4"/>
      <x:c r="I573" s="4"/>
      <x:c r="J573" s="4"/>
      <x:c r="K573" s="4"/>
      <x:c r="L573" s="4"/>
      <x:c r="M573" s="4"/>
      <x:c r="N573" s="4"/>
      <x:c r="O573" s="4"/>
      <x:c r="P573" s="4"/>
      <x:c r="Q573" s="4"/>
      <x:c r="R573" s="4"/>
      <x:c r="S573" s="4"/>
      <x:c r="T573" s="4"/>
      <x:c r="U573" s="4"/>
      <x:c r="V573" s="4"/>
    </x:row>
    <x:row r="574" ht="64" customHeight="1">
      <x:c r="A574" s="4" t="str">
        <x:f>IFERROR(INDEX('Material routes'!$E$6:$E$2205,MATCH(U574,'Material routes'!$A$6:$A$2205,0)),"MISSING ID")</x:f>
        <x:v>Ceramic insulating bead</x:v>
      </x:c>
      <x:c r="B574" s="4" t="str">
        <x:f>IFERROR(INDEX('Material routes'!$F$6:$F$2205,MATCH(U574,'Material routes'!$A$6:$A$2205,0)),"MISSING ID")</x:f>
        <x:v>T3</x:v>
      </x:c>
      <x:c r="C574" s="4" t="str">
        <x:f>IFERROR(INDEX('Material routes'!$H$6:$H$2205,MATCH(U574,'Material routes'!$A$6:$A$2205,0)),"MISSING ID")</x:f>
        <x:v>Crafting component</x:v>
      </x:c>
      <x:c r="D574" s="4" t="str">
        <x:f>IFERROR(INDEX('Material routes'!$G$6:$G$2205,MATCH(U574,'Material routes'!$A$6:$A$2205,0)),"MISSING ID")</x:f>
        <x:v>Crafting components</x:v>
      </x:c>
      <x:c r="E574" s="4" t="str">
        <x:f>IFERROR(INDEX('Material routes'!$C$6:$C$2205,MATCH(U574,'Material routes'!$A$6:$A$2205,0)),"MISSING ID")</x:f>
        <x:v>Ingredient candidate</x:v>
      </x:c>
      <x:c r="F574" s="4" t="str">
        <x:f>IFERROR(INDEX('Material routes'!$E$6:$E$2205,MATCH(V574,'Material routes'!$A$6:$A$2205,0)),"MISSING ID")</x:f>
        <x:v>Pilgrim route bead strand</x:v>
      </x:c>
      <x:c r="G574" s="4" t="str">
        <x:f>IFERROR(INDEX('Material routes'!$F$6:$F$2205,MATCH(V574,'Material routes'!$A$6:$A$2205,0)),"MISSING ID")</x:f>
        <x:v>Not applicable</x:v>
      </x:c>
      <x:c r="H574" s="4" t="str">
        <x:f>IFERROR(INDEX('Material routes'!$H$6:$H$2205,MATCH(V574,'Material routes'!$A$6:$A$2205,0)),"MISSING ID")</x:f>
        <x:v>Cultural object</x:v>
      </x:c>
      <x:c r="I574" s="4" t="str">
        <x:f>IFERROR(INDEX('Material routes'!$G$6:$G$2205,MATCH(V574,'Material routes'!$A$6:$A$2205,0)),"MISSING ID")</x:f>
        <x:v>Salvage</x:v>
      </x:c>
      <x:c r="J574" s="4" t="str">
        <x:f>IFERROR(INDEX('Material routes'!$B$6:$B$2205,MATCH(U574,'Material routes'!$A$6:$A$2205,0)),"MISSING ID")</x:f>
        <x:v>design.collection.pilgrim_route_bead_strand</x:v>
      </x:c>
      <x:c r="K574" s="4" t="str">
        <x:f>IFERROR(INDEX('Crafting recipes'!$C$6:$C$1005,MATCH(J574,'Crafting recipes'!$A$6:$A$1005,0)),"MISSING ID")</x:f>
        <x:v>Finished-item crafting</x:v>
      </x:c>
      <x:c r="L574" s="4" t="str">
        <x:f>IFERROR(INDEX('Material routes'!$K$6:$K$2205,MATCH(U574,'Material routes'!$A$6:$A$2205,0)),"MISSING ID")</x:f>
        <x:v>Proposal</x:v>
      </x:c>
      <x:c r="M574" s="4" t="str">
        <x:f>IFERROR(INDEX('Material routes'!$M$6:$M$2205,MATCH(U574,'Material routes'!$A$6:$A$2205,0)),"MISSING ID")</x:f>
        <x:v>Partial proposal</x:v>
      </x:c>
      <x:c r="N574" s="4"/>
      <x:c r="O574" s="4" t="str">
        <x:f>IFERROR(INDEX('Material routes'!$J$6:$J$2205,MATCH(U574,'Material routes'!$A$6:$A$2205,0)),"MISSING ID")</x:f>
        <x:v>Unspecified</x:v>
      </x:c>
      <x:c r="P574" s="4"/>
      <x:c r="Q574" s="4" t="str">
        <x:f>IFERROR(INDEX('Material routes'!$J$6:$J$2205,MATCH(V574,'Material routes'!$A$6:$A$2205,0)),"MISSING ID")</x:f>
        <x:v>Unspecified</x:v>
      </x:c>
      <x:c r="R574" s="4" t="str">
        <x:f>IF(L574="Withheld","Withheld premise",IF(E574="Tool candidate","Reusable prerequisite",IF(K574="Raw entry preparation","Entry-resource preparation",IF(G574="Not applicable",IF(IFERROR(INDEX('Items'!$AI$6:$AI$1005,MATCH(T574,'Items'!$A$6:$A$1005,0)),"MISSING ID")="Finished item","Finished endpoint",IF(IFERROR(INDEX('Items'!$AI$6:$AI$1005,MATCH(T574,'Items'!$A$6:$A$1005,0)),"MISSING ID")="Currency","Currency / no refinement tier","Recovered output / tier not applicable")),IF(OR(IFERROR(INDEX('Crafting recipes'!$H$6:$H$1005,MATCH(J574,'Crafting recipes'!$A$6:$A$1005,0)),"MISSING ID")="Unassigned",G574="Unassigned"),"Tier unresolved",IF(IFERROR(VALUE(RIGHT(G574,1))-VALUE(RIGHT(IFERROR(INDEX('Crafting recipes'!$H$6:$H$1005,MATCH(J574,'Crafting recipes'!$A$6:$A$1005,0)),"MISSING ID"),1)),0)=1,IF(B574=IFERROR(INDEX('Crafting recipes'!$H$6:$H$1005,MATCH(J574,'Crafting recipes'!$A$6:$A$1005,0)),"MISSING ID"),"Advances one material tier","Lower-tier ingredient; route advances one tier"),"Needs tier review"))))))</x:f>
        <x:v>Finished endpoint</x:v>
      </x:c>
      <x:c r="S574" s="4" t="str">
        <x:f>IFERROR(INDEX('Material routes'!$D$6:$D$2205,MATCH(U574,'Material routes'!$A$6:$A$2205,0)),"MISSING ID")</x:f>
        <x:v>proposal.ceramic.bead</x:v>
      </x:c>
      <x:c r="T574" s="4" t="str">
        <x:f>IFERROR(INDEX('Material routes'!$D$6:$D$2205,MATCH(V574,'Material routes'!$A$6:$A$2205,0)),"MISSING ID")</x:f>
        <x:v>proposal.collection.pilgrim_route_bead_strand</x:v>
      </x:c>
      <x:c r="U574" s="4" t="str">
        <x:v>design.collection.pilgrim_route_bead_strand.in.1</x:v>
      </x:c>
      <x:c r="V574" s="4" t="str">
        <x:v>design.collection.pilgrim_route_bead_strand.out</x:v>
      </x:c>
    </x:row>
    <x:row r="575" ht="64" customHeight="1">
      <x:c r="A575" s="4" t="str">
        <x:f>IFERROR(INDEX('Material routes'!$E$6:$E$2205,MATCH(U575,'Material routes'!$A$6:$A$2205,0)),"MISSING ID")</x:f>
        <x:v>Tendon cord</x:v>
      </x:c>
      <x:c r="B575" s="4" t="str">
        <x:f>IFERROR(INDEX('Material routes'!$F$6:$F$2205,MATCH(U575,'Material routes'!$A$6:$A$2205,0)),"MISSING ID")</x:f>
        <x:v>T1</x:v>
      </x:c>
      <x:c r="C575" s="4" t="str">
        <x:f>IFERROR(INDEX('Material routes'!$H$6:$H$2205,MATCH(U575,'Material routes'!$A$6:$A$2205,0)),"MISSING ID")</x:f>
        <x:v>Crafting component</x:v>
      </x:c>
      <x:c r="D575" s="4" t="str">
        <x:f>IFERROR(INDEX('Material routes'!$G$6:$G$2205,MATCH(U575,'Material routes'!$A$6:$A$2205,0)),"MISSING ID")</x:f>
        <x:v>Crafting components</x:v>
      </x:c>
      <x:c r="E575" s="4" t="str">
        <x:f>IFERROR(INDEX('Material routes'!$C$6:$C$2205,MATCH(U575,'Material routes'!$A$6:$A$2205,0)),"MISSING ID")</x:f>
        <x:v>Ingredient candidate</x:v>
      </x:c>
      <x:c r="F575" s="4" t="str">
        <x:f>IFERROR(INDEX('Material routes'!$E$6:$E$2205,MATCH(V575,'Material routes'!$A$6:$A$2205,0)),"MISSING ID")</x:f>
        <x:v>Pilgrim route bead strand</x:v>
      </x:c>
      <x:c r="G575" s="4" t="str">
        <x:f>IFERROR(INDEX('Material routes'!$F$6:$F$2205,MATCH(V575,'Material routes'!$A$6:$A$2205,0)),"MISSING ID")</x:f>
        <x:v>Not applicable</x:v>
      </x:c>
      <x:c r="H575" s="4" t="str">
        <x:f>IFERROR(INDEX('Material routes'!$H$6:$H$2205,MATCH(V575,'Material routes'!$A$6:$A$2205,0)),"MISSING ID")</x:f>
        <x:v>Cultural object</x:v>
      </x:c>
      <x:c r="I575" s="4" t="str">
        <x:f>IFERROR(INDEX('Material routes'!$G$6:$G$2205,MATCH(V575,'Material routes'!$A$6:$A$2205,0)),"MISSING ID")</x:f>
        <x:v>Salvage</x:v>
      </x:c>
      <x:c r="J575" s="4" t="str">
        <x:f>IFERROR(INDEX('Material routes'!$B$6:$B$2205,MATCH(U575,'Material routes'!$A$6:$A$2205,0)),"MISSING ID")</x:f>
        <x:v>design.collection.pilgrim_route_bead_strand</x:v>
      </x:c>
      <x:c r="K575" s="4" t="str">
        <x:f>IFERROR(INDEX('Crafting recipes'!$C$6:$C$1005,MATCH(J575,'Crafting recipes'!$A$6:$A$1005,0)),"MISSING ID")</x:f>
        <x:v>Finished-item crafting</x:v>
      </x:c>
      <x:c r="L575" s="4" t="str">
        <x:f>IFERROR(INDEX('Material routes'!$K$6:$K$2205,MATCH(U575,'Material routes'!$A$6:$A$2205,0)),"MISSING ID")</x:f>
        <x:v>Proposal</x:v>
      </x:c>
      <x:c r="M575" s="4" t="str">
        <x:f>IFERROR(INDEX('Material routes'!$M$6:$M$2205,MATCH(U575,'Material routes'!$A$6:$A$2205,0)),"MISSING ID")</x:f>
        <x:v>Partial proposal</x:v>
      </x:c>
      <x:c r="N575" s="4"/>
      <x:c r="O575" s="4" t="str">
        <x:f>IFERROR(INDEX('Material routes'!$J$6:$J$2205,MATCH(U575,'Material routes'!$A$6:$A$2205,0)),"MISSING ID")</x:f>
        <x:v>Unspecified</x:v>
      </x:c>
      <x:c r="P575" s="4"/>
      <x:c r="Q575" s="4" t="str">
        <x:f>IFERROR(INDEX('Material routes'!$J$6:$J$2205,MATCH(V575,'Material routes'!$A$6:$A$2205,0)),"MISSING ID")</x:f>
        <x:v>Unspecified</x:v>
      </x:c>
      <x:c r="R575" s="4" t="str">
        <x:f>IF(L575="Withheld","Withheld premise",IF(E575="Tool candidate","Reusable prerequisite",IF(K575="Raw entry preparation","Entry-resource preparation",IF(G575="Not applicable",IF(IFERROR(INDEX('Items'!$AI$6:$AI$1005,MATCH(T575,'Items'!$A$6:$A$1005,0)),"MISSING ID")="Finished item","Finished endpoint",IF(IFERROR(INDEX('Items'!$AI$6:$AI$1005,MATCH(T575,'Items'!$A$6:$A$1005,0)),"MISSING ID")="Currency","Currency / no refinement tier","Recovered output / tier not applicable")),IF(OR(IFERROR(INDEX('Crafting recipes'!$H$6:$H$1005,MATCH(J575,'Crafting recipes'!$A$6:$A$1005,0)),"MISSING ID")="Unassigned",G575="Unassigned"),"Tier unresolved",IF(IFERROR(VALUE(RIGHT(G575,1))-VALUE(RIGHT(IFERROR(INDEX('Crafting recipes'!$H$6:$H$1005,MATCH(J575,'Crafting recipes'!$A$6:$A$1005,0)),"MISSING ID"),1)),0)=1,IF(B575=IFERROR(INDEX('Crafting recipes'!$H$6:$H$1005,MATCH(J575,'Crafting recipes'!$A$6:$A$1005,0)),"MISSING ID"),"Advances one material tier","Lower-tier ingredient; route advances one tier"),"Needs tier review"))))))</x:f>
        <x:v>Finished endpoint</x:v>
      </x:c>
      <x:c r="S575" s="4" t="str">
        <x:f>IFERROR(INDEX('Material routes'!$D$6:$D$2205,MATCH(U575,'Material routes'!$A$6:$A$2205,0)),"MISSING ID")</x:f>
        <x:v>proposal.bio.cord</x:v>
      </x:c>
      <x:c r="T575" s="4" t="str">
        <x:f>IFERROR(INDEX('Material routes'!$D$6:$D$2205,MATCH(V575,'Material routes'!$A$6:$A$2205,0)),"MISSING ID")</x:f>
        <x:v>proposal.collection.pilgrim_route_bead_strand</x:v>
      </x:c>
      <x:c r="U575" s="4" t="str">
        <x:v>design.collection.pilgrim_route_bead_strand.in.2</x:v>
      </x:c>
      <x:c r="V575" s="4" t="str">
        <x:v>design.collection.pilgrim_route_bead_strand.out</x:v>
      </x:c>
    </x:row>
    <x:row r="576" ht="64" customHeight="1">
      <x:c r="A576" s="4" t="str">
        <x:f>IFERROR(INDEX('Material routes'!$E$6:$E$2205,MATCH(U576,'Material routes'!$A$6:$A$2205,0)),"MISSING ID")</x:f>
        <x:v>Separated shell lamina stock</x:v>
      </x:c>
      <x:c r="B576" s="4" t="str">
        <x:f>IFERROR(INDEX('Material routes'!$F$6:$F$2205,MATCH(U576,'Material routes'!$A$6:$A$2205,0)),"MISSING ID")</x:f>
        <x:v>T1</x:v>
      </x:c>
      <x:c r="C576" s="4" t="str">
        <x:f>IFERROR(INDEX('Material routes'!$H$6:$H$2205,MATCH(U576,'Material routes'!$A$6:$A$2205,0)),"MISSING ID")</x:f>
        <x:v>Processed material</x:v>
      </x:c>
      <x:c r="D576" s="4" t="str">
        <x:f>IFERROR(INDEX('Material routes'!$G$6:$G$2205,MATCH(U576,'Material routes'!$A$6:$A$2205,0)),"MISSING ID")</x:f>
        <x:v>Manufactured stock</x:v>
      </x:c>
      <x:c r="E576" s="4" t="str">
        <x:f>IFERROR(INDEX('Material routes'!$C$6:$C$2205,MATCH(U576,'Material routes'!$A$6:$A$2205,0)),"MISSING ID")</x:f>
        <x:v>Ingredient candidate</x:v>
      </x:c>
      <x:c r="F576" s="4" t="str">
        <x:f>IFERROR(INDEX('Material routes'!$E$6:$E$2205,MATCH(V576,'Material routes'!$A$6:$A$2205,0)),"MISSING ID")</x:f>
        <x:v>Ancestor shell silhouette</x:v>
      </x:c>
      <x:c r="G576" s="4" t="str">
        <x:f>IFERROR(INDEX('Material routes'!$F$6:$F$2205,MATCH(V576,'Material routes'!$A$6:$A$2205,0)),"MISSING ID")</x:f>
        <x:v>Not applicable</x:v>
      </x:c>
      <x:c r="H576" s="4" t="str">
        <x:f>IFERROR(INDEX('Material routes'!$H$6:$H$2205,MATCH(V576,'Material routes'!$A$6:$A$2205,0)),"MISSING ID")</x:f>
        <x:v>Cultural object</x:v>
      </x:c>
      <x:c r="I576" s="4" t="str">
        <x:f>IFERROR(INDEX('Material routes'!$G$6:$G$2205,MATCH(V576,'Material routes'!$A$6:$A$2205,0)),"MISSING ID")</x:f>
        <x:v>Salvage</x:v>
      </x:c>
      <x:c r="J576" s="4" t="str">
        <x:f>IFERROR(INDEX('Material routes'!$B$6:$B$2205,MATCH(U576,'Material routes'!$A$6:$A$2205,0)),"MISSING ID")</x:f>
        <x:v>design.collection.ancestor_shell_silhouette</x:v>
      </x:c>
      <x:c r="K576" s="4" t="str">
        <x:f>IFERROR(INDEX('Crafting recipes'!$C$6:$C$1005,MATCH(J576,'Crafting recipes'!$A$6:$A$1005,0)),"MISSING ID")</x:f>
        <x:v>Finished-item crafting</x:v>
      </x:c>
      <x:c r="L576" s="4" t="str">
        <x:f>IFERROR(INDEX('Material routes'!$K$6:$K$2205,MATCH(U576,'Material routes'!$A$6:$A$2205,0)),"MISSING ID")</x:f>
        <x:v>Proposal</x:v>
      </x:c>
      <x:c r="M576" s="4" t="str">
        <x:f>IFERROR(INDEX('Material routes'!$M$6:$M$2205,MATCH(U576,'Material routes'!$A$6:$A$2205,0)),"MISSING ID")</x:f>
        <x:v>Partial proposal</x:v>
      </x:c>
      <x:c r="N576" s="4"/>
      <x:c r="O576" s="4" t="str">
        <x:f>IFERROR(INDEX('Material routes'!$J$6:$J$2205,MATCH(U576,'Material routes'!$A$6:$A$2205,0)),"MISSING ID")</x:f>
        <x:v>Unspecified</x:v>
      </x:c>
      <x:c r="P576" s="4"/>
      <x:c r="Q576" s="4" t="str">
        <x:f>IFERROR(INDEX('Material routes'!$J$6:$J$2205,MATCH(V576,'Material routes'!$A$6:$A$2205,0)),"MISSING ID")</x:f>
        <x:v>Unspecified</x:v>
      </x:c>
      <x:c r="R576" s="4" t="str">
        <x:f>IF(L576="Withheld","Withheld premise",IF(E576="Tool candidate","Reusable prerequisite",IF(K576="Raw entry preparation","Entry-resource preparation",IF(G576="Not applicable",IF(IFERROR(INDEX('Items'!$AI$6:$AI$1005,MATCH(T576,'Items'!$A$6:$A$1005,0)),"MISSING ID")="Finished item","Finished endpoint",IF(IFERROR(INDEX('Items'!$AI$6:$AI$1005,MATCH(T576,'Items'!$A$6:$A$1005,0)),"MISSING ID")="Currency","Currency / no refinement tier","Recovered output / tier not applicable")),IF(OR(IFERROR(INDEX('Crafting recipes'!$H$6:$H$1005,MATCH(J576,'Crafting recipes'!$A$6:$A$1005,0)),"MISSING ID")="Unassigned",G576="Unassigned"),"Tier unresolved",IF(IFERROR(VALUE(RIGHT(G576,1))-VALUE(RIGHT(IFERROR(INDEX('Crafting recipes'!$H$6:$H$1005,MATCH(J576,'Crafting recipes'!$A$6:$A$1005,0)),"MISSING ID"),1)),0)=1,IF(B576=IFERROR(INDEX('Crafting recipes'!$H$6:$H$1005,MATCH(J576,'Crafting recipes'!$A$6:$A$1005,0)),"MISSING ID"),"Advances one material tier","Lower-tier ingredient; route advances one tier"),"Needs tier review"))))))</x:f>
        <x:v>Finished endpoint</x:v>
      </x:c>
      <x:c r="S576" s="4" t="str">
        <x:f>IFERROR(INDEX('Material routes'!$D$6:$D$2205,MATCH(U576,'Material routes'!$A$6:$A$2205,0)),"MISSING ID")</x:f>
        <x:v>proposal.t1.shell_lamina</x:v>
      </x:c>
      <x:c r="T576" s="4" t="str">
        <x:f>IFERROR(INDEX('Material routes'!$D$6:$D$2205,MATCH(V576,'Material routes'!$A$6:$A$2205,0)),"MISSING ID")</x:f>
        <x:v>proposal.collection.ancestor_shell_silhouette</x:v>
      </x:c>
      <x:c r="U576" s="4" t="str">
        <x:v>design.collection.ancestor_shell_silhouette.in.1</x:v>
      </x:c>
      <x:c r="V576" s="4" t="str">
        <x:v>design.collection.ancestor_shell_silhouette.out</x:v>
      </x:c>
    </x:row>
    <x:row r="577" ht="64" customHeight="1">
      <x:c r="A577" s="4" t="str">
        <x:f>IFERROR(INDEX('Material routes'!$E$6:$E$2205,MATCH(U577,'Material routes'!$A$6:$A$2205,0)),"MISSING ID")</x:f>
        <x:v>Drawn bronze strip stock</x:v>
      </x:c>
      <x:c r="B577" s="4" t="str">
        <x:f>IFERROR(INDEX('Material routes'!$F$6:$F$2205,MATCH(U577,'Material routes'!$A$6:$A$2205,0)),"MISSING ID")</x:f>
        <x:v>T2</x:v>
      </x:c>
      <x:c r="C577" s="4" t="str">
        <x:f>IFERROR(INDEX('Material routes'!$H$6:$H$2205,MATCH(U577,'Material routes'!$A$6:$A$2205,0)),"MISSING ID")</x:f>
        <x:v>Processed material</x:v>
      </x:c>
      <x:c r="D577" s="4" t="str">
        <x:f>IFERROR(INDEX('Material routes'!$G$6:$G$2205,MATCH(U577,'Material routes'!$A$6:$A$2205,0)),"MISSING ID")</x:f>
        <x:v>Manufactured stock</x:v>
      </x:c>
      <x:c r="E577" s="4" t="str">
        <x:f>IFERROR(INDEX('Material routes'!$C$6:$C$2205,MATCH(U577,'Material routes'!$A$6:$A$2205,0)),"MISSING ID")</x:f>
        <x:v>Ingredient candidate</x:v>
      </x:c>
      <x:c r="F577" s="4" t="str">
        <x:f>IFERROR(INDEX('Material routes'!$E$6:$E$2205,MATCH(V577,'Material routes'!$A$6:$A$2205,0)),"MISSING ID")</x:f>
        <x:v>Work-crew oath clasp</x:v>
      </x:c>
      <x:c r="G577" s="4" t="str">
        <x:f>IFERROR(INDEX('Material routes'!$F$6:$F$2205,MATCH(V577,'Material routes'!$A$6:$A$2205,0)),"MISSING ID")</x:f>
        <x:v>Not applicable</x:v>
      </x:c>
      <x:c r="H577" s="4" t="str">
        <x:f>IFERROR(INDEX('Material routes'!$H$6:$H$2205,MATCH(V577,'Material routes'!$A$6:$A$2205,0)),"MISSING ID")</x:f>
        <x:v>Cultural object</x:v>
      </x:c>
      <x:c r="I577" s="4" t="str">
        <x:f>IFERROR(INDEX('Material routes'!$G$6:$G$2205,MATCH(V577,'Material routes'!$A$6:$A$2205,0)),"MISSING ID")</x:f>
        <x:v>Salvage</x:v>
      </x:c>
      <x:c r="J577" s="4" t="str">
        <x:f>IFERROR(INDEX('Material routes'!$B$6:$B$2205,MATCH(U577,'Material routes'!$A$6:$A$2205,0)),"MISSING ID")</x:f>
        <x:v>design.collection.work_crew_oath_clasp</x:v>
      </x:c>
      <x:c r="K577" s="4" t="str">
        <x:f>IFERROR(INDEX('Crafting recipes'!$C$6:$C$1005,MATCH(J577,'Crafting recipes'!$A$6:$A$1005,0)),"MISSING ID")</x:f>
        <x:v>Finished-item crafting</x:v>
      </x:c>
      <x:c r="L577" s="4" t="str">
        <x:f>IFERROR(INDEX('Material routes'!$K$6:$K$2205,MATCH(U577,'Material routes'!$A$6:$A$2205,0)),"MISSING ID")</x:f>
        <x:v>Proposal</x:v>
      </x:c>
      <x:c r="M577" s="4" t="str">
        <x:f>IFERROR(INDEX('Material routes'!$M$6:$M$2205,MATCH(U577,'Material routes'!$A$6:$A$2205,0)),"MISSING ID")</x:f>
        <x:v>Partial proposal</x:v>
      </x:c>
      <x:c r="N577" s="4"/>
      <x:c r="O577" s="4" t="str">
        <x:f>IFERROR(INDEX('Material routes'!$J$6:$J$2205,MATCH(U577,'Material routes'!$A$6:$A$2205,0)),"MISSING ID")</x:f>
        <x:v>Unspecified</x:v>
      </x:c>
      <x:c r="P577" s="4"/>
      <x:c r="Q577" s="4" t="str">
        <x:f>IFERROR(INDEX('Material routes'!$J$6:$J$2205,MATCH(V577,'Material routes'!$A$6:$A$2205,0)),"MISSING ID")</x:f>
        <x:v>Unspecified</x:v>
      </x:c>
      <x:c r="R577" s="4" t="str">
        <x:f>IF(L577="Withheld","Withheld premise",IF(E577="Tool candidate","Reusable prerequisite",IF(K577="Raw entry preparation","Entry-resource preparation",IF(G577="Not applicable",IF(IFERROR(INDEX('Items'!$AI$6:$AI$1005,MATCH(T577,'Items'!$A$6:$A$1005,0)),"MISSING ID")="Finished item","Finished endpoint",IF(IFERROR(INDEX('Items'!$AI$6:$AI$1005,MATCH(T577,'Items'!$A$6:$A$1005,0)),"MISSING ID")="Currency","Currency / no refinement tier","Recovered output / tier not applicable")),IF(OR(IFERROR(INDEX('Crafting recipes'!$H$6:$H$1005,MATCH(J577,'Crafting recipes'!$A$6:$A$1005,0)),"MISSING ID")="Unassigned",G577="Unassigned"),"Tier unresolved",IF(IFERROR(VALUE(RIGHT(G577,1))-VALUE(RIGHT(IFERROR(INDEX('Crafting recipes'!$H$6:$H$1005,MATCH(J577,'Crafting recipes'!$A$6:$A$1005,0)),"MISSING ID"),1)),0)=1,IF(B577=IFERROR(INDEX('Crafting recipes'!$H$6:$H$1005,MATCH(J577,'Crafting recipes'!$A$6:$A$1005,0)),"MISSING ID"),"Advances one material tier","Lower-tier ingredient; route advances one tier"),"Needs tier review"))))))</x:f>
        <x:v>Finished endpoint</x:v>
      </x:c>
      <x:c r="S577" s="4" t="str">
        <x:f>IFERROR(INDEX('Material routes'!$D$6:$D$2205,MATCH(U577,'Material routes'!$A$6:$A$2205,0)),"MISSING ID")</x:f>
        <x:v>proposal.collection.drawn_bronze_strip_stock</x:v>
      </x:c>
      <x:c r="T577" s="4" t="str">
        <x:f>IFERROR(INDEX('Material routes'!$D$6:$D$2205,MATCH(V577,'Material routes'!$A$6:$A$2205,0)),"MISSING ID")</x:f>
        <x:v>proposal.collection.work_crew_oath_clasp</x:v>
      </x:c>
      <x:c r="U577" s="4" t="str">
        <x:v>design.collection.work_crew_oath_clasp.in.1</x:v>
      </x:c>
      <x:c r="V577" s="4" t="str">
        <x:v>design.collection.work_crew_oath_clasp.out</x:v>
      </x:c>
    </x:row>
    <x:row r="578" ht="64" customHeight="1">
      <x:c r="A578" s="4" t="str">
        <x:f>IFERROR(INDEX('Material routes'!$E$6:$E$2205,MATCH(U578,'Material routes'!$A$6:$A$2205,0)),"MISSING ID")</x:f>
        <x:v>Field magnets</x:v>
      </x:c>
      <x:c r="B578" s="4" t="str">
        <x:f>IFERROR(INDEX('Material routes'!$F$6:$F$2205,MATCH(U578,'Material routes'!$A$6:$A$2205,0)),"MISSING ID")</x:f>
        <x:v>Not applicable</x:v>
      </x:c>
      <x:c r="C578" s="4" t="str">
        <x:f>IFERROR(INDEX('Material routes'!$H$6:$H$2205,MATCH(U578,'Material routes'!$A$6:$A$2205,0)),"MISSING ID")</x:f>
        <x:v>Tool</x:v>
      </x:c>
      <x:c r="D578" s="4" t="str">
        <x:f>IFERROR(INDEX('Material routes'!$G$6:$G$2205,MATCH(U578,'Material routes'!$A$6:$A$2205,0)),"MISSING ID")</x:f>
        <x:v>Tools</x:v>
      </x:c>
      <x:c r="E578" s="4" t="str">
        <x:f>IFERROR(INDEX('Material routes'!$C$6:$C$2205,MATCH(U578,'Material routes'!$A$6:$A$2205,0)),"MISSING ID")</x:f>
        <x:v>Ingredient candidate</x:v>
      </x:c>
      <x:c r="F578" s="4" t="str">
        <x:f>IFERROR(INDEX('Material routes'!$E$6:$E$2205,MATCH(V578,'Material routes'!$A$6:$A$2205,0)),"MISSING ID")</x:f>
        <x:v>Ceremonial magnet stand</x:v>
      </x:c>
      <x:c r="G578" s="4" t="str">
        <x:f>IFERROR(INDEX('Material routes'!$F$6:$F$2205,MATCH(V578,'Material routes'!$A$6:$A$2205,0)),"MISSING ID")</x:f>
        <x:v>Not applicable</x:v>
      </x:c>
      <x:c r="H578" s="4" t="str">
        <x:f>IFERROR(INDEX('Material routes'!$H$6:$H$2205,MATCH(V578,'Material routes'!$A$6:$A$2205,0)),"MISSING ID")</x:f>
        <x:v>Cultural object</x:v>
      </x:c>
      <x:c r="I578" s="4" t="str">
        <x:f>IFERROR(INDEX('Material routes'!$G$6:$G$2205,MATCH(V578,'Material routes'!$A$6:$A$2205,0)),"MISSING ID")</x:f>
        <x:v>Salvage</x:v>
      </x:c>
      <x:c r="J578" s="4" t="str">
        <x:f>IFERROR(INDEX('Material routes'!$B$6:$B$2205,MATCH(U578,'Material routes'!$A$6:$A$2205,0)),"MISSING ID")</x:f>
        <x:v>design.collection.ceremonial_magnet_stand</x:v>
      </x:c>
      <x:c r="K578" s="4" t="str">
        <x:f>IFERROR(INDEX('Crafting recipes'!$C$6:$C$1005,MATCH(J578,'Crafting recipes'!$A$6:$A$1005,0)),"MISSING ID")</x:f>
        <x:v>Finished-item crafting</x:v>
      </x:c>
      <x:c r="L578" s="4" t="str">
        <x:f>IFERROR(INDEX('Material routes'!$K$6:$K$2205,MATCH(U578,'Material routes'!$A$6:$A$2205,0)),"MISSING ID")</x:f>
        <x:v>Proposal</x:v>
      </x:c>
      <x:c r="M578" s="4" t="str">
        <x:f>IFERROR(INDEX('Material routes'!$M$6:$M$2205,MATCH(U578,'Material routes'!$A$6:$A$2205,0)),"MISSING ID")</x:f>
        <x:v>Partial proposal</x:v>
      </x:c>
      <x:c r="N578" s="4"/>
      <x:c r="O578" s="4" t="str">
        <x:f>IFERROR(INDEX('Material routes'!$J$6:$J$2205,MATCH(U578,'Material routes'!$A$6:$A$2205,0)),"MISSING ID")</x:f>
        <x:v>Unspecified</x:v>
      </x:c>
      <x:c r="P578" s="4"/>
      <x:c r="Q578" s="4" t="str">
        <x:f>IFERROR(INDEX('Material routes'!$J$6:$J$2205,MATCH(V578,'Material routes'!$A$6:$A$2205,0)),"MISSING ID")</x:f>
        <x:v>Unspecified</x:v>
      </x:c>
      <x:c r="R578" s="4" t="str">
        <x:f>IF(L578="Withheld","Withheld premise",IF(E578="Tool candidate","Reusable prerequisite",IF(K578="Raw entry preparation","Entry-resource preparation",IF(G578="Not applicable",IF(IFERROR(INDEX('Items'!$AI$6:$AI$1005,MATCH(T578,'Items'!$A$6:$A$1005,0)),"MISSING ID")="Finished item","Finished endpoint",IF(IFERROR(INDEX('Items'!$AI$6:$AI$1005,MATCH(T578,'Items'!$A$6:$A$1005,0)),"MISSING ID")="Currency","Currency / no refinement tier","Recovered output / tier not applicable")),IF(OR(IFERROR(INDEX('Crafting recipes'!$H$6:$H$1005,MATCH(J578,'Crafting recipes'!$A$6:$A$1005,0)),"MISSING ID")="Unassigned",G578="Unassigned"),"Tier unresolved",IF(IFERROR(VALUE(RIGHT(G578,1))-VALUE(RIGHT(IFERROR(INDEX('Crafting recipes'!$H$6:$H$1005,MATCH(J578,'Crafting recipes'!$A$6:$A$1005,0)),"MISSING ID"),1)),0)=1,IF(B578=IFERROR(INDEX('Crafting recipes'!$H$6:$H$1005,MATCH(J578,'Crafting recipes'!$A$6:$A$1005,0)),"MISSING ID"),"Advances one material tier","Lower-tier ingredient; route advances one tier"),"Needs tier review"))))))</x:f>
        <x:v>Finished endpoint</x:v>
      </x:c>
      <x:c r="S578" s="4" t="str">
        <x:f>IFERROR(INDEX('Material routes'!$D$6:$D$2205,MATCH(U578,'Material routes'!$A$6:$A$2205,0)),"MISSING ID")</x:f>
        <x:v>proposal.gear.magnets</x:v>
      </x:c>
      <x:c r="T578" s="4" t="str">
        <x:f>IFERROR(INDEX('Material routes'!$D$6:$D$2205,MATCH(V578,'Material routes'!$A$6:$A$2205,0)),"MISSING ID")</x:f>
        <x:v>proposal.collection.ceremonial_magnet_stand</x:v>
      </x:c>
      <x:c r="U578" s="4" t="str">
        <x:v>design.collection.ceremonial_magnet_stand.in.1</x:v>
      </x:c>
      <x:c r="V578" s="4" t="str">
        <x:v>design.collection.ceremonial_magnet_stand.out</x:v>
      </x:c>
    </x:row>
    <x:row r="579" ht="64" customHeight="1">
      <x:c r="A579" s="4" t="str">
        <x:f>IFERROR(INDEX('Material routes'!$E$6:$E$2205,MATCH(U579,'Material routes'!$A$6:$A$2205,0)),"MISSING ID")</x:f>
        <x:v>Dressed building-stone stock</x:v>
      </x:c>
      <x:c r="B579" s="4" t="str">
        <x:f>IFERROR(INDEX('Material routes'!$F$6:$F$2205,MATCH(U579,'Material routes'!$A$6:$A$2205,0)),"MISSING ID")</x:f>
        <x:v>T1</x:v>
      </x:c>
      <x:c r="C579" s="4" t="str">
        <x:f>IFERROR(INDEX('Material routes'!$H$6:$H$2205,MATCH(U579,'Material routes'!$A$6:$A$2205,0)),"MISSING ID")</x:f>
        <x:v>Processed material</x:v>
      </x:c>
      <x:c r="D579" s="4" t="str">
        <x:f>IFERROR(INDEX('Material routes'!$G$6:$G$2205,MATCH(U579,'Material routes'!$A$6:$A$2205,0)),"MISSING ID")</x:f>
        <x:v>Manufactured stock</x:v>
      </x:c>
      <x:c r="E579" s="4" t="str">
        <x:f>IFERROR(INDEX('Material routes'!$C$6:$C$2205,MATCH(U579,'Material routes'!$A$6:$A$2205,0)),"MISSING ID")</x:f>
        <x:v>Ingredient candidate</x:v>
      </x:c>
      <x:c r="F579" s="4" t="str">
        <x:f>IFERROR(INDEX('Material routes'!$E$6:$E$2205,MATCH(V579,'Material routes'!$A$6:$A$2205,0)),"MISSING ID")</x:f>
        <x:v>Ceremonial magnet stand</x:v>
      </x:c>
      <x:c r="G579" s="4" t="str">
        <x:f>IFERROR(INDEX('Material routes'!$F$6:$F$2205,MATCH(V579,'Material routes'!$A$6:$A$2205,0)),"MISSING ID")</x:f>
        <x:v>Not applicable</x:v>
      </x:c>
      <x:c r="H579" s="4" t="str">
        <x:f>IFERROR(INDEX('Material routes'!$H$6:$H$2205,MATCH(V579,'Material routes'!$A$6:$A$2205,0)),"MISSING ID")</x:f>
        <x:v>Cultural object</x:v>
      </x:c>
      <x:c r="I579" s="4" t="str">
        <x:f>IFERROR(INDEX('Material routes'!$G$6:$G$2205,MATCH(V579,'Material routes'!$A$6:$A$2205,0)),"MISSING ID")</x:f>
        <x:v>Salvage</x:v>
      </x:c>
      <x:c r="J579" s="4" t="str">
        <x:f>IFERROR(INDEX('Material routes'!$B$6:$B$2205,MATCH(U579,'Material routes'!$A$6:$A$2205,0)),"MISSING ID")</x:f>
        <x:v>design.collection.ceremonial_magnet_stand</x:v>
      </x:c>
      <x:c r="K579" s="4" t="str">
        <x:f>IFERROR(INDEX('Crafting recipes'!$C$6:$C$1005,MATCH(J579,'Crafting recipes'!$A$6:$A$1005,0)),"MISSING ID")</x:f>
        <x:v>Finished-item crafting</x:v>
      </x:c>
      <x:c r="L579" s="4" t="str">
        <x:f>IFERROR(INDEX('Material routes'!$K$6:$K$2205,MATCH(U579,'Material routes'!$A$6:$A$2205,0)),"MISSING ID")</x:f>
        <x:v>Proposal</x:v>
      </x:c>
      <x:c r="M579" s="4" t="str">
        <x:f>IFERROR(INDEX('Material routes'!$M$6:$M$2205,MATCH(U579,'Material routes'!$A$6:$A$2205,0)),"MISSING ID")</x:f>
        <x:v>Partial proposal</x:v>
      </x:c>
      <x:c r="N579" s="4"/>
      <x:c r="O579" s="4" t="str">
        <x:f>IFERROR(INDEX('Material routes'!$J$6:$J$2205,MATCH(U579,'Material routes'!$A$6:$A$2205,0)),"MISSING ID")</x:f>
        <x:v>Unspecified</x:v>
      </x:c>
      <x:c r="P579" s="4"/>
      <x:c r="Q579" s="4" t="str">
        <x:f>IFERROR(INDEX('Material routes'!$J$6:$J$2205,MATCH(V579,'Material routes'!$A$6:$A$2205,0)),"MISSING ID")</x:f>
        <x:v>Unspecified</x:v>
      </x:c>
      <x:c r="R579" s="4" t="str">
        <x:f>IF(L579="Withheld","Withheld premise",IF(E579="Tool candidate","Reusable prerequisite",IF(K579="Raw entry preparation","Entry-resource preparation",IF(G579="Not applicable",IF(IFERROR(INDEX('Items'!$AI$6:$AI$1005,MATCH(T579,'Items'!$A$6:$A$1005,0)),"MISSING ID")="Finished item","Finished endpoint",IF(IFERROR(INDEX('Items'!$AI$6:$AI$1005,MATCH(T579,'Items'!$A$6:$A$1005,0)),"MISSING ID")="Currency","Currency / no refinement tier","Recovered output / tier not applicable")),IF(OR(IFERROR(INDEX('Crafting recipes'!$H$6:$H$1005,MATCH(J579,'Crafting recipes'!$A$6:$A$1005,0)),"MISSING ID")="Unassigned",G579="Unassigned"),"Tier unresolved",IF(IFERROR(VALUE(RIGHT(G579,1))-VALUE(RIGHT(IFERROR(INDEX('Crafting recipes'!$H$6:$H$1005,MATCH(J579,'Crafting recipes'!$A$6:$A$1005,0)),"MISSING ID"),1)),0)=1,IF(B579=IFERROR(INDEX('Crafting recipes'!$H$6:$H$1005,MATCH(J579,'Crafting recipes'!$A$6:$A$1005,0)),"MISSING ID"),"Advances one material tier","Lower-tier ingredient; route advances one tier"),"Needs tier review"))))))</x:f>
        <x:v>Finished endpoint</x:v>
      </x:c>
      <x:c r="S579" s="4" t="str">
        <x:f>IFERROR(INDEX('Material routes'!$D$6:$D$2205,MATCH(U579,'Material routes'!$A$6:$A$2205,0)),"MISSING ID")</x:f>
        <x:v>proposal.t1.dressed_stone</x:v>
      </x:c>
      <x:c r="T579" s="4" t="str">
        <x:f>IFERROR(INDEX('Material routes'!$D$6:$D$2205,MATCH(V579,'Material routes'!$A$6:$A$2205,0)),"MISSING ID")</x:f>
        <x:v>proposal.collection.ceremonial_magnet_stand</x:v>
      </x:c>
      <x:c r="U579" s="4" t="str">
        <x:v>design.collection.ceremonial_magnet_stand.in.2</x:v>
      </x:c>
      <x:c r="V579" s="4" t="str">
        <x:v>design.collection.ceremonial_magnet_stand.out</x:v>
      </x:c>
    </x:row>
    <x:row r="580" ht="64" customHeight="1">
      <x:c r="A580" s="4" t="str">
        <x:f>IFERROR(INDEX('Material routes'!$E$6:$E$2205,MATCH(U580,'Material routes'!$A$6:$A$2205,0)),"MISSING ID")</x:f>
        <x:v>Refractory ceramic stock</x:v>
      </x:c>
      <x:c r="B580" s="4" t="str">
        <x:f>IFERROR(INDEX('Material routes'!$F$6:$F$2205,MATCH(U580,'Material routes'!$A$6:$A$2205,0)),"MISSING ID")</x:f>
        <x:v>T2</x:v>
      </x:c>
      <x:c r="C580" s="4" t="str">
        <x:f>IFERROR(INDEX('Material routes'!$H$6:$H$2205,MATCH(U580,'Material routes'!$A$6:$A$2205,0)),"MISSING ID")</x:f>
        <x:v>Processed material</x:v>
      </x:c>
      <x:c r="D580" s="4" t="str">
        <x:f>IFERROR(INDEX('Material routes'!$G$6:$G$2205,MATCH(U580,'Material routes'!$A$6:$A$2205,0)),"MISSING ID")</x:f>
        <x:v>Manufactured stock</x:v>
      </x:c>
      <x:c r="E580" s="4" t="str">
        <x:f>IFERROR(INDEX('Material routes'!$C$6:$C$2205,MATCH(U580,'Material routes'!$A$6:$A$2205,0)),"MISSING ID")</x:f>
        <x:v>Ingredient candidate</x:v>
      </x:c>
      <x:c r="F580" s="4" t="str">
        <x:f>IFERROR(INDEX('Material routes'!$E$6:$E$2205,MATCH(V580,'Material routes'!$A$6:$A$2205,0)),"MISSING ID")</x:f>
        <x:v>Masterwork presentation tile</x:v>
      </x:c>
      <x:c r="G580" s="4" t="str">
        <x:f>IFERROR(INDEX('Material routes'!$F$6:$F$2205,MATCH(V580,'Material routes'!$A$6:$A$2205,0)),"MISSING ID")</x:f>
        <x:v>Not applicable</x:v>
      </x:c>
      <x:c r="H580" s="4" t="str">
        <x:f>IFERROR(INDEX('Material routes'!$H$6:$H$2205,MATCH(V580,'Material routes'!$A$6:$A$2205,0)),"MISSING ID")</x:f>
        <x:v>Cultural object</x:v>
      </x:c>
      <x:c r="I580" s="4" t="str">
        <x:f>IFERROR(INDEX('Material routes'!$G$6:$G$2205,MATCH(V580,'Material routes'!$A$6:$A$2205,0)),"MISSING ID")</x:f>
        <x:v>Salvage</x:v>
      </x:c>
      <x:c r="J580" s="4" t="str">
        <x:f>IFERROR(INDEX('Material routes'!$B$6:$B$2205,MATCH(U580,'Material routes'!$A$6:$A$2205,0)),"MISSING ID")</x:f>
        <x:v>design.collection.masterwork_presentation_tile</x:v>
      </x:c>
      <x:c r="K580" s="4" t="str">
        <x:f>IFERROR(INDEX('Crafting recipes'!$C$6:$C$1005,MATCH(J580,'Crafting recipes'!$A$6:$A$1005,0)),"MISSING ID")</x:f>
        <x:v>Finished-item crafting</x:v>
      </x:c>
      <x:c r="L580" s="4" t="str">
        <x:f>IFERROR(INDEX('Material routes'!$K$6:$K$2205,MATCH(U580,'Material routes'!$A$6:$A$2205,0)),"MISSING ID")</x:f>
        <x:v>Proposal</x:v>
      </x:c>
      <x:c r="M580" s="4" t="str">
        <x:f>IFERROR(INDEX('Material routes'!$M$6:$M$2205,MATCH(U580,'Material routes'!$A$6:$A$2205,0)),"MISSING ID")</x:f>
        <x:v>Partial proposal</x:v>
      </x:c>
      <x:c r="N580" s="4"/>
      <x:c r="O580" s="4" t="str">
        <x:f>IFERROR(INDEX('Material routes'!$J$6:$J$2205,MATCH(U580,'Material routes'!$A$6:$A$2205,0)),"MISSING ID")</x:f>
        <x:v>Unspecified</x:v>
      </x:c>
      <x:c r="P580" s="4"/>
      <x:c r="Q580" s="4" t="str">
        <x:f>IFERROR(INDEX('Material routes'!$J$6:$J$2205,MATCH(V580,'Material routes'!$A$6:$A$2205,0)),"MISSING ID")</x:f>
        <x:v>Unspecified</x:v>
      </x:c>
      <x:c r="R580" s="4" t="str">
        <x:f>IF(L580="Withheld","Withheld premise",IF(E580="Tool candidate","Reusable prerequisite",IF(K580="Raw entry preparation","Entry-resource preparation",IF(G580="Not applicable",IF(IFERROR(INDEX('Items'!$AI$6:$AI$1005,MATCH(T580,'Items'!$A$6:$A$1005,0)),"MISSING ID")="Finished item","Finished endpoint",IF(IFERROR(INDEX('Items'!$AI$6:$AI$1005,MATCH(T580,'Items'!$A$6:$A$1005,0)),"MISSING ID")="Currency","Currency / no refinement tier","Recovered output / tier not applicable")),IF(OR(IFERROR(INDEX('Crafting recipes'!$H$6:$H$1005,MATCH(J580,'Crafting recipes'!$A$6:$A$1005,0)),"MISSING ID")="Unassigned",G580="Unassigned"),"Tier unresolved",IF(IFERROR(VALUE(RIGHT(G580,1))-VALUE(RIGHT(IFERROR(INDEX('Crafting recipes'!$H$6:$H$1005,MATCH(J580,'Crafting recipes'!$A$6:$A$1005,0)),"MISSING ID"),1)),0)=1,IF(B580=IFERROR(INDEX('Crafting recipes'!$H$6:$H$1005,MATCH(J580,'Crafting recipes'!$A$6:$A$1005,0)),"MISSING ID"),"Advances one material tier","Lower-tier ingredient; route advances one tier"),"Needs tier review"))))))</x:f>
        <x:v>Finished endpoint</x:v>
      </x:c>
      <x:c r="S580" s="4" t="str">
        <x:f>IFERROR(INDEX('Material routes'!$D$6:$D$2205,MATCH(U580,'Material routes'!$A$6:$A$2205,0)),"MISSING ID")</x:f>
        <x:v>proposal.branch.refractory_ceramic</x:v>
      </x:c>
      <x:c r="T580" s="4" t="str">
        <x:f>IFERROR(INDEX('Material routes'!$D$6:$D$2205,MATCH(V580,'Material routes'!$A$6:$A$2205,0)),"MISSING ID")</x:f>
        <x:v>proposal.collection.masterwork_presentation_tile</x:v>
      </x:c>
      <x:c r="U580" s="4" t="str">
        <x:v>design.collection.masterwork_presentation_tile.in.1</x:v>
      </x:c>
      <x:c r="V580" s="4" t="str">
        <x:v>design.collection.masterwork_presentation_tile.out</x:v>
      </x:c>
    </x:row>
    <x:row r="581" ht="64" customHeight="1">
      <x:c r="A581" s="4" t="str">
        <x:f>IFERROR(INDEX('Material routes'!$E$6:$E$2205,MATCH(U581,'Material routes'!$A$6:$A$2205,0)),"MISSING ID")</x:f>
        <x:v>Prepared mineral pigment powder</x:v>
      </x:c>
      <x:c r="B581" s="4" t="str">
        <x:f>IFERROR(INDEX('Material routes'!$F$6:$F$2205,MATCH(U581,'Material routes'!$A$6:$A$2205,0)),"MISSING ID")</x:f>
        <x:v>T1</x:v>
      </x:c>
      <x:c r="C581" s="4" t="str">
        <x:f>IFERROR(INDEX('Material routes'!$H$6:$H$2205,MATCH(U581,'Material routes'!$A$6:$A$2205,0)),"MISSING ID")</x:f>
        <x:v>Processed material</x:v>
      </x:c>
      <x:c r="D581" s="4" t="str">
        <x:f>IFERROR(INDEX('Material routes'!$G$6:$G$2205,MATCH(U581,'Material routes'!$A$6:$A$2205,0)),"MISSING ID")</x:f>
        <x:v>Manufactured stock</x:v>
      </x:c>
      <x:c r="E581" s="4" t="str">
        <x:f>IFERROR(INDEX('Material routes'!$C$6:$C$2205,MATCH(U581,'Material routes'!$A$6:$A$2205,0)),"MISSING ID")</x:f>
        <x:v>Ingredient candidate</x:v>
      </x:c>
      <x:c r="F581" s="4" t="str">
        <x:f>IFERROR(INDEX('Material routes'!$E$6:$E$2205,MATCH(V581,'Material routes'!$A$6:$A$2205,0)),"MISSING ID")</x:f>
        <x:v>Masterwork presentation tile</x:v>
      </x:c>
      <x:c r="G581" s="4" t="str">
        <x:f>IFERROR(INDEX('Material routes'!$F$6:$F$2205,MATCH(V581,'Material routes'!$A$6:$A$2205,0)),"MISSING ID")</x:f>
        <x:v>Not applicable</x:v>
      </x:c>
      <x:c r="H581" s="4" t="str">
        <x:f>IFERROR(INDEX('Material routes'!$H$6:$H$2205,MATCH(V581,'Material routes'!$A$6:$A$2205,0)),"MISSING ID")</x:f>
        <x:v>Cultural object</x:v>
      </x:c>
      <x:c r="I581" s="4" t="str">
        <x:f>IFERROR(INDEX('Material routes'!$G$6:$G$2205,MATCH(V581,'Material routes'!$A$6:$A$2205,0)),"MISSING ID")</x:f>
        <x:v>Salvage</x:v>
      </x:c>
      <x:c r="J581" s="4" t="str">
        <x:f>IFERROR(INDEX('Material routes'!$B$6:$B$2205,MATCH(U581,'Material routes'!$A$6:$A$2205,0)),"MISSING ID")</x:f>
        <x:v>design.collection.masterwork_presentation_tile</x:v>
      </x:c>
      <x:c r="K581" s="4" t="str">
        <x:f>IFERROR(INDEX('Crafting recipes'!$C$6:$C$1005,MATCH(J581,'Crafting recipes'!$A$6:$A$1005,0)),"MISSING ID")</x:f>
        <x:v>Finished-item crafting</x:v>
      </x:c>
      <x:c r="L581" s="4" t="str">
        <x:f>IFERROR(INDEX('Material routes'!$K$6:$K$2205,MATCH(U581,'Material routes'!$A$6:$A$2205,0)),"MISSING ID")</x:f>
        <x:v>Proposal</x:v>
      </x:c>
      <x:c r="M581" s="4" t="str">
        <x:f>IFERROR(INDEX('Material routes'!$M$6:$M$2205,MATCH(U581,'Material routes'!$A$6:$A$2205,0)),"MISSING ID")</x:f>
        <x:v>Partial proposal</x:v>
      </x:c>
      <x:c r="N581" s="4"/>
      <x:c r="O581" s="4" t="str">
        <x:f>IFERROR(INDEX('Material routes'!$J$6:$J$2205,MATCH(U581,'Material routes'!$A$6:$A$2205,0)),"MISSING ID")</x:f>
        <x:v>Unspecified</x:v>
      </x:c>
      <x:c r="P581" s="4"/>
      <x:c r="Q581" s="4" t="str">
        <x:f>IFERROR(INDEX('Material routes'!$J$6:$J$2205,MATCH(V581,'Material routes'!$A$6:$A$2205,0)),"MISSING ID")</x:f>
        <x:v>Unspecified</x:v>
      </x:c>
      <x:c r="R581" s="4" t="str">
        <x:f>IF(L581="Withheld","Withheld premise",IF(E581="Tool candidate","Reusable prerequisite",IF(K581="Raw entry preparation","Entry-resource preparation",IF(G581="Not applicable",IF(IFERROR(INDEX('Items'!$AI$6:$AI$1005,MATCH(T581,'Items'!$A$6:$A$1005,0)),"MISSING ID")="Finished item","Finished endpoint",IF(IFERROR(INDEX('Items'!$AI$6:$AI$1005,MATCH(T581,'Items'!$A$6:$A$1005,0)),"MISSING ID")="Currency","Currency / no refinement tier","Recovered output / tier not applicable")),IF(OR(IFERROR(INDEX('Crafting recipes'!$H$6:$H$1005,MATCH(J581,'Crafting recipes'!$A$6:$A$1005,0)),"MISSING ID")="Unassigned",G581="Unassigned"),"Tier unresolved",IF(IFERROR(VALUE(RIGHT(G581,1))-VALUE(RIGHT(IFERROR(INDEX('Crafting recipes'!$H$6:$H$1005,MATCH(J581,'Crafting recipes'!$A$6:$A$1005,0)),"MISSING ID"),1)),0)=1,IF(B581=IFERROR(INDEX('Crafting recipes'!$H$6:$H$1005,MATCH(J581,'Crafting recipes'!$A$6:$A$1005,0)),"MISSING ID"),"Advances one material tier","Lower-tier ingredient; route advances one tier"),"Needs tier review"))))))</x:f>
        <x:v>Finished endpoint</x:v>
      </x:c>
      <x:c r="S581" s="4" t="str">
        <x:f>IFERROR(INDEX('Material routes'!$D$6:$D$2205,MATCH(U581,'Material routes'!$A$6:$A$2205,0)),"MISSING ID")</x:f>
        <x:v>proposal.t1.pigment_powder</x:v>
      </x:c>
      <x:c r="T581" s="4" t="str">
        <x:f>IFERROR(INDEX('Material routes'!$D$6:$D$2205,MATCH(V581,'Material routes'!$A$6:$A$2205,0)),"MISSING ID")</x:f>
        <x:v>proposal.collection.masterwork_presentation_tile</x:v>
      </x:c>
      <x:c r="U581" s="4" t="str">
        <x:v>design.collection.masterwork_presentation_tile.in.2</x:v>
      </x:c>
      <x:c r="V581" s="4" t="str">
        <x:v>design.collection.masterwork_presentation_tile.out</x:v>
      </x:c>
    </x:row>
    <x:row r="582" ht="64" customHeight="1">
      <x:c r="A582" s="4" t="str">
        <x:f>IFERROR(INDEX('Material routes'!$E$6:$E$2205,MATCH(U582,'Material routes'!$A$6:$A$2205,0)),"MISSING ID")</x:f>
        <x:v>Annealed iron sheet stock</x:v>
      </x:c>
      <x:c r="B582" s="4" t="str">
        <x:f>IFERROR(INDEX('Material routes'!$F$6:$F$2205,MATCH(U582,'Material routes'!$A$6:$A$2205,0)),"MISSING ID")</x:f>
        <x:v>T3</x:v>
      </x:c>
      <x:c r="C582" s="4" t="str">
        <x:f>IFERROR(INDEX('Material routes'!$H$6:$H$2205,MATCH(U582,'Material routes'!$A$6:$A$2205,0)),"MISSING ID")</x:f>
        <x:v>Processed material</x:v>
      </x:c>
      <x:c r="D582" s="4" t="str">
        <x:f>IFERROR(INDEX('Material routes'!$G$6:$G$2205,MATCH(U582,'Material routes'!$A$6:$A$2205,0)),"MISSING ID")</x:f>
        <x:v>Manufactured stock</x:v>
      </x:c>
      <x:c r="E582" s="4" t="str">
        <x:f>IFERROR(INDEX('Material routes'!$C$6:$C$2205,MATCH(U582,'Material routes'!$A$6:$A$2205,0)),"MISSING ID")</x:f>
        <x:v>Ingredient candidate</x:v>
      </x:c>
      <x:c r="F582" s="4" t="str">
        <x:f>IFERROR(INDEX('Material routes'!$E$6:$E$2205,MATCH(V582,'Material routes'!$A$6:$A$2205,0)),"MISSING ID")</x:f>
        <x:v>Long-handled meal ladle</x:v>
      </x:c>
      <x:c r="G582" s="4" t="str">
        <x:f>IFERROR(INDEX('Material routes'!$F$6:$F$2205,MATCH(V582,'Material routes'!$A$6:$A$2205,0)),"MISSING ID")</x:f>
        <x:v>Not applicable</x:v>
      </x:c>
      <x:c r="H582" s="4" t="str">
        <x:f>IFERROR(INDEX('Material routes'!$H$6:$H$2205,MATCH(V582,'Material routes'!$A$6:$A$2205,0)),"MISSING ID")</x:f>
        <x:v>Household utensil</x:v>
      </x:c>
      <x:c r="I582" s="4" t="str">
        <x:f>IFERROR(INDEX('Material routes'!$G$6:$G$2205,MATCH(V582,'Material routes'!$A$6:$A$2205,0)),"MISSING ID")</x:f>
        <x:v>Salvage</x:v>
      </x:c>
      <x:c r="J582" s="4" t="str">
        <x:f>IFERROR(INDEX('Material routes'!$B$6:$B$2205,MATCH(U582,'Material routes'!$A$6:$A$2205,0)),"MISSING ID")</x:f>
        <x:v>design.collection.long_handled_meal_ladle</x:v>
      </x:c>
      <x:c r="K582" s="4" t="str">
        <x:f>IFERROR(INDEX('Crafting recipes'!$C$6:$C$1005,MATCH(J582,'Crafting recipes'!$A$6:$A$1005,0)),"MISSING ID")</x:f>
        <x:v>Finished-item crafting</x:v>
      </x:c>
      <x:c r="L582" s="4" t="str">
        <x:f>IFERROR(INDEX('Material routes'!$K$6:$K$2205,MATCH(U582,'Material routes'!$A$6:$A$2205,0)),"MISSING ID")</x:f>
        <x:v>Proposal</x:v>
      </x:c>
      <x:c r="M582" s="4" t="str">
        <x:f>IFERROR(INDEX('Material routes'!$M$6:$M$2205,MATCH(U582,'Material routes'!$A$6:$A$2205,0)),"MISSING ID")</x:f>
        <x:v>Partial proposal</x:v>
      </x:c>
      <x:c r="N582" s="4"/>
      <x:c r="O582" s="4" t="str">
        <x:f>IFERROR(INDEX('Material routes'!$J$6:$J$2205,MATCH(U582,'Material routes'!$A$6:$A$2205,0)),"MISSING ID")</x:f>
        <x:v>Unspecified</x:v>
      </x:c>
      <x:c r="P582" s="4"/>
      <x:c r="Q582" s="4" t="str">
        <x:f>IFERROR(INDEX('Material routes'!$J$6:$J$2205,MATCH(V582,'Material routes'!$A$6:$A$2205,0)),"MISSING ID")</x:f>
        <x:v>Unspecified</x:v>
      </x:c>
      <x:c r="R582" s="4" t="str">
        <x:f>IF(L582="Withheld","Withheld premise",IF(E582="Tool candidate","Reusable prerequisite",IF(K582="Raw entry preparation","Entry-resource preparation",IF(G582="Not applicable",IF(IFERROR(INDEX('Items'!$AI$6:$AI$1005,MATCH(T582,'Items'!$A$6:$A$1005,0)),"MISSING ID")="Finished item","Finished endpoint",IF(IFERROR(INDEX('Items'!$AI$6:$AI$1005,MATCH(T582,'Items'!$A$6:$A$1005,0)),"MISSING ID")="Currency","Currency / no refinement tier","Recovered output / tier not applicable")),IF(OR(IFERROR(INDEX('Crafting recipes'!$H$6:$H$1005,MATCH(J582,'Crafting recipes'!$A$6:$A$1005,0)),"MISSING ID")="Unassigned",G582="Unassigned"),"Tier unresolved",IF(IFERROR(VALUE(RIGHT(G582,1))-VALUE(RIGHT(IFERROR(INDEX('Crafting recipes'!$H$6:$H$1005,MATCH(J582,'Crafting recipes'!$A$6:$A$1005,0)),"MISSING ID"),1)),0)=1,IF(B582=IFERROR(INDEX('Crafting recipes'!$H$6:$H$1005,MATCH(J582,'Crafting recipes'!$A$6:$A$1005,0)),"MISSING ID"),"Advances one material tier","Lower-tier ingredient; route advances one tier"),"Needs tier review"))))))</x:f>
        <x:v>Finished endpoint</x:v>
      </x:c>
      <x:c r="S582" s="4" t="str">
        <x:f>IFERROR(INDEX('Material routes'!$D$6:$D$2205,MATCH(U582,'Material routes'!$A$6:$A$2205,0)),"MISSING ID")</x:f>
        <x:v>proposal.collection.annealed_iron_sheet_stock</x:v>
      </x:c>
      <x:c r="T582" s="4" t="str">
        <x:f>IFERROR(INDEX('Material routes'!$D$6:$D$2205,MATCH(V582,'Material routes'!$A$6:$A$2205,0)),"MISSING ID")</x:f>
        <x:v>proposal.collection.long_handled_meal_ladle</x:v>
      </x:c>
      <x:c r="U582" s="4" t="str">
        <x:v>design.collection.long_handled_meal_ladle.in.1</x:v>
      </x:c>
      <x:c r="V582" s="4" t="str">
        <x:v>design.collection.long_handled_meal_ladle.out</x:v>
      </x:c>
    </x:row>
    <x:row r="583" ht="64" customHeight="1">
      <x:c r="A583" s="4" t="str">
        <x:f>IFERROR(INDEX('Material routes'!$E$6:$E$2205,MATCH(U583,'Material routes'!$A$6:$A$2205,0)),"MISSING ID")</x:f>
        <x:v>Worked iron stock</x:v>
      </x:c>
      <x:c r="B583" s="4" t="str">
        <x:f>IFERROR(INDEX('Material routes'!$F$6:$F$2205,MATCH(U583,'Material routes'!$A$6:$A$2205,0)),"MISSING ID")</x:f>
        <x:v>T2</x:v>
      </x:c>
      <x:c r="C583" s="4" t="str">
        <x:f>IFERROR(INDEX('Material routes'!$H$6:$H$2205,MATCH(U583,'Material routes'!$A$6:$A$2205,0)),"MISSING ID")</x:f>
        <x:v>Processed material</x:v>
      </x:c>
      <x:c r="D583" s="4" t="str">
        <x:f>IFERROR(INDEX('Material routes'!$G$6:$G$2205,MATCH(U583,'Material routes'!$A$6:$A$2205,0)),"MISSING ID")</x:f>
        <x:v>Manufactured stock</x:v>
      </x:c>
      <x:c r="E583" s="4" t="str">
        <x:f>IFERROR(INDEX('Material routes'!$C$6:$C$2205,MATCH(U583,'Material routes'!$A$6:$A$2205,0)),"MISSING ID")</x:f>
        <x:v>Ingredient candidate</x:v>
      </x:c>
      <x:c r="F583" s="4" t="str">
        <x:f>IFERROR(INDEX('Material routes'!$E$6:$E$2205,MATCH(V583,'Material routes'!$A$6:$A$2205,0)),"MISSING ID")</x:f>
        <x:v>Long-handled meal ladle</x:v>
      </x:c>
      <x:c r="G583" s="4" t="str">
        <x:f>IFERROR(INDEX('Material routes'!$F$6:$F$2205,MATCH(V583,'Material routes'!$A$6:$A$2205,0)),"MISSING ID")</x:f>
        <x:v>Not applicable</x:v>
      </x:c>
      <x:c r="H583" s="4" t="str">
        <x:f>IFERROR(INDEX('Material routes'!$H$6:$H$2205,MATCH(V583,'Material routes'!$A$6:$A$2205,0)),"MISSING ID")</x:f>
        <x:v>Household utensil</x:v>
      </x:c>
      <x:c r="I583" s="4" t="str">
        <x:f>IFERROR(INDEX('Material routes'!$G$6:$G$2205,MATCH(V583,'Material routes'!$A$6:$A$2205,0)),"MISSING ID")</x:f>
        <x:v>Salvage</x:v>
      </x:c>
      <x:c r="J583" s="4" t="str">
        <x:f>IFERROR(INDEX('Material routes'!$B$6:$B$2205,MATCH(U583,'Material routes'!$A$6:$A$2205,0)),"MISSING ID")</x:f>
        <x:v>design.collection.long_handled_meal_ladle</x:v>
      </x:c>
      <x:c r="K583" s="4" t="str">
        <x:f>IFERROR(INDEX('Crafting recipes'!$C$6:$C$1005,MATCH(J583,'Crafting recipes'!$A$6:$A$1005,0)),"MISSING ID")</x:f>
        <x:v>Finished-item crafting</x:v>
      </x:c>
      <x:c r="L583" s="4" t="str">
        <x:f>IFERROR(INDEX('Material routes'!$K$6:$K$2205,MATCH(U583,'Material routes'!$A$6:$A$2205,0)),"MISSING ID")</x:f>
        <x:v>Proposal</x:v>
      </x:c>
      <x:c r="M583" s="4" t="str">
        <x:f>IFERROR(INDEX('Material routes'!$M$6:$M$2205,MATCH(U583,'Material routes'!$A$6:$A$2205,0)),"MISSING ID")</x:f>
        <x:v>Partial proposal</x:v>
      </x:c>
      <x:c r="N583" s="4"/>
      <x:c r="O583" s="4" t="str">
        <x:f>IFERROR(INDEX('Material routes'!$J$6:$J$2205,MATCH(U583,'Material routes'!$A$6:$A$2205,0)),"MISSING ID")</x:f>
        <x:v>Unspecified</x:v>
      </x:c>
      <x:c r="P583" s="4"/>
      <x:c r="Q583" s="4" t="str">
        <x:f>IFERROR(INDEX('Material routes'!$J$6:$J$2205,MATCH(V583,'Material routes'!$A$6:$A$2205,0)),"MISSING ID")</x:f>
        <x:v>Unspecified</x:v>
      </x:c>
      <x:c r="R583" s="4" t="str">
        <x:f>IF(L583="Withheld","Withheld premise",IF(E583="Tool candidate","Reusable prerequisite",IF(K583="Raw entry preparation","Entry-resource preparation",IF(G583="Not applicable",IF(IFERROR(INDEX('Items'!$AI$6:$AI$1005,MATCH(T583,'Items'!$A$6:$A$1005,0)),"MISSING ID")="Finished item","Finished endpoint",IF(IFERROR(INDEX('Items'!$AI$6:$AI$1005,MATCH(T583,'Items'!$A$6:$A$1005,0)),"MISSING ID")="Currency","Currency / no refinement tier","Recovered output / tier not applicable")),IF(OR(IFERROR(INDEX('Crafting recipes'!$H$6:$H$1005,MATCH(J583,'Crafting recipes'!$A$6:$A$1005,0)),"MISSING ID")="Unassigned",G583="Unassigned"),"Tier unresolved",IF(IFERROR(VALUE(RIGHT(G583,1))-VALUE(RIGHT(IFERROR(INDEX('Crafting recipes'!$H$6:$H$1005,MATCH(J583,'Crafting recipes'!$A$6:$A$1005,0)),"MISSING ID"),1)),0)=1,IF(B583=IFERROR(INDEX('Crafting recipes'!$H$6:$H$1005,MATCH(J583,'Crafting recipes'!$A$6:$A$1005,0)),"MISSING ID"),"Advances one material tier","Lower-tier ingredient; route advances one tier"),"Needs tier review"))))))</x:f>
        <x:v>Finished endpoint</x:v>
      </x:c>
      <x:c r="S583" s="4" t="str">
        <x:f>IFERROR(INDEX('Material routes'!$D$6:$D$2205,MATCH(U583,'Material routes'!$A$6:$A$2205,0)),"MISSING ID")</x:f>
        <x:v>proposal.natural.iron_stock</x:v>
      </x:c>
      <x:c r="T583" s="4" t="str">
        <x:f>IFERROR(INDEX('Material routes'!$D$6:$D$2205,MATCH(V583,'Material routes'!$A$6:$A$2205,0)),"MISSING ID")</x:f>
        <x:v>proposal.collection.long_handled_meal_ladle</x:v>
      </x:c>
      <x:c r="U583" s="4" t="str">
        <x:v>design.collection.long_handled_meal_ladle.in.2</x:v>
      </x:c>
      <x:c r="V583" s="4" t="str">
        <x:v>design.collection.long_handled_meal_ladle.out</x:v>
      </x:c>
    </x:row>
    <x:row r="584" ht="64" customHeight="1">
      <x:c r="A584" s="4" t="str">
        <x:f>IFERROR(INDEX('Material routes'!$E$6:$E$2205,MATCH(U584,'Material routes'!$A$6:$A$2205,0)),"MISSING ID")</x:f>
        <x:v>Prepared ceramic body feed</x:v>
      </x:c>
      <x:c r="B584" s="4" t="str">
        <x:f>IFERROR(INDEX('Material routes'!$F$6:$F$2205,MATCH(U584,'Material routes'!$A$6:$A$2205,0)),"MISSING ID")</x:f>
        <x:v>T1</x:v>
      </x:c>
      <x:c r="C584" s="4" t="str">
        <x:f>IFERROR(INDEX('Material routes'!$H$6:$H$2205,MATCH(U584,'Material routes'!$A$6:$A$2205,0)),"MISSING ID")</x:f>
        <x:v>Processed material</x:v>
      </x:c>
      <x:c r="D584" s="4" t="str">
        <x:f>IFERROR(INDEX('Material routes'!$G$6:$G$2205,MATCH(U584,'Material routes'!$A$6:$A$2205,0)),"MISSING ID")</x:f>
        <x:v>Manufactured stock</x:v>
      </x:c>
      <x:c r="E584" s="4" t="str">
        <x:f>IFERROR(INDEX('Material routes'!$C$6:$C$2205,MATCH(U584,'Material routes'!$A$6:$A$2205,0)),"MISSING ID")</x:f>
        <x:v>Ingredient candidate</x:v>
      </x:c>
      <x:c r="F584" s="4" t="str">
        <x:f>IFERROR(INDEX('Material routes'!$E$6:$E$2205,MATCH(V584,'Material routes'!$A$6:$A$2205,0)),"MISSING ID")</x:f>
        <x:v>Ceramic portion scoop</x:v>
      </x:c>
      <x:c r="G584" s="4" t="str">
        <x:f>IFERROR(INDEX('Material routes'!$F$6:$F$2205,MATCH(V584,'Material routes'!$A$6:$A$2205,0)),"MISSING ID")</x:f>
        <x:v>Not applicable</x:v>
      </x:c>
      <x:c r="H584" s="4" t="str">
        <x:f>IFERROR(INDEX('Material routes'!$H$6:$H$2205,MATCH(V584,'Material routes'!$A$6:$A$2205,0)),"MISSING ID")</x:f>
        <x:v>Household utensil</x:v>
      </x:c>
      <x:c r="I584" s="4" t="str">
        <x:f>IFERROR(INDEX('Material routes'!$G$6:$G$2205,MATCH(V584,'Material routes'!$A$6:$A$2205,0)),"MISSING ID")</x:f>
        <x:v>Salvage</x:v>
      </x:c>
      <x:c r="J584" s="4" t="str">
        <x:f>IFERROR(INDEX('Material routes'!$B$6:$B$2205,MATCH(U584,'Material routes'!$A$6:$A$2205,0)),"MISSING ID")</x:f>
        <x:v>design.collection.ceramic_portion_scoop</x:v>
      </x:c>
      <x:c r="K584" s="4" t="str">
        <x:f>IFERROR(INDEX('Crafting recipes'!$C$6:$C$1005,MATCH(J584,'Crafting recipes'!$A$6:$A$1005,0)),"MISSING ID")</x:f>
        <x:v>Finished-item crafting</x:v>
      </x:c>
      <x:c r="L584" s="4" t="str">
        <x:f>IFERROR(INDEX('Material routes'!$K$6:$K$2205,MATCH(U584,'Material routes'!$A$6:$A$2205,0)),"MISSING ID")</x:f>
        <x:v>Proposal</x:v>
      </x:c>
      <x:c r="M584" s="4" t="str">
        <x:f>IFERROR(INDEX('Material routes'!$M$6:$M$2205,MATCH(U584,'Material routes'!$A$6:$A$2205,0)),"MISSING ID")</x:f>
        <x:v>Partial proposal</x:v>
      </x:c>
      <x:c r="N584" s="4"/>
      <x:c r="O584" s="4" t="str">
        <x:f>IFERROR(INDEX('Material routes'!$J$6:$J$2205,MATCH(U584,'Material routes'!$A$6:$A$2205,0)),"MISSING ID")</x:f>
        <x:v>Unspecified</x:v>
      </x:c>
      <x:c r="P584" s="4"/>
      <x:c r="Q584" s="4" t="str">
        <x:f>IFERROR(INDEX('Material routes'!$J$6:$J$2205,MATCH(V584,'Material routes'!$A$6:$A$2205,0)),"MISSING ID")</x:f>
        <x:v>Unspecified</x:v>
      </x:c>
      <x:c r="R584" s="4" t="str">
        <x:f>IF(L584="Withheld","Withheld premise",IF(E584="Tool candidate","Reusable prerequisite",IF(K584="Raw entry preparation","Entry-resource preparation",IF(G584="Not applicable",IF(IFERROR(INDEX('Items'!$AI$6:$AI$1005,MATCH(T584,'Items'!$A$6:$A$1005,0)),"MISSING ID")="Finished item","Finished endpoint",IF(IFERROR(INDEX('Items'!$AI$6:$AI$1005,MATCH(T584,'Items'!$A$6:$A$1005,0)),"MISSING ID")="Currency","Currency / no refinement tier","Recovered output / tier not applicable")),IF(OR(IFERROR(INDEX('Crafting recipes'!$H$6:$H$1005,MATCH(J584,'Crafting recipes'!$A$6:$A$1005,0)),"MISSING ID")="Unassigned",G584="Unassigned"),"Tier unresolved",IF(IFERROR(VALUE(RIGHT(G584,1))-VALUE(RIGHT(IFERROR(INDEX('Crafting recipes'!$H$6:$H$1005,MATCH(J584,'Crafting recipes'!$A$6:$A$1005,0)),"MISSING ID"),1)),0)=1,IF(B584=IFERROR(INDEX('Crafting recipes'!$H$6:$H$1005,MATCH(J584,'Crafting recipes'!$A$6:$A$1005,0)),"MISSING ID"),"Advances one material tier","Lower-tier ingredient; route advances one tier"),"Needs tier review"))))))</x:f>
        <x:v>Finished endpoint</x:v>
      </x:c>
      <x:c r="S584" s="4" t="str">
        <x:f>IFERROR(INDEX('Material routes'!$D$6:$D$2205,MATCH(U584,'Material routes'!$A$6:$A$2205,0)),"MISSING ID")</x:f>
        <x:v>proposal.ceramic.body_feed</x:v>
      </x:c>
      <x:c r="T584" s="4" t="str">
        <x:f>IFERROR(INDEX('Material routes'!$D$6:$D$2205,MATCH(V584,'Material routes'!$A$6:$A$2205,0)),"MISSING ID")</x:f>
        <x:v>proposal.collection.ceramic_portion_scoop</x:v>
      </x:c>
      <x:c r="U584" s="4" t="str">
        <x:v>design.collection.ceramic_portion_scoop.in.1</x:v>
      </x:c>
      <x:c r="V584" s="4" t="str">
        <x:v>design.collection.ceramic_portion_scoop.out</x:v>
      </x:c>
    </x:row>
    <x:row r="585" ht="64" customHeight="1">
      <x:c r="A585" s="4" t="str">
        <x:f>IFERROR(INDEX('Material routes'!$E$6:$E$2205,MATCH(U585,'Material routes'!$A$6:$A$2205,0)),"MISSING ID")</x:f>
        <x:v>Separated shell lamina stock</x:v>
      </x:c>
      <x:c r="B585" s="4" t="str">
        <x:f>IFERROR(INDEX('Material routes'!$F$6:$F$2205,MATCH(U585,'Material routes'!$A$6:$A$2205,0)),"MISSING ID")</x:f>
        <x:v>T1</x:v>
      </x:c>
      <x:c r="C585" s="4" t="str">
        <x:f>IFERROR(INDEX('Material routes'!$H$6:$H$2205,MATCH(U585,'Material routes'!$A$6:$A$2205,0)),"MISSING ID")</x:f>
        <x:v>Processed material</x:v>
      </x:c>
      <x:c r="D585" s="4" t="str">
        <x:f>IFERROR(INDEX('Material routes'!$G$6:$G$2205,MATCH(U585,'Material routes'!$A$6:$A$2205,0)),"MISSING ID")</x:f>
        <x:v>Manufactured stock</x:v>
      </x:c>
      <x:c r="E585" s="4" t="str">
        <x:f>IFERROR(INDEX('Material routes'!$C$6:$C$2205,MATCH(U585,'Material routes'!$A$6:$A$2205,0)),"MISSING ID")</x:f>
        <x:v>Ingredient candidate</x:v>
      </x:c>
      <x:c r="F585" s="4" t="str">
        <x:f>IFERROR(INDEX('Material routes'!$E$6:$E$2205,MATCH(V585,'Material routes'!$A$6:$A$2205,0)),"MISSING ID")</x:f>
        <x:v>Shell serving tray</x:v>
      </x:c>
      <x:c r="G585" s="4" t="str">
        <x:f>IFERROR(INDEX('Material routes'!$F$6:$F$2205,MATCH(V585,'Material routes'!$A$6:$A$2205,0)),"MISSING ID")</x:f>
        <x:v>Not applicable</x:v>
      </x:c>
      <x:c r="H585" s="4" t="str">
        <x:f>IFERROR(INDEX('Material routes'!$H$6:$H$2205,MATCH(V585,'Material routes'!$A$6:$A$2205,0)),"MISSING ID")</x:f>
        <x:v>Household utensil</x:v>
      </x:c>
      <x:c r="I585" s="4" t="str">
        <x:f>IFERROR(INDEX('Material routes'!$G$6:$G$2205,MATCH(V585,'Material routes'!$A$6:$A$2205,0)),"MISSING ID")</x:f>
        <x:v>Salvage</x:v>
      </x:c>
      <x:c r="J585" s="4" t="str">
        <x:f>IFERROR(INDEX('Material routes'!$B$6:$B$2205,MATCH(U585,'Material routes'!$A$6:$A$2205,0)),"MISSING ID")</x:f>
        <x:v>design.collection.shell_serving_tray</x:v>
      </x:c>
      <x:c r="K585" s="4" t="str">
        <x:f>IFERROR(INDEX('Crafting recipes'!$C$6:$C$1005,MATCH(J585,'Crafting recipes'!$A$6:$A$1005,0)),"MISSING ID")</x:f>
        <x:v>Finished-item crafting</x:v>
      </x:c>
      <x:c r="L585" s="4" t="str">
        <x:f>IFERROR(INDEX('Material routes'!$K$6:$K$2205,MATCH(U585,'Material routes'!$A$6:$A$2205,0)),"MISSING ID")</x:f>
        <x:v>Proposal</x:v>
      </x:c>
      <x:c r="M585" s="4" t="str">
        <x:f>IFERROR(INDEX('Material routes'!$M$6:$M$2205,MATCH(U585,'Material routes'!$A$6:$A$2205,0)),"MISSING ID")</x:f>
        <x:v>Partial proposal</x:v>
      </x:c>
      <x:c r="N585" s="4"/>
      <x:c r="O585" s="4" t="str">
        <x:f>IFERROR(INDEX('Material routes'!$J$6:$J$2205,MATCH(U585,'Material routes'!$A$6:$A$2205,0)),"MISSING ID")</x:f>
        <x:v>Unspecified</x:v>
      </x:c>
      <x:c r="P585" s="4"/>
      <x:c r="Q585" s="4" t="str">
        <x:f>IFERROR(INDEX('Material routes'!$J$6:$J$2205,MATCH(V585,'Material routes'!$A$6:$A$2205,0)),"MISSING ID")</x:f>
        <x:v>Unspecified</x:v>
      </x:c>
      <x:c r="R585" s="4" t="str">
        <x:f>IF(L585="Withheld","Withheld premise",IF(E585="Tool candidate","Reusable prerequisite",IF(K585="Raw entry preparation","Entry-resource preparation",IF(G585="Not applicable",IF(IFERROR(INDEX('Items'!$AI$6:$AI$1005,MATCH(T585,'Items'!$A$6:$A$1005,0)),"MISSING ID")="Finished item","Finished endpoint",IF(IFERROR(INDEX('Items'!$AI$6:$AI$1005,MATCH(T585,'Items'!$A$6:$A$1005,0)),"MISSING ID")="Currency","Currency / no refinement tier","Recovered output / tier not applicable")),IF(OR(IFERROR(INDEX('Crafting recipes'!$H$6:$H$1005,MATCH(J585,'Crafting recipes'!$A$6:$A$1005,0)),"MISSING ID")="Unassigned",G585="Unassigned"),"Tier unresolved",IF(IFERROR(VALUE(RIGHT(G585,1))-VALUE(RIGHT(IFERROR(INDEX('Crafting recipes'!$H$6:$H$1005,MATCH(J585,'Crafting recipes'!$A$6:$A$1005,0)),"MISSING ID"),1)),0)=1,IF(B585=IFERROR(INDEX('Crafting recipes'!$H$6:$H$1005,MATCH(J585,'Crafting recipes'!$A$6:$A$1005,0)),"MISSING ID"),"Advances one material tier","Lower-tier ingredient; route advances one tier"),"Needs tier review"))))))</x:f>
        <x:v>Finished endpoint</x:v>
      </x:c>
      <x:c r="S585" s="4" t="str">
        <x:f>IFERROR(INDEX('Material routes'!$D$6:$D$2205,MATCH(U585,'Material routes'!$A$6:$A$2205,0)),"MISSING ID")</x:f>
        <x:v>proposal.t1.shell_lamina</x:v>
      </x:c>
      <x:c r="T585" s="4" t="str">
        <x:f>IFERROR(INDEX('Material routes'!$D$6:$D$2205,MATCH(V585,'Material routes'!$A$6:$A$2205,0)),"MISSING ID")</x:f>
        <x:v>proposal.collection.shell_serving_tray</x:v>
      </x:c>
      <x:c r="U585" s="4" t="str">
        <x:v>design.collection.shell_serving_tray.in.1</x:v>
      </x:c>
      <x:c r="V585" s="4" t="str">
        <x:v>design.collection.shell_serving_tray.out</x:v>
      </x:c>
    </x:row>
    <x:row r="586" ht="64" customHeight="1">
      <x:c r="A586" s="4" t="str">
        <x:f>IFERROR(INDEX('Material routes'!$E$6:$E$2205,MATCH(U586,'Material routes'!$A$6:$A$2205,0)),"MISSING ID")</x:f>
        <x:v>Worked iron stock</x:v>
      </x:c>
      <x:c r="B586" s="4" t="str">
        <x:f>IFERROR(INDEX('Material routes'!$F$6:$F$2205,MATCH(U586,'Material routes'!$A$6:$A$2205,0)),"MISSING ID")</x:f>
        <x:v>T2</x:v>
      </x:c>
      <x:c r="C586" s="4" t="str">
        <x:f>IFERROR(INDEX('Material routes'!$H$6:$H$2205,MATCH(U586,'Material routes'!$A$6:$A$2205,0)),"MISSING ID")</x:f>
        <x:v>Processed material</x:v>
      </x:c>
      <x:c r="D586" s="4" t="str">
        <x:f>IFERROR(INDEX('Material routes'!$G$6:$G$2205,MATCH(U586,'Material routes'!$A$6:$A$2205,0)),"MISSING ID")</x:f>
        <x:v>Manufactured stock</x:v>
      </x:c>
      <x:c r="E586" s="4" t="str">
        <x:f>IFERROR(INDEX('Material routes'!$C$6:$C$2205,MATCH(U586,'Material routes'!$A$6:$A$2205,0)),"MISSING ID")</x:f>
        <x:v>Ingredient candidate</x:v>
      </x:c>
      <x:c r="F586" s="4" t="str">
        <x:f>IFERROR(INDEX('Material routes'!$E$6:$E$2205,MATCH(V586,'Material routes'!$A$6:$A$2205,0)),"MISSING ID")</x:f>
        <x:v>Shell serving tray</x:v>
      </x:c>
      <x:c r="G586" s="4" t="str">
        <x:f>IFERROR(INDEX('Material routes'!$F$6:$F$2205,MATCH(V586,'Material routes'!$A$6:$A$2205,0)),"MISSING ID")</x:f>
        <x:v>Not applicable</x:v>
      </x:c>
      <x:c r="H586" s="4" t="str">
        <x:f>IFERROR(INDEX('Material routes'!$H$6:$H$2205,MATCH(V586,'Material routes'!$A$6:$A$2205,0)),"MISSING ID")</x:f>
        <x:v>Household utensil</x:v>
      </x:c>
      <x:c r="I586" s="4" t="str">
        <x:f>IFERROR(INDEX('Material routes'!$G$6:$G$2205,MATCH(V586,'Material routes'!$A$6:$A$2205,0)),"MISSING ID")</x:f>
        <x:v>Salvage</x:v>
      </x:c>
      <x:c r="J586" s="4" t="str">
        <x:f>IFERROR(INDEX('Material routes'!$B$6:$B$2205,MATCH(U586,'Material routes'!$A$6:$A$2205,0)),"MISSING ID")</x:f>
        <x:v>design.collection.shell_serving_tray</x:v>
      </x:c>
      <x:c r="K586" s="4" t="str">
        <x:f>IFERROR(INDEX('Crafting recipes'!$C$6:$C$1005,MATCH(J586,'Crafting recipes'!$A$6:$A$1005,0)),"MISSING ID")</x:f>
        <x:v>Finished-item crafting</x:v>
      </x:c>
      <x:c r="L586" s="4" t="str">
        <x:f>IFERROR(INDEX('Material routes'!$K$6:$K$2205,MATCH(U586,'Material routes'!$A$6:$A$2205,0)),"MISSING ID")</x:f>
        <x:v>Proposal</x:v>
      </x:c>
      <x:c r="M586" s="4" t="str">
        <x:f>IFERROR(INDEX('Material routes'!$M$6:$M$2205,MATCH(U586,'Material routes'!$A$6:$A$2205,0)),"MISSING ID")</x:f>
        <x:v>Partial proposal</x:v>
      </x:c>
      <x:c r="N586" s="4"/>
      <x:c r="O586" s="4" t="str">
        <x:f>IFERROR(INDEX('Material routes'!$J$6:$J$2205,MATCH(U586,'Material routes'!$A$6:$A$2205,0)),"MISSING ID")</x:f>
        <x:v>Unspecified</x:v>
      </x:c>
      <x:c r="P586" s="4"/>
      <x:c r="Q586" s="4" t="str">
        <x:f>IFERROR(INDEX('Material routes'!$J$6:$J$2205,MATCH(V586,'Material routes'!$A$6:$A$2205,0)),"MISSING ID")</x:f>
        <x:v>Unspecified</x:v>
      </x:c>
      <x:c r="R586" s="4" t="str">
        <x:f>IF(L586="Withheld","Withheld premise",IF(E586="Tool candidate","Reusable prerequisite",IF(K586="Raw entry preparation","Entry-resource preparation",IF(G586="Not applicable",IF(IFERROR(INDEX('Items'!$AI$6:$AI$1005,MATCH(T586,'Items'!$A$6:$A$1005,0)),"MISSING ID")="Finished item","Finished endpoint",IF(IFERROR(INDEX('Items'!$AI$6:$AI$1005,MATCH(T586,'Items'!$A$6:$A$1005,0)),"MISSING ID")="Currency","Currency / no refinement tier","Recovered output / tier not applicable")),IF(OR(IFERROR(INDEX('Crafting recipes'!$H$6:$H$1005,MATCH(J586,'Crafting recipes'!$A$6:$A$1005,0)),"MISSING ID")="Unassigned",G586="Unassigned"),"Tier unresolved",IF(IFERROR(VALUE(RIGHT(G586,1))-VALUE(RIGHT(IFERROR(INDEX('Crafting recipes'!$H$6:$H$1005,MATCH(J586,'Crafting recipes'!$A$6:$A$1005,0)),"MISSING ID"),1)),0)=1,IF(B586=IFERROR(INDEX('Crafting recipes'!$H$6:$H$1005,MATCH(J586,'Crafting recipes'!$A$6:$A$1005,0)),"MISSING ID"),"Advances one material tier","Lower-tier ingredient; route advances one tier"),"Needs tier review"))))))</x:f>
        <x:v>Finished endpoint</x:v>
      </x:c>
      <x:c r="S586" s="4" t="str">
        <x:f>IFERROR(INDEX('Material routes'!$D$6:$D$2205,MATCH(U586,'Material routes'!$A$6:$A$2205,0)),"MISSING ID")</x:f>
        <x:v>proposal.natural.iron_stock</x:v>
      </x:c>
      <x:c r="T586" s="4" t="str">
        <x:f>IFERROR(INDEX('Material routes'!$D$6:$D$2205,MATCH(V586,'Material routes'!$A$6:$A$2205,0)),"MISSING ID")</x:f>
        <x:v>proposal.collection.shell_serving_tray</x:v>
      </x:c>
      <x:c r="U586" s="4" t="str">
        <x:v>design.collection.shell_serving_tray.in.2</x:v>
      </x:c>
      <x:c r="V586" s="4" t="str">
        <x:v>design.collection.shell_serving_tray.out</x:v>
      </x:c>
    </x:row>
    <x:row r="587" ht="64" customHeight="1">
      <x:c r="A587" s="4" t="str">
        <x:f>IFERROR(INDEX('Material routes'!$E$6:$E$2205,MATCH(U587,'Material routes'!$A$6:$A$2205,0)),"MISSING ID")</x:f>
        <x:v>Spring-grade steel stock</x:v>
      </x:c>
      <x:c r="B587" s="4" t="str">
        <x:f>IFERROR(INDEX('Material routes'!$F$6:$F$2205,MATCH(U587,'Material routes'!$A$6:$A$2205,0)),"MISSING ID")</x:f>
        <x:v>T3</x:v>
      </x:c>
      <x:c r="C587" s="4" t="str">
        <x:f>IFERROR(INDEX('Material routes'!$H$6:$H$2205,MATCH(U587,'Material routes'!$A$6:$A$2205,0)),"MISSING ID")</x:f>
        <x:v>Processed material</x:v>
      </x:c>
      <x:c r="D587" s="4" t="str">
        <x:f>IFERROR(INDEX('Material routes'!$G$6:$G$2205,MATCH(U587,'Material routes'!$A$6:$A$2205,0)),"MISSING ID")</x:f>
        <x:v>Manufactured stock</x:v>
      </x:c>
      <x:c r="E587" s="4" t="str">
        <x:f>IFERROR(INDEX('Material routes'!$C$6:$C$2205,MATCH(U587,'Material routes'!$A$6:$A$2205,0)),"MISSING ID")</x:f>
        <x:v>Ingredient candidate</x:v>
      </x:c>
      <x:c r="F587" s="4" t="str">
        <x:f>IFERROR(INDEX('Material routes'!$E$6:$E$2205,MATCH(V587,'Material routes'!$A$6:$A$2205,0)),"MISSING ID")</x:f>
        <x:v>Metal eating tongs</x:v>
      </x:c>
      <x:c r="G587" s="4" t="str">
        <x:f>IFERROR(INDEX('Material routes'!$F$6:$F$2205,MATCH(V587,'Material routes'!$A$6:$A$2205,0)),"MISSING ID")</x:f>
        <x:v>Not applicable</x:v>
      </x:c>
      <x:c r="H587" s="4" t="str">
        <x:f>IFERROR(INDEX('Material routes'!$H$6:$H$2205,MATCH(V587,'Material routes'!$A$6:$A$2205,0)),"MISSING ID")</x:f>
        <x:v>Household utensil</x:v>
      </x:c>
      <x:c r="I587" s="4" t="str">
        <x:f>IFERROR(INDEX('Material routes'!$G$6:$G$2205,MATCH(V587,'Material routes'!$A$6:$A$2205,0)),"MISSING ID")</x:f>
        <x:v>Salvage</x:v>
      </x:c>
      <x:c r="J587" s="4" t="str">
        <x:f>IFERROR(INDEX('Material routes'!$B$6:$B$2205,MATCH(U587,'Material routes'!$A$6:$A$2205,0)),"MISSING ID")</x:f>
        <x:v>design.collection.metal_eating_tongs</x:v>
      </x:c>
      <x:c r="K587" s="4" t="str">
        <x:f>IFERROR(INDEX('Crafting recipes'!$C$6:$C$1005,MATCH(J587,'Crafting recipes'!$A$6:$A$1005,0)),"MISSING ID")</x:f>
        <x:v>Finished-item crafting</x:v>
      </x:c>
      <x:c r="L587" s="4" t="str">
        <x:f>IFERROR(INDEX('Material routes'!$K$6:$K$2205,MATCH(U587,'Material routes'!$A$6:$A$2205,0)),"MISSING ID")</x:f>
        <x:v>Proposal</x:v>
      </x:c>
      <x:c r="M587" s="4" t="str">
        <x:f>IFERROR(INDEX('Material routes'!$M$6:$M$2205,MATCH(U587,'Material routes'!$A$6:$A$2205,0)),"MISSING ID")</x:f>
        <x:v>Partial proposal</x:v>
      </x:c>
      <x:c r="N587" s="4"/>
      <x:c r="O587" s="4" t="str">
        <x:f>IFERROR(INDEX('Material routes'!$J$6:$J$2205,MATCH(U587,'Material routes'!$A$6:$A$2205,0)),"MISSING ID")</x:f>
        <x:v>Unspecified</x:v>
      </x:c>
      <x:c r="P587" s="4"/>
      <x:c r="Q587" s="4" t="str">
        <x:f>IFERROR(INDEX('Material routes'!$J$6:$J$2205,MATCH(V587,'Material routes'!$A$6:$A$2205,0)),"MISSING ID")</x:f>
        <x:v>Unspecified</x:v>
      </x:c>
      <x:c r="R587" s="4" t="str">
        <x:f>IF(L587="Withheld","Withheld premise",IF(E587="Tool candidate","Reusable prerequisite",IF(K587="Raw entry preparation","Entry-resource preparation",IF(G587="Not applicable",IF(IFERROR(INDEX('Items'!$AI$6:$AI$1005,MATCH(T587,'Items'!$A$6:$A$1005,0)),"MISSING ID")="Finished item","Finished endpoint",IF(IFERROR(INDEX('Items'!$AI$6:$AI$1005,MATCH(T587,'Items'!$A$6:$A$1005,0)),"MISSING ID")="Currency","Currency / no refinement tier","Recovered output / tier not applicable")),IF(OR(IFERROR(INDEX('Crafting recipes'!$H$6:$H$1005,MATCH(J587,'Crafting recipes'!$A$6:$A$1005,0)),"MISSING ID")="Unassigned",G587="Unassigned"),"Tier unresolved",IF(IFERROR(VALUE(RIGHT(G587,1))-VALUE(RIGHT(IFERROR(INDEX('Crafting recipes'!$H$6:$H$1005,MATCH(J587,'Crafting recipes'!$A$6:$A$1005,0)),"MISSING ID"),1)),0)=1,IF(B587=IFERROR(INDEX('Crafting recipes'!$H$6:$H$1005,MATCH(J587,'Crafting recipes'!$A$6:$A$1005,0)),"MISSING ID"),"Advances one material tier","Lower-tier ingredient; route advances one tier"),"Needs tier review"))))))</x:f>
        <x:v>Finished endpoint</x:v>
      </x:c>
      <x:c r="S587" s="4" t="str">
        <x:f>IFERROR(INDEX('Material routes'!$D$6:$D$2205,MATCH(U587,'Material routes'!$A$6:$A$2205,0)),"MISSING ID")</x:f>
        <x:v>proposal.branch.spring_steel</x:v>
      </x:c>
      <x:c r="T587" s="4" t="str">
        <x:f>IFERROR(INDEX('Material routes'!$D$6:$D$2205,MATCH(V587,'Material routes'!$A$6:$A$2205,0)),"MISSING ID")</x:f>
        <x:v>proposal.collection.metal_eating_tongs</x:v>
      </x:c>
      <x:c r="U587" s="4" t="str">
        <x:v>design.collection.metal_eating_tongs.in.1</x:v>
      </x:c>
      <x:c r="V587" s="4" t="str">
        <x:v>design.collection.metal_eating_tongs.out</x:v>
      </x:c>
    </x:row>
    <x:row r="588" ht="64" customHeight="1">
      <x:c r="A588" s="4"/>
      <x:c r="B588" s="4"/>
      <x:c r="C588" s="4"/>
      <x:c r="D588" s="4"/>
      <x:c r="E588" s="4"/>
      <x:c r="F588" s="4"/>
      <x:c r="G588" s="4"/>
      <x:c r="H588" s="4"/>
      <x:c r="I588" s="4"/>
      <x:c r="J588" s="4"/>
      <x:c r="K588" s="4"/>
      <x:c r="L588" s="4"/>
      <x:c r="M588" s="4"/>
      <x:c r="N588" s="4"/>
      <x:c r="O588" s="4"/>
      <x:c r="P588" s="4"/>
      <x:c r="Q588" s="4"/>
      <x:c r="R588" s="4"/>
      <x:c r="S588" s="4"/>
      <x:c r="T588" s="4"/>
      <x:c r="U588" s="4"/>
      <x:c r="V588" s="4"/>
    </x:row>
    <x:row r="589" ht="64" customHeight="1">
      <x:c r="A589" s="4"/>
      <x:c r="B589" s="4"/>
      <x:c r="C589" s="4"/>
      <x:c r="D589" s="4"/>
      <x:c r="E589" s="4"/>
      <x:c r="F589" s="4"/>
      <x:c r="G589" s="4"/>
      <x:c r="H589" s="4"/>
      <x:c r="I589" s="4"/>
      <x:c r="J589" s="4"/>
      <x:c r="K589" s="4"/>
      <x:c r="L589" s="4"/>
      <x:c r="M589" s="4"/>
      <x:c r="N589" s="4"/>
      <x:c r="O589" s="4"/>
      <x:c r="P589" s="4"/>
      <x:c r="Q589" s="4"/>
      <x:c r="R589" s="4"/>
      <x:c r="S589" s="4"/>
      <x:c r="T589" s="4"/>
      <x:c r="U589" s="4"/>
      <x:c r="V589" s="4"/>
    </x:row>
    <x:row r="590" ht="64" customHeight="1">
      <x:c r="A590" s="4"/>
      <x:c r="B590" s="4"/>
      <x:c r="C590" s="4"/>
      <x:c r="D590" s="4"/>
      <x:c r="E590" s="4"/>
      <x:c r="F590" s="4"/>
      <x:c r="G590" s="4"/>
      <x:c r="H590" s="4"/>
      <x:c r="I590" s="4"/>
      <x:c r="J590" s="4"/>
      <x:c r="K590" s="4"/>
      <x:c r="L590" s="4"/>
      <x:c r="M590" s="4"/>
      <x:c r="N590" s="4"/>
      <x:c r="O590" s="4"/>
      <x:c r="P590" s="4"/>
      <x:c r="Q590" s="4"/>
      <x:c r="R590" s="4"/>
      <x:c r="S590" s="4"/>
      <x:c r="T590" s="4"/>
      <x:c r="U590" s="4"/>
      <x:c r="V590" s="4"/>
    </x:row>
    <x:row r="591" ht="64" customHeight="1">
      <x:c r="A591" s="4"/>
      <x:c r="B591" s="4"/>
      <x:c r="C591" s="4"/>
      <x:c r="D591" s="4"/>
      <x:c r="E591" s="4"/>
      <x:c r="F591" s="4"/>
      <x:c r="G591" s="4"/>
      <x:c r="H591" s="4"/>
      <x:c r="I591" s="4"/>
      <x:c r="J591" s="4"/>
      <x:c r="K591" s="4"/>
      <x:c r="L591" s="4"/>
      <x:c r="M591" s="4"/>
      <x:c r="N591" s="4"/>
      <x:c r="O591" s="4"/>
      <x:c r="P591" s="4"/>
      <x:c r="Q591" s="4"/>
      <x:c r="R591" s="4"/>
      <x:c r="S591" s="4"/>
      <x:c r="T591" s="4"/>
      <x:c r="U591" s="4"/>
      <x:c r="V591" s="4"/>
    </x:row>
    <x:row r="592" ht="64" customHeight="1">
      <x:c r="A592" s="4"/>
      <x:c r="B592" s="4"/>
      <x:c r="C592" s="4"/>
      <x:c r="D592" s="4"/>
      <x:c r="E592" s="4"/>
      <x:c r="F592" s="4"/>
      <x:c r="G592" s="4"/>
      <x:c r="H592" s="4"/>
      <x:c r="I592" s="4"/>
      <x:c r="J592" s="4"/>
      <x:c r="K592" s="4"/>
      <x:c r="L592" s="4"/>
      <x:c r="M592" s="4"/>
      <x:c r="N592" s="4"/>
      <x:c r="O592" s="4"/>
      <x:c r="P592" s="4"/>
      <x:c r="Q592" s="4"/>
      <x:c r="R592" s="4"/>
      <x:c r="S592" s="4"/>
      <x:c r="T592" s="4"/>
      <x:c r="U592" s="4"/>
      <x:c r="V592" s="4"/>
    </x:row>
    <x:row r="593" ht="64" customHeight="1">
      <x:c r="A593" s="4" t="str">
        <x:f>IFERROR(INDEX('Material routes'!$E$6:$E$2205,MATCH(U593,'Material routes'!$A$6:$A$2205,0)),"MISSING ID")</x:f>
        <x:v>Steel stock</x:v>
      </x:c>
      <x:c r="B593" s="4" t="str">
        <x:f>IFERROR(INDEX('Material routes'!$F$6:$F$2205,MATCH(U593,'Material routes'!$A$6:$A$2205,0)),"MISSING ID")</x:f>
        <x:v>T2</x:v>
      </x:c>
      <x:c r="C593" s="4" t="str">
        <x:f>IFERROR(INDEX('Material routes'!$H$6:$H$2205,MATCH(U593,'Material routes'!$A$6:$A$2205,0)),"MISSING ID")</x:f>
        <x:v>Processed material</x:v>
      </x:c>
      <x:c r="D593" s="4" t="str">
        <x:f>IFERROR(INDEX('Material routes'!$G$6:$G$2205,MATCH(U593,'Material routes'!$A$6:$A$2205,0)),"MISSING ID")</x:f>
        <x:v>Manufactured stock</x:v>
      </x:c>
      <x:c r="E593" s="4" t="str">
        <x:f>IFERROR(INDEX('Material routes'!$C$6:$C$2205,MATCH(U593,'Material routes'!$A$6:$A$2205,0)),"MISSING ID")</x:f>
        <x:v>Ingredient candidate</x:v>
      </x:c>
      <x:c r="F593" s="4" t="str">
        <x:f>IFERROR(INDEX('Material routes'!$E$6:$E$2205,MATCH(V593,'Material routes'!$A$6:$A$2205,0)),"MISSING ID")</x:f>
        <x:v>Straight-cut spur gear</x:v>
      </x:c>
      <x:c r="G593" s="4" t="str">
        <x:f>IFERROR(INDEX('Material routes'!$F$6:$F$2205,MATCH(V593,'Material routes'!$A$6:$A$2205,0)),"MISSING ID")</x:f>
        <x:v>T3</x:v>
      </x:c>
      <x:c r="H593" s="4" t="str">
        <x:f>IFERROR(INDEX('Material routes'!$H$6:$H$2205,MATCH(V593,'Material routes'!$A$6:$A$2205,0)),"MISSING ID")</x:f>
        <x:v>Machine part</x:v>
      </x:c>
      <x:c r="I593" s="4" t="str">
        <x:f>IFERROR(INDEX('Material routes'!$G$6:$G$2205,MATCH(V593,'Material routes'!$A$6:$A$2205,0)),"MISSING ID")</x:f>
        <x:v>Crafting components</x:v>
      </x:c>
      <x:c r="J593" s="4" t="str">
        <x:f>IFERROR(INDEX('Material routes'!$B$6:$B$2205,MATCH(U593,'Material routes'!$A$6:$A$2205,0)),"MISSING ID")</x:f>
        <x:v>design.collection.straight_cut_spur_gear</x:v>
      </x:c>
      <x:c r="K593" s="4" t="str">
        <x:f>IFERROR(INDEX('Crafting recipes'!$C$6:$C$1005,MATCH(J593,'Crafting recipes'!$A$6:$A$1005,0)),"MISSING ID")</x:f>
        <x:v>Material refinement</x:v>
      </x:c>
      <x:c r="L593" s="4" t="str">
        <x:f>IFERROR(INDEX('Material routes'!$K$6:$K$2205,MATCH(U593,'Material routes'!$A$6:$A$2205,0)),"MISSING ID")</x:f>
        <x:v>Proposal</x:v>
      </x:c>
      <x:c r="M593" s="4" t="str">
        <x:f>IFERROR(INDEX('Material routes'!$M$6:$M$2205,MATCH(U593,'Material routes'!$A$6:$A$2205,0)),"MISSING ID")</x:f>
        <x:v>Partial proposal</x:v>
      </x:c>
      <x:c r="N593" s="4"/>
      <x:c r="O593" s="4" t="str">
        <x:f>IFERROR(INDEX('Material routes'!$J$6:$J$2205,MATCH(U593,'Material routes'!$A$6:$A$2205,0)),"MISSING ID")</x:f>
        <x:v>Unspecified</x:v>
      </x:c>
      <x:c r="P593" s="4"/>
      <x:c r="Q593" s="4" t="str">
        <x:f>IFERROR(INDEX('Material routes'!$J$6:$J$2205,MATCH(V593,'Material routes'!$A$6:$A$2205,0)),"MISSING ID")</x:f>
        <x:v>Unspecified</x:v>
      </x:c>
      <x:c r="R593" s="4" t="str">
        <x:f>IF(L593="Withheld","Withheld premise",IF(E593="Tool candidate","Reusable prerequisite",IF(K593="Raw entry preparation","Entry-resource preparation",IF(G593="Not applicable",IF(IFERROR(INDEX('Items'!$AI$6:$AI$1005,MATCH(T593,'Items'!$A$6:$A$1005,0)),"MISSING ID")="Finished item","Finished endpoint",IF(IFERROR(INDEX('Items'!$AI$6:$AI$1005,MATCH(T593,'Items'!$A$6:$A$1005,0)),"MISSING ID")="Currency","Currency / no refinement tier","Recovered output / tier not applicable")),IF(OR(IFERROR(INDEX('Crafting recipes'!$H$6:$H$1005,MATCH(J593,'Crafting recipes'!$A$6:$A$1005,0)),"MISSING ID")="Unassigned",G593="Unassigned"),"Tier unresolved",IF(IFERROR(VALUE(RIGHT(G593,1))-VALUE(RIGHT(IFERROR(INDEX('Crafting recipes'!$H$6:$H$1005,MATCH(J593,'Crafting recipes'!$A$6:$A$1005,0)),"MISSING ID"),1)),0)=1,IF(B593=IFERROR(INDEX('Crafting recipes'!$H$6:$H$1005,MATCH(J593,'Crafting recipes'!$A$6:$A$1005,0)),"MISSING ID"),"Advances one material tier","Lower-tier ingredient; route advances one tier"),"Needs tier review"))))))</x:f>
        <x:v>Advances one material tier</x:v>
      </x:c>
      <x:c r="S593" s="4" t="str">
        <x:f>IFERROR(INDEX('Material routes'!$D$6:$D$2205,MATCH(U593,'Material routes'!$A$6:$A$2205,0)),"MISSING ID")</x:f>
        <x:v>author.metallurgy.steel_stock</x:v>
      </x:c>
      <x:c r="T593" s="4" t="str">
        <x:f>IFERROR(INDEX('Material routes'!$D$6:$D$2205,MATCH(V593,'Material routes'!$A$6:$A$2205,0)),"MISSING ID")</x:f>
        <x:v>proposal.collection.straight_cut_spur_gear</x:v>
      </x:c>
      <x:c r="U593" s="4" t="str">
        <x:v>design.collection.straight_cut_spur_gear.in.1</x:v>
      </x:c>
      <x:c r="V593" s="4" t="str">
        <x:v>design.collection.straight_cut_spur_gear.out</x:v>
      </x:c>
    </x:row>
    <x:row r="594" ht="64" customHeight="1">
      <x:c r="A594" s="4" t="str">
        <x:f>IFERROR(INDEX('Material routes'!$E$6:$E$2205,MATCH(U594,'Material routes'!$A$6:$A$2205,0)),"MISSING ID")</x:f>
        <x:v>Steel stock</x:v>
      </x:c>
      <x:c r="B594" s="4" t="str">
        <x:f>IFERROR(INDEX('Material routes'!$F$6:$F$2205,MATCH(U594,'Material routes'!$A$6:$A$2205,0)),"MISSING ID")</x:f>
        <x:v>T2</x:v>
      </x:c>
      <x:c r="C594" s="4" t="str">
        <x:f>IFERROR(INDEX('Material routes'!$H$6:$H$2205,MATCH(U594,'Material routes'!$A$6:$A$2205,0)),"MISSING ID")</x:f>
        <x:v>Processed material</x:v>
      </x:c>
      <x:c r="D594" s="4" t="str">
        <x:f>IFERROR(INDEX('Material routes'!$G$6:$G$2205,MATCH(U594,'Material routes'!$A$6:$A$2205,0)),"MISSING ID")</x:f>
        <x:v>Manufactured stock</x:v>
      </x:c>
      <x:c r="E594" s="4" t="str">
        <x:f>IFERROR(INDEX('Material routes'!$C$6:$C$2205,MATCH(U594,'Material routes'!$A$6:$A$2205,0)),"MISSING ID")</x:f>
        <x:v>Ingredient candidate</x:v>
      </x:c>
      <x:c r="F594" s="4" t="str">
        <x:f>IFERROR(INDEX('Material routes'!$E$6:$E$2205,MATCH(V594,'Material routes'!$A$6:$A$2205,0)),"MISSING ID")</x:f>
        <x:v>Bevel drive gear</x:v>
      </x:c>
      <x:c r="G594" s="4" t="str">
        <x:f>IFERROR(INDEX('Material routes'!$F$6:$F$2205,MATCH(V594,'Material routes'!$A$6:$A$2205,0)),"MISSING ID")</x:f>
        <x:v>T3</x:v>
      </x:c>
      <x:c r="H594" s="4" t="str">
        <x:f>IFERROR(INDEX('Material routes'!$H$6:$H$2205,MATCH(V594,'Material routes'!$A$6:$A$2205,0)),"MISSING ID")</x:f>
        <x:v>Machine part</x:v>
      </x:c>
      <x:c r="I594" s="4" t="str">
        <x:f>IFERROR(INDEX('Material routes'!$G$6:$G$2205,MATCH(V594,'Material routes'!$A$6:$A$2205,0)),"MISSING ID")</x:f>
        <x:v>Crafting components</x:v>
      </x:c>
      <x:c r="J594" s="4" t="str">
        <x:f>IFERROR(INDEX('Material routes'!$B$6:$B$2205,MATCH(U594,'Material routes'!$A$6:$A$2205,0)),"MISSING ID")</x:f>
        <x:v>design.collection.bevel_drive_gear</x:v>
      </x:c>
      <x:c r="K594" s="4" t="str">
        <x:f>IFERROR(INDEX('Crafting recipes'!$C$6:$C$1005,MATCH(J594,'Crafting recipes'!$A$6:$A$1005,0)),"MISSING ID")</x:f>
        <x:v>Material refinement</x:v>
      </x:c>
      <x:c r="L594" s="4" t="str">
        <x:f>IFERROR(INDEX('Material routes'!$K$6:$K$2205,MATCH(U594,'Material routes'!$A$6:$A$2205,0)),"MISSING ID")</x:f>
        <x:v>Proposal</x:v>
      </x:c>
      <x:c r="M594" s="4" t="str">
        <x:f>IFERROR(INDEX('Material routes'!$M$6:$M$2205,MATCH(U594,'Material routes'!$A$6:$A$2205,0)),"MISSING ID")</x:f>
        <x:v>Partial proposal</x:v>
      </x:c>
      <x:c r="N594" s="4"/>
      <x:c r="O594" s="4" t="str">
        <x:f>IFERROR(INDEX('Material routes'!$J$6:$J$2205,MATCH(U594,'Material routes'!$A$6:$A$2205,0)),"MISSING ID")</x:f>
        <x:v>Unspecified</x:v>
      </x:c>
      <x:c r="P594" s="4"/>
      <x:c r="Q594" s="4" t="str">
        <x:f>IFERROR(INDEX('Material routes'!$J$6:$J$2205,MATCH(V594,'Material routes'!$A$6:$A$2205,0)),"MISSING ID")</x:f>
        <x:v>Unspecified</x:v>
      </x:c>
      <x:c r="R594" s="4" t="str">
        <x:f>IF(L594="Withheld","Withheld premise",IF(E594="Tool candidate","Reusable prerequisite",IF(K594="Raw entry preparation","Entry-resource preparation",IF(G594="Not applicable",IF(IFERROR(INDEX('Items'!$AI$6:$AI$1005,MATCH(T594,'Items'!$A$6:$A$1005,0)),"MISSING ID")="Finished item","Finished endpoint",IF(IFERROR(INDEX('Items'!$AI$6:$AI$1005,MATCH(T594,'Items'!$A$6:$A$1005,0)),"MISSING ID")="Currency","Currency / no refinement tier","Recovered output / tier not applicable")),IF(OR(IFERROR(INDEX('Crafting recipes'!$H$6:$H$1005,MATCH(J594,'Crafting recipes'!$A$6:$A$1005,0)),"MISSING ID")="Unassigned",G594="Unassigned"),"Tier unresolved",IF(IFERROR(VALUE(RIGHT(G594,1))-VALUE(RIGHT(IFERROR(INDEX('Crafting recipes'!$H$6:$H$1005,MATCH(J594,'Crafting recipes'!$A$6:$A$1005,0)),"MISSING ID"),1)),0)=1,IF(B594=IFERROR(INDEX('Crafting recipes'!$H$6:$H$1005,MATCH(J594,'Crafting recipes'!$A$6:$A$1005,0)),"MISSING ID"),"Advances one material tier","Lower-tier ingredient; route advances one tier"),"Needs tier review"))))))</x:f>
        <x:v>Advances one material tier</x:v>
      </x:c>
      <x:c r="S594" s="4" t="str">
        <x:f>IFERROR(INDEX('Material routes'!$D$6:$D$2205,MATCH(U594,'Material routes'!$A$6:$A$2205,0)),"MISSING ID")</x:f>
        <x:v>author.metallurgy.steel_stock</x:v>
      </x:c>
      <x:c r="T594" s="4" t="str">
        <x:f>IFERROR(INDEX('Material routes'!$D$6:$D$2205,MATCH(V594,'Material routes'!$A$6:$A$2205,0)),"MISSING ID")</x:f>
        <x:v>proposal.collection.bevel_drive_gear</x:v>
      </x:c>
      <x:c r="U594" s="4" t="str">
        <x:v>design.collection.bevel_drive_gear.in.1</x:v>
      </x:c>
      <x:c r="V594" s="4" t="str">
        <x:v>design.collection.bevel_drive_gear.out</x:v>
      </x:c>
    </x:row>
    <x:row r="595" ht="64" customHeight="1">
      <x:c r="A595" s="4" t="str">
        <x:f>IFERROR(INDEX('Material routes'!$E$6:$E$2205,MATCH(U595,'Material routes'!$A$6:$A$2205,0)),"MISSING ID")</x:f>
        <x:v>Steel stock</x:v>
      </x:c>
      <x:c r="B595" s="4" t="str">
        <x:f>IFERROR(INDEX('Material routes'!$F$6:$F$2205,MATCH(U595,'Material routes'!$A$6:$A$2205,0)),"MISSING ID")</x:f>
        <x:v>T2</x:v>
      </x:c>
      <x:c r="C595" s="4" t="str">
        <x:f>IFERROR(INDEX('Material routes'!$H$6:$H$2205,MATCH(U595,'Material routes'!$A$6:$A$2205,0)),"MISSING ID")</x:f>
        <x:v>Processed material</x:v>
      </x:c>
      <x:c r="D595" s="4" t="str">
        <x:f>IFERROR(INDEX('Material routes'!$G$6:$G$2205,MATCH(U595,'Material routes'!$A$6:$A$2205,0)),"MISSING ID")</x:f>
        <x:v>Manufactured stock</x:v>
      </x:c>
      <x:c r="E595" s="4" t="str">
        <x:f>IFERROR(INDEX('Material routes'!$C$6:$C$2205,MATCH(U595,'Material routes'!$A$6:$A$2205,0)),"MISSING ID")</x:f>
        <x:v>Ingredient candidate</x:v>
      </x:c>
      <x:c r="F595" s="4" t="str">
        <x:f>IFERROR(INDEX('Material routes'!$E$6:$E$2205,MATCH(V595,'Material routes'!$A$6:$A$2205,0)),"MISSING ID")</x:f>
        <x:v>Worm drive screw</x:v>
      </x:c>
      <x:c r="G595" s="4" t="str">
        <x:f>IFERROR(INDEX('Material routes'!$F$6:$F$2205,MATCH(V595,'Material routes'!$A$6:$A$2205,0)),"MISSING ID")</x:f>
        <x:v>T3</x:v>
      </x:c>
      <x:c r="H595" s="4" t="str">
        <x:f>IFERROR(INDEX('Material routes'!$H$6:$H$2205,MATCH(V595,'Material routes'!$A$6:$A$2205,0)),"MISSING ID")</x:f>
        <x:v>Machine part</x:v>
      </x:c>
      <x:c r="I595" s="4" t="str">
        <x:f>IFERROR(INDEX('Material routes'!$G$6:$G$2205,MATCH(V595,'Material routes'!$A$6:$A$2205,0)),"MISSING ID")</x:f>
        <x:v>Crafting components</x:v>
      </x:c>
      <x:c r="J595" s="4" t="str">
        <x:f>IFERROR(INDEX('Material routes'!$B$6:$B$2205,MATCH(U595,'Material routes'!$A$6:$A$2205,0)),"MISSING ID")</x:f>
        <x:v>design.collection.worm_drive_screw</x:v>
      </x:c>
      <x:c r="K595" s="4" t="str">
        <x:f>IFERROR(INDEX('Crafting recipes'!$C$6:$C$1005,MATCH(J595,'Crafting recipes'!$A$6:$A$1005,0)),"MISSING ID")</x:f>
        <x:v>Material refinement</x:v>
      </x:c>
      <x:c r="L595" s="4" t="str">
        <x:f>IFERROR(INDEX('Material routes'!$K$6:$K$2205,MATCH(U595,'Material routes'!$A$6:$A$2205,0)),"MISSING ID")</x:f>
        <x:v>Proposal</x:v>
      </x:c>
      <x:c r="M595" s="4" t="str">
        <x:f>IFERROR(INDEX('Material routes'!$M$6:$M$2205,MATCH(U595,'Material routes'!$A$6:$A$2205,0)),"MISSING ID")</x:f>
        <x:v>Partial proposal</x:v>
      </x:c>
      <x:c r="N595" s="4"/>
      <x:c r="O595" s="4" t="str">
        <x:f>IFERROR(INDEX('Material routes'!$J$6:$J$2205,MATCH(U595,'Material routes'!$A$6:$A$2205,0)),"MISSING ID")</x:f>
        <x:v>Unspecified</x:v>
      </x:c>
      <x:c r="P595" s="4"/>
      <x:c r="Q595" s="4" t="str">
        <x:f>IFERROR(INDEX('Material routes'!$J$6:$J$2205,MATCH(V595,'Material routes'!$A$6:$A$2205,0)),"MISSING ID")</x:f>
        <x:v>Unspecified</x:v>
      </x:c>
      <x:c r="R595" s="4" t="str">
        <x:f>IF(L595="Withheld","Withheld premise",IF(E595="Tool candidate","Reusable prerequisite",IF(K595="Raw entry preparation","Entry-resource preparation",IF(G595="Not applicable",IF(IFERROR(INDEX('Items'!$AI$6:$AI$1005,MATCH(T595,'Items'!$A$6:$A$1005,0)),"MISSING ID")="Finished item","Finished endpoint",IF(IFERROR(INDEX('Items'!$AI$6:$AI$1005,MATCH(T595,'Items'!$A$6:$A$1005,0)),"MISSING ID")="Currency","Currency / no refinement tier","Recovered output / tier not applicable")),IF(OR(IFERROR(INDEX('Crafting recipes'!$H$6:$H$1005,MATCH(J595,'Crafting recipes'!$A$6:$A$1005,0)),"MISSING ID")="Unassigned",G595="Unassigned"),"Tier unresolved",IF(IFERROR(VALUE(RIGHT(G595,1))-VALUE(RIGHT(IFERROR(INDEX('Crafting recipes'!$H$6:$H$1005,MATCH(J595,'Crafting recipes'!$A$6:$A$1005,0)),"MISSING ID"),1)),0)=1,IF(B595=IFERROR(INDEX('Crafting recipes'!$H$6:$H$1005,MATCH(J595,'Crafting recipes'!$A$6:$A$1005,0)),"MISSING ID"),"Advances one material tier","Lower-tier ingredient; route advances one tier"),"Needs tier review"))))))</x:f>
        <x:v>Advances one material tier</x:v>
      </x:c>
      <x:c r="S595" s="4" t="str">
        <x:f>IFERROR(INDEX('Material routes'!$D$6:$D$2205,MATCH(U595,'Material routes'!$A$6:$A$2205,0)),"MISSING ID")</x:f>
        <x:v>author.metallurgy.steel_stock</x:v>
      </x:c>
      <x:c r="T595" s="4" t="str">
        <x:f>IFERROR(INDEX('Material routes'!$D$6:$D$2205,MATCH(V595,'Material routes'!$A$6:$A$2205,0)),"MISSING ID")</x:f>
        <x:v>proposal.collection.worm_drive_screw</x:v>
      </x:c>
      <x:c r="U595" s="4" t="str">
        <x:v>design.collection.worm_drive_screw.in.1</x:v>
      </x:c>
      <x:c r="V595" s="4" t="str">
        <x:v>design.collection.worm_drive_screw.out</x:v>
      </x:c>
    </x:row>
    <x:row r="596" ht="64" customHeight="1">
      <x:c r="A596" s="4" t="str">
        <x:f>IFERROR(INDEX('Material routes'!$E$6:$E$2205,MATCH(U596,'Material routes'!$A$6:$A$2205,0)),"MISSING ID")</x:f>
        <x:v>Prepared bronze bearing stock</x:v>
      </x:c>
      <x:c r="B596" s="4" t="str">
        <x:f>IFERROR(INDEX('Material routes'!$F$6:$F$2205,MATCH(U596,'Material routes'!$A$6:$A$2205,0)),"MISSING ID")</x:f>
        <x:v>T2</x:v>
      </x:c>
      <x:c r="C596" s="4" t="str">
        <x:f>IFERROR(INDEX('Material routes'!$H$6:$H$2205,MATCH(U596,'Material routes'!$A$6:$A$2205,0)),"MISSING ID")</x:f>
        <x:v>Processed material</x:v>
      </x:c>
      <x:c r="D596" s="4" t="str">
        <x:f>IFERROR(INDEX('Material routes'!$G$6:$G$2205,MATCH(U596,'Material routes'!$A$6:$A$2205,0)),"MISSING ID")</x:f>
        <x:v>Manufactured stock</x:v>
      </x:c>
      <x:c r="E596" s="4" t="str">
        <x:f>IFERROR(INDEX('Material routes'!$C$6:$C$2205,MATCH(U596,'Material routes'!$A$6:$A$2205,0)),"MISSING ID")</x:f>
        <x:v>Ingredient candidate</x:v>
      </x:c>
      <x:c r="F596" s="4" t="str">
        <x:f>IFERROR(INDEX('Material routes'!$E$6:$E$2205,MATCH(V596,'Material routes'!$A$6:$A$2205,0)),"MISSING ID")</x:f>
        <x:v>Worm wheel</x:v>
      </x:c>
      <x:c r="G596" s="4" t="str">
        <x:f>IFERROR(INDEX('Material routes'!$F$6:$F$2205,MATCH(V596,'Material routes'!$A$6:$A$2205,0)),"MISSING ID")</x:f>
        <x:v>T3</x:v>
      </x:c>
      <x:c r="H596" s="4" t="str">
        <x:f>IFERROR(INDEX('Material routes'!$H$6:$H$2205,MATCH(V596,'Material routes'!$A$6:$A$2205,0)),"MISSING ID")</x:f>
        <x:v>Machine part</x:v>
      </x:c>
      <x:c r="I596" s="4" t="str">
        <x:f>IFERROR(INDEX('Material routes'!$G$6:$G$2205,MATCH(V596,'Material routes'!$A$6:$A$2205,0)),"MISSING ID")</x:f>
        <x:v>Crafting components</x:v>
      </x:c>
      <x:c r="J596" s="4" t="str">
        <x:f>IFERROR(INDEX('Material routes'!$B$6:$B$2205,MATCH(U596,'Material routes'!$A$6:$A$2205,0)),"MISSING ID")</x:f>
        <x:v>design.collection.worm_wheel</x:v>
      </x:c>
      <x:c r="K596" s="4" t="str">
        <x:f>IFERROR(INDEX('Crafting recipes'!$C$6:$C$1005,MATCH(J596,'Crafting recipes'!$A$6:$A$1005,0)),"MISSING ID")</x:f>
        <x:v>Material refinement</x:v>
      </x:c>
      <x:c r="L596" s="4" t="str">
        <x:f>IFERROR(INDEX('Material routes'!$K$6:$K$2205,MATCH(U596,'Material routes'!$A$6:$A$2205,0)),"MISSING ID")</x:f>
        <x:v>Proposal</x:v>
      </x:c>
      <x:c r="M596" s="4" t="str">
        <x:f>IFERROR(INDEX('Material routes'!$M$6:$M$2205,MATCH(U596,'Material routes'!$A$6:$A$2205,0)),"MISSING ID")</x:f>
        <x:v>Partial proposal</x:v>
      </x:c>
      <x:c r="N596" s="4"/>
      <x:c r="O596" s="4" t="str">
        <x:f>IFERROR(INDEX('Material routes'!$J$6:$J$2205,MATCH(U596,'Material routes'!$A$6:$A$2205,0)),"MISSING ID")</x:f>
        <x:v>Unspecified</x:v>
      </x:c>
      <x:c r="P596" s="4"/>
      <x:c r="Q596" s="4" t="str">
        <x:f>IFERROR(INDEX('Material routes'!$J$6:$J$2205,MATCH(V596,'Material routes'!$A$6:$A$2205,0)),"MISSING ID")</x:f>
        <x:v>Unspecified</x:v>
      </x:c>
      <x:c r="R596" s="4" t="str">
        <x:f>IF(L596="Withheld","Withheld premise",IF(E596="Tool candidate","Reusable prerequisite",IF(K596="Raw entry preparation","Entry-resource preparation",IF(G596="Not applicable",IF(IFERROR(INDEX('Items'!$AI$6:$AI$1005,MATCH(T596,'Items'!$A$6:$A$1005,0)),"MISSING ID")="Finished item","Finished endpoint",IF(IFERROR(INDEX('Items'!$AI$6:$AI$1005,MATCH(T596,'Items'!$A$6:$A$1005,0)),"MISSING ID")="Currency","Currency / no refinement tier","Recovered output / tier not applicable")),IF(OR(IFERROR(INDEX('Crafting recipes'!$H$6:$H$1005,MATCH(J596,'Crafting recipes'!$A$6:$A$1005,0)),"MISSING ID")="Unassigned",G596="Unassigned"),"Tier unresolved",IF(IFERROR(VALUE(RIGHT(G596,1))-VALUE(RIGHT(IFERROR(INDEX('Crafting recipes'!$H$6:$H$1005,MATCH(J596,'Crafting recipes'!$A$6:$A$1005,0)),"MISSING ID"),1)),0)=1,IF(B596=IFERROR(INDEX('Crafting recipes'!$H$6:$H$1005,MATCH(J596,'Crafting recipes'!$A$6:$A$1005,0)),"MISSING ID"),"Advances one material tier","Lower-tier ingredient; route advances one tier"),"Needs tier review"))))))</x:f>
        <x:v>Advances one material tier</x:v>
      </x:c>
      <x:c r="S596" s="4" t="str">
        <x:f>IFERROR(INDEX('Material routes'!$D$6:$D$2205,MATCH(U596,'Material routes'!$A$6:$A$2205,0)),"MISSING ID")</x:f>
        <x:v>proposal.branch.bearing_bronze</x:v>
      </x:c>
      <x:c r="T596" s="4" t="str">
        <x:f>IFERROR(INDEX('Material routes'!$D$6:$D$2205,MATCH(V596,'Material routes'!$A$6:$A$2205,0)),"MISSING ID")</x:f>
        <x:v>proposal.collection.worm_wheel</x:v>
      </x:c>
      <x:c r="U596" s="4" t="str">
        <x:v>design.collection.worm_wheel.in.1</x:v>
      </x:c>
      <x:c r="V596" s="4" t="str">
        <x:v>design.collection.worm_wheel.out</x:v>
      </x:c>
    </x:row>
    <x:row r="597" ht="64" customHeight="1">
      <x:c r="A597" s="4"/>
      <x:c r="B597" s="4"/>
      <x:c r="C597" s="4"/>
      <x:c r="D597" s="4"/>
      <x:c r="E597" s="4"/>
      <x:c r="F597" s="4"/>
      <x:c r="G597" s="4"/>
      <x:c r="H597" s="4"/>
      <x:c r="I597" s="4"/>
      <x:c r="J597" s="4"/>
      <x:c r="K597" s="4"/>
      <x:c r="L597" s="4"/>
      <x:c r="M597" s="4"/>
      <x:c r="N597" s="4"/>
      <x:c r="O597" s="4"/>
      <x:c r="P597" s="4"/>
      <x:c r="Q597" s="4"/>
      <x:c r="R597" s="4"/>
      <x:c r="S597" s="4"/>
      <x:c r="T597" s="4"/>
      <x:c r="U597" s="4"/>
      <x:c r="V597" s="4"/>
    </x:row>
    <x:row r="598" ht="64" customHeight="1">
      <x:c r="A598" s="4" t="str">
        <x:f>IFERROR(INDEX('Material routes'!$E$6:$E$2205,MATCH(U598,'Material routes'!$A$6:$A$2205,0)),"MISSING ID")</x:f>
        <x:v>Steel stock</x:v>
      </x:c>
      <x:c r="B598" s="4" t="str">
        <x:f>IFERROR(INDEX('Material routes'!$F$6:$F$2205,MATCH(U598,'Material routes'!$A$6:$A$2205,0)),"MISSING ID")</x:f>
        <x:v>T2</x:v>
      </x:c>
      <x:c r="C598" s="4" t="str">
        <x:f>IFERROR(INDEX('Material routes'!$H$6:$H$2205,MATCH(U598,'Material routes'!$A$6:$A$2205,0)),"MISSING ID")</x:f>
        <x:v>Processed material</x:v>
      </x:c>
      <x:c r="D598" s="4" t="str">
        <x:f>IFERROR(INDEX('Material routes'!$G$6:$G$2205,MATCH(U598,'Material routes'!$A$6:$A$2205,0)),"MISSING ID")</x:f>
        <x:v>Manufactured stock</x:v>
      </x:c>
      <x:c r="E598" s="4" t="str">
        <x:f>IFERROR(INDEX('Material routes'!$C$6:$C$2205,MATCH(U598,'Material routes'!$A$6:$A$2205,0)),"MISSING ID")</x:f>
        <x:v>Ingredient candidate</x:v>
      </x:c>
      <x:c r="F598" s="4" t="str">
        <x:f>IFERROR(INDEX('Material routes'!$E$6:$E$2205,MATCH(V598,'Material routes'!$A$6:$A$2205,0)),"MISSING ID")</x:f>
        <x:v>Chain drive sprocket</x:v>
      </x:c>
      <x:c r="G598" s="4" t="str">
        <x:f>IFERROR(INDEX('Material routes'!$F$6:$F$2205,MATCH(V598,'Material routes'!$A$6:$A$2205,0)),"MISSING ID")</x:f>
        <x:v>T3</x:v>
      </x:c>
      <x:c r="H598" s="4" t="str">
        <x:f>IFERROR(INDEX('Material routes'!$H$6:$H$2205,MATCH(V598,'Material routes'!$A$6:$A$2205,0)),"MISSING ID")</x:f>
        <x:v>Machine part</x:v>
      </x:c>
      <x:c r="I598" s="4" t="str">
        <x:f>IFERROR(INDEX('Material routes'!$G$6:$G$2205,MATCH(V598,'Material routes'!$A$6:$A$2205,0)),"MISSING ID")</x:f>
        <x:v>Crafting components</x:v>
      </x:c>
      <x:c r="J598" s="4" t="str">
        <x:f>IFERROR(INDEX('Material routes'!$B$6:$B$2205,MATCH(U598,'Material routes'!$A$6:$A$2205,0)),"MISSING ID")</x:f>
        <x:v>design.collection.chain_drive_sprocket</x:v>
      </x:c>
      <x:c r="K598" s="4" t="str">
        <x:f>IFERROR(INDEX('Crafting recipes'!$C$6:$C$1005,MATCH(J598,'Crafting recipes'!$A$6:$A$1005,0)),"MISSING ID")</x:f>
        <x:v>Material refinement</x:v>
      </x:c>
      <x:c r="L598" s="4" t="str">
        <x:f>IFERROR(INDEX('Material routes'!$K$6:$K$2205,MATCH(U598,'Material routes'!$A$6:$A$2205,0)),"MISSING ID")</x:f>
        <x:v>Proposal</x:v>
      </x:c>
      <x:c r="M598" s="4" t="str">
        <x:f>IFERROR(INDEX('Material routes'!$M$6:$M$2205,MATCH(U598,'Material routes'!$A$6:$A$2205,0)),"MISSING ID")</x:f>
        <x:v>Partial proposal</x:v>
      </x:c>
      <x:c r="N598" s="4"/>
      <x:c r="O598" s="4" t="str">
        <x:f>IFERROR(INDEX('Material routes'!$J$6:$J$2205,MATCH(U598,'Material routes'!$A$6:$A$2205,0)),"MISSING ID")</x:f>
        <x:v>Unspecified</x:v>
      </x:c>
      <x:c r="P598" s="4"/>
      <x:c r="Q598" s="4" t="str">
        <x:f>IFERROR(INDEX('Material routes'!$J$6:$J$2205,MATCH(V598,'Material routes'!$A$6:$A$2205,0)),"MISSING ID")</x:f>
        <x:v>Unspecified</x:v>
      </x:c>
      <x:c r="R598" s="4" t="str">
        <x:f>IF(L598="Withheld","Withheld premise",IF(E598="Tool candidate","Reusable prerequisite",IF(K598="Raw entry preparation","Entry-resource preparation",IF(G598="Not applicable",IF(IFERROR(INDEX('Items'!$AI$6:$AI$1005,MATCH(T598,'Items'!$A$6:$A$1005,0)),"MISSING ID")="Finished item","Finished endpoint",IF(IFERROR(INDEX('Items'!$AI$6:$AI$1005,MATCH(T598,'Items'!$A$6:$A$1005,0)),"MISSING ID")="Currency","Currency / no refinement tier","Recovered output / tier not applicable")),IF(OR(IFERROR(INDEX('Crafting recipes'!$H$6:$H$1005,MATCH(J598,'Crafting recipes'!$A$6:$A$1005,0)),"MISSING ID")="Unassigned",G598="Unassigned"),"Tier unresolved",IF(IFERROR(VALUE(RIGHT(G598,1))-VALUE(RIGHT(IFERROR(INDEX('Crafting recipes'!$H$6:$H$1005,MATCH(J598,'Crafting recipes'!$A$6:$A$1005,0)),"MISSING ID"),1)),0)=1,IF(B598=IFERROR(INDEX('Crafting recipes'!$H$6:$H$1005,MATCH(J598,'Crafting recipes'!$A$6:$A$1005,0)),"MISSING ID"),"Advances one material tier","Lower-tier ingredient; route advances one tier"),"Needs tier review"))))))</x:f>
        <x:v>Advances one material tier</x:v>
      </x:c>
      <x:c r="S598" s="4" t="str">
        <x:f>IFERROR(INDEX('Material routes'!$D$6:$D$2205,MATCH(U598,'Material routes'!$A$6:$A$2205,0)),"MISSING ID")</x:f>
        <x:v>author.metallurgy.steel_stock</x:v>
      </x:c>
      <x:c r="T598" s="4" t="str">
        <x:f>IFERROR(INDEX('Material routes'!$D$6:$D$2205,MATCH(V598,'Material routes'!$A$6:$A$2205,0)),"MISSING ID")</x:f>
        <x:v>proposal.collection.chain_drive_sprocket</x:v>
      </x:c>
      <x:c r="U598" s="4" t="str">
        <x:v>design.collection.chain_drive_sprocket.in.1</x:v>
      </x:c>
      <x:c r="V598" s="4" t="str">
        <x:v>design.collection.chain_drive_sprocket.out</x:v>
      </x:c>
    </x:row>
    <x:row r="599" ht="64" customHeight="1">
      <x:c r="A599" s="4" t="str">
        <x:f>IFERROR(INDEX('Material routes'!$E$6:$E$2205,MATCH(U599,'Material routes'!$A$6:$A$2205,0)),"MISSING ID")</x:f>
        <x:v>Steel stock</x:v>
      </x:c>
      <x:c r="B599" s="4" t="str">
        <x:f>IFERROR(INDEX('Material routes'!$F$6:$F$2205,MATCH(U599,'Material routes'!$A$6:$A$2205,0)),"MISSING ID")</x:f>
        <x:v>T2</x:v>
      </x:c>
      <x:c r="C599" s="4" t="str">
        <x:f>IFERROR(INDEX('Material routes'!$H$6:$H$2205,MATCH(U599,'Material routes'!$A$6:$A$2205,0)),"MISSING ID")</x:f>
        <x:v>Processed material</x:v>
      </x:c>
      <x:c r="D599" s="4" t="str">
        <x:f>IFERROR(INDEX('Material routes'!$G$6:$G$2205,MATCH(U599,'Material routes'!$A$6:$A$2205,0)),"MISSING ID")</x:f>
        <x:v>Manufactured stock</x:v>
      </x:c>
      <x:c r="E599" s="4" t="str">
        <x:f>IFERROR(INDEX('Material routes'!$C$6:$C$2205,MATCH(U599,'Material routes'!$A$6:$A$2205,0)),"MISSING ID")</x:f>
        <x:v>Ingredient candidate</x:v>
      </x:c>
      <x:c r="F599" s="4" t="str">
        <x:f>IFERROR(INDEX('Material routes'!$E$6:$E$2205,MATCH(V599,'Material routes'!$A$6:$A$2205,0)),"MISSING ID")</x:f>
        <x:v>Split shaft coupling</x:v>
      </x:c>
      <x:c r="G599" s="4" t="str">
        <x:f>IFERROR(INDEX('Material routes'!$F$6:$F$2205,MATCH(V599,'Material routes'!$A$6:$A$2205,0)),"MISSING ID")</x:f>
        <x:v>T4</x:v>
      </x:c>
      <x:c r="H599" s="4" t="str">
        <x:f>IFERROR(INDEX('Material routes'!$H$6:$H$2205,MATCH(V599,'Material routes'!$A$6:$A$2205,0)),"MISSING ID")</x:f>
        <x:v>Machine part</x:v>
      </x:c>
      <x:c r="I599" s="4" t="str">
        <x:f>IFERROR(INDEX('Material routes'!$G$6:$G$2205,MATCH(V599,'Material routes'!$A$6:$A$2205,0)),"MISSING ID")</x:f>
        <x:v>Crafting components</x:v>
      </x:c>
      <x:c r="J599" s="4" t="str">
        <x:f>IFERROR(INDEX('Material routes'!$B$6:$B$2205,MATCH(U599,'Material routes'!$A$6:$A$2205,0)),"MISSING ID")</x:f>
        <x:v>design.collection.split_shaft_coupling</x:v>
      </x:c>
      <x:c r="K599" s="4" t="str">
        <x:f>IFERROR(INDEX('Crafting recipes'!$C$6:$C$1005,MATCH(J599,'Crafting recipes'!$A$6:$A$1005,0)),"MISSING ID")</x:f>
        <x:v>Material refinement</x:v>
      </x:c>
      <x:c r="L599" s="4" t="str">
        <x:f>IFERROR(INDEX('Material routes'!$K$6:$K$2205,MATCH(U599,'Material routes'!$A$6:$A$2205,0)),"MISSING ID")</x:f>
        <x:v>Proposal</x:v>
      </x:c>
      <x:c r="M599" s="4" t="str">
        <x:f>IFERROR(INDEX('Material routes'!$M$6:$M$2205,MATCH(U599,'Material routes'!$A$6:$A$2205,0)),"MISSING ID")</x:f>
        <x:v>Partial proposal</x:v>
      </x:c>
      <x:c r="N599" s="4"/>
      <x:c r="O599" s="4" t="str">
        <x:f>IFERROR(INDEX('Material routes'!$J$6:$J$2205,MATCH(U599,'Material routes'!$A$6:$A$2205,0)),"MISSING ID")</x:f>
        <x:v>Unspecified</x:v>
      </x:c>
      <x:c r="P599" s="4"/>
      <x:c r="Q599" s="4" t="str">
        <x:f>IFERROR(INDEX('Material routes'!$J$6:$J$2205,MATCH(V599,'Material routes'!$A$6:$A$2205,0)),"MISSING ID")</x:f>
        <x:v>Unspecified</x:v>
      </x:c>
      <x:c r="R599" s="4" t="str">
        <x:f>IF(L599="Withheld","Withheld premise",IF(E599="Tool candidate","Reusable prerequisite",IF(K599="Raw entry preparation","Entry-resource preparation",IF(G599="Not applicable",IF(IFERROR(INDEX('Items'!$AI$6:$AI$1005,MATCH(T599,'Items'!$A$6:$A$1005,0)),"MISSING ID")="Finished item","Finished endpoint",IF(IFERROR(INDEX('Items'!$AI$6:$AI$1005,MATCH(T599,'Items'!$A$6:$A$1005,0)),"MISSING ID")="Currency","Currency / no refinement tier","Recovered output / tier not applicable")),IF(OR(IFERROR(INDEX('Crafting recipes'!$H$6:$H$1005,MATCH(J599,'Crafting recipes'!$A$6:$A$1005,0)),"MISSING ID")="Unassigned",G599="Unassigned"),"Tier unresolved",IF(IFERROR(VALUE(RIGHT(G599,1))-VALUE(RIGHT(IFERROR(INDEX('Crafting recipes'!$H$6:$H$1005,MATCH(J599,'Crafting recipes'!$A$6:$A$1005,0)),"MISSING ID"),1)),0)=1,IF(B599=IFERROR(INDEX('Crafting recipes'!$H$6:$H$1005,MATCH(J599,'Crafting recipes'!$A$6:$A$1005,0)),"MISSING ID"),"Advances one material tier","Lower-tier ingredient; route advances one tier"),"Needs tier review"))))))</x:f>
        <x:v>Lower-tier ingredient; route advances one tier</x:v>
      </x:c>
      <x:c r="S599" s="4" t="str">
        <x:f>IFERROR(INDEX('Material routes'!$D$6:$D$2205,MATCH(U599,'Material routes'!$A$6:$A$2205,0)),"MISSING ID")</x:f>
        <x:v>author.metallurgy.steel_stock</x:v>
      </x:c>
      <x:c r="T599" s="4" t="str">
        <x:f>IFERROR(INDEX('Material routes'!$D$6:$D$2205,MATCH(V599,'Material routes'!$A$6:$A$2205,0)),"MISSING ID")</x:f>
        <x:v>proposal.collection.split_shaft_coupling</x:v>
      </x:c>
      <x:c r="U599" s="4" t="str">
        <x:v>design.collection.split_shaft_coupling.in.1</x:v>
      </x:c>
      <x:c r="V599" s="4" t="str">
        <x:v>design.collection.split_shaft_coupling.out</x:v>
      </x:c>
    </x:row>
    <x:row r="600" ht="64" customHeight="1">
      <x:c r="A600" s="4" t="str">
        <x:f>IFERROR(INDEX('Material routes'!$E$6:$E$2205,MATCH(U600,'Material routes'!$A$6:$A$2205,0)),"MISSING ID")</x:f>
        <x:v>Matched metal fastener set</x:v>
      </x:c>
      <x:c r="B600" s="4" t="str">
        <x:f>IFERROR(INDEX('Material routes'!$F$6:$F$2205,MATCH(U600,'Material routes'!$A$6:$A$2205,0)),"MISSING ID")</x:f>
        <x:v>T3</x:v>
      </x:c>
      <x:c r="C600" s="4" t="str">
        <x:f>IFERROR(INDEX('Material routes'!$H$6:$H$2205,MATCH(U600,'Material routes'!$A$6:$A$2205,0)),"MISSING ID")</x:f>
        <x:v>Crafting component</x:v>
      </x:c>
      <x:c r="D600" s="4" t="str">
        <x:f>IFERROR(INDEX('Material routes'!$G$6:$G$2205,MATCH(U600,'Material routes'!$A$6:$A$2205,0)),"MISSING ID")</x:f>
        <x:v>Crafting components</x:v>
      </x:c>
      <x:c r="E600" s="4" t="str">
        <x:f>IFERROR(INDEX('Material routes'!$C$6:$C$2205,MATCH(U600,'Material routes'!$A$6:$A$2205,0)),"MISSING ID")</x:f>
        <x:v>Ingredient candidate</x:v>
      </x:c>
      <x:c r="F600" s="4" t="str">
        <x:f>IFERROR(INDEX('Material routes'!$E$6:$E$2205,MATCH(V600,'Material routes'!$A$6:$A$2205,0)),"MISSING ID")</x:f>
        <x:v>Split shaft coupling</x:v>
      </x:c>
      <x:c r="G600" s="4" t="str">
        <x:f>IFERROR(INDEX('Material routes'!$F$6:$F$2205,MATCH(V600,'Material routes'!$A$6:$A$2205,0)),"MISSING ID")</x:f>
        <x:v>T4</x:v>
      </x:c>
      <x:c r="H600" s="4" t="str">
        <x:f>IFERROR(INDEX('Material routes'!$H$6:$H$2205,MATCH(V600,'Material routes'!$A$6:$A$2205,0)),"MISSING ID")</x:f>
        <x:v>Machine part</x:v>
      </x:c>
      <x:c r="I600" s="4" t="str">
        <x:f>IFERROR(INDEX('Material routes'!$G$6:$G$2205,MATCH(V600,'Material routes'!$A$6:$A$2205,0)),"MISSING ID")</x:f>
        <x:v>Crafting components</x:v>
      </x:c>
      <x:c r="J600" s="4" t="str">
        <x:f>IFERROR(INDEX('Material routes'!$B$6:$B$2205,MATCH(U600,'Material routes'!$A$6:$A$2205,0)),"MISSING ID")</x:f>
        <x:v>design.collection.split_shaft_coupling</x:v>
      </x:c>
      <x:c r="K600" s="4" t="str">
        <x:f>IFERROR(INDEX('Crafting recipes'!$C$6:$C$1005,MATCH(J600,'Crafting recipes'!$A$6:$A$1005,0)),"MISSING ID")</x:f>
        <x:v>Material refinement</x:v>
      </x:c>
      <x:c r="L600" s="4" t="str">
        <x:f>IFERROR(INDEX('Material routes'!$K$6:$K$2205,MATCH(U600,'Material routes'!$A$6:$A$2205,0)),"MISSING ID")</x:f>
        <x:v>Proposal</x:v>
      </x:c>
      <x:c r="M600" s="4" t="str">
        <x:f>IFERROR(INDEX('Material routes'!$M$6:$M$2205,MATCH(U600,'Material routes'!$A$6:$A$2205,0)),"MISSING ID")</x:f>
        <x:v>Partial proposal</x:v>
      </x:c>
      <x:c r="N600" s="4"/>
      <x:c r="O600" s="4" t="str">
        <x:f>IFERROR(INDEX('Material routes'!$J$6:$J$2205,MATCH(U600,'Material routes'!$A$6:$A$2205,0)),"MISSING ID")</x:f>
        <x:v>Unspecified</x:v>
      </x:c>
      <x:c r="P600" s="4"/>
      <x:c r="Q600" s="4" t="str">
        <x:f>IFERROR(INDEX('Material routes'!$J$6:$J$2205,MATCH(V600,'Material routes'!$A$6:$A$2205,0)),"MISSING ID")</x:f>
        <x:v>Unspecified</x:v>
      </x:c>
      <x:c r="R600" s="4" t="str">
        <x:f>IF(L600="Withheld","Withheld premise",IF(E600="Tool candidate","Reusable prerequisite",IF(K600="Raw entry preparation","Entry-resource preparation",IF(G600="Not applicable",IF(IFERROR(INDEX('Items'!$AI$6:$AI$1005,MATCH(T600,'Items'!$A$6:$A$1005,0)),"MISSING ID")="Finished item","Finished endpoint",IF(IFERROR(INDEX('Items'!$AI$6:$AI$1005,MATCH(T600,'Items'!$A$6:$A$1005,0)),"MISSING ID")="Currency","Currency / no refinement tier","Recovered output / tier not applicable")),IF(OR(IFERROR(INDEX('Crafting recipes'!$H$6:$H$1005,MATCH(J600,'Crafting recipes'!$A$6:$A$1005,0)),"MISSING ID")="Unassigned",G600="Unassigned"),"Tier unresolved",IF(IFERROR(VALUE(RIGHT(G600,1))-VALUE(RIGHT(IFERROR(INDEX('Crafting recipes'!$H$6:$H$1005,MATCH(J600,'Crafting recipes'!$A$6:$A$1005,0)),"MISSING ID"),1)),0)=1,IF(B600=IFERROR(INDEX('Crafting recipes'!$H$6:$H$1005,MATCH(J600,'Crafting recipes'!$A$6:$A$1005,0)),"MISSING ID"),"Advances one material tier","Lower-tier ingredient; route advances one tier"),"Needs tier review"))))))</x:f>
        <x:v>Advances one material tier</x:v>
      </x:c>
      <x:c r="S600" s="4" t="str">
        <x:f>IFERROR(INDEX('Material routes'!$D$6:$D$2205,MATCH(U600,'Material routes'!$A$6:$A$2205,0)),"MISSING ID")</x:f>
        <x:v>proposal.lore.fastener_set</x:v>
      </x:c>
      <x:c r="T600" s="4" t="str">
        <x:f>IFERROR(INDEX('Material routes'!$D$6:$D$2205,MATCH(V600,'Material routes'!$A$6:$A$2205,0)),"MISSING ID")</x:f>
        <x:v>proposal.collection.split_shaft_coupling</x:v>
      </x:c>
      <x:c r="U600" s="4" t="str">
        <x:v>design.collection.split_shaft_coupling.in.2</x:v>
      </x:c>
      <x:c r="V600" s="4" t="str">
        <x:v>design.collection.split_shaft_coupling.out</x:v>
      </x:c>
    </x:row>
    <x:row r="601" ht="64" customHeight="1">
      <x:c r="A601" s="4" t="str">
        <x:f>IFERROR(INDEX('Material routes'!$E$6:$E$2205,MATCH(U601,'Material routes'!$A$6:$A$2205,0)),"MISSING ID")</x:f>
        <x:v>Steel stock</x:v>
      </x:c>
      <x:c r="B601" s="4" t="str">
        <x:f>IFERROR(INDEX('Material routes'!$F$6:$F$2205,MATCH(U601,'Material routes'!$A$6:$A$2205,0)),"MISSING ID")</x:f>
        <x:v>T2</x:v>
      </x:c>
      <x:c r="C601" s="4" t="str">
        <x:f>IFERROR(INDEX('Material routes'!$H$6:$H$2205,MATCH(U601,'Material routes'!$A$6:$A$2205,0)),"MISSING ID")</x:f>
        <x:v>Processed material</x:v>
      </x:c>
      <x:c r="D601" s="4" t="str">
        <x:f>IFERROR(INDEX('Material routes'!$G$6:$G$2205,MATCH(U601,'Material routes'!$A$6:$A$2205,0)),"MISSING ID")</x:f>
        <x:v>Manufactured stock</x:v>
      </x:c>
      <x:c r="E601" s="4" t="str">
        <x:f>IFERROR(INDEX('Material routes'!$C$6:$C$2205,MATCH(U601,'Material routes'!$A$6:$A$2205,0)),"MISSING ID")</x:f>
        <x:v>Ingredient candidate</x:v>
      </x:c>
      <x:c r="F601" s="4" t="str">
        <x:f>IFERROR(INDEX('Material routes'!$E$6:$E$2205,MATCH(V601,'Material routes'!$A$6:$A$2205,0)),"MISSING ID")</x:f>
        <x:v>Keyed drive shaft</x:v>
      </x:c>
      <x:c r="G601" s="4" t="str">
        <x:f>IFERROR(INDEX('Material routes'!$F$6:$F$2205,MATCH(V601,'Material routes'!$A$6:$A$2205,0)),"MISSING ID")</x:f>
        <x:v>T3</x:v>
      </x:c>
      <x:c r="H601" s="4" t="str">
        <x:f>IFERROR(INDEX('Material routes'!$H$6:$H$2205,MATCH(V601,'Material routes'!$A$6:$A$2205,0)),"MISSING ID")</x:f>
        <x:v>Machine part</x:v>
      </x:c>
      <x:c r="I601" s="4" t="str">
        <x:f>IFERROR(INDEX('Material routes'!$G$6:$G$2205,MATCH(V601,'Material routes'!$A$6:$A$2205,0)),"MISSING ID")</x:f>
        <x:v>Crafting components</x:v>
      </x:c>
      <x:c r="J601" s="4" t="str">
        <x:f>IFERROR(INDEX('Material routes'!$B$6:$B$2205,MATCH(U601,'Material routes'!$A$6:$A$2205,0)),"MISSING ID")</x:f>
        <x:v>design.collection.keyed_drive_shaft</x:v>
      </x:c>
      <x:c r="K601" s="4" t="str">
        <x:f>IFERROR(INDEX('Crafting recipes'!$C$6:$C$1005,MATCH(J601,'Crafting recipes'!$A$6:$A$1005,0)),"MISSING ID")</x:f>
        <x:v>Material refinement</x:v>
      </x:c>
      <x:c r="L601" s="4" t="str">
        <x:f>IFERROR(INDEX('Material routes'!$K$6:$K$2205,MATCH(U601,'Material routes'!$A$6:$A$2205,0)),"MISSING ID")</x:f>
        <x:v>Proposal</x:v>
      </x:c>
      <x:c r="M601" s="4" t="str">
        <x:f>IFERROR(INDEX('Material routes'!$M$6:$M$2205,MATCH(U601,'Material routes'!$A$6:$A$2205,0)),"MISSING ID")</x:f>
        <x:v>Partial proposal</x:v>
      </x:c>
      <x:c r="N601" s="4"/>
      <x:c r="O601" s="4" t="str">
        <x:f>IFERROR(INDEX('Material routes'!$J$6:$J$2205,MATCH(U601,'Material routes'!$A$6:$A$2205,0)),"MISSING ID")</x:f>
        <x:v>Unspecified</x:v>
      </x:c>
      <x:c r="P601" s="4"/>
      <x:c r="Q601" s="4" t="str">
        <x:f>IFERROR(INDEX('Material routes'!$J$6:$J$2205,MATCH(V601,'Material routes'!$A$6:$A$2205,0)),"MISSING ID")</x:f>
        <x:v>Unspecified</x:v>
      </x:c>
      <x:c r="R601" s="4" t="str">
        <x:f>IF(L601="Withheld","Withheld premise",IF(E601="Tool candidate","Reusable prerequisite",IF(K601="Raw entry preparation","Entry-resource preparation",IF(G601="Not applicable",IF(IFERROR(INDEX('Items'!$AI$6:$AI$1005,MATCH(T601,'Items'!$A$6:$A$1005,0)),"MISSING ID")="Finished item","Finished endpoint",IF(IFERROR(INDEX('Items'!$AI$6:$AI$1005,MATCH(T601,'Items'!$A$6:$A$1005,0)),"MISSING ID")="Currency","Currency / no refinement tier","Recovered output / tier not applicable")),IF(OR(IFERROR(INDEX('Crafting recipes'!$H$6:$H$1005,MATCH(J601,'Crafting recipes'!$A$6:$A$1005,0)),"MISSING ID")="Unassigned",G601="Unassigned"),"Tier unresolved",IF(IFERROR(VALUE(RIGHT(G601,1))-VALUE(RIGHT(IFERROR(INDEX('Crafting recipes'!$H$6:$H$1005,MATCH(J601,'Crafting recipes'!$A$6:$A$1005,0)),"MISSING ID"),1)),0)=1,IF(B601=IFERROR(INDEX('Crafting recipes'!$H$6:$H$1005,MATCH(J601,'Crafting recipes'!$A$6:$A$1005,0)),"MISSING ID"),"Advances one material tier","Lower-tier ingredient; route advances one tier"),"Needs tier review"))))))</x:f>
        <x:v>Advances one material tier</x:v>
      </x:c>
      <x:c r="S601" s="4" t="str">
        <x:f>IFERROR(INDEX('Material routes'!$D$6:$D$2205,MATCH(U601,'Material routes'!$A$6:$A$2205,0)),"MISSING ID")</x:f>
        <x:v>author.metallurgy.steel_stock</x:v>
      </x:c>
      <x:c r="T601" s="4" t="str">
        <x:f>IFERROR(INDEX('Material routes'!$D$6:$D$2205,MATCH(V601,'Material routes'!$A$6:$A$2205,0)),"MISSING ID")</x:f>
        <x:v>proposal.collection.keyed_drive_shaft</x:v>
      </x:c>
      <x:c r="U601" s="4" t="str">
        <x:v>design.collection.keyed_drive_shaft.in.1</x:v>
      </x:c>
      <x:c r="V601" s="4" t="str">
        <x:v>design.collection.keyed_drive_shaft.out</x:v>
      </x:c>
    </x:row>
    <x:row r="602" ht="64" customHeight="1">
      <x:c r="A602" s="4" t="str">
        <x:f>IFERROR(INDEX('Material routes'!$E$6:$E$2205,MATCH(U602,'Material routes'!$A$6:$A$2205,0)),"MISSING ID")</x:f>
        <x:v>Steel stock</x:v>
      </x:c>
      <x:c r="B602" s="4" t="str">
        <x:f>IFERROR(INDEX('Material routes'!$F$6:$F$2205,MATCH(U602,'Material routes'!$A$6:$A$2205,0)),"MISSING ID")</x:f>
        <x:v>T2</x:v>
      </x:c>
      <x:c r="C602" s="4" t="str">
        <x:f>IFERROR(INDEX('Material routes'!$H$6:$H$2205,MATCH(U602,'Material routes'!$A$6:$A$2205,0)),"MISSING ID")</x:f>
        <x:v>Processed material</x:v>
      </x:c>
      <x:c r="D602" s="4" t="str">
        <x:f>IFERROR(INDEX('Material routes'!$G$6:$G$2205,MATCH(U602,'Material routes'!$A$6:$A$2205,0)),"MISSING ID")</x:f>
        <x:v>Manufactured stock</x:v>
      </x:c>
      <x:c r="E602" s="4" t="str">
        <x:f>IFERROR(INDEX('Material routes'!$C$6:$C$2205,MATCH(U602,'Material routes'!$A$6:$A$2205,0)),"MISSING ID")</x:f>
        <x:v>Ingredient candidate</x:v>
      </x:c>
      <x:c r="F602" s="4" t="str">
        <x:f>IFERROR(INDEX('Material routes'!$E$6:$E$2205,MATCH(V602,'Material routes'!$A$6:$A$2205,0)),"MISSING ID")</x:f>
        <x:v>Eccentric cam disc</x:v>
      </x:c>
      <x:c r="G602" s="4" t="str">
        <x:f>IFERROR(INDEX('Material routes'!$F$6:$F$2205,MATCH(V602,'Material routes'!$A$6:$A$2205,0)),"MISSING ID")</x:f>
        <x:v>T3</x:v>
      </x:c>
      <x:c r="H602" s="4" t="str">
        <x:f>IFERROR(INDEX('Material routes'!$H$6:$H$2205,MATCH(V602,'Material routes'!$A$6:$A$2205,0)),"MISSING ID")</x:f>
        <x:v>Machine part</x:v>
      </x:c>
      <x:c r="I602" s="4" t="str">
        <x:f>IFERROR(INDEX('Material routes'!$G$6:$G$2205,MATCH(V602,'Material routes'!$A$6:$A$2205,0)),"MISSING ID")</x:f>
        <x:v>Crafting components</x:v>
      </x:c>
      <x:c r="J602" s="4" t="str">
        <x:f>IFERROR(INDEX('Material routes'!$B$6:$B$2205,MATCH(U602,'Material routes'!$A$6:$A$2205,0)),"MISSING ID")</x:f>
        <x:v>design.collection.eccentric_cam_disc</x:v>
      </x:c>
      <x:c r="K602" s="4" t="str">
        <x:f>IFERROR(INDEX('Crafting recipes'!$C$6:$C$1005,MATCH(J602,'Crafting recipes'!$A$6:$A$1005,0)),"MISSING ID")</x:f>
        <x:v>Material refinement</x:v>
      </x:c>
      <x:c r="L602" s="4" t="str">
        <x:f>IFERROR(INDEX('Material routes'!$K$6:$K$2205,MATCH(U602,'Material routes'!$A$6:$A$2205,0)),"MISSING ID")</x:f>
        <x:v>Proposal</x:v>
      </x:c>
      <x:c r="M602" s="4" t="str">
        <x:f>IFERROR(INDEX('Material routes'!$M$6:$M$2205,MATCH(U602,'Material routes'!$A$6:$A$2205,0)),"MISSING ID")</x:f>
        <x:v>Partial proposal</x:v>
      </x:c>
      <x:c r="N602" s="4"/>
      <x:c r="O602" s="4" t="str">
        <x:f>IFERROR(INDEX('Material routes'!$J$6:$J$2205,MATCH(U602,'Material routes'!$A$6:$A$2205,0)),"MISSING ID")</x:f>
        <x:v>Unspecified</x:v>
      </x:c>
      <x:c r="P602" s="4"/>
      <x:c r="Q602" s="4" t="str">
        <x:f>IFERROR(INDEX('Material routes'!$J$6:$J$2205,MATCH(V602,'Material routes'!$A$6:$A$2205,0)),"MISSING ID")</x:f>
        <x:v>Unspecified</x:v>
      </x:c>
      <x:c r="R602" s="4" t="str">
        <x:f>IF(L602="Withheld","Withheld premise",IF(E602="Tool candidate","Reusable prerequisite",IF(K602="Raw entry preparation","Entry-resource preparation",IF(G602="Not applicable",IF(IFERROR(INDEX('Items'!$AI$6:$AI$1005,MATCH(T602,'Items'!$A$6:$A$1005,0)),"MISSING ID")="Finished item","Finished endpoint",IF(IFERROR(INDEX('Items'!$AI$6:$AI$1005,MATCH(T602,'Items'!$A$6:$A$1005,0)),"MISSING ID")="Currency","Currency / no refinement tier","Recovered output / tier not applicable")),IF(OR(IFERROR(INDEX('Crafting recipes'!$H$6:$H$1005,MATCH(J602,'Crafting recipes'!$A$6:$A$1005,0)),"MISSING ID")="Unassigned",G602="Unassigned"),"Tier unresolved",IF(IFERROR(VALUE(RIGHT(G602,1))-VALUE(RIGHT(IFERROR(INDEX('Crafting recipes'!$H$6:$H$1005,MATCH(J602,'Crafting recipes'!$A$6:$A$1005,0)),"MISSING ID"),1)),0)=1,IF(B602=IFERROR(INDEX('Crafting recipes'!$H$6:$H$1005,MATCH(J602,'Crafting recipes'!$A$6:$A$1005,0)),"MISSING ID"),"Advances one material tier","Lower-tier ingredient; route advances one tier"),"Needs tier review"))))))</x:f>
        <x:v>Advances one material tier</x:v>
      </x:c>
      <x:c r="S602" s="4" t="str">
        <x:f>IFERROR(INDEX('Material routes'!$D$6:$D$2205,MATCH(U602,'Material routes'!$A$6:$A$2205,0)),"MISSING ID")</x:f>
        <x:v>author.metallurgy.steel_stock</x:v>
      </x:c>
      <x:c r="T602" s="4" t="str">
        <x:f>IFERROR(INDEX('Material routes'!$D$6:$D$2205,MATCH(V602,'Material routes'!$A$6:$A$2205,0)),"MISSING ID")</x:f>
        <x:v>proposal.collection.eccentric_cam_disc</x:v>
      </x:c>
      <x:c r="U602" s="4" t="str">
        <x:v>design.collection.eccentric_cam_disc.in.1</x:v>
      </x:c>
      <x:c r="V602" s="4" t="str">
        <x:v>design.collection.eccentric_cam_disc.out</x:v>
      </x:c>
    </x:row>
    <x:row r="603" ht="64" customHeight="1">
      <x:c r="A603" s="4" t="str">
        <x:f>IFERROR(INDEX('Material routes'!$E$6:$E$2205,MATCH(U603,'Material routes'!$A$6:$A$2205,0)),"MISSING ID")</x:f>
        <x:v>Lapped bronze bearing blanks</x:v>
      </x:c>
      <x:c r="B603" s="4" t="str">
        <x:f>IFERROR(INDEX('Material routes'!$F$6:$F$2205,MATCH(U603,'Material routes'!$A$6:$A$2205,0)),"MISSING ID")</x:f>
        <x:v>T3</x:v>
      </x:c>
      <x:c r="C603" s="4" t="str">
        <x:f>IFERROR(INDEX('Material routes'!$H$6:$H$2205,MATCH(U603,'Material routes'!$A$6:$A$2205,0)),"MISSING ID")</x:f>
        <x:v>Crafting component</x:v>
      </x:c>
      <x:c r="D603" s="4" t="str">
        <x:f>IFERROR(INDEX('Material routes'!$G$6:$G$2205,MATCH(U603,'Material routes'!$A$6:$A$2205,0)),"MISSING ID")</x:f>
        <x:v>Crafting components</x:v>
      </x:c>
      <x:c r="E603" s="4" t="str">
        <x:f>IFERROR(INDEX('Material routes'!$C$6:$C$2205,MATCH(U603,'Material routes'!$A$6:$A$2205,0)),"MISSING ID")</x:f>
        <x:v>Ingredient candidate</x:v>
      </x:c>
      <x:c r="F603" s="4" t="str">
        <x:f>IFERROR(INDEX('Material routes'!$E$6:$E$2205,MATCH(V603,'Material routes'!$A$6:$A$2205,0)),"MISSING ID")</x:f>
        <x:v>Cam follower roller</x:v>
      </x:c>
      <x:c r="G603" s="4" t="str">
        <x:f>IFERROR(INDEX('Material routes'!$F$6:$F$2205,MATCH(V603,'Material routes'!$A$6:$A$2205,0)),"MISSING ID")</x:f>
        <x:v>T4</x:v>
      </x:c>
      <x:c r="H603" s="4" t="str">
        <x:f>IFERROR(INDEX('Material routes'!$H$6:$H$2205,MATCH(V603,'Material routes'!$A$6:$A$2205,0)),"MISSING ID")</x:f>
        <x:v>Machine part</x:v>
      </x:c>
      <x:c r="I603" s="4" t="str">
        <x:f>IFERROR(INDEX('Material routes'!$G$6:$G$2205,MATCH(V603,'Material routes'!$A$6:$A$2205,0)),"MISSING ID")</x:f>
        <x:v>Crafting components</x:v>
      </x:c>
      <x:c r="J603" s="4" t="str">
        <x:f>IFERROR(INDEX('Material routes'!$B$6:$B$2205,MATCH(U603,'Material routes'!$A$6:$A$2205,0)),"MISSING ID")</x:f>
        <x:v>design.collection.cam_follower_roller</x:v>
      </x:c>
      <x:c r="K603" s="4" t="str">
        <x:f>IFERROR(INDEX('Crafting recipes'!$C$6:$C$1005,MATCH(J603,'Crafting recipes'!$A$6:$A$1005,0)),"MISSING ID")</x:f>
        <x:v>Material refinement</x:v>
      </x:c>
      <x:c r="L603" s="4" t="str">
        <x:f>IFERROR(INDEX('Material routes'!$K$6:$K$2205,MATCH(U603,'Material routes'!$A$6:$A$2205,0)),"MISSING ID")</x:f>
        <x:v>Proposal</x:v>
      </x:c>
      <x:c r="M603" s="4" t="str">
        <x:f>IFERROR(INDEX('Material routes'!$M$6:$M$2205,MATCH(U603,'Material routes'!$A$6:$A$2205,0)),"MISSING ID")</x:f>
        <x:v>Partial proposal</x:v>
      </x:c>
      <x:c r="N603" s="4"/>
      <x:c r="O603" s="4" t="str">
        <x:f>IFERROR(INDEX('Material routes'!$J$6:$J$2205,MATCH(U603,'Material routes'!$A$6:$A$2205,0)),"MISSING ID")</x:f>
        <x:v>Unspecified</x:v>
      </x:c>
      <x:c r="P603" s="4"/>
      <x:c r="Q603" s="4" t="str">
        <x:f>IFERROR(INDEX('Material routes'!$J$6:$J$2205,MATCH(V603,'Material routes'!$A$6:$A$2205,0)),"MISSING ID")</x:f>
        <x:v>Unspecified</x:v>
      </x:c>
      <x:c r="R603" s="4" t="str">
        <x:f>IF(L603="Withheld","Withheld premise",IF(E603="Tool candidate","Reusable prerequisite",IF(K603="Raw entry preparation","Entry-resource preparation",IF(G603="Not applicable",IF(IFERROR(INDEX('Items'!$AI$6:$AI$1005,MATCH(T603,'Items'!$A$6:$A$1005,0)),"MISSING ID")="Finished item","Finished endpoint",IF(IFERROR(INDEX('Items'!$AI$6:$AI$1005,MATCH(T603,'Items'!$A$6:$A$1005,0)),"MISSING ID")="Currency","Currency / no refinement tier","Recovered output / tier not applicable")),IF(OR(IFERROR(INDEX('Crafting recipes'!$H$6:$H$1005,MATCH(J603,'Crafting recipes'!$A$6:$A$1005,0)),"MISSING ID")="Unassigned",G603="Unassigned"),"Tier unresolved",IF(IFERROR(VALUE(RIGHT(G603,1))-VALUE(RIGHT(IFERROR(INDEX('Crafting recipes'!$H$6:$H$1005,MATCH(J603,'Crafting recipes'!$A$6:$A$1005,0)),"MISSING ID"),1)),0)=1,IF(B603=IFERROR(INDEX('Crafting recipes'!$H$6:$H$1005,MATCH(J603,'Crafting recipes'!$A$6:$A$1005,0)),"MISSING ID"),"Advances one material tier","Lower-tier ingredient; route advances one tier"),"Needs tier review"))))))</x:f>
        <x:v>Advances one material tier</x:v>
      </x:c>
      <x:c r="S603" s="4" t="str">
        <x:f>IFERROR(INDEX('Material routes'!$D$6:$D$2205,MATCH(U603,'Material routes'!$A$6:$A$2205,0)),"MISSING ID")</x:f>
        <x:v>proposal.t3.bearing_blank</x:v>
      </x:c>
      <x:c r="T603" s="4" t="str">
        <x:f>IFERROR(INDEX('Material routes'!$D$6:$D$2205,MATCH(V603,'Material routes'!$A$6:$A$2205,0)),"MISSING ID")</x:f>
        <x:v>proposal.collection.cam_follower_roller</x:v>
      </x:c>
      <x:c r="U603" s="4" t="str">
        <x:v>design.collection.cam_follower_roller.in.1</x:v>
      </x:c>
      <x:c r="V603" s="4" t="str">
        <x:v>design.collection.cam_follower_roller.out</x:v>
      </x:c>
    </x:row>
    <x:row r="604" ht="64" customHeight="1">
      <x:c r="A604" s="4" t="str">
        <x:f>IFERROR(INDEX('Material routes'!$E$6:$E$2205,MATCH(U604,'Material routes'!$A$6:$A$2205,0)),"MISSING ID")</x:f>
        <x:v>Steel stock</x:v>
      </x:c>
      <x:c r="B604" s="4" t="str">
        <x:f>IFERROR(INDEX('Material routes'!$F$6:$F$2205,MATCH(U604,'Material routes'!$A$6:$A$2205,0)),"MISSING ID")</x:f>
        <x:v>T2</x:v>
      </x:c>
      <x:c r="C604" s="4" t="str">
        <x:f>IFERROR(INDEX('Material routes'!$H$6:$H$2205,MATCH(U604,'Material routes'!$A$6:$A$2205,0)),"MISSING ID")</x:f>
        <x:v>Processed material</x:v>
      </x:c>
      <x:c r="D604" s="4" t="str">
        <x:f>IFERROR(INDEX('Material routes'!$G$6:$G$2205,MATCH(U604,'Material routes'!$A$6:$A$2205,0)),"MISSING ID")</x:f>
        <x:v>Manufactured stock</x:v>
      </x:c>
      <x:c r="E604" s="4" t="str">
        <x:f>IFERROR(INDEX('Material routes'!$C$6:$C$2205,MATCH(U604,'Material routes'!$A$6:$A$2205,0)),"MISSING ID")</x:f>
        <x:v>Ingredient candidate</x:v>
      </x:c>
      <x:c r="F604" s="4" t="str">
        <x:f>IFERROR(INDEX('Material routes'!$E$6:$E$2205,MATCH(V604,'Material routes'!$A$6:$A$2205,0)),"MISSING ID")</x:f>
        <x:v>Cam follower roller</x:v>
      </x:c>
      <x:c r="G604" s="4" t="str">
        <x:f>IFERROR(INDEX('Material routes'!$F$6:$F$2205,MATCH(V604,'Material routes'!$A$6:$A$2205,0)),"MISSING ID")</x:f>
        <x:v>T4</x:v>
      </x:c>
      <x:c r="H604" s="4" t="str">
        <x:f>IFERROR(INDEX('Material routes'!$H$6:$H$2205,MATCH(V604,'Material routes'!$A$6:$A$2205,0)),"MISSING ID")</x:f>
        <x:v>Machine part</x:v>
      </x:c>
      <x:c r="I604" s="4" t="str">
        <x:f>IFERROR(INDEX('Material routes'!$G$6:$G$2205,MATCH(V604,'Material routes'!$A$6:$A$2205,0)),"MISSING ID")</x:f>
        <x:v>Crafting components</x:v>
      </x:c>
      <x:c r="J604" s="4" t="str">
        <x:f>IFERROR(INDEX('Material routes'!$B$6:$B$2205,MATCH(U604,'Material routes'!$A$6:$A$2205,0)),"MISSING ID")</x:f>
        <x:v>design.collection.cam_follower_roller</x:v>
      </x:c>
      <x:c r="K604" s="4" t="str">
        <x:f>IFERROR(INDEX('Crafting recipes'!$C$6:$C$1005,MATCH(J604,'Crafting recipes'!$A$6:$A$1005,0)),"MISSING ID")</x:f>
        <x:v>Material refinement</x:v>
      </x:c>
      <x:c r="L604" s="4" t="str">
        <x:f>IFERROR(INDEX('Material routes'!$K$6:$K$2205,MATCH(U604,'Material routes'!$A$6:$A$2205,0)),"MISSING ID")</x:f>
        <x:v>Proposal</x:v>
      </x:c>
      <x:c r="M604" s="4" t="str">
        <x:f>IFERROR(INDEX('Material routes'!$M$6:$M$2205,MATCH(U604,'Material routes'!$A$6:$A$2205,0)),"MISSING ID")</x:f>
        <x:v>Partial proposal</x:v>
      </x:c>
      <x:c r="N604" s="4"/>
      <x:c r="O604" s="4" t="str">
        <x:f>IFERROR(INDEX('Material routes'!$J$6:$J$2205,MATCH(U604,'Material routes'!$A$6:$A$2205,0)),"MISSING ID")</x:f>
        <x:v>Unspecified</x:v>
      </x:c>
      <x:c r="P604" s="4"/>
      <x:c r="Q604" s="4" t="str">
        <x:f>IFERROR(INDEX('Material routes'!$J$6:$J$2205,MATCH(V604,'Material routes'!$A$6:$A$2205,0)),"MISSING ID")</x:f>
        <x:v>Unspecified</x:v>
      </x:c>
      <x:c r="R604" s="4" t="str">
        <x:f>IF(L604="Withheld","Withheld premise",IF(E604="Tool candidate","Reusable prerequisite",IF(K604="Raw entry preparation","Entry-resource preparation",IF(G604="Not applicable",IF(IFERROR(INDEX('Items'!$AI$6:$AI$1005,MATCH(T604,'Items'!$A$6:$A$1005,0)),"MISSING ID")="Finished item","Finished endpoint",IF(IFERROR(INDEX('Items'!$AI$6:$AI$1005,MATCH(T604,'Items'!$A$6:$A$1005,0)),"MISSING ID")="Currency","Currency / no refinement tier","Recovered output / tier not applicable")),IF(OR(IFERROR(INDEX('Crafting recipes'!$H$6:$H$1005,MATCH(J604,'Crafting recipes'!$A$6:$A$1005,0)),"MISSING ID")="Unassigned",G604="Unassigned"),"Tier unresolved",IF(IFERROR(VALUE(RIGHT(G604,1))-VALUE(RIGHT(IFERROR(INDEX('Crafting recipes'!$H$6:$H$1005,MATCH(J604,'Crafting recipes'!$A$6:$A$1005,0)),"MISSING ID"),1)),0)=1,IF(B604=IFERROR(INDEX('Crafting recipes'!$H$6:$H$1005,MATCH(J604,'Crafting recipes'!$A$6:$A$1005,0)),"MISSING ID"),"Advances one material tier","Lower-tier ingredient; route advances one tier"),"Needs tier review"))))))</x:f>
        <x:v>Lower-tier ingredient; route advances one tier</x:v>
      </x:c>
      <x:c r="S604" s="4" t="str">
        <x:f>IFERROR(INDEX('Material routes'!$D$6:$D$2205,MATCH(U604,'Material routes'!$A$6:$A$2205,0)),"MISSING ID")</x:f>
        <x:v>author.metallurgy.steel_stock</x:v>
      </x:c>
      <x:c r="T604" s="4" t="str">
        <x:f>IFERROR(INDEX('Material routes'!$D$6:$D$2205,MATCH(V604,'Material routes'!$A$6:$A$2205,0)),"MISSING ID")</x:f>
        <x:v>proposal.collection.cam_follower_roller</x:v>
      </x:c>
      <x:c r="U604" s="4" t="str">
        <x:v>design.collection.cam_follower_roller.in.2</x:v>
      </x:c>
      <x:c r="V604" s="4" t="str">
        <x:v>design.collection.cam_follower_roller.out</x:v>
      </x:c>
    </x:row>
    <x:row r="605" ht="64" customHeight="1">
      <x:c r="A605" s="4" t="str">
        <x:f>IFERROR(INDEX('Material routes'!$E$6:$E$2205,MATCH(U605,'Material routes'!$A$6:$A$2205,0)),"MISSING ID")</x:f>
        <x:v>Steel stock</x:v>
      </x:c>
      <x:c r="B605" s="4" t="str">
        <x:f>IFERROR(INDEX('Material routes'!$F$6:$F$2205,MATCH(U605,'Material routes'!$A$6:$A$2205,0)),"MISSING ID")</x:f>
        <x:v>T2</x:v>
      </x:c>
      <x:c r="C605" s="4" t="str">
        <x:f>IFERROR(INDEX('Material routes'!$H$6:$H$2205,MATCH(U605,'Material routes'!$A$6:$A$2205,0)),"MISSING ID")</x:f>
        <x:v>Processed material</x:v>
      </x:c>
      <x:c r="D605" s="4" t="str">
        <x:f>IFERROR(INDEX('Material routes'!$G$6:$G$2205,MATCH(U605,'Material routes'!$A$6:$A$2205,0)),"MISSING ID")</x:f>
        <x:v>Manufactured stock</x:v>
      </x:c>
      <x:c r="E605" s="4" t="str">
        <x:f>IFERROR(INDEX('Material routes'!$C$6:$C$2205,MATCH(U605,'Material routes'!$A$6:$A$2205,0)),"MISSING ID")</x:f>
        <x:v>Ingredient candidate</x:v>
      </x:c>
      <x:c r="F605" s="4" t="str">
        <x:f>IFERROR(INDEX('Material routes'!$E$6:$E$2205,MATCH(V605,'Material routes'!$A$6:$A$2205,0)),"MISSING ID")</x:f>
        <x:v>Ratchet wheel</x:v>
      </x:c>
      <x:c r="G605" s="4" t="str">
        <x:f>IFERROR(INDEX('Material routes'!$F$6:$F$2205,MATCH(V605,'Material routes'!$A$6:$A$2205,0)),"MISSING ID")</x:f>
        <x:v>T3</x:v>
      </x:c>
      <x:c r="H605" s="4" t="str">
        <x:f>IFERROR(INDEX('Material routes'!$H$6:$H$2205,MATCH(V605,'Material routes'!$A$6:$A$2205,0)),"MISSING ID")</x:f>
        <x:v>Machine part</x:v>
      </x:c>
      <x:c r="I605" s="4" t="str">
        <x:f>IFERROR(INDEX('Material routes'!$G$6:$G$2205,MATCH(V605,'Material routes'!$A$6:$A$2205,0)),"MISSING ID")</x:f>
        <x:v>Crafting components</x:v>
      </x:c>
      <x:c r="J605" s="4" t="str">
        <x:f>IFERROR(INDEX('Material routes'!$B$6:$B$2205,MATCH(U605,'Material routes'!$A$6:$A$2205,0)),"MISSING ID")</x:f>
        <x:v>design.collection.ratchet_wheel</x:v>
      </x:c>
      <x:c r="K605" s="4" t="str">
        <x:f>IFERROR(INDEX('Crafting recipes'!$C$6:$C$1005,MATCH(J605,'Crafting recipes'!$A$6:$A$1005,0)),"MISSING ID")</x:f>
        <x:v>Material refinement</x:v>
      </x:c>
      <x:c r="L605" s="4" t="str">
        <x:f>IFERROR(INDEX('Material routes'!$K$6:$K$2205,MATCH(U605,'Material routes'!$A$6:$A$2205,0)),"MISSING ID")</x:f>
        <x:v>Proposal</x:v>
      </x:c>
      <x:c r="M605" s="4" t="str">
        <x:f>IFERROR(INDEX('Material routes'!$M$6:$M$2205,MATCH(U605,'Material routes'!$A$6:$A$2205,0)),"MISSING ID")</x:f>
        <x:v>Partial proposal</x:v>
      </x:c>
      <x:c r="N605" s="4"/>
      <x:c r="O605" s="4" t="str">
        <x:f>IFERROR(INDEX('Material routes'!$J$6:$J$2205,MATCH(U605,'Material routes'!$A$6:$A$2205,0)),"MISSING ID")</x:f>
        <x:v>Unspecified</x:v>
      </x:c>
      <x:c r="P605" s="4"/>
      <x:c r="Q605" s="4" t="str">
        <x:f>IFERROR(INDEX('Material routes'!$J$6:$J$2205,MATCH(V605,'Material routes'!$A$6:$A$2205,0)),"MISSING ID")</x:f>
        <x:v>Unspecified</x:v>
      </x:c>
      <x:c r="R605" s="4" t="str">
        <x:f>IF(L605="Withheld","Withheld premise",IF(E605="Tool candidate","Reusable prerequisite",IF(K605="Raw entry preparation","Entry-resource preparation",IF(G605="Not applicable",IF(IFERROR(INDEX('Items'!$AI$6:$AI$1005,MATCH(T605,'Items'!$A$6:$A$1005,0)),"MISSING ID")="Finished item","Finished endpoint",IF(IFERROR(INDEX('Items'!$AI$6:$AI$1005,MATCH(T605,'Items'!$A$6:$A$1005,0)),"MISSING ID")="Currency","Currency / no refinement tier","Recovered output / tier not applicable")),IF(OR(IFERROR(INDEX('Crafting recipes'!$H$6:$H$1005,MATCH(J605,'Crafting recipes'!$A$6:$A$1005,0)),"MISSING ID")="Unassigned",G605="Unassigned"),"Tier unresolved",IF(IFERROR(VALUE(RIGHT(G605,1))-VALUE(RIGHT(IFERROR(INDEX('Crafting recipes'!$H$6:$H$1005,MATCH(J605,'Crafting recipes'!$A$6:$A$1005,0)),"MISSING ID"),1)),0)=1,IF(B605=IFERROR(INDEX('Crafting recipes'!$H$6:$H$1005,MATCH(J605,'Crafting recipes'!$A$6:$A$1005,0)),"MISSING ID"),"Advances one material tier","Lower-tier ingredient; route advances one tier"),"Needs tier review"))))))</x:f>
        <x:v>Advances one material tier</x:v>
      </x:c>
      <x:c r="S605" s="4" t="str">
        <x:f>IFERROR(INDEX('Material routes'!$D$6:$D$2205,MATCH(U605,'Material routes'!$A$6:$A$2205,0)),"MISSING ID")</x:f>
        <x:v>author.metallurgy.steel_stock</x:v>
      </x:c>
      <x:c r="T605" s="4" t="str">
        <x:f>IFERROR(INDEX('Material routes'!$D$6:$D$2205,MATCH(V605,'Material routes'!$A$6:$A$2205,0)),"MISSING ID")</x:f>
        <x:v>proposal.collection.ratchet_wheel</x:v>
      </x:c>
      <x:c r="U605" s="4" t="str">
        <x:v>design.collection.ratchet_wheel.in.1</x:v>
      </x:c>
      <x:c r="V605" s="4" t="str">
        <x:v>design.collection.ratchet_wheel.out</x:v>
      </x:c>
    </x:row>
    <x:row r="606" ht="64" customHeight="1">
      <x:c r="A606" s="4" t="str">
        <x:f>IFERROR(INDEX('Material routes'!$E$6:$E$2205,MATCH(U606,'Material routes'!$A$6:$A$2205,0)),"MISSING ID")</x:f>
        <x:v>Spring-grade steel stock</x:v>
      </x:c>
      <x:c r="B606" s="4" t="str">
        <x:f>IFERROR(INDEX('Material routes'!$F$6:$F$2205,MATCH(U606,'Material routes'!$A$6:$A$2205,0)),"MISSING ID")</x:f>
        <x:v>T3</x:v>
      </x:c>
      <x:c r="C606" s="4" t="str">
        <x:f>IFERROR(INDEX('Material routes'!$H$6:$H$2205,MATCH(U606,'Material routes'!$A$6:$A$2205,0)),"MISSING ID")</x:f>
        <x:v>Processed material</x:v>
      </x:c>
      <x:c r="D606" s="4" t="str">
        <x:f>IFERROR(INDEX('Material routes'!$G$6:$G$2205,MATCH(U606,'Material routes'!$A$6:$A$2205,0)),"MISSING ID")</x:f>
        <x:v>Manufactured stock</x:v>
      </x:c>
      <x:c r="E606" s="4" t="str">
        <x:f>IFERROR(INDEX('Material routes'!$C$6:$C$2205,MATCH(U606,'Material routes'!$A$6:$A$2205,0)),"MISSING ID")</x:f>
        <x:v>Ingredient candidate</x:v>
      </x:c>
      <x:c r="F606" s="4" t="str">
        <x:f>IFERROR(INDEX('Material routes'!$E$6:$E$2205,MATCH(V606,'Material routes'!$A$6:$A$2205,0)),"MISSING ID")</x:f>
        <x:v>Ratchet pawl</x:v>
      </x:c>
      <x:c r="G606" s="4" t="str">
        <x:f>IFERROR(INDEX('Material routes'!$F$6:$F$2205,MATCH(V606,'Material routes'!$A$6:$A$2205,0)),"MISSING ID")</x:f>
        <x:v>T4</x:v>
      </x:c>
      <x:c r="H606" s="4" t="str">
        <x:f>IFERROR(INDEX('Material routes'!$H$6:$H$2205,MATCH(V606,'Material routes'!$A$6:$A$2205,0)),"MISSING ID")</x:f>
        <x:v>Machine part</x:v>
      </x:c>
      <x:c r="I606" s="4" t="str">
        <x:f>IFERROR(INDEX('Material routes'!$G$6:$G$2205,MATCH(V606,'Material routes'!$A$6:$A$2205,0)),"MISSING ID")</x:f>
        <x:v>Crafting components</x:v>
      </x:c>
      <x:c r="J606" s="4" t="str">
        <x:f>IFERROR(INDEX('Material routes'!$B$6:$B$2205,MATCH(U606,'Material routes'!$A$6:$A$2205,0)),"MISSING ID")</x:f>
        <x:v>design.collection.ratchet_pawl</x:v>
      </x:c>
      <x:c r="K606" s="4" t="str">
        <x:f>IFERROR(INDEX('Crafting recipes'!$C$6:$C$1005,MATCH(J606,'Crafting recipes'!$A$6:$A$1005,0)),"MISSING ID")</x:f>
        <x:v>Material refinement</x:v>
      </x:c>
      <x:c r="L606" s="4" t="str">
        <x:f>IFERROR(INDEX('Material routes'!$K$6:$K$2205,MATCH(U606,'Material routes'!$A$6:$A$2205,0)),"MISSING ID")</x:f>
        <x:v>Proposal</x:v>
      </x:c>
      <x:c r="M606" s="4" t="str">
        <x:f>IFERROR(INDEX('Material routes'!$M$6:$M$2205,MATCH(U606,'Material routes'!$A$6:$A$2205,0)),"MISSING ID")</x:f>
        <x:v>Partial proposal</x:v>
      </x:c>
      <x:c r="N606" s="4"/>
      <x:c r="O606" s="4" t="str">
        <x:f>IFERROR(INDEX('Material routes'!$J$6:$J$2205,MATCH(U606,'Material routes'!$A$6:$A$2205,0)),"MISSING ID")</x:f>
        <x:v>Unspecified</x:v>
      </x:c>
      <x:c r="P606" s="4"/>
      <x:c r="Q606" s="4" t="str">
        <x:f>IFERROR(INDEX('Material routes'!$J$6:$J$2205,MATCH(V606,'Material routes'!$A$6:$A$2205,0)),"MISSING ID")</x:f>
        <x:v>Unspecified</x:v>
      </x:c>
      <x:c r="R606" s="4" t="str">
        <x:f>IF(L606="Withheld","Withheld premise",IF(E606="Tool candidate","Reusable prerequisite",IF(K606="Raw entry preparation","Entry-resource preparation",IF(G606="Not applicable",IF(IFERROR(INDEX('Items'!$AI$6:$AI$1005,MATCH(T606,'Items'!$A$6:$A$1005,0)),"MISSING ID")="Finished item","Finished endpoint",IF(IFERROR(INDEX('Items'!$AI$6:$AI$1005,MATCH(T606,'Items'!$A$6:$A$1005,0)),"MISSING ID")="Currency","Currency / no refinement tier","Recovered output / tier not applicable")),IF(OR(IFERROR(INDEX('Crafting recipes'!$H$6:$H$1005,MATCH(J606,'Crafting recipes'!$A$6:$A$1005,0)),"MISSING ID")="Unassigned",G606="Unassigned"),"Tier unresolved",IF(IFERROR(VALUE(RIGHT(G606,1))-VALUE(RIGHT(IFERROR(INDEX('Crafting recipes'!$H$6:$H$1005,MATCH(J606,'Crafting recipes'!$A$6:$A$1005,0)),"MISSING ID"),1)),0)=1,IF(B606=IFERROR(INDEX('Crafting recipes'!$H$6:$H$1005,MATCH(J606,'Crafting recipes'!$A$6:$A$1005,0)),"MISSING ID"),"Advances one material tier","Lower-tier ingredient; route advances one tier"),"Needs tier review"))))))</x:f>
        <x:v>Advances one material tier</x:v>
      </x:c>
      <x:c r="S606" s="4" t="str">
        <x:f>IFERROR(INDEX('Material routes'!$D$6:$D$2205,MATCH(U606,'Material routes'!$A$6:$A$2205,0)),"MISSING ID")</x:f>
        <x:v>proposal.branch.spring_steel</x:v>
      </x:c>
      <x:c r="T606" s="4" t="str">
        <x:f>IFERROR(INDEX('Material routes'!$D$6:$D$2205,MATCH(V606,'Material routes'!$A$6:$A$2205,0)),"MISSING ID")</x:f>
        <x:v>proposal.collection.ratchet_pawl</x:v>
      </x:c>
      <x:c r="U606" s="4" t="str">
        <x:v>design.collection.ratchet_pawl.in.1</x:v>
      </x:c>
      <x:c r="V606" s="4" t="str">
        <x:v>design.collection.ratchet_pawl.out</x:v>
      </x:c>
    </x:row>
    <x:row r="607" ht="64" customHeight="1">
      <x:c r="A607" s="4" t="str">
        <x:f>IFERROR(INDEX('Material routes'!$E$6:$E$2205,MATCH(U607,'Material routes'!$A$6:$A$2205,0)),"MISSING ID")</x:f>
        <x:v>Spring-grade steel stock</x:v>
      </x:c>
      <x:c r="B607" s="4" t="str">
        <x:f>IFERROR(INDEX('Material routes'!$F$6:$F$2205,MATCH(U607,'Material routes'!$A$6:$A$2205,0)),"MISSING ID")</x:f>
        <x:v>T3</x:v>
      </x:c>
      <x:c r="C607" s="4" t="str">
        <x:f>IFERROR(INDEX('Material routes'!$H$6:$H$2205,MATCH(U607,'Material routes'!$A$6:$A$2205,0)),"MISSING ID")</x:f>
        <x:v>Processed material</x:v>
      </x:c>
      <x:c r="D607" s="4" t="str">
        <x:f>IFERROR(INDEX('Material routes'!$G$6:$G$2205,MATCH(U607,'Material routes'!$A$6:$A$2205,0)),"MISSING ID")</x:f>
        <x:v>Manufactured stock</x:v>
      </x:c>
      <x:c r="E607" s="4" t="str">
        <x:f>IFERROR(INDEX('Material routes'!$C$6:$C$2205,MATCH(U607,'Material routes'!$A$6:$A$2205,0)),"MISSING ID")</x:f>
        <x:v>Ingredient candidate</x:v>
      </x:c>
      <x:c r="F607" s="4" t="str">
        <x:f>IFERROR(INDEX('Material routes'!$E$6:$E$2205,MATCH(V607,'Material routes'!$A$6:$A$2205,0)),"MISSING ID")</x:f>
        <x:v>Helical return spring</x:v>
      </x:c>
      <x:c r="G607" s="4" t="str">
        <x:f>IFERROR(INDEX('Material routes'!$F$6:$F$2205,MATCH(V607,'Material routes'!$A$6:$A$2205,0)),"MISSING ID")</x:f>
        <x:v>T4</x:v>
      </x:c>
      <x:c r="H607" s="4" t="str">
        <x:f>IFERROR(INDEX('Material routes'!$H$6:$H$2205,MATCH(V607,'Material routes'!$A$6:$A$2205,0)),"MISSING ID")</x:f>
        <x:v>Machine part</x:v>
      </x:c>
      <x:c r="I607" s="4" t="str">
        <x:f>IFERROR(INDEX('Material routes'!$G$6:$G$2205,MATCH(V607,'Material routes'!$A$6:$A$2205,0)),"MISSING ID")</x:f>
        <x:v>Crafting components</x:v>
      </x:c>
      <x:c r="J607" s="4" t="str">
        <x:f>IFERROR(INDEX('Material routes'!$B$6:$B$2205,MATCH(U607,'Material routes'!$A$6:$A$2205,0)),"MISSING ID")</x:f>
        <x:v>design.collection.helical_return_spring</x:v>
      </x:c>
      <x:c r="K607" s="4" t="str">
        <x:f>IFERROR(INDEX('Crafting recipes'!$C$6:$C$1005,MATCH(J607,'Crafting recipes'!$A$6:$A$1005,0)),"MISSING ID")</x:f>
        <x:v>Material refinement</x:v>
      </x:c>
      <x:c r="L607" s="4" t="str">
        <x:f>IFERROR(INDEX('Material routes'!$K$6:$K$2205,MATCH(U607,'Material routes'!$A$6:$A$2205,0)),"MISSING ID")</x:f>
        <x:v>Proposal</x:v>
      </x:c>
      <x:c r="M607" s="4" t="str">
        <x:f>IFERROR(INDEX('Material routes'!$M$6:$M$2205,MATCH(U607,'Material routes'!$A$6:$A$2205,0)),"MISSING ID")</x:f>
        <x:v>Partial proposal</x:v>
      </x:c>
      <x:c r="N607" s="4"/>
      <x:c r="O607" s="4" t="str">
        <x:f>IFERROR(INDEX('Material routes'!$J$6:$J$2205,MATCH(U607,'Material routes'!$A$6:$A$2205,0)),"MISSING ID")</x:f>
        <x:v>Unspecified</x:v>
      </x:c>
      <x:c r="P607" s="4"/>
      <x:c r="Q607" s="4" t="str">
        <x:f>IFERROR(INDEX('Material routes'!$J$6:$J$2205,MATCH(V607,'Material routes'!$A$6:$A$2205,0)),"MISSING ID")</x:f>
        <x:v>Unspecified</x:v>
      </x:c>
      <x:c r="R607" s="4" t="str">
        <x:f>IF(L607="Withheld","Withheld premise",IF(E607="Tool candidate","Reusable prerequisite",IF(K607="Raw entry preparation","Entry-resource preparation",IF(G607="Not applicable",IF(IFERROR(INDEX('Items'!$AI$6:$AI$1005,MATCH(T607,'Items'!$A$6:$A$1005,0)),"MISSING ID")="Finished item","Finished endpoint",IF(IFERROR(INDEX('Items'!$AI$6:$AI$1005,MATCH(T607,'Items'!$A$6:$A$1005,0)),"MISSING ID")="Currency","Currency / no refinement tier","Recovered output / tier not applicable")),IF(OR(IFERROR(INDEX('Crafting recipes'!$H$6:$H$1005,MATCH(J607,'Crafting recipes'!$A$6:$A$1005,0)),"MISSING ID")="Unassigned",G607="Unassigned"),"Tier unresolved",IF(IFERROR(VALUE(RIGHT(G607,1))-VALUE(RIGHT(IFERROR(INDEX('Crafting recipes'!$H$6:$H$1005,MATCH(J607,'Crafting recipes'!$A$6:$A$1005,0)),"MISSING ID"),1)),0)=1,IF(B607=IFERROR(INDEX('Crafting recipes'!$H$6:$H$1005,MATCH(J607,'Crafting recipes'!$A$6:$A$1005,0)),"MISSING ID"),"Advances one material tier","Lower-tier ingredient; route advances one tier"),"Needs tier review"))))))</x:f>
        <x:v>Advances one material tier</x:v>
      </x:c>
      <x:c r="S607" s="4" t="str">
        <x:f>IFERROR(INDEX('Material routes'!$D$6:$D$2205,MATCH(U607,'Material routes'!$A$6:$A$2205,0)),"MISSING ID")</x:f>
        <x:v>proposal.branch.spring_steel</x:v>
      </x:c>
      <x:c r="T607" s="4" t="str">
        <x:f>IFERROR(INDEX('Material routes'!$D$6:$D$2205,MATCH(V607,'Material routes'!$A$6:$A$2205,0)),"MISSING ID")</x:f>
        <x:v>proposal.collection.helical_return_spring</x:v>
      </x:c>
      <x:c r="U607" s="4" t="str">
        <x:v>design.collection.helical_return_spring.in.1</x:v>
      </x:c>
      <x:c r="V607" s="4" t="str">
        <x:v>design.collection.helical_return_spring.out</x:v>
      </x:c>
    </x:row>
    <x:row r="608" ht="64" customHeight="1">
      <x:c r="A608" s="4" t="str">
        <x:f>IFERROR(INDEX('Material routes'!$E$6:$E$2205,MATCH(U608,'Material routes'!$A$6:$A$2205,0)),"MISSING ID")</x:f>
        <x:v>Spring-grade steel stock</x:v>
      </x:c>
      <x:c r="B608" s="4" t="str">
        <x:f>IFERROR(INDEX('Material routes'!$F$6:$F$2205,MATCH(U608,'Material routes'!$A$6:$A$2205,0)),"MISSING ID")</x:f>
        <x:v>T3</x:v>
      </x:c>
      <x:c r="C608" s="4" t="str">
        <x:f>IFERROR(INDEX('Material routes'!$H$6:$H$2205,MATCH(U608,'Material routes'!$A$6:$A$2205,0)),"MISSING ID")</x:f>
        <x:v>Processed material</x:v>
      </x:c>
      <x:c r="D608" s="4" t="str">
        <x:f>IFERROR(INDEX('Material routes'!$G$6:$G$2205,MATCH(U608,'Material routes'!$A$6:$A$2205,0)),"MISSING ID")</x:f>
        <x:v>Manufactured stock</x:v>
      </x:c>
      <x:c r="E608" s="4" t="str">
        <x:f>IFERROR(INDEX('Material routes'!$C$6:$C$2205,MATCH(U608,'Material routes'!$A$6:$A$2205,0)),"MISSING ID")</x:f>
        <x:v>Ingredient candidate</x:v>
      </x:c>
      <x:c r="F608" s="4" t="str">
        <x:f>IFERROR(INDEX('Material routes'!$E$6:$E$2205,MATCH(V608,'Material routes'!$A$6:$A$2205,0)),"MISSING ID")</x:f>
        <x:v>Flat spiral clock spring</x:v>
      </x:c>
      <x:c r="G608" s="4" t="str">
        <x:f>IFERROR(INDEX('Material routes'!$F$6:$F$2205,MATCH(V608,'Material routes'!$A$6:$A$2205,0)),"MISSING ID")</x:f>
        <x:v>T4</x:v>
      </x:c>
      <x:c r="H608" s="4" t="str">
        <x:f>IFERROR(INDEX('Material routes'!$H$6:$H$2205,MATCH(V608,'Material routes'!$A$6:$A$2205,0)),"MISSING ID")</x:f>
        <x:v>Machine part</x:v>
      </x:c>
      <x:c r="I608" s="4" t="str">
        <x:f>IFERROR(INDEX('Material routes'!$G$6:$G$2205,MATCH(V608,'Material routes'!$A$6:$A$2205,0)),"MISSING ID")</x:f>
        <x:v>Crafting components</x:v>
      </x:c>
      <x:c r="J608" s="4" t="str">
        <x:f>IFERROR(INDEX('Material routes'!$B$6:$B$2205,MATCH(U608,'Material routes'!$A$6:$A$2205,0)),"MISSING ID")</x:f>
        <x:v>design.collection.flat_spiral_clock_spring</x:v>
      </x:c>
      <x:c r="K608" s="4" t="str">
        <x:f>IFERROR(INDEX('Crafting recipes'!$C$6:$C$1005,MATCH(J608,'Crafting recipes'!$A$6:$A$1005,0)),"MISSING ID")</x:f>
        <x:v>Material refinement</x:v>
      </x:c>
      <x:c r="L608" s="4" t="str">
        <x:f>IFERROR(INDEX('Material routes'!$K$6:$K$2205,MATCH(U608,'Material routes'!$A$6:$A$2205,0)),"MISSING ID")</x:f>
        <x:v>Proposal</x:v>
      </x:c>
      <x:c r="M608" s="4" t="str">
        <x:f>IFERROR(INDEX('Material routes'!$M$6:$M$2205,MATCH(U608,'Material routes'!$A$6:$A$2205,0)),"MISSING ID")</x:f>
        <x:v>Partial proposal</x:v>
      </x:c>
      <x:c r="N608" s="4"/>
      <x:c r="O608" s="4" t="str">
        <x:f>IFERROR(INDEX('Material routes'!$J$6:$J$2205,MATCH(U608,'Material routes'!$A$6:$A$2205,0)),"MISSING ID")</x:f>
        <x:v>Unspecified</x:v>
      </x:c>
      <x:c r="P608" s="4"/>
      <x:c r="Q608" s="4" t="str">
        <x:f>IFERROR(INDEX('Material routes'!$J$6:$J$2205,MATCH(V608,'Material routes'!$A$6:$A$2205,0)),"MISSING ID")</x:f>
        <x:v>Unspecified</x:v>
      </x:c>
      <x:c r="R608" s="4" t="str">
        <x:f>IF(L608="Withheld","Withheld premise",IF(E608="Tool candidate","Reusable prerequisite",IF(K608="Raw entry preparation","Entry-resource preparation",IF(G608="Not applicable",IF(IFERROR(INDEX('Items'!$AI$6:$AI$1005,MATCH(T608,'Items'!$A$6:$A$1005,0)),"MISSING ID")="Finished item","Finished endpoint",IF(IFERROR(INDEX('Items'!$AI$6:$AI$1005,MATCH(T608,'Items'!$A$6:$A$1005,0)),"MISSING ID")="Currency","Currency / no refinement tier","Recovered output / tier not applicable")),IF(OR(IFERROR(INDEX('Crafting recipes'!$H$6:$H$1005,MATCH(J608,'Crafting recipes'!$A$6:$A$1005,0)),"MISSING ID")="Unassigned",G608="Unassigned"),"Tier unresolved",IF(IFERROR(VALUE(RIGHT(G608,1))-VALUE(RIGHT(IFERROR(INDEX('Crafting recipes'!$H$6:$H$1005,MATCH(J608,'Crafting recipes'!$A$6:$A$1005,0)),"MISSING ID"),1)),0)=1,IF(B608=IFERROR(INDEX('Crafting recipes'!$H$6:$H$1005,MATCH(J608,'Crafting recipes'!$A$6:$A$1005,0)),"MISSING ID"),"Advances one material tier","Lower-tier ingredient; route advances one tier"),"Needs tier review"))))))</x:f>
        <x:v>Advances one material tier</x:v>
      </x:c>
      <x:c r="S608" s="4" t="str">
        <x:f>IFERROR(INDEX('Material routes'!$D$6:$D$2205,MATCH(U608,'Material routes'!$A$6:$A$2205,0)),"MISSING ID")</x:f>
        <x:v>proposal.branch.spring_steel</x:v>
      </x:c>
      <x:c r="T608" s="4" t="str">
        <x:f>IFERROR(INDEX('Material routes'!$D$6:$D$2205,MATCH(V608,'Material routes'!$A$6:$A$2205,0)),"MISSING ID")</x:f>
        <x:v>proposal.collection.flat_spiral_clock_spring</x:v>
      </x:c>
      <x:c r="U608" s="4" t="str">
        <x:v>design.collection.flat_spiral_clock_spring.in.1</x:v>
      </x:c>
      <x:c r="V608" s="4" t="str">
        <x:v>design.collection.flat_spiral_clock_spring.out</x:v>
      </x:c>
    </x:row>
    <x:row r="609" ht="64" customHeight="1">
      <x:c r="A609" s="4" t="str">
        <x:f>IFERROR(INDEX('Material routes'!$E$6:$E$2205,MATCH(U609,'Material routes'!$A$6:$A$2205,0)),"MISSING ID")</x:f>
        <x:v>Drawn steel tube stock</x:v>
      </x:c>
      <x:c r="B609" s="4" t="str">
        <x:f>IFERROR(INDEX('Material routes'!$F$6:$F$2205,MATCH(U609,'Material routes'!$A$6:$A$2205,0)),"MISSING ID")</x:f>
        <x:v>T3</x:v>
      </x:c>
      <x:c r="C609" s="4" t="str">
        <x:f>IFERROR(INDEX('Material routes'!$H$6:$H$2205,MATCH(U609,'Material routes'!$A$6:$A$2205,0)),"MISSING ID")</x:f>
        <x:v>Processed material</x:v>
      </x:c>
      <x:c r="D609" s="4" t="str">
        <x:f>IFERROR(INDEX('Material routes'!$G$6:$G$2205,MATCH(U609,'Material routes'!$A$6:$A$2205,0)),"MISSING ID")</x:f>
        <x:v>Manufactured stock</x:v>
      </x:c>
      <x:c r="E609" s="4" t="str">
        <x:f>IFERROR(INDEX('Material routes'!$C$6:$C$2205,MATCH(U609,'Material routes'!$A$6:$A$2205,0)),"MISSING ID")</x:f>
        <x:v>Ingredient candidate</x:v>
      </x:c>
      <x:c r="F609" s="4" t="str">
        <x:f>IFERROR(INDEX('Material routes'!$E$6:$E$2205,MATCH(V609,'Material routes'!$A$6:$A$2205,0)),"MISSING ID")</x:f>
        <x:v>Steel hinge knuckle</x:v>
      </x:c>
      <x:c r="G609" s="4" t="str">
        <x:f>IFERROR(INDEX('Material routes'!$F$6:$F$2205,MATCH(V609,'Material routes'!$A$6:$A$2205,0)),"MISSING ID")</x:f>
        <x:v>T4</x:v>
      </x:c>
      <x:c r="H609" s="4" t="str">
        <x:f>IFERROR(INDEX('Material routes'!$H$6:$H$2205,MATCH(V609,'Material routes'!$A$6:$A$2205,0)),"MISSING ID")</x:f>
        <x:v>Machine part</x:v>
      </x:c>
      <x:c r="I609" s="4" t="str">
        <x:f>IFERROR(INDEX('Material routes'!$G$6:$G$2205,MATCH(V609,'Material routes'!$A$6:$A$2205,0)),"MISSING ID")</x:f>
        <x:v>Crafting components</x:v>
      </x:c>
      <x:c r="J609" s="4" t="str">
        <x:f>IFERROR(INDEX('Material routes'!$B$6:$B$2205,MATCH(U609,'Material routes'!$A$6:$A$2205,0)),"MISSING ID")</x:f>
        <x:v>design.collection.steel_hinge_knuckle</x:v>
      </x:c>
      <x:c r="K609" s="4" t="str">
        <x:f>IFERROR(INDEX('Crafting recipes'!$C$6:$C$1005,MATCH(J609,'Crafting recipes'!$A$6:$A$1005,0)),"MISSING ID")</x:f>
        <x:v>Material refinement</x:v>
      </x:c>
      <x:c r="L609" s="4" t="str">
        <x:f>IFERROR(INDEX('Material routes'!$K$6:$K$2205,MATCH(U609,'Material routes'!$A$6:$A$2205,0)),"MISSING ID")</x:f>
        <x:v>Proposal</x:v>
      </x:c>
      <x:c r="M609" s="4" t="str">
        <x:f>IFERROR(INDEX('Material routes'!$M$6:$M$2205,MATCH(U609,'Material routes'!$A$6:$A$2205,0)),"MISSING ID")</x:f>
        <x:v>Partial proposal</x:v>
      </x:c>
      <x:c r="N609" s="4"/>
      <x:c r="O609" s="4" t="str">
        <x:f>IFERROR(INDEX('Material routes'!$J$6:$J$2205,MATCH(U609,'Material routes'!$A$6:$A$2205,0)),"MISSING ID")</x:f>
        <x:v>Unspecified</x:v>
      </x:c>
      <x:c r="P609" s="4"/>
      <x:c r="Q609" s="4" t="str">
        <x:f>IFERROR(INDEX('Material routes'!$J$6:$J$2205,MATCH(V609,'Material routes'!$A$6:$A$2205,0)),"MISSING ID")</x:f>
        <x:v>Unspecified</x:v>
      </x:c>
      <x:c r="R609" s="4" t="str">
        <x:f>IF(L609="Withheld","Withheld premise",IF(E609="Tool candidate","Reusable prerequisite",IF(K609="Raw entry preparation","Entry-resource preparation",IF(G609="Not applicable",IF(IFERROR(INDEX('Items'!$AI$6:$AI$1005,MATCH(T609,'Items'!$A$6:$A$1005,0)),"MISSING ID")="Finished item","Finished endpoint",IF(IFERROR(INDEX('Items'!$AI$6:$AI$1005,MATCH(T609,'Items'!$A$6:$A$1005,0)),"MISSING ID")="Currency","Currency / no refinement tier","Recovered output / tier not applicable")),IF(OR(IFERROR(INDEX('Crafting recipes'!$H$6:$H$1005,MATCH(J609,'Crafting recipes'!$A$6:$A$1005,0)),"MISSING ID")="Unassigned",G609="Unassigned"),"Tier unresolved",IF(IFERROR(VALUE(RIGHT(G609,1))-VALUE(RIGHT(IFERROR(INDEX('Crafting recipes'!$H$6:$H$1005,MATCH(J609,'Crafting recipes'!$A$6:$A$1005,0)),"MISSING ID"),1)),0)=1,IF(B609=IFERROR(INDEX('Crafting recipes'!$H$6:$H$1005,MATCH(J609,'Crafting recipes'!$A$6:$A$1005,0)),"MISSING ID"),"Advances one material tier","Lower-tier ingredient; route advances one tier"),"Needs tier review"))))))</x:f>
        <x:v>Advances one material tier</x:v>
      </x:c>
      <x:c r="S609" s="4" t="str">
        <x:f>IFERROR(INDEX('Material routes'!$D$6:$D$2205,MATCH(U609,'Material routes'!$A$6:$A$2205,0)),"MISSING ID")</x:f>
        <x:v>proposal.t3.precision_tube</x:v>
      </x:c>
      <x:c r="T609" s="4" t="str">
        <x:f>IFERROR(INDEX('Material routes'!$D$6:$D$2205,MATCH(V609,'Material routes'!$A$6:$A$2205,0)),"MISSING ID")</x:f>
        <x:v>proposal.collection.steel_hinge_knuckle</x:v>
      </x:c>
      <x:c r="U609" s="4" t="str">
        <x:v>design.collection.steel_hinge_knuckle.in.1</x:v>
      </x:c>
      <x:c r="V609" s="4" t="str">
        <x:v>design.collection.steel_hinge_knuckle.out</x:v>
      </x:c>
    </x:row>
    <x:row r="610" ht="64" customHeight="1">
      <x:c r="A610" s="4" t="str">
        <x:f>IFERROR(INDEX('Material routes'!$E$6:$E$2205,MATCH(U610,'Material routes'!$A$6:$A$2205,0)),"MISSING ID")</x:f>
        <x:v>Prepared bronze bearing stock</x:v>
      </x:c>
      <x:c r="B610" s="4" t="str">
        <x:f>IFERROR(INDEX('Material routes'!$F$6:$F$2205,MATCH(U610,'Material routes'!$A$6:$A$2205,0)),"MISSING ID")</x:f>
        <x:v>T2</x:v>
      </x:c>
      <x:c r="C610" s="4" t="str">
        <x:f>IFERROR(INDEX('Material routes'!$H$6:$H$2205,MATCH(U610,'Material routes'!$A$6:$A$2205,0)),"MISSING ID")</x:f>
        <x:v>Processed material</x:v>
      </x:c>
      <x:c r="D610" s="4" t="str">
        <x:f>IFERROR(INDEX('Material routes'!$G$6:$G$2205,MATCH(U610,'Material routes'!$A$6:$A$2205,0)),"MISSING ID")</x:f>
        <x:v>Manufactured stock</x:v>
      </x:c>
      <x:c r="E610" s="4" t="str">
        <x:f>IFERROR(INDEX('Material routes'!$C$6:$C$2205,MATCH(U610,'Material routes'!$A$6:$A$2205,0)),"MISSING ID")</x:f>
        <x:v>Ingredient candidate</x:v>
      </x:c>
      <x:c r="F610" s="4" t="str">
        <x:f>IFERROR(INDEX('Material routes'!$E$6:$E$2205,MATCH(V610,'Material routes'!$A$6:$A$2205,0)),"MISSING ID")</x:f>
        <x:v>Oil-channel bronze sleeve</x:v>
      </x:c>
      <x:c r="G610" s="4" t="str">
        <x:f>IFERROR(INDEX('Material routes'!$F$6:$F$2205,MATCH(V610,'Material routes'!$A$6:$A$2205,0)),"MISSING ID")</x:f>
        <x:v>T3</x:v>
      </x:c>
      <x:c r="H610" s="4" t="str">
        <x:f>IFERROR(INDEX('Material routes'!$H$6:$H$2205,MATCH(V610,'Material routes'!$A$6:$A$2205,0)),"MISSING ID")</x:f>
        <x:v>Machine part</x:v>
      </x:c>
      <x:c r="I610" s="4" t="str">
        <x:f>IFERROR(INDEX('Material routes'!$G$6:$G$2205,MATCH(V610,'Material routes'!$A$6:$A$2205,0)),"MISSING ID")</x:f>
        <x:v>Crafting components</x:v>
      </x:c>
      <x:c r="J610" s="4" t="str">
        <x:f>IFERROR(INDEX('Material routes'!$B$6:$B$2205,MATCH(U610,'Material routes'!$A$6:$A$2205,0)),"MISSING ID")</x:f>
        <x:v>design.collection.oil_channel_bronze_sleeve</x:v>
      </x:c>
      <x:c r="K610" s="4" t="str">
        <x:f>IFERROR(INDEX('Crafting recipes'!$C$6:$C$1005,MATCH(J610,'Crafting recipes'!$A$6:$A$1005,0)),"MISSING ID")</x:f>
        <x:v>Material refinement</x:v>
      </x:c>
      <x:c r="L610" s="4" t="str">
        <x:f>IFERROR(INDEX('Material routes'!$K$6:$K$2205,MATCH(U610,'Material routes'!$A$6:$A$2205,0)),"MISSING ID")</x:f>
        <x:v>Proposal</x:v>
      </x:c>
      <x:c r="M610" s="4" t="str">
        <x:f>IFERROR(INDEX('Material routes'!$M$6:$M$2205,MATCH(U610,'Material routes'!$A$6:$A$2205,0)),"MISSING ID")</x:f>
        <x:v>Partial proposal</x:v>
      </x:c>
      <x:c r="N610" s="4"/>
      <x:c r="O610" s="4" t="str">
        <x:f>IFERROR(INDEX('Material routes'!$J$6:$J$2205,MATCH(U610,'Material routes'!$A$6:$A$2205,0)),"MISSING ID")</x:f>
        <x:v>Unspecified</x:v>
      </x:c>
      <x:c r="P610" s="4"/>
      <x:c r="Q610" s="4" t="str">
        <x:f>IFERROR(INDEX('Material routes'!$J$6:$J$2205,MATCH(V610,'Material routes'!$A$6:$A$2205,0)),"MISSING ID")</x:f>
        <x:v>Unspecified</x:v>
      </x:c>
      <x:c r="R610" s="4" t="str">
        <x:f>IF(L610="Withheld","Withheld premise",IF(E610="Tool candidate","Reusable prerequisite",IF(K610="Raw entry preparation","Entry-resource preparation",IF(G610="Not applicable",IF(IFERROR(INDEX('Items'!$AI$6:$AI$1005,MATCH(T610,'Items'!$A$6:$A$1005,0)),"MISSING ID")="Finished item","Finished endpoint",IF(IFERROR(INDEX('Items'!$AI$6:$AI$1005,MATCH(T610,'Items'!$A$6:$A$1005,0)),"MISSING ID")="Currency","Currency / no refinement tier","Recovered output / tier not applicable")),IF(OR(IFERROR(INDEX('Crafting recipes'!$H$6:$H$1005,MATCH(J610,'Crafting recipes'!$A$6:$A$1005,0)),"MISSING ID")="Unassigned",G610="Unassigned"),"Tier unresolved",IF(IFERROR(VALUE(RIGHT(G610,1))-VALUE(RIGHT(IFERROR(INDEX('Crafting recipes'!$H$6:$H$1005,MATCH(J610,'Crafting recipes'!$A$6:$A$1005,0)),"MISSING ID"),1)),0)=1,IF(B610=IFERROR(INDEX('Crafting recipes'!$H$6:$H$1005,MATCH(J610,'Crafting recipes'!$A$6:$A$1005,0)),"MISSING ID"),"Advances one material tier","Lower-tier ingredient; route advances one tier"),"Needs tier review"))))))</x:f>
        <x:v>Advances one material tier</x:v>
      </x:c>
      <x:c r="S610" s="4" t="str">
        <x:f>IFERROR(INDEX('Material routes'!$D$6:$D$2205,MATCH(U610,'Material routes'!$A$6:$A$2205,0)),"MISSING ID")</x:f>
        <x:v>proposal.branch.bearing_bronze</x:v>
      </x:c>
      <x:c r="T610" s="4" t="str">
        <x:f>IFERROR(INDEX('Material routes'!$D$6:$D$2205,MATCH(V610,'Material routes'!$A$6:$A$2205,0)),"MISSING ID")</x:f>
        <x:v>proposal.collection.oil_channel_bronze_sleeve</x:v>
      </x:c>
      <x:c r="U610" s="4" t="str">
        <x:v>design.collection.oil_channel_bronze_sleeve.in.1</x:v>
      </x:c>
      <x:c r="V610" s="4" t="str">
        <x:v>design.collection.oil_channel_bronze_sleeve.out</x:v>
      </x:c>
    </x:row>
    <x:row r="611" ht="64" customHeight="1">
      <x:c r="A611" s="4" t="str">
        <x:f>IFERROR(INDEX('Material routes'!$E$6:$E$2205,MATCH(U611,'Material routes'!$A$6:$A$2205,0)),"MISSING ID")</x:f>
        <x:v>Worked iron stock</x:v>
      </x:c>
      <x:c r="B611" s="4" t="str">
        <x:f>IFERROR(INDEX('Material routes'!$F$6:$F$2205,MATCH(U611,'Material routes'!$A$6:$A$2205,0)),"MISSING ID")</x:f>
        <x:v>T2</x:v>
      </x:c>
      <x:c r="C611" s="4" t="str">
        <x:f>IFERROR(INDEX('Material routes'!$H$6:$H$2205,MATCH(U611,'Material routes'!$A$6:$A$2205,0)),"MISSING ID")</x:f>
        <x:v>Processed material</x:v>
      </x:c>
      <x:c r="D611" s="4" t="str">
        <x:f>IFERROR(INDEX('Material routes'!$G$6:$G$2205,MATCH(U611,'Material routes'!$A$6:$A$2205,0)),"MISSING ID")</x:f>
        <x:v>Manufactured stock</x:v>
      </x:c>
      <x:c r="E611" s="4" t="str">
        <x:f>IFERROR(INDEX('Material routes'!$C$6:$C$2205,MATCH(U611,'Material routes'!$A$6:$A$2205,0)),"MISSING ID")</x:f>
        <x:v>Ingredient candidate</x:v>
      </x:c>
      <x:c r="F611" s="4" t="str">
        <x:f>IFERROR(INDEX('Material routes'!$E$6:$E$2205,MATCH(V611,'Material routes'!$A$6:$A$2205,0)),"MISSING ID")</x:f>
        <x:v>Split bearing pillow block</x:v>
      </x:c>
      <x:c r="G611" s="4" t="str">
        <x:f>IFERROR(INDEX('Material routes'!$F$6:$F$2205,MATCH(V611,'Material routes'!$A$6:$A$2205,0)),"MISSING ID")</x:f>
        <x:v>T4</x:v>
      </x:c>
      <x:c r="H611" s="4" t="str">
        <x:f>IFERROR(INDEX('Material routes'!$H$6:$H$2205,MATCH(V611,'Material routes'!$A$6:$A$2205,0)),"MISSING ID")</x:f>
        <x:v>Machine part</x:v>
      </x:c>
      <x:c r="I611" s="4" t="str">
        <x:f>IFERROR(INDEX('Material routes'!$G$6:$G$2205,MATCH(V611,'Material routes'!$A$6:$A$2205,0)),"MISSING ID")</x:f>
        <x:v>Crafting components</x:v>
      </x:c>
      <x:c r="J611" s="4" t="str">
        <x:f>IFERROR(INDEX('Material routes'!$B$6:$B$2205,MATCH(U611,'Material routes'!$A$6:$A$2205,0)),"MISSING ID")</x:f>
        <x:v>design.collection.split_bearing_pillow_block</x:v>
      </x:c>
      <x:c r="K611" s="4" t="str">
        <x:f>IFERROR(INDEX('Crafting recipes'!$C$6:$C$1005,MATCH(J611,'Crafting recipes'!$A$6:$A$1005,0)),"MISSING ID")</x:f>
        <x:v>Material refinement</x:v>
      </x:c>
      <x:c r="L611" s="4" t="str">
        <x:f>IFERROR(INDEX('Material routes'!$K$6:$K$2205,MATCH(U611,'Material routes'!$A$6:$A$2205,0)),"MISSING ID")</x:f>
        <x:v>Proposal</x:v>
      </x:c>
      <x:c r="M611" s="4" t="str">
        <x:f>IFERROR(INDEX('Material routes'!$M$6:$M$2205,MATCH(U611,'Material routes'!$A$6:$A$2205,0)),"MISSING ID")</x:f>
        <x:v>Partial proposal</x:v>
      </x:c>
      <x:c r="N611" s="4"/>
      <x:c r="O611" s="4" t="str">
        <x:f>IFERROR(INDEX('Material routes'!$J$6:$J$2205,MATCH(U611,'Material routes'!$A$6:$A$2205,0)),"MISSING ID")</x:f>
        <x:v>Unspecified</x:v>
      </x:c>
      <x:c r="P611" s="4"/>
      <x:c r="Q611" s="4" t="str">
        <x:f>IFERROR(INDEX('Material routes'!$J$6:$J$2205,MATCH(V611,'Material routes'!$A$6:$A$2205,0)),"MISSING ID")</x:f>
        <x:v>Unspecified</x:v>
      </x:c>
      <x:c r="R611" s="4" t="str">
        <x:f>IF(L611="Withheld","Withheld premise",IF(E611="Tool candidate","Reusable prerequisite",IF(K611="Raw entry preparation","Entry-resource preparation",IF(G611="Not applicable",IF(IFERROR(INDEX('Items'!$AI$6:$AI$1005,MATCH(T611,'Items'!$A$6:$A$1005,0)),"MISSING ID")="Finished item","Finished endpoint",IF(IFERROR(INDEX('Items'!$AI$6:$AI$1005,MATCH(T611,'Items'!$A$6:$A$1005,0)),"MISSING ID")="Currency","Currency / no refinement tier","Recovered output / tier not applicable")),IF(OR(IFERROR(INDEX('Crafting recipes'!$H$6:$H$1005,MATCH(J611,'Crafting recipes'!$A$6:$A$1005,0)),"MISSING ID")="Unassigned",G611="Unassigned"),"Tier unresolved",IF(IFERROR(VALUE(RIGHT(G611,1))-VALUE(RIGHT(IFERROR(INDEX('Crafting recipes'!$H$6:$H$1005,MATCH(J611,'Crafting recipes'!$A$6:$A$1005,0)),"MISSING ID"),1)),0)=1,IF(B611=IFERROR(INDEX('Crafting recipes'!$H$6:$H$1005,MATCH(J611,'Crafting recipes'!$A$6:$A$1005,0)),"MISSING ID"),"Advances one material tier","Lower-tier ingredient; route advances one tier"),"Needs tier review"))))))</x:f>
        <x:v>Lower-tier ingredient; route advances one tier</x:v>
      </x:c>
      <x:c r="S611" s="4" t="str">
        <x:f>IFERROR(INDEX('Material routes'!$D$6:$D$2205,MATCH(U611,'Material routes'!$A$6:$A$2205,0)),"MISSING ID")</x:f>
        <x:v>proposal.natural.iron_stock</x:v>
      </x:c>
      <x:c r="T611" s="4" t="str">
        <x:f>IFERROR(INDEX('Material routes'!$D$6:$D$2205,MATCH(V611,'Material routes'!$A$6:$A$2205,0)),"MISSING ID")</x:f>
        <x:v>proposal.collection.split_bearing_pillow_block</x:v>
      </x:c>
      <x:c r="U611" s="4" t="str">
        <x:v>design.collection.split_bearing_pillow_block.in.1</x:v>
      </x:c>
      <x:c r="V611" s="4" t="str">
        <x:v>design.collection.split_bearing_pillow_block.out</x:v>
      </x:c>
    </x:row>
    <x:row r="612" ht="64" customHeight="1">
      <x:c r="A612" s="4" t="str">
        <x:f>IFERROR(INDEX('Material routes'!$E$6:$E$2205,MATCH(U612,'Material routes'!$A$6:$A$2205,0)),"MISSING ID")</x:f>
        <x:v>Matched metal fastener set</x:v>
      </x:c>
      <x:c r="B612" s="4" t="str">
        <x:f>IFERROR(INDEX('Material routes'!$F$6:$F$2205,MATCH(U612,'Material routes'!$A$6:$A$2205,0)),"MISSING ID")</x:f>
        <x:v>T3</x:v>
      </x:c>
      <x:c r="C612" s="4" t="str">
        <x:f>IFERROR(INDEX('Material routes'!$H$6:$H$2205,MATCH(U612,'Material routes'!$A$6:$A$2205,0)),"MISSING ID")</x:f>
        <x:v>Crafting component</x:v>
      </x:c>
      <x:c r="D612" s="4" t="str">
        <x:f>IFERROR(INDEX('Material routes'!$G$6:$G$2205,MATCH(U612,'Material routes'!$A$6:$A$2205,0)),"MISSING ID")</x:f>
        <x:v>Crafting components</x:v>
      </x:c>
      <x:c r="E612" s="4" t="str">
        <x:f>IFERROR(INDEX('Material routes'!$C$6:$C$2205,MATCH(U612,'Material routes'!$A$6:$A$2205,0)),"MISSING ID")</x:f>
        <x:v>Ingredient candidate</x:v>
      </x:c>
      <x:c r="F612" s="4" t="str">
        <x:f>IFERROR(INDEX('Material routes'!$E$6:$E$2205,MATCH(V612,'Material routes'!$A$6:$A$2205,0)),"MISSING ID")</x:f>
        <x:v>Split bearing pillow block</x:v>
      </x:c>
      <x:c r="G612" s="4" t="str">
        <x:f>IFERROR(INDEX('Material routes'!$F$6:$F$2205,MATCH(V612,'Material routes'!$A$6:$A$2205,0)),"MISSING ID")</x:f>
        <x:v>T4</x:v>
      </x:c>
      <x:c r="H612" s="4" t="str">
        <x:f>IFERROR(INDEX('Material routes'!$H$6:$H$2205,MATCH(V612,'Material routes'!$A$6:$A$2205,0)),"MISSING ID")</x:f>
        <x:v>Machine part</x:v>
      </x:c>
      <x:c r="I612" s="4" t="str">
        <x:f>IFERROR(INDEX('Material routes'!$G$6:$G$2205,MATCH(V612,'Material routes'!$A$6:$A$2205,0)),"MISSING ID")</x:f>
        <x:v>Crafting components</x:v>
      </x:c>
      <x:c r="J612" s="4" t="str">
        <x:f>IFERROR(INDEX('Material routes'!$B$6:$B$2205,MATCH(U612,'Material routes'!$A$6:$A$2205,0)),"MISSING ID")</x:f>
        <x:v>design.collection.split_bearing_pillow_block</x:v>
      </x:c>
      <x:c r="K612" s="4" t="str">
        <x:f>IFERROR(INDEX('Crafting recipes'!$C$6:$C$1005,MATCH(J612,'Crafting recipes'!$A$6:$A$1005,0)),"MISSING ID")</x:f>
        <x:v>Material refinement</x:v>
      </x:c>
      <x:c r="L612" s="4" t="str">
        <x:f>IFERROR(INDEX('Material routes'!$K$6:$K$2205,MATCH(U612,'Material routes'!$A$6:$A$2205,0)),"MISSING ID")</x:f>
        <x:v>Proposal</x:v>
      </x:c>
      <x:c r="M612" s="4" t="str">
        <x:f>IFERROR(INDEX('Material routes'!$M$6:$M$2205,MATCH(U612,'Material routes'!$A$6:$A$2205,0)),"MISSING ID")</x:f>
        <x:v>Partial proposal</x:v>
      </x:c>
      <x:c r="N612" s="4"/>
      <x:c r="O612" s="4" t="str">
        <x:f>IFERROR(INDEX('Material routes'!$J$6:$J$2205,MATCH(U612,'Material routes'!$A$6:$A$2205,0)),"MISSING ID")</x:f>
        <x:v>Unspecified</x:v>
      </x:c>
      <x:c r="P612" s="4"/>
      <x:c r="Q612" s="4" t="str">
        <x:f>IFERROR(INDEX('Material routes'!$J$6:$J$2205,MATCH(V612,'Material routes'!$A$6:$A$2205,0)),"MISSING ID")</x:f>
        <x:v>Unspecified</x:v>
      </x:c>
      <x:c r="R612" s="4" t="str">
        <x:f>IF(L612="Withheld","Withheld premise",IF(E612="Tool candidate","Reusable prerequisite",IF(K612="Raw entry preparation","Entry-resource preparation",IF(G612="Not applicable",IF(IFERROR(INDEX('Items'!$AI$6:$AI$1005,MATCH(T612,'Items'!$A$6:$A$1005,0)),"MISSING ID")="Finished item","Finished endpoint",IF(IFERROR(INDEX('Items'!$AI$6:$AI$1005,MATCH(T612,'Items'!$A$6:$A$1005,0)),"MISSING ID")="Currency","Currency / no refinement tier","Recovered output / tier not applicable")),IF(OR(IFERROR(INDEX('Crafting recipes'!$H$6:$H$1005,MATCH(J612,'Crafting recipes'!$A$6:$A$1005,0)),"MISSING ID")="Unassigned",G612="Unassigned"),"Tier unresolved",IF(IFERROR(VALUE(RIGHT(G612,1))-VALUE(RIGHT(IFERROR(INDEX('Crafting recipes'!$H$6:$H$1005,MATCH(J612,'Crafting recipes'!$A$6:$A$1005,0)),"MISSING ID"),1)),0)=1,IF(B612=IFERROR(INDEX('Crafting recipes'!$H$6:$H$1005,MATCH(J612,'Crafting recipes'!$A$6:$A$1005,0)),"MISSING ID"),"Advances one material tier","Lower-tier ingredient; route advances one tier"),"Needs tier review"))))))</x:f>
        <x:v>Advances one material tier</x:v>
      </x:c>
      <x:c r="S612" s="4" t="str">
        <x:f>IFERROR(INDEX('Material routes'!$D$6:$D$2205,MATCH(U612,'Material routes'!$A$6:$A$2205,0)),"MISSING ID")</x:f>
        <x:v>proposal.lore.fastener_set</x:v>
      </x:c>
      <x:c r="T612" s="4" t="str">
        <x:f>IFERROR(INDEX('Material routes'!$D$6:$D$2205,MATCH(V612,'Material routes'!$A$6:$A$2205,0)),"MISSING ID")</x:f>
        <x:v>proposal.collection.split_bearing_pillow_block</x:v>
      </x:c>
      <x:c r="U612" s="4" t="str">
        <x:v>design.collection.split_bearing_pillow_block.in.2</x:v>
      </x:c>
      <x:c r="V612" s="4" t="str">
        <x:v>design.collection.split_bearing_pillow_block.out</x:v>
      </x:c>
    </x:row>
    <x:row r="613" ht="64" customHeight="1">
      <x:c r="A613" s="4" t="str">
        <x:f>IFERROR(INDEX('Material routes'!$E$6:$E$2205,MATCH(U613,'Material routes'!$A$6:$A$2205,0)),"MISSING ID")</x:f>
        <x:v>Worked iron stock</x:v>
      </x:c>
      <x:c r="B613" s="4" t="str">
        <x:f>IFERROR(INDEX('Material routes'!$F$6:$F$2205,MATCH(U613,'Material routes'!$A$6:$A$2205,0)),"MISSING ID")</x:f>
        <x:v>T2</x:v>
      </x:c>
      <x:c r="C613" s="4" t="str">
        <x:f>IFERROR(INDEX('Material routes'!$H$6:$H$2205,MATCH(U613,'Material routes'!$A$6:$A$2205,0)),"MISSING ID")</x:f>
        <x:v>Processed material</x:v>
      </x:c>
      <x:c r="D613" s="4" t="str">
        <x:f>IFERROR(INDEX('Material routes'!$G$6:$G$2205,MATCH(U613,'Material routes'!$A$6:$A$2205,0)),"MISSING ID")</x:f>
        <x:v>Manufactured stock</x:v>
      </x:c>
      <x:c r="E613" s="4" t="str">
        <x:f>IFERROR(INDEX('Material routes'!$C$6:$C$2205,MATCH(U613,'Material routes'!$A$6:$A$2205,0)),"MISSING ID")</x:f>
        <x:v>Ingredient candidate</x:v>
      </x:c>
      <x:c r="F613" s="4" t="str">
        <x:f>IFERROR(INDEX('Material routes'!$E$6:$E$2205,MATCH(V613,'Material routes'!$A$6:$A$2205,0)),"MISSING ID")</x:f>
        <x:v>Flywheel rim segment</x:v>
      </x:c>
      <x:c r="G613" s="4" t="str">
        <x:f>IFERROR(INDEX('Material routes'!$F$6:$F$2205,MATCH(V613,'Material routes'!$A$6:$A$2205,0)),"MISSING ID")</x:f>
        <x:v>T3</x:v>
      </x:c>
      <x:c r="H613" s="4" t="str">
        <x:f>IFERROR(INDEX('Material routes'!$H$6:$H$2205,MATCH(V613,'Material routes'!$A$6:$A$2205,0)),"MISSING ID")</x:f>
        <x:v>Machine part</x:v>
      </x:c>
      <x:c r="I613" s="4" t="str">
        <x:f>IFERROR(INDEX('Material routes'!$G$6:$G$2205,MATCH(V613,'Material routes'!$A$6:$A$2205,0)),"MISSING ID")</x:f>
        <x:v>Crafting components</x:v>
      </x:c>
      <x:c r="J613" s="4" t="str">
        <x:f>IFERROR(INDEX('Material routes'!$B$6:$B$2205,MATCH(U613,'Material routes'!$A$6:$A$2205,0)),"MISSING ID")</x:f>
        <x:v>design.collection.flywheel_rim_segment</x:v>
      </x:c>
      <x:c r="K613" s="4" t="str">
        <x:f>IFERROR(INDEX('Crafting recipes'!$C$6:$C$1005,MATCH(J613,'Crafting recipes'!$A$6:$A$1005,0)),"MISSING ID")</x:f>
        <x:v>Material refinement</x:v>
      </x:c>
      <x:c r="L613" s="4" t="str">
        <x:f>IFERROR(INDEX('Material routes'!$K$6:$K$2205,MATCH(U613,'Material routes'!$A$6:$A$2205,0)),"MISSING ID")</x:f>
        <x:v>Proposal</x:v>
      </x:c>
      <x:c r="M613" s="4" t="str">
        <x:f>IFERROR(INDEX('Material routes'!$M$6:$M$2205,MATCH(U613,'Material routes'!$A$6:$A$2205,0)),"MISSING ID")</x:f>
        <x:v>Partial proposal</x:v>
      </x:c>
      <x:c r="N613" s="4"/>
      <x:c r="O613" s="4" t="str">
        <x:f>IFERROR(INDEX('Material routes'!$J$6:$J$2205,MATCH(U613,'Material routes'!$A$6:$A$2205,0)),"MISSING ID")</x:f>
        <x:v>Unspecified</x:v>
      </x:c>
      <x:c r="P613" s="4"/>
      <x:c r="Q613" s="4" t="str">
        <x:f>IFERROR(INDEX('Material routes'!$J$6:$J$2205,MATCH(V613,'Material routes'!$A$6:$A$2205,0)),"MISSING ID")</x:f>
        <x:v>Unspecified</x:v>
      </x:c>
      <x:c r="R613" s="4" t="str">
        <x:f>IF(L613="Withheld","Withheld premise",IF(E613="Tool candidate","Reusable prerequisite",IF(K613="Raw entry preparation","Entry-resource preparation",IF(G613="Not applicable",IF(IFERROR(INDEX('Items'!$AI$6:$AI$1005,MATCH(T613,'Items'!$A$6:$A$1005,0)),"MISSING ID")="Finished item","Finished endpoint",IF(IFERROR(INDEX('Items'!$AI$6:$AI$1005,MATCH(T613,'Items'!$A$6:$A$1005,0)),"MISSING ID")="Currency","Currency / no refinement tier","Recovered output / tier not applicable")),IF(OR(IFERROR(INDEX('Crafting recipes'!$H$6:$H$1005,MATCH(J613,'Crafting recipes'!$A$6:$A$1005,0)),"MISSING ID")="Unassigned",G613="Unassigned"),"Tier unresolved",IF(IFERROR(VALUE(RIGHT(G613,1))-VALUE(RIGHT(IFERROR(INDEX('Crafting recipes'!$H$6:$H$1005,MATCH(J613,'Crafting recipes'!$A$6:$A$1005,0)),"MISSING ID"),1)),0)=1,IF(B613=IFERROR(INDEX('Crafting recipes'!$H$6:$H$1005,MATCH(J613,'Crafting recipes'!$A$6:$A$1005,0)),"MISSING ID"),"Advances one material tier","Lower-tier ingredient; route advances one tier"),"Needs tier review"))))))</x:f>
        <x:v>Advances one material tier</x:v>
      </x:c>
      <x:c r="S613" s="4" t="str">
        <x:f>IFERROR(INDEX('Material routes'!$D$6:$D$2205,MATCH(U613,'Material routes'!$A$6:$A$2205,0)),"MISSING ID")</x:f>
        <x:v>proposal.natural.iron_stock</x:v>
      </x:c>
      <x:c r="T613" s="4" t="str">
        <x:f>IFERROR(INDEX('Material routes'!$D$6:$D$2205,MATCH(V613,'Material routes'!$A$6:$A$2205,0)),"MISSING ID")</x:f>
        <x:v>proposal.collection.flywheel_rim_segment</x:v>
      </x:c>
      <x:c r="U613" s="4" t="str">
        <x:v>design.collection.flywheel_rim_segment.in.1</x:v>
      </x:c>
      <x:c r="V613" s="4" t="str">
        <x:v>design.collection.flywheel_rim_segment.out</x:v>
      </x:c>
    </x:row>
    <x:row r="614" ht="64" customHeight="1">
      <x:c r="A614" s="4" t="str">
        <x:f>IFERROR(INDEX('Material routes'!$E$6:$E$2205,MATCH(U614,'Material routes'!$A$6:$A$2205,0)),"MISSING ID")</x:f>
        <x:v>Pressed chitin friction stock</x:v>
      </x:c>
      <x:c r="B614" s="4" t="str">
        <x:f>IFERROR(INDEX('Material routes'!$F$6:$F$2205,MATCH(U614,'Material routes'!$A$6:$A$2205,0)),"MISSING ID")</x:f>
        <x:v>T2</x:v>
      </x:c>
      <x:c r="C614" s="4" t="str">
        <x:f>IFERROR(INDEX('Material routes'!$H$6:$H$2205,MATCH(U614,'Material routes'!$A$6:$A$2205,0)),"MISSING ID")</x:f>
        <x:v>Processed material</x:v>
      </x:c>
      <x:c r="D614" s="4" t="str">
        <x:f>IFERROR(INDEX('Material routes'!$G$6:$G$2205,MATCH(U614,'Material routes'!$A$6:$A$2205,0)),"MISSING ID")</x:f>
        <x:v>Manufactured stock</x:v>
      </x:c>
      <x:c r="E614" s="4" t="str">
        <x:f>IFERROR(INDEX('Material routes'!$C$6:$C$2205,MATCH(U614,'Material routes'!$A$6:$A$2205,0)),"MISSING ID")</x:f>
        <x:v>Ingredient candidate</x:v>
      </x:c>
      <x:c r="F614" s="4" t="str">
        <x:f>IFERROR(INDEX('Material routes'!$E$6:$E$2205,MATCH(V614,'Material routes'!$A$6:$A$2205,0)),"MISSING ID")</x:f>
        <x:v>Clutch friction disc</x:v>
      </x:c>
      <x:c r="G614" s="4" t="str">
        <x:f>IFERROR(INDEX('Material routes'!$F$6:$F$2205,MATCH(V614,'Material routes'!$A$6:$A$2205,0)),"MISSING ID")</x:f>
        <x:v>T4</x:v>
      </x:c>
      <x:c r="H614" s="4" t="str">
        <x:f>IFERROR(INDEX('Material routes'!$H$6:$H$2205,MATCH(V614,'Material routes'!$A$6:$A$2205,0)),"MISSING ID")</x:f>
        <x:v>Machine part</x:v>
      </x:c>
      <x:c r="I614" s="4" t="str">
        <x:f>IFERROR(INDEX('Material routes'!$G$6:$G$2205,MATCH(V614,'Material routes'!$A$6:$A$2205,0)),"MISSING ID")</x:f>
        <x:v>Crafting components</x:v>
      </x:c>
      <x:c r="J614" s="4" t="str">
        <x:f>IFERROR(INDEX('Material routes'!$B$6:$B$2205,MATCH(U614,'Material routes'!$A$6:$A$2205,0)),"MISSING ID")</x:f>
        <x:v>design.collection.clutch_friction_disc</x:v>
      </x:c>
      <x:c r="K614" s="4" t="str">
        <x:f>IFERROR(INDEX('Crafting recipes'!$C$6:$C$1005,MATCH(J614,'Crafting recipes'!$A$6:$A$1005,0)),"MISSING ID")</x:f>
        <x:v>Material refinement</x:v>
      </x:c>
      <x:c r="L614" s="4" t="str">
        <x:f>IFERROR(INDEX('Material routes'!$K$6:$K$2205,MATCH(U614,'Material routes'!$A$6:$A$2205,0)),"MISSING ID")</x:f>
        <x:v>Proposal</x:v>
      </x:c>
      <x:c r="M614" s="4" t="str">
        <x:f>IFERROR(INDEX('Material routes'!$M$6:$M$2205,MATCH(U614,'Material routes'!$A$6:$A$2205,0)),"MISSING ID")</x:f>
        <x:v>Partial proposal</x:v>
      </x:c>
      <x:c r="N614" s="4"/>
      <x:c r="O614" s="4" t="str">
        <x:f>IFERROR(INDEX('Material routes'!$J$6:$J$2205,MATCH(U614,'Material routes'!$A$6:$A$2205,0)),"MISSING ID")</x:f>
        <x:v>Unspecified</x:v>
      </x:c>
      <x:c r="P614" s="4"/>
      <x:c r="Q614" s="4" t="str">
        <x:f>IFERROR(INDEX('Material routes'!$J$6:$J$2205,MATCH(V614,'Material routes'!$A$6:$A$2205,0)),"MISSING ID")</x:f>
        <x:v>Unspecified</x:v>
      </x:c>
      <x:c r="R614" s="4" t="str">
        <x:f>IF(L614="Withheld","Withheld premise",IF(E614="Tool candidate","Reusable prerequisite",IF(K614="Raw entry preparation","Entry-resource preparation",IF(G614="Not applicable",IF(IFERROR(INDEX('Items'!$AI$6:$AI$1005,MATCH(T614,'Items'!$A$6:$A$1005,0)),"MISSING ID")="Finished item","Finished endpoint",IF(IFERROR(INDEX('Items'!$AI$6:$AI$1005,MATCH(T614,'Items'!$A$6:$A$1005,0)),"MISSING ID")="Currency","Currency / no refinement tier","Recovered output / tier not applicable")),IF(OR(IFERROR(INDEX('Crafting recipes'!$H$6:$H$1005,MATCH(J614,'Crafting recipes'!$A$6:$A$1005,0)),"MISSING ID")="Unassigned",G614="Unassigned"),"Tier unresolved",IF(IFERROR(VALUE(RIGHT(G614,1))-VALUE(RIGHT(IFERROR(INDEX('Crafting recipes'!$H$6:$H$1005,MATCH(J614,'Crafting recipes'!$A$6:$A$1005,0)),"MISSING ID"),1)),0)=1,IF(B614=IFERROR(INDEX('Crafting recipes'!$H$6:$H$1005,MATCH(J614,'Crafting recipes'!$A$6:$A$1005,0)),"MISSING ID"),"Advances one material tier","Lower-tier ingredient; route advances one tier"),"Needs tier review"))))))</x:f>
        <x:v>Lower-tier ingredient; route advances one tier</x:v>
      </x:c>
      <x:c r="S614" s="4" t="str">
        <x:f>IFERROR(INDEX('Material routes'!$D$6:$D$2205,MATCH(U614,'Material routes'!$A$6:$A$2205,0)),"MISSING ID")</x:f>
        <x:v>proposal.collection.pressed_chitin_friction_stock</x:v>
      </x:c>
      <x:c r="T614" s="4" t="str">
        <x:f>IFERROR(INDEX('Material routes'!$D$6:$D$2205,MATCH(V614,'Material routes'!$A$6:$A$2205,0)),"MISSING ID")</x:f>
        <x:v>proposal.collection.clutch_friction_disc</x:v>
      </x:c>
      <x:c r="U614" s="4" t="str">
        <x:v>design.collection.clutch_friction_disc.in.1</x:v>
      </x:c>
      <x:c r="V614" s="4" t="str">
        <x:v>design.collection.clutch_friction_disc.out</x:v>
      </x:c>
    </x:row>
    <x:row r="615" ht="64" customHeight="1">
      <x:c r="A615" s="4" t="str">
        <x:f>IFERROR(INDEX('Material routes'!$E$6:$E$2205,MATCH(U615,'Material routes'!$A$6:$A$2205,0)),"MISSING ID")</x:f>
        <x:v>Annealed iron sheet stock</x:v>
      </x:c>
      <x:c r="B615" s="4" t="str">
        <x:f>IFERROR(INDEX('Material routes'!$F$6:$F$2205,MATCH(U615,'Material routes'!$A$6:$A$2205,0)),"MISSING ID")</x:f>
        <x:v>T3</x:v>
      </x:c>
      <x:c r="C615" s="4" t="str">
        <x:f>IFERROR(INDEX('Material routes'!$H$6:$H$2205,MATCH(U615,'Material routes'!$A$6:$A$2205,0)),"MISSING ID")</x:f>
        <x:v>Processed material</x:v>
      </x:c>
      <x:c r="D615" s="4" t="str">
        <x:f>IFERROR(INDEX('Material routes'!$G$6:$G$2205,MATCH(U615,'Material routes'!$A$6:$A$2205,0)),"MISSING ID")</x:f>
        <x:v>Manufactured stock</x:v>
      </x:c>
      <x:c r="E615" s="4" t="str">
        <x:f>IFERROR(INDEX('Material routes'!$C$6:$C$2205,MATCH(U615,'Material routes'!$A$6:$A$2205,0)),"MISSING ID")</x:f>
        <x:v>Ingredient candidate</x:v>
      </x:c>
      <x:c r="F615" s="4" t="str">
        <x:f>IFERROR(INDEX('Material routes'!$E$6:$E$2205,MATCH(V615,'Material routes'!$A$6:$A$2205,0)),"MISSING ID")</x:f>
        <x:v>Clutch friction disc</x:v>
      </x:c>
      <x:c r="G615" s="4" t="str">
        <x:f>IFERROR(INDEX('Material routes'!$F$6:$F$2205,MATCH(V615,'Material routes'!$A$6:$A$2205,0)),"MISSING ID")</x:f>
        <x:v>T4</x:v>
      </x:c>
      <x:c r="H615" s="4" t="str">
        <x:f>IFERROR(INDEX('Material routes'!$H$6:$H$2205,MATCH(V615,'Material routes'!$A$6:$A$2205,0)),"MISSING ID")</x:f>
        <x:v>Machine part</x:v>
      </x:c>
      <x:c r="I615" s="4" t="str">
        <x:f>IFERROR(INDEX('Material routes'!$G$6:$G$2205,MATCH(V615,'Material routes'!$A$6:$A$2205,0)),"MISSING ID")</x:f>
        <x:v>Crafting components</x:v>
      </x:c>
      <x:c r="J615" s="4" t="str">
        <x:f>IFERROR(INDEX('Material routes'!$B$6:$B$2205,MATCH(U615,'Material routes'!$A$6:$A$2205,0)),"MISSING ID")</x:f>
        <x:v>design.collection.clutch_friction_disc</x:v>
      </x:c>
      <x:c r="K615" s="4" t="str">
        <x:f>IFERROR(INDEX('Crafting recipes'!$C$6:$C$1005,MATCH(J615,'Crafting recipes'!$A$6:$A$1005,0)),"MISSING ID")</x:f>
        <x:v>Material refinement</x:v>
      </x:c>
      <x:c r="L615" s="4" t="str">
        <x:f>IFERROR(INDEX('Material routes'!$K$6:$K$2205,MATCH(U615,'Material routes'!$A$6:$A$2205,0)),"MISSING ID")</x:f>
        <x:v>Proposal</x:v>
      </x:c>
      <x:c r="M615" s="4" t="str">
        <x:f>IFERROR(INDEX('Material routes'!$M$6:$M$2205,MATCH(U615,'Material routes'!$A$6:$A$2205,0)),"MISSING ID")</x:f>
        <x:v>Partial proposal</x:v>
      </x:c>
      <x:c r="N615" s="4"/>
      <x:c r="O615" s="4" t="str">
        <x:f>IFERROR(INDEX('Material routes'!$J$6:$J$2205,MATCH(U615,'Material routes'!$A$6:$A$2205,0)),"MISSING ID")</x:f>
        <x:v>Unspecified</x:v>
      </x:c>
      <x:c r="P615" s="4"/>
      <x:c r="Q615" s="4" t="str">
        <x:f>IFERROR(INDEX('Material routes'!$J$6:$J$2205,MATCH(V615,'Material routes'!$A$6:$A$2205,0)),"MISSING ID")</x:f>
        <x:v>Unspecified</x:v>
      </x:c>
      <x:c r="R615" s="4" t="str">
        <x:f>IF(L615="Withheld","Withheld premise",IF(E615="Tool candidate","Reusable prerequisite",IF(K615="Raw entry preparation","Entry-resource preparation",IF(G615="Not applicable",IF(IFERROR(INDEX('Items'!$AI$6:$AI$1005,MATCH(T615,'Items'!$A$6:$A$1005,0)),"MISSING ID")="Finished item","Finished endpoint",IF(IFERROR(INDEX('Items'!$AI$6:$AI$1005,MATCH(T615,'Items'!$A$6:$A$1005,0)),"MISSING ID")="Currency","Currency / no refinement tier","Recovered output / tier not applicable")),IF(OR(IFERROR(INDEX('Crafting recipes'!$H$6:$H$1005,MATCH(J615,'Crafting recipes'!$A$6:$A$1005,0)),"MISSING ID")="Unassigned",G615="Unassigned"),"Tier unresolved",IF(IFERROR(VALUE(RIGHT(G615,1))-VALUE(RIGHT(IFERROR(INDEX('Crafting recipes'!$H$6:$H$1005,MATCH(J615,'Crafting recipes'!$A$6:$A$1005,0)),"MISSING ID"),1)),0)=1,IF(B615=IFERROR(INDEX('Crafting recipes'!$H$6:$H$1005,MATCH(J615,'Crafting recipes'!$A$6:$A$1005,0)),"MISSING ID"),"Advances one material tier","Lower-tier ingredient; route advances one tier"),"Needs tier review"))))))</x:f>
        <x:v>Advances one material tier</x:v>
      </x:c>
      <x:c r="S615" s="4" t="str">
        <x:f>IFERROR(INDEX('Material routes'!$D$6:$D$2205,MATCH(U615,'Material routes'!$A$6:$A$2205,0)),"MISSING ID")</x:f>
        <x:v>proposal.collection.annealed_iron_sheet_stock</x:v>
      </x:c>
      <x:c r="T615" s="4" t="str">
        <x:f>IFERROR(INDEX('Material routes'!$D$6:$D$2205,MATCH(V615,'Material routes'!$A$6:$A$2205,0)),"MISSING ID")</x:f>
        <x:v>proposal.collection.clutch_friction_disc</x:v>
      </x:c>
      <x:c r="U615" s="4" t="str">
        <x:v>design.collection.clutch_friction_disc.in.2</x:v>
      </x:c>
      <x:c r="V615" s="4" t="str">
        <x:v>design.collection.clutch_friction_disc.out</x:v>
      </x:c>
    </x:row>
    <x:row r="616" ht="64" customHeight="1">
      <x:c r="A616" s="4" t="str">
        <x:f>IFERROR(INDEX('Material routes'!$E$6:$E$2205,MATCH(U616,'Material routes'!$A$6:$A$2205,0)),"MISSING ID")</x:f>
        <x:v>Steel stock</x:v>
      </x:c>
      <x:c r="B616" s="4" t="str">
        <x:f>IFERROR(INDEX('Material routes'!$F$6:$F$2205,MATCH(U616,'Material routes'!$A$6:$A$2205,0)),"MISSING ID")</x:f>
        <x:v>T2</x:v>
      </x:c>
      <x:c r="C616" s="4" t="str">
        <x:f>IFERROR(INDEX('Material routes'!$H$6:$H$2205,MATCH(U616,'Material routes'!$A$6:$A$2205,0)),"MISSING ID")</x:f>
        <x:v>Processed material</x:v>
      </x:c>
      <x:c r="D616" s="4" t="str">
        <x:f>IFERROR(INDEX('Material routes'!$G$6:$G$2205,MATCH(U616,'Material routes'!$A$6:$A$2205,0)),"MISSING ID")</x:f>
        <x:v>Manufactured stock</x:v>
      </x:c>
      <x:c r="E616" s="4" t="str">
        <x:f>IFERROR(INDEX('Material routes'!$C$6:$C$2205,MATCH(U616,'Material routes'!$A$6:$A$2205,0)),"MISSING ID")</x:f>
        <x:v>Ingredient candidate</x:v>
      </x:c>
      <x:c r="F616" s="4" t="str">
        <x:f>IFERROR(INDEX('Material routes'!$E$6:$E$2205,MATCH(V616,'Material routes'!$A$6:$A$2205,0)),"MISSING ID")</x:f>
        <x:v>Brake drum</x:v>
      </x:c>
      <x:c r="G616" s="4" t="str">
        <x:f>IFERROR(INDEX('Material routes'!$F$6:$F$2205,MATCH(V616,'Material routes'!$A$6:$A$2205,0)),"MISSING ID")</x:f>
        <x:v>T3</x:v>
      </x:c>
      <x:c r="H616" s="4" t="str">
        <x:f>IFERROR(INDEX('Material routes'!$H$6:$H$2205,MATCH(V616,'Material routes'!$A$6:$A$2205,0)),"MISSING ID")</x:f>
        <x:v>Machine part</x:v>
      </x:c>
      <x:c r="I616" s="4" t="str">
        <x:f>IFERROR(INDEX('Material routes'!$G$6:$G$2205,MATCH(V616,'Material routes'!$A$6:$A$2205,0)),"MISSING ID")</x:f>
        <x:v>Crafting components</x:v>
      </x:c>
      <x:c r="J616" s="4" t="str">
        <x:f>IFERROR(INDEX('Material routes'!$B$6:$B$2205,MATCH(U616,'Material routes'!$A$6:$A$2205,0)),"MISSING ID")</x:f>
        <x:v>design.collection.brake_drum</x:v>
      </x:c>
      <x:c r="K616" s="4" t="str">
        <x:f>IFERROR(INDEX('Crafting recipes'!$C$6:$C$1005,MATCH(J616,'Crafting recipes'!$A$6:$A$1005,0)),"MISSING ID")</x:f>
        <x:v>Material refinement</x:v>
      </x:c>
      <x:c r="L616" s="4" t="str">
        <x:f>IFERROR(INDEX('Material routes'!$K$6:$K$2205,MATCH(U616,'Material routes'!$A$6:$A$2205,0)),"MISSING ID")</x:f>
        <x:v>Proposal</x:v>
      </x:c>
      <x:c r="M616" s="4" t="str">
        <x:f>IFERROR(INDEX('Material routes'!$M$6:$M$2205,MATCH(U616,'Material routes'!$A$6:$A$2205,0)),"MISSING ID")</x:f>
        <x:v>Partial proposal</x:v>
      </x:c>
      <x:c r="N616" s="4"/>
      <x:c r="O616" s="4" t="str">
        <x:f>IFERROR(INDEX('Material routes'!$J$6:$J$2205,MATCH(U616,'Material routes'!$A$6:$A$2205,0)),"MISSING ID")</x:f>
        <x:v>Unspecified</x:v>
      </x:c>
      <x:c r="P616" s="4"/>
      <x:c r="Q616" s="4" t="str">
        <x:f>IFERROR(INDEX('Material routes'!$J$6:$J$2205,MATCH(V616,'Material routes'!$A$6:$A$2205,0)),"MISSING ID")</x:f>
        <x:v>Unspecified</x:v>
      </x:c>
      <x:c r="R616" s="4" t="str">
        <x:f>IF(L616="Withheld","Withheld premise",IF(E616="Tool candidate","Reusable prerequisite",IF(K616="Raw entry preparation","Entry-resource preparation",IF(G616="Not applicable",IF(IFERROR(INDEX('Items'!$AI$6:$AI$1005,MATCH(T616,'Items'!$A$6:$A$1005,0)),"MISSING ID")="Finished item","Finished endpoint",IF(IFERROR(INDEX('Items'!$AI$6:$AI$1005,MATCH(T616,'Items'!$A$6:$A$1005,0)),"MISSING ID")="Currency","Currency / no refinement tier","Recovered output / tier not applicable")),IF(OR(IFERROR(INDEX('Crafting recipes'!$H$6:$H$1005,MATCH(J616,'Crafting recipes'!$A$6:$A$1005,0)),"MISSING ID")="Unassigned",G616="Unassigned"),"Tier unresolved",IF(IFERROR(VALUE(RIGHT(G616,1))-VALUE(RIGHT(IFERROR(INDEX('Crafting recipes'!$H$6:$H$1005,MATCH(J616,'Crafting recipes'!$A$6:$A$1005,0)),"MISSING ID"),1)),0)=1,IF(B616=IFERROR(INDEX('Crafting recipes'!$H$6:$H$1005,MATCH(J616,'Crafting recipes'!$A$6:$A$1005,0)),"MISSING ID"),"Advances one material tier","Lower-tier ingredient; route advances one tier"),"Needs tier review"))))))</x:f>
        <x:v>Advances one material tier</x:v>
      </x:c>
      <x:c r="S616" s="4" t="str">
        <x:f>IFERROR(INDEX('Material routes'!$D$6:$D$2205,MATCH(U616,'Material routes'!$A$6:$A$2205,0)),"MISSING ID")</x:f>
        <x:v>author.metallurgy.steel_stock</x:v>
      </x:c>
      <x:c r="T616" s="4" t="str">
        <x:f>IFERROR(INDEX('Material routes'!$D$6:$D$2205,MATCH(V616,'Material routes'!$A$6:$A$2205,0)),"MISSING ID")</x:f>
        <x:v>proposal.collection.brake_drum</x:v>
      </x:c>
      <x:c r="U616" s="4" t="str">
        <x:v>design.collection.brake_drum.in.1</x:v>
      </x:c>
      <x:c r="V616" s="4" t="str">
        <x:v>design.collection.brake_drum.out</x:v>
      </x:c>
    </x:row>
    <x:row r="617" ht="64" customHeight="1">
      <x:c r="A617" s="4" t="str">
        <x:f>IFERROR(INDEX('Material routes'!$E$6:$E$2205,MATCH(U617,'Material routes'!$A$6:$A$2205,0)),"MISSING ID")</x:f>
        <x:v>Pressed chitin friction stock</x:v>
      </x:c>
      <x:c r="B617" s="4" t="str">
        <x:f>IFERROR(INDEX('Material routes'!$F$6:$F$2205,MATCH(U617,'Material routes'!$A$6:$A$2205,0)),"MISSING ID")</x:f>
        <x:v>T2</x:v>
      </x:c>
      <x:c r="C617" s="4" t="str">
        <x:f>IFERROR(INDEX('Material routes'!$H$6:$H$2205,MATCH(U617,'Material routes'!$A$6:$A$2205,0)),"MISSING ID")</x:f>
        <x:v>Processed material</x:v>
      </x:c>
      <x:c r="D617" s="4" t="str">
        <x:f>IFERROR(INDEX('Material routes'!$G$6:$G$2205,MATCH(U617,'Material routes'!$A$6:$A$2205,0)),"MISSING ID")</x:f>
        <x:v>Manufactured stock</x:v>
      </x:c>
      <x:c r="E617" s="4" t="str">
        <x:f>IFERROR(INDEX('Material routes'!$C$6:$C$2205,MATCH(U617,'Material routes'!$A$6:$A$2205,0)),"MISSING ID")</x:f>
        <x:v>Ingredient candidate</x:v>
      </x:c>
      <x:c r="F617" s="4" t="str">
        <x:f>IFERROR(INDEX('Material routes'!$E$6:$E$2205,MATCH(V617,'Material routes'!$A$6:$A$2205,0)),"MISSING ID")</x:f>
        <x:v>Brake lining shoe</x:v>
      </x:c>
      <x:c r="G617" s="4" t="str">
        <x:f>IFERROR(INDEX('Material routes'!$F$6:$F$2205,MATCH(V617,'Material routes'!$A$6:$A$2205,0)),"MISSING ID")</x:f>
        <x:v>T3</x:v>
      </x:c>
      <x:c r="H617" s="4" t="str">
        <x:f>IFERROR(INDEX('Material routes'!$H$6:$H$2205,MATCH(V617,'Material routes'!$A$6:$A$2205,0)),"MISSING ID")</x:f>
        <x:v>Machine part</x:v>
      </x:c>
      <x:c r="I617" s="4" t="str">
        <x:f>IFERROR(INDEX('Material routes'!$G$6:$G$2205,MATCH(V617,'Material routes'!$A$6:$A$2205,0)),"MISSING ID")</x:f>
        <x:v>Crafting components</x:v>
      </x:c>
      <x:c r="J617" s="4" t="str">
        <x:f>IFERROR(INDEX('Material routes'!$B$6:$B$2205,MATCH(U617,'Material routes'!$A$6:$A$2205,0)),"MISSING ID")</x:f>
        <x:v>design.collection.brake_lining_shoe</x:v>
      </x:c>
      <x:c r="K617" s="4" t="str">
        <x:f>IFERROR(INDEX('Crafting recipes'!$C$6:$C$1005,MATCH(J617,'Crafting recipes'!$A$6:$A$1005,0)),"MISSING ID")</x:f>
        <x:v>Material refinement</x:v>
      </x:c>
      <x:c r="L617" s="4" t="str">
        <x:f>IFERROR(INDEX('Material routes'!$K$6:$K$2205,MATCH(U617,'Material routes'!$A$6:$A$2205,0)),"MISSING ID")</x:f>
        <x:v>Proposal</x:v>
      </x:c>
      <x:c r="M617" s="4" t="str">
        <x:f>IFERROR(INDEX('Material routes'!$M$6:$M$2205,MATCH(U617,'Material routes'!$A$6:$A$2205,0)),"MISSING ID")</x:f>
        <x:v>Partial proposal</x:v>
      </x:c>
      <x:c r="N617" s="4"/>
      <x:c r="O617" s="4" t="str">
        <x:f>IFERROR(INDEX('Material routes'!$J$6:$J$2205,MATCH(U617,'Material routes'!$A$6:$A$2205,0)),"MISSING ID")</x:f>
        <x:v>Unspecified</x:v>
      </x:c>
      <x:c r="P617" s="4"/>
      <x:c r="Q617" s="4" t="str">
        <x:f>IFERROR(INDEX('Material routes'!$J$6:$J$2205,MATCH(V617,'Material routes'!$A$6:$A$2205,0)),"MISSING ID")</x:f>
        <x:v>Unspecified</x:v>
      </x:c>
      <x:c r="R617" s="4" t="str">
        <x:f>IF(L617="Withheld","Withheld premise",IF(E617="Tool candidate","Reusable prerequisite",IF(K617="Raw entry preparation","Entry-resource preparation",IF(G617="Not applicable",IF(IFERROR(INDEX('Items'!$AI$6:$AI$1005,MATCH(T617,'Items'!$A$6:$A$1005,0)),"MISSING ID")="Finished item","Finished endpoint",IF(IFERROR(INDEX('Items'!$AI$6:$AI$1005,MATCH(T617,'Items'!$A$6:$A$1005,0)),"MISSING ID")="Currency","Currency / no refinement tier","Recovered output / tier not applicable")),IF(OR(IFERROR(INDEX('Crafting recipes'!$H$6:$H$1005,MATCH(J617,'Crafting recipes'!$A$6:$A$1005,0)),"MISSING ID")="Unassigned",G617="Unassigned"),"Tier unresolved",IF(IFERROR(VALUE(RIGHT(G617,1))-VALUE(RIGHT(IFERROR(INDEX('Crafting recipes'!$H$6:$H$1005,MATCH(J617,'Crafting recipes'!$A$6:$A$1005,0)),"MISSING ID"),1)),0)=1,IF(B617=IFERROR(INDEX('Crafting recipes'!$H$6:$H$1005,MATCH(J617,'Crafting recipes'!$A$6:$A$1005,0)),"MISSING ID"),"Advances one material tier","Lower-tier ingredient; route advances one tier"),"Needs tier review"))))))</x:f>
        <x:v>Advances one material tier</x:v>
      </x:c>
      <x:c r="S617" s="4" t="str">
        <x:f>IFERROR(INDEX('Material routes'!$D$6:$D$2205,MATCH(U617,'Material routes'!$A$6:$A$2205,0)),"MISSING ID")</x:f>
        <x:v>proposal.collection.pressed_chitin_friction_stock</x:v>
      </x:c>
      <x:c r="T617" s="4" t="str">
        <x:f>IFERROR(INDEX('Material routes'!$D$6:$D$2205,MATCH(V617,'Material routes'!$A$6:$A$2205,0)),"MISSING ID")</x:f>
        <x:v>proposal.collection.brake_lining_shoe</x:v>
      </x:c>
      <x:c r="U617" s="4" t="str">
        <x:v>design.collection.brake_lining_shoe.in.1</x:v>
      </x:c>
      <x:c r="V617" s="4" t="str">
        <x:v>design.collection.brake_lining_shoe.out</x:v>
      </x:c>
    </x:row>
    <x:row r="618" ht="64" customHeight="1">
      <x:c r="A618" s="4" t="str">
        <x:f>IFERROR(INDEX('Material routes'!$E$6:$E$2205,MATCH(U618,'Material routes'!$A$6:$A$2205,0)),"MISSING ID")</x:f>
        <x:v>Worked iron stock</x:v>
      </x:c>
      <x:c r="B618" s="4" t="str">
        <x:f>IFERROR(INDEX('Material routes'!$F$6:$F$2205,MATCH(U618,'Material routes'!$A$6:$A$2205,0)),"MISSING ID")</x:f>
        <x:v>T2</x:v>
      </x:c>
      <x:c r="C618" s="4" t="str">
        <x:f>IFERROR(INDEX('Material routes'!$H$6:$H$2205,MATCH(U618,'Material routes'!$A$6:$A$2205,0)),"MISSING ID")</x:f>
        <x:v>Processed material</x:v>
      </x:c>
      <x:c r="D618" s="4" t="str">
        <x:f>IFERROR(INDEX('Material routes'!$G$6:$G$2205,MATCH(U618,'Material routes'!$A$6:$A$2205,0)),"MISSING ID")</x:f>
        <x:v>Manufactured stock</x:v>
      </x:c>
      <x:c r="E618" s="4" t="str">
        <x:f>IFERROR(INDEX('Material routes'!$C$6:$C$2205,MATCH(U618,'Material routes'!$A$6:$A$2205,0)),"MISSING ID")</x:f>
        <x:v>Ingredient candidate</x:v>
      </x:c>
      <x:c r="F618" s="4" t="str">
        <x:f>IFERROR(INDEX('Material routes'!$E$6:$E$2205,MATCH(V618,'Material routes'!$A$6:$A$2205,0)),"MISSING ID")</x:f>
        <x:v>Brake lining shoe</x:v>
      </x:c>
      <x:c r="G618" s="4" t="str">
        <x:f>IFERROR(INDEX('Material routes'!$F$6:$F$2205,MATCH(V618,'Material routes'!$A$6:$A$2205,0)),"MISSING ID")</x:f>
        <x:v>T3</x:v>
      </x:c>
      <x:c r="H618" s="4" t="str">
        <x:f>IFERROR(INDEX('Material routes'!$H$6:$H$2205,MATCH(V618,'Material routes'!$A$6:$A$2205,0)),"MISSING ID")</x:f>
        <x:v>Machine part</x:v>
      </x:c>
      <x:c r="I618" s="4" t="str">
        <x:f>IFERROR(INDEX('Material routes'!$G$6:$G$2205,MATCH(V618,'Material routes'!$A$6:$A$2205,0)),"MISSING ID")</x:f>
        <x:v>Crafting components</x:v>
      </x:c>
      <x:c r="J618" s="4" t="str">
        <x:f>IFERROR(INDEX('Material routes'!$B$6:$B$2205,MATCH(U618,'Material routes'!$A$6:$A$2205,0)),"MISSING ID")</x:f>
        <x:v>design.collection.brake_lining_shoe</x:v>
      </x:c>
      <x:c r="K618" s="4" t="str">
        <x:f>IFERROR(INDEX('Crafting recipes'!$C$6:$C$1005,MATCH(J618,'Crafting recipes'!$A$6:$A$1005,0)),"MISSING ID")</x:f>
        <x:v>Material refinement</x:v>
      </x:c>
      <x:c r="L618" s="4" t="str">
        <x:f>IFERROR(INDEX('Material routes'!$K$6:$K$2205,MATCH(U618,'Material routes'!$A$6:$A$2205,0)),"MISSING ID")</x:f>
        <x:v>Proposal</x:v>
      </x:c>
      <x:c r="M618" s="4" t="str">
        <x:f>IFERROR(INDEX('Material routes'!$M$6:$M$2205,MATCH(U618,'Material routes'!$A$6:$A$2205,0)),"MISSING ID")</x:f>
        <x:v>Partial proposal</x:v>
      </x:c>
      <x:c r="N618" s="4"/>
      <x:c r="O618" s="4" t="str">
        <x:f>IFERROR(INDEX('Material routes'!$J$6:$J$2205,MATCH(U618,'Material routes'!$A$6:$A$2205,0)),"MISSING ID")</x:f>
        <x:v>Unspecified</x:v>
      </x:c>
      <x:c r="P618" s="4"/>
      <x:c r="Q618" s="4" t="str">
        <x:f>IFERROR(INDEX('Material routes'!$J$6:$J$2205,MATCH(V618,'Material routes'!$A$6:$A$2205,0)),"MISSING ID")</x:f>
        <x:v>Unspecified</x:v>
      </x:c>
      <x:c r="R618" s="4" t="str">
        <x:f>IF(L618="Withheld","Withheld premise",IF(E618="Tool candidate","Reusable prerequisite",IF(K618="Raw entry preparation","Entry-resource preparation",IF(G618="Not applicable",IF(IFERROR(INDEX('Items'!$AI$6:$AI$1005,MATCH(T618,'Items'!$A$6:$A$1005,0)),"MISSING ID")="Finished item","Finished endpoint",IF(IFERROR(INDEX('Items'!$AI$6:$AI$1005,MATCH(T618,'Items'!$A$6:$A$1005,0)),"MISSING ID")="Currency","Currency / no refinement tier","Recovered output / tier not applicable")),IF(OR(IFERROR(INDEX('Crafting recipes'!$H$6:$H$1005,MATCH(J618,'Crafting recipes'!$A$6:$A$1005,0)),"MISSING ID")="Unassigned",G618="Unassigned"),"Tier unresolved",IF(IFERROR(VALUE(RIGHT(G618,1))-VALUE(RIGHT(IFERROR(INDEX('Crafting recipes'!$H$6:$H$1005,MATCH(J618,'Crafting recipes'!$A$6:$A$1005,0)),"MISSING ID"),1)),0)=1,IF(B618=IFERROR(INDEX('Crafting recipes'!$H$6:$H$1005,MATCH(J618,'Crafting recipes'!$A$6:$A$1005,0)),"MISSING ID"),"Advances one material tier","Lower-tier ingredient; route advances one tier"),"Needs tier review"))))))</x:f>
        <x:v>Advances one material tier</x:v>
      </x:c>
      <x:c r="S618" s="4" t="str">
        <x:f>IFERROR(INDEX('Material routes'!$D$6:$D$2205,MATCH(U618,'Material routes'!$A$6:$A$2205,0)),"MISSING ID")</x:f>
        <x:v>proposal.natural.iron_stock</x:v>
      </x:c>
      <x:c r="T618" s="4" t="str">
        <x:f>IFERROR(INDEX('Material routes'!$D$6:$D$2205,MATCH(V618,'Material routes'!$A$6:$A$2205,0)),"MISSING ID")</x:f>
        <x:v>proposal.collection.brake_lining_shoe</x:v>
      </x:c>
      <x:c r="U618" s="4" t="str">
        <x:v>design.collection.brake_lining_shoe.in.2</x:v>
      </x:c>
      <x:c r="V618" s="4" t="str">
        <x:v>design.collection.brake_lining_shoe.out</x:v>
      </x:c>
    </x:row>
    <x:row r="619" ht="64" customHeight="1">
      <x:c r="A619" s="4" t="str">
        <x:f>IFERROR(INDEX('Material routes'!$E$6:$E$2205,MATCH(U619,'Material routes'!$A$6:$A$2205,0)),"MISSING ID")</x:f>
        <x:v>Steel stock</x:v>
      </x:c>
      <x:c r="B619" s="4" t="str">
        <x:f>IFERROR(INDEX('Material routes'!$F$6:$F$2205,MATCH(U619,'Material routes'!$A$6:$A$2205,0)),"MISSING ID")</x:f>
        <x:v>T2</x:v>
      </x:c>
      <x:c r="C619" s="4" t="str">
        <x:f>IFERROR(INDEX('Material routes'!$H$6:$H$2205,MATCH(U619,'Material routes'!$A$6:$A$2205,0)),"MISSING ID")</x:f>
        <x:v>Processed material</x:v>
      </x:c>
      <x:c r="D619" s="4" t="str">
        <x:f>IFERROR(INDEX('Material routes'!$G$6:$G$2205,MATCH(U619,'Material routes'!$A$6:$A$2205,0)),"MISSING ID")</x:f>
        <x:v>Manufactured stock</x:v>
      </x:c>
      <x:c r="E619" s="4" t="str">
        <x:f>IFERROR(INDEX('Material routes'!$C$6:$C$2205,MATCH(U619,'Material routes'!$A$6:$A$2205,0)),"MISSING ID")</x:f>
        <x:v>Ingredient candidate</x:v>
      </x:c>
      <x:c r="F619" s="4" t="str">
        <x:f>IFERROR(INDEX('Material routes'!$E$6:$E$2205,MATCH(V619,'Material routes'!$A$6:$A$2205,0)),"MISSING ID")</x:f>
        <x:v>Counterweight chain link</x:v>
      </x:c>
      <x:c r="G619" s="4" t="str">
        <x:f>IFERROR(INDEX('Material routes'!$F$6:$F$2205,MATCH(V619,'Material routes'!$A$6:$A$2205,0)),"MISSING ID")</x:f>
        <x:v>T3</x:v>
      </x:c>
      <x:c r="H619" s="4" t="str">
        <x:f>IFERROR(INDEX('Material routes'!$H$6:$H$2205,MATCH(V619,'Material routes'!$A$6:$A$2205,0)),"MISSING ID")</x:f>
        <x:v>Machine part</x:v>
      </x:c>
      <x:c r="I619" s="4" t="str">
        <x:f>IFERROR(INDEX('Material routes'!$G$6:$G$2205,MATCH(V619,'Material routes'!$A$6:$A$2205,0)),"MISSING ID")</x:f>
        <x:v>Crafting components</x:v>
      </x:c>
      <x:c r="J619" s="4" t="str">
        <x:f>IFERROR(INDEX('Material routes'!$B$6:$B$2205,MATCH(U619,'Material routes'!$A$6:$A$2205,0)),"MISSING ID")</x:f>
        <x:v>design.collection.counterweight_chain_link</x:v>
      </x:c>
      <x:c r="K619" s="4" t="str">
        <x:f>IFERROR(INDEX('Crafting recipes'!$C$6:$C$1005,MATCH(J619,'Crafting recipes'!$A$6:$A$1005,0)),"MISSING ID")</x:f>
        <x:v>Material refinement</x:v>
      </x:c>
      <x:c r="L619" s="4" t="str">
        <x:f>IFERROR(INDEX('Material routes'!$K$6:$K$2205,MATCH(U619,'Material routes'!$A$6:$A$2205,0)),"MISSING ID")</x:f>
        <x:v>Proposal</x:v>
      </x:c>
      <x:c r="M619" s="4" t="str">
        <x:f>IFERROR(INDEX('Material routes'!$M$6:$M$2205,MATCH(U619,'Material routes'!$A$6:$A$2205,0)),"MISSING ID")</x:f>
        <x:v>Partial proposal</x:v>
      </x:c>
      <x:c r="N619" s="4"/>
      <x:c r="O619" s="4" t="str">
        <x:f>IFERROR(INDEX('Material routes'!$J$6:$J$2205,MATCH(U619,'Material routes'!$A$6:$A$2205,0)),"MISSING ID")</x:f>
        <x:v>Unspecified</x:v>
      </x:c>
      <x:c r="P619" s="4"/>
      <x:c r="Q619" s="4" t="str">
        <x:f>IFERROR(INDEX('Material routes'!$J$6:$J$2205,MATCH(V619,'Material routes'!$A$6:$A$2205,0)),"MISSING ID")</x:f>
        <x:v>Unspecified</x:v>
      </x:c>
      <x:c r="R619" s="4" t="str">
        <x:f>IF(L619="Withheld","Withheld premise",IF(E619="Tool candidate","Reusable prerequisite",IF(K619="Raw entry preparation","Entry-resource preparation",IF(G619="Not applicable",IF(IFERROR(INDEX('Items'!$AI$6:$AI$1005,MATCH(T619,'Items'!$A$6:$A$1005,0)),"MISSING ID")="Finished item","Finished endpoint",IF(IFERROR(INDEX('Items'!$AI$6:$AI$1005,MATCH(T619,'Items'!$A$6:$A$1005,0)),"MISSING ID")="Currency","Currency / no refinement tier","Recovered output / tier not applicable")),IF(OR(IFERROR(INDEX('Crafting recipes'!$H$6:$H$1005,MATCH(J619,'Crafting recipes'!$A$6:$A$1005,0)),"MISSING ID")="Unassigned",G619="Unassigned"),"Tier unresolved",IF(IFERROR(VALUE(RIGHT(G619,1))-VALUE(RIGHT(IFERROR(INDEX('Crafting recipes'!$H$6:$H$1005,MATCH(J619,'Crafting recipes'!$A$6:$A$1005,0)),"MISSING ID"),1)),0)=1,IF(B619=IFERROR(INDEX('Crafting recipes'!$H$6:$H$1005,MATCH(J619,'Crafting recipes'!$A$6:$A$1005,0)),"MISSING ID"),"Advances one material tier","Lower-tier ingredient; route advances one tier"),"Needs tier review"))))))</x:f>
        <x:v>Advances one material tier</x:v>
      </x:c>
      <x:c r="S619" s="4" t="str">
        <x:f>IFERROR(INDEX('Material routes'!$D$6:$D$2205,MATCH(U619,'Material routes'!$A$6:$A$2205,0)),"MISSING ID")</x:f>
        <x:v>author.metallurgy.steel_stock</x:v>
      </x:c>
      <x:c r="T619" s="4" t="str">
        <x:f>IFERROR(INDEX('Material routes'!$D$6:$D$2205,MATCH(V619,'Material routes'!$A$6:$A$2205,0)),"MISSING ID")</x:f>
        <x:v>proposal.collection.counterweight_chain_link</x:v>
      </x:c>
      <x:c r="U619" s="4" t="str">
        <x:v>design.collection.counterweight_chain_link.in.1</x:v>
      </x:c>
      <x:c r="V619" s="4" t="str">
        <x:v>design.collection.counterweight_chain_link.out</x:v>
      </x:c>
    </x:row>
    <x:row r="620" ht="64" customHeight="1">
      <x:c r="A620" s="4" t="str">
        <x:f>IFERROR(INDEX('Material routes'!$E$6:$E$2205,MATCH(U620,'Material routes'!$A$6:$A$2205,0)),"MISSING ID")</x:f>
        <x:v>Steel stock</x:v>
      </x:c>
      <x:c r="B620" s="4" t="str">
        <x:f>IFERROR(INDEX('Material routes'!$F$6:$F$2205,MATCH(U620,'Material routes'!$A$6:$A$2205,0)),"MISSING ID")</x:f>
        <x:v>T2</x:v>
      </x:c>
      <x:c r="C620" s="4" t="str">
        <x:f>IFERROR(INDEX('Material routes'!$H$6:$H$2205,MATCH(U620,'Material routes'!$A$6:$A$2205,0)),"MISSING ID")</x:f>
        <x:v>Processed material</x:v>
      </x:c>
      <x:c r="D620" s="4" t="str">
        <x:f>IFERROR(INDEX('Material routes'!$G$6:$G$2205,MATCH(U620,'Material routes'!$A$6:$A$2205,0)),"MISSING ID")</x:f>
        <x:v>Manufactured stock</x:v>
      </x:c>
      <x:c r="E620" s="4" t="str">
        <x:f>IFERROR(INDEX('Material routes'!$C$6:$C$2205,MATCH(U620,'Material routes'!$A$6:$A$2205,0)),"MISSING ID")</x:f>
        <x:v>Ingredient candidate</x:v>
      </x:c>
      <x:c r="F620" s="4" t="str">
        <x:f>IFERROR(INDEX('Material routes'!$E$6:$E$2205,MATCH(V620,'Material routes'!$A$6:$A$2205,0)),"MISSING ID")</x:f>
        <x:v>Grooved lift pulley</x:v>
      </x:c>
      <x:c r="G620" s="4" t="str">
        <x:f>IFERROR(INDEX('Material routes'!$F$6:$F$2205,MATCH(V620,'Material routes'!$A$6:$A$2205,0)),"MISSING ID")</x:f>
        <x:v>T3</x:v>
      </x:c>
      <x:c r="H620" s="4" t="str">
        <x:f>IFERROR(INDEX('Material routes'!$H$6:$H$2205,MATCH(V620,'Material routes'!$A$6:$A$2205,0)),"MISSING ID")</x:f>
        <x:v>Machine part</x:v>
      </x:c>
      <x:c r="I620" s="4" t="str">
        <x:f>IFERROR(INDEX('Material routes'!$G$6:$G$2205,MATCH(V620,'Material routes'!$A$6:$A$2205,0)),"MISSING ID")</x:f>
        <x:v>Crafting components</x:v>
      </x:c>
      <x:c r="J620" s="4" t="str">
        <x:f>IFERROR(INDEX('Material routes'!$B$6:$B$2205,MATCH(U620,'Material routes'!$A$6:$A$2205,0)),"MISSING ID")</x:f>
        <x:v>design.collection.grooved_lift_pulley</x:v>
      </x:c>
      <x:c r="K620" s="4" t="str">
        <x:f>IFERROR(INDEX('Crafting recipes'!$C$6:$C$1005,MATCH(J620,'Crafting recipes'!$A$6:$A$1005,0)),"MISSING ID")</x:f>
        <x:v>Material refinement</x:v>
      </x:c>
      <x:c r="L620" s="4" t="str">
        <x:f>IFERROR(INDEX('Material routes'!$K$6:$K$2205,MATCH(U620,'Material routes'!$A$6:$A$2205,0)),"MISSING ID")</x:f>
        <x:v>Proposal</x:v>
      </x:c>
      <x:c r="M620" s="4" t="str">
        <x:f>IFERROR(INDEX('Material routes'!$M$6:$M$2205,MATCH(U620,'Material routes'!$A$6:$A$2205,0)),"MISSING ID")</x:f>
        <x:v>Partial proposal</x:v>
      </x:c>
      <x:c r="N620" s="4"/>
      <x:c r="O620" s="4" t="str">
        <x:f>IFERROR(INDEX('Material routes'!$J$6:$J$2205,MATCH(U620,'Material routes'!$A$6:$A$2205,0)),"MISSING ID")</x:f>
        <x:v>Unspecified</x:v>
      </x:c>
      <x:c r="P620" s="4"/>
      <x:c r="Q620" s="4" t="str">
        <x:f>IFERROR(INDEX('Material routes'!$J$6:$J$2205,MATCH(V620,'Material routes'!$A$6:$A$2205,0)),"MISSING ID")</x:f>
        <x:v>Unspecified</x:v>
      </x:c>
      <x:c r="R620" s="4" t="str">
        <x:f>IF(L620="Withheld","Withheld premise",IF(E620="Tool candidate","Reusable prerequisite",IF(K620="Raw entry preparation","Entry-resource preparation",IF(G620="Not applicable",IF(IFERROR(INDEX('Items'!$AI$6:$AI$1005,MATCH(T620,'Items'!$A$6:$A$1005,0)),"MISSING ID")="Finished item","Finished endpoint",IF(IFERROR(INDEX('Items'!$AI$6:$AI$1005,MATCH(T620,'Items'!$A$6:$A$1005,0)),"MISSING ID")="Currency","Currency / no refinement tier","Recovered output / tier not applicable")),IF(OR(IFERROR(INDEX('Crafting recipes'!$H$6:$H$1005,MATCH(J620,'Crafting recipes'!$A$6:$A$1005,0)),"MISSING ID")="Unassigned",G620="Unassigned"),"Tier unresolved",IF(IFERROR(VALUE(RIGHT(G620,1))-VALUE(RIGHT(IFERROR(INDEX('Crafting recipes'!$H$6:$H$1005,MATCH(J620,'Crafting recipes'!$A$6:$A$1005,0)),"MISSING ID"),1)),0)=1,IF(B620=IFERROR(INDEX('Crafting recipes'!$H$6:$H$1005,MATCH(J620,'Crafting recipes'!$A$6:$A$1005,0)),"MISSING ID"),"Advances one material tier","Lower-tier ingredient; route advances one tier"),"Needs tier review"))))))</x:f>
        <x:v>Advances one material tier</x:v>
      </x:c>
      <x:c r="S620" s="4" t="str">
        <x:f>IFERROR(INDEX('Material routes'!$D$6:$D$2205,MATCH(U620,'Material routes'!$A$6:$A$2205,0)),"MISSING ID")</x:f>
        <x:v>author.metallurgy.steel_stock</x:v>
      </x:c>
      <x:c r="T620" s="4" t="str">
        <x:f>IFERROR(INDEX('Material routes'!$D$6:$D$2205,MATCH(V620,'Material routes'!$A$6:$A$2205,0)),"MISSING ID")</x:f>
        <x:v>proposal.collection.grooved_lift_pulley</x:v>
      </x:c>
      <x:c r="U620" s="4" t="str">
        <x:v>design.collection.grooved_lift_pulley.in.1</x:v>
      </x:c>
      <x:c r="V620" s="4" t="str">
        <x:v>design.collection.grooved_lift_pulley.out</x:v>
      </x:c>
    </x:row>
    <x:row r="621" ht="64" customHeight="1">
      <x:c r="A621" s="4" t="str">
        <x:f>IFERROR(INDEX('Material routes'!$E$6:$E$2205,MATCH(U621,'Material routes'!$A$6:$A$2205,0)),"MISSING ID")</x:f>
        <x:v>Steel stock</x:v>
      </x:c>
      <x:c r="B621" s="4" t="str">
        <x:f>IFERROR(INDEX('Material routes'!$F$6:$F$2205,MATCH(U621,'Material routes'!$A$6:$A$2205,0)),"MISSING ID")</x:f>
        <x:v>T2</x:v>
      </x:c>
      <x:c r="C621" s="4" t="str">
        <x:f>IFERROR(INDEX('Material routes'!$H$6:$H$2205,MATCH(U621,'Material routes'!$A$6:$A$2205,0)),"MISSING ID")</x:f>
        <x:v>Processed material</x:v>
      </x:c>
      <x:c r="D621" s="4" t="str">
        <x:f>IFERROR(INDEX('Material routes'!$G$6:$G$2205,MATCH(U621,'Material routes'!$A$6:$A$2205,0)),"MISSING ID")</x:f>
        <x:v>Manufactured stock</x:v>
      </x:c>
      <x:c r="E621" s="4" t="str">
        <x:f>IFERROR(INDEX('Material routes'!$C$6:$C$2205,MATCH(U621,'Material routes'!$A$6:$A$2205,0)),"MISSING ID")</x:f>
        <x:v>Ingredient candidate</x:v>
      </x:c>
      <x:c r="F621" s="4" t="str">
        <x:f>IFERROR(INDEX('Material routes'!$E$6:$E$2205,MATCH(V621,'Material routes'!$A$6:$A$2205,0)),"MISSING ID")</x:f>
        <x:v>Mechanical escapement fork</x:v>
      </x:c>
      <x:c r="G621" s="4" t="str">
        <x:f>IFERROR(INDEX('Material routes'!$F$6:$F$2205,MATCH(V621,'Material routes'!$A$6:$A$2205,0)),"MISSING ID")</x:f>
        <x:v>T3</x:v>
      </x:c>
      <x:c r="H621" s="4" t="str">
        <x:f>IFERROR(INDEX('Material routes'!$H$6:$H$2205,MATCH(V621,'Material routes'!$A$6:$A$2205,0)),"MISSING ID")</x:f>
        <x:v>Machine part</x:v>
      </x:c>
      <x:c r="I621" s="4" t="str">
        <x:f>IFERROR(INDEX('Material routes'!$G$6:$G$2205,MATCH(V621,'Material routes'!$A$6:$A$2205,0)),"MISSING ID")</x:f>
        <x:v>Crafting components</x:v>
      </x:c>
      <x:c r="J621" s="4" t="str">
        <x:f>IFERROR(INDEX('Material routes'!$B$6:$B$2205,MATCH(U621,'Material routes'!$A$6:$A$2205,0)),"MISSING ID")</x:f>
        <x:v>design.collection.mechanical_escapement_fork</x:v>
      </x:c>
      <x:c r="K621" s="4" t="str">
        <x:f>IFERROR(INDEX('Crafting recipes'!$C$6:$C$1005,MATCH(J621,'Crafting recipes'!$A$6:$A$1005,0)),"MISSING ID")</x:f>
        <x:v>Material refinement</x:v>
      </x:c>
      <x:c r="L621" s="4" t="str">
        <x:f>IFERROR(INDEX('Material routes'!$K$6:$K$2205,MATCH(U621,'Material routes'!$A$6:$A$2205,0)),"MISSING ID")</x:f>
        <x:v>Proposal</x:v>
      </x:c>
      <x:c r="M621" s="4" t="str">
        <x:f>IFERROR(INDEX('Material routes'!$M$6:$M$2205,MATCH(U621,'Material routes'!$A$6:$A$2205,0)),"MISSING ID")</x:f>
        <x:v>Partial proposal</x:v>
      </x:c>
      <x:c r="N621" s="4"/>
      <x:c r="O621" s="4" t="str">
        <x:f>IFERROR(INDEX('Material routes'!$J$6:$J$2205,MATCH(U621,'Material routes'!$A$6:$A$2205,0)),"MISSING ID")</x:f>
        <x:v>Unspecified</x:v>
      </x:c>
      <x:c r="P621" s="4"/>
      <x:c r="Q621" s="4" t="str">
        <x:f>IFERROR(INDEX('Material routes'!$J$6:$J$2205,MATCH(V621,'Material routes'!$A$6:$A$2205,0)),"MISSING ID")</x:f>
        <x:v>Unspecified</x:v>
      </x:c>
      <x:c r="R621" s="4" t="str">
        <x:f>IF(L621="Withheld","Withheld premise",IF(E621="Tool candidate","Reusable prerequisite",IF(K621="Raw entry preparation","Entry-resource preparation",IF(G621="Not applicable",IF(IFERROR(INDEX('Items'!$AI$6:$AI$1005,MATCH(T621,'Items'!$A$6:$A$1005,0)),"MISSING ID")="Finished item","Finished endpoint",IF(IFERROR(INDEX('Items'!$AI$6:$AI$1005,MATCH(T621,'Items'!$A$6:$A$1005,0)),"MISSING ID")="Currency","Currency / no refinement tier","Recovered output / tier not applicable")),IF(OR(IFERROR(INDEX('Crafting recipes'!$H$6:$H$1005,MATCH(J621,'Crafting recipes'!$A$6:$A$1005,0)),"MISSING ID")="Unassigned",G621="Unassigned"),"Tier unresolved",IF(IFERROR(VALUE(RIGHT(G621,1))-VALUE(RIGHT(IFERROR(INDEX('Crafting recipes'!$H$6:$H$1005,MATCH(J621,'Crafting recipes'!$A$6:$A$1005,0)),"MISSING ID"),1)),0)=1,IF(B621=IFERROR(INDEX('Crafting recipes'!$H$6:$H$1005,MATCH(J621,'Crafting recipes'!$A$6:$A$1005,0)),"MISSING ID"),"Advances one material tier","Lower-tier ingredient; route advances one tier"),"Needs tier review"))))))</x:f>
        <x:v>Advances one material tier</x:v>
      </x:c>
      <x:c r="S621" s="4" t="str">
        <x:f>IFERROR(INDEX('Material routes'!$D$6:$D$2205,MATCH(U621,'Material routes'!$A$6:$A$2205,0)),"MISSING ID")</x:f>
        <x:v>author.metallurgy.steel_stock</x:v>
      </x:c>
      <x:c r="T621" s="4" t="str">
        <x:f>IFERROR(INDEX('Material routes'!$D$6:$D$2205,MATCH(V621,'Material routes'!$A$6:$A$2205,0)),"MISSING ID")</x:f>
        <x:v>proposal.collection.mechanical_escapement_fork</x:v>
      </x:c>
      <x:c r="U621" s="4" t="str">
        <x:v>design.collection.mechanical_escapement_fork.in.1</x:v>
      </x:c>
      <x:c r="V621" s="4" t="str">
        <x:v>design.collection.mechanical_escapement_fork.out</x:v>
      </x:c>
    </x:row>
    <x:row r="622" ht="64" customHeight="1">
      <x:c r="A622" s="4" t="str">
        <x:f>IFERROR(INDEX('Material routes'!$E$6:$E$2205,MATCH(U622,'Material routes'!$A$6:$A$2205,0)),"MISSING ID")</x:f>
        <x:v>Annealed iron sheet stock</x:v>
      </x:c>
      <x:c r="B622" s="4" t="str">
        <x:f>IFERROR(INDEX('Material routes'!$F$6:$F$2205,MATCH(U622,'Material routes'!$A$6:$A$2205,0)),"MISSING ID")</x:f>
        <x:v>T3</x:v>
      </x:c>
      <x:c r="C622" s="4" t="str">
        <x:f>IFERROR(INDEX('Material routes'!$H$6:$H$2205,MATCH(U622,'Material routes'!$A$6:$A$2205,0)),"MISSING ID")</x:f>
        <x:v>Processed material</x:v>
      </x:c>
      <x:c r="D622" s="4" t="str">
        <x:f>IFERROR(INDEX('Material routes'!$G$6:$G$2205,MATCH(U622,'Material routes'!$A$6:$A$2205,0)),"MISSING ID")</x:f>
        <x:v>Manufactured stock</x:v>
      </x:c>
      <x:c r="E622" s="4" t="str">
        <x:f>IFERROR(INDEX('Material routes'!$C$6:$C$2205,MATCH(U622,'Material routes'!$A$6:$A$2205,0)),"MISSING ID")</x:f>
        <x:v>Ingredient candidate</x:v>
      </x:c>
      <x:c r="F622" s="4" t="str">
        <x:f>IFERROR(INDEX('Material routes'!$E$6:$E$2205,MATCH(V622,'Material routes'!$A$6:$A$2205,0)),"MISSING ID")</x:f>
        <x:v>Pressure bellows capsule</x:v>
      </x:c>
      <x:c r="G622" s="4" t="str">
        <x:f>IFERROR(INDEX('Material routes'!$F$6:$F$2205,MATCH(V622,'Material routes'!$A$6:$A$2205,0)),"MISSING ID")</x:f>
        <x:v>T4</x:v>
      </x:c>
      <x:c r="H622" s="4" t="str">
        <x:f>IFERROR(INDEX('Material routes'!$H$6:$H$2205,MATCH(V622,'Material routes'!$A$6:$A$2205,0)),"MISSING ID")</x:f>
        <x:v>Machine part</x:v>
      </x:c>
      <x:c r="I622" s="4" t="str">
        <x:f>IFERROR(INDEX('Material routes'!$G$6:$G$2205,MATCH(V622,'Material routes'!$A$6:$A$2205,0)),"MISSING ID")</x:f>
        <x:v>Crafting components</x:v>
      </x:c>
      <x:c r="J622" s="4" t="str">
        <x:f>IFERROR(INDEX('Material routes'!$B$6:$B$2205,MATCH(U622,'Material routes'!$A$6:$A$2205,0)),"MISSING ID")</x:f>
        <x:v>design.collection.pressure_bellows_capsule</x:v>
      </x:c>
      <x:c r="K622" s="4" t="str">
        <x:f>IFERROR(INDEX('Crafting recipes'!$C$6:$C$1005,MATCH(J622,'Crafting recipes'!$A$6:$A$1005,0)),"MISSING ID")</x:f>
        <x:v>Material refinement</x:v>
      </x:c>
      <x:c r="L622" s="4" t="str">
        <x:f>IFERROR(INDEX('Material routes'!$K$6:$K$2205,MATCH(U622,'Material routes'!$A$6:$A$2205,0)),"MISSING ID")</x:f>
        <x:v>Proposal</x:v>
      </x:c>
      <x:c r="M622" s="4" t="str">
        <x:f>IFERROR(INDEX('Material routes'!$M$6:$M$2205,MATCH(U622,'Material routes'!$A$6:$A$2205,0)),"MISSING ID")</x:f>
        <x:v>Partial proposal</x:v>
      </x:c>
      <x:c r="N622" s="4"/>
      <x:c r="O622" s="4" t="str">
        <x:f>IFERROR(INDEX('Material routes'!$J$6:$J$2205,MATCH(U622,'Material routes'!$A$6:$A$2205,0)),"MISSING ID")</x:f>
        <x:v>Unspecified</x:v>
      </x:c>
      <x:c r="P622" s="4"/>
      <x:c r="Q622" s="4" t="str">
        <x:f>IFERROR(INDEX('Material routes'!$J$6:$J$2205,MATCH(V622,'Material routes'!$A$6:$A$2205,0)),"MISSING ID")</x:f>
        <x:v>Unspecified</x:v>
      </x:c>
      <x:c r="R622" s="4" t="str">
        <x:f>IF(L622="Withheld","Withheld premise",IF(E622="Tool candidate","Reusable prerequisite",IF(K622="Raw entry preparation","Entry-resource preparation",IF(G622="Not applicable",IF(IFERROR(INDEX('Items'!$AI$6:$AI$1005,MATCH(T622,'Items'!$A$6:$A$1005,0)),"MISSING ID")="Finished item","Finished endpoint",IF(IFERROR(INDEX('Items'!$AI$6:$AI$1005,MATCH(T622,'Items'!$A$6:$A$1005,0)),"MISSING ID")="Currency","Currency / no refinement tier","Recovered output / tier not applicable")),IF(OR(IFERROR(INDEX('Crafting recipes'!$H$6:$H$1005,MATCH(J622,'Crafting recipes'!$A$6:$A$1005,0)),"MISSING ID")="Unassigned",G622="Unassigned"),"Tier unresolved",IF(IFERROR(VALUE(RIGHT(G622,1))-VALUE(RIGHT(IFERROR(INDEX('Crafting recipes'!$H$6:$H$1005,MATCH(J622,'Crafting recipes'!$A$6:$A$1005,0)),"MISSING ID"),1)),0)=1,IF(B622=IFERROR(INDEX('Crafting recipes'!$H$6:$H$1005,MATCH(J622,'Crafting recipes'!$A$6:$A$1005,0)),"MISSING ID"),"Advances one material tier","Lower-tier ingredient; route advances one tier"),"Needs tier review"))))))</x:f>
        <x:v>Advances one material tier</x:v>
      </x:c>
      <x:c r="S622" s="4" t="str">
        <x:f>IFERROR(INDEX('Material routes'!$D$6:$D$2205,MATCH(U622,'Material routes'!$A$6:$A$2205,0)),"MISSING ID")</x:f>
        <x:v>proposal.collection.annealed_iron_sheet_stock</x:v>
      </x:c>
      <x:c r="T622" s="4" t="str">
        <x:f>IFERROR(INDEX('Material routes'!$D$6:$D$2205,MATCH(V622,'Material routes'!$A$6:$A$2205,0)),"MISSING ID")</x:f>
        <x:v>proposal.collection.pressure_bellows_capsule</x:v>
      </x:c>
      <x:c r="U622" s="4" t="str">
        <x:v>design.collection.pressure_bellows_capsule.in.1</x:v>
      </x:c>
      <x:c r="V622" s="4" t="str">
        <x:v>design.collection.pressure_bellows_capsule.out</x:v>
      </x:c>
    </x:row>
    <x:row r="623" ht="64" customHeight="1">
      <x:c r="A623" s="4" t="str">
        <x:f>IFERROR(INDEX('Material routes'!$E$6:$E$2205,MATCH(U623,'Material routes'!$A$6:$A$2205,0)),"MISSING ID")</x:f>
        <x:v>Refractory ceramic stock</x:v>
      </x:c>
      <x:c r="B623" s="4" t="str">
        <x:f>IFERROR(INDEX('Material routes'!$F$6:$F$2205,MATCH(U623,'Material routes'!$A$6:$A$2205,0)),"MISSING ID")</x:f>
        <x:v>T2</x:v>
      </x:c>
      <x:c r="C623" s="4" t="str">
        <x:f>IFERROR(INDEX('Material routes'!$H$6:$H$2205,MATCH(U623,'Material routes'!$A$6:$A$2205,0)),"MISSING ID")</x:f>
        <x:v>Processed material</x:v>
      </x:c>
      <x:c r="D623" s="4" t="str">
        <x:f>IFERROR(INDEX('Material routes'!$G$6:$G$2205,MATCH(U623,'Material routes'!$A$6:$A$2205,0)),"MISSING ID")</x:f>
        <x:v>Manufactured stock</x:v>
      </x:c>
      <x:c r="E623" s="4" t="str">
        <x:f>IFERROR(INDEX('Material routes'!$C$6:$C$2205,MATCH(U623,'Material routes'!$A$6:$A$2205,0)),"MISSING ID")</x:f>
        <x:v>Ingredient candidate</x:v>
      </x:c>
      <x:c r="F623" s="4" t="str">
        <x:f>IFERROR(INDEX('Material routes'!$E$6:$E$2205,MATCH(V623,'Material routes'!$A$6:$A$2205,0)),"MISSING ID")</x:f>
        <x:v>Ceramic piston sleeve</x:v>
      </x:c>
      <x:c r="G623" s="4" t="str">
        <x:f>IFERROR(INDEX('Material routes'!$F$6:$F$2205,MATCH(V623,'Material routes'!$A$6:$A$2205,0)),"MISSING ID")</x:f>
        <x:v>T3</x:v>
      </x:c>
      <x:c r="H623" s="4" t="str">
        <x:f>IFERROR(INDEX('Material routes'!$H$6:$H$2205,MATCH(V623,'Material routes'!$A$6:$A$2205,0)),"MISSING ID")</x:f>
        <x:v>Machine part</x:v>
      </x:c>
      <x:c r="I623" s="4" t="str">
        <x:f>IFERROR(INDEX('Material routes'!$G$6:$G$2205,MATCH(V623,'Material routes'!$A$6:$A$2205,0)),"MISSING ID")</x:f>
        <x:v>Crafting components</x:v>
      </x:c>
      <x:c r="J623" s="4" t="str">
        <x:f>IFERROR(INDEX('Material routes'!$B$6:$B$2205,MATCH(U623,'Material routes'!$A$6:$A$2205,0)),"MISSING ID")</x:f>
        <x:v>design.collection.ceramic_piston_sleeve</x:v>
      </x:c>
      <x:c r="K623" s="4" t="str">
        <x:f>IFERROR(INDEX('Crafting recipes'!$C$6:$C$1005,MATCH(J623,'Crafting recipes'!$A$6:$A$1005,0)),"MISSING ID")</x:f>
        <x:v>Material refinement</x:v>
      </x:c>
      <x:c r="L623" s="4" t="str">
        <x:f>IFERROR(INDEX('Material routes'!$K$6:$K$2205,MATCH(U623,'Material routes'!$A$6:$A$2205,0)),"MISSING ID")</x:f>
        <x:v>Proposal</x:v>
      </x:c>
      <x:c r="M623" s="4" t="str">
        <x:f>IFERROR(INDEX('Material routes'!$M$6:$M$2205,MATCH(U623,'Material routes'!$A$6:$A$2205,0)),"MISSING ID")</x:f>
        <x:v>Partial proposal</x:v>
      </x:c>
      <x:c r="N623" s="4"/>
      <x:c r="O623" s="4" t="str">
        <x:f>IFERROR(INDEX('Material routes'!$J$6:$J$2205,MATCH(U623,'Material routes'!$A$6:$A$2205,0)),"MISSING ID")</x:f>
        <x:v>Unspecified</x:v>
      </x:c>
      <x:c r="P623" s="4"/>
      <x:c r="Q623" s="4" t="str">
        <x:f>IFERROR(INDEX('Material routes'!$J$6:$J$2205,MATCH(V623,'Material routes'!$A$6:$A$2205,0)),"MISSING ID")</x:f>
        <x:v>Unspecified</x:v>
      </x:c>
      <x:c r="R623" s="4" t="str">
        <x:f>IF(L623="Withheld","Withheld premise",IF(E623="Tool candidate","Reusable prerequisite",IF(K623="Raw entry preparation","Entry-resource preparation",IF(G623="Not applicable",IF(IFERROR(INDEX('Items'!$AI$6:$AI$1005,MATCH(T623,'Items'!$A$6:$A$1005,0)),"MISSING ID")="Finished item","Finished endpoint",IF(IFERROR(INDEX('Items'!$AI$6:$AI$1005,MATCH(T623,'Items'!$A$6:$A$1005,0)),"MISSING ID")="Currency","Currency / no refinement tier","Recovered output / tier not applicable")),IF(OR(IFERROR(INDEX('Crafting recipes'!$H$6:$H$1005,MATCH(J623,'Crafting recipes'!$A$6:$A$1005,0)),"MISSING ID")="Unassigned",G623="Unassigned"),"Tier unresolved",IF(IFERROR(VALUE(RIGHT(G623,1))-VALUE(RIGHT(IFERROR(INDEX('Crafting recipes'!$H$6:$H$1005,MATCH(J623,'Crafting recipes'!$A$6:$A$1005,0)),"MISSING ID"),1)),0)=1,IF(B623=IFERROR(INDEX('Crafting recipes'!$H$6:$H$1005,MATCH(J623,'Crafting recipes'!$A$6:$A$1005,0)),"MISSING ID"),"Advances one material tier","Lower-tier ingredient; route advances one tier"),"Needs tier review"))))))</x:f>
        <x:v>Advances one material tier</x:v>
      </x:c>
      <x:c r="S623" s="4" t="str">
        <x:f>IFERROR(INDEX('Material routes'!$D$6:$D$2205,MATCH(U623,'Material routes'!$A$6:$A$2205,0)),"MISSING ID")</x:f>
        <x:v>proposal.branch.refractory_ceramic</x:v>
      </x:c>
      <x:c r="T623" s="4" t="str">
        <x:f>IFERROR(INDEX('Material routes'!$D$6:$D$2205,MATCH(V623,'Material routes'!$A$6:$A$2205,0)),"MISSING ID")</x:f>
        <x:v>proposal.collection.ceramic_piston_sleeve</x:v>
      </x:c>
      <x:c r="U623" s="4" t="str">
        <x:v>design.collection.ceramic_piston_sleeve.in.1</x:v>
      </x:c>
      <x:c r="V623" s="4" t="str">
        <x:v>design.collection.ceramic_piston_sleeve.out</x:v>
      </x:c>
    </x:row>
    <x:row r="624" ht="64" customHeight="1">
      <x:c r="A624" s="4" t="str">
        <x:f>IFERROR(INDEX('Material routes'!$E$6:$E$2205,MATCH(U624,'Material routes'!$A$6:$A$2205,0)),"MISSING ID")</x:f>
        <x:v>Steel stock</x:v>
      </x:c>
      <x:c r="B624" s="4" t="str">
        <x:f>IFERROR(INDEX('Material routes'!$F$6:$F$2205,MATCH(U624,'Material routes'!$A$6:$A$2205,0)),"MISSING ID")</x:f>
        <x:v>T2</x:v>
      </x:c>
      <x:c r="C624" s="4" t="str">
        <x:f>IFERROR(INDEX('Material routes'!$H$6:$H$2205,MATCH(U624,'Material routes'!$A$6:$A$2205,0)),"MISSING ID")</x:f>
        <x:v>Processed material</x:v>
      </x:c>
      <x:c r="D624" s="4" t="str">
        <x:f>IFERROR(INDEX('Material routes'!$G$6:$G$2205,MATCH(U624,'Material routes'!$A$6:$A$2205,0)),"MISSING ID")</x:f>
        <x:v>Manufactured stock</x:v>
      </x:c>
      <x:c r="E624" s="4" t="str">
        <x:f>IFERROR(INDEX('Material routes'!$C$6:$C$2205,MATCH(U624,'Material routes'!$A$6:$A$2205,0)),"MISSING ID")</x:f>
        <x:v>Ingredient candidate</x:v>
      </x:c>
      <x:c r="F624" s="4" t="str">
        <x:f>IFERROR(INDEX('Material routes'!$E$6:$E$2205,MATCH(V624,'Material routes'!$A$6:$A$2205,0)),"MISSING ID")</x:f>
        <x:v>Metal piston head</x:v>
      </x:c>
      <x:c r="G624" s="4" t="str">
        <x:f>IFERROR(INDEX('Material routes'!$F$6:$F$2205,MATCH(V624,'Material routes'!$A$6:$A$2205,0)),"MISSING ID")</x:f>
        <x:v>T3</x:v>
      </x:c>
      <x:c r="H624" s="4" t="str">
        <x:f>IFERROR(INDEX('Material routes'!$H$6:$H$2205,MATCH(V624,'Material routes'!$A$6:$A$2205,0)),"MISSING ID")</x:f>
        <x:v>Machine part</x:v>
      </x:c>
      <x:c r="I624" s="4" t="str">
        <x:f>IFERROR(INDEX('Material routes'!$G$6:$G$2205,MATCH(V624,'Material routes'!$A$6:$A$2205,0)),"MISSING ID")</x:f>
        <x:v>Crafting components</x:v>
      </x:c>
      <x:c r="J624" s="4" t="str">
        <x:f>IFERROR(INDEX('Material routes'!$B$6:$B$2205,MATCH(U624,'Material routes'!$A$6:$A$2205,0)),"MISSING ID")</x:f>
        <x:v>design.collection.metal_piston_head</x:v>
      </x:c>
      <x:c r="K624" s="4" t="str">
        <x:f>IFERROR(INDEX('Crafting recipes'!$C$6:$C$1005,MATCH(J624,'Crafting recipes'!$A$6:$A$1005,0)),"MISSING ID")</x:f>
        <x:v>Material refinement</x:v>
      </x:c>
      <x:c r="L624" s="4" t="str">
        <x:f>IFERROR(INDEX('Material routes'!$K$6:$K$2205,MATCH(U624,'Material routes'!$A$6:$A$2205,0)),"MISSING ID")</x:f>
        <x:v>Proposal</x:v>
      </x:c>
      <x:c r="M624" s="4" t="str">
        <x:f>IFERROR(INDEX('Material routes'!$M$6:$M$2205,MATCH(U624,'Material routes'!$A$6:$A$2205,0)),"MISSING ID")</x:f>
        <x:v>Partial proposal</x:v>
      </x:c>
      <x:c r="N624" s="4"/>
      <x:c r="O624" s="4" t="str">
        <x:f>IFERROR(INDEX('Material routes'!$J$6:$J$2205,MATCH(U624,'Material routes'!$A$6:$A$2205,0)),"MISSING ID")</x:f>
        <x:v>Unspecified</x:v>
      </x:c>
      <x:c r="P624" s="4"/>
      <x:c r="Q624" s="4" t="str">
        <x:f>IFERROR(INDEX('Material routes'!$J$6:$J$2205,MATCH(V624,'Material routes'!$A$6:$A$2205,0)),"MISSING ID")</x:f>
        <x:v>Unspecified</x:v>
      </x:c>
      <x:c r="R624" s="4" t="str">
        <x:f>IF(L624="Withheld","Withheld premise",IF(E624="Tool candidate","Reusable prerequisite",IF(K624="Raw entry preparation","Entry-resource preparation",IF(G624="Not applicable",IF(IFERROR(INDEX('Items'!$AI$6:$AI$1005,MATCH(T624,'Items'!$A$6:$A$1005,0)),"MISSING ID")="Finished item","Finished endpoint",IF(IFERROR(INDEX('Items'!$AI$6:$AI$1005,MATCH(T624,'Items'!$A$6:$A$1005,0)),"MISSING ID")="Currency","Currency / no refinement tier","Recovered output / tier not applicable")),IF(OR(IFERROR(INDEX('Crafting recipes'!$H$6:$H$1005,MATCH(J624,'Crafting recipes'!$A$6:$A$1005,0)),"MISSING ID")="Unassigned",G624="Unassigned"),"Tier unresolved",IF(IFERROR(VALUE(RIGHT(G624,1))-VALUE(RIGHT(IFERROR(INDEX('Crafting recipes'!$H$6:$H$1005,MATCH(J624,'Crafting recipes'!$A$6:$A$1005,0)),"MISSING ID"),1)),0)=1,IF(B624=IFERROR(INDEX('Crafting recipes'!$H$6:$H$1005,MATCH(J624,'Crafting recipes'!$A$6:$A$1005,0)),"MISSING ID"),"Advances one material tier","Lower-tier ingredient; route advances one tier"),"Needs tier review"))))))</x:f>
        <x:v>Advances one material tier</x:v>
      </x:c>
      <x:c r="S624" s="4" t="str">
        <x:f>IFERROR(INDEX('Material routes'!$D$6:$D$2205,MATCH(U624,'Material routes'!$A$6:$A$2205,0)),"MISSING ID")</x:f>
        <x:v>author.metallurgy.steel_stock</x:v>
      </x:c>
      <x:c r="T624" s="4" t="str">
        <x:f>IFERROR(INDEX('Material routes'!$D$6:$D$2205,MATCH(V624,'Material routes'!$A$6:$A$2205,0)),"MISSING ID")</x:f>
        <x:v>proposal.collection.metal_piston_head</x:v>
      </x:c>
      <x:c r="U624" s="4" t="str">
        <x:v>design.collection.metal_piston_head.in.1</x:v>
      </x:c>
      <x:c r="V624" s="4" t="str">
        <x:v>design.collection.metal_piston_head.out</x:v>
      </x:c>
    </x:row>
    <x:row r="625" ht="64" customHeight="1">
      <x:c r="A625" s="4" t="str">
        <x:f>IFERROR(INDEX('Material routes'!$E$6:$E$2205,MATCH(U625,'Material routes'!$A$6:$A$2205,0)),"MISSING ID")</x:f>
        <x:v>Spring-grade steel stock</x:v>
      </x:c>
      <x:c r="B625" s="4" t="str">
        <x:f>IFERROR(INDEX('Material routes'!$F$6:$F$2205,MATCH(U625,'Material routes'!$A$6:$A$2205,0)),"MISSING ID")</x:f>
        <x:v>T3</x:v>
      </x:c>
      <x:c r="C625" s="4" t="str">
        <x:f>IFERROR(INDEX('Material routes'!$H$6:$H$2205,MATCH(U625,'Material routes'!$A$6:$A$2205,0)),"MISSING ID")</x:f>
        <x:v>Processed material</x:v>
      </x:c>
      <x:c r="D625" s="4" t="str">
        <x:f>IFERROR(INDEX('Material routes'!$G$6:$G$2205,MATCH(U625,'Material routes'!$A$6:$A$2205,0)),"MISSING ID")</x:f>
        <x:v>Manufactured stock</x:v>
      </x:c>
      <x:c r="E625" s="4" t="str">
        <x:f>IFERROR(INDEX('Material routes'!$C$6:$C$2205,MATCH(U625,'Material routes'!$A$6:$A$2205,0)),"MISSING ID")</x:f>
        <x:v>Ingredient candidate</x:v>
      </x:c>
      <x:c r="F625" s="4" t="str">
        <x:f>IFERROR(INDEX('Material routes'!$E$6:$E$2205,MATCH(V625,'Material routes'!$A$6:$A$2205,0)),"MISSING ID")</x:f>
        <x:v>Spring-seated check valve</x:v>
      </x:c>
      <x:c r="G625" s="4" t="str">
        <x:f>IFERROR(INDEX('Material routes'!$F$6:$F$2205,MATCH(V625,'Material routes'!$A$6:$A$2205,0)),"MISSING ID")</x:f>
        <x:v>T4</x:v>
      </x:c>
      <x:c r="H625" s="4" t="str">
        <x:f>IFERROR(INDEX('Material routes'!$H$6:$H$2205,MATCH(V625,'Material routes'!$A$6:$A$2205,0)),"MISSING ID")</x:f>
        <x:v>Machine part</x:v>
      </x:c>
      <x:c r="I625" s="4" t="str">
        <x:f>IFERROR(INDEX('Material routes'!$G$6:$G$2205,MATCH(V625,'Material routes'!$A$6:$A$2205,0)),"MISSING ID")</x:f>
        <x:v>Crafting components</x:v>
      </x:c>
      <x:c r="J625" s="4" t="str">
        <x:f>IFERROR(INDEX('Material routes'!$B$6:$B$2205,MATCH(U625,'Material routes'!$A$6:$A$2205,0)),"MISSING ID")</x:f>
        <x:v>design.collection.spring_seated_check_valve</x:v>
      </x:c>
      <x:c r="K625" s="4" t="str">
        <x:f>IFERROR(INDEX('Crafting recipes'!$C$6:$C$1005,MATCH(J625,'Crafting recipes'!$A$6:$A$1005,0)),"MISSING ID")</x:f>
        <x:v>Material refinement</x:v>
      </x:c>
      <x:c r="L625" s="4" t="str">
        <x:f>IFERROR(INDEX('Material routes'!$K$6:$K$2205,MATCH(U625,'Material routes'!$A$6:$A$2205,0)),"MISSING ID")</x:f>
        <x:v>Proposal</x:v>
      </x:c>
      <x:c r="M625" s="4" t="str">
        <x:f>IFERROR(INDEX('Material routes'!$M$6:$M$2205,MATCH(U625,'Material routes'!$A$6:$A$2205,0)),"MISSING ID")</x:f>
        <x:v>Partial proposal</x:v>
      </x:c>
      <x:c r="N625" s="4"/>
      <x:c r="O625" s="4" t="str">
        <x:f>IFERROR(INDEX('Material routes'!$J$6:$J$2205,MATCH(U625,'Material routes'!$A$6:$A$2205,0)),"MISSING ID")</x:f>
        <x:v>Unspecified</x:v>
      </x:c>
      <x:c r="P625" s="4"/>
      <x:c r="Q625" s="4" t="str">
        <x:f>IFERROR(INDEX('Material routes'!$J$6:$J$2205,MATCH(V625,'Material routes'!$A$6:$A$2205,0)),"MISSING ID")</x:f>
        <x:v>Unspecified</x:v>
      </x:c>
      <x:c r="R625" s="4" t="str">
        <x:f>IF(L625="Withheld","Withheld premise",IF(E625="Tool candidate","Reusable prerequisite",IF(K625="Raw entry preparation","Entry-resource preparation",IF(G625="Not applicable",IF(IFERROR(INDEX('Items'!$AI$6:$AI$1005,MATCH(T625,'Items'!$A$6:$A$1005,0)),"MISSING ID")="Finished item","Finished endpoint",IF(IFERROR(INDEX('Items'!$AI$6:$AI$1005,MATCH(T625,'Items'!$A$6:$A$1005,0)),"MISSING ID")="Currency","Currency / no refinement tier","Recovered output / tier not applicable")),IF(OR(IFERROR(INDEX('Crafting recipes'!$H$6:$H$1005,MATCH(J625,'Crafting recipes'!$A$6:$A$1005,0)),"MISSING ID")="Unassigned",G625="Unassigned"),"Tier unresolved",IF(IFERROR(VALUE(RIGHT(G625,1))-VALUE(RIGHT(IFERROR(INDEX('Crafting recipes'!$H$6:$H$1005,MATCH(J625,'Crafting recipes'!$A$6:$A$1005,0)),"MISSING ID"),1)),0)=1,IF(B625=IFERROR(INDEX('Crafting recipes'!$H$6:$H$1005,MATCH(J625,'Crafting recipes'!$A$6:$A$1005,0)),"MISSING ID"),"Advances one material tier","Lower-tier ingredient; route advances one tier"),"Needs tier review"))))))</x:f>
        <x:v>Advances one material tier</x:v>
      </x:c>
      <x:c r="S625" s="4" t="str">
        <x:f>IFERROR(INDEX('Material routes'!$D$6:$D$2205,MATCH(U625,'Material routes'!$A$6:$A$2205,0)),"MISSING ID")</x:f>
        <x:v>proposal.branch.spring_steel</x:v>
      </x:c>
      <x:c r="T625" s="4" t="str">
        <x:f>IFERROR(INDEX('Material routes'!$D$6:$D$2205,MATCH(V625,'Material routes'!$A$6:$A$2205,0)),"MISSING ID")</x:f>
        <x:v>proposal.collection.spring_seated_check_valve</x:v>
      </x:c>
      <x:c r="U625" s="4" t="str">
        <x:v>design.collection.spring_seated_check_valve.in.1</x:v>
      </x:c>
      <x:c r="V625" s="4" t="str">
        <x:v>design.collection.spring_seated_check_valve.out</x:v>
      </x:c>
    </x:row>
    <x:row r="626" ht="64" customHeight="1">
      <x:c r="A626" s="4" t="str">
        <x:f>IFERROR(INDEX('Material routes'!$E$6:$E$2205,MATCH(U626,'Material routes'!$A$6:$A$2205,0)),"MISSING ID")</x:f>
        <x:v>Threaded metal fitting blanks</x:v>
      </x:c>
      <x:c r="B626" s="4" t="str">
        <x:f>IFERROR(INDEX('Material routes'!$F$6:$F$2205,MATCH(U626,'Material routes'!$A$6:$A$2205,0)),"MISSING ID")</x:f>
        <x:v>T3</x:v>
      </x:c>
      <x:c r="C626" s="4" t="str">
        <x:f>IFERROR(INDEX('Material routes'!$H$6:$H$2205,MATCH(U626,'Material routes'!$A$6:$A$2205,0)),"MISSING ID")</x:f>
        <x:v>Crafting component</x:v>
      </x:c>
      <x:c r="D626" s="4" t="str">
        <x:f>IFERROR(INDEX('Material routes'!$G$6:$G$2205,MATCH(U626,'Material routes'!$A$6:$A$2205,0)),"MISSING ID")</x:f>
        <x:v>Crafting components</x:v>
      </x:c>
      <x:c r="E626" s="4" t="str">
        <x:f>IFERROR(INDEX('Material routes'!$C$6:$C$2205,MATCH(U626,'Material routes'!$A$6:$A$2205,0)),"MISSING ID")</x:f>
        <x:v>Ingredient candidate</x:v>
      </x:c>
      <x:c r="F626" s="4" t="str">
        <x:f>IFERROR(INDEX('Material routes'!$E$6:$E$2205,MATCH(V626,'Material routes'!$A$6:$A$2205,0)),"MISSING ID")</x:f>
        <x:v>Spring-seated check valve</x:v>
      </x:c>
      <x:c r="G626" s="4" t="str">
        <x:f>IFERROR(INDEX('Material routes'!$F$6:$F$2205,MATCH(V626,'Material routes'!$A$6:$A$2205,0)),"MISSING ID")</x:f>
        <x:v>T4</x:v>
      </x:c>
      <x:c r="H626" s="4" t="str">
        <x:f>IFERROR(INDEX('Material routes'!$H$6:$H$2205,MATCH(V626,'Material routes'!$A$6:$A$2205,0)),"MISSING ID")</x:f>
        <x:v>Machine part</x:v>
      </x:c>
      <x:c r="I626" s="4" t="str">
        <x:f>IFERROR(INDEX('Material routes'!$G$6:$G$2205,MATCH(V626,'Material routes'!$A$6:$A$2205,0)),"MISSING ID")</x:f>
        <x:v>Crafting components</x:v>
      </x:c>
      <x:c r="J626" s="4" t="str">
        <x:f>IFERROR(INDEX('Material routes'!$B$6:$B$2205,MATCH(U626,'Material routes'!$A$6:$A$2205,0)),"MISSING ID")</x:f>
        <x:v>design.collection.spring_seated_check_valve</x:v>
      </x:c>
      <x:c r="K626" s="4" t="str">
        <x:f>IFERROR(INDEX('Crafting recipes'!$C$6:$C$1005,MATCH(J626,'Crafting recipes'!$A$6:$A$1005,0)),"MISSING ID")</x:f>
        <x:v>Material refinement</x:v>
      </x:c>
      <x:c r="L626" s="4" t="str">
        <x:f>IFERROR(INDEX('Material routes'!$K$6:$K$2205,MATCH(U626,'Material routes'!$A$6:$A$2205,0)),"MISSING ID")</x:f>
        <x:v>Proposal</x:v>
      </x:c>
      <x:c r="M626" s="4" t="str">
        <x:f>IFERROR(INDEX('Material routes'!$M$6:$M$2205,MATCH(U626,'Material routes'!$A$6:$A$2205,0)),"MISSING ID")</x:f>
        <x:v>Partial proposal</x:v>
      </x:c>
      <x:c r="N626" s="4"/>
      <x:c r="O626" s="4" t="str">
        <x:f>IFERROR(INDEX('Material routes'!$J$6:$J$2205,MATCH(U626,'Material routes'!$A$6:$A$2205,0)),"MISSING ID")</x:f>
        <x:v>Unspecified</x:v>
      </x:c>
      <x:c r="P626" s="4"/>
      <x:c r="Q626" s="4" t="str">
        <x:f>IFERROR(INDEX('Material routes'!$J$6:$J$2205,MATCH(V626,'Material routes'!$A$6:$A$2205,0)),"MISSING ID")</x:f>
        <x:v>Unspecified</x:v>
      </x:c>
      <x:c r="R626" s="4" t="str">
        <x:f>IF(L626="Withheld","Withheld premise",IF(E626="Tool candidate","Reusable prerequisite",IF(K626="Raw entry preparation","Entry-resource preparation",IF(G626="Not applicable",IF(IFERROR(INDEX('Items'!$AI$6:$AI$1005,MATCH(T626,'Items'!$A$6:$A$1005,0)),"MISSING ID")="Finished item","Finished endpoint",IF(IFERROR(INDEX('Items'!$AI$6:$AI$1005,MATCH(T626,'Items'!$A$6:$A$1005,0)),"MISSING ID")="Currency","Currency / no refinement tier","Recovered output / tier not applicable")),IF(OR(IFERROR(INDEX('Crafting recipes'!$H$6:$H$1005,MATCH(J626,'Crafting recipes'!$A$6:$A$1005,0)),"MISSING ID")="Unassigned",G626="Unassigned"),"Tier unresolved",IF(IFERROR(VALUE(RIGHT(G626,1))-VALUE(RIGHT(IFERROR(INDEX('Crafting recipes'!$H$6:$H$1005,MATCH(J626,'Crafting recipes'!$A$6:$A$1005,0)),"MISSING ID"),1)),0)=1,IF(B626=IFERROR(INDEX('Crafting recipes'!$H$6:$H$1005,MATCH(J626,'Crafting recipes'!$A$6:$A$1005,0)),"MISSING ID"),"Advances one material tier","Lower-tier ingredient; route advances one tier"),"Needs tier review"))))))</x:f>
        <x:v>Advances one material tier</x:v>
      </x:c>
      <x:c r="S626" s="4" t="str">
        <x:f>IFERROR(INDEX('Material routes'!$D$6:$D$2205,MATCH(U626,'Material routes'!$A$6:$A$2205,0)),"MISSING ID")</x:f>
        <x:v>proposal.lore.threaded_fittings</x:v>
      </x:c>
      <x:c r="T626" s="4" t="str">
        <x:f>IFERROR(INDEX('Material routes'!$D$6:$D$2205,MATCH(V626,'Material routes'!$A$6:$A$2205,0)),"MISSING ID")</x:f>
        <x:v>proposal.collection.spring_seated_check_valve</x:v>
      </x:c>
      <x:c r="U626" s="4" t="str">
        <x:v>design.collection.spring_seated_check_valve.in.2</x:v>
      </x:c>
      <x:c r="V626" s="4" t="str">
        <x:v>design.collection.spring_seated_check_valve.out</x:v>
      </x:c>
    </x:row>
    <x:row r="627" ht="64" customHeight="1">
      <x:c r="A627" s="4" t="str">
        <x:f>IFERROR(INDEX('Material routes'!$E$6:$E$2205,MATCH(U627,'Material routes'!$A$6:$A$2205,0)),"MISSING ID")</x:f>
        <x:v>Graded graphite flakes</x:v>
      </x:c>
      <x:c r="B627" s="4" t="str">
        <x:f>IFERROR(INDEX('Material routes'!$F$6:$F$2205,MATCH(U627,'Material routes'!$A$6:$A$2205,0)),"MISSING ID")</x:f>
        <x:v>T1</x:v>
      </x:c>
      <x:c r="C627" s="4" t="str">
        <x:f>IFERROR(INDEX('Material routes'!$H$6:$H$2205,MATCH(U627,'Material routes'!$A$6:$A$2205,0)),"MISSING ID")</x:f>
        <x:v>Processed material</x:v>
      </x:c>
      <x:c r="D627" s="4" t="str">
        <x:f>IFERROR(INDEX('Material routes'!$G$6:$G$2205,MATCH(U627,'Material routes'!$A$6:$A$2205,0)),"MISSING ID")</x:f>
        <x:v>Manufactured stock</x:v>
      </x:c>
      <x:c r="E627" s="4" t="str">
        <x:f>IFERROR(INDEX('Material routes'!$C$6:$C$2205,MATCH(U627,'Material routes'!$A$6:$A$2205,0)),"MISSING ID")</x:f>
        <x:v>Ingredient candidate</x:v>
      </x:c>
      <x:c r="F627" s="4" t="str">
        <x:f>IFERROR(INDEX('Material routes'!$E$6:$E$2205,MATCH(V627,'Material routes'!$A$6:$A$2205,0)),"MISSING ID")</x:f>
        <x:v>Graphite current brush</x:v>
      </x:c>
      <x:c r="G627" s="4" t="str">
        <x:f>IFERROR(INDEX('Material routes'!$F$6:$F$2205,MATCH(V627,'Material routes'!$A$6:$A$2205,0)),"MISSING ID")</x:f>
        <x:v>T2</x:v>
      </x:c>
      <x:c r="H627" s="4" t="str">
        <x:f>IFERROR(INDEX('Material routes'!$H$6:$H$2205,MATCH(V627,'Material routes'!$A$6:$A$2205,0)),"MISSING ID")</x:f>
        <x:v>Machine part</x:v>
      </x:c>
      <x:c r="I627" s="4" t="str">
        <x:f>IFERROR(INDEX('Material routes'!$G$6:$G$2205,MATCH(V627,'Material routes'!$A$6:$A$2205,0)),"MISSING ID")</x:f>
        <x:v>Crafting components</x:v>
      </x:c>
      <x:c r="J627" s="4" t="str">
        <x:f>IFERROR(INDEX('Material routes'!$B$6:$B$2205,MATCH(U627,'Material routes'!$A$6:$A$2205,0)),"MISSING ID")</x:f>
        <x:v>design.collection.graphite_current_brush</x:v>
      </x:c>
      <x:c r="K627" s="4" t="str">
        <x:f>IFERROR(INDEX('Crafting recipes'!$C$6:$C$1005,MATCH(J627,'Crafting recipes'!$A$6:$A$1005,0)),"MISSING ID")</x:f>
        <x:v>Material refinement</x:v>
      </x:c>
      <x:c r="L627" s="4" t="str">
        <x:f>IFERROR(INDEX('Material routes'!$K$6:$K$2205,MATCH(U627,'Material routes'!$A$6:$A$2205,0)),"MISSING ID")</x:f>
        <x:v>Proposal</x:v>
      </x:c>
      <x:c r="M627" s="4" t="str">
        <x:f>IFERROR(INDEX('Material routes'!$M$6:$M$2205,MATCH(U627,'Material routes'!$A$6:$A$2205,0)),"MISSING ID")</x:f>
        <x:v>Partial proposal</x:v>
      </x:c>
      <x:c r="N627" s="4"/>
      <x:c r="O627" s="4" t="str">
        <x:f>IFERROR(INDEX('Material routes'!$J$6:$J$2205,MATCH(U627,'Material routes'!$A$6:$A$2205,0)),"MISSING ID")</x:f>
        <x:v>Unspecified</x:v>
      </x:c>
      <x:c r="P627" s="4"/>
      <x:c r="Q627" s="4" t="str">
        <x:f>IFERROR(INDEX('Material routes'!$J$6:$J$2205,MATCH(V627,'Material routes'!$A$6:$A$2205,0)),"MISSING ID")</x:f>
        <x:v>Unspecified</x:v>
      </x:c>
      <x:c r="R627" s="4" t="str">
        <x:f>IF(L627="Withheld","Withheld premise",IF(E627="Tool candidate","Reusable prerequisite",IF(K627="Raw entry preparation","Entry-resource preparation",IF(G627="Not applicable",IF(IFERROR(INDEX('Items'!$AI$6:$AI$1005,MATCH(T627,'Items'!$A$6:$A$1005,0)),"MISSING ID")="Finished item","Finished endpoint",IF(IFERROR(INDEX('Items'!$AI$6:$AI$1005,MATCH(T627,'Items'!$A$6:$A$1005,0)),"MISSING ID")="Currency","Currency / no refinement tier","Recovered output / tier not applicable")),IF(OR(IFERROR(INDEX('Crafting recipes'!$H$6:$H$1005,MATCH(J627,'Crafting recipes'!$A$6:$A$1005,0)),"MISSING ID")="Unassigned",G627="Unassigned"),"Tier unresolved",IF(IFERROR(VALUE(RIGHT(G627,1))-VALUE(RIGHT(IFERROR(INDEX('Crafting recipes'!$H$6:$H$1005,MATCH(J627,'Crafting recipes'!$A$6:$A$1005,0)),"MISSING ID"),1)),0)=1,IF(B627=IFERROR(INDEX('Crafting recipes'!$H$6:$H$1005,MATCH(J627,'Crafting recipes'!$A$6:$A$1005,0)),"MISSING ID"),"Advances one material tier","Lower-tier ingredient; route advances one tier"),"Needs tier review"))))))</x:f>
        <x:v>Advances one material tier</x:v>
      </x:c>
      <x:c r="S627" s="4" t="str">
        <x:f>IFERROR(INDEX('Material routes'!$D$6:$D$2205,MATCH(U627,'Material routes'!$A$6:$A$2205,0)),"MISSING ID")</x:f>
        <x:v>proposal.natural.carbon</x:v>
      </x:c>
      <x:c r="T627" s="4" t="str">
        <x:f>IFERROR(INDEX('Material routes'!$D$6:$D$2205,MATCH(V627,'Material routes'!$A$6:$A$2205,0)),"MISSING ID")</x:f>
        <x:v>proposal.collection.graphite_current_brush</x:v>
      </x:c>
      <x:c r="U627" s="4" t="str">
        <x:v>design.collection.graphite_current_brush.in.1</x:v>
      </x:c>
      <x:c r="V627" s="4" t="str">
        <x:v>design.collection.graphite_current_brush.out</x:v>
      </x:c>
    </x:row>
    <x:row r="628" ht="64" customHeight="1">
      <x:c r="A628" s="4" t="str">
        <x:f>IFERROR(INDEX('Material routes'!$E$6:$E$2205,MATCH(U628,'Material routes'!$A$6:$A$2205,0)),"MISSING ID")</x:f>
        <x:v>Prepared shell-binding adhesive</x:v>
      </x:c>
      <x:c r="B628" s="4" t="str">
        <x:f>IFERROR(INDEX('Material routes'!$F$6:$F$2205,MATCH(U628,'Material routes'!$A$6:$A$2205,0)),"MISSING ID")</x:f>
        <x:v>T1</x:v>
      </x:c>
      <x:c r="C628" s="4" t="str">
        <x:f>IFERROR(INDEX('Material routes'!$H$6:$H$2205,MATCH(U628,'Material routes'!$A$6:$A$2205,0)),"MISSING ID")</x:f>
        <x:v>Chemical material</x:v>
      </x:c>
      <x:c r="D628" s="4" t="str">
        <x:f>IFERROR(INDEX('Material routes'!$G$6:$G$2205,MATCH(U628,'Material routes'!$A$6:$A$2205,0)),"MISSING ID")</x:f>
        <x:v>Crafting components</x:v>
      </x:c>
      <x:c r="E628" s="4" t="str">
        <x:f>IFERROR(INDEX('Material routes'!$C$6:$C$2205,MATCH(U628,'Material routes'!$A$6:$A$2205,0)),"MISSING ID")</x:f>
        <x:v>Ingredient candidate</x:v>
      </x:c>
      <x:c r="F628" s="4" t="str">
        <x:f>IFERROR(INDEX('Material routes'!$E$6:$E$2205,MATCH(V628,'Material routes'!$A$6:$A$2205,0)),"MISSING ID")</x:f>
        <x:v>Graphite current brush</x:v>
      </x:c>
      <x:c r="G628" s="4" t="str">
        <x:f>IFERROR(INDEX('Material routes'!$F$6:$F$2205,MATCH(V628,'Material routes'!$A$6:$A$2205,0)),"MISSING ID")</x:f>
        <x:v>T2</x:v>
      </x:c>
      <x:c r="H628" s="4" t="str">
        <x:f>IFERROR(INDEX('Material routes'!$H$6:$H$2205,MATCH(V628,'Material routes'!$A$6:$A$2205,0)),"MISSING ID")</x:f>
        <x:v>Machine part</x:v>
      </x:c>
      <x:c r="I628" s="4" t="str">
        <x:f>IFERROR(INDEX('Material routes'!$G$6:$G$2205,MATCH(V628,'Material routes'!$A$6:$A$2205,0)),"MISSING ID")</x:f>
        <x:v>Crafting components</x:v>
      </x:c>
      <x:c r="J628" s="4" t="str">
        <x:f>IFERROR(INDEX('Material routes'!$B$6:$B$2205,MATCH(U628,'Material routes'!$A$6:$A$2205,0)),"MISSING ID")</x:f>
        <x:v>design.collection.graphite_current_brush</x:v>
      </x:c>
      <x:c r="K628" s="4" t="str">
        <x:f>IFERROR(INDEX('Crafting recipes'!$C$6:$C$1005,MATCH(J628,'Crafting recipes'!$A$6:$A$1005,0)),"MISSING ID")</x:f>
        <x:v>Material refinement</x:v>
      </x:c>
      <x:c r="L628" s="4" t="str">
        <x:f>IFERROR(INDEX('Material routes'!$K$6:$K$2205,MATCH(U628,'Material routes'!$A$6:$A$2205,0)),"MISSING ID")</x:f>
        <x:v>Proposal</x:v>
      </x:c>
      <x:c r="M628" s="4" t="str">
        <x:f>IFERROR(INDEX('Material routes'!$M$6:$M$2205,MATCH(U628,'Material routes'!$A$6:$A$2205,0)),"MISSING ID")</x:f>
        <x:v>Partial proposal</x:v>
      </x:c>
      <x:c r="N628" s="4"/>
      <x:c r="O628" s="4" t="str">
        <x:f>IFERROR(INDEX('Material routes'!$J$6:$J$2205,MATCH(U628,'Material routes'!$A$6:$A$2205,0)),"MISSING ID")</x:f>
        <x:v>Unspecified</x:v>
      </x:c>
      <x:c r="P628" s="4"/>
      <x:c r="Q628" s="4" t="str">
        <x:f>IFERROR(INDEX('Material routes'!$J$6:$J$2205,MATCH(V628,'Material routes'!$A$6:$A$2205,0)),"MISSING ID")</x:f>
        <x:v>Unspecified</x:v>
      </x:c>
      <x:c r="R628" s="4" t="str">
        <x:f>IF(L628="Withheld","Withheld premise",IF(E628="Tool candidate","Reusable prerequisite",IF(K628="Raw entry preparation","Entry-resource preparation",IF(G628="Not applicable",IF(IFERROR(INDEX('Items'!$AI$6:$AI$1005,MATCH(T628,'Items'!$A$6:$A$1005,0)),"MISSING ID")="Finished item","Finished endpoint",IF(IFERROR(INDEX('Items'!$AI$6:$AI$1005,MATCH(T628,'Items'!$A$6:$A$1005,0)),"MISSING ID")="Currency","Currency / no refinement tier","Recovered output / tier not applicable")),IF(OR(IFERROR(INDEX('Crafting recipes'!$H$6:$H$1005,MATCH(J628,'Crafting recipes'!$A$6:$A$1005,0)),"MISSING ID")="Unassigned",G628="Unassigned"),"Tier unresolved",IF(IFERROR(VALUE(RIGHT(G628,1))-VALUE(RIGHT(IFERROR(INDEX('Crafting recipes'!$H$6:$H$1005,MATCH(J628,'Crafting recipes'!$A$6:$A$1005,0)),"MISSING ID"),1)),0)=1,IF(B628=IFERROR(INDEX('Crafting recipes'!$H$6:$H$1005,MATCH(J628,'Crafting recipes'!$A$6:$A$1005,0)),"MISSING ID"),"Advances one material tier","Lower-tier ingredient; route advances one tier"),"Needs tier review"))))))</x:f>
        <x:v>Advances one material tier</x:v>
      </x:c>
      <x:c r="S628" s="4" t="str">
        <x:f>IFERROR(INDEX('Material routes'!$D$6:$D$2205,MATCH(U628,'Material routes'!$A$6:$A$2205,0)),"MISSING ID")</x:f>
        <x:v>proposal.t1.shell_adhesive</x:v>
      </x:c>
      <x:c r="T628" s="4" t="str">
        <x:f>IFERROR(INDEX('Material routes'!$D$6:$D$2205,MATCH(V628,'Material routes'!$A$6:$A$2205,0)),"MISSING ID")</x:f>
        <x:v>proposal.collection.graphite_current_brush</x:v>
      </x:c>
      <x:c r="U628" s="4" t="str">
        <x:v>design.collection.graphite_current_brush.in.2</x:v>
      </x:c>
      <x:c r="V628" s="4" t="str">
        <x:v>design.collection.graphite_current_brush.out</x:v>
      </x:c>
    </x:row>
    <x:row r="629" ht="64" customHeight="1">
      <x:c r="A629" s="4" t="str">
        <x:f>IFERROR(INDEX('Material routes'!$E$6:$E$2205,MATCH(U629,'Material routes'!$A$6:$A$2205,0)),"MISSING ID")</x:f>
        <x:v>Refined copper cake</x:v>
      </x:c>
      <x:c r="B629" s="4" t="str">
        <x:f>IFERROR(INDEX('Material routes'!$F$6:$F$2205,MATCH(U629,'Material routes'!$A$6:$A$2205,0)),"MISSING ID")</x:f>
        <x:v>T1</x:v>
      </x:c>
      <x:c r="C629" s="4" t="str">
        <x:f>IFERROR(INDEX('Material routes'!$H$6:$H$2205,MATCH(U629,'Material routes'!$A$6:$A$2205,0)),"MISSING ID")</x:f>
        <x:v>Processed material</x:v>
      </x:c>
      <x:c r="D629" s="4" t="str">
        <x:f>IFERROR(INDEX('Material routes'!$G$6:$G$2205,MATCH(U629,'Material routes'!$A$6:$A$2205,0)),"MISSING ID")</x:f>
        <x:v>Manufactured stock</x:v>
      </x:c>
      <x:c r="E629" s="4" t="str">
        <x:f>IFERROR(INDEX('Material routes'!$C$6:$C$2205,MATCH(U629,'Material routes'!$A$6:$A$2205,0)),"MISSING ID")</x:f>
        <x:v>Ingredient candidate</x:v>
      </x:c>
      <x:c r="F629" s="4" t="str">
        <x:f>IFERROR(INDEX('Material routes'!$E$6:$E$2205,MATCH(V629,'Material routes'!$A$6:$A$2205,0)),"MISSING ID")</x:f>
        <x:v>Segmented commutator ring</x:v>
      </x:c>
      <x:c r="G629" s="4" t="str">
        <x:f>IFERROR(INDEX('Material routes'!$F$6:$F$2205,MATCH(V629,'Material routes'!$A$6:$A$2205,0)),"MISSING ID")</x:f>
        <x:v>T4</x:v>
      </x:c>
      <x:c r="H629" s="4" t="str">
        <x:f>IFERROR(INDEX('Material routes'!$H$6:$H$2205,MATCH(V629,'Material routes'!$A$6:$A$2205,0)),"MISSING ID")</x:f>
        <x:v>Machine part</x:v>
      </x:c>
      <x:c r="I629" s="4" t="str">
        <x:f>IFERROR(INDEX('Material routes'!$G$6:$G$2205,MATCH(V629,'Material routes'!$A$6:$A$2205,0)),"MISSING ID")</x:f>
        <x:v>Crafting components</x:v>
      </x:c>
      <x:c r="J629" s="4" t="str">
        <x:f>IFERROR(INDEX('Material routes'!$B$6:$B$2205,MATCH(U629,'Material routes'!$A$6:$A$2205,0)),"MISSING ID")</x:f>
        <x:v>design.collection.segmented_commutator_ring</x:v>
      </x:c>
      <x:c r="K629" s="4" t="str">
        <x:f>IFERROR(INDEX('Crafting recipes'!$C$6:$C$1005,MATCH(J629,'Crafting recipes'!$A$6:$A$1005,0)),"MISSING ID")</x:f>
        <x:v>Material refinement</x:v>
      </x:c>
      <x:c r="L629" s="4" t="str">
        <x:f>IFERROR(INDEX('Material routes'!$K$6:$K$2205,MATCH(U629,'Material routes'!$A$6:$A$2205,0)),"MISSING ID")</x:f>
        <x:v>Proposal</x:v>
      </x:c>
      <x:c r="M629" s="4" t="str">
        <x:f>IFERROR(INDEX('Material routes'!$M$6:$M$2205,MATCH(U629,'Material routes'!$A$6:$A$2205,0)),"MISSING ID")</x:f>
        <x:v>Partial proposal</x:v>
      </x:c>
      <x:c r="N629" s="4"/>
      <x:c r="O629" s="4" t="str">
        <x:f>IFERROR(INDEX('Material routes'!$J$6:$J$2205,MATCH(U629,'Material routes'!$A$6:$A$2205,0)),"MISSING ID")</x:f>
        <x:v>Unspecified</x:v>
      </x:c>
      <x:c r="P629" s="4"/>
      <x:c r="Q629" s="4" t="str">
        <x:f>IFERROR(INDEX('Material routes'!$J$6:$J$2205,MATCH(V629,'Material routes'!$A$6:$A$2205,0)),"MISSING ID")</x:f>
        <x:v>Unspecified</x:v>
      </x:c>
      <x:c r="R629" s="4" t="str">
        <x:f>IF(L629="Withheld","Withheld premise",IF(E629="Tool candidate","Reusable prerequisite",IF(K629="Raw entry preparation","Entry-resource preparation",IF(G629="Not applicable",IF(IFERROR(INDEX('Items'!$AI$6:$AI$1005,MATCH(T629,'Items'!$A$6:$A$1005,0)),"MISSING ID")="Finished item","Finished endpoint",IF(IFERROR(INDEX('Items'!$AI$6:$AI$1005,MATCH(T629,'Items'!$A$6:$A$1005,0)),"MISSING ID")="Currency","Currency / no refinement tier","Recovered output / tier not applicable")),IF(OR(IFERROR(INDEX('Crafting recipes'!$H$6:$H$1005,MATCH(J629,'Crafting recipes'!$A$6:$A$1005,0)),"MISSING ID")="Unassigned",G629="Unassigned"),"Tier unresolved",IF(IFERROR(VALUE(RIGHT(G629,1))-VALUE(RIGHT(IFERROR(INDEX('Crafting recipes'!$H$6:$H$1005,MATCH(J629,'Crafting recipes'!$A$6:$A$1005,0)),"MISSING ID"),1)),0)=1,IF(B629=IFERROR(INDEX('Crafting recipes'!$H$6:$H$1005,MATCH(J629,'Crafting recipes'!$A$6:$A$1005,0)),"MISSING ID"),"Advances one material tier","Lower-tier ingredient; route advances one tier"),"Needs tier review"))))))</x:f>
        <x:v>Lower-tier ingredient; route advances one tier</x:v>
      </x:c>
      <x:c r="S629" s="4" t="str">
        <x:f>IFERROR(INDEX('Material routes'!$D$6:$D$2205,MATCH(U629,'Material routes'!$A$6:$A$2205,0)),"MISSING ID")</x:f>
        <x:v>proposal.t1.copper_cake</x:v>
      </x:c>
      <x:c r="T629" s="4" t="str">
        <x:f>IFERROR(INDEX('Material routes'!$D$6:$D$2205,MATCH(V629,'Material routes'!$A$6:$A$2205,0)),"MISSING ID")</x:f>
        <x:v>proposal.collection.segmented_commutator_ring</x:v>
      </x:c>
      <x:c r="U629" s="4" t="str">
        <x:v>design.collection.segmented_commutator_ring.in.1</x:v>
      </x:c>
      <x:c r="V629" s="4" t="str">
        <x:v>design.collection.segmented_commutator_ring.out</x:v>
      </x:c>
    </x:row>
    <x:row r="630" ht="64" customHeight="1">
      <x:c r="A630" s="4" t="str">
        <x:f>IFERROR(INDEX('Material routes'!$E$6:$E$2205,MATCH(U630,'Material routes'!$A$6:$A$2205,0)),"MISSING ID")</x:f>
        <x:v>Ceramic insulating spacer</x:v>
      </x:c>
      <x:c r="B630" s="4" t="str">
        <x:f>IFERROR(INDEX('Material routes'!$F$6:$F$2205,MATCH(U630,'Material routes'!$A$6:$A$2205,0)),"MISSING ID")</x:f>
        <x:v>T3</x:v>
      </x:c>
      <x:c r="C630" s="4" t="str">
        <x:f>IFERROR(INDEX('Material routes'!$H$6:$H$2205,MATCH(U630,'Material routes'!$A$6:$A$2205,0)),"MISSING ID")</x:f>
        <x:v>Crafting component</x:v>
      </x:c>
      <x:c r="D630" s="4" t="str">
        <x:f>IFERROR(INDEX('Material routes'!$G$6:$G$2205,MATCH(U630,'Material routes'!$A$6:$A$2205,0)),"MISSING ID")</x:f>
        <x:v>Crafting components</x:v>
      </x:c>
      <x:c r="E630" s="4" t="str">
        <x:f>IFERROR(INDEX('Material routes'!$C$6:$C$2205,MATCH(U630,'Material routes'!$A$6:$A$2205,0)),"MISSING ID")</x:f>
        <x:v>Ingredient candidate</x:v>
      </x:c>
      <x:c r="F630" s="4" t="str">
        <x:f>IFERROR(INDEX('Material routes'!$E$6:$E$2205,MATCH(V630,'Material routes'!$A$6:$A$2205,0)),"MISSING ID")</x:f>
        <x:v>Segmented commutator ring</x:v>
      </x:c>
      <x:c r="G630" s="4" t="str">
        <x:f>IFERROR(INDEX('Material routes'!$F$6:$F$2205,MATCH(V630,'Material routes'!$A$6:$A$2205,0)),"MISSING ID")</x:f>
        <x:v>T4</x:v>
      </x:c>
      <x:c r="H630" s="4" t="str">
        <x:f>IFERROR(INDEX('Material routes'!$H$6:$H$2205,MATCH(V630,'Material routes'!$A$6:$A$2205,0)),"MISSING ID")</x:f>
        <x:v>Machine part</x:v>
      </x:c>
      <x:c r="I630" s="4" t="str">
        <x:f>IFERROR(INDEX('Material routes'!$G$6:$G$2205,MATCH(V630,'Material routes'!$A$6:$A$2205,0)),"MISSING ID")</x:f>
        <x:v>Crafting components</x:v>
      </x:c>
      <x:c r="J630" s="4" t="str">
        <x:f>IFERROR(INDEX('Material routes'!$B$6:$B$2205,MATCH(U630,'Material routes'!$A$6:$A$2205,0)),"MISSING ID")</x:f>
        <x:v>design.collection.segmented_commutator_ring</x:v>
      </x:c>
      <x:c r="K630" s="4" t="str">
        <x:f>IFERROR(INDEX('Crafting recipes'!$C$6:$C$1005,MATCH(J630,'Crafting recipes'!$A$6:$A$1005,0)),"MISSING ID")</x:f>
        <x:v>Material refinement</x:v>
      </x:c>
      <x:c r="L630" s="4" t="str">
        <x:f>IFERROR(INDEX('Material routes'!$K$6:$K$2205,MATCH(U630,'Material routes'!$A$6:$A$2205,0)),"MISSING ID")</x:f>
        <x:v>Proposal</x:v>
      </x:c>
      <x:c r="M630" s="4" t="str">
        <x:f>IFERROR(INDEX('Material routes'!$M$6:$M$2205,MATCH(U630,'Material routes'!$A$6:$A$2205,0)),"MISSING ID")</x:f>
        <x:v>Partial proposal</x:v>
      </x:c>
      <x:c r="N630" s="4"/>
      <x:c r="O630" s="4" t="str">
        <x:f>IFERROR(INDEX('Material routes'!$J$6:$J$2205,MATCH(U630,'Material routes'!$A$6:$A$2205,0)),"MISSING ID")</x:f>
        <x:v>Unspecified</x:v>
      </x:c>
      <x:c r="P630" s="4"/>
      <x:c r="Q630" s="4" t="str">
        <x:f>IFERROR(INDEX('Material routes'!$J$6:$J$2205,MATCH(V630,'Material routes'!$A$6:$A$2205,0)),"MISSING ID")</x:f>
        <x:v>Unspecified</x:v>
      </x:c>
      <x:c r="R630" s="4" t="str">
        <x:f>IF(L630="Withheld","Withheld premise",IF(E630="Tool candidate","Reusable prerequisite",IF(K630="Raw entry preparation","Entry-resource preparation",IF(G630="Not applicable",IF(IFERROR(INDEX('Items'!$AI$6:$AI$1005,MATCH(T630,'Items'!$A$6:$A$1005,0)),"MISSING ID")="Finished item","Finished endpoint",IF(IFERROR(INDEX('Items'!$AI$6:$AI$1005,MATCH(T630,'Items'!$A$6:$A$1005,0)),"MISSING ID")="Currency","Currency / no refinement tier","Recovered output / tier not applicable")),IF(OR(IFERROR(INDEX('Crafting recipes'!$H$6:$H$1005,MATCH(J630,'Crafting recipes'!$A$6:$A$1005,0)),"MISSING ID")="Unassigned",G630="Unassigned"),"Tier unresolved",IF(IFERROR(VALUE(RIGHT(G630,1))-VALUE(RIGHT(IFERROR(INDEX('Crafting recipes'!$H$6:$H$1005,MATCH(J630,'Crafting recipes'!$A$6:$A$1005,0)),"MISSING ID"),1)),0)=1,IF(B630=IFERROR(INDEX('Crafting recipes'!$H$6:$H$1005,MATCH(J630,'Crafting recipes'!$A$6:$A$1005,0)),"MISSING ID"),"Advances one material tier","Lower-tier ingredient; route advances one tier"),"Needs tier review"))))))</x:f>
        <x:v>Advances one material tier</x:v>
      </x:c>
      <x:c r="S630" s="4" t="str">
        <x:f>IFERROR(INDEX('Material routes'!$D$6:$D$2205,MATCH(U630,'Material routes'!$A$6:$A$2205,0)),"MISSING ID")</x:f>
        <x:v>proposal.ceramic.spacer</x:v>
      </x:c>
      <x:c r="T630" s="4" t="str">
        <x:f>IFERROR(INDEX('Material routes'!$D$6:$D$2205,MATCH(V630,'Material routes'!$A$6:$A$2205,0)),"MISSING ID")</x:f>
        <x:v>proposal.collection.segmented_commutator_ring</x:v>
      </x:c>
      <x:c r="U630" s="4" t="str">
        <x:v>design.collection.segmented_commutator_ring.in.2</x:v>
      </x:c>
      <x:c r="V630" s="4" t="str">
        <x:v>design.collection.segmented_commutator_ring.out</x:v>
      </x:c>
    </x:row>
    <x:row r="631" ht="64" customHeight="1">
      <x:c r="A631" s="4" t="str">
        <x:f>IFERROR(INDEX('Material routes'!$E$6:$E$2205,MATCH(U631,'Material routes'!$A$6:$A$2205,0)),"MISSING ID")</x:f>
        <x:v>Iron-wound core blank</x:v>
      </x:c>
      <x:c r="B631" s="4" t="str">
        <x:f>IFERROR(INDEX('Material routes'!$F$6:$F$2205,MATCH(U631,'Material routes'!$A$6:$A$2205,0)),"MISSING ID")</x:f>
        <x:v>T3</x:v>
      </x:c>
      <x:c r="C631" s="4" t="str">
        <x:f>IFERROR(INDEX('Material routes'!$H$6:$H$2205,MATCH(U631,'Material routes'!$A$6:$A$2205,0)),"MISSING ID")</x:f>
        <x:v>Crafting component</x:v>
      </x:c>
      <x:c r="D631" s="4" t="str">
        <x:f>IFERROR(INDEX('Material routes'!$G$6:$G$2205,MATCH(U631,'Material routes'!$A$6:$A$2205,0)),"MISSING ID")</x:f>
        <x:v>Crafting components</x:v>
      </x:c>
      <x:c r="E631" s="4" t="str">
        <x:f>IFERROR(INDEX('Material routes'!$C$6:$C$2205,MATCH(U631,'Material routes'!$A$6:$A$2205,0)),"MISSING ID")</x:f>
        <x:v>Ingredient candidate</x:v>
      </x:c>
      <x:c r="F631" s="4" t="str">
        <x:f>IFERROR(INDEX('Material routes'!$E$6:$E$2205,MATCH(V631,'Material routes'!$A$6:$A$2205,0)),"MISSING ID")</x:f>
        <x:v>Iron-wound relay core</x:v>
      </x:c>
      <x:c r="G631" s="4" t="str">
        <x:f>IFERROR(INDEX('Material routes'!$F$6:$F$2205,MATCH(V631,'Material routes'!$A$6:$A$2205,0)),"MISSING ID")</x:f>
        <x:v>T4</x:v>
      </x:c>
      <x:c r="H631" s="4" t="str">
        <x:f>IFERROR(INDEX('Material routes'!$H$6:$H$2205,MATCH(V631,'Material routes'!$A$6:$A$2205,0)),"MISSING ID")</x:f>
        <x:v>Machine part</x:v>
      </x:c>
      <x:c r="I631" s="4" t="str">
        <x:f>IFERROR(INDEX('Material routes'!$G$6:$G$2205,MATCH(V631,'Material routes'!$A$6:$A$2205,0)),"MISSING ID")</x:f>
        <x:v>Crafting components</x:v>
      </x:c>
      <x:c r="J631" s="4" t="str">
        <x:f>IFERROR(INDEX('Material routes'!$B$6:$B$2205,MATCH(U631,'Material routes'!$A$6:$A$2205,0)),"MISSING ID")</x:f>
        <x:v>design.collection.iron_wound_relay_core</x:v>
      </x:c>
      <x:c r="K631" s="4" t="str">
        <x:f>IFERROR(INDEX('Crafting recipes'!$C$6:$C$1005,MATCH(J631,'Crafting recipes'!$A$6:$A$1005,0)),"MISSING ID")</x:f>
        <x:v>Material refinement</x:v>
      </x:c>
      <x:c r="L631" s="4" t="str">
        <x:f>IFERROR(INDEX('Material routes'!$K$6:$K$2205,MATCH(U631,'Material routes'!$A$6:$A$2205,0)),"MISSING ID")</x:f>
        <x:v>Proposal</x:v>
      </x:c>
      <x:c r="M631" s="4" t="str">
        <x:f>IFERROR(INDEX('Material routes'!$M$6:$M$2205,MATCH(U631,'Material routes'!$A$6:$A$2205,0)),"MISSING ID")</x:f>
        <x:v>Partial proposal</x:v>
      </x:c>
      <x:c r="N631" s="4"/>
      <x:c r="O631" s="4" t="str">
        <x:f>IFERROR(INDEX('Material routes'!$J$6:$J$2205,MATCH(U631,'Material routes'!$A$6:$A$2205,0)),"MISSING ID")</x:f>
        <x:v>Unspecified</x:v>
      </x:c>
      <x:c r="P631" s="4"/>
      <x:c r="Q631" s="4" t="str">
        <x:f>IFERROR(INDEX('Material routes'!$J$6:$J$2205,MATCH(V631,'Material routes'!$A$6:$A$2205,0)),"MISSING ID")</x:f>
        <x:v>Unspecified</x:v>
      </x:c>
      <x:c r="R631" s="4" t="str">
        <x:f>IF(L631="Withheld","Withheld premise",IF(E631="Tool candidate","Reusable prerequisite",IF(K631="Raw entry preparation","Entry-resource preparation",IF(G631="Not applicable",IF(IFERROR(INDEX('Items'!$AI$6:$AI$1005,MATCH(T631,'Items'!$A$6:$A$1005,0)),"MISSING ID")="Finished item","Finished endpoint",IF(IFERROR(INDEX('Items'!$AI$6:$AI$1005,MATCH(T631,'Items'!$A$6:$A$1005,0)),"MISSING ID")="Currency","Currency / no refinement tier","Recovered output / tier not applicable")),IF(OR(IFERROR(INDEX('Crafting recipes'!$H$6:$H$1005,MATCH(J631,'Crafting recipes'!$A$6:$A$1005,0)),"MISSING ID")="Unassigned",G631="Unassigned"),"Tier unresolved",IF(IFERROR(VALUE(RIGHT(G631,1))-VALUE(RIGHT(IFERROR(INDEX('Crafting recipes'!$H$6:$H$1005,MATCH(J631,'Crafting recipes'!$A$6:$A$1005,0)),"MISSING ID"),1)),0)=1,IF(B631=IFERROR(INDEX('Crafting recipes'!$H$6:$H$1005,MATCH(J631,'Crafting recipes'!$A$6:$A$1005,0)),"MISSING ID"),"Advances one material tier","Lower-tier ingredient; route advances one tier"),"Needs tier review"))))))</x:f>
        <x:v>Advances one material tier</x:v>
      </x:c>
      <x:c r="S631" s="4" t="str">
        <x:f>IFERROR(INDEX('Material routes'!$D$6:$D$2205,MATCH(U631,'Material routes'!$A$6:$A$2205,0)),"MISSING ID")</x:f>
        <x:v>proposal.lore.iron_winding</x:v>
      </x:c>
      <x:c r="T631" s="4" t="str">
        <x:f>IFERROR(INDEX('Material routes'!$D$6:$D$2205,MATCH(V631,'Material routes'!$A$6:$A$2205,0)),"MISSING ID")</x:f>
        <x:v>proposal.collection.iron_wound_relay_core</x:v>
      </x:c>
      <x:c r="U631" s="4" t="str">
        <x:v>design.collection.iron_wound_relay_core.in.1</x:v>
      </x:c>
      <x:c r="V631" s="4" t="str">
        <x:v>design.collection.iron_wound_relay_core.out</x:v>
      </x:c>
    </x:row>
    <x:row r="632" ht="64" customHeight="1">
      <x:c r="A632" s="4" t="str">
        <x:f>IFERROR(INDEX('Material routes'!$E$6:$E$2205,MATCH(U632,'Material routes'!$A$6:$A$2205,0)),"MISSING ID")</x:f>
        <x:v>Sized mica viewing sheet</x:v>
      </x:c>
      <x:c r="B632" s="4" t="str">
        <x:f>IFERROR(INDEX('Material routes'!$F$6:$F$2205,MATCH(U632,'Material routes'!$A$6:$A$2205,0)),"MISSING ID")</x:f>
        <x:v>T1</x:v>
      </x:c>
      <x:c r="C632" s="4" t="str">
        <x:f>IFERROR(INDEX('Material routes'!$H$6:$H$2205,MATCH(U632,'Material routes'!$A$6:$A$2205,0)),"MISSING ID")</x:f>
        <x:v>Processed material</x:v>
      </x:c>
      <x:c r="D632" s="4" t="str">
        <x:f>IFERROR(INDEX('Material routes'!$G$6:$G$2205,MATCH(U632,'Material routes'!$A$6:$A$2205,0)),"MISSING ID")</x:f>
        <x:v>Manufactured stock</x:v>
      </x:c>
      <x:c r="E632" s="4" t="str">
        <x:f>IFERROR(INDEX('Material routes'!$C$6:$C$2205,MATCH(U632,'Material routes'!$A$6:$A$2205,0)),"MISSING ID")</x:f>
        <x:v>Ingredient candidate</x:v>
      </x:c>
      <x:c r="F632" s="4" t="str">
        <x:f>IFERROR(INDEX('Material routes'!$E$6:$E$2205,MATCH(V632,'Material routes'!$A$6:$A$2205,0)),"MISSING ID")</x:f>
        <x:v>Mica-separated terminal strip</x:v>
      </x:c>
      <x:c r="G632" s="4" t="str">
        <x:f>IFERROR(INDEX('Material routes'!$F$6:$F$2205,MATCH(V632,'Material routes'!$A$6:$A$2205,0)),"MISSING ID")</x:f>
        <x:v>T4</x:v>
      </x:c>
      <x:c r="H632" s="4" t="str">
        <x:f>IFERROR(INDEX('Material routes'!$H$6:$H$2205,MATCH(V632,'Material routes'!$A$6:$A$2205,0)),"MISSING ID")</x:f>
        <x:v>Machine part</x:v>
      </x:c>
      <x:c r="I632" s="4" t="str">
        <x:f>IFERROR(INDEX('Material routes'!$G$6:$G$2205,MATCH(V632,'Material routes'!$A$6:$A$2205,0)),"MISSING ID")</x:f>
        <x:v>Crafting components</x:v>
      </x:c>
      <x:c r="J632" s="4" t="str">
        <x:f>IFERROR(INDEX('Material routes'!$B$6:$B$2205,MATCH(U632,'Material routes'!$A$6:$A$2205,0)),"MISSING ID")</x:f>
        <x:v>design.collection.mica_separated_terminal_strip</x:v>
      </x:c>
      <x:c r="K632" s="4" t="str">
        <x:f>IFERROR(INDEX('Crafting recipes'!$C$6:$C$1005,MATCH(J632,'Crafting recipes'!$A$6:$A$1005,0)),"MISSING ID")</x:f>
        <x:v>Material refinement</x:v>
      </x:c>
      <x:c r="L632" s="4" t="str">
        <x:f>IFERROR(INDEX('Material routes'!$K$6:$K$2205,MATCH(U632,'Material routes'!$A$6:$A$2205,0)),"MISSING ID")</x:f>
        <x:v>Proposal</x:v>
      </x:c>
      <x:c r="M632" s="4" t="str">
        <x:f>IFERROR(INDEX('Material routes'!$M$6:$M$2205,MATCH(U632,'Material routes'!$A$6:$A$2205,0)),"MISSING ID")</x:f>
        <x:v>Partial proposal</x:v>
      </x:c>
      <x:c r="N632" s="4"/>
      <x:c r="O632" s="4" t="str">
        <x:f>IFERROR(INDEX('Material routes'!$J$6:$J$2205,MATCH(U632,'Material routes'!$A$6:$A$2205,0)),"MISSING ID")</x:f>
        <x:v>Unspecified</x:v>
      </x:c>
      <x:c r="P632" s="4"/>
      <x:c r="Q632" s="4" t="str">
        <x:f>IFERROR(INDEX('Material routes'!$J$6:$J$2205,MATCH(V632,'Material routes'!$A$6:$A$2205,0)),"MISSING ID")</x:f>
        <x:v>Unspecified</x:v>
      </x:c>
      <x:c r="R632" s="4" t="str">
        <x:f>IF(L632="Withheld","Withheld premise",IF(E632="Tool candidate","Reusable prerequisite",IF(K632="Raw entry preparation","Entry-resource preparation",IF(G632="Not applicable",IF(IFERROR(INDEX('Items'!$AI$6:$AI$1005,MATCH(T632,'Items'!$A$6:$A$1005,0)),"MISSING ID")="Finished item","Finished endpoint",IF(IFERROR(INDEX('Items'!$AI$6:$AI$1005,MATCH(T632,'Items'!$A$6:$A$1005,0)),"MISSING ID")="Currency","Currency / no refinement tier","Recovered output / tier not applicable")),IF(OR(IFERROR(INDEX('Crafting recipes'!$H$6:$H$1005,MATCH(J632,'Crafting recipes'!$A$6:$A$1005,0)),"MISSING ID")="Unassigned",G632="Unassigned"),"Tier unresolved",IF(IFERROR(VALUE(RIGHT(G632,1))-VALUE(RIGHT(IFERROR(INDEX('Crafting recipes'!$H$6:$H$1005,MATCH(J632,'Crafting recipes'!$A$6:$A$1005,0)),"MISSING ID"),1)),0)=1,IF(B632=IFERROR(INDEX('Crafting recipes'!$H$6:$H$1005,MATCH(J632,'Crafting recipes'!$A$6:$A$1005,0)),"MISSING ID"),"Advances one material tier","Lower-tier ingredient; route advances one tier"),"Needs tier review"))))))</x:f>
        <x:v>Lower-tier ingredient; route advances one tier</x:v>
      </x:c>
      <x:c r="S632" s="4" t="str">
        <x:f>IFERROR(INDEX('Material routes'!$D$6:$D$2205,MATCH(U632,'Material routes'!$A$6:$A$2205,0)),"MISSING ID")</x:f>
        <x:v>proposal.t1.mica_window</x:v>
      </x:c>
      <x:c r="T632" s="4" t="str">
        <x:f>IFERROR(INDEX('Material routes'!$D$6:$D$2205,MATCH(V632,'Material routes'!$A$6:$A$2205,0)),"MISSING ID")</x:f>
        <x:v>proposal.collection.mica_separated_terminal_strip</x:v>
      </x:c>
      <x:c r="U632" s="4" t="str">
        <x:v>design.collection.mica_separated_terminal_strip.in.1</x:v>
      </x:c>
      <x:c r="V632" s="4" t="str">
        <x:v>design.collection.mica_separated_terminal_strip.out</x:v>
      </x:c>
    </x:row>
    <x:row r="633" ht="64" customHeight="1">
      <x:c r="A633" s="4" t="str">
        <x:f>IFERROR(INDEX('Material routes'!$E$6:$E$2205,MATCH(U633,'Material routes'!$A$6:$A$2205,0)),"MISSING ID")</x:f>
        <x:v>Annealed iron sheet stock</x:v>
      </x:c>
      <x:c r="B633" s="4" t="str">
        <x:f>IFERROR(INDEX('Material routes'!$F$6:$F$2205,MATCH(U633,'Material routes'!$A$6:$A$2205,0)),"MISSING ID")</x:f>
        <x:v>T3</x:v>
      </x:c>
      <x:c r="C633" s="4" t="str">
        <x:f>IFERROR(INDEX('Material routes'!$H$6:$H$2205,MATCH(U633,'Material routes'!$A$6:$A$2205,0)),"MISSING ID")</x:f>
        <x:v>Processed material</x:v>
      </x:c>
      <x:c r="D633" s="4" t="str">
        <x:f>IFERROR(INDEX('Material routes'!$G$6:$G$2205,MATCH(U633,'Material routes'!$A$6:$A$2205,0)),"MISSING ID")</x:f>
        <x:v>Manufactured stock</x:v>
      </x:c>
      <x:c r="E633" s="4" t="str">
        <x:f>IFERROR(INDEX('Material routes'!$C$6:$C$2205,MATCH(U633,'Material routes'!$A$6:$A$2205,0)),"MISSING ID")</x:f>
        <x:v>Ingredient candidate</x:v>
      </x:c>
      <x:c r="F633" s="4" t="str">
        <x:f>IFERROR(INDEX('Material routes'!$E$6:$E$2205,MATCH(V633,'Material routes'!$A$6:$A$2205,0)),"MISSING ID")</x:f>
        <x:v>Mica-separated terminal strip</x:v>
      </x:c>
      <x:c r="G633" s="4" t="str">
        <x:f>IFERROR(INDEX('Material routes'!$F$6:$F$2205,MATCH(V633,'Material routes'!$A$6:$A$2205,0)),"MISSING ID")</x:f>
        <x:v>T4</x:v>
      </x:c>
      <x:c r="H633" s="4" t="str">
        <x:f>IFERROR(INDEX('Material routes'!$H$6:$H$2205,MATCH(V633,'Material routes'!$A$6:$A$2205,0)),"MISSING ID")</x:f>
        <x:v>Machine part</x:v>
      </x:c>
      <x:c r="I633" s="4" t="str">
        <x:f>IFERROR(INDEX('Material routes'!$G$6:$G$2205,MATCH(V633,'Material routes'!$A$6:$A$2205,0)),"MISSING ID")</x:f>
        <x:v>Crafting components</x:v>
      </x:c>
      <x:c r="J633" s="4" t="str">
        <x:f>IFERROR(INDEX('Material routes'!$B$6:$B$2205,MATCH(U633,'Material routes'!$A$6:$A$2205,0)),"MISSING ID")</x:f>
        <x:v>design.collection.mica_separated_terminal_strip</x:v>
      </x:c>
      <x:c r="K633" s="4" t="str">
        <x:f>IFERROR(INDEX('Crafting recipes'!$C$6:$C$1005,MATCH(J633,'Crafting recipes'!$A$6:$A$1005,0)),"MISSING ID")</x:f>
        <x:v>Material refinement</x:v>
      </x:c>
      <x:c r="L633" s="4" t="str">
        <x:f>IFERROR(INDEX('Material routes'!$K$6:$K$2205,MATCH(U633,'Material routes'!$A$6:$A$2205,0)),"MISSING ID")</x:f>
        <x:v>Proposal</x:v>
      </x:c>
      <x:c r="M633" s="4" t="str">
        <x:f>IFERROR(INDEX('Material routes'!$M$6:$M$2205,MATCH(U633,'Material routes'!$A$6:$A$2205,0)),"MISSING ID")</x:f>
        <x:v>Partial proposal</x:v>
      </x:c>
      <x:c r="N633" s="4"/>
      <x:c r="O633" s="4" t="str">
        <x:f>IFERROR(INDEX('Material routes'!$J$6:$J$2205,MATCH(U633,'Material routes'!$A$6:$A$2205,0)),"MISSING ID")</x:f>
        <x:v>Unspecified</x:v>
      </x:c>
      <x:c r="P633" s="4"/>
      <x:c r="Q633" s="4" t="str">
        <x:f>IFERROR(INDEX('Material routes'!$J$6:$J$2205,MATCH(V633,'Material routes'!$A$6:$A$2205,0)),"MISSING ID")</x:f>
        <x:v>Unspecified</x:v>
      </x:c>
      <x:c r="R633" s="4" t="str">
        <x:f>IF(L633="Withheld","Withheld premise",IF(E633="Tool candidate","Reusable prerequisite",IF(K633="Raw entry preparation","Entry-resource preparation",IF(G633="Not applicable",IF(IFERROR(INDEX('Items'!$AI$6:$AI$1005,MATCH(T633,'Items'!$A$6:$A$1005,0)),"MISSING ID")="Finished item","Finished endpoint",IF(IFERROR(INDEX('Items'!$AI$6:$AI$1005,MATCH(T633,'Items'!$A$6:$A$1005,0)),"MISSING ID")="Currency","Currency / no refinement tier","Recovered output / tier not applicable")),IF(OR(IFERROR(INDEX('Crafting recipes'!$H$6:$H$1005,MATCH(J633,'Crafting recipes'!$A$6:$A$1005,0)),"MISSING ID")="Unassigned",G633="Unassigned"),"Tier unresolved",IF(IFERROR(VALUE(RIGHT(G633,1))-VALUE(RIGHT(IFERROR(INDEX('Crafting recipes'!$H$6:$H$1005,MATCH(J633,'Crafting recipes'!$A$6:$A$1005,0)),"MISSING ID"),1)),0)=1,IF(B633=IFERROR(INDEX('Crafting recipes'!$H$6:$H$1005,MATCH(J633,'Crafting recipes'!$A$6:$A$1005,0)),"MISSING ID"),"Advances one material tier","Lower-tier ingredient; route advances one tier"),"Needs tier review"))))))</x:f>
        <x:v>Advances one material tier</x:v>
      </x:c>
      <x:c r="S633" s="4" t="str">
        <x:f>IFERROR(INDEX('Material routes'!$D$6:$D$2205,MATCH(U633,'Material routes'!$A$6:$A$2205,0)),"MISSING ID")</x:f>
        <x:v>proposal.collection.annealed_iron_sheet_stock</x:v>
      </x:c>
      <x:c r="T633" s="4" t="str">
        <x:f>IFERROR(INDEX('Material routes'!$D$6:$D$2205,MATCH(V633,'Material routes'!$A$6:$A$2205,0)),"MISSING ID")</x:f>
        <x:v>proposal.collection.mica_separated_terminal_strip</x:v>
      </x:c>
      <x:c r="U633" s="4" t="str">
        <x:v>design.collection.mica_separated_terminal_strip.in.2</x:v>
      </x:c>
      <x:c r="V633" s="4" t="str">
        <x:v>design.collection.mica_separated_terminal_strip.out</x:v>
      </x:c>
    </x:row>
    <x:row r="634" ht="64" customHeight="1">
      <x:c r="A634" s="4" t="str">
        <x:f>IFERROR(INDEX('Material routes'!$E$6:$E$2205,MATCH(U634,'Material routes'!$A$6:$A$2205,0)),"MISSING ID")</x:f>
        <x:v>Refractory ceramic stock</x:v>
      </x:c>
      <x:c r="B634" s="4" t="str">
        <x:f>IFERROR(INDEX('Material routes'!$F$6:$F$2205,MATCH(U634,'Material routes'!$A$6:$A$2205,0)),"MISSING ID")</x:f>
        <x:v>T2</x:v>
      </x:c>
      <x:c r="C634" s="4" t="str">
        <x:f>IFERROR(INDEX('Material routes'!$H$6:$H$2205,MATCH(U634,'Material routes'!$A$6:$A$2205,0)),"MISSING ID")</x:f>
        <x:v>Processed material</x:v>
      </x:c>
      <x:c r="D634" s="4" t="str">
        <x:f>IFERROR(INDEX('Material routes'!$G$6:$G$2205,MATCH(U634,'Material routes'!$A$6:$A$2205,0)),"MISSING ID")</x:f>
        <x:v>Manufactured stock</x:v>
      </x:c>
      <x:c r="E634" s="4" t="str">
        <x:f>IFERROR(INDEX('Material routes'!$C$6:$C$2205,MATCH(U634,'Material routes'!$A$6:$A$2205,0)),"MISSING ID")</x:f>
        <x:v>Ingredient candidate</x:v>
      </x:c>
      <x:c r="F634" s="4" t="str">
        <x:f>IFERROR(INDEX('Material routes'!$E$6:$E$2205,MATCH(V634,'Material routes'!$A$6:$A$2205,0)),"MISSING ID")</x:f>
        <x:v>Ceramic wire-routing comb</x:v>
      </x:c>
      <x:c r="G634" s="4" t="str">
        <x:f>IFERROR(INDEX('Material routes'!$F$6:$F$2205,MATCH(V634,'Material routes'!$A$6:$A$2205,0)),"MISSING ID")</x:f>
        <x:v>T3</x:v>
      </x:c>
      <x:c r="H634" s="4" t="str">
        <x:f>IFERROR(INDEX('Material routes'!$H$6:$H$2205,MATCH(V634,'Material routes'!$A$6:$A$2205,0)),"MISSING ID")</x:f>
        <x:v>Machine part</x:v>
      </x:c>
      <x:c r="I634" s="4" t="str">
        <x:f>IFERROR(INDEX('Material routes'!$G$6:$G$2205,MATCH(V634,'Material routes'!$A$6:$A$2205,0)),"MISSING ID")</x:f>
        <x:v>Crafting components</x:v>
      </x:c>
      <x:c r="J634" s="4" t="str">
        <x:f>IFERROR(INDEX('Material routes'!$B$6:$B$2205,MATCH(U634,'Material routes'!$A$6:$A$2205,0)),"MISSING ID")</x:f>
        <x:v>design.collection.ceramic_wire_routing_comb</x:v>
      </x:c>
      <x:c r="K634" s="4" t="str">
        <x:f>IFERROR(INDEX('Crafting recipes'!$C$6:$C$1005,MATCH(J634,'Crafting recipes'!$A$6:$A$1005,0)),"MISSING ID")</x:f>
        <x:v>Material refinement</x:v>
      </x:c>
      <x:c r="L634" s="4" t="str">
        <x:f>IFERROR(INDEX('Material routes'!$K$6:$K$2205,MATCH(U634,'Material routes'!$A$6:$A$2205,0)),"MISSING ID")</x:f>
        <x:v>Proposal</x:v>
      </x:c>
      <x:c r="M634" s="4" t="str">
        <x:f>IFERROR(INDEX('Material routes'!$M$6:$M$2205,MATCH(U634,'Material routes'!$A$6:$A$2205,0)),"MISSING ID")</x:f>
        <x:v>Partial proposal</x:v>
      </x:c>
      <x:c r="N634" s="4"/>
      <x:c r="O634" s="4" t="str">
        <x:f>IFERROR(INDEX('Material routes'!$J$6:$J$2205,MATCH(U634,'Material routes'!$A$6:$A$2205,0)),"MISSING ID")</x:f>
        <x:v>Unspecified</x:v>
      </x:c>
      <x:c r="P634" s="4"/>
      <x:c r="Q634" s="4" t="str">
        <x:f>IFERROR(INDEX('Material routes'!$J$6:$J$2205,MATCH(V634,'Material routes'!$A$6:$A$2205,0)),"MISSING ID")</x:f>
        <x:v>Unspecified</x:v>
      </x:c>
      <x:c r="R634" s="4" t="str">
        <x:f>IF(L634="Withheld","Withheld premise",IF(E634="Tool candidate","Reusable prerequisite",IF(K634="Raw entry preparation","Entry-resource preparation",IF(G634="Not applicable",IF(IFERROR(INDEX('Items'!$AI$6:$AI$1005,MATCH(T634,'Items'!$A$6:$A$1005,0)),"MISSING ID")="Finished item","Finished endpoint",IF(IFERROR(INDEX('Items'!$AI$6:$AI$1005,MATCH(T634,'Items'!$A$6:$A$1005,0)),"MISSING ID")="Currency","Currency / no refinement tier","Recovered output / tier not applicable")),IF(OR(IFERROR(INDEX('Crafting recipes'!$H$6:$H$1005,MATCH(J634,'Crafting recipes'!$A$6:$A$1005,0)),"MISSING ID")="Unassigned",G634="Unassigned"),"Tier unresolved",IF(IFERROR(VALUE(RIGHT(G634,1))-VALUE(RIGHT(IFERROR(INDEX('Crafting recipes'!$H$6:$H$1005,MATCH(J634,'Crafting recipes'!$A$6:$A$1005,0)),"MISSING ID"),1)),0)=1,IF(B634=IFERROR(INDEX('Crafting recipes'!$H$6:$H$1005,MATCH(J634,'Crafting recipes'!$A$6:$A$1005,0)),"MISSING ID"),"Advances one material tier","Lower-tier ingredient; route advances one tier"),"Needs tier review"))))))</x:f>
        <x:v>Advances one material tier</x:v>
      </x:c>
      <x:c r="S634" s="4" t="str">
        <x:f>IFERROR(INDEX('Material routes'!$D$6:$D$2205,MATCH(U634,'Material routes'!$A$6:$A$2205,0)),"MISSING ID")</x:f>
        <x:v>proposal.branch.refractory_ceramic</x:v>
      </x:c>
      <x:c r="T634" s="4" t="str">
        <x:f>IFERROR(INDEX('Material routes'!$D$6:$D$2205,MATCH(V634,'Material routes'!$A$6:$A$2205,0)),"MISSING ID")</x:f>
        <x:v>proposal.collection.ceramic_wire_routing_comb</x:v>
      </x:c>
      <x:c r="U634" s="4" t="str">
        <x:v>design.collection.ceramic_wire_routing_comb.in.1</x:v>
      </x:c>
      <x:c r="V634" s="4" t="str">
        <x:v>design.collection.ceramic_wire_routing_comb.out</x:v>
      </x:c>
    </x:row>
    <x:row r="635" ht="64" customHeight="1">
      <x:c r="A635" s="4" t="str">
        <x:f>IFERROR(INDEX('Material routes'!$E$6:$E$2205,MATCH(U635,'Material routes'!$A$6:$A$2205,0)),"MISSING ID")</x:f>
        <x:v>Drawn iron conductor stock</x:v>
      </x:c>
      <x:c r="B635" s="4" t="str">
        <x:f>IFERROR(INDEX('Material routes'!$F$6:$F$2205,MATCH(U635,'Material routes'!$A$6:$A$2205,0)),"MISSING ID")</x:f>
        <x:v>T2</x:v>
      </x:c>
      <x:c r="C635" s="4" t="str">
        <x:f>IFERROR(INDEX('Material routes'!$H$6:$H$2205,MATCH(U635,'Material routes'!$A$6:$A$2205,0)),"MISSING ID")</x:f>
        <x:v>Processed material</x:v>
      </x:c>
      <x:c r="D635" s="4" t="str">
        <x:f>IFERROR(INDEX('Material routes'!$G$6:$G$2205,MATCH(U635,'Material routes'!$A$6:$A$2205,0)),"MISSING ID")</x:f>
        <x:v>Manufactured stock</x:v>
      </x:c>
      <x:c r="E635" s="4" t="str">
        <x:f>IFERROR(INDEX('Material routes'!$C$6:$C$2205,MATCH(U635,'Material routes'!$A$6:$A$2205,0)),"MISSING ID")</x:f>
        <x:v>Ingredient candidate</x:v>
      </x:c>
      <x:c r="F635" s="4" t="str">
        <x:f>IFERROR(INDEX('Material routes'!$E$6:$E$2205,MATCH(V635,'Material routes'!$A$6:$A$2205,0)),"MISSING ID")</x:f>
        <x:v>Braided iron signal lead</x:v>
      </x:c>
      <x:c r="G635" s="4" t="str">
        <x:f>IFERROR(INDEX('Material routes'!$F$6:$F$2205,MATCH(V635,'Material routes'!$A$6:$A$2205,0)),"MISSING ID")</x:f>
        <x:v>T3</x:v>
      </x:c>
      <x:c r="H635" s="4" t="str">
        <x:f>IFERROR(INDEX('Material routes'!$H$6:$H$2205,MATCH(V635,'Material routes'!$A$6:$A$2205,0)),"MISSING ID")</x:f>
        <x:v>Machine part</x:v>
      </x:c>
      <x:c r="I635" s="4" t="str">
        <x:f>IFERROR(INDEX('Material routes'!$G$6:$G$2205,MATCH(V635,'Material routes'!$A$6:$A$2205,0)),"MISSING ID")</x:f>
        <x:v>Crafting components</x:v>
      </x:c>
      <x:c r="J635" s="4" t="str">
        <x:f>IFERROR(INDEX('Material routes'!$B$6:$B$2205,MATCH(U635,'Material routes'!$A$6:$A$2205,0)),"MISSING ID")</x:f>
        <x:v>design.collection.braided_iron_signal_lead</x:v>
      </x:c>
      <x:c r="K635" s="4" t="str">
        <x:f>IFERROR(INDEX('Crafting recipes'!$C$6:$C$1005,MATCH(J635,'Crafting recipes'!$A$6:$A$1005,0)),"MISSING ID")</x:f>
        <x:v>Material refinement</x:v>
      </x:c>
      <x:c r="L635" s="4" t="str">
        <x:f>IFERROR(INDEX('Material routes'!$K$6:$K$2205,MATCH(U635,'Material routes'!$A$6:$A$2205,0)),"MISSING ID")</x:f>
        <x:v>Proposal</x:v>
      </x:c>
      <x:c r="M635" s="4" t="str">
        <x:f>IFERROR(INDEX('Material routes'!$M$6:$M$2205,MATCH(U635,'Material routes'!$A$6:$A$2205,0)),"MISSING ID")</x:f>
        <x:v>Partial proposal</x:v>
      </x:c>
      <x:c r="N635" s="4"/>
      <x:c r="O635" s="4" t="str">
        <x:f>IFERROR(INDEX('Material routes'!$J$6:$J$2205,MATCH(U635,'Material routes'!$A$6:$A$2205,0)),"MISSING ID")</x:f>
        <x:v>Unspecified</x:v>
      </x:c>
      <x:c r="P635" s="4"/>
      <x:c r="Q635" s="4" t="str">
        <x:f>IFERROR(INDEX('Material routes'!$J$6:$J$2205,MATCH(V635,'Material routes'!$A$6:$A$2205,0)),"MISSING ID")</x:f>
        <x:v>Unspecified</x:v>
      </x:c>
      <x:c r="R635" s="4" t="str">
        <x:f>IF(L635="Withheld","Withheld premise",IF(E635="Tool candidate","Reusable prerequisite",IF(K635="Raw entry preparation","Entry-resource preparation",IF(G635="Not applicable",IF(IFERROR(INDEX('Items'!$AI$6:$AI$1005,MATCH(T635,'Items'!$A$6:$A$1005,0)),"MISSING ID")="Finished item","Finished endpoint",IF(IFERROR(INDEX('Items'!$AI$6:$AI$1005,MATCH(T635,'Items'!$A$6:$A$1005,0)),"MISSING ID")="Currency","Currency / no refinement tier","Recovered output / tier not applicable")),IF(OR(IFERROR(INDEX('Crafting recipes'!$H$6:$H$1005,MATCH(J635,'Crafting recipes'!$A$6:$A$1005,0)),"MISSING ID")="Unassigned",G635="Unassigned"),"Tier unresolved",IF(IFERROR(VALUE(RIGHT(G635,1))-VALUE(RIGHT(IFERROR(INDEX('Crafting recipes'!$H$6:$H$1005,MATCH(J635,'Crafting recipes'!$A$6:$A$1005,0)),"MISSING ID"),1)),0)=1,IF(B635=IFERROR(INDEX('Crafting recipes'!$H$6:$H$1005,MATCH(J635,'Crafting recipes'!$A$6:$A$1005,0)),"MISSING ID"),"Advances one material tier","Lower-tier ingredient; route advances one tier"),"Needs tier review"))))))</x:f>
        <x:v>Advances one material tier</x:v>
      </x:c>
      <x:c r="S635" s="4" t="str">
        <x:f>IFERROR(INDEX('Material routes'!$D$6:$D$2205,MATCH(U635,'Material routes'!$A$6:$A$2205,0)),"MISSING ID")</x:f>
        <x:v>proposal.lore.iron_conductor</x:v>
      </x:c>
      <x:c r="T635" s="4" t="str">
        <x:f>IFERROR(INDEX('Material routes'!$D$6:$D$2205,MATCH(V635,'Material routes'!$A$6:$A$2205,0)),"MISSING ID")</x:f>
        <x:v>proposal.collection.braided_iron_signal_lead</x:v>
      </x:c>
      <x:c r="U635" s="4" t="str">
        <x:v>design.collection.braided_iron_signal_lead.in.1</x:v>
      </x:c>
      <x:c r="V635" s="4" t="str">
        <x:v>design.collection.braided_iron_signal_lead.out</x:v>
      </x:c>
    </x:row>
    <x:row r="636" ht="64" customHeight="1">
      <x:c r="A636" s="4" t="str">
        <x:f>IFERROR(INDEX('Material routes'!$E$6:$E$2205,MATCH(U636,'Material routes'!$A$6:$A$2205,0)),"MISSING ID")</x:f>
        <x:v>Drawn copper stock</x:v>
      </x:c>
      <x:c r="B636" s="4" t="str">
        <x:f>IFERROR(INDEX('Material routes'!$F$6:$F$2205,MATCH(U636,'Material routes'!$A$6:$A$2205,0)),"MISSING ID")</x:f>
        <x:v>T2</x:v>
      </x:c>
      <x:c r="C636" s="4" t="str">
        <x:f>IFERROR(INDEX('Material routes'!$H$6:$H$2205,MATCH(U636,'Material routes'!$A$6:$A$2205,0)),"MISSING ID")</x:f>
        <x:v>Processed material</x:v>
      </x:c>
      <x:c r="D636" s="4" t="str">
        <x:f>IFERROR(INDEX('Material routes'!$G$6:$G$2205,MATCH(U636,'Material routes'!$A$6:$A$2205,0)),"MISSING ID")</x:f>
        <x:v>Manufactured stock</x:v>
      </x:c>
      <x:c r="E636" s="4" t="str">
        <x:f>IFERROR(INDEX('Material routes'!$C$6:$C$2205,MATCH(U636,'Material routes'!$A$6:$A$2205,0)),"MISSING ID")</x:f>
        <x:v>Ingredient candidate</x:v>
      </x:c>
      <x:c r="F636" s="4" t="str">
        <x:f>IFERROR(INDEX('Material routes'!$E$6:$E$2205,MATCH(V636,'Material routes'!$A$6:$A$2205,0)),"MISSING ID")</x:f>
        <x:v>Flexible copper service jumper</x:v>
      </x:c>
      <x:c r="G636" s="4" t="str">
        <x:f>IFERROR(INDEX('Material routes'!$F$6:$F$2205,MATCH(V636,'Material routes'!$A$6:$A$2205,0)),"MISSING ID")</x:f>
        <x:v>T4</x:v>
      </x:c>
      <x:c r="H636" s="4" t="str">
        <x:f>IFERROR(INDEX('Material routes'!$H$6:$H$2205,MATCH(V636,'Material routes'!$A$6:$A$2205,0)),"MISSING ID")</x:f>
        <x:v>Machine part</x:v>
      </x:c>
      <x:c r="I636" s="4" t="str">
        <x:f>IFERROR(INDEX('Material routes'!$G$6:$G$2205,MATCH(V636,'Material routes'!$A$6:$A$2205,0)),"MISSING ID")</x:f>
        <x:v>Crafting components</x:v>
      </x:c>
      <x:c r="J636" s="4" t="str">
        <x:f>IFERROR(INDEX('Material routes'!$B$6:$B$2205,MATCH(U636,'Material routes'!$A$6:$A$2205,0)),"MISSING ID")</x:f>
        <x:v>design.collection.flexible_copper_service_jumper</x:v>
      </x:c>
      <x:c r="K636" s="4" t="str">
        <x:f>IFERROR(INDEX('Crafting recipes'!$C$6:$C$1005,MATCH(J636,'Crafting recipes'!$A$6:$A$1005,0)),"MISSING ID")</x:f>
        <x:v>Material refinement</x:v>
      </x:c>
      <x:c r="L636" s="4" t="str">
        <x:f>IFERROR(INDEX('Material routes'!$K$6:$K$2205,MATCH(U636,'Material routes'!$A$6:$A$2205,0)),"MISSING ID")</x:f>
        <x:v>Proposal</x:v>
      </x:c>
      <x:c r="M636" s="4" t="str">
        <x:f>IFERROR(INDEX('Material routes'!$M$6:$M$2205,MATCH(U636,'Material routes'!$A$6:$A$2205,0)),"MISSING ID")</x:f>
        <x:v>Partial proposal</x:v>
      </x:c>
      <x:c r="N636" s="4"/>
      <x:c r="O636" s="4" t="str">
        <x:f>IFERROR(INDEX('Material routes'!$J$6:$J$2205,MATCH(U636,'Material routes'!$A$6:$A$2205,0)),"MISSING ID")</x:f>
        <x:v>Unspecified</x:v>
      </x:c>
      <x:c r="P636" s="4"/>
      <x:c r="Q636" s="4" t="str">
        <x:f>IFERROR(INDEX('Material routes'!$J$6:$J$2205,MATCH(V636,'Material routes'!$A$6:$A$2205,0)),"MISSING ID")</x:f>
        <x:v>Unspecified</x:v>
      </x:c>
      <x:c r="R636" s="4" t="str">
        <x:f>IF(L636="Withheld","Withheld premise",IF(E636="Tool candidate","Reusable prerequisite",IF(K636="Raw entry preparation","Entry-resource preparation",IF(G636="Not applicable",IF(IFERROR(INDEX('Items'!$AI$6:$AI$1005,MATCH(T636,'Items'!$A$6:$A$1005,0)),"MISSING ID")="Finished item","Finished endpoint",IF(IFERROR(INDEX('Items'!$AI$6:$AI$1005,MATCH(T636,'Items'!$A$6:$A$1005,0)),"MISSING ID")="Currency","Currency / no refinement tier","Recovered output / tier not applicable")),IF(OR(IFERROR(INDEX('Crafting recipes'!$H$6:$H$1005,MATCH(J636,'Crafting recipes'!$A$6:$A$1005,0)),"MISSING ID")="Unassigned",G636="Unassigned"),"Tier unresolved",IF(IFERROR(VALUE(RIGHT(G636,1))-VALUE(RIGHT(IFERROR(INDEX('Crafting recipes'!$H$6:$H$1005,MATCH(J636,'Crafting recipes'!$A$6:$A$1005,0)),"MISSING ID"),1)),0)=1,IF(B636=IFERROR(INDEX('Crafting recipes'!$H$6:$H$1005,MATCH(J636,'Crafting recipes'!$A$6:$A$1005,0)),"MISSING ID"),"Advances one material tier","Lower-tier ingredient; route advances one tier"),"Needs tier review"))))))</x:f>
        <x:v>Lower-tier ingredient; route advances one tier</x:v>
      </x:c>
      <x:c r="S636" s="4" t="str">
        <x:f>IFERROR(INDEX('Material routes'!$D$6:$D$2205,MATCH(U636,'Material routes'!$A$6:$A$2205,0)),"MISSING ID")</x:f>
        <x:v>proposal.branch.drawn_copper</x:v>
      </x:c>
      <x:c r="T636" s="4" t="str">
        <x:f>IFERROR(INDEX('Material routes'!$D$6:$D$2205,MATCH(V636,'Material routes'!$A$6:$A$2205,0)),"MISSING ID")</x:f>
        <x:v>proposal.collection.flexible_copper_service_jumper</x:v>
      </x:c>
      <x:c r="U636" s="4" t="str">
        <x:v>design.collection.flexible_copper_service_jumper.in.1</x:v>
      </x:c>
      <x:c r="V636" s="4" t="str">
        <x:v>design.collection.flexible_copper_service_jumper.out</x:v>
      </x:c>
    </x:row>
    <x:row r="637" ht="64" customHeight="1">
      <x:c r="A637" s="4" t="str">
        <x:f>IFERROR(INDEX('Material routes'!$E$6:$E$2205,MATCH(U637,'Material routes'!$A$6:$A$2205,0)),"MISSING ID")</x:f>
        <x:v>Prepared electrical insulation stock</x:v>
      </x:c>
      <x:c r="B637" s="4" t="str">
        <x:f>IFERROR(INDEX('Material routes'!$F$6:$F$2205,MATCH(U637,'Material routes'!$A$6:$A$2205,0)),"MISSING ID")</x:f>
        <x:v>T3</x:v>
      </x:c>
      <x:c r="C637" s="4" t="str">
        <x:f>IFERROR(INDEX('Material routes'!$H$6:$H$2205,MATCH(U637,'Material routes'!$A$6:$A$2205,0)),"MISSING ID")</x:f>
        <x:v>Processed material</x:v>
      </x:c>
      <x:c r="D637" s="4" t="str">
        <x:f>IFERROR(INDEX('Material routes'!$G$6:$G$2205,MATCH(U637,'Material routes'!$A$6:$A$2205,0)),"MISSING ID")</x:f>
        <x:v>Manufactured stock</x:v>
      </x:c>
      <x:c r="E637" s="4" t="str">
        <x:f>IFERROR(INDEX('Material routes'!$C$6:$C$2205,MATCH(U637,'Material routes'!$A$6:$A$2205,0)),"MISSING ID")</x:f>
        <x:v>Ingredient candidate</x:v>
      </x:c>
      <x:c r="F637" s="4" t="str">
        <x:f>IFERROR(INDEX('Material routes'!$E$6:$E$2205,MATCH(V637,'Material routes'!$A$6:$A$2205,0)),"MISSING ID")</x:f>
        <x:v>Flexible copper service jumper</x:v>
      </x:c>
      <x:c r="G637" s="4" t="str">
        <x:f>IFERROR(INDEX('Material routes'!$F$6:$F$2205,MATCH(V637,'Material routes'!$A$6:$A$2205,0)),"MISSING ID")</x:f>
        <x:v>T4</x:v>
      </x:c>
      <x:c r="H637" s="4" t="str">
        <x:f>IFERROR(INDEX('Material routes'!$H$6:$H$2205,MATCH(V637,'Material routes'!$A$6:$A$2205,0)),"MISSING ID")</x:f>
        <x:v>Machine part</x:v>
      </x:c>
      <x:c r="I637" s="4" t="str">
        <x:f>IFERROR(INDEX('Material routes'!$G$6:$G$2205,MATCH(V637,'Material routes'!$A$6:$A$2205,0)),"MISSING ID")</x:f>
        <x:v>Crafting components</x:v>
      </x:c>
      <x:c r="J637" s="4" t="str">
        <x:f>IFERROR(INDEX('Material routes'!$B$6:$B$2205,MATCH(U637,'Material routes'!$A$6:$A$2205,0)),"MISSING ID")</x:f>
        <x:v>design.collection.flexible_copper_service_jumper</x:v>
      </x:c>
      <x:c r="K637" s="4" t="str">
        <x:f>IFERROR(INDEX('Crafting recipes'!$C$6:$C$1005,MATCH(J637,'Crafting recipes'!$A$6:$A$1005,0)),"MISSING ID")</x:f>
        <x:v>Material refinement</x:v>
      </x:c>
      <x:c r="L637" s="4" t="str">
        <x:f>IFERROR(INDEX('Material routes'!$K$6:$K$2205,MATCH(U637,'Material routes'!$A$6:$A$2205,0)),"MISSING ID")</x:f>
        <x:v>Proposal</x:v>
      </x:c>
      <x:c r="M637" s="4" t="str">
        <x:f>IFERROR(INDEX('Material routes'!$M$6:$M$2205,MATCH(U637,'Material routes'!$A$6:$A$2205,0)),"MISSING ID")</x:f>
        <x:v>Partial proposal</x:v>
      </x:c>
      <x:c r="N637" s="4"/>
      <x:c r="O637" s="4" t="str">
        <x:f>IFERROR(INDEX('Material routes'!$J$6:$J$2205,MATCH(U637,'Material routes'!$A$6:$A$2205,0)),"MISSING ID")</x:f>
        <x:v>Unspecified</x:v>
      </x:c>
      <x:c r="P637" s="4"/>
      <x:c r="Q637" s="4" t="str">
        <x:f>IFERROR(INDEX('Material routes'!$J$6:$J$2205,MATCH(V637,'Material routes'!$A$6:$A$2205,0)),"MISSING ID")</x:f>
        <x:v>Unspecified</x:v>
      </x:c>
      <x:c r="R637" s="4" t="str">
        <x:f>IF(L637="Withheld","Withheld premise",IF(E637="Tool candidate","Reusable prerequisite",IF(K637="Raw entry preparation","Entry-resource preparation",IF(G637="Not applicable",IF(IFERROR(INDEX('Items'!$AI$6:$AI$1005,MATCH(T637,'Items'!$A$6:$A$1005,0)),"MISSING ID")="Finished item","Finished endpoint",IF(IFERROR(INDEX('Items'!$AI$6:$AI$1005,MATCH(T637,'Items'!$A$6:$A$1005,0)),"MISSING ID")="Currency","Currency / no refinement tier","Recovered output / tier not applicable")),IF(OR(IFERROR(INDEX('Crafting recipes'!$H$6:$H$1005,MATCH(J637,'Crafting recipes'!$A$6:$A$1005,0)),"MISSING ID")="Unassigned",G637="Unassigned"),"Tier unresolved",IF(IFERROR(VALUE(RIGHT(G637,1))-VALUE(RIGHT(IFERROR(INDEX('Crafting recipes'!$H$6:$H$1005,MATCH(J637,'Crafting recipes'!$A$6:$A$1005,0)),"MISSING ID"),1)),0)=1,IF(B637=IFERROR(INDEX('Crafting recipes'!$H$6:$H$1005,MATCH(J637,'Crafting recipes'!$A$6:$A$1005,0)),"MISSING ID"),"Advances one material tier","Lower-tier ingredient; route advances one tier"),"Needs tier review"))))))</x:f>
        <x:v>Advances one material tier</x:v>
      </x:c>
      <x:c r="S637" s="4" t="str">
        <x:f>IFERROR(INDEX('Material routes'!$D$6:$D$2205,MATCH(U637,'Material routes'!$A$6:$A$2205,0)),"MISSING ID")</x:f>
        <x:v>author.electrical.insulation_stock</x:v>
      </x:c>
      <x:c r="T637" s="4" t="str">
        <x:f>IFERROR(INDEX('Material routes'!$D$6:$D$2205,MATCH(V637,'Material routes'!$A$6:$A$2205,0)),"MISSING ID")</x:f>
        <x:v>proposal.collection.flexible_copper_service_jumper</x:v>
      </x:c>
      <x:c r="U637" s="4" t="str">
        <x:v>design.collection.flexible_copper_service_jumper.in.2</x:v>
      </x:c>
      <x:c r="V637" s="4" t="str">
        <x:v>design.collection.flexible_copper_service_jumper.out</x:v>
      </x:c>
    </x:row>
    <x:row r="638" ht="64" customHeight="1">
      <x:c r="A638" s="4" t="str">
        <x:f>IFERROR(INDEX('Material routes'!$E$6:$E$2205,MATCH(U638,'Material routes'!$A$6:$A$2205,0)),"MISSING ID")</x:f>
        <x:v>Steel stock</x:v>
      </x:c>
      <x:c r="B638" s="4" t="str">
        <x:f>IFERROR(INDEX('Material routes'!$F$6:$F$2205,MATCH(U638,'Material routes'!$A$6:$A$2205,0)),"MISSING ID")</x:f>
        <x:v>T2</x:v>
      </x:c>
      <x:c r="C638" s="4" t="str">
        <x:f>IFERROR(INDEX('Material routes'!$H$6:$H$2205,MATCH(U638,'Material routes'!$A$6:$A$2205,0)),"MISSING ID")</x:f>
        <x:v>Processed material</x:v>
      </x:c>
      <x:c r="D638" s="4" t="str">
        <x:f>IFERROR(INDEX('Material routes'!$G$6:$G$2205,MATCH(U638,'Material routes'!$A$6:$A$2205,0)),"MISSING ID")</x:f>
        <x:v>Manufactured stock</x:v>
      </x:c>
      <x:c r="E638" s="4" t="str">
        <x:f>IFERROR(INDEX('Material routes'!$C$6:$C$2205,MATCH(U638,'Material routes'!$A$6:$A$2205,0)),"MISSING ID")</x:f>
        <x:v>Ingredient candidate</x:v>
      </x:c>
      <x:c r="F638" s="4" t="str">
        <x:f>IFERROR(INDEX('Material routes'!$E$6:$E$2205,MATCH(V638,'Material routes'!$A$6:$A$2205,0)),"MISSING ID")</x:f>
        <x:v>Metal-shaft hunting spear</x:v>
      </x:c>
      <x:c r="G638" s="4" t="str">
        <x:f>IFERROR(INDEX('Material routes'!$F$6:$F$2205,MATCH(V638,'Material routes'!$A$6:$A$2205,0)),"MISSING ID")</x:f>
        <x:v>Not applicable</x:v>
      </x:c>
      <x:c r="H638" s="4" t="str">
        <x:f>IFERROR(INDEX('Material routes'!$H$6:$H$2205,MATCH(V638,'Material routes'!$A$6:$A$2205,0)),"MISSING ID")</x:f>
        <x:v>Weapon</x:v>
      </x:c>
      <x:c r="I638" s="4" t="str">
        <x:f>IFERROR(INDEX('Material routes'!$G$6:$G$2205,MATCH(V638,'Material routes'!$A$6:$A$2205,0)),"MISSING ID")</x:f>
        <x:v>Weapons</x:v>
      </x:c>
      <x:c r="J638" s="4" t="str">
        <x:f>IFERROR(INDEX('Material routes'!$B$6:$B$2205,MATCH(U638,'Material routes'!$A$6:$A$2205,0)),"MISSING ID")</x:f>
        <x:v>design.collection.metal_shaft_hunting_spear</x:v>
      </x:c>
      <x:c r="K638" s="4" t="str">
        <x:f>IFERROR(INDEX('Crafting recipes'!$C$6:$C$1005,MATCH(J638,'Crafting recipes'!$A$6:$A$1005,0)),"MISSING ID")</x:f>
        <x:v>Finished-item crafting</x:v>
      </x:c>
      <x:c r="L638" s="4" t="str">
        <x:f>IFERROR(INDEX('Material routes'!$K$6:$K$2205,MATCH(U638,'Material routes'!$A$6:$A$2205,0)),"MISSING ID")</x:f>
        <x:v>Proposal</x:v>
      </x:c>
      <x:c r="M638" s="4" t="str">
        <x:f>IFERROR(INDEX('Material routes'!$M$6:$M$2205,MATCH(U638,'Material routes'!$A$6:$A$2205,0)),"MISSING ID")</x:f>
        <x:v>Partial proposal</x:v>
      </x:c>
      <x:c r="N638" s="4"/>
      <x:c r="O638" s="4" t="str">
        <x:f>IFERROR(INDEX('Material routes'!$J$6:$J$2205,MATCH(U638,'Material routes'!$A$6:$A$2205,0)),"MISSING ID")</x:f>
        <x:v>Unspecified</x:v>
      </x:c>
      <x:c r="P638" s="4"/>
      <x:c r="Q638" s="4" t="str">
        <x:f>IFERROR(INDEX('Material routes'!$J$6:$J$2205,MATCH(V638,'Material routes'!$A$6:$A$2205,0)),"MISSING ID")</x:f>
        <x:v>Unspecified</x:v>
      </x:c>
      <x:c r="R638" s="4" t="str">
        <x:f>IF(L638="Withheld","Withheld premise",IF(E638="Tool candidate","Reusable prerequisite",IF(K638="Raw entry preparation","Entry-resource preparation",IF(G638="Not applicable",IF(IFERROR(INDEX('Items'!$AI$6:$AI$1005,MATCH(T638,'Items'!$A$6:$A$1005,0)),"MISSING ID")="Finished item","Finished endpoint",IF(IFERROR(INDEX('Items'!$AI$6:$AI$1005,MATCH(T638,'Items'!$A$6:$A$1005,0)),"MISSING ID")="Currency","Currency / no refinement tier","Recovered output / tier not applicable")),IF(OR(IFERROR(INDEX('Crafting recipes'!$H$6:$H$1005,MATCH(J638,'Crafting recipes'!$A$6:$A$1005,0)),"MISSING ID")="Unassigned",G638="Unassigned"),"Tier unresolved",IF(IFERROR(VALUE(RIGHT(G638,1))-VALUE(RIGHT(IFERROR(INDEX('Crafting recipes'!$H$6:$H$1005,MATCH(J638,'Crafting recipes'!$A$6:$A$1005,0)),"MISSING ID"),1)),0)=1,IF(B638=IFERROR(INDEX('Crafting recipes'!$H$6:$H$1005,MATCH(J638,'Crafting recipes'!$A$6:$A$1005,0)),"MISSING ID"),"Advances one material tier","Lower-tier ingredient; route advances one tier"),"Needs tier review"))))))</x:f>
        <x:v>Finished endpoint</x:v>
      </x:c>
      <x:c r="S638" s="4" t="str">
        <x:f>IFERROR(INDEX('Material routes'!$D$6:$D$2205,MATCH(U638,'Material routes'!$A$6:$A$2205,0)),"MISSING ID")</x:f>
        <x:v>author.metallurgy.steel_stock</x:v>
      </x:c>
      <x:c r="T638" s="4" t="str">
        <x:f>IFERROR(INDEX('Material routes'!$D$6:$D$2205,MATCH(V638,'Material routes'!$A$6:$A$2205,0)),"MISSING ID")</x:f>
        <x:v>proposal.collection.metal_shaft_hunting_spear</x:v>
      </x:c>
      <x:c r="U638" s="4" t="str">
        <x:v>design.collection.metal_shaft_hunting_spear.in.1</x:v>
      </x:c>
      <x:c r="V638" s="4" t="str">
        <x:v>design.collection.metal_shaft_hunting_spear.out</x:v>
      </x:c>
    </x:row>
    <x:row r="639" ht="64" customHeight="1">
      <x:c r="A639" s="4" t="str">
        <x:f>IFERROR(INDEX('Material routes'!$E$6:$E$2205,MATCH(U639,'Material routes'!$A$6:$A$2205,0)),"MISSING ID")</x:f>
        <x:v>Drawn steel tube stock</x:v>
      </x:c>
      <x:c r="B639" s="4" t="str">
        <x:f>IFERROR(INDEX('Material routes'!$F$6:$F$2205,MATCH(U639,'Material routes'!$A$6:$A$2205,0)),"MISSING ID")</x:f>
        <x:v>T3</x:v>
      </x:c>
      <x:c r="C639" s="4" t="str">
        <x:f>IFERROR(INDEX('Material routes'!$H$6:$H$2205,MATCH(U639,'Material routes'!$A$6:$A$2205,0)),"MISSING ID")</x:f>
        <x:v>Processed material</x:v>
      </x:c>
      <x:c r="D639" s="4" t="str">
        <x:f>IFERROR(INDEX('Material routes'!$G$6:$G$2205,MATCH(U639,'Material routes'!$A$6:$A$2205,0)),"MISSING ID")</x:f>
        <x:v>Manufactured stock</x:v>
      </x:c>
      <x:c r="E639" s="4" t="str">
        <x:f>IFERROR(INDEX('Material routes'!$C$6:$C$2205,MATCH(U639,'Material routes'!$A$6:$A$2205,0)),"MISSING ID")</x:f>
        <x:v>Ingredient candidate</x:v>
      </x:c>
      <x:c r="F639" s="4" t="str">
        <x:f>IFERROR(INDEX('Material routes'!$E$6:$E$2205,MATCH(V639,'Material routes'!$A$6:$A$2205,0)),"MISSING ID")</x:f>
        <x:v>Metal-shaft hunting spear</x:v>
      </x:c>
      <x:c r="G639" s="4" t="str">
        <x:f>IFERROR(INDEX('Material routes'!$F$6:$F$2205,MATCH(V639,'Material routes'!$A$6:$A$2205,0)),"MISSING ID")</x:f>
        <x:v>Not applicable</x:v>
      </x:c>
      <x:c r="H639" s="4" t="str">
        <x:f>IFERROR(INDEX('Material routes'!$H$6:$H$2205,MATCH(V639,'Material routes'!$A$6:$A$2205,0)),"MISSING ID")</x:f>
        <x:v>Weapon</x:v>
      </x:c>
      <x:c r="I639" s="4" t="str">
        <x:f>IFERROR(INDEX('Material routes'!$G$6:$G$2205,MATCH(V639,'Material routes'!$A$6:$A$2205,0)),"MISSING ID")</x:f>
        <x:v>Weapons</x:v>
      </x:c>
      <x:c r="J639" s="4" t="str">
        <x:f>IFERROR(INDEX('Material routes'!$B$6:$B$2205,MATCH(U639,'Material routes'!$A$6:$A$2205,0)),"MISSING ID")</x:f>
        <x:v>design.collection.metal_shaft_hunting_spear</x:v>
      </x:c>
      <x:c r="K639" s="4" t="str">
        <x:f>IFERROR(INDEX('Crafting recipes'!$C$6:$C$1005,MATCH(J639,'Crafting recipes'!$A$6:$A$1005,0)),"MISSING ID")</x:f>
        <x:v>Finished-item crafting</x:v>
      </x:c>
      <x:c r="L639" s="4" t="str">
        <x:f>IFERROR(INDEX('Material routes'!$K$6:$K$2205,MATCH(U639,'Material routes'!$A$6:$A$2205,0)),"MISSING ID")</x:f>
        <x:v>Proposal</x:v>
      </x:c>
      <x:c r="M639" s="4" t="str">
        <x:f>IFERROR(INDEX('Material routes'!$M$6:$M$2205,MATCH(U639,'Material routes'!$A$6:$A$2205,0)),"MISSING ID")</x:f>
        <x:v>Partial proposal</x:v>
      </x:c>
      <x:c r="N639" s="4"/>
      <x:c r="O639" s="4" t="str">
        <x:f>IFERROR(INDEX('Material routes'!$J$6:$J$2205,MATCH(U639,'Material routes'!$A$6:$A$2205,0)),"MISSING ID")</x:f>
        <x:v>Unspecified</x:v>
      </x:c>
      <x:c r="P639" s="4"/>
      <x:c r="Q639" s="4" t="str">
        <x:f>IFERROR(INDEX('Material routes'!$J$6:$J$2205,MATCH(V639,'Material routes'!$A$6:$A$2205,0)),"MISSING ID")</x:f>
        <x:v>Unspecified</x:v>
      </x:c>
      <x:c r="R639" s="4" t="str">
        <x:f>IF(L639="Withheld","Withheld premise",IF(E639="Tool candidate","Reusable prerequisite",IF(K639="Raw entry preparation","Entry-resource preparation",IF(G639="Not applicable",IF(IFERROR(INDEX('Items'!$AI$6:$AI$1005,MATCH(T639,'Items'!$A$6:$A$1005,0)),"MISSING ID")="Finished item","Finished endpoint",IF(IFERROR(INDEX('Items'!$AI$6:$AI$1005,MATCH(T639,'Items'!$A$6:$A$1005,0)),"MISSING ID")="Currency","Currency / no refinement tier","Recovered output / tier not applicable")),IF(OR(IFERROR(INDEX('Crafting recipes'!$H$6:$H$1005,MATCH(J639,'Crafting recipes'!$A$6:$A$1005,0)),"MISSING ID")="Unassigned",G639="Unassigned"),"Tier unresolved",IF(IFERROR(VALUE(RIGHT(G639,1))-VALUE(RIGHT(IFERROR(INDEX('Crafting recipes'!$H$6:$H$1005,MATCH(J639,'Crafting recipes'!$A$6:$A$1005,0)),"MISSING ID"),1)),0)=1,IF(B639=IFERROR(INDEX('Crafting recipes'!$H$6:$H$1005,MATCH(J639,'Crafting recipes'!$A$6:$A$1005,0)),"MISSING ID"),"Advances one material tier","Lower-tier ingredient; route advances one tier"),"Needs tier review"))))))</x:f>
        <x:v>Finished endpoint</x:v>
      </x:c>
      <x:c r="S639" s="4" t="str">
        <x:f>IFERROR(INDEX('Material routes'!$D$6:$D$2205,MATCH(U639,'Material routes'!$A$6:$A$2205,0)),"MISSING ID")</x:f>
        <x:v>proposal.t3.precision_tube</x:v>
      </x:c>
      <x:c r="T639" s="4" t="str">
        <x:f>IFERROR(INDEX('Material routes'!$D$6:$D$2205,MATCH(V639,'Material routes'!$A$6:$A$2205,0)),"MISSING ID")</x:f>
        <x:v>proposal.collection.metal_shaft_hunting_spear</x:v>
      </x:c>
      <x:c r="U639" s="4" t="str">
        <x:v>design.collection.metal_shaft_hunting_spear.in.2</x:v>
      </x:c>
      <x:c r="V639" s="4" t="str">
        <x:v>design.collection.metal_shaft_hunting_spear.out</x:v>
      </x:c>
    </x:row>
    <x:row r="640" ht="64" customHeight="1">
      <x:c r="A640" s="4" t="str">
        <x:f>IFERROR(INDEX('Material routes'!$E$6:$E$2205,MATCH(U640,'Material routes'!$A$6:$A$2205,0)),"MISSING ID")</x:f>
        <x:v>Jaw cutting insert</x:v>
      </x:c>
      <x:c r="B640" s="4" t="str">
        <x:f>IFERROR(INDEX('Material routes'!$F$6:$F$2205,MATCH(U640,'Material routes'!$A$6:$A$2205,0)),"MISSING ID")</x:f>
        <x:v>T2</x:v>
      </x:c>
      <x:c r="C640" s="4" t="str">
        <x:f>IFERROR(INDEX('Material routes'!$H$6:$H$2205,MATCH(U640,'Material routes'!$A$6:$A$2205,0)),"MISSING ID")</x:f>
        <x:v>Crafting component</x:v>
      </x:c>
      <x:c r="D640" s="4" t="str">
        <x:f>IFERROR(INDEX('Material routes'!$G$6:$G$2205,MATCH(U640,'Material routes'!$A$6:$A$2205,0)),"MISSING ID")</x:f>
        <x:v>Crafting components</x:v>
      </x:c>
      <x:c r="E640" s="4" t="str">
        <x:f>IFERROR(INDEX('Material routes'!$C$6:$C$2205,MATCH(U640,'Material routes'!$A$6:$A$2205,0)),"MISSING ID")</x:f>
        <x:v>Ingredient candidate</x:v>
      </x:c>
      <x:c r="F640" s="4" t="str">
        <x:f>IFERROR(INDEX('Material routes'!$E$6:$E$2205,MATCH(V640,'Material routes'!$A$6:$A$2205,0)),"MISSING ID")</x:f>
        <x:v>Shell-edged glaive</x:v>
      </x:c>
      <x:c r="G640" s="4" t="str">
        <x:f>IFERROR(INDEX('Material routes'!$F$6:$F$2205,MATCH(V640,'Material routes'!$A$6:$A$2205,0)),"MISSING ID")</x:f>
        <x:v>Not applicable</x:v>
      </x:c>
      <x:c r="H640" s="4" t="str">
        <x:f>IFERROR(INDEX('Material routes'!$H$6:$H$2205,MATCH(V640,'Material routes'!$A$6:$A$2205,0)),"MISSING ID")</x:f>
        <x:v>Weapon</x:v>
      </x:c>
      <x:c r="I640" s="4" t="str">
        <x:f>IFERROR(INDEX('Material routes'!$G$6:$G$2205,MATCH(V640,'Material routes'!$A$6:$A$2205,0)),"MISSING ID")</x:f>
        <x:v>Weapons</x:v>
      </x:c>
      <x:c r="J640" s="4" t="str">
        <x:f>IFERROR(INDEX('Material routes'!$B$6:$B$2205,MATCH(U640,'Material routes'!$A$6:$A$2205,0)),"MISSING ID")</x:f>
        <x:v>design.collection.shell_edged_glaive</x:v>
      </x:c>
      <x:c r="K640" s="4" t="str">
        <x:f>IFERROR(INDEX('Crafting recipes'!$C$6:$C$1005,MATCH(J640,'Crafting recipes'!$A$6:$A$1005,0)),"MISSING ID")</x:f>
        <x:v>Finished-item crafting</x:v>
      </x:c>
      <x:c r="L640" s="4" t="str">
        <x:f>IFERROR(INDEX('Material routes'!$K$6:$K$2205,MATCH(U640,'Material routes'!$A$6:$A$2205,0)),"MISSING ID")</x:f>
        <x:v>Proposal</x:v>
      </x:c>
      <x:c r="M640" s="4" t="str">
        <x:f>IFERROR(INDEX('Material routes'!$M$6:$M$2205,MATCH(U640,'Material routes'!$A$6:$A$2205,0)),"MISSING ID")</x:f>
        <x:v>Partial proposal</x:v>
      </x:c>
      <x:c r="N640" s="4"/>
      <x:c r="O640" s="4" t="str">
        <x:f>IFERROR(INDEX('Material routes'!$J$6:$J$2205,MATCH(U640,'Material routes'!$A$6:$A$2205,0)),"MISSING ID")</x:f>
        <x:v>Unspecified</x:v>
      </x:c>
      <x:c r="P640" s="4"/>
      <x:c r="Q640" s="4" t="str">
        <x:f>IFERROR(INDEX('Material routes'!$J$6:$J$2205,MATCH(V640,'Material routes'!$A$6:$A$2205,0)),"MISSING ID")</x:f>
        <x:v>Unspecified</x:v>
      </x:c>
      <x:c r="R640" s="4" t="str">
        <x:f>IF(L640="Withheld","Withheld premise",IF(E640="Tool candidate","Reusable prerequisite",IF(K640="Raw entry preparation","Entry-resource preparation",IF(G640="Not applicable",IF(IFERROR(INDEX('Items'!$AI$6:$AI$1005,MATCH(T640,'Items'!$A$6:$A$1005,0)),"MISSING ID")="Finished item","Finished endpoint",IF(IFERROR(INDEX('Items'!$AI$6:$AI$1005,MATCH(T640,'Items'!$A$6:$A$1005,0)),"MISSING ID")="Currency","Currency / no refinement tier","Recovered output / tier not applicable")),IF(OR(IFERROR(INDEX('Crafting recipes'!$H$6:$H$1005,MATCH(J640,'Crafting recipes'!$A$6:$A$1005,0)),"MISSING ID")="Unassigned",G640="Unassigned"),"Tier unresolved",IF(IFERROR(VALUE(RIGHT(G640,1))-VALUE(RIGHT(IFERROR(INDEX('Crafting recipes'!$H$6:$H$1005,MATCH(J640,'Crafting recipes'!$A$6:$A$1005,0)),"MISSING ID"),1)),0)=1,IF(B640=IFERROR(INDEX('Crafting recipes'!$H$6:$H$1005,MATCH(J640,'Crafting recipes'!$A$6:$A$1005,0)),"MISSING ID"),"Advances one material tier","Lower-tier ingredient; route advances one tier"),"Needs tier review"))))))</x:f>
        <x:v>Finished endpoint</x:v>
      </x:c>
      <x:c r="S640" s="4" t="str">
        <x:f>IFERROR(INDEX('Material routes'!$D$6:$D$2205,MATCH(U640,'Material routes'!$A$6:$A$2205,0)),"MISSING ID")</x:f>
        <x:v>proposal.bio.insert</x:v>
      </x:c>
      <x:c r="T640" s="4" t="str">
        <x:f>IFERROR(INDEX('Material routes'!$D$6:$D$2205,MATCH(V640,'Material routes'!$A$6:$A$2205,0)),"MISSING ID")</x:f>
        <x:v>proposal.collection.shell_edged_glaive</x:v>
      </x:c>
      <x:c r="U640" s="4" t="str">
        <x:v>design.collection.shell_edged_glaive.in.1</x:v>
      </x:c>
      <x:c r="V640" s="4" t="str">
        <x:v>design.collection.shell_edged_glaive.out</x:v>
      </x:c>
    </x:row>
    <x:row r="641" ht="64" customHeight="1">
      <x:c r="A641" s="4" t="str">
        <x:f>IFERROR(INDEX('Material routes'!$E$6:$E$2205,MATCH(U641,'Material routes'!$A$6:$A$2205,0)),"MISSING ID")</x:f>
        <x:v>Drawn steel tube stock</x:v>
      </x:c>
      <x:c r="B641" s="4" t="str">
        <x:f>IFERROR(INDEX('Material routes'!$F$6:$F$2205,MATCH(U641,'Material routes'!$A$6:$A$2205,0)),"MISSING ID")</x:f>
        <x:v>T3</x:v>
      </x:c>
      <x:c r="C641" s="4" t="str">
        <x:f>IFERROR(INDEX('Material routes'!$H$6:$H$2205,MATCH(U641,'Material routes'!$A$6:$A$2205,0)),"MISSING ID")</x:f>
        <x:v>Processed material</x:v>
      </x:c>
      <x:c r="D641" s="4" t="str">
        <x:f>IFERROR(INDEX('Material routes'!$G$6:$G$2205,MATCH(U641,'Material routes'!$A$6:$A$2205,0)),"MISSING ID")</x:f>
        <x:v>Manufactured stock</x:v>
      </x:c>
      <x:c r="E641" s="4" t="str">
        <x:f>IFERROR(INDEX('Material routes'!$C$6:$C$2205,MATCH(U641,'Material routes'!$A$6:$A$2205,0)),"MISSING ID")</x:f>
        <x:v>Ingredient candidate</x:v>
      </x:c>
      <x:c r="F641" s="4" t="str">
        <x:f>IFERROR(INDEX('Material routes'!$E$6:$E$2205,MATCH(V641,'Material routes'!$A$6:$A$2205,0)),"MISSING ID")</x:f>
        <x:v>Shell-edged glaive</x:v>
      </x:c>
      <x:c r="G641" s="4" t="str">
        <x:f>IFERROR(INDEX('Material routes'!$F$6:$F$2205,MATCH(V641,'Material routes'!$A$6:$A$2205,0)),"MISSING ID")</x:f>
        <x:v>Not applicable</x:v>
      </x:c>
      <x:c r="H641" s="4" t="str">
        <x:f>IFERROR(INDEX('Material routes'!$H$6:$H$2205,MATCH(V641,'Material routes'!$A$6:$A$2205,0)),"MISSING ID")</x:f>
        <x:v>Weapon</x:v>
      </x:c>
      <x:c r="I641" s="4" t="str">
        <x:f>IFERROR(INDEX('Material routes'!$G$6:$G$2205,MATCH(V641,'Material routes'!$A$6:$A$2205,0)),"MISSING ID")</x:f>
        <x:v>Weapons</x:v>
      </x:c>
      <x:c r="J641" s="4" t="str">
        <x:f>IFERROR(INDEX('Material routes'!$B$6:$B$2205,MATCH(U641,'Material routes'!$A$6:$A$2205,0)),"MISSING ID")</x:f>
        <x:v>design.collection.shell_edged_glaive</x:v>
      </x:c>
      <x:c r="K641" s="4" t="str">
        <x:f>IFERROR(INDEX('Crafting recipes'!$C$6:$C$1005,MATCH(J641,'Crafting recipes'!$A$6:$A$1005,0)),"MISSING ID")</x:f>
        <x:v>Finished-item crafting</x:v>
      </x:c>
      <x:c r="L641" s="4" t="str">
        <x:f>IFERROR(INDEX('Material routes'!$K$6:$K$2205,MATCH(U641,'Material routes'!$A$6:$A$2205,0)),"MISSING ID")</x:f>
        <x:v>Proposal</x:v>
      </x:c>
      <x:c r="M641" s="4" t="str">
        <x:f>IFERROR(INDEX('Material routes'!$M$6:$M$2205,MATCH(U641,'Material routes'!$A$6:$A$2205,0)),"MISSING ID")</x:f>
        <x:v>Partial proposal</x:v>
      </x:c>
      <x:c r="N641" s="4"/>
      <x:c r="O641" s="4" t="str">
        <x:f>IFERROR(INDEX('Material routes'!$J$6:$J$2205,MATCH(U641,'Material routes'!$A$6:$A$2205,0)),"MISSING ID")</x:f>
        <x:v>Unspecified</x:v>
      </x:c>
      <x:c r="P641" s="4"/>
      <x:c r="Q641" s="4" t="str">
        <x:f>IFERROR(INDEX('Material routes'!$J$6:$J$2205,MATCH(V641,'Material routes'!$A$6:$A$2205,0)),"MISSING ID")</x:f>
        <x:v>Unspecified</x:v>
      </x:c>
      <x:c r="R641" s="4" t="str">
        <x:f>IF(L641="Withheld","Withheld premise",IF(E641="Tool candidate","Reusable prerequisite",IF(K641="Raw entry preparation","Entry-resource preparation",IF(G641="Not applicable",IF(IFERROR(INDEX('Items'!$AI$6:$AI$1005,MATCH(T641,'Items'!$A$6:$A$1005,0)),"MISSING ID")="Finished item","Finished endpoint",IF(IFERROR(INDEX('Items'!$AI$6:$AI$1005,MATCH(T641,'Items'!$A$6:$A$1005,0)),"MISSING ID")="Currency","Currency / no refinement tier","Recovered output / tier not applicable")),IF(OR(IFERROR(INDEX('Crafting recipes'!$H$6:$H$1005,MATCH(J641,'Crafting recipes'!$A$6:$A$1005,0)),"MISSING ID")="Unassigned",G641="Unassigned"),"Tier unresolved",IF(IFERROR(VALUE(RIGHT(G641,1))-VALUE(RIGHT(IFERROR(INDEX('Crafting recipes'!$H$6:$H$1005,MATCH(J641,'Crafting recipes'!$A$6:$A$1005,0)),"MISSING ID"),1)),0)=1,IF(B641=IFERROR(INDEX('Crafting recipes'!$H$6:$H$1005,MATCH(J641,'Crafting recipes'!$A$6:$A$1005,0)),"MISSING ID"),"Advances one material tier","Lower-tier ingredient; route advances one tier"),"Needs tier review"))))))</x:f>
        <x:v>Finished endpoint</x:v>
      </x:c>
      <x:c r="S641" s="4" t="str">
        <x:f>IFERROR(INDEX('Material routes'!$D$6:$D$2205,MATCH(U641,'Material routes'!$A$6:$A$2205,0)),"MISSING ID")</x:f>
        <x:v>proposal.t3.precision_tube</x:v>
      </x:c>
      <x:c r="T641" s="4" t="str">
        <x:f>IFERROR(INDEX('Material routes'!$D$6:$D$2205,MATCH(V641,'Material routes'!$A$6:$A$2205,0)),"MISSING ID")</x:f>
        <x:v>proposal.collection.shell_edged_glaive</x:v>
      </x:c>
      <x:c r="U641" s="4" t="str">
        <x:v>design.collection.shell_edged_glaive.in.2</x:v>
      </x:c>
      <x:c r="V641" s="4" t="str">
        <x:v>design.collection.shell_edged_glaive.out</x:v>
      </x:c>
    </x:row>
    <x:row r="642" ht="64" customHeight="1">
      <x:c r="A642" s="4"/>
      <x:c r="B642" s="4"/>
      <x:c r="C642" s="4"/>
      <x:c r="D642" s="4"/>
      <x:c r="E642" s="4"/>
      <x:c r="F642" s="4"/>
      <x:c r="G642" s="4"/>
      <x:c r="H642" s="4"/>
      <x:c r="I642" s="4"/>
      <x:c r="J642" s="4"/>
      <x:c r="K642" s="4"/>
      <x:c r="L642" s="4"/>
      <x:c r="M642" s="4"/>
      <x:c r="N642" s="4"/>
      <x:c r="P642" s="4"/>
      <x:c r="R642" s="4"/>
      <x:c r="S642" s="4"/>
      <x:c r="T642" s="4"/>
      <x:c r="U642" s="4"/>
      <x:c r="V642" s="4"/>
    </x:row>
    <x:row r="643" ht="64" customHeight="1">
      <x:c r="A643" s="4" t="str">
        <x:f>IFERROR(INDEX('Material routes'!$E$6:$E$2205,MATCH(U643,'Material routes'!$A$6:$A$2205,0)),"MISSING ID")</x:f>
        <x:v>Steel stock</x:v>
      </x:c>
      <x:c r="B643" s="4" t="str">
        <x:f>IFERROR(INDEX('Material routes'!$F$6:$F$2205,MATCH(U643,'Material routes'!$A$6:$A$2205,0)),"MISSING ID")</x:f>
        <x:v>T2</x:v>
      </x:c>
      <x:c r="C643" s="4" t="str">
        <x:f>IFERROR(INDEX('Material routes'!$H$6:$H$2205,MATCH(U643,'Material routes'!$A$6:$A$2205,0)),"MISSING ID")</x:f>
        <x:v>Processed material</x:v>
      </x:c>
      <x:c r="D643" s="4" t="str">
        <x:f>IFERROR(INDEX('Material routes'!$G$6:$G$2205,MATCH(U643,'Material routes'!$A$6:$A$2205,0)),"MISSING ID")</x:f>
        <x:v>Manufactured stock</x:v>
      </x:c>
      <x:c r="E643" s="4" t="str">
        <x:f>IFERROR(INDEX('Material routes'!$C$6:$C$2205,MATCH(U643,'Material routes'!$A$6:$A$2205,0)),"MISSING ID")</x:f>
        <x:v>Ingredient candidate</x:v>
      </x:c>
      <x:c r="F643" s="4" t="str">
        <x:f>IFERROR(INDEX('Material routes'!$E$6:$E$2205,MATCH(V643,'Material routes'!$A$6:$A$2205,0)),"MISSING ID")</x:f>
        <x:v>Steel salvage cleaver</x:v>
      </x:c>
      <x:c r="G643" s="4" t="str">
        <x:f>IFERROR(INDEX('Material routes'!$F$6:$F$2205,MATCH(V643,'Material routes'!$A$6:$A$2205,0)),"MISSING ID")</x:f>
        <x:v>Not applicable</x:v>
      </x:c>
      <x:c r="H643" s="4" t="str">
        <x:f>IFERROR(INDEX('Material routes'!$H$6:$H$2205,MATCH(V643,'Material routes'!$A$6:$A$2205,0)),"MISSING ID")</x:f>
        <x:v>Weapon</x:v>
      </x:c>
      <x:c r="I643" s="4" t="str">
        <x:f>IFERROR(INDEX('Material routes'!$G$6:$G$2205,MATCH(V643,'Material routes'!$A$6:$A$2205,0)),"MISSING ID")</x:f>
        <x:v>Weapons</x:v>
      </x:c>
      <x:c r="J643" s="4" t="str">
        <x:f>IFERROR(INDEX('Material routes'!$B$6:$B$2205,MATCH(U643,'Material routes'!$A$6:$A$2205,0)),"MISSING ID")</x:f>
        <x:v>design.collection.steel_salvage_cleaver</x:v>
      </x:c>
      <x:c r="K643" s="4" t="str">
        <x:f>IFERROR(INDEX('Crafting recipes'!$C$6:$C$1005,MATCH(J643,'Crafting recipes'!$A$6:$A$1005,0)),"MISSING ID")</x:f>
        <x:v>Finished-item crafting</x:v>
      </x:c>
      <x:c r="L643" s="4" t="str">
        <x:f>IFERROR(INDEX('Material routes'!$K$6:$K$2205,MATCH(U643,'Material routes'!$A$6:$A$2205,0)),"MISSING ID")</x:f>
        <x:v>Proposal</x:v>
      </x:c>
      <x:c r="M643" s="4" t="str">
        <x:f>IFERROR(INDEX('Material routes'!$M$6:$M$2205,MATCH(U643,'Material routes'!$A$6:$A$2205,0)),"MISSING ID")</x:f>
        <x:v>Partial proposal</x:v>
      </x:c>
      <x:c r="N643" s="4"/>
      <x:c r="O643" s="4" t="str">
        <x:f>IFERROR(INDEX('Material routes'!$J$6:$J$2205,MATCH(U643,'Material routes'!$A$6:$A$2205,0)),"MISSING ID")</x:f>
        <x:v>Unspecified</x:v>
      </x:c>
      <x:c r="P643" s="4"/>
      <x:c r="Q643" s="4" t="str">
        <x:f>IFERROR(INDEX('Material routes'!$J$6:$J$2205,MATCH(V643,'Material routes'!$A$6:$A$2205,0)),"MISSING ID")</x:f>
        <x:v>Unspecified</x:v>
      </x:c>
      <x:c r="R643" s="4" t="str">
        <x:f>IF(L643="Withheld","Withheld premise",IF(E643="Tool candidate","Reusable prerequisite",IF(K643="Raw entry preparation","Entry-resource preparation",IF(G643="Not applicable",IF(IFERROR(INDEX('Items'!$AI$6:$AI$1005,MATCH(T643,'Items'!$A$6:$A$1005,0)),"MISSING ID")="Finished item","Finished endpoint",IF(IFERROR(INDEX('Items'!$AI$6:$AI$1005,MATCH(T643,'Items'!$A$6:$A$1005,0)),"MISSING ID")="Currency","Currency / no refinement tier","Recovered output / tier not applicable")),IF(OR(IFERROR(INDEX('Crafting recipes'!$H$6:$H$1005,MATCH(J643,'Crafting recipes'!$A$6:$A$1005,0)),"MISSING ID")="Unassigned",G643="Unassigned"),"Tier unresolved",IF(IFERROR(VALUE(RIGHT(G643,1))-VALUE(RIGHT(IFERROR(INDEX('Crafting recipes'!$H$6:$H$1005,MATCH(J643,'Crafting recipes'!$A$6:$A$1005,0)),"MISSING ID"),1)),0)=1,IF(B643=IFERROR(INDEX('Crafting recipes'!$H$6:$H$1005,MATCH(J643,'Crafting recipes'!$A$6:$A$1005,0)),"MISSING ID"),"Advances one material tier","Lower-tier ingredient; route advances one tier"),"Needs tier review"))))))</x:f>
        <x:v>Finished endpoint</x:v>
      </x:c>
      <x:c r="S643" s="4" t="str">
        <x:f>IFERROR(INDEX('Material routes'!$D$6:$D$2205,MATCH(U643,'Material routes'!$A$6:$A$2205,0)),"MISSING ID")</x:f>
        <x:v>author.metallurgy.steel_stock</x:v>
      </x:c>
      <x:c r="T643" s="4" t="str">
        <x:f>IFERROR(INDEX('Material routes'!$D$6:$D$2205,MATCH(V643,'Material routes'!$A$6:$A$2205,0)),"MISSING ID")</x:f>
        <x:v>proposal.collection.steel_salvage_cleaver</x:v>
      </x:c>
      <x:c r="U643" s="4" t="str">
        <x:v>design.collection.steel_salvage_cleaver.in.1</x:v>
      </x:c>
      <x:c r="V643" s="4" t="str">
        <x:v>design.collection.steel_salvage_cleaver.out</x:v>
      </x:c>
    </x:row>
    <x:row r="644" ht="64" customHeight="1">
      <x:c r="A644" s="4" t="str">
        <x:f>IFERROR(INDEX('Material routes'!$E$6:$E$2205,MATCH(U644,'Material routes'!$A$6:$A$2205,0)),"MISSING ID")</x:f>
        <x:v>Processed hide material</x:v>
      </x:c>
      <x:c r="B644" s="4" t="str">
        <x:f>IFERROR(INDEX('Material routes'!$F$6:$F$2205,MATCH(U644,'Material routes'!$A$6:$A$2205,0)),"MISSING ID")</x:f>
        <x:v>T1</x:v>
      </x:c>
      <x:c r="C644" s="4" t="str">
        <x:f>IFERROR(INDEX('Material routes'!$H$6:$H$2205,MATCH(U644,'Material routes'!$A$6:$A$2205,0)),"MISSING ID")</x:f>
        <x:v>Processed material</x:v>
      </x:c>
      <x:c r="D644" s="4" t="str">
        <x:f>IFERROR(INDEX('Material routes'!$G$6:$G$2205,MATCH(U644,'Material routes'!$A$6:$A$2205,0)),"MISSING ID")</x:f>
        <x:v>Crafting components</x:v>
      </x:c>
      <x:c r="E644" s="4" t="str">
        <x:f>IFERROR(INDEX('Material routes'!$C$6:$C$2205,MATCH(U644,'Material routes'!$A$6:$A$2205,0)),"MISSING ID")</x:f>
        <x:v>Ingredient candidate</x:v>
      </x:c>
      <x:c r="F644" s="4" t="str">
        <x:f>IFERROR(INDEX('Material routes'!$E$6:$E$2205,MATCH(V644,'Material routes'!$A$6:$A$2205,0)),"MISSING ID")</x:f>
        <x:v>Steel salvage cleaver</x:v>
      </x:c>
      <x:c r="G644" s="4" t="str">
        <x:f>IFERROR(INDEX('Material routes'!$F$6:$F$2205,MATCH(V644,'Material routes'!$A$6:$A$2205,0)),"MISSING ID")</x:f>
        <x:v>Not applicable</x:v>
      </x:c>
      <x:c r="H644" s="4" t="str">
        <x:f>IFERROR(INDEX('Material routes'!$H$6:$H$2205,MATCH(V644,'Material routes'!$A$6:$A$2205,0)),"MISSING ID")</x:f>
        <x:v>Weapon</x:v>
      </x:c>
      <x:c r="I644" s="4" t="str">
        <x:f>IFERROR(INDEX('Material routes'!$G$6:$G$2205,MATCH(V644,'Material routes'!$A$6:$A$2205,0)),"MISSING ID")</x:f>
        <x:v>Weapons</x:v>
      </x:c>
      <x:c r="J644" s="4" t="str">
        <x:f>IFERROR(INDEX('Material routes'!$B$6:$B$2205,MATCH(U644,'Material routes'!$A$6:$A$2205,0)),"MISSING ID")</x:f>
        <x:v>design.collection.steel_salvage_cleaver</x:v>
      </x:c>
      <x:c r="K644" s="4" t="str">
        <x:f>IFERROR(INDEX('Crafting recipes'!$C$6:$C$1005,MATCH(J644,'Crafting recipes'!$A$6:$A$1005,0)),"MISSING ID")</x:f>
        <x:v>Finished-item crafting</x:v>
      </x:c>
      <x:c r="L644" s="4" t="str">
        <x:f>IFERROR(INDEX('Material routes'!$K$6:$K$2205,MATCH(U644,'Material routes'!$A$6:$A$2205,0)),"MISSING ID")</x:f>
        <x:v>Proposal</x:v>
      </x:c>
      <x:c r="M644" s="4" t="str">
        <x:f>IFERROR(INDEX('Material routes'!$M$6:$M$2205,MATCH(U644,'Material routes'!$A$6:$A$2205,0)),"MISSING ID")</x:f>
        <x:v>Partial proposal</x:v>
      </x:c>
      <x:c r="N644" s="4"/>
      <x:c r="O644" s="4" t="str">
        <x:f>IFERROR(INDEX('Material routes'!$J$6:$J$2205,MATCH(U644,'Material routes'!$A$6:$A$2205,0)),"MISSING ID")</x:f>
        <x:v>Unspecified</x:v>
      </x:c>
      <x:c r="P644" s="4"/>
      <x:c r="Q644" s="4" t="str">
        <x:f>IFERROR(INDEX('Material routes'!$J$6:$J$2205,MATCH(V644,'Material routes'!$A$6:$A$2205,0)),"MISSING ID")</x:f>
        <x:v>Unspecified</x:v>
      </x:c>
      <x:c r="R644" s="4" t="str">
        <x:f>IF(L644="Withheld","Withheld premise",IF(E644="Tool candidate","Reusable prerequisite",IF(K644="Raw entry preparation","Entry-resource preparation",IF(G644="Not applicable",IF(IFERROR(INDEX('Items'!$AI$6:$AI$1005,MATCH(T644,'Items'!$A$6:$A$1005,0)),"MISSING ID")="Finished item","Finished endpoint",IF(IFERROR(INDEX('Items'!$AI$6:$AI$1005,MATCH(T644,'Items'!$A$6:$A$1005,0)),"MISSING ID")="Currency","Currency / no refinement tier","Recovered output / tier not applicable")),IF(OR(IFERROR(INDEX('Crafting recipes'!$H$6:$H$1005,MATCH(J644,'Crafting recipes'!$A$6:$A$1005,0)),"MISSING ID")="Unassigned",G644="Unassigned"),"Tier unresolved",IF(IFERROR(VALUE(RIGHT(G644,1))-VALUE(RIGHT(IFERROR(INDEX('Crafting recipes'!$H$6:$H$1005,MATCH(J644,'Crafting recipes'!$A$6:$A$1005,0)),"MISSING ID"),1)),0)=1,IF(B644=IFERROR(INDEX('Crafting recipes'!$H$6:$H$1005,MATCH(J644,'Crafting recipes'!$A$6:$A$1005,0)),"MISSING ID"),"Advances one material tier","Lower-tier ingredient; route advances one tier"),"Needs tier review"))))))</x:f>
        <x:v>Finished endpoint</x:v>
      </x:c>
      <x:c r="S644" s="4" t="str">
        <x:f>IFERROR(INDEX('Material routes'!$D$6:$D$2205,MATCH(U644,'Material routes'!$A$6:$A$2205,0)),"MISSING ID")</x:f>
        <x:v>proposal.bio.hide_material</x:v>
      </x:c>
      <x:c r="T644" s="4" t="str">
        <x:f>IFERROR(INDEX('Material routes'!$D$6:$D$2205,MATCH(V644,'Material routes'!$A$6:$A$2205,0)),"MISSING ID")</x:f>
        <x:v>proposal.collection.steel_salvage_cleaver</x:v>
      </x:c>
      <x:c r="U644" s="4" t="str">
        <x:v>design.collection.steel_salvage_cleaver.in.2</x:v>
      </x:c>
      <x:c r="V644" s="4" t="str">
        <x:v>design.collection.steel_salvage_cleaver.out</x:v>
      </x:c>
    </x:row>
    <x:row r="645" ht="64" customHeight="1">
      <x:c r="A645" s="4" t="str">
        <x:f>IFERROR(INDEX('Material routes'!$E$6:$E$2205,MATCH(U645,'Material routes'!$A$6:$A$2205,0)),"MISSING ID")</x:f>
        <x:v>Steel stock</x:v>
      </x:c>
      <x:c r="B645" s="4" t="str">
        <x:f>IFERROR(INDEX('Material routes'!$F$6:$F$2205,MATCH(U645,'Material routes'!$A$6:$A$2205,0)),"MISSING ID")</x:f>
        <x:v>T2</x:v>
      </x:c>
      <x:c r="C645" s="4" t="str">
        <x:f>IFERROR(INDEX('Material routes'!$H$6:$H$2205,MATCH(U645,'Material routes'!$A$6:$A$2205,0)),"MISSING ID")</x:f>
        <x:v>Processed material</x:v>
      </x:c>
      <x:c r="D645" s="4" t="str">
        <x:f>IFERROR(INDEX('Material routes'!$G$6:$G$2205,MATCH(U645,'Material routes'!$A$6:$A$2205,0)),"MISSING ID")</x:f>
        <x:v>Manufactured stock</x:v>
      </x:c>
      <x:c r="E645" s="4" t="str">
        <x:f>IFERROR(INDEX('Material routes'!$C$6:$C$2205,MATCH(U645,'Material routes'!$A$6:$A$2205,0)),"MISSING ID")</x:f>
        <x:v>Ingredient candidate</x:v>
      </x:c>
      <x:c r="F645" s="4" t="str">
        <x:f>IFERROR(INDEX('Material routes'!$E$6:$E$2205,MATCH(V645,'Material routes'!$A$6:$A$2205,0)),"MISSING ID")</x:f>
        <x:v>Hooked catchstaff</x:v>
      </x:c>
      <x:c r="G645" s="4" t="str">
        <x:f>IFERROR(INDEX('Material routes'!$F$6:$F$2205,MATCH(V645,'Material routes'!$A$6:$A$2205,0)),"MISSING ID")</x:f>
        <x:v>Not applicable</x:v>
      </x:c>
      <x:c r="H645" s="4" t="str">
        <x:f>IFERROR(INDEX('Material routes'!$H$6:$H$2205,MATCH(V645,'Material routes'!$A$6:$A$2205,0)),"MISSING ID")</x:f>
        <x:v>Weapon</x:v>
      </x:c>
      <x:c r="I645" s="4" t="str">
        <x:f>IFERROR(INDEX('Material routes'!$G$6:$G$2205,MATCH(V645,'Material routes'!$A$6:$A$2205,0)),"MISSING ID")</x:f>
        <x:v>Weapons</x:v>
      </x:c>
      <x:c r="J645" s="4" t="str">
        <x:f>IFERROR(INDEX('Material routes'!$B$6:$B$2205,MATCH(U645,'Material routes'!$A$6:$A$2205,0)),"MISSING ID")</x:f>
        <x:v>design.collection.hooked_catchstaff</x:v>
      </x:c>
      <x:c r="K645" s="4" t="str">
        <x:f>IFERROR(INDEX('Crafting recipes'!$C$6:$C$1005,MATCH(J645,'Crafting recipes'!$A$6:$A$1005,0)),"MISSING ID")</x:f>
        <x:v>Finished-item crafting</x:v>
      </x:c>
      <x:c r="L645" s="4" t="str">
        <x:f>IFERROR(INDEX('Material routes'!$K$6:$K$2205,MATCH(U645,'Material routes'!$A$6:$A$2205,0)),"MISSING ID")</x:f>
        <x:v>Proposal</x:v>
      </x:c>
      <x:c r="M645" s="4" t="str">
        <x:f>IFERROR(INDEX('Material routes'!$M$6:$M$2205,MATCH(U645,'Material routes'!$A$6:$A$2205,0)),"MISSING ID")</x:f>
        <x:v>Partial proposal</x:v>
      </x:c>
      <x:c r="N645" s="4"/>
      <x:c r="O645" s="4" t="str">
        <x:f>IFERROR(INDEX('Material routes'!$J$6:$J$2205,MATCH(U645,'Material routes'!$A$6:$A$2205,0)),"MISSING ID")</x:f>
        <x:v>Unspecified</x:v>
      </x:c>
      <x:c r="P645" s="4"/>
      <x:c r="Q645" s="4" t="str">
        <x:f>IFERROR(INDEX('Material routes'!$J$6:$J$2205,MATCH(V645,'Material routes'!$A$6:$A$2205,0)),"MISSING ID")</x:f>
        <x:v>Unspecified</x:v>
      </x:c>
      <x:c r="R645" s="4" t="str">
        <x:f>IF(L645="Withheld","Withheld premise",IF(E645="Tool candidate","Reusable prerequisite",IF(K645="Raw entry preparation","Entry-resource preparation",IF(G645="Not applicable",IF(IFERROR(INDEX('Items'!$AI$6:$AI$1005,MATCH(T645,'Items'!$A$6:$A$1005,0)),"MISSING ID")="Finished item","Finished endpoint",IF(IFERROR(INDEX('Items'!$AI$6:$AI$1005,MATCH(T645,'Items'!$A$6:$A$1005,0)),"MISSING ID")="Currency","Currency / no refinement tier","Recovered output / tier not applicable")),IF(OR(IFERROR(INDEX('Crafting recipes'!$H$6:$H$1005,MATCH(J645,'Crafting recipes'!$A$6:$A$1005,0)),"MISSING ID")="Unassigned",G645="Unassigned"),"Tier unresolved",IF(IFERROR(VALUE(RIGHT(G645,1))-VALUE(RIGHT(IFERROR(INDEX('Crafting recipes'!$H$6:$H$1005,MATCH(J645,'Crafting recipes'!$A$6:$A$1005,0)),"MISSING ID"),1)),0)=1,IF(B645=IFERROR(INDEX('Crafting recipes'!$H$6:$H$1005,MATCH(J645,'Crafting recipes'!$A$6:$A$1005,0)),"MISSING ID"),"Advances one material tier","Lower-tier ingredient; route advances one tier"),"Needs tier review"))))))</x:f>
        <x:v>Finished endpoint</x:v>
      </x:c>
      <x:c r="S645" s="4" t="str">
        <x:f>IFERROR(INDEX('Material routes'!$D$6:$D$2205,MATCH(U645,'Material routes'!$A$6:$A$2205,0)),"MISSING ID")</x:f>
        <x:v>author.metallurgy.steel_stock</x:v>
      </x:c>
      <x:c r="T645" s="4" t="str">
        <x:f>IFERROR(INDEX('Material routes'!$D$6:$D$2205,MATCH(V645,'Material routes'!$A$6:$A$2205,0)),"MISSING ID")</x:f>
        <x:v>proposal.collection.hooked_catchstaff</x:v>
      </x:c>
      <x:c r="U645" s="4" t="str">
        <x:v>design.collection.hooked_catchstaff.in.1</x:v>
      </x:c>
      <x:c r="V645" s="4" t="str">
        <x:v>design.collection.hooked_catchstaff.out</x:v>
      </x:c>
    </x:row>
    <x:row r="646" ht="64" customHeight="1">
      <x:c r="A646" s="4" t="str">
        <x:f>IFERROR(INDEX('Material routes'!$E$6:$E$2205,MATCH(U646,'Material routes'!$A$6:$A$2205,0)),"MISSING ID")</x:f>
        <x:v>Drawn steel tube stock</x:v>
      </x:c>
      <x:c r="B646" s="4" t="str">
        <x:f>IFERROR(INDEX('Material routes'!$F$6:$F$2205,MATCH(U646,'Material routes'!$A$6:$A$2205,0)),"MISSING ID")</x:f>
        <x:v>T3</x:v>
      </x:c>
      <x:c r="C646" s="4" t="str">
        <x:f>IFERROR(INDEX('Material routes'!$H$6:$H$2205,MATCH(U646,'Material routes'!$A$6:$A$2205,0)),"MISSING ID")</x:f>
        <x:v>Processed material</x:v>
      </x:c>
      <x:c r="D646" s="4" t="str">
        <x:f>IFERROR(INDEX('Material routes'!$G$6:$G$2205,MATCH(U646,'Material routes'!$A$6:$A$2205,0)),"MISSING ID")</x:f>
        <x:v>Manufactured stock</x:v>
      </x:c>
      <x:c r="E646" s="4" t="str">
        <x:f>IFERROR(INDEX('Material routes'!$C$6:$C$2205,MATCH(U646,'Material routes'!$A$6:$A$2205,0)),"MISSING ID")</x:f>
        <x:v>Ingredient candidate</x:v>
      </x:c>
      <x:c r="F646" s="4" t="str">
        <x:f>IFERROR(INDEX('Material routes'!$E$6:$E$2205,MATCH(V646,'Material routes'!$A$6:$A$2205,0)),"MISSING ID")</x:f>
        <x:v>Hooked catchstaff</x:v>
      </x:c>
      <x:c r="G646" s="4" t="str">
        <x:f>IFERROR(INDEX('Material routes'!$F$6:$F$2205,MATCH(V646,'Material routes'!$A$6:$A$2205,0)),"MISSING ID")</x:f>
        <x:v>Not applicable</x:v>
      </x:c>
      <x:c r="H646" s="4" t="str">
        <x:f>IFERROR(INDEX('Material routes'!$H$6:$H$2205,MATCH(V646,'Material routes'!$A$6:$A$2205,0)),"MISSING ID")</x:f>
        <x:v>Weapon</x:v>
      </x:c>
      <x:c r="I646" s="4" t="str">
        <x:f>IFERROR(INDEX('Material routes'!$G$6:$G$2205,MATCH(V646,'Material routes'!$A$6:$A$2205,0)),"MISSING ID")</x:f>
        <x:v>Weapons</x:v>
      </x:c>
      <x:c r="J646" s="4" t="str">
        <x:f>IFERROR(INDEX('Material routes'!$B$6:$B$2205,MATCH(U646,'Material routes'!$A$6:$A$2205,0)),"MISSING ID")</x:f>
        <x:v>design.collection.hooked_catchstaff</x:v>
      </x:c>
      <x:c r="K646" s="4" t="str">
        <x:f>IFERROR(INDEX('Crafting recipes'!$C$6:$C$1005,MATCH(J646,'Crafting recipes'!$A$6:$A$1005,0)),"MISSING ID")</x:f>
        <x:v>Finished-item crafting</x:v>
      </x:c>
      <x:c r="L646" s="4" t="str">
        <x:f>IFERROR(INDEX('Material routes'!$K$6:$K$2205,MATCH(U646,'Material routes'!$A$6:$A$2205,0)),"MISSING ID")</x:f>
        <x:v>Proposal</x:v>
      </x:c>
      <x:c r="M646" s="4" t="str">
        <x:f>IFERROR(INDEX('Material routes'!$M$6:$M$2205,MATCH(U646,'Material routes'!$A$6:$A$2205,0)),"MISSING ID")</x:f>
        <x:v>Partial proposal</x:v>
      </x:c>
      <x:c r="N646" s="4"/>
      <x:c r="O646" s="4" t="str">
        <x:f>IFERROR(INDEX('Material routes'!$J$6:$J$2205,MATCH(U646,'Material routes'!$A$6:$A$2205,0)),"MISSING ID")</x:f>
        <x:v>Unspecified</x:v>
      </x:c>
      <x:c r="P646" s="4"/>
      <x:c r="Q646" s="4" t="str">
        <x:f>IFERROR(INDEX('Material routes'!$J$6:$J$2205,MATCH(V646,'Material routes'!$A$6:$A$2205,0)),"MISSING ID")</x:f>
        <x:v>Unspecified</x:v>
      </x:c>
      <x:c r="R646" s="4" t="str">
        <x:f>IF(L646="Withheld","Withheld premise",IF(E646="Tool candidate","Reusable prerequisite",IF(K646="Raw entry preparation","Entry-resource preparation",IF(G646="Not applicable",IF(IFERROR(INDEX('Items'!$AI$6:$AI$1005,MATCH(T646,'Items'!$A$6:$A$1005,0)),"MISSING ID")="Finished item","Finished endpoint",IF(IFERROR(INDEX('Items'!$AI$6:$AI$1005,MATCH(T646,'Items'!$A$6:$A$1005,0)),"MISSING ID")="Currency","Currency / no refinement tier","Recovered output / tier not applicable")),IF(OR(IFERROR(INDEX('Crafting recipes'!$H$6:$H$1005,MATCH(J646,'Crafting recipes'!$A$6:$A$1005,0)),"MISSING ID")="Unassigned",G646="Unassigned"),"Tier unresolved",IF(IFERROR(VALUE(RIGHT(G646,1))-VALUE(RIGHT(IFERROR(INDEX('Crafting recipes'!$H$6:$H$1005,MATCH(J646,'Crafting recipes'!$A$6:$A$1005,0)),"MISSING ID"),1)),0)=1,IF(B646=IFERROR(INDEX('Crafting recipes'!$H$6:$H$1005,MATCH(J646,'Crafting recipes'!$A$6:$A$1005,0)),"MISSING ID"),"Advances one material tier","Lower-tier ingredient; route advances one tier"),"Needs tier review"))))))</x:f>
        <x:v>Finished endpoint</x:v>
      </x:c>
      <x:c r="S646" s="4" t="str">
        <x:f>IFERROR(INDEX('Material routes'!$D$6:$D$2205,MATCH(U646,'Material routes'!$A$6:$A$2205,0)),"MISSING ID")</x:f>
        <x:v>proposal.t3.precision_tube</x:v>
      </x:c>
      <x:c r="T646" s="4" t="str">
        <x:f>IFERROR(INDEX('Material routes'!$D$6:$D$2205,MATCH(V646,'Material routes'!$A$6:$A$2205,0)),"MISSING ID")</x:f>
        <x:v>proposal.collection.hooked_catchstaff</x:v>
      </x:c>
      <x:c r="U646" s="4" t="str">
        <x:v>design.collection.hooked_catchstaff.in.2</x:v>
      </x:c>
      <x:c r="V646" s="4" t="str">
        <x:v>design.collection.hooked_catchstaff.out</x:v>
      </x:c>
    </x:row>
    <x:row r="647" ht="64" customHeight="1">
      <x:c r="A647" s="4" t="str">
        <x:f>IFERROR(INDEX('Material routes'!$E$6:$E$2205,MATCH(U647,'Material routes'!$A$6:$A$2205,0)),"MISSING ID")</x:f>
        <x:v>Tendon cord</x:v>
      </x:c>
      <x:c r="B647" s="4" t="str">
        <x:f>IFERROR(INDEX('Material routes'!$F$6:$F$2205,MATCH(U647,'Material routes'!$A$6:$A$2205,0)),"MISSING ID")</x:f>
        <x:v>T1</x:v>
      </x:c>
      <x:c r="C647" s="4" t="str">
        <x:f>IFERROR(INDEX('Material routes'!$H$6:$H$2205,MATCH(U647,'Material routes'!$A$6:$A$2205,0)),"MISSING ID")</x:f>
        <x:v>Crafting component</x:v>
      </x:c>
      <x:c r="D647" s="4" t="str">
        <x:f>IFERROR(INDEX('Material routes'!$G$6:$G$2205,MATCH(U647,'Material routes'!$A$6:$A$2205,0)),"MISSING ID")</x:f>
        <x:v>Crafting components</x:v>
      </x:c>
      <x:c r="E647" s="4" t="str">
        <x:f>IFERROR(INDEX('Material routes'!$C$6:$C$2205,MATCH(U647,'Material routes'!$A$6:$A$2205,0)),"MISSING ID")</x:f>
        <x:v>Ingredient candidate</x:v>
      </x:c>
      <x:c r="F647" s="4" t="str">
        <x:f>IFERROR(INDEX('Material routes'!$E$6:$E$2205,MATCH(V647,'Material routes'!$A$6:$A$2205,0)),"MISSING ID")</x:f>
        <x:v>Tendon-pouch sling</x:v>
      </x:c>
      <x:c r="G647" s="4" t="str">
        <x:f>IFERROR(INDEX('Material routes'!$F$6:$F$2205,MATCH(V647,'Material routes'!$A$6:$A$2205,0)),"MISSING ID")</x:f>
        <x:v>Not applicable</x:v>
      </x:c>
      <x:c r="H647" s="4" t="str">
        <x:f>IFERROR(INDEX('Material routes'!$H$6:$H$2205,MATCH(V647,'Material routes'!$A$6:$A$2205,0)),"MISSING ID")</x:f>
        <x:v>Weapon</x:v>
      </x:c>
      <x:c r="I647" s="4" t="str">
        <x:f>IFERROR(INDEX('Material routes'!$G$6:$G$2205,MATCH(V647,'Material routes'!$A$6:$A$2205,0)),"MISSING ID")</x:f>
        <x:v>Weapons</x:v>
      </x:c>
      <x:c r="J647" s="4" t="str">
        <x:f>IFERROR(INDEX('Material routes'!$B$6:$B$2205,MATCH(U647,'Material routes'!$A$6:$A$2205,0)),"MISSING ID")</x:f>
        <x:v>design.collection.tendon_pouch_sling</x:v>
      </x:c>
      <x:c r="K647" s="4" t="str">
        <x:f>IFERROR(INDEX('Crafting recipes'!$C$6:$C$1005,MATCH(J647,'Crafting recipes'!$A$6:$A$1005,0)),"MISSING ID")</x:f>
        <x:v>Finished-item crafting</x:v>
      </x:c>
      <x:c r="L647" s="4" t="str">
        <x:f>IFERROR(INDEX('Material routes'!$K$6:$K$2205,MATCH(U647,'Material routes'!$A$6:$A$2205,0)),"MISSING ID")</x:f>
        <x:v>Proposal</x:v>
      </x:c>
      <x:c r="M647" s="4" t="str">
        <x:f>IFERROR(INDEX('Material routes'!$M$6:$M$2205,MATCH(U647,'Material routes'!$A$6:$A$2205,0)),"MISSING ID")</x:f>
        <x:v>Partial proposal</x:v>
      </x:c>
      <x:c r="N647" s="4"/>
      <x:c r="O647" s="4" t="str">
        <x:f>IFERROR(INDEX('Material routes'!$J$6:$J$2205,MATCH(U647,'Material routes'!$A$6:$A$2205,0)),"MISSING ID")</x:f>
        <x:v>Unspecified</x:v>
      </x:c>
      <x:c r="P647" s="4"/>
      <x:c r="Q647" s="4" t="str">
        <x:f>IFERROR(INDEX('Material routes'!$J$6:$J$2205,MATCH(V647,'Material routes'!$A$6:$A$2205,0)),"MISSING ID")</x:f>
        <x:v>Unspecified</x:v>
      </x:c>
      <x:c r="R647" s="4" t="str">
        <x:f>IF(L647="Withheld","Withheld premise",IF(E647="Tool candidate","Reusable prerequisite",IF(K647="Raw entry preparation","Entry-resource preparation",IF(G647="Not applicable",IF(IFERROR(INDEX('Items'!$AI$6:$AI$1005,MATCH(T647,'Items'!$A$6:$A$1005,0)),"MISSING ID")="Finished item","Finished endpoint",IF(IFERROR(INDEX('Items'!$AI$6:$AI$1005,MATCH(T647,'Items'!$A$6:$A$1005,0)),"MISSING ID")="Currency","Currency / no refinement tier","Recovered output / tier not applicable")),IF(OR(IFERROR(INDEX('Crafting recipes'!$H$6:$H$1005,MATCH(J647,'Crafting recipes'!$A$6:$A$1005,0)),"MISSING ID")="Unassigned",G647="Unassigned"),"Tier unresolved",IF(IFERROR(VALUE(RIGHT(G647,1))-VALUE(RIGHT(IFERROR(INDEX('Crafting recipes'!$H$6:$H$1005,MATCH(J647,'Crafting recipes'!$A$6:$A$1005,0)),"MISSING ID"),1)),0)=1,IF(B647=IFERROR(INDEX('Crafting recipes'!$H$6:$H$1005,MATCH(J647,'Crafting recipes'!$A$6:$A$1005,0)),"MISSING ID"),"Advances one material tier","Lower-tier ingredient; route advances one tier"),"Needs tier review"))))))</x:f>
        <x:v>Finished endpoint</x:v>
      </x:c>
      <x:c r="S647" s="4" t="str">
        <x:f>IFERROR(INDEX('Material routes'!$D$6:$D$2205,MATCH(U647,'Material routes'!$A$6:$A$2205,0)),"MISSING ID")</x:f>
        <x:v>proposal.bio.cord</x:v>
      </x:c>
      <x:c r="T647" s="4" t="str">
        <x:f>IFERROR(INDEX('Material routes'!$D$6:$D$2205,MATCH(V647,'Material routes'!$A$6:$A$2205,0)),"MISSING ID")</x:f>
        <x:v>proposal.collection.tendon_pouch_sling</x:v>
      </x:c>
      <x:c r="U647" s="4" t="str">
        <x:v>design.collection.tendon_pouch_sling.in.1</x:v>
      </x:c>
      <x:c r="V647" s="4" t="str">
        <x:v>design.collection.tendon_pouch_sling.out</x:v>
      </x:c>
    </x:row>
    <x:row r="648" ht="64" customHeight="1">
      <x:c r="A648" s="4" t="str">
        <x:f>IFERROR(INDEX('Material routes'!$E$6:$E$2205,MATCH(U648,'Material routes'!$A$6:$A$2205,0)),"MISSING ID")</x:f>
        <x:v>Processed hide material</x:v>
      </x:c>
      <x:c r="B648" s="4" t="str">
        <x:f>IFERROR(INDEX('Material routes'!$F$6:$F$2205,MATCH(U648,'Material routes'!$A$6:$A$2205,0)),"MISSING ID")</x:f>
        <x:v>T1</x:v>
      </x:c>
      <x:c r="C648" s="4" t="str">
        <x:f>IFERROR(INDEX('Material routes'!$H$6:$H$2205,MATCH(U648,'Material routes'!$A$6:$A$2205,0)),"MISSING ID")</x:f>
        <x:v>Processed material</x:v>
      </x:c>
      <x:c r="D648" s="4" t="str">
        <x:f>IFERROR(INDEX('Material routes'!$G$6:$G$2205,MATCH(U648,'Material routes'!$A$6:$A$2205,0)),"MISSING ID")</x:f>
        <x:v>Crafting components</x:v>
      </x:c>
      <x:c r="E648" s="4" t="str">
        <x:f>IFERROR(INDEX('Material routes'!$C$6:$C$2205,MATCH(U648,'Material routes'!$A$6:$A$2205,0)),"MISSING ID")</x:f>
        <x:v>Ingredient candidate</x:v>
      </x:c>
      <x:c r="F648" s="4" t="str">
        <x:f>IFERROR(INDEX('Material routes'!$E$6:$E$2205,MATCH(V648,'Material routes'!$A$6:$A$2205,0)),"MISSING ID")</x:f>
        <x:v>Tendon-pouch sling</x:v>
      </x:c>
      <x:c r="G648" s="4" t="str">
        <x:f>IFERROR(INDEX('Material routes'!$F$6:$F$2205,MATCH(V648,'Material routes'!$A$6:$A$2205,0)),"MISSING ID")</x:f>
        <x:v>Not applicable</x:v>
      </x:c>
      <x:c r="H648" s="4" t="str">
        <x:f>IFERROR(INDEX('Material routes'!$H$6:$H$2205,MATCH(V648,'Material routes'!$A$6:$A$2205,0)),"MISSING ID")</x:f>
        <x:v>Weapon</x:v>
      </x:c>
      <x:c r="I648" s="4" t="str">
        <x:f>IFERROR(INDEX('Material routes'!$G$6:$G$2205,MATCH(V648,'Material routes'!$A$6:$A$2205,0)),"MISSING ID")</x:f>
        <x:v>Weapons</x:v>
      </x:c>
      <x:c r="J648" s="4" t="str">
        <x:f>IFERROR(INDEX('Material routes'!$B$6:$B$2205,MATCH(U648,'Material routes'!$A$6:$A$2205,0)),"MISSING ID")</x:f>
        <x:v>design.collection.tendon_pouch_sling</x:v>
      </x:c>
      <x:c r="K648" s="4" t="str">
        <x:f>IFERROR(INDEX('Crafting recipes'!$C$6:$C$1005,MATCH(J648,'Crafting recipes'!$A$6:$A$1005,0)),"MISSING ID")</x:f>
        <x:v>Finished-item crafting</x:v>
      </x:c>
      <x:c r="L648" s="4" t="str">
        <x:f>IFERROR(INDEX('Material routes'!$K$6:$K$2205,MATCH(U648,'Material routes'!$A$6:$A$2205,0)),"MISSING ID")</x:f>
        <x:v>Proposal</x:v>
      </x:c>
      <x:c r="M648" s="4" t="str">
        <x:f>IFERROR(INDEX('Material routes'!$M$6:$M$2205,MATCH(U648,'Material routes'!$A$6:$A$2205,0)),"MISSING ID")</x:f>
        <x:v>Partial proposal</x:v>
      </x:c>
      <x:c r="N648" s="4"/>
      <x:c r="O648" s="4" t="str">
        <x:f>IFERROR(INDEX('Material routes'!$J$6:$J$2205,MATCH(U648,'Material routes'!$A$6:$A$2205,0)),"MISSING ID")</x:f>
        <x:v>Unspecified</x:v>
      </x:c>
      <x:c r="P648" s="4"/>
      <x:c r="Q648" s="4" t="str">
        <x:f>IFERROR(INDEX('Material routes'!$J$6:$J$2205,MATCH(V648,'Material routes'!$A$6:$A$2205,0)),"MISSING ID")</x:f>
        <x:v>Unspecified</x:v>
      </x:c>
      <x:c r="R648" s="4" t="str">
        <x:f>IF(L648="Withheld","Withheld premise",IF(E648="Tool candidate","Reusable prerequisite",IF(K648="Raw entry preparation","Entry-resource preparation",IF(G648="Not applicable",IF(IFERROR(INDEX('Items'!$AI$6:$AI$1005,MATCH(T648,'Items'!$A$6:$A$1005,0)),"MISSING ID")="Finished item","Finished endpoint",IF(IFERROR(INDEX('Items'!$AI$6:$AI$1005,MATCH(T648,'Items'!$A$6:$A$1005,0)),"MISSING ID")="Currency","Currency / no refinement tier","Recovered output / tier not applicable")),IF(OR(IFERROR(INDEX('Crafting recipes'!$H$6:$H$1005,MATCH(J648,'Crafting recipes'!$A$6:$A$1005,0)),"MISSING ID")="Unassigned",G648="Unassigned"),"Tier unresolved",IF(IFERROR(VALUE(RIGHT(G648,1))-VALUE(RIGHT(IFERROR(INDEX('Crafting recipes'!$H$6:$H$1005,MATCH(J648,'Crafting recipes'!$A$6:$A$1005,0)),"MISSING ID"),1)),0)=1,IF(B648=IFERROR(INDEX('Crafting recipes'!$H$6:$H$1005,MATCH(J648,'Crafting recipes'!$A$6:$A$1005,0)),"MISSING ID"),"Advances one material tier","Lower-tier ingredient; route advances one tier"),"Needs tier review"))))))</x:f>
        <x:v>Finished endpoint</x:v>
      </x:c>
      <x:c r="S648" s="4" t="str">
        <x:f>IFERROR(INDEX('Material routes'!$D$6:$D$2205,MATCH(U648,'Material routes'!$A$6:$A$2205,0)),"MISSING ID")</x:f>
        <x:v>proposal.bio.hide_material</x:v>
      </x:c>
      <x:c r="T648" s="4" t="str">
        <x:f>IFERROR(INDEX('Material routes'!$D$6:$D$2205,MATCH(V648,'Material routes'!$A$6:$A$2205,0)),"MISSING ID")</x:f>
        <x:v>proposal.collection.tendon_pouch_sling</x:v>
      </x:c>
      <x:c r="U648" s="4" t="str">
        <x:v>design.collection.tendon_pouch_sling.in.2</x:v>
      </x:c>
      <x:c r="V648" s="4" t="str">
        <x:v>design.collection.tendon_pouch_sling.out</x:v>
      </x:c>
    </x:row>
    <x:row r="649" ht="64" customHeight="1">
      <x:c r="A649" s="4" t="str">
        <x:f>IFERROR(INDEX('Material routes'!$E$6:$E$2205,MATCH(U649,'Material routes'!$A$6:$A$2205,0)),"MISSING ID")</x:f>
        <x:v>Spring-grade steel stock</x:v>
      </x:c>
      <x:c r="B649" s="4" t="str">
        <x:f>IFERROR(INDEX('Material routes'!$F$6:$F$2205,MATCH(U649,'Material routes'!$A$6:$A$2205,0)),"MISSING ID")</x:f>
        <x:v>T3</x:v>
      </x:c>
      <x:c r="C649" s="4" t="str">
        <x:f>IFERROR(INDEX('Material routes'!$H$6:$H$2205,MATCH(U649,'Material routes'!$A$6:$A$2205,0)),"MISSING ID")</x:f>
        <x:v>Processed material</x:v>
      </x:c>
      <x:c r="D649" s="4" t="str">
        <x:f>IFERROR(INDEX('Material routes'!$G$6:$G$2205,MATCH(U649,'Material routes'!$A$6:$A$2205,0)),"MISSING ID")</x:f>
        <x:v>Manufactured stock</x:v>
      </x:c>
      <x:c r="E649" s="4" t="str">
        <x:f>IFERROR(INDEX('Material routes'!$C$6:$C$2205,MATCH(U649,'Material routes'!$A$6:$A$2205,0)),"MISSING ID")</x:f>
        <x:v>Ingredient candidate</x:v>
      </x:c>
      <x:c r="F649" s="4" t="str">
        <x:f>IFERROR(INDEX('Material routes'!$E$6:$E$2205,MATCH(V649,'Material routes'!$A$6:$A$2205,0)),"MISSING ID")</x:f>
        <x:v>Steel-limbed crossbow</x:v>
      </x:c>
      <x:c r="G649" s="4" t="str">
        <x:f>IFERROR(INDEX('Material routes'!$F$6:$F$2205,MATCH(V649,'Material routes'!$A$6:$A$2205,0)),"MISSING ID")</x:f>
        <x:v>Not applicable</x:v>
      </x:c>
      <x:c r="H649" s="4" t="str">
        <x:f>IFERROR(INDEX('Material routes'!$H$6:$H$2205,MATCH(V649,'Material routes'!$A$6:$A$2205,0)),"MISSING ID")</x:f>
        <x:v>Weapon</x:v>
      </x:c>
      <x:c r="I649" s="4" t="str">
        <x:f>IFERROR(INDEX('Material routes'!$G$6:$G$2205,MATCH(V649,'Material routes'!$A$6:$A$2205,0)),"MISSING ID")</x:f>
        <x:v>Weapons</x:v>
      </x:c>
      <x:c r="J649" s="4" t="str">
        <x:f>IFERROR(INDEX('Material routes'!$B$6:$B$2205,MATCH(U649,'Material routes'!$A$6:$A$2205,0)),"MISSING ID")</x:f>
        <x:v>design.collection.steel_limbed_crossbow</x:v>
      </x:c>
      <x:c r="K649" s="4" t="str">
        <x:f>IFERROR(INDEX('Crafting recipes'!$C$6:$C$1005,MATCH(J649,'Crafting recipes'!$A$6:$A$1005,0)),"MISSING ID")</x:f>
        <x:v>Finished-item crafting</x:v>
      </x:c>
      <x:c r="L649" s="4" t="str">
        <x:f>IFERROR(INDEX('Material routes'!$K$6:$K$2205,MATCH(U649,'Material routes'!$A$6:$A$2205,0)),"MISSING ID")</x:f>
        <x:v>Proposal</x:v>
      </x:c>
      <x:c r="M649" s="4" t="str">
        <x:f>IFERROR(INDEX('Material routes'!$M$6:$M$2205,MATCH(U649,'Material routes'!$A$6:$A$2205,0)),"MISSING ID")</x:f>
        <x:v>Partial proposal</x:v>
      </x:c>
      <x:c r="N649" s="4"/>
      <x:c r="O649" s="4" t="str">
        <x:f>IFERROR(INDEX('Material routes'!$J$6:$J$2205,MATCH(U649,'Material routes'!$A$6:$A$2205,0)),"MISSING ID")</x:f>
        <x:v>Unspecified</x:v>
      </x:c>
      <x:c r="P649" s="4"/>
      <x:c r="Q649" s="4" t="str">
        <x:f>IFERROR(INDEX('Material routes'!$J$6:$J$2205,MATCH(V649,'Material routes'!$A$6:$A$2205,0)),"MISSING ID")</x:f>
        <x:v>Unspecified</x:v>
      </x:c>
      <x:c r="R649" s="4" t="str">
        <x:f>IF(L649="Withheld","Withheld premise",IF(E649="Tool candidate","Reusable prerequisite",IF(K649="Raw entry preparation","Entry-resource preparation",IF(G649="Not applicable",IF(IFERROR(INDEX('Items'!$AI$6:$AI$1005,MATCH(T649,'Items'!$A$6:$A$1005,0)),"MISSING ID")="Finished item","Finished endpoint",IF(IFERROR(INDEX('Items'!$AI$6:$AI$1005,MATCH(T649,'Items'!$A$6:$A$1005,0)),"MISSING ID")="Currency","Currency / no refinement tier","Recovered output / tier not applicable")),IF(OR(IFERROR(INDEX('Crafting recipes'!$H$6:$H$1005,MATCH(J649,'Crafting recipes'!$A$6:$A$1005,0)),"MISSING ID")="Unassigned",G649="Unassigned"),"Tier unresolved",IF(IFERROR(VALUE(RIGHT(G649,1))-VALUE(RIGHT(IFERROR(INDEX('Crafting recipes'!$H$6:$H$1005,MATCH(J649,'Crafting recipes'!$A$6:$A$1005,0)),"MISSING ID"),1)),0)=1,IF(B649=IFERROR(INDEX('Crafting recipes'!$H$6:$H$1005,MATCH(J649,'Crafting recipes'!$A$6:$A$1005,0)),"MISSING ID"),"Advances one material tier","Lower-tier ingredient; route advances one tier"),"Needs tier review"))))))</x:f>
        <x:v>Finished endpoint</x:v>
      </x:c>
      <x:c r="S649" s="4" t="str">
        <x:f>IFERROR(INDEX('Material routes'!$D$6:$D$2205,MATCH(U649,'Material routes'!$A$6:$A$2205,0)),"MISSING ID")</x:f>
        <x:v>proposal.branch.spring_steel</x:v>
      </x:c>
      <x:c r="T649" s="4" t="str">
        <x:f>IFERROR(INDEX('Material routes'!$D$6:$D$2205,MATCH(V649,'Material routes'!$A$6:$A$2205,0)),"MISSING ID")</x:f>
        <x:v>proposal.collection.steel_limbed_crossbow</x:v>
      </x:c>
      <x:c r="U649" s="4" t="str">
        <x:v>design.collection.steel_limbed_crossbow.in.1</x:v>
      </x:c>
      <x:c r="V649" s="4" t="str">
        <x:v>design.collection.steel_limbed_crossbow.out</x:v>
      </x:c>
    </x:row>
    <x:row r="650" ht="64" customHeight="1">
      <x:c r="A650" s="4" t="str">
        <x:f>IFERROR(INDEX('Material routes'!$E$6:$E$2205,MATCH(U650,'Material routes'!$A$6:$A$2205,0)),"MISSING ID")</x:f>
        <x:v>Steel stock</x:v>
      </x:c>
      <x:c r="B650" s="4" t="str">
        <x:f>IFERROR(INDEX('Material routes'!$F$6:$F$2205,MATCH(U650,'Material routes'!$A$6:$A$2205,0)),"MISSING ID")</x:f>
        <x:v>T2</x:v>
      </x:c>
      <x:c r="C650" s="4" t="str">
        <x:f>IFERROR(INDEX('Material routes'!$H$6:$H$2205,MATCH(U650,'Material routes'!$A$6:$A$2205,0)),"MISSING ID")</x:f>
        <x:v>Processed material</x:v>
      </x:c>
      <x:c r="D650" s="4" t="str">
        <x:f>IFERROR(INDEX('Material routes'!$G$6:$G$2205,MATCH(U650,'Material routes'!$A$6:$A$2205,0)),"MISSING ID")</x:f>
        <x:v>Manufactured stock</x:v>
      </x:c>
      <x:c r="E650" s="4" t="str">
        <x:f>IFERROR(INDEX('Material routes'!$C$6:$C$2205,MATCH(U650,'Material routes'!$A$6:$A$2205,0)),"MISSING ID")</x:f>
        <x:v>Ingredient candidate</x:v>
      </x:c>
      <x:c r="F650" s="4" t="str">
        <x:f>IFERROR(INDEX('Material routes'!$E$6:$E$2205,MATCH(V650,'Material routes'!$A$6:$A$2205,0)),"MISSING ID")</x:f>
        <x:v>Steel-limbed crossbow</x:v>
      </x:c>
      <x:c r="G650" s="4" t="str">
        <x:f>IFERROR(INDEX('Material routes'!$F$6:$F$2205,MATCH(V650,'Material routes'!$A$6:$A$2205,0)),"MISSING ID")</x:f>
        <x:v>Not applicable</x:v>
      </x:c>
      <x:c r="H650" s="4" t="str">
        <x:f>IFERROR(INDEX('Material routes'!$H$6:$H$2205,MATCH(V650,'Material routes'!$A$6:$A$2205,0)),"MISSING ID")</x:f>
        <x:v>Weapon</x:v>
      </x:c>
      <x:c r="I650" s="4" t="str">
        <x:f>IFERROR(INDEX('Material routes'!$G$6:$G$2205,MATCH(V650,'Material routes'!$A$6:$A$2205,0)),"MISSING ID")</x:f>
        <x:v>Weapons</x:v>
      </x:c>
      <x:c r="J650" s="4" t="str">
        <x:f>IFERROR(INDEX('Material routes'!$B$6:$B$2205,MATCH(U650,'Material routes'!$A$6:$A$2205,0)),"MISSING ID")</x:f>
        <x:v>design.collection.steel_limbed_crossbow</x:v>
      </x:c>
      <x:c r="K650" s="4" t="str">
        <x:f>IFERROR(INDEX('Crafting recipes'!$C$6:$C$1005,MATCH(J650,'Crafting recipes'!$A$6:$A$1005,0)),"MISSING ID")</x:f>
        <x:v>Finished-item crafting</x:v>
      </x:c>
      <x:c r="L650" s="4" t="str">
        <x:f>IFERROR(INDEX('Material routes'!$K$6:$K$2205,MATCH(U650,'Material routes'!$A$6:$A$2205,0)),"MISSING ID")</x:f>
        <x:v>Proposal</x:v>
      </x:c>
      <x:c r="M650" s="4" t="str">
        <x:f>IFERROR(INDEX('Material routes'!$M$6:$M$2205,MATCH(U650,'Material routes'!$A$6:$A$2205,0)),"MISSING ID")</x:f>
        <x:v>Partial proposal</x:v>
      </x:c>
      <x:c r="N650" s="4"/>
      <x:c r="O650" s="4" t="str">
        <x:f>IFERROR(INDEX('Material routes'!$J$6:$J$2205,MATCH(U650,'Material routes'!$A$6:$A$2205,0)),"MISSING ID")</x:f>
        <x:v>Unspecified</x:v>
      </x:c>
      <x:c r="P650" s="4"/>
      <x:c r="Q650" s="4" t="str">
        <x:f>IFERROR(INDEX('Material routes'!$J$6:$J$2205,MATCH(V650,'Material routes'!$A$6:$A$2205,0)),"MISSING ID")</x:f>
        <x:v>Unspecified</x:v>
      </x:c>
      <x:c r="R650" s="4" t="str">
        <x:f>IF(L650="Withheld","Withheld premise",IF(E650="Tool candidate","Reusable prerequisite",IF(K650="Raw entry preparation","Entry-resource preparation",IF(G650="Not applicable",IF(IFERROR(INDEX('Items'!$AI$6:$AI$1005,MATCH(T650,'Items'!$A$6:$A$1005,0)),"MISSING ID")="Finished item","Finished endpoint",IF(IFERROR(INDEX('Items'!$AI$6:$AI$1005,MATCH(T650,'Items'!$A$6:$A$1005,0)),"MISSING ID")="Currency","Currency / no refinement tier","Recovered output / tier not applicable")),IF(OR(IFERROR(INDEX('Crafting recipes'!$H$6:$H$1005,MATCH(J650,'Crafting recipes'!$A$6:$A$1005,0)),"MISSING ID")="Unassigned",G650="Unassigned"),"Tier unresolved",IF(IFERROR(VALUE(RIGHT(G650,1))-VALUE(RIGHT(IFERROR(INDEX('Crafting recipes'!$H$6:$H$1005,MATCH(J650,'Crafting recipes'!$A$6:$A$1005,0)),"MISSING ID"),1)),0)=1,IF(B650=IFERROR(INDEX('Crafting recipes'!$H$6:$H$1005,MATCH(J650,'Crafting recipes'!$A$6:$A$1005,0)),"MISSING ID"),"Advances one material tier","Lower-tier ingredient; route advances one tier"),"Needs tier review"))))))</x:f>
        <x:v>Finished endpoint</x:v>
      </x:c>
      <x:c r="S650" s="4" t="str">
        <x:f>IFERROR(INDEX('Material routes'!$D$6:$D$2205,MATCH(U650,'Material routes'!$A$6:$A$2205,0)),"MISSING ID")</x:f>
        <x:v>author.metallurgy.steel_stock</x:v>
      </x:c>
      <x:c r="T650" s="4" t="str">
        <x:f>IFERROR(INDEX('Material routes'!$D$6:$D$2205,MATCH(V650,'Material routes'!$A$6:$A$2205,0)),"MISSING ID")</x:f>
        <x:v>proposal.collection.steel_limbed_crossbow</x:v>
      </x:c>
      <x:c r="U650" s="4" t="str">
        <x:v>design.collection.steel_limbed_crossbow.in.2</x:v>
      </x:c>
      <x:c r="V650" s="4" t="str">
        <x:v>design.collection.steel_limbed_crossbow.out</x:v>
      </x:c>
    </x:row>
    <x:row r="651" ht="64" customHeight="1">
      <x:c r="A651" s="4" t="str">
        <x:f>IFERROR(INDEX('Material routes'!$E$6:$E$2205,MATCH(U651,'Material routes'!$A$6:$A$2205,0)),"MISSING ID")</x:f>
        <x:v>Tendon cord</x:v>
      </x:c>
      <x:c r="B651" s="4" t="str">
        <x:f>IFERROR(INDEX('Material routes'!$F$6:$F$2205,MATCH(U651,'Material routes'!$A$6:$A$2205,0)),"MISSING ID")</x:f>
        <x:v>T1</x:v>
      </x:c>
      <x:c r="C651" s="4" t="str">
        <x:f>IFERROR(INDEX('Material routes'!$H$6:$H$2205,MATCH(U651,'Material routes'!$A$6:$A$2205,0)),"MISSING ID")</x:f>
        <x:v>Crafting component</x:v>
      </x:c>
      <x:c r="D651" s="4" t="str">
        <x:f>IFERROR(INDEX('Material routes'!$G$6:$G$2205,MATCH(U651,'Material routes'!$A$6:$A$2205,0)),"MISSING ID")</x:f>
        <x:v>Crafting components</x:v>
      </x:c>
      <x:c r="E651" s="4" t="str">
        <x:f>IFERROR(INDEX('Material routes'!$C$6:$C$2205,MATCH(U651,'Material routes'!$A$6:$A$2205,0)),"MISSING ID")</x:f>
        <x:v>Ingredient candidate</x:v>
      </x:c>
      <x:c r="F651" s="4" t="str">
        <x:f>IFERROR(INDEX('Material routes'!$E$6:$E$2205,MATCH(V651,'Material routes'!$A$6:$A$2205,0)),"MISSING ID")</x:f>
        <x:v>Steel-limbed crossbow</x:v>
      </x:c>
      <x:c r="G651" s="4" t="str">
        <x:f>IFERROR(INDEX('Material routes'!$F$6:$F$2205,MATCH(V651,'Material routes'!$A$6:$A$2205,0)),"MISSING ID")</x:f>
        <x:v>Not applicable</x:v>
      </x:c>
      <x:c r="H651" s="4" t="str">
        <x:f>IFERROR(INDEX('Material routes'!$H$6:$H$2205,MATCH(V651,'Material routes'!$A$6:$A$2205,0)),"MISSING ID")</x:f>
        <x:v>Weapon</x:v>
      </x:c>
      <x:c r="I651" s="4" t="str">
        <x:f>IFERROR(INDEX('Material routes'!$G$6:$G$2205,MATCH(V651,'Material routes'!$A$6:$A$2205,0)),"MISSING ID")</x:f>
        <x:v>Weapons</x:v>
      </x:c>
      <x:c r="J651" s="4" t="str">
        <x:f>IFERROR(INDEX('Material routes'!$B$6:$B$2205,MATCH(U651,'Material routes'!$A$6:$A$2205,0)),"MISSING ID")</x:f>
        <x:v>design.collection.steel_limbed_crossbow</x:v>
      </x:c>
      <x:c r="K651" s="4" t="str">
        <x:f>IFERROR(INDEX('Crafting recipes'!$C$6:$C$1005,MATCH(J651,'Crafting recipes'!$A$6:$A$1005,0)),"MISSING ID")</x:f>
        <x:v>Finished-item crafting</x:v>
      </x:c>
      <x:c r="L651" s="4" t="str">
        <x:f>IFERROR(INDEX('Material routes'!$K$6:$K$2205,MATCH(U651,'Material routes'!$A$6:$A$2205,0)),"MISSING ID")</x:f>
        <x:v>Proposal</x:v>
      </x:c>
      <x:c r="M651" s="4" t="str">
        <x:f>IFERROR(INDEX('Material routes'!$M$6:$M$2205,MATCH(U651,'Material routes'!$A$6:$A$2205,0)),"MISSING ID")</x:f>
        <x:v>Partial proposal</x:v>
      </x:c>
      <x:c r="N651" s="4"/>
      <x:c r="O651" s="4" t="str">
        <x:f>IFERROR(INDEX('Material routes'!$J$6:$J$2205,MATCH(U651,'Material routes'!$A$6:$A$2205,0)),"MISSING ID")</x:f>
        <x:v>Unspecified</x:v>
      </x:c>
      <x:c r="P651" s="4"/>
      <x:c r="Q651" s="4" t="str">
        <x:f>IFERROR(INDEX('Material routes'!$J$6:$J$2205,MATCH(V651,'Material routes'!$A$6:$A$2205,0)),"MISSING ID")</x:f>
        <x:v>Unspecified</x:v>
      </x:c>
      <x:c r="R651" s="4" t="str">
        <x:f>IF(L651="Withheld","Withheld premise",IF(E651="Tool candidate","Reusable prerequisite",IF(K651="Raw entry preparation","Entry-resource preparation",IF(G651="Not applicable",IF(IFERROR(INDEX('Items'!$AI$6:$AI$1005,MATCH(T651,'Items'!$A$6:$A$1005,0)),"MISSING ID")="Finished item","Finished endpoint",IF(IFERROR(INDEX('Items'!$AI$6:$AI$1005,MATCH(T651,'Items'!$A$6:$A$1005,0)),"MISSING ID")="Currency","Currency / no refinement tier","Recovered output / tier not applicable")),IF(OR(IFERROR(INDEX('Crafting recipes'!$H$6:$H$1005,MATCH(J651,'Crafting recipes'!$A$6:$A$1005,0)),"MISSING ID")="Unassigned",G651="Unassigned"),"Tier unresolved",IF(IFERROR(VALUE(RIGHT(G651,1))-VALUE(RIGHT(IFERROR(INDEX('Crafting recipes'!$H$6:$H$1005,MATCH(J651,'Crafting recipes'!$A$6:$A$1005,0)),"MISSING ID"),1)),0)=1,IF(B651=IFERROR(INDEX('Crafting recipes'!$H$6:$H$1005,MATCH(J651,'Crafting recipes'!$A$6:$A$1005,0)),"MISSING ID"),"Advances one material tier","Lower-tier ingredient; route advances one tier"),"Needs tier review"))))))</x:f>
        <x:v>Finished endpoint</x:v>
      </x:c>
      <x:c r="S651" s="4" t="str">
        <x:f>IFERROR(INDEX('Material routes'!$D$6:$D$2205,MATCH(U651,'Material routes'!$A$6:$A$2205,0)),"MISSING ID")</x:f>
        <x:v>proposal.bio.cord</x:v>
      </x:c>
      <x:c r="T651" s="4" t="str">
        <x:f>IFERROR(INDEX('Material routes'!$D$6:$D$2205,MATCH(V651,'Material routes'!$A$6:$A$2205,0)),"MISSING ID")</x:f>
        <x:v>proposal.collection.steel_limbed_crossbow</x:v>
      </x:c>
      <x:c r="U651" s="4" t="str">
        <x:v>design.collection.steel_limbed_crossbow.in.3</x:v>
      </x:c>
      <x:c r="V651" s="4" t="str">
        <x:v>design.collection.steel_limbed_crossbow.out</x:v>
      </x:c>
    </x:row>
    <x:row r="652" ht="64" customHeight="1">
      <x:c r="A652" s="4" t="str">
        <x:f>IFERROR(INDEX('Material routes'!$E$6:$E$2205,MATCH(U652,'Material routes'!$A$6:$A$2205,0)),"MISSING ID")</x:f>
        <x:v>Spring-grade steel stock</x:v>
      </x:c>
      <x:c r="B652" s="4" t="str">
        <x:f>IFERROR(INDEX('Material routes'!$F$6:$F$2205,MATCH(U652,'Material routes'!$A$6:$A$2205,0)),"MISSING ID")</x:f>
        <x:v>T3</x:v>
      </x:c>
      <x:c r="C652" s="4" t="str">
        <x:f>IFERROR(INDEX('Material routes'!$H$6:$H$2205,MATCH(U652,'Material routes'!$A$6:$A$2205,0)),"MISSING ID")</x:f>
        <x:v>Processed material</x:v>
      </x:c>
      <x:c r="D652" s="4" t="str">
        <x:f>IFERROR(INDEX('Material routes'!$G$6:$G$2205,MATCH(U652,'Material routes'!$A$6:$A$2205,0)),"MISSING ID")</x:f>
        <x:v>Manufactured stock</x:v>
      </x:c>
      <x:c r="E652" s="4" t="str">
        <x:f>IFERROR(INDEX('Material routes'!$C$6:$C$2205,MATCH(U652,'Material routes'!$A$6:$A$2205,0)),"MISSING ID")</x:f>
        <x:v>Ingredient candidate</x:v>
      </x:c>
      <x:c r="F652" s="4" t="str">
        <x:f>IFERROR(INDEX('Material routes'!$E$6:$E$2205,MATCH(V652,'Material routes'!$A$6:$A$2205,0)),"MISSING ID")</x:f>
        <x:v>Crank-wound siege bow</x:v>
      </x:c>
      <x:c r="G652" s="4" t="str">
        <x:f>IFERROR(INDEX('Material routes'!$F$6:$F$2205,MATCH(V652,'Material routes'!$A$6:$A$2205,0)),"MISSING ID")</x:f>
        <x:v>Not applicable</x:v>
      </x:c>
      <x:c r="H652" s="4" t="str">
        <x:f>IFERROR(INDEX('Material routes'!$H$6:$H$2205,MATCH(V652,'Material routes'!$A$6:$A$2205,0)),"MISSING ID")</x:f>
        <x:v>Weapon</x:v>
      </x:c>
      <x:c r="I652" s="4" t="str">
        <x:f>IFERROR(INDEX('Material routes'!$G$6:$G$2205,MATCH(V652,'Material routes'!$A$6:$A$2205,0)),"MISSING ID")</x:f>
        <x:v>Weapons</x:v>
      </x:c>
      <x:c r="J652" s="4" t="str">
        <x:f>IFERROR(INDEX('Material routes'!$B$6:$B$2205,MATCH(U652,'Material routes'!$A$6:$A$2205,0)),"MISSING ID")</x:f>
        <x:v>design.collection.crank_wound_siege_bow</x:v>
      </x:c>
      <x:c r="K652" s="4" t="str">
        <x:f>IFERROR(INDEX('Crafting recipes'!$C$6:$C$1005,MATCH(J652,'Crafting recipes'!$A$6:$A$1005,0)),"MISSING ID")</x:f>
        <x:v>Finished-item crafting</x:v>
      </x:c>
      <x:c r="L652" s="4" t="str">
        <x:f>IFERROR(INDEX('Material routes'!$K$6:$K$2205,MATCH(U652,'Material routes'!$A$6:$A$2205,0)),"MISSING ID")</x:f>
        <x:v>Proposal</x:v>
      </x:c>
      <x:c r="M652" s="4" t="str">
        <x:f>IFERROR(INDEX('Material routes'!$M$6:$M$2205,MATCH(U652,'Material routes'!$A$6:$A$2205,0)),"MISSING ID")</x:f>
        <x:v>Partial proposal</x:v>
      </x:c>
      <x:c r="N652" s="4"/>
      <x:c r="O652" s="4" t="str">
        <x:f>IFERROR(INDEX('Material routes'!$J$6:$J$2205,MATCH(U652,'Material routes'!$A$6:$A$2205,0)),"MISSING ID")</x:f>
        <x:v>Unspecified</x:v>
      </x:c>
      <x:c r="P652" s="4"/>
      <x:c r="Q652" s="4" t="str">
        <x:f>IFERROR(INDEX('Material routes'!$J$6:$J$2205,MATCH(V652,'Material routes'!$A$6:$A$2205,0)),"MISSING ID")</x:f>
        <x:v>Unspecified</x:v>
      </x:c>
      <x:c r="R652" s="4" t="str">
        <x:f>IF(L652="Withheld","Withheld premise",IF(E652="Tool candidate","Reusable prerequisite",IF(K652="Raw entry preparation","Entry-resource preparation",IF(G652="Not applicable",IF(IFERROR(INDEX('Items'!$AI$6:$AI$1005,MATCH(T652,'Items'!$A$6:$A$1005,0)),"MISSING ID")="Finished item","Finished endpoint",IF(IFERROR(INDEX('Items'!$AI$6:$AI$1005,MATCH(T652,'Items'!$A$6:$A$1005,0)),"MISSING ID")="Currency","Currency / no refinement tier","Recovered output / tier not applicable")),IF(OR(IFERROR(INDEX('Crafting recipes'!$H$6:$H$1005,MATCH(J652,'Crafting recipes'!$A$6:$A$1005,0)),"MISSING ID")="Unassigned",G652="Unassigned"),"Tier unresolved",IF(IFERROR(VALUE(RIGHT(G652,1))-VALUE(RIGHT(IFERROR(INDEX('Crafting recipes'!$H$6:$H$1005,MATCH(J652,'Crafting recipes'!$A$6:$A$1005,0)),"MISSING ID"),1)),0)=1,IF(B652=IFERROR(INDEX('Crafting recipes'!$H$6:$H$1005,MATCH(J652,'Crafting recipes'!$A$6:$A$1005,0)),"MISSING ID"),"Advances one material tier","Lower-tier ingredient; route advances one tier"),"Needs tier review"))))))</x:f>
        <x:v>Finished endpoint</x:v>
      </x:c>
      <x:c r="S652" s="4" t="str">
        <x:f>IFERROR(INDEX('Material routes'!$D$6:$D$2205,MATCH(U652,'Material routes'!$A$6:$A$2205,0)),"MISSING ID")</x:f>
        <x:v>proposal.branch.spring_steel</x:v>
      </x:c>
      <x:c r="T652" s="4" t="str">
        <x:f>IFERROR(INDEX('Material routes'!$D$6:$D$2205,MATCH(V652,'Material routes'!$A$6:$A$2205,0)),"MISSING ID")</x:f>
        <x:v>proposal.collection.crank_wound_siege_bow</x:v>
      </x:c>
      <x:c r="U652" s="4" t="str">
        <x:v>design.collection.crank_wound_siege_bow.in.1</x:v>
      </x:c>
      <x:c r="V652" s="4" t="str">
        <x:v>design.collection.crank_wound_siege_bow.out</x:v>
      </x:c>
    </x:row>
    <x:row r="653" ht="64" customHeight="1">
      <x:c r="A653" s="4" t="str">
        <x:f>IFERROR(INDEX('Material routes'!$E$6:$E$2205,MATCH(U653,'Material routes'!$A$6:$A$2205,0)),"MISSING ID")</x:f>
        <x:v>Steel stock</x:v>
      </x:c>
      <x:c r="B653" s="4" t="str">
        <x:f>IFERROR(INDEX('Material routes'!$F$6:$F$2205,MATCH(U653,'Material routes'!$A$6:$A$2205,0)),"MISSING ID")</x:f>
        <x:v>T2</x:v>
      </x:c>
      <x:c r="C653" s="4" t="str">
        <x:f>IFERROR(INDEX('Material routes'!$H$6:$H$2205,MATCH(U653,'Material routes'!$A$6:$A$2205,0)),"MISSING ID")</x:f>
        <x:v>Processed material</x:v>
      </x:c>
      <x:c r="D653" s="4" t="str">
        <x:f>IFERROR(INDEX('Material routes'!$G$6:$G$2205,MATCH(U653,'Material routes'!$A$6:$A$2205,0)),"MISSING ID")</x:f>
        <x:v>Manufactured stock</x:v>
      </x:c>
      <x:c r="E653" s="4" t="str">
        <x:f>IFERROR(INDEX('Material routes'!$C$6:$C$2205,MATCH(U653,'Material routes'!$A$6:$A$2205,0)),"MISSING ID")</x:f>
        <x:v>Ingredient candidate</x:v>
      </x:c>
      <x:c r="F653" s="4" t="str">
        <x:f>IFERROR(INDEX('Material routes'!$E$6:$E$2205,MATCH(V653,'Material routes'!$A$6:$A$2205,0)),"MISSING ID")</x:f>
        <x:v>Crank-wound siege bow</x:v>
      </x:c>
      <x:c r="G653" s="4" t="str">
        <x:f>IFERROR(INDEX('Material routes'!$F$6:$F$2205,MATCH(V653,'Material routes'!$A$6:$A$2205,0)),"MISSING ID")</x:f>
        <x:v>Not applicable</x:v>
      </x:c>
      <x:c r="H653" s="4" t="str">
        <x:f>IFERROR(INDEX('Material routes'!$H$6:$H$2205,MATCH(V653,'Material routes'!$A$6:$A$2205,0)),"MISSING ID")</x:f>
        <x:v>Weapon</x:v>
      </x:c>
      <x:c r="I653" s="4" t="str">
        <x:f>IFERROR(INDEX('Material routes'!$G$6:$G$2205,MATCH(V653,'Material routes'!$A$6:$A$2205,0)),"MISSING ID")</x:f>
        <x:v>Weapons</x:v>
      </x:c>
      <x:c r="J653" s="4" t="str">
        <x:f>IFERROR(INDEX('Material routes'!$B$6:$B$2205,MATCH(U653,'Material routes'!$A$6:$A$2205,0)),"MISSING ID")</x:f>
        <x:v>design.collection.crank_wound_siege_bow</x:v>
      </x:c>
      <x:c r="K653" s="4" t="str">
        <x:f>IFERROR(INDEX('Crafting recipes'!$C$6:$C$1005,MATCH(J653,'Crafting recipes'!$A$6:$A$1005,0)),"MISSING ID")</x:f>
        <x:v>Finished-item crafting</x:v>
      </x:c>
      <x:c r="L653" s="4" t="str">
        <x:f>IFERROR(INDEX('Material routes'!$K$6:$K$2205,MATCH(U653,'Material routes'!$A$6:$A$2205,0)),"MISSING ID")</x:f>
        <x:v>Proposal</x:v>
      </x:c>
      <x:c r="M653" s="4" t="str">
        <x:f>IFERROR(INDEX('Material routes'!$M$6:$M$2205,MATCH(U653,'Material routes'!$A$6:$A$2205,0)),"MISSING ID")</x:f>
        <x:v>Partial proposal</x:v>
      </x:c>
      <x:c r="N653" s="4"/>
      <x:c r="O653" s="4" t="str">
        <x:f>IFERROR(INDEX('Material routes'!$J$6:$J$2205,MATCH(U653,'Material routes'!$A$6:$A$2205,0)),"MISSING ID")</x:f>
        <x:v>Unspecified</x:v>
      </x:c>
      <x:c r="P653" s="4"/>
      <x:c r="Q653" s="4" t="str">
        <x:f>IFERROR(INDEX('Material routes'!$J$6:$J$2205,MATCH(V653,'Material routes'!$A$6:$A$2205,0)),"MISSING ID")</x:f>
        <x:v>Unspecified</x:v>
      </x:c>
      <x:c r="R653" s="4" t="str">
        <x:f>IF(L653="Withheld","Withheld premise",IF(E653="Tool candidate","Reusable prerequisite",IF(K653="Raw entry preparation","Entry-resource preparation",IF(G653="Not applicable",IF(IFERROR(INDEX('Items'!$AI$6:$AI$1005,MATCH(T653,'Items'!$A$6:$A$1005,0)),"MISSING ID")="Finished item","Finished endpoint",IF(IFERROR(INDEX('Items'!$AI$6:$AI$1005,MATCH(T653,'Items'!$A$6:$A$1005,0)),"MISSING ID")="Currency","Currency / no refinement tier","Recovered output / tier not applicable")),IF(OR(IFERROR(INDEX('Crafting recipes'!$H$6:$H$1005,MATCH(J653,'Crafting recipes'!$A$6:$A$1005,0)),"MISSING ID")="Unassigned",G653="Unassigned"),"Tier unresolved",IF(IFERROR(VALUE(RIGHT(G653,1))-VALUE(RIGHT(IFERROR(INDEX('Crafting recipes'!$H$6:$H$1005,MATCH(J653,'Crafting recipes'!$A$6:$A$1005,0)),"MISSING ID"),1)),0)=1,IF(B653=IFERROR(INDEX('Crafting recipes'!$H$6:$H$1005,MATCH(J653,'Crafting recipes'!$A$6:$A$1005,0)),"MISSING ID"),"Advances one material tier","Lower-tier ingredient; route advances one tier"),"Needs tier review"))))))</x:f>
        <x:v>Finished endpoint</x:v>
      </x:c>
      <x:c r="S653" s="4" t="str">
        <x:f>IFERROR(INDEX('Material routes'!$D$6:$D$2205,MATCH(U653,'Material routes'!$A$6:$A$2205,0)),"MISSING ID")</x:f>
        <x:v>author.metallurgy.steel_stock</x:v>
      </x:c>
      <x:c r="T653" s="4" t="str">
        <x:f>IFERROR(INDEX('Material routes'!$D$6:$D$2205,MATCH(V653,'Material routes'!$A$6:$A$2205,0)),"MISSING ID")</x:f>
        <x:v>proposal.collection.crank_wound_siege_bow</x:v>
      </x:c>
      <x:c r="U653" s="4" t="str">
        <x:v>design.collection.crank_wound_siege_bow.in.2</x:v>
      </x:c>
      <x:c r="V653" s="4" t="str">
        <x:v>design.collection.crank_wound_siege_bow.out</x:v>
      </x:c>
    </x:row>
    <x:row r="654" ht="64" customHeight="1">
      <x:c r="A654" s="4" t="str">
        <x:f>IFERROR(INDEX('Material routes'!$E$6:$E$2205,MATCH(U654,'Material routes'!$A$6:$A$2205,0)),"MISSING ID")</x:f>
        <x:v>Matched metal fastener set</x:v>
      </x:c>
      <x:c r="B654" s="4" t="str">
        <x:f>IFERROR(INDEX('Material routes'!$F$6:$F$2205,MATCH(U654,'Material routes'!$A$6:$A$2205,0)),"MISSING ID")</x:f>
        <x:v>T3</x:v>
      </x:c>
      <x:c r="C654" s="4" t="str">
        <x:f>IFERROR(INDEX('Material routes'!$H$6:$H$2205,MATCH(U654,'Material routes'!$A$6:$A$2205,0)),"MISSING ID")</x:f>
        <x:v>Crafting component</x:v>
      </x:c>
      <x:c r="D654" s="4" t="str">
        <x:f>IFERROR(INDEX('Material routes'!$G$6:$G$2205,MATCH(U654,'Material routes'!$A$6:$A$2205,0)),"MISSING ID")</x:f>
        <x:v>Crafting components</x:v>
      </x:c>
      <x:c r="E654" s="4" t="str">
        <x:f>IFERROR(INDEX('Material routes'!$C$6:$C$2205,MATCH(U654,'Material routes'!$A$6:$A$2205,0)),"MISSING ID")</x:f>
        <x:v>Ingredient candidate</x:v>
      </x:c>
      <x:c r="F654" s="4" t="str">
        <x:f>IFERROR(INDEX('Material routes'!$E$6:$E$2205,MATCH(V654,'Material routes'!$A$6:$A$2205,0)),"MISSING ID")</x:f>
        <x:v>Crank-wound siege bow</x:v>
      </x:c>
      <x:c r="G654" s="4" t="str">
        <x:f>IFERROR(INDEX('Material routes'!$F$6:$F$2205,MATCH(V654,'Material routes'!$A$6:$A$2205,0)),"MISSING ID")</x:f>
        <x:v>Not applicable</x:v>
      </x:c>
      <x:c r="H654" s="4" t="str">
        <x:f>IFERROR(INDEX('Material routes'!$H$6:$H$2205,MATCH(V654,'Material routes'!$A$6:$A$2205,0)),"MISSING ID")</x:f>
        <x:v>Weapon</x:v>
      </x:c>
      <x:c r="I654" s="4" t="str">
        <x:f>IFERROR(INDEX('Material routes'!$G$6:$G$2205,MATCH(V654,'Material routes'!$A$6:$A$2205,0)),"MISSING ID")</x:f>
        <x:v>Weapons</x:v>
      </x:c>
      <x:c r="J654" s="4" t="str">
        <x:f>IFERROR(INDEX('Material routes'!$B$6:$B$2205,MATCH(U654,'Material routes'!$A$6:$A$2205,0)),"MISSING ID")</x:f>
        <x:v>design.collection.crank_wound_siege_bow</x:v>
      </x:c>
      <x:c r="K654" s="4" t="str">
        <x:f>IFERROR(INDEX('Crafting recipes'!$C$6:$C$1005,MATCH(J654,'Crafting recipes'!$A$6:$A$1005,0)),"MISSING ID")</x:f>
        <x:v>Finished-item crafting</x:v>
      </x:c>
      <x:c r="L654" s="4" t="str">
        <x:f>IFERROR(INDEX('Material routes'!$K$6:$K$2205,MATCH(U654,'Material routes'!$A$6:$A$2205,0)),"MISSING ID")</x:f>
        <x:v>Proposal</x:v>
      </x:c>
      <x:c r="M654" s="4" t="str">
        <x:f>IFERROR(INDEX('Material routes'!$M$6:$M$2205,MATCH(U654,'Material routes'!$A$6:$A$2205,0)),"MISSING ID")</x:f>
        <x:v>Partial proposal</x:v>
      </x:c>
      <x:c r="N654" s="4"/>
      <x:c r="O654" s="4" t="str">
        <x:f>IFERROR(INDEX('Material routes'!$J$6:$J$2205,MATCH(U654,'Material routes'!$A$6:$A$2205,0)),"MISSING ID")</x:f>
        <x:v>Unspecified</x:v>
      </x:c>
      <x:c r="P654" s="4"/>
      <x:c r="Q654" s="4" t="str">
        <x:f>IFERROR(INDEX('Material routes'!$J$6:$J$2205,MATCH(V654,'Material routes'!$A$6:$A$2205,0)),"MISSING ID")</x:f>
        <x:v>Unspecified</x:v>
      </x:c>
      <x:c r="R654" s="4" t="str">
        <x:f>IF(L654="Withheld","Withheld premise",IF(E654="Tool candidate","Reusable prerequisite",IF(K654="Raw entry preparation","Entry-resource preparation",IF(G654="Not applicable",IF(IFERROR(INDEX('Items'!$AI$6:$AI$1005,MATCH(T654,'Items'!$A$6:$A$1005,0)),"MISSING ID")="Finished item","Finished endpoint",IF(IFERROR(INDEX('Items'!$AI$6:$AI$1005,MATCH(T654,'Items'!$A$6:$A$1005,0)),"MISSING ID")="Currency","Currency / no refinement tier","Recovered output / tier not applicable")),IF(OR(IFERROR(INDEX('Crafting recipes'!$H$6:$H$1005,MATCH(J654,'Crafting recipes'!$A$6:$A$1005,0)),"MISSING ID")="Unassigned",G654="Unassigned"),"Tier unresolved",IF(IFERROR(VALUE(RIGHT(G654,1))-VALUE(RIGHT(IFERROR(INDEX('Crafting recipes'!$H$6:$H$1005,MATCH(J654,'Crafting recipes'!$A$6:$A$1005,0)),"MISSING ID"),1)),0)=1,IF(B654=IFERROR(INDEX('Crafting recipes'!$H$6:$H$1005,MATCH(J654,'Crafting recipes'!$A$6:$A$1005,0)),"MISSING ID"),"Advances one material tier","Lower-tier ingredient; route advances one tier"),"Needs tier review"))))))</x:f>
        <x:v>Finished endpoint</x:v>
      </x:c>
      <x:c r="S654" s="4" t="str">
        <x:f>IFERROR(INDEX('Material routes'!$D$6:$D$2205,MATCH(U654,'Material routes'!$A$6:$A$2205,0)),"MISSING ID")</x:f>
        <x:v>proposal.lore.fastener_set</x:v>
      </x:c>
      <x:c r="T654" s="4" t="str">
        <x:f>IFERROR(INDEX('Material routes'!$D$6:$D$2205,MATCH(V654,'Material routes'!$A$6:$A$2205,0)),"MISSING ID")</x:f>
        <x:v>proposal.collection.crank_wound_siege_bow</x:v>
      </x:c>
      <x:c r="U654" s="4" t="str">
        <x:v>design.collection.crank_wound_siege_bow.in.3</x:v>
      </x:c>
      <x:c r="V654" s="4" t="str">
        <x:v>design.collection.crank_wound_siege_bow.out</x:v>
      </x:c>
    </x:row>
    <x:row r="655" ht="64" customHeight="1">
      <x:c r="A655" s="4"/>
      <x:c r="B655" s="4"/>
      <x:c r="C655" s="4"/>
      <x:c r="D655" s="4"/>
      <x:c r="E655" s="4"/>
      <x:c r="F655" s="4"/>
      <x:c r="G655" s="4"/>
      <x:c r="H655" s="4"/>
      <x:c r="I655" s="4"/>
      <x:c r="J655" s="4"/>
      <x:c r="K655" s="4"/>
      <x:c r="L655" s="4"/>
      <x:c r="M655" s="4"/>
      <x:c r="N655" s="4"/>
      <x:c r="P655" s="4"/>
      <x:c r="R655" s="4"/>
      <x:c r="S655" s="4"/>
      <x:c r="T655" s="4"/>
      <x:c r="U655" s="4"/>
      <x:c r="V655" s="4"/>
    </x:row>
    <x:row r="656" ht="64" customHeight="1">
      <x:c r="A656" s="4"/>
      <x:c r="B656" s="4"/>
      <x:c r="C656" s="4"/>
      <x:c r="D656" s="4"/>
      <x:c r="E656" s="4"/>
      <x:c r="F656" s="4"/>
      <x:c r="G656" s="4"/>
      <x:c r="H656" s="4"/>
      <x:c r="I656" s="4"/>
      <x:c r="J656" s="4"/>
      <x:c r="K656" s="4"/>
      <x:c r="L656" s="4"/>
      <x:c r="M656" s="4"/>
      <x:c r="N656" s="4"/>
      <x:c r="P656" s="4"/>
      <x:c r="R656" s="4"/>
      <x:c r="S656" s="4"/>
      <x:c r="T656" s="4"/>
      <x:c r="U656" s="4"/>
      <x:c r="V656" s="4"/>
    </x:row>
    <x:row r="657" ht="64" customHeight="1">
      <x:c r="A657" s="4" t="str">
        <x:f>IFERROR(INDEX('Material routes'!$E$6:$E$2205,MATCH(U657,'Material routes'!$A$6:$A$2205,0)),"MISSING ID")</x:f>
        <x:v>Ceramic piston sleeve</x:v>
      </x:c>
      <x:c r="B657" s="4" t="str">
        <x:f>IFERROR(INDEX('Material routes'!$F$6:$F$2205,MATCH(U657,'Material routes'!$A$6:$A$2205,0)),"MISSING ID")</x:f>
        <x:v>T3</x:v>
      </x:c>
      <x:c r="C657" s="4" t="str">
        <x:f>IFERROR(INDEX('Material routes'!$H$6:$H$2205,MATCH(U657,'Material routes'!$A$6:$A$2205,0)),"MISSING ID")</x:f>
        <x:v>Machine part</x:v>
      </x:c>
      <x:c r="D657" s="4" t="str">
        <x:f>IFERROR(INDEX('Material routes'!$G$6:$G$2205,MATCH(U657,'Material routes'!$A$6:$A$2205,0)),"MISSING ID")</x:f>
        <x:v>Crafting components</x:v>
      </x:c>
      <x:c r="E657" s="4" t="str">
        <x:f>IFERROR(INDEX('Material routes'!$C$6:$C$2205,MATCH(U657,'Material routes'!$A$6:$A$2205,0)),"MISSING ID")</x:f>
        <x:v>Ingredient candidate</x:v>
      </x:c>
      <x:c r="F657" s="4" t="str">
        <x:f>IFERROR(INDEX('Material routes'!$E$6:$E$2205,MATCH(V657,'Material routes'!$A$6:$A$2205,0)),"MISSING ID")</x:f>
        <x:v>Pressure rivet launcher</x:v>
      </x:c>
      <x:c r="G657" s="4" t="str">
        <x:f>IFERROR(INDEX('Material routes'!$F$6:$F$2205,MATCH(V657,'Material routes'!$A$6:$A$2205,0)),"MISSING ID")</x:f>
        <x:v>Not applicable</x:v>
      </x:c>
      <x:c r="H657" s="4" t="str">
        <x:f>IFERROR(INDEX('Material routes'!$H$6:$H$2205,MATCH(V657,'Material routes'!$A$6:$A$2205,0)),"MISSING ID")</x:f>
        <x:v>Weapon</x:v>
      </x:c>
      <x:c r="I657" s="4" t="str">
        <x:f>IFERROR(INDEX('Material routes'!$G$6:$G$2205,MATCH(V657,'Material routes'!$A$6:$A$2205,0)),"MISSING ID")</x:f>
        <x:v>Weapons</x:v>
      </x:c>
      <x:c r="J657" s="4" t="str">
        <x:f>IFERROR(INDEX('Material routes'!$B$6:$B$2205,MATCH(U657,'Material routes'!$A$6:$A$2205,0)),"MISSING ID")</x:f>
        <x:v>design.collection.pressure_rivet_launcher</x:v>
      </x:c>
      <x:c r="K657" s="4" t="str">
        <x:f>IFERROR(INDEX('Crafting recipes'!$C$6:$C$1005,MATCH(J657,'Crafting recipes'!$A$6:$A$1005,0)),"MISSING ID")</x:f>
        <x:v>Finished-item crafting</x:v>
      </x:c>
      <x:c r="L657" s="4" t="str">
        <x:f>IFERROR(INDEX('Material routes'!$K$6:$K$2205,MATCH(U657,'Material routes'!$A$6:$A$2205,0)),"MISSING ID")</x:f>
        <x:v>Proposal</x:v>
      </x:c>
      <x:c r="M657" s="4" t="str">
        <x:f>IFERROR(INDEX('Material routes'!$M$6:$M$2205,MATCH(U657,'Material routes'!$A$6:$A$2205,0)),"MISSING ID")</x:f>
        <x:v>Partial proposal</x:v>
      </x:c>
      <x:c r="N657" s="4"/>
      <x:c r="O657" s="4" t="str">
        <x:f>IFERROR(INDEX('Material routes'!$J$6:$J$2205,MATCH(U657,'Material routes'!$A$6:$A$2205,0)),"MISSING ID")</x:f>
        <x:v>Unspecified</x:v>
      </x:c>
      <x:c r="P657" s="4"/>
      <x:c r="Q657" s="4" t="str">
        <x:f>IFERROR(INDEX('Material routes'!$J$6:$J$2205,MATCH(V657,'Material routes'!$A$6:$A$2205,0)),"MISSING ID")</x:f>
        <x:v>Unspecified</x:v>
      </x:c>
      <x:c r="R657" s="4" t="str">
        <x:f>IF(L657="Withheld","Withheld premise",IF(E657="Tool candidate","Reusable prerequisite",IF(K657="Raw entry preparation","Entry-resource preparation",IF(G657="Not applicable",IF(IFERROR(INDEX('Items'!$AI$6:$AI$1005,MATCH(T657,'Items'!$A$6:$A$1005,0)),"MISSING ID")="Finished item","Finished endpoint",IF(IFERROR(INDEX('Items'!$AI$6:$AI$1005,MATCH(T657,'Items'!$A$6:$A$1005,0)),"MISSING ID")="Currency","Currency / no refinement tier","Recovered output / tier not applicable")),IF(OR(IFERROR(INDEX('Crafting recipes'!$H$6:$H$1005,MATCH(J657,'Crafting recipes'!$A$6:$A$1005,0)),"MISSING ID")="Unassigned",G657="Unassigned"),"Tier unresolved",IF(IFERROR(VALUE(RIGHT(G657,1))-VALUE(RIGHT(IFERROR(INDEX('Crafting recipes'!$H$6:$H$1005,MATCH(J657,'Crafting recipes'!$A$6:$A$1005,0)),"MISSING ID"),1)),0)=1,IF(B657=IFERROR(INDEX('Crafting recipes'!$H$6:$H$1005,MATCH(J657,'Crafting recipes'!$A$6:$A$1005,0)),"MISSING ID"),"Advances one material tier","Lower-tier ingredient; route advances one tier"),"Needs tier review"))))))</x:f>
        <x:v>Finished endpoint</x:v>
      </x:c>
      <x:c r="S657" s="4" t="str">
        <x:f>IFERROR(INDEX('Material routes'!$D$6:$D$2205,MATCH(U657,'Material routes'!$A$6:$A$2205,0)),"MISSING ID")</x:f>
        <x:v>proposal.collection.ceramic_piston_sleeve</x:v>
      </x:c>
      <x:c r="T657" s="4" t="str">
        <x:f>IFERROR(INDEX('Material routes'!$D$6:$D$2205,MATCH(V657,'Material routes'!$A$6:$A$2205,0)),"MISSING ID")</x:f>
        <x:v>proposal.collection.pressure_rivet_launcher</x:v>
      </x:c>
      <x:c r="U657" s="4" t="str">
        <x:v>design.collection.pressure_rivet_launcher.in.1</x:v>
      </x:c>
      <x:c r="V657" s="4" t="str">
        <x:v>design.collection.pressure_rivet_launcher.out</x:v>
      </x:c>
    </x:row>
    <x:row r="658" ht="64" customHeight="1">
      <x:c r="A658" s="4" t="str">
        <x:f>IFERROR(INDEX('Material routes'!$E$6:$E$2205,MATCH(U658,'Material routes'!$A$6:$A$2205,0)),"MISSING ID")</x:f>
        <x:v>Metal piston head</x:v>
      </x:c>
      <x:c r="B658" s="4" t="str">
        <x:f>IFERROR(INDEX('Material routes'!$F$6:$F$2205,MATCH(U658,'Material routes'!$A$6:$A$2205,0)),"MISSING ID")</x:f>
        <x:v>T3</x:v>
      </x:c>
      <x:c r="C658" s="4" t="str">
        <x:f>IFERROR(INDEX('Material routes'!$H$6:$H$2205,MATCH(U658,'Material routes'!$A$6:$A$2205,0)),"MISSING ID")</x:f>
        <x:v>Machine part</x:v>
      </x:c>
      <x:c r="D658" s="4" t="str">
        <x:f>IFERROR(INDEX('Material routes'!$G$6:$G$2205,MATCH(U658,'Material routes'!$A$6:$A$2205,0)),"MISSING ID")</x:f>
        <x:v>Crafting components</x:v>
      </x:c>
      <x:c r="E658" s="4" t="str">
        <x:f>IFERROR(INDEX('Material routes'!$C$6:$C$2205,MATCH(U658,'Material routes'!$A$6:$A$2205,0)),"MISSING ID")</x:f>
        <x:v>Ingredient candidate</x:v>
      </x:c>
      <x:c r="F658" s="4" t="str">
        <x:f>IFERROR(INDEX('Material routes'!$E$6:$E$2205,MATCH(V658,'Material routes'!$A$6:$A$2205,0)),"MISSING ID")</x:f>
        <x:v>Pressure rivet launcher</x:v>
      </x:c>
      <x:c r="G658" s="4" t="str">
        <x:f>IFERROR(INDEX('Material routes'!$F$6:$F$2205,MATCH(V658,'Material routes'!$A$6:$A$2205,0)),"MISSING ID")</x:f>
        <x:v>Not applicable</x:v>
      </x:c>
      <x:c r="H658" s="4" t="str">
        <x:f>IFERROR(INDEX('Material routes'!$H$6:$H$2205,MATCH(V658,'Material routes'!$A$6:$A$2205,0)),"MISSING ID")</x:f>
        <x:v>Weapon</x:v>
      </x:c>
      <x:c r="I658" s="4" t="str">
        <x:f>IFERROR(INDEX('Material routes'!$G$6:$G$2205,MATCH(V658,'Material routes'!$A$6:$A$2205,0)),"MISSING ID")</x:f>
        <x:v>Weapons</x:v>
      </x:c>
      <x:c r="J658" s="4" t="str">
        <x:f>IFERROR(INDEX('Material routes'!$B$6:$B$2205,MATCH(U658,'Material routes'!$A$6:$A$2205,0)),"MISSING ID")</x:f>
        <x:v>design.collection.pressure_rivet_launcher</x:v>
      </x:c>
      <x:c r="K658" s="4" t="str">
        <x:f>IFERROR(INDEX('Crafting recipes'!$C$6:$C$1005,MATCH(J658,'Crafting recipes'!$A$6:$A$1005,0)),"MISSING ID")</x:f>
        <x:v>Finished-item crafting</x:v>
      </x:c>
      <x:c r="L658" s="4" t="str">
        <x:f>IFERROR(INDEX('Material routes'!$K$6:$K$2205,MATCH(U658,'Material routes'!$A$6:$A$2205,0)),"MISSING ID")</x:f>
        <x:v>Proposal</x:v>
      </x:c>
      <x:c r="M658" s="4" t="str">
        <x:f>IFERROR(INDEX('Material routes'!$M$6:$M$2205,MATCH(U658,'Material routes'!$A$6:$A$2205,0)),"MISSING ID")</x:f>
        <x:v>Partial proposal</x:v>
      </x:c>
      <x:c r="N658" s="4"/>
      <x:c r="O658" s="4" t="str">
        <x:f>IFERROR(INDEX('Material routes'!$J$6:$J$2205,MATCH(U658,'Material routes'!$A$6:$A$2205,0)),"MISSING ID")</x:f>
        <x:v>Unspecified</x:v>
      </x:c>
      <x:c r="P658" s="4"/>
      <x:c r="Q658" s="4" t="str">
        <x:f>IFERROR(INDEX('Material routes'!$J$6:$J$2205,MATCH(V658,'Material routes'!$A$6:$A$2205,0)),"MISSING ID")</x:f>
        <x:v>Unspecified</x:v>
      </x:c>
      <x:c r="R658" s="4" t="str">
        <x:f>IF(L658="Withheld","Withheld premise",IF(E658="Tool candidate","Reusable prerequisite",IF(K658="Raw entry preparation","Entry-resource preparation",IF(G658="Not applicable",IF(IFERROR(INDEX('Items'!$AI$6:$AI$1005,MATCH(T658,'Items'!$A$6:$A$1005,0)),"MISSING ID")="Finished item","Finished endpoint",IF(IFERROR(INDEX('Items'!$AI$6:$AI$1005,MATCH(T658,'Items'!$A$6:$A$1005,0)),"MISSING ID")="Currency","Currency / no refinement tier","Recovered output / tier not applicable")),IF(OR(IFERROR(INDEX('Crafting recipes'!$H$6:$H$1005,MATCH(J658,'Crafting recipes'!$A$6:$A$1005,0)),"MISSING ID")="Unassigned",G658="Unassigned"),"Tier unresolved",IF(IFERROR(VALUE(RIGHT(G658,1))-VALUE(RIGHT(IFERROR(INDEX('Crafting recipes'!$H$6:$H$1005,MATCH(J658,'Crafting recipes'!$A$6:$A$1005,0)),"MISSING ID"),1)),0)=1,IF(B658=IFERROR(INDEX('Crafting recipes'!$H$6:$H$1005,MATCH(J658,'Crafting recipes'!$A$6:$A$1005,0)),"MISSING ID"),"Advances one material tier","Lower-tier ingredient; route advances one tier"),"Needs tier review"))))))</x:f>
        <x:v>Finished endpoint</x:v>
      </x:c>
      <x:c r="S658" s="4" t="str">
        <x:f>IFERROR(INDEX('Material routes'!$D$6:$D$2205,MATCH(U658,'Material routes'!$A$6:$A$2205,0)),"MISSING ID")</x:f>
        <x:v>proposal.collection.metal_piston_head</x:v>
      </x:c>
      <x:c r="T658" s="4" t="str">
        <x:f>IFERROR(INDEX('Material routes'!$D$6:$D$2205,MATCH(V658,'Material routes'!$A$6:$A$2205,0)),"MISSING ID")</x:f>
        <x:v>proposal.collection.pressure_rivet_launcher</x:v>
      </x:c>
      <x:c r="U658" s="4" t="str">
        <x:v>design.collection.pressure_rivet_launcher.in.2</x:v>
      </x:c>
      <x:c r="V658" s="4" t="str">
        <x:v>design.collection.pressure_rivet_launcher.out</x:v>
      </x:c>
    </x:row>
    <x:row r="659" ht="64" customHeight="1">
      <x:c r="A659" s="4" t="str">
        <x:f>IFERROR(INDEX('Material routes'!$E$6:$E$2205,MATCH(U659,'Material routes'!$A$6:$A$2205,0)),"MISSING ID")</x:f>
        <x:v>Threaded metal fitting blanks</x:v>
      </x:c>
      <x:c r="B659" s="4" t="str">
        <x:f>IFERROR(INDEX('Material routes'!$F$6:$F$2205,MATCH(U659,'Material routes'!$A$6:$A$2205,0)),"MISSING ID")</x:f>
        <x:v>T3</x:v>
      </x:c>
      <x:c r="C659" s="4" t="str">
        <x:f>IFERROR(INDEX('Material routes'!$H$6:$H$2205,MATCH(U659,'Material routes'!$A$6:$A$2205,0)),"MISSING ID")</x:f>
        <x:v>Crafting component</x:v>
      </x:c>
      <x:c r="D659" s="4" t="str">
        <x:f>IFERROR(INDEX('Material routes'!$G$6:$G$2205,MATCH(U659,'Material routes'!$A$6:$A$2205,0)),"MISSING ID")</x:f>
        <x:v>Crafting components</x:v>
      </x:c>
      <x:c r="E659" s="4" t="str">
        <x:f>IFERROR(INDEX('Material routes'!$C$6:$C$2205,MATCH(U659,'Material routes'!$A$6:$A$2205,0)),"MISSING ID")</x:f>
        <x:v>Ingredient candidate</x:v>
      </x:c>
      <x:c r="F659" s="4" t="str">
        <x:f>IFERROR(INDEX('Material routes'!$E$6:$E$2205,MATCH(V659,'Material routes'!$A$6:$A$2205,0)),"MISSING ID")</x:f>
        <x:v>Pressure rivet launcher</x:v>
      </x:c>
      <x:c r="G659" s="4" t="str">
        <x:f>IFERROR(INDEX('Material routes'!$F$6:$F$2205,MATCH(V659,'Material routes'!$A$6:$A$2205,0)),"MISSING ID")</x:f>
        <x:v>Not applicable</x:v>
      </x:c>
      <x:c r="H659" s="4" t="str">
        <x:f>IFERROR(INDEX('Material routes'!$H$6:$H$2205,MATCH(V659,'Material routes'!$A$6:$A$2205,0)),"MISSING ID")</x:f>
        <x:v>Weapon</x:v>
      </x:c>
      <x:c r="I659" s="4" t="str">
        <x:f>IFERROR(INDEX('Material routes'!$G$6:$G$2205,MATCH(V659,'Material routes'!$A$6:$A$2205,0)),"MISSING ID")</x:f>
        <x:v>Weapons</x:v>
      </x:c>
      <x:c r="J659" s="4" t="str">
        <x:f>IFERROR(INDEX('Material routes'!$B$6:$B$2205,MATCH(U659,'Material routes'!$A$6:$A$2205,0)),"MISSING ID")</x:f>
        <x:v>design.collection.pressure_rivet_launcher</x:v>
      </x:c>
      <x:c r="K659" s="4" t="str">
        <x:f>IFERROR(INDEX('Crafting recipes'!$C$6:$C$1005,MATCH(J659,'Crafting recipes'!$A$6:$A$1005,0)),"MISSING ID")</x:f>
        <x:v>Finished-item crafting</x:v>
      </x:c>
      <x:c r="L659" s="4" t="str">
        <x:f>IFERROR(INDEX('Material routes'!$K$6:$K$2205,MATCH(U659,'Material routes'!$A$6:$A$2205,0)),"MISSING ID")</x:f>
        <x:v>Proposal</x:v>
      </x:c>
      <x:c r="M659" s="4" t="str">
        <x:f>IFERROR(INDEX('Material routes'!$M$6:$M$2205,MATCH(U659,'Material routes'!$A$6:$A$2205,0)),"MISSING ID")</x:f>
        <x:v>Partial proposal</x:v>
      </x:c>
      <x:c r="N659" s="4"/>
      <x:c r="O659" s="4" t="str">
        <x:f>IFERROR(INDEX('Material routes'!$J$6:$J$2205,MATCH(U659,'Material routes'!$A$6:$A$2205,0)),"MISSING ID")</x:f>
        <x:v>Unspecified</x:v>
      </x:c>
      <x:c r="P659" s="4"/>
      <x:c r="Q659" s="4" t="str">
        <x:f>IFERROR(INDEX('Material routes'!$J$6:$J$2205,MATCH(V659,'Material routes'!$A$6:$A$2205,0)),"MISSING ID")</x:f>
        <x:v>Unspecified</x:v>
      </x:c>
      <x:c r="R659" s="4" t="str">
        <x:f>IF(L659="Withheld","Withheld premise",IF(E659="Tool candidate","Reusable prerequisite",IF(K659="Raw entry preparation","Entry-resource preparation",IF(G659="Not applicable",IF(IFERROR(INDEX('Items'!$AI$6:$AI$1005,MATCH(T659,'Items'!$A$6:$A$1005,0)),"MISSING ID")="Finished item","Finished endpoint",IF(IFERROR(INDEX('Items'!$AI$6:$AI$1005,MATCH(T659,'Items'!$A$6:$A$1005,0)),"MISSING ID")="Currency","Currency / no refinement tier","Recovered output / tier not applicable")),IF(OR(IFERROR(INDEX('Crafting recipes'!$H$6:$H$1005,MATCH(J659,'Crafting recipes'!$A$6:$A$1005,0)),"MISSING ID")="Unassigned",G659="Unassigned"),"Tier unresolved",IF(IFERROR(VALUE(RIGHT(G659,1))-VALUE(RIGHT(IFERROR(INDEX('Crafting recipes'!$H$6:$H$1005,MATCH(J659,'Crafting recipes'!$A$6:$A$1005,0)),"MISSING ID"),1)),0)=1,IF(B659=IFERROR(INDEX('Crafting recipes'!$H$6:$H$1005,MATCH(J659,'Crafting recipes'!$A$6:$A$1005,0)),"MISSING ID"),"Advances one material tier","Lower-tier ingredient; route advances one tier"),"Needs tier review"))))))</x:f>
        <x:v>Finished endpoint</x:v>
      </x:c>
      <x:c r="S659" s="4" t="str">
        <x:f>IFERROR(INDEX('Material routes'!$D$6:$D$2205,MATCH(U659,'Material routes'!$A$6:$A$2205,0)),"MISSING ID")</x:f>
        <x:v>proposal.lore.threaded_fittings</x:v>
      </x:c>
      <x:c r="T659" s="4" t="str">
        <x:f>IFERROR(INDEX('Material routes'!$D$6:$D$2205,MATCH(V659,'Material routes'!$A$6:$A$2205,0)),"MISSING ID")</x:f>
        <x:v>proposal.collection.pressure_rivet_launcher</x:v>
      </x:c>
      <x:c r="U659" s="4" t="str">
        <x:v>design.collection.pressure_rivet_launcher.in.3</x:v>
      </x:c>
      <x:c r="V659" s="4" t="str">
        <x:v>design.collection.pressure_rivet_launcher.out</x:v>
      </x:c>
    </x:row>
    <x:row r="660" ht="64" customHeight="1">
      <x:c r="A660" s="4" t="str">
        <x:f>IFERROR(INDEX('Material routes'!$E$6:$E$2205,MATCH(U660,'Material routes'!$A$6:$A$2205,0)),"MISSING ID")</x:f>
        <x:v>Iron-wound core blank</x:v>
      </x:c>
      <x:c r="B660" s="4" t="str">
        <x:f>IFERROR(INDEX('Material routes'!$F$6:$F$2205,MATCH(U660,'Material routes'!$A$6:$A$2205,0)),"MISSING ID")</x:f>
        <x:v>T3</x:v>
      </x:c>
      <x:c r="C660" s="4" t="str">
        <x:f>IFERROR(INDEX('Material routes'!$H$6:$H$2205,MATCH(U660,'Material routes'!$A$6:$A$2205,0)),"MISSING ID")</x:f>
        <x:v>Crafting component</x:v>
      </x:c>
      <x:c r="D660" s="4" t="str">
        <x:f>IFERROR(INDEX('Material routes'!$G$6:$G$2205,MATCH(U660,'Material routes'!$A$6:$A$2205,0)),"MISSING ID")</x:f>
        <x:v>Crafting components</x:v>
      </x:c>
      <x:c r="E660" s="4" t="str">
        <x:f>IFERROR(INDEX('Material routes'!$C$6:$C$2205,MATCH(U660,'Material routes'!$A$6:$A$2205,0)),"MISSING ID")</x:f>
        <x:v>Ingredient candidate</x:v>
      </x:c>
      <x:c r="F660" s="4" t="str">
        <x:f>IFERROR(INDEX('Material routes'!$E$6:$E$2205,MATCH(V660,'Material routes'!$A$6:$A$2205,0)),"MISSING ID")</x:f>
        <x:v>Magnetic dart projector</x:v>
      </x:c>
      <x:c r="G660" s="4" t="str">
        <x:f>IFERROR(INDEX('Material routes'!$F$6:$F$2205,MATCH(V660,'Material routes'!$A$6:$A$2205,0)),"MISSING ID")</x:f>
        <x:v>Not applicable</x:v>
      </x:c>
      <x:c r="H660" s="4" t="str">
        <x:f>IFERROR(INDEX('Material routes'!$H$6:$H$2205,MATCH(V660,'Material routes'!$A$6:$A$2205,0)),"MISSING ID")</x:f>
        <x:v>Weapon</x:v>
      </x:c>
      <x:c r="I660" s="4" t="str">
        <x:f>IFERROR(INDEX('Material routes'!$G$6:$G$2205,MATCH(V660,'Material routes'!$A$6:$A$2205,0)),"MISSING ID")</x:f>
        <x:v>Weapons</x:v>
      </x:c>
      <x:c r="J660" s="4" t="str">
        <x:f>IFERROR(INDEX('Material routes'!$B$6:$B$2205,MATCH(U660,'Material routes'!$A$6:$A$2205,0)),"MISSING ID")</x:f>
        <x:v>design.collection.magnetic_dart_projector</x:v>
      </x:c>
      <x:c r="K660" s="4" t="str">
        <x:f>IFERROR(INDEX('Crafting recipes'!$C$6:$C$1005,MATCH(J660,'Crafting recipes'!$A$6:$A$1005,0)),"MISSING ID")</x:f>
        <x:v>Finished-item crafting</x:v>
      </x:c>
      <x:c r="L660" s="4" t="str">
        <x:f>IFERROR(INDEX('Material routes'!$K$6:$K$2205,MATCH(U660,'Material routes'!$A$6:$A$2205,0)),"MISSING ID")</x:f>
        <x:v>Proposal</x:v>
      </x:c>
      <x:c r="M660" s="4" t="str">
        <x:f>IFERROR(INDEX('Material routes'!$M$6:$M$2205,MATCH(U660,'Material routes'!$A$6:$A$2205,0)),"MISSING ID")</x:f>
        <x:v>Partial proposal</x:v>
      </x:c>
      <x:c r="N660" s="4"/>
      <x:c r="O660" s="4" t="str">
        <x:f>IFERROR(INDEX('Material routes'!$J$6:$J$2205,MATCH(U660,'Material routes'!$A$6:$A$2205,0)),"MISSING ID")</x:f>
        <x:v>Unspecified</x:v>
      </x:c>
      <x:c r="P660" s="4"/>
      <x:c r="Q660" s="4" t="str">
        <x:f>IFERROR(INDEX('Material routes'!$J$6:$J$2205,MATCH(V660,'Material routes'!$A$6:$A$2205,0)),"MISSING ID")</x:f>
        <x:v>Unspecified</x:v>
      </x:c>
      <x:c r="R660" s="4" t="str">
        <x:f>IF(L660="Withheld","Withheld premise",IF(E660="Tool candidate","Reusable prerequisite",IF(K660="Raw entry preparation","Entry-resource preparation",IF(G660="Not applicable",IF(IFERROR(INDEX('Items'!$AI$6:$AI$1005,MATCH(T660,'Items'!$A$6:$A$1005,0)),"MISSING ID")="Finished item","Finished endpoint",IF(IFERROR(INDEX('Items'!$AI$6:$AI$1005,MATCH(T660,'Items'!$A$6:$A$1005,0)),"MISSING ID")="Currency","Currency / no refinement tier","Recovered output / tier not applicable")),IF(OR(IFERROR(INDEX('Crafting recipes'!$H$6:$H$1005,MATCH(J660,'Crafting recipes'!$A$6:$A$1005,0)),"MISSING ID")="Unassigned",G660="Unassigned"),"Tier unresolved",IF(IFERROR(VALUE(RIGHT(G660,1))-VALUE(RIGHT(IFERROR(INDEX('Crafting recipes'!$H$6:$H$1005,MATCH(J660,'Crafting recipes'!$A$6:$A$1005,0)),"MISSING ID"),1)),0)=1,IF(B660=IFERROR(INDEX('Crafting recipes'!$H$6:$H$1005,MATCH(J660,'Crafting recipes'!$A$6:$A$1005,0)),"MISSING ID"),"Advances one material tier","Lower-tier ingredient; route advances one tier"),"Needs tier review"))))))</x:f>
        <x:v>Finished endpoint</x:v>
      </x:c>
      <x:c r="S660" s="4" t="str">
        <x:f>IFERROR(INDEX('Material routes'!$D$6:$D$2205,MATCH(U660,'Material routes'!$A$6:$A$2205,0)),"MISSING ID")</x:f>
        <x:v>proposal.lore.iron_winding</x:v>
      </x:c>
      <x:c r="T660" s="4" t="str">
        <x:f>IFERROR(INDEX('Material routes'!$D$6:$D$2205,MATCH(V660,'Material routes'!$A$6:$A$2205,0)),"MISSING ID")</x:f>
        <x:v>proposal.collection.magnetic_dart_projector</x:v>
      </x:c>
      <x:c r="U660" s="4" t="str">
        <x:v>design.collection.magnetic_dart_projector.in.1</x:v>
      </x:c>
      <x:c r="V660" s="4" t="str">
        <x:v>design.collection.magnetic_dart_projector.out</x:v>
      </x:c>
    </x:row>
    <x:row r="661" ht="64" customHeight="1">
      <x:c r="A661" s="4" t="str">
        <x:f>IFERROR(INDEX('Material routes'!$E$6:$E$2205,MATCH(U661,'Material routes'!$A$6:$A$2205,0)),"MISSING ID")</x:f>
        <x:v>Ceramic insulating spacer</x:v>
      </x:c>
      <x:c r="B661" s="4" t="str">
        <x:f>IFERROR(INDEX('Material routes'!$F$6:$F$2205,MATCH(U661,'Material routes'!$A$6:$A$2205,0)),"MISSING ID")</x:f>
        <x:v>T3</x:v>
      </x:c>
      <x:c r="C661" s="4" t="str">
        <x:f>IFERROR(INDEX('Material routes'!$H$6:$H$2205,MATCH(U661,'Material routes'!$A$6:$A$2205,0)),"MISSING ID")</x:f>
        <x:v>Crafting component</x:v>
      </x:c>
      <x:c r="D661" s="4" t="str">
        <x:f>IFERROR(INDEX('Material routes'!$G$6:$G$2205,MATCH(U661,'Material routes'!$A$6:$A$2205,0)),"MISSING ID")</x:f>
        <x:v>Crafting components</x:v>
      </x:c>
      <x:c r="E661" s="4" t="str">
        <x:f>IFERROR(INDEX('Material routes'!$C$6:$C$2205,MATCH(U661,'Material routes'!$A$6:$A$2205,0)),"MISSING ID")</x:f>
        <x:v>Ingredient candidate</x:v>
      </x:c>
      <x:c r="F661" s="4" t="str">
        <x:f>IFERROR(INDEX('Material routes'!$E$6:$E$2205,MATCH(V661,'Material routes'!$A$6:$A$2205,0)),"MISSING ID")</x:f>
        <x:v>Magnetic dart projector</x:v>
      </x:c>
      <x:c r="G661" s="4" t="str">
        <x:f>IFERROR(INDEX('Material routes'!$F$6:$F$2205,MATCH(V661,'Material routes'!$A$6:$A$2205,0)),"MISSING ID")</x:f>
        <x:v>Not applicable</x:v>
      </x:c>
      <x:c r="H661" s="4" t="str">
        <x:f>IFERROR(INDEX('Material routes'!$H$6:$H$2205,MATCH(V661,'Material routes'!$A$6:$A$2205,0)),"MISSING ID")</x:f>
        <x:v>Weapon</x:v>
      </x:c>
      <x:c r="I661" s="4" t="str">
        <x:f>IFERROR(INDEX('Material routes'!$G$6:$G$2205,MATCH(V661,'Material routes'!$A$6:$A$2205,0)),"MISSING ID")</x:f>
        <x:v>Weapons</x:v>
      </x:c>
      <x:c r="J661" s="4" t="str">
        <x:f>IFERROR(INDEX('Material routes'!$B$6:$B$2205,MATCH(U661,'Material routes'!$A$6:$A$2205,0)),"MISSING ID")</x:f>
        <x:v>design.collection.magnetic_dart_projector</x:v>
      </x:c>
      <x:c r="K661" s="4" t="str">
        <x:f>IFERROR(INDEX('Crafting recipes'!$C$6:$C$1005,MATCH(J661,'Crafting recipes'!$A$6:$A$1005,0)),"MISSING ID")</x:f>
        <x:v>Finished-item crafting</x:v>
      </x:c>
      <x:c r="L661" s="4" t="str">
        <x:f>IFERROR(INDEX('Material routes'!$K$6:$K$2205,MATCH(U661,'Material routes'!$A$6:$A$2205,0)),"MISSING ID")</x:f>
        <x:v>Proposal</x:v>
      </x:c>
      <x:c r="M661" s="4" t="str">
        <x:f>IFERROR(INDEX('Material routes'!$M$6:$M$2205,MATCH(U661,'Material routes'!$A$6:$A$2205,0)),"MISSING ID")</x:f>
        <x:v>Partial proposal</x:v>
      </x:c>
      <x:c r="N661" s="4"/>
      <x:c r="O661" s="4" t="str">
        <x:f>IFERROR(INDEX('Material routes'!$J$6:$J$2205,MATCH(U661,'Material routes'!$A$6:$A$2205,0)),"MISSING ID")</x:f>
        <x:v>Unspecified</x:v>
      </x:c>
      <x:c r="P661" s="4"/>
      <x:c r="Q661" s="4" t="str">
        <x:f>IFERROR(INDEX('Material routes'!$J$6:$J$2205,MATCH(V661,'Material routes'!$A$6:$A$2205,0)),"MISSING ID")</x:f>
        <x:v>Unspecified</x:v>
      </x:c>
      <x:c r="R661" s="4" t="str">
        <x:f>IF(L661="Withheld","Withheld premise",IF(E661="Tool candidate","Reusable prerequisite",IF(K661="Raw entry preparation","Entry-resource preparation",IF(G661="Not applicable",IF(IFERROR(INDEX('Items'!$AI$6:$AI$1005,MATCH(T661,'Items'!$A$6:$A$1005,0)),"MISSING ID")="Finished item","Finished endpoint",IF(IFERROR(INDEX('Items'!$AI$6:$AI$1005,MATCH(T661,'Items'!$A$6:$A$1005,0)),"MISSING ID")="Currency","Currency / no refinement tier","Recovered output / tier not applicable")),IF(OR(IFERROR(INDEX('Crafting recipes'!$H$6:$H$1005,MATCH(J661,'Crafting recipes'!$A$6:$A$1005,0)),"MISSING ID")="Unassigned",G661="Unassigned"),"Tier unresolved",IF(IFERROR(VALUE(RIGHT(G661,1))-VALUE(RIGHT(IFERROR(INDEX('Crafting recipes'!$H$6:$H$1005,MATCH(J661,'Crafting recipes'!$A$6:$A$1005,0)),"MISSING ID"),1)),0)=1,IF(B661=IFERROR(INDEX('Crafting recipes'!$H$6:$H$1005,MATCH(J661,'Crafting recipes'!$A$6:$A$1005,0)),"MISSING ID"),"Advances one material tier","Lower-tier ingredient; route advances one tier"),"Needs tier review"))))))</x:f>
        <x:v>Finished endpoint</x:v>
      </x:c>
      <x:c r="S661" s="4" t="str">
        <x:f>IFERROR(INDEX('Material routes'!$D$6:$D$2205,MATCH(U661,'Material routes'!$A$6:$A$2205,0)),"MISSING ID")</x:f>
        <x:v>proposal.ceramic.spacer</x:v>
      </x:c>
      <x:c r="T661" s="4" t="str">
        <x:f>IFERROR(INDEX('Material routes'!$D$6:$D$2205,MATCH(V661,'Material routes'!$A$6:$A$2205,0)),"MISSING ID")</x:f>
        <x:v>proposal.collection.magnetic_dart_projector</x:v>
      </x:c>
      <x:c r="U661" s="4" t="str">
        <x:v>design.collection.magnetic_dart_projector.in.2</x:v>
      </x:c>
      <x:c r="V661" s="4" t="str">
        <x:v>design.collection.magnetic_dart_projector.out</x:v>
      </x:c>
    </x:row>
    <x:row r="662" ht="64" customHeight="1">
      <x:c r="A662" s="4" t="str">
        <x:f>IFERROR(INDEX('Material routes'!$E$6:$E$2205,MATCH(U662,'Material routes'!$A$6:$A$2205,0)),"MISSING ID")</x:f>
        <x:v>Iron-wound core blank</x:v>
      </x:c>
      <x:c r="B662" s="4" t="str">
        <x:f>IFERROR(INDEX('Material routes'!$F$6:$F$2205,MATCH(U662,'Material routes'!$A$6:$A$2205,0)),"MISSING ID")</x:f>
        <x:v>T3</x:v>
      </x:c>
      <x:c r="C662" s="4" t="str">
        <x:f>IFERROR(INDEX('Material routes'!$H$6:$H$2205,MATCH(U662,'Material routes'!$A$6:$A$2205,0)),"MISSING ID")</x:f>
        <x:v>Crafting component</x:v>
      </x:c>
      <x:c r="D662" s="4" t="str">
        <x:f>IFERROR(INDEX('Material routes'!$G$6:$G$2205,MATCH(U662,'Material routes'!$A$6:$A$2205,0)),"MISSING ID")</x:f>
        <x:v>Crafting components</x:v>
      </x:c>
      <x:c r="E662" s="4" t="str">
        <x:f>IFERROR(INDEX('Material routes'!$C$6:$C$2205,MATCH(U662,'Material routes'!$A$6:$A$2205,0)),"MISSING ID")</x:f>
        <x:v>Ingredient candidate</x:v>
      </x:c>
      <x:c r="F662" s="4" t="str">
        <x:f>IFERROR(INDEX('Material routes'!$E$6:$E$2205,MATCH(V662,'Material routes'!$A$6:$A$2205,0)),"MISSING ID")</x:f>
        <x:v>Coil slug carbine</x:v>
      </x:c>
      <x:c r="G662" s="4" t="str">
        <x:f>IFERROR(INDEX('Material routes'!$F$6:$F$2205,MATCH(V662,'Material routes'!$A$6:$A$2205,0)),"MISSING ID")</x:f>
        <x:v>Not applicable</x:v>
      </x:c>
      <x:c r="H662" s="4" t="str">
        <x:f>IFERROR(INDEX('Material routes'!$H$6:$H$2205,MATCH(V662,'Material routes'!$A$6:$A$2205,0)),"MISSING ID")</x:f>
        <x:v>Weapon</x:v>
      </x:c>
      <x:c r="I662" s="4" t="str">
        <x:f>IFERROR(INDEX('Material routes'!$G$6:$G$2205,MATCH(V662,'Material routes'!$A$6:$A$2205,0)),"MISSING ID")</x:f>
        <x:v>Weapons</x:v>
      </x:c>
      <x:c r="J662" s="4" t="str">
        <x:f>IFERROR(INDEX('Material routes'!$B$6:$B$2205,MATCH(U662,'Material routes'!$A$6:$A$2205,0)),"MISSING ID")</x:f>
        <x:v>design.collection.coil_slug_carbine</x:v>
      </x:c>
      <x:c r="K662" s="4" t="str">
        <x:f>IFERROR(INDEX('Crafting recipes'!$C$6:$C$1005,MATCH(J662,'Crafting recipes'!$A$6:$A$1005,0)),"MISSING ID")</x:f>
        <x:v>Finished-item crafting</x:v>
      </x:c>
      <x:c r="L662" s="4" t="str">
        <x:f>IFERROR(INDEX('Material routes'!$K$6:$K$2205,MATCH(U662,'Material routes'!$A$6:$A$2205,0)),"MISSING ID")</x:f>
        <x:v>Proposal</x:v>
      </x:c>
      <x:c r="M662" s="4" t="str">
        <x:f>IFERROR(INDEX('Material routes'!$M$6:$M$2205,MATCH(U662,'Material routes'!$A$6:$A$2205,0)),"MISSING ID")</x:f>
        <x:v>Partial proposal</x:v>
      </x:c>
      <x:c r="N662" s="4"/>
      <x:c r="O662" s="4" t="str">
        <x:f>IFERROR(INDEX('Material routes'!$J$6:$J$2205,MATCH(U662,'Material routes'!$A$6:$A$2205,0)),"MISSING ID")</x:f>
        <x:v>Unspecified</x:v>
      </x:c>
      <x:c r="P662" s="4"/>
      <x:c r="Q662" s="4" t="str">
        <x:f>IFERROR(INDEX('Material routes'!$J$6:$J$2205,MATCH(V662,'Material routes'!$A$6:$A$2205,0)),"MISSING ID")</x:f>
        <x:v>Unspecified</x:v>
      </x:c>
      <x:c r="R662" s="4" t="str">
        <x:f>IF(L662="Withheld","Withheld premise",IF(E662="Tool candidate","Reusable prerequisite",IF(K662="Raw entry preparation","Entry-resource preparation",IF(G662="Not applicable",IF(IFERROR(INDEX('Items'!$AI$6:$AI$1005,MATCH(T662,'Items'!$A$6:$A$1005,0)),"MISSING ID")="Finished item","Finished endpoint",IF(IFERROR(INDEX('Items'!$AI$6:$AI$1005,MATCH(T662,'Items'!$A$6:$A$1005,0)),"MISSING ID")="Currency","Currency / no refinement tier","Recovered output / tier not applicable")),IF(OR(IFERROR(INDEX('Crafting recipes'!$H$6:$H$1005,MATCH(J662,'Crafting recipes'!$A$6:$A$1005,0)),"MISSING ID")="Unassigned",G662="Unassigned"),"Tier unresolved",IF(IFERROR(VALUE(RIGHT(G662,1))-VALUE(RIGHT(IFERROR(INDEX('Crafting recipes'!$H$6:$H$1005,MATCH(J662,'Crafting recipes'!$A$6:$A$1005,0)),"MISSING ID"),1)),0)=1,IF(B662=IFERROR(INDEX('Crafting recipes'!$H$6:$H$1005,MATCH(J662,'Crafting recipes'!$A$6:$A$1005,0)),"MISSING ID"),"Advances one material tier","Lower-tier ingredient; route advances one tier"),"Needs tier review"))))))</x:f>
        <x:v>Finished endpoint</x:v>
      </x:c>
      <x:c r="S662" s="4" t="str">
        <x:f>IFERROR(INDEX('Material routes'!$D$6:$D$2205,MATCH(U662,'Material routes'!$A$6:$A$2205,0)),"MISSING ID")</x:f>
        <x:v>proposal.lore.iron_winding</x:v>
      </x:c>
      <x:c r="T662" s="4" t="str">
        <x:f>IFERROR(INDEX('Material routes'!$D$6:$D$2205,MATCH(V662,'Material routes'!$A$6:$A$2205,0)),"MISSING ID")</x:f>
        <x:v>proposal.collection.coil_slug_carbine</x:v>
      </x:c>
      <x:c r="U662" s="4" t="str">
        <x:v>design.collection.coil_slug_carbine.in.1</x:v>
      </x:c>
      <x:c r="V662" s="4" t="str">
        <x:v>design.collection.coil_slug_carbine.out</x:v>
      </x:c>
    </x:row>
    <x:row r="663" ht="64" customHeight="1">
      <x:c r="A663" s="4" t="str">
        <x:f>IFERROR(INDEX('Material routes'!$E$6:$E$2205,MATCH(U663,'Material routes'!$A$6:$A$2205,0)),"MISSING ID")</x:f>
        <x:v>Drawn steel tube stock</x:v>
      </x:c>
      <x:c r="B663" s="4" t="str">
        <x:f>IFERROR(INDEX('Material routes'!$F$6:$F$2205,MATCH(U663,'Material routes'!$A$6:$A$2205,0)),"MISSING ID")</x:f>
        <x:v>T3</x:v>
      </x:c>
      <x:c r="C663" s="4" t="str">
        <x:f>IFERROR(INDEX('Material routes'!$H$6:$H$2205,MATCH(U663,'Material routes'!$A$6:$A$2205,0)),"MISSING ID")</x:f>
        <x:v>Processed material</x:v>
      </x:c>
      <x:c r="D663" s="4" t="str">
        <x:f>IFERROR(INDEX('Material routes'!$G$6:$G$2205,MATCH(U663,'Material routes'!$A$6:$A$2205,0)),"MISSING ID")</x:f>
        <x:v>Manufactured stock</x:v>
      </x:c>
      <x:c r="E663" s="4" t="str">
        <x:f>IFERROR(INDEX('Material routes'!$C$6:$C$2205,MATCH(U663,'Material routes'!$A$6:$A$2205,0)),"MISSING ID")</x:f>
        <x:v>Ingredient candidate</x:v>
      </x:c>
      <x:c r="F663" s="4" t="str">
        <x:f>IFERROR(INDEX('Material routes'!$E$6:$E$2205,MATCH(V663,'Material routes'!$A$6:$A$2205,0)),"MISSING ID")</x:f>
        <x:v>Coil slug carbine</x:v>
      </x:c>
      <x:c r="G663" s="4" t="str">
        <x:f>IFERROR(INDEX('Material routes'!$F$6:$F$2205,MATCH(V663,'Material routes'!$A$6:$A$2205,0)),"MISSING ID")</x:f>
        <x:v>Not applicable</x:v>
      </x:c>
      <x:c r="H663" s="4" t="str">
        <x:f>IFERROR(INDEX('Material routes'!$H$6:$H$2205,MATCH(V663,'Material routes'!$A$6:$A$2205,0)),"MISSING ID")</x:f>
        <x:v>Weapon</x:v>
      </x:c>
      <x:c r="I663" s="4" t="str">
        <x:f>IFERROR(INDEX('Material routes'!$G$6:$G$2205,MATCH(V663,'Material routes'!$A$6:$A$2205,0)),"MISSING ID")</x:f>
        <x:v>Weapons</x:v>
      </x:c>
      <x:c r="J663" s="4" t="str">
        <x:f>IFERROR(INDEX('Material routes'!$B$6:$B$2205,MATCH(U663,'Material routes'!$A$6:$A$2205,0)),"MISSING ID")</x:f>
        <x:v>design.collection.coil_slug_carbine</x:v>
      </x:c>
      <x:c r="K663" s="4" t="str">
        <x:f>IFERROR(INDEX('Crafting recipes'!$C$6:$C$1005,MATCH(J663,'Crafting recipes'!$A$6:$A$1005,0)),"MISSING ID")</x:f>
        <x:v>Finished-item crafting</x:v>
      </x:c>
      <x:c r="L663" s="4" t="str">
        <x:f>IFERROR(INDEX('Material routes'!$K$6:$K$2205,MATCH(U663,'Material routes'!$A$6:$A$2205,0)),"MISSING ID")</x:f>
        <x:v>Proposal</x:v>
      </x:c>
      <x:c r="M663" s="4" t="str">
        <x:f>IFERROR(INDEX('Material routes'!$M$6:$M$2205,MATCH(U663,'Material routes'!$A$6:$A$2205,0)),"MISSING ID")</x:f>
        <x:v>Partial proposal</x:v>
      </x:c>
      <x:c r="N663" s="4"/>
      <x:c r="O663" s="4" t="str">
        <x:f>IFERROR(INDEX('Material routes'!$J$6:$J$2205,MATCH(U663,'Material routes'!$A$6:$A$2205,0)),"MISSING ID")</x:f>
        <x:v>Unspecified</x:v>
      </x:c>
      <x:c r="P663" s="4"/>
      <x:c r="Q663" s="4" t="str">
        <x:f>IFERROR(INDEX('Material routes'!$J$6:$J$2205,MATCH(V663,'Material routes'!$A$6:$A$2205,0)),"MISSING ID")</x:f>
        <x:v>Unspecified</x:v>
      </x:c>
      <x:c r="R663" s="4" t="str">
        <x:f>IF(L663="Withheld","Withheld premise",IF(E663="Tool candidate","Reusable prerequisite",IF(K663="Raw entry preparation","Entry-resource preparation",IF(G663="Not applicable",IF(IFERROR(INDEX('Items'!$AI$6:$AI$1005,MATCH(T663,'Items'!$A$6:$A$1005,0)),"MISSING ID")="Finished item","Finished endpoint",IF(IFERROR(INDEX('Items'!$AI$6:$AI$1005,MATCH(T663,'Items'!$A$6:$A$1005,0)),"MISSING ID")="Currency","Currency / no refinement tier","Recovered output / tier not applicable")),IF(OR(IFERROR(INDEX('Crafting recipes'!$H$6:$H$1005,MATCH(J663,'Crafting recipes'!$A$6:$A$1005,0)),"MISSING ID")="Unassigned",G663="Unassigned"),"Tier unresolved",IF(IFERROR(VALUE(RIGHT(G663,1))-VALUE(RIGHT(IFERROR(INDEX('Crafting recipes'!$H$6:$H$1005,MATCH(J663,'Crafting recipes'!$A$6:$A$1005,0)),"MISSING ID"),1)),0)=1,IF(B663=IFERROR(INDEX('Crafting recipes'!$H$6:$H$1005,MATCH(J663,'Crafting recipes'!$A$6:$A$1005,0)),"MISSING ID"),"Advances one material tier","Lower-tier ingredient; route advances one tier"),"Needs tier review"))))))</x:f>
        <x:v>Finished endpoint</x:v>
      </x:c>
      <x:c r="S663" s="4" t="str">
        <x:f>IFERROR(INDEX('Material routes'!$D$6:$D$2205,MATCH(U663,'Material routes'!$A$6:$A$2205,0)),"MISSING ID")</x:f>
        <x:v>proposal.t3.precision_tube</x:v>
      </x:c>
      <x:c r="T663" s="4" t="str">
        <x:f>IFERROR(INDEX('Material routes'!$D$6:$D$2205,MATCH(V663,'Material routes'!$A$6:$A$2205,0)),"MISSING ID")</x:f>
        <x:v>proposal.collection.coil_slug_carbine</x:v>
      </x:c>
      <x:c r="U663" s="4" t="str">
        <x:v>design.collection.coil_slug_carbine.in.2</x:v>
      </x:c>
      <x:c r="V663" s="4" t="str">
        <x:v>design.collection.coil_slug_carbine.out</x:v>
      </x:c>
    </x:row>
    <x:row r="664" ht="64" customHeight="1">
      <x:c r="A664" s="4" t="str">
        <x:f>IFERROR(INDEX('Material routes'!$E$6:$E$2205,MATCH(U664,'Material routes'!$A$6:$A$2205,0)),"MISSING ID")</x:f>
        <x:v>Ceramic insulating spacer</x:v>
      </x:c>
      <x:c r="B664" s="4" t="str">
        <x:f>IFERROR(INDEX('Material routes'!$F$6:$F$2205,MATCH(U664,'Material routes'!$A$6:$A$2205,0)),"MISSING ID")</x:f>
        <x:v>T3</x:v>
      </x:c>
      <x:c r="C664" s="4" t="str">
        <x:f>IFERROR(INDEX('Material routes'!$H$6:$H$2205,MATCH(U664,'Material routes'!$A$6:$A$2205,0)),"MISSING ID")</x:f>
        <x:v>Crafting component</x:v>
      </x:c>
      <x:c r="D664" s="4" t="str">
        <x:f>IFERROR(INDEX('Material routes'!$G$6:$G$2205,MATCH(U664,'Material routes'!$A$6:$A$2205,0)),"MISSING ID")</x:f>
        <x:v>Crafting components</x:v>
      </x:c>
      <x:c r="E664" s="4" t="str">
        <x:f>IFERROR(INDEX('Material routes'!$C$6:$C$2205,MATCH(U664,'Material routes'!$A$6:$A$2205,0)),"MISSING ID")</x:f>
        <x:v>Ingredient candidate</x:v>
      </x:c>
      <x:c r="F664" s="4" t="str">
        <x:f>IFERROR(INDEX('Material routes'!$E$6:$E$2205,MATCH(V664,'Material routes'!$A$6:$A$2205,0)),"MISSING ID")</x:f>
        <x:v>Coil slug carbine</x:v>
      </x:c>
      <x:c r="G664" s="4" t="str">
        <x:f>IFERROR(INDEX('Material routes'!$F$6:$F$2205,MATCH(V664,'Material routes'!$A$6:$A$2205,0)),"MISSING ID")</x:f>
        <x:v>Not applicable</x:v>
      </x:c>
      <x:c r="H664" s="4" t="str">
        <x:f>IFERROR(INDEX('Material routes'!$H$6:$H$2205,MATCH(V664,'Material routes'!$A$6:$A$2205,0)),"MISSING ID")</x:f>
        <x:v>Weapon</x:v>
      </x:c>
      <x:c r="I664" s="4" t="str">
        <x:f>IFERROR(INDEX('Material routes'!$G$6:$G$2205,MATCH(V664,'Material routes'!$A$6:$A$2205,0)),"MISSING ID")</x:f>
        <x:v>Weapons</x:v>
      </x:c>
      <x:c r="J664" s="4" t="str">
        <x:f>IFERROR(INDEX('Material routes'!$B$6:$B$2205,MATCH(U664,'Material routes'!$A$6:$A$2205,0)),"MISSING ID")</x:f>
        <x:v>design.collection.coil_slug_carbine</x:v>
      </x:c>
      <x:c r="K664" s="4" t="str">
        <x:f>IFERROR(INDEX('Crafting recipes'!$C$6:$C$1005,MATCH(J664,'Crafting recipes'!$A$6:$A$1005,0)),"MISSING ID")</x:f>
        <x:v>Finished-item crafting</x:v>
      </x:c>
      <x:c r="L664" s="4" t="str">
        <x:f>IFERROR(INDEX('Material routes'!$K$6:$K$2205,MATCH(U664,'Material routes'!$A$6:$A$2205,0)),"MISSING ID")</x:f>
        <x:v>Proposal</x:v>
      </x:c>
      <x:c r="M664" s="4" t="str">
        <x:f>IFERROR(INDEX('Material routes'!$M$6:$M$2205,MATCH(U664,'Material routes'!$A$6:$A$2205,0)),"MISSING ID")</x:f>
        <x:v>Partial proposal</x:v>
      </x:c>
      <x:c r="N664" s="4"/>
      <x:c r="O664" s="4" t="str">
        <x:f>IFERROR(INDEX('Material routes'!$J$6:$J$2205,MATCH(U664,'Material routes'!$A$6:$A$2205,0)),"MISSING ID")</x:f>
        <x:v>Unspecified</x:v>
      </x:c>
      <x:c r="P664" s="4"/>
      <x:c r="Q664" s="4" t="str">
        <x:f>IFERROR(INDEX('Material routes'!$J$6:$J$2205,MATCH(V664,'Material routes'!$A$6:$A$2205,0)),"MISSING ID")</x:f>
        <x:v>Unspecified</x:v>
      </x:c>
      <x:c r="R664" s="4" t="str">
        <x:f>IF(L664="Withheld","Withheld premise",IF(E664="Tool candidate","Reusable prerequisite",IF(K664="Raw entry preparation","Entry-resource preparation",IF(G664="Not applicable",IF(IFERROR(INDEX('Items'!$AI$6:$AI$1005,MATCH(T664,'Items'!$A$6:$A$1005,0)),"MISSING ID")="Finished item","Finished endpoint",IF(IFERROR(INDEX('Items'!$AI$6:$AI$1005,MATCH(T664,'Items'!$A$6:$A$1005,0)),"MISSING ID")="Currency","Currency / no refinement tier","Recovered output / tier not applicable")),IF(OR(IFERROR(INDEX('Crafting recipes'!$H$6:$H$1005,MATCH(J664,'Crafting recipes'!$A$6:$A$1005,0)),"MISSING ID")="Unassigned",G664="Unassigned"),"Tier unresolved",IF(IFERROR(VALUE(RIGHT(G664,1))-VALUE(RIGHT(IFERROR(INDEX('Crafting recipes'!$H$6:$H$1005,MATCH(J664,'Crafting recipes'!$A$6:$A$1005,0)),"MISSING ID"),1)),0)=1,IF(B664=IFERROR(INDEX('Crafting recipes'!$H$6:$H$1005,MATCH(J664,'Crafting recipes'!$A$6:$A$1005,0)),"MISSING ID"),"Advances one material tier","Lower-tier ingredient; route advances one tier"),"Needs tier review"))))))</x:f>
        <x:v>Finished endpoint</x:v>
      </x:c>
      <x:c r="S664" s="4" t="str">
        <x:f>IFERROR(INDEX('Material routes'!$D$6:$D$2205,MATCH(U664,'Material routes'!$A$6:$A$2205,0)),"MISSING ID")</x:f>
        <x:v>proposal.ceramic.spacer</x:v>
      </x:c>
      <x:c r="T664" s="4" t="str">
        <x:f>IFERROR(INDEX('Material routes'!$D$6:$D$2205,MATCH(V664,'Material routes'!$A$6:$A$2205,0)),"MISSING ID")</x:f>
        <x:v>proposal.collection.coil_slug_carbine</x:v>
      </x:c>
      <x:c r="U664" s="4" t="str">
        <x:v>design.collection.coil_slug_carbine.in.3</x:v>
      </x:c>
      <x:c r="V664" s="4" t="str">
        <x:v>design.collection.coil_slug_carbine.out</x:v>
      </x:c>
    </x:row>
    <x:row r="665" ht="64" customHeight="1">
      <x:c r="A665" s="4"/>
      <x:c r="B665" s="4"/>
      <x:c r="C665" s="4"/>
      <x:c r="D665" s="4"/>
      <x:c r="E665" s="4"/>
      <x:c r="F665" s="4"/>
      <x:c r="G665" s="4"/>
      <x:c r="H665" s="4"/>
      <x:c r="I665" s="4"/>
      <x:c r="J665" s="4"/>
      <x:c r="K665" s="4"/>
      <x:c r="L665" s="4"/>
      <x:c r="M665" s="4"/>
      <x:c r="N665" s="4"/>
      <x:c r="O665" s="4"/>
      <x:c r="P665" s="4"/>
      <x:c r="Q665" s="4"/>
      <x:c r="R665" s="4"/>
      <x:c r="S665" s="4"/>
      <x:c r="T665" s="4"/>
      <x:c r="U665" s="4"/>
      <x:c r="V665" s="4"/>
    </x:row>
    <x:row r="666" ht="64" customHeight="1">
      <x:c r="A666" s="4"/>
      <x:c r="B666" s="4"/>
      <x:c r="C666" s="4"/>
      <x:c r="D666" s="4"/>
      <x:c r="E666" s="4"/>
      <x:c r="F666" s="4"/>
      <x:c r="G666" s="4"/>
      <x:c r="H666" s="4"/>
      <x:c r="I666" s="4"/>
      <x:c r="J666" s="4"/>
      <x:c r="K666" s="4"/>
      <x:c r="L666" s="4"/>
      <x:c r="M666" s="4"/>
      <x:c r="N666" s="4"/>
      <x:c r="O666" s="4"/>
      <x:c r="P666" s="4"/>
      <x:c r="Q666" s="4"/>
      <x:c r="R666" s="4"/>
      <x:c r="S666" s="4"/>
      <x:c r="T666" s="4"/>
      <x:c r="U666" s="4"/>
      <x:c r="V666" s="4"/>
    </x:row>
    <x:row r="667" ht="64" customHeight="1">
      <x:c r="A667" s="4"/>
      <x:c r="B667" s="4"/>
      <x:c r="C667" s="4"/>
      <x:c r="D667" s="4"/>
      <x:c r="E667" s="4"/>
      <x:c r="F667" s="4"/>
      <x:c r="G667" s="4"/>
      <x:c r="H667" s="4"/>
      <x:c r="I667" s="4"/>
      <x:c r="J667" s="4"/>
      <x:c r="K667" s="4"/>
      <x:c r="L667" s="4"/>
      <x:c r="M667" s="4"/>
      <x:c r="N667" s="4"/>
      <x:c r="O667" s="4"/>
      <x:c r="P667" s="4"/>
      <x:c r="Q667" s="4"/>
      <x:c r="R667" s="4"/>
      <x:c r="S667" s="4"/>
      <x:c r="T667" s="4"/>
      <x:c r="U667" s="4"/>
      <x:c r="V667" s="4"/>
    </x:row>
    <x:row r="668" ht="64" customHeight="1">
      <x:c r="A668" s="4"/>
      <x:c r="B668" s="4"/>
      <x:c r="C668" s="4"/>
      <x:c r="D668" s="4"/>
      <x:c r="E668" s="4"/>
      <x:c r="F668" s="4"/>
      <x:c r="G668" s="4"/>
      <x:c r="H668" s="4"/>
      <x:c r="I668" s="4"/>
      <x:c r="J668" s="4"/>
      <x:c r="K668" s="4"/>
      <x:c r="L668" s="4"/>
      <x:c r="M668" s="4"/>
      <x:c r="N668" s="4"/>
      <x:c r="O668" s="4"/>
      <x:c r="P668" s="4"/>
      <x:c r="Q668" s="4"/>
      <x:c r="R668" s="4"/>
      <x:c r="S668" s="4"/>
      <x:c r="T668" s="4"/>
      <x:c r="U668" s="4"/>
      <x:c r="V668" s="4"/>
    </x:row>
    <x:row r="669" ht="64" customHeight="1">
      <x:c r="A669" s="4"/>
      <x:c r="B669" s="4"/>
      <x:c r="C669" s="4"/>
      <x:c r="D669" s="4"/>
      <x:c r="E669" s="4"/>
      <x:c r="F669" s="4"/>
      <x:c r="G669" s="4"/>
      <x:c r="H669" s="4"/>
      <x:c r="I669" s="4"/>
      <x:c r="J669" s="4"/>
      <x:c r="K669" s="4"/>
      <x:c r="L669" s="4"/>
      <x:c r="M669" s="4"/>
      <x:c r="N669" s="4"/>
      <x:c r="P669" s="4"/>
      <x:c r="R669" s="4"/>
      <x:c r="S669" s="4"/>
      <x:c r="T669" s="4"/>
      <x:c r="U669" s="4"/>
      <x:c r="V669" s="4"/>
    </x:row>
    <x:row r="670" ht="64" customHeight="1">
      <x:c r="A670" s="4"/>
      <x:c r="B670" s="4"/>
      <x:c r="C670" s="4"/>
      <x:c r="D670" s="4"/>
      <x:c r="E670" s="4"/>
      <x:c r="F670" s="4"/>
      <x:c r="G670" s="4"/>
      <x:c r="H670" s="4"/>
      <x:c r="I670" s="4"/>
      <x:c r="J670" s="4"/>
      <x:c r="K670" s="4"/>
      <x:c r="L670" s="4"/>
      <x:c r="M670" s="4"/>
      <x:c r="N670" s="4"/>
      <x:c r="O670" s="4"/>
      <x:c r="P670" s="4"/>
      <x:c r="Q670" s="4"/>
      <x:c r="R670" s="4"/>
      <x:c r="S670" s="4"/>
      <x:c r="T670" s="4"/>
      <x:c r="U670" s="4"/>
      <x:c r="V670" s="4"/>
    </x:row>
    <x:row r="671" ht="64" customHeight="1">
      <x:c r="A671" s="4"/>
      <x:c r="B671" s="4"/>
      <x:c r="C671" s="4"/>
      <x:c r="D671" s="4"/>
      <x:c r="E671" s="4"/>
      <x:c r="F671" s="4"/>
      <x:c r="G671" s="4"/>
      <x:c r="H671" s="4"/>
      <x:c r="I671" s="4"/>
      <x:c r="J671" s="4"/>
      <x:c r="K671" s="4"/>
      <x:c r="L671" s="4"/>
      <x:c r="M671" s="4"/>
      <x:c r="N671" s="4"/>
      <x:c r="O671" s="4"/>
      <x:c r="P671" s="4"/>
      <x:c r="Q671" s="4"/>
      <x:c r="R671" s="4"/>
      <x:c r="S671" s="4"/>
      <x:c r="T671" s="4"/>
      <x:c r="U671" s="4"/>
      <x:c r="V671" s="4"/>
    </x:row>
    <x:row r="672" ht="64" customHeight="1">
      <x:c r="A672" s="4" t="str">
        <x:f>IFERROR(INDEX('Material routes'!$E$6:$E$2205,MATCH(U672,'Material routes'!$A$6:$A$2205,0)),"MISSING ID")</x:f>
        <x:v>Culinary Phagia liquid fraction</x:v>
      </x:c>
      <x:c r="B672" s="4" t="str">
        <x:f>IFERROR(INDEX('Material routes'!$F$6:$F$2205,MATCH(U672,'Material routes'!$A$6:$A$2205,0)),"MISSING ID")</x:f>
        <x:v>T1</x:v>
      </x:c>
      <x:c r="C672" s="4" t="str">
        <x:f>IFERROR(INDEX('Material routes'!$H$6:$H$2205,MATCH(U672,'Material routes'!$A$6:$A$2205,0)),"MISSING ID")</x:f>
        <x:v>Food material</x:v>
      </x:c>
      <x:c r="D672" s="4" t="str">
        <x:f>IFERROR(INDEX('Material routes'!$G$6:$G$2205,MATCH(U672,'Material routes'!$A$6:$A$2205,0)),"MISSING ID")</x:f>
        <x:v>Cooking ingredients</x:v>
      </x:c>
      <x:c r="E672" s="4" t="str">
        <x:f>IFERROR(INDEX('Material routes'!$C$6:$C$2205,MATCH(U672,'Material routes'!$A$6:$A$2205,0)),"MISSING ID")</x:f>
        <x:v>Ingredient candidate</x:v>
      </x:c>
      <x:c r="F672" s="4" t="str">
        <x:f>IFERROR(INDEX('Material routes'!$E$6:$E$2205,MATCH(V672,'Material routes'!$A$6:$A$2205,0)),"MISSING ID")</x:f>
        <x:v>Reduced culinary Phagia concentrate</x:v>
      </x:c>
      <x:c r="G672" s="4" t="str">
        <x:f>IFERROR(INDEX('Material routes'!$F$6:$F$2205,MATCH(V672,'Material routes'!$A$6:$A$2205,0)),"MISSING ID")</x:f>
        <x:v>T2</x:v>
      </x:c>
      <x:c r="H672" s="4" t="str">
        <x:f>IFERROR(INDEX('Material routes'!$H$6:$H$2205,MATCH(V672,'Material routes'!$A$6:$A$2205,0)),"MISSING ID")</x:f>
        <x:v>Food material</x:v>
      </x:c>
      <x:c r="I672" s="4" t="str">
        <x:f>IFERROR(INDEX('Material routes'!$G$6:$G$2205,MATCH(V672,'Material routes'!$A$6:$A$2205,0)),"MISSING ID")</x:f>
        <x:v>Cooking ingredients</x:v>
      </x:c>
      <x:c r="J672" s="4" t="str">
        <x:f>IFERROR(INDEX('Material routes'!$B$6:$B$2205,MATCH(U672,'Material routes'!$A$6:$A$2205,0)),"MISSING ID")</x:f>
        <x:v>design.collection.reduced_culinary_phagia_concentrate</x:v>
      </x:c>
      <x:c r="K672" s="4" t="str">
        <x:f>IFERROR(INDEX('Crafting recipes'!$C$6:$C$1005,MATCH(J672,'Crafting recipes'!$A$6:$A$1005,0)),"MISSING ID")</x:f>
        <x:v>Material refinement</x:v>
      </x:c>
      <x:c r="L672" s="4" t="str">
        <x:f>IFERROR(INDEX('Material routes'!$K$6:$K$2205,MATCH(U672,'Material routes'!$A$6:$A$2205,0)),"MISSING ID")</x:f>
        <x:v>Proposal</x:v>
      </x:c>
      <x:c r="M672" s="4" t="str">
        <x:f>IFERROR(INDEX('Material routes'!$M$6:$M$2205,MATCH(U672,'Material routes'!$A$6:$A$2205,0)),"MISSING ID")</x:f>
        <x:v>Partial proposal</x:v>
      </x:c>
      <x:c r="N672" s="4"/>
      <x:c r="O672" s="4" t="str">
        <x:f>IFERROR(INDEX('Material routes'!$J$6:$J$2205,MATCH(U672,'Material routes'!$A$6:$A$2205,0)),"MISSING ID")</x:f>
        <x:v>Unspecified</x:v>
      </x:c>
      <x:c r="P672" s="4"/>
      <x:c r="Q672" s="4" t="str">
        <x:f>IFERROR(INDEX('Material routes'!$J$6:$J$2205,MATCH(V672,'Material routes'!$A$6:$A$2205,0)),"MISSING ID")</x:f>
        <x:v>Unspecified</x:v>
      </x:c>
      <x:c r="R672" s="4" t="str">
        <x:f>IF(L672="Withheld","Withheld premise",IF(E672="Tool candidate","Reusable prerequisite",IF(K672="Raw entry preparation","Entry-resource preparation",IF(G672="Not applicable",IF(IFERROR(INDEX('Items'!$AI$6:$AI$1005,MATCH(T672,'Items'!$A$6:$A$1005,0)),"MISSING ID")="Finished item","Finished endpoint",IF(IFERROR(INDEX('Items'!$AI$6:$AI$1005,MATCH(T672,'Items'!$A$6:$A$1005,0)),"MISSING ID")="Currency","Currency / no refinement tier","Recovered output / tier not applicable")),IF(OR(IFERROR(INDEX('Crafting recipes'!$H$6:$H$1005,MATCH(J672,'Crafting recipes'!$A$6:$A$1005,0)),"MISSING ID")="Unassigned",G672="Unassigned"),"Tier unresolved",IF(IFERROR(VALUE(RIGHT(G672,1))-VALUE(RIGHT(IFERROR(INDEX('Crafting recipes'!$H$6:$H$1005,MATCH(J672,'Crafting recipes'!$A$6:$A$1005,0)),"MISSING ID"),1)),0)=1,IF(B672=IFERROR(INDEX('Crafting recipes'!$H$6:$H$1005,MATCH(J672,'Crafting recipes'!$A$6:$A$1005,0)),"MISSING ID"),"Advances one material tier","Lower-tier ingredient; route advances one tier"),"Needs tier review"))))))</x:f>
        <x:v>Advances one material tier</x:v>
      </x:c>
      <x:c r="S672" s="4" t="str">
        <x:f>IFERROR(INDEX('Material routes'!$D$6:$D$2205,MATCH(U672,'Material routes'!$A$6:$A$2205,0)),"MISSING ID")</x:f>
        <x:v>proposal.collection.culinary_phagia_liquid_fraction</x:v>
      </x:c>
      <x:c r="T672" s="4" t="str">
        <x:f>IFERROR(INDEX('Material routes'!$D$6:$D$2205,MATCH(V672,'Material routes'!$A$6:$A$2205,0)),"MISSING ID")</x:f>
        <x:v>proposal.collection.reduced_culinary_phagia_concentrate</x:v>
      </x:c>
      <x:c r="U672" s="4" t="str">
        <x:v>design.collection.reduced_culinary_phagia_concentrate.in.1</x:v>
      </x:c>
      <x:c r="V672" s="4" t="str">
        <x:v>design.collection.reduced_culinary_phagia_concentrate.out</x:v>
      </x:c>
    </x:row>
    <x:row r="673" ht="64" customHeight="1">
      <x:c r="A673" s="4" t="str">
        <x:f>IFERROR(INDEX('Material routes'!$E$6:$E$2205,MATCH(U673,'Material routes'!$A$6:$A$2205,0)),"MISSING ID")</x:f>
        <x:v>Drained culinary Phagia curd</x:v>
      </x:c>
      <x:c r="B673" s="4" t="str">
        <x:f>IFERROR(INDEX('Material routes'!$F$6:$F$2205,MATCH(U673,'Material routes'!$A$6:$A$2205,0)),"MISSING ID")</x:f>
        <x:v>T1</x:v>
      </x:c>
      <x:c r="C673" s="4" t="str">
        <x:f>IFERROR(INDEX('Material routes'!$H$6:$H$2205,MATCH(U673,'Material routes'!$A$6:$A$2205,0)),"MISSING ID")</x:f>
        <x:v>Food material</x:v>
      </x:c>
      <x:c r="D673" s="4" t="str">
        <x:f>IFERROR(INDEX('Material routes'!$G$6:$G$2205,MATCH(U673,'Material routes'!$A$6:$A$2205,0)),"MISSING ID")</x:f>
        <x:v>Cooking ingredients</x:v>
      </x:c>
      <x:c r="E673" s="4" t="str">
        <x:f>IFERROR(INDEX('Material routes'!$C$6:$C$2205,MATCH(U673,'Material routes'!$A$6:$A$2205,0)),"MISSING ID")</x:f>
        <x:v>Ingredient candidate</x:v>
      </x:c>
      <x:c r="F673" s="4" t="str">
        <x:f>IFERROR(INDEX('Material routes'!$E$6:$E$2205,MATCH(V673,'Material routes'!$A$6:$A$2205,0)),"MISSING ID")</x:f>
        <x:v>Aerated culinary Phagia curd</x:v>
      </x:c>
      <x:c r="G673" s="4" t="str">
        <x:f>IFERROR(INDEX('Material routes'!$F$6:$F$2205,MATCH(V673,'Material routes'!$A$6:$A$2205,0)),"MISSING ID")</x:f>
        <x:v>T2</x:v>
      </x:c>
      <x:c r="H673" s="4" t="str">
        <x:f>IFERROR(INDEX('Material routes'!$H$6:$H$2205,MATCH(V673,'Material routes'!$A$6:$A$2205,0)),"MISSING ID")</x:f>
        <x:v>Food material</x:v>
      </x:c>
      <x:c r="I673" s="4" t="str">
        <x:f>IFERROR(INDEX('Material routes'!$G$6:$G$2205,MATCH(V673,'Material routes'!$A$6:$A$2205,0)),"MISSING ID")</x:f>
        <x:v>Cooking ingredients</x:v>
      </x:c>
      <x:c r="J673" s="4" t="str">
        <x:f>IFERROR(INDEX('Material routes'!$B$6:$B$2205,MATCH(U673,'Material routes'!$A$6:$A$2205,0)),"MISSING ID")</x:f>
        <x:v>design.collection.aerated_culinary_phagia_curd</x:v>
      </x:c>
      <x:c r="K673" s="4" t="str">
        <x:f>IFERROR(INDEX('Crafting recipes'!$C$6:$C$1005,MATCH(J673,'Crafting recipes'!$A$6:$A$1005,0)),"MISSING ID")</x:f>
        <x:v>Material refinement</x:v>
      </x:c>
      <x:c r="L673" s="4" t="str">
        <x:f>IFERROR(INDEX('Material routes'!$K$6:$K$2205,MATCH(U673,'Material routes'!$A$6:$A$2205,0)),"MISSING ID")</x:f>
        <x:v>Proposal</x:v>
      </x:c>
      <x:c r="M673" s="4" t="str">
        <x:f>IFERROR(INDEX('Material routes'!$M$6:$M$2205,MATCH(U673,'Material routes'!$A$6:$A$2205,0)),"MISSING ID")</x:f>
        <x:v>Partial proposal</x:v>
      </x:c>
      <x:c r="N673" s="4"/>
      <x:c r="O673" s="4" t="str">
        <x:f>IFERROR(INDEX('Material routes'!$J$6:$J$2205,MATCH(U673,'Material routes'!$A$6:$A$2205,0)),"MISSING ID")</x:f>
        <x:v>Unspecified</x:v>
      </x:c>
      <x:c r="P673" s="4"/>
      <x:c r="Q673" s="4" t="str">
        <x:f>IFERROR(INDEX('Material routes'!$J$6:$J$2205,MATCH(V673,'Material routes'!$A$6:$A$2205,0)),"MISSING ID")</x:f>
        <x:v>Unspecified</x:v>
      </x:c>
      <x:c r="R673" s="4" t="str">
        <x:f>IF(L673="Withheld","Withheld premise",IF(E673="Tool candidate","Reusable prerequisite",IF(K673="Raw entry preparation","Entry-resource preparation",IF(G673="Not applicable",IF(IFERROR(INDEX('Items'!$AI$6:$AI$1005,MATCH(T673,'Items'!$A$6:$A$1005,0)),"MISSING ID")="Finished item","Finished endpoint",IF(IFERROR(INDEX('Items'!$AI$6:$AI$1005,MATCH(T673,'Items'!$A$6:$A$1005,0)),"MISSING ID")="Currency","Currency / no refinement tier","Recovered output / tier not applicable")),IF(OR(IFERROR(INDEX('Crafting recipes'!$H$6:$H$1005,MATCH(J673,'Crafting recipes'!$A$6:$A$1005,0)),"MISSING ID")="Unassigned",G673="Unassigned"),"Tier unresolved",IF(IFERROR(VALUE(RIGHT(G673,1))-VALUE(RIGHT(IFERROR(INDEX('Crafting recipes'!$H$6:$H$1005,MATCH(J673,'Crafting recipes'!$A$6:$A$1005,0)),"MISSING ID"),1)),0)=1,IF(B673=IFERROR(INDEX('Crafting recipes'!$H$6:$H$1005,MATCH(J673,'Crafting recipes'!$A$6:$A$1005,0)),"MISSING ID"),"Advances one material tier","Lower-tier ingredient; route advances one tier"),"Needs tier review"))))))</x:f>
        <x:v>Advances one material tier</x:v>
      </x:c>
      <x:c r="S673" s="4" t="str">
        <x:f>IFERROR(INDEX('Material routes'!$D$6:$D$2205,MATCH(U673,'Material routes'!$A$6:$A$2205,0)),"MISSING ID")</x:f>
        <x:v>proposal.collection.drained_culinary_phagia_curd</x:v>
      </x:c>
      <x:c r="T673" s="4" t="str">
        <x:f>IFERROR(INDEX('Material routes'!$D$6:$D$2205,MATCH(V673,'Material routes'!$A$6:$A$2205,0)),"MISSING ID")</x:f>
        <x:v>proposal.collection.aerated_culinary_phagia_curd</x:v>
      </x:c>
      <x:c r="U673" s="4" t="str">
        <x:v>design.collection.aerated_culinary_phagia_curd.in.1</x:v>
      </x:c>
      <x:c r="V673" s="4" t="str">
        <x:v>design.collection.aerated_culinary_phagia_curd.out</x:v>
      </x:c>
    </x:row>
    <x:row r="674" ht="64" customHeight="1">
      <x:c r="A674" s="4" t="str">
        <x:f>IFERROR(INDEX('Material routes'!$E$6:$E$2205,MATCH(U674,'Material routes'!$A$6:$A$2205,0)),"MISSING ID")</x:f>
        <x:v>Selected culinary salt crystals</x:v>
      </x:c>
      <x:c r="B674" s="4" t="str">
        <x:f>IFERROR(INDEX('Material routes'!$F$6:$F$2205,MATCH(U674,'Material routes'!$A$6:$A$2205,0)),"MISSING ID")</x:f>
        <x:v>T0</x:v>
      </x:c>
      <x:c r="C674" s="4" t="str">
        <x:f>IFERROR(INDEX('Material routes'!$H$6:$H$2205,MATCH(U674,'Material routes'!$A$6:$A$2205,0)),"MISSING ID")</x:f>
        <x:v>Raw material</x:v>
      </x:c>
      <x:c r="D674" s="4" t="str">
        <x:f>IFERROR(INDEX('Material routes'!$G$6:$G$2205,MATCH(U674,'Material routes'!$A$6:$A$2205,0)),"MISSING ID")</x:f>
        <x:v>Mineral resources</x:v>
      </x:c>
      <x:c r="E674" s="4" t="str">
        <x:f>IFERROR(INDEX('Material routes'!$C$6:$C$2205,MATCH(U674,'Material routes'!$A$6:$A$2205,0)),"MISSING ID")</x:f>
        <x:v>Ingredient candidate</x:v>
      </x:c>
      <x:c r="F674" s="4" t="str">
        <x:f>IFERROR(INDEX('Material routes'!$E$6:$E$2205,MATCH(V674,'Material routes'!$A$6:$A$2205,0)),"MISSING ID")</x:f>
        <x:v>Food-grade mineral seasoning</x:v>
      </x:c>
      <x:c r="G674" s="4" t="str">
        <x:f>IFERROR(INDEX('Material routes'!$F$6:$F$2205,MATCH(V674,'Material routes'!$A$6:$A$2205,0)),"MISSING ID")</x:f>
        <x:v>T1</x:v>
      </x:c>
      <x:c r="H674" s="4" t="str">
        <x:f>IFERROR(INDEX('Material routes'!$H$6:$H$2205,MATCH(V674,'Material routes'!$A$6:$A$2205,0)),"MISSING ID")</x:f>
        <x:v>Food material</x:v>
      </x:c>
      <x:c r="I674" s="4" t="str">
        <x:f>IFERROR(INDEX('Material routes'!$G$6:$G$2205,MATCH(V674,'Material routes'!$A$6:$A$2205,0)),"MISSING ID")</x:f>
        <x:v>Cooking ingredients</x:v>
      </x:c>
      <x:c r="J674" s="4" t="str">
        <x:f>IFERROR(INDEX('Material routes'!$B$6:$B$2205,MATCH(U674,'Material routes'!$A$6:$A$2205,0)),"MISSING ID")</x:f>
        <x:v>design.collection.food_grade_mineral_seasoning</x:v>
      </x:c>
      <x:c r="K674" s="4" t="str">
        <x:f>IFERROR(INDEX('Crafting recipes'!$C$6:$C$1005,MATCH(J674,'Crafting recipes'!$A$6:$A$1005,0)),"MISSING ID")</x:f>
        <x:v>Material refinement</x:v>
      </x:c>
      <x:c r="L674" s="4" t="str">
        <x:f>IFERROR(INDEX('Material routes'!$K$6:$K$2205,MATCH(U674,'Material routes'!$A$6:$A$2205,0)),"MISSING ID")</x:f>
        <x:v>Proposal</x:v>
      </x:c>
      <x:c r="M674" s="4" t="str">
        <x:f>IFERROR(INDEX('Material routes'!$M$6:$M$2205,MATCH(U674,'Material routes'!$A$6:$A$2205,0)),"MISSING ID")</x:f>
        <x:v>Partial proposal</x:v>
      </x:c>
      <x:c r="N674" s="4"/>
      <x:c r="O674" s="4" t="str">
        <x:f>IFERROR(INDEX('Material routes'!$J$6:$J$2205,MATCH(U674,'Material routes'!$A$6:$A$2205,0)),"MISSING ID")</x:f>
        <x:v>Unspecified</x:v>
      </x:c>
      <x:c r="P674" s="4"/>
      <x:c r="Q674" s="4" t="str">
        <x:f>IFERROR(INDEX('Material routes'!$J$6:$J$2205,MATCH(V674,'Material routes'!$A$6:$A$2205,0)),"MISSING ID")</x:f>
        <x:v>Unspecified</x:v>
      </x:c>
      <x:c r="R674" s="4" t="str">
        <x:f>IF(L674="Withheld","Withheld premise",IF(E674="Tool candidate","Reusable prerequisite",IF(K674="Raw entry preparation","Entry-resource preparation",IF(G674="Not applicable",IF(IFERROR(INDEX('Items'!$AI$6:$AI$1005,MATCH(T674,'Items'!$A$6:$A$1005,0)),"MISSING ID")="Finished item","Finished endpoint",IF(IFERROR(INDEX('Items'!$AI$6:$AI$1005,MATCH(T674,'Items'!$A$6:$A$1005,0)),"MISSING ID")="Currency","Currency / no refinement tier","Recovered output / tier not applicable")),IF(OR(IFERROR(INDEX('Crafting recipes'!$H$6:$H$1005,MATCH(J674,'Crafting recipes'!$A$6:$A$1005,0)),"MISSING ID")="Unassigned",G674="Unassigned"),"Tier unresolved",IF(IFERROR(VALUE(RIGHT(G674,1))-VALUE(RIGHT(IFERROR(INDEX('Crafting recipes'!$H$6:$H$1005,MATCH(J674,'Crafting recipes'!$A$6:$A$1005,0)),"MISSING ID"),1)),0)=1,IF(B674=IFERROR(INDEX('Crafting recipes'!$H$6:$H$1005,MATCH(J674,'Crafting recipes'!$A$6:$A$1005,0)),"MISSING ID"),"Advances one material tier","Lower-tier ingredient; route advances one tier"),"Needs tier review"))))))</x:f>
        <x:v>Advances one material tier</x:v>
      </x:c>
      <x:c r="S674" s="4" t="str">
        <x:f>IFERROR(INDEX('Material routes'!$D$6:$D$2205,MATCH(U674,'Material routes'!$A$6:$A$2205,0)),"MISSING ID")</x:f>
        <x:v>proposal.audit.selected_culinary_salt_crystals</x:v>
      </x:c>
      <x:c r="T674" s="4" t="str">
        <x:f>IFERROR(INDEX('Material routes'!$D$6:$D$2205,MATCH(V674,'Material routes'!$A$6:$A$2205,0)),"MISSING ID")</x:f>
        <x:v>proposal.collection.food_grade_mineral_seasoning</x:v>
      </x:c>
      <x:c r="U674" s="4" t="str">
        <x:v>design.collection.food_grade_mineral_seasoning.in.1</x:v>
      </x:c>
      <x:c r="V674" s="4" t="str">
        <x:v>design.collection.food_grade_mineral_seasoning.out</x:v>
      </x:c>
    </x:row>
    <x:row r="675" ht="64" customHeight="1">
      <x:c r="A675" s="4" t="str">
        <x:f>IFERROR(INDEX('Material routes'!$E$6:$E$2205,MATCH(U675,'Material routes'!$A$6:$A$2205,0)),"MISSING ID")</x:f>
        <x:v>Selected edible-fauna gland tissue</x:v>
      </x:c>
      <x:c r="B675" s="4" t="str">
        <x:f>IFERROR(INDEX('Material routes'!$F$6:$F$2205,MATCH(U675,'Material routes'!$A$6:$A$2205,0)),"MISSING ID")</x:f>
        <x:v>T0</x:v>
      </x:c>
      <x:c r="C675" s="4" t="str">
        <x:f>IFERROR(INDEX('Material routes'!$H$6:$H$2205,MATCH(U675,'Material routes'!$A$6:$A$2205,0)),"MISSING ID")</x:f>
        <x:v>Raw material</x:v>
      </x:c>
      <x:c r="D675" s="4" t="str">
        <x:f>IFERROR(INDEX('Material routes'!$G$6:$G$2205,MATCH(U675,'Material routes'!$A$6:$A$2205,0)),"MISSING ID")</x:f>
        <x:v>Cooking ingredients</x:v>
      </x:c>
      <x:c r="E675" s="4" t="str">
        <x:f>IFERROR(INDEX('Material routes'!$C$6:$C$2205,MATCH(U675,'Material routes'!$A$6:$A$2205,0)),"MISSING ID")</x:f>
        <x:v>Ingredient candidate</x:v>
      </x:c>
      <x:c r="F675" s="4" t="str">
        <x:f>IFERROR(INDEX('Material routes'!$E$6:$E$2205,MATCH(V675,'Material routes'!$A$6:$A$2205,0)),"MISSING ID")</x:f>
        <x:v>Selected edible-fauna gel</x:v>
      </x:c>
      <x:c r="G675" s="4" t="str">
        <x:f>IFERROR(INDEX('Material routes'!$F$6:$F$2205,MATCH(V675,'Material routes'!$A$6:$A$2205,0)),"MISSING ID")</x:f>
        <x:v>T1</x:v>
      </x:c>
      <x:c r="H675" s="4" t="str">
        <x:f>IFERROR(INDEX('Material routes'!$H$6:$H$2205,MATCH(V675,'Material routes'!$A$6:$A$2205,0)),"MISSING ID")</x:f>
        <x:v>Food material</x:v>
      </x:c>
      <x:c r="I675" s="4" t="str">
        <x:f>IFERROR(INDEX('Material routes'!$G$6:$G$2205,MATCH(V675,'Material routes'!$A$6:$A$2205,0)),"MISSING ID")</x:f>
        <x:v>Cooking ingredients</x:v>
      </x:c>
      <x:c r="J675" s="4" t="str">
        <x:f>IFERROR(INDEX('Material routes'!$B$6:$B$2205,MATCH(U675,'Material routes'!$A$6:$A$2205,0)),"MISSING ID")</x:f>
        <x:v>design.collection.selected_edible_fauna_gel</x:v>
      </x:c>
      <x:c r="K675" s="4" t="str">
        <x:f>IFERROR(INDEX('Crafting recipes'!$C$6:$C$1005,MATCH(J675,'Crafting recipes'!$A$6:$A$1005,0)),"MISSING ID")</x:f>
        <x:v>Material refinement</x:v>
      </x:c>
      <x:c r="L675" s="4" t="str">
        <x:f>IFERROR(INDEX('Material routes'!$K$6:$K$2205,MATCH(U675,'Material routes'!$A$6:$A$2205,0)),"MISSING ID")</x:f>
        <x:v>Proposal</x:v>
      </x:c>
      <x:c r="M675" s="4" t="str">
        <x:f>IFERROR(INDEX('Material routes'!$M$6:$M$2205,MATCH(U675,'Material routes'!$A$6:$A$2205,0)),"MISSING ID")</x:f>
        <x:v>Partial proposal</x:v>
      </x:c>
      <x:c r="N675" s="4"/>
      <x:c r="O675" s="4" t="str">
        <x:f>IFERROR(INDEX('Material routes'!$J$6:$J$2205,MATCH(U675,'Material routes'!$A$6:$A$2205,0)),"MISSING ID")</x:f>
        <x:v>Unspecified</x:v>
      </x:c>
      <x:c r="P675" s="4"/>
      <x:c r="Q675" s="4" t="str">
        <x:f>IFERROR(INDEX('Material routes'!$J$6:$J$2205,MATCH(V675,'Material routes'!$A$6:$A$2205,0)),"MISSING ID")</x:f>
        <x:v>Unspecified</x:v>
      </x:c>
      <x:c r="R675" s="4" t="str">
        <x:f>IF(L675="Withheld","Withheld premise",IF(E675="Tool candidate","Reusable prerequisite",IF(K675="Raw entry preparation","Entry-resource preparation",IF(G675="Not applicable",IF(IFERROR(INDEX('Items'!$AI$6:$AI$1005,MATCH(T675,'Items'!$A$6:$A$1005,0)),"MISSING ID")="Finished item","Finished endpoint",IF(IFERROR(INDEX('Items'!$AI$6:$AI$1005,MATCH(T675,'Items'!$A$6:$A$1005,0)),"MISSING ID")="Currency","Currency / no refinement tier","Recovered output / tier not applicable")),IF(OR(IFERROR(INDEX('Crafting recipes'!$H$6:$H$1005,MATCH(J675,'Crafting recipes'!$A$6:$A$1005,0)),"MISSING ID")="Unassigned",G675="Unassigned"),"Tier unresolved",IF(IFERROR(VALUE(RIGHT(G675,1))-VALUE(RIGHT(IFERROR(INDEX('Crafting recipes'!$H$6:$H$1005,MATCH(J675,'Crafting recipes'!$A$6:$A$1005,0)),"MISSING ID"),1)),0)=1,IF(B675=IFERROR(INDEX('Crafting recipes'!$H$6:$H$1005,MATCH(J675,'Crafting recipes'!$A$6:$A$1005,0)),"MISSING ID"),"Advances one material tier","Lower-tier ingredient; route advances one tier"),"Needs tier review"))))))</x:f>
        <x:v>Advances one material tier</x:v>
      </x:c>
      <x:c r="S675" s="4" t="str">
        <x:f>IFERROR(INDEX('Material routes'!$D$6:$D$2205,MATCH(U675,'Material routes'!$A$6:$A$2205,0)),"MISSING ID")</x:f>
        <x:v>proposal.collection.selected_edible_fauna_gland_tissue</x:v>
      </x:c>
      <x:c r="T675" s="4" t="str">
        <x:f>IFERROR(INDEX('Material routes'!$D$6:$D$2205,MATCH(V675,'Material routes'!$A$6:$A$2205,0)),"MISSING ID")</x:f>
        <x:v>proposal.collection.selected_edible_fauna_gel</x:v>
      </x:c>
      <x:c r="U675" s="4" t="str">
        <x:v>design.collection.selected_edible_fauna_gel.in.1</x:v>
      </x:c>
      <x:c r="V675" s="4" t="str">
        <x:v>design.collection.selected_edible_fauna_gel.out</x:v>
      </x:c>
    </x:row>
    <x:row r="676" ht="64" customHeight="1">
      <x:c r="A676" s="4" t="str">
        <x:f>IFERROR(INDEX('Material routes'!$E$6:$E$2205,MATCH(U676,'Material routes'!$A$6:$A$2205,0)),"MISSING ID")</x:f>
        <x:v>Edible fauna fraction (species TBD)</x:v>
      </x:c>
      <x:c r="B676" s="4" t="str">
        <x:f>IFERROR(INDEX('Material routes'!$F$6:$F$2205,MATCH(U676,'Material routes'!$A$6:$A$2205,0)),"MISSING ID")</x:f>
        <x:v>T0</x:v>
      </x:c>
      <x:c r="C676" s="4" t="str">
        <x:f>IFERROR(INDEX('Material routes'!$H$6:$H$2205,MATCH(U676,'Material routes'!$A$6:$A$2205,0)),"MISSING ID")</x:f>
        <x:v>Food material</x:v>
      </x:c>
      <x:c r="D676" s="4" t="str">
        <x:f>IFERROR(INDEX('Material routes'!$G$6:$G$2205,MATCH(U676,'Material routes'!$A$6:$A$2205,0)),"MISSING ID")</x:f>
        <x:v>Cooking ingredients</x:v>
      </x:c>
      <x:c r="E676" s="4" t="str">
        <x:f>IFERROR(INDEX('Material routes'!$C$6:$C$2205,MATCH(U676,'Material routes'!$A$6:$A$2205,0)),"MISSING ID")</x:f>
        <x:v>Ingredient candidate</x:v>
      </x:c>
      <x:c r="F676" s="4" t="str">
        <x:f>IFERROR(INDEX('Material routes'!$E$6:$E$2205,MATCH(V676,'Material routes'!$A$6:$A$2205,0)),"MISSING ID")</x:f>
        <x:v>Dried edible-fauna granules</x:v>
      </x:c>
      <x:c r="G676" s="4" t="str">
        <x:f>IFERROR(INDEX('Material routes'!$F$6:$F$2205,MATCH(V676,'Material routes'!$A$6:$A$2205,0)),"MISSING ID")</x:f>
        <x:v>T1</x:v>
      </x:c>
      <x:c r="H676" s="4" t="str">
        <x:f>IFERROR(INDEX('Material routes'!$H$6:$H$2205,MATCH(V676,'Material routes'!$A$6:$A$2205,0)),"MISSING ID")</x:f>
        <x:v>Food material</x:v>
      </x:c>
      <x:c r="I676" s="4" t="str">
        <x:f>IFERROR(INDEX('Material routes'!$G$6:$G$2205,MATCH(V676,'Material routes'!$A$6:$A$2205,0)),"MISSING ID")</x:f>
        <x:v>Cooking ingredients</x:v>
      </x:c>
      <x:c r="J676" s="4" t="str">
        <x:f>IFERROR(INDEX('Material routes'!$B$6:$B$2205,MATCH(U676,'Material routes'!$A$6:$A$2205,0)),"MISSING ID")</x:f>
        <x:v>design.collection.dried_edible_fauna_granules</x:v>
      </x:c>
      <x:c r="K676" s="4" t="str">
        <x:f>IFERROR(INDEX('Crafting recipes'!$C$6:$C$1005,MATCH(J676,'Crafting recipes'!$A$6:$A$1005,0)),"MISSING ID")</x:f>
        <x:v>Material refinement</x:v>
      </x:c>
      <x:c r="L676" s="4" t="str">
        <x:f>IFERROR(INDEX('Material routes'!$K$6:$K$2205,MATCH(U676,'Material routes'!$A$6:$A$2205,0)),"MISSING ID")</x:f>
        <x:v>Proposal</x:v>
      </x:c>
      <x:c r="M676" s="4" t="str">
        <x:f>IFERROR(INDEX('Material routes'!$M$6:$M$2205,MATCH(U676,'Material routes'!$A$6:$A$2205,0)),"MISSING ID")</x:f>
        <x:v>Partial proposal</x:v>
      </x:c>
      <x:c r="N676" s="4"/>
      <x:c r="O676" s="4" t="str">
        <x:f>IFERROR(INDEX('Material routes'!$J$6:$J$2205,MATCH(U676,'Material routes'!$A$6:$A$2205,0)),"MISSING ID")</x:f>
        <x:v>Unspecified</x:v>
      </x:c>
      <x:c r="P676" s="4"/>
      <x:c r="Q676" s="4" t="str">
        <x:f>IFERROR(INDEX('Material routes'!$J$6:$J$2205,MATCH(V676,'Material routes'!$A$6:$A$2205,0)),"MISSING ID")</x:f>
        <x:v>Unspecified</x:v>
      </x:c>
      <x:c r="R676" s="4" t="str">
        <x:f>IF(L676="Withheld","Withheld premise",IF(E676="Tool candidate","Reusable prerequisite",IF(K676="Raw entry preparation","Entry-resource preparation",IF(G676="Not applicable",IF(IFERROR(INDEX('Items'!$AI$6:$AI$1005,MATCH(T676,'Items'!$A$6:$A$1005,0)),"MISSING ID")="Finished item","Finished endpoint",IF(IFERROR(INDEX('Items'!$AI$6:$AI$1005,MATCH(T676,'Items'!$A$6:$A$1005,0)),"MISSING ID")="Currency","Currency / no refinement tier","Recovered output / tier not applicable")),IF(OR(IFERROR(INDEX('Crafting recipes'!$H$6:$H$1005,MATCH(J676,'Crafting recipes'!$A$6:$A$1005,0)),"MISSING ID")="Unassigned",G676="Unassigned"),"Tier unresolved",IF(IFERROR(VALUE(RIGHT(G676,1))-VALUE(RIGHT(IFERROR(INDEX('Crafting recipes'!$H$6:$H$1005,MATCH(J676,'Crafting recipes'!$A$6:$A$1005,0)),"MISSING ID"),1)),0)=1,IF(B676=IFERROR(INDEX('Crafting recipes'!$H$6:$H$1005,MATCH(J676,'Crafting recipes'!$A$6:$A$1005,0)),"MISSING ID"),"Advances one material tier","Lower-tier ingredient; route advances one tier"),"Needs tier review"))))))</x:f>
        <x:v>Advances one material tier</x:v>
      </x:c>
      <x:c r="S676" s="4" t="str">
        <x:f>IFERROR(INDEX('Material routes'!$D$6:$D$2205,MATCH(U676,'Material routes'!$A$6:$A$2205,0)),"MISSING ID")</x:f>
        <x:v>proposal.bio.edible_fraction</x:v>
      </x:c>
      <x:c r="T676" s="4" t="str">
        <x:f>IFERROR(INDEX('Material routes'!$D$6:$D$2205,MATCH(V676,'Material routes'!$A$6:$A$2205,0)),"MISSING ID")</x:f>
        <x:v>proposal.collection.dried_edible_fauna_granules</x:v>
      </x:c>
      <x:c r="U676" s="4" t="str">
        <x:v>design.collection.dried_edible_fauna_granules.in.1</x:v>
      </x:c>
      <x:c r="V676" s="4" t="str">
        <x:v>design.collection.dried_edible_fauna_granules.out</x:v>
      </x:c>
    </x:row>
    <x:row r="677" ht="64" customHeight="1">
      <x:c r="A677" s="4" t="str">
        <x:f>IFERROR(INDEX('Material routes'!$E$6:$E$2205,MATCH(U677,'Material routes'!$A$6:$A$2205,0)),"MISSING ID")</x:f>
        <x:v>Edible fauna fraction (species TBD)</x:v>
      </x:c>
      <x:c r="B677" s="4" t="str">
        <x:f>IFERROR(INDEX('Material routes'!$F$6:$F$2205,MATCH(U677,'Material routes'!$A$6:$A$2205,0)),"MISSING ID")</x:f>
        <x:v>T0</x:v>
      </x:c>
      <x:c r="C677" s="4" t="str">
        <x:f>IFERROR(INDEX('Material routes'!$H$6:$H$2205,MATCH(U677,'Material routes'!$A$6:$A$2205,0)),"MISSING ID")</x:f>
        <x:v>Food material</x:v>
      </x:c>
      <x:c r="D677" s="4" t="str">
        <x:f>IFERROR(INDEX('Material routes'!$G$6:$G$2205,MATCH(U677,'Material routes'!$A$6:$A$2205,0)),"MISSING ID")</x:f>
        <x:v>Cooking ingredients</x:v>
      </x:c>
      <x:c r="E677" s="4" t="str">
        <x:f>IFERROR(INDEX('Material routes'!$C$6:$C$2205,MATCH(U677,'Material routes'!$A$6:$A$2205,0)),"MISSING ID")</x:f>
        <x:v>Ingredient candidate</x:v>
      </x:c>
      <x:c r="F677" s="4" t="str">
        <x:f>IFERROR(INDEX('Material routes'!$E$6:$E$2205,MATCH(V677,'Material routes'!$A$6:$A$2205,0)),"MISSING ID")</x:f>
        <x:v>Strained edible-fauna broth base</x:v>
      </x:c>
      <x:c r="G677" s="4" t="str">
        <x:f>IFERROR(INDEX('Material routes'!$F$6:$F$2205,MATCH(V677,'Material routes'!$A$6:$A$2205,0)),"MISSING ID")</x:f>
        <x:v>T2</x:v>
      </x:c>
      <x:c r="H677" s="4" t="str">
        <x:f>IFERROR(INDEX('Material routes'!$H$6:$H$2205,MATCH(V677,'Material routes'!$A$6:$A$2205,0)),"MISSING ID")</x:f>
        <x:v>Food material</x:v>
      </x:c>
      <x:c r="I677" s="4" t="str">
        <x:f>IFERROR(INDEX('Material routes'!$G$6:$G$2205,MATCH(V677,'Material routes'!$A$6:$A$2205,0)),"MISSING ID")</x:f>
        <x:v>Cooking ingredients</x:v>
      </x:c>
      <x:c r="J677" s="4" t="str">
        <x:f>IFERROR(INDEX('Material routes'!$B$6:$B$2205,MATCH(U677,'Material routes'!$A$6:$A$2205,0)),"MISSING ID")</x:f>
        <x:v>design.collection.strained_edible_fauna_broth_base</x:v>
      </x:c>
      <x:c r="K677" s="4" t="str">
        <x:f>IFERROR(INDEX('Crafting recipes'!$C$6:$C$1005,MATCH(J677,'Crafting recipes'!$A$6:$A$1005,0)),"MISSING ID")</x:f>
        <x:v>Material refinement</x:v>
      </x:c>
      <x:c r="L677" s="4" t="str">
        <x:f>IFERROR(INDEX('Material routes'!$K$6:$K$2205,MATCH(U677,'Material routes'!$A$6:$A$2205,0)),"MISSING ID")</x:f>
        <x:v>Proposal</x:v>
      </x:c>
      <x:c r="M677" s="4" t="str">
        <x:f>IFERROR(INDEX('Material routes'!$M$6:$M$2205,MATCH(U677,'Material routes'!$A$6:$A$2205,0)),"MISSING ID")</x:f>
        <x:v>Partial proposal</x:v>
      </x:c>
      <x:c r="N677" s="4"/>
      <x:c r="O677" s="4" t="str">
        <x:f>IFERROR(INDEX('Material routes'!$J$6:$J$2205,MATCH(U677,'Material routes'!$A$6:$A$2205,0)),"MISSING ID")</x:f>
        <x:v>Unspecified</x:v>
      </x:c>
      <x:c r="P677" s="4"/>
      <x:c r="Q677" s="4" t="str">
        <x:f>IFERROR(INDEX('Material routes'!$J$6:$J$2205,MATCH(V677,'Material routes'!$A$6:$A$2205,0)),"MISSING ID")</x:f>
        <x:v>Unspecified</x:v>
      </x:c>
      <x:c r="R677" s="4" t="str">
        <x:f>IF(L677="Withheld","Withheld premise",IF(E677="Tool candidate","Reusable prerequisite",IF(K677="Raw entry preparation","Entry-resource preparation",IF(G677="Not applicable",IF(IFERROR(INDEX('Items'!$AI$6:$AI$1005,MATCH(T677,'Items'!$A$6:$A$1005,0)),"MISSING ID")="Finished item","Finished endpoint",IF(IFERROR(INDEX('Items'!$AI$6:$AI$1005,MATCH(T677,'Items'!$A$6:$A$1005,0)),"MISSING ID")="Currency","Currency / no refinement tier","Recovered output / tier not applicable")),IF(OR(IFERROR(INDEX('Crafting recipes'!$H$6:$H$1005,MATCH(J677,'Crafting recipes'!$A$6:$A$1005,0)),"MISSING ID")="Unassigned",G677="Unassigned"),"Tier unresolved",IF(IFERROR(VALUE(RIGHT(G677,1))-VALUE(RIGHT(IFERROR(INDEX('Crafting recipes'!$H$6:$H$1005,MATCH(J677,'Crafting recipes'!$A$6:$A$1005,0)),"MISSING ID"),1)),0)=1,IF(B677=IFERROR(INDEX('Crafting recipes'!$H$6:$H$1005,MATCH(J677,'Crafting recipes'!$A$6:$A$1005,0)),"MISSING ID"),"Advances one material tier","Lower-tier ingredient; route advances one tier"),"Needs tier review"))))))</x:f>
        <x:v>Lower-tier ingredient; route advances one tier</x:v>
      </x:c>
      <x:c r="S677" s="4" t="str">
        <x:f>IFERROR(INDEX('Material routes'!$D$6:$D$2205,MATCH(U677,'Material routes'!$A$6:$A$2205,0)),"MISSING ID")</x:f>
        <x:v>proposal.bio.edible_fraction</x:v>
      </x:c>
      <x:c r="T677" s="4" t="str">
        <x:f>IFERROR(INDEX('Material routes'!$D$6:$D$2205,MATCH(V677,'Material routes'!$A$6:$A$2205,0)),"MISSING ID")</x:f>
        <x:v>proposal.collection.strained_edible_fauna_broth_base</x:v>
      </x:c>
      <x:c r="U677" s="4" t="str">
        <x:v>design.collection.strained_edible_fauna_broth_base.in.1</x:v>
      </x:c>
      <x:c r="V677" s="4" t="str">
        <x:v>design.collection.strained_edible_fauna_broth_base.out</x:v>
      </x:c>
    </x:row>
    <x:row r="678" ht="64" customHeight="1">
      <x:c r="A678" s="4" t="str">
        <x:f>IFERROR(INDEX('Material routes'!$E$6:$E$2205,MATCH(U678,'Material routes'!$A$6:$A$2205,0)),"MISSING ID")</x:f>
        <x:v>Culinary Phagia liquid fraction</x:v>
      </x:c>
      <x:c r="B678" s="4" t="str">
        <x:f>IFERROR(INDEX('Material routes'!$F$6:$F$2205,MATCH(U678,'Material routes'!$A$6:$A$2205,0)),"MISSING ID")</x:f>
        <x:v>T1</x:v>
      </x:c>
      <x:c r="C678" s="4" t="str">
        <x:f>IFERROR(INDEX('Material routes'!$H$6:$H$2205,MATCH(U678,'Material routes'!$A$6:$A$2205,0)),"MISSING ID")</x:f>
        <x:v>Food material</x:v>
      </x:c>
      <x:c r="D678" s="4" t="str">
        <x:f>IFERROR(INDEX('Material routes'!$G$6:$G$2205,MATCH(U678,'Material routes'!$A$6:$A$2205,0)),"MISSING ID")</x:f>
        <x:v>Cooking ingredients</x:v>
      </x:c>
      <x:c r="E678" s="4" t="str">
        <x:f>IFERROR(INDEX('Material routes'!$C$6:$C$2205,MATCH(U678,'Material routes'!$A$6:$A$2205,0)),"MISSING ID")</x:f>
        <x:v>Ingredient candidate</x:v>
      </x:c>
      <x:c r="F678" s="4" t="str">
        <x:f>IFERROR(INDEX('Material routes'!$E$6:$E$2205,MATCH(V678,'Material routes'!$A$6:$A$2205,0)),"MISSING ID")</x:f>
        <x:v>Strained edible-fauna broth base</x:v>
      </x:c>
      <x:c r="G678" s="4" t="str">
        <x:f>IFERROR(INDEX('Material routes'!$F$6:$F$2205,MATCH(V678,'Material routes'!$A$6:$A$2205,0)),"MISSING ID")</x:f>
        <x:v>T2</x:v>
      </x:c>
      <x:c r="H678" s="4" t="str">
        <x:f>IFERROR(INDEX('Material routes'!$H$6:$H$2205,MATCH(V678,'Material routes'!$A$6:$A$2205,0)),"MISSING ID")</x:f>
        <x:v>Food material</x:v>
      </x:c>
      <x:c r="I678" s="4" t="str">
        <x:f>IFERROR(INDEX('Material routes'!$G$6:$G$2205,MATCH(V678,'Material routes'!$A$6:$A$2205,0)),"MISSING ID")</x:f>
        <x:v>Cooking ingredients</x:v>
      </x:c>
      <x:c r="J678" s="4" t="str">
        <x:f>IFERROR(INDEX('Material routes'!$B$6:$B$2205,MATCH(U678,'Material routes'!$A$6:$A$2205,0)),"MISSING ID")</x:f>
        <x:v>design.collection.strained_edible_fauna_broth_base</x:v>
      </x:c>
      <x:c r="K678" s="4" t="str">
        <x:f>IFERROR(INDEX('Crafting recipes'!$C$6:$C$1005,MATCH(J678,'Crafting recipes'!$A$6:$A$1005,0)),"MISSING ID")</x:f>
        <x:v>Material refinement</x:v>
      </x:c>
      <x:c r="L678" s="4" t="str">
        <x:f>IFERROR(INDEX('Material routes'!$K$6:$K$2205,MATCH(U678,'Material routes'!$A$6:$A$2205,0)),"MISSING ID")</x:f>
        <x:v>Proposal</x:v>
      </x:c>
      <x:c r="M678" s="4" t="str">
        <x:f>IFERROR(INDEX('Material routes'!$M$6:$M$2205,MATCH(U678,'Material routes'!$A$6:$A$2205,0)),"MISSING ID")</x:f>
        <x:v>Partial proposal</x:v>
      </x:c>
      <x:c r="N678" s="4"/>
      <x:c r="O678" s="4" t="str">
        <x:f>IFERROR(INDEX('Material routes'!$J$6:$J$2205,MATCH(U678,'Material routes'!$A$6:$A$2205,0)),"MISSING ID")</x:f>
        <x:v>Unspecified</x:v>
      </x:c>
      <x:c r="P678" s="4"/>
      <x:c r="Q678" s="4" t="str">
        <x:f>IFERROR(INDEX('Material routes'!$J$6:$J$2205,MATCH(V678,'Material routes'!$A$6:$A$2205,0)),"MISSING ID")</x:f>
        <x:v>Unspecified</x:v>
      </x:c>
      <x:c r="R678" s="4" t="str">
        <x:f>IF(L678="Withheld","Withheld premise",IF(E678="Tool candidate","Reusable prerequisite",IF(K678="Raw entry preparation","Entry-resource preparation",IF(G678="Not applicable",IF(IFERROR(INDEX('Items'!$AI$6:$AI$1005,MATCH(T678,'Items'!$A$6:$A$1005,0)),"MISSING ID")="Finished item","Finished endpoint",IF(IFERROR(INDEX('Items'!$AI$6:$AI$1005,MATCH(T678,'Items'!$A$6:$A$1005,0)),"MISSING ID")="Currency","Currency / no refinement tier","Recovered output / tier not applicable")),IF(OR(IFERROR(INDEX('Crafting recipes'!$H$6:$H$1005,MATCH(J678,'Crafting recipes'!$A$6:$A$1005,0)),"MISSING ID")="Unassigned",G678="Unassigned"),"Tier unresolved",IF(IFERROR(VALUE(RIGHT(G678,1))-VALUE(RIGHT(IFERROR(INDEX('Crafting recipes'!$H$6:$H$1005,MATCH(J678,'Crafting recipes'!$A$6:$A$1005,0)),"MISSING ID"),1)),0)=1,IF(B678=IFERROR(INDEX('Crafting recipes'!$H$6:$H$1005,MATCH(J678,'Crafting recipes'!$A$6:$A$1005,0)),"MISSING ID"),"Advances one material tier","Lower-tier ingredient; route advances one tier"),"Needs tier review"))))))</x:f>
        <x:v>Advances one material tier</x:v>
      </x:c>
      <x:c r="S678" s="4" t="str">
        <x:f>IFERROR(INDEX('Material routes'!$D$6:$D$2205,MATCH(U678,'Material routes'!$A$6:$A$2205,0)),"MISSING ID")</x:f>
        <x:v>proposal.collection.culinary_phagia_liquid_fraction</x:v>
      </x:c>
      <x:c r="T678" s="4" t="str">
        <x:f>IFERROR(INDEX('Material routes'!$D$6:$D$2205,MATCH(V678,'Material routes'!$A$6:$A$2205,0)),"MISSING ID")</x:f>
        <x:v>proposal.collection.strained_edible_fauna_broth_base</x:v>
      </x:c>
      <x:c r="U678" s="4" t="str">
        <x:v>design.collection.strained_edible_fauna_broth_base.in.2</x:v>
      </x:c>
      <x:c r="V678" s="4" t="str">
        <x:v>design.collection.strained_edible_fauna_broth_base.out</x:v>
      </x:c>
    </x:row>
    <x:row r="679" ht="64" customHeight="1">
      <x:c r="A679" s="4"/>
      <x:c r="B679" s="4"/>
      <x:c r="C679" s="4"/>
      <x:c r="D679" s="4"/>
      <x:c r="E679" s="4"/>
      <x:c r="F679" s="4"/>
      <x:c r="G679" s="4"/>
      <x:c r="H679" s="4"/>
      <x:c r="I679" s="4"/>
      <x:c r="J679" s="4"/>
      <x:c r="K679" s="4"/>
      <x:c r="L679" s="4"/>
      <x:c r="M679" s="4"/>
      <x:c r="N679" s="4"/>
      <x:c r="O679" s="4"/>
      <x:c r="P679" s="4"/>
      <x:c r="Q679" s="4"/>
      <x:c r="R679" s="4"/>
      <x:c r="S679" s="4"/>
      <x:c r="T679" s="4"/>
      <x:c r="U679" s="4"/>
      <x:c r="V679" s="4"/>
    </x:row>
    <x:row r="680" ht="64" customHeight="1">
      <x:c r="A680" s="4" t="str">
        <x:f>IFERROR(INDEX('Material routes'!$E$6:$E$2205,MATCH(U680,'Material routes'!$A$6:$A$2205,0)),"MISSING ID")</x:f>
        <x:v>Edible fauna fraction (species TBD)</x:v>
      </x:c>
      <x:c r="B680" s="4" t="str">
        <x:f>IFERROR(INDEX('Material routes'!$F$6:$F$2205,MATCH(U680,'Material routes'!$A$6:$A$2205,0)),"MISSING ID")</x:f>
        <x:v>T0</x:v>
      </x:c>
      <x:c r="C680" s="4" t="str">
        <x:f>IFERROR(INDEX('Material routes'!$H$6:$H$2205,MATCH(U680,'Material routes'!$A$6:$A$2205,0)),"MISSING ID")</x:f>
        <x:v>Food material</x:v>
      </x:c>
      <x:c r="D680" s="4" t="str">
        <x:f>IFERROR(INDEX('Material routes'!$G$6:$G$2205,MATCH(U680,'Material routes'!$A$6:$A$2205,0)),"MISSING ID")</x:f>
        <x:v>Cooking ingredients</x:v>
      </x:c>
      <x:c r="E680" s="4" t="str">
        <x:f>IFERROR(INDEX('Material routes'!$C$6:$C$2205,MATCH(U680,'Material routes'!$A$6:$A$2205,0)),"MISSING ID")</x:f>
        <x:v>Ingredient candidate</x:v>
      </x:c>
      <x:c r="F680" s="4" t="str">
        <x:f>IFERROR(INDEX('Material routes'!$E$6:$E$2205,MATCH(V680,'Material routes'!$A$6:$A$2205,0)),"MISSING ID")</x:f>
        <x:v>Cooked edible-fauna morsels</x:v>
      </x:c>
      <x:c r="G680" s="4" t="str">
        <x:f>IFERROR(INDEX('Material routes'!$F$6:$F$2205,MATCH(V680,'Material routes'!$A$6:$A$2205,0)),"MISSING ID")</x:f>
        <x:v>T1</x:v>
      </x:c>
      <x:c r="H680" s="4" t="str">
        <x:f>IFERROR(INDEX('Material routes'!$H$6:$H$2205,MATCH(V680,'Material routes'!$A$6:$A$2205,0)),"MISSING ID")</x:f>
        <x:v>Food material</x:v>
      </x:c>
      <x:c r="I680" s="4" t="str">
        <x:f>IFERROR(INDEX('Material routes'!$G$6:$G$2205,MATCH(V680,'Material routes'!$A$6:$A$2205,0)),"MISSING ID")</x:f>
        <x:v>Cooking ingredients</x:v>
      </x:c>
      <x:c r="J680" s="4" t="str">
        <x:f>IFERROR(INDEX('Material routes'!$B$6:$B$2205,MATCH(U680,'Material routes'!$A$6:$A$2205,0)),"MISSING ID")</x:f>
        <x:v>design.collection.cooked_edible_fauna_morsels</x:v>
      </x:c>
      <x:c r="K680" s="4" t="str">
        <x:f>IFERROR(INDEX('Crafting recipes'!$C$6:$C$1005,MATCH(J680,'Crafting recipes'!$A$6:$A$1005,0)),"MISSING ID")</x:f>
        <x:v>Material refinement</x:v>
      </x:c>
      <x:c r="L680" s="4" t="str">
        <x:f>IFERROR(INDEX('Material routes'!$K$6:$K$2205,MATCH(U680,'Material routes'!$A$6:$A$2205,0)),"MISSING ID")</x:f>
        <x:v>Proposal</x:v>
      </x:c>
      <x:c r="M680" s="4" t="str">
        <x:f>IFERROR(INDEX('Material routes'!$M$6:$M$2205,MATCH(U680,'Material routes'!$A$6:$A$2205,0)),"MISSING ID")</x:f>
        <x:v>Partial proposal</x:v>
      </x:c>
      <x:c r="N680" s="4"/>
      <x:c r="O680" s="4" t="str">
        <x:f>IFERROR(INDEX('Material routes'!$J$6:$J$2205,MATCH(U680,'Material routes'!$A$6:$A$2205,0)),"MISSING ID")</x:f>
        <x:v>Unspecified</x:v>
      </x:c>
      <x:c r="P680" s="4"/>
      <x:c r="Q680" s="4" t="str">
        <x:f>IFERROR(INDEX('Material routes'!$J$6:$J$2205,MATCH(V680,'Material routes'!$A$6:$A$2205,0)),"MISSING ID")</x:f>
        <x:v>Unspecified</x:v>
      </x:c>
      <x:c r="R680" s="4" t="str">
        <x:f>IF(L680="Withheld","Withheld premise",IF(E680="Tool candidate","Reusable prerequisite",IF(K680="Raw entry preparation","Entry-resource preparation",IF(G680="Not applicable",IF(IFERROR(INDEX('Items'!$AI$6:$AI$1005,MATCH(T680,'Items'!$A$6:$A$1005,0)),"MISSING ID")="Finished item","Finished endpoint",IF(IFERROR(INDEX('Items'!$AI$6:$AI$1005,MATCH(T680,'Items'!$A$6:$A$1005,0)),"MISSING ID")="Currency","Currency / no refinement tier","Recovered output / tier not applicable")),IF(OR(IFERROR(INDEX('Crafting recipes'!$H$6:$H$1005,MATCH(J680,'Crafting recipes'!$A$6:$A$1005,0)),"MISSING ID")="Unassigned",G680="Unassigned"),"Tier unresolved",IF(IFERROR(VALUE(RIGHT(G680,1))-VALUE(RIGHT(IFERROR(INDEX('Crafting recipes'!$H$6:$H$1005,MATCH(J680,'Crafting recipes'!$A$6:$A$1005,0)),"MISSING ID"),1)),0)=1,IF(B680=IFERROR(INDEX('Crafting recipes'!$H$6:$H$1005,MATCH(J680,'Crafting recipes'!$A$6:$A$1005,0)),"MISSING ID"),"Advances one material tier","Lower-tier ingredient; route advances one tier"),"Needs tier review"))))))</x:f>
        <x:v>Advances one material tier</x:v>
      </x:c>
      <x:c r="S680" s="4" t="str">
        <x:f>IFERROR(INDEX('Material routes'!$D$6:$D$2205,MATCH(U680,'Material routes'!$A$6:$A$2205,0)),"MISSING ID")</x:f>
        <x:v>proposal.bio.edible_fraction</x:v>
      </x:c>
      <x:c r="T680" s="4" t="str">
        <x:f>IFERROR(INDEX('Material routes'!$D$6:$D$2205,MATCH(V680,'Material routes'!$A$6:$A$2205,0)),"MISSING ID")</x:f>
        <x:v>proposal.collection.cooked_edible_fauna_morsels</x:v>
      </x:c>
      <x:c r="U680" s="4" t="str">
        <x:v>design.collection.cooked_edible_fauna_morsels.in.1</x:v>
      </x:c>
      <x:c r="V680" s="4" t="str">
        <x:v>design.collection.cooked_edible_fauna_morsels.out</x:v>
      </x:c>
    </x:row>
    <x:row r="681" ht="64" customHeight="1">
      <x:c r="A681" s="4" t="str">
        <x:f>IFERROR(INDEX('Material routes'!$E$6:$E$2205,MATCH(U681,'Material routes'!$A$6:$A$2205,0)),"MISSING ID")</x:f>
        <x:v>Selected edible-fauna gland tissue</x:v>
      </x:c>
      <x:c r="B681" s="4" t="str">
        <x:f>IFERROR(INDEX('Material routes'!$F$6:$F$2205,MATCH(U681,'Material routes'!$A$6:$A$2205,0)),"MISSING ID")</x:f>
        <x:v>T0</x:v>
      </x:c>
      <x:c r="C681" s="4" t="str">
        <x:f>IFERROR(INDEX('Material routes'!$H$6:$H$2205,MATCH(U681,'Material routes'!$A$6:$A$2205,0)),"MISSING ID")</x:f>
        <x:v>Raw material</x:v>
      </x:c>
      <x:c r="D681" s="4" t="str">
        <x:f>IFERROR(INDEX('Material routes'!$G$6:$G$2205,MATCH(U681,'Material routes'!$A$6:$A$2205,0)),"MISSING ID")</x:f>
        <x:v>Cooking ingredients</x:v>
      </x:c>
      <x:c r="E681" s="4" t="str">
        <x:f>IFERROR(INDEX('Material routes'!$C$6:$C$2205,MATCH(U681,'Material routes'!$A$6:$A$2205,0)),"MISSING ID")</x:f>
        <x:v>Ingredient candidate</x:v>
      </x:c>
      <x:c r="F681" s="4" t="str">
        <x:f>IFERROR(INDEX('Material routes'!$E$6:$E$2205,MATCH(V681,'Material routes'!$A$6:$A$2205,0)),"MISSING ID")</x:f>
        <x:v>Culinary fauna aroma fraction</x:v>
      </x:c>
      <x:c r="G681" s="4" t="str">
        <x:f>IFERROR(INDEX('Material routes'!$F$6:$F$2205,MATCH(V681,'Material routes'!$A$6:$A$2205,0)),"MISSING ID")</x:f>
        <x:v>T1</x:v>
      </x:c>
      <x:c r="H681" s="4" t="str">
        <x:f>IFERROR(INDEX('Material routes'!$H$6:$H$2205,MATCH(V681,'Material routes'!$A$6:$A$2205,0)),"MISSING ID")</x:f>
        <x:v>Food material</x:v>
      </x:c>
      <x:c r="I681" s="4" t="str">
        <x:f>IFERROR(INDEX('Material routes'!$G$6:$G$2205,MATCH(V681,'Material routes'!$A$6:$A$2205,0)),"MISSING ID")</x:f>
        <x:v>Cooking ingredients</x:v>
      </x:c>
      <x:c r="J681" s="4" t="str">
        <x:f>IFERROR(INDEX('Material routes'!$B$6:$B$2205,MATCH(U681,'Material routes'!$A$6:$A$2205,0)),"MISSING ID")</x:f>
        <x:v>design.collection.culinary_fauna_aroma_fraction</x:v>
      </x:c>
      <x:c r="K681" s="4" t="str">
        <x:f>IFERROR(INDEX('Crafting recipes'!$C$6:$C$1005,MATCH(J681,'Crafting recipes'!$A$6:$A$1005,0)),"MISSING ID")</x:f>
        <x:v>Material refinement</x:v>
      </x:c>
      <x:c r="L681" s="4" t="str">
        <x:f>IFERROR(INDEX('Material routes'!$K$6:$K$2205,MATCH(U681,'Material routes'!$A$6:$A$2205,0)),"MISSING ID")</x:f>
        <x:v>Proposal</x:v>
      </x:c>
      <x:c r="M681" s="4" t="str">
        <x:f>IFERROR(INDEX('Material routes'!$M$6:$M$2205,MATCH(U681,'Material routes'!$A$6:$A$2205,0)),"MISSING ID")</x:f>
        <x:v>Partial proposal</x:v>
      </x:c>
      <x:c r="N681" s="4"/>
      <x:c r="O681" s="4" t="str">
        <x:f>IFERROR(INDEX('Material routes'!$J$6:$J$2205,MATCH(U681,'Material routes'!$A$6:$A$2205,0)),"MISSING ID")</x:f>
        <x:v>Unspecified</x:v>
      </x:c>
      <x:c r="P681" s="4"/>
      <x:c r="Q681" s="4" t="str">
        <x:f>IFERROR(INDEX('Material routes'!$J$6:$J$2205,MATCH(V681,'Material routes'!$A$6:$A$2205,0)),"MISSING ID")</x:f>
        <x:v>Unspecified</x:v>
      </x:c>
      <x:c r="R681" s="4" t="str">
        <x:f>IF(L681="Withheld","Withheld premise",IF(E681="Tool candidate","Reusable prerequisite",IF(K681="Raw entry preparation","Entry-resource preparation",IF(G681="Not applicable",IF(IFERROR(INDEX('Items'!$AI$6:$AI$1005,MATCH(T681,'Items'!$A$6:$A$1005,0)),"MISSING ID")="Finished item","Finished endpoint",IF(IFERROR(INDEX('Items'!$AI$6:$AI$1005,MATCH(T681,'Items'!$A$6:$A$1005,0)),"MISSING ID")="Currency","Currency / no refinement tier","Recovered output / tier not applicable")),IF(OR(IFERROR(INDEX('Crafting recipes'!$H$6:$H$1005,MATCH(J681,'Crafting recipes'!$A$6:$A$1005,0)),"MISSING ID")="Unassigned",G681="Unassigned"),"Tier unresolved",IF(IFERROR(VALUE(RIGHT(G681,1))-VALUE(RIGHT(IFERROR(INDEX('Crafting recipes'!$H$6:$H$1005,MATCH(J681,'Crafting recipes'!$A$6:$A$1005,0)),"MISSING ID"),1)),0)=1,IF(B681=IFERROR(INDEX('Crafting recipes'!$H$6:$H$1005,MATCH(J681,'Crafting recipes'!$A$6:$A$1005,0)),"MISSING ID"),"Advances one material tier","Lower-tier ingredient; route advances one tier"),"Needs tier review"))))))</x:f>
        <x:v>Advances one material tier</x:v>
      </x:c>
      <x:c r="S681" s="4" t="str">
        <x:f>IFERROR(INDEX('Material routes'!$D$6:$D$2205,MATCH(U681,'Material routes'!$A$6:$A$2205,0)),"MISSING ID")</x:f>
        <x:v>proposal.collection.selected_edible_fauna_gland_tissue</x:v>
      </x:c>
      <x:c r="T681" s="4" t="str">
        <x:f>IFERROR(INDEX('Material routes'!$D$6:$D$2205,MATCH(V681,'Material routes'!$A$6:$A$2205,0)),"MISSING ID")</x:f>
        <x:v>proposal.collection.culinary_fauna_aroma_fraction</x:v>
      </x:c>
      <x:c r="U681" s="4" t="str">
        <x:v>design.collection.culinary_fauna_aroma_fraction.in.1</x:v>
      </x:c>
      <x:c r="V681" s="4" t="str">
        <x:v>design.collection.culinary_fauna_aroma_fraction.out</x:v>
      </x:c>
    </x:row>
    <x:row r="682" ht="64" customHeight="1">
      <x:c r="A682" s="4" t="str">
        <x:f>IFERROR(INDEX('Material routes'!$E$6:$E$2205,MATCH(U682,'Material routes'!$A$6:$A$2205,0)),"MISSING ID")</x:f>
        <x:v>Drained culinary Phagia curd</x:v>
      </x:c>
      <x:c r="B682" s="4" t="str">
        <x:f>IFERROR(INDEX('Material routes'!$F$6:$F$2205,MATCH(U682,'Material routes'!$A$6:$A$2205,0)),"MISSING ID")</x:f>
        <x:v>T1</x:v>
      </x:c>
      <x:c r="C682" s="4" t="str">
        <x:f>IFERROR(INDEX('Material routes'!$H$6:$H$2205,MATCH(U682,'Material routes'!$A$6:$A$2205,0)),"MISSING ID")</x:f>
        <x:v>Food material</x:v>
      </x:c>
      <x:c r="D682" s="4" t="str">
        <x:f>IFERROR(INDEX('Material routes'!$G$6:$G$2205,MATCH(U682,'Material routes'!$A$6:$A$2205,0)),"MISSING ID")</x:f>
        <x:v>Cooking ingredients</x:v>
      </x:c>
      <x:c r="E682" s="4" t="str">
        <x:f>IFERROR(INDEX('Material routes'!$C$6:$C$2205,MATCH(U682,'Material routes'!$A$6:$A$2205,0)),"MISSING ID")</x:f>
        <x:v>Ingredient candidate</x:v>
      </x:c>
      <x:c r="F682" s="4" t="str">
        <x:f>IFERROR(INDEX('Material routes'!$E$6:$E$2205,MATCH(V682,'Material routes'!$A$6:$A$2205,0)),"MISSING ID")</x:f>
        <x:v>Phagia-fauna savory filling</x:v>
      </x:c>
      <x:c r="G682" s="4" t="str">
        <x:f>IFERROR(INDEX('Material routes'!$F$6:$F$2205,MATCH(V682,'Material routes'!$A$6:$A$2205,0)),"MISSING ID")</x:f>
        <x:v>T2</x:v>
      </x:c>
      <x:c r="H682" s="4" t="str">
        <x:f>IFERROR(INDEX('Material routes'!$H$6:$H$2205,MATCH(V682,'Material routes'!$A$6:$A$2205,0)),"MISSING ID")</x:f>
        <x:v>Food material</x:v>
      </x:c>
      <x:c r="I682" s="4" t="str">
        <x:f>IFERROR(INDEX('Material routes'!$G$6:$G$2205,MATCH(V682,'Material routes'!$A$6:$A$2205,0)),"MISSING ID")</x:f>
        <x:v>Cooking ingredients</x:v>
      </x:c>
      <x:c r="J682" s="4" t="str">
        <x:f>IFERROR(INDEX('Material routes'!$B$6:$B$2205,MATCH(U682,'Material routes'!$A$6:$A$2205,0)),"MISSING ID")</x:f>
        <x:v>design.collection.phagia_fauna_savory_filling</x:v>
      </x:c>
      <x:c r="K682" s="4" t="str">
        <x:f>IFERROR(INDEX('Crafting recipes'!$C$6:$C$1005,MATCH(J682,'Crafting recipes'!$A$6:$A$1005,0)),"MISSING ID")</x:f>
        <x:v>Material refinement</x:v>
      </x:c>
      <x:c r="L682" s="4" t="str">
        <x:f>IFERROR(INDEX('Material routes'!$K$6:$K$2205,MATCH(U682,'Material routes'!$A$6:$A$2205,0)),"MISSING ID")</x:f>
        <x:v>Proposal</x:v>
      </x:c>
      <x:c r="M682" s="4" t="str">
        <x:f>IFERROR(INDEX('Material routes'!$M$6:$M$2205,MATCH(U682,'Material routes'!$A$6:$A$2205,0)),"MISSING ID")</x:f>
        <x:v>Partial proposal</x:v>
      </x:c>
      <x:c r="N682" s="4"/>
      <x:c r="O682" s="4" t="str">
        <x:f>IFERROR(INDEX('Material routes'!$J$6:$J$2205,MATCH(U682,'Material routes'!$A$6:$A$2205,0)),"MISSING ID")</x:f>
        <x:v>Unspecified</x:v>
      </x:c>
      <x:c r="P682" s="4"/>
      <x:c r="Q682" s="4" t="str">
        <x:f>IFERROR(INDEX('Material routes'!$J$6:$J$2205,MATCH(V682,'Material routes'!$A$6:$A$2205,0)),"MISSING ID")</x:f>
        <x:v>Unspecified</x:v>
      </x:c>
      <x:c r="R682" s="4" t="str">
        <x:f>IF(L682="Withheld","Withheld premise",IF(E682="Tool candidate","Reusable prerequisite",IF(K682="Raw entry preparation","Entry-resource preparation",IF(G682="Not applicable",IF(IFERROR(INDEX('Items'!$AI$6:$AI$1005,MATCH(T682,'Items'!$A$6:$A$1005,0)),"MISSING ID")="Finished item","Finished endpoint",IF(IFERROR(INDEX('Items'!$AI$6:$AI$1005,MATCH(T682,'Items'!$A$6:$A$1005,0)),"MISSING ID")="Currency","Currency / no refinement tier","Recovered output / tier not applicable")),IF(OR(IFERROR(INDEX('Crafting recipes'!$H$6:$H$1005,MATCH(J682,'Crafting recipes'!$A$6:$A$1005,0)),"MISSING ID")="Unassigned",G682="Unassigned"),"Tier unresolved",IF(IFERROR(VALUE(RIGHT(G682,1))-VALUE(RIGHT(IFERROR(INDEX('Crafting recipes'!$H$6:$H$1005,MATCH(J682,'Crafting recipes'!$A$6:$A$1005,0)),"MISSING ID"),1)),0)=1,IF(B682=IFERROR(INDEX('Crafting recipes'!$H$6:$H$1005,MATCH(J682,'Crafting recipes'!$A$6:$A$1005,0)),"MISSING ID"),"Advances one material tier","Lower-tier ingredient; route advances one tier"),"Needs tier review"))))))</x:f>
        <x:v>Advances one material tier</x:v>
      </x:c>
      <x:c r="S682" s="4" t="str">
        <x:f>IFERROR(INDEX('Material routes'!$D$6:$D$2205,MATCH(U682,'Material routes'!$A$6:$A$2205,0)),"MISSING ID")</x:f>
        <x:v>proposal.collection.drained_culinary_phagia_curd</x:v>
      </x:c>
      <x:c r="T682" s="4" t="str">
        <x:f>IFERROR(INDEX('Material routes'!$D$6:$D$2205,MATCH(V682,'Material routes'!$A$6:$A$2205,0)),"MISSING ID")</x:f>
        <x:v>proposal.collection.phagia_fauna_savory_filling</x:v>
      </x:c>
      <x:c r="U682" s="4" t="str">
        <x:v>design.collection.phagia_fauna_savory_filling.in.1</x:v>
      </x:c>
      <x:c r="V682" s="4" t="str">
        <x:v>design.collection.phagia_fauna_savory_filling.out</x:v>
      </x:c>
    </x:row>
    <x:row r="683" ht="64" customHeight="1">
      <x:c r="A683" s="4" t="str">
        <x:f>IFERROR(INDEX('Material routes'!$E$6:$E$2205,MATCH(U683,'Material routes'!$A$6:$A$2205,0)),"MISSING ID")</x:f>
        <x:v>Prepared edible-fauna paste</x:v>
      </x:c>
      <x:c r="B683" s="4" t="str">
        <x:f>IFERROR(INDEX('Material routes'!$F$6:$F$2205,MATCH(U683,'Material routes'!$A$6:$A$2205,0)),"MISSING ID")</x:f>
        <x:v>T1</x:v>
      </x:c>
      <x:c r="C683" s="4" t="str">
        <x:f>IFERROR(INDEX('Material routes'!$H$6:$H$2205,MATCH(U683,'Material routes'!$A$6:$A$2205,0)),"MISSING ID")</x:f>
        <x:v>Food material</x:v>
      </x:c>
      <x:c r="D683" s="4" t="str">
        <x:f>IFERROR(INDEX('Material routes'!$G$6:$G$2205,MATCH(U683,'Material routes'!$A$6:$A$2205,0)),"MISSING ID")</x:f>
        <x:v>Cooking ingredients</x:v>
      </x:c>
      <x:c r="E683" s="4" t="str">
        <x:f>IFERROR(INDEX('Material routes'!$C$6:$C$2205,MATCH(U683,'Material routes'!$A$6:$A$2205,0)),"MISSING ID")</x:f>
        <x:v>Ingredient candidate</x:v>
      </x:c>
      <x:c r="F683" s="4" t="str">
        <x:f>IFERROR(INDEX('Material routes'!$E$6:$E$2205,MATCH(V683,'Material routes'!$A$6:$A$2205,0)),"MISSING ID")</x:f>
        <x:v>Phagia-fauna savory filling</x:v>
      </x:c>
      <x:c r="G683" s="4" t="str">
        <x:f>IFERROR(INDEX('Material routes'!$F$6:$F$2205,MATCH(V683,'Material routes'!$A$6:$A$2205,0)),"MISSING ID")</x:f>
        <x:v>T2</x:v>
      </x:c>
      <x:c r="H683" s="4" t="str">
        <x:f>IFERROR(INDEX('Material routes'!$H$6:$H$2205,MATCH(V683,'Material routes'!$A$6:$A$2205,0)),"MISSING ID")</x:f>
        <x:v>Food material</x:v>
      </x:c>
      <x:c r="I683" s="4" t="str">
        <x:f>IFERROR(INDEX('Material routes'!$G$6:$G$2205,MATCH(V683,'Material routes'!$A$6:$A$2205,0)),"MISSING ID")</x:f>
        <x:v>Cooking ingredients</x:v>
      </x:c>
      <x:c r="J683" s="4" t="str">
        <x:f>IFERROR(INDEX('Material routes'!$B$6:$B$2205,MATCH(U683,'Material routes'!$A$6:$A$2205,0)),"MISSING ID")</x:f>
        <x:v>design.collection.phagia_fauna_savory_filling</x:v>
      </x:c>
      <x:c r="K683" s="4" t="str">
        <x:f>IFERROR(INDEX('Crafting recipes'!$C$6:$C$1005,MATCH(J683,'Crafting recipes'!$A$6:$A$1005,0)),"MISSING ID")</x:f>
        <x:v>Material refinement</x:v>
      </x:c>
      <x:c r="L683" s="4" t="str">
        <x:f>IFERROR(INDEX('Material routes'!$K$6:$K$2205,MATCH(U683,'Material routes'!$A$6:$A$2205,0)),"MISSING ID")</x:f>
        <x:v>Proposal</x:v>
      </x:c>
      <x:c r="M683" s="4" t="str">
        <x:f>IFERROR(INDEX('Material routes'!$M$6:$M$2205,MATCH(U683,'Material routes'!$A$6:$A$2205,0)),"MISSING ID")</x:f>
        <x:v>Partial proposal</x:v>
      </x:c>
      <x:c r="N683" s="4"/>
      <x:c r="O683" s="4" t="str">
        <x:f>IFERROR(INDEX('Material routes'!$J$6:$J$2205,MATCH(U683,'Material routes'!$A$6:$A$2205,0)),"MISSING ID")</x:f>
        <x:v>Unspecified</x:v>
      </x:c>
      <x:c r="P683" s="4"/>
      <x:c r="Q683" s="4" t="str">
        <x:f>IFERROR(INDEX('Material routes'!$J$6:$J$2205,MATCH(V683,'Material routes'!$A$6:$A$2205,0)),"MISSING ID")</x:f>
        <x:v>Unspecified</x:v>
      </x:c>
      <x:c r="R683" s="4" t="str">
        <x:f>IF(L683="Withheld","Withheld premise",IF(E683="Tool candidate","Reusable prerequisite",IF(K683="Raw entry preparation","Entry-resource preparation",IF(G683="Not applicable",IF(IFERROR(INDEX('Items'!$AI$6:$AI$1005,MATCH(T683,'Items'!$A$6:$A$1005,0)),"MISSING ID")="Finished item","Finished endpoint",IF(IFERROR(INDEX('Items'!$AI$6:$AI$1005,MATCH(T683,'Items'!$A$6:$A$1005,0)),"MISSING ID")="Currency","Currency / no refinement tier","Recovered output / tier not applicable")),IF(OR(IFERROR(INDEX('Crafting recipes'!$H$6:$H$1005,MATCH(J683,'Crafting recipes'!$A$6:$A$1005,0)),"MISSING ID")="Unassigned",G683="Unassigned"),"Tier unresolved",IF(IFERROR(VALUE(RIGHT(G683,1))-VALUE(RIGHT(IFERROR(INDEX('Crafting recipes'!$H$6:$H$1005,MATCH(J683,'Crafting recipes'!$A$6:$A$1005,0)),"MISSING ID"),1)),0)=1,IF(B683=IFERROR(INDEX('Crafting recipes'!$H$6:$H$1005,MATCH(J683,'Crafting recipes'!$A$6:$A$1005,0)),"MISSING ID"),"Advances one material tier","Lower-tier ingredient; route advances one tier"),"Needs tier review"))))))</x:f>
        <x:v>Advances one material tier</x:v>
      </x:c>
      <x:c r="S683" s="4" t="str">
        <x:f>IFERROR(INDEX('Material routes'!$D$6:$D$2205,MATCH(U683,'Material routes'!$A$6:$A$2205,0)),"MISSING ID")</x:f>
        <x:v>proposal.food.edible_paste</x:v>
      </x:c>
      <x:c r="T683" s="4" t="str">
        <x:f>IFERROR(INDEX('Material routes'!$D$6:$D$2205,MATCH(V683,'Material routes'!$A$6:$A$2205,0)),"MISSING ID")</x:f>
        <x:v>proposal.collection.phagia_fauna_savory_filling</x:v>
      </x:c>
      <x:c r="U683" s="4" t="str">
        <x:v>design.collection.phagia_fauna_savory_filling.in.2</x:v>
      </x:c>
      <x:c r="V683" s="4" t="str">
        <x:v>design.collection.phagia_fauna_savory_filling.out</x:v>
      </x:c>
    </x:row>
    <x:row r="684" ht="64" customHeight="1">
      <x:c r="A684" s="4" t="str">
        <x:f>IFERROR(INDEX('Material routes'!$E$6:$E$2205,MATCH(U684,'Material routes'!$A$6:$A$2205,0)),"MISSING ID")</x:f>
        <x:v>Fine culinary Phagia meal</x:v>
      </x:c>
      <x:c r="B684" s="4" t="str">
        <x:f>IFERROR(INDEX('Material routes'!$F$6:$F$2205,MATCH(U684,'Material routes'!$A$6:$A$2205,0)),"MISSING ID")</x:f>
        <x:v>T1</x:v>
      </x:c>
      <x:c r="C684" s="4" t="str">
        <x:f>IFERROR(INDEX('Material routes'!$H$6:$H$2205,MATCH(U684,'Material routes'!$A$6:$A$2205,0)),"MISSING ID")</x:f>
        <x:v>Food material</x:v>
      </x:c>
      <x:c r="D684" s="4" t="str">
        <x:f>IFERROR(INDEX('Material routes'!$G$6:$G$2205,MATCH(U684,'Material routes'!$A$6:$A$2205,0)),"MISSING ID")</x:f>
        <x:v>Cooking ingredients</x:v>
      </x:c>
      <x:c r="E684" s="4" t="str">
        <x:f>IFERROR(INDEX('Material routes'!$C$6:$C$2205,MATCH(U684,'Material routes'!$A$6:$A$2205,0)),"MISSING ID")</x:f>
        <x:v>Ingredient candidate</x:v>
      </x:c>
      <x:c r="F684" s="4" t="str">
        <x:f>IFERROR(INDEX('Material routes'!$E$6:$E$2205,MATCH(V684,'Material routes'!$A$6:$A$2205,0)),"MISSING ID")</x:f>
        <x:v>Pressed Phagia travel cake</x:v>
      </x:c>
      <x:c r="G684" s="4" t="str">
        <x:f>IFERROR(INDEX('Material routes'!$F$6:$F$2205,MATCH(V684,'Material routes'!$A$6:$A$2205,0)),"MISSING ID")</x:f>
        <x:v>Not applicable</x:v>
      </x:c>
      <x:c r="H684" s="4" t="str">
        <x:f>IFERROR(INDEX('Material routes'!$H$6:$H$2205,MATCH(V684,'Material routes'!$A$6:$A$2205,0)),"MISSING ID")</x:f>
        <x:v>Food consumable</x:v>
      </x:c>
      <x:c r="I684" s="4" t="str">
        <x:f>IFERROR(INDEX('Material routes'!$G$6:$G$2205,MATCH(V684,'Material routes'!$A$6:$A$2205,0)),"MISSING ID")</x:f>
        <x:v>Consumables</x:v>
      </x:c>
      <x:c r="J684" s="4" t="str">
        <x:f>IFERROR(INDEX('Material routes'!$B$6:$B$2205,MATCH(U684,'Material routes'!$A$6:$A$2205,0)),"MISSING ID")</x:f>
        <x:v>design.collection.pressed_phagia_travel_cake</x:v>
      </x:c>
      <x:c r="K684" s="4" t="str">
        <x:f>IFERROR(INDEX('Crafting recipes'!$C$6:$C$1005,MATCH(J684,'Crafting recipes'!$A$6:$A$1005,0)),"MISSING ID")</x:f>
        <x:v>Finished-item crafting</x:v>
      </x:c>
      <x:c r="L684" s="4" t="str">
        <x:f>IFERROR(INDEX('Material routes'!$K$6:$K$2205,MATCH(U684,'Material routes'!$A$6:$A$2205,0)),"MISSING ID")</x:f>
        <x:v>Proposal</x:v>
      </x:c>
      <x:c r="M684" s="4" t="str">
        <x:f>IFERROR(INDEX('Material routes'!$M$6:$M$2205,MATCH(U684,'Material routes'!$A$6:$A$2205,0)),"MISSING ID")</x:f>
        <x:v>Partial proposal</x:v>
      </x:c>
      <x:c r="N684" s="4"/>
      <x:c r="O684" s="4" t="str">
        <x:f>IFERROR(INDEX('Material routes'!$J$6:$J$2205,MATCH(U684,'Material routes'!$A$6:$A$2205,0)),"MISSING ID")</x:f>
        <x:v>Unspecified</x:v>
      </x:c>
      <x:c r="P684" s="4"/>
      <x:c r="Q684" s="4" t="str">
        <x:f>IFERROR(INDEX('Material routes'!$J$6:$J$2205,MATCH(V684,'Material routes'!$A$6:$A$2205,0)),"MISSING ID")</x:f>
        <x:v>Unspecified</x:v>
      </x:c>
      <x:c r="R684" s="4" t="str">
        <x:f>IF(L684="Withheld","Withheld premise",IF(E684="Tool candidate","Reusable prerequisite",IF(K684="Raw entry preparation","Entry-resource preparation",IF(G684="Not applicable",IF(IFERROR(INDEX('Items'!$AI$6:$AI$1005,MATCH(T684,'Items'!$A$6:$A$1005,0)),"MISSING ID")="Finished item","Finished endpoint",IF(IFERROR(INDEX('Items'!$AI$6:$AI$1005,MATCH(T684,'Items'!$A$6:$A$1005,0)),"MISSING ID")="Currency","Currency / no refinement tier","Recovered output / tier not applicable")),IF(OR(IFERROR(INDEX('Crafting recipes'!$H$6:$H$1005,MATCH(J684,'Crafting recipes'!$A$6:$A$1005,0)),"MISSING ID")="Unassigned",G684="Unassigned"),"Tier unresolved",IF(IFERROR(VALUE(RIGHT(G684,1))-VALUE(RIGHT(IFERROR(INDEX('Crafting recipes'!$H$6:$H$1005,MATCH(J684,'Crafting recipes'!$A$6:$A$1005,0)),"MISSING ID"),1)),0)=1,IF(B684=IFERROR(INDEX('Crafting recipes'!$H$6:$H$1005,MATCH(J684,'Crafting recipes'!$A$6:$A$1005,0)),"MISSING ID"),"Advances one material tier","Lower-tier ingredient; route advances one tier"),"Needs tier review"))))))</x:f>
        <x:v>Finished endpoint</x:v>
      </x:c>
      <x:c r="S684" s="4" t="str">
        <x:f>IFERROR(INDEX('Material routes'!$D$6:$D$2205,MATCH(U684,'Material routes'!$A$6:$A$2205,0)),"MISSING ID")</x:f>
        <x:v>proposal.collection.fine_culinary_phagia_meal</x:v>
      </x:c>
      <x:c r="T684" s="4" t="str">
        <x:f>IFERROR(INDEX('Material routes'!$D$6:$D$2205,MATCH(V684,'Material routes'!$A$6:$A$2205,0)),"MISSING ID")</x:f>
        <x:v>proposal.collection.pressed_phagia_travel_cake</x:v>
      </x:c>
      <x:c r="U684" s="4" t="str">
        <x:v>design.collection.pressed_phagia_travel_cake.in.1</x:v>
      </x:c>
      <x:c r="V684" s="4" t="str">
        <x:v>design.collection.pressed_phagia_travel_cake.out</x:v>
      </x:c>
    </x:row>
    <x:row r="685" ht="64" customHeight="1">
      <x:c r="A685" s="4" t="str">
        <x:f>IFERROR(INDEX('Material routes'!$E$6:$E$2205,MATCH(U685,'Material routes'!$A$6:$A$2205,0)),"MISSING ID")</x:f>
        <x:v>Culinary Phagia binding paste</x:v>
      </x:c>
      <x:c r="B685" s="4" t="str">
        <x:f>IFERROR(INDEX('Material routes'!$F$6:$F$2205,MATCH(U685,'Material routes'!$A$6:$A$2205,0)),"MISSING ID")</x:f>
        <x:v>T1</x:v>
      </x:c>
      <x:c r="C685" s="4" t="str">
        <x:f>IFERROR(INDEX('Material routes'!$H$6:$H$2205,MATCH(U685,'Material routes'!$A$6:$A$2205,0)),"MISSING ID")</x:f>
        <x:v>Food material</x:v>
      </x:c>
      <x:c r="D685" s="4" t="str">
        <x:f>IFERROR(INDEX('Material routes'!$G$6:$G$2205,MATCH(U685,'Material routes'!$A$6:$A$2205,0)),"MISSING ID")</x:f>
        <x:v>Cooking ingredients</x:v>
      </x:c>
      <x:c r="E685" s="4" t="str">
        <x:f>IFERROR(INDEX('Material routes'!$C$6:$C$2205,MATCH(U685,'Material routes'!$A$6:$A$2205,0)),"MISSING ID")</x:f>
        <x:v>Ingredient candidate</x:v>
      </x:c>
      <x:c r="F685" s="4" t="str">
        <x:f>IFERROR(INDEX('Material routes'!$E$6:$E$2205,MATCH(V685,'Material routes'!$A$6:$A$2205,0)),"MISSING ID")</x:f>
        <x:v>Pressed Phagia travel cake</x:v>
      </x:c>
      <x:c r="G685" s="4" t="str">
        <x:f>IFERROR(INDEX('Material routes'!$F$6:$F$2205,MATCH(V685,'Material routes'!$A$6:$A$2205,0)),"MISSING ID")</x:f>
        <x:v>Not applicable</x:v>
      </x:c>
      <x:c r="H685" s="4" t="str">
        <x:f>IFERROR(INDEX('Material routes'!$H$6:$H$2205,MATCH(V685,'Material routes'!$A$6:$A$2205,0)),"MISSING ID")</x:f>
        <x:v>Food consumable</x:v>
      </x:c>
      <x:c r="I685" s="4" t="str">
        <x:f>IFERROR(INDEX('Material routes'!$G$6:$G$2205,MATCH(V685,'Material routes'!$A$6:$A$2205,0)),"MISSING ID")</x:f>
        <x:v>Consumables</x:v>
      </x:c>
      <x:c r="J685" s="4" t="str">
        <x:f>IFERROR(INDEX('Material routes'!$B$6:$B$2205,MATCH(U685,'Material routes'!$A$6:$A$2205,0)),"MISSING ID")</x:f>
        <x:v>design.collection.pressed_phagia_travel_cake</x:v>
      </x:c>
      <x:c r="K685" s="4" t="str">
        <x:f>IFERROR(INDEX('Crafting recipes'!$C$6:$C$1005,MATCH(J685,'Crafting recipes'!$A$6:$A$1005,0)),"MISSING ID")</x:f>
        <x:v>Finished-item crafting</x:v>
      </x:c>
      <x:c r="L685" s="4" t="str">
        <x:f>IFERROR(INDEX('Material routes'!$K$6:$K$2205,MATCH(U685,'Material routes'!$A$6:$A$2205,0)),"MISSING ID")</x:f>
        <x:v>Proposal</x:v>
      </x:c>
      <x:c r="M685" s="4" t="str">
        <x:f>IFERROR(INDEX('Material routes'!$M$6:$M$2205,MATCH(U685,'Material routes'!$A$6:$A$2205,0)),"MISSING ID")</x:f>
        <x:v>Partial proposal</x:v>
      </x:c>
      <x:c r="N685" s="4"/>
      <x:c r="O685" s="4" t="str">
        <x:f>IFERROR(INDEX('Material routes'!$J$6:$J$2205,MATCH(U685,'Material routes'!$A$6:$A$2205,0)),"MISSING ID")</x:f>
        <x:v>Unspecified</x:v>
      </x:c>
      <x:c r="P685" s="4"/>
      <x:c r="Q685" s="4" t="str">
        <x:f>IFERROR(INDEX('Material routes'!$J$6:$J$2205,MATCH(V685,'Material routes'!$A$6:$A$2205,0)),"MISSING ID")</x:f>
        <x:v>Unspecified</x:v>
      </x:c>
      <x:c r="R685" s="4" t="str">
        <x:f>IF(L685="Withheld","Withheld premise",IF(E685="Tool candidate","Reusable prerequisite",IF(K685="Raw entry preparation","Entry-resource preparation",IF(G685="Not applicable",IF(IFERROR(INDEX('Items'!$AI$6:$AI$1005,MATCH(T685,'Items'!$A$6:$A$1005,0)),"MISSING ID")="Finished item","Finished endpoint",IF(IFERROR(INDEX('Items'!$AI$6:$AI$1005,MATCH(T685,'Items'!$A$6:$A$1005,0)),"MISSING ID")="Currency","Currency / no refinement tier","Recovered output / tier not applicable")),IF(OR(IFERROR(INDEX('Crafting recipes'!$H$6:$H$1005,MATCH(J685,'Crafting recipes'!$A$6:$A$1005,0)),"MISSING ID")="Unassigned",G685="Unassigned"),"Tier unresolved",IF(IFERROR(VALUE(RIGHT(G685,1))-VALUE(RIGHT(IFERROR(INDEX('Crafting recipes'!$H$6:$H$1005,MATCH(J685,'Crafting recipes'!$A$6:$A$1005,0)),"MISSING ID"),1)),0)=1,IF(B685=IFERROR(INDEX('Crafting recipes'!$H$6:$H$1005,MATCH(J685,'Crafting recipes'!$A$6:$A$1005,0)),"MISSING ID"),"Advances one material tier","Lower-tier ingredient; route advances one tier"),"Needs tier review"))))))</x:f>
        <x:v>Finished endpoint</x:v>
      </x:c>
      <x:c r="S685" s="4" t="str">
        <x:f>IFERROR(INDEX('Material routes'!$D$6:$D$2205,MATCH(U685,'Material routes'!$A$6:$A$2205,0)),"MISSING ID")</x:f>
        <x:v>proposal.collection.culinary_phagia_binding_paste</x:v>
      </x:c>
      <x:c r="T685" s="4" t="str">
        <x:f>IFERROR(INDEX('Material routes'!$D$6:$D$2205,MATCH(V685,'Material routes'!$A$6:$A$2205,0)),"MISSING ID")</x:f>
        <x:v>proposal.collection.pressed_phagia_travel_cake</x:v>
      </x:c>
      <x:c r="U685" s="4" t="str">
        <x:v>design.collection.pressed_phagia_travel_cake.in.2</x:v>
      </x:c>
      <x:c r="V685" s="4" t="str">
        <x:v>design.collection.pressed_phagia_travel_cake.out</x:v>
      </x:c>
    </x:row>
    <x:row r="686" ht="64" customHeight="1">
      <x:c r="A686" s="4"/>
      <x:c r="B686" s="4"/>
      <x:c r="C686" s="4"/>
      <x:c r="D686" s="4"/>
      <x:c r="E686" s="4"/>
      <x:c r="F686" s="4"/>
      <x:c r="G686" s="4"/>
      <x:c r="H686" s="4"/>
      <x:c r="I686" s="4"/>
      <x:c r="J686" s="4"/>
      <x:c r="K686" s="4"/>
      <x:c r="L686" s="4"/>
      <x:c r="M686" s="4"/>
      <x:c r="N686" s="4"/>
      <x:c r="P686" s="4"/>
      <x:c r="R686" s="4"/>
      <x:c r="S686" s="4"/>
      <x:c r="T686" s="4"/>
      <x:c r="U686" s="4"/>
      <x:c r="V686" s="4"/>
    </x:row>
    <x:row r="687" ht="64" customHeight="1">
      <x:c r="A687" s="4"/>
      <x:c r="B687" s="4"/>
      <x:c r="C687" s="4"/>
      <x:c r="D687" s="4"/>
      <x:c r="E687" s="4"/>
      <x:c r="F687" s="4"/>
      <x:c r="G687" s="4"/>
      <x:c r="H687" s="4"/>
      <x:c r="I687" s="4"/>
      <x:c r="J687" s="4"/>
      <x:c r="K687" s="4"/>
      <x:c r="L687" s="4"/>
      <x:c r="M687" s="4"/>
      <x:c r="N687" s="4"/>
      <x:c r="P687" s="4"/>
      <x:c r="R687" s="4"/>
      <x:c r="S687" s="4"/>
      <x:c r="T687" s="4"/>
      <x:c r="U687" s="4"/>
      <x:c r="V687" s="4"/>
    </x:row>
    <x:row r="688" ht="64" customHeight="1">
      <x:c r="A688" s="4" t="str">
        <x:f>IFERROR(INDEX('Material routes'!$E$6:$E$2205,MATCH(U688,'Material routes'!$A$6:$A$2205,0)),"MISSING ID")</x:f>
        <x:v>Pressed culinary Phagia flakes</x:v>
      </x:c>
      <x:c r="B688" s="4" t="str">
        <x:f>IFERROR(INDEX('Material routes'!$F$6:$F$2205,MATCH(U688,'Material routes'!$A$6:$A$2205,0)),"MISSING ID")</x:f>
        <x:v>T1</x:v>
      </x:c>
      <x:c r="C688" s="4" t="str">
        <x:f>IFERROR(INDEX('Material routes'!$H$6:$H$2205,MATCH(U688,'Material routes'!$A$6:$A$2205,0)),"MISSING ID")</x:f>
        <x:v>Food material</x:v>
      </x:c>
      <x:c r="D688" s="4" t="str">
        <x:f>IFERROR(INDEX('Material routes'!$G$6:$G$2205,MATCH(U688,'Material routes'!$A$6:$A$2205,0)),"MISSING ID")</x:f>
        <x:v>Cooking ingredients</x:v>
      </x:c>
      <x:c r="E688" s="4" t="str">
        <x:f>IFERROR(INDEX('Material routes'!$C$6:$C$2205,MATCH(U688,'Material routes'!$A$6:$A$2205,0)),"MISSING ID")</x:f>
        <x:v>Ingredient candidate</x:v>
      </x:c>
      <x:c r="F688" s="4" t="str">
        <x:f>IFERROR(INDEX('Material routes'!$E$6:$E$2205,MATCH(V688,'Material routes'!$A$6:$A$2205,0)),"MISSING ID")</x:f>
        <x:v>Layered savory Phagia parcel</x:v>
      </x:c>
      <x:c r="G688" s="4" t="str">
        <x:f>IFERROR(INDEX('Material routes'!$F$6:$F$2205,MATCH(V688,'Material routes'!$A$6:$A$2205,0)),"MISSING ID")</x:f>
        <x:v>Not applicable</x:v>
      </x:c>
      <x:c r="H688" s="4" t="str">
        <x:f>IFERROR(INDEX('Material routes'!$H$6:$H$2205,MATCH(V688,'Material routes'!$A$6:$A$2205,0)),"MISSING ID")</x:f>
        <x:v>Food consumable</x:v>
      </x:c>
      <x:c r="I688" s="4" t="str">
        <x:f>IFERROR(INDEX('Material routes'!$G$6:$G$2205,MATCH(V688,'Material routes'!$A$6:$A$2205,0)),"MISSING ID")</x:f>
        <x:v>Consumables</x:v>
      </x:c>
      <x:c r="J688" s="4" t="str">
        <x:f>IFERROR(INDEX('Material routes'!$B$6:$B$2205,MATCH(U688,'Material routes'!$A$6:$A$2205,0)),"MISSING ID")</x:f>
        <x:v>design.collection.layered_savory_phagia_parcel</x:v>
      </x:c>
      <x:c r="K688" s="4" t="str">
        <x:f>IFERROR(INDEX('Crafting recipes'!$C$6:$C$1005,MATCH(J688,'Crafting recipes'!$A$6:$A$1005,0)),"MISSING ID")</x:f>
        <x:v>Finished-item crafting</x:v>
      </x:c>
      <x:c r="L688" s="4" t="str">
        <x:f>IFERROR(INDEX('Material routes'!$K$6:$K$2205,MATCH(U688,'Material routes'!$A$6:$A$2205,0)),"MISSING ID")</x:f>
        <x:v>Proposal</x:v>
      </x:c>
      <x:c r="M688" s="4" t="str">
        <x:f>IFERROR(INDEX('Material routes'!$M$6:$M$2205,MATCH(U688,'Material routes'!$A$6:$A$2205,0)),"MISSING ID")</x:f>
        <x:v>Partial proposal</x:v>
      </x:c>
      <x:c r="N688" s="4"/>
      <x:c r="O688" s="4" t="str">
        <x:f>IFERROR(INDEX('Material routes'!$J$6:$J$2205,MATCH(U688,'Material routes'!$A$6:$A$2205,0)),"MISSING ID")</x:f>
        <x:v>Unspecified</x:v>
      </x:c>
      <x:c r="P688" s="4"/>
      <x:c r="Q688" s="4" t="str">
        <x:f>IFERROR(INDEX('Material routes'!$J$6:$J$2205,MATCH(V688,'Material routes'!$A$6:$A$2205,0)),"MISSING ID")</x:f>
        <x:v>Unspecified</x:v>
      </x:c>
      <x:c r="R688" s="4" t="str">
        <x:f>IF(L688="Withheld","Withheld premise",IF(E688="Tool candidate","Reusable prerequisite",IF(K688="Raw entry preparation","Entry-resource preparation",IF(G688="Not applicable",IF(IFERROR(INDEX('Items'!$AI$6:$AI$1005,MATCH(T688,'Items'!$A$6:$A$1005,0)),"MISSING ID")="Finished item","Finished endpoint",IF(IFERROR(INDEX('Items'!$AI$6:$AI$1005,MATCH(T688,'Items'!$A$6:$A$1005,0)),"MISSING ID")="Currency","Currency / no refinement tier","Recovered output / tier not applicable")),IF(OR(IFERROR(INDEX('Crafting recipes'!$H$6:$H$1005,MATCH(J688,'Crafting recipes'!$A$6:$A$1005,0)),"MISSING ID")="Unassigned",G688="Unassigned"),"Tier unresolved",IF(IFERROR(VALUE(RIGHT(G688,1))-VALUE(RIGHT(IFERROR(INDEX('Crafting recipes'!$H$6:$H$1005,MATCH(J688,'Crafting recipes'!$A$6:$A$1005,0)),"MISSING ID"),1)),0)=1,IF(B688=IFERROR(INDEX('Crafting recipes'!$H$6:$H$1005,MATCH(J688,'Crafting recipes'!$A$6:$A$1005,0)),"MISSING ID"),"Advances one material tier","Lower-tier ingredient; route advances one tier"),"Needs tier review"))))))</x:f>
        <x:v>Finished endpoint</x:v>
      </x:c>
      <x:c r="S688" s="4" t="str">
        <x:f>IFERROR(INDEX('Material routes'!$D$6:$D$2205,MATCH(U688,'Material routes'!$A$6:$A$2205,0)),"MISSING ID")</x:f>
        <x:v>proposal.collection.pressed_culinary_phagia_flakes</x:v>
      </x:c>
      <x:c r="T688" s="4" t="str">
        <x:f>IFERROR(INDEX('Material routes'!$D$6:$D$2205,MATCH(V688,'Material routes'!$A$6:$A$2205,0)),"MISSING ID")</x:f>
        <x:v>proposal.collection.layered_savory_phagia_parcel</x:v>
      </x:c>
      <x:c r="U688" s="4" t="str">
        <x:v>design.collection.layered_savory_phagia_parcel.in.1</x:v>
      </x:c>
      <x:c r="V688" s="4" t="str">
        <x:v>design.collection.layered_savory_phagia_parcel.out</x:v>
      </x:c>
    </x:row>
    <x:row r="689" ht="64" customHeight="1">
      <x:c r="A689" s="4" t="str">
        <x:f>IFERROR(INDEX('Material routes'!$E$6:$E$2205,MATCH(U689,'Material routes'!$A$6:$A$2205,0)),"MISSING ID")</x:f>
        <x:v>Phagia-fauna savory filling</x:v>
      </x:c>
      <x:c r="B689" s="4" t="str">
        <x:f>IFERROR(INDEX('Material routes'!$F$6:$F$2205,MATCH(U689,'Material routes'!$A$6:$A$2205,0)),"MISSING ID")</x:f>
        <x:v>T2</x:v>
      </x:c>
      <x:c r="C689" s="4" t="str">
        <x:f>IFERROR(INDEX('Material routes'!$H$6:$H$2205,MATCH(U689,'Material routes'!$A$6:$A$2205,0)),"MISSING ID")</x:f>
        <x:v>Food material</x:v>
      </x:c>
      <x:c r="D689" s="4" t="str">
        <x:f>IFERROR(INDEX('Material routes'!$G$6:$G$2205,MATCH(U689,'Material routes'!$A$6:$A$2205,0)),"MISSING ID")</x:f>
        <x:v>Cooking ingredients</x:v>
      </x:c>
      <x:c r="E689" s="4" t="str">
        <x:f>IFERROR(INDEX('Material routes'!$C$6:$C$2205,MATCH(U689,'Material routes'!$A$6:$A$2205,0)),"MISSING ID")</x:f>
        <x:v>Ingredient candidate</x:v>
      </x:c>
      <x:c r="F689" s="4" t="str">
        <x:f>IFERROR(INDEX('Material routes'!$E$6:$E$2205,MATCH(V689,'Material routes'!$A$6:$A$2205,0)),"MISSING ID")</x:f>
        <x:v>Layered savory Phagia parcel</x:v>
      </x:c>
      <x:c r="G689" s="4" t="str">
        <x:f>IFERROR(INDEX('Material routes'!$F$6:$F$2205,MATCH(V689,'Material routes'!$A$6:$A$2205,0)),"MISSING ID")</x:f>
        <x:v>Not applicable</x:v>
      </x:c>
      <x:c r="H689" s="4" t="str">
        <x:f>IFERROR(INDEX('Material routes'!$H$6:$H$2205,MATCH(V689,'Material routes'!$A$6:$A$2205,0)),"MISSING ID")</x:f>
        <x:v>Food consumable</x:v>
      </x:c>
      <x:c r="I689" s="4" t="str">
        <x:f>IFERROR(INDEX('Material routes'!$G$6:$G$2205,MATCH(V689,'Material routes'!$A$6:$A$2205,0)),"MISSING ID")</x:f>
        <x:v>Consumables</x:v>
      </x:c>
      <x:c r="J689" s="4" t="str">
        <x:f>IFERROR(INDEX('Material routes'!$B$6:$B$2205,MATCH(U689,'Material routes'!$A$6:$A$2205,0)),"MISSING ID")</x:f>
        <x:v>design.collection.layered_savory_phagia_parcel</x:v>
      </x:c>
      <x:c r="K689" s="4" t="str">
        <x:f>IFERROR(INDEX('Crafting recipes'!$C$6:$C$1005,MATCH(J689,'Crafting recipes'!$A$6:$A$1005,0)),"MISSING ID")</x:f>
        <x:v>Finished-item crafting</x:v>
      </x:c>
      <x:c r="L689" s="4" t="str">
        <x:f>IFERROR(INDEX('Material routes'!$K$6:$K$2205,MATCH(U689,'Material routes'!$A$6:$A$2205,0)),"MISSING ID")</x:f>
        <x:v>Proposal</x:v>
      </x:c>
      <x:c r="M689" s="4" t="str">
        <x:f>IFERROR(INDEX('Material routes'!$M$6:$M$2205,MATCH(U689,'Material routes'!$A$6:$A$2205,0)),"MISSING ID")</x:f>
        <x:v>Partial proposal</x:v>
      </x:c>
      <x:c r="N689" s="4"/>
      <x:c r="O689" s="4" t="str">
        <x:f>IFERROR(INDEX('Material routes'!$J$6:$J$2205,MATCH(U689,'Material routes'!$A$6:$A$2205,0)),"MISSING ID")</x:f>
        <x:v>Unspecified</x:v>
      </x:c>
      <x:c r="P689" s="4"/>
      <x:c r="Q689" s="4" t="str">
        <x:f>IFERROR(INDEX('Material routes'!$J$6:$J$2205,MATCH(V689,'Material routes'!$A$6:$A$2205,0)),"MISSING ID")</x:f>
        <x:v>Unspecified</x:v>
      </x:c>
      <x:c r="R689" s="4" t="str">
        <x:f>IF(L689="Withheld","Withheld premise",IF(E689="Tool candidate","Reusable prerequisite",IF(K689="Raw entry preparation","Entry-resource preparation",IF(G689="Not applicable",IF(IFERROR(INDEX('Items'!$AI$6:$AI$1005,MATCH(T689,'Items'!$A$6:$A$1005,0)),"MISSING ID")="Finished item","Finished endpoint",IF(IFERROR(INDEX('Items'!$AI$6:$AI$1005,MATCH(T689,'Items'!$A$6:$A$1005,0)),"MISSING ID")="Currency","Currency / no refinement tier","Recovered output / tier not applicable")),IF(OR(IFERROR(INDEX('Crafting recipes'!$H$6:$H$1005,MATCH(J689,'Crafting recipes'!$A$6:$A$1005,0)),"MISSING ID")="Unassigned",G689="Unassigned"),"Tier unresolved",IF(IFERROR(VALUE(RIGHT(G689,1))-VALUE(RIGHT(IFERROR(INDEX('Crafting recipes'!$H$6:$H$1005,MATCH(J689,'Crafting recipes'!$A$6:$A$1005,0)),"MISSING ID"),1)),0)=1,IF(B689=IFERROR(INDEX('Crafting recipes'!$H$6:$H$1005,MATCH(J689,'Crafting recipes'!$A$6:$A$1005,0)),"MISSING ID"),"Advances one material tier","Lower-tier ingredient; route advances one tier"),"Needs tier review"))))))</x:f>
        <x:v>Finished endpoint</x:v>
      </x:c>
      <x:c r="S689" s="4" t="str">
        <x:f>IFERROR(INDEX('Material routes'!$D$6:$D$2205,MATCH(U689,'Material routes'!$A$6:$A$2205,0)),"MISSING ID")</x:f>
        <x:v>proposal.collection.phagia_fauna_savory_filling</x:v>
      </x:c>
      <x:c r="T689" s="4" t="str">
        <x:f>IFERROR(INDEX('Material routes'!$D$6:$D$2205,MATCH(V689,'Material routes'!$A$6:$A$2205,0)),"MISSING ID")</x:f>
        <x:v>proposal.collection.layered_savory_phagia_parcel</x:v>
      </x:c>
      <x:c r="U689" s="4" t="str">
        <x:v>design.collection.layered_savory_phagia_parcel.in.2</x:v>
      </x:c>
      <x:c r="V689" s="4" t="str">
        <x:v>design.collection.layered_savory_phagia_parcel.out</x:v>
      </x:c>
    </x:row>
    <x:row r="690" ht="64" customHeight="1">
      <x:c r="A690" s="4"/>
      <x:c r="B690" s="4"/>
      <x:c r="C690" s="4"/>
      <x:c r="D690" s="4"/>
      <x:c r="E690" s="4"/>
      <x:c r="F690" s="4"/>
      <x:c r="G690" s="4"/>
      <x:c r="H690" s="4"/>
      <x:c r="I690" s="4"/>
      <x:c r="J690" s="4"/>
      <x:c r="K690" s="4"/>
      <x:c r="L690" s="4"/>
      <x:c r="M690" s="4"/>
      <x:c r="N690" s="4"/>
      <x:c r="P690" s="4"/>
      <x:c r="R690" s="4"/>
      <x:c r="S690" s="4"/>
      <x:c r="T690" s="4"/>
      <x:c r="U690" s="4"/>
      <x:c r="V690" s="4"/>
    </x:row>
    <x:row r="691" ht="64" customHeight="1">
      <x:c r="A691" s="4" t="str">
        <x:f>IFERROR(INDEX('Material routes'!$E$6:$E$2205,MATCH(U691,'Material routes'!$A$6:$A$2205,0)),"MISSING ID")</x:f>
        <x:v>Drained culinary Phagia curd</x:v>
      </x:c>
      <x:c r="B691" s="4" t="str">
        <x:f>IFERROR(INDEX('Material routes'!$F$6:$F$2205,MATCH(U691,'Material routes'!$A$6:$A$2205,0)),"MISSING ID")</x:f>
        <x:v>T1</x:v>
      </x:c>
      <x:c r="C691" s="4" t="str">
        <x:f>IFERROR(INDEX('Material routes'!$H$6:$H$2205,MATCH(U691,'Material routes'!$A$6:$A$2205,0)),"MISSING ID")</x:f>
        <x:v>Food material</x:v>
      </x:c>
      <x:c r="D691" s="4" t="str">
        <x:f>IFERROR(INDEX('Material routes'!$G$6:$G$2205,MATCH(U691,'Material routes'!$A$6:$A$2205,0)),"MISSING ID")</x:f>
        <x:v>Cooking ingredients</x:v>
      </x:c>
      <x:c r="E691" s="4" t="str">
        <x:f>IFERROR(INDEX('Material routes'!$C$6:$C$2205,MATCH(U691,'Material routes'!$A$6:$A$2205,0)),"MISSING ID")</x:f>
        <x:v>Ingredient candidate</x:v>
      </x:c>
      <x:c r="F691" s="4" t="str">
        <x:f>IFERROR(INDEX('Material routes'!$E$6:$E$2205,MATCH(V691,'Material routes'!$A$6:$A$2205,0)),"MISSING ID")</x:f>
        <x:v>Smooth Phagia curd drink</x:v>
      </x:c>
      <x:c r="G691" s="4" t="str">
        <x:f>IFERROR(INDEX('Material routes'!$F$6:$F$2205,MATCH(V691,'Material routes'!$A$6:$A$2205,0)),"MISSING ID")</x:f>
        <x:v>Not applicable</x:v>
      </x:c>
      <x:c r="H691" s="4" t="str">
        <x:f>IFERROR(INDEX('Material routes'!$H$6:$H$2205,MATCH(V691,'Material routes'!$A$6:$A$2205,0)),"MISSING ID")</x:f>
        <x:v>Drink consumable</x:v>
      </x:c>
      <x:c r="I691" s="4" t="str">
        <x:f>IFERROR(INDEX('Material routes'!$G$6:$G$2205,MATCH(V691,'Material routes'!$A$6:$A$2205,0)),"MISSING ID")</x:f>
        <x:v>Consumables</x:v>
      </x:c>
      <x:c r="J691" s="4" t="str">
        <x:f>IFERROR(INDEX('Material routes'!$B$6:$B$2205,MATCH(U691,'Material routes'!$A$6:$A$2205,0)),"MISSING ID")</x:f>
        <x:v>design.collection.smooth_phagia_curd_drink</x:v>
      </x:c>
      <x:c r="K691" s="4" t="str">
        <x:f>IFERROR(INDEX('Crafting recipes'!$C$6:$C$1005,MATCH(J691,'Crafting recipes'!$A$6:$A$1005,0)),"MISSING ID")</x:f>
        <x:v>Finished-item crafting</x:v>
      </x:c>
      <x:c r="L691" s="4" t="str">
        <x:f>IFERROR(INDEX('Material routes'!$K$6:$K$2205,MATCH(U691,'Material routes'!$A$6:$A$2205,0)),"MISSING ID")</x:f>
        <x:v>Proposal</x:v>
      </x:c>
      <x:c r="M691" s="4" t="str">
        <x:f>IFERROR(INDEX('Material routes'!$M$6:$M$2205,MATCH(U691,'Material routes'!$A$6:$A$2205,0)),"MISSING ID")</x:f>
        <x:v>Partial proposal</x:v>
      </x:c>
      <x:c r="N691" s="4"/>
      <x:c r="O691" s="4" t="str">
        <x:f>IFERROR(INDEX('Material routes'!$J$6:$J$2205,MATCH(U691,'Material routes'!$A$6:$A$2205,0)),"MISSING ID")</x:f>
        <x:v>Unspecified</x:v>
      </x:c>
      <x:c r="P691" s="4"/>
      <x:c r="Q691" s="4" t="str">
        <x:f>IFERROR(INDEX('Material routes'!$J$6:$J$2205,MATCH(V691,'Material routes'!$A$6:$A$2205,0)),"MISSING ID")</x:f>
        <x:v>Unspecified</x:v>
      </x:c>
      <x:c r="R691" s="4" t="str">
        <x:f>IF(L691="Withheld","Withheld premise",IF(E691="Tool candidate","Reusable prerequisite",IF(K691="Raw entry preparation","Entry-resource preparation",IF(G691="Not applicable",IF(IFERROR(INDEX('Items'!$AI$6:$AI$1005,MATCH(T691,'Items'!$A$6:$A$1005,0)),"MISSING ID")="Finished item","Finished endpoint",IF(IFERROR(INDEX('Items'!$AI$6:$AI$1005,MATCH(T691,'Items'!$A$6:$A$1005,0)),"MISSING ID")="Currency","Currency / no refinement tier","Recovered output / tier not applicable")),IF(OR(IFERROR(INDEX('Crafting recipes'!$H$6:$H$1005,MATCH(J691,'Crafting recipes'!$A$6:$A$1005,0)),"MISSING ID")="Unassigned",G691="Unassigned"),"Tier unresolved",IF(IFERROR(VALUE(RIGHT(G691,1))-VALUE(RIGHT(IFERROR(INDEX('Crafting recipes'!$H$6:$H$1005,MATCH(J691,'Crafting recipes'!$A$6:$A$1005,0)),"MISSING ID"),1)),0)=1,IF(B691=IFERROR(INDEX('Crafting recipes'!$H$6:$H$1005,MATCH(J691,'Crafting recipes'!$A$6:$A$1005,0)),"MISSING ID"),"Advances one material tier","Lower-tier ingredient; route advances one tier"),"Needs tier review"))))))</x:f>
        <x:v>Finished endpoint</x:v>
      </x:c>
      <x:c r="S691" s="4" t="str">
        <x:f>IFERROR(INDEX('Material routes'!$D$6:$D$2205,MATCH(U691,'Material routes'!$A$6:$A$2205,0)),"MISSING ID")</x:f>
        <x:v>proposal.collection.drained_culinary_phagia_curd</x:v>
      </x:c>
      <x:c r="T691" s="4" t="str">
        <x:f>IFERROR(INDEX('Material routes'!$D$6:$D$2205,MATCH(V691,'Material routes'!$A$6:$A$2205,0)),"MISSING ID")</x:f>
        <x:v>proposal.collection.smooth_phagia_curd_drink</x:v>
      </x:c>
      <x:c r="U691" s="4" t="str">
        <x:v>design.collection.smooth_phagia_curd_drink.in.1</x:v>
      </x:c>
      <x:c r="V691" s="4" t="str">
        <x:v>design.collection.smooth_phagia_curd_drink.out</x:v>
      </x:c>
    </x:row>
    <x:row r="692" ht="64" customHeight="1">
      <x:c r="A692" s="4" t="str">
        <x:f>IFERROR(INDEX('Material routes'!$E$6:$E$2205,MATCH(U692,'Material routes'!$A$6:$A$2205,0)),"MISSING ID")</x:f>
        <x:v>Culinary Phagia liquid fraction</x:v>
      </x:c>
      <x:c r="B692" s="4" t="str">
        <x:f>IFERROR(INDEX('Material routes'!$F$6:$F$2205,MATCH(U692,'Material routes'!$A$6:$A$2205,0)),"MISSING ID")</x:f>
        <x:v>T1</x:v>
      </x:c>
      <x:c r="C692" s="4" t="str">
        <x:f>IFERROR(INDEX('Material routes'!$H$6:$H$2205,MATCH(U692,'Material routes'!$A$6:$A$2205,0)),"MISSING ID")</x:f>
        <x:v>Food material</x:v>
      </x:c>
      <x:c r="D692" s="4" t="str">
        <x:f>IFERROR(INDEX('Material routes'!$G$6:$G$2205,MATCH(U692,'Material routes'!$A$6:$A$2205,0)),"MISSING ID")</x:f>
        <x:v>Cooking ingredients</x:v>
      </x:c>
      <x:c r="E692" s="4" t="str">
        <x:f>IFERROR(INDEX('Material routes'!$C$6:$C$2205,MATCH(U692,'Material routes'!$A$6:$A$2205,0)),"MISSING ID")</x:f>
        <x:v>Ingredient candidate</x:v>
      </x:c>
      <x:c r="F692" s="4" t="str">
        <x:f>IFERROR(INDEX('Material routes'!$E$6:$E$2205,MATCH(V692,'Material routes'!$A$6:$A$2205,0)),"MISSING ID")</x:f>
        <x:v>Smooth Phagia curd drink</x:v>
      </x:c>
      <x:c r="G692" s="4" t="str">
        <x:f>IFERROR(INDEX('Material routes'!$F$6:$F$2205,MATCH(V692,'Material routes'!$A$6:$A$2205,0)),"MISSING ID")</x:f>
        <x:v>Not applicable</x:v>
      </x:c>
      <x:c r="H692" s="4" t="str">
        <x:f>IFERROR(INDEX('Material routes'!$H$6:$H$2205,MATCH(V692,'Material routes'!$A$6:$A$2205,0)),"MISSING ID")</x:f>
        <x:v>Drink consumable</x:v>
      </x:c>
      <x:c r="I692" s="4" t="str">
        <x:f>IFERROR(INDEX('Material routes'!$G$6:$G$2205,MATCH(V692,'Material routes'!$A$6:$A$2205,0)),"MISSING ID")</x:f>
        <x:v>Consumables</x:v>
      </x:c>
      <x:c r="J692" s="4" t="str">
        <x:f>IFERROR(INDEX('Material routes'!$B$6:$B$2205,MATCH(U692,'Material routes'!$A$6:$A$2205,0)),"MISSING ID")</x:f>
        <x:v>design.collection.smooth_phagia_curd_drink</x:v>
      </x:c>
      <x:c r="K692" s="4" t="str">
        <x:f>IFERROR(INDEX('Crafting recipes'!$C$6:$C$1005,MATCH(J692,'Crafting recipes'!$A$6:$A$1005,0)),"MISSING ID")</x:f>
        <x:v>Finished-item crafting</x:v>
      </x:c>
      <x:c r="L692" s="4" t="str">
        <x:f>IFERROR(INDEX('Material routes'!$K$6:$K$2205,MATCH(U692,'Material routes'!$A$6:$A$2205,0)),"MISSING ID")</x:f>
        <x:v>Proposal</x:v>
      </x:c>
      <x:c r="M692" s="4" t="str">
        <x:f>IFERROR(INDEX('Material routes'!$M$6:$M$2205,MATCH(U692,'Material routes'!$A$6:$A$2205,0)),"MISSING ID")</x:f>
        <x:v>Partial proposal</x:v>
      </x:c>
      <x:c r="N692" s="4"/>
      <x:c r="O692" s="4" t="str">
        <x:f>IFERROR(INDEX('Material routes'!$J$6:$J$2205,MATCH(U692,'Material routes'!$A$6:$A$2205,0)),"MISSING ID")</x:f>
        <x:v>Unspecified</x:v>
      </x:c>
      <x:c r="P692" s="4"/>
      <x:c r="Q692" s="4" t="str">
        <x:f>IFERROR(INDEX('Material routes'!$J$6:$J$2205,MATCH(V692,'Material routes'!$A$6:$A$2205,0)),"MISSING ID")</x:f>
        <x:v>Unspecified</x:v>
      </x:c>
      <x:c r="R692" s="4" t="str">
        <x:f>IF(L692="Withheld","Withheld premise",IF(E692="Tool candidate","Reusable prerequisite",IF(K692="Raw entry preparation","Entry-resource preparation",IF(G692="Not applicable",IF(IFERROR(INDEX('Items'!$AI$6:$AI$1005,MATCH(T692,'Items'!$A$6:$A$1005,0)),"MISSING ID")="Finished item","Finished endpoint",IF(IFERROR(INDEX('Items'!$AI$6:$AI$1005,MATCH(T692,'Items'!$A$6:$A$1005,0)),"MISSING ID")="Currency","Currency / no refinement tier","Recovered output / tier not applicable")),IF(OR(IFERROR(INDEX('Crafting recipes'!$H$6:$H$1005,MATCH(J692,'Crafting recipes'!$A$6:$A$1005,0)),"MISSING ID")="Unassigned",G692="Unassigned"),"Tier unresolved",IF(IFERROR(VALUE(RIGHT(G692,1))-VALUE(RIGHT(IFERROR(INDEX('Crafting recipes'!$H$6:$H$1005,MATCH(J692,'Crafting recipes'!$A$6:$A$1005,0)),"MISSING ID"),1)),0)=1,IF(B692=IFERROR(INDEX('Crafting recipes'!$H$6:$H$1005,MATCH(J692,'Crafting recipes'!$A$6:$A$1005,0)),"MISSING ID"),"Advances one material tier","Lower-tier ingredient; route advances one tier"),"Needs tier review"))))))</x:f>
        <x:v>Finished endpoint</x:v>
      </x:c>
      <x:c r="S692" s="4" t="str">
        <x:f>IFERROR(INDEX('Material routes'!$D$6:$D$2205,MATCH(U692,'Material routes'!$A$6:$A$2205,0)),"MISSING ID")</x:f>
        <x:v>proposal.collection.culinary_phagia_liquid_fraction</x:v>
      </x:c>
      <x:c r="T692" s="4" t="str">
        <x:f>IFERROR(INDEX('Material routes'!$D$6:$D$2205,MATCH(V692,'Material routes'!$A$6:$A$2205,0)),"MISSING ID")</x:f>
        <x:v>proposal.collection.smooth_phagia_curd_drink</x:v>
      </x:c>
      <x:c r="U692" s="4" t="str">
        <x:v>design.collection.smooth_phagia_curd_drink.in.2</x:v>
      </x:c>
      <x:c r="V692" s="4" t="str">
        <x:v>design.collection.smooth_phagia_curd_drink.out</x:v>
      </x:c>
    </x:row>
    <x:row r="693" ht="64" customHeight="1">
      <x:c r="A693" s="4"/>
      <x:c r="B693" s="4"/>
      <x:c r="C693" s="4"/>
      <x:c r="D693" s="4"/>
      <x:c r="E693" s="4"/>
      <x:c r="F693" s="4"/>
      <x:c r="G693" s="4"/>
      <x:c r="H693" s="4"/>
      <x:c r="I693" s="4"/>
      <x:c r="J693" s="4"/>
      <x:c r="K693" s="4"/>
      <x:c r="L693" s="4"/>
      <x:c r="M693" s="4"/>
      <x:c r="N693" s="4"/>
      <x:c r="P693" s="4"/>
      <x:c r="R693" s="4"/>
      <x:c r="S693" s="4"/>
      <x:c r="T693" s="4"/>
      <x:c r="U693" s="4"/>
      <x:c r="V693" s="4"/>
    </x:row>
    <x:row r="694" ht="64" customHeight="1">
      <x:c r="A694" s="4"/>
      <x:c r="B694" s="4"/>
      <x:c r="C694" s="4"/>
      <x:c r="D694" s="4"/>
      <x:c r="E694" s="4"/>
      <x:c r="F694" s="4"/>
      <x:c r="G694" s="4"/>
      <x:c r="H694" s="4"/>
      <x:c r="I694" s="4"/>
      <x:c r="J694" s="4"/>
      <x:c r="K694" s="4"/>
      <x:c r="L694" s="4"/>
      <x:c r="M694" s="4"/>
      <x:c r="N694" s="4"/>
      <x:c r="P694" s="4"/>
      <x:c r="R694" s="4"/>
      <x:c r="S694" s="4"/>
      <x:c r="T694" s="4"/>
      <x:c r="U694" s="4"/>
      <x:c r="V694" s="4"/>
    </x:row>
    <x:row r="695" ht="64" customHeight="1">
      <x:c r="A695" s="4" t="str">
        <x:f>IFERROR(INDEX('Material routes'!$E$6:$E$2205,MATCH(U695,'Material routes'!$A$6:$A$2205,0)),"MISSING ID")</x:f>
        <x:v>Food-grade mineral seasoning</x:v>
      </x:c>
      <x:c r="B695" s="4" t="str">
        <x:f>IFERROR(INDEX('Material routes'!$F$6:$F$2205,MATCH(U695,'Material routes'!$A$6:$A$2205,0)),"MISSING ID")</x:f>
        <x:v>T1</x:v>
      </x:c>
      <x:c r="C695" s="4" t="str">
        <x:f>IFERROR(INDEX('Material routes'!$H$6:$H$2205,MATCH(U695,'Material routes'!$A$6:$A$2205,0)),"MISSING ID")</x:f>
        <x:v>Food material</x:v>
      </x:c>
      <x:c r="D695" s="4" t="str">
        <x:f>IFERROR(INDEX('Material routes'!$G$6:$G$2205,MATCH(U695,'Material routes'!$A$6:$A$2205,0)),"MISSING ID")</x:f>
        <x:v>Cooking ingredients</x:v>
      </x:c>
      <x:c r="E695" s="4" t="str">
        <x:f>IFERROR(INDEX('Material routes'!$C$6:$C$2205,MATCH(U695,'Material routes'!$A$6:$A$2205,0)),"MISSING ID")</x:f>
        <x:v>Ingredient candidate</x:v>
      </x:c>
      <x:c r="F695" s="4" t="str">
        <x:f>IFERROR(INDEX('Material routes'!$E$6:$E$2205,MATCH(V695,'Material routes'!$A$6:$A$2205,0)),"MISSING ID")</x:f>
        <x:v>Savory mineral Phagia drink</x:v>
      </x:c>
      <x:c r="G695" s="4" t="str">
        <x:f>IFERROR(INDEX('Material routes'!$F$6:$F$2205,MATCH(V695,'Material routes'!$A$6:$A$2205,0)),"MISSING ID")</x:f>
        <x:v>Not applicable</x:v>
      </x:c>
      <x:c r="H695" s="4" t="str">
        <x:f>IFERROR(INDEX('Material routes'!$H$6:$H$2205,MATCH(V695,'Material routes'!$A$6:$A$2205,0)),"MISSING ID")</x:f>
        <x:v>Drink consumable</x:v>
      </x:c>
      <x:c r="I695" s="4" t="str">
        <x:f>IFERROR(INDEX('Material routes'!$G$6:$G$2205,MATCH(V695,'Material routes'!$A$6:$A$2205,0)),"MISSING ID")</x:f>
        <x:v>Consumables</x:v>
      </x:c>
      <x:c r="J695" s="4" t="str">
        <x:f>IFERROR(INDEX('Material routes'!$B$6:$B$2205,MATCH(U695,'Material routes'!$A$6:$A$2205,0)),"MISSING ID")</x:f>
        <x:v>design.collection.savory_mineral_phagia_drink</x:v>
      </x:c>
      <x:c r="K695" s="4" t="str">
        <x:f>IFERROR(INDEX('Crafting recipes'!$C$6:$C$1005,MATCH(J695,'Crafting recipes'!$A$6:$A$1005,0)),"MISSING ID")</x:f>
        <x:v>Finished-item crafting</x:v>
      </x:c>
      <x:c r="L695" s="4" t="str">
        <x:f>IFERROR(INDEX('Material routes'!$K$6:$K$2205,MATCH(U695,'Material routes'!$A$6:$A$2205,0)),"MISSING ID")</x:f>
        <x:v>Proposal</x:v>
      </x:c>
      <x:c r="M695" s="4" t="str">
        <x:f>IFERROR(INDEX('Material routes'!$M$6:$M$2205,MATCH(U695,'Material routes'!$A$6:$A$2205,0)),"MISSING ID")</x:f>
        <x:v>Partial proposal</x:v>
      </x:c>
      <x:c r="N695" s="4"/>
      <x:c r="O695" s="4" t="str">
        <x:f>IFERROR(INDEX('Material routes'!$J$6:$J$2205,MATCH(U695,'Material routes'!$A$6:$A$2205,0)),"MISSING ID")</x:f>
        <x:v>Unspecified</x:v>
      </x:c>
      <x:c r="P695" s="4"/>
      <x:c r="Q695" s="4" t="str">
        <x:f>IFERROR(INDEX('Material routes'!$J$6:$J$2205,MATCH(V695,'Material routes'!$A$6:$A$2205,0)),"MISSING ID")</x:f>
        <x:v>Unspecified</x:v>
      </x:c>
      <x:c r="R695" s="4" t="str">
        <x:f>IF(L695="Withheld","Withheld premise",IF(E695="Tool candidate","Reusable prerequisite",IF(K695="Raw entry preparation","Entry-resource preparation",IF(G695="Not applicable",IF(IFERROR(INDEX('Items'!$AI$6:$AI$1005,MATCH(T695,'Items'!$A$6:$A$1005,0)),"MISSING ID")="Finished item","Finished endpoint",IF(IFERROR(INDEX('Items'!$AI$6:$AI$1005,MATCH(T695,'Items'!$A$6:$A$1005,0)),"MISSING ID")="Currency","Currency / no refinement tier","Recovered output / tier not applicable")),IF(OR(IFERROR(INDEX('Crafting recipes'!$H$6:$H$1005,MATCH(J695,'Crafting recipes'!$A$6:$A$1005,0)),"MISSING ID")="Unassigned",G695="Unassigned"),"Tier unresolved",IF(IFERROR(VALUE(RIGHT(G695,1))-VALUE(RIGHT(IFERROR(INDEX('Crafting recipes'!$H$6:$H$1005,MATCH(J695,'Crafting recipes'!$A$6:$A$1005,0)),"MISSING ID"),1)),0)=1,IF(B695=IFERROR(INDEX('Crafting recipes'!$H$6:$H$1005,MATCH(J695,'Crafting recipes'!$A$6:$A$1005,0)),"MISSING ID"),"Advances one material tier","Lower-tier ingredient; route advances one tier"),"Needs tier review"))))))</x:f>
        <x:v>Finished endpoint</x:v>
      </x:c>
      <x:c r="S695" s="4" t="str">
        <x:f>IFERROR(INDEX('Material routes'!$D$6:$D$2205,MATCH(U695,'Material routes'!$A$6:$A$2205,0)),"MISSING ID")</x:f>
        <x:v>proposal.collection.food_grade_mineral_seasoning</x:v>
      </x:c>
      <x:c r="T695" s="4" t="str">
        <x:f>IFERROR(INDEX('Material routes'!$D$6:$D$2205,MATCH(V695,'Material routes'!$A$6:$A$2205,0)),"MISSING ID")</x:f>
        <x:v>proposal.collection.savory_mineral_phagia_drink</x:v>
      </x:c>
      <x:c r="U695" s="4" t="str">
        <x:v>design.collection.savory_mineral_phagia_drink.in.1</x:v>
      </x:c>
      <x:c r="V695" s="4" t="str">
        <x:v>design.collection.savory_mineral_phagia_drink.out</x:v>
      </x:c>
    </x:row>
    <x:row r="696" ht="64" customHeight="1">
      <x:c r="A696" s="4" t="str">
        <x:f>IFERROR(INDEX('Material routes'!$E$6:$E$2205,MATCH(U696,'Material routes'!$A$6:$A$2205,0)),"MISSING ID")</x:f>
        <x:v>Culinary Phagia liquid fraction</x:v>
      </x:c>
      <x:c r="B696" s="4" t="str">
        <x:f>IFERROR(INDEX('Material routes'!$F$6:$F$2205,MATCH(U696,'Material routes'!$A$6:$A$2205,0)),"MISSING ID")</x:f>
        <x:v>T1</x:v>
      </x:c>
      <x:c r="C696" s="4" t="str">
        <x:f>IFERROR(INDEX('Material routes'!$H$6:$H$2205,MATCH(U696,'Material routes'!$A$6:$A$2205,0)),"MISSING ID")</x:f>
        <x:v>Food material</x:v>
      </x:c>
      <x:c r="D696" s="4" t="str">
        <x:f>IFERROR(INDEX('Material routes'!$G$6:$G$2205,MATCH(U696,'Material routes'!$A$6:$A$2205,0)),"MISSING ID")</x:f>
        <x:v>Cooking ingredients</x:v>
      </x:c>
      <x:c r="E696" s="4" t="str">
        <x:f>IFERROR(INDEX('Material routes'!$C$6:$C$2205,MATCH(U696,'Material routes'!$A$6:$A$2205,0)),"MISSING ID")</x:f>
        <x:v>Ingredient candidate</x:v>
      </x:c>
      <x:c r="F696" s="4" t="str">
        <x:f>IFERROR(INDEX('Material routes'!$E$6:$E$2205,MATCH(V696,'Material routes'!$A$6:$A$2205,0)),"MISSING ID")</x:f>
        <x:v>Savory mineral Phagia drink</x:v>
      </x:c>
      <x:c r="G696" s="4" t="str">
        <x:f>IFERROR(INDEX('Material routes'!$F$6:$F$2205,MATCH(V696,'Material routes'!$A$6:$A$2205,0)),"MISSING ID")</x:f>
        <x:v>Not applicable</x:v>
      </x:c>
      <x:c r="H696" s="4" t="str">
        <x:f>IFERROR(INDEX('Material routes'!$H$6:$H$2205,MATCH(V696,'Material routes'!$A$6:$A$2205,0)),"MISSING ID")</x:f>
        <x:v>Drink consumable</x:v>
      </x:c>
      <x:c r="I696" s="4" t="str">
        <x:f>IFERROR(INDEX('Material routes'!$G$6:$G$2205,MATCH(V696,'Material routes'!$A$6:$A$2205,0)),"MISSING ID")</x:f>
        <x:v>Consumables</x:v>
      </x:c>
      <x:c r="J696" s="4" t="str">
        <x:f>IFERROR(INDEX('Material routes'!$B$6:$B$2205,MATCH(U696,'Material routes'!$A$6:$A$2205,0)),"MISSING ID")</x:f>
        <x:v>design.collection.savory_mineral_phagia_drink</x:v>
      </x:c>
      <x:c r="K696" s="4" t="str">
        <x:f>IFERROR(INDEX('Crafting recipes'!$C$6:$C$1005,MATCH(J696,'Crafting recipes'!$A$6:$A$1005,0)),"MISSING ID")</x:f>
        <x:v>Finished-item crafting</x:v>
      </x:c>
      <x:c r="L696" s="4" t="str">
        <x:f>IFERROR(INDEX('Material routes'!$K$6:$K$2205,MATCH(U696,'Material routes'!$A$6:$A$2205,0)),"MISSING ID")</x:f>
        <x:v>Proposal</x:v>
      </x:c>
      <x:c r="M696" s="4" t="str">
        <x:f>IFERROR(INDEX('Material routes'!$M$6:$M$2205,MATCH(U696,'Material routes'!$A$6:$A$2205,0)),"MISSING ID")</x:f>
        <x:v>Partial proposal</x:v>
      </x:c>
      <x:c r="N696" s="4"/>
      <x:c r="O696" s="4" t="str">
        <x:f>IFERROR(INDEX('Material routes'!$J$6:$J$2205,MATCH(U696,'Material routes'!$A$6:$A$2205,0)),"MISSING ID")</x:f>
        <x:v>Unspecified</x:v>
      </x:c>
      <x:c r="P696" s="4"/>
      <x:c r="Q696" s="4" t="str">
        <x:f>IFERROR(INDEX('Material routes'!$J$6:$J$2205,MATCH(V696,'Material routes'!$A$6:$A$2205,0)),"MISSING ID")</x:f>
        <x:v>Unspecified</x:v>
      </x:c>
      <x:c r="R696" s="4" t="str">
        <x:f>IF(L696="Withheld","Withheld premise",IF(E696="Tool candidate","Reusable prerequisite",IF(K696="Raw entry preparation","Entry-resource preparation",IF(G696="Not applicable",IF(IFERROR(INDEX('Items'!$AI$6:$AI$1005,MATCH(T696,'Items'!$A$6:$A$1005,0)),"MISSING ID")="Finished item","Finished endpoint",IF(IFERROR(INDEX('Items'!$AI$6:$AI$1005,MATCH(T696,'Items'!$A$6:$A$1005,0)),"MISSING ID")="Currency","Currency / no refinement tier","Recovered output / tier not applicable")),IF(OR(IFERROR(INDEX('Crafting recipes'!$H$6:$H$1005,MATCH(J696,'Crafting recipes'!$A$6:$A$1005,0)),"MISSING ID")="Unassigned",G696="Unassigned"),"Tier unresolved",IF(IFERROR(VALUE(RIGHT(G696,1))-VALUE(RIGHT(IFERROR(INDEX('Crafting recipes'!$H$6:$H$1005,MATCH(J696,'Crafting recipes'!$A$6:$A$1005,0)),"MISSING ID"),1)),0)=1,IF(B696=IFERROR(INDEX('Crafting recipes'!$H$6:$H$1005,MATCH(J696,'Crafting recipes'!$A$6:$A$1005,0)),"MISSING ID"),"Advances one material tier","Lower-tier ingredient; route advances one tier"),"Needs tier review"))))))</x:f>
        <x:v>Finished endpoint</x:v>
      </x:c>
      <x:c r="S696" s="4" t="str">
        <x:f>IFERROR(INDEX('Material routes'!$D$6:$D$2205,MATCH(U696,'Material routes'!$A$6:$A$2205,0)),"MISSING ID")</x:f>
        <x:v>proposal.collection.culinary_phagia_liquid_fraction</x:v>
      </x:c>
      <x:c r="T696" s="4" t="str">
        <x:f>IFERROR(INDEX('Material routes'!$D$6:$D$2205,MATCH(V696,'Material routes'!$A$6:$A$2205,0)),"MISSING ID")</x:f>
        <x:v>proposal.collection.savory_mineral_phagia_drink</x:v>
      </x:c>
      <x:c r="U696" s="4" t="str">
        <x:v>design.collection.savory_mineral_phagia_drink.in.2</x:v>
      </x:c>
      <x:c r="V696" s="4" t="str">
        <x:v>design.collection.savory_mineral_phagia_drink.out</x:v>
      </x:c>
    </x:row>
    <x:row r="697" ht="64" customHeight="1">
      <x:c r="A697" s="4"/>
      <x:c r="B697" s="4"/>
      <x:c r="C697" s="4"/>
      <x:c r="D697" s="4"/>
      <x:c r="E697" s="4"/>
      <x:c r="F697" s="4"/>
      <x:c r="G697" s="4"/>
      <x:c r="H697" s="4"/>
      <x:c r="I697" s="4"/>
      <x:c r="J697" s="4"/>
      <x:c r="K697" s="4"/>
      <x:c r="L697" s="4"/>
      <x:c r="M697" s="4"/>
      <x:c r="N697" s="4"/>
      <x:c r="P697" s="4"/>
      <x:c r="R697" s="4"/>
      <x:c r="S697" s="4"/>
      <x:c r="T697" s="4"/>
      <x:c r="U697" s="4"/>
      <x:c r="V697" s="4"/>
    </x:row>
    <x:row r="698" ht="64" customHeight="1">
      <x:c r="A698" s="4"/>
      <x:c r="B698" s="4"/>
      <x:c r="C698" s="4"/>
      <x:c r="D698" s="4"/>
      <x:c r="E698" s="4"/>
      <x:c r="F698" s="4"/>
      <x:c r="G698" s="4"/>
      <x:c r="H698" s="4"/>
      <x:c r="I698" s="4"/>
      <x:c r="J698" s="4"/>
      <x:c r="K698" s="4"/>
      <x:c r="L698" s="4"/>
      <x:c r="M698" s="4"/>
      <x:c r="N698" s="4"/>
      <x:c r="P698" s="4"/>
      <x:c r="R698" s="4"/>
      <x:c r="S698" s="4"/>
      <x:c r="T698" s="4"/>
      <x:c r="U698" s="4"/>
      <x:c r="V698" s="4"/>
    </x:row>
    <x:row r="699" ht="64" customHeight="1">
      <x:c r="A699" s="4"/>
      <x:c r="B699" s="4"/>
      <x:c r="C699" s="4"/>
      <x:c r="D699" s="4"/>
      <x:c r="E699" s="4"/>
      <x:c r="F699" s="4"/>
      <x:c r="G699" s="4"/>
      <x:c r="H699" s="4"/>
      <x:c r="I699" s="4"/>
      <x:c r="J699" s="4"/>
      <x:c r="K699" s="4"/>
      <x:c r="L699" s="4"/>
      <x:c r="M699" s="4"/>
      <x:c r="N699" s="4"/>
      <x:c r="P699" s="4"/>
      <x:c r="R699" s="4"/>
      <x:c r="S699" s="4"/>
      <x:c r="T699" s="4"/>
      <x:c r="U699" s="4"/>
      <x:c r="V699" s="4"/>
    </x:row>
    <x:row r="700" ht="64" customHeight="1">
      <x:c r="A700" s="4"/>
      <x:c r="B700" s="4"/>
      <x:c r="C700" s="4"/>
      <x:c r="D700" s="4"/>
      <x:c r="E700" s="4"/>
      <x:c r="F700" s="4"/>
      <x:c r="G700" s="4"/>
      <x:c r="H700" s="4"/>
      <x:c r="I700" s="4"/>
      <x:c r="J700" s="4"/>
      <x:c r="K700" s="4"/>
      <x:c r="L700" s="4"/>
      <x:c r="M700" s="4"/>
      <x:c r="N700" s="4"/>
      <x:c r="P700" s="4"/>
      <x:c r="R700" s="4"/>
      <x:c r="S700" s="4"/>
      <x:c r="T700" s="4"/>
      <x:c r="U700" s="4"/>
      <x:c r="V700" s="4"/>
    </x:row>
    <x:row r="701" ht="64" customHeight="1">
      <x:c r="A701" s="4"/>
      <x:c r="B701" s="4"/>
      <x:c r="C701" s="4"/>
      <x:c r="D701" s="4"/>
      <x:c r="E701" s="4"/>
      <x:c r="F701" s="4"/>
      <x:c r="G701" s="4"/>
      <x:c r="H701" s="4"/>
      <x:c r="I701" s="4"/>
      <x:c r="J701" s="4"/>
      <x:c r="K701" s="4"/>
      <x:c r="L701" s="4"/>
      <x:c r="M701" s="4"/>
      <x:c r="N701" s="4"/>
      <x:c r="P701" s="4"/>
      <x:c r="R701" s="4"/>
      <x:c r="S701" s="4"/>
      <x:c r="T701" s="4"/>
      <x:c r="U701" s="4"/>
      <x:c r="V701" s="4"/>
    </x:row>
    <x:row r="702" ht="64" customHeight="1">
      <x:c r="A702" s="4"/>
      <x:c r="B702" s="4"/>
      <x:c r="C702" s="4"/>
      <x:c r="D702" s="4"/>
      <x:c r="E702" s="4"/>
      <x:c r="F702" s="4"/>
      <x:c r="G702" s="4"/>
      <x:c r="H702" s="4"/>
      <x:c r="I702" s="4"/>
      <x:c r="J702" s="4"/>
      <x:c r="K702" s="4"/>
      <x:c r="L702" s="4"/>
      <x:c r="M702" s="4"/>
      <x:c r="N702" s="4"/>
      <x:c r="P702" s="4"/>
      <x:c r="R702" s="4"/>
      <x:c r="S702" s="4"/>
      <x:c r="T702" s="4"/>
      <x:c r="U702" s="4"/>
      <x:c r="V702" s="4"/>
    </x:row>
    <x:row r="703" ht="64" customHeight="1">
      <x:c r="A703" s="4"/>
      <x:c r="B703" s="4"/>
      <x:c r="C703" s="4"/>
      <x:c r="D703" s="4"/>
      <x:c r="E703" s="4"/>
      <x:c r="F703" s="4"/>
      <x:c r="G703" s="4"/>
      <x:c r="H703" s="4"/>
      <x:c r="I703" s="4"/>
      <x:c r="J703" s="4"/>
      <x:c r="K703" s="4"/>
      <x:c r="L703" s="4"/>
      <x:c r="M703" s="4"/>
      <x:c r="N703" s="4"/>
      <x:c r="P703" s="4"/>
      <x:c r="R703" s="4"/>
      <x:c r="S703" s="4"/>
      <x:c r="T703" s="4"/>
      <x:c r="U703" s="4"/>
      <x:c r="V703" s="4"/>
    </x:row>
    <x:row r="704" ht="64" customHeight="1">
      <x:c r="A704" s="4"/>
      <x:c r="B704" s="4"/>
      <x:c r="C704" s="4"/>
      <x:c r="D704" s="4"/>
      <x:c r="E704" s="4"/>
      <x:c r="F704" s="4"/>
      <x:c r="G704" s="4"/>
      <x:c r="H704" s="4"/>
      <x:c r="I704" s="4"/>
      <x:c r="J704" s="4"/>
      <x:c r="K704" s="4"/>
      <x:c r="L704" s="4"/>
      <x:c r="M704" s="4"/>
      <x:c r="N704" s="4"/>
      <x:c r="P704" s="4"/>
      <x:c r="R704" s="4"/>
      <x:c r="S704" s="4"/>
      <x:c r="T704" s="4"/>
      <x:c r="U704" s="4"/>
      <x:c r="V704" s="4"/>
    </x:row>
    <x:row r="705" ht="64" customHeight="1">
      <x:c r="A705" s="4" t="str">
        <x:f>IFERROR(INDEX('Material routes'!$E$6:$E$2205,MATCH(U705,'Material routes'!$A$6:$A$2205,0)),"MISSING ID")</x:f>
        <x:v>Culinary Phagia binding paste</x:v>
      </x:c>
      <x:c r="B705" s="4" t="str">
        <x:f>IFERROR(INDEX('Material routes'!$F$6:$F$2205,MATCH(U705,'Material routes'!$A$6:$A$2205,0)),"MISSING ID")</x:f>
        <x:v>T1</x:v>
      </x:c>
      <x:c r="C705" s="4" t="str">
        <x:f>IFERROR(INDEX('Material routes'!$H$6:$H$2205,MATCH(U705,'Material routes'!$A$6:$A$2205,0)),"MISSING ID")</x:f>
        <x:v>Food material</x:v>
      </x:c>
      <x:c r="D705" s="4" t="str">
        <x:f>IFERROR(INDEX('Material routes'!$G$6:$G$2205,MATCH(U705,'Material routes'!$A$6:$A$2205,0)),"MISSING ID")</x:f>
        <x:v>Cooking ingredients</x:v>
      </x:c>
      <x:c r="E705" s="4" t="str">
        <x:f>IFERROR(INDEX('Material routes'!$C$6:$C$2205,MATCH(U705,'Material routes'!$A$6:$A$2205,0)),"MISSING ID")</x:f>
        <x:v>Ingredient candidate</x:v>
      </x:c>
      <x:c r="F705" s="4" t="str">
        <x:f>IFERROR(INDEX('Material routes'!$E$6:$E$2205,MATCH(V705,'Material routes'!$A$6:$A$2205,0)),"MISSING ID")</x:f>
        <x:v>Warm Phagia meal drink</x:v>
      </x:c>
      <x:c r="G705" s="4" t="str">
        <x:f>IFERROR(INDEX('Material routes'!$F$6:$F$2205,MATCH(V705,'Material routes'!$A$6:$A$2205,0)),"MISSING ID")</x:f>
        <x:v>Not applicable</x:v>
      </x:c>
      <x:c r="H705" s="4" t="str">
        <x:f>IFERROR(INDEX('Material routes'!$H$6:$H$2205,MATCH(V705,'Material routes'!$A$6:$A$2205,0)),"MISSING ID")</x:f>
        <x:v>Drink consumable</x:v>
      </x:c>
      <x:c r="I705" s="4" t="str">
        <x:f>IFERROR(INDEX('Material routes'!$G$6:$G$2205,MATCH(V705,'Material routes'!$A$6:$A$2205,0)),"MISSING ID")</x:f>
        <x:v>Consumables</x:v>
      </x:c>
      <x:c r="J705" s="4" t="str">
        <x:f>IFERROR(INDEX('Material routes'!$B$6:$B$2205,MATCH(U705,'Material routes'!$A$6:$A$2205,0)),"MISSING ID")</x:f>
        <x:v>design.collection.warm_phagia_meal_drink</x:v>
      </x:c>
      <x:c r="K705" s="4" t="str">
        <x:f>IFERROR(INDEX('Crafting recipes'!$C$6:$C$1005,MATCH(J705,'Crafting recipes'!$A$6:$A$1005,0)),"MISSING ID")</x:f>
        <x:v>Finished-item crafting</x:v>
      </x:c>
      <x:c r="L705" s="4" t="str">
        <x:f>IFERROR(INDEX('Material routes'!$K$6:$K$2205,MATCH(U705,'Material routes'!$A$6:$A$2205,0)),"MISSING ID")</x:f>
        <x:v>Proposal</x:v>
      </x:c>
      <x:c r="M705" s="4" t="str">
        <x:f>IFERROR(INDEX('Material routes'!$M$6:$M$2205,MATCH(U705,'Material routes'!$A$6:$A$2205,0)),"MISSING ID")</x:f>
        <x:v>Partial proposal</x:v>
      </x:c>
      <x:c r="N705" s="4"/>
      <x:c r="O705" s="4" t="str">
        <x:f>IFERROR(INDEX('Material routes'!$J$6:$J$2205,MATCH(U705,'Material routes'!$A$6:$A$2205,0)),"MISSING ID")</x:f>
        <x:v>Unspecified</x:v>
      </x:c>
      <x:c r="P705" s="4"/>
      <x:c r="Q705" s="4" t="str">
        <x:f>IFERROR(INDEX('Material routes'!$J$6:$J$2205,MATCH(V705,'Material routes'!$A$6:$A$2205,0)),"MISSING ID")</x:f>
        <x:v>Unspecified</x:v>
      </x:c>
      <x:c r="R705" s="4" t="str">
        <x:f>IF(L705="Withheld","Withheld premise",IF(E705="Tool candidate","Reusable prerequisite",IF(K705="Raw entry preparation","Entry-resource preparation",IF(G705="Not applicable",IF(IFERROR(INDEX('Items'!$AI$6:$AI$1005,MATCH(T705,'Items'!$A$6:$A$1005,0)),"MISSING ID")="Finished item","Finished endpoint",IF(IFERROR(INDEX('Items'!$AI$6:$AI$1005,MATCH(T705,'Items'!$A$6:$A$1005,0)),"MISSING ID")="Currency","Currency / no refinement tier","Recovered output / tier not applicable")),IF(OR(IFERROR(INDEX('Crafting recipes'!$H$6:$H$1005,MATCH(J705,'Crafting recipes'!$A$6:$A$1005,0)),"MISSING ID")="Unassigned",G705="Unassigned"),"Tier unresolved",IF(IFERROR(VALUE(RIGHT(G705,1))-VALUE(RIGHT(IFERROR(INDEX('Crafting recipes'!$H$6:$H$1005,MATCH(J705,'Crafting recipes'!$A$6:$A$1005,0)),"MISSING ID"),1)),0)=1,IF(B705=IFERROR(INDEX('Crafting recipes'!$H$6:$H$1005,MATCH(J705,'Crafting recipes'!$A$6:$A$1005,0)),"MISSING ID"),"Advances one material tier","Lower-tier ingredient; route advances one tier"),"Needs tier review"))))))</x:f>
        <x:v>Finished endpoint</x:v>
      </x:c>
      <x:c r="S705" s="4" t="str">
        <x:f>IFERROR(INDEX('Material routes'!$D$6:$D$2205,MATCH(U705,'Material routes'!$A$6:$A$2205,0)),"MISSING ID")</x:f>
        <x:v>proposal.collection.culinary_phagia_binding_paste</x:v>
      </x:c>
      <x:c r="T705" s="4" t="str">
        <x:f>IFERROR(INDEX('Material routes'!$D$6:$D$2205,MATCH(V705,'Material routes'!$A$6:$A$2205,0)),"MISSING ID")</x:f>
        <x:v>proposal.collection.warm_phagia_meal_drink</x:v>
      </x:c>
      <x:c r="U705" s="4" t="str">
        <x:v>design.collection.warm_phagia_meal_drink.in.1</x:v>
      </x:c>
      <x:c r="V705" s="4" t="str">
        <x:v>design.collection.warm_phagia_meal_drink.out</x:v>
      </x:c>
    </x:row>
    <x:row r="706" ht="64" customHeight="1">
      <x:c r="A706" s="4" t="str">
        <x:f>IFERROR(INDEX('Material routes'!$E$6:$E$2205,MATCH(U706,'Material routes'!$A$6:$A$2205,0)),"MISSING ID")</x:f>
        <x:v>Culinary Phagia liquid fraction</x:v>
      </x:c>
      <x:c r="B706" s="4" t="str">
        <x:f>IFERROR(INDEX('Material routes'!$F$6:$F$2205,MATCH(U706,'Material routes'!$A$6:$A$2205,0)),"MISSING ID")</x:f>
        <x:v>T1</x:v>
      </x:c>
      <x:c r="C706" s="4" t="str">
        <x:f>IFERROR(INDEX('Material routes'!$H$6:$H$2205,MATCH(U706,'Material routes'!$A$6:$A$2205,0)),"MISSING ID")</x:f>
        <x:v>Food material</x:v>
      </x:c>
      <x:c r="D706" s="4" t="str">
        <x:f>IFERROR(INDEX('Material routes'!$G$6:$G$2205,MATCH(U706,'Material routes'!$A$6:$A$2205,0)),"MISSING ID")</x:f>
        <x:v>Cooking ingredients</x:v>
      </x:c>
      <x:c r="E706" s="4" t="str">
        <x:f>IFERROR(INDEX('Material routes'!$C$6:$C$2205,MATCH(U706,'Material routes'!$A$6:$A$2205,0)),"MISSING ID")</x:f>
        <x:v>Ingredient candidate</x:v>
      </x:c>
      <x:c r="F706" s="4" t="str">
        <x:f>IFERROR(INDEX('Material routes'!$E$6:$E$2205,MATCH(V706,'Material routes'!$A$6:$A$2205,0)),"MISSING ID")</x:f>
        <x:v>Warm Phagia meal drink</x:v>
      </x:c>
      <x:c r="G706" s="4" t="str">
        <x:f>IFERROR(INDEX('Material routes'!$F$6:$F$2205,MATCH(V706,'Material routes'!$A$6:$A$2205,0)),"MISSING ID")</x:f>
        <x:v>Not applicable</x:v>
      </x:c>
      <x:c r="H706" s="4" t="str">
        <x:f>IFERROR(INDEX('Material routes'!$H$6:$H$2205,MATCH(V706,'Material routes'!$A$6:$A$2205,0)),"MISSING ID")</x:f>
        <x:v>Drink consumable</x:v>
      </x:c>
      <x:c r="I706" s="4" t="str">
        <x:f>IFERROR(INDEX('Material routes'!$G$6:$G$2205,MATCH(V706,'Material routes'!$A$6:$A$2205,0)),"MISSING ID")</x:f>
        <x:v>Consumables</x:v>
      </x:c>
      <x:c r="J706" s="4" t="str">
        <x:f>IFERROR(INDEX('Material routes'!$B$6:$B$2205,MATCH(U706,'Material routes'!$A$6:$A$2205,0)),"MISSING ID")</x:f>
        <x:v>design.collection.warm_phagia_meal_drink</x:v>
      </x:c>
      <x:c r="K706" s="4" t="str">
        <x:f>IFERROR(INDEX('Crafting recipes'!$C$6:$C$1005,MATCH(J706,'Crafting recipes'!$A$6:$A$1005,0)),"MISSING ID")</x:f>
        <x:v>Finished-item crafting</x:v>
      </x:c>
      <x:c r="L706" s="4" t="str">
        <x:f>IFERROR(INDEX('Material routes'!$K$6:$K$2205,MATCH(U706,'Material routes'!$A$6:$A$2205,0)),"MISSING ID")</x:f>
        <x:v>Proposal</x:v>
      </x:c>
      <x:c r="M706" s="4" t="str">
        <x:f>IFERROR(INDEX('Material routes'!$M$6:$M$2205,MATCH(U706,'Material routes'!$A$6:$A$2205,0)),"MISSING ID")</x:f>
        <x:v>Partial proposal</x:v>
      </x:c>
      <x:c r="N706" s="4"/>
      <x:c r="O706" s="4" t="str">
        <x:f>IFERROR(INDEX('Material routes'!$J$6:$J$2205,MATCH(U706,'Material routes'!$A$6:$A$2205,0)),"MISSING ID")</x:f>
        <x:v>Unspecified</x:v>
      </x:c>
      <x:c r="P706" s="4"/>
      <x:c r="Q706" s="4" t="str">
        <x:f>IFERROR(INDEX('Material routes'!$J$6:$J$2205,MATCH(V706,'Material routes'!$A$6:$A$2205,0)),"MISSING ID")</x:f>
        <x:v>Unspecified</x:v>
      </x:c>
      <x:c r="R706" s="4" t="str">
        <x:f>IF(L706="Withheld","Withheld premise",IF(E706="Tool candidate","Reusable prerequisite",IF(K706="Raw entry preparation","Entry-resource preparation",IF(G706="Not applicable",IF(IFERROR(INDEX('Items'!$AI$6:$AI$1005,MATCH(T706,'Items'!$A$6:$A$1005,0)),"MISSING ID")="Finished item","Finished endpoint",IF(IFERROR(INDEX('Items'!$AI$6:$AI$1005,MATCH(T706,'Items'!$A$6:$A$1005,0)),"MISSING ID")="Currency","Currency / no refinement tier","Recovered output / tier not applicable")),IF(OR(IFERROR(INDEX('Crafting recipes'!$H$6:$H$1005,MATCH(J706,'Crafting recipes'!$A$6:$A$1005,0)),"MISSING ID")="Unassigned",G706="Unassigned"),"Tier unresolved",IF(IFERROR(VALUE(RIGHT(G706,1))-VALUE(RIGHT(IFERROR(INDEX('Crafting recipes'!$H$6:$H$1005,MATCH(J706,'Crafting recipes'!$A$6:$A$1005,0)),"MISSING ID"),1)),0)=1,IF(B706=IFERROR(INDEX('Crafting recipes'!$H$6:$H$1005,MATCH(J706,'Crafting recipes'!$A$6:$A$1005,0)),"MISSING ID"),"Advances one material tier","Lower-tier ingredient; route advances one tier"),"Needs tier review"))))))</x:f>
        <x:v>Finished endpoint</x:v>
      </x:c>
      <x:c r="S706" s="4" t="str">
        <x:f>IFERROR(INDEX('Material routes'!$D$6:$D$2205,MATCH(U706,'Material routes'!$A$6:$A$2205,0)),"MISSING ID")</x:f>
        <x:v>proposal.collection.culinary_phagia_liquid_fraction</x:v>
      </x:c>
      <x:c r="T706" s="4" t="str">
        <x:f>IFERROR(INDEX('Material routes'!$D$6:$D$2205,MATCH(V706,'Material routes'!$A$6:$A$2205,0)),"MISSING ID")</x:f>
        <x:v>proposal.collection.warm_phagia_meal_drink</x:v>
      </x:c>
      <x:c r="U706" s="4" t="str">
        <x:v>design.collection.warm_phagia_meal_drink.in.2</x:v>
      </x:c>
      <x:c r="V706" s="4" t="str">
        <x:v>design.collection.warm_phagia_meal_drink.out</x:v>
      </x:c>
    </x:row>
    <x:row r="707" ht="64" customHeight="1">
      <x:c r="A707" s="4" t="str">
        <x:f>IFERROR(INDEX('Material routes'!$E$6:$E$2205,MATCH(U707,'Material routes'!$A$6:$A$2205,0)),"MISSING ID")</x:f>
        <x:v>Culinary Phagia liquid fraction</x:v>
      </x:c>
      <x:c r="B707" s="4" t="str">
        <x:f>IFERROR(INDEX('Material routes'!$F$6:$F$2205,MATCH(U707,'Material routes'!$A$6:$A$2205,0)),"MISSING ID")</x:f>
        <x:v>T1</x:v>
      </x:c>
      <x:c r="C707" s="4" t="str">
        <x:f>IFERROR(INDEX('Material routes'!$H$6:$H$2205,MATCH(U707,'Material routes'!$A$6:$A$2205,0)),"MISSING ID")</x:f>
        <x:v>Food material</x:v>
      </x:c>
      <x:c r="D707" s="4" t="str">
        <x:f>IFERROR(INDEX('Material routes'!$G$6:$G$2205,MATCH(U707,'Material routes'!$A$6:$A$2205,0)),"MISSING ID")</x:f>
        <x:v>Cooking ingredients</x:v>
      </x:c>
      <x:c r="E707" s="4" t="str">
        <x:f>IFERROR(INDEX('Material routes'!$C$6:$C$2205,MATCH(U707,'Material routes'!$A$6:$A$2205,0)),"MISSING ID")</x:f>
        <x:v>Ingredient candidate</x:v>
      </x:c>
      <x:c r="F707" s="4" t="str">
        <x:f>IFERROR(INDEX('Material routes'!$E$6:$E$2205,MATCH(V707,'Material routes'!$A$6:$A$2205,0)),"MISSING ID")</x:f>
        <x:v>Cool-cellar Phagia drink</x:v>
      </x:c>
      <x:c r="G707" s="4" t="str">
        <x:f>IFERROR(INDEX('Material routes'!$F$6:$F$2205,MATCH(V707,'Material routes'!$A$6:$A$2205,0)),"MISSING ID")</x:f>
        <x:v>Not applicable</x:v>
      </x:c>
      <x:c r="H707" s="4" t="str">
        <x:f>IFERROR(INDEX('Material routes'!$H$6:$H$2205,MATCH(V707,'Material routes'!$A$6:$A$2205,0)),"MISSING ID")</x:f>
        <x:v>Drink consumable</x:v>
      </x:c>
      <x:c r="I707" s="4" t="str">
        <x:f>IFERROR(INDEX('Material routes'!$G$6:$G$2205,MATCH(V707,'Material routes'!$A$6:$A$2205,0)),"MISSING ID")</x:f>
        <x:v>Consumables</x:v>
      </x:c>
      <x:c r="J707" s="4" t="str">
        <x:f>IFERROR(INDEX('Material routes'!$B$6:$B$2205,MATCH(U707,'Material routes'!$A$6:$A$2205,0)),"MISSING ID")</x:f>
        <x:v>design.collection.cool_cellar_phagia_drink</x:v>
      </x:c>
      <x:c r="K707" s="4" t="str">
        <x:f>IFERROR(INDEX('Crafting recipes'!$C$6:$C$1005,MATCH(J707,'Crafting recipes'!$A$6:$A$1005,0)),"MISSING ID")</x:f>
        <x:v>Finished-item crafting</x:v>
      </x:c>
      <x:c r="L707" s="4" t="str">
        <x:f>IFERROR(INDEX('Material routes'!$K$6:$K$2205,MATCH(U707,'Material routes'!$A$6:$A$2205,0)),"MISSING ID")</x:f>
        <x:v>Proposal</x:v>
      </x:c>
      <x:c r="M707" s="4" t="str">
        <x:f>IFERROR(INDEX('Material routes'!$M$6:$M$2205,MATCH(U707,'Material routes'!$A$6:$A$2205,0)),"MISSING ID")</x:f>
        <x:v>Partial proposal</x:v>
      </x:c>
      <x:c r="N707" s="4"/>
      <x:c r="O707" s="4" t="str">
        <x:f>IFERROR(INDEX('Material routes'!$J$6:$J$2205,MATCH(U707,'Material routes'!$A$6:$A$2205,0)),"MISSING ID")</x:f>
        <x:v>Unspecified</x:v>
      </x:c>
      <x:c r="P707" s="4"/>
      <x:c r="Q707" s="4" t="str">
        <x:f>IFERROR(INDEX('Material routes'!$J$6:$J$2205,MATCH(V707,'Material routes'!$A$6:$A$2205,0)),"MISSING ID")</x:f>
        <x:v>Unspecified</x:v>
      </x:c>
      <x:c r="R707" s="4" t="str">
        <x:f>IF(L707="Withheld","Withheld premise",IF(E707="Tool candidate","Reusable prerequisite",IF(K707="Raw entry preparation","Entry-resource preparation",IF(G707="Not applicable",IF(IFERROR(INDEX('Items'!$AI$6:$AI$1005,MATCH(T707,'Items'!$A$6:$A$1005,0)),"MISSING ID")="Finished item","Finished endpoint",IF(IFERROR(INDEX('Items'!$AI$6:$AI$1005,MATCH(T707,'Items'!$A$6:$A$1005,0)),"MISSING ID")="Currency","Currency / no refinement tier","Recovered output / tier not applicable")),IF(OR(IFERROR(INDEX('Crafting recipes'!$H$6:$H$1005,MATCH(J707,'Crafting recipes'!$A$6:$A$1005,0)),"MISSING ID")="Unassigned",G707="Unassigned"),"Tier unresolved",IF(IFERROR(VALUE(RIGHT(G707,1))-VALUE(RIGHT(IFERROR(INDEX('Crafting recipes'!$H$6:$H$1005,MATCH(J707,'Crafting recipes'!$A$6:$A$1005,0)),"MISSING ID"),1)),0)=1,IF(B707=IFERROR(INDEX('Crafting recipes'!$H$6:$H$1005,MATCH(J707,'Crafting recipes'!$A$6:$A$1005,0)),"MISSING ID"),"Advances one material tier","Lower-tier ingredient; route advances one tier"),"Needs tier review"))))))</x:f>
        <x:v>Finished endpoint</x:v>
      </x:c>
      <x:c r="S707" s="4" t="str">
        <x:f>IFERROR(INDEX('Material routes'!$D$6:$D$2205,MATCH(U707,'Material routes'!$A$6:$A$2205,0)),"MISSING ID")</x:f>
        <x:v>proposal.collection.culinary_phagia_liquid_fraction</x:v>
      </x:c>
      <x:c r="T707" s="4" t="str">
        <x:f>IFERROR(INDEX('Material routes'!$D$6:$D$2205,MATCH(V707,'Material routes'!$A$6:$A$2205,0)),"MISSING ID")</x:f>
        <x:v>proposal.collection.cool_cellar_phagia_drink</x:v>
      </x:c>
      <x:c r="U707" s="4" t="str">
        <x:v>design.collection.cool_cellar_phagia_drink.in.1</x:v>
      </x:c>
      <x:c r="V707" s="4" t="str">
        <x:v>design.collection.cool_cellar_phagia_drink.out</x:v>
      </x:c>
    </x:row>
    <x:row r="708" ht="64" customHeight="1">
      <x:c r="A708" s="4" t="str">
        <x:f>IFERROR(INDEX('Material routes'!$E$6:$E$2205,MATCH(U708,'Material routes'!$A$6:$A$2205,0)),"MISSING ID")</x:f>
        <x:v>Strained edible-fauna broth base</x:v>
      </x:c>
      <x:c r="B708" s="4" t="str">
        <x:f>IFERROR(INDEX('Material routes'!$F$6:$F$2205,MATCH(U708,'Material routes'!$A$6:$A$2205,0)),"MISSING ID")</x:f>
        <x:v>T2</x:v>
      </x:c>
      <x:c r="C708" s="4" t="str">
        <x:f>IFERROR(INDEX('Material routes'!$H$6:$H$2205,MATCH(U708,'Material routes'!$A$6:$A$2205,0)),"MISSING ID")</x:f>
        <x:v>Food material</x:v>
      </x:c>
      <x:c r="D708" s="4" t="str">
        <x:f>IFERROR(INDEX('Material routes'!$G$6:$G$2205,MATCH(U708,'Material routes'!$A$6:$A$2205,0)),"MISSING ID")</x:f>
        <x:v>Cooking ingredients</x:v>
      </x:c>
      <x:c r="E708" s="4" t="str">
        <x:f>IFERROR(INDEX('Material routes'!$C$6:$C$2205,MATCH(U708,'Material routes'!$A$6:$A$2205,0)),"MISSING ID")</x:f>
        <x:v>Ingredient candidate</x:v>
      </x:c>
      <x:c r="F708" s="4" t="str">
        <x:f>IFERROR(INDEX('Material routes'!$E$6:$E$2205,MATCH(V708,'Material routes'!$A$6:$A$2205,0)),"MISSING ID")</x:f>
        <x:v>Phagia-fauna savory broth</x:v>
      </x:c>
      <x:c r="G708" s="4" t="str">
        <x:f>IFERROR(INDEX('Material routes'!$F$6:$F$2205,MATCH(V708,'Material routes'!$A$6:$A$2205,0)),"MISSING ID")</x:f>
        <x:v>Not applicable</x:v>
      </x:c>
      <x:c r="H708" s="4" t="str">
        <x:f>IFERROR(INDEX('Material routes'!$H$6:$H$2205,MATCH(V708,'Material routes'!$A$6:$A$2205,0)),"MISSING ID")</x:f>
        <x:v>Drink consumable</x:v>
      </x:c>
      <x:c r="I708" s="4" t="str">
        <x:f>IFERROR(INDEX('Material routes'!$G$6:$G$2205,MATCH(V708,'Material routes'!$A$6:$A$2205,0)),"MISSING ID")</x:f>
        <x:v>Consumables</x:v>
      </x:c>
      <x:c r="J708" s="4" t="str">
        <x:f>IFERROR(INDEX('Material routes'!$B$6:$B$2205,MATCH(U708,'Material routes'!$A$6:$A$2205,0)),"MISSING ID")</x:f>
        <x:v>design.collection.phagia_fauna_savory_broth</x:v>
      </x:c>
      <x:c r="K708" s="4" t="str">
        <x:f>IFERROR(INDEX('Crafting recipes'!$C$6:$C$1005,MATCH(J708,'Crafting recipes'!$A$6:$A$1005,0)),"MISSING ID")</x:f>
        <x:v>Finished-item crafting</x:v>
      </x:c>
      <x:c r="L708" s="4" t="str">
        <x:f>IFERROR(INDEX('Material routes'!$K$6:$K$2205,MATCH(U708,'Material routes'!$A$6:$A$2205,0)),"MISSING ID")</x:f>
        <x:v>Proposal</x:v>
      </x:c>
      <x:c r="M708" s="4" t="str">
        <x:f>IFERROR(INDEX('Material routes'!$M$6:$M$2205,MATCH(U708,'Material routes'!$A$6:$A$2205,0)),"MISSING ID")</x:f>
        <x:v>Partial proposal</x:v>
      </x:c>
      <x:c r="N708" s="4"/>
      <x:c r="O708" s="4" t="str">
        <x:f>IFERROR(INDEX('Material routes'!$J$6:$J$2205,MATCH(U708,'Material routes'!$A$6:$A$2205,0)),"MISSING ID")</x:f>
        <x:v>Unspecified</x:v>
      </x:c>
      <x:c r="P708" s="4"/>
      <x:c r="Q708" s="4" t="str">
        <x:f>IFERROR(INDEX('Material routes'!$J$6:$J$2205,MATCH(V708,'Material routes'!$A$6:$A$2205,0)),"MISSING ID")</x:f>
        <x:v>Unspecified</x:v>
      </x:c>
      <x:c r="R708" s="4" t="str">
        <x:f>IF(L708="Withheld","Withheld premise",IF(E708="Tool candidate","Reusable prerequisite",IF(K708="Raw entry preparation","Entry-resource preparation",IF(G708="Not applicable",IF(IFERROR(INDEX('Items'!$AI$6:$AI$1005,MATCH(T708,'Items'!$A$6:$A$1005,0)),"MISSING ID")="Finished item","Finished endpoint",IF(IFERROR(INDEX('Items'!$AI$6:$AI$1005,MATCH(T708,'Items'!$A$6:$A$1005,0)),"MISSING ID")="Currency","Currency / no refinement tier","Recovered output / tier not applicable")),IF(OR(IFERROR(INDEX('Crafting recipes'!$H$6:$H$1005,MATCH(J708,'Crafting recipes'!$A$6:$A$1005,0)),"MISSING ID")="Unassigned",G708="Unassigned"),"Tier unresolved",IF(IFERROR(VALUE(RIGHT(G708,1))-VALUE(RIGHT(IFERROR(INDEX('Crafting recipes'!$H$6:$H$1005,MATCH(J708,'Crafting recipes'!$A$6:$A$1005,0)),"MISSING ID"),1)),0)=1,IF(B708=IFERROR(INDEX('Crafting recipes'!$H$6:$H$1005,MATCH(J708,'Crafting recipes'!$A$6:$A$1005,0)),"MISSING ID"),"Advances one material tier","Lower-tier ingredient; route advances one tier"),"Needs tier review"))))))</x:f>
        <x:v>Finished endpoint</x:v>
      </x:c>
      <x:c r="S708" s="4" t="str">
        <x:f>IFERROR(INDEX('Material routes'!$D$6:$D$2205,MATCH(U708,'Material routes'!$A$6:$A$2205,0)),"MISSING ID")</x:f>
        <x:v>proposal.collection.strained_edible_fauna_broth_base</x:v>
      </x:c>
      <x:c r="T708" s="4" t="str">
        <x:f>IFERROR(INDEX('Material routes'!$D$6:$D$2205,MATCH(V708,'Material routes'!$A$6:$A$2205,0)),"MISSING ID")</x:f>
        <x:v>proposal.collection.phagia_fauna_savory_broth</x:v>
      </x:c>
      <x:c r="U708" s="4" t="str">
        <x:v>design.collection.phagia_fauna_savory_broth.in.1</x:v>
      </x:c>
      <x:c r="V708" s="4" t="str">
        <x:v>design.collection.phagia_fauna_savory_broth.out</x:v>
      </x:c>
    </x:row>
    <x:row r="709" ht="64" customHeight="1">
      <x:c r="A709" s="4" t="str">
        <x:f>IFERROR(INDEX('Material routes'!$E$6:$E$2205,MATCH(U709,'Material routes'!$A$6:$A$2205,0)),"MISSING ID")</x:f>
        <x:v>Culinary Phagia liquid fraction</x:v>
      </x:c>
      <x:c r="B709" s="4" t="str">
        <x:f>IFERROR(INDEX('Material routes'!$F$6:$F$2205,MATCH(U709,'Material routes'!$A$6:$A$2205,0)),"MISSING ID")</x:f>
        <x:v>T1</x:v>
      </x:c>
      <x:c r="C709" s="4" t="str">
        <x:f>IFERROR(INDEX('Material routes'!$H$6:$H$2205,MATCH(U709,'Material routes'!$A$6:$A$2205,0)),"MISSING ID")</x:f>
        <x:v>Food material</x:v>
      </x:c>
      <x:c r="D709" s="4" t="str">
        <x:f>IFERROR(INDEX('Material routes'!$G$6:$G$2205,MATCH(U709,'Material routes'!$A$6:$A$2205,0)),"MISSING ID")</x:f>
        <x:v>Cooking ingredients</x:v>
      </x:c>
      <x:c r="E709" s="4" t="str">
        <x:f>IFERROR(INDEX('Material routes'!$C$6:$C$2205,MATCH(U709,'Material routes'!$A$6:$A$2205,0)),"MISSING ID")</x:f>
        <x:v>Ingredient candidate</x:v>
      </x:c>
      <x:c r="F709" s="4" t="str">
        <x:f>IFERROR(INDEX('Material routes'!$E$6:$E$2205,MATCH(V709,'Material routes'!$A$6:$A$2205,0)),"MISSING ID")</x:f>
        <x:v>Phagia-fauna savory broth</x:v>
      </x:c>
      <x:c r="G709" s="4" t="str">
        <x:f>IFERROR(INDEX('Material routes'!$F$6:$F$2205,MATCH(V709,'Material routes'!$A$6:$A$2205,0)),"MISSING ID")</x:f>
        <x:v>Not applicable</x:v>
      </x:c>
      <x:c r="H709" s="4" t="str">
        <x:f>IFERROR(INDEX('Material routes'!$H$6:$H$2205,MATCH(V709,'Material routes'!$A$6:$A$2205,0)),"MISSING ID")</x:f>
        <x:v>Drink consumable</x:v>
      </x:c>
      <x:c r="I709" s="4" t="str">
        <x:f>IFERROR(INDEX('Material routes'!$G$6:$G$2205,MATCH(V709,'Material routes'!$A$6:$A$2205,0)),"MISSING ID")</x:f>
        <x:v>Consumables</x:v>
      </x:c>
      <x:c r="J709" s="4" t="str">
        <x:f>IFERROR(INDEX('Material routes'!$B$6:$B$2205,MATCH(U709,'Material routes'!$A$6:$A$2205,0)),"MISSING ID")</x:f>
        <x:v>design.collection.phagia_fauna_savory_broth</x:v>
      </x:c>
      <x:c r="K709" s="4" t="str">
        <x:f>IFERROR(INDEX('Crafting recipes'!$C$6:$C$1005,MATCH(J709,'Crafting recipes'!$A$6:$A$1005,0)),"MISSING ID")</x:f>
        <x:v>Finished-item crafting</x:v>
      </x:c>
      <x:c r="L709" s="4" t="str">
        <x:f>IFERROR(INDEX('Material routes'!$K$6:$K$2205,MATCH(U709,'Material routes'!$A$6:$A$2205,0)),"MISSING ID")</x:f>
        <x:v>Proposal</x:v>
      </x:c>
      <x:c r="M709" s="4" t="str">
        <x:f>IFERROR(INDEX('Material routes'!$M$6:$M$2205,MATCH(U709,'Material routes'!$A$6:$A$2205,0)),"MISSING ID")</x:f>
        <x:v>Partial proposal</x:v>
      </x:c>
      <x:c r="N709" s="4"/>
      <x:c r="O709" s="4" t="str">
        <x:f>IFERROR(INDEX('Material routes'!$J$6:$J$2205,MATCH(U709,'Material routes'!$A$6:$A$2205,0)),"MISSING ID")</x:f>
        <x:v>Unspecified</x:v>
      </x:c>
      <x:c r="P709" s="4"/>
      <x:c r="Q709" s="4" t="str">
        <x:f>IFERROR(INDEX('Material routes'!$J$6:$J$2205,MATCH(V709,'Material routes'!$A$6:$A$2205,0)),"MISSING ID")</x:f>
        <x:v>Unspecified</x:v>
      </x:c>
      <x:c r="R709" s="4" t="str">
        <x:f>IF(L709="Withheld","Withheld premise",IF(E709="Tool candidate","Reusable prerequisite",IF(K709="Raw entry preparation","Entry-resource preparation",IF(G709="Not applicable",IF(IFERROR(INDEX('Items'!$AI$6:$AI$1005,MATCH(T709,'Items'!$A$6:$A$1005,0)),"MISSING ID")="Finished item","Finished endpoint",IF(IFERROR(INDEX('Items'!$AI$6:$AI$1005,MATCH(T709,'Items'!$A$6:$A$1005,0)),"MISSING ID")="Currency","Currency / no refinement tier","Recovered output / tier not applicable")),IF(OR(IFERROR(INDEX('Crafting recipes'!$H$6:$H$1005,MATCH(J709,'Crafting recipes'!$A$6:$A$1005,0)),"MISSING ID")="Unassigned",G709="Unassigned"),"Tier unresolved",IF(IFERROR(VALUE(RIGHT(G709,1))-VALUE(RIGHT(IFERROR(INDEX('Crafting recipes'!$H$6:$H$1005,MATCH(J709,'Crafting recipes'!$A$6:$A$1005,0)),"MISSING ID"),1)),0)=1,IF(B709=IFERROR(INDEX('Crafting recipes'!$H$6:$H$1005,MATCH(J709,'Crafting recipes'!$A$6:$A$1005,0)),"MISSING ID"),"Advances one material tier","Lower-tier ingredient; route advances one tier"),"Needs tier review"))))))</x:f>
        <x:v>Finished endpoint</x:v>
      </x:c>
      <x:c r="S709" s="4" t="str">
        <x:f>IFERROR(INDEX('Material routes'!$D$6:$D$2205,MATCH(U709,'Material routes'!$A$6:$A$2205,0)),"MISSING ID")</x:f>
        <x:v>proposal.collection.culinary_phagia_liquid_fraction</x:v>
      </x:c>
      <x:c r="T709" s="4" t="str">
        <x:f>IFERROR(INDEX('Material routes'!$D$6:$D$2205,MATCH(V709,'Material routes'!$A$6:$A$2205,0)),"MISSING ID")</x:f>
        <x:v>proposal.collection.phagia_fauna_savory_broth</x:v>
      </x:c>
      <x:c r="U709" s="4" t="str">
        <x:v>design.collection.phagia_fauna_savory_broth.in.2</x:v>
      </x:c>
      <x:c r="V709" s="4" t="str">
        <x:v>design.collection.phagia_fauna_savory_broth.out</x:v>
      </x:c>
    </x:row>
    <x:row r="710" ht="64" customHeight="1">
      <x:c r="A710" s="4"/>
      <x:c r="B710" s="4"/>
      <x:c r="C710" s="4"/>
      <x:c r="D710" s="4"/>
      <x:c r="E710" s="4"/>
      <x:c r="F710" s="4"/>
      <x:c r="G710" s="4"/>
      <x:c r="H710" s="4"/>
      <x:c r="I710" s="4"/>
      <x:c r="J710" s="4"/>
      <x:c r="K710" s="4"/>
      <x:c r="L710" s="4"/>
      <x:c r="M710" s="4"/>
      <x:c r="N710" s="4"/>
      <x:c r="P710" s="4"/>
      <x:c r="R710" s="4"/>
      <x:c r="S710" s="4"/>
      <x:c r="T710" s="4"/>
      <x:c r="U710" s="4"/>
      <x:c r="V710" s="4"/>
    </x:row>
    <x:row r="711" ht="64" customHeight="1">
      <x:c r="A711" s="4"/>
      <x:c r="B711" s="4"/>
      <x:c r="C711" s="4"/>
      <x:c r="D711" s="4"/>
      <x:c r="E711" s="4"/>
      <x:c r="F711" s="4"/>
      <x:c r="G711" s="4"/>
      <x:c r="H711" s="4"/>
      <x:c r="I711" s="4"/>
      <x:c r="J711" s="4"/>
      <x:c r="K711" s="4"/>
      <x:c r="L711" s="4"/>
      <x:c r="M711" s="4"/>
      <x:c r="N711" s="4"/>
      <x:c r="P711" s="4"/>
      <x:c r="R711" s="4"/>
      <x:c r="S711" s="4"/>
      <x:c r="T711" s="4"/>
      <x:c r="U711" s="4"/>
      <x:c r="V711" s="4"/>
    </x:row>
    <x:row r="712" ht="64" customHeight="1">
      <x:c r="A712" s="4" t="str">
        <x:f>IFERROR(INDEX('Material routes'!$E$6:$E$2205,MATCH(U712,'Material routes'!$A$6:$A$2205,0)),"MISSING ID")</x:f>
        <x:v>Culinary fauna aroma fraction</x:v>
      </x:c>
      <x:c r="B712" s="4" t="str">
        <x:f>IFERROR(INDEX('Material routes'!$F$6:$F$2205,MATCH(U712,'Material routes'!$A$6:$A$2205,0)),"MISSING ID")</x:f>
        <x:v>T1</x:v>
      </x:c>
      <x:c r="C712" s="4" t="str">
        <x:f>IFERROR(INDEX('Material routes'!$H$6:$H$2205,MATCH(U712,'Material routes'!$A$6:$A$2205,0)),"MISSING ID")</x:f>
        <x:v>Food material</x:v>
      </x:c>
      <x:c r="D712" s="4" t="str">
        <x:f>IFERROR(INDEX('Material routes'!$G$6:$G$2205,MATCH(U712,'Material routes'!$A$6:$A$2205,0)),"MISSING ID")</x:f>
        <x:v>Cooking ingredients</x:v>
      </x:c>
      <x:c r="E712" s="4" t="str">
        <x:f>IFERROR(INDEX('Material routes'!$C$6:$C$2205,MATCH(U712,'Material routes'!$A$6:$A$2205,0)),"MISSING ID")</x:f>
        <x:v>Ingredient candidate</x:v>
      </x:c>
      <x:c r="F712" s="4" t="str">
        <x:f>IFERROR(INDEX('Material routes'!$E$6:$E$2205,MATCH(V712,'Material routes'!$A$6:$A$2205,0)),"MISSING ID")</x:f>
        <x:v>Phagia aroma tasting cup</x:v>
      </x:c>
      <x:c r="G712" s="4" t="str">
        <x:f>IFERROR(INDEX('Material routes'!$F$6:$F$2205,MATCH(V712,'Material routes'!$A$6:$A$2205,0)),"MISSING ID")</x:f>
        <x:v>Not applicable</x:v>
      </x:c>
      <x:c r="H712" s="4" t="str">
        <x:f>IFERROR(INDEX('Material routes'!$H$6:$H$2205,MATCH(V712,'Material routes'!$A$6:$A$2205,0)),"MISSING ID")</x:f>
        <x:v>Drink consumable</x:v>
      </x:c>
      <x:c r="I712" s="4" t="str">
        <x:f>IFERROR(INDEX('Material routes'!$G$6:$G$2205,MATCH(V712,'Material routes'!$A$6:$A$2205,0)),"MISSING ID")</x:f>
        <x:v>Consumables</x:v>
      </x:c>
      <x:c r="J712" s="4" t="str">
        <x:f>IFERROR(INDEX('Material routes'!$B$6:$B$2205,MATCH(U712,'Material routes'!$A$6:$A$2205,0)),"MISSING ID")</x:f>
        <x:v>design.collection.phagia_aroma_tasting_cup</x:v>
      </x:c>
      <x:c r="K712" s="4" t="str">
        <x:f>IFERROR(INDEX('Crafting recipes'!$C$6:$C$1005,MATCH(J712,'Crafting recipes'!$A$6:$A$1005,0)),"MISSING ID")</x:f>
        <x:v>Finished-item crafting</x:v>
      </x:c>
      <x:c r="L712" s="4" t="str">
        <x:f>IFERROR(INDEX('Material routes'!$K$6:$K$2205,MATCH(U712,'Material routes'!$A$6:$A$2205,0)),"MISSING ID")</x:f>
        <x:v>Proposal</x:v>
      </x:c>
      <x:c r="M712" s="4" t="str">
        <x:f>IFERROR(INDEX('Material routes'!$M$6:$M$2205,MATCH(U712,'Material routes'!$A$6:$A$2205,0)),"MISSING ID")</x:f>
        <x:v>Partial proposal</x:v>
      </x:c>
      <x:c r="N712" s="4"/>
      <x:c r="O712" s="4" t="str">
        <x:f>IFERROR(INDEX('Material routes'!$J$6:$J$2205,MATCH(U712,'Material routes'!$A$6:$A$2205,0)),"MISSING ID")</x:f>
        <x:v>Unspecified</x:v>
      </x:c>
      <x:c r="P712" s="4"/>
      <x:c r="Q712" s="4" t="str">
        <x:f>IFERROR(INDEX('Material routes'!$J$6:$J$2205,MATCH(V712,'Material routes'!$A$6:$A$2205,0)),"MISSING ID")</x:f>
        <x:v>Unspecified</x:v>
      </x:c>
      <x:c r="R712" s="4" t="str">
        <x:f>IF(L712="Withheld","Withheld premise",IF(E712="Tool candidate","Reusable prerequisite",IF(K712="Raw entry preparation","Entry-resource preparation",IF(G712="Not applicable",IF(IFERROR(INDEX('Items'!$AI$6:$AI$1005,MATCH(T712,'Items'!$A$6:$A$1005,0)),"MISSING ID")="Finished item","Finished endpoint",IF(IFERROR(INDEX('Items'!$AI$6:$AI$1005,MATCH(T712,'Items'!$A$6:$A$1005,0)),"MISSING ID")="Currency","Currency / no refinement tier","Recovered output / tier not applicable")),IF(OR(IFERROR(INDEX('Crafting recipes'!$H$6:$H$1005,MATCH(J712,'Crafting recipes'!$A$6:$A$1005,0)),"MISSING ID")="Unassigned",G712="Unassigned"),"Tier unresolved",IF(IFERROR(VALUE(RIGHT(G712,1))-VALUE(RIGHT(IFERROR(INDEX('Crafting recipes'!$H$6:$H$1005,MATCH(J712,'Crafting recipes'!$A$6:$A$1005,0)),"MISSING ID"),1)),0)=1,IF(B712=IFERROR(INDEX('Crafting recipes'!$H$6:$H$1005,MATCH(J712,'Crafting recipes'!$A$6:$A$1005,0)),"MISSING ID"),"Advances one material tier","Lower-tier ingredient; route advances one tier"),"Needs tier review"))))))</x:f>
        <x:v>Finished endpoint</x:v>
      </x:c>
      <x:c r="S712" s="4" t="str">
        <x:f>IFERROR(INDEX('Material routes'!$D$6:$D$2205,MATCH(U712,'Material routes'!$A$6:$A$2205,0)),"MISSING ID")</x:f>
        <x:v>proposal.collection.culinary_fauna_aroma_fraction</x:v>
      </x:c>
      <x:c r="T712" s="4" t="str">
        <x:f>IFERROR(INDEX('Material routes'!$D$6:$D$2205,MATCH(V712,'Material routes'!$A$6:$A$2205,0)),"MISSING ID")</x:f>
        <x:v>proposal.collection.phagia_aroma_tasting_cup</x:v>
      </x:c>
      <x:c r="U712" s="4" t="str">
        <x:v>design.collection.phagia_aroma_tasting_cup.in.1</x:v>
      </x:c>
      <x:c r="V712" s="4" t="str">
        <x:v>design.collection.phagia_aroma_tasting_cup.out</x:v>
      </x:c>
    </x:row>
    <x:row r="713" ht="64" customHeight="1">
      <x:c r="A713" s="4" t="str">
        <x:f>IFERROR(INDEX('Material routes'!$E$6:$E$2205,MATCH(U713,'Material routes'!$A$6:$A$2205,0)),"MISSING ID")</x:f>
        <x:v>Culinary Phagia liquid fraction</x:v>
      </x:c>
      <x:c r="B713" s="4" t="str">
        <x:f>IFERROR(INDEX('Material routes'!$F$6:$F$2205,MATCH(U713,'Material routes'!$A$6:$A$2205,0)),"MISSING ID")</x:f>
        <x:v>T1</x:v>
      </x:c>
      <x:c r="C713" s="4" t="str">
        <x:f>IFERROR(INDEX('Material routes'!$H$6:$H$2205,MATCH(U713,'Material routes'!$A$6:$A$2205,0)),"MISSING ID")</x:f>
        <x:v>Food material</x:v>
      </x:c>
      <x:c r="D713" s="4" t="str">
        <x:f>IFERROR(INDEX('Material routes'!$G$6:$G$2205,MATCH(U713,'Material routes'!$A$6:$A$2205,0)),"MISSING ID")</x:f>
        <x:v>Cooking ingredients</x:v>
      </x:c>
      <x:c r="E713" s="4" t="str">
        <x:f>IFERROR(INDEX('Material routes'!$C$6:$C$2205,MATCH(U713,'Material routes'!$A$6:$A$2205,0)),"MISSING ID")</x:f>
        <x:v>Ingredient candidate</x:v>
      </x:c>
      <x:c r="F713" s="4" t="str">
        <x:f>IFERROR(INDEX('Material routes'!$E$6:$E$2205,MATCH(V713,'Material routes'!$A$6:$A$2205,0)),"MISSING ID")</x:f>
        <x:v>Phagia aroma tasting cup</x:v>
      </x:c>
      <x:c r="G713" s="4" t="str">
        <x:f>IFERROR(INDEX('Material routes'!$F$6:$F$2205,MATCH(V713,'Material routes'!$A$6:$A$2205,0)),"MISSING ID")</x:f>
        <x:v>Not applicable</x:v>
      </x:c>
      <x:c r="H713" s="4" t="str">
        <x:f>IFERROR(INDEX('Material routes'!$H$6:$H$2205,MATCH(V713,'Material routes'!$A$6:$A$2205,0)),"MISSING ID")</x:f>
        <x:v>Drink consumable</x:v>
      </x:c>
      <x:c r="I713" s="4" t="str">
        <x:f>IFERROR(INDEX('Material routes'!$G$6:$G$2205,MATCH(V713,'Material routes'!$A$6:$A$2205,0)),"MISSING ID")</x:f>
        <x:v>Consumables</x:v>
      </x:c>
      <x:c r="J713" s="4" t="str">
        <x:f>IFERROR(INDEX('Material routes'!$B$6:$B$2205,MATCH(U713,'Material routes'!$A$6:$A$2205,0)),"MISSING ID")</x:f>
        <x:v>design.collection.phagia_aroma_tasting_cup</x:v>
      </x:c>
      <x:c r="K713" s="4" t="str">
        <x:f>IFERROR(INDEX('Crafting recipes'!$C$6:$C$1005,MATCH(J713,'Crafting recipes'!$A$6:$A$1005,0)),"MISSING ID")</x:f>
        <x:v>Finished-item crafting</x:v>
      </x:c>
      <x:c r="L713" s="4" t="str">
        <x:f>IFERROR(INDEX('Material routes'!$K$6:$K$2205,MATCH(U713,'Material routes'!$A$6:$A$2205,0)),"MISSING ID")</x:f>
        <x:v>Proposal</x:v>
      </x:c>
      <x:c r="M713" s="4" t="str">
        <x:f>IFERROR(INDEX('Material routes'!$M$6:$M$2205,MATCH(U713,'Material routes'!$A$6:$A$2205,0)),"MISSING ID")</x:f>
        <x:v>Partial proposal</x:v>
      </x:c>
      <x:c r="N713" s="4"/>
      <x:c r="O713" s="4" t="str">
        <x:f>IFERROR(INDEX('Material routes'!$J$6:$J$2205,MATCH(U713,'Material routes'!$A$6:$A$2205,0)),"MISSING ID")</x:f>
        <x:v>Unspecified</x:v>
      </x:c>
      <x:c r="P713" s="4"/>
      <x:c r="Q713" s="4" t="str">
        <x:f>IFERROR(INDEX('Material routes'!$J$6:$J$2205,MATCH(V713,'Material routes'!$A$6:$A$2205,0)),"MISSING ID")</x:f>
        <x:v>Unspecified</x:v>
      </x:c>
      <x:c r="R713" s="4" t="str">
        <x:f>IF(L713="Withheld","Withheld premise",IF(E713="Tool candidate","Reusable prerequisite",IF(K713="Raw entry preparation","Entry-resource preparation",IF(G713="Not applicable",IF(IFERROR(INDEX('Items'!$AI$6:$AI$1005,MATCH(T713,'Items'!$A$6:$A$1005,0)),"MISSING ID")="Finished item","Finished endpoint",IF(IFERROR(INDEX('Items'!$AI$6:$AI$1005,MATCH(T713,'Items'!$A$6:$A$1005,0)),"MISSING ID")="Currency","Currency / no refinement tier","Recovered output / tier not applicable")),IF(OR(IFERROR(INDEX('Crafting recipes'!$H$6:$H$1005,MATCH(J713,'Crafting recipes'!$A$6:$A$1005,0)),"MISSING ID")="Unassigned",G713="Unassigned"),"Tier unresolved",IF(IFERROR(VALUE(RIGHT(G713,1))-VALUE(RIGHT(IFERROR(INDEX('Crafting recipes'!$H$6:$H$1005,MATCH(J713,'Crafting recipes'!$A$6:$A$1005,0)),"MISSING ID"),1)),0)=1,IF(B713=IFERROR(INDEX('Crafting recipes'!$H$6:$H$1005,MATCH(J713,'Crafting recipes'!$A$6:$A$1005,0)),"MISSING ID"),"Advances one material tier","Lower-tier ingredient; route advances one tier"),"Needs tier review"))))))</x:f>
        <x:v>Finished endpoint</x:v>
      </x:c>
      <x:c r="S713" s="4" t="str">
        <x:f>IFERROR(INDEX('Material routes'!$D$6:$D$2205,MATCH(U713,'Material routes'!$A$6:$A$2205,0)),"MISSING ID")</x:f>
        <x:v>proposal.collection.culinary_phagia_liquid_fraction</x:v>
      </x:c>
      <x:c r="T713" s="4" t="str">
        <x:f>IFERROR(INDEX('Material routes'!$D$6:$D$2205,MATCH(V713,'Material routes'!$A$6:$A$2205,0)),"MISSING ID")</x:f>
        <x:v>proposal.collection.phagia_aroma_tasting_cup</x:v>
      </x:c>
      <x:c r="U713" s="4" t="str">
        <x:v>design.collection.phagia_aroma_tasting_cup.in.2</x:v>
      </x:c>
      <x:c r="V713" s="4" t="str">
        <x:v>design.collection.phagia_aroma_tasting_cup.out</x:v>
      </x:c>
    </x:row>
    <x:row r="714" ht="64" customHeight="1">
      <x:c r="A714" s="4" t="str">
        <x:f>IFERROR(INDEX('Material routes'!$E$6:$E$2205,MATCH(U714,'Material routes'!$A$6:$A$2205,0)),"MISSING ID")</x:f>
        <x:v>Fine culinary Phagia meal</x:v>
      </x:c>
      <x:c r="B714" s="4" t="str">
        <x:f>IFERROR(INDEX('Material routes'!$F$6:$F$2205,MATCH(U714,'Material routes'!$A$6:$A$2205,0)),"MISSING ID")</x:f>
        <x:v>T1</x:v>
      </x:c>
      <x:c r="C714" s="4" t="str">
        <x:f>IFERROR(INDEX('Material routes'!$H$6:$H$2205,MATCH(U714,'Material routes'!$A$6:$A$2205,0)),"MISSING ID")</x:f>
        <x:v>Food material</x:v>
      </x:c>
      <x:c r="D714" s="4" t="str">
        <x:f>IFERROR(INDEX('Material routes'!$G$6:$G$2205,MATCH(U714,'Material routes'!$A$6:$A$2205,0)),"MISSING ID")</x:f>
        <x:v>Cooking ingredients</x:v>
      </x:c>
      <x:c r="E714" s="4" t="str">
        <x:f>IFERROR(INDEX('Material routes'!$C$6:$C$2205,MATCH(U714,'Material routes'!$A$6:$A$2205,0)),"MISSING ID")</x:f>
        <x:v>Ingredient candidate</x:v>
      </x:c>
      <x:c r="F714" s="4" t="str">
        <x:f>IFERROR(INDEX('Material routes'!$E$6:$E$2205,MATCH(V714,'Material routes'!$A$6:$A$2205,0)),"MISSING ID")</x:f>
        <x:v>Coarse-meal Phagia drink</x:v>
      </x:c>
      <x:c r="G714" s="4" t="str">
        <x:f>IFERROR(INDEX('Material routes'!$F$6:$F$2205,MATCH(V714,'Material routes'!$A$6:$A$2205,0)),"MISSING ID")</x:f>
        <x:v>Not applicable</x:v>
      </x:c>
      <x:c r="H714" s="4" t="str">
        <x:f>IFERROR(INDEX('Material routes'!$H$6:$H$2205,MATCH(V714,'Material routes'!$A$6:$A$2205,0)),"MISSING ID")</x:f>
        <x:v>Drink consumable</x:v>
      </x:c>
      <x:c r="I714" s="4" t="str">
        <x:f>IFERROR(INDEX('Material routes'!$G$6:$G$2205,MATCH(V714,'Material routes'!$A$6:$A$2205,0)),"MISSING ID")</x:f>
        <x:v>Consumables</x:v>
      </x:c>
      <x:c r="J714" s="4" t="str">
        <x:f>IFERROR(INDEX('Material routes'!$B$6:$B$2205,MATCH(U714,'Material routes'!$A$6:$A$2205,0)),"MISSING ID")</x:f>
        <x:v>design.collection.coarse_meal_phagia_drink</x:v>
      </x:c>
      <x:c r="K714" s="4" t="str">
        <x:f>IFERROR(INDEX('Crafting recipes'!$C$6:$C$1005,MATCH(J714,'Crafting recipes'!$A$6:$A$1005,0)),"MISSING ID")</x:f>
        <x:v>Finished-item crafting</x:v>
      </x:c>
      <x:c r="L714" s="4" t="str">
        <x:f>IFERROR(INDEX('Material routes'!$K$6:$K$2205,MATCH(U714,'Material routes'!$A$6:$A$2205,0)),"MISSING ID")</x:f>
        <x:v>Proposal</x:v>
      </x:c>
      <x:c r="M714" s="4" t="str">
        <x:f>IFERROR(INDEX('Material routes'!$M$6:$M$2205,MATCH(U714,'Material routes'!$A$6:$A$2205,0)),"MISSING ID")</x:f>
        <x:v>Partial proposal</x:v>
      </x:c>
      <x:c r="N714" s="4"/>
      <x:c r="O714" s="4" t="str">
        <x:f>IFERROR(INDEX('Material routes'!$J$6:$J$2205,MATCH(U714,'Material routes'!$A$6:$A$2205,0)),"MISSING ID")</x:f>
        <x:v>Unspecified</x:v>
      </x:c>
      <x:c r="P714" s="4"/>
      <x:c r="Q714" s="4" t="str">
        <x:f>IFERROR(INDEX('Material routes'!$J$6:$J$2205,MATCH(V714,'Material routes'!$A$6:$A$2205,0)),"MISSING ID")</x:f>
        <x:v>Unspecified</x:v>
      </x:c>
      <x:c r="R714" s="4" t="str">
        <x:f>IF(L714="Withheld","Withheld premise",IF(E714="Tool candidate","Reusable prerequisite",IF(K714="Raw entry preparation","Entry-resource preparation",IF(G714="Not applicable",IF(IFERROR(INDEX('Items'!$AI$6:$AI$1005,MATCH(T714,'Items'!$A$6:$A$1005,0)),"MISSING ID")="Finished item","Finished endpoint",IF(IFERROR(INDEX('Items'!$AI$6:$AI$1005,MATCH(T714,'Items'!$A$6:$A$1005,0)),"MISSING ID")="Currency","Currency / no refinement tier","Recovered output / tier not applicable")),IF(OR(IFERROR(INDEX('Crafting recipes'!$H$6:$H$1005,MATCH(J714,'Crafting recipes'!$A$6:$A$1005,0)),"MISSING ID")="Unassigned",G714="Unassigned"),"Tier unresolved",IF(IFERROR(VALUE(RIGHT(G714,1))-VALUE(RIGHT(IFERROR(INDEX('Crafting recipes'!$H$6:$H$1005,MATCH(J714,'Crafting recipes'!$A$6:$A$1005,0)),"MISSING ID"),1)),0)=1,IF(B714=IFERROR(INDEX('Crafting recipes'!$H$6:$H$1005,MATCH(J714,'Crafting recipes'!$A$6:$A$1005,0)),"MISSING ID"),"Advances one material tier","Lower-tier ingredient; route advances one tier"),"Needs tier review"))))))</x:f>
        <x:v>Finished endpoint</x:v>
      </x:c>
      <x:c r="S714" s="4" t="str">
        <x:f>IFERROR(INDEX('Material routes'!$D$6:$D$2205,MATCH(U714,'Material routes'!$A$6:$A$2205,0)),"MISSING ID")</x:f>
        <x:v>proposal.collection.fine_culinary_phagia_meal</x:v>
      </x:c>
      <x:c r="T714" s="4" t="str">
        <x:f>IFERROR(INDEX('Material routes'!$D$6:$D$2205,MATCH(V714,'Material routes'!$A$6:$A$2205,0)),"MISSING ID")</x:f>
        <x:v>proposal.collection.coarse_meal_phagia_drink</x:v>
      </x:c>
      <x:c r="U714" s="4" t="str">
        <x:v>design.collection.coarse_meal_phagia_drink.in.1</x:v>
      </x:c>
      <x:c r="V714" s="4" t="str">
        <x:v>design.collection.coarse_meal_phagia_drink.out</x:v>
      </x:c>
    </x:row>
    <x:row r="715" ht="64" customHeight="1">
      <x:c r="A715" s="4" t="str">
        <x:f>IFERROR(INDEX('Material routes'!$E$6:$E$2205,MATCH(U715,'Material routes'!$A$6:$A$2205,0)),"MISSING ID")</x:f>
        <x:v>Culinary Phagia liquid fraction</x:v>
      </x:c>
      <x:c r="B715" s="4" t="str">
        <x:f>IFERROR(INDEX('Material routes'!$F$6:$F$2205,MATCH(U715,'Material routes'!$A$6:$A$2205,0)),"MISSING ID")</x:f>
        <x:v>T1</x:v>
      </x:c>
      <x:c r="C715" s="4" t="str">
        <x:f>IFERROR(INDEX('Material routes'!$H$6:$H$2205,MATCH(U715,'Material routes'!$A$6:$A$2205,0)),"MISSING ID")</x:f>
        <x:v>Food material</x:v>
      </x:c>
      <x:c r="D715" s="4" t="str">
        <x:f>IFERROR(INDEX('Material routes'!$G$6:$G$2205,MATCH(U715,'Material routes'!$A$6:$A$2205,0)),"MISSING ID")</x:f>
        <x:v>Cooking ingredients</x:v>
      </x:c>
      <x:c r="E715" s="4" t="str">
        <x:f>IFERROR(INDEX('Material routes'!$C$6:$C$2205,MATCH(U715,'Material routes'!$A$6:$A$2205,0)),"MISSING ID")</x:f>
        <x:v>Ingredient candidate</x:v>
      </x:c>
      <x:c r="F715" s="4" t="str">
        <x:f>IFERROR(INDEX('Material routes'!$E$6:$E$2205,MATCH(V715,'Material routes'!$A$6:$A$2205,0)),"MISSING ID")</x:f>
        <x:v>Coarse-meal Phagia drink</x:v>
      </x:c>
      <x:c r="G715" s="4" t="str">
        <x:f>IFERROR(INDEX('Material routes'!$F$6:$F$2205,MATCH(V715,'Material routes'!$A$6:$A$2205,0)),"MISSING ID")</x:f>
        <x:v>Not applicable</x:v>
      </x:c>
      <x:c r="H715" s="4" t="str">
        <x:f>IFERROR(INDEX('Material routes'!$H$6:$H$2205,MATCH(V715,'Material routes'!$A$6:$A$2205,0)),"MISSING ID")</x:f>
        <x:v>Drink consumable</x:v>
      </x:c>
      <x:c r="I715" s="4" t="str">
        <x:f>IFERROR(INDEX('Material routes'!$G$6:$G$2205,MATCH(V715,'Material routes'!$A$6:$A$2205,0)),"MISSING ID")</x:f>
        <x:v>Consumables</x:v>
      </x:c>
      <x:c r="J715" s="4" t="str">
        <x:f>IFERROR(INDEX('Material routes'!$B$6:$B$2205,MATCH(U715,'Material routes'!$A$6:$A$2205,0)),"MISSING ID")</x:f>
        <x:v>design.collection.coarse_meal_phagia_drink</x:v>
      </x:c>
      <x:c r="K715" s="4" t="str">
        <x:f>IFERROR(INDEX('Crafting recipes'!$C$6:$C$1005,MATCH(J715,'Crafting recipes'!$A$6:$A$1005,0)),"MISSING ID")</x:f>
        <x:v>Finished-item crafting</x:v>
      </x:c>
      <x:c r="L715" s="4" t="str">
        <x:f>IFERROR(INDEX('Material routes'!$K$6:$K$2205,MATCH(U715,'Material routes'!$A$6:$A$2205,0)),"MISSING ID")</x:f>
        <x:v>Proposal</x:v>
      </x:c>
      <x:c r="M715" s="4" t="str">
        <x:f>IFERROR(INDEX('Material routes'!$M$6:$M$2205,MATCH(U715,'Material routes'!$A$6:$A$2205,0)),"MISSING ID")</x:f>
        <x:v>Partial proposal</x:v>
      </x:c>
      <x:c r="N715" s="4"/>
      <x:c r="O715" s="4" t="str">
        <x:f>IFERROR(INDEX('Material routes'!$J$6:$J$2205,MATCH(U715,'Material routes'!$A$6:$A$2205,0)),"MISSING ID")</x:f>
        <x:v>Unspecified</x:v>
      </x:c>
      <x:c r="P715" s="4"/>
      <x:c r="Q715" s="4" t="str">
        <x:f>IFERROR(INDEX('Material routes'!$J$6:$J$2205,MATCH(V715,'Material routes'!$A$6:$A$2205,0)),"MISSING ID")</x:f>
        <x:v>Unspecified</x:v>
      </x:c>
      <x:c r="R715" s="4" t="str">
        <x:f>IF(L715="Withheld","Withheld premise",IF(E715="Tool candidate","Reusable prerequisite",IF(K715="Raw entry preparation","Entry-resource preparation",IF(G715="Not applicable",IF(IFERROR(INDEX('Items'!$AI$6:$AI$1005,MATCH(T715,'Items'!$A$6:$A$1005,0)),"MISSING ID")="Finished item","Finished endpoint",IF(IFERROR(INDEX('Items'!$AI$6:$AI$1005,MATCH(T715,'Items'!$A$6:$A$1005,0)),"MISSING ID")="Currency","Currency / no refinement tier","Recovered output / tier not applicable")),IF(OR(IFERROR(INDEX('Crafting recipes'!$H$6:$H$1005,MATCH(J715,'Crafting recipes'!$A$6:$A$1005,0)),"MISSING ID")="Unassigned",G715="Unassigned"),"Tier unresolved",IF(IFERROR(VALUE(RIGHT(G715,1))-VALUE(RIGHT(IFERROR(INDEX('Crafting recipes'!$H$6:$H$1005,MATCH(J715,'Crafting recipes'!$A$6:$A$1005,0)),"MISSING ID"),1)),0)=1,IF(B715=IFERROR(INDEX('Crafting recipes'!$H$6:$H$1005,MATCH(J715,'Crafting recipes'!$A$6:$A$1005,0)),"MISSING ID"),"Advances one material tier","Lower-tier ingredient; route advances one tier"),"Needs tier review"))))))</x:f>
        <x:v>Finished endpoint</x:v>
      </x:c>
      <x:c r="S715" s="4" t="str">
        <x:f>IFERROR(INDEX('Material routes'!$D$6:$D$2205,MATCH(U715,'Material routes'!$A$6:$A$2205,0)),"MISSING ID")</x:f>
        <x:v>proposal.collection.culinary_phagia_liquid_fraction</x:v>
      </x:c>
      <x:c r="T715" s="4" t="str">
        <x:f>IFERROR(INDEX('Material routes'!$D$6:$D$2205,MATCH(V715,'Material routes'!$A$6:$A$2205,0)),"MISSING ID")</x:f>
        <x:v>proposal.collection.coarse_meal_phagia_drink</x:v>
      </x:c>
      <x:c r="U715" s="4" t="str">
        <x:v>design.collection.coarse_meal_phagia_drink.in.2</x:v>
      </x:c>
      <x:c r="V715" s="4" t="str">
        <x:v>design.collection.coarse_meal_phagia_drink.out</x:v>
      </x:c>
    </x:row>
    <x:row r="716" ht="64" customHeight="1">
      <x:c r="A716" s="4" t="str">
        <x:f>IFERROR(INDEX('Material routes'!$E$6:$E$2205,MATCH(U716,'Material routes'!$A$6:$A$2205,0)),"MISSING ID")</x:f>
        <x:v>Drained culinary Phagia curd</x:v>
      </x:c>
      <x:c r="B716" s="4" t="str">
        <x:f>IFERROR(INDEX('Material routes'!$F$6:$F$2205,MATCH(U716,'Material routes'!$A$6:$A$2205,0)),"MISSING ID")</x:f>
        <x:v>T1</x:v>
      </x:c>
      <x:c r="C716" s="4" t="str">
        <x:f>IFERROR(INDEX('Material routes'!$H$6:$H$2205,MATCH(U716,'Material routes'!$A$6:$A$2205,0)),"MISSING ID")</x:f>
        <x:v>Food material</x:v>
      </x:c>
      <x:c r="D716" s="4" t="str">
        <x:f>IFERROR(INDEX('Material routes'!$G$6:$G$2205,MATCH(U716,'Material routes'!$A$6:$A$2205,0)),"MISSING ID")</x:f>
        <x:v>Cooking ingredients</x:v>
      </x:c>
      <x:c r="E716" s="4" t="str">
        <x:f>IFERROR(INDEX('Material routes'!$C$6:$C$2205,MATCH(U716,'Material routes'!$A$6:$A$2205,0)),"MISSING ID")</x:f>
        <x:v>Ingredient candidate</x:v>
      </x:c>
      <x:c r="F716" s="4" t="str">
        <x:f>IFERROR(INDEX('Material routes'!$E$6:$E$2205,MATCH(V716,'Material routes'!$A$6:$A$2205,0)),"MISSING ID")</x:f>
        <x:v>Two-layer Phagia cup</x:v>
      </x:c>
      <x:c r="G716" s="4" t="str">
        <x:f>IFERROR(INDEX('Material routes'!$F$6:$F$2205,MATCH(V716,'Material routes'!$A$6:$A$2205,0)),"MISSING ID")</x:f>
        <x:v>Not applicable</x:v>
      </x:c>
      <x:c r="H716" s="4" t="str">
        <x:f>IFERROR(INDEX('Material routes'!$H$6:$H$2205,MATCH(V716,'Material routes'!$A$6:$A$2205,0)),"MISSING ID")</x:f>
        <x:v>Drink consumable</x:v>
      </x:c>
      <x:c r="I716" s="4" t="str">
        <x:f>IFERROR(INDEX('Material routes'!$G$6:$G$2205,MATCH(V716,'Material routes'!$A$6:$A$2205,0)),"MISSING ID")</x:f>
        <x:v>Consumables</x:v>
      </x:c>
      <x:c r="J716" s="4" t="str">
        <x:f>IFERROR(INDEX('Material routes'!$B$6:$B$2205,MATCH(U716,'Material routes'!$A$6:$A$2205,0)),"MISSING ID")</x:f>
        <x:v>design.collection.two_layer_phagia_cup</x:v>
      </x:c>
      <x:c r="K716" s="4" t="str">
        <x:f>IFERROR(INDEX('Crafting recipes'!$C$6:$C$1005,MATCH(J716,'Crafting recipes'!$A$6:$A$1005,0)),"MISSING ID")</x:f>
        <x:v>Finished-item crafting</x:v>
      </x:c>
      <x:c r="L716" s="4" t="str">
        <x:f>IFERROR(INDEX('Material routes'!$K$6:$K$2205,MATCH(U716,'Material routes'!$A$6:$A$2205,0)),"MISSING ID")</x:f>
        <x:v>Proposal</x:v>
      </x:c>
      <x:c r="M716" s="4" t="str">
        <x:f>IFERROR(INDEX('Material routes'!$M$6:$M$2205,MATCH(U716,'Material routes'!$A$6:$A$2205,0)),"MISSING ID")</x:f>
        <x:v>Partial proposal</x:v>
      </x:c>
      <x:c r="N716" s="4"/>
      <x:c r="O716" s="4" t="str">
        <x:f>IFERROR(INDEX('Material routes'!$J$6:$J$2205,MATCH(U716,'Material routes'!$A$6:$A$2205,0)),"MISSING ID")</x:f>
        <x:v>Unspecified</x:v>
      </x:c>
      <x:c r="P716" s="4"/>
      <x:c r="Q716" s="4" t="str">
        <x:f>IFERROR(INDEX('Material routes'!$J$6:$J$2205,MATCH(V716,'Material routes'!$A$6:$A$2205,0)),"MISSING ID")</x:f>
        <x:v>Unspecified</x:v>
      </x:c>
      <x:c r="R716" s="4" t="str">
        <x:f>IF(L716="Withheld","Withheld premise",IF(E716="Tool candidate","Reusable prerequisite",IF(K716="Raw entry preparation","Entry-resource preparation",IF(G716="Not applicable",IF(IFERROR(INDEX('Items'!$AI$6:$AI$1005,MATCH(T716,'Items'!$A$6:$A$1005,0)),"MISSING ID")="Finished item","Finished endpoint",IF(IFERROR(INDEX('Items'!$AI$6:$AI$1005,MATCH(T716,'Items'!$A$6:$A$1005,0)),"MISSING ID")="Currency","Currency / no refinement tier","Recovered output / tier not applicable")),IF(OR(IFERROR(INDEX('Crafting recipes'!$H$6:$H$1005,MATCH(J716,'Crafting recipes'!$A$6:$A$1005,0)),"MISSING ID")="Unassigned",G716="Unassigned"),"Tier unresolved",IF(IFERROR(VALUE(RIGHT(G716,1))-VALUE(RIGHT(IFERROR(INDEX('Crafting recipes'!$H$6:$H$1005,MATCH(J716,'Crafting recipes'!$A$6:$A$1005,0)),"MISSING ID"),1)),0)=1,IF(B716=IFERROR(INDEX('Crafting recipes'!$H$6:$H$1005,MATCH(J716,'Crafting recipes'!$A$6:$A$1005,0)),"MISSING ID"),"Advances one material tier","Lower-tier ingredient; route advances one tier"),"Needs tier review"))))))</x:f>
        <x:v>Finished endpoint</x:v>
      </x:c>
      <x:c r="S716" s="4" t="str">
        <x:f>IFERROR(INDEX('Material routes'!$D$6:$D$2205,MATCH(U716,'Material routes'!$A$6:$A$2205,0)),"MISSING ID")</x:f>
        <x:v>proposal.collection.drained_culinary_phagia_curd</x:v>
      </x:c>
      <x:c r="T716" s="4" t="str">
        <x:f>IFERROR(INDEX('Material routes'!$D$6:$D$2205,MATCH(V716,'Material routes'!$A$6:$A$2205,0)),"MISSING ID")</x:f>
        <x:v>proposal.collection.two_layer_phagia_cup</x:v>
      </x:c>
      <x:c r="U716" s="4" t="str">
        <x:v>design.collection.two_layer_phagia_cup.in.1</x:v>
      </x:c>
      <x:c r="V716" s="4" t="str">
        <x:v>design.collection.two_layer_phagia_cup.out</x:v>
      </x:c>
    </x:row>
    <x:row r="717" ht="64" customHeight="1">
      <x:c r="A717" s="4" t="str">
        <x:f>IFERROR(INDEX('Material routes'!$E$6:$E$2205,MATCH(U717,'Material routes'!$A$6:$A$2205,0)),"MISSING ID")</x:f>
        <x:v>Culinary Phagia liquid fraction</x:v>
      </x:c>
      <x:c r="B717" s="4" t="str">
        <x:f>IFERROR(INDEX('Material routes'!$F$6:$F$2205,MATCH(U717,'Material routes'!$A$6:$A$2205,0)),"MISSING ID")</x:f>
        <x:v>T1</x:v>
      </x:c>
      <x:c r="C717" s="4" t="str">
        <x:f>IFERROR(INDEX('Material routes'!$H$6:$H$2205,MATCH(U717,'Material routes'!$A$6:$A$2205,0)),"MISSING ID")</x:f>
        <x:v>Food material</x:v>
      </x:c>
      <x:c r="D717" s="4" t="str">
        <x:f>IFERROR(INDEX('Material routes'!$G$6:$G$2205,MATCH(U717,'Material routes'!$A$6:$A$2205,0)),"MISSING ID")</x:f>
        <x:v>Cooking ingredients</x:v>
      </x:c>
      <x:c r="E717" s="4" t="str">
        <x:f>IFERROR(INDEX('Material routes'!$C$6:$C$2205,MATCH(U717,'Material routes'!$A$6:$A$2205,0)),"MISSING ID")</x:f>
        <x:v>Ingredient candidate</x:v>
      </x:c>
      <x:c r="F717" s="4" t="str">
        <x:f>IFERROR(INDEX('Material routes'!$E$6:$E$2205,MATCH(V717,'Material routes'!$A$6:$A$2205,0)),"MISSING ID")</x:f>
        <x:v>Two-layer Phagia cup</x:v>
      </x:c>
      <x:c r="G717" s="4" t="str">
        <x:f>IFERROR(INDEX('Material routes'!$F$6:$F$2205,MATCH(V717,'Material routes'!$A$6:$A$2205,0)),"MISSING ID")</x:f>
        <x:v>Not applicable</x:v>
      </x:c>
      <x:c r="H717" s="4" t="str">
        <x:f>IFERROR(INDEX('Material routes'!$H$6:$H$2205,MATCH(V717,'Material routes'!$A$6:$A$2205,0)),"MISSING ID")</x:f>
        <x:v>Drink consumable</x:v>
      </x:c>
      <x:c r="I717" s="4" t="str">
        <x:f>IFERROR(INDEX('Material routes'!$G$6:$G$2205,MATCH(V717,'Material routes'!$A$6:$A$2205,0)),"MISSING ID")</x:f>
        <x:v>Consumables</x:v>
      </x:c>
      <x:c r="J717" s="4" t="str">
        <x:f>IFERROR(INDEX('Material routes'!$B$6:$B$2205,MATCH(U717,'Material routes'!$A$6:$A$2205,0)),"MISSING ID")</x:f>
        <x:v>design.collection.two_layer_phagia_cup</x:v>
      </x:c>
      <x:c r="K717" s="4" t="str">
        <x:f>IFERROR(INDEX('Crafting recipes'!$C$6:$C$1005,MATCH(J717,'Crafting recipes'!$A$6:$A$1005,0)),"MISSING ID")</x:f>
        <x:v>Finished-item crafting</x:v>
      </x:c>
      <x:c r="L717" s="4" t="str">
        <x:f>IFERROR(INDEX('Material routes'!$K$6:$K$2205,MATCH(U717,'Material routes'!$A$6:$A$2205,0)),"MISSING ID")</x:f>
        <x:v>Proposal</x:v>
      </x:c>
      <x:c r="M717" s="4" t="str">
        <x:f>IFERROR(INDEX('Material routes'!$M$6:$M$2205,MATCH(U717,'Material routes'!$A$6:$A$2205,0)),"MISSING ID")</x:f>
        <x:v>Partial proposal</x:v>
      </x:c>
      <x:c r="N717" s="4"/>
      <x:c r="O717" s="4" t="str">
        <x:f>IFERROR(INDEX('Material routes'!$J$6:$J$2205,MATCH(U717,'Material routes'!$A$6:$A$2205,0)),"MISSING ID")</x:f>
        <x:v>Unspecified</x:v>
      </x:c>
      <x:c r="P717" s="4"/>
      <x:c r="Q717" s="4" t="str">
        <x:f>IFERROR(INDEX('Material routes'!$J$6:$J$2205,MATCH(V717,'Material routes'!$A$6:$A$2205,0)),"MISSING ID")</x:f>
        <x:v>Unspecified</x:v>
      </x:c>
      <x:c r="R717" s="4" t="str">
        <x:f>IF(L717="Withheld","Withheld premise",IF(E717="Tool candidate","Reusable prerequisite",IF(K717="Raw entry preparation","Entry-resource preparation",IF(G717="Not applicable",IF(IFERROR(INDEX('Items'!$AI$6:$AI$1005,MATCH(T717,'Items'!$A$6:$A$1005,0)),"MISSING ID")="Finished item","Finished endpoint",IF(IFERROR(INDEX('Items'!$AI$6:$AI$1005,MATCH(T717,'Items'!$A$6:$A$1005,0)),"MISSING ID")="Currency","Currency / no refinement tier","Recovered output / tier not applicable")),IF(OR(IFERROR(INDEX('Crafting recipes'!$H$6:$H$1005,MATCH(J717,'Crafting recipes'!$A$6:$A$1005,0)),"MISSING ID")="Unassigned",G717="Unassigned"),"Tier unresolved",IF(IFERROR(VALUE(RIGHT(G717,1))-VALUE(RIGHT(IFERROR(INDEX('Crafting recipes'!$H$6:$H$1005,MATCH(J717,'Crafting recipes'!$A$6:$A$1005,0)),"MISSING ID"),1)),0)=1,IF(B717=IFERROR(INDEX('Crafting recipes'!$H$6:$H$1005,MATCH(J717,'Crafting recipes'!$A$6:$A$1005,0)),"MISSING ID"),"Advances one material tier","Lower-tier ingredient; route advances one tier"),"Needs tier review"))))))</x:f>
        <x:v>Finished endpoint</x:v>
      </x:c>
      <x:c r="S717" s="4" t="str">
        <x:f>IFERROR(INDEX('Material routes'!$D$6:$D$2205,MATCH(U717,'Material routes'!$A$6:$A$2205,0)),"MISSING ID")</x:f>
        <x:v>proposal.collection.culinary_phagia_liquid_fraction</x:v>
      </x:c>
      <x:c r="T717" s="4" t="str">
        <x:f>IFERROR(INDEX('Material routes'!$D$6:$D$2205,MATCH(V717,'Material routes'!$A$6:$A$2205,0)),"MISSING ID")</x:f>
        <x:v>proposal.collection.two_layer_phagia_cup</x:v>
      </x:c>
      <x:c r="U717" s="4" t="str">
        <x:v>design.collection.two_layer_phagia_cup.in.2</x:v>
      </x:c>
      <x:c r="V717" s="4" t="str">
        <x:v>design.collection.two_layer_phagia_cup.out</x:v>
      </x:c>
    </x:row>
    <x:row r="718" ht="64" customHeight="1">
      <x:c r="A718" s="4"/>
      <x:c r="B718" s="4"/>
      <x:c r="C718" s="4"/>
      <x:c r="D718" s="4"/>
      <x:c r="E718" s="4"/>
      <x:c r="F718" s="4"/>
      <x:c r="G718" s="4"/>
      <x:c r="H718" s="4"/>
      <x:c r="I718" s="4"/>
      <x:c r="J718" s="4"/>
      <x:c r="K718" s="4"/>
      <x:c r="L718" s="4"/>
      <x:c r="M718" s="4"/>
      <x:c r="N718" s="4"/>
      <x:c r="P718" s="4"/>
      <x:c r="R718" s="4"/>
      <x:c r="S718" s="4"/>
      <x:c r="T718" s="4"/>
      <x:c r="U718" s="4"/>
      <x:c r="V718" s="4"/>
    </x:row>
    <x:row r="719" ht="64" customHeight="1">
      <x:c r="A719" s="4"/>
      <x:c r="B719" s="4"/>
      <x:c r="C719" s="4"/>
      <x:c r="D719" s="4"/>
      <x:c r="E719" s="4"/>
      <x:c r="F719" s="4"/>
      <x:c r="G719" s="4"/>
      <x:c r="H719" s="4"/>
      <x:c r="I719" s="4"/>
      <x:c r="J719" s="4"/>
      <x:c r="K719" s="4"/>
      <x:c r="L719" s="4"/>
      <x:c r="M719" s="4"/>
      <x:c r="N719" s="4"/>
      <x:c r="P719" s="4"/>
      <x:c r="R719" s="4"/>
      <x:c r="S719" s="4"/>
      <x:c r="T719" s="4"/>
      <x:c r="U719" s="4"/>
      <x:c r="V719" s="4"/>
    </x:row>
    <x:row r="720" ht="64" customHeight="1">
      <x:c r="A720" s="4"/>
      <x:c r="B720" s="4"/>
      <x:c r="C720" s="4"/>
      <x:c r="D720" s="4"/>
      <x:c r="E720" s="4"/>
      <x:c r="F720" s="4"/>
      <x:c r="G720" s="4"/>
      <x:c r="H720" s="4"/>
      <x:c r="I720" s="4"/>
      <x:c r="J720" s="4"/>
      <x:c r="K720" s="4"/>
      <x:c r="L720" s="4"/>
      <x:c r="M720" s="4"/>
      <x:c r="N720" s="4"/>
      <x:c r="O720" s="4"/>
      <x:c r="P720" s="4"/>
      <x:c r="Q720" s="4"/>
      <x:c r="R720" s="4"/>
      <x:c r="S720" s="4"/>
      <x:c r="T720" s="4"/>
      <x:c r="U720" s="4"/>
      <x:c r="V720" s="4"/>
    </x:row>
    <x:row r="721" ht="64" customHeight="1">
      <x:c r="A721" s="4"/>
      <x:c r="B721" s="4"/>
      <x:c r="C721" s="4"/>
      <x:c r="D721" s="4"/>
      <x:c r="E721" s="4"/>
      <x:c r="F721" s="4"/>
      <x:c r="G721" s="4"/>
      <x:c r="H721" s="4"/>
      <x:c r="I721" s="4"/>
      <x:c r="J721" s="4"/>
      <x:c r="K721" s="4"/>
      <x:c r="L721" s="4"/>
      <x:c r="M721" s="4"/>
      <x:c r="N721" s="4"/>
      <x:c r="O721" s="4"/>
      <x:c r="P721" s="4"/>
      <x:c r="Q721" s="4"/>
      <x:c r="R721" s="4"/>
      <x:c r="S721" s="4"/>
      <x:c r="T721" s="4"/>
      <x:c r="U721" s="4"/>
      <x:c r="V721" s="4"/>
    </x:row>
    <x:row r="722" ht="64" customHeight="1">
      <x:c r="A722" s="4"/>
      <x:c r="B722" s="4"/>
      <x:c r="C722" s="4"/>
      <x:c r="D722" s="4"/>
      <x:c r="E722" s="4"/>
      <x:c r="F722" s="4"/>
      <x:c r="G722" s="4"/>
      <x:c r="H722" s="4"/>
      <x:c r="I722" s="4"/>
      <x:c r="J722" s="4"/>
      <x:c r="K722" s="4"/>
      <x:c r="L722" s="4"/>
      <x:c r="M722" s="4"/>
      <x:c r="N722" s="4"/>
      <x:c r="O722" s="4"/>
      <x:c r="P722" s="4"/>
      <x:c r="Q722" s="4"/>
      <x:c r="R722" s="4"/>
      <x:c r="S722" s="4"/>
      <x:c r="T722" s="4"/>
      <x:c r="U722" s="4"/>
      <x:c r="V722" s="4"/>
    </x:row>
    <x:row r="723" ht="64" customHeight="1">
      <x:c r="A723" s="4"/>
      <x:c r="B723" s="4"/>
      <x:c r="C723" s="4"/>
      <x:c r="D723" s="4"/>
      <x:c r="E723" s="4"/>
      <x:c r="F723" s="4"/>
      <x:c r="G723" s="4"/>
      <x:c r="H723" s="4"/>
      <x:c r="I723" s="4"/>
      <x:c r="J723" s="4"/>
      <x:c r="K723" s="4"/>
      <x:c r="L723" s="4"/>
      <x:c r="M723" s="4"/>
      <x:c r="N723" s="4"/>
      <x:c r="O723" s="4"/>
      <x:c r="P723" s="4"/>
      <x:c r="Q723" s="4"/>
      <x:c r="R723" s="4"/>
      <x:c r="S723" s="4"/>
      <x:c r="T723" s="4"/>
      <x:c r="U723" s="4"/>
      <x:c r="V723" s="4"/>
    </x:row>
    <x:row r="724" ht="64" customHeight="1">
      <x:c r="A724" s="4" t="str">
        <x:f>IFERROR(INDEX('Material routes'!$E$6:$E$2205,MATCH(U724,'Material routes'!$A$6:$A$2205,0)),"MISSING ID")</x:f>
        <x:v>Flywheel rim segment</x:v>
      </x:c>
      <x:c r="B724" s="4" t="str">
        <x:f>IFERROR(INDEX('Material routes'!$F$6:$F$2205,MATCH(U724,'Material routes'!$A$6:$A$2205,0)),"MISSING ID")</x:f>
        <x:v>T3</x:v>
      </x:c>
      <x:c r="C724" s="4" t="str">
        <x:f>IFERROR(INDEX('Material routes'!$H$6:$H$2205,MATCH(U724,'Material routes'!$A$6:$A$2205,0)),"MISSING ID")</x:f>
        <x:v>Machine part</x:v>
      </x:c>
      <x:c r="D724" s="4" t="str">
        <x:f>IFERROR(INDEX('Material routes'!$G$6:$G$2205,MATCH(U724,'Material routes'!$A$6:$A$2205,0)),"MISSING ID")</x:f>
        <x:v>Crafting components</x:v>
      </x:c>
      <x:c r="E724" s="4" t="str">
        <x:f>IFERROR(INDEX('Material routes'!$C$6:$C$2205,MATCH(U724,'Material routes'!$A$6:$A$2205,0)),"MISSING ID")</x:f>
        <x:v>Ingredient candidate</x:v>
      </x:c>
      <x:c r="F724" s="4" t="str">
        <x:f>IFERROR(INDEX('Material routes'!$E$6:$E$2205,MATCH(V724,'Material routes'!$A$6:$A$2205,0)),"MISSING ID")</x:f>
        <x:v>Guarded flywheel cartridge</x:v>
      </x:c>
      <x:c r="G724" s="4" t="str">
        <x:f>IFERROR(INDEX('Material routes'!$F$6:$F$2205,MATCH(V724,'Material routes'!$A$6:$A$2205,0)),"MISSING ID")</x:f>
        <x:v>Not applicable</x:v>
      </x:c>
      <x:c r="H724" s="4" t="str">
        <x:f>IFERROR(INDEX('Material routes'!$H$6:$H$2205,MATCH(V724,'Material routes'!$A$6:$A$2205,0)),"MISSING ID")</x:f>
        <x:v>Energy storage</x:v>
      </x:c>
      <x:c r="I724" s="4" t="str">
        <x:f>IFERROR(INDEX('Material routes'!$G$6:$G$2205,MATCH(V724,'Material routes'!$A$6:$A$2205,0)),"MISSING ID")</x:f>
        <x:v>Crafting components</x:v>
      </x:c>
      <x:c r="J724" s="4" t="str">
        <x:f>IFERROR(INDEX('Material routes'!$B$6:$B$2205,MATCH(U724,'Material routes'!$A$6:$A$2205,0)),"MISSING ID")</x:f>
        <x:v>design.collection.guarded_flywheel_cartridge</x:v>
      </x:c>
      <x:c r="K724" s="4" t="str">
        <x:f>IFERROR(INDEX('Crafting recipes'!$C$6:$C$1005,MATCH(J724,'Crafting recipes'!$A$6:$A$1005,0)),"MISSING ID")</x:f>
        <x:v>Finished-item crafting</x:v>
      </x:c>
      <x:c r="L724" s="4" t="str">
        <x:f>IFERROR(INDEX('Material routes'!$K$6:$K$2205,MATCH(U724,'Material routes'!$A$6:$A$2205,0)),"MISSING ID")</x:f>
        <x:v>Proposal</x:v>
      </x:c>
      <x:c r="M724" s="4" t="str">
        <x:f>IFERROR(INDEX('Material routes'!$M$6:$M$2205,MATCH(U724,'Material routes'!$A$6:$A$2205,0)),"MISSING ID")</x:f>
        <x:v>Partial proposal</x:v>
      </x:c>
      <x:c r="N724" s="4"/>
      <x:c r="O724" s="4" t="str">
        <x:f>IFERROR(INDEX('Material routes'!$J$6:$J$2205,MATCH(U724,'Material routes'!$A$6:$A$2205,0)),"MISSING ID")</x:f>
        <x:v>Unspecified</x:v>
      </x:c>
      <x:c r="P724" s="4"/>
      <x:c r="Q724" s="4" t="str">
        <x:f>IFERROR(INDEX('Material routes'!$J$6:$J$2205,MATCH(V724,'Material routes'!$A$6:$A$2205,0)),"MISSING ID")</x:f>
        <x:v>Unspecified</x:v>
      </x:c>
      <x:c r="R724" s="4" t="str">
        <x:f>IF(L724="Withheld","Withheld premise",IF(E724="Tool candidate","Reusable prerequisite",IF(K724="Raw entry preparation","Entry-resource preparation",IF(G724="Not applicable",IF(IFERROR(INDEX('Items'!$AI$6:$AI$1005,MATCH(T724,'Items'!$A$6:$A$1005,0)),"MISSING ID")="Finished item","Finished endpoint",IF(IFERROR(INDEX('Items'!$AI$6:$AI$1005,MATCH(T724,'Items'!$A$6:$A$1005,0)),"MISSING ID")="Currency","Currency / no refinement tier","Recovered output / tier not applicable")),IF(OR(IFERROR(INDEX('Crafting recipes'!$H$6:$H$1005,MATCH(J724,'Crafting recipes'!$A$6:$A$1005,0)),"MISSING ID")="Unassigned",G724="Unassigned"),"Tier unresolved",IF(IFERROR(VALUE(RIGHT(G724,1))-VALUE(RIGHT(IFERROR(INDEX('Crafting recipes'!$H$6:$H$1005,MATCH(J724,'Crafting recipes'!$A$6:$A$1005,0)),"MISSING ID"),1)),0)=1,IF(B724=IFERROR(INDEX('Crafting recipes'!$H$6:$H$1005,MATCH(J724,'Crafting recipes'!$A$6:$A$1005,0)),"MISSING ID"),"Advances one material tier","Lower-tier ingredient; route advances one tier"),"Needs tier review"))))))</x:f>
        <x:v>Finished endpoint</x:v>
      </x:c>
      <x:c r="S724" s="4" t="str">
        <x:f>IFERROR(INDEX('Material routes'!$D$6:$D$2205,MATCH(U724,'Material routes'!$A$6:$A$2205,0)),"MISSING ID")</x:f>
        <x:v>proposal.collection.flywheel_rim_segment</x:v>
      </x:c>
      <x:c r="T724" s="4" t="str">
        <x:f>IFERROR(INDEX('Material routes'!$D$6:$D$2205,MATCH(V724,'Material routes'!$A$6:$A$2205,0)),"MISSING ID")</x:f>
        <x:v>proposal.collection.guarded_flywheel_cartridge</x:v>
      </x:c>
      <x:c r="U724" s="4" t="str">
        <x:v>design.collection.guarded_flywheel_cartridge.in.1</x:v>
      </x:c>
      <x:c r="V724" s="4" t="str">
        <x:v>design.collection.guarded_flywheel_cartridge.out</x:v>
      </x:c>
    </x:row>
    <x:row r="725" ht="64" customHeight="1">
      <x:c r="A725" s="4" t="str">
        <x:f>IFERROR(INDEX('Material routes'!$E$6:$E$2205,MATCH(U725,'Material routes'!$A$6:$A$2205,0)),"MISSING ID")</x:f>
        <x:v>Keyed drive shaft</x:v>
      </x:c>
      <x:c r="B725" s="4" t="str">
        <x:f>IFERROR(INDEX('Material routes'!$F$6:$F$2205,MATCH(U725,'Material routes'!$A$6:$A$2205,0)),"MISSING ID")</x:f>
        <x:v>T3</x:v>
      </x:c>
      <x:c r="C725" s="4" t="str">
        <x:f>IFERROR(INDEX('Material routes'!$H$6:$H$2205,MATCH(U725,'Material routes'!$A$6:$A$2205,0)),"MISSING ID")</x:f>
        <x:v>Machine part</x:v>
      </x:c>
      <x:c r="D725" s="4" t="str">
        <x:f>IFERROR(INDEX('Material routes'!$G$6:$G$2205,MATCH(U725,'Material routes'!$A$6:$A$2205,0)),"MISSING ID")</x:f>
        <x:v>Crafting components</x:v>
      </x:c>
      <x:c r="E725" s="4" t="str">
        <x:f>IFERROR(INDEX('Material routes'!$C$6:$C$2205,MATCH(U725,'Material routes'!$A$6:$A$2205,0)),"MISSING ID")</x:f>
        <x:v>Ingredient candidate</x:v>
      </x:c>
      <x:c r="F725" s="4" t="str">
        <x:f>IFERROR(INDEX('Material routes'!$E$6:$E$2205,MATCH(V725,'Material routes'!$A$6:$A$2205,0)),"MISSING ID")</x:f>
        <x:v>Guarded flywheel cartridge</x:v>
      </x:c>
      <x:c r="G725" s="4" t="str">
        <x:f>IFERROR(INDEX('Material routes'!$F$6:$F$2205,MATCH(V725,'Material routes'!$A$6:$A$2205,0)),"MISSING ID")</x:f>
        <x:v>Not applicable</x:v>
      </x:c>
      <x:c r="H725" s="4" t="str">
        <x:f>IFERROR(INDEX('Material routes'!$H$6:$H$2205,MATCH(V725,'Material routes'!$A$6:$A$2205,0)),"MISSING ID")</x:f>
        <x:v>Energy storage</x:v>
      </x:c>
      <x:c r="I725" s="4" t="str">
        <x:f>IFERROR(INDEX('Material routes'!$G$6:$G$2205,MATCH(V725,'Material routes'!$A$6:$A$2205,0)),"MISSING ID")</x:f>
        <x:v>Crafting components</x:v>
      </x:c>
      <x:c r="J725" s="4" t="str">
        <x:f>IFERROR(INDEX('Material routes'!$B$6:$B$2205,MATCH(U725,'Material routes'!$A$6:$A$2205,0)),"MISSING ID")</x:f>
        <x:v>design.collection.guarded_flywheel_cartridge</x:v>
      </x:c>
      <x:c r="K725" s="4" t="str">
        <x:f>IFERROR(INDEX('Crafting recipes'!$C$6:$C$1005,MATCH(J725,'Crafting recipes'!$A$6:$A$1005,0)),"MISSING ID")</x:f>
        <x:v>Finished-item crafting</x:v>
      </x:c>
      <x:c r="L725" s="4" t="str">
        <x:f>IFERROR(INDEX('Material routes'!$K$6:$K$2205,MATCH(U725,'Material routes'!$A$6:$A$2205,0)),"MISSING ID")</x:f>
        <x:v>Proposal</x:v>
      </x:c>
      <x:c r="M725" s="4" t="str">
        <x:f>IFERROR(INDEX('Material routes'!$M$6:$M$2205,MATCH(U725,'Material routes'!$A$6:$A$2205,0)),"MISSING ID")</x:f>
        <x:v>Partial proposal</x:v>
      </x:c>
      <x:c r="N725" s="4"/>
      <x:c r="O725" s="4" t="str">
        <x:f>IFERROR(INDEX('Material routes'!$J$6:$J$2205,MATCH(U725,'Material routes'!$A$6:$A$2205,0)),"MISSING ID")</x:f>
        <x:v>Unspecified</x:v>
      </x:c>
      <x:c r="P725" s="4"/>
      <x:c r="Q725" s="4" t="str">
        <x:f>IFERROR(INDEX('Material routes'!$J$6:$J$2205,MATCH(V725,'Material routes'!$A$6:$A$2205,0)),"MISSING ID")</x:f>
        <x:v>Unspecified</x:v>
      </x:c>
      <x:c r="R725" s="4" t="str">
        <x:f>IF(L725="Withheld","Withheld premise",IF(E725="Tool candidate","Reusable prerequisite",IF(K725="Raw entry preparation","Entry-resource preparation",IF(G725="Not applicable",IF(IFERROR(INDEX('Items'!$AI$6:$AI$1005,MATCH(T725,'Items'!$A$6:$A$1005,0)),"MISSING ID")="Finished item","Finished endpoint",IF(IFERROR(INDEX('Items'!$AI$6:$AI$1005,MATCH(T725,'Items'!$A$6:$A$1005,0)),"MISSING ID")="Currency","Currency / no refinement tier","Recovered output / tier not applicable")),IF(OR(IFERROR(INDEX('Crafting recipes'!$H$6:$H$1005,MATCH(J725,'Crafting recipes'!$A$6:$A$1005,0)),"MISSING ID")="Unassigned",G725="Unassigned"),"Tier unresolved",IF(IFERROR(VALUE(RIGHT(G725,1))-VALUE(RIGHT(IFERROR(INDEX('Crafting recipes'!$H$6:$H$1005,MATCH(J725,'Crafting recipes'!$A$6:$A$1005,0)),"MISSING ID"),1)),0)=1,IF(B725=IFERROR(INDEX('Crafting recipes'!$H$6:$H$1005,MATCH(J725,'Crafting recipes'!$A$6:$A$1005,0)),"MISSING ID"),"Advances one material tier","Lower-tier ingredient; route advances one tier"),"Needs tier review"))))))</x:f>
        <x:v>Finished endpoint</x:v>
      </x:c>
      <x:c r="S725" s="4" t="str">
        <x:f>IFERROR(INDEX('Material routes'!$D$6:$D$2205,MATCH(U725,'Material routes'!$A$6:$A$2205,0)),"MISSING ID")</x:f>
        <x:v>proposal.collection.keyed_drive_shaft</x:v>
      </x:c>
      <x:c r="T725" s="4" t="str">
        <x:f>IFERROR(INDEX('Material routes'!$D$6:$D$2205,MATCH(V725,'Material routes'!$A$6:$A$2205,0)),"MISSING ID")</x:f>
        <x:v>proposal.collection.guarded_flywheel_cartridge</x:v>
      </x:c>
      <x:c r="U725" s="4" t="str">
        <x:v>design.collection.guarded_flywheel_cartridge.in.2</x:v>
      </x:c>
      <x:c r="V725" s="4" t="str">
        <x:v>design.collection.guarded_flywheel_cartridge.out</x:v>
      </x:c>
    </x:row>
    <x:row r="726" ht="64" customHeight="1">
      <x:c r="A726" s="4" t="str">
        <x:f>IFERROR(INDEX('Material routes'!$E$6:$E$2205,MATCH(U726,'Material routes'!$A$6:$A$2205,0)),"MISSING ID")</x:f>
        <x:v>Split bearing pillow block</x:v>
      </x:c>
      <x:c r="B726" s="4" t="str">
        <x:f>IFERROR(INDEX('Material routes'!$F$6:$F$2205,MATCH(U726,'Material routes'!$A$6:$A$2205,0)),"MISSING ID")</x:f>
        <x:v>T4</x:v>
      </x:c>
      <x:c r="C726" s="4" t="str">
        <x:f>IFERROR(INDEX('Material routes'!$H$6:$H$2205,MATCH(U726,'Material routes'!$A$6:$A$2205,0)),"MISSING ID")</x:f>
        <x:v>Machine part</x:v>
      </x:c>
      <x:c r="D726" s="4" t="str">
        <x:f>IFERROR(INDEX('Material routes'!$G$6:$G$2205,MATCH(U726,'Material routes'!$A$6:$A$2205,0)),"MISSING ID")</x:f>
        <x:v>Crafting components</x:v>
      </x:c>
      <x:c r="E726" s="4" t="str">
        <x:f>IFERROR(INDEX('Material routes'!$C$6:$C$2205,MATCH(U726,'Material routes'!$A$6:$A$2205,0)),"MISSING ID")</x:f>
        <x:v>Ingredient candidate</x:v>
      </x:c>
      <x:c r="F726" s="4" t="str">
        <x:f>IFERROR(INDEX('Material routes'!$E$6:$E$2205,MATCH(V726,'Material routes'!$A$6:$A$2205,0)),"MISSING ID")</x:f>
        <x:v>Guarded flywheel cartridge</x:v>
      </x:c>
      <x:c r="G726" s="4" t="str">
        <x:f>IFERROR(INDEX('Material routes'!$F$6:$F$2205,MATCH(V726,'Material routes'!$A$6:$A$2205,0)),"MISSING ID")</x:f>
        <x:v>Not applicable</x:v>
      </x:c>
      <x:c r="H726" s="4" t="str">
        <x:f>IFERROR(INDEX('Material routes'!$H$6:$H$2205,MATCH(V726,'Material routes'!$A$6:$A$2205,0)),"MISSING ID")</x:f>
        <x:v>Energy storage</x:v>
      </x:c>
      <x:c r="I726" s="4" t="str">
        <x:f>IFERROR(INDEX('Material routes'!$G$6:$G$2205,MATCH(V726,'Material routes'!$A$6:$A$2205,0)),"MISSING ID")</x:f>
        <x:v>Crafting components</x:v>
      </x:c>
      <x:c r="J726" s="4" t="str">
        <x:f>IFERROR(INDEX('Material routes'!$B$6:$B$2205,MATCH(U726,'Material routes'!$A$6:$A$2205,0)),"MISSING ID")</x:f>
        <x:v>design.collection.guarded_flywheel_cartridge</x:v>
      </x:c>
      <x:c r="K726" s="4" t="str">
        <x:f>IFERROR(INDEX('Crafting recipes'!$C$6:$C$1005,MATCH(J726,'Crafting recipes'!$A$6:$A$1005,0)),"MISSING ID")</x:f>
        <x:v>Finished-item crafting</x:v>
      </x:c>
      <x:c r="L726" s="4" t="str">
        <x:f>IFERROR(INDEX('Material routes'!$K$6:$K$2205,MATCH(U726,'Material routes'!$A$6:$A$2205,0)),"MISSING ID")</x:f>
        <x:v>Proposal</x:v>
      </x:c>
      <x:c r="M726" s="4" t="str">
        <x:f>IFERROR(INDEX('Material routes'!$M$6:$M$2205,MATCH(U726,'Material routes'!$A$6:$A$2205,0)),"MISSING ID")</x:f>
        <x:v>Partial proposal</x:v>
      </x:c>
      <x:c r="N726" s="4"/>
      <x:c r="O726" s="4" t="str">
        <x:f>IFERROR(INDEX('Material routes'!$J$6:$J$2205,MATCH(U726,'Material routes'!$A$6:$A$2205,0)),"MISSING ID")</x:f>
        <x:v>Unspecified</x:v>
      </x:c>
      <x:c r="P726" s="4"/>
      <x:c r="Q726" s="4" t="str">
        <x:f>IFERROR(INDEX('Material routes'!$J$6:$J$2205,MATCH(V726,'Material routes'!$A$6:$A$2205,0)),"MISSING ID")</x:f>
        <x:v>Unspecified</x:v>
      </x:c>
      <x:c r="R726" s="4" t="str">
        <x:f>IF(L726="Withheld","Withheld premise",IF(E726="Tool candidate","Reusable prerequisite",IF(K726="Raw entry preparation","Entry-resource preparation",IF(G726="Not applicable",IF(IFERROR(INDEX('Items'!$AI$6:$AI$1005,MATCH(T726,'Items'!$A$6:$A$1005,0)),"MISSING ID")="Finished item","Finished endpoint",IF(IFERROR(INDEX('Items'!$AI$6:$AI$1005,MATCH(T726,'Items'!$A$6:$A$1005,0)),"MISSING ID")="Currency","Currency / no refinement tier","Recovered output / tier not applicable")),IF(OR(IFERROR(INDEX('Crafting recipes'!$H$6:$H$1005,MATCH(J726,'Crafting recipes'!$A$6:$A$1005,0)),"MISSING ID")="Unassigned",G726="Unassigned"),"Tier unresolved",IF(IFERROR(VALUE(RIGHT(G726,1))-VALUE(RIGHT(IFERROR(INDEX('Crafting recipes'!$H$6:$H$1005,MATCH(J726,'Crafting recipes'!$A$6:$A$1005,0)),"MISSING ID"),1)),0)=1,IF(B726=IFERROR(INDEX('Crafting recipes'!$H$6:$H$1005,MATCH(J726,'Crafting recipes'!$A$6:$A$1005,0)),"MISSING ID"),"Advances one material tier","Lower-tier ingredient; route advances one tier"),"Needs tier review"))))))</x:f>
        <x:v>Finished endpoint</x:v>
      </x:c>
      <x:c r="S726" s="4" t="str">
        <x:f>IFERROR(INDEX('Material routes'!$D$6:$D$2205,MATCH(U726,'Material routes'!$A$6:$A$2205,0)),"MISSING ID")</x:f>
        <x:v>proposal.collection.split_bearing_pillow_block</x:v>
      </x:c>
      <x:c r="T726" s="4" t="str">
        <x:f>IFERROR(INDEX('Material routes'!$D$6:$D$2205,MATCH(V726,'Material routes'!$A$6:$A$2205,0)),"MISSING ID")</x:f>
        <x:v>proposal.collection.guarded_flywheel_cartridge</x:v>
      </x:c>
      <x:c r="U726" s="4" t="str">
        <x:v>design.collection.guarded_flywheel_cartridge.in.3</x:v>
      </x:c>
      <x:c r="V726" s="4" t="str">
        <x:v>design.collection.guarded_flywheel_cartridge.out</x:v>
      </x:c>
    </x:row>
    <x:row r="727" ht="64" customHeight="1">
      <x:c r="A727" s="4" t="str">
        <x:f>IFERROR(INDEX('Material routes'!$E$6:$E$2205,MATCH(U727,'Material routes'!$A$6:$A$2205,0)),"MISSING ID")</x:f>
        <x:v>Flat spiral clock spring</x:v>
      </x:c>
      <x:c r="B727" s="4" t="str">
        <x:f>IFERROR(INDEX('Material routes'!$F$6:$F$2205,MATCH(U727,'Material routes'!$A$6:$A$2205,0)),"MISSING ID")</x:f>
        <x:v>T4</x:v>
      </x:c>
      <x:c r="C727" s="4" t="str">
        <x:f>IFERROR(INDEX('Material routes'!$H$6:$H$2205,MATCH(U727,'Material routes'!$A$6:$A$2205,0)),"MISSING ID")</x:f>
        <x:v>Machine part</x:v>
      </x:c>
      <x:c r="D727" s="4" t="str">
        <x:f>IFERROR(INDEX('Material routes'!$G$6:$G$2205,MATCH(U727,'Material routes'!$A$6:$A$2205,0)),"MISSING ID")</x:f>
        <x:v>Crafting components</x:v>
      </x:c>
      <x:c r="E727" s="4" t="str">
        <x:f>IFERROR(INDEX('Material routes'!$C$6:$C$2205,MATCH(U727,'Material routes'!$A$6:$A$2205,0)),"MISSING ID")</x:f>
        <x:v>Ingredient candidate</x:v>
      </x:c>
      <x:c r="F727" s="4" t="str">
        <x:f>IFERROR(INDEX('Material routes'!$E$6:$E$2205,MATCH(V727,'Material routes'!$A$6:$A$2205,0)),"MISSING ID")</x:f>
        <x:v>Wound clock-spring pack</x:v>
      </x:c>
      <x:c r="G727" s="4" t="str">
        <x:f>IFERROR(INDEX('Material routes'!$F$6:$F$2205,MATCH(V727,'Material routes'!$A$6:$A$2205,0)),"MISSING ID")</x:f>
        <x:v>Not applicable</x:v>
      </x:c>
      <x:c r="H727" s="4" t="str">
        <x:f>IFERROR(INDEX('Material routes'!$H$6:$H$2205,MATCH(V727,'Material routes'!$A$6:$A$2205,0)),"MISSING ID")</x:f>
        <x:v>Energy storage</x:v>
      </x:c>
      <x:c r="I727" s="4" t="str">
        <x:f>IFERROR(INDEX('Material routes'!$G$6:$G$2205,MATCH(V727,'Material routes'!$A$6:$A$2205,0)),"MISSING ID")</x:f>
        <x:v>Crafting components</x:v>
      </x:c>
      <x:c r="J727" s="4" t="str">
        <x:f>IFERROR(INDEX('Material routes'!$B$6:$B$2205,MATCH(U727,'Material routes'!$A$6:$A$2205,0)),"MISSING ID")</x:f>
        <x:v>design.collection.wound_clock_spring_pack</x:v>
      </x:c>
      <x:c r="K727" s="4" t="str">
        <x:f>IFERROR(INDEX('Crafting recipes'!$C$6:$C$1005,MATCH(J727,'Crafting recipes'!$A$6:$A$1005,0)),"MISSING ID")</x:f>
        <x:v>Finished-item crafting</x:v>
      </x:c>
      <x:c r="L727" s="4" t="str">
        <x:f>IFERROR(INDEX('Material routes'!$K$6:$K$2205,MATCH(U727,'Material routes'!$A$6:$A$2205,0)),"MISSING ID")</x:f>
        <x:v>Proposal</x:v>
      </x:c>
      <x:c r="M727" s="4" t="str">
        <x:f>IFERROR(INDEX('Material routes'!$M$6:$M$2205,MATCH(U727,'Material routes'!$A$6:$A$2205,0)),"MISSING ID")</x:f>
        <x:v>Partial proposal</x:v>
      </x:c>
      <x:c r="N727" s="4"/>
      <x:c r="O727" s="4" t="str">
        <x:f>IFERROR(INDEX('Material routes'!$J$6:$J$2205,MATCH(U727,'Material routes'!$A$6:$A$2205,0)),"MISSING ID")</x:f>
        <x:v>Unspecified</x:v>
      </x:c>
      <x:c r="P727" s="4"/>
      <x:c r="Q727" s="4" t="str">
        <x:f>IFERROR(INDEX('Material routes'!$J$6:$J$2205,MATCH(V727,'Material routes'!$A$6:$A$2205,0)),"MISSING ID")</x:f>
        <x:v>Unspecified</x:v>
      </x:c>
      <x:c r="R727" s="4" t="str">
        <x:f>IF(L727="Withheld","Withheld premise",IF(E727="Tool candidate","Reusable prerequisite",IF(K727="Raw entry preparation","Entry-resource preparation",IF(G727="Not applicable",IF(IFERROR(INDEX('Items'!$AI$6:$AI$1005,MATCH(T727,'Items'!$A$6:$A$1005,0)),"MISSING ID")="Finished item","Finished endpoint",IF(IFERROR(INDEX('Items'!$AI$6:$AI$1005,MATCH(T727,'Items'!$A$6:$A$1005,0)),"MISSING ID")="Currency","Currency / no refinement tier","Recovered output / tier not applicable")),IF(OR(IFERROR(INDEX('Crafting recipes'!$H$6:$H$1005,MATCH(J727,'Crafting recipes'!$A$6:$A$1005,0)),"MISSING ID")="Unassigned",G727="Unassigned"),"Tier unresolved",IF(IFERROR(VALUE(RIGHT(G727,1))-VALUE(RIGHT(IFERROR(INDEX('Crafting recipes'!$H$6:$H$1005,MATCH(J727,'Crafting recipes'!$A$6:$A$1005,0)),"MISSING ID"),1)),0)=1,IF(B727=IFERROR(INDEX('Crafting recipes'!$H$6:$H$1005,MATCH(J727,'Crafting recipes'!$A$6:$A$1005,0)),"MISSING ID"),"Advances one material tier","Lower-tier ingredient; route advances one tier"),"Needs tier review"))))))</x:f>
        <x:v>Finished endpoint</x:v>
      </x:c>
      <x:c r="S727" s="4" t="str">
        <x:f>IFERROR(INDEX('Material routes'!$D$6:$D$2205,MATCH(U727,'Material routes'!$A$6:$A$2205,0)),"MISSING ID")</x:f>
        <x:v>proposal.collection.flat_spiral_clock_spring</x:v>
      </x:c>
      <x:c r="T727" s="4" t="str">
        <x:f>IFERROR(INDEX('Material routes'!$D$6:$D$2205,MATCH(V727,'Material routes'!$A$6:$A$2205,0)),"MISSING ID")</x:f>
        <x:v>proposal.collection.wound_clock_spring_pack</x:v>
      </x:c>
      <x:c r="U727" s="4" t="str">
        <x:v>design.collection.wound_clock_spring_pack.in.1</x:v>
      </x:c>
      <x:c r="V727" s="4" t="str">
        <x:v>design.collection.wound_clock_spring_pack.out</x:v>
      </x:c>
    </x:row>
    <x:row r="728" ht="64" customHeight="1">
      <x:c r="A728" s="4" t="str">
        <x:f>IFERROR(INDEX('Material routes'!$E$6:$E$2205,MATCH(U728,'Material routes'!$A$6:$A$2205,0)),"MISSING ID")</x:f>
        <x:v>Steel stock</x:v>
      </x:c>
      <x:c r="B728" s="4" t="str">
        <x:f>IFERROR(INDEX('Material routes'!$F$6:$F$2205,MATCH(U728,'Material routes'!$A$6:$A$2205,0)),"MISSING ID")</x:f>
        <x:v>T2</x:v>
      </x:c>
      <x:c r="C728" s="4" t="str">
        <x:f>IFERROR(INDEX('Material routes'!$H$6:$H$2205,MATCH(U728,'Material routes'!$A$6:$A$2205,0)),"MISSING ID")</x:f>
        <x:v>Processed material</x:v>
      </x:c>
      <x:c r="D728" s="4" t="str">
        <x:f>IFERROR(INDEX('Material routes'!$G$6:$G$2205,MATCH(U728,'Material routes'!$A$6:$A$2205,0)),"MISSING ID")</x:f>
        <x:v>Manufactured stock</x:v>
      </x:c>
      <x:c r="E728" s="4" t="str">
        <x:f>IFERROR(INDEX('Material routes'!$C$6:$C$2205,MATCH(U728,'Material routes'!$A$6:$A$2205,0)),"MISSING ID")</x:f>
        <x:v>Ingredient candidate</x:v>
      </x:c>
      <x:c r="F728" s="4" t="str">
        <x:f>IFERROR(INDEX('Material routes'!$E$6:$E$2205,MATCH(V728,'Material routes'!$A$6:$A$2205,0)),"MISSING ID")</x:f>
        <x:v>Wound clock-spring pack</x:v>
      </x:c>
      <x:c r="G728" s="4" t="str">
        <x:f>IFERROR(INDEX('Material routes'!$F$6:$F$2205,MATCH(V728,'Material routes'!$A$6:$A$2205,0)),"MISSING ID")</x:f>
        <x:v>Not applicable</x:v>
      </x:c>
      <x:c r="H728" s="4" t="str">
        <x:f>IFERROR(INDEX('Material routes'!$H$6:$H$2205,MATCH(V728,'Material routes'!$A$6:$A$2205,0)),"MISSING ID")</x:f>
        <x:v>Energy storage</x:v>
      </x:c>
      <x:c r="I728" s="4" t="str">
        <x:f>IFERROR(INDEX('Material routes'!$G$6:$G$2205,MATCH(V728,'Material routes'!$A$6:$A$2205,0)),"MISSING ID")</x:f>
        <x:v>Crafting components</x:v>
      </x:c>
      <x:c r="J728" s="4" t="str">
        <x:f>IFERROR(INDEX('Material routes'!$B$6:$B$2205,MATCH(U728,'Material routes'!$A$6:$A$2205,0)),"MISSING ID")</x:f>
        <x:v>design.collection.wound_clock_spring_pack</x:v>
      </x:c>
      <x:c r="K728" s="4" t="str">
        <x:f>IFERROR(INDEX('Crafting recipes'!$C$6:$C$1005,MATCH(J728,'Crafting recipes'!$A$6:$A$1005,0)),"MISSING ID")</x:f>
        <x:v>Finished-item crafting</x:v>
      </x:c>
      <x:c r="L728" s="4" t="str">
        <x:f>IFERROR(INDEX('Material routes'!$K$6:$K$2205,MATCH(U728,'Material routes'!$A$6:$A$2205,0)),"MISSING ID")</x:f>
        <x:v>Proposal</x:v>
      </x:c>
      <x:c r="M728" s="4" t="str">
        <x:f>IFERROR(INDEX('Material routes'!$M$6:$M$2205,MATCH(U728,'Material routes'!$A$6:$A$2205,0)),"MISSING ID")</x:f>
        <x:v>Partial proposal</x:v>
      </x:c>
      <x:c r="N728" s="4"/>
      <x:c r="O728" s="4" t="str">
        <x:f>IFERROR(INDEX('Material routes'!$J$6:$J$2205,MATCH(U728,'Material routes'!$A$6:$A$2205,0)),"MISSING ID")</x:f>
        <x:v>Unspecified</x:v>
      </x:c>
      <x:c r="P728" s="4"/>
      <x:c r="Q728" s="4" t="str">
        <x:f>IFERROR(INDEX('Material routes'!$J$6:$J$2205,MATCH(V728,'Material routes'!$A$6:$A$2205,0)),"MISSING ID")</x:f>
        <x:v>Unspecified</x:v>
      </x:c>
      <x:c r="R728" s="4" t="str">
        <x:f>IF(L728="Withheld","Withheld premise",IF(E728="Tool candidate","Reusable prerequisite",IF(K728="Raw entry preparation","Entry-resource preparation",IF(G728="Not applicable",IF(IFERROR(INDEX('Items'!$AI$6:$AI$1005,MATCH(T728,'Items'!$A$6:$A$1005,0)),"MISSING ID")="Finished item","Finished endpoint",IF(IFERROR(INDEX('Items'!$AI$6:$AI$1005,MATCH(T728,'Items'!$A$6:$A$1005,0)),"MISSING ID")="Currency","Currency / no refinement tier","Recovered output / tier not applicable")),IF(OR(IFERROR(INDEX('Crafting recipes'!$H$6:$H$1005,MATCH(J728,'Crafting recipes'!$A$6:$A$1005,0)),"MISSING ID")="Unassigned",G728="Unassigned"),"Tier unresolved",IF(IFERROR(VALUE(RIGHT(G728,1))-VALUE(RIGHT(IFERROR(INDEX('Crafting recipes'!$H$6:$H$1005,MATCH(J728,'Crafting recipes'!$A$6:$A$1005,0)),"MISSING ID"),1)),0)=1,IF(B728=IFERROR(INDEX('Crafting recipes'!$H$6:$H$1005,MATCH(J728,'Crafting recipes'!$A$6:$A$1005,0)),"MISSING ID"),"Advances one material tier","Lower-tier ingredient; route advances one tier"),"Needs tier review"))))))</x:f>
        <x:v>Finished endpoint</x:v>
      </x:c>
      <x:c r="S728" s="4" t="str">
        <x:f>IFERROR(INDEX('Material routes'!$D$6:$D$2205,MATCH(U728,'Material routes'!$A$6:$A$2205,0)),"MISSING ID")</x:f>
        <x:v>author.metallurgy.steel_stock</x:v>
      </x:c>
      <x:c r="T728" s="4" t="str">
        <x:f>IFERROR(INDEX('Material routes'!$D$6:$D$2205,MATCH(V728,'Material routes'!$A$6:$A$2205,0)),"MISSING ID")</x:f>
        <x:v>proposal.collection.wound_clock_spring_pack</x:v>
      </x:c>
      <x:c r="U728" s="4" t="str">
        <x:v>design.collection.wound_clock_spring_pack.in.2</x:v>
      </x:c>
      <x:c r="V728" s="4" t="str">
        <x:v>design.collection.wound_clock_spring_pack.out</x:v>
      </x:c>
    </x:row>
    <x:row r="729" ht="64" customHeight="1">
      <x:c r="A729" s="4" t="str">
        <x:f>IFERROR(INDEX('Material routes'!$E$6:$E$2205,MATCH(U729,'Material routes'!$A$6:$A$2205,0)),"MISSING ID")</x:f>
        <x:v>Helical return spring</x:v>
      </x:c>
      <x:c r="B729" s="4" t="str">
        <x:f>IFERROR(INDEX('Material routes'!$F$6:$F$2205,MATCH(U729,'Material routes'!$A$6:$A$2205,0)),"MISSING ID")</x:f>
        <x:v>T4</x:v>
      </x:c>
      <x:c r="C729" s="4" t="str">
        <x:f>IFERROR(INDEX('Material routes'!$H$6:$H$2205,MATCH(U729,'Material routes'!$A$6:$A$2205,0)),"MISSING ID")</x:f>
        <x:v>Machine part</x:v>
      </x:c>
      <x:c r="D729" s="4" t="str">
        <x:f>IFERROR(INDEX('Material routes'!$G$6:$G$2205,MATCH(U729,'Material routes'!$A$6:$A$2205,0)),"MISSING ID")</x:f>
        <x:v>Crafting components</x:v>
      </x:c>
      <x:c r="E729" s="4" t="str">
        <x:f>IFERROR(INDEX('Material routes'!$C$6:$C$2205,MATCH(U729,'Material routes'!$A$6:$A$2205,0)),"MISSING ID")</x:f>
        <x:v>Ingredient candidate</x:v>
      </x:c>
      <x:c r="F729" s="4" t="str">
        <x:f>IFERROR(INDEX('Material routes'!$E$6:$E$2205,MATCH(V729,'Material routes'!$A$6:$A$2205,0)),"MISSING ID")</x:f>
        <x:v>Torsion-spring accumulator</x:v>
      </x:c>
      <x:c r="G729" s="4" t="str">
        <x:f>IFERROR(INDEX('Material routes'!$F$6:$F$2205,MATCH(V729,'Material routes'!$A$6:$A$2205,0)),"MISSING ID")</x:f>
        <x:v>Not applicable</x:v>
      </x:c>
      <x:c r="H729" s="4" t="str">
        <x:f>IFERROR(INDEX('Material routes'!$H$6:$H$2205,MATCH(V729,'Material routes'!$A$6:$A$2205,0)),"MISSING ID")</x:f>
        <x:v>Energy storage</x:v>
      </x:c>
      <x:c r="I729" s="4" t="str">
        <x:f>IFERROR(INDEX('Material routes'!$G$6:$G$2205,MATCH(V729,'Material routes'!$A$6:$A$2205,0)),"MISSING ID")</x:f>
        <x:v>Crafting components</x:v>
      </x:c>
      <x:c r="J729" s="4" t="str">
        <x:f>IFERROR(INDEX('Material routes'!$B$6:$B$2205,MATCH(U729,'Material routes'!$A$6:$A$2205,0)),"MISSING ID")</x:f>
        <x:v>design.collection.torsion_spring_accumulator</x:v>
      </x:c>
      <x:c r="K729" s="4" t="str">
        <x:f>IFERROR(INDEX('Crafting recipes'!$C$6:$C$1005,MATCH(J729,'Crafting recipes'!$A$6:$A$1005,0)),"MISSING ID")</x:f>
        <x:v>Finished-item crafting</x:v>
      </x:c>
      <x:c r="L729" s="4" t="str">
        <x:f>IFERROR(INDEX('Material routes'!$K$6:$K$2205,MATCH(U729,'Material routes'!$A$6:$A$2205,0)),"MISSING ID")</x:f>
        <x:v>Proposal</x:v>
      </x:c>
      <x:c r="M729" s="4" t="str">
        <x:f>IFERROR(INDEX('Material routes'!$M$6:$M$2205,MATCH(U729,'Material routes'!$A$6:$A$2205,0)),"MISSING ID")</x:f>
        <x:v>Partial proposal</x:v>
      </x:c>
      <x:c r="N729" s="4"/>
      <x:c r="O729" s="4" t="str">
        <x:f>IFERROR(INDEX('Material routes'!$J$6:$J$2205,MATCH(U729,'Material routes'!$A$6:$A$2205,0)),"MISSING ID")</x:f>
        <x:v>Unspecified</x:v>
      </x:c>
      <x:c r="P729" s="4"/>
      <x:c r="Q729" s="4" t="str">
        <x:f>IFERROR(INDEX('Material routes'!$J$6:$J$2205,MATCH(V729,'Material routes'!$A$6:$A$2205,0)),"MISSING ID")</x:f>
        <x:v>Unspecified</x:v>
      </x:c>
      <x:c r="R729" s="4" t="str">
        <x:f>IF(L729="Withheld","Withheld premise",IF(E729="Tool candidate","Reusable prerequisite",IF(K729="Raw entry preparation","Entry-resource preparation",IF(G729="Not applicable",IF(IFERROR(INDEX('Items'!$AI$6:$AI$1005,MATCH(T729,'Items'!$A$6:$A$1005,0)),"MISSING ID")="Finished item","Finished endpoint",IF(IFERROR(INDEX('Items'!$AI$6:$AI$1005,MATCH(T729,'Items'!$A$6:$A$1005,0)),"MISSING ID")="Currency","Currency / no refinement tier","Recovered output / tier not applicable")),IF(OR(IFERROR(INDEX('Crafting recipes'!$H$6:$H$1005,MATCH(J729,'Crafting recipes'!$A$6:$A$1005,0)),"MISSING ID")="Unassigned",G729="Unassigned"),"Tier unresolved",IF(IFERROR(VALUE(RIGHT(G729,1))-VALUE(RIGHT(IFERROR(INDEX('Crafting recipes'!$H$6:$H$1005,MATCH(J729,'Crafting recipes'!$A$6:$A$1005,0)),"MISSING ID"),1)),0)=1,IF(B729=IFERROR(INDEX('Crafting recipes'!$H$6:$H$1005,MATCH(J729,'Crafting recipes'!$A$6:$A$1005,0)),"MISSING ID"),"Advances one material tier","Lower-tier ingredient; route advances one tier"),"Needs tier review"))))))</x:f>
        <x:v>Finished endpoint</x:v>
      </x:c>
      <x:c r="S729" s="4" t="str">
        <x:f>IFERROR(INDEX('Material routes'!$D$6:$D$2205,MATCH(U729,'Material routes'!$A$6:$A$2205,0)),"MISSING ID")</x:f>
        <x:v>proposal.collection.helical_return_spring</x:v>
      </x:c>
      <x:c r="T729" s="4" t="str">
        <x:f>IFERROR(INDEX('Material routes'!$D$6:$D$2205,MATCH(V729,'Material routes'!$A$6:$A$2205,0)),"MISSING ID")</x:f>
        <x:v>proposal.collection.torsion_spring_accumulator</x:v>
      </x:c>
      <x:c r="U729" s="4" t="str">
        <x:v>design.collection.torsion_spring_accumulator.in.1</x:v>
      </x:c>
      <x:c r="V729" s="4" t="str">
        <x:v>design.collection.torsion_spring_accumulator.out</x:v>
      </x:c>
    </x:row>
    <x:row r="730" ht="64" customHeight="1">
      <x:c r="A730" s="4" t="str">
        <x:f>IFERROR(INDEX('Material routes'!$E$6:$E$2205,MATCH(U730,'Material routes'!$A$6:$A$2205,0)),"MISSING ID")</x:f>
        <x:v>Steel stock</x:v>
      </x:c>
      <x:c r="B730" s="4" t="str">
        <x:f>IFERROR(INDEX('Material routes'!$F$6:$F$2205,MATCH(U730,'Material routes'!$A$6:$A$2205,0)),"MISSING ID")</x:f>
        <x:v>T2</x:v>
      </x:c>
      <x:c r="C730" s="4" t="str">
        <x:f>IFERROR(INDEX('Material routes'!$H$6:$H$2205,MATCH(U730,'Material routes'!$A$6:$A$2205,0)),"MISSING ID")</x:f>
        <x:v>Processed material</x:v>
      </x:c>
      <x:c r="D730" s="4" t="str">
        <x:f>IFERROR(INDEX('Material routes'!$G$6:$G$2205,MATCH(U730,'Material routes'!$A$6:$A$2205,0)),"MISSING ID")</x:f>
        <x:v>Manufactured stock</x:v>
      </x:c>
      <x:c r="E730" s="4" t="str">
        <x:f>IFERROR(INDEX('Material routes'!$C$6:$C$2205,MATCH(U730,'Material routes'!$A$6:$A$2205,0)),"MISSING ID")</x:f>
        <x:v>Ingredient candidate</x:v>
      </x:c>
      <x:c r="F730" s="4" t="str">
        <x:f>IFERROR(INDEX('Material routes'!$E$6:$E$2205,MATCH(V730,'Material routes'!$A$6:$A$2205,0)),"MISSING ID")</x:f>
        <x:v>Torsion-spring accumulator</x:v>
      </x:c>
      <x:c r="G730" s="4" t="str">
        <x:f>IFERROR(INDEX('Material routes'!$F$6:$F$2205,MATCH(V730,'Material routes'!$A$6:$A$2205,0)),"MISSING ID")</x:f>
        <x:v>Not applicable</x:v>
      </x:c>
      <x:c r="H730" s="4" t="str">
        <x:f>IFERROR(INDEX('Material routes'!$H$6:$H$2205,MATCH(V730,'Material routes'!$A$6:$A$2205,0)),"MISSING ID")</x:f>
        <x:v>Energy storage</x:v>
      </x:c>
      <x:c r="I730" s="4" t="str">
        <x:f>IFERROR(INDEX('Material routes'!$G$6:$G$2205,MATCH(V730,'Material routes'!$A$6:$A$2205,0)),"MISSING ID")</x:f>
        <x:v>Crafting components</x:v>
      </x:c>
      <x:c r="J730" s="4" t="str">
        <x:f>IFERROR(INDEX('Material routes'!$B$6:$B$2205,MATCH(U730,'Material routes'!$A$6:$A$2205,0)),"MISSING ID")</x:f>
        <x:v>design.collection.torsion_spring_accumulator</x:v>
      </x:c>
      <x:c r="K730" s="4" t="str">
        <x:f>IFERROR(INDEX('Crafting recipes'!$C$6:$C$1005,MATCH(J730,'Crafting recipes'!$A$6:$A$1005,0)),"MISSING ID")</x:f>
        <x:v>Finished-item crafting</x:v>
      </x:c>
      <x:c r="L730" s="4" t="str">
        <x:f>IFERROR(INDEX('Material routes'!$K$6:$K$2205,MATCH(U730,'Material routes'!$A$6:$A$2205,0)),"MISSING ID")</x:f>
        <x:v>Proposal</x:v>
      </x:c>
      <x:c r="M730" s="4" t="str">
        <x:f>IFERROR(INDEX('Material routes'!$M$6:$M$2205,MATCH(U730,'Material routes'!$A$6:$A$2205,0)),"MISSING ID")</x:f>
        <x:v>Partial proposal</x:v>
      </x:c>
      <x:c r="N730" s="4"/>
      <x:c r="O730" s="4" t="str">
        <x:f>IFERROR(INDEX('Material routes'!$J$6:$J$2205,MATCH(U730,'Material routes'!$A$6:$A$2205,0)),"MISSING ID")</x:f>
        <x:v>Unspecified</x:v>
      </x:c>
      <x:c r="P730" s="4"/>
      <x:c r="Q730" s="4" t="str">
        <x:f>IFERROR(INDEX('Material routes'!$J$6:$J$2205,MATCH(V730,'Material routes'!$A$6:$A$2205,0)),"MISSING ID")</x:f>
        <x:v>Unspecified</x:v>
      </x:c>
      <x:c r="R730" s="4" t="str">
        <x:f>IF(L730="Withheld","Withheld premise",IF(E730="Tool candidate","Reusable prerequisite",IF(K730="Raw entry preparation","Entry-resource preparation",IF(G730="Not applicable",IF(IFERROR(INDEX('Items'!$AI$6:$AI$1005,MATCH(T730,'Items'!$A$6:$A$1005,0)),"MISSING ID")="Finished item","Finished endpoint",IF(IFERROR(INDEX('Items'!$AI$6:$AI$1005,MATCH(T730,'Items'!$A$6:$A$1005,0)),"MISSING ID")="Currency","Currency / no refinement tier","Recovered output / tier not applicable")),IF(OR(IFERROR(INDEX('Crafting recipes'!$H$6:$H$1005,MATCH(J730,'Crafting recipes'!$A$6:$A$1005,0)),"MISSING ID")="Unassigned",G730="Unassigned"),"Tier unresolved",IF(IFERROR(VALUE(RIGHT(G730,1))-VALUE(RIGHT(IFERROR(INDEX('Crafting recipes'!$H$6:$H$1005,MATCH(J730,'Crafting recipes'!$A$6:$A$1005,0)),"MISSING ID"),1)),0)=1,IF(B730=IFERROR(INDEX('Crafting recipes'!$H$6:$H$1005,MATCH(J730,'Crafting recipes'!$A$6:$A$1005,0)),"MISSING ID"),"Advances one material tier","Lower-tier ingredient; route advances one tier"),"Needs tier review"))))))</x:f>
        <x:v>Finished endpoint</x:v>
      </x:c>
      <x:c r="S730" s="4" t="str">
        <x:f>IFERROR(INDEX('Material routes'!$D$6:$D$2205,MATCH(U730,'Material routes'!$A$6:$A$2205,0)),"MISSING ID")</x:f>
        <x:v>author.metallurgy.steel_stock</x:v>
      </x:c>
      <x:c r="T730" s="4" t="str">
        <x:f>IFERROR(INDEX('Material routes'!$D$6:$D$2205,MATCH(V730,'Material routes'!$A$6:$A$2205,0)),"MISSING ID")</x:f>
        <x:v>proposal.collection.torsion_spring_accumulator</x:v>
      </x:c>
      <x:c r="U730" s="4" t="str">
        <x:v>design.collection.torsion_spring_accumulator.in.2</x:v>
      </x:c>
      <x:c r="V730" s="4" t="str">
        <x:v>design.collection.torsion_spring_accumulator.out</x:v>
      </x:c>
    </x:row>
    <x:row r="731" ht="64" customHeight="1">
      <x:c r="A731" s="4" t="str">
        <x:f>IFERROR(INDEX('Material routes'!$E$6:$E$2205,MATCH(U731,'Material routes'!$A$6:$A$2205,0)),"MISSING ID")</x:f>
        <x:v>Worked iron stock</x:v>
      </x:c>
      <x:c r="B731" s="4" t="str">
        <x:f>IFERROR(INDEX('Material routes'!$F$6:$F$2205,MATCH(U731,'Material routes'!$A$6:$A$2205,0)),"MISSING ID")</x:f>
        <x:v>T2</x:v>
      </x:c>
      <x:c r="C731" s="4" t="str">
        <x:f>IFERROR(INDEX('Material routes'!$H$6:$H$2205,MATCH(U731,'Material routes'!$A$6:$A$2205,0)),"MISSING ID")</x:f>
        <x:v>Processed material</x:v>
      </x:c>
      <x:c r="D731" s="4" t="str">
        <x:f>IFERROR(INDEX('Material routes'!$G$6:$G$2205,MATCH(U731,'Material routes'!$A$6:$A$2205,0)),"MISSING ID")</x:f>
        <x:v>Manufactured stock</x:v>
      </x:c>
      <x:c r="E731" s="4" t="str">
        <x:f>IFERROR(INDEX('Material routes'!$C$6:$C$2205,MATCH(U731,'Material routes'!$A$6:$A$2205,0)),"MISSING ID")</x:f>
        <x:v>Ingredient candidate</x:v>
      </x:c>
      <x:c r="F731" s="4" t="str">
        <x:f>IFERROR(INDEX('Material routes'!$E$6:$E$2205,MATCH(V731,'Material routes'!$A$6:$A$2205,0)),"MISSING ID")</x:f>
        <x:v>Lifted counterweight module</x:v>
      </x:c>
      <x:c r="G731" s="4" t="str">
        <x:f>IFERROR(INDEX('Material routes'!$F$6:$F$2205,MATCH(V731,'Material routes'!$A$6:$A$2205,0)),"MISSING ID")</x:f>
        <x:v>Not applicable</x:v>
      </x:c>
      <x:c r="H731" s="4" t="str">
        <x:f>IFERROR(INDEX('Material routes'!$H$6:$H$2205,MATCH(V731,'Material routes'!$A$6:$A$2205,0)),"MISSING ID")</x:f>
        <x:v>Energy storage</x:v>
      </x:c>
      <x:c r="I731" s="4" t="str">
        <x:f>IFERROR(INDEX('Material routes'!$G$6:$G$2205,MATCH(V731,'Material routes'!$A$6:$A$2205,0)),"MISSING ID")</x:f>
        <x:v>Crafting components</x:v>
      </x:c>
      <x:c r="J731" s="4" t="str">
        <x:f>IFERROR(INDEX('Material routes'!$B$6:$B$2205,MATCH(U731,'Material routes'!$A$6:$A$2205,0)),"MISSING ID")</x:f>
        <x:v>design.collection.lifted_counterweight_module</x:v>
      </x:c>
      <x:c r="K731" s="4" t="str">
        <x:f>IFERROR(INDEX('Crafting recipes'!$C$6:$C$1005,MATCH(J731,'Crafting recipes'!$A$6:$A$1005,0)),"MISSING ID")</x:f>
        <x:v>Finished-item crafting</x:v>
      </x:c>
      <x:c r="L731" s="4" t="str">
        <x:f>IFERROR(INDEX('Material routes'!$K$6:$K$2205,MATCH(U731,'Material routes'!$A$6:$A$2205,0)),"MISSING ID")</x:f>
        <x:v>Proposal</x:v>
      </x:c>
      <x:c r="M731" s="4" t="str">
        <x:f>IFERROR(INDEX('Material routes'!$M$6:$M$2205,MATCH(U731,'Material routes'!$A$6:$A$2205,0)),"MISSING ID")</x:f>
        <x:v>Partial proposal</x:v>
      </x:c>
      <x:c r="N731" s="4"/>
      <x:c r="O731" s="4" t="str">
        <x:f>IFERROR(INDEX('Material routes'!$J$6:$J$2205,MATCH(U731,'Material routes'!$A$6:$A$2205,0)),"MISSING ID")</x:f>
        <x:v>Unspecified</x:v>
      </x:c>
      <x:c r="P731" s="4"/>
      <x:c r="Q731" s="4" t="str">
        <x:f>IFERROR(INDEX('Material routes'!$J$6:$J$2205,MATCH(V731,'Material routes'!$A$6:$A$2205,0)),"MISSING ID")</x:f>
        <x:v>Unspecified</x:v>
      </x:c>
      <x:c r="R731" s="4" t="str">
        <x:f>IF(L731="Withheld","Withheld premise",IF(E731="Tool candidate","Reusable prerequisite",IF(K731="Raw entry preparation","Entry-resource preparation",IF(G731="Not applicable",IF(IFERROR(INDEX('Items'!$AI$6:$AI$1005,MATCH(T731,'Items'!$A$6:$A$1005,0)),"MISSING ID")="Finished item","Finished endpoint",IF(IFERROR(INDEX('Items'!$AI$6:$AI$1005,MATCH(T731,'Items'!$A$6:$A$1005,0)),"MISSING ID")="Currency","Currency / no refinement tier","Recovered output / tier not applicable")),IF(OR(IFERROR(INDEX('Crafting recipes'!$H$6:$H$1005,MATCH(J731,'Crafting recipes'!$A$6:$A$1005,0)),"MISSING ID")="Unassigned",G731="Unassigned"),"Tier unresolved",IF(IFERROR(VALUE(RIGHT(G731,1))-VALUE(RIGHT(IFERROR(INDEX('Crafting recipes'!$H$6:$H$1005,MATCH(J731,'Crafting recipes'!$A$6:$A$1005,0)),"MISSING ID"),1)),0)=1,IF(B731=IFERROR(INDEX('Crafting recipes'!$H$6:$H$1005,MATCH(J731,'Crafting recipes'!$A$6:$A$1005,0)),"MISSING ID"),"Advances one material tier","Lower-tier ingredient; route advances one tier"),"Needs tier review"))))))</x:f>
        <x:v>Finished endpoint</x:v>
      </x:c>
      <x:c r="S731" s="4" t="str">
        <x:f>IFERROR(INDEX('Material routes'!$D$6:$D$2205,MATCH(U731,'Material routes'!$A$6:$A$2205,0)),"MISSING ID")</x:f>
        <x:v>proposal.natural.iron_stock</x:v>
      </x:c>
      <x:c r="T731" s="4" t="str">
        <x:f>IFERROR(INDEX('Material routes'!$D$6:$D$2205,MATCH(V731,'Material routes'!$A$6:$A$2205,0)),"MISSING ID")</x:f>
        <x:v>proposal.collection.lifted_counterweight_module</x:v>
      </x:c>
      <x:c r="U731" s="4" t="str">
        <x:v>design.collection.lifted_counterweight_module.in.1</x:v>
      </x:c>
      <x:c r="V731" s="4" t="str">
        <x:v>design.collection.lifted_counterweight_module.out</x:v>
      </x:c>
    </x:row>
    <x:row r="732" ht="64" customHeight="1">
      <x:c r="A732" s="4" t="str">
        <x:f>IFERROR(INDEX('Material routes'!$E$6:$E$2205,MATCH(U732,'Material routes'!$A$6:$A$2205,0)),"MISSING ID")</x:f>
        <x:v>Counterweight chain link</x:v>
      </x:c>
      <x:c r="B732" s="4" t="str">
        <x:f>IFERROR(INDEX('Material routes'!$F$6:$F$2205,MATCH(U732,'Material routes'!$A$6:$A$2205,0)),"MISSING ID")</x:f>
        <x:v>T3</x:v>
      </x:c>
      <x:c r="C732" s="4" t="str">
        <x:f>IFERROR(INDEX('Material routes'!$H$6:$H$2205,MATCH(U732,'Material routes'!$A$6:$A$2205,0)),"MISSING ID")</x:f>
        <x:v>Machine part</x:v>
      </x:c>
      <x:c r="D732" s="4" t="str">
        <x:f>IFERROR(INDEX('Material routes'!$G$6:$G$2205,MATCH(U732,'Material routes'!$A$6:$A$2205,0)),"MISSING ID")</x:f>
        <x:v>Crafting components</x:v>
      </x:c>
      <x:c r="E732" s="4" t="str">
        <x:f>IFERROR(INDEX('Material routes'!$C$6:$C$2205,MATCH(U732,'Material routes'!$A$6:$A$2205,0)),"MISSING ID")</x:f>
        <x:v>Ingredient candidate</x:v>
      </x:c>
      <x:c r="F732" s="4" t="str">
        <x:f>IFERROR(INDEX('Material routes'!$E$6:$E$2205,MATCH(V732,'Material routes'!$A$6:$A$2205,0)),"MISSING ID")</x:f>
        <x:v>Lifted counterweight module</x:v>
      </x:c>
      <x:c r="G732" s="4" t="str">
        <x:f>IFERROR(INDEX('Material routes'!$F$6:$F$2205,MATCH(V732,'Material routes'!$A$6:$A$2205,0)),"MISSING ID")</x:f>
        <x:v>Not applicable</x:v>
      </x:c>
      <x:c r="H732" s="4" t="str">
        <x:f>IFERROR(INDEX('Material routes'!$H$6:$H$2205,MATCH(V732,'Material routes'!$A$6:$A$2205,0)),"MISSING ID")</x:f>
        <x:v>Energy storage</x:v>
      </x:c>
      <x:c r="I732" s="4" t="str">
        <x:f>IFERROR(INDEX('Material routes'!$G$6:$G$2205,MATCH(V732,'Material routes'!$A$6:$A$2205,0)),"MISSING ID")</x:f>
        <x:v>Crafting components</x:v>
      </x:c>
      <x:c r="J732" s="4" t="str">
        <x:f>IFERROR(INDEX('Material routes'!$B$6:$B$2205,MATCH(U732,'Material routes'!$A$6:$A$2205,0)),"MISSING ID")</x:f>
        <x:v>design.collection.lifted_counterweight_module</x:v>
      </x:c>
      <x:c r="K732" s="4" t="str">
        <x:f>IFERROR(INDEX('Crafting recipes'!$C$6:$C$1005,MATCH(J732,'Crafting recipes'!$A$6:$A$1005,0)),"MISSING ID")</x:f>
        <x:v>Finished-item crafting</x:v>
      </x:c>
      <x:c r="L732" s="4" t="str">
        <x:f>IFERROR(INDEX('Material routes'!$K$6:$K$2205,MATCH(U732,'Material routes'!$A$6:$A$2205,0)),"MISSING ID")</x:f>
        <x:v>Proposal</x:v>
      </x:c>
      <x:c r="M732" s="4" t="str">
        <x:f>IFERROR(INDEX('Material routes'!$M$6:$M$2205,MATCH(U732,'Material routes'!$A$6:$A$2205,0)),"MISSING ID")</x:f>
        <x:v>Partial proposal</x:v>
      </x:c>
      <x:c r="N732" s="4"/>
      <x:c r="O732" s="4" t="str">
        <x:f>IFERROR(INDEX('Material routes'!$J$6:$J$2205,MATCH(U732,'Material routes'!$A$6:$A$2205,0)),"MISSING ID")</x:f>
        <x:v>Unspecified</x:v>
      </x:c>
      <x:c r="P732" s="4"/>
      <x:c r="Q732" s="4" t="str">
        <x:f>IFERROR(INDEX('Material routes'!$J$6:$J$2205,MATCH(V732,'Material routes'!$A$6:$A$2205,0)),"MISSING ID")</x:f>
        <x:v>Unspecified</x:v>
      </x:c>
      <x:c r="R732" s="4" t="str">
        <x:f>IF(L732="Withheld","Withheld premise",IF(E732="Tool candidate","Reusable prerequisite",IF(K732="Raw entry preparation","Entry-resource preparation",IF(G732="Not applicable",IF(IFERROR(INDEX('Items'!$AI$6:$AI$1005,MATCH(T732,'Items'!$A$6:$A$1005,0)),"MISSING ID")="Finished item","Finished endpoint",IF(IFERROR(INDEX('Items'!$AI$6:$AI$1005,MATCH(T732,'Items'!$A$6:$A$1005,0)),"MISSING ID")="Currency","Currency / no refinement tier","Recovered output / tier not applicable")),IF(OR(IFERROR(INDEX('Crafting recipes'!$H$6:$H$1005,MATCH(J732,'Crafting recipes'!$A$6:$A$1005,0)),"MISSING ID")="Unassigned",G732="Unassigned"),"Tier unresolved",IF(IFERROR(VALUE(RIGHT(G732,1))-VALUE(RIGHT(IFERROR(INDEX('Crafting recipes'!$H$6:$H$1005,MATCH(J732,'Crafting recipes'!$A$6:$A$1005,0)),"MISSING ID"),1)),0)=1,IF(B732=IFERROR(INDEX('Crafting recipes'!$H$6:$H$1005,MATCH(J732,'Crafting recipes'!$A$6:$A$1005,0)),"MISSING ID"),"Advances one material tier","Lower-tier ingredient; route advances one tier"),"Needs tier review"))))))</x:f>
        <x:v>Finished endpoint</x:v>
      </x:c>
      <x:c r="S732" s="4" t="str">
        <x:f>IFERROR(INDEX('Material routes'!$D$6:$D$2205,MATCH(U732,'Material routes'!$A$6:$A$2205,0)),"MISSING ID")</x:f>
        <x:v>proposal.collection.counterweight_chain_link</x:v>
      </x:c>
      <x:c r="T732" s="4" t="str">
        <x:f>IFERROR(INDEX('Material routes'!$D$6:$D$2205,MATCH(V732,'Material routes'!$A$6:$A$2205,0)),"MISSING ID")</x:f>
        <x:v>proposal.collection.lifted_counterweight_module</x:v>
      </x:c>
      <x:c r="U732" s="4" t="str">
        <x:v>design.collection.lifted_counterweight_module.in.2</x:v>
      </x:c>
      <x:c r="V732" s="4" t="str">
        <x:v>design.collection.lifted_counterweight_module.out</x:v>
      </x:c>
    </x:row>
    <x:row r="733" ht="64" customHeight="1">
      <x:c r="A733" s="4" t="str">
        <x:f>IFERROR(INDEX('Material routes'!$E$6:$E$2205,MATCH(U733,'Material routes'!$A$6:$A$2205,0)),"MISSING ID")</x:f>
        <x:v>Grooved lift pulley</x:v>
      </x:c>
      <x:c r="B733" s="4" t="str">
        <x:f>IFERROR(INDEX('Material routes'!$F$6:$F$2205,MATCH(U733,'Material routes'!$A$6:$A$2205,0)),"MISSING ID")</x:f>
        <x:v>T3</x:v>
      </x:c>
      <x:c r="C733" s="4" t="str">
        <x:f>IFERROR(INDEX('Material routes'!$H$6:$H$2205,MATCH(U733,'Material routes'!$A$6:$A$2205,0)),"MISSING ID")</x:f>
        <x:v>Machine part</x:v>
      </x:c>
      <x:c r="D733" s="4" t="str">
        <x:f>IFERROR(INDEX('Material routes'!$G$6:$G$2205,MATCH(U733,'Material routes'!$A$6:$A$2205,0)),"MISSING ID")</x:f>
        <x:v>Crafting components</x:v>
      </x:c>
      <x:c r="E733" s="4" t="str">
        <x:f>IFERROR(INDEX('Material routes'!$C$6:$C$2205,MATCH(U733,'Material routes'!$A$6:$A$2205,0)),"MISSING ID")</x:f>
        <x:v>Ingredient candidate</x:v>
      </x:c>
      <x:c r="F733" s="4" t="str">
        <x:f>IFERROR(INDEX('Material routes'!$E$6:$E$2205,MATCH(V733,'Material routes'!$A$6:$A$2205,0)),"MISSING ID")</x:f>
        <x:v>Lifted counterweight module</x:v>
      </x:c>
      <x:c r="G733" s="4" t="str">
        <x:f>IFERROR(INDEX('Material routes'!$F$6:$F$2205,MATCH(V733,'Material routes'!$A$6:$A$2205,0)),"MISSING ID")</x:f>
        <x:v>Not applicable</x:v>
      </x:c>
      <x:c r="H733" s="4" t="str">
        <x:f>IFERROR(INDEX('Material routes'!$H$6:$H$2205,MATCH(V733,'Material routes'!$A$6:$A$2205,0)),"MISSING ID")</x:f>
        <x:v>Energy storage</x:v>
      </x:c>
      <x:c r="I733" s="4" t="str">
        <x:f>IFERROR(INDEX('Material routes'!$G$6:$G$2205,MATCH(V733,'Material routes'!$A$6:$A$2205,0)),"MISSING ID")</x:f>
        <x:v>Crafting components</x:v>
      </x:c>
      <x:c r="J733" s="4" t="str">
        <x:f>IFERROR(INDEX('Material routes'!$B$6:$B$2205,MATCH(U733,'Material routes'!$A$6:$A$2205,0)),"MISSING ID")</x:f>
        <x:v>design.collection.lifted_counterweight_module</x:v>
      </x:c>
      <x:c r="K733" s="4" t="str">
        <x:f>IFERROR(INDEX('Crafting recipes'!$C$6:$C$1005,MATCH(J733,'Crafting recipes'!$A$6:$A$1005,0)),"MISSING ID")</x:f>
        <x:v>Finished-item crafting</x:v>
      </x:c>
      <x:c r="L733" s="4" t="str">
        <x:f>IFERROR(INDEX('Material routes'!$K$6:$K$2205,MATCH(U733,'Material routes'!$A$6:$A$2205,0)),"MISSING ID")</x:f>
        <x:v>Proposal</x:v>
      </x:c>
      <x:c r="M733" s="4" t="str">
        <x:f>IFERROR(INDEX('Material routes'!$M$6:$M$2205,MATCH(U733,'Material routes'!$A$6:$A$2205,0)),"MISSING ID")</x:f>
        <x:v>Partial proposal</x:v>
      </x:c>
      <x:c r="N733" s="4"/>
      <x:c r="O733" s="4" t="str">
        <x:f>IFERROR(INDEX('Material routes'!$J$6:$J$2205,MATCH(U733,'Material routes'!$A$6:$A$2205,0)),"MISSING ID")</x:f>
        <x:v>Unspecified</x:v>
      </x:c>
      <x:c r="P733" s="4"/>
      <x:c r="Q733" s="4" t="str">
        <x:f>IFERROR(INDEX('Material routes'!$J$6:$J$2205,MATCH(V733,'Material routes'!$A$6:$A$2205,0)),"MISSING ID")</x:f>
        <x:v>Unspecified</x:v>
      </x:c>
      <x:c r="R733" s="4" t="str">
        <x:f>IF(L733="Withheld","Withheld premise",IF(E733="Tool candidate","Reusable prerequisite",IF(K733="Raw entry preparation","Entry-resource preparation",IF(G733="Not applicable",IF(IFERROR(INDEX('Items'!$AI$6:$AI$1005,MATCH(T733,'Items'!$A$6:$A$1005,0)),"MISSING ID")="Finished item","Finished endpoint",IF(IFERROR(INDEX('Items'!$AI$6:$AI$1005,MATCH(T733,'Items'!$A$6:$A$1005,0)),"MISSING ID")="Currency","Currency / no refinement tier","Recovered output / tier not applicable")),IF(OR(IFERROR(INDEX('Crafting recipes'!$H$6:$H$1005,MATCH(J733,'Crafting recipes'!$A$6:$A$1005,0)),"MISSING ID")="Unassigned",G733="Unassigned"),"Tier unresolved",IF(IFERROR(VALUE(RIGHT(G733,1))-VALUE(RIGHT(IFERROR(INDEX('Crafting recipes'!$H$6:$H$1005,MATCH(J733,'Crafting recipes'!$A$6:$A$1005,0)),"MISSING ID"),1)),0)=1,IF(B733=IFERROR(INDEX('Crafting recipes'!$H$6:$H$1005,MATCH(J733,'Crafting recipes'!$A$6:$A$1005,0)),"MISSING ID"),"Advances one material tier","Lower-tier ingredient; route advances one tier"),"Needs tier review"))))))</x:f>
        <x:v>Finished endpoint</x:v>
      </x:c>
      <x:c r="S733" s="4" t="str">
        <x:f>IFERROR(INDEX('Material routes'!$D$6:$D$2205,MATCH(U733,'Material routes'!$A$6:$A$2205,0)),"MISSING ID")</x:f>
        <x:v>proposal.collection.grooved_lift_pulley</x:v>
      </x:c>
      <x:c r="T733" s="4" t="str">
        <x:f>IFERROR(INDEX('Material routes'!$D$6:$D$2205,MATCH(V733,'Material routes'!$A$6:$A$2205,0)),"MISSING ID")</x:f>
        <x:v>proposal.collection.lifted_counterweight_module</x:v>
      </x:c>
      <x:c r="U733" s="4" t="str">
        <x:v>design.collection.lifted_counterweight_module.in.3</x:v>
      </x:c>
      <x:c r="V733" s="4" t="str">
        <x:v>design.collection.lifted_counterweight_module.out</x:v>
      </x:c>
    </x:row>
    <x:row r="734" ht="64" customHeight="1">
      <x:c r="A734" s="4" t="str">
        <x:f>IFERROR(INDEX('Material routes'!$E$6:$E$2205,MATCH(U734,'Material routes'!$A$6:$A$2205,0)),"MISSING ID")</x:f>
        <x:v>Counterweight chain link</x:v>
      </x:c>
      <x:c r="B734" s="4" t="str">
        <x:f>IFERROR(INDEX('Material routes'!$F$6:$F$2205,MATCH(U734,'Material routes'!$A$6:$A$2205,0)),"MISSING ID")</x:f>
        <x:v>T3</x:v>
      </x:c>
      <x:c r="C734" s="4" t="str">
        <x:f>IFERROR(INDEX('Material routes'!$H$6:$H$2205,MATCH(U734,'Material routes'!$A$6:$A$2205,0)),"MISSING ID")</x:f>
        <x:v>Machine part</x:v>
      </x:c>
      <x:c r="D734" s="4" t="str">
        <x:f>IFERROR(INDEX('Material routes'!$G$6:$G$2205,MATCH(U734,'Material routes'!$A$6:$A$2205,0)),"MISSING ID")</x:f>
        <x:v>Crafting components</x:v>
      </x:c>
      <x:c r="E734" s="4" t="str">
        <x:f>IFERROR(INDEX('Material routes'!$C$6:$C$2205,MATCH(U734,'Material routes'!$A$6:$A$2205,0)),"MISSING ID")</x:f>
        <x:v>Ingredient candidate</x:v>
      </x:c>
      <x:c r="F734" s="4" t="str">
        <x:f>IFERROR(INDEX('Material routes'!$E$6:$E$2205,MATCH(V734,'Material routes'!$A$6:$A$2205,0)),"MISSING ID")</x:f>
        <x:v>Shaft-drop weight train</x:v>
      </x:c>
      <x:c r="G734" s="4" t="str">
        <x:f>IFERROR(INDEX('Material routes'!$F$6:$F$2205,MATCH(V734,'Material routes'!$A$6:$A$2205,0)),"MISSING ID")</x:f>
        <x:v>Not applicable</x:v>
      </x:c>
      <x:c r="H734" s="4" t="str">
        <x:f>IFERROR(INDEX('Material routes'!$H$6:$H$2205,MATCH(V734,'Material routes'!$A$6:$A$2205,0)),"MISSING ID")</x:f>
        <x:v>Energy storage</x:v>
      </x:c>
      <x:c r="I734" s="4" t="str">
        <x:f>IFERROR(INDEX('Material routes'!$G$6:$G$2205,MATCH(V734,'Material routes'!$A$6:$A$2205,0)),"MISSING ID")</x:f>
        <x:v>Salvage</x:v>
      </x:c>
      <x:c r="J734" s="4" t="str">
        <x:f>IFERROR(INDEX('Material routes'!$B$6:$B$2205,MATCH(U734,'Material routes'!$A$6:$A$2205,0)),"MISSING ID")</x:f>
        <x:v>design.collection.shaft_drop_weight_train</x:v>
      </x:c>
      <x:c r="K734" s="4" t="str">
        <x:f>IFERROR(INDEX('Crafting recipes'!$C$6:$C$1005,MATCH(J734,'Crafting recipes'!$A$6:$A$1005,0)),"MISSING ID")</x:f>
        <x:v>Finished-item crafting</x:v>
      </x:c>
      <x:c r="L734" s="4" t="str">
        <x:f>IFERROR(INDEX('Material routes'!$K$6:$K$2205,MATCH(U734,'Material routes'!$A$6:$A$2205,0)),"MISSING ID")</x:f>
        <x:v>Proposal</x:v>
      </x:c>
      <x:c r="M734" s="4" t="str">
        <x:f>IFERROR(INDEX('Material routes'!$M$6:$M$2205,MATCH(U734,'Material routes'!$A$6:$A$2205,0)),"MISSING ID")</x:f>
        <x:v>Partial proposal</x:v>
      </x:c>
      <x:c r="N734" s="4"/>
      <x:c r="O734" s="4" t="str">
        <x:f>IFERROR(INDEX('Material routes'!$J$6:$J$2205,MATCH(U734,'Material routes'!$A$6:$A$2205,0)),"MISSING ID")</x:f>
        <x:v>Unspecified</x:v>
      </x:c>
      <x:c r="P734" s="4"/>
      <x:c r="Q734" s="4" t="str">
        <x:f>IFERROR(INDEX('Material routes'!$J$6:$J$2205,MATCH(V734,'Material routes'!$A$6:$A$2205,0)),"MISSING ID")</x:f>
        <x:v>Unspecified</x:v>
      </x:c>
      <x:c r="R734" s="4" t="str">
        <x:f>IF(L734="Withheld","Withheld premise",IF(E734="Tool candidate","Reusable prerequisite",IF(K734="Raw entry preparation","Entry-resource preparation",IF(G734="Not applicable",IF(IFERROR(INDEX('Items'!$AI$6:$AI$1005,MATCH(T734,'Items'!$A$6:$A$1005,0)),"MISSING ID")="Finished item","Finished endpoint",IF(IFERROR(INDEX('Items'!$AI$6:$AI$1005,MATCH(T734,'Items'!$A$6:$A$1005,0)),"MISSING ID")="Currency","Currency / no refinement tier","Recovered output / tier not applicable")),IF(OR(IFERROR(INDEX('Crafting recipes'!$H$6:$H$1005,MATCH(J734,'Crafting recipes'!$A$6:$A$1005,0)),"MISSING ID")="Unassigned",G734="Unassigned"),"Tier unresolved",IF(IFERROR(VALUE(RIGHT(G734,1))-VALUE(RIGHT(IFERROR(INDEX('Crafting recipes'!$H$6:$H$1005,MATCH(J734,'Crafting recipes'!$A$6:$A$1005,0)),"MISSING ID"),1)),0)=1,IF(B734=IFERROR(INDEX('Crafting recipes'!$H$6:$H$1005,MATCH(J734,'Crafting recipes'!$A$6:$A$1005,0)),"MISSING ID"),"Advances one material tier","Lower-tier ingredient; route advances one tier"),"Needs tier review"))))))</x:f>
        <x:v>Finished endpoint</x:v>
      </x:c>
      <x:c r="S734" s="4" t="str">
        <x:f>IFERROR(INDEX('Material routes'!$D$6:$D$2205,MATCH(U734,'Material routes'!$A$6:$A$2205,0)),"MISSING ID")</x:f>
        <x:v>proposal.collection.counterweight_chain_link</x:v>
      </x:c>
      <x:c r="T734" s="4" t="str">
        <x:f>IFERROR(INDEX('Material routes'!$D$6:$D$2205,MATCH(V734,'Material routes'!$A$6:$A$2205,0)),"MISSING ID")</x:f>
        <x:v>proposal.collection.shaft_drop_weight_train</x:v>
      </x:c>
      <x:c r="U734" s="4" t="str">
        <x:v>design.collection.shaft_drop_weight_train.in.1</x:v>
      </x:c>
      <x:c r="V734" s="4" t="str">
        <x:v>design.collection.shaft_drop_weight_train.out</x:v>
      </x:c>
    </x:row>
    <x:row r="735" ht="64" customHeight="1">
      <x:c r="A735" s="4" t="str">
        <x:f>IFERROR(INDEX('Material routes'!$E$6:$E$2205,MATCH(U735,'Material routes'!$A$6:$A$2205,0)),"MISSING ID")</x:f>
        <x:v>Steel stock</x:v>
      </x:c>
      <x:c r="B735" s="4" t="str">
        <x:f>IFERROR(INDEX('Material routes'!$F$6:$F$2205,MATCH(U735,'Material routes'!$A$6:$A$2205,0)),"MISSING ID")</x:f>
        <x:v>T2</x:v>
      </x:c>
      <x:c r="C735" s="4" t="str">
        <x:f>IFERROR(INDEX('Material routes'!$H$6:$H$2205,MATCH(U735,'Material routes'!$A$6:$A$2205,0)),"MISSING ID")</x:f>
        <x:v>Processed material</x:v>
      </x:c>
      <x:c r="D735" s="4" t="str">
        <x:f>IFERROR(INDEX('Material routes'!$G$6:$G$2205,MATCH(U735,'Material routes'!$A$6:$A$2205,0)),"MISSING ID")</x:f>
        <x:v>Manufactured stock</x:v>
      </x:c>
      <x:c r="E735" s="4" t="str">
        <x:f>IFERROR(INDEX('Material routes'!$C$6:$C$2205,MATCH(U735,'Material routes'!$A$6:$A$2205,0)),"MISSING ID")</x:f>
        <x:v>Ingredient candidate</x:v>
      </x:c>
      <x:c r="F735" s="4" t="str">
        <x:f>IFERROR(INDEX('Material routes'!$E$6:$E$2205,MATCH(V735,'Material routes'!$A$6:$A$2205,0)),"MISSING ID")</x:f>
        <x:v>Shaft-drop weight train</x:v>
      </x:c>
      <x:c r="G735" s="4" t="str">
        <x:f>IFERROR(INDEX('Material routes'!$F$6:$F$2205,MATCH(V735,'Material routes'!$A$6:$A$2205,0)),"MISSING ID")</x:f>
        <x:v>Not applicable</x:v>
      </x:c>
      <x:c r="H735" s="4" t="str">
        <x:f>IFERROR(INDEX('Material routes'!$H$6:$H$2205,MATCH(V735,'Material routes'!$A$6:$A$2205,0)),"MISSING ID")</x:f>
        <x:v>Energy storage</x:v>
      </x:c>
      <x:c r="I735" s="4" t="str">
        <x:f>IFERROR(INDEX('Material routes'!$G$6:$G$2205,MATCH(V735,'Material routes'!$A$6:$A$2205,0)),"MISSING ID")</x:f>
        <x:v>Salvage</x:v>
      </x:c>
      <x:c r="J735" s="4" t="str">
        <x:f>IFERROR(INDEX('Material routes'!$B$6:$B$2205,MATCH(U735,'Material routes'!$A$6:$A$2205,0)),"MISSING ID")</x:f>
        <x:v>design.collection.shaft_drop_weight_train</x:v>
      </x:c>
      <x:c r="K735" s="4" t="str">
        <x:f>IFERROR(INDEX('Crafting recipes'!$C$6:$C$1005,MATCH(J735,'Crafting recipes'!$A$6:$A$1005,0)),"MISSING ID")</x:f>
        <x:v>Finished-item crafting</x:v>
      </x:c>
      <x:c r="L735" s="4" t="str">
        <x:f>IFERROR(INDEX('Material routes'!$K$6:$K$2205,MATCH(U735,'Material routes'!$A$6:$A$2205,0)),"MISSING ID")</x:f>
        <x:v>Proposal</x:v>
      </x:c>
      <x:c r="M735" s="4" t="str">
        <x:f>IFERROR(INDEX('Material routes'!$M$6:$M$2205,MATCH(U735,'Material routes'!$A$6:$A$2205,0)),"MISSING ID")</x:f>
        <x:v>Partial proposal</x:v>
      </x:c>
      <x:c r="N735" s="4"/>
      <x:c r="O735" s="4" t="str">
        <x:f>IFERROR(INDEX('Material routes'!$J$6:$J$2205,MATCH(U735,'Material routes'!$A$6:$A$2205,0)),"MISSING ID")</x:f>
        <x:v>Unspecified</x:v>
      </x:c>
      <x:c r="P735" s="4"/>
      <x:c r="Q735" s="4" t="str">
        <x:f>IFERROR(INDEX('Material routes'!$J$6:$J$2205,MATCH(V735,'Material routes'!$A$6:$A$2205,0)),"MISSING ID")</x:f>
        <x:v>Unspecified</x:v>
      </x:c>
      <x:c r="R735" s="4" t="str">
        <x:f>IF(L735="Withheld","Withheld premise",IF(E735="Tool candidate","Reusable prerequisite",IF(K735="Raw entry preparation","Entry-resource preparation",IF(G735="Not applicable",IF(IFERROR(INDEX('Items'!$AI$6:$AI$1005,MATCH(T735,'Items'!$A$6:$A$1005,0)),"MISSING ID")="Finished item","Finished endpoint",IF(IFERROR(INDEX('Items'!$AI$6:$AI$1005,MATCH(T735,'Items'!$A$6:$A$1005,0)),"MISSING ID")="Currency","Currency / no refinement tier","Recovered output / tier not applicable")),IF(OR(IFERROR(INDEX('Crafting recipes'!$H$6:$H$1005,MATCH(J735,'Crafting recipes'!$A$6:$A$1005,0)),"MISSING ID")="Unassigned",G735="Unassigned"),"Tier unresolved",IF(IFERROR(VALUE(RIGHT(G735,1))-VALUE(RIGHT(IFERROR(INDEX('Crafting recipes'!$H$6:$H$1005,MATCH(J735,'Crafting recipes'!$A$6:$A$1005,0)),"MISSING ID"),1)),0)=1,IF(B735=IFERROR(INDEX('Crafting recipes'!$H$6:$H$1005,MATCH(J735,'Crafting recipes'!$A$6:$A$1005,0)),"MISSING ID"),"Advances one material tier","Lower-tier ingredient; route advances one tier"),"Needs tier review"))))))</x:f>
        <x:v>Finished endpoint</x:v>
      </x:c>
      <x:c r="S735" s="4" t="str">
        <x:f>IFERROR(INDEX('Material routes'!$D$6:$D$2205,MATCH(U735,'Material routes'!$A$6:$A$2205,0)),"MISSING ID")</x:f>
        <x:v>author.metallurgy.steel_stock</x:v>
      </x:c>
      <x:c r="T735" s="4" t="str">
        <x:f>IFERROR(INDEX('Material routes'!$D$6:$D$2205,MATCH(V735,'Material routes'!$A$6:$A$2205,0)),"MISSING ID")</x:f>
        <x:v>proposal.collection.shaft_drop_weight_train</x:v>
      </x:c>
      <x:c r="U735" s="4" t="str">
        <x:v>design.collection.shaft_drop_weight_train.in.2</x:v>
      </x:c>
      <x:c r="V735" s="4" t="str">
        <x:v>design.collection.shaft_drop_weight_train.out</x:v>
      </x:c>
    </x:row>
    <x:row r="736" ht="64" customHeight="1">
      <x:c r="A736" s="4" t="str">
        <x:f>IFERROR(INDEX('Material routes'!$E$6:$E$2205,MATCH(U736,'Material routes'!$A$6:$A$2205,0)),"MISSING ID")</x:f>
        <x:v>Steel stock</x:v>
      </x:c>
      <x:c r="B736" s="4" t="str">
        <x:f>IFERROR(INDEX('Material routes'!$F$6:$F$2205,MATCH(U736,'Material routes'!$A$6:$A$2205,0)),"MISSING ID")</x:f>
        <x:v>T2</x:v>
      </x:c>
      <x:c r="C736" s="4" t="str">
        <x:f>IFERROR(INDEX('Material routes'!$H$6:$H$2205,MATCH(U736,'Material routes'!$A$6:$A$2205,0)),"MISSING ID")</x:f>
        <x:v>Processed material</x:v>
      </x:c>
      <x:c r="D736" s="4" t="str">
        <x:f>IFERROR(INDEX('Material routes'!$G$6:$G$2205,MATCH(U736,'Material routes'!$A$6:$A$2205,0)),"MISSING ID")</x:f>
        <x:v>Manufactured stock</x:v>
      </x:c>
      <x:c r="E736" s="4" t="str">
        <x:f>IFERROR(INDEX('Material routes'!$C$6:$C$2205,MATCH(U736,'Material routes'!$A$6:$A$2205,0)),"MISSING ID")</x:f>
        <x:v>Ingredient candidate</x:v>
      </x:c>
      <x:c r="F736" s="4" t="str">
        <x:f>IFERROR(INDEX('Material routes'!$E$6:$E$2205,MATCH(V736,'Material routes'!$A$6:$A$2205,0)),"MISSING ID")</x:f>
        <x:v>Sealed pressure accumulator</x:v>
      </x:c>
      <x:c r="G736" s="4" t="str">
        <x:f>IFERROR(INDEX('Material routes'!$F$6:$F$2205,MATCH(V736,'Material routes'!$A$6:$A$2205,0)),"MISSING ID")</x:f>
        <x:v>Not applicable</x:v>
      </x:c>
      <x:c r="H736" s="4" t="str">
        <x:f>IFERROR(INDEX('Material routes'!$H$6:$H$2205,MATCH(V736,'Material routes'!$A$6:$A$2205,0)),"MISSING ID")</x:f>
        <x:v>Energy storage</x:v>
      </x:c>
      <x:c r="I736" s="4" t="str">
        <x:f>IFERROR(INDEX('Material routes'!$G$6:$G$2205,MATCH(V736,'Material routes'!$A$6:$A$2205,0)),"MISSING ID")</x:f>
        <x:v>Crafting components</x:v>
      </x:c>
      <x:c r="J736" s="4" t="str">
        <x:f>IFERROR(INDEX('Material routes'!$B$6:$B$2205,MATCH(U736,'Material routes'!$A$6:$A$2205,0)),"MISSING ID")</x:f>
        <x:v>design.collection.sealed_pressure_accumulator</x:v>
      </x:c>
      <x:c r="K736" s="4" t="str">
        <x:f>IFERROR(INDEX('Crafting recipes'!$C$6:$C$1005,MATCH(J736,'Crafting recipes'!$A$6:$A$1005,0)),"MISSING ID")</x:f>
        <x:v>Finished-item crafting</x:v>
      </x:c>
      <x:c r="L736" s="4" t="str">
        <x:f>IFERROR(INDEX('Material routes'!$K$6:$K$2205,MATCH(U736,'Material routes'!$A$6:$A$2205,0)),"MISSING ID")</x:f>
        <x:v>Proposal</x:v>
      </x:c>
      <x:c r="M736" s="4" t="str">
        <x:f>IFERROR(INDEX('Material routes'!$M$6:$M$2205,MATCH(U736,'Material routes'!$A$6:$A$2205,0)),"MISSING ID")</x:f>
        <x:v>Partial proposal</x:v>
      </x:c>
      <x:c r="N736" s="4"/>
      <x:c r="O736" s="4" t="str">
        <x:f>IFERROR(INDEX('Material routes'!$J$6:$J$2205,MATCH(U736,'Material routes'!$A$6:$A$2205,0)),"MISSING ID")</x:f>
        <x:v>Unspecified</x:v>
      </x:c>
      <x:c r="P736" s="4"/>
      <x:c r="Q736" s="4" t="str">
        <x:f>IFERROR(INDEX('Material routes'!$J$6:$J$2205,MATCH(V736,'Material routes'!$A$6:$A$2205,0)),"MISSING ID")</x:f>
        <x:v>Unspecified</x:v>
      </x:c>
      <x:c r="R736" s="4" t="str">
        <x:f>IF(L736="Withheld","Withheld premise",IF(E736="Tool candidate","Reusable prerequisite",IF(K736="Raw entry preparation","Entry-resource preparation",IF(G736="Not applicable",IF(IFERROR(INDEX('Items'!$AI$6:$AI$1005,MATCH(T736,'Items'!$A$6:$A$1005,0)),"MISSING ID")="Finished item","Finished endpoint",IF(IFERROR(INDEX('Items'!$AI$6:$AI$1005,MATCH(T736,'Items'!$A$6:$A$1005,0)),"MISSING ID")="Currency","Currency / no refinement tier","Recovered output / tier not applicable")),IF(OR(IFERROR(INDEX('Crafting recipes'!$H$6:$H$1005,MATCH(J736,'Crafting recipes'!$A$6:$A$1005,0)),"MISSING ID")="Unassigned",G736="Unassigned"),"Tier unresolved",IF(IFERROR(VALUE(RIGHT(G736,1))-VALUE(RIGHT(IFERROR(INDEX('Crafting recipes'!$H$6:$H$1005,MATCH(J736,'Crafting recipes'!$A$6:$A$1005,0)),"MISSING ID"),1)),0)=1,IF(B736=IFERROR(INDEX('Crafting recipes'!$H$6:$H$1005,MATCH(J736,'Crafting recipes'!$A$6:$A$1005,0)),"MISSING ID"),"Advances one material tier","Lower-tier ingredient; route advances one tier"),"Needs tier review"))))))</x:f>
        <x:v>Finished endpoint</x:v>
      </x:c>
      <x:c r="S736" s="4" t="str">
        <x:f>IFERROR(INDEX('Material routes'!$D$6:$D$2205,MATCH(U736,'Material routes'!$A$6:$A$2205,0)),"MISSING ID")</x:f>
        <x:v>author.metallurgy.steel_stock</x:v>
      </x:c>
      <x:c r="T736" s="4" t="str">
        <x:f>IFERROR(INDEX('Material routes'!$D$6:$D$2205,MATCH(V736,'Material routes'!$A$6:$A$2205,0)),"MISSING ID")</x:f>
        <x:v>proposal.collection.sealed_pressure_accumulator</x:v>
      </x:c>
      <x:c r="U736" s="4" t="str">
        <x:v>design.collection.sealed_pressure_accumulator.in.1</x:v>
      </x:c>
      <x:c r="V736" s="4" t="str">
        <x:v>design.collection.sealed_pressure_accumulator.out</x:v>
      </x:c>
    </x:row>
    <x:row r="737" ht="64" customHeight="1">
      <x:c r="A737" s="4" t="str">
        <x:f>IFERROR(INDEX('Material routes'!$E$6:$E$2205,MATCH(U737,'Material routes'!$A$6:$A$2205,0)),"MISSING ID")</x:f>
        <x:v>Spring-seated check valve</x:v>
      </x:c>
      <x:c r="B737" s="4" t="str">
        <x:f>IFERROR(INDEX('Material routes'!$F$6:$F$2205,MATCH(U737,'Material routes'!$A$6:$A$2205,0)),"MISSING ID")</x:f>
        <x:v>T4</x:v>
      </x:c>
      <x:c r="C737" s="4" t="str">
        <x:f>IFERROR(INDEX('Material routes'!$H$6:$H$2205,MATCH(U737,'Material routes'!$A$6:$A$2205,0)),"MISSING ID")</x:f>
        <x:v>Machine part</x:v>
      </x:c>
      <x:c r="D737" s="4" t="str">
        <x:f>IFERROR(INDEX('Material routes'!$G$6:$G$2205,MATCH(U737,'Material routes'!$A$6:$A$2205,0)),"MISSING ID")</x:f>
        <x:v>Crafting components</x:v>
      </x:c>
      <x:c r="E737" s="4" t="str">
        <x:f>IFERROR(INDEX('Material routes'!$C$6:$C$2205,MATCH(U737,'Material routes'!$A$6:$A$2205,0)),"MISSING ID")</x:f>
        <x:v>Ingredient candidate</x:v>
      </x:c>
      <x:c r="F737" s="4" t="str">
        <x:f>IFERROR(INDEX('Material routes'!$E$6:$E$2205,MATCH(V737,'Material routes'!$A$6:$A$2205,0)),"MISSING ID")</x:f>
        <x:v>Sealed pressure accumulator</x:v>
      </x:c>
      <x:c r="G737" s="4" t="str">
        <x:f>IFERROR(INDEX('Material routes'!$F$6:$F$2205,MATCH(V737,'Material routes'!$A$6:$A$2205,0)),"MISSING ID")</x:f>
        <x:v>Not applicable</x:v>
      </x:c>
      <x:c r="H737" s="4" t="str">
        <x:f>IFERROR(INDEX('Material routes'!$H$6:$H$2205,MATCH(V737,'Material routes'!$A$6:$A$2205,0)),"MISSING ID")</x:f>
        <x:v>Energy storage</x:v>
      </x:c>
      <x:c r="I737" s="4" t="str">
        <x:f>IFERROR(INDEX('Material routes'!$G$6:$G$2205,MATCH(V737,'Material routes'!$A$6:$A$2205,0)),"MISSING ID")</x:f>
        <x:v>Crafting components</x:v>
      </x:c>
      <x:c r="J737" s="4" t="str">
        <x:f>IFERROR(INDEX('Material routes'!$B$6:$B$2205,MATCH(U737,'Material routes'!$A$6:$A$2205,0)),"MISSING ID")</x:f>
        <x:v>design.collection.sealed_pressure_accumulator</x:v>
      </x:c>
      <x:c r="K737" s="4" t="str">
        <x:f>IFERROR(INDEX('Crafting recipes'!$C$6:$C$1005,MATCH(J737,'Crafting recipes'!$A$6:$A$1005,0)),"MISSING ID")</x:f>
        <x:v>Finished-item crafting</x:v>
      </x:c>
      <x:c r="L737" s="4" t="str">
        <x:f>IFERROR(INDEX('Material routes'!$K$6:$K$2205,MATCH(U737,'Material routes'!$A$6:$A$2205,0)),"MISSING ID")</x:f>
        <x:v>Proposal</x:v>
      </x:c>
      <x:c r="M737" s="4" t="str">
        <x:f>IFERROR(INDEX('Material routes'!$M$6:$M$2205,MATCH(U737,'Material routes'!$A$6:$A$2205,0)),"MISSING ID")</x:f>
        <x:v>Partial proposal</x:v>
      </x:c>
      <x:c r="N737" s="4"/>
      <x:c r="O737" s="4" t="str">
        <x:f>IFERROR(INDEX('Material routes'!$J$6:$J$2205,MATCH(U737,'Material routes'!$A$6:$A$2205,0)),"MISSING ID")</x:f>
        <x:v>Unspecified</x:v>
      </x:c>
      <x:c r="P737" s="4"/>
      <x:c r="Q737" s="4" t="str">
        <x:f>IFERROR(INDEX('Material routes'!$J$6:$J$2205,MATCH(V737,'Material routes'!$A$6:$A$2205,0)),"MISSING ID")</x:f>
        <x:v>Unspecified</x:v>
      </x:c>
      <x:c r="R737" s="4" t="str">
        <x:f>IF(L737="Withheld","Withheld premise",IF(E737="Tool candidate","Reusable prerequisite",IF(K737="Raw entry preparation","Entry-resource preparation",IF(G737="Not applicable",IF(IFERROR(INDEX('Items'!$AI$6:$AI$1005,MATCH(T737,'Items'!$A$6:$A$1005,0)),"MISSING ID")="Finished item","Finished endpoint",IF(IFERROR(INDEX('Items'!$AI$6:$AI$1005,MATCH(T737,'Items'!$A$6:$A$1005,0)),"MISSING ID")="Currency","Currency / no refinement tier","Recovered output / tier not applicable")),IF(OR(IFERROR(INDEX('Crafting recipes'!$H$6:$H$1005,MATCH(J737,'Crafting recipes'!$A$6:$A$1005,0)),"MISSING ID")="Unassigned",G737="Unassigned"),"Tier unresolved",IF(IFERROR(VALUE(RIGHT(G737,1))-VALUE(RIGHT(IFERROR(INDEX('Crafting recipes'!$H$6:$H$1005,MATCH(J737,'Crafting recipes'!$A$6:$A$1005,0)),"MISSING ID"),1)),0)=1,IF(B737=IFERROR(INDEX('Crafting recipes'!$H$6:$H$1005,MATCH(J737,'Crafting recipes'!$A$6:$A$1005,0)),"MISSING ID"),"Advances one material tier","Lower-tier ingredient; route advances one tier"),"Needs tier review"))))))</x:f>
        <x:v>Finished endpoint</x:v>
      </x:c>
      <x:c r="S737" s="4" t="str">
        <x:f>IFERROR(INDEX('Material routes'!$D$6:$D$2205,MATCH(U737,'Material routes'!$A$6:$A$2205,0)),"MISSING ID")</x:f>
        <x:v>proposal.collection.spring_seated_check_valve</x:v>
      </x:c>
      <x:c r="T737" s="4" t="str">
        <x:f>IFERROR(INDEX('Material routes'!$D$6:$D$2205,MATCH(V737,'Material routes'!$A$6:$A$2205,0)),"MISSING ID")</x:f>
        <x:v>proposal.collection.sealed_pressure_accumulator</x:v>
      </x:c>
      <x:c r="U737" s="4" t="str">
        <x:v>design.collection.sealed_pressure_accumulator.in.2</x:v>
      </x:c>
      <x:c r="V737" s="4" t="str">
        <x:v>design.collection.sealed_pressure_accumulator.out</x:v>
      </x:c>
    </x:row>
    <x:row r="738" ht="64" customHeight="1">
      <x:c r="A738" s="4" t="str">
        <x:f>IFERROR(INDEX('Material routes'!$E$6:$E$2205,MATCH(U738,'Material routes'!$A$6:$A$2205,0)),"MISSING ID")</x:f>
        <x:v>Dense heat-holding stone</x:v>
      </x:c>
      <x:c r="B738" s="4" t="str">
        <x:f>IFERROR(INDEX('Material routes'!$F$6:$F$2205,MATCH(U738,'Material routes'!$A$6:$A$2205,0)),"MISSING ID")</x:f>
        <x:v>T0</x:v>
      </x:c>
      <x:c r="C738" s="4" t="str">
        <x:f>IFERROR(INDEX('Material routes'!$H$6:$H$2205,MATCH(U738,'Material routes'!$A$6:$A$2205,0)),"MISSING ID")</x:f>
        <x:v>Raw material</x:v>
      </x:c>
      <x:c r="D738" s="4" t="str">
        <x:f>IFERROR(INDEX('Material routes'!$G$6:$G$2205,MATCH(U738,'Material routes'!$A$6:$A$2205,0)),"MISSING ID")</x:f>
        <x:v>Crafting components</x:v>
      </x:c>
      <x:c r="E738" s="4" t="str">
        <x:f>IFERROR(INDEX('Material routes'!$C$6:$C$2205,MATCH(U738,'Material routes'!$A$6:$A$2205,0)),"MISSING ID")</x:f>
        <x:v>Ingredient candidate</x:v>
      </x:c>
      <x:c r="F738" s="4" t="str">
        <x:f>IFERROR(INDEX('Material routes'!$E$6:$E$2205,MATCH(V738,'Material routes'!$A$6:$A$2205,0)),"MISSING ID")</x:f>
        <x:v>Packed-stone thermal block</x:v>
      </x:c>
      <x:c r="G738" s="4" t="str">
        <x:f>IFERROR(INDEX('Material routes'!$F$6:$F$2205,MATCH(V738,'Material routes'!$A$6:$A$2205,0)),"MISSING ID")</x:f>
        <x:v>Not applicable</x:v>
      </x:c>
      <x:c r="H738" s="4" t="str">
        <x:f>IFERROR(INDEX('Material routes'!$H$6:$H$2205,MATCH(V738,'Material routes'!$A$6:$A$2205,0)),"MISSING ID")</x:f>
        <x:v>Energy storage</x:v>
      </x:c>
      <x:c r="I738" s="4" t="str">
        <x:f>IFERROR(INDEX('Material routes'!$G$6:$G$2205,MATCH(V738,'Material routes'!$A$6:$A$2205,0)),"MISSING ID")</x:f>
        <x:v>Crafting components</x:v>
      </x:c>
      <x:c r="J738" s="4" t="str">
        <x:f>IFERROR(INDEX('Material routes'!$B$6:$B$2205,MATCH(U738,'Material routes'!$A$6:$A$2205,0)),"MISSING ID")</x:f>
        <x:v>design.collection.packed_stone_thermal_block</x:v>
      </x:c>
      <x:c r="K738" s="4" t="str">
        <x:f>IFERROR(INDEX('Crafting recipes'!$C$6:$C$1005,MATCH(J738,'Crafting recipes'!$A$6:$A$1005,0)),"MISSING ID")</x:f>
        <x:v>Finished-item crafting</x:v>
      </x:c>
      <x:c r="L738" s="4" t="str">
        <x:f>IFERROR(INDEX('Material routes'!$K$6:$K$2205,MATCH(U738,'Material routes'!$A$6:$A$2205,0)),"MISSING ID")</x:f>
        <x:v>Proposal</x:v>
      </x:c>
      <x:c r="M738" s="4" t="str">
        <x:f>IFERROR(INDEX('Material routes'!$M$6:$M$2205,MATCH(U738,'Material routes'!$A$6:$A$2205,0)),"MISSING ID")</x:f>
        <x:v>Partial proposal</x:v>
      </x:c>
      <x:c r="N738" s="4"/>
      <x:c r="O738" s="4" t="str">
        <x:f>IFERROR(INDEX('Material routes'!$J$6:$J$2205,MATCH(U738,'Material routes'!$A$6:$A$2205,0)),"MISSING ID")</x:f>
        <x:v>Unspecified</x:v>
      </x:c>
      <x:c r="P738" s="4"/>
      <x:c r="Q738" s="4" t="str">
        <x:f>IFERROR(INDEX('Material routes'!$J$6:$J$2205,MATCH(V738,'Material routes'!$A$6:$A$2205,0)),"MISSING ID")</x:f>
        <x:v>Unspecified</x:v>
      </x:c>
      <x:c r="R738" s="4" t="str">
        <x:f>IF(L738="Withheld","Withheld premise",IF(E738="Tool candidate","Reusable prerequisite",IF(K738="Raw entry preparation","Entry-resource preparation",IF(G738="Not applicable",IF(IFERROR(INDEX('Items'!$AI$6:$AI$1005,MATCH(T738,'Items'!$A$6:$A$1005,0)),"MISSING ID")="Finished item","Finished endpoint",IF(IFERROR(INDEX('Items'!$AI$6:$AI$1005,MATCH(T738,'Items'!$A$6:$A$1005,0)),"MISSING ID")="Currency","Currency / no refinement tier","Recovered output / tier not applicable")),IF(OR(IFERROR(INDEX('Crafting recipes'!$H$6:$H$1005,MATCH(J738,'Crafting recipes'!$A$6:$A$1005,0)),"MISSING ID")="Unassigned",G738="Unassigned"),"Tier unresolved",IF(IFERROR(VALUE(RIGHT(G738,1))-VALUE(RIGHT(IFERROR(INDEX('Crafting recipes'!$H$6:$H$1005,MATCH(J738,'Crafting recipes'!$A$6:$A$1005,0)),"MISSING ID"),1)),0)=1,IF(B738=IFERROR(INDEX('Crafting recipes'!$H$6:$H$1005,MATCH(J738,'Crafting recipes'!$A$6:$A$1005,0)),"MISSING ID"),"Advances one material tier","Lower-tier ingredient; route advances one tier"),"Needs tier review"))))))</x:f>
        <x:v>Finished endpoint</x:v>
      </x:c>
      <x:c r="S738" s="4" t="str">
        <x:f>IFERROR(INDEX('Material routes'!$D$6:$D$2205,MATCH(U738,'Material routes'!$A$6:$A$2205,0)),"MISSING ID")</x:f>
        <x:v>proposal.collection.dense_heat_holding_stone</x:v>
      </x:c>
      <x:c r="T738" s="4" t="str">
        <x:f>IFERROR(INDEX('Material routes'!$D$6:$D$2205,MATCH(V738,'Material routes'!$A$6:$A$2205,0)),"MISSING ID")</x:f>
        <x:v>proposal.collection.packed_stone_thermal_block</x:v>
      </x:c>
      <x:c r="U738" s="4" t="str">
        <x:v>design.collection.packed_stone_thermal_block.in.1</x:v>
      </x:c>
      <x:c r="V738" s="4" t="str">
        <x:v>design.collection.packed_stone_thermal_block.out</x:v>
      </x:c>
    </x:row>
    <x:row r="739" ht="64" customHeight="1">
      <x:c r="A739" s="4" t="str">
        <x:f>IFERROR(INDEX('Material routes'!$E$6:$E$2205,MATCH(U739,'Material routes'!$A$6:$A$2205,0)),"MISSING ID")</x:f>
        <x:v>Refractory ceramic stock</x:v>
      </x:c>
      <x:c r="B739" s="4" t="str">
        <x:f>IFERROR(INDEX('Material routes'!$F$6:$F$2205,MATCH(U739,'Material routes'!$A$6:$A$2205,0)),"MISSING ID")</x:f>
        <x:v>T2</x:v>
      </x:c>
      <x:c r="C739" s="4" t="str">
        <x:f>IFERROR(INDEX('Material routes'!$H$6:$H$2205,MATCH(U739,'Material routes'!$A$6:$A$2205,0)),"MISSING ID")</x:f>
        <x:v>Processed material</x:v>
      </x:c>
      <x:c r="D739" s="4" t="str">
        <x:f>IFERROR(INDEX('Material routes'!$G$6:$G$2205,MATCH(U739,'Material routes'!$A$6:$A$2205,0)),"MISSING ID")</x:f>
        <x:v>Manufactured stock</x:v>
      </x:c>
      <x:c r="E739" s="4" t="str">
        <x:f>IFERROR(INDEX('Material routes'!$C$6:$C$2205,MATCH(U739,'Material routes'!$A$6:$A$2205,0)),"MISSING ID")</x:f>
        <x:v>Ingredient candidate</x:v>
      </x:c>
      <x:c r="F739" s="4" t="str">
        <x:f>IFERROR(INDEX('Material routes'!$E$6:$E$2205,MATCH(V739,'Material routes'!$A$6:$A$2205,0)),"MISSING ID")</x:f>
        <x:v>Packed-stone thermal block</x:v>
      </x:c>
      <x:c r="G739" s="4" t="str">
        <x:f>IFERROR(INDEX('Material routes'!$F$6:$F$2205,MATCH(V739,'Material routes'!$A$6:$A$2205,0)),"MISSING ID")</x:f>
        <x:v>Not applicable</x:v>
      </x:c>
      <x:c r="H739" s="4" t="str">
        <x:f>IFERROR(INDEX('Material routes'!$H$6:$H$2205,MATCH(V739,'Material routes'!$A$6:$A$2205,0)),"MISSING ID")</x:f>
        <x:v>Energy storage</x:v>
      </x:c>
      <x:c r="I739" s="4" t="str">
        <x:f>IFERROR(INDEX('Material routes'!$G$6:$G$2205,MATCH(V739,'Material routes'!$A$6:$A$2205,0)),"MISSING ID")</x:f>
        <x:v>Crafting components</x:v>
      </x:c>
      <x:c r="J739" s="4" t="str">
        <x:f>IFERROR(INDEX('Material routes'!$B$6:$B$2205,MATCH(U739,'Material routes'!$A$6:$A$2205,0)),"MISSING ID")</x:f>
        <x:v>design.collection.packed_stone_thermal_block</x:v>
      </x:c>
      <x:c r="K739" s="4" t="str">
        <x:f>IFERROR(INDEX('Crafting recipes'!$C$6:$C$1005,MATCH(J739,'Crafting recipes'!$A$6:$A$1005,0)),"MISSING ID")</x:f>
        <x:v>Finished-item crafting</x:v>
      </x:c>
      <x:c r="L739" s="4" t="str">
        <x:f>IFERROR(INDEX('Material routes'!$K$6:$K$2205,MATCH(U739,'Material routes'!$A$6:$A$2205,0)),"MISSING ID")</x:f>
        <x:v>Proposal</x:v>
      </x:c>
      <x:c r="M739" s="4" t="str">
        <x:f>IFERROR(INDEX('Material routes'!$M$6:$M$2205,MATCH(U739,'Material routes'!$A$6:$A$2205,0)),"MISSING ID")</x:f>
        <x:v>Partial proposal</x:v>
      </x:c>
      <x:c r="N739" s="4"/>
      <x:c r="O739" s="4" t="str">
        <x:f>IFERROR(INDEX('Material routes'!$J$6:$J$2205,MATCH(U739,'Material routes'!$A$6:$A$2205,0)),"MISSING ID")</x:f>
        <x:v>Unspecified</x:v>
      </x:c>
      <x:c r="P739" s="4"/>
      <x:c r="Q739" s="4" t="str">
        <x:f>IFERROR(INDEX('Material routes'!$J$6:$J$2205,MATCH(V739,'Material routes'!$A$6:$A$2205,0)),"MISSING ID")</x:f>
        <x:v>Unspecified</x:v>
      </x:c>
      <x:c r="R739" s="4" t="str">
        <x:f>IF(L739="Withheld","Withheld premise",IF(E739="Tool candidate","Reusable prerequisite",IF(K739="Raw entry preparation","Entry-resource preparation",IF(G739="Not applicable",IF(IFERROR(INDEX('Items'!$AI$6:$AI$1005,MATCH(T739,'Items'!$A$6:$A$1005,0)),"MISSING ID")="Finished item","Finished endpoint",IF(IFERROR(INDEX('Items'!$AI$6:$AI$1005,MATCH(T739,'Items'!$A$6:$A$1005,0)),"MISSING ID")="Currency","Currency / no refinement tier","Recovered output / tier not applicable")),IF(OR(IFERROR(INDEX('Crafting recipes'!$H$6:$H$1005,MATCH(J739,'Crafting recipes'!$A$6:$A$1005,0)),"MISSING ID")="Unassigned",G739="Unassigned"),"Tier unresolved",IF(IFERROR(VALUE(RIGHT(G739,1))-VALUE(RIGHT(IFERROR(INDEX('Crafting recipes'!$H$6:$H$1005,MATCH(J739,'Crafting recipes'!$A$6:$A$1005,0)),"MISSING ID"),1)),0)=1,IF(B739=IFERROR(INDEX('Crafting recipes'!$H$6:$H$1005,MATCH(J739,'Crafting recipes'!$A$6:$A$1005,0)),"MISSING ID"),"Advances one material tier","Lower-tier ingredient; route advances one tier"),"Needs tier review"))))))</x:f>
        <x:v>Finished endpoint</x:v>
      </x:c>
      <x:c r="S739" s="4" t="str">
        <x:f>IFERROR(INDEX('Material routes'!$D$6:$D$2205,MATCH(U739,'Material routes'!$A$6:$A$2205,0)),"MISSING ID")</x:f>
        <x:v>proposal.branch.refractory_ceramic</x:v>
      </x:c>
      <x:c r="T739" s="4" t="str">
        <x:f>IFERROR(INDEX('Material routes'!$D$6:$D$2205,MATCH(V739,'Material routes'!$A$6:$A$2205,0)),"MISSING ID")</x:f>
        <x:v>proposal.collection.packed_stone_thermal_block</x:v>
      </x:c>
      <x:c r="U739" s="4" t="str">
        <x:v>design.collection.packed_stone_thermal_block.in.2</x:v>
      </x:c>
      <x:c r="V739" s="4" t="str">
        <x:v>design.collection.packed_stone_thermal_block.out</x:v>
      </x:c>
    </x:row>
    <x:row r="740" ht="64" customHeight="1">
      <x:c r="A740" s="4" t="str">
        <x:f>IFERROR(INDEX('Material routes'!$E$6:$E$2205,MATCH(U740,'Material routes'!$A$6:$A$2205,0)),"MISSING ID")</x:f>
        <x:v>Graded process salts</x:v>
      </x:c>
      <x:c r="B740" s="4" t="str">
        <x:f>IFERROR(INDEX('Material routes'!$F$6:$F$2205,MATCH(U740,'Material routes'!$A$6:$A$2205,0)),"MISSING ID")</x:f>
        <x:v>T1</x:v>
      </x:c>
      <x:c r="C740" s="4" t="str">
        <x:f>IFERROR(INDEX('Material routes'!$H$6:$H$2205,MATCH(U740,'Material routes'!$A$6:$A$2205,0)),"MISSING ID")</x:f>
        <x:v>Processed material</x:v>
      </x:c>
      <x:c r="D740" s="4" t="str">
        <x:f>IFERROR(INDEX('Material routes'!$G$6:$G$2205,MATCH(U740,'Material routes'!$A$6:$A$2205,0)),"MISSING ID")</x:f>
        <x:v>Manufactured stock</x:v>
      </x:c>
      <x:c r="E740" s="4" t="str">
        <x:f>IFERROR(INDEX('Material routes'!$C$6:$C$2205,MATCH(U740,'Material routes'!$A$6:$A$2205,0)),"MISSING ID")</x:f>
        <x:v>Ingredient candidate</x:v>
      </x:c>
      <x:c r="F740" s="4" t="str">
        <x:f>IFERROR(INDEX('Material routes'!$E$6:$E$2205,MATCH(V740,'Material routes'!$A$6:$A$2205,0)),"MISSING ID")</x:f>
        <x:v>Contained salt heat cell</x:v>
      </x:c>
      <x:c r="G740" s="4" t="str">
        <x:f>IFERROR(INDEX('Material routes'!$F$6:$F$2205,MATCH(V740,'Material routes'!$A$6:$A$2205,0)),"MISSING ID")</x:f>
        <x:v>Not applicable</x:v>
      </x:c>
      <x:c r="H740" s="4" t="str">
        <x:f>IFERROR(INDEX('Material routes'!$H$6:$H$2205,MATCH(V740,'Material routes'!$A$6:$A$2205,0)),"MISSING ID")</x:f>
        <x:v>Energy storage</x:v>
      </x:c>
      <x:c r="I740" s="4" t="str">
        <x:f>IFERROR(INDEX('Material routes'!$G$6:$G$2205,MATCH(V740,'Material routes'!$A$6:$A$2205,0)),"MISSING ID")</x:f>
        <x:v>Crafting components</x:v>
      </x:c>
      <x:c r="J740" s="4" t="str">
        <x:f>IFERROR(INDEX('Material routes'!$B$6:$B$2205,MATCH(U740,'Material routes'!$A$6:$A$2205,0)),"MISSING ID")</x:f>
        <x:v>design.collection.contained_salt_heat_cell</x:v>
      </x:c>
      <x:c r="K740" s="4" t="str">
        <x:f>IFERROR(INDEX('Crafting recipes'!$C$6:$C$1005,MATCH(J740,'Crafting recipes'!$A$6:$A$1005,0)),"MISSING ID")</x:f>
        <x:v>Finished-item crafting</x:v>
      </x:c>
      <x:c r="L740" s="4" t="str">
        <x:f>IFERROR(INDEX('Material routes'!$K$6:$K$2205,MATCH(U740,'Material routes'!$A$6:$A$2205,0)),"MISSING ID")</x:f>
        <x:v>Proposal</x:v>
      </x:c>
      <x:c r="M740" s="4" t="str">
        <x:f>IFERROR(INDEX('Material routes'!$M$6:$M$2205,MATCH(U740,'Material routes'!$A$6:$A$2205,0)),"MISSING ID")</x:f>
        <x:v>Partial proposal</x:v>
      </x:c>
      <x:c r="N740" s="4"/>
      <x:c r="O740" s="4" t="str">
        <x:f>IFERROR(INDEX('Material routes'!$J$6:$J$2205,MATCH(U740,'Material routes'!$A$6:$A$2205,0)),"MISSING ID")</x:f>
        <x:v>Unspecified</x:v>
      </x:c>
      <x:c r="P740" s="4"/>
      <x:c r="Q740" s="4" t="str">
        <x:f>IFERROR(INDEX('Material routes'!$J$6:$J$2205,MATCH(V740,'Material routes'!$A$6:$A$2205,0)),"MISSING ID")</x:f>
        <x:v>Unspecified</x:v>
      </x:c>
      <x:c r="R740" s="4" t="str">
        <x:f>IF(L740="Withheld","Withheld premise",IF(E740="Tool candidate","Reusable prerequisite",IF(K740="Raw entry preparation","Entry-resource preparation",IF(G740="Not applicable",IF(IFERROR(INDEX('Items'!$AI$6:$AI$1005,MATCH(T740,'Items'!$A$6:$A$1005,0)),"MISSING ID")="Finished item","Finished endpoint",IF(IFERROR(INDEX('Items'!$AI$6:$AI$1005,MATCH(T740,'Items'!$A$6:$A$1005,0)),"MISSING ID")="Currency","Currency / no refinement tier","Recovered output / tier not applicable")),IF(OR(IFERROR(INDEX('Crafting recipes'!$H$6:$H$1005,MATCH(J740,'Crafting recipes'!$A$6:$A$1005,0)),"MISSING ID")="Unassigned",G740="Unassigned"),"Tier unresolved",IF(IFERROR(VALUE(RIGHT(G740,1))-VALUE(RIGHT(IFERROR(INDEX('Crafting recipes'!$H$6:$H$1005,MATCH(J740,'Crafting recipes'!$A$6:$A$1005,0)),"MISSING ID"),1)),0)=1,IF(B740=IFERROR(INDEX('Crafting recipes'!$H$6:$H$1005,MATCH(J740,'Crafting recipes'!$A$6:$A$1005,0)),"MISSING ID"),"Advances one material tier","Lower-tier ingredient; route advances one tier"),"Needs tier review"))))))</x:f>
        <x:v>Finished endpoint</x:v>
      </x:c>
      <x:c r="S740" s="4" t="str">
        <x:f>IFERROR(INDEX('Material routes'!$D$6:$D$2205,MATCH(U740,'Material routes'!$A$6:$A$2205,0)),"MISSING ID")</x:f>
        <x:v>proposal.t1.process_salts</x:v>
      </x:c>
      <x:c r="T740" s="4" t="str">
        <x:f>IFERROR(INDEX('Material routes'!$D$6:$D$2205,MATCH(V740,'Material routes'!$A$6:$A$2205,0)),"MISSING ID")</x:f>
        <x:v>proposal.collection.contained_salt_heat_cell</x:v>
      </x:c>
      <x:c r="U740" s="4" t="str">
        <x:v>design.collection.contained_salt_heat_cell.in.1</x:v>
      </x:c>
      <x:c r="V740" s="4" t="str">
        <x:v>design.collection.contained_salt_heat_cell.out</x:v>
      </x:c>
    </x:row>
    <x:row r="741" ht="64" customHeight="1">
      <x:c r="A741" s="4" t="str">
        <x:f>IFERROR(INDEX('Material routes'!$E$6:$E$2205,MATCH(U741,'Material routes'!$A$6:$A$2205,0)),"MISSING ID")</x:f>
        <x:v>Refractory ceramic stock</x:v>
      </x:c>
      <x:c r="B741" s="4" t="str">
        <x:f>IFERROR(INDEX('Material routes'!$F$6:$F$2205,MATCH(U741,'Material routes'!$A$6:$A$2205,0)),"MISSING ID")</x:f>
        <x:v>T2</x:v>
      </x:c>
      <x:c r="C741" s="4" t="str">
        <x:f>IFERROR(INDEX('Material routes'!$H$6:$H$2205,MATCH(U741,'Material routes'!$A$6:$A$2205,0)),"MISSING ID")</x:f>
        <x:v>Processed material</x:v>
      </x:c>
      <x:c r="D741" s="4" t="str">
        <x:f>IFERROR(INDEX('Material routes'!$G$6:$G$2205,MATCH(U741,'Material routes'!$A$6:$A$2205,0)),"MISSING ID")</x:f>
        <x:v>Manufactured stock</x:v>
      </x:c>
      <x:c r="E741" s="4" t="str">
        <x:f>IFERROR(INDEX('Material routes'!$C$6:$C$2205,MATCH(U741,'Material routes'!$A$6:$A$2205,0)),"MISSING ID")</x:f>
        <x:v>Ingredient candidate</x:v>
      </x:c>
      <x:c r="F741" s="4" t="str">
        <x:f>IFERROR(INDEX('Material routes'!$E$6:$E$2205,MATCH(V741,'Material routes'!$A$6:$A$2205,0)),"MISSING ID")</x:f>
        <x:v>Contained salt heat cell</x:v>
      </x:c>
      <x:c r="G741" s="4" t="str">
        <x:f>IFERROR(INDEX('Material routes'!$F$6:$F$2205,MATCH(V741,'Material routes'!$A$6:$A$2205,0)),"MISSING ID")</x:f>
        <x:v>Not applicable</x:v>
      </x:c>
      <x:c r="H741" s="4" t="str">
        <x:f>IFERROR(INDEX('Material routes'!$H$6:$H$2205,MATCH(V741,'Material routes'!$A$6:$A$2205,0)),"MISSING ID")</x:f>
        <x:v>Energy storage</x:v>
      </x:c>
      <x:c r="I741" s="4" t="str">
        <x:f>IFERROR(INDEX('Material routes'!$G$6:$G$2205,MATCH(V741,'Material routes'!$A$6:$A$2205,0)),"MISSING ID")</x:f>
        <x:v>Crafting components</x:v>
      </x:c>
      <x:c r="J741" s="4" t="str">
        <x:f>IFERROR(INDEX('Material routes'!$B$6:$B$2205,MATCH(U741,'Material routes'!$A$6:$A$2205,0)),"MISSING ID")</x:f>
        <x:v>design.collection.contained_salt_heat_cell</x:v>
      </x:c>
      <x:c r="K741" s="4" t="str">
        <x:f>IFERROR(INDEX('Crafting recipes'!$C$6:$C$1005,MATCH(J741,'Crafting recipes'!$A$6:$A$1005,0)),"MISSING ID")</x:f>
        <x:v>Finished-item crafting</x:v>
      </x:c>
      <x:c r="L741" s="4" t="str">
        <x:f>IFERROR(INDEX('Material routes'!$K$6:$K$2205,MATCH(U741,'Material routes'!$A$6:$A$2205,0)),"MISSING ID")</x:f>
        <x:v>Proposal</x:v>
      </x:c>
      <x:c r="M741" s="4" t="str">
        <x:f>IFERROR(INDEX('Material routes'!$M$6:$M$2205,MATCH(U741,'Material routes'!$A$6:$A$2205,0)),"MISSING ID")</x:f>
        <x:v>Partial proposal</x:v>
      </x:c>
      <x:c r="N741" s="4"/>
      <x:c r="O741" s="4" t="str">
        <x:f>IFERROR(INDEX('Material routes'!$J$6:$J$2205,MATCH(U741,'Material routes'!$A$6:$A$2205,0)),"MISSING ID")</x:f>
        <x:v>Unspecified</x:v>
      </x:c>
      <x:c r="P741" s="4"/>
      <x:c r="Q741" s="4" t="str">
        <x:f>IFERROR(INDEX('Material routes'!$J$6:$J$2205,MATCH(V741,'Material routes'!$A$6:$A$2205,0)),"MISSING ID")</x:f>
        <x:v>Unspecified</x:v>
      </x:c>
      <x:c r="R741" s="4" t="str">
        <x:f>IF(L741="Withheld","Withheld premise",IF(E741="Tool candidate","Reusable prerequisite",IF(K741="Raw entry preparation","Entry-resource preparation",IF(G741="Not applicable",IF(IFERROR(INDEX('Items'!$AI$6:$AI$1005,MATCH(T741,'Items'!$A$6:$A$1005,0)),"MISSING ID")="Finished item","Finished endpoint",IF(IFERROR(INDEX('Items'!$AI$6:$AI$1005,MATCH(T741,'Items'!$A$6:$A$1005,0)),"MISSING ID")="Currency","Currency / no refinement tier","Recovered output / tier not applicable")),IF(OR(IFERROR(INDEX('Crafting recipes'!$H$6:$H$1005,MATCH(J741,'Crafting recipes'!$A$6:$A$1005,0)),"MISSING ID")="Unassigned",G741="Unassigned"),"Tier unresolved",IF(IFERROR(VALUE(RIGHT(G741,1))-VALUE(RIGHT(IFERROR(INDEX('Crafting recipes'!$H$6:$H$1005,MATCH(J741,'Crafting recipes'!$A$6:$A$1005,0)),"MISSING ID"),1)),0)=1,IF(B741=IFERROR(INDEX('Crafting recipes'!$H$6:$H$1005,MATCH(J741,'Crafting recipes'!$A$6:$A$1005,0)),"MISSING ID"),"Advances one material tier","Lower-tier ingredient; route advances one tier"),"Needs tier review"))))))</x:f>
        <x:v>Finished endpoint</x:v>
      </x:c>
      <x:c r="S741" s="4" t="str">
        <x:f>IFERROR(INDEX('Material routes'!$D$6:$D$2205,MATCH(U741,'Material routes'!$A$6:$A$2205,0)),"MISSING ID")</x:f>
        <x:v>proposal.branch.refractory_ceramic</x:v>
      </x:c>
      <x:c r="T741" s="4" t="str">
        <x:f>IFERROR(INDEX('Material routes'!$D$6:$D$2205,MATCH(V741,'Material routes'!$A$6:$A$2205,0)),"MISSING ID")</x:f>
        <x:v>proposal.collection.contained_salt_heat_cell</x:v>
      </x:c>
      <x:c r="U741" s="4" t="str">
        <x:v>design.collection.contained_salt_heat_cell.in.2</x:v>
      </x:c>
      <x:c r="V741" s="4" t="str">
        <x:v>design.collection.contained_salt_heat_cell.out</x:v>
      </x:c>
    </x:row>
    <x:row r="742" ht="64" customHeight="1">
      <x:c r="A742" s="4" t="str">
        <x:f>IFERROR(INDEX('Material routes'!$E$6:$E$2205,MATCH(U742,'Material routes'!$A$6:$A$2205,0)),"MISSING ID")</x:f>
        <x:v>Refractory ceramic stock</x:v>
      </x:c>
      <x:c r="B742" s="4" t="str">
        <x:f>IFERROR(INDEX('Material routes'!$F$6:$F$2205,MATCH(U742,'Material routes'!$A$6:$A$2205,0)),"MISSING ID")</x:f>
        <x:v>T2</x:v>
      </x:c>
      <x:c r="C742" s="4" t="str">
        <x:f>IFERROR(INDEX('Material routes'!$H$6:$H$2205,MATCH(U742,'Material routes'!$A$6:$A$2205,0)),"MISSING ID")</x:f>
        <x:v>Processed material</x:v>
      </x:c>
      <x:c r="D742" s="4" t="str">
        <x:f>IFERROR(INDEX('Material routes'!$G$6:$G$2205,MATCH(U742,'Material routes'!$A$6:$A$2205,0)),"MISSING ID")</x:f>
        <x:v>Manufactured stock</x:v>
      </x:c>
      <x:c r="E742" s="4" t="str">
        <x:f>IFERROR(INDEX('Material routes'!$C$6:$C$2205,MATCH(U742,'Material routes'!$A$6:$A$2205,0)),"MISSING ID")</x:f>
        <x:v>Ingredient candidate</x:v>
      </x:c>
      <x:c r="F742" s="4" t="str">
        <x:f>IFERROR(INDEX('Material routes'!$E$6:$E$2205,MATCH(V742,'Material routes'!$A$6:$A$2205,0)),"MISSING ID")</x:f>
        <x:v>Ceramic-housed mineral battery</x:v>
      </x:c>
      <x:c r="G742" s="4" t="str">
        <x:f>IFERROR(INDEX('Material routes'!$F$6:$F$2205,MATCH(V742,'Material routes'!$A$6:$A$2205,0)),"MISSING ID")</x:f>
        <x:v>Not applicable</x:v>
      </x:c>
      <x:c r="H742" s="4" t="str">
        <x:f>IFERROR(INDEX('Material routes'!$H$6:$H$2205,MATCH(V742,'Material routes'!$A$6:$A$2205,0)),"MISSING ID")</x:f>
        <x:v>Energy storage</x:v>
      </x:c>
      <x:c r="I742" s="4" t="str">
        <x:f>IFERROR(INDEX('Material routes'!$G$6:$G$2205,MATCH(V742,'Material routes'!$A$6:$A$2205,0)),"MISSING ID")</x:f>
        <x:v>Crafting components</x:v>
      </x:c>
      <x:c r="J742" s="4" t="str">
        <x:f>IFERROR(INDEX('Material routes'!$B$6:$B$2205,MATCH(U742,'Material routes'!$A$6:$A$2205,0)),"MISSING ID")</x:f>
        <x:v>design.collection.ceramic_housed_mineral_battery</x:v>
      </x:c>
      <x:c r="K742" s="4" t="str">
        <x:f>IFERROR(INDEX('Crafting recipes'!$C$6:$C$1005,MATCH(J742,'Crafting recipes'!$A$6:$A$1005,0)),"MISSING ID")</x:f>
        <x:v>Finished-item crafting</x:v>
      </x:c>
      <x:c r="L742" s="4" t="str">
        <x:f>IFERROR(INDEX('Material routes'!$K$6:$K$2205,MATCH(U742,'Material routes'!$A$6:$A$2205,0)),"MISSING ID")</x:f>
        <x:v>Proposal</x:v>
      </x:c>
      <x:c r="M742" s="4" t="str">
        <x:f>IFERROR(INDEX('Material routes'!$M$6:$M$2205,MATCH(U742,'Material routes'!$A$6:$A$2205,0)),"MISSING ID")</x:f>
        <x:v>Partial proposal</x:v>
      </x:c>
      <x:c r="N742" s="4"/>
      <x:c r="O742" s="4" t="str">
        <x:f>IFERROR(INDEX('Material routes'!$J$6:$J$2205,MATCH(U742,'Material routes'!$A$6:$A$2205,0)),"MISSING ID")</x:f>
        <x:v>Unspecified</x:v>
      </x:c>
      <x:c r="P742" s="4"/>
      <x:c r="Q742" s="4" t="str">
        <x:f>IFERROR(INDEX('Material routes'!$J$6:$J$2205,MATCH(V742,'Material routes'!$A$6:$A$2205,0)),"MISSING ID")</x:f>
        <x:v>Unspecified</x:v>
      </x:c>
      <x:c r="R742" s="4" t="str">
        <x:f>IF(L742="Withheld","Withheld premise",IF(E742="Tool candidate","Reusable prerequisite",IF(K742="Raw entry preparation","Entry-resource preparation",IF(G742="Not applicable",IF(IFERROR(INDEX('Items'!$AI$6:$AI$1005,MATCH(T742,'Items'!$A$6:$A$1005,0)),"MISSING ID")="Finished item","Finished endpoint",IF(IFERROR(INDEX('Items'!$AI$6:$AI$1005,MATCH(T742,'Items'!$A$6:$A$1005,0)),"MISSING ID")="Currency","Currency / no refinement tier","Recovered output / tier not applicable")),IF(OR(IFERROR(INDEX('Crafting recipes'!$H$6:$H$1005,MATCH(J742,'Crafting recipes'!$A$6:$A$1005,0)),"MISSING ID")="Unassigned",G742="Unassigned"),"Tier unresolved",IF(IFERROR(VALUE(RIGHT(G742,1))-VALUE(RIGHT(IFERROR(INDEX('Crafting recipes'!$H$6:$H$1005,MATCH(J742,'Crafting recipes'!$A$6:$A$1005,0)),"MISSING ID"),1)),0)=1,IF(B742=IFERROR(INDEX('Crafting recipes'!$H$6:$H$1005,MATCH(J742,'Crafting recipes'!$A$6:$A$1005,0)),"MISSING ID"),"Advances one material tier","Lower-tier ingredient; route advances one tier"),"Needs tier review"))))))</x:f>
        <x:v>Finished endpoint</x:v>
      </x:c>
      <x:c r="S742" s="4" t="str">
        <x:f>IFERROR(INDEX('Material routes'!$D$6:$D$2205,MATCH(U742,'Material routes'!$A$6:$A$2205,0)),"MISSING ID")</x:f>
        <x:v>proposal.branch.refractory_ceramic</x:v>
      </x:c>
      <x:c r="T742" s="4" t="str">
        <x:f>IFERROR(INDEX('Material routes'!$D$6:$D$2205,MATCH(V742,'Material routes'!$A$6:$A$2205,0)),"MISSING ID")</x:f>
        <x:v>proposal.collection.ceramic_housed_mineral_battery</x:v>
      </x:c>
      <x:c r="U742" s="4" t="str">
        <x:v>design.collection.ceramic_housed_mineral_battery.in.1</x:v>
      </x:c>
      <x:c r="V742" s="4" t="str">
        <x:v>design.collection.ceramic_housed_mineral_battery.out</x:v>
      </x:c>
    </x:row>
    <x:row r="743" ht="64" customHeight="1">
      <x:c r="A743" s="4" t="str">
        <x:f>IFERROR(INDEX('Material routes'!$E$6:$E$2205,MATCH(U743,'Material routes'!$A$6:$A$2205,0)),"MISSING ID")</x:f>
        <x:v>Worked iron stock</x:v>
      </x:c>
      <x:c r="B743" s="4" t="str">
        <x:f>IFERROR(INDEX('Material routes'!$F$6:$F$2205,MATCH(U743,'Material routes'!$A$6:$A$2205,0)),"MISSING ID")</x:f>
        <x:v>T2</x:v>
      </x:c>
      <x:c r="C743" s="4" t="str">
        <x:f>IFERROR(INDEX('Material routes'!$H$6:$H$2205,MATCH(U743,'Material routes'!$A$6:$A$2205,0)),"MISSING ID")</x:f>
        <x:v>Processed material</x:v>
      </x:c>
      <x:c r="D743" s="4" t="str">
        <x:f>IFERROR(INDEX('Material routes'!$G$6:$G$2205,MATCH(U743,'Material routes'!$A$6:$A$2205,0)),"MISSING ID")</x:f>
        <x:v>Manufactured stock</x:v>
      </x:c>
      <x:c r="E743" s="4" t="str">
        <x:f>IFERROR(INDEX('Material routes'!$C$6:$C$2205,MATCH(U743,'Material routes'!$A$6:$A$2205,0)),"MISSING ID")</x:f>
        <x:v>Ingredient candidate</x:v>
      </x:c>
      <x:c r="F743" s="4" t="str">
        <x:f>IFERROR(INDEX('Material routes'!$E$6:$E$2205,MATCH(V743,'Material routes'!$A$6:$A$2205,0)),"MISSING ID")</x:f>
        <x:v>Ceramic-housed mineral battery</x:v>
      </x:c>
      <x:c r="G743" s="4" t="str">
        <x:f>IFERROR(INDEX('Material routes'!$F$6:$F$2205,MATCH(V743,'Material routes'!$A$6:$A$2205,0)),"MISSING ID")</x:f>
        <x:v>Not applicable</x:v>
      </x:c>
      <x:c r="H743" s="4" t="str">
        <x:f>IFERROR(INDEX('Material routes'!$H$6:$H$2205,MATCH(V743,'Material routes'!$A$6:$A$2205,0)),"MISSING ID")</x:f>
        <x:v>Energy storage</x:v>
      </x:c>
      <x:c r="I743" s="4" t="str">
        <x:f>IFERROR(INDEX('Material routes'!$G$6:$G$2205,MATCH(V743,'Material routes'!$A$6:$A$2205,0)),"MISSING ID")</x:f>
        <x:v>Crafting components</x:v>
      </x:c>
      <x:c r="J743" s="4" t="str">
        <x:f>IFERROR(INDEX('Material routes'!$B$6:$B$2205,MATCH(U743,'Material routes'!$A$6:$A$2205,0)),"MISSING ID")</x:f>
        <x:v>design.collection.ceramic_housed_mineral_battery</x:v>
      </x:c>
      <x:c r="K743" s="4" t="str">
        <x:f>IFERROR(INDEX('Crafting recipes'!$C$6:$C$1005,MATCH(J743,'Crafting recipes'!$A$6:$A$1005,0)),"MISSING ID")</x:f>
        <x:v>Finished-item crafting</x:v>
      </x:c>
      <x:c r="L743" s="4" t="str">
        <x:f>IFERROR(INDEX('Material routes'!$K$6:$K$2205,MATCH(U743,'Material routes'!$A$6:$A$2205,0)),"MISSING ID")</x:f>
        <x:v>Proposal</x:v>
      </x:c>
      <x:c r="M743" s="4" t="str">
        <x:f>IFERROR(INDEX('Material routes'!$M$6:$M$2205,MATCH(U743,'Material routes'!$A$6:$A$2205,0)),"MISSING ID")</x:f>
        <x:v>Partial proposal</x:v>
      </x:c>
      <x:c r="N743" s="4"/>
      <x:c r="O743" s="4" t="str">
        <x:f>IFERROR(INDEX('Material routes'!$J$6:$J$2205,MATCH(U743,'Material routes'!$A$6:$A$2205,0)),"MISSING ID")</x:f>
        <x:v>Unspecified</x:v>
      </x:c>
      <x:c r="P743" s="4"/>
      <x:c r="Q743" s="4" t="str">
        <x:f>IFERROR(INDEX('Material routes'!$J$6:$J$2205,MATCH(V743,'Material routes'!$A$6:$A$2205,0)),"MISSING ID")</x:f>
        <x:v>Unspecified</x:v>
      </x:c>
      <x:c r="R743" s="4" t="str">
        <x:f>IF(L743="Withheld","Withheld premise",IF(E743="Tool candidate","Reusable prerequisite",IF(K743="Raw entry preparation","Entry-resource preparation",IF(G743="Not applicable",IF(IFERROR(INDEX('Items'!$AI$6:$AI$1005,MATCH(T743,'Items'!$A$6:$A$1005,0)),"MISSING ID")="Finished item","Finished endpoint",IF(IFERROR(INDEX('Items'!$AI$6:$AI$1005,MATCH(T743,'Items'!$A$6:$A$1005,0)),"MISSING ID")="Currency","Currency / no refinement tier","Recovered output / tier not applicable")),IF(OR(IFERROR(INDEX('Crafting recipes'!$H$6:$H$1005,MATCH(J743,'Crafting recipes'!$A$6:$A$1005,0)),"MISSING ID")="Unassigned",G743="Unassigned"),"Tier unresolved",IF(IFERROR(VALUE(RIGHT(G743,1))-VALUE(RIGHT(IFERROR(INDEX('Crafting recipes'!$H$6:$H$1005,MATCH(J743,'Crafting recipes'!$A$6:$A$1005,0)),"MISSING ID"),1)),0)=1,IF(B743=IFERROR(INDEX('Crafting recipes'!$H$6:$H$1005,MATCH(J743,'Crafting recipes'!$A$6:$A$1005,0)),"MISSING ID"),"Advances one material tier","Lower-tier ingredient; route advances one tier"),"Needs tier review"))))))</x:f>
        <x:v>Finished endpoint</x:v>
      </x:c>
      <x:c r="S743" s="4" t="str">
        <x:f>IFERROR(INDEX('Material routes'!$D$6:$D$2205,MATCH(U743,'Material routes'!$A$6:$A$2205,0)),"MISSING ID")</x:f>
        <x:v>proposal.natural.iron_stock</x:v>
      </x:c>
      <x:c r="T743" s="4" t="str">
        <x:f>IFERROR(INDEX('Material routes'!$D$6:$D$2205,MATCH(V743,'Material routes'!$A$6:$A$2205,0)),"MISSING ID")</x:f>
        <x:v>proposal.collection.ceramic_housed_mineral_battery</x:v>
      </x:c>
      <x:c r="U743" s="4" t="str">
        <x:v>design.collection.ceramic_housed_mineral_battery.in.2</x:v>
      </x:c>
      <x:c r="V743" s="4" t="str">
        <x:v>design.collection.ceramic_housed_mineral_battery.out</x:v>
      </x:c>
    </x:row>
    <x:row r="744" ht="64" customHeight="1">
      <x:c r="A744" s="4" t="str">
        <x:f>IFERROR(INDEX('Material routes'!$E$6:$E$2205,MATCH(U744,'Material routes'!$A$6:$A$2205,0)),"MISSING ID")</x:f>
        <x:v>Graded process salts</x:v>
      </x:c>
      <x:c r="B744" s="4" t="str">
        <x:f>IFERROR(INDEX('Material routes'!$F$6:$F$2205,MATCH(U744,'Material routes'!$A$6:$A$2205,0)),"MISSING ID")</x:f>
        <x:v>T1</x:v>
      </x:c>
      <x:c r="C744" s="4" t="str">
        <x:f>IFERROR(INDEX('Material routes'!$H$6:$H$2205,MATCH(U744,'Material routes'!$A$6:$A$2205,0)),"MISSING ID")</x:f>
        <x:v>Processed material</x:v>
      </x:c>
      <x:c r="D744" s="4" t="str">
        <x:f>IFERROR(INDEX('Material routes'!$G$6:$G$2205,MATCH(U744,'Material routes'!$A$6:$A$2205,0)),"MISSING ID")</x:f>
        <x:v>Manufactured stock</x:v>
      </x:c>
      <x:c r="E744" s="4" t="str">
        <x:f>IFERROR(INDEX('Material routes'!$C$6:$C$2205,MATCH(U744,'Material routes'!$A$6:$A$2205,0)),"MISSING ID")</x:f>
        <x:v>Ingredient candidate</x:v>
      </x:c>
      <x:c r="F744" s="4" t="str">
        <x:f>IFERROR(INDEX('Material routes'!$E$6:$E$2205,MATCH(V744,'Material routes'!$A$6:$A$2205,0)),"MISSING ID")</x:f>
        <x:v>Ceramic-housed mineral battery</x:v>
      </x:c>
      <x:c r="G744" s="4" t="str">
        <x:f>IFERROR(INDEX('Material routes'!$F$6:$F$2205,MATCH(V744,'Material routes'!$A$6:$A$2205,0)),"MISSING ID")</x:f>
        <x:v>Not applicable</x:v>
      </x:c>
      <x:c r="H744" s="4" t="str">
        <x:f>IFERROR(INDEX('Material routes'!$H$6:$H$2205,MATCH(V744,'Material routes'!$A$6:$A$2205,0)),"MISSING ID")</x:f>
        <x:v>Energy storage</x:v>
      </x:c>
      <x:c r="I744" s="4" t="str">
        <x:f>IFERROR(INDEX('Material routes'!$G$6:$G$2205,MATCH(V744,'Material routes'!$A$6:$A$2205,0)),"MISSING ID")</x:f>
        <x:v>Crafting components</x:v>
      </x:c>
      <x:c r="J744" s="4" t="str">
        <x:f>IFERROR(INDEX('Material routes'!$B$6:$B$2205,MATCH(U744,'Material routes'!$A$6:$A$2205,0)),"MISSING ID")</x:f>
        <x:v>design.collection.ceramic_housed_mineral_battery</x:v>
      </x:c>
      <x:c r="K744" s="4" t="str">
        <x:f>IFERROR(INDEX('Crafting recipes'!$C$6:$C$1005,MATCH(J744,'Crafting recipes'!$A$6:$A$1005,0)),"MISSING ID")</x:f>
        <x:v>Finished-item crafting</x:v>
      </x:c>
      <x:c r="L744" s="4" t="str">
        <x:f>IFERROR(INDEX('Material routes'!$K$6:$K$2205,MATCH(U744,'Material routes'!$A$6:$A$2205,0)),"MISSING ID")</x:f>
        <x:v>Proposal</x:v>
      </x:c>
      <x:c r="M744" s="4" t="str">
        <x:f>IFERROR(INDEX('Material routes'!$M$6:$M$2205,MATCH(U744,'Material routes'!$A$6:$A$2205,0)),"MISSING ID")</x:f>
        <x:v>Partial proposal</x:v>
      </x:c>
      <x:c r="N744" s="4"/>
      <x:c r="O744" s="4" t="str">
        <x:f>IFERROR(INDEX('Material routes'!$J$6:$J$2205,MATCH(U744,'Material routes'!$A$6:$A$2205,0)),"MISSING ID")</x:f>
        <x:v>Unspecified</x:v>
      </x:c>
      <x:c r="P744" s="4"/>
      <x:c r="Q744" s="4" t="str">
        <x:f>IFERROR(INDEX('Material routes'!$J$6:$J$2205,MATCH(V744,'Material routes'!$A$6:$A$2205,0)),"MISSING ID")</x:f>
        <x:v>Unspecified</x:v>
      </x:c>
      <x:c r="R744" s="4" t="str">
        <x:f>IF(L744="Withheld","Withheld premise",IF(E744="Tool candidate","Reusable prerequisite",IF(K744="Raw entry preparation","Entry-resource preparation",IF(G744="Not applicable",IF(IFERROR(INDEX('Items'!$AI$6:$AI$1005,MATCH(T744,'Items'!$A$6:$A$1005,0)),"MISSING ID")="Finished item","Finished endpoint",IF(IFERROR(INDEX('Items'!$AI$6:$AI$1005,MATCH(T744,'Items'!$A$6:$A$1005,0)),"MISSING ID")="Currency","Currency / no refinement tier","Recovered output / tier not applicable")),IF(OR(IFERROR(INDEX('Crafting recipes'!$H$6:$H$1005,MATCH(J744,'Crafting recipes'!$A$6:$A$1005,0)),"MISSING ID")="Unassigned",G744="Unassigned"),"Tier unresolved",IF(IFERROR(VALUE(RIGHT(G744,1))-VALUE(RIGHT(IFERROR(INDEX('Crafting recipes'!$H$6:$H$1005,MATCH(J744,'Crafting recipes'!$A$6:$A$1005,0)),"MISSING ID"),1)),0)=1,IF(B744=IFERROR(INDEX('Crafting recipes'!$H$6:$H$1005,MATCH(J744,'Crafting recipes'!$A$6:$A$1005,0)),"MISSING ID"),"Advances one material tier","Lower-tier ingredient; route advances one tier"),"Needs tier review"))))))</x:f>
        <x:v>Finished endpoint</x:v>
      </x:c>
      <x:c r="S744" s="4" t="str">
        <x:f>IFERROR(INDEX('Material routes'!$D$6:$D$2205,MATCH(U744,'Material routes'!$A$6:$A$2205,0)),"MISSING ID")</x:f>
        <x:v>proposal.t1.process_salts</x:v>
      </x:c>
      <x:c r="T744" s="4" t="str">
        <x:f>IFERROR(INDEX('Material routes'!$D$6:$D$2205,MATCH(V744,'Material routes'!$A$6:$A$2205,0)),"MISSING ID")</x:f>
        <x:v>proposal.collection.ceramic_housed_mineral_battery</x:v>
      </x:c>
      <x:c r="U744" s="4" t="str">
        <x:v>design.collection.ceramic_housed_mineral_battery.in.3</x:v>
      </x:c>
      <x:c r="V744" s="4" t="str">
        <x:v>design.collection.ceramic_housed_mineral_battery.out</x:v>
      </x:c>
    </x:row>
    <x:row r="745" ht="64" customHeight="1">
      <x:c r="A745" s="4" t="str">
        <x:f>IFERROR(INDEX('Material routes'!$E$6:$E$2205,MATCH(U745,'Material routes'!$A$6:$A$2205,0)),"MISSING ID")</x:f>
        <x:v>Glazed ceramic reagent jar</x:v>
      </x:c>
      <x:c r="B745" s="4" t="str">
        <x:f>IFERROR(INDEX('Material routes'!$F$6:$F$2205,MATCH(U745,'Material routes'!$A$6:$A$2205,0)),"MISSING ID")</x:f>
        <x:v>Not applicable</x:v>
      </x:c>
      <x:c r="C745" s="4" t="inlineStr">
        <x:is>
          <x:t xml:space="preserve">Salvage</x:t>
        </x:is>
      </x:c>
      <x:c r="D745" s="4" t="str">
        <x:f>IFERROR(INDEX('Material routes'!$G$6:$G$2205,MATCH(U745,'Material routes'!$A$6:$A$2205,0)),"MISSING ID")</x:f>
        <x:v>Salvage</x:v>
      </x:c>
      <x:c r="E745" s="4" t="str">
        <x:f>IFERROR(INDEX('Material routes'!$C$6:$C$2205,MATCH(U745,'Material routes'!$A$6:$A$2205,0)),"MISSING ID")</x:f>
        <x:v>Ingredient candidate</x:v>
      </x:c>
      <x:c r="F745" s="4" t="str">
        <x:f>IFERROR(INDEX('Material routes'!$E$6:$E$2205,MATCH(V745,'Material routes'!$A$6:$A$2205,0)),"MISSING ID")</x:f>
        <x:v>Replaceable electrode battery jar</x:v>
      </x:c>
      <x:c r="G745" s="4" t="str">
        <x:f>IFERROR(INDEX('Material routes'!$F$6:$F$2205,MATCH(V745,'Material routes'!$A$6:$A$2205,0)),"MISSING ID")</x:f>
        <x:v>Not applicable</x:v>
      </x:c>
      <x:c r="H745" s="4" t="str">
        <x:f>IFERROR(INDEX('Material routes'!$H$6:$H$2205,MATCH(V745,'Material routes'!$A$6:$A$2205,0)),"MISSING ID")</x:f>
        <x:v>Energy storage</x:v>
      </x:c>
      <x:c r="I745" s="4" t="str">
        <x:f>IFERROR(INDEX('Material routes'!$G$6:$G$2205,MATCH(V745,'Material routes'!$A$6:$A$2205,0)),"MISSING ID")</x:f>
        <x:v>Salvage</x:v>
      </x:c>
      <x:c r="J745" s="4" t="str">
        <x:f>IFERROR(INDEX('Material routes'!$B$6:$B$2205,MATCH(U745,'Material routes'!$A$6:$A$2205,0)),"MISSING ID")</x:f>
        <x:v>design.collection.replaceable_electrode_battery_jar</x:v>
      </x:c>
      <x:c r="K745" s="4" t="str">
        <x:f>IFERROR(INDEX('Crafting recipes'!$C$6:$C$1005,MATCH(J745,'Crafting recipes'!$A$6:$A$1005,0)),"MISSING ID")</x:f>
        <x:v>Finished-item crafting</x:v>
      </x:c>
      <x:c r="L745" s="4" t="str">
        <x:f>IFERROR(INDEX('Material routes'!$K$6:$K$2205,MATCH(U745,'Material routes'!$A$6:$A$2205,0)),"MISSING ID")</x:f>
        <x:v>Proposal</x:v>
      </x:c>
      <x:c r="M745" s="4" t="str">
        <x:f>IFERROR(INDEX('Material routes'!$M$6:$M$2205,MATCH(U745,'Material routes'!$A$6:$A$2205,0)),"MISSING ID")</x:f>
        <x:v>Partial proposal</x:v>
      </x:c>
      <x:c r="N745" s="4"/>
      <x:c r="O745" s="4" t="str">
        <x:f>IFERROR(INDEX('Material routes'!$J$6:$J$2205,MATCH(U745,'Material routes'!$A$6:$A$2205,0)),"MISSING ID")</x:f>
        <x:v>Unspecified</x:v>
      </x:c>
      <x:c r="P745" s="4"/>
      <x:c r="Q745" s="4" t="str">
        <x:f>IFERROR(INDEX('Material routes'!$J$6:$J$2205,MATCH(V745,'Material routes'!$A$6:$A$2205,0)),"MISSING ID")</x:f>
        <x:v>Unspecified</x:v>
      </x:c>
      <x:c r="R745" s="4" t="str">
        <x:f>IF(L745="Withheld","Withheld premise",IF(E745="Tool candidate","Reusable prerequisite",IF(K745="Raw entry preparation","Entry-resource preparation",IF(G745="Not applicable",IF(IFERROR(INDEX('Items'!$AI$6:$AI$1005,MATCH(T745,'Items'!$A$6:$A$1005,0)),"MISSING ID")="Finished item","Finished endpoint",IF(IFERROR(INDEX('Items'!$AI$6:$AI$1005,MATCH(T745,'Items'!$A$6:$A$1005,0)),"MISSING ID")="Currency","Currency / no refinement tier","Recovered output / tier not applicable")),IF(OR(IFERROR(INDEX('Crafting recipes'!$H$6:$H$1005,MATCH(J745,'Crafting recipes'!$A$6:$A$1005,0)),"MISSING ID")="Unassigned",G745="Unassigned"),"Tier unresolved",IF(IFERROR(VALUE(RIGHT(G745,1))-VALUE(RIGHT(IFERROR(INDEX('Crafting recipes'!$H$6:$H$1005,MATCH(J745,'Crafting recipes'!$A$6:$A$1005,0)),"MISSING ID"),1)),0)=1,IF(B745=IFERROR(INDEX('Crafting recipes'!$H$6:$H$1005,MATCH(J745,'Crafting recipes'!$A$6:$A$1005,0)),"MISSING ID"),"Advances one material tier","Lower-tier ingredient; route advances one tier"),"Needs tier review"))))))</x:f>
        <x:v>Finished endpoint</x:v>
      </x:c>
      <x:c r="S745" s="4" t="str">
        <x:f>IFERROR(INDEX('Material routes'!$D$6:$D$2205,MATCH(U745,'Material routes'!$A$6:$A$2205,0)),"MISSING ID")</x:f>
        <x:v>proposal.container.ceramic_jar</x:v>
      </x:c>
      <x:c r="T745" s="4" t="str">
        <x:f>IFERROR(INDEX('Material routes'!$D$6:$D$2205,MATCH(V745,'Material routes'!$A$6:$A$2205,0)),"MISSING ID")</x:f>
        <x:v>proposal.collection.replaceable_electrode_battery_jar</x:v>
      </x:c>
      <x:c r="U745" s="4" t="str">
        <x:v>design.collection.replaceable_electrode_battery_jar.in.1</x:v>
      </x:c>
      <x:c r="V745" s="4" t="str">
        <x:v>design.collection.replaceable_electrode_battery_jar.out</x:v>
      </x:c>
    </x:row>
    <x:row r="746" ht="64" customHeight="1">
      <x:c r="A746" s="4" t="str">
        <x:f>IFERROR(INDEX('Material routes'!$E$6:$E$2205,MATCH(U746,'Material routes'!$A$6:$A$2205,0)),"MISSING ID")</x:f>
        <x:v>Graphite current brush</x:v>
      </x:c>
      <x:c r="B746" s="4" t="str">
        <x:f>IFERROR(INDEX('Material routes'!$F$6:$F$2205,MATCH(U746,'Material routes'!$A$6:$A$2205,0)),"MISSING ID")</x:f>
        <x:v>T2</x:v>
      </x:c>
      <x:c r="C746" s="4" t="str">
        <x:f>IFERROR(INDEX('Material routes'!$H$6:$H$2205,MATCH(U746,'Material routes'!$A$6:$A$2205,0)),"MISSING ID")</x:f>
        <x:v>Machine part</x:v>
      </x:c>
      <x:c r="D746" s="4" t="str">
        <x:f>IFERROR(INDEX('Material routes'!$G$6:$G$2205,MATCH(U746,'Material routes'!$A$6:$A$2205,0)),"MISSING ID")</x:f>
        <x:v>Crafting components</x:v>
      </x:c>
      <x:c r="E746" s="4" t="str">
        <x:f>IFERROR(INDEX('Material routes'!$C$6:$C$2205,MATCH(U746,'Material routes'!$A$6:$A$2205,0)),"MISSING ID")</x:f>
        <x:v>Ingredient candidate</x:v>
      </x:c>
      <x:c r="F746" s="4" t="str">
        <x:f>IFERROR(INDEX('Material routes'!$E$6:$E$2205,MATCH(V746,'Material routes'!$A$6:$A$2205,0)),"MISSING ID")</x:f>
        <x:v>Replaceable electrode battery jar</x:v>
      </x:c>
      <x:c r="G746" s="4" t="str">
        <x:f>IFERROR(INDEX('Material routes'!$F$6:$F$2205,MATCH(V746,'Material routes'!$A$6:$A$2205,0)),"MISSING ID")</x:f>
        <x:v>Not applicable</x:v>
      </x:c>
      <x:c r="H746" s="4" t="str">
        <x:f>IFERROR(INDEX('Material routes'!$H$6:$H$2205,MATCH(V746,'Material routes'!$A$6:$A$2205,0)),"MISSING ID")</x:f>
        <x:v>Energy storage</x:v>
      </x:c>
      <x:c r="I746" s="4" t="str">
        <x:f>IFERROR(INDEX('Material routes'!$G$6:$G$2205,MATCH(V746,'Material routes'!$A$6:$A$2205,0)),"MISSING ID")</x:f>
        <x:v>Salvage</x:v>
      </x:c>
      <x:c r="J746" s="4" t="str">
        <x:f>IFERROR(INDEX('Material routes'!$B$6:$B$2205,MATCH(U746,'Material routes'!$A$6:$A$2205,0)),"MISSING ID")</x:f>
        <x:v>design.collection.replaceable_electrode_battery_jar</x:v>
      </x:c>
      <x:c r="K746" s="4" t="str">
        <x:f>IFERROR(INDEX('Crafting recipes'!$C$6:$C$1005,MATCH(J746,'Crafting recipes'!$A$6:$A$1005,0)),"MISSING ID")</x:f>
        <x:v>Finished-item crafting</x:v>
      </x:c>
      <x:c r="L746" s="4" t="str">
        <x:f>IFERROR(INDEX('Material routes'!$K$6:$K$2205,MATCH(U746,'Material routes'!$A$6:$A$2205,0)),"MISSING ID")</x:f>
        <x:v>Proposal</x:v>
      </x:c>
      <x:c r="M746" s="4" t="str">
        <x:f>IFERROR(INDEX('Material routes'!$M$6:$M$2205,MATCH(U746,'Material routes'!$A$6:$A$2205,0)),"MISSING ID")</x:f>
        <x:v>Partial proposal</x:v>
      </x:c>
      <x:c r="N746" s="4"/>
      <x:c r="O746" s="4" t="str">
        <x:f>IFERROR(INDEX('Material routes'!$J$6:$J$2205,MATCH(U746,'Material routes'!$A$6:$A$2205,0)),"MISSING ID")</x:f>
        <x:v>Unspecified</x:v>
      </x:c>
      <x:c r="P746" s="4"/>
      <x:c r="Q746" s="4" t="str">
        <x:f>IFERROR(INDEX('Material routes'!$J$6:$J$2205,MATCH(V746,'Material routes'!$A$6:$A$2205,0)),"MISSING ID")</x:f>
        <x:v>Unspecified</x:v>
      </x:c>
      <x:c r="R746" s="4" t="str">
        <x:f>IF(L746="Withheld","Withheld premise",IF(E746="Tool candidate","Reusable prerequisite",IF(K746="Raw entry preparation","Entry-resource preparation",IF(G746="Not applicable",IF(IFERROR(INDEX('Items'!$AI$6:$AI$1005,MATCH(T746,'Items'!$A$6:$A$1005,0)),"MISSING ID")="Finished item","Finished endpoint",IF(IFERROR(INDEX('Items'!$AI$6:$AI$1005,MATCH(T746,'Items'!$A$6:$A$1005,0)),"MISSING ID")="Currency","Currency / no refinement tier","Recovered output / tier not applicable")),IF(OR(IFERROR(INDEX('Crafting recipes'!$H$6:$H$1005,MATCH(J746,'Crafting recipes'!$A$6:$A$1005,0)),"MISSING ID")="Unassigned",G746="Unassigned"),"Tier unresolved",IF(IFERROR(VALUE(RIGHT(G746,1))-VALUE(RIGHT(IFERROR(INDEX('Crafting recipes'!$H$6:$H$1005,MATCH(J746,'Crafting recipes'!$A$6:$A$1005,0)),"MISSING ID"),1)),0)=1,IF(B746=IFERROR(INDEX('Crafting recipes'!$H$6:$H$1005,MATCH(J746,'Crafting recipes'!$A$6:$A$1005,0)),"MISSING ID"),"Advances one material tier","Lower-tier ingredient; route advances one tier"),"Needs tier review"))))))</x:f>
        <x:v>Finished endpoint</x:v>
      </x:c>
      <x:c r="S746" s="4" t="str">
        <x:f>IFERROR(INDEX('Material routes'!$D$6:$D$2205,MATCH(U746,'Material routes'!$A$6:$A$2205,0)),"MISSING ID")</x:f>
        <x:v>proposal.collection.graphite_current_brush</x:v>
      </x:c>
      <x:c r="T746" s="4" t="str">
        <x:f>IFERROR(INDEX('Material routes'!$D$6:$D$2205,MATCH(V746,'Material routes'!$A$6:$A$2205,0)),"MISSING ID")</x:f>
        <x:v>proposal.collection.replaceable_electrode_battery_jar</x:v>
      </x:c>
      <x:c r="U746" s="4" t="str">
        <x:v>design.collection.replaceable_electrode_battery_jar.in.2</x:v>
      </x:c>
      <x:c r="V746" s="4" t="str">
        <x:v>design.collection.replaceable_electrode_battery_jar.out</x:v>
      </x:c>
    </x:row>
    <x:row r="747" ht="64" customHeight="1">
      <x:c r="A747" s="4" t="str">
        <x:f>IFERROR(INDEX('Material routes'!$E$6:$E$2205,MATCH(U747,'Material routes'!$A$6:$A$2205,0)),"MISSING ID")</x:f>
        <x:v>Annealed iron sheet stock</x:v>
      </x:c>
      <x:c r="B747" s="4" t="str">
        <x:f>IFERROR(INDEX('Material routes'!$F$6:$F$2205,MATCH(U747,'Material routes'!$A$6:$A$2205,0)),"MISSING ID")</x:f>
        <x:v>T3</x:v>
      </x:c>
      <x:c r="C747" s="4" t="str">
        <x:f>IFERROR(INDEX('Material routes'!$H$6:$H$2205,MATCH(U747,'Material routes'!$A$6:$A$2205,0)),"MISSING ID")</x:f>
        <x:v>Processed material</x:v>
      </x:c>
      <x:c r="D747" s="4" t="str">
        <x:f>IFERROR(INDEX('Material routes'!$G$6:$G$2205,MATCH(U747,'Material routes'!$A$6:$A$2205,0)),"MISSING ID")</x:f>
        <x:v>Manufactured stock</x:v>
      </x:c>
      <x:c r="E747" s="4" t="str">
        <x:f>IFERROR(INDEX('Material routes'!$C$6:$C$2205,MATCH(U747,'Material routes'!$A$6:$A$2205,0)),"MISSING ID")</x:f>
        <x:v>Ingredient candidate</x:v>
      </x:c>
      <x:c r="F747" s="4" t="str">
        <x:f>IFERROR(INDEX('Material routes'!$E$6:$E$2205,MATCH(V747,'Material routes'!$A$6:$A$2205,0)),"MISSING ID")</x:f>
        <x:v>Replaceable electrode battery jar</x:v>
      </x:c>
      <x:c r="G747" s="4" t="str">
        <x:f>IFERROR(INDEX('Material routes'!$F$6:$F$2205,MATCH(V747,'Material routes'!$A$6:$A$2205,0)),"MISSING ID")</x:f>
        <x:v>Not applicable</x:v>
      </x:c>
      <x:c r="H747" s="4" t="str">
        <x:f>IFERROR(INDEX('Material routes'!$H$6:$H$2205,MATCH(V747,'Material routes'!$A$6:$A$2205,0)),"MISSING ID")</x:f>
        <x:v>Energy storage</x:v>
      </x:c>
      <x:c r="I747" s="4" t="str">
        <x:f>IFERROR(INDEX('Material routes'!$G$6:$G$2205,MATCH(V747,'Material routes'!$A$6:$A$2205,0)),"MISSING ID")</x:f>
        <x:v>Salvage</x:v>
      </x:c>
      <x:c r="J747" s="4" t="str">
        <x:f>IFERROR(INDEX('Material routes'!$B$6:$B$2205,MATCH(U747,'Material routes'!$A$6:$A$2205,0)),"MISSING ID")</x:f>
        <x:v>design.collection.replaceable_electrode_battery_jar</x:v>
      </x:c>
      <x:c r="K747" s="4" t="str">
        <x:f>IFERROR(INDEX('Crafting recipes'!$C$6:$C$1005,MATCH(J747,'Crafting recipes'!$A$6:$A$1005,0)),"MISSING ID")</x:f>
        <x:v>Finished-item crafting</x:v>
      </x:c>
      <x:c r="L747" s="4" t="str">
        <x:f>IFERROR(INDEX('Material routes'!$K$6:$K$2205,MATCH(U747,'Material routes'!$A$6:$A$2205,0)),"MISSING ID")</x:f>
        <x:v>Proposal</x:v>
      </x:c>
      <x:c r="M747" s="4" t="str">
        <x:f>IFERROR(INDEX('Material routes'!$M$6:$M$2205,MATCH(U747,'Material routes'!$A$6:$A$2205,0)),"MISSING ID")</x:f>
        <x:v>Partial proposal</x:v>
      </x:c>
      <x:c r="N747" s="4"/>
      <x:c r="O747" s="4" t="str">
        <x:f>IFERROR(INDEX('Material routes'!$J$6:$J$2205,MATCH(U747,'Material routes'!$A$6:$A$2205,0)),"MISSING ID")</x:f>
        <x:v>Unspecified</x:v>
      </x:c>
      <x:c r="P747" s="4"/>
      <x:c r="Q747" s="4" t="str">
        <x:f>IFERROR(INDEX('Material routes'!$J$6:$J$2205,MATCH(V747,'Material routes'!$A$6:$A$2205,0)),"MISSING ID")</x:f>
        <x:v>Unspecified</x:v>
      </x:c>
      <x:c r="R747" s="4" t="str">
        <x:f>IF(L747="Withheld","Withheld premise",IF(E747="Tool candidate","Reusable prerequisite",IF(K747="Raw entry preparation","Entry-resource preparation",IF(G747="Not applicable",IF(IFERROR(INDEX('Items'!$AI$6:$AI$1005,MATCH(T747,'Items'!$A$6:$A$1005,0)),"MISSING ID")="Finished item","Finished endpoint",IF(IFERROR(INDEX('Items'!$AI$6:$AI$1005,MATCH(T747,'Items'!$A$6:$A$1005,0)),"MISSING ID")="Currency","Currency / no refinement tier","Recovered output / tier not applicable")),IF(OR(IFERROR(INDEX('Crafting recipes'!$H$6:$H$1005,MATCH(J747,'Crafting recipes'!$A$6:$A$1005,0)),"MISSING ID")="Unassigned",G747="Unassigned"),"Tier unresolved",IF(IFERROR(VALUE(RIGHT(G747,1))-VALUE(RIGHT(IFERROR(INDEX('Crafting recipes'!$H$6:$H$1005,MATCH(J747,'Crafting recipes'!$A$6:$A$1005,0)),"MISSING ID"),1)),0)=1,IF(B747=IFERROR(INDEX('Crafting recipes'!$H$6:$H$1005,MATCH(J747,'Crafting recipes'!$A$6:$A$1005,0)),"MISSING ID"),"Advances one material tier","Lower-tier ingredient; route advances one tier"),"Needs tier review"))))))</x:f>
        <x:v>Finished endpoint</x:v>
      </x:c>
      <x:c r="S747" s="4" t="str">
        <x:f>IFERROR(INDEX('Material routes'!$D$6:$D$2205,MATCH(U747,'Material routes'!$A$6:$A$2205,0)),"MISSING ID")</x:f>
        <x:v>proposal.collection.annealed_iron_sheet_stock</x:v>
      </x:c>
      <x:c r="T747" s="4" t="str">
        <x:f>IFERROR(INDEX('Material routes'!$D$6:$D$2205,MATCH(V747,'Material routes'!$A$6:$A$2205,0)),"MISSING ID")</x:f>
        <x:v>proposal.collection.replaceable_electrode_battery_jar</x:v>
      </x:c>
      <x:c r="U747" s="4" t="str">
        <x:v>design.collection.replaceable_electrode_battery_jar.in.3</x:v>
      </x:c>
      <x:c r="V747" s="4" t="str">
        <x:v>design.collection.replaceable_electrode_battery_jar.out</x:v>
      </x:c>
    </x:row>
    <x:row r="748" ht="64" customHeight="1">
      <x:c r="A748" s="4" t="str">
        <x:f>IFERROR(INDEX('Material routes'!$E$6:$E$2205,MATCH(U748,'Material routes'!$A$6:$A$2205,0)),"MISSING ID")</x:f>
        <x:v>Prepared electrical insulation stock</x:v>
      </x:c>
      <x:c r="B748" s="4" t="str">
        <x:f>IFERROR(INDEX('Material routes'!$F$6:$F$2205,MATCH(U748,'Material routes'!$A$6:$A$2205,0)),"MISSING ID")</x:f>
        <x:v>T3</x:v>
      </x:c>
      <x:c r="C748" s="4" t="str">
        <x:f>IFERROR(INDEX('Material routes'!$H$6:$H$2205,MATCH(U748,'Material routes'!$A$6:$A$2205,0)),"MISSING ID")</x:f>
        <x:v>Processed material</x:v>
      </x:c>
      <x:c r="D748" s="4" t="str">
        <x:f>IFERROR(INDEX('Material routes'!$G$6:$G$2205,MATCH(U748,'Material routes'!$A$6:$A$2205,0)),"MISSING ID")</x:f>
        <x:v>Manufactured stock</x:v>
      </x:c>
      <x:c r="E748" s="4" t="str">
        <x:f>IFERROR(INDEX('Material routes'!$C$6:$C$2205,MATCH(U748,'Material routes'!$A$6:$A$2205,0)),"MISSING ID")</x:f>
        <x:v>Ingredient candidate</x:v>
      </x:c>
      <x:c r="F748" s="4" t="str">
        <x:f>IFERROR(INDEX('Material routes'!$E$6:$E$2205,MATCH(V748,'Material routes'!$A$6:$A$2205,0)),"MISSING ID")</x:f>
        <x:v>Packed separator battery stack</x:v>
      </x:c>
      <x:c r="G748" s="4" t="str">
        <x:f>IFERROR(INDEX('Material routes'!$F$6:$F$2205,MATCH(V748,'Material routes'!$A$6:$A$2205,0)),"MISSING ID")</x:f>
        <x:v>Not applicable</x:v>
      </x:c>
      <x:c r="H748" s="4" t="str">
        <x:f>IFERROR(INDEX('Material routes'!$H$6:$H$2205,MATCH(V748,'Material routes'!$A$6:$A$2205,0)),"MISSING ID")</x:f>
        <x:v>Energy storage</x:v>
      </x:c>
      <x:c r="I748" s="4" t="str">
        <x:f>IFERROR(INDEX('Material routes'!$G$6:$G$2205,MATCH(V748,'Material routes'!$A$6:$A$2205,0)),"MISSING ID")</x:f>
        <x:v>Crafting components</x:v>
      </x:c>
      <x:c r="J748" s="4" t="str">
        <x:f>IFERROR(INDEX('Material routes'!$B$6:$B$2205,MATCH(U748,'Material routes'!$A$6:$A$2205,0)),"MISSING ID")</x:f>
        <x:v>design.collection.packed_separator_battery_stack</x:v>
      </x:c>
      <x:c r="K748" s="4" t="str">
        <x:f>IFERROR(INDEX('Crafting recipes'!$C$6:$C$1005,MATCH(J748,'Crafting recipes'!$A$6:$A$1005,0)),"MISSING ID")</x:f>
        <x:v>Finished-item crafting</x:v>
      </x:c>
      <x:c r="L748" s="4" t="str">
        <x:f>IFERROR(INDEX('Material routes'!$K$6:$K$2205,MATCH(U748,'Material routes'!$A$6:$A$2205,0)),"MISSING ID")</x:f>
        <x:v>Proposal</x:v>
      </x:c>
      <x:c r="M748" s="4" t="str">
        <x:f>IFERROR(INDEX('Material routes'!$M$6:$M$2205,MATCH(U748,'Material routes'!$A$6:$A$2205,0)),"MISSING ID")</x:f>
        <x:v>Partial proposal</x:v>
      </x:c>
      <x:c r="N748" s="4"/>
      <x:c r="O748" s="4" t="str">
        <x:f>IFERROR(INDEX('Material routes'!$J$6:$J$2205,MATCH(U748,'Material routes'!$A$6:$A$2205,0)),"MISSING ID")</x:f>
        <x:v>Unspecified</x:v>
      </x:c>
      <x:c r="P748" s="4"/>
      <x:c r="Q748" s="4" t="str">
        <x:f>IFERROR(INDEX('Material routes'!$J$6:$J$2205,MATCH(V748,'Material routes'!$A$6:$A$2205,0)),"MISSING ID")</x:f>
        <x:v>Unspecified</x:v>
      </x:c>
      <x:c r="R748" s="4" t="str">
        <x:f>IF(L748="Withheld","Withheld premise",IF(E748="Tool candidate","Reusable prerequisite",IF(K748="Raw entry preparation","Entry-resource preparation",IF(G748="Not applicable",IF(IFERROR(INDEX('Items'!$AI$6:$AI$1005,MATCH(T748,'Items'!$A$6:$A$1005,0)),"MISSING ID")="Finished item","Finished endpoint",IF(IFERROR(INDEX('Items'!$AI$6:$AI$1005,MATCH(T748,'Items'!$A$6:$A$1005,0)),"MISSING ID")="Currency","Currency / no refinement tier","Recovered output / tier not applicable")),IF(OR(IFERROR(INDEX('Crafting recipes'!$H$6:$H$1005,MATCH(J748,'Crafting recipes'!$A$6:$A$1005,0)),"MISSING ID")="Unassigned",G748="Unassigned"),"Tier unresolved",IF(IFERROR(VALUE(RIGHT(G748,1))-VALUE(RIGHT(IFERROR(INDEX('Crafting recipes'!$H$6:$H$1005,MATCH(J748,'Crafting recipes'!$A$6:$A$1005,0)),"MISSING ID"),1)),0)=1,IF(B748=IFERROR(INDEX('Crafting recipes'!$H$6:$H$1005,MATCH(J748,'Crafting recipes'!$A$6:$A$1005,0)),"MISSING ID"),"Advances one material tier","Lower-tier ingredient; route advances one tier"),"Needs tier review"))))))</x:f>
        <x:v>Finished endpoint</x:v>
      </x:c>
      <x:c r="S748" s="4" t="str">
        <x:f>IFERROR(INDEX('Material routes'!$D$6:$D$2205,MATCH(U748,'Material routes'!$A$6:$A$2205,0)),"MISSING ID")</x:f>
        <x:v>author.electrical.insulation_stock</x:v>
      </x:c>
      <x:c r="T748" s="4" t="str">
        <x:f>IFERROR(INDEX('Material routes'!$D$6:$D$2205,MATCH(V748,'Material routes'!$A$6:$A$2205,0)),"MISSING ID")</x:f>
        <x:v>proposal.collection.packed_separator_battery_stack</x:v>
      </x:c>
      <x:c r="U748" s="4" t="str">
        <x:v>design.collection.packed_separator_battery_stack.in.1</x:v>
      </x:c>
      <x:c r="V748" s="4" t="str">
        <x:v>design.collection.packed_separator_battery_stack.out</x:v>
      </x:c>
    </x:row>
    <x:row r="749" ht="64" customHeight="1">
      <x:c r="A749" s="4" t="str">
        <x:f>IFERROR(INDEX('Material routes'!$E$6:$E$2205,MATCH(U749,'Material routes'!$A$6:$A$2205,0)),"MISSING ID")</x:f>
        <x:v>Annealed iron sheet stock</x:v>
      </x:c>
      <x:c r="B749" s="4" t="str">
        <x:f>IFERROR(INDEX('Material routes'!$F$6:$F$2205,MATCH(U749,'Material routes'!$A$6:$A$2205,0)),"MISSING ID")</x:f>
        <x:v>T3</x:v>
      </x:c>
      <x:c r="C749" s="4" t="str">
        <x:f>IFERROR(INDEX('Material routes'!$H$6:$H$2205,MATCH(U749,'Material routes'!$A$6:$A$2205,0)),"MISSING ID")</x:f>
        <x:v>Processed material</x:v>
      </x:c>
      <x:c r="D749" s="4" t="str">
        <x:f>IFERROR(INDEX('Material routes'!$G$6:$G$2205,MATCH(U749,'Material routes'!$A$6:$A$2205,0)),"MISSING ID")</x:f>
        <x:v>Manufactured stock</x:v>
      </x:c>
      <x:c r="E749" s="4" t="str">
        <x:f>IFERROR(INDEX('Material routes'!$C$6:$C$2205,MATCH(U749,'Material routes'!$A$6:$A$2205,0)),"MISSING ID")</x:f>
        <x:v>Ingredient candidate</x:v>
      </x:c>
      <x:c r="F749" s="4" t="str">
        <x:f>IFERROR(INDEX('Material routes'!$E$6:$E$2205,MATCH(V749,'Material routes'!$A$6:$A$2205,0)),"MISSING ID")</x:f>
        <x:v>Packed separator battery stack</x:v>
      </x:c>
      <x:c r="G749" s="4" t="str">
        <x:f>IFERROR(INDEX('Material routes'!$F$6:$F$2205,MATCH(V749,'Material routes'!$A$6:$A$2205,0)),"MISSING ID")</x:f>
        <x:v>Not applicable</x:v>
      </x:c>
      <x:c r="H749" s="4" t="str">
        <x:f>IFERROR(INDEX('Material routes'!$H$6:$H$2205,MATCH(V749,'Material routes'!$A$6:$A$2205,0)),"MISSING ID")</x:f>
        <x:v>Energy storage</x:v>
      </x:c>
      <x:c r="I749" s="4" t="str">
        <x:f>IFERROR(INDEX('Material routes'!$G$6:$G$2205,MATCH(V749,'Material routes'!$A$6:$A$2205,0)),"MISSING ID")</x:f>
        <x:v>Crafting components</x:v>
      </x:c>
      <x:c r="J749" s="4" t="str">
        <x:f>IFERROR(INDEX('Material routes'!$B$6:$B$2205,MATCH(U749,'Material routes'!$A$6:$A$2205,0)),"MISSING ID")</x:f>
        <x:v>design.collection.packed_separator_battery_stack</x:v>
      </x:c>
      <x:c r="K749" s="4" t="str">
        <x:f>IFERROR(INDEX('Crafting recipes'!$C$6:$C$1005,MATCH(J749,'Crafting recipes'!$A$6:$A$1005,0)),"MISSING ID")</x:f>
        <x:v>Finished-item crafting</x:v>
      </x:c>
      <x:c r="L749" s="4" t="str">
        <x:f>IFERROR(INDEX('Material routes'!$K$6:$K$2205,MATCH(U749,'Material routes'!$A$6:$A$2205,0)),"MISSING ID")</x:f>
        <x:v>Proposal</x:v>
      </x:c>
      <x:c r="M749" s="4" t="str">
        <x:f>IFERROR(INDEX('Material routes'!$M$6:$M$2205,MATCH(U749,'Material routes'!$A$6:$A$2205,0)),"MISSING ID")</x:f>
        <x:v>Partial proposal</x:v>
      </x:c>
      <x:c r="N749" s="4"/>
      <x:c r="O749" s="4" t="str">
        <x:f>IFERROR(INDEX('Material routes'!$J$6:$J$2205,MATCH(U749,'Material routes'!$A$6:$A$2205,0)),"MISSING ID")</x:f>
        <x:v>Unspecified</x:v>
      </x:c>
      <x:c r="P749" s="4"/>
      <x:c r="Q749" s="4" t="str">
        <x:f>IFERROR(INDEX('Material routes'!$J$6:$J$2205,MATCH(V749,'Material routes'!$A$6:$A$2205,0)),"MISSING ID")</x:f>
        <x:v>Unspecified</x:v>
      </x:c>
      <x:c r="R749" s="4" t="str">
        <x:f>IF(L749="Withheld","Withheld premise",IF(E749="Tool candidate","Reusable prerequisite",IF(K749="Raw entry preparation","Entry-resource preparation",IF(G749="Not applicable",IF(IFERROR(INDEX('Items'!$AI$6:$AI$1005,MATCH(T749,'Items'!$A$6:$A$1005,0)),"MISSING ID")="Finished item","Finished endpoint",IF(IFERROR(INDEX('Items'!$AI$6:$AI$1005,MATCH(T749,'Items'!$A$6:$A$1005,0)),"MISSING ID")="Currency","Currency / no refinement tier","Recovered output / tier not applicable")),IF(OR(IFERROR(INDEX('Crafting recipes'!$H$6:$H$1005,MATCH(J749,'Crafting recipes'!$A$6:$A$1005,0)),"MISSING ID")="Unassigned",G749="Unassigned"),"Tier unresolved",IF(IFERROR(VALUE(RIGHT(G749,1))-VALUE(RIGHT(IFERROR(INDEX('Crafting recipes'!$H$6:$H$1005,MATCH(J749,'Crafting recipes'!$A$6:$A$1005,0)),"MISSING ID"),1)),0)=1,IF(B749=IFERROR(INDEX('Crafting recipes'!$H$6:$H$1005,MATCH(J749,'Crafting recipes'!$A$6:$A$1005,0)),"MISSING ID"),"Advances one material tier","Lower-tier ingredient; route advances one tier"),"Needs tier review"))))))</x:f>
        <x:v>Finished endpoint</x:v>
      </x:c>
      <x:c r="S749" s="4" t="str">
        <x:f>IFERROR(INDEX('Material routes'!$D$6:$D$2205,MATCH(U749,'Material routes'!$A$6:$A$2205,0)),"MISSING ID")</x:f>
        <x:v>proposal.collection.annealed_iron_sheet_stock</x:v>
      </x:c>
      <x:c r="T749" s="4" t="str">
        <x:f>IFERROR(INDEX('Material routes'!$D$6:$D$2205,MATCH(V749,'Material routes'!$A$6:$A$2205,0)),"MISSING ID")</x:f>
        <x:v>proposal.collection.packed_separator_battery_stack</x:v>
      </x:c>
      <x:c r="U749" s="4" t="str">
        <x:v>design.collection.packed_separator_battery_stack.in.2</x:v>
      </x:c>
      <x:c r="V749" s="4" t="str">
        <x:v>design.collection.packed_separator_battery_stack.out</x:v>
      </x:c>
    </x:row>
    <x:row r="750" ht="64" customHeight="1">
      <x:c r="A750" s="4" t="str">
        <x:f>IFERROR(INDEX('Material routes'!$E$6:$E$2205,MATCH(U750,'Material routes'!$A$6:$A$2205,0)),"MISSING ID")</x:f>
        <x:v>Sized mica viewing sheet</x:v>
      </x:c>
      <x:c r="B750" s="4" t="str">
        <x:f>IFERROR(INDEX('Material routes'!$F$6:$F$2205,MATCH(U750,'Material routes'!$A$6:$A$2205,0)),"MISSING ID")</x:f>
        <x:v>T1</x:v>
      </x:c>
      <x:c r="C750" s="4" t="str">
        <x:f>IFERROR(INDEX('Material routes'!$H$6:$H$2205,MATCH(U750,'Material routes'!$A$6:$A$2205,0)),"MISSING ID")</x:f>
        <x:v>Processed material</x:v>
      </x:c>
      <x:c r="D750" s="4" t="str">
        <x:f>IFERROR(INDEX('Material routes'!$G$6:$G$2205,MATCH(U750,'Material routes'!$A$6:$A$2205,0)),"MISSING ID")</x:f>
        <x:v>Manufactured stock</x:v>
      </x:c>
      <x:c r="E750" s="4" t="str">
        <x:f>IFERROR(INDEX('Material routes'!$C$6:$C$2205,MATCH(U750,'Material routes'!$A$6:$A$2205,0)),"MISSING ID")</x:f>
        <x:v>Ingredient candidate</x:v>
      </x:c>
      <x:c r="F750" s="4" t="str">
        <x:f>IFERROR(INDEX('Material routes'!$E$6:$E$2205,MATCH(V750,'Material routes'!$A$6:$A$2205,0)),"MISSING ID")</x:f>
        <x:v>Mica-plate capacitor pack</x:v>
      </x:c>
      <x:c r="G750" s="4" t="str">
        <x:f>IFERROR(INDEX('Material routes'!$F$6:$F$2205,MATCH(V750,'Material routes'!$A$6:$A$2205,0)),"MISSING ID")</x:f>
        <x:v>Not applicable</x:v>
      </x:c>
      <x:c r="H750" s="4" t="str">
        <x:f>IFERROR(INDEX('Material routes'!$H$6:$H$2205,MATCH(V750,'Material routes'!$A$6:$A$2205,0)),"MISSING ID")</x:f>
        <x:v>Energy storage</x:v>
      </x:c>
      <x:c r="I750" s="4" t="str">
        <x:f>IFERROR(INDEX('Material routes'!$G$6:$G$2205,MATCH(V750,'Material routes'!$A$6:$A$2205,0)),"MISSING ID")</x:f>
        <x:v>Crafting components</x:v>
      </x:c>
      <x:c r="J750" s="4" t="str">
        <x:f>IFERROR(INDEX('Material routes'!$B$6:$B$2205,MATCH(U750,'Material routes'!$A$6:$A$2205,0)),"MISSING ID")</x:f>
        <x:v>design.collection.mica_plate_capacitor_pack</x:v>
      </x:c>
      <x:c r="K750" s="4" t="str">
        <x:f>IFERROR(INDEX('Crafting recipes'!$C$6:$C$1005,MATCH(J750,'Crafting recipes'!$A$6:$A$1005,0)),"MISSING ID")</x:f>
        <x:v>Finished-item crafting</x:v>
      </x:c>
      <x:c r="L750" s="4" t="str">
        <x:f>IFERROR(INDEX('Material routes'!$K$6:$K$2205,MATCH(U750,'Material routes'!$A$6:$A$2205,0)),"MISSING ID")</x:f>
        <x:v>Proposal</x:v>
      </x:c>
      <x:c r="M750" s="4" t="str">
        <x:f>IFERROR(INDEX('Material routes'!$M$6:$M$2205,MATCH(U750,'Material routes'!$A$6:$A$2205,0)),"MISSING ID")</x:f>
        <x:v>Partial proposal</x:v>
      </x:c>
      <x:c r="N750" s="4"/>
      <x:c r="O750" s="4" t="str">
        <x:f>IFERROR(INDEX('Material routes'!$J$6:$J$2205,MATCH(U750,'Material routes'!$A$6:$A$2205,0)),"MISSING ID")</x:f>
        <x:v>Unspecified</x:v>
      </x:c>
      <x:c r="P750" s="4"/>
      <x:c r="Q750" s="4" t="str">
        <x:f>IFERROR(INDEX('Material routes'!$J$6:$J$2205,MATCH(V750,'Material routes'!$A$6:$A$2205,0)),"MISSING ID")</x:f>
        <x:v>Unspecified</x:v>
      </x:c>
      <x:c r="R750" s="4" t="str">
        <x:f>IF(L750="Withheld","Withheld premise",IF(E750="Tool candidate","Reusable prerequisite",IF(K750="Raw entry preparation","Entry-resource preparation",IF(G750="Not applicable",IF(IFERROR(INDEX('Items'!$AI$6:$AI$1005,MATCH(T750,'Items'!$A$6:$A$1005,0)),"MISSING ID")="Finished item","Finished endpoint",IF(IFERROR(INDEX('Items'!$AI$6:$AI$1005,MATCH(T750,'Items'!$A$6:$A$1005,0)),"MISSING ID")="Currency","Currency / no refinement tier","Recovered output / tier not applicable")),IF(OR(IFERROR(INDEX('Crafting recipes'!$H$6:$H$1005,MATCH(J750,'Crafting recipes'!$A$6:$A$1005,0)),"MISSING ID")="Unassigned",G750="Unassigned"),"Tier unresolved",IF(IFERROR(VALUE(RIGHT(G750,1))-VALUE(RIGHT(IFERROR(INDEX('Crafting recipes'!$H$6:$H$1005,MATCH(J750,'Crafting recipes'!$A$6:$A$1005,0)),"MISSING ID"),1)),0)=1,IF(B750=IFERROR(INDEX('Crafting recipes'!$H$6:$H$1005,MATCH(J750,'Crafting recipes'!$A$6:$A$1005,0)),"MISSING ID"),"Advances one material tier","Lower-tier ingredient; route advances one tier"),"Needs tier review"))))))</x:f>
        <x:v>Finished endpoint</x:v>
      </x:c>
      <x:c r="S750" s="4" t="str">
        <x:f>IFERROR(INDEX('Material routes'!$D$6:$D$2205,MATCH(U750,'Material routes'!$A$6:$A$2205,0)),"MISSING ID")</x:f>
        <x:v>proposal.t1.mica_window</x:v>
      </x:c>
      <x:c r="T750" s="4" t="str">
        <x:f>IFERROR(INDEX('Material routes'!$D$6:$D$2205,MATCH(V750,'Material routes'!$A$6:$A$2205,0)),"MISSING ID")</x:f>
        <x:v>proposal.collection.mica_plate_capacitor_pack</x:v>
      </x:c>
      <x:c r="U750" s="4" t="str">
        <x:v>design.collection.mica_plate_capacitor_pack.in.1</x:v>
      </x:c>
      <x:c r="V750" s="4" t="str">
        <x:v>design.collection.mica_plate_capacitor_pack.out</x:v>
      </x:c>
    </x:row>
    <x:row r="751" ht="64" customHeight="1">
      <x:c r="A751" s="4" t="str">
        <x:f>IFERROR(INDEX('Material routes'!$E$6:$E$2205,MATCH(U751,'Material routes'!$A$6:$A$2205,0)),"MISSING ID")</x:f>
        <x:v>Annealed iron sheet stock</x:v>
      </x:c>
      <x:c r="B751" s="4" t="str">
        <x:f>IFERROR(INDEX('Material routes'!$F$6:$F$2205,MATCH(U751,'Material routes'!$A$6:$A$2205,0)),"MISSING ID")</x:f>
        <x:v>T3</x:v>
      </x:c>
      <x:c r="C751" s="4" t="str">
        <x:f>IFERROR(INDEX('Material routes'!$H$6:$H$2205,MATCH(U751,'Material routes'!$A$6:$A$2205,0)),"MISSING ID")</x:f>
        <x:v>Processed material</x:v>
      </x:c>
      <x:c r="D751" s="4" t="str">
        <x:f>IFERROR(INDEX('Material routes'!$G$6:$G$2205,MATCH(U751,'Material routes'!$A$6:$A$2205,0)),"MISSING ID")</x:f>
        <x:v>Manufactured stock</x:v>
      </x:c>
      <x:c r="E751" s="4" t="str">
        <x:f>IFERROR(INDEX('Material routes'!$C$6:$C$2205,MATCH(U751,'Material routes'!$A$6:$A$2205,0)),"MISSING ID")</x:f>
        <x:v>Ingredient candidate</x:v>
      </x:c>
      <x:c r="F751" s="4" t="str">
        <x:f>IFERROR(INDEX('Material routes'!$E$6:$E$2205,MATCH(V751,'Material routes'!$A$6:$A$2205,0)),"MISSING ID")</x:f>
        <x:v>Mica-plate capacitor pack</x:v>
      </x:c>
      <x:c r="G751" s="4" t="str">
        <x:f>IFERROR(INDEX('Material routes'!$F$6:$F$2205,MATCH(V751,'Material routes'!$A$6:$A$2205,0)),"MISSING ID")</x:f>
        <x:v>Not applicable</x:v>
      </x:c>
      <x:c r="H751" s="4" t="str">
        <x:f>IFERROR(INDEX('Material routes'!$H$6:$H$2205,MATCH(V751,'Material routes'!$A$6:$A$2205,0)),"MISSING ID")</x:f>
        <x:v>Energy storage</x:v>
      </x:c>
      <x:c r="I751" s="4" t="str">
        <x:f>IFERROR(INDEX('Material routes'!$G$6:$G$2205,MATCH(V751,'Material routes'!$A$6:$A$2205,0)),"MISSING ID")</x:f>
        <x:v>Crafting components</x:v>
      </x:c>
      <x:c r="J751" s="4" t="str">
        <x:f>IFERROR(INDEX('Material routes'!$B$6:$B$2205,MATCH(U751,'Material routes'!$A$6:$A$2205,0)),"MISSING ID")</x:f>
        <x:v>design.collection.mica_plate_capacitor_pack</x:v>
      </x:c>
      <x:c r="K751" s="4" t="str">
        <x:f>IFERROR(INDEX('Crafting recipes'!$C$6:$C$1005,MATCH(J751,'Crafting recipes'!$A$6:$A$1005,0)),"MISSING ID")</x:f>
        <x:v>Finished-item crafting</x:v>
      </x:c>
      <x:c r="L751" s="4" t="str">
        <x:f>IFERROR(INDEX('Material routes'!$K$6:$K$2205,MATCH(U751,'Material routes'!$A$6:$A$2205,0)),"MISSING ID")</x:f>
        <x:v>Proposal</x:v>
      </x:c>
      <x:c r="M751" s="4" t="str">
        <x:f>IFERROR(INDEX('Material routes'!$M$6:$M$2205,MATCH(U751,'Material routes'!$A$6:$A$2205,0)),"MISSING ID")</x:f>
        <x:v>Partial proposal</x:v>
      </x:c>
      <x:c r="N751" s="4"/>
      <x:c r="O751" s="4" t="str">
        <x:f>IFERROR(INDEX('Material routes'!$J$6:$J$2205,MATCH(U751,'Material routes'!$A$6:$A$2205,0)),"MISSING ID")</x:f>
        <x:v>Unspecified</x:v>
      </x:c>
      <x:c r="P751" s="4"/>
      <x:c r="Q751" s="4" t="str">
        <x:f>IFERROR(INDEX('Material routes'!$J$6:$J$2205,MATCH(V751,'Material routes'!$A$6:$A$2205,0)),"MISSING ID")</x:f>
        <x:v>Unspecified</x:v>
      </x:c>
      <x:c r="R751" s="4" t="str">
        <x:f>IF(L751="Withheld","Withheld premise",IF(E751="Tool candidate","Reusable prerequisite",IF(K751="Raw entry preparation","Entry-resource preparation",IF(G751="Not applicable",IF(IFERROR(INDEX('Items'!$AI$6:$AI$1005,MATCH(T751,'Items'!$A$6:$A$1005,0)),"MISSING ID")="Finished item","Finished endpoint",IF(IFERROR(INDEX('Items'!$AI$6:$AI$1005,MATCH(T751,'Items'!$A$6:$A$1005,0)),"MISSING ID")="Currency","Currency / no refinement tier","Recovered output / tier not applicable")),IF(OR(IFERROR(INDEX('Crafting recipes'!$H$6:$H$1005,MATCH(J751,'Crafting recipes'!$A$6:$A$1005,0)),"MISSING ID")="Unassigned",G751="Unassigned"),"Tier unresolved",IF(IFERROR(VALUE(RIGHT(G751,1))-VALUE(RIGHT(IFERROR(INDEX('Crafting recipes'!$H$6:$H$1005,MATCH(J751,'Crafting recipes'!$A$6:$A$1005,0)),"MISSING ID"),1)),0)=1,IF(B751=IFERROR(INDEX('Crafting recipes'!$H$6:$H$1005,MATCH(J751,'Crafting recipes'!$A$6:$A$1005,0)),"MISSING ID"),"Advances one material tier","Lower-tier ingredient; route advances one tier"),"Needs tier review"))))))</x:f>
        <x:v>Finished endpoint</x:v>
      </x:c>
      <x:c r="S751" s="4" t="str">
        <x:f>IFERROR(INDEX('Material routes'!$D$6:$D$2205,MATCH(U751,'Material routes'!$A$6:$A$2205,0)),"MISSING ID")</x:f>
        <x:v>proposal.collection.annealed_iron_sheet_stock</x:v>
      </x:c>
      <x:c r="T751" s="4" t="str">
        <x:f>IFERROR(INDEX('Material routes'!$D$6:$D$2205,MATCH(V751,'Material routes'!$A$6:$A$2205,0)),"MISSING ID")</x:f>
        <x:v>proposal.collection.mica_plate_capacitor_pack</x:v>
      </x:c>
      <x:c r="U751" s="4" t="str">
        <x:v>design.collection.mica_plate_capacitor_pack.in.2</x:v>
      </x:c>
      <x:c r="V751" s="4" t="str">
        <x:v>design.collection.mica_plate_capacitor_pack.out</x:v>
      </x:c>
    </x:row>
    <x:row r="752" ht="64" customHeight="1">
      <x:c r="A752" s="4" t="str">
        <x:f>IFERROR(INDEX('Material routes'!$E$6:$E$2205,MATCH(U752,'Material routes'!$A$6:$A$2205,0)),"MISSING ID")</x:f>
        <x:v>Rough clear-glass blank</x:v>
      </x:c>
      <x:c r="B752" s="4" t="str">
        <x:f>IFERROR(INDEX('Material routes'!$F$6:$F$2205,MATCH(U752,'Material routes'!$A$6:$A$2205,0)),"MISSING ID")</x:f>
        <x:v>T1</x:v>
      </x:c>
      <x:c r="C752" s="4" t="str">
        <x:f>IFERROR(INDEX('Material routes'!$H$6:$H$2205,MATCH(U752,'Material routes'!$A$6:$A$2205,0)),"MISSING ID")</x:f>
        <x:v>Processed material</x:v>
      </x:c>
      <x:c r="D752" s="4" t="str">
        <x:f>IFERROR(INDEX('Material routes'!$G$6:$G$2205,MATCH(U752,'Material routes'!$A$6:$A$2205,0)),"MISSING ID")</x:f>
        <x:v>Manufactured stock</x:v>
      </x:c>
      <x:c r="E752" s="4" t="str">
        <x:f>IFERROR(INDEX('Material routes'!$C$6:$C$2205,MATCH(U752,'Material routes'!$A$6:$A$2205,0)),"MISSING ID")</x:f>
        <x:v>Ingredient candidate</x:v>
      </x:c>
      <x:c r="F752" s="4" t="str">
        <x:f>IFERROR(INDEX('Material routes'!$E$6:$E$2205,MATCH(V752,'Material routes'!$A$6:$A$2205,0)),"MISSING ID")</x:f>
        <x:v>Glass-jar capacitor bank</x:v>
      </x:c>
      <x:c r="G752" s="4" t="str">
        <x:f>IFERROR(INDEX('Material routes'!$F$6:$F$2205,MATCH(V752,'Material routes'!$A$6:$A$2205,0)),"MISSING ID")</x:f>
        <x:v>Not applicable</x:v>
      </x:c>
      <x:c r="H752" s="4" t="str">
        <x:f>IFERROR(INDEX('Material routes'!$H$6:$H$2205,MATCH(V752,'Material routes'!$A$6:$A$2205,0)),"MISSING ID")</x:f>
        <x:v>Energy storage</x:v>
      </x:c>
      <x:c r="I752" s="4" t="str">
        <x:f>IFERROR(INDEX('Material routes'!$G$6:$G$2205,MATCH(V752,'Material routes'!$A$6:$A$2205,0)),"MISSING ID")</x:f>
        <x:v>Crafting components</x:v>
      </x:c>
      <x:c r="J752" s="4" t="str">
        <x:f>IFERROR(INDEX('Material routes'!$B$6:$B$2205,MATCH(U752,'Material routes'!$A$6:$A$2205,0)),"MISSING ID")</x:f>
        <x:v>design.collection.glass_jar_capacitor_bank</x:v>
      </x:c>
      <x:c r="K752" s="4" t="str">
        <x:f>IFERROR(INDEX('Crafting recipes'!$C$6:$C$1005,MATCH(J752,'Crafting recipes'!$A$6:$A$1005,0)),"MISSING ID")</x:f>
        <x:v>Finished-item crafting</x:v>
      </x:c>
      <x:c r="L752" s="4" t="str">
        <x:f>IFERROR(INDEX('Material routes'!$K$6:$K$2205,MATCH(U752,'Material routes'!$A$6:$A$2205,0)),"MISSING ID")</x:f>
        <x:v>Proposal</x:v>
      </x:c>
      <x:c r="M752" s="4" t="str">
        <x:f>IFERROR(INDEX('Material routes'!$M$6:$M$2205,MATCH(U752,'Material routes'!$A$6:$A$2205,0)),"MISSING ID")</x:f>
        <x:v>Partial proposal</x:v>
      </x:c>
      <x:c r="N752" s="4"/>
      <x:c r="O752" s="4" t="str">
        <x:f>IFERROR(INDEX('Material routes'!$J$6:$J$2205,MATCH(U752,'Material routes'!$A$6:$A$2205,0)),"MISSING ID")</x:f>
        <x:v>Unspecified</x:v>
      </x:c>
      <x:c r="P752" s="4"/>
      <x:c r="Q752" s="4" t="str">
        <x:f>IFERROR(INDEX('Material routes'!$J$6:$J$2205,MATCH(V752,'Material routes'!$A$6:$A$2205,0)),"MISSING ID")</x:f>
        <x:v>Unspecified</x:v>
      </x:c>
      <x:c r="R752" s="4" t="str">
        <x:f>IF(L752="Withheld","Withheld premise",IF(E752="Tool candidate","Reusable prerequisite",IF(K752="Raw entry preparation","Entry-resource preparation",IF(G752="Not applicable",IF(IFERROR(INDEX('Items'!$AI$6:$AI$1005,MATCH(T752,'Items'!$A$6:$A$1005,0)),"MISSING ID")="Finished item","Finished endpoint",IF(IFERROR(INDEX('Items'!$AI$6:$AI$1005,MATCH(T752,'Items'!$A$6:$A$1005,0)),"MISSING ID")="Currency","Currency / no refinement tier","Recovered output / tier not applicable")),IF(OR(IFERROR(INDEX('Crafting recipes'!$H$6:$H$1005,MATCH(J752,'Crafting recipes'!$A$6:$A$1005,0)),"MISSING ID")="Unassigned",G752="Unassigned"),"Tier unresolved",IF(IFERROR(VALUE(RIGHT(G752,1))-VALUE(RIGHT(IFERROR(INDEX('Crafting recipes'!$H$6:$H$1005,MATCH(J752,'Crafting recipes'!$A$6:$A$1005,0)),"MISSING ID"),1)),0)=1,IF(B752=IFERROR(INDEX('Crafting recipes'!$H$6:$H$1005,MATCH(J752,'Crafting recipes'!$A$6:$A$1005,0)),"MISSING ID"),"Advances one material tier","Lower-tier ingredient; route advances one tier"),"Needs tier review"))))))</x:f>
        <x:v>Finished endpoint</x:v>
      </x:c>
      <x:c r="S752" s="4" t="str">
        <x:f>IFERROR(INDEX('Material routes'!$D$6:$D$2205,MATCH(U752,'Material routes'!$A$6:$A$2205,0)),"MISSING ID")</x:f>
        <x:v>proposal.t1.clear_glass_blank</x:v>
      </x:c>
      <x:c r="T752" s="4" t="str">
        <x:f>IFERROR(INDEX('Material routes'!$D$6:$D$2205,MATCH(V752,'Material routes'!$A$6:$A$2205,0)),"MISSING ID")</x:f>
        <x:v>proposal.collection.glass_jar_capacitor_bank</x:v>
      </x:c>
      <x:c r="U752" s="4" t="str">
        <x:v>design.collection.glass_jar_capacitor_bank.in.1</x:v>
      </x:c>
      <x:c r="V752" s="4" t="str">
        <x:v>design.collection.glass_jar_capacitor_bank.out</x:v>
      </x:c>
    </x:row>
    <x:row r="753" ht="64" customHeight="1">
      <x:c r="A753" s="4" t="str">
        <x:f>IFERROR(INDEX('Material routes'!$E$6:$E$2205,MATCH(U753,'Material routes'!$A$6:$A$2205,0)),"MISSING ID")</x:f>
        <x:v>Annealed iron sheet stock</x:v>
      </x:c>
      <x:c r="B753" s="4" t="str">
        <x:f>IFERROR(INDEX('Material routes'!$F$6:$F$2205,MATCH(U753,'Material routes'!$A$6:$A$2205,0)),"MISSING ID")</x:f>
        <x:v>T3</x:v>
      </x:c>
      <x:c r="C753" s="4" t="str">
        <x:f>IFERROR(INDEX('Material routes'!$H$6:$H$2205,MATCH(U753,'Material routes'!$A$6:$A$2205,0)),"MISSING ID")</x:f>
        <x:v>Processed material</x:v>
      </x:c>
      <x:c r="D753" s="4" t="str">
        <x:f>IFERROR(INDEX('Material routes'!$G$6:$G$2205,MATCH(U753,'Material routes'!$A$6:$A$2205,0)),"MISSING ID")</x:f>
        <x:v>Manufactured stock</x:v>
      </x:c>
      <x:c r="E753" s="4" t="str">
        <x:f>IFERROR(INDEX('Material routes'!$C$6:$C$2205,MATCH(U753,'Material routes'!$A$6:$A$2205,0)),"MISSING ID")</x:f>
        <x:v>Ingredient candidate</x:v>
      </x:c>
      <x:c r="F753" s="4" t="str">
        <x:f>IFERROR(INDEX('Material routes'!$E$6:$E$2205,MATCH(V753,'Material routes'!$A$6:$A$2205,0)),"MISSING ID")</x:f>
        <x:v>Glass-jar capacitor bank</x:v>
      </x:c>
      <x:c r="G753" s="4" t="str">
        <x:f>IFERROR(INDEX('Material routes'!$F$6:$F$2205,MATCH(V753,'Material routes'!$A$6:$A$2205,0)),"MISSING ID")</x:f>
        <x:v>Not applicable</x:v>
      </x:c>
      <x:c r="H753" s="4" t="str">
        <x:f>IFERROR(INDEX('Material routes'!$H$6:$H$2205,MATCH(V753,'Material routes'!$A$6:$A$2205,0)),"MISSING ID")</x:f>
        <x:v>Energy storage</x:v>
      </x:c>
      <x:c r="I753" s="4" t="str">
        <x:f>IFERROR(INDEX('Material routes'!$G$6:$G$2205,MATCH(V753,'Material routes'!$A$6:$A$2205,0)),"MISSING ID")</x:f>
        <x:v>Crafting components</x:v>
      </x:c>
      <x:c r="J753" s="4" t="str">
        <x:f>IFERROR(INDEX('Material routes'!$B$6:$B$2205,MATCH(U753,'Material routes'!$A$6:$A$2205,0)),"MISSING ID")</x:f>
        <x:v>design.collection.glass_jar_capacitor_bank</x:v>
      </x:c>
      <x:c r="K753" s="4" t="str">
        <x:f>IFERROR(INDEX('Crafting recipes'!$C$6:$C$1005,MATCH(J753,'Crafting recipes'!$A$6:$A$1005,0)),"MISSING ID")</x:f>
        <x:v>Finished-item crafting</x:v>
      </x:c>
      <x:c r="L753" s="4" t="str">
        <x:f>IFERROR(INDEX('Material routes'!$K$6:$K$2205,MATCH(U753,'Material routes'!$A$6:$A$2205,0)),"MISSING ID")</x:f>
        <x:v>Proposal</x:v>
      </x:c>
      <x:c r="M753" s="4" t="str">
        <x:f>IFERROR(INDEX('Material routes'!$M$6:$M$2205,MATCH(U753,'Material routes'!$A$6:$A$2205,0)),"MISSING ID")</x:f>
        <x:v>Partial proposal</x:v>
      </x:c>
      <x:c r="N753" s="4"/>
      <x:c r="O753" s="4" t="str">
        <x:f>IFERROR(INDEX('Material routes'!$J$6:$J$2205,MATCH(U753,'Material routes'!$A$6:$A$2205,0)),"MISSING ID")</x:f>
        <x:v>Unspecified</x:v>
      </x:c>
      <x:c r="P753" s="4"/>
      <x:c r="Q753" s="4" t="str">
        <x:f>IFERROR(INDEX('Material routes'!$J$6:$J$2205,MATCH(V753,'Material routes'!$A$6:$A$2205,0)),"MISSING ID")</x:f>
        <x:v>Unspecified</x:v>
      </x:c>
      <x:c r="R753" s="4" t="str">
        <x:f>IF(L753="Withheld","Withheld premise",IF(E753="Tool candidate","Reusable prerequisite",IF(K753="Raw entry preparation","Entry-resource preparation",IF(G753="Not applicable",IF(IFERROR(INDEX('Items'!$AI$6:$AI$1005,MATCH(T753,'Items'!$A$6:$A$1005,0)),"MISSING ID")="Finished item","Finished endpoint",IF(IFERROR(INDEX('Items'!$AI$6:$AI$1005,MATCH(T753,'Items'!$A$6:$A$1005,0)),"MISSING ID")="Currency","Currency / no refinement tier","Recovered output / tier not applicable")),IF(OR(IFERROR(INDEX('Crafting recipes'!$H$6:$H$1005,MATCH(J753,'Crafting recipes'!$A$6:$A$1005,0)),"MISSING ID")="Unassigned",G753="Unassigned"),"Tier unresolved",IF(IFERROR(VALUE(RIGHT(G753,1))-VALUE(RIGHT(IFERROR(INDEX('Crafting recipes'!$H$6:$H$1005,MATCH(J753,'Crafting recipes'!$A$6:$A$1005,0)),"MISSING ID"),1)),0)=1,IF(B753=IFERROR(INDEX('Crafting recipes'!$H$6:$H$1005,MATCH(J753,'Crafting recipes'!$A$6:$A$1005,0)),"MISSING ID"),"Advances one material tier","Lower-tier ingredient; route advances one tier"),"Needs tier review"))))))</x:f>
        <x:v>Finished endpoint</x:v>
      </x:c>
      <x:c r="S753" s="4" t="str">
        <x:f>IFERROR(INDEX('Material routes'!$D$6:$D$2205,MATCH(U753,'Material routes'!$A$6:$A$2205,0)),"MISSING ID")</x:f>
        <x:v>proposal.collection.annealed_iron_sheet_stock</x:v>
      </x:c>
      <x:c r="T753" s="4" t="str">
        <x:f>IFERROR(INDEX('Material routes'!$D$6:$D$2205,MATCH(V753,'Material routes'!$A$6:$A$2205,0)),"MISSING ID")</x:f>
        <x:v>proposal.collection.glass_jar_capacitor_bank</x:v>
      </x:c>
      <x:c r="U753" s="4" t="str">
        <x:v>design.collection.glass_jar_capacitor_bank.in.2</x:v>
      </x:c>
      <x:c r="V753" s="4" t="str">
        <x:v>design.collection.glass_jar_capacitor_bank.out</x:v>
      </x:c>
    </x:row>
    <x:row r="754" ht="64" customHeight="1">
      <x:c r="A754" s="4" t="str">
        <x:f>IFERROR(INDEX('Material routes'!$E$6:$E$2205,MATCH(U754,'Material routes'!$A$6:$A$2205,0)),"MISSING ID")</x:f>
        <x:v>Refractory ceramic stock</x:v>
      </x:c>
      <x:c r="B754" s="4" t="str">
        <x:f>IFERROR(INDEX('Material routes'!$F$6:$F$2205,MATCH(U754,'Material routes'!$A$6:$A$2205,0)),"MISSING ID")</x:f>
        <x:v>T2</x:v>
      </x:c>
      <x:c r="C754" s="4" t="str">
        <x:f>IFERROR(INDEX('Material routes'!$H$6:$H$2205,MATCH(U754,'Material routes'!$A$6:$A$2205,0)),"MISSING ID")</x:f>
        <x:v>Processed material</x:v>
      </x:c>
      <x:c r="D754" s="4" t="str">
        <x:f>IFERROR(INDEX('Material routes'!$G$6:$G$2205,MATCH(U754,'Material routes'!$A$6:$A$2205,0)),"MISSING ID")</x:f>
        <x:v>Manufactured stock</x:v>
      </x:c>
      <x:c r="E754" s="4" t="str">
        <x:f>IFERROR(INDEX('Material routes'!$C$6:$C$2205,MATCH(U754,'Material routes'!$A$6:$A$2205,0)),"MISSING ID")</x:f>
        <x:v>Ingredient candidate</x:v>
      </x:c>
      <x:c r="F754" s="4" t="str">
        <x:f>IFERROR(INDEX('Material routes'!$E$6:$E$2205,MATCH(V754,'Material routes'!$A$6:$A$2205,0)),"MISSING ID")</x:f>
        <x:v>Ceramic-dielectric pulse bank</x:v>
      </x:c>
      <x:c r="G754" s="4" t="str">
        <x:f>IFERROR(INDEX('Material routes'!$F$6:$F$2205,MATCH(V754,'Material routes'!$A$6:$A$2205,0)),"MISSING ID")</x:f>
        <x:v>Not applicable</x:v>
      </x:c>
      <x:c r="H754" s="4" t="str">
        <x:f>IFERROR(INDEX('Material routes'!$H$6:$H$2205,MATCH(V754,'Material routes'!$A$6:$A$2205,0)),"MISSING ID")</x:f>
        <x:v>Energy storage</x:v>
      </x:c>
      <x:c r="I754" s="4" t="str">
        <x:f>IFERROR(INDEX('Material routes'!$G$6:$G$2205,MATCH(V754,'Material routes'!$A$6:$A$2205,0)),"MISSING ID")</x:f>
        <x:v>Crafting components</x:v>
      </x:c>
      <x:c r="J754" s="4" t="str">
        <x:f>IFERROR(INDEX('Material routes'!$B$6:$B$2205,MATCH(U754,'Material routes'!$A$6:$A$2205,0)),"MISSING ID")</x:f>
        <x:v>design.collection.ceramic_dielectric_pulse_bank</x:v>
      </x:c>
      <x:c r="K754" s="4" t="str">
        <x:f>IFERROR(INDEX('Crafting recipes'!$C$6:$C$1005,MATCH(J754,'Crafting recipes'!$A$6:$A$1005,0)),"MISSING ID")</x:f>
        <x:v>Finished-item crafting</x:v>
      </x:c>
      <x:c r="L754" s="4" t="str">
        <x:f>IFERROR(INDEX('Material routes'!$K$6:$K$2205,MATCH(U754,'Material routes'!$A$6:$A$2205,0)),"MISSING ID")</x:f>
        <x:v>Proposal</x:v>
      </x:c>
      <x:c r="M754" s="4" t="str">
        <x:f>IFERROR(INDEX('Material routes'!$M$6:$M$2205,MATCH(U754,'Material routes'!$A$6:$A$2205,0)),"MISSING ID")</x:f>
        <x:v>Partial proposal</x:v>
      </x:c>
      <x:c r="N754" s="4"/>
      <x:c r="O754" s="4" t="str">
        <x:f>IFERROR(INDEX('Material routes'!$J$6:$J$2205,MATCH(U754,'Material routes'!$A$6:$A$2205,0)),"MISSING ID")</x:f>
        <x:v>Unspecified</x:v>
      </x:c>
      <x:c r="P754" s="4"/>
      <x:c r="Q754" s="4" t="str">
        <x:f>IFERROR(INDEX('Material routes'!$J$6:$J$2205,MATCH(V754,'Material routes'!$A$6:$A$2205,0)),"MISSING ID")</x:f>
        <x:v>Unspecified</x:v>
      </x:c>
      <x:c r="R754" s="4" t="str">
        <x:f>IF(L754="Withheld","Withheld premise",IF(E754="Tool candidate","Reusable prerequisite",IF(K754="Raw entry preparation","Entry-resource preparation",IF(G754="Not applicable",IF(IFERROR(INDEX('Items'!$AI$6:$AI$1005,MATCH(T754,'Items'!$A$6:$A$1005,0)),"MISSING ID")="Finished item","Finished endpoint",IF(IFERROR(INDEX('Items'!$AI$6:$AI$1005,MATCH(T754,'Items'!$A$6:$A$1005,0)),"MISSING ID")="Currency","Currency / no refinement tier","Recovered output / tier not applicable")),IF(OR(IFERROR(INDEX('Crafting recipes'!$H$6:$H$1005,MATCH(J754,'Crafting recipes'!$A$6:$A$1005,0)),"MISSING ID")="Unassigned",G754="Unassigned"),"Tier unresolved",IF(IFERROR(VALUE(RIGHT(G754,1))-VALUE(RIGHT(IFERROR(INDEX('Crafting recipes'!$H$6:$H$1005,MATCH(J754,'Crafting recipes'!$A$6:$A$1005,0)),"MISSING ID"),1)),0)=1,IF(B754=IFERROR(INDEX('Crafting recipes'!$H$6:$H$1005,MATCH(J754,'Crafting recipes'!$A$6:$A$1005,0)),"MISSING ID"),"Advances one material tier","Lower-tier ingredient; route advances one tier"),"Needs tier review"))))))</x:f>
        <x:v>Finished endpoint</x:v>
      </x:c>
      <x:c r="S754" s="4" t="str">
        <x:f>IFERROR(INDEX('Material routes'!$D$6:$D$2205,MATCH(U754,'Material routes'!$A$6:$A$2205,0)),"MISSING ID")</x:f>
        <x:v>proposal.branch.refractory_ceramic</x:v>
      </x:c>
      <x:c r="T754" s="4" t="str">
        <x:f>IFERROR(INDEX('Material routes'!$D$6:$D$2205,MATCH(V754,'Material routes'!$A$6:$A$2205,0)),"MISSING ID")</x:f>
        <x:v>proposal.collection.ceramic_dielectric_pulse_bank</x:v>
      </x:c>
      <x:c r="U754" s="4" t="str">
        <x:v>design.collection.ceramic_dielectric_pulse_bank.in.1</x:v>
      </x:c>
      <x:c r="V754" s="4" t="str">
        <x:v>design.collection.ceramic_dielectric_pulse_bank.out</x:v>
      </x:c>
    </x:row>
    <x:row r="755" ht="64" customHeight="1">
      <x:c r="A755" s="4" t="str">
        <x:f>IFERROR(INDEX('Material routes'!$E$6:$E$2205,MATCH(U755,'Material routes'!$A$6:$A$2205,0)),"MISSING ID")</x:f>
        <x:v>Refined copper cake</x:v>
      </x:c>
      <x:c r="B755" s="4" t="str">
        <x:f>IFERROR(INDEX('Material routes'!$F$6:$F$2205,MATCH(U755,'Material routes'!$A$6:$A$2205,0)),"MISSING ID")</x:f>
        <x:v>T1</x:v>
      </x:c>
      <x:c r="C755" s="4" t="str">
        <x:f>IFERROR(INDEX('Material routes'!$H$6:$H$2205,MATCH(U755,'Material routes'!$A$6:$A$2205,0)),"MISSING ID")</x:f>
        <x:v>Processed material</x:v>
      </x:c>
      <x:c r="D755" s="4" t="str">
        <x:f>IFERROR(INDEX('Material routes'!$G$6:$G$2205,MATCH(U755,'Material routes'!$A$6:$A$2205,0)),"MISSING ID")</x:f>
        <x:v>Manufactured stock</x:v>
      </x:c>
      <x:c r="E755" s="4" t="str">
        <x:f>IFERROR(INDEX('Material routes'!$C$6:$C$2205,MATCH(U755,'Material routes'!$A$6:$A$2205,0)),"MISSING ID")</x:f>
        <x:v>Ingredient candidate</x:v>
      </x:c>
      <x:c r="F755" s="4" t="str">
        <x:f>IFERROR(INDEX('Material routes'!$E$6:$E$2205,MATCH(V755,'Material routes'!$A$6:$A$2205,0)),"MISSING ID")</x:f>
        <x:v>Ceramic-dielectric pulse bank</x:v>
      </x:c>
      <x:c r="G755" s="4" t="str">
        <x:f>IFERROR(INDEX('Material routes'!$F$6:$F$2205,MATCH(V755,'Material routes'!$A$6:$A$2205,0)),"MISSING ID")</x:f>
        <x:v>Not applicable</x:v>
      </x:c>
      <x:c r="H755" s="4" t="str">
        <x:f>IFERROR(INDEX('Material routes'!$H$6:$H$2205,MATCH(V755,'Material routes'!$A$6:$A$2205,0)),"MISSING ID")</x:f>
        <x:v>Energy storage</x:v>
      </x:c>
      <x:c r="I755" s="4" t="str">
        <x:f>IFERROR(INDEX('Material routes'!$G$6:$G$2205,MATCH(V755,'Material routes'!$A$6:$A$2205,0)),"MISSING ID")</x:f>
        <x:v>Crafting components</x:v>
      </x:c>
      <x:c r="J755" s="4" t="str">
        <x:f>IFERROR(INDEX('Material routes'!$B$6:$B$2205,MATCH(U755,'Material routes'!$A$6:$A$2205,0)),"MISSING ID")</x:f>
        <x:v>design.collection.ceramic_dielectric_pulse_bank</x:v>
      </x:c>
      <x:c r="K755" s="4" t="str">
        <x:f>IFERROR(INDEX('Crafting recipes'!$C$6:$C$1005,MATCH(J755,'Crafting recipes'!$A$6:$A$1005,0)),"MISSING ID")</x:f>
        <x:v>Finished-item crafting</x:v>
      </x:c>
      <x:c r="L755" s="4" t="str">
        <x:f>IFERROR(INDEX('Material routes'!$K$6:$K$2205,MATCH(U755,'Material routes'!$A$6:$A$2205,0)),"MISSING ID")</x:f>
        <x:v>Proposal</x:v>
      </x:c>
      <x:c r="M755" s="4" t="str">
        <x:f>IFERROR(INDEX('Material routes'!$M$6:$M$2205,MATCH(U755,'Material routes'!$A$6:$A$2205,0)),"MISSING ID")</x:f>
        <x:v>Partial proposal</x:v>
      </x:c>
      <x:c r="N755" s="4"/>
      <x:c r="O755" s="4" t="str">
        <x:f>IFERROR(INDEX('Material routes'!$J$6:$J$2205,MATCH(U755,'Material routes'!$A$6:$A$2205,0)),"MISSING ID")</x:f>
        <x:v>Unspecified</x:v>
      </x:c>
      <x:c r="P755" s="4"/>
      <x:c r="Q755" s="4" t="str">
        <x:f>IFERROR(INDEX('Material routes'!$J$6:$J$2205,MATCH(V755,'Material routes'!$A$6:$A$2205,0)),"MISSING ID")</x:f>
        <x:v>Unspecified</x:v>
      </x:c>
      <x:c r="R755" s="4" t="str">
        <x:f>IF(L755="Withheld","Withheld premise",IF(E755="Tool candidate","Reusable prerequisite",IF(K755="Raw entry preparation","Entry-resource preparation",IF(G755="Not applicable",IF(IFERROR(INDEX('Items'!$AI$6:$AI$1005,MATCH(T755,'Items'!$A$6:$A$1005,0)),"MISSING ID")="Finished item","Finished endpoint",IF(IFERROR(INDEX('Items'!$AI$6:$AI$1005,MATCH(T755,'Items'!$A$6:$A$1005,0)),"MISSING ID")="Currency","Currency / no refinement tier","Recovered output / tier not applicable")),IF(OR(IFERROR(INDEX('Crafting recipes'!$H$6:$H$1005,MATCH(J755,'Crafting recipes'!$A$6:$A$1005,0)),"MISSING ID")="Unassigned",G755="Unassigned"),"Tier unresolved",IF(IFERROR(VALUE(RIGHT(G755,1))-VALUE(RIGHT(IFERROR(INDEX('Crafting recipes'!$H$6:$H$1005,MATCH(J755,'Crafting recipes'!$A$6:$A$1005,0)),"MISSING ID"),1)),0)=1,IF(B755=IFERROR(INDEX('Crafting recipes'!$H$6:$H$1005,MATCH(J755,'Crafting recipes'!$A$6:$A$1005,0)),"MISSING ID"),"Advances one material tier","Lower-tier ingredient; route advances one tier"),"Needs tier review"))))))</x:f>
        <x:v>Finished endpoint</x:v>
      </x:c>
      <x:c r="S755" s="4" t="str">
        <x:f>IFERROR(INDEX('Material routes'!$D$6:$D$2205,MATCH(U755,'Material routes'!$A$6:$A$2205,0)),"MISSING ID")</x:f>
        <x:v>proposal.t1.copper_cake</x:v>
      </x:c>
      <x:c r="T755" s="4" t="str">
        <x:f>IFERROR(INDEX('Material routes'!$D$6:$D$2205,MATCH(V755,'Material routes'!$A$6:$A$2205,0)),"MISSING ID")</x:f>
        <x:v>proposal.collection.ceramic_dielectric_pulse_bank</x:v>
      </x:c>
      <x:c r="U755" s="4" t="str">
        <x:v>design.collection.ceramic_dielectric_pulse_bank.in.2</x:v>
      </x:c>
      <x:c r="V755" s="4" t="str">
        <x:v>design.collection.ceramic_dielectric_pulse_bank.out</x:v>
      </x:c>
    </x:row>
    <x:row r="756" ht="64" customHeight="1">
      <x:c r="A756" s="4" t="str">
        <x:f>IFERROR(INDEX('Material routes'!$E$6:$E$2205,MATCH(U756,'Material routes'!$A$6:$A$2205,0)),"MISSING ID")</x:f>
        <x:v>Mineral contact-cleaning charge</x:v>
      </x:c>
      <x:c r="B756" s="4" t="str">
        <x:f>IFERROR(INDEX('Material routes'!$F$6:$F$2205,MATCH(U756,'Material routes'!$A$6:$A$2205,0)),"MISSING ID")</x:f>
        <x:v>T2</x:v>
      </x:c>
      <x:c r="C756" s="4" t="str">
        <x:f>IFERROR(INDEX('Material routes'!$H$6:$H$2205,MATCH(U756,'Material routes'!$A$6:$A$2205,0)),"MISSING ID")</x:f>
        <x:v>Chemical material</x:v>
      </x:c>
      <x:c r="D756" s="4" t="str">
        <x:f>IFERROR(INDEX('Material routes'!$G$6:$G$2205,MATCH(U756,'Material routes'!$A$6:$A$2205,0)),"MISSING ID")</x:f>
        <x:v>Crafting components</x:v>
      </x:c>
      <x:c r="E756" s="4" t="str">
        <x:f>IFERROR(INDEX('Material routes'!$C$6:$C$2205,MATCH(U756,'Material routes'!$A$6:$A$2205,0)),"MISSING ID")</x:f>
        <x:v>Ingredient candidate</x:v>
      </x:c>
      <x:c r="F756" s="4" t="str">
        <x:f>IFERROR(INDEX('Material routes'!$E$6:$E$2205,MATCH(V756,'Material routes'!$A$6:$A$2205,0)),"MISSING ID")</x:f>
        <x:v>Radio contact service kit</x:v>
      </x:c>
      <x:c r="G756" s="4" t="str">
        <x:f>IFERROR(INDEX('Material routes'!$F$6:$F$2205,MATCH(V756,'Material routes'!$A$6:$A$2205,0)),"MISSING ID")</x:f>
        <x:v>Not applicable</x:v>
      </x:c>
      <x:c r="H756" s="4" t="str">
        <x:f>IFERROR(INDEX('Material routes'!$H$6:$H$2205,MATCH(V756,'Material routes'!$A$6:$A$2205,0)),"MISSING ID")</x:f>
        <x:v>Service kit</x:v>
      </x:c>
      <x:c r="I756" s="4" t="str">
        <x:f>IFERROR(INDEX('Material routes'!$G$6:$G$2205,MATCH(V756,'Material routes'!$A$6:$A$2205,0)),"MISSING ID")</x:f>
        <x:v>Salvage</x:v>
      </x:c>
      <x:c r="J756" s="4" t="str">
        <x:f>IFERROR(INDEX('Material routes'!$B$6:$B$2205,MATCH(U756,'Material routes'!$A$6:$A$2205,0)),"MISSING ID")</x:f>
        <x:v>design.collection.radio_contact_service_kit</x:v>
      </x:c>
      <x:c r="K756" s="4" t="str">
        <x:f>IFERROR(INDEX('Crafting recipes'!$C$6:$C$1005,MATCH(J756,'Crafting recipes'!$A$6:$A$1005,0)),"MISSING ID")</x:f>
        <x:v>Finished-item crafting</x:v>
      </x:c>
      <x:c r="L756" s="4" t="str">
        <x:f>IFERROR(INDEX('Material routes'!$K$6:$K$2205,MATCH(U756,'Material routes'!$A$6:$A$2205,0)),"MISSING ID")</x:f>
        <x:v>Proposal</x:v>
      </x:c>
      <x:c r="M756" s="4" t="str">
        <x:f>IFERROR(INDEX('Material routes'!$M$6:$M$2205,MATCH(U756,'Material routes'!$A$6:$A$2205,0)),"MISSING ID")</x:f>
        <x:v>Partial proposal</x:v>
      </x:c>
      <x:c r="N756" s="4"/>
      <x:c r="O756" s="4" t="str">
        <x:f>IFERROR(INDEX('Material routes'!$J$6:$J$2205,MATCH(U756,'Material routes'!$A$6:$A$2205,0)),"MISSING ID")</x:f>
        <x:v>Unspecified</x:v>
      </x:c>
      <x:c r="P756" s="4"/>
      <x:c r="Q756" s="4" t="str">
        <x:f>IFERROR(INDEX('Material routes'!$J$6:$J$2205,MATCH(V756,'Material routes'!$A$6:$A$2205,0)),"MISSING ID")</x:f>
        <x:v>Unspecified</x:v>
      </x:c>
      <x:c r="R756" s="4" t="str">
        <x:f>IF(L756="Withheld","Withheld premise",IF(E756="Tool candidate","Reusable prerequisite",IF(K756="Raw entry preparation","Entry-resource preparation",IF(G756="Not applicable",IF(IFERROR(INDEX('Items'!$AI$6:$AI$1005,MATCH(T756,'Items'!$A$6:$A$1005,0)),"MISSING ID")="Finished item","Finished endpoint",IF(IFERROR(INDEX('Items'!$AI$6:$AI$1005,MATCH(T756,'Items'!$A$6:$A$1005,0)),"MISSING ID")="Currency","Currency / no refinement tier","Recovered output / tier not applicable")),IF(OR(IFERROR(INDEX('Crafting recipes'!$H$6:$H$1005,MATCH(J756,'Crafting recipes'!$A$6:$A$1005,0)),"MISSING ID")="Unassigned",G756="Unassigned"),"Tier unresolved",IF(IFERROR(VALUE(RIGHT(G756,1))-VALUE(RIGHT(IFERROR(INDEX('Crafting recipes'!$H$6:$H$1005,MATCH(J756,'Crafting recipes'!$A$6:$A$1005,0)),"MISSING ID"),1)),0)=1,IF(B756=IFERROR(INDEX('Crafting recipes'!$H$6:$H$1005,MATCH(J756,'Crafting recipes'!$A$6:$A$1005,0)),"MISSING ID"),"Advances one material tier","Lower-tier ingredient; route advances one tier"),"Needs tier review"))))))</x:f>
        <x:v>Finished endpoint</x:v>
      </x:c>
      <x:c r="S756" s="4" t="str">
        <x:f>IFERROR(INDEX('Material routes'!$D$6:$D$2205,MATCH(U756,'Material routes'!$A$6:$A$2205,0)),"MISSING ID")</x:f>
        <x:v>proposal.collection.mineral_contact_cleaning_charge</x:v>
      </x:c>
      <x:c r="T756" s="4" t="str">
        <x:f>IFERROR(INDEX('Material routes'!$D$6:$D$2205,MATCH(V756,'Material routes'!$A$6:$A$2205,0)),"MISSING ID")</x:f>
        <x:v>proposal.collection.radio_contact_service_kit</x:v>
      </x:c>
      <x:c r="U756" s="4" t="str">
        <x:v>design.collection.radio_contact_service_kit.in.1</x:v>
      </x:c>
      <x:c r="V756" s="4" t="str">
        <x:v>design.collection.radio_contact_service_kit.out</x:v>
      </x:c>
    </x:row>
    <x:row r="757" ht="64" customHeight="1">
      <x:c r="A757" s="4" t="str">
        <x:f>IFERROR(INDEX('Material routes'!$E$6:$E$2205,MATCH(U757,'Material routes'!$A$6:$A$2205,0)),"MISSING ID")</x:f>
        <x:v>Mica-separated terminal strip</x:v>
      </x:c>
      <x:c r="B757" s="4" t="str">
        <x:f>IFERROR(INDEX('Material routes'!$F$6:$F$2205,MATCH(U757,'Material routes'!$A$6:$A$2205,0)),"MISSING ID")</x:f>
        <x:v>T4</x:v>
      </x:c>
      <x:c r="C757" s="4" t="str">
        <x:f>IFERROR(INDEX('Material routes'!$H$6:$H$2205,MATCH(U757,'Material routes'!$A$6:$A$2205,0)),"MISSING ID")</x:f>
        <x:v>Machine part</x:v>
      </x:c>
      <x:c r="D757" s="4" t="str">
        <x:f>IFERROR(INDEX('Material routes'!$G$6:$G$2205,MATCH(U757,'Material routes'!$A$6:$A$2205,0)),"MISSING ID")</x:f>
        <x:v>Crafting components</x:v>
      </x:c>
      <x:c r="E757" s="4" t="str">
        <x:f>IFERROR(INDEX('Material routes'!$C$6:$C$2205,MATCH(U757,'Material routes'!$A$6:$A$2205,0)),"MISSING ID")</x:f>
        <x:v>Ingredient candidate</x:v>
      </x:c>
      <x:c r="F757" s="4" t="str">
        <x:f>IFERROR(INDEX('Material routes'!$E$6:$E$2205,MATCH(V757,'Material routes'!$A$6:$A$2205,0)),"MISSING ID")</x:f>
        <x:v>Radio contact service kit</x:v>
      </x:c>
      <x:c r="G757" s="4" t="str">
        <x:f>IFERROR(INDEX('Material routes'!$F$6:$F$2205,MATCH(V757,'Material routes'!$A$6:$A$2205,0)),"MISSING ID")</x:f>
        <x:v>Not applicable</x:v>
      </x:c>
      <x:c r="H757" s="4" t="str">
        <x:f>IFERROR(INDEX('Material routes'!$H$6:$H$2205,MATCH(V757,'Material routes'!$A$6:$A$2205,0)),"MISSING ID")</x:f>
        <x:v>Service kit</x:v>
      </x:c>
      <x:c r="I757" s="4" t="str">
        <x:f>IFERROR(INDEX('Material routes'!$G$6:$G$2205,MATCH(V757,'Material routes'!$A$6:$A$2205,0)),"MISSING ID")</x:f>
        <x:v>Salvage</x:v>
      </x:c>
      <x:c r="J757" s="4" t="str">
        <x:f>IFERROR(INDEX('Material routes'!$B$6:$B$2205,MATCH(U757,'Material routes'!$A$6:$A$2205,0)),"MISSING ID")</x:f>
        <x:v>design.collection.radio_contact_service_kit</x:v>
      </x:c>
      <x:c r="K757" s="4" t="str">
        <x:f>IFERROR(INDEX('Crafting recipes'!$C$6:$C$1005,MATCH(J757,'Crafting recipes'!$A$6:$A$1005,0)),"MISSING ID")</x:f>
        <x:v>Finished-item crafting</x:v>
      </x:c>
      <x:c r="L757" s="4" t="str">
        <x:f>IFERROR(INDEX('Material routes'!$K$6:$K$2205,MATCH(U757,'Material routes'!$A$6:$A$2205,0)),"MISSING ID")</x:f>
        <x:v>Proposal</x:v>
      </x:c>
      <x:c r="M757" s="4" t="str">
        <x:f>IFERROR(INDEX('Material routes'!$M$6:$M$2205,MATCH(U757,'Material routes'!$A$6:$A$2205,0)),"MISSING ID")</x:f>
        <x:v>Partial proposal</x:v>
      </x:c>
      <x:c r="N757" s="4"/>
      <x:c r="O757" s="4" t="str">
        <x:f>IFERROR(INDEX('Material routes'!$J$6:$J$2205,MATCH(U757,'Material routes'!$A$6:$A$2205,0)),"MISSING ID")</x:f>
        <x:v>Unspecified</x:v>
      </x:c>
      <x:c r="P757" s="4"/>
      <x:c r="Q757" s="4" t="str">
        <x:f>IFERROR(INDEX('Material routes'!$J$6:$J$2205,MATCH(V757,'Material routes'!$A$6:$A$2205,0)),"MISSING ID")</x:f>
        <x:v>Unspecified</x:v>
      </x:c>
      <x:c r="R757" s="4" t="str">
        <x:f>IF(L757="Withheld","Withheld premise",IF(E757="Tool candidate","Reusable prerequisite",IF(K757="Raw entry preparation","Entry-resource preparation",IF(G757="Not applicable",IF(IFERROR(INDEX('Items'!$AI$6:$AI$1005,MATCH(T757,'Items'!$A$6:$A$1005,0)),"MISSING ID")="Finished item","Finished endpoint",IF(IFERROR(INDEX('Items'!$AI$6:$AI$1005,MATCH(T757,'Items'!$A$6:$A$1005,0)),"MISSING ID")="Currency","Currency / no refinement tier","Recovered output / tier not applicable")),IF(OR(IFERROR(INDEX('Crafting recipes'!$H$6:$H$1005,MATCH(J757,'Crafting recipes'!$A$6:$A$1005,0)),"MISSING ID")="Unassigned",G757="Unassigned"),"Tier unresolved",IF(IFERROR(VALUE(RIGHT(G757,1))-VALUE(RIGHT(IFERROR(INDEX('Crafting recipes'!$H$6:$H$1005,MATCH(J757,'Crafting recipes'!$A$6:$A$1005,0)),"MISSING ID"),1)),0)=1,IF(B757=IFERROR(INDEX('Crafting recipes'!$H$6:$H$1005,MATCH(J757,'Crafting recipes'!$A$6:$A$1005,0)),"MISSING ID"),"Advances one material tier","Lower-tier ingredient; route advances one tier"),"Needs tier review"))))))</x:f>
        <x:v>Finished endpoint</x:v>
      </x:c>
      <x:c r="S757" s="4" t="str">
        <x:f>IFERROR(INDEX('Material routes'!$D$6:$D$2205,MATCH(U757,'Material routes'!$A$6:$A$2205,0)),"MISSING ID")</x:f>
        <x:v>proposal.collection.mica_separated_terminal_strip</x:v>
      </x:c>
      <x:c r="T757" s="4" t="str">
        <x:f>IFERROR(INDEX('Material routes'!$D$6:$D$2205,MATCH(V757,'Material routes'!$A$6:$A$2205,0)),"MISSING ID")</x:f>
        <x:v>proposal.collection.radio_contact_service_kit</x:v>
      </x:c>
      <x:c r="U757" s="4" t="str">
        <x:v>design.collection.radio_contact_service_kit.in.2</x:v>
      </x:c>
      <x:c r="V757" s="4" t="str">
        <x:v>design.collection.radio_contact_service_kit.out</x:v>
      </x:c>
    </x:row>
    <x:row r="758" ht="64" customHeight="1">
      <x:c r="A758" s="4" t="str">
        <x:f>IFERROR(INDEX('Material routes'!$E$6:$E$2205,MATCH(U758,'Material routes'!$A$6:$A$2205,0)),"MISSING ID")</x:f>
        <x:v>Joint-service cleaning pick</x:v>
      </x:c>
      <x:c r="B758" s="4" t="str">
        <x:f>IFERROR(INDEX('Material routes'!$F$6:$F$2205,MATCH(U758,'Material routes'!$A$6:$A$2205,0)),"MISSING ID")</x:f>
        <x:v>Not applicable</x:v>
      </x:c>
      <x:c r="C758" s="4" t="str">
        <x:f>IFERROR(INDEX('Material routes'!$H$6:$H$2205,MATCH(U758,'Material routes'!$A$6:$A$2205,0)),"MISSING ID")</x:f>
        <x:v>Tool</x:v>
      </x:c>
      <x:c r="D758" s="4" t="str">
        <x:f>IFERROR(INDEX('Material routes'!$G$6:$G$2205,MATCH(U758,'Material routes'!$A$6:$A$2205,0)),"MISSING ID")</x:f>
        <x:v>Salvage</x:v>
      </x:c>
      <x:c r="E758" s="4" t="str">
        <x:f>IFERROR(INDEX('Material routes'!$C$6:$C$2205,MATCH(U758,'Material routes'!$A$6:$A$2205,0)),"MISSING ID")</x:f>
        <x:v>Ingredient candidate</x:v>
      </x:c>
      <x:c r="F758" s="4" t="str">
        <x:f>IFERROR(INDEX('Material routes'!$E$6:$E$2205,MATCH(V758,'Material routes'!$A$6:$A$2205,0)),"MISSING ID")</x:f>
        <x:v>Radio contact service kit</x:v>
      </x:c>
      <x:c r="G758" s="4" t="str">
        <x:f>IFERROR(INDEX('Material routes'!$F$6:$F$2205,MATCH(V758,'Material routes'!$A$6:$A$2205,0)),"MISSING ID")</x:f>
        <x:v>Not applicable</x:v>
      </x:c>
      <x:c r="H758" s="4" t="str">
        <x:f>IFERROR(INDEX('Material routes'!$H$6:$H$2205,MATCH(V758,'Material routes'!$A$6:$A$2205,0)),"MISSING ID")</x:f>
        <x:v>Service kit</x:v>
      </x:c>
      <x:c r="I758" s="4" t="str">
        <x:f>IFERROR(INDEX('Material routes'!$G$6:$G$2205,MATCH(V758,'Material routes'!$A$6:$A$2205,0)),"MISSING ID")</x:f>
        <x:v>Salvage</x:v>
      </x:c>
      <x:c r="J758" s="4" t="str">
        <x:f>IFERROR(INDEX('Material routes'!$B$6:$B$2205,MATCH(U758,'Material routes'!$A$6:$A$2205,0)),"MISSING ID")</x:f>
        <x:v>design.collection.radio_contact_service_kit</x:v>
      </x:c>
      <x:c r="K758" s="4" t="str">
        <x:f>IFERROR(INDEX('Crafting recipes'!$C$6:$C$1005,MATCH(J758,'Crafting recipes'!$A$6:$A$1005,0)),"MISSING ID")</x:f>
        <x:v>Finished-item crafting</x:v>
      </x:c>
      <x:c r="L758" s="4" t="str">
        <x:f>IFERROR(INDEX('Material routes'!$K$6:$K$2205,MATCH(U758,'Material routes'!$A$6:$A$2205,0)),"MISSING ID")</x:f>
        <x:v>Proposal</x:v>
      </x:c>
      <x:c r="M758" s="4" t="str">
        <x:f>IFERROR(INDEX('Material routes'!$M$6:$M$2205,MATCH(U758,'Material routes'!$A$6:$A$2205,0)),"MISSING ID")</x:f>
        <x:v>Partial proposal</x:v>
      </x:c>
      <x:c r="N758" s="4"/>
      <x:c r="O758" s="4" t="str">
        <x:f>IFERROR(INDEX('Material routes'!$J$6:$J$2205,MATCH(U758,'Material routes'!$A$6:$A$2205,0)),"MISSING ID")</x:f>
        <x:v>Unspecified</x:v>
      </x:c>
      <x:c r="P758" s="4"/>
      <x:c r="Q758" s="4" t="str">
        <x:f>IFERROR(INDEX('Material routes'!$J$6:$J$2205,MATCH(V758,'Material routes'!$A$6:$A$2205,0)),"MISSING ID")</x:f>
        <x:v>Unspecified</x:v>
      </x:c>
      <x:c r="R758" s="4" t="str">
        <x:f>IF(L758="Withheld","Withheld premise",IF(E758="Tool candidate","Reusable prerequisite",IF(K758="Raw entry preparation","Entry-resource preparation",IF(G758="Not applicable",IF(IFERROR(INDEX('Items'!$AI$6:$AI$1005,MATCH(T758,'Items'!$A$6:$A$1005,0)),"MISSING ID")="Finished item","Finished endpoint",IF(IFERROR(INDEX('Items'!$AI$6:$AI$1005,MATCH(T758,'Items'!$A$6:$A$1005,0)),"MISSING ID")="Currency","Currency / no refinement tier","Recovered output / tier not applicable")),IF(OR(IFERROR(INDEX('Crafting recipes'!$H$6:$H$1005,MATCH(J758,'Crafting recipes'!$A$6:$A$1005,0)),"MISSING ID")="Unassigned",G758="Unassigned"),"Tier unresolved",IF(IFERROR(VALUE(RIGHT(G758,1))-VALUE(RIGHT(IFERROR(INDEX('Crafting recipes'!$H$6:$H$1005,MATCH(J758,'Crafting recipes'!$A$6:$A$1005,0)),"MISSING ID"),1)),0)=1,IF(B758=IFERROR(INDEX('Crafting recipes'!$H$6:$H$1005,MATCH(J758,'Crafting recipes'!$A$6:$A$1005,0)),"MISSING ID"),"Advances one material tier","Lower-tier ingredient; route advances one tier"),"Needs tier review"))))))</x:f>
        <x:v>Finished endpoint</x:v>
      </x:c>
      <x:c r="S758" s="4" t="str">
        <x:f>IFERROR(INDEX('Material routes'!$D$6:$D$2205,MATCH(U758,'Material routes'!$A$6:$A$2205,0)),"MISSING ID")</x:f>
        <x:v>proposal.legger.service_pick</x:v>
      </x:c>
      <x:c r="T758" s="4" t="str">
        <x:f>IFERROR(INDEX('Material routes'!$D$6:$D$2205,MATCH(V758,'Material routes'!$A$6:$A$2205,0)),"MISSING ID")</x:f>
        <x:v>proposal.collection.radio_contact_service_kit</x:v>
      </x:c>
      <x:c r="U758" s="4" t="str">
        <x:v>design.collection.radio_contact_service_kit.in.3</x:v>
      </x:c>
      <x:c r="V758" s="4" t="str">
        <x:v>design.collection.radio_contact_service_kit.out</x:v>
      </x:c>
    </x:row>
    <x:row r="759" ht="64" customHeight="1">
      <x:c r="A759" s="4"/>
      <x:c r="B759" s="4"/>
      <x:c r="C759" s="4"/>
      <x:c r="D759" s="4"/>
      <x:c r="E759" s="4"/>
      <x:c r="F759" s="4"/>
      <x:c r="G759" s="4"/>
      <x:c r="H759" s="4"/>
      <x:c r="I759" s="4"/>
      <x:c r="J759" s="4"/>
      <x:c r="K759" s="4"/>
      <x:c r="L759" s="4"/>
      <x:c r="M759" s="4"/>
      <x:c r="N759" s="4"/>
      <x:c r="P759" s="4"/>
      <x:c r="R759" s="4"/>
      <x:c r="S759" s="4"/>
      <x:c r="T759" s="4"/>
      <x:c r="U759" s="4"/>
      <x:c r="V759" s="4"/>
    </x:row>
    <x:row r="760" ht="64" customHeight="1">
      <x:c r="A760" s="4"/>
      <x:c r="B760" s="4"/>
      <x:c r="C760" s="4"/>
      <x:c r="D760" s="4"/>
      <x:c r="E760" s="4"/>
      <x:c r="F760" s="4"/>
      <x:c r="G760" s="4"/>
      <x:c r="H760" s="4"/>
      <x:c r="I760" s="4"/>
      <x:c r="J760" s="4"/>
      <x:c r="K760" s="4"/>
      <x:c r="L760" s="4"/>
      <x:c r="M760" s="4"/>
      <x:c r="N760" s="4"/>
      <x:c r="P760" s="4"/>
      <x:c r="R760" s="4"/>
      <x:c r="S760" s="4"/>
      <x:c r="T760" s="4"/>
      <x:c r="U760" s="4"/>
      <x:c r="V760" s="4"/>
    </x:row>
    <x:row r="761" ht="64" customHeight="1">
      <x:c r="A761" s="4" t="str">
        <x:f>IFERROR(INDEX('Material routes'!$E$6:$E$2205,MATCH(U761,'Material routes'!$A$6:$A$2205,0)),"MISSING ID")</x:f>
        <x:v>Joint thrust washer</x:v>
      </x:c>
      <x:c r="B761" s="4" t="str">
        <x:f>IFERROR(INDEX('Material routes'!$F$6:$F$2205,MATCH(U761,'Material routes'!$A$6:$A$2205,0)),"MISSING ID")</x:f>
        <x:v>T3</x:v>
      </x:c>
      <x:c r="C761" s="4" t="str">
        <x:f>IFERROR(INDEX('Material routes'!$H$6:$H$2205,MATCH(U761,'Material routes'!$A$6:$A$2205,0)),"MISSING ID")</x:f>
        <x:v>Crafting component</x:v>
      </x:c>
      <x:c r="D761" s="4" t="str">
        <x:f>IFERROR(INDEX('Material routes'!$G$6:$G$2205,MATCH(U761,'Material routes'!$A$6:$A$2205,0)),"MISSING ID")</x:f>
        <x:v>Crafting components</x:v>
      </x:c>
      <x:c r="E761" s="4" t="str">
        <x:f>IFERROR(INDEX('Material routes'!$C$6:$C$2205,MATCH(U761,'Material routes'!$A$6:$A$2205,0)),"MISSING ID")</x:f>
        <x:v>Ingredient candidate</x:v>
      </x:c>
      <x:c r="F761" s="4" t="str">
        <x:f>IFERROR(INDEX('Material routes'!$E$6:$E$2205,MATCH(V761,'Material routes'!$A$6:$A$2205,0)),"MISSING ID")</x:f>
        <x:v>Dirtboard running-gear kit</x:v>
      </x:c>
      <x:c r="G761" s="4" t="str">
        <x:f>IFERROR(INDEX('Material routes'!$F$6:$F$2205,MATCH(V761,'Material routes'!$A$6:$A$2205,0)),"MISSING ID")</x:f>
        <x:v>Not applicable</x:v>
      </x:c>
      <x:c r="H761" s="4" t="str">
        <x:f>IFERROR(INDEX('Material routes'!$H$6:$H$2205,MATCH(V761,'Material routes'!$A$6:$A$2205,0)),"MISSING ID")</x:f>
        <x:v>Service kit</x:v>
      </x:c>
      <x:c r="I761" s="4" t="str">
        <x:f>IFERROR(INDEX('Material routes'!$G$6:$G$2205,MATCH(V761,'Material routes'!$A$6:$A$2205,0)),"MISSING ID")</x:f>
        <x:v>Salvage</x:v>
      </x:c>
      <x:c r="J761" s="4" t="str">
        <x:f>IFERROR(INDEX('Material routes'!$B$6:$B$2205,MATCH(U761,'Material routes'!$A$6:$A$2205,0)),"MISSING ID")</x:f>
        <x:v>design.collection.dirtboard_running_gear_kit</x:v>
      </x:c>
      <x:c r="K761" s="4" t="str">
        <x:f>IFERROR(INDEX('Crafting recipes'!$C$6:$C$1005,MATCH(J761,'Crafting recipes'!$A$6:$A$1005,0)),"MISSING ID")</x:f>
        <x:v>Finished-item crafting</x:v>
      </x:c>
      <x:c r="L761" s="4" t="str">
        <x:f>IFERROR(INDEX('Material routes'!$K$6:$K$2205,MATCH(U761,'Material routes'!$A$6:$A$2205,0)),"MISSING ID")</x:f>
        <x:v>Proposal</x:v>
      </x:c>
      <x:c r="M761" s="4" t="str">
        <x:f>IFERROR(INDEX('Material routes'!$M$6:$M$2205,MATCH(U761,'Material routes'!$A$6:$A$2205,0)),"MISSING ID")</x:f>
        <x:v>Partial proposal</x:v>
      </x:c>
      <x:c r="N761" s="4"/>
      <x:c r="O761" s="4" t="str">
        <x:f>IFERROR(INDEX('Material routes'!$J$6:$J$2205,MATCH(U761,'Material routes'!$A$6:$A$2205,0)),"MISSING ID")</x:f>
        <x:v>Unspecified</x:v>
      </x:c>
      <x:c r="P761" s="4"/>
      <x:c r="Q761" s="4" t="str">
        <x:f>IFERROR(INDEX('Material routes'!$J$6:$J$2205,MATCH(V761,'Material routes'!$A$6:$A$2205,0)),"MISSING ID")</x:f>
        <x:v>Unspecified</x:v>
      </x:c>
      <x:c r="R761" s="4" t="str">
        <x:f>IF(L761="Withheld","Withheld premise",IF(E761="Tool candidate","Reusable prerequisite",IF(K761="Raw entry preparation","Entry-resource preparation",IF(G761="Not applicable",IF(IFERROR(INDEX('Items'!$AI$6:$AI$1005,MATCH(T761,'Items'!$A$6:$A$1005,0)),"MISSING ID")="Finished item","Finished endpoint",IF(IFERROR(INDEX('Items'!$AI$6:$AI$1005,MATCH(T761,'Items'!$A$6:$A$1005,0)),"MISSING ID")="Currency","Currency / no refinement tier","Recovered output / tier not applicable")),IF(OR(IFERROR(INDEX('Crafting recipes'!$H$6:$H$1005,MATCH(J761,'Crafting recipes'!$A$6:$A$1005,0)),"MISSING ID")="Unassigned",G761="Unassigned"),"Tier unresolved",IF(IFERROR(VALUE(RIGHT(G761,1))-VALUE(RIGHT(IFERROR(INDEX('Crafting recipes'!$H$6:$H$1005,MATCH(J761,'Crafting recipes'!$A$6:$A$1005,0)),"MISSING ID"),1)),0)=1,IF(B761=IFERROR(INDEX('Crafting recipes'!$H$6:$H$1005,MATCH(J761,'Crafting recipes'!$A$6:$A$1005,0)),"MISSING ID"),"Advances one material tier","Lower-tier ingredient; route advances one tier"),"Needs tier review"))))))</x:f>
        <x:v>Finished endpoint</x:v>
      </x:c>
      <x:c r="S761" s="4" t="str">
        <x:f>IFERROR(INDEX('Material routes'!$D$6:$D$2205,MATCH(U761,'Material routes'!$A$6:$A$2205,0)),"MISSING ID")</x:f>
        <x:v>proposal.legger.thrust_washer</x:v>
      </x:c>
      <x:c r="T761" s="4" t="str">
        <x:f>IFERROR(INDEX('Material routes'!$D$6:$D$2205,MATCH(V761,'Material routes'!$A$6:$A$2205,0)),"MISSING ID")</x:f>
        <x:v>proposal.collection.dirtboard_running_gear_kit</x:v>
      </x:c>
      <x:c r="U761" s="4" t="str">
        <x:v>design.collection.dirtboard_running_gear_kit.in.1</x:v>
      </x:c>
      <x:c r="V761" s="4" t="str">
        <x:v>design.collection.dirtboard_running_gear_kit.out</x:v>
      </x:c>
    </x:row>
    <x:row r="762" ht="64" customHeight="1">
      <x:c r="A762" s="4" t="str">
        <x:f>IFERROR(INDEX('Material routes'!$E$6:$E$2205,MATCH(U762,'Material routes'!$A$6:$A$2205,0)),"MISSING ID")</x:f>
        <x:v>Matched metal fastener set</x:v>
      </x:c>
      <x:c r="B762" s="4" t="str">
        <x:f>IFERROR(INDEX('Material routes'!$F$6:$F$2205,MATCH(U762,'Material routes'!$A$6:$A$2205,0)),"MISSING ID")</x:f>
        <x:v>T3</x:v>
      </x:c>
      <x:c r="C762" s="4" t="str">
        <x:f>IFERROR(INDEX('Material routes'!$H$6:$H$2205,MATCH(U762,'Material routes'!$A$6:$A$2205,0)),"MISSING ID")</x:f>
        <x:v>Crafting component</x:v>
      </x:c>
      <x:c r="D762" s="4" t="str">
        <x:f>IFERROR(INDEX('Material routes'!$G$6:$G$2205,MATCH(U762,'Material routes'!$A$6:$A$2205,0)),"MISSING ID")</x:f>
        <x:v>Crafting components</x:v>
      </x:c>
      <x:c r="E762" s="4" t="str">
        <x:f>IFERROR(INDEX('Material routes'!$C$6:$C$2205,MATCH(U762,'Material routes'!$A$6:$A$2205,0)),"MISSING ID")</x:f>
        <x:v>Ingredient candidate</x:v>
      </x:c>
      <x:c r="F762" s="4" t="str">
        <x:f>IFERROR(INDEX('Material routes'!$E$6:$E$2205,MATCH(V762,'Material routes'!$A$6:$A$2205,0)),"MISSING ID")</x:f>
        <x:v>Dirtboard running-gear kit</x:v>
      </x:c>
      <x:c r="G762" s="4" t="str">
        <x:f>IFERROR(INDEX('Material routes'!$F$6:$F$2205,MATCH(V762,'Material routes'!$A$6:$A$2205,0)),"MISSING ID")</x:f>
        <x:v>Not applicable</x:v>
      </x:c>
      <x:c r="H762" s="4" t="str">
        <x:f>IFERROR(INDEX('Material routes'!$H$6:$H$2205,MATCH(V762,'Material routes'!$A$6:$A$2205,0)),"MISSING ID")</x:f>
        <x:v>Service kit</x:v>
      </x:c>
      <x:c r="I762" s="4" t="str">
        <x:f>IFERROR(INDEX('Material routes'!$G$6:$G$2205,MATCH(V762,'Material routes'!$A$6:$A$2205,0)),"MISSING ID")</x:f>
        <x:v>Salvage</x:v>
      </x:c>
      <x:c r="J762" s="4" t="str">
        <x:f>IFERROR(INDEX('Material routes'!$B$6:$B$2205,MATCH(U762,'Material routes'!$A$6:$A$2205,0)),"MISSING ID")</x:f>
        <x:v>design.collection.dirtboard_running_gear_kit</x:v>
      </x:c>
      <x:c r="K762" s="4" t="str">
        <x:f>IFERROR(INDEX('Crafting recipes'!$C$6:$C$1005,MATCH(J762,'Crafting recipes'!$A$6:$A$1005,0)),"MISSING ID")</x:f>
        <x:v>Finished-item crafting</x:v>
      </x:c>
      <x:c r="L762" s="4" t="str">
        <x:f>IFERROR(INDEX('Material routes'!$K$6:$K$2205,MATCH(U762,'Material routes'!$A$6:$A$2205,0)),"MISSING ID")</x:f>
        <x:v>Proposal</x:v>
      </x:c>
      <x:c r="M762" s="4" t="str">
        <x:f>IFERROR(INDEX('Material routes'!$M$6:$M$2205,MATCH(U762,'Material routes'!$A$6:$A$2205,0)),"MISSING ID")</x:f>
        <x:v>Partial proposal</x:v>
      </x:c>
      <x:c r="N762" s="4"/>
      <x:c r="O762" s="4" t="str">
        <x:f>IFERROR(INDEX('Material routes'!$J$6:$J$2205,MATCH(U762,'Material routes'!$A$6:$A$2205,0)),"MISSING ID")</x:f>
        <x:v>Unspecified</x:v>
      </x:c>
      <x:c r="P762" s="4"/>
      <x:c r="Q762" s="4" t="str">
        <x:f>IFERROR(INDEX('Material routes'!$J$6:$J$2205,MATCH(V762,'Material routes'!$A$6:$A$2205,0)),"MISSING ID")</x:f>
        <x:v>Unspecified</x:v>
      </x:c>
      <x:c r="R762" s="4" t="str">
        <x:f>IF(L762="Withheld","Withheld premise",IF(E762="Tool candidate","Reusable prerequisite",IF(K762="Raw entry preparation","Entry-resource preparation",IF(G762="Not applicable",IF(IFERROR(INDEX('Items'!$AI$6:$AI$1005,MATCH(T762,'Items'!$A$6:$A$1005,0)),"MISSING ID")="Finished item","Finished endpoint",IF(IFERROR(INDEX('Items'!$AI$6:$AI$1005,MATCH(T762,'Items'!$A$6:$A$1005,0)),"MISSING ID")="Currency","Currency / no refinement tier","Recovered output / tier not applicable")),IF(OR(IFERROR(INDEX('Crafting recipes'!$H$6:$H$1005,MATCH(J762,'Crafting recipes'!$A$6:$A$1005,0)),"MISSING ID")="Unassigned",G762="Unassigned"),"Tier unresolved",IF(IFERROR(VALUE(RIGHT(G762,1))-VALUE(RIGHT(IFERROR(INDEX('Crafting recipes'!$H$6:$H$1005,MATCH(J762,'Crafting recipes'!$A$6:$A$1005,0)),"MISSING ID"),1)),0)=1,IF(B762=IFERROR(INDEX('Crafting recipes'!$H$6:$H$1005,MATCH(J762,'Crafting recipes'!$A$6:$A$1005,0)),"MISSING ID"),"Advances one material tier","Lower-tier ingredient; route advances one tier"),"Needs tier review"))))))</x:f>
        <x:v>Finished endpoint</x:v>
      </x:c>
      <x:c r="S762" s="4" t="str">
        <x:f>IFERROR(INDEX('Material routes'!$D$6:$D$2205,MATCH(U762,'Material routes'!$A$6:$A$2205,0)),"MISSING ID")</x:f>
        <x:v>proposal.lore.fastener_set</x:v>
      </x:c>
      <x:c r="T762" s="4" t="str">
        <x:f>IFERROR(INDEX('Material routes'!$D$6:$D$2205,MATCH(V762,'Material routes'!$A$6:$A$2205,0)),"MISSING ID")</x:f>
        <x:v>proposal.collection.dirtboard_running_gear_kit</x:v>
      </x:c>
      <x:c r="U762" s="4" t="str">
        <x:v>design.collection.dirtboard_running_gear_kit.in.2</x:v>
      </x:c>
      <x:c r="V762" s="4" t="str">
        <x:v>design.collection.dirtboard_running_gear_kit.out</x:v>
      </x:c>
    </x:row>
    <x:row r="763" ht="64" customHeight="1">
      <x:c r="A763" s="4" t="str">
        <x:f>IFERROR(INDEX('Material routes'!$E$6:$E$2205,MATCH(U763,'Material routes'!$A$6:$A$2205,0)),"MISSING ID")</x:f>
        <x:v>Fine mechanism oil</x:v>
      </x:c>
      <x:c r="B763" s="4" t="str">
        <x:f>IFERROR(INDEX('Material routes'!$F$6:$F$2205,MATCH(U763,'Material routes'!$A$6:$A$2205,0)),"MISSING ID")</x:f>
        <x:v>T2</x:v>
      </x:c>
      <x:c r="C763" s="4" t="str">
        <x:f>IFERROR(INDEX('Material routes'!$H$6:$H$2205,MATCH(U763,'Material routes'!$A$6:$A$2205,0)),"MISSING ID")</x:f>
        <x:v>Chemical material</x:v>
      </x:c>
      <x:c r="D763" s="4" t="str">
        <x:f>IFERROR(INDEX('Material routes'!$G$6:$G$2205,MATCH(U763,'Material routes'!$A$6:$A$2205,0)),"MISSING ID")</x:f>
        <x:v>Crafting components</x:v>
      </x:c>
      <x:c r="E763" s="4" t="str">
        <x:f>IFERROR(INDEX('Material routes'!$C$6:$C$2205,MATCH(U763,'Material routes'!$A$6:$A$2205,0)),"MISSING ID")</x:f>
        <x:v>Ingredient candidate</x:v>
      </x:c>
      <x:c r="F763" s="4" t="str">
        <x:f>IFERROR(INDEX('Material routes'!$E$6:$E$2205,MATCH(V763,'Material routes'!$A$6:$A$2205,0)),"MISSING ID")</x:f>
        <x:v>Dirtboard running-gear kit</x:v>
      </x:c>
      <x:c r="G763" s="4" t="str">
        <x:f>IFERROR(INDEX('Material routes'!$F$6:$F$2205,MATCH(V763,'Material routes'!$A$6:$A$2205,0)),"MISSING ID")</x:f>
        <x:v>Not applicable</x:v>
      </x:c>
      <x:c r="H763" s="4" t="str">
        <x:f>IFERROR(INDEX('Material routes'!$H$6:$H$2205,MATCH(V763,'Material routes'!$A$6:$A$2205,0)),"MISSING ID")</x:f>
        <x:v>Service kit</x:v>
      </x:c>
      <x:c r="I763" s="4" t="str">
        <x:f>IFERROR(INDEX('Material routes'!$G$6:$G$2205,MATCH(V763,'Material routes'!$A$6:$A$2205,0)),"MISSING ID")</x:f>
        <x:v>Salvage</x:v>
      </x:c>
      <x:c r="J763" s="4" t="str">
        <x:f>IFERROR(INDEX('Material routes'!$B$6:$B$2205,MATCH(U763,'Material routes'!$A$6:$A$2205,0)),"MISSING ID")</x:f>
        <x:v>design.collection.dirtboard_running_gear_kit</x:v>
      </x:c>
      <x:c r="K763" s="4" t="str">
        <x:f>IFERROR(INDEX('Crafting recipes'!$C$6:$C$1005,MATCH(J763,'Crafting recipes'!$A$6:$A$1005,0)),"MISSING ID")</x:f>
        <x:v>Finished-item crafting</x:v>
      </x:c>
      <x:c r="L763" s="4" t="str">
        <x:f>IFERROR(INDEX('Material routes'!$K$6:$K$2205,MATCH(U763,'Material routes'!$A$6:$A$2205,0)),"MISSING ID")</x:f>
        <x:v>Proposal</x:v>
      </x:c>
      <x:c r="M763" s="4" t="str">
        <x:f>IFERROR(INDEX('Material routes'!$M$6:$M$2205,MATCH(U763,'Material routes'!$A$6:$A$2205,0)),"MISSING ID")</x:f>
        <x:v>Partial proposal</x:v>
      </x:c>
      <x:c r="N763" s="4"/>
      <x:c r="O763" s="4" t="str">
        <x:f>IFERROR(INDEX('Material routes'!$J$6:$J$2205,MATCH(U763,'Material routes'!$A$6:$A$2205,0)),"MISSING ID")</x:f>
        <x:v>Unspecified</x:v>
      </x:c>
      <x:c r="P763" s="4"/>
      <x:c r="Q763" s="4" t="str">
        <x:f>IFERROR(INDEX('Material routes'!$J$6:$J$2205,MATCH(V763,'Material routes'!$A$6:$A$2205,0)),"MISSING ID")</x:f>
        <x:v>Unspecified</x:v>
      </x:c>
      <x:c r="R763" s="4" t="str">
        <x:f>IF(L763="Withheld","Withheld premise",IF(E763="Tool candidate","Reusable prerequisite",IF(K763="Raw entry preparation","Entry-resource preparation",IF(G763="Not applicable",IF(IFERROR(INDEX('Items'!$AI$6:$AI$1005,MATCH(T763,'Items'!$A$6:$A$1005,0)),"MISSING ID")="Finished item","Finished endpoint",IF(IFERROR(INDEX('Items'!$AI$6:$AI$1005,MATCH(T763,'Items'!$A$6:$A$1005,0)),"MISSING ID")="Currency","Currency / no refinement tier","Recovered output / tier not applicable")),IF(OR(IFERROR(INDEX('Crafting recipes'!$H$6:$H$1005,MATCH(J763,'Crafting recipes'!$A$6:$A$1005,0)),"MISSING ID")="Unassigned",G763="Unassigned"),"Tier unresolved",IF(IFERROR(VALUE(RIGHT(G763,1))-VALUE(RIGHT(IFERROR(INDEX('Crafting recipes'!$H$6:$H$1005,MATCH(J763,'Crafting recipes'!$A$6:$A$1005,0)),"MISSING ID"),1)),0)=1,IF(B763=IFERROR(INDEX('Crafting recipes'!$H$6:$H$1005,MATCH(J763,'Crafting recipes'!$A$6:$A$1005,0)),"MISSING ID"),"Advances one material tier","Lower-tier ingredient; route advances one tier"),"Needs tier review"))))))</x:f>
        <x:v>Finished endpoint</x:v>
      </x:c>
      <x:c r="S763" s="4" t="str">
        <x:f>IFERROR(INDEX('Material routes'!$D$6:$D$2205,MATCH(U763,'Material routes'!$A$6:$A$2205,0)),"MISSING ID")</x:f>
        <x:v>proposal.lubricant.precision_oil</x:v>
      </x:c>
      <x:c r="T763" s="4" t="str">
        <x:f>IFERROR(INDEX('Material routes'!$D$6:$D$2205,MATCH(V763,'Material routes'!$A$6:$A$2205,0)),"MISSING ID")</x:f>
        <x:v>proposal.collection.dirtboard_running_gear_kit</x:v>
      </x:c>
      <x:c r="U763" s="4" t="str">
        <x:v>design.collection.dirtboard_running_gear_kit.in.3</x:v>
      </x:c>
      <x:c r="V763" s="4" t="str">
        <x:v>design.collection.dirtboard_running_gear_kit.out</x:v>
      </x:c>
    </x:row>
    <x:row r="764" ht="64" customHeight="1">
      <x:c r="A764" s="4"/>
      <x:c r="B764" s="4"/>
      <x:c r="C764" s="4"/>
      <x:c r="D764" s="4"/>
      <x:c r="E764" s="4"/>
      <x:c r="F764" s="4"/>
      <x:c r="G764" s="4"/>
      <x:c r="H764" s="4"/>
      <x:c r="I764" s="4"/>
      <x:c r="J764" s="4"/>
      <x:c r="K764" s="4"/>
      <x:c r="L764" s="4"/>
      <x:c r="M764" s="4"/>
      <x:c r="N764" s="4"/>
      <x:c r="P764" s="4"/>
      <x:c r="R764" s="4"/>
      <x:c r="S764" s="4"/>
      <x:c r="T764" s="4"/>
      <x:c r="U764" s="4"/>
      <x:c r="V764" s="4"/>
    </x:row>
    <x:row r="765" ht="64" customHeight="1">
      <x:c r="A765" s="4"/>
      <x:c r="B765" s="4"/>
      <x:c r="C765" s="4"/>
      <x:c r="D765" s="4"/>
      <x:c r="E765" s="4"/>
      <x:c r="F765" s="4"/>
      <x:c r="G765" s="4"/>
      <x:c r="H765" s="4"/>
      <x:c r="I765" s="4"/>
      <x:c r="J765" s="4"/>
      <x:c r="K765" s="4"/>
      <x:c r="L765" s="4"/>
      <x:c r="M765" s="4"/>
      <x:c r="N765" s="4"/>
      <x:c r="P765" s="4"/>
      <x:c r="R765" s="4"/>
      <x:c r="S765" s="4"/>
      <x:c r="T765" s="4"/>
      <x:c r="U765" s="4"/>
      <x:c r="V765" s="4"/>
    </x:row>
    <x:row r="766" ht="64" customHeight="1">
      <x:c r="A766" s="4"/>
      <x:c r="B766" s="4"/>
      <x:c r="C766" s="4"/>
      <x:c r="D766" s="4"/>
      <x:c r="E766" s="4"/>
      <x:c r="F766" s="4"/>
      <x:c r="G766" s="4"/>
      <x:c r="H766" s="4"/>
      <x:c r="I766" s="4"/>
      <x:c r="J766" s="4"/>
      <x:c r="K766" s="4"/>
      <x:c r="L766" s="4"/>
      <x:c r="M766" s="4"/>
      <x:c r="N766" s="4"/>
      <x:c r="P766" s="4"/>
      <x:c r="R766" s="4"/>
      <x:c r="S766" s="4"/>
      <x:c r="T766" s="4"/>
      <x:c r="U766" s="4"/>
      <x:c r="V766" s="4"/>
    </x:row>
    <x:row r="767" ht="64" customHeight="1">
      <x:c r="A767" s="4"/>
      <x:c r="B767" s="4"/>
      <x:c r="C767" s="4"/>
      <x:c r="D767" s="4"/>
      <x:c r="E767" s="4"/>
      <x:c r="F767" s="4"/>
      <x:c r="G767" s="4"/>
      <x:c r="H767" s="4"/>
      <x:c r="I767" s="4"/>
      <x:c r="J767" s="4"/>
      <x:c r="K767" s="4"/>
      <x:c r="L767" s="4"/>
      <x:c r="M767" s="4"/>
      <x:c r="N767" s="4"/>
      <x:c r="P767" s="4"/>
      <x:c r="R767" s="4"/>
      <x:c r="S767" s="4"/>
      <x:c r="T767" s="4"/>
      <x:c r="U767" s="4"/>
      <x:c r="V767" s="4"/>
    </x:row>
    <x:row r="768" ht="64" customHeight="1">
      <x:c r="A768" s="4"/>
      <x:c r="B768" s="4"/>
      <x:c r="C768" s="4"/>
      <x:c r="D768" s="4"/>
      <x:c r="E768" s="4"/>
      <x:c r="F768" s="4"/>
      <x:c r="G768" s="4"/>
      <x:c r="H768" s="4"/>
      <x:c r="I768" s="4"/>
      <x:c r="J768" s="4"/>
      <x:c r="K768" s="4"/>
      <x:c r="L768" s="4"/>
      <x:c r="M768" s="4"/>
      <x:c r="N768" s="4"/>
      <x:c r="P768" s="4"/>
      <x:c r="R768" s="4"/>
      <x:c r="S768" s="4"/>
      <x:c r="T768" s="4"/>
      <x:c r="U768" s="4"/>
      <x:c r="V768" s="4"/>
    </x:row>
    <x:row r="769" ht="64" customHeight="1">
      <x:c r="A769" s="4"/>
      <x:c r="B769" s="4"/>
      <x:c r="C769" s="4"/>
      <x:c r="D769" s="4"/>
      <x:c r="E769" s="4"/>
      <x:c r="F769" s="4"/>
      <x:c r="G769" s="4"/>
      <x:c r="H769" s="4"/>
      <x:c r="I769" s="4"/>
      <x:c r="J769" s="4"/>
      <x:c r="K769" s="4"/>
      <x:c r="L769" s="4"/>
      <x:c r="M769" s="4"/>
      <x:c r="N769" s="4"/>
      <x:c r="P769" s="4"/>
      <x:c r="R769" s="4"/>
      <x:c r="S769" s="4"/>
      <x:c r="T769" s="4"/>
      <x:c r="U769" s="4"/>
      <x:c r="V769" s="4"/>
    </x:row>
    <x:row r="770" ht="64" customHeight="1">
      <x:c r="A770" s="4"/>
      <x:c r="B770" s="4"/>
      <x:c r="C770" s="4"/>
      <x:c r="D770" s="4"/>
      <x:c r="E770" s="4"/>
      <x:c r="F770" s="4"/>
      <x:c r="G770" s="4"/>
      <x:c r="H770" s="4"/>
      <x:c r="I770" s="4"/>
      <x:c r="J770" s="4"/>
      <x:c r="K770" s="4"/>
      <x:c r="L770" s="4"/>
      <x:c r="M770" s="4"/>
      <x:c r="N770" s="4"/>
      <x:c r="O770" s="4"/>
      <x:c r="P770" s="4"/>
      <x:c r="Q770" s="4"/>
      <x:c r="R770" s="4"/>
      <x:c r="S770" s="4"/>
      <x:c r="T770" s="4"/>
      <x:c r="U770" s="4"/>
      <x:c r="V770" s="4"/>
    </x:row>
    <x:row r="771" ht="64" customHeight="1">
      <x:c r="A771" s="4"/>
      <x:c r="B771" s="4"/>
      <x:c r="C771" s="4"/>
      <x:c r="D771" s="4"/>
      <x:c r="E771" s="4"/>
      <x:c r="F771" s="4"/>
      <x:c r="G771" s="4"/>
      <x:c r="H771" s="4"/>
      <x:c r="I771" s="4"/>
      <x:c r="J771" s="4"/>
      <x:c r="K771" s="4"/>
      <x:c r="L771" s="4"/>
      <x:c r="M771" s="4"/>
      <x:c r="N771" s="4"/>
      <x:c r="O771" s="4"/>
      <x:c r="P771" s="4"/>
      <x:c r="Q771" s="4"/>
      <x:c r="R771" s="4"/>
      <x:c r="S771" s="4"/>
      <x:c r="T771" s="4"/>
      <x:c r="U771" s="4"/>
      <x:c r="V771" s="4"/>
    </x:row>
    <x:row r="772" ht="64" customHeight="1">
      <x:c r="A772" s="4" t="str">
        <x:f>IFERROR(INDEX('Material routes'!$E$6:$E$2205,MATCH(U772,'Material routes'!$A$6:$A$2205,0)),"MISSING ID")</x:f>
        <x:v>Processed hide material</x:v>
      </x:c>
      <x:c r="B772" s="4" t="str">
        <x:f>IFERROR(INDEX('Material routes'!$F$6:$F$2205,MATCH(U772,'Material routes'!$A$6:$A$2205,0)),"MISSING ID")</x:f>
        <x:v>T1</x:v>
      </x:c>
      <x:c r="C772" s="4" t="str">
        <x:f>IFERROR(INDEX('Material routes'!$H$6:$H$2205,MATCH(U772,'Material routes'!$A$6:$A$2205,0)),"MISSING ID")</x:f>
        <x:v>Processed material</x:v>
      </x:c>
      <x:c r="D772" s="4" t="str">
        <x:f>IFERROR(INDEX('Material routes'!$G$6:$G$2205,MATCH(U772,'Material routes'!$A$6:$A$2205,0)),"MISSING ID")</x:f>
        <x:v>Crafting components</x:v>
      </x:c>
      <x:c r="E772" s="4" t="str">
        <x:f>IFERROR(INDEX('Material routes'!$C$6:$C$2205,MATCH(U772,'Material routes'!$A$6:$A$2205,0)),"MISSING ID")</x:f>
        <x:v>Ingredient candidate</x:v>
      </x:c>
      <x:c r="F772" s="4" t="str">
        <x:f>IFERROR(INDEX('Material routes'!$E$6:$E$2205,MATCH(V772,'Material routes'!$A$6:$A$2205,0)),"MISSING ID")</x:f>
        <x:v>Hide-headed shell drum</x:v>
      </x:c>
      <x:c r="G772" s="4" t="str">
        <x:f>IFERROR(INDEX('Material routes'!$F$6:$F$2205,MATCH(V772,'Material routes'!$A$6:$A$2205,0)),"MISSING ID")</x:f>
        <x:v>Not applicable</x:v>
      </x:c>
      <x:c r="H772" s="4" t="str">
        <x:f>IFERROR(INDEX('Material routes'!$H$6:$H$2205,MATCH(V772,'Material routes'!$A$6:$A$2205,0)),"MISSING ID")</x:f>
        <x:v>Musical instrument</x:v>
      </x:c>
      <x:c r="I772" s="4" t="str">
        <x:f>IFERROR(INDEX('Material routes'!$G$6:$G$2205,MATCH(V772,'Material routes'!$A$6:$A$2205,0)),"MISSING ID")</x:f>
        <x:v>Salvage</x:v>
      </x:c>
      <x:c r="J772" s="4" t="str">
        <x:f>IFERROR(INDEX('Material routes'!$B$6:$B$2205,MATCH(U772,'Material routes'!$A$6:$A$2205,0)),"MISSING ID")</x:f>
        <x:v>design.collection.hide_headed_shell_drum</x:v>
      </x:c>
      <x:c r="K772" s="4" t="str">
        <x:f>IFERROR(INDEX('Crafting recipes'!$C$6:$C$1005,MATCH(J772,'Crafting recipes'!$A$6:$A$1005,0)),"MISSING ID")</x:f>
        <x:v>Finished-item crafting</x:v>
      </x:c>
      <x:c r="L772" s="4" t="str">
        <x:f>IFERROR(INDEX('Material routes'!$K$6:$K$2205,MATCH(U772,'Material routes'!$A$6:$A$2205,0)),"MISSING ID")</x:f>
        <x:v>Proposal</x:v>
      </x:c>
      <x:c r="M772" s="4" t="str">
        <x:f>IFERROR(INDEX('Material routes'!$M$6:$M$2205,MATCH(U772,'Material routes'!$A$6:$A$2205,0)),"MISSING ID")</x:f>
        <x:v>Partial proposal</x:v>
      </x:c>
      <x:c r="N772" s="4"/>
      <x:c r="O772" s="4" t="str">
        <x:f>IFERROR(INDEX('Material routes'!$J$6:$J$2205,MATCH(U772,'Material routes'!$A$6:$A$2205,0)),"MISSING ID")</x:f>
        <x:v>Unspecified</x:v>
      </x:c>
      <x:c r="P772" s="4"/>
      <x:c r="Q772" s="4" t="str">
        <x:f>IFERROR(INDEX('Material routes'!$J$6:$J$2205,MATCH(V772,'Material routes'!$A$6:$A$2205,0)),"MISSING ID")</x:f>
        <x:v>Unspecified</x:v>
      </x:c>
      <x:c r="R772" s="4" t="str">
        <x:f>IF(L772="Withheld","Withheld premise",IF(E772="Tool candidate","Reusable prerequisite",IF(K772="Raw entry preparation","Entry-resource preparation",IF(G772="Not applicable",IF(IFERROR(INDEX('Items'!$AI$6:$AI$1005,MATCH(T772,'Items'!$A$6:$A$1005,0)),"MISSING ID")="Finished item","Finished endpoint",IF(IFERROR(INDEX('Items'!$AI$6:$AI$1005,MATCH(T772,'Items'!$A$6:$A$1005,0)),"MISSING ID")="Currency","Currency / no refinement tier","Recovered output / tier not applicable")),IF(OR(IFERROR(INDEX('Crafting recipes'!$H$6:$H$1005,MATCH(J772,'Crafting recipes'!$A$6:$A$1005,0)),"MISSING ID")="Unassigned",G772="Unassigned"),"Tier unresolved",IF(IFERROR(VALUE(RIGHT(G772,1))-VALUE(RIGHT(IFERROR(INDEX('Crafting recipes'!$H$6:$H$1005,MATCH(J772,'Crafting recipes'!$A$6:$A$1005,0)),"MISSING ID"),1)),0)=1,IF(B772=IFERROR(INDEX('Crafting recipes'!$H$6:$H$1005,MATCH(J772,'Crafting recipes'!$A$6:$A$1005,0)),"MISSING ID"),"Advances one material tier","Lower-tier ingredient; route advances one tier"),"Needs tier review"))))))</x:f>
        <x:v>Finished endpoint</x:v>
      </x:c>
      <x:c r="S772" s="4" t="str">
        <x:f>IFERROR(INDEX('Material routes'!$D$6:$D$2205,MATCH(U772,'Material routes'!$A$6:$A$2205,0)),"MISSING ID")</x:f>
        <x:v>proposal.bio.hide_material</x:v>
      </x:c>
      <x:c r="T772" s="4" t="str">
        <x:f>IFERROR(INDEX('Material routes'!$D$6:$D$2205,MATCH(V772,'Material routes'!$A$6:$A$2205,0)),"MISSING ID")</x:f>
        <x:v>proposal.collection.hide_headed_shell_drum</x:v>
      </x:c>
      <x:c r="U772" s="4" t="str">
        <x:v>design.collection.hide_headed_shell_drum.in.1</x:v>
      </x:c>
      <x:c r="V772" s="4" t="str">
        <x:v>design.collection.hide_headed_shell_drum.out</x:v>
      </x:c>
    </x:row>
    <x:row r="773" ht="64" customHeight="1">
      <x:c r="A773" s="4" t="str">
        <x:f>IFERROR(INDEX('Material routes'!$E$6:$E$2205,MATCH(U773,'Material routes'!$A$6:$A$2205,0)),"MISSING ID")</x:f>
        <x:v>Separated shell lamina stock</x:v>
      </x:c>
      <x:c r="B773" s="4" t="str">
        <x:f>IFERROR(INDEX('Material routes'!$F$6:$F$2205,MATCH(U773,'Material routes'!$A$6:$A$2205,0)),"MISSING ID")</x:f>
        <x:v>T1</x:v>
      </x:c>
      <x:c r="C773" s="4" t="str">
        <x:f>IFERROR(INDEX('Material routes'!$H$6:$H$2205,MATCH(U773,'Material routes'!$A$6:$A$2205,0)),"MISSING ID")</x:f>
        <x:v>Processed material</x:v>
      </x:c>
      <x:c r="D773" s="4" t="str">
        <x:f>IFERROR(INDEX('Material routes'!$G$6:$G$2205,MATCH(U773,'Material routes'!$A$6:$A$2205,0)),"MISSING ID")</x:f>
        <x:v>Manufactured stock</x:v>
      </x:c>
      <x:c r="E773" s="4" t="str">
        <x:f>IFERROR(INDEX('Material routes'!$C$6:$C$2205,MATCH(U773,'Material routes'!$A$6:$A$2205,0)),"MISSING ID")</x:f>
        <x:v>Ingredient candidate</x:v>
      </x:c>
      <x:c r="F773" s="4" t="str">
        <x:f>IFERROR(INDEX('Material routes'!$E$6:$E$2205,MATCH(V773,'Material routes'!$A$6:$A$2205,0)),"MISSING ID")</x:f>
        <x:v>Hide-headed shell drum</x:v>
      </x:c>
      <x:c r="G773" s="4" t="str">
        <x:f>IFERROR(INDEX('Material routes'!$F$6:$F$2205,MATCH(V773,'Material routes'!$A$6:$A$2205,0)),"MISSING ID")</x:f>
        <x:v>Not applicable</x:v>
      </x:c>
      <x:c r="H773" s="4" t="str">
        <x:f>IFERROR(INDEX('Material routes'!$H$6:$H$2205,MATCH(V773,'Material routes'!$A$6:$A$2205,0)),"MISSING ID")</x:f>
        <x:v>Musical instrument</x:v>
      </x:c>
      <x:c r="I773" s="4" t="str">
        <x:f>IFERROR(INDEX('Material routes'!$G$6:$G$2205,MATCH(V773,'Material routes'!$A$6:$A$2205,0)),"MISSING ID")</x:f>
        <x:v>Salvage</x:v>
      </x:c>
      <x:c r="J773" s="4" t="str">
        <x:f>IFERROR(INDEX('Material routes'!$B$6:$B$2205,MATCH(U773,'Material routes'!$A$6:$A$2205,0)),"MISSING ID")</x:f>
        <x:v>design.collection.hide_headed_shell_drum</x:v>
      </x:c>
      <x:c r="K773" s="4" t="str">
        <x:f>IFERROR(INDEX('Crafting recipes'!$C$6:$C$1005,MATCH(J773,'Crafting recipes'!$A$6:$A$1005,0)),"MISSING ID")</x:f>
        <x:v>Finished-item crafting</x:v>
      </x:c>
      <x:c r="L773" s="4" t="str">
        <x:f>IFERROR(INDEX('Material routes'!$K$6:$K$2205,MATCH(U773,'Material routes'!$A$6:$A$2205,0)),"MISSING ID")</x:f>
        <x:v>Proposal</x:v>
      </x:c>
      <x:c r="M773" s="4" t="str">
        <x:f>IFERROR(INDEX('Material routes'!$M$6:$M$2205,MATCH(U773,'Material routes'!$A$6:$A$2205,0)),"MISSING ID")</x:f>
        <x:v>Partial proposal</x:v>
      </x:c>
      <x:c r="N773" s="4"/>
      <x:c r="O773" s="4" t="str">
        <x:f>IFERROR(INDEX('Material routes'!$J$6:$J$2205,MATCH(U773,'Material routes'!$A$6:$A$2205,0)),"MISSING ID")</x:f>
        <x:v>Unspecified</x:v>
      </x:c>
      <x:c r="P773" s="4"/>
      <x:c r="Q773" s="4" t="str">
        <x:f>IFERROR(INDEX('Material routes'!$J$6:$J$2205,MATCH(V773,'Material routes'!$A$6:$A$2205,0)),"MISSING ID")</x:f>
        <x:v>Unspecified</x:v>
      </x:c>
      <x:c r="R773" s="4" t="str">
        <x:f>IF(L773="Withheld","Withheld premise",IF(E773="Tool candidate","Reusable prerequisite",IF(K773="Raw entry preparation","Entry-resource preparation",IF(G773="Not applicable",IF(IFERROR(INDEX('Items'!$AI$6:$AI$1005,MATCH(T773,'Items'!$A$6:$A$1005,0)),"MISSING ID")="Finished item","Finished endpoint",IF(IFERROR(INDEX('Items'!$AI$6:$AI$1005,MATCH(T773,'Items'!$A$6:$A$1005,0)),"MISSING ID")="Currency","Currency / no refinement tier","Recovered output / tier not applicable")),IF(OR(IFERROR(INDEX('Crafting recipes'!$H$6:$H$1005,MATCH(J773,'Crafting recipes'!$A$6:$A$1005,0)),"MISSING ID")="Unassigned",G773="Unassigned"),"Tier unresolved",IF(IFERROR(VALUE(RIGHT(G773,1))-VALUE(RIGHT(IFERROR(INDEX('Crafting recipes'!$H$6:$H$1005,MATCH(J773,'Crafting recipes'!$A$6:$A$1005,0)),"MISSING ID"),1)),0)=1,IF(B773=IFERROR(INDEX('Crafting recipes'!$H$6:$H$1005,MATCH(J773,'Crafting recipes'!$A$6:$A$1005,0)),"MISSING ID"),"Advances one material tier","Lower-tier ingredient; route advances one tier"),"Needs tier review"))))))</x:f>
        <x:v>Finished endpoint</x:v>
      </x:c>
      <x:c r="S773" s="4" t="str">
        <x:f>IFERROR(INDEX('Material routes'!$D$6:$D$2205,MATCH(U773,'Material routes'!$A$6:$A$2205,0)),"MISSING ID")</x:f>
        <x:v>proposal.t1.shell_lamina</x:v>
      </x:c>
      <x:c r="T773" s="4" t="str">
        <x:f>IFERROR(INDEX('Material routes'!$D$6:$D$2205,MATCH(V773,'Material routes'!$A$6:$A$2205,0)),"MISSING ID")</x:f>
        <x:v>proposal.collection.hide_headed_shell_drum</x:v>
      </x:c>
      <x:c r="U773" s="4" t="str">
        <x:v>design.collection.hide_headed_shell_drum.in.2</x:v>
      </x:c>
      <x:c r="V773" s="4" t="str">
        <x:v>design.collection.hide_headed_shell_drum.out</x:v>
      </x:c>
    </x:row>
    <x:row r="774" ht="64" customHeight="1">
      <x:c r="A774" s="4" t="str">
        <x:f>IFERROR(INDEX('Material routes'!$E$6:$E$2205,MATCH(U774,'Material routes'!$A$6:$A$2205,0)),"MISSING ID")</x:f>
        <x:v>Tendon cord</x:v>
      </x:c>
      <x:c r="B774" s="4" t="str">
        <x:f>IFERROR(INDEX('Material routes'!$F$6:$F$2205,MATCH(U774,'Material routes'!$A$6:$A$2205,0)),"MISSING ID")</x:f>
        <x:v>T1</x:v>
      </x:c>
      <x:c r="C774" s="4" t="str">
        <x:f>IFERROR(INDEX('Material routes'!$H$6:$H$2205,MATCH(U774,'Material routes'!$A$6:$A$2205,0)),"MISSING ID")</x:f>
        <x:v>Crafting component</x:v>
      </x:c>
      <x:c r="D774" s="4" t="str">
        <x:f>IFERROR(INDEX('Material routes'!$G$6:$G$2205,MATCH(U774,'Material routes'!$A$6:$A$2205,0)),"MISSING ID")</x:f>
        <x:v>Crafting components</x:v>
      </x:c>
      <x:c r="E774" s="4" t="str">
        <x:f>IFERROR(INDEX('Material routes'!$C$6:$C$2205,MATCH(U774,'Material routes'!$A$6:$A$2205,0)),"MISSING ID")</x:f>
        <x:v>Ingredient candidate</x:v>
      </x:c>
      <x:c r="F774" s="4" t="str">
        <x:f>IFERROR(INDEX('Material routes'!$E$6:$E$2205,MATCH(V774,'Material routes'!$A$6:$A$2205,0)),"MISSING ID")</x:f>
        <x:v>Hide-headed shell drum</x:v>
      </x:c>
      <x:c r="G774" s="4" t="str">
        <x:f>IFERROR(INDEX('Material routes'!$F$6:$F$2205,MATCH(V774,'Material routes'!$A$6:$A$2205,0)),"MISSING ID")</x:f>
        <x:v>Not applicable</x:v>
      </x:c>
      <x:c r="H774" s="4" t="str">
        <x:f>IFERROR(INDEX('Material routes'!$H$6:$H$2205,MATCH(V774,'Material routes'!$A$6:$A$2205,0)),"MISSING ID")</x:f>
        <x:v>Musical instrument</x:v>
      </x:c>
      <x:c r="I774" s="4" t="str">
        <x:f>IFERROR(INDEX('Material routes'!$G$6:$G$2205,MATCH(V774,'Material routes'!$A$6:$A$2205,0)),"MISSING ID")</x:f>
        <x:v>Salvage</x:v>
      </x:c>
      <x:c r="J774" s="4" t="str">
        <x:f>IFERROR(INDEX('Material routes'!$B$6:$B$2205,MATCH(U774,'Material routes'!$A$6:$A$2205,0)),"MISSING ID")</x:f>
        <x:v>design.collection.hide_headed_shell_drum</x:v>
      </x:c>
      <x:c r="K774" s="4" t="str">
        <x:f>IFERROR(INDEX('Crafting recipes'!$C$6:$C$1005,MATCH(J774,'Crafting recipes'!$A$6:$A$1005,0)),"MISSING ID")</x:f>
        <x:v>Finished-item crafting</x:v>
      </x:c>
      <x:c r="L774" s="4" t="str">
        <x:f>IFERROR(INDEX('Material routes'!$K$6:$K$2205,MATCH(U774,'Material routes'!$A$6:$A$2205,0)),"MISSING ID")</x:f>
        <x:v>Proposal</x:v>
      </x:c>
      <x:c r="M774" s="4" t="str">
        <x:f>IFERROR(INDEX('Material routes'!$M$6:$M$2205,MATCH(U774,'Material routes'!$A$6:$A$2205,0)),"MISSING ID")</x:f>
        <x:v>Partial proposal</x:v>
      </x:c>
      <x:c r="N774" s="4"/>
      <x:c r="O774" s="4" t="str">
        <x:f>IFERROR(INDEX('Material routes'!$J$6:$J$2205,MATCH(U774,'Material routes'!$A$6:$A$2205,0)),"MISSING ID")</x:f>
        <x:v>Unspecified</x:v>
      </x:c>
      <x:c r="P774" s="4"/>
      <x:c r="Q774" s="4" t="str">
        <x:f>IFERROR(INDEX('Material routes'!$J$6:$J$2205,MATCH(V774,'Material routes'!$A$6:$A$2205,0)),"MISSING ID")</x:f>
        <x:v>Unspecified</x:v>
      </x:c>
      <x:c r="R774" s="4" t="str">
        <x:f>IF(L774="Withheld","Withheld premise",IF(E774="Tool candidate","Reusable prerequisite",IF(K774="Raw entry preparation","Entry-resource preparation",IF(G774="Not applicable",IF(IFERROR(INDEX('Items'!$AI$6:$AI$1005,MATCH(T774,'Items'!$A$6:$A$1005,0)),"MISSING ID")="Finished item","Finished endpoint",IF(IFERROR(INDEX('Items'!$AI$6:$AI$1005,MATCH(T774,'Items'!$A$6:$A$1005,0)),"MISSING ID")="Currency","Currency / no refinement tier","Recovered output / tier not applicable")),IF(OR(IFERROR(INDEX('Crafting recipes'!$H$6:$H$1005,MATCH(J774,'Crafting recipes'!$A$6:$A$1005,0)),"MISSING ID")="Unassigned",G774="Unassigned"),"Tier unresolved",IF(IFERROR(VALUE(RIGHT(G774,1))-VALUE(RIGHT(IFERROR(INDEX('Crafting recipes'!$H$6:$H$1005,MATCH(J774,'Crafting recipes'!$A$6:$A$1005,0)),"MISSING ID"),1)),0)=1,IF(B774=IFERROR(INDEX('Crafting recipes'!$H$6:$H$1005,MATCH(J774,'Crafting recipes'!$A$6:$A$1005,0)),"MISSING ID"),"Advances one material tier","Lower-tier ingredient; route advances one tier"),"Needs tier review"))))))</x:f>
        <x:v>Finished endpoint</x:v>
      </x:c>
      <x:c r="S774" s="4" t="str">
        <x:f>IFERROR(INDEX('Material routes'!$D$6:$D$2205,MATCH(U774,'Material routes'!$A$6:$A$2205,0)),"MISSING ID")</x:f>
        <x:v>proposal.bio.cord</x:v>
      </x:c>
      <x:c r="T774" s="4" t="str">
        <x:f>IFERROR(INDEX('Material routes'!$D$6:$D$2205,MATCH(V774,'Material routes'!$A$6:$A$2205,0)),"MISSING ID")</x:f>
        <x:v>proposal.collection.hide_headed_shell_drum</x:v>
      </x:c>
      <x:c r="U774" s="4" t="str">
        <x:v>design.collection.hide_headed_shell_drum.in.3</x:v>
      </x:c>
      <x:c r="V774" s="4" t="str">
        <x:v>design.collection.hide_headed_shell_drum.out</x:v>
      </x:c>
    </x:row>
    <x:row r="775" ht="64" customHeight="1">
      <x:c r="A775" s="4" t="str">
        <x:f>IFERROR(INDEX('Material routes'!$E$6:$E$2205,MATCH(U775,'Material routes'!$A$6:$A$2205,0)),"MISSING ID")</x:f>
        <x:v>Processed hide material</x:v>
      </x:c>
      <x:c r="B775" s="4" t="str">
        <x:f>IFERROR(INDEX('Material routes'!$F$6:$F$2205,MATCH(U775,'Material routes'!$A$6:$A$2205,0)),"MISSING ID")</x:f>
        <x:v>T1</x:v>
      </x:c>
      <x:c r="C775" s="4" t="str">
        <x:f>IFERROR(INDEX('Material routes'!$H$6:$H$2205,MATCH(U775,'Material routes'!$A$6:$A$2205,0)),"MISSING ID")</x:f>
        <x:v>Processed material</x:v>
      </x:c>
      <x:c r="D775" s="4" t="str">
        <x:f>IFERROR(INDEX('Material routes'!$G$6:$G$2205,MATCH(U775,'Material routes'!$A$6:$A$2205,0)),"MISSING ID")</x:f>
        <x:v>Crafting components</x:v>
      </x:c>
      <x:c r="E775" s="4" t="str">
        <x:f>IFERROR(INDEX('Material routes'!$C$6:$C$2205,MATCH(U775,'Material routes'!$A$6:$A$2205,0)),"MISSING ID")</x:f>
        <x:v>Ingredient candidate</x:v>
      </x:c>
      <x:c r="F775" s="4" t="str">
        <x:f>IFERROR(INDEX('Material routes'!$E$6:$E$2205,MATCH(V775,'Material routes'!$A$6:$A$2205,0)),"MISSING ID")</x:f>
        <x:v>Double-headed metal drum</x:v>
      </x:c>
      <x:c r="G775" s="4" t="str">
        <x:f>IFERROR(INDEX('Material routes'!$F$6:$F$2205,MATCH(V775,'Material routes'!$A$6:$A$2205,0)),"MISSING ID")</x:f>
        <x:v>Not applicable</x:v>
      </x:c>
      <x:c r="H775" s="4" t="str">
        <x:f>IFERROR(INDEX('Material routes'!$H$6:$H$2205,MATCH(V775,'Material routes'!$A$6:$A$2205,0)),"MISSING ID")</x:f>
        <x:v>Musical instrument</x:v>
      </x:c>
      <x:c r="I775" s="4" t="str">
        <x:f>IFERROR(INDEX('Material routes'!$G$6:$G$2205,MATCH(V775,'Material routes'!$A$6:$A$2205,0)),"MISSING ID")</x:f>
        <x:v>Salvage</x:v>
      </x:c>
      <x:c r="J775" s="4" t="str">
        <x:f>IFERROR(INDEX('Material routes'!$B$6:$B$2205,MATCH(U775,'Material routes'!$A$6:$A$2205,0)),"MISSING ID")</x:f>
        <x:v>design.collection.double_headed_metal_drum</x:v>
      </x:c>
      <x:c r="K775" s="4" t="str">
        <x:f>IFERROR(INDEX('Crafting recipes'!$C$6:$C$1005,MATCH(J775,'Crafting recipes'!$A$6:$A$1005,0)),"MISSING ID")</x:f>
        <x:v>Finished-item crafting</x:v>
      </x:c>
      <x:c r="L775" s="4" t="str">
        <x:f>IFERROR(INDEX('Material routes'!$K$6:$K$2205,MATCH(U775,'Material routes'!$A$6:$A$2205,0)),"MISSING ID")</x:f>
        <x:v>Proposal</x:v>
      </x:c>
      <x:c r="M775" s="4" t="str">
        <x:f>IFERROR(INDEX('Material routes'!$M$6:$M$2205,MATCH(U775,'Material routes'!$A$6:$A$2205,0)),"MISSING ID")</x:f>
        <x:v>Partial proposal</x:v>
      </x:c>
      <x:c r="N775" s="4"/>
      <x:c r="O775" s="4" t="str">
        <x:f>IFERROR(INDEX('Material routes'!$J$6:$J$2205,MATCH(U775,'Material routes'!$A$6:$A$2205,0)),"MISSING ID")</x:f>
        <x:v>Unspecified</x:v>
      </x:c>
      <x:c r="P775" s="4"/>
      <x:c r="Q775" s="4" t="str">
        <x:f>IFERROR(INDEX('Material routes'!$J$6:$J$2205,MATCH(V775,'Material routes'!$A$6:$A$2205,0)),"MISSING ID")</x:f>
        <x:v>Unspecified</x:v>
      </x:c>
      <x:c r="R775" s="4" t="str">
        <x:f>IF(L775="Withheld","Withheld premise",IF(E775="Tool candidate","Reusable prerequisite",IF(K775="Raw entry preparation","Entry-resource preparation",IF(G775="Not applicable",IF(IFERROR(INDEX('Items'!$AI$6:$AI$1005,MATCH(T775,'Items'!$A$6:$A$1005,0)),"MISSING ID")="Finished item","Finished endpoint",IF(IFERROR(INDEX('Items'!$AI$6:$AI$1005,MATCH(T775,'Items'!$A$6:$A$1005,0)),"MISSING ID")="Currency","Currency / no refinement tier","Recovered output / tier not applicable")),IF(OR(IFERROR(INDEX('Crafting recipes'!$H$6:$H$1005,MATCH(J775,'Crafting recipes'!$A$6:$A$1005,0)),"MISSING ID")="Unassigned",G775="Unassigned"),"Tier unresolved",IF(IFERROR(VALUE(RIGHT(G775,1))-VALUE(RIGHT(IFERROR(INDEX('Crafting recipes'!$H$6:$H$1005,MATCH(J775,'Crafting recipes'!$A$6:$A$1005,0)),"MISSING ID"),1)),0)=1,IF(B775=IFERROR(INDEX('Crafting recipes'!$H$6:$H$1005,MATCH(J775,'Crafting recipes'!$A$6:$A$1005,0)),"MISSING ID"),"Advances one material tier","Lower-tier ingredient; route advances one tier"),"Needs tier review"))))))</x:f>
        <x:v>Finished endpoint</x:v>
      </x:c>
      <x:c r="S775" s="4" t="str">
        <x:f>IFERROR(INDEX('Material routes'!$D$6:$D$2205,MATCH(U775,'Material routes'!$A$6:$A$2205,0)),"MISSING ID")</x:f>
        <x:v>proposal.bio.hide_material</x:v>
      </x:c>
      <x:c r="T775" s="4" t="str">
        <x:f>IFERROR(INDEX('Material routes'!$D$6:$D$2205,MATCH(V775,'Material routes'!$A$6:$A$2205,0)),"MISSING ID")</x:f>
        <x:v>proposal.collection.double_headed_metal_drum</x:v>
      </x:c>
      <x:c r="U775" s="4" t="str">
        <x:v>design.collection.double_headed_metal_drum.in.1</x:v>
      </x:c>
      <x:c r="V775" s="4" t="str">
        <x:v>design.collection.double_headed_metal_drum.out</x:v>
      </x:c>
    </x:row>
    <x:row r="776" ht="64" customHeight="1">
      <x:c r="A776" s="4" t="str">
        <x:f>IFERROR(INDEX('Material routes'!$E$6:$E$2205,MATCH(U776,'Material routes'!$A$6:$A$2205,0)),"MISSING ID")</x:f>
        <x:v>Annealed iron sheet stock</x:v>
      </x:c>
      <x:c r="B776" s="4" t="str">
        <x:f>IFERROR(INDEX('Material routes'!$F$6:$F$2205,MATCH(U776,'Material routes'!$A$6:$A$2205,0)),"MISSING ID")</x:f>
        <x:v>T3</x:v>
      </x:c>
      <x:c r="C776" s="4" t="str">
        <x:f>IFERROR(INDEX('Material routes'!$H$6:$H$2205,MATCH(U776,'Material routes'!$A$6:$A$2205,0)),"MISSING ID")</x:f>
        <x:v>Processed material</x:v>
      </x:c>
      <x:c r="D776" s="4" t="str">
        <x:f>IFERROR(INDEX('Material routes'!$G$6:$G$2205,MATCH(U776,'Material routes'!$A$6:$A$2205,0)),"MISSING ID")</x:f>
        <x:v>Manufactured stock</x:v>
      </x:c>
      <x:c r="E776" s="4" t="str">
        <x:f>IFERROR(INDEX('Material routes'!$C$6:$C$2205,MATCH(U776,'Material routes'!$A$6:$A$2205,0)),"MISSING ID")</x:f>
        <x:v>Ingredient candidate</x:v>
      </x:c>
      <x:c r="F776" s="4" t="str">
        <x:f>IFERROR(INDEX('Material routes'!$E$6:$E$2205,MATCH(V776,'Material routes'!$A$6:$A$2205,0)),"MISSING ID")</x:f>
        <x:v>Double-headed metal drum</x:v>
      </x:c>
      <x:c r="G776" s="4" t="str">
        <x:f>IFERROR(INDEX('Material routes'!$F$6:$F$2205,MATCH(V776,'Material routes'!$A$6:$A$2205,0)),"MISSING ID")</x:f>
        <x:v>Not applicable</x:v>
      </x:c>
      <x:c r="H776" s="4" t="str">
        <x:f>IFERROR(INDEX('Material routes'!$H$6:$H$2205,MATCH(V776,'Material routes'!$A$6:$A$2205,0)),"MISSING ID")</x:f>
        <x:v>Musical instrument</x:v>
      </x:c>
      <x:c r="I776" s="4" t="str">
        <x:f>IFERROR(INDEX('Material routes'!$G$6:$G$2205,MATCH(V776,'Material routes'!$A$6:$A$2205,0)),"MISSING ID")</x:f>
        <x:v>Salvage</x:v>
      </x:c>
      <x:c r="J776" s="4" t="str">
        <x:f>IFERROR(INDEX('Material routes'!$B$6:$B$2205,MATCH(U776,'Material routes'!$A$6:$A$2205,0)),"MISSING ID")</x:f>
        <x:v>design.collection.double_headed_metal_drum</x:v>
      </x:c>
      <x:c r="K776" s="4" t="str">
        <x:f>IFERROR(INDEX('Crafting recipes'!$C$6:$C$1005,MATCH(J776,'Crafting recipes'!$A$6:$A$1005,0)),"MISSING ID")</x:f>
        <x:v>Finished-item crafting</x:v>
      </x:c>
      <x:c r="L776" s="4" t="str">
        <x:f>IFERROR(INDEX('Material routes'!$K$6:$K$2205,MATCH(U776,'Material routes'!$A$6:$A$2205,0)),"MISSING ID")</x:f>
        <x:v>Proposal</x:v>
      </x:c>
      <x:c r="M776" s="4" t="str">
        <x:f>IFERROR(INDEX('Material routes'!$M$6:$M$2205,MATCH(U776,'Material routes'!$A$6:$A$2205,0)),"MISSING ID")</x:f>
        <x:v>Partial proposal</x:v>
      </x:c>
      <x:c r="N776" s="4"/>
      <x:c r="O776" s="4" t="str">
        <x:f>IFERROR(INDEX('Material routes'!$J$6:$J$2205,MATCH(U776,'Material routes'!$A$6:$A$2205,0)),"MISSING ID")</x:f>
        <x:v>Unspecified</x:v>
      </x:c>
      <x:c r="P776" s="4"/>
      <x:c r="Q776" s="4" t="str">
        <x:f>IFERROR(INDEX('Material routes'!$J$6:$J$2205,MATCH(V776,'Material routes'!$A$6:$A$2205,0)),"MISSING ID")</x:f>
        <x:v>Unspecified</x:v>
      </x:c>
      <x:c r="R776" s="4" t="str">
        <x:f>IF(L776="Withheld","Withheld premise",IF(E776="Tool candidate","Reusable prerequisite",IF(K776="Raw entry preparation","Entry-resource preparation",IF(G776="Not applicable",IF(IFERROR(INDEX('Items'!$AI$6:$AI$1005,MATCH(T776,'Items'!$A$6:$A$1005,0)),"MISSING ID")="Finished item","Finished endpoint",IF(IFERROR(INDEX('Items'!$AI$6:$AI$1005,MATCH(T776,'Items'!$A$6:$A$1005,0)),"MISSING ID")="Currency","Currency / no refinement tier","Recovered output / tier not applicable")),IF(OR(IFERROR(INDEX('Crafting recipes'!$H$6:$H$1005,MATCH(J776,'Crafting recipes'!$A$6:$A$1005,0)),"MISSING ID")="Unassigned",G776="Unassigned"),"Tier unresolved",IF(IFERROR(VALUE(RIGHT(G776,1))-VALUE(RIGHT(IFERROR(INDEX('Crafting recipes'!$H$6:$H$1005,MATCH(J776,'Crafting recipes'!$A$6:$A$1005,0)),"MISSING ID"),1)),0)=1,IF(B776=IFERROR(INDEX('Crafting recipes'!$H$6:$H$1005,MATCH(J776,'Crafting recipes'!$A$6:$A$1005,0)),"MISSING ID"),"Advances one material tier","Lower-tier ingredient; route advances one tier"),"Needs tier review"))))))</x:f>
        <x:v>Finished endpoint</x:v>
      </x:c>
      <x:c r="S776" s="4" t="str">
        <x:f>IFERROR(INDEX('Material routes'!$D$6:$D$2205,MATCH(U776,'Material routes'!$A$6:$A$2205,0)),"MISSING ID")</x:f>
        <x:v>proposal.collection.annealed_iron_sheet_stock</x:v>
      </x:c>
      <x:c r="T776" s="4" t="str">
        <x:f>IFERROR(INDEX('Material routes'!$D$6:$D$2205,MATCH(V776,'Material routes'!$A$6:$A$2205,0)),"MISSING ID")</x:f>
        <x:v>proposal.collection.double_headed_metal_drum</x:v>
      </x:c>
      <x:c r="U776" s="4" t="str">
        <x:v>design.collection.double_headed_metal_drum.in.2</x:v>
      </x:c>
      <x:c r="V776" s="4" t="str">
        <x:v>design.collection.double_headed_metal_drum.out</x:v>
      </x:c>
    </x:row>
    <x:row r="777" ht="64" customHeight="1">
      <x:c r="A777" s="4" t="str">
        <x:f>IFERROR(INDEX('Material routes'!$E$6:$E$2205,MATCH(U777,'Material routes'!$A$6:$A$2205,0)),"MISSING ID")</x:f>
        <x:v>Shaped fauna hard-part blanks</x:v>
      </x:c>
      <x:c r="B777" s="4" t="str">
        <x:f>IFERROR(INDEX('Material routes'!$F$6:$F$2205,MATCH(U777,'Material routes'!$A$6:$A$2205,0)),"MISSING ID")</x:f>
        <x:v>T1</x:v>
      </x:c>
      <x:c r="C777" s="4" t="str">
        <x:f>IFERROR(INDEX('Material routes'!$H$6:$H$2205,MATCH(U777,'Material routes'!$A$6:$A$2205,0)),"MISSING ID")</x:f>
        <x:v>Processed material</x:v>
      </x:c>
      <x:c r="D777" s="4" t="str">
        <x:f>IFERROR(INDEX('Material routes'!$G$6:$G$2205,MATCH(U777,'Material routes'!$A$6:$A$2205,0)),"MISSING ID")</x:f>
        <x:v>Manufactured stock</x:v>
      </x:c>
      <x:c r="E777" s="4" t="str">
        <x:f>IFERROR(INDEX('Material routes'!$C$6:$C$2205,MATCH(U777,'Material routes'!$A$6:$A$2205,0)),"MISSING ID")</x:f>
        <x:v>Ingredient candidate</x:v>
      </x:c>
      <x:c r="F777" s="4" t="str">
        <x:f>IFERROR(INDEX('Material routes'!$E$6:$E$2205,MATCH(V777,'Material routes'!$A$6:$A$2205,0)),"MISSING ID")</x:f>
        <x:v>Slit shell drum</x:v>
      </x:c>
      <x:c r="G777" s="4" t="str">
        <x:f>IFERROR(INDEX('Material routes'!$F$6:$F$2205,MATCH(V777,'Material routes'!$A$6:$A$2205,0)),"MISSING ID")</x:f>
        <x:v>Not applicable</x:v>
      </x:c>
      <x:c r="H777" s="4" t="str">
        <x:f>IFERROR(INDEX('Material routes'!$H$6:$H$2205,MATCH(V777,'Material routes'!$A$6:$A$2205,0)),"MISSING ID")</x:f>
        <x:v>Musical instrument</x:v>
      </x:c>
      <x:c r="I777" s="4" t="str">
        <x:f>IFERROR(INDEX('Material routes'!$G$6:$G$2205,MATCH(V777,'Material routes'!$A$6:$A$2205,0)),"MISSING ID")</x:f>
        <x:v>Salvage</x:v>
      </x:c>
      <x:c r="J777" s="4" t="str">
        <x:f>IFERROR(INDEX('Material routes'!$B$6:$B$2205,MATCH(U777,'Material routes'!$A$6:$A$2205,0)),"MISSING ID")</x:f>
        <x:v>design.collection.slit_shell_drum</x:v>
      </x:c>
      <x:c r="K777" s="4" t="str">
        <x:f>IFERROR(INDEX('Crafting recipes'!$C$6:$C$1005,MATCH(J777,'Crafting recipes'!$A$6:$A$1005,0)),"MISSING ID")</x:f>
        <x:v>Finished-item crafting</x:v>
      </x:c>
      <x:c r="L777" s="4" t="str">
        <x:f>IFERROR(INDEX('Material routes'!$K$6:$K$2205,MATCH(U777,'Material routes'!$A$6:$A$2205,0)),"MISSING ID")</x:f>
        <x:v>Proposal</x:v>
      </x:c>
      <x:c r="M777" s="4" t="str">
        <x:f>IFERROR(INDEX('Material routes'!$M$6:$M$2205,MATCH(U777,'Material routes'!$A$6:$A$2205,0)),"MISSING ID")</x:f>
        <x:v>Partial proposal</x:v>
      </x:c>
      <x:c r="N777" s="4"/>
      <x:c r="O777" s="4" t="str">
        <x:f>IFERROR(INDEX('Material routes'!$J$6:$J$2205,MATCH(U777,'Material routes'!$A$6:$A$2205,0)),"MISSING ID")</x:f>
        <x:v>Unspecified</x:v>
      </x:c>
      <x:c r="P777" s="4"/>
      <x:c r="Q777" s="4" t="str">
        <x:f>IFERROR(INDEX('Material routes'!$J$6:$J$2205,MATCH(V777,'Material routes'!$A$6:$A$2205,0)),"MISSING ID")</x:f>
        <x:v>Unspecified</x:v>
      </x:c>
      <x:c r="R777" s="4" t="str">
        <x:f>IF(L777="Withheld","Withheld premise",IF(E777="Tool candidate","Reusable prerequisite",IF(K777="Raw entry preparation","Entry-resource preparation",IF(G777="Not applicable",IF(IFERROR(INDEX('Items'!$AI$6:$AI$1005,MATCH(T777,'Items'!$A$6:$A$1005,0)),"MISSING ID")="Finished item","Finished endpoint",IF(IFERROR(INDEX('Items'!$AI$6:$AI$1005,MATCH(T777,'Items'!$A$6:$A$1005,0)),"MISSING ID")="Currency","Currency / no refinement tier","Recovered output / tier not applicable")),IF(OR(IFERROR(INDEX('Crafting recipes'!$H$6:$H$1005,MATCH(J777,'Crafting recipes'!$A$6:$A$1005,0)),"MISSING ID")="Unassigned",G777="Unassigned"),"Tier unresolved",IF(IFERROR(VALUE(RIGHT(G777,1))-VALUE(RIGHT(IFERROR(INDEX('Crafting recipes'!$H$6:$H$1005,MATCH(J777,'Crafting recipes'!$A$6:$A$1005,0)),"MISSING ID"),1)),0)=1,IF(B777=IFERROR(INDEX('Crafting recipes'!$H$6:$H$1005,MATCH(J777,'Crafting recipes'!$A$6:$A$1005,0)),"MISSING ID"),"Advances one material tier","Lower-tier ingredient; route advances one tier"),"Needs tier review"))))))</x:f>
        <x:v>Finished endpoint</x:v>
      </x:c>
      <x:c r="S777" s="4" t="str">
        <x:f>IFERROR(INDEX('Material routes'!$D$6:$D$2205,MATCH(U777,'Material routes'!$A$6:$A$2205,0)),"MISSING ID")</x:f>
        <x:v>proposal.t1.hardpart_blank</x:v>
      </x:c>
      <x:c r="T777" s="4" t="str">
        <x:f>IFERROR(INDEX('Material routes'!$D$6:$D$2205,MATCH(V777,'Material routes'!$A$6:$A$2205,0)),"MISSING ID")</x:f>
        <x:v>proposal.collection.slit_shell_drum</x:v>
      </x:c>
      <x:c r="U777" s="4" t="str">
        <x:v>design.collection.slit_shell_drum.in.1</x:v>
      </x:c>
      <x:c r="V777" s="4" t="str">
        <x:v>design.collection.slit_shell_drum.out</x:v>
      </x:c>
    </x:row>
    <x:row r="778" ht="64" customHeight="1">
      <x:c r="A778" s="4" t="str">
        <x:f>IFERROR(INDEX('Material routes'!$E$6:$E$2205,MATCH(U778,'Material routes'!$A$6:$A$2205,0)),"MISSING ID")</x:f>
        <x:v>Processed hide material</x:v>
      </x:c>
      <x:c r="B778" s="4" t="str">
        <x:f>IFERROR(INDEX('Material routes'!$F$6:$F$2205,MATCH(U778,'Material routes'!$A$6:$A$2205,0)),"MISSING ID")</x:f>
        <x:v>T1</x:v>
      </x:c>
      <x:c r="C778" s="4" t="str">
        <x:f>IFERROR(INDEX('Material routes'!$H$6:$H$2205,MATCH(U778,'Material routes'!$A$6:$A$2205,0)),"MISSING ID")</x:f>
        <x:v>Processed material</x:v>
      </x:c>
      <x:c r="D778" s="4" t="str">
        <x:f>IFERROR(INDEX('Material routes'!$G$6:$G$2205,MATCH(U778,'Material routes'!$A$6:$A$2205,0)),"MISSING ID")</x:f>
        <x:v>Crafting components</x:v>
      </x:c>
      <x:c r="E778" s="4" t="str">
        <x:f>IFERROR(INDEX('Material routes'!$C$6:$C$2205,MATCH(U778,'Material routes'!$A$6:$A$2205,0)),"MISSING ID")</x:f>
        <x:v>Ingredient candidate</x:v>
      </x:c>
      <x:c r="F778" s="4" t="str">
        <x:f>IFERROR(INDEX('Material routes'!$E$6:$E$2205,MATCH(V778,'Material routes'!$A$6:$A$2205,0)),"MISSING ID")</x:f>
        <x:v>Metal frame drum</x:v>
      </x:c>
      <x:c r="G778" s="4" t="str">
        <x:f>IFERROR(INDEX('Material routes'!$F$6:$F$2205,MATCH(V778,'Material routes'!$A$6:$A$2205,0)),"MISSING ID")</x:f>
        <x:v>Not applicable</x:v>
      </x:c>
      <x:c r="H778" s="4" t="str">
        <x:f>IFERROR(INDEX('Material routes'!$H$6:$H$2205,MATCH(V778,'Material routes'!$A$6:$A$2205,0)),"MISSING ID")</x:f>
        <x:v>Musical instrument</x:v>
      </x:c>
      <x:c r="I778" s="4" t="str">
        <x:f>IFERROR(INDEX('Material routes'!$G$6:$G$2205,MATCH(V778,'Material routes'!$A$6:$A$2205,0)),"MISSING ID")</x:f>
        <x:v>Salvage</x:v>
      </x:c>
      <x:c r="J778" s="4" t="str">
        <x:f>IFERROR(INDEX('Material routes'!$B$6:$B$2205,MATCH(U778,'Material routes'!$A$6:$A$2205,0)),"MISSING ID")</x:f>
        <x:v>design.collection.metal_frame_drum</x:v>
      </x:c>
      <x:c r="K778" s="4" t="str">
        <x:f>IFERROR(INDEX('Crafting recipes'!$C$6:$C$1005,MATCH(J778,'Crafting recipes'!$A$6:$A$1005,0)),"MISSING ID")</x:f>
        <x:v>Finished-item crafting</x:v>
      </x:c>
      <x:c r="L778" s="4" t="str">
        <x:f>IFERROR(INDEX('Material routes'!$K$6:$K$2205,MATCH(U778,'Material routes'!$A$6:$A$2205,0)),"MISSING ID")</x:f>
        <x:v>Proposal</x:v>
      </x:c>
      <x:c r="M778" s="4" t="str">
        <x:f>IFERROR(INDEX('Material routes'!$M$6:$M$2205,MATCH(U778,'Material routes'!$A$6:$A$2205,0)),"MISSING ID")</x:f>
        <x:v>Partial proposal</x:v>
      </x:c>
      <x:c r="N778" s="4"/>
      <x:c r="O778" s="4" t="str">
        <x:f>IFERROR(INDEX('Material routes'!$J$6:$J$2205,MATCH(U778,'Material routes'!$A$6:$A$2205,0)),"MISSING ID")</x:f>
        <x:v>Unspecified</x:v>
      </x:c>
      <x:c r="P778" s="4"/>
      <x:c r="Q778" s="4" t="str">
        <x:f>IFERROR(INDEX('Material routes'!$J$6:$J$2205,MATCH(V778,'Material routes'!$A$6:$A$2205,0)),"MISSING ID")</x:f>
        <x:v>Unspecified</x:v>
      </x:c>
      <x:c r="R778" s="4" t="str">
        <x:f>IF(L778="Withheld","Withheld premise",IF(E778="Tool candidate","Reusable prerequisite",IF(K778="Raw entry preparation","Entry-resource preparation",IF(G778="Not applicable",IF(IFERROR(INDEX('Items'!$AI$6:$AI$1005,MATCH(T778,'Items'!$A$6:$A$1005,0)),"MISSING ID")="Finished item","Finished endpoint",IF(IFERROR(INDEX('Items'!$AI$6:$AI$1005,MATCH(T778,'Items'!$A$6:$A$1005,0)),"MISSING ID")="Currency","Currency / no refinement tier","Recovered output / tier not applicable")),IF(OR(IFERROR(INDEX('Crafting recipes'!$H$6:$H$1005,MATCH(J778,'Crafting recipes'!$A$6:$A$1005,0)),"MISSING ID")="Unassigned",G778="Unassigned"),"Tier unresolved",IF(IFERROR(VALUE(RIGHT(G778,1))-VALUE(RIGHT(IFERROR(INDEX('Crafting recipes'!$H$6:$H$1005,MATCH(J778,'Crafting recipes'!$A$6:$A$1005,0)),"MISSING ID"),1)),0)=1,IF(B778=IFERROR(INDEX('Crafting recipes'!$H$6:$H$1005,MATCH(J778,'Crafting recipes'!$A$6:$A$1005,0)),"MISSING ID"),"Advances one material tier","Lower-tier ingredient; route advances one tier"),"Needs tier review"))))))</x:f>
        <x:v>Finished endpoint</x:v>
      </x:c>
      <x:c r="S778" s="4" t="str">
        <x:f>IFERROR(INDEX('Material routes'!$D$6:$D$2205,MATCH(U778,'Material routes'!$A$6:$A$2205,0)),"MISSING ID")</x:f>
        <x:v>proposal.bio.hide_material</x:v>
      </x:c>
      <x:c r="T778" s="4" t="str">
        <x:f>IFERROR(INDEX('Material routes'!$D$6:$D$2205,MATCH(V778,'Material routes'!$A$6:$A$2205,0)),"MISSING ID")</x:f>
        <x:v>proposal.collection.metal_frame_drum</x:v>
      </x:c>
      <x:c r="U778" s="4" t="str">
        <x:v>design.collection.metal_frame_drum.in.1</x:v>
      </x:c>
      <x:c r="V778" s="4" t="str">
        <x:v>design.collection.metal_frame_drum.out</x:v>
      </x:c>
    </x:row>
    <x:row r="779" ht="64" customHeight="1">
      <x:c r="A779" s="4" t="str">
        <x:f>IFERROR(INDEX('Material routes'!$E$6:$E$2205,MATCH(U779,'Material routes'!$A$6:$A$2205,0)),"MISSING ID")</x:f>
        <x:v>Worked iron stock</x:v>
      </x:c>
      <x:c r="B779" s="4" t="str">
        <x:f>IFERROR(INDEX('Material routes'!$F$6:$F$2205,MATCH(U779,'Material routes'!$A$6:$A$2205,0)),"MISSING ID")</x:f>
        <x:v>T2</x:v>
      </x:c>
      <x:c r="C779" s="4" t="str">
        <x:f>IFERROR(INDEX('Material routes'!$H$6:$H$2205,MATCH(U779,'Material routes'!$A$6:$A$2205,0)),"MISSING ID")</x:f>
        <x:v>Processed material</x:v>
      </x:c>
      <x:c r="D779" s="4" t="str">
        <x:f>IFERROR(INDEX('Material routes'!$G$6:$G$2205,MATCH(U779,'Material routes'!$A$6:$A$2205,0)),"MISSING ID")</x:f>
        <x:v>Manufactured stock</x:v>
      </x:c>
      <x:c r="E779" s="4" t="str">
        <x:f>IFERROR(INDEX('Material routes'!$C$6:$C$2205,MATCH(U779,'Material routes'!$A$6:$A$2205,0)),"MISSING ID")</x:f>
        <x:v>Ingredient candidate</x:v>
      </x:c>
      <x:c r="F779" s="4" t="str">
        <x:f>IFERROR(INDEX('Material routes'!$E$6:$E$2205,MATCH(V779,'Material routes'!$A$6:$A$2205,0)),"MISSING ID")</x:f>
        <x:v>Metal frame drum</x:v>
      </x:c>
      <x:c r="G779" s="4" t="str">
        <x:f>IFERROR(INDEX('Material routes'!$F$6:$F$2205,MATCH(V779,'Material routes'!$A$6:$A$2205,0)),"MISSING ID")</x:f>
        <x:v>Not applicable</x:v>
      </x:c>
      <x:c r="H779" s="4" t="str">
        <x:f>IFERROR(INDEX('Material routes'!$H$6:$H$2205,MATCH(V779,'Material routes'!$A$6:$A$2205,0)),"MISSING ID")</x:f>
        <x:v>Musical instrument</x:v>
      </x:c>
      <x:c r="I779" s="4" t="str">
        <x:f>IFERROR(INDEX('Material routes'!$G$6:$G$2205,MATCH(V779,'Material routes'!$A$6:$A$2205,0)),"MISSING ID")</x:f>
        <x:v>Salvage</x:v>
      </x:c>
      <x:c r="J779" s="4" t="str">
        <x:f>IFERROR(INDEX('Material routes'!$B$6:$B$2205,MATCH(U779,'Material routes'!$A$6:$A$2205,0)),"MISSING ID")</x:f>
        <x:v>design.collection.metal_frame_drum</x:v>
      </x:c>
      <x:c r="K779" s="4" t="str">
        <x:f>IFERROR(INDEX('Crafting recipes'!$C$6:$C$1005,MATCH(J779,'Crafting recipes'!$A$6:$A$1005,0)),"MISSING ID")</x:f>
        <x:v>Finished-item crafting</x:v>
      </x:c>
      <x:c r="L779" s="4" t="str">
        <x:f>IFERROR(INDEX('Material routes'!$K$6:$K$2205,MATCH(U779,'Material routes'!$A$6:$A$2205,0)),"MISSING ID")</x:f>
        <x:v>Proposal</x:v>
      </x:c>
      <x:c r="M779" s="4" t="str">
        <x:f>IFERROR(INDEX('Material routes'!$M$6:$M$2205,MATCH(U779,'Material routes'!$A$6:$A$2205,0)),"MISSING ID")</x:f>
        <x:v>Partial proposal</x:v>
      </x:c>
      <x:c r="N779" s="4"/>
      <x:c r="O779" s="4" t="str">
        <x:f>IFERROR(INDEX('Material routes'!$J$6:$J$2205,MATCH(U779,'Material routes'!$A$6:$A$2205,0)),"MISSING ID")</x:f>
        <x:v>Unspecified</x:v>
      </x:c>
      <x:c r="P779" s="4"/>
      <x:c r="Q779" s="4" t="str">
        <x:f>IFERROR(INDEX('Material routes'!$J$6:$J$2205,MATCH(V779,'Material routes'!$A$6:$A$2205,0)),"MISSING ID")</x:f>
        <x:v>Unspecified</x:v>
      </x:c>
      <x:c r="R779" s="4" t="str">
        <x:f>IF(L779="Withheld","Withheld premise",IF(E779="Tool candidate","Reusable prerequisite",IF(K779="Raw entry preparation","Entry-resource preparation",IF(G779="Not applicable",IF(IFERROR(INDEX('Items'!$AI$6:$AI$1005,MATCH(T779,'Items'!$A$6:$A$1005,0)),"MISSING ID")="Finished item","Finished endpoint",IF(IFERROR(INDEX('Items'!$AI$6:$AI$1005,MATCH(T779,'Items'!$A$6:$A$1005,0)),"MISSING ID")="Currency","Currency / no refinement tier","Recovered output / tier not applicable")),IF(OR(IFERROR(INDEX('Crafting recipes'!$H$6:$H$1005,MATCH(J779,'Crafting recipes'!$A$6:$A$1005,0)),"MISSING ID")="Unassigned",G779="Unassigned"),"Tier unresolved",IF(IFERROR(VALUE(RIGHT(G779,1))-VALUE(RIGHT(IFERROR(INDEX('Crafting recipes'!$H$6:$H$1005,MATCH(J779,'Crafting recipes'!$A$6:$A$1005,0)),"MISSING ID"),1)),0)=1,IF(B779=IFERROR(INDEX('Crafting recipes'!$H$6:$H$1005,MATCH(J779,'Crafting recipes'!$A$6:$A$1005,0)),"MISSING ID"),"Advances one material tier","Lower-tier ingredient; route advances one tier"),"Needs tier review"))))))</x:f>
        <x:v>Finished endpoint</x:v>
      </x:c>
      <x:c r="S779" s="4" t="str">
        <x:f>IFERROR(INDEX('Material routes'!$D$6:$D$2205,MATCH(U779,'Material routes'!$A$6:$A$2205,0)),"MISSING ID")</x:f>
        <x:v>proposal.natural.iron_stock</x:v>
      </x:c>
      <x:c r="T779" s="4" t="str">
        <x:f>IFERROR(INDEX('Material routes'!$D$6:$D$2205,MATCH(V779,'Material routes'!$A$6:$A$2205,0)),"MISSING ID")</x:f>
        <x:v>proposal.collection.metal_frame_drum</x:v>
      </x:c>
      <x:c r="U779" s="4" t="str">
        <x:v>design.collection.metal_frame_drum.in.2</x:v>
      </x:c>
      <x:c r="V779" s="4" t="str">
        <x:v>design.collection.metal_frame_drum.out</x:v>
      </x:c>
    </x:row>
    <x:row r="780" ht="64" customHeight="1">
      <x:c r="A780" s="4" t="str">
        <x:f>IFERROR(INDEX('Material routes'!$E$6:$E$2205,MATCH(U780,'Material routes'!$A$6:$A$2205,0)),"MISSING ID")</x:f>
        <x:v>Shaped fauna hard-part blanks</x:v>
      </x:c>
      <x:c r="B780" s="4" t="str">
        <x:f>IFERROR(INDEX('Material routes'!$F$6:$F$2205,MATCH(U780,'Material routes'!$A$6:$A$2205,0)),"MISSING ID")</x:f>
        <x:v>T1</x:v>
      </x:c>
      <x:c r="C780" s="4" t="str">
        <x:f>IFERROR(INDEX('Material routes'!$H$6:$H$2205,MATCH(U780,'Material routes'!$A$6:$A$2205,0)),"MISSING ID")</x:f>
        <x:v>Processed material</x:v>
      </x:c>
      <x:c r="D780" s="4" t="str">
        <x:f>IFERROR(INDEX('Material routes'!$G$6:$G$2205,MATCH(U780,'Material routes'!$A$6:$A$2205,0)),"MISSING ID")</x:f>
        <x:v>Manufactured stock</x:v>
      </x:c>
      <x:c r="E780" s="4" t="str">
        <x:f>IFERROR(INDEX('Material routes'!$C$6:$C$2205,MATCH(U780,'Material routes'!$A$6:$A$2205,0)),"MISSING ID")</x:f>
        <x:v>Ingredient candidate</x:v>
      </x:c>
      <x:c r="F780" s="4" t="str">
        <x:f>IFERROR(INDEX('Material routes'!$E$6:$E$2205,MATCH(V780,'Material routes'!$A$6:$A$2205,0)),"MISSING ID")</x:f>
        <x:v>Shell-clapper pair</x:v>
      </x:c>
      <x:c r="G780" s="4" t="str">
        <x:f>IFERROR(INDEX('Material routes'!$F$6:$F$2205,MATCH(V780,'Material routes'!$A$6:$A$2205,0)),"MISSING ID")</x:f>
        <x:v>Not applicable</x:v>
      </x:c>
      <x:c r="H780" s="4" t="str">
        <x:f>IFERROR(INDEX('Material routes'!$H$6:$H$2205,MATCH(V780,'Material routes'!$A$6:$A$2205,0)),"MISSING ID")</x:f>
        <x:v>Musical instrument</x:v>
      </x:c>
      <x:c r="I780" s="4" t="str">
        <x:f>IFERROR(INDEX('Material routes'!$G$6:$G$2205,MATCH(V780,'Material routes'!$A$6:$A$2205,0)),"MISSING ID")</x:f>
        <x:v>Salvage</x:v>
      </x:c>
      <x:c r="J780" s="4" t="str">
        <x:f>IFERROR(INDEX('Material routes'!$B$6:$B$2205,MATCH(U780,'Material routes'!$A$6:$A$2205,0)),"MISSING ID")</x:f>
        <x:v>design.collection.shell_clapper_pair</x:v>
      </x:c>
      <x:c r="K780" s="4" t="str">
        <x:f>IFERROR(INDEX('Crafting recipes'!$C$6:$C$1005,MATCH(J780,'Crafting recipes'!$A$6:$A$1005,0)),"MISSING ID")</x:f>
        <x:v>Finished-item crafting</x:v>
      </x:c>
      <x:c r="L780" s="4" t="str">
        <x:f>IFERROR(INDEX('Material routes'!$K$6:$K$2205,MATCH(U780,'Material routes'!$A$6:$A$2205,0)),"MISSING ID")</x:f>
        <x:v>Proposal</x:v>
      </x:c>
      <x:c r="M780" s="4" t="str">
        <x:f>IFERROR(INDEX('Material routes'!$M$6:$M$2205,MATCH(U780,'Material routes'!$A$6:$A$2205,0)),"MISSING ID")</x:f>
        <x:v>Partial proposal</x:v>
      </x:c>
      <x:c r="N780" s="4"/>
      <x:c r="O780" s="4" t="str">
        <x:f>IFERROR(INDEX('Material routes'!$J$6:$J$2205,MATCH(U780,'Material routes'!$A$6:$A$2205,0)),"MISSING ID")</x:f>
        <x:v>Unspecified</x:v>
      </x:c>
      <x:c r="P780" s="4"/>
      <x:c r="Q780" s="4" t="str">
        <x:f>IFERROR(INDEX('Material routes'!$J$6:$J$2205,MATCH(V780,'Material routes'!$A$6:$A$2205,0)),"MISSING ID")</x:f>
        <x:v>Unspecified</x:v>
      </x:c>
      <x:c r="R780" s="4" t="str">
        <x:f>IF(L780="Withheld","Withheld premise",IF(E780="Tool candidate","Reusable prerequisite",IF(K780="Raw entry preparation","Entry-resource preparation",IF(G780="Not applicable",IF(IFERROR(INDEX('Items'!$AI$6:$AI$1005,MATCH(T780,'Items'!$A$6:$A$1005,0)),"MISSING ID")="Finished item","Finished endpoint",IF(IFERROR(INDEX('Items'!$AI$6:$AI$1005,MATCH(T780,'Items'!$A$6:$A$1005,0)),"MISSING ID")="Currency","Currency / no refinement tier","Recovered output / tier not applicable")),IF(OR(IFERROR(INDEX('Crafting recipes'!$H$6:$H$1005,MATCH(J780,'Crafting recipes'!$A$6:$A$1005,0)),"MISSING ID")="Unassigned",G780="Unassigned"),"Tier unresolved",IF(IFERROR(VALUE(RIGHT(G780,1))-VALUE(RIGHT(IFERROR(INDEX('Crafting recipes'!$H$6:$H$1005,MATCH(J780,'Crafting recipes'!$A$6:$A$1005,0)),"MISSING ID"),1)),0)=1,IF(B780=IFERROR(INDEX('Crafting recipes'!$H$6:$H$1005,MATCH(J780,'Crafting recipes'!$A$6:$A$1005,0)),"MISSING ID"),"Advances one material tier","Lower-tier ingredient; route advances one tier"),"Needs tier review"))))))</x:f>
        <x:v>Finished endpoint</x:v>
      </x:c>
      <x:c r="S780" s="4" t="str">
        <x:f>IFERROR(INDEX('Material routes'!$D$6:$D$2205,MATCH(U780,'Material routes'!$A$6:$A$2205,0)),"MISSING ID")</x:f>
        <x:v>proposal.t1.hardpart_blank</x:v>
      </x:c>
      <x:c r="T780" s="4" t="str">
        <x:f>IFERROR(INDEX('Material routes'!$D$6:$D$2205,MATCH(V780,'Material routes'!$A$6:$A$2205,0)),"MISSING ID")</x:f>
        <x:v>proposal.collection.shell_clapper_pair</x:v>
      </x:c>
      <x:c r="U780" s="4" t="str">
        <x:v>design.collection.shell_clapper_pair.in.1</x:v>
      </x:c>
      <x:c r="V780" s="4" t="str">
        <x:v>design.collection.shell_clapper_pair.out</x:v>
      </x:c>
    </x:row>
    <x:row r="781" ht="64" customHeight="1">
      <x:c r="A781" s="4" t="str">
        <x:f>IFERROR(INDEX('Material routes'!$E$6:$E$2205,MATCH(U781,'Material routes'!$A$6:$A$2205,0)),"MISSING ID")</x:f>
        <x:v>Reclaimed bronze billet</x:v>
      </x:c>
      <x:c r="B781" s="4" t="str">
        <x:f>IFERROR(INDEX('Material routes'!$F$6:$F$2205,MATCH(U781,'Material routes'!$A$6:$A$2205,0)),"MISSING ID")</x:f>
        <x:v>T1</x:v>
      </x:c>
      <x:c r="C781" s="4" t="str">
        <x:f>IFERROR(INDEX('Material routes'!$H$6:$H$2205,MATCH(U781,'Material routes'!$A$6:$A$2205,0)),"MISSING ID")</x:f>
        <x:v>Processed material</x:v>
      </x:c>
      <x:c r="D781" s="4" t="str">
        <x:f>IFERROR(INDEX('Material routes'!$G$6:$G$2205,MATCH(U781,'Material routes'!$A$6:$A$2205,0)),"MISSING ID")</x:f>
        <x:v>Manufactured stock</x:v>
      </x:c>
      <x:c r="E781" s="4" t="str">
        <x:f>IFERROR(INDEX('Material routes'!$C$6:$C$2205,MATCH(U781,'Material routes'!$A$6:$A$2205,0)),"MISSING ID")</x:f>
        <x:v>Ingredient candidate</x:v>
      </x:c>
      <x:c r="F781" s="4" t="str">
        <x:f>IFERROR(INDEX('Material routes'!$E$6:$E$2205,MATCH(V781,'Material routes'!$A$6:$A$2205,0)),"MISSING ID")</x:f>
        <x:v>Bronze hand bell</x:v>
      </x:c>
      <x:c r="G781" s="4" t="str">
        <x:f>IFERROR(INDEX('Material routes'!$F$6:$F$2205,MATCH(V781,'Material routes'!$A$6:$A$2205,0)),"MISSING ID")</x:f>
        <x:v>Not applicable</x:v>
      </x:c>
      <x:c r="H781" s="4" t="str">
        <x:f>IFERROR(INDEX('Material routes'!$H$6:$H$2205,MATCH(V781,'Material routes'!$A$6:$A$2205,0)),"MISSING ID")</x:f>
        <x:v>Musical instrument</x:v>
      </x:c>
      <x:c r="I781" s="4" t="str">
        <x:f>IFERROR(INDEX('Material routes'!$G$6:$G$2205,MATCH(V781,'Material routes'!$A$6:$A$2205,0)),"MISSING ID")</x:f>
        <x:v>Salvage</x:v>
      </x:c>
      <x:c r="J781" s="4" t="str">
        <x:f>IFERROR(INDEX('Material routes'!$B$6:$B$2205,MATCH(U781,'Material routes'!$A$6:$A$2205,0)),"MISSING ID")</x:f>
        <x:v>design.collection.bronze_hand_bell</x:v>
      </x:c>
      <x:c r="K781" s="4" t="str">
        <x:f>IFERROR(INDEX('Crafting recipes'!$C$6:$C$1005,MATCH(J781,'Crafting recipes'!$A$6:$A$1005,0)),"MISSING ID")</x:f>
        <x:v>Finished-item crafting</x:v>
      </x:c>
      <x:c r="L781" s="4" t="str">
        <x:f>IFERROR(INDEX('Material routes'!$K$6:$K$2205,MATCH(U781,'Material routes'!$A$6:$A$2205,0)),"MISSING ID")</x:f>
        <x:v>Proposal</x:v>
      </x:c>
      <x:c r="M781" s="4" t="str">
        <x:f>IFERROR(INDEX('Material routes'!$M$6:$M$2205,MATCH(U781,'Material routes'!$A$6:$A$2205,0)),"MISSING ID")</x:f>
        <x:v>Partial proposal</x:v>
      </x:c>
      <x:c r="N781" s="4"/>
      <x:c r="O781" s="4" t="str">
        <x:f>IFERROR(INDEX('Material routes'!$J$6:$J$2205,MATCH(U781,'Material routes'!$A$6:$A$2205,0)),"MISSING ID")</x:f>
        <x:v>Unspecified</x:v>
      </x:c>
      <x:c r="P781" s="4"/>
      <x:c r="Q781" s="4" t="str">
        <x:f>IFERROR(INDEX('Material routes'!$J$6:$J$2205,MATCH(V781,'Material routes'!$A$6:$A$2205,0)),"MISSING ID")</x:f>
        <x:v>Unspecified</x:v>
      </x:c>
      <x:c r="R781" s="4" t="str">
        <x:f>IF(L781="Withheld","Withheld premise",IF(E781="Tool candidate","Reusable prerequisite",IF(K781="Raw entry preparation","Entry-resource preparation",IF(G781="Not applicable",IF(IFERROR(INDEX('Items'!$AI$6:$AI$1005,MATCH(T781,'Items'!$A$6:$A$1005,0)),"MISSING ID")="Finished item","Finished endpoint",IF(IFERROR(INDEX('Items'!$AI$6:$AI$1005,MATCH(T781,'Items'!$A$6:$A$1005,0)),"MISSING ID")="Currency","Currency / no refinement tier","Recovered output / tier not applicable")),IF(OR(IFERROR(INDEX('Crafting recipes'!$H$6:$H$1005,MATCH(J781,'Crafting recipes'!$A$6:$A$1005,0)),"MISSING ID")="Unassigned",G781="Unassigned"),"Tier unresolved",IF(IFERROR(VALUE(RIGHT(G781,1))-VALUE(RIGHT(IFERROR(INDEX('Crafting recipes'!$H$6:$H$1005,MATCH(J781,'Crafting recipes'!$A$6:$A$1005,0)),"MISSING ID"),1)),0)=1,IF(B781=IFERROR(INDEX('Crafting recipes'!$H$6:$H$1005,MATCH(J781,'Crafting recipes'!$A$6:$A$1005,0)),"MISSING ID"),"Advances one material tier","Lower-tier ingredient; route advances one tier"),"Needs tier review"))))))</x:f>
        <x:v>Finished endpoint</x:v>
      </x:c>
      <x:c r="S781" s="4" t="str">
        <x:f>IFERROR(INDEX('Material routes'!$D$6:$D$2205,MATCH(U781,'Material routes'!$A$6:$A$2205,0)),"MISSING ID")</x:f>
        <x:v>proposal.t1.bronze_billet</x:v>
      </x:c>
      <x:c r="T781" s="4" t="str">
        <x:f>IFERROR(INDEX('Material routes'!$D$6:$D$2205,MATCH(V781,'Material routes'!$A$6:$A$2205,0)),"MISSING ID")</x:f>
        <x:v>proposal.collection.bronze_hand_bell</x:v>
      </x:c>
      <x:c r="U781" s="4" t="str">
        <x:v>design.collection.bronze_hand_bell.in.1</x:v>
      </x:c>
      <x:c r="V781" s="4" t="str">
        <x:v>design.collection.bronze_hand_bell.out</x:v>
      </x:c>
    </x:row>
    <x:row r="782" ht="64" customHeight="1">
      <x:c r="A782" s="4" t="str">
        <x:f>IFERROR(INDEX('Material routes'!$E$6:$E$2205,MATCH(U782,'Material routes'!$A$6:$A$2205,0)),"MISSING ID")</x:f>
        <x:v>Worked iron stock</x:v>
      </x:c>
      <x:c r="B782" s="4" t="str">
        <x:f>IFERROR(INDEX('Material routes'!$F$6:$F$2205,MATCH(U782,'Material routes'!$A$6:$A$2205,0)),"MISSING ID")</x:f>
        <x:v>T2</x:v>
      </x:c>
      <x:c r="C782" s="4" t="str">
        <x:f>IFERROR(INDEX('Material routes'!$H$6:$H$2205,MATCH(U782,'Material routes'!$A$6:$A$2205,0)),"MISSING ID")</x:f>
        <x:v>Processed material</x:v>
      </x:c>
      <x:c r="D782" s="4" t="str">
        <x:f>IFERROR(INDEX('Material routes'!$G$6:$G$2205,MATCH(U782,'Material routes'!$A$6:$A$2205,0)),"MISSING ID")</x:f>
        <x:v>Manufactured stock</x:v>
      </x:c>
      <x:c r="E782" s="4" t="str">
        <x:f>IFERROR(INDEX('Material routes'!$C$6:$C$2205,MATCH(U782,'Material routes'!$A$6:$A$2205,0)),"MISSING ID")</x:f>
        <x:v>Ingredient candidate</x:v>
      </x:c>
      <x:c r="F782" s="4" t="str">
        <x:f>IFERROR(INDEX('Material routes'!$E$6:$E$2205,MATCH(V782,'Material routes'!$A$6:$A$2205,0)),"MISSING ID")</x:f>
        <x:v>Bronze hand bell</x:v>
      </x:c>
      <x:c r="G782" s="4" t="str">
        <x:f>IFERROR(INDEX('Material routes'!$F$6:$F$2205,MATCH(V782,'Material routes'!$A$6:$A$2205,0)),"MISSING ID")</x:f>
        <x:v>Not applicable</x:v>
      </x:c>
      <x:c r="H782" s="4" t="str">
        <x:f>IFERROR(INDEX('Material routes'!$H$6:$H$2205,MATCH(V782,'Material routes'!$A$6:$A$2205,0)),"MISSING ID")</x:f>
        <x:v>Musical instrument</x:v>
      </x:c>
      <x:c r="I782" s="4" t="str">
        <x:f>IFERROR(INDEX('Material routes'!$G$6:$G$2205,MATCH(V782,'Material routes'!$A$6:$A$2205,0)),"MISSING ID")</x:f>
        <x:v>Salvage</x:v>
      </x:c>
      <x:c r="J782" s="4" t="str">
        <x:f>IFERROR(INDEX('Material routes'!$B$6:$B$2205,MATCH(U782,'Material routes'!$A$6:$A$2205,0)),"MISSING ID")</x:f>
        <x:v>design.collection.bronze_hand_bell</x:v>
      </x:c>
      <x:c r="K782" s="4" t="str">
        <x:f>IFERROR(INDEX('Crafting recipes'!$C$6:$C$1005,MATCH(J782,'Crafting recipes'!$A$6:$A$1005,0)),"MISSING ID")</x:f>
        <x:v>Finished-item crafting</x:v>
      </x:c>
      <x:c r="L782" s="4" t="str">
        <x:f>IFERROR(INDEX('Material routes'!$K$6:$K$2205,MATCH(U782,'Material routes'!$A$6:$A$2205,0)),"MISSING ID")</x:f>
        <x:v>Proposal</x:v>
      </x:c>
      <x:c r="M782" s="4" t="str">
        <x:f>IFERROR(INDEX('Material routes'!$M$6:$M$2205,MATCH(U782,'Material routes'!$A$6:$A$2205,0)),"MISSING ID")</x:f>
        <x:v>Partial proposal</x:v>
      </x:c>
      <x:c r="N782" s="4"/>
      <x:c r="O782" s="4" t="str">
        <x:f>IFERROR(INDEX('Material routes'!$J$6:$J$2205,MATCH(U782,'Material routes'!$A$6:$A$2205,0)),"MISSING ID")</x:f>
        <x:v>Unspecified</x:v>
      </x:c>
      <x:c r="P782" s="4"/>
      <x:c r="Q782" s="4" t="str">
        <x:f>IFERROR(INDEX('Material routes'!$J$6:$J$2205,MATCH(V782,'Material routes'!$A$6:$A$2205,0)),"MISSING ID")</x:f>
        <x:v>Unspecified</x:v>
      </x:c>
      <x:c r="R782" s="4" t="str">
        <x:f>IF(L782="Withheld","Withheld premise",IF(E782="Tool candidate","Reusable prerequisite",IF(K782="Raw entry preparation","Entry-resource preparation",IF(G782="Not applicable",IF(IFERROR(INDEX('Items'!$AI$6:$AI$1005,MATCH(T782,'Items'!$A$6:$A$1005,0)),"MISSING ID")="Finished item","Finished endpoint",IF(IFERROR(INDEX('Items'!$AI$6:$AI$1005,MATCH(T782,'Items'!$A$6:$A$1005,0)),"MISSING ID")="Currency","Currency / no refinement tier","Recovered output / tier not applicable")),IF(OR(IFERROR(INDEX('Crafting recipes'!$H$6:$H$1005,MATCH(J782,'Crafting recipes'!$A$6:$A$1005,0)),"MISSING ID")="Unassigned",G782="Unassigned"),"Tier unresolved",IF(IFERROR(VALUE(RIGHT(G782,1))-VALUE(RIGHT(IFERROR(INDEX('Crafting recipes'!$H$6:$H$1005,MATCH(J782,'Crafting recipes'!$A$6:$A$1005,0)),"MISSING ID"),1)),0)=1,IF(B782=IFERROR(INDEX('Crafting recipes'!$H$6:$H$1005,MATCH(J782,'Crafting recipes'!$A$6:$A$1005,0)),"MISSING ID"),"Advances one material tier","Lower-tier ingredient; route advances one tier"),"Needs tier review"))))))</x:f>
        <x:v>Finished endpoint</x:v>
      </x:c>
      <x:c r="S782" s="4" t="str">
        <x:f>IFERROR(INDEX('Material routes'!$D$6:$D$2205,MATCH(U782,'Material routes'!$A$6:$A$2205,0)),"MISSING ID")</x:f>
        <x:v>proposal.natural.iron_stock</x:v>
      </x:c>
      <x:c r="T782" s="4" t="str">
        <x:f>IFERROR(INDEX('Material routes'!$D$6:$D$2205,MATCH(V782,'Material routes'!$A$6:$A$2205,0)),"MISSING ID")</x:f>
        <x:v>proposal.collection.bronze_hand_bell</x:v>
      </x:c>
      <x:c r="U782" s="4" t="str">
        <x:v>design.collection.bronze_hand_bell.in.2</x:v>
      </x:c>
      <x:c r="V782" s="4" t="str">
        <x:v>design.collection.bronze_hand_bell.out</x:v>
      </x:c>
    </x:row>
    <x:row r="783" ht="64" customHeight="1">
      <x:c r="A783" s="4" t="str">
        <x:f>IFERROR(INDEX('Material routes'!$E$6:$E$2205,MATCH(U783,'Material routes'!$A$6:$A$2205,0)),"MISSING ID")</x:f>
        <x:v>Annealed iron sheet stock</x:v>
      </x:c>
      <x:c r="B783" s="4" t="str">
        <x:f>IFERROR(INDEX('Material routes'!$F$6:$F$2205,MATCH(U783,'Material routes'!$A$6:$A$2205,0)),"MISSING ID")</x:f>
        <x:v>T3</x:v>
      </x:c>
      <x:c r="C783" s="4" t="str">
        <x:f>IFERROR(INDEX('Material routes'!$H$6:$H$2205,MATCH(U783,'Material routes'!$A$6:$A$2205,0)),"MISSING ID")</x:f>
        <x:v>Processed material</x:v>
      </x:c>
      <x:c r="D783" s="4" t="str">
        <x:f>IFERROR(INDEX('Material routes'!$G$6:$G$2205,MATCH(U783,'Material routes'!$A$6:$A$2205,0)),"MISSING ID")</x:f>
        <x:v>Manufactured stock</x:v>
      </x:c>
      <x:c r="E783" s="4" t="str">
        <x:f>IFERROR(INDEX('Material routes'!$C$6:$C$2205,MATCH(U783,'Material routes'!$A$6:$A$2205,0)),"MISSING ID")</x:f>
        <x:v>Ingredient candidate</x:v>
      </x:c>
      <x:c r="F783" s="4" t="str">
        <x:f>IFERROR(INDEX('Material routes'!$E$6:$E$2205,MATCH(V783,'Material routes'!$A$6:$A$2205,0)),"MISSING ID")</x:f>
        <x:v>Iron cup-bell chime</x:v>
      </x:c>
      <x:c r="G783" s="4" t="str">
        <x:f>IFERROR(INDEX('Material routes'!$F$6:$F$2205,MATCH(V783,'Material routes'!$A$6:$A$2205,0)),"MISSING ID")</x:f>
        <x:v>Not applicable</x:v>
      </x:c>
      <x:c r="H783" s="4" t="str">
        <x:f>IFERROR(INDEX('Material routes'!$H$6:$H$2205,MATCH(V783,'Material routes'!$A$6:$A$2205,0)),"MISSING ID")</x:f>
        <x:v>Musical instrument</x:v>
      </x:c>
      <x:c r="I783" s="4" t="str">
        <x:f>IFERROR(INDEX('Material routes'!$G$6:$G$2205,MATCH(V783,'Material routes'!$A$6:$A$2205,0)),"MISSING ID")</x:f>
        <x:v>Salvage</x:v>
      </x:c>
      <x:c r="J783" s="4" t="str">
        <x:f>IFERROR(INDEX('Material routes'!$B$6:$B$2205,MATCH(U783,'Material routes'!$A$6:$A$2205,0)),"MISSING ID")</x:f>
        <x:v>design.collection.iron_cup_bell_chime</x:v>
      </x:c>
      <x:c r="K783" s="4" t="str">
        <x:f>IFERROR(INDEX('Crafting recipes'!$C$6:$C$1005,MATCH(J783,'Crafting recipes'!$A$6:$A$1005,0)),"MISSING ID")</x:f>
        <x:v>Finished-item crafting</x:v>
      </x:c>
      <x:c r="L783" s="4" t="str">
        <x:f>IFERROR(INDEX('Material routes'!$K$6:$K$2205,MATCH(U783,'Material routes'!$A$6:$A$2205,0)),"MISSING ID")</x:f>
        <x:v>Proposal</x:v>
      </x:c>
      <x:c r="M783" s="4" t="str">
        <x:f>IFERROR(INDEX('Material routes'!$M$6:$M$2205,MATCH(U783,'Material routes'!$A$6:$A$2205,0)),"MISSING ID")</x:f>
        <x:v>Partial proposal</x:v>
      </x:c>
      <x:c r="N783" s="4"/>
      <x:c r="O783" s="4" t="str">
        <x:f>IFERROR(INDEX('Material routes'!$J$6:$J$2205,MATCH(U783,'Material routes'!$A$6:$A$2205,0)),"MISSING ID")</x:f>
        <x:v>Unspecified</x:v>
      </x:c>
      <x:c r="P783" s="4"/>
      <x:c r="Q783" s="4" t="str">
        <x:f>IFERROR(INDEX('Material routes'!$J$6:$J$2205,MATCH(V783,'Material routes'!$A$6:$A$2205,0)),"MISSING ID")</x:f>
        <x:v>Unspecified</x:v>
      </x:c>
      <x:c r="R783" s="4" t="str">
        <x:f>IF(L783="Withheld","Withheld premise",IF(E783="Tool candidate","Reusable prerequisite",IF(K783="Raw entry preparation","Entry-resource preparation",IF(G783="Not applicable",IF(IFERROR(INDEX('Items'!$AI$6:$AI$1005,MATCH(T783,'Items'!$A$6:$A$1005,0)),"MISSING ID")="Finished item","Finished endpoint",IF(IFERROR(INDEX('Items'!$AI$6:$AI$1005,MATCH(T783,'Items'!$A$6:$A$1005,0)),"MISSING ID")="Currency","Currency / no refinement tier","Recovered output / tier not applicable")),IF(OR(IFERROR(INDEX('Crafting recipes'!$H$6:$H$1005,MATCH(J783,'Crafting recipes'!$A$6:$A$1005,0)),"MISSING ID")="Unassigned",G783="Unassigned"),"Tier unresolved",IF(IFERROR(VALUE(RIGHT(G783,1))-VALUE(RIGHT(IFERROR(INDEX('Crafting recipes'!$H$6:$H$1005,MATCH(J783,'Crafting recipes'!$A$6:$A$1005,0)),"MISSING ID"),1)),0)=1,IF(B783=IFERROR(INDEX('Crafting recipes'!$H$6:$H$1005,MATCH(J783,'Crafting recipes'!$A$6:$A$1005,0)),"MISSING ID"),"Advances one material tier","Lower-tier ingredient; route advances one tier"),"Needs tier review"))))))</x:f>
        <x:v>Finished endpoint</x:v>
      </x:c>
      <x:c r="S783" s="4" t="str">
        <x:f>IFERROR(INDEX('Material routes'!$D$6:$D$2205,MATCH(U783,'Material routes'!$A$6:$A$2205,0)),"MISSING ID")</x:f>
        <x:v>proposal.collection.annealed_iron_sheet_stock</x:v>
      </x:c>
      <x:c r="T783" s="4" t="str">
        <x:f>IFERROR(INDEX('Material routes'!$D$6:$D$2205,MATCH(V783,'Material routes'!$A$6:$A$2205,0)),"MISSING ID")</x:f>
        <x:v>proposal.collection.iron_cup_bell_chime</x:v>
      </x:c>
      <x:c r="U783" s="4" t="str">
        <x:v>design.collection.iron_cup_bell_chime.in.1</x:v>
      </x:c>
      <x:c r="V783" s="4" t="str">
        <x:v>design.collection.iron_cup_bell_chime.out</x:v>
      </x:c>
    </x:row>
    <x:row r="784" ht="64" customHeight="1">
      <x:c r="A784" s="4" t="str">
        <x:f>IFERROR(INDEX('Material routes'!$E$6:$E$2205,MATCH(U784,'Material routes'!$A$6:$A$2205,0)),"MISSING ID")</x:f>
        <x:v>Tendon cord</x:v>
      </x:c>
      <x:c r="B784" s="4" t="str">
        <x:f>IFERROR(INDEX('Material routes'!$F$6:$F$2205,MATCH(U784,'Material routes'!$A$6:$A$2205,0)),"MISSING ID")</x:f>
        <x:v>T1</x:v>
      </x:c>
      <x:c r="C784" s="4" t="str">
        <x:f>IFERROR(INDEX('Material routes'!$H$6:$H$2205,MATCH(U784,'Material routes'!$A$6:$A$2205,0)),"MISSING ID")</x:f>
        <x:v>Crafting component</x:v>
      </x:c>
      <x:c r="D784" s="4" t="str">
        <x:f>IFERROR(INDEX('Material routes'!$G$6:$G$2205,MATCH(U784,'Material routes'!$A$6:$A$2205,0)),"MISSING ID")</x:f>
        <x:v>Crafting components</x:v>
      </x:c>
      <x:c r="E784" s="4" t="str">
        <x:f>IFERROR(INDEX('Material routes'!$C$6:$C$2205,MATCH(U784,'Material routes'!$A$6:$A$2205,0)),"MISSING ID")</x:f>
        <x:v>Ingredient candidate</x:v>
      </x:c>
      <x:c r="F784" s="4" t="str">
        <x:f>IFERROR(INDEX('Material routes'!$E$6:$E$2205,MATCH(V784,'Material routes'!$A$6:$A$2205,0)),"MISSING ID")</x:f>
        <x:v>Iron cup-bell chime</x:v>
      </x:c>
      <x:c r="G784" s="4" t="str">
        <x:f>IFERROR(INDEX('Material routes'!$F$6:$F$2205,MATCH(V784,'Material routes'!$A$6:$A$2205,0)),"MISSING ID")</x:f>
        <x:v>Not applicable</x:v>
      </x:c>
      <x:c r="H784" s="4" t="str">
        <x:f>IFERROR(INDEX('Material routes'!$H$6:$H$2205,MATCH(V784,'Material routes'!$A$6:$A$2205,0)),"MISSING ID")</x:f>
        <x:v>Musical instrument</x:v>
      </x:c>
      <x:c r="I784" s="4" t="str">
        <x:f>IFERROR(INDEX('Material routes'!$G$6:$G$2205,MATCH(V784,'Material routes'!$A$6:$A$2205,0)),"MISSING ID")</x:f>
        <x:v>Salvage</x:v>
      </x:c>
      <x:c r="J784" s="4" t="str">
        <x:f>IFERROR(INDEX('Material routes'!$B$6:$B$2205,MATCH(U784,'Material routes'!$A$6:$A$2205,0)),"MISSING ID")</x:f>
        <x:v>design.collection.iron_cup_bell_chime</x:v>
      </x:c>
      <x:c r="K784" s="4" t="str">
        <x:f>IFERROR(INDEX('Crafting recipes'!$C$6:$C$1005,MATCH(J784,'Crafting recipes'!$A$6:$A$1005,0)),"MISSING ID")</x:f>
        <x:v>Finished-item crafting</x:v>
      </x:c>
      <x:c r="L784" s="4" t="str">
        <x:f>IFERROR(INDEX('Material routes'!$K$6:$K$2205,MATCH(U784,'Material routes'!$A$6:$A$2205,0)),"MISSING ID")</x:f>
        <x:v>Proposal</x:v>
      </x:c>
      <x:c r="M784" s="4" t="str">
        <x:f>IFERROR(INDEX('Material routes'!$M$6:$M$2205,MATCH(U784,'Material routes'!$A$6:$A$2205,0)),"MISSING ID")</x:f>
        <x:v>Partial proposal</x:v>
      </x:c>
      <x:c r="N784" s="4"/>
      <x:c r="O784" s="4" t="str">
        <x:f>IFERROR(INDEX('Material routes'!$J$6:$J$2205,MATCH(U784,'Material routes'!$A$6:$A$2205,0)),"MISSING ID")</x:f>
        <x:v>Unspecified</x:v>
      </x:c>
      <x:c r="P784" s="4"/>
      <x:c r="Q784" s="4" t="str">
        <x:f>IFERROR(INDEX('Material routes'!$J$6:$J$2205,MATCH(V784,'Material routes'!$A$6:$A$2205,0)),"MISSING ID")</x:f>
        <x:v>Unspecified</x:v>
      </x:c>
      <x:c r="R784" s="4" t="str">
        <x:f>IF(L784="Withheld","Withheld premise",IF(E784="Tool candidate","Reusable prerequisite",IF(K784="Raw entry preparation","Entry-resource preparation",IF(G784="Not applicable",IF(IFERROR(INDEX('Items'!$AI$6:$AI$1005,MATCH(T784,'Items'!$A$6:$A$1005,0)),"MISSING ID")="Finished item","Finished endpoint",IF(IFERROR(INDEX('Items'!$AI$6:$AI$1005,MATCH(T784,'Items'!$A$6:$A$1005,0)),"MISSING ID")="Currency","Currency / no refinement tier","Recovered output / tier not applicable")),IF(OR(IFERROR(INDEX('Crafting recipes'!$H$6:$H$1005,MATCH(J784,'Crafting recipes'!$A$6:$A$1005,0)),"MISSING ID")="Unassigned",G784="Unassigned"),"Tier unresolved",IF(IFERROR(VALUE(RIGHT(G784,1))-VALUE(RIGHT(IFERROR(INDEX('Crafting recipes'!$H$6:$H$1005,MATCH(J784,'Crafting recipes'!$A$6:$A$1005,0)),"MISSING ID"),1)),0)=1,IF(B784=IFERROR(INDEX('Crafting recipes'!$H$6:$H$1005,MATCH(J784,'Crafting recipes'!$A$6:$A$1005,0)),"MISSING ID"),"Advances one material tier","Lower-tier ingredient; route advances one tier"),"Needs tier review"))))))</x:f>
        <x:v>Finished endpoint</x:v>
      </x:c>
      <x:c r="S784" s="4" t="str">
        <x:f>IFERROR(INDEX('Material routes'!$D$6:$D$2205,MATCH(U784,'Material routes'!$A$6:$A$2205,0)),"MISSING ID")</x:f>
        <x:v>proposal.bio.cord</x:v>
      </x:c>
      <x:c r="T784" s="4" t="str">
        <x:f>IFERROR(INDEX('Material routes'!$D$6:$D$2205,MATCH(V784,'Material routes'!$A$6:$A$2205,0)),"MISSING ID")</x:f>
        <x:v>proposal.collection.iron_cup_bell_chime</x:v>
      </x:c>
      <x:c r="U784" s="4" t="str">
        <x:v>design.collection.iron_cup_bell_chime.in.2</x:v>
      </x:c>
      <x:c r="V784" s="4" t="str">
        <x:v>design.collection.iron_cup_bell_chime.out</x:v>
      </x:c>
    </x:row>
    <x:row r="785" ht="64" customHeight="1">
      <x:c r="A785" s="4" t="str">
        <x:f>IFERROR(INDEX('Material routes'!$E$6:$E$2205,MATCH(U785,'Material routes'!$A$6:$A$2205,0)),"MISSING ID")</x:f>
        <x:v>Tuned stone stock</x:v>
      </x:c>
      <x:c r="B785" s="4" t="str">
        <x:f>IFERROR(INDEX('Material routes'!$F$6:$F$2205,MATCH(U785,'Material routes'!$A$6:$A$2205,0)),"MISSING ID")</x:f>
        <x:v>T2</x:v>
      </x:c>
      <x:c r="C785" s="4" t="str">
        <x:f>IFERROR(INDEX('Material routes'!$H$6:$H$2205,MATCH(U785,'Material routes'!$A$6:$A$2205,0)),"MISSING ID")</x:f>
        <x:v>Processed material</x:v>
      </x:c>
      <x:c r="D785" s="4" t="str">
        <x:f>IFERROR(INDEX('Material routes'!$G$6:$G$2205,MATCH(U785,'Material routes'!$A$6:$A$2205,0)),"MISSING ID")</x:f>
        <x:v>Manufactured stock</x:v>
      </x:c>
      <x:c r="E785" s="4" t="str">
        <x:f>IFERROR(INDEX('Material routes'!$C$6:$C$2205,MATCH(U785,'Material routes'!$A$6:$A$2205,0)),"MISSING ID")</x:f>
        <x:v>Ingredient candidate</x:v>
      </x:c>
      <x:c r="F785" s="4" t="str">
        <x:f>IFERROR(INDEX('Material routes'!$E$6:$E$2205,MATCH(V785,'Material routes'!$A$6:$A$2205,0)),"MISSING ID")</x:f>
        <x:v>Stone-bar resonator</x:v>
      </x:c>
      <x:c r="G785" s="4" t="str">
        <x:f>IFERROR(INDEX('Material routes'!$F$6:$F$2205,MATCH(V785,'Material routes'!$A$6:$A$2205,0)),"MISSING ID")</x:f>
        <x:v>Not applicable</x:v>
      </x:c>
      <x:c r="H785" s="4" t="str">
        <x:f>IFERROR(INDEX('Material routes'!$H$6:$H$2205,MATCH(V785,'Material routes'!$A$6:$A$2205,0)),"MISSING ID")</x:f>
        <x:v>Musical instrument</x:v>
      </x:c>
      <x:c r="I785" s="4" t="str">
        <x:f>IFERROR(INDEX('Material routes'!$G$6:$G$2205,MATCH(V785,'Material routes'!$A$6:$A$2205,0)),"MISSING ID")</x:f>
        <x:v>Salvage</x:v>
      </x:c>
      <x:c r="J785" s="4" t="str">
        <x:f>IFERROR(INDEX('Material routes'!$B$6:$B$2205,MATCH(U785,'Material routes'!$A$6:$A$2205,0)),"MISSING ID")</x:f>
        <x:v>design.collection.stone_bar_resonator</x:v>
      </x:c>
      <x:c r="K785" s="4" t="str">
        <x:f>IFERROR(INDEX('Crafting recipes'!$C$6:$C$1005,MATCH(J785,'Crafting recipes'!$A$6:$A$1005,0)),"MISSING ID")</x:f>
        <x:v>Finished-item crafting</x:v>
      </x:c>
      <x:c r="L785" s="4" t="str">
        <x:f>IFERROR(INDEX('Material routes'!$K$6:$K$2205,MATCH(U785,'Material routes'!$A$6:$A$2205,0)),"MISSING ID")</x:f>
        <x:v>Proposal</x:v>
      </x:c>
      <x:c r="M785" s="4" t="str">
        <x:f>IFERROR(INDEX('Material routes'!$M$6:$M$2205,MATCH(U785,'Material routes'!$A$6:$A$2205,0)),"MISSING ID")</x:f>
        <x:v>Partial proposal</x:v>
      </x:c>
      <x:c r="N785" s="4"/>
      <x:c r="O785" s="4" t="str">
        <x:f>IFERROR(INDEX('Material routes'!$J$6:$J$2205,MATCH(U785,'Material routes'!$A$6:$A$2205,0)),"MISSING ID")</x:f>
        <x:v>Unspecified</x:v>
      </x:c>
      <x:c r="P785" s="4"/>
      <x:c r="Q785" s="4" t="str">
        <x:f>IFERROR(INDEX('Material routes'!$J$6:$J$2205,MATCH(V785,'Material routes'!$A$6:$A$2205,0)),"MISSING ID")</x:f>
        <x:v>Unspecified</x:v>
      </x:c>
      <x:c r="R785" s="4" t="str">
        <x:f>IF(L785="Withheld","Withheld premise",IF(E785="Tool candidate","Reusable prerequisite",IF(K785="Raw entry preparation","Entry-resource preparation",IF(G785="Not applicable",IF(IFERROR(INDEX('Items'!$AI$6:$AI$1005,MATCH(T785,'Items'!$A$6:$A$1005,0)),"MISSING ID")="Finished item","Finished endpoint",IF(IFERROR(INDEX('Items'!$AI$6:$AI$1005,MATCH(T785,'Items'!$A$6:$A$1005,0)),"MISSING ID")="Currency","Currency / no refinement tier","Recovered output / tier not applicable")),IF(OR(IFERROR(INDEX('Crafting recipes'!$H$6:$H$1005,MATCH(J785,'Crafting recipes'!$A$6:$A$1005,0)),"MISSING ID")="Unassigned",G785="Unassigned"),"Tier unresolved",IF(IFERROR(VALUE(RIGHT(G785,1))-VALUE(RIGHT(IFERROR(INDEX('Crafting recipes'!$H$6:$H$1005,MATCH(J785,'Crafting recipes'!$A$6:$A$1005,0)),"MISSING ID"),1)),0)=1,IF(B785=IFERROR(INDEX('Crafting recipes'!$H$6:$H$1005,MATCH(J785,'Crafting recipes'!$A$6:$A$1005,0)),"MISSING ID"),"Advances one material tier","Lower-tier ingredient; route advances one tier"),"Needs tier review"))))))</x:f>
        <x:v>Finished endpoint</x:v>
      </x:c>
      <x:c r="S785" s="4" t="str">
        <x:f>IFERROR(INDEX('Material routes'!$D$6:$D$2205,MATCH(U785,'Material routes'!$A$6:$A$2205,0)),"MISSING ID")</x:f>
        <x:v>proposal.branch.tuned_stone</x:v>
      </x:c>
      <x:c r="T785" s="4" t="str">
        <x:f>IFERROR(INDEX('Material routes'!$D$6:$D$2205,MATCH(V785,'Material routes'!$A$6:$A$2205,0)),"MISSING ID")</x:f>
        <x:v>proposal.collection.stone_bar_resonator</x:v>
      </x:c>
      <x:c r="U785" s="4" t="str">
        <x:v>design.collection.stone_bar_resonator.in.1</x:v>
      </x:c>
      <x:c r="V785" s="4" t="str">
        <x:v>design.collection.stone_bar_resonator.out</x:v>
      </x:c>
    </x:row>
    <x:row r="786" ht="64" customHeight="1">
      <x:c r="A786" s="4" t="str">
        <x:f>IFERROR(INDEX('Material routes'!$E$6:$E$2205,MATCH(U786,'Material routes'!$A$6:$A$2205,0)),"MISSING ID")</x:f>
        <x:v>Separated shell lamina stock</x:v>
      </x:c>
      <x:c r="B786" s="4" t="str">
        <x:f>IFERROR(INDEX('Material routes'!$F$6:$F$2205,MATCH(U786,'Material routes'!$A$6:$A$2205,0)),"MISSING ID")</x:f>
        <x:v>T1</x:v>
      </x:c>
      <x:c r="C786" s="4" t="str">
        <x:f>IFERROR(INDEX('Material routes'!$H$6:$H$2205,MATCH(U786,'Material routes'!$A$6:$A$2205,0)),"MISSING ID")</x:f>
        <x:v>Processed material</x:v>
      </x:c>
      <x:c r="D786" s="4" t="str">
        <x:f>IFERROR(INDEX('Material routes'!$G$6:$G$2205,MATCH(U786,'Material routes'!$A$6:$A$2205,0)),"MISSING ID")</x:f>
        <x:v>Manufactured stock</x:v>
      </x:c>
      <x:c r="E786" s="4" t="str">
        <x:f>IFERROR(INDEX('Material routes'!$C$6:$C$2205,MATCH(U786,'Material routes'!$A$6:$A$2205,0)),"MISSING ID")</x:f>
        <x:v>Ingredient candidate</x:v>
      </x:c>
      <x:c r="F786" s="4" t="str">
        <x:f>IFERROR(INDEX('Material routes'!$E$6:$E$2205,MATCH(V786,'Material routes'!$A$6:$A$2205,0)),"MISSING ID")</x:f>
        <x:v>Stone-bar resonator</x:v>
      </x:c>
      <x:c r="G786" s="4" t="str">
        <x:f>IFERROR(INDEX('Material routes'!$F$6:$F$2205,MATCH(V786,'Material routes'!$A$6:$A$2205,0)),"MISSING ID")</x:f>
        <x:v>Not applicable</x:v>
      </x:c>
      <x:c r="H786" s="4" t="str">
        <x:f>IFERROR(INDEX('Material routes'!$H$6:$H$2205,MATCH(V786,'Material routes'!$A$6:$A$2205,0)),"MISSING ID")</x:f>
        <x:v>Musical instrument</x:v>
      </x:c>
      <x:c r="I786" s="4" t="str">
        <x:f>IFERROR(INDEX('Material routes'!$G$6:$G$2205,MATCH(V786,'Material routes'!$A$6:$A$2205,0)),"MISSING ID")</x:f>
        <x:v>Salvage</x:v>
      </x:c>
      <x:c r="J786" s="4" t="str">
        <x:f>IFERROR(INDEX('Material routes'!$B$6:$B$2205,MATCH(U786,'Material routes'!$A$6:$A$2205,0)),"MISSING ID")</x:f>
        <x:v>design.collection.stone_bar_resonator</x:v>
      </x:c>
      <x:c r="K786" s="4" t="str">
        <x:f>IFERROR(INDEX('Crafting recipes'!$C$6:$C$1005,MATCH(J786,'Crafting recipes'!$A$6:$A$1005,0)),"MISSING ID")</x:f>
        <x:v>Finished-item crafting</x:v>
      </x:c>
      <x:c r="L786" s="4" t="str">
        <x:f>IFERROR(INDEX('Material routes'!$K$6:$K$2205,MATCH(U786,'Material routes'!$A$6:$A$2205,0)),"MISSING ID")</x:f>
        <x:v>Proposal</x:v>
      </x:c>
      <x:c r="M786" s="4" t="str">
        <x:f>IFERROR(INDEX('Material routes'!$M$6:$M$2205,MATCH(U786,'Material routes'!$A$6:$A$2205,0)),"MISSING ID")</x:f>
        <x:v>Partial proposal</x:v>
      </x:c>
      <x:c r="N786" s="4"/>
      <x:c r="O786" s="4" t="str">
        <x:f>IFERROR(INDEX('Material routes'!$J$6:$J$2205,MATCH(U786,'Material routes'!$A$6:$A$2205,0)),"MISSING ID")</x:f>
        <x:v>Unspecified</x:v>
      </x:c>
      <x:c r="P786" s="4"/>
      <x:c r="Q786" s="4" t="str">
        <x:f>IFERROR(INDEX('Material routes'!$J$6:$J$2205,MATCH(V786,'Material routes'!$A$6:$A$2205,0)),"MISSING ID")</x:f>
        <x:v>Unspecified</x:v>
      </x:c>
      <x:c r="R786" s="4" t="str">
        <x:f>IF(L786="Withheld","Withheld premise",IF(E786="Tool candidate","Reusable prerequisite",IF(K786="Raw entry preparation","Entry-resource preparation",IF(G786="Not applicable",IF(IFERROR(INDEX('Items'!$AI$6:$AI$1005,MATCH(T786,'Items'!$A$6:$A$1005,0)),"MISSING ID")="Finished item","Finished endpoint",IF(IFERROR(INDEX('Items'!$AI$6:$AI$1005,MATCH(T786,'Items'!$A$6:$A$1005,0)),"MISSING ID")="Currency","Currency / no refinement tier","Recovered output / tier not applicable")),IF(OR(IFERROR(INDEX('Crafting recipes'!$H$6:$H$1005,MATCH(J786,'Crafting recipes'!$A$6:$A$1005,0)),"MISSING ID")="Unassigned",G786="Unassigned"),"Tier unresolved",IF(IFERROR(VALUE(RIGHT(G786,1))-VALUE(RIGHT(IFERROR(INDEX('Crafting recipes'!$H$6:$H$1005,MATCH(J786,'Crafting recipes'!$A$6:$A$1005,0)),"MISSING ID"),1)),0)=1,IF(B786=IFERROR(INDEX('Crafting recipes'!$H$6:$H$1005,MATCH(J786,'Crafting recipes'!$A$6:$A$1005,0)),"MISSING ID"),"Advances one material tier","Lower-tier ingredient; route advances one tier"),"Needs tier review"))))))</x:f>
        <x:v>Finished endpoint</x:v>
      </x:c>
      <x:c r="S786" s="4" t="str">
        <x:f>IFERROR(INDEX('Material routes'!$D$6:$D$2205,MATCH(U786,'Material routes'!$A$6:$A$2205,0)),"MISSING ID")</x:f>
        <x:v>proposal.t1.shell_lamina</x:v>
      </x:c>
      <x:c r="T786" s="4" t="str">
        <x:f>IFERROR(INDEX('Material routes'!$D$6:$D$2205,MATCH(V786,'Material routes'!$A$6:$A$2205,0)),"MISSING ID")</x:f>
        <x:v>proposal.collection.stone_bar_resonator</x:v>
      </x:c>
      <x:c r="U786" s="4" t="str">
        <x:v>design.collection.stone_bar_resonator.in.2</x:v>
      </x:c>
      <x:c r="V786" s="4" t="str">
        <x:v>design.collection.stone_bar_resonator.out</x:v>
      </x:c>
    </x:row>
    <x:row r="787" ht="64" customHeight="1">
      <x:c r="A787" s="4" t="str">
        <x:f>IFERROR(INDEX('Material routes'!$E$6:$E$2205,MATCH(U787,'Material routes'!$A$6:$A$2205,0)),"MISSING ID")</x:f>
        <x:v>Annealed iron sheet stock</x:v>
      </x:c>
      <x:c r="B787" s="4" t="str">
        <x:f>IFERROR(INDEX('Material routes'!$F$6:$F$2205,MATCH(U787,'Material routes'!$A$6:$A$2205,0)),"MISSING ID")</x:f>
        <x:v>T3</x:v>
      </x:c>
      <x:c r="C787" s="4" t="str">
        <x:f>IFERROR(INDEX('Material routes'!$H$6:$H$2205,MATCH(U787,'Material routes'!$A$6:$A$2205,0)),"MISSING ID")</x:f>
        <x:v>Processed material</x:v>
      </x:c>
      <x:c r="D787" s="4" t="str">
        <x:f>IFERROR(INDEX('Material routes'!$G$6:$G$2205,MATCH(U787,'Material routes'!$A$6:$A$2205,0)),"MISSING ID")</x:f>
        <x:v>Manufactured stock</x:v>
      </x:c>
      <x:c r="E787" s="4" t="str">
        <x:f>IFERROR(INDEX('Material routes'!$C$6:$C$2205,MATCH(U787,'Material routes'!$A$6:$A$2205,0)),"MISSING ID")</x:f>
        <x:v>Ingredient candidate</x:v>
      </x:c>
      <x:c r="F787" s="4" t="str">
        <x:f>IFERROR(INDEX('Material routes'!$E$6:$E$2205,MATCH(V787,'Material routes'!$A$6:$A$2205,0)),"MISSING ID")</x:f>
        <x:v>Steel tongue drum</x:v>
      </x:c>
      <x:c r="G787" s="4" t="str">
        <x:f>IFERROR(INDEX('Material routes'!$F$6:$F$2205,MATCH(V787,'Material routes'!$A$6:$A$2205,0)),"MISSING ID")</x:f>
        <x:v>Not applicable</x:v>
      </x:c>
      <x:c r="H787" s="4" t="str">
        <x:f>IFERROR(INDEX('Material routes'!$H$6:$H$2205,MATCH(V787,'Material routes'!$A$6:$A$2205,0)),"MISSING ID")</x:f>
        <x:v>Musical instrument</x:v>
      </x:c>
      <x:c r="I787" s="4" t="str">
        <x:f>IFERROR(INDEX('Material routes'!$G$6:$G$2205,MATCH(V787,'Material routes'!$A$6:$A$2205,0)),"MISSING ID")</x:f>
        <x:v>Salvage</x:v>
      </x:c>
      <x:c r="J787" s="4" t="str">
        <x:f>IFERROR(INDEX('Material routes'!$B$6:$B$2205,MATCH(U787,'Material routes'!$A$6:$A$2205,0)),"MISSING ID")</x:f>
        <x:v>design.collection.steel_tongue_drum</x:v>
      </x:c>
      <x:c r="K787" s="4" t="str">
        <x:f>IFERROR(INDEX('Crafting recipes'!$C$6:$C$1005,MATCH(J787,'Crafting recipes'!$A$6:$A$1005,0)),"MISSING ID")</x:f>
        <x:v>Finished-item crafting</x:v>
      </x:c>
      <x:c r="L787" s="4" t="str">
        <x:f>IFERROR(INDEX('Material routes'!$K$6:$K$2205,MATCH(U787,'Material routes'!$A$6:$A$2205,0)),"MISSING ID")</x:f>
        <x:v>Proposal</x:v>
      </x:c>
      <x:c r="M787" s="4" t="str">
        <x:f>IFERROR(INDEX('Material routes'!$M$6:$M$2205,MATCH(U787,'Material routes'!$A$6:$A$2205,0)),"MISSING ID")</x:f>
        <x:v>Partial proposal</x:v>
      </x:c>
      <x:c r="N787" s="4"/>
      <x:c r="O787" s="4" t="str">
        <x:f>IFERROR(INDEX('Material routes'!$J$6:$J$2205,MATCH(U787,'Material routes'!$A$6:$A$2205,0)),"MISSING ID")</x:f>
        <x:v>Unspecified</x:v>
      </x:c>
      <x:c r="P787" s="4"/>
      <x:c r="Q787" s="4" t="str">
        <x:f>IFERROR(INDEX('Material routes'!$J$6:$J$2205,MATCH(V787,'Material routes'!$A$6:$A$2205,0)),"MISSING ID")</x:f>
        <x:v>Unspecified</x:v>
      </x:c>
      <x:c r="R787" s="4" t="str">
        <x:f>IF(L787="Withheld","Withheld premise",IF(E787="Tool candidate","Reusable prerequisite",IF(K787="Raw entry preparation","Entry-resource preparation",IF(G787="Not applicable",IF(IFERROR(INDEX('Items'!$AI$6:$AI$1005,MATCH(T787,'Items'!$A$6:$A$1005,0)),"MISSING ID")="Finished item","Finished endpoint",IF(IFERROR(INDEX('Items'!$AI$6:$AI$1005,MATCH(T787,'Items'!$A$6:$A$1005,0)),"MISSING ID")="Currency","Currency / no refinement tier","Recovered output / tier not applicable")),IF(OR(IFERROR(INDEX('Crafting recipes'!$H$6:$H$1005,MATCH(J787,'Crafting recipes'!$A$6:$A$1005,0)),"MISSING ID")="Unassigned",G787="Unassigned"),"Tier unresolved",IF(IFERROR(VALUE(RIGHT(G787,1))-VALUE(RIGHT(IFERROR(INDEX('Crafting recipes'!$H$6:$H$1005,MATCH(J787,'Crafting recipes'!$A$6:$A$1005,0)),"MISSING ID"),1)),0)=1,IF(B787=IFERROR(INDEX('Crafting recipes'!$H$6:$H$1005,MATCH(J787,'Crafting recipes'!$A$6:$A$1005,0)),"MISSING ID"),"Advances one material tier","Lower-tier ingredient; route advances one tier"),"Needs tier review"))))))</x:f>
        <x:v>Finished endpoint</x:v>
      </x:c>
      <x:c r="S787" s="4" t="str">
        <x:f>IFERROR(INDEX('Material routes'!$D$6:$D$2205,MATCH(U787,'Material routes'!$A$6:$A$2205,0)),"MISSING ID")</x:f>
        <x:v>proposal.collection.annealed_iron_sheet_stock</x:v>
      </x:c>
      <x:c r="T787" s="4" t="str">
        <x:f>IFERROR(INDEX('Material routes'!$D$6:$D$2205,MATCH(V787,'Material routes'!$A$6:$A$2205,0)),"MISSING ID")</x:f>
        <x:v>proposal.collection.steel_tongue_drum</x:v>
      </x:c>
      <x:c r="U787" s="4" t="str">
        <x:v>design.collection.steel_tongue_drum.in.1</x:v>
      </x:c>
      <x:c r="V787" s="4" t="str">
        <x:v>design.collection.steel_tongue_drum.out</x:v>
      </x:c>
    </x:row>
    <x:row r="788" ht="64" customHeight="1">
      <x:c r="A788" s="4" t="str">
        <x:f>IFERROR(INDEX('Material routes'!$E$6:$E$2205,MATCH(U788,'Material routes'!$A$6:$A$2205,0)),"MISSING ID")</x:f>
        <x:v>Drawn steel tube stock</x:v>
      </x:c>
      <x:c r="B788" s="4" t="str">
        <x:f>IFERROR(INDEX('Material routes'!$F$6:$F$2205,MATCH(U788,'Material routes'!$A$6:$A$2205,0)),"MISSING ID")</x:f>
        <x:v>T3</x:v>
      </x:c>
      <x:c r="C788" s="4" t="str">
        <x:f>IFERROR(INDEX('Material routes'!$H$6:$H$2205,MATCH(U788,'Material routes'!$A$6:$A$2205,0)),"MISSING ID")</x:f>
        <x:v>Processed material</x:v>
      </x:c>
      <x:c r="D788" s="4" t="str">
        <x:f>IFERROR(INDEX('Material routes'!$G$6:$G$2205,MATCH(U788,'Material routes'!$A$6:$A$2205,0)),"MISSING ID")</x:f>
        <x:v>Manufactured stock</x:v>
      </x:c>
      <x:c r="E788" s="4" t="str">
        <x:f>IFERROR(INDEX('Material routes'!$C$6:$C$2205,MATCH(U788,'Material routes'!$A$6:$A$2205,0)),"MISSING ID")</x:f>
        <x:v>Ingredient candidate</x:v>
      </x:c>
      <x:c r="F788" s="4" t="str">
        <x:f>IFERROR(INDEX('Material routes'!$E$6:$E$2205,MATCH(V788,'Material routes'!$A$6:$A$2205,0)),"MISSING ID")</x:f>
        <x:v>Metal transverse flute</x:v>
      </x:c>
      <x:c r="G788" s="4" t="str">
        <x:f>IFERROR(INDEX('Material routes'!$F$6:$F$2205,MATCH(V788,'Material routes'!$A$6:$A$2205,0)),"MISSING ID")</x:f>
        <x:v>Not applicable</x:v>
      </x:c>
      <x:c r="H788" s="4" t="str">
        <x:f>IFERROR(INDEX('Material routes'!$H$6:$H$2205,MATCH(V788,'Material routes'!$A$6:$A$2205,0)),"MISSING ID")</x:f>
        <x:v>Musical instrument</x:v>
      </x:c>
      <x:c r="I788" s="4" t="str">
        <x:f>IFERROR(INDEX('Material routes'!$G$6:$G$2205,MATCH(V788,'Material routes'!$A$6:$A$2205,0)),"MISSING ID")</x:f>
        <x:v>Salvage</x:v>
      </x:c>
      <x:c r="J788" s="4" t="str">
        <x:f>IFERROR(INDEX('Material routes'!$B$6:$B$2205,MATCH(U788,'Material routes'!$A$6:$A$2205,0)),"MISSING ID")</x:f>
        <x:v>design.collection.metal_transverse_flute</x:v>
      </x:c>
      <x:c r="K788" s="4" t="str">
        <x:f>IFERROR(INDEX('Crafting recipes'!$C$6:$C$1005,MATCH(J788,'Crafting recipes'!$A$6:$A$1005,0)),"MISSING ID")</x:f>
        <x:v>Finished-item crafting</x:v>
      </x:c>
      <x:c r="L788" s="4" t="str">
        <x:f>IFERROR(INDEX('Material routes'!$K$6:$K$2205,MATCH(U788,'Material routes'!$A$6:$A$2205,0)),"MISSING ID")</x:f>
        <x:v>Proposal</x:v>
      </x:c>
      <x:c r="M788" s="4" t="str">
        <x:f>IFERROR(INDEX('Material routes'!$M$6:$M$2205,MATCH(U788,'Material routes'!$A$6:$A$2205,0)),"MISSING ID")</x:f>
        <x:v>Partial proposal</x:v>
      </x:c>
      <x:c r="N788" s="4"/>
      <x:c r="O788" s="4" t="str">
        <x:f>IFERROR(INDEX('Material routes'!$J$6:$J$2205,MATCH(U788,'Material routes'!$A$6:$A$2205,0)),"MISSING ID")</x:f>
        <x:v>Unspecified</x:v>
      </x:c>
      <x:c r="P788" s="4"/>
      <x:c r="Q788" s="4" t="str">
        <x:f>IFERROR(INDEX('Material routes'!$J$6:$J$2205,MATCH(V788,'Material routes'!$A$6:$A$2205,0)),"MISSING ID")</x:f>
        <x:v>Unspecified</x:v>
      </x:c>
      <x:c r="R788" s="4" t="str">
        <x:f>IF(L788="Withheld","Withheld premise",IF(E788="Tool candidate","Reusable prerequisite",IF(K788="Raw entry preparation","Entry-resource preparation",IF(G788="Not applicable",IF(IFERROR(INDEX('Items'!$AI$6:$AI$1005,MATCH(T788,'Items'!$A$6:$A$1005,0)),"MISSING ID")="Finished item","Finished endpoint",IF(IFERROR(INDEX('Items'!$AI$6:$AI$1005,MATCH(T788,'Items'!$A$6:$A$1005,0)),"MISSING ID")="Currency","Currency / no refinement tier","Recovered output / tier not applicable")),IF(OR(IFERROR(INDEX('Crafting recipes'!$H$6:$H$1005,MATCH(J788,'Crafting recipes'!$A$6:$A$1005,0)),"MISSING ID")="Unassigned",G788="Unassigned"),"Tier unresolved",IF(IFERROR(VALUE(RIGHT(G788,1))-VALUE(RIGHT(IFERROR(INDEX('Crafting recipes'!$H$6:$H$1005,MATCH(J788,'Crafting recipes'!$A$6:$A$1005,0)),"MISSING ID"),1)),0)=1,IF(B788=IFERROR(INDEX('Crafting recipes'!$H$6:$H$1005,MATCH(J788,'Crafting recipes'!$A$6:$A$1005,0)),"MISSING ID"),"Advances one material tier","Lower-tier ingredient; route advances one tier"),"Needs tier review"))))))</x:f>
        <x:v>Finished endpoint</x:v>
      </x:c>
      <x:c r="S788" s="4" t="str">
        <x:f>IFERROR(INDEX('Material routes'!$D$6:$D$2205,MATCH(U788,'Material routes'!$A$6:$A$2205,0)),"MISSING ID")</x:f>
        <x:v>proposal.t3.precision_tube</x:v>
      </x:c>
      <x:c r="T788" s="4" t="str">
        <x:f>IFERROR(INDEX('Material routes'!$D$6:$D$2205,MATCH(V788,'Material routes'!$A$6:$A$2205,0)),"MISSING ID")</x:f>
        <x:v>proposal.collection.metal_transverse_flute</x:v>
      </x:c>
      <x:c r="U788" s="4" t="str">
        <x:v>design.collection.metal_transverse_flute.in.1</x:v>
      </x:c>
      <x:c r="V788" s="4" t="str">
        <x:v>design.collection.metal_transverse_flute.out</x:v>
      </x:c>
    </x:row>
    <x:row r="789" ht="64" customHeight="1">
      <x:c r="A789" s="4" t="str">
        <x:f>IFERROR(INDEX('Material routes'!$E$6:$E$2205,MATCH(U789,'Material routes'!$A$6:$A$2205,0)),"MISSING ID")</x:f>
        <x:v>Prepared ceramic body feed</x:v>
      </x:c>
      <x:c r="B789" s="4" t="str">
        <x:f>IFERROR(INDEX('Material routes'!$F$6:$F$2205,MATCH(U789,'Material routes'!$A$6:$A$2205,0)),"MISSING ID")</x:f>
        <x:v>T1</x:v>
      </x:c>
      <x:c r="C789" s="4" t="str">
        <x:f>IFERROR(INDEX('Material routes'!$H$6:$H$2205,MATCH(U789,'Material routes'!$A$6:$A$2205,0)),"MISSING ID")</x:f>
        <x:v>Processed material</x:v>
      </x:c>
      <x:c r="D789" s="4" t="str">
        <x:f>IFERROR(INDEX('Material routes'!$G$6:$G$2205,MATCH(U789,'Material routes'!$A$6:$A$2205,0)),"MISSING ID")</x:f>
        <x:v>Manufactured stock</x:v>
      </x:c>
      <x:c r="E789" s="4" t="str">
        <x:f>IFERROR(INDEX('Material routes'!$C$6:$C$2205,MATCH(U789,'Material routes'!$A$6:$A$2205,0)),"MISSING ID")</x:f>
        <x:v>Ingredient candidate</x:v>
      </x:c>
      <x:c r="F789" s="4" t="str">
        <x:f>IFERROR(INDEX('Material routes'!$E$6:$E$2205,MATCH(V789,'Material routes'!$A$6:$A$2205,0)),"MISSING ID")</x:f>
        <x:v>Ceramic duct flute</x:v>
      </x:c>
      <x:c r="G789" s="4" t="str">
        <x:f>IFERROR(INDEX('Material routes'!$F$6:$F$2205,MATCH(V789,'Material routes'!$A$6:$A$2205,0)),"MISSING ID")</x:f>
        <x:v>Not applicable</x:v>
      </x:c>
      <x:c r="H789" s="4" t="str">
        <x:f>IFERROR(INDEX('Material routes'!$H$6:$H$2205,MATCH(V789,'Material routes'!$A$6:$A$2205,0)),"MISSING ID")</x:f>
        <x:v>Musical instrument</x:v>
      </x:c>
      <x:c r="I789" s="4" t="str">
        <x:f>IFERROR(INDEX('Material routes'!$G$6:$G$2205,MATCH(V789,'Material routes'!$A$6:$A$2205,0)),"MISSING ID")</x:f>
        <x:v>Salvage</x:v>
      </x:c>
      <x:c r="J789" s="4" t="str">
        <x:f>IFERROR(INDEX('Material routes'!$B$6:$B$2205,MATCH(U789,'Material routes'!$A$6:$A$2205,0)),"MISSING ID")</x:f>
        <x:v>design.collection.ceramic_duct_flute</x:v>
      </x:c>
      <x:c r="K789" s="4" t="str">
        <x:f>IFERROR(INDEX('Crafting recipes'!$C$6:$C$1005,MATCH(J789,'Crafting recipes'!$A$6:$A$1005,0)),"MISSING ID")</x:f>
        <x:v>Finished-item crafting</x:v>
      </x:c>
      <x:c r="L789" s="4" t="str">
        <x:f>IFERROR(INDEX('Material routes'!$K$6:$K$2205,MATCH(U789,'Material routes'!$A$6:$A$2205,0)),"MISSING ID")</x:f>
        <x:v>Proposal</x:v>
      </x:c>
      <x:c r="M789" s="4" t="str">
        <x:f>IFERROR(INDEX('Material routes'!$M$6:$M$2205,MATCH(U789,'Material routes'!$A$6:$A$2205,0)),"MISSING ID")</x:f>
        <x:v>Partial proposal</x:v>
      </x:c>
      <x:c r="N789" s="4"/>
      <x:c r="O789" s="4" t="str">
        <x:f>IFERROR(INDEX('Material routes'!$J$6:$J$2205,MATCH(U789,'Material routes'!$A$6:$A$2205,0)),"MISSING ID")</x:f>
        <x:v>Unspecified</x:v>
      </x:c>
      <x:c r="P789" s="4"/>
      <x:c r="Q789" s="4" t="str">
        <x:f>IFERROR(INDEX('Material routes'!$J$6:$J$2205,MATCH(V789,'Material routes'!$A$6:$A$2205,0)),"MISSING ID")</x:f>
        <x:v>Unspecified</x:v>
      </x:c>
      <x:c r="R789" s="4" t="str">
        <x:f>IF(L789="Withheld","Withheld premise",IF(E789="Tool candidate","Reusable prerequisite",IF(K789="Raw entry preparation","Entry-resource preparation",IF(G789="Not applicable",IF(IFERROR(INDEX('Items'!$AI$6:$AI$1005,MATCH(T789,'Items'!$A$6:$A$1005,0)),"MISSING ID")="Finished item","Finished endpoint",IF(IFERROR(INDEX('Items'!$AI$6:$AI$1005,MATCH(T789,'Items'!$A$6:$A$1005,0)),"MISSING ID")="Currency","Currency / no refinement tier","Recovered output / tier not applicable")),IF(OR(IFERROR(INDEX('Crafting recipes'!$H$6:$H$1005,MATCH(J789,'Crafting recipes'!$A$6:$A$1005,0)),"MISSING ID")="Unassigned",G789="Unassigned"),"Tier unresolved",IF(IFERROR(VALUE(RIGHT(G789,1))-VALUE(RIGHT(IFERROR(INDEX('Crafting recipes'!$H$6:$H$1005,MATCH(J789,'Crafting recipes'!$A$6:$A$1005,0)),"MISSING ID"),1)),0)=1,IF(B789=IFERROR(INDEX('Crafting recipes'!$H$6:$H$1005,MATCH(J789,'Crafting recipes'!$A$6:$A$1005,0)),"MISSING ID"),"Advances one material tier","Lower-tier ingredient; route advances one tier"),"Needs tier review"))))))</x:f>
        <x:v>Finished endpoint</x:v>
      </x:c>
      <x:c r="S789" s="4" t="str">
        <x:f>IFERROR(INDEX('Material routes'!$D$6:$D$2205,MATCH(U789,'Material routes'!$A$6:$A$2205,0)),"MISSING ID")</x:f>
        <x:v>proposal.ceramic.body_feed</x:v>
      </x:c>
      <x:c r="T789" s="4" t="str">
        <x:f>IFERROR(INDEX('Material routes'!$D$6:$D$2205,MATCH(V789,'Material routes'!$A$6:$A$2205,0)),"MISSING ID")</x:f>
        <x:v>proposal.collection.ceramic_duct_flute</x:v>
      </x:c>
      <x:c r="U789" s="4" t="str">
        <x:v>design.collection.ceramic_duct_flute.in.1</x:v>
      </x:c>
      <x:c r="V789" s="4" t="str">
        <x:v>design.collection.ceramic_duct_flute.out</x:v>
      </x:c>
    </x:row>
    <x:row r="790" ht="64" customHeight="1">
      <x:c r="A790" s="4" t="str">
        <x:f>IFERROR(INDEX('Material routes'!$E$6:$E$2205,MATCH(U790,'Material routes'!$A$6:$A$2205,0)),"MISSING ID")</x:f>
        <x:v>Fauna horn cores</x:v>
      </x:c>
      <x:c r="B790" s="4" t="str">
        <x:f>IFERROR(INDEX('Material routes'!$F$6:$F$2205,MATCH(U790,'Material routes'!$A$6:$A$2205,0)),"MISSING ID")</x:f>
        <x:v>T0</x:v>
      </x:c>
      <x:c r="C790" s="4" t="str">
        <x:f>IFERROR(INDEX('Material routes'!$H$6:$H$2205,MATCH(U790,'Material routes'!$A$6:$A$2205,0)),"MISSING ID")</x:f>
        <x:v>Raw material</x:v>
      </x:c>
      <x:c r="D790" s="4" t="str">
        <x:f>IFERROR(INDEX('Material routes'!$G$6:$G$2205,MATCH(U790,'Material routes'!$A$6:$A$2205,0)),"MISSING ID")</x:f>
        <x:v>Biological resources</x:v>
      </x:c>
      <x:c r="E790" s="4" t="str">
        <x:f>IFERROR(INDEX('Material routes'!$C$6:$C$2205,MATCH(U790,'Material routes'!$A$6:$A$2205,0)),"MISSING ID")</x:f>
        <x:v>Ingredient candidate</x:v>
      </x:c>
      <x:c r="F790" s="4" t="str">
        <x:f>IFERROR(INDEX('Material routes'!$E$6:$E$2205,MATCH(V790,'Material routes'!$A$6:$A$2205,0)),"MISSING ID")</x:f>
        <x:v>Hollow-horn flute</x:v>
      </x:c>
      <x:c r="G790" s="4" t="str">
        <x:f>IFERROR(INDEX('Material routes'!$F$6:$F$2205,MATCH(V790,'Material routes'!$A$6:$A$2205,0)),"MISSING ID")</x:f>
        <x:v>Not applicable</x:v>
      </x:c>
      <x:c r="H790" s="4" t="str">
        <x:f>IFERROR(INDEX('Material routes'!$H$6:$H$2205,MATCH(V790,'Material routes'!$A$6:$A$2205,0)),"MISSING ID")</x:f>
        <x:v>Musical instrument</x:v>
      </x:c>
      <x:c r="I790" s="4" t="str">
        <x:f>IFERROR(INDEX('Material routes'!$G$6:$G$2205,MATCH(V790,'Material routes'!$A$6:$A$2205,0)),"MISSING ID")</x:f>
        <x:v>Salvage</x:v>
      </x:c>
      <x:c r="J790" s="4" t="str">
        <x:f>IFERROR(INDEX('Material routes'!$B$6:$B$2205,MATCH(U790,'Material routes'!$A$6:$A$2205,0)),"MISSING ID")</x:f>
        <x:v>design.collection.hollow_horn_flute</x:v>
      </x:c>
      <x:c r="K790" s="4" t="str">
        <x:f>IFERROR(INDEX('Crafting recipes'!$C$6:$C$1005,MATCH(J790,'Crafting recipes'!$A$6:$A$1005,0)),"MISSING ID")</x:f>
        <x:v>Finished-item crafting</x:v>
      </x:c>
      <x:c r="L790" s="4" t="str">
        <x:f>IFERROR(INDEX('Material routes'!$K$6:$K$2205,MATCH(U790,'Material routes'!$A$6:$A$2205,0)),"MISSING ID")</x:f>
        <x:v>Proposal</x:v>
      </x:c>
      <x:c r="M790" s="4" t="str">
        <x:f>IFERROR(INDEX('Material routes'!$M$6:$M$2205,MATCH(U790,'Material routes'!$A$6:$A$2205,0)),"MISSING ID")</x:f>
        <x:v>Partial proposal</x:v>
      </x:c>
      <x:c r="N790" s="4"/>
      <x:c r="O790" s="4" t="str">
        <x:f>IFERROR(INDEX('Material routes'!$J$6:$J$2205,MATCH(U790,'Material routes'!$A$6:$A$2205,0)),"MISSING ID")</x:f>
        <x:v>Unspecified</x:v>
      </x:c>
      <x:c r="P790" s="4"/>
      <x:c r="Q790" s="4" t="str">
        <x:f>IFERROR(INDEX('Material routes'!$J$6:$J$2205,MATCH(V790,'Material routes'!$A$6:$A$2205,0)),"MISSING ID")</x:f>
        <x:v>Unspecified</x:v>
      </x:c>
      <x:c r="R790" s="4" t="str">
        <x:f>IF(L790="Withheld","Withheld premise",IF(E790="Tool candidate","Reusable prerequisite",IF(K790="Raw entry preparation","Entry-resource preparation",IF(G790="Not applicable",IF(IFERROR(INDEX('Items'!$AI$6:$AI$1005,MATCH(T790,'Items'!$A$6:$A$1005,0)),"MISSING ID")="Finished item","Finished endpoint",IF(IFERROR(INDEX('Items'!$AI$6:$AI$1005,MATCH(T790,'Items'!$A$6:$A$1005,0)),"MISSING ID")="Currency","Currency / no refinement tier","Recovered output / tier not applicable")),IF(OR(IFERROR(INDEX('Crafting recipes'!$H$6:$H$1005,MATCH(J790,'Crafting recipes'!$A$6:$A$1005,0)),"MISSING ID")="Unassigned",G790="Unassigned"),"Tier unresolved",IF(IFERROR(VALUE(RIGHT(G790,1))-VALUE(RIGHT(IFERROR(INDEX('Crafting recipes'!$H$6:$H$1005,MATCH(J790,'Crafting recipes'!$A$6:$A$1005,0)),"MISSING ID"),1)),0)=1,IF(B790=IFERROR(INDEX('Crafting recipes'!$H$6:$H$1005,MATCH(J790,'Crafting recipes'!$A$6:$A$1005,0)),"MISSING ID"),"Advances one material tier","Lower-tier ingredient; route advances one tier"),"Needs tier review"))))))</x:f>
        <x:v>Finished endpoint</x:v>
      </x:c>
      <x:c r="S790" s="4" t="str">
        <x:f>IFERROR(INDEX('Material routes'!$D$6:$D$2205,MATCH(U790,'Material routes'!$A$6:$A$2205,0)),"MISSING ID")</x:f>
        <x:v>proposal.raw.horn_core</x:v>
      </x:c>
      <x:c r="T790" s="4" t="str">
        <x:f>IFERROR(INDEX('Material routes'!$D$6:$D$2205,MATCH(V790,'Material routes'!$A$6:$A$2205,0)),"MISSING ID")</x:f>
        <x:v>proposal.collection.hollow_horn_flute</x:v>
      </x:c>
      <x:c r="U790" s="4" t="str">
        <x:v>design.collection.hollow_horn_flute.in.1</x:v>
      </x:c>
      <x:c r="V790" s="4" t="str">
        <x:v>design.collection.hollow_horn_flute.out</x:v>
      </x:c>
    </x:row>
    <x:row r="791" ht="64" customHeight="1">
      <x:c r="A791" s="4" t="str">
        <x:f>IFERROR(INDEX('Material routes'!$E$6:$E$2205,MATCH(U791,'Material routes'!$A$6:$A$2205,0)),"MISSING ID")</x:f>
        <x:v>Insectoid wing ribs</x:v>
      </x:c>
      <x:c r="B791" s="4" t="str">
        <x:f>IFERROR(INDEX('Material routes'!$F$6:$F$2205,MATCH(U791,'Material routes'!$A$6:$A$2205,0)),"MISSING ID")</x:f>
        <x:v>T0</x:v>
      </x:c>
      <x:c r="C791" s="4" t="str">
        <x:f>IFERROR(INDEX('Material routes'!$H$6:$H$2205,MATCH(U791,'Material routes'!$A$6:$A$2205,0)),"MISSING ID")</x:f>
        <x:v>Raw material</x:v>
      </x:c>
      <x:c r="D791" s="4" t="str">
        <x:f>IFERROR(INDEX('Material routes'!$G$6:$G$2205,MATCH(U791,'Material routes'!$A$6:$A$2205,0)),"MISSING ID")</x:f>
        <x:v>Biological resources</x:v>
      </x:c>
      <x:c r="E791" s="4" t="str">
        <x:f>IFERROR(INDEX('Material routes'!$C$6:$C$2205,MATCH(U791,'Material routes'!$A$6:$A$2205,0)),"MISSING ID")</x:f>
        <x:v>Ingredient candidate</x:v>
      </x:c>
      <x:c r="F791" s="4" t="str">
        <x:f>IFERROR(INDEX('Material routes'!$E$6:$E$2205,MATCH(V791,'Material routes'!$A$6:$A$2205,0)),"MISSING ID")</x:f>
        <x:v>Wing-rib whistle</x:v>
      </x:c>
      <x:c r="G791" s="4" t="str">
        <x:f>IFERROR(INDEX('Material routes'!$F$6:$F$2205,MATCH(V791,'Material routes'!$A$6:$A$2205,0)),"MISSING ID")</x:f>
        <x:v>Not applicable</x:v>
      </x:c>
      <x:c r="H791" s="4" t="str">
        <x:f>IFERROR(INDEX('Material routes'!$H$6:$H$2205,MATCH(V791,'Material routes'!$A$6:$A$2205,0)),"MISSING ID")</x:f>
        <x:v>Musical instrument</x:v>
      </x:c>
      <x:c r="I791" s="4" t="str">
        <x:f>IFERROR(INDEX('Material routes'!$G$6:$G$2205,MATCH(V791,'Material routes'!$A$6:$A$2205,0)),"MISSING ID")</x:f>
        <x:v>Salvage</x:v>
      </x:c>
      <x:c r="J791" s="4" t="str">
        <x:f>IFERROR(INDEX('Material routes'!$B$6:$B$2205,MATCH(U791,'Material routes'!$A$6:$A$2205,0)),"MISSING ID")</x:f>
        <x:v>design.collection.wing_rib_whistle</x:v>
      </x:c>
      <x:c r="K791" s="4" t="str">
        <x:f>IFERROR(INDEX('Crafting recipes'!$C$6:$C$1005,MATCH(J791,'Crafting recipes'!$A$6:$A$1005,0)),"MISSING ID")</x:f>
        <x:v>Finished-item crafting</x:v>
      </x:c>
      <x:c r="L791" s="4" t="str">
        <x:f>IFERROR(INDEX('Material routes'!$K$6:$K$2205,MATCH(U791,'Material routes'!$A$6:$A$2205,0)),"MISSING ID")</x:f>
        <x:v>Proposal</x:v>
      </x:c>
      <x:c r="M791" s="4" t="str">
        <x:f>IFERROR(INDEX('Material routes'!$M$6:$M$2205,MATCH(U791,'Material routes'!$A$6:$A$2205,0)),"MISSING ID")</x:f>
        <x:v>Partial proposal</x:v>
      </x:c>
      <x:c r="N791" s="4"/>
      <x:c r="O791" s="4" t="str">
        <x:f>IFERROR(INDEX('Material routes'!$J$6:$J$2205,MATCH(U791,'Material routes'!$A$6:$A$2205,0)),"MISSING ID")</x:f>
        <x:v>Unspecified</x:v>
      </x:c>
      <x:c r="P791" s="4"/>
      <x:c r="Q791" s="4" t="str">
        <x:f>IFERROR(INDEX('Material routes'!$J$6:$J$2205,MATCH(V791,'Material routes'!$A$6:$A$2205,0)),"MISSING ID")</x:f>
        <x:v>Unspecified</x:v>
      </x:c>
      <x:c r="R791" s="4" t="str">
        <x:f>IF(L791="Withheld","Withheld premise",IF(E791="Tool candidate","Reusable prerequisite",IF(K791="Raw entry preparation","Entry-resource preparation",IF(G791="Not applicable",IF(IFERROR(INDEX('Items'!$AI$6:$AI$1005,MATCH(T791,'Items'!$A$6:$A$1005,0)),"MISSING ID")="Finished item","Finished endpoint",IF(IFERROR(INDEX('Items'!$AI$6:$AI$1005,MATCH(T791,'Items'!$A$6:$A$1005,0)),"MISSING ID")="Currency","Currency / no refinement tier","Recovered output / tier not applicable")),IF(OR(IFERROR(INDEX('Crafting recipes'!$H$6:$H$1005,MATCH(J791,'Crafting recipes'!$A$6:$A$1005,0)),"MISSING ID")="Unassigned",G791="Unassigned"),"Tier unresolved",IF(IFERROR(VALUE(RIGHT(G791,1))-VALUE(RIGHT(IFERROR(INDEX('Crafting recipes'!$H$6:$H$1005,MATCH(J791,'Crafting recipes'!$A$6:$A$1005,0)),"MISSING ID"),1)),0)=1,IF(B791=IFERROR(INDEX('Crafting recipes'!$H$6:$H$1005,MATCH(J791,'Crafting recipes'!$A$6:$A$1005,0)),"MISSING ID"),"Advances one material tier","Lower-tier ingredient; route advances one tier"),"Needs tier review"))))))</x:f>
        <x:v>Finished endpoint</x:v>
      </x:c>
      <x:c r="S791" s="4" t="str">
        <x:f>IFERROR(INDEX('Material routes'!$D$6:$D$2205,MATCH(U791,'Material routes'!$A$6:$A$2205,0)),"MISSING ID")</x:f>
        <x:v>proposal.raw.wing_ribs</x:v>
      </x:c>
      <x:c r="T791" s="4" t="str">
        <x:f>IFERROR(INDEX('Material routes'!$D$6:$D$2205,MATCH(V791,'Material routes'!$A$6:$A$2205,0)),"MISSING ID")</x:f>
        <x:v>proposal.collection.wing_rib_whistle</x:v>
      </x:c>
      <x:c r="U791" s="4" t="str">
        <x:v>design.collection.wing_rib_whistle.in.1</x:v>
      </x:c>
      <x:c r="V791" s="4" t="str">
        <x:v>design.collection.wing_rib_whistle.out</x:v>
      </x:c>
    </x:row>
    <x:row r="792" ht="64" customHeight="1">
      <x:c r="A792" s="4" t="str">
        <x:f>IFERROR(INDEX('Material routes'!$E$6:$E$2205,MATCH(U792,'Material routes'!$A$6:$A$2205,0)),"MISSING ID")</x:f>
        <x:v>Separated shell lamina stock</x:v>
      </x:c>
      <x:c r="B792" s="4" t="str">
        <x:f>IFERROR(INDEX('Material routes'!$F$6:$F$2205,MATCH(U792,'Material routes'!$A$6:$A$2205,0)),"MISSING ID")</x:f>
        <x:v>T1</x:v>
      </x:c>
      <x:c r="C792" s="4" t="str">
        <x:f>IFERROR(INDEX('Material routes'!$H$6:$H$2205,MATCH(U792,'Material routes'!$A$6:$A$2205,0)),"MISSING ID")</x:f>
        <x:v>Processed material</x:v>
      </x:c>
      <x:c r="D792" s="4" t="str">
        <x:f>IFERROR(INDEX('Material routes'!$G$6:$G$2205,MATCH(U792,'Material routes'!$A$6:$A$2205,0)),"MISSING ID")</x:f>
        <x:v>Manufactured stock</x:v>
      </x:c>
      <x:c r="E792" s="4" t="str">
        <x:f>IFERROR(INDEX('Material routes'!$C$6:$C$2205,MATCH(U792,'Material routes'!$A$6:$A$2205,0)),"MISSING ID")</x:f>
        <x:v>Ingredient candidate</x:v>
      </x:c>
      <x:c r="F792" s="4" t="str">
        <x:f>IFERROR(INDEX('Material routes'!$E$6:$E$2205,MATCH(V792,'Material routes'!$A$6:$A$2205,0)),"MISSING ID")</x:f>
        <x:v>Shell chamber ocarina</x:v>
      </x:c>
      <x:c r="G792" s="4" t="str">
        <x:f>IFERROR(INDEX('Material routes'!$F$6:$F$2205,MATCH(V792,'Material routes'!$A$6:$A$2205,0)),"MISSING ID")</x:f>
        <x:v>Not applicable</x:v>
      </x:c>
      <x:c r="H792" s="4" t="str">
        <x:f>IFERROR(INDEX('Material routes'!$H$6:$H$2205,MATCH(V792,'Material routes'!$A$6:$A$2205,0)),"MISSING ID")</x:f>
        <x:v>Musical instrument</x:v>
      </x:c>
      <x:c r="I792" s="4" t="str">
        <x:f>IFERROR(INDEX('Material routes'!$G$6:$G$2205,MATCH(V792,'Material routes'!$A$6:$A$2205,0)),"MISSING ID")</x:f>
        <x:v>Salvage</x:v>
      </x:c>
      <x:c r="J792" s="4" t="str">
        <x:f>IFERROR(INDEX('Material routes'!$B$6:$B$2205,MATCH(U792,'Material routes'!$A$6:$A$2205,0)),"MISSING ID")</x:f>
        <x:v>design.collection.shell_chamber_ocarina</x:v>
      </x:c>
      <x:c r="K792" s="4" t="str">
        <x:f>IFERROR(INDEX('Crafting recipes'!$C$6:$C$1005,MATCH(J792,'Crafting recipes'!$A$6:$A$1005,0)),"MISSING ID")</x:f>
        <x:v>Finished-item crafting</x:v>
      </x:c>
      <x:c r="L792" s="4" t="str">
        <x:f>IFERROR(INDEX('Material routes'!$K$6:$K$2205,MATCH(U792,'Material routes'!$A$6:$A$2205,0)),"MISSING ID")</x:f>
        <x:v>Proposal</x:v>
      </x:c>
      <x:c r="M792" s="4" t="str">
        <x:f>IFERROR(INDEX('Material routes'!$M$6:$M$2205,MATCH(U792,'Material routes'!$A$6:$A$2205,0)),"MISSING ID")</x:f>
        <x:v>Partial proposal</x:v>
      </x:c>
      <x:c r="N792" s="4"/>
      <x:c r="O792" s="4" t="str">
        <x:f>IFERROR(INDEX('Material routes'!$J$6:$J$2205,MATCH(U792,'Material routes'!$A$6:$A$2205,0)),"MISSING ID")</x:f>
        <x:v>Unspecified</x:v>
      </x:c>
      <x:c r="P792" s="4"/>
      <x:c r="Q792" s="4" t="str">
        <x:f>IFERROR(INDEX('Material routes'!$J$6:$J$2205,MATCH(V792,'Material routes'!$A$6:$A$2205,0)),"MISSING ID")</x:f>
        <x:v>Unspecified</x:v>
      </x:c>
      <x:c r="R792" s="4" t="str">
        <x:f>IF(L792="Withheld","Withheld premise",IF(E792="Tool candidate","Reusable prerequisite",IF(K792="Raw entry preparation","Entry-resource preparation",IF(G792="Not applicable",IF(IFERROR(INDEX('Items'!$AI$6:$AI$1005,MATCH(T792,'Items'!$A$6:$A$1005,0)),"MISSING ID")="Finished item","Finished endpoint",IF(IFERROR(INDEX('Items'!$AI$6:$AI$1005,MATCH(T792,'Items'!$A$6:$A$1005,0)),"MISSING ID")="Currency","Currency / no refinement tier","Recovered output / tier not applicable")),IF(OR(IFERROR(INDEX('Crafting recipes'!$H$6:$H$1005,MATCH(J792,'Crafting recipes'!$A$6:$A$1005,0)),"MISSING ID")="Unassigned",G792="Unassigned"),"Tier unresolved",IF(IFERROR(VALUE(RIGHT(G792,1))-VALUE(RIGHT(IFERROR(INDEX('Crafting recipes'!$H$6:$H$1005,MATCH(J792,'Crafting recipes'!$A$6:$A$1005,0)),"MISSING ID"),1)),0)=1,IF(B792=IFERROR(INDEX('Crafting recipes'!$H$6:$H$1005,MATCH(J792,'Crafting recipes'!$A$6:$A$1005,0)),"MISSING ID"),"Advances one material tier","Lower-tier ingredient; route advances one tier"),"Needs tier review"))))))</x:f>
        <x:v>Finished endpoint</x:v>
      </x:c>
      <x:c r="S792" s="4" t="str">
        <x:f>IFERROR(INDEX('Material routes'!$D$6:$D$2205,MATCH(U792,'Material routes'!$A$6:$A$2205,0)),"MISSING ID")</x:f>
        <x:v>proposal.t1.shell_lamina</x:v>
      </x:c>
      <x:c r="T792" s="4" t="str">
        <x:f>IFERROR(INDEX('Material routes'!$D$6:$D$2205,MATCH(V792,'Material routes'!$A$6:$A$2205,0)),"MISSING ID")</x:f>
        <x:v>proposal.collection.shell_chamber_ocarina</x:v>
      </x:c>
      <x:c r="U792" s="4" t="str">
        <x:v>design.collection.shell_chamber_ocarina.in.1</x:v>
      </x:c>
      <x:c r="V792" s="4" t="str">
        <x:v>design.collection.shell_chamber_ocarina.out</x:v>
      </x:c>
    </x:row>
    <x:row r="793" ht="64" customHeight="1">
      <x:c r="A793" s="4" t="str">
        <x:f>IFERROR(INDEX('Material routes'!$E$6:$E$2205,MATCH(U793,'Material routes'!$A$6:$A$2205,0)),"MISSING ID")</x:f>
        <x:v>Ceramic whistle mouthpiece</x:v>
      </x:c>
      <x:c r="B793" s="4" t="str">
        <x:f>IFERROR(INDEX('Material routes'!$F$6:$F$2205,MATCH(U793,'Material routes'!$A$6:$A$2205,0)),"MISSING ID")</x:f>
        <x:v>T2</x:v>
      </x:c>
      <x:c r="C793" s="4" t="str">
        <x:f>IFERROR(INDEX('Material routes'!$H$6:$H$2205,MATCH(U793,'Material routes'!$A$6:$A$2205,0)),"MISSING ID")</x:f>
        <x:v>Crafting component</x:v>
      </x:c>
      <x:c r="D793" s="4" t="str">
        <x:f>IFERROR(INDEX('Material routes'!$G$6:$G$2205,MATCH(U793,'Material routes'!$A$6:$A$2205,0)),"MISSING ID")</x:f>
        <x:v>Crafting components</x:v>
      </x:c>
      <x:c r="E793" s="4" t="str">
        <x:f>IFERROR(INDEX('Material routes'!$C$6:$C$2205,MATCH(U793,'Material routes'!$A$6:$A$2205,0)),"MISSING ID")</x:f>
        <x:v>Ingredient candidate</x:v>
      </x:c>
      <x:c r="F793" s="4" t="str">
        <x:f>IFERROR(INDEX('Material routes'!$E$6:$E$2205,MATCH(V793,'Material routes'!$A$6:$A$2205,0)),"MISSING ID")</x:f>
        <x:v>Shell chamber ocarina</x:v>
      </x:c>
      <x:c r="G793" s="4" t="str">
        <x:f>IFERROR(INDEX('Material routes'!$F$6:$F$2205,MATCH(V793,'Material routes'!$A$6:$A$2205,0)),"MISSING ID")</x:f>
        <x:v>Not applicable</x:v>
      </x:c>
      <x:c r="H793" s="4" t="str">
        <x:f>IFERROR(INDEX('Material routes'!$H$6:$H$2205,MATCH(V793,'Material routes'!$A$6:$A$2205,0)),"MISSING ID")</x:f>
        <x:v>Musical instrument</x:v>
      </x:c>
      <x:c r="I793" s="4" t="str">
        <x:f>IFERROR(INDEX('Material routes'!$G$6:$G$2205,MATCH(V793,'Material routes'!$A$6:$A$2205,0)),"MISSING ID")</x:f>
        <x:v>Salvage</x:v>
      </x:c>
      <x:c r="J793" s="4" t="str">
        <x:f>IFERROR(INDEX('Material routes'!$B$6:$B$2205,MATCH(U793,'Material routes'!$A$6:$A$2205,0)),"MISSING ID")</x:f>
        <x:v>design.collection.shell_chamber_ocarina</x:v>
      </x:c>
      <x:c r="K793" s="4" t="str">
        <x:f>IFERROR(INDEX('Crafting recipes'!$C$6:$C$1005,MATCH(J793,'Crafting recipes'!$A$6:$A$1005,0)),"MISSING ID")</x:f>
        <x:v>Finished-item crafting</x:v>
      </x:c>
      <x:c r="L793" s="4" t="str">
        <x:f>IFERROR(INDEX('Material routes'!$K$6:$K$2205,MATCH(U793,'Material routes'!$A$6:$A$2205,0)),"MISSING ID")</x:f>
        <x:v>Proposal</x:v>
      </x:c>
      <x:c r="M793" s="4" t="str">
        <x:f>IFERROR(INDEX('Material routes'!$M$6:$M$2205,MATCH(U793,'Material routes'!$A$6:$A$2205,0)),"MISSING ID")</x:f>
        <x:v>Partial proposal</x:v>
      </x:c>
      <x:c r="N793" s="4"/>
      <x:c r="O793" s="4" t="str">
        <x:f>IFERROR(INDEX('Material routes'!$J$6:$J$2205,MATCH(U793,'Material routes'!$A$6:$A$2205,0)),"MISSING ID")</x:f>
        <x:v>Unspecified</x:v>
      </x:c>
      <x:c r="P793" s="4"/>
      <x:c r="Q793" s="4" t="str">
        <x:f>IFERROR(INDEX('Material routes'!$J$6:$J$2205,MATCH(V793,'Material routes'!$A$6:$A$2205,0)),"MISSING ID")</x:f>
        <x:v>Unspecified</x:v>
      </x:c>
      <x:c r="R793" s="4" t="str">
        <x:f>IF(L793="Withheld","Withheld premise",IF(E793="Tool candidate","Reusable prerequisite",IF(K793="Raw entry preparation","Entry-resource preparation",IF(G793="Not applicable",IF(IFERROR(INDEX('Items'!$AI$6:$AI$1005,MATCH(T793,'Items'!$A$6:$A$1005,0)),"MISSING ID")="Finished item","Finished endpoint",IF(IFERROR(INDEX('Items'!$AI$6:$AI$1005,MATCH(T793,'Items'!$A$6:$A$1005,0)),"MISSING ID")="Currency","Currency / no refinement tier","Recovered output / tier not applicable")),IF(OR(IFERROR(INDEX('Crafting recipes'!$H$6:$H$1005,MATCH(J793,'Crafting recipes'!$A$6:$A$1005,0)),"MISSING ID")="Unassigned",G793="Unassigned"),"Tier unresolved",IF(IFERROR(VALUE(RIGHT(G793,1))-VALUE(RIGHT(IFERROR(INDEX('Crafting recipes'!$H$6:$H$1005,MATCH(J793,'Crafting recipes'!$A$6:$A$1005,0)),"MISSING ID"),1)),0)=1,IF(B793=IFERROR(INDEX('Crafting recipes'!$H$6:$H$1005,MATCH(J793,'Crafting recipes'!$A$6:$A$1005,0)),"MISSING ID"),"Advances one material tier","Lower-tier ingredient; route advances one tier"),"Needs tier review"))))))</x:f>
        <x:v>Finished endpoint</x:v>
      </x:c>
      <x:c r="S793" s="4" t="str">
        <x:f>IFERROR(INDEX('Material routes'!$D$6:$D$2205,MATCH(U793,'Material routes'!$A$6:$A$2205,0)),"MISSING ID")</x:f>
        <x:v>proposal.audit.ceramic_whistle_mouthpiece</x:v>
      </x:c>
      <x:c r="T793" s="4" t="str">
        <x:f>IFERROR(INDEX('Material routes'!$D$6:$D$2205,MATCH(V793,'Material routes'!$A$6:$A$2205,0)),"MISSING ID")</x:f>
        <x:v>proposal.collection.shell_chamber_ocarina</x:v>
      </x:c>
      <x:c r="U793" s="4" t="str">
        <x:v>design.collection.shell_chamber_ocarina.in.2</x:v>
      </x:c>
      <x:c r="V793" s="4" t="str">
        <x:v>design.collection.shell_chamber_ocarina.out</x:v>
      </x:c>
    </x:row>
    <x:row r="794" ht="64" customHeight="1">
      <x:c r="A794" s="4" t="str">
        <x:f>IFERROR(INDEX('Material routes'!$E$6:$E$2205,MATCH(U794,'Material routes'!$A$6:$A$2205,0)),"MISSING ID")</x:f>
        <x:v>Drawn bronze strip stock</x:v>
      </x:c>
      <x:c r="B794" s="4" t="str">
        <x:f>IFERROR(INDEX('Material routes'!$F$6:$F$2205,MATCH(U794,'Material routes'!$A$6:$A$2205,0)),"MISSING ID")</x:f>
        <x:v>T2</x:v>
      </x:c>
      <x:c r="C794" s="4" t="str">
        <x:f>IFERROR(INDEX('Material routes'!$H$6:$H$2205,MATCH(U794,'Material routes'!$A$6:$A$2205,0)),"MISSING ID")</x:f>
        <x:v>Processed material</x:v>
      </x:c>
      <x:c r="D794" s="4" t="str">
        <x:f>IFERROR(INDEX('Material routes'!$G$6:$G$2205,MATCH(U794,'Material routes'!$A$6:$A$2205,0)),"MISSING ID")</x:f>
        <x:v>Manufactured stock</x:v>
      </x:c>
      <x:c r="E794" s="4" t="str">
        <x:f>IFERROR(INDEX('Material routes'!$C$6:$C$2205,MATCH(U794,'Material routes'!$A$6:$A$2205,0)),"MISSING ID")</x:f>
        <x:v>Ingredient candidate</x:v>
      </x:c>
      <x:c r="F794" s="4" t="str">
        <x:f>IFERROR(INDEX('Material routes'!$E$6:$E$2205,MATCH(V794,'Material routes'!$A$6:$A$2205,0)),"MISSING ID")</x:f>
        <x:v>Bronze lip horn</x:v>
      </x:c>
      <x:c r="G794" s="4" t="str">
        <x:f>IFERROR(INDEX('Material routes'!$F$6:$F$2205,MATCH(V794,'Material routes'!$A$6:$A$2205,0)),"MISSING ID")</x:f>
        <x:v>Not applicable</x:v>
      </x:c>
      <x:c r="H794" s="4" t="str">
        <x:f>IFERROR(INDEX('Material routes'!$H$6:$H$2205,MATCH(V794,'Material routes'!$A$6:$A$2205,0)),"MISSING ID")</x:f>
        <x:v>Musical instrument</x:v>
      </x:c>
      <x:c r="I794" s="4" t="str">
        <x:f>IFERROR(INDEX('Material routes'!$G$6:$G$2205,MATCH(V794,'Material routes'!$A$6:$A$2205,0)),"MISSING ID")</x:f>
        <x:v>Salvage</x:v>
      </x:c>
      <x:c r="J794" s="4" t="str">
        <x:f>IFERROR(INDEX('Material routes'!$B$6:$B$2205,MATCH(U794,'Material routes'!$A$6:$A$2205,0)),"MISSING ID")</x:f>
        <x:v>design.collection.bronze_lip_horn</x:v>
      </x:c>
      <x:c r="K794" s="4" t="str">
        <x:f>IFERROR(INDEX('Crafting recipes'!$C$6:$C$1005,MATCH(J794,'Crafting recipes'!$A$6:$A$1005,0)),"MISSING ID")</x:f>
        <x:v>Finished-item crafting</x:v>
      </x:c>
      <x:c r="L794" s="4" t="str">
        <x:f>IFERROR(INDEX('Material routes'!$K$6:$K$2205,MATCH(U794,'Material routes'!$A$6:$A$2205,0)),"MISSING ID")</x:f>
        <x:v>Proposal</x:v>
      </x:c>
      <x:c r="M794" s="4" t="str">
        <x:f>IFERROR(INDEX('Material routes'!$M$6:$M$2205,MATCH(U794,'Material routes'!$A$6:$A$2205,0)),"MISSING ID")</x:f>
        <x:v>Partial proposal</x:v>
      </x:c>
      <x:c r="N794" s="4"/>
      <x:c r="O794" s="4" t="str">
        <x:f>IFERROR(INDEX('Material routes'!$J$6:$J$2205,MATCH(U794,'Material routes'!$A$6:$A$2205,0)),"MISSING ID")</x:f>
        <x:v>Unspecified</x:v>
      </x:c>
      <x:c r="P794" s="4"/>
      <x:c r="Q794" s="4" t="str">
        <x:f>IFERROR(INDEX('Material routes'!$J$6:$J$2205,MATCH(V794,'Material routes'!$A$6:$A$2205,0)),"MISSING ID")</x:f>
        <x:v>Unspecified</x:v>
      </x:c>
      <x:c r="R794" s="4" t="str">
        <x:f>IF(L794="Withheld","Withheld premise",IF(E794="Tool candidate","Reusable prerequisite",IF(K794="Raw entry preparation","Entry-resource preparation",IF(G794="Not applicable",IF(IFERROR(INDEX('Items'!$AI$6:$AI$1005,MATCH(T794,'Items'!$A$6:$A$1005,0)),"MISSING ID")="Finished item","Finished endpoint",IF(IFERROR(INDEX('Items'!$AI$6:$AI$1005,MATCH(T794,'Items'!$A$6:$A$1005,0)),"MISSING ID")="Currency","Currency / no refinement tier","Recovered output / tier not applicable")),IF(OR(IFERROR(INDEX('Crafting recipes'!$H$6:$H$1005,MATCH(J794,'Crafting recipes'!$A$6:$A$1005,0)),"MISSING ID")="Unassigned",G794="Unassigned"),"Tier unresolved",IF(IFERROR(VALUE(RIGHT(G794,1))-VALUE(RIGHT(IFERROR(INDEX('Crafting recipes'!$H$6:$H$1005,MATCH(J794,'Crafting recipes'!$A$6:$A$1005,0)),"MISSING ID"),1)),0)=1,IF(B794=IFERROR(INDEX('Crafting recipes'!$H$6:$H$1005,MATCH(J794,'Crafting recipes'!$A$6:$A$1005,0)),"MISSING ID"),"Advances one material tier","Lower-tier ingredient; route advances one tier"),"Needs tier review"))))))</x:f>
        <x:v>Finished endpoint</x:v>
      </x:c>
      <x:c r="S794" s="4" t="str">
        <x:f>IFERROR(INDEX('Material routes'!$D$6:$D$2205,MATCH(U794,'Material routes'!$A$6:$A$2205,0)),"MISSING ID")</x:f>
        <x:v>proposal.collection.drawn_bronze_strip_stock</x:v>
      </x:c>
      <x:c r="T794" s="4" t="str">
        <x:f>IFERROR(INDEX('Material routes'!$D$6:$D$2205,MATCH(V794,'Material routes'!$A$6:$A$2205,0)),"MISSING ID")</x:f>
        <x:v>proposal.collection.bronze_lip_horn</x:v>
      </x:c>
      <x:c r="U794" s="4" t="str">
        <x:v>design.collection.bronze_lip_horn.in.1</x:v>
      </x:c>
      <x:c r="V794" s="4" t="str">
        <x:v>design.collection.bronze_lip_horn.out</x:v>
      </x:c>
    </x:row>
    <x:row r="795" ht="64" customHeight="1">
      <x:c r="A795" s="4" t="str">
        <x:f>IFERROR(INDEX('Material routes'!$E$6:$E$2205,MATCH(U795,'Material routes'!$A$6:$A$2205,0)),"MISSING ID")</x:f>
        <x:v>Spring-grade steel stock</x:v>
      </x:c>
      <x:c r="B795" s="4" t="str">
        <x:f>IFERROR(INDEX('Material routes'!$F$6:$F$2205,MATCH(U795,'Material routes'!$A$6:$A$2205,0)),"MISSING ID")</x:f>
        <x:v>T3</x:v>
      </x:c>
      <x:c r="C795" s="4" t="str">
        <x:f>IFERROR(INDEX('Material routes'!$H$6:$H$2205,MATCH(U795,'Material routes'!$A$6:$A$2205,0)),"MISSING ID")</x:f>
        <x:v>Processed material</x:v>
      </x:c>
      <x:c r="D795" s="4" t="str">
        <x:f>IFERROR(INDEX('Material routes'!$G$6:$G$2205,MATCH(U795,'Material routes'!$A$6:$A$2205,0)),"MISSING ID")</x:f>
        <x:v>Manufactured stock</x:v>
      </x:c>
      <x:c r="E795" s="4" t="str">
        <x:f>IFERROR(INDEX('Material routes'!$C$6:$C$2205,MATCH(U795,'Material routes'!$A$6:$A$2205,0)),"MISSING ID")</x:f>
        <x:v>Ingredient candidate</x:v>
      </x:c>
      <x:c r="F795" s="4" t="str">
        <x:f>IFERROR(INDEX('Material routes'!$E$6:$E$2205,MATCH(V795,'Material routes'!$A$6:$A$2205,0)),"MISSING ID")</x:f>
        <x:v>Metal free-reed mouth organ</x:v>
      </x:c>
      <x:c r="G795" s="4" t="str">
        <x:f>IFERROR(INDEX('Material routes'!$F$6:$F$2205,MATCH(V795,'Material routes'!$A$6:$A$2205,0)),"MISSING ID")</x:f>
        <x:v>Not applicable</x:v>
      </x:c>
      <x:c r="H795" s="4" t="str">
        <x:f>IFERROR(INDEX('Material routes'!$H$6:$H$2205,MATCH(V795,'Material routes'!$A$6:$A$2205,0)),"MISSING ID")</x:f>
        <x:v>Musical instrument</x:v>
      </x:c>
      <x:c r="I795" s="4" t="str">
        <x:f>IFERROR(INDEX('Material routes'!$G$6:$G$2205,MATCH(V795,'Material routes'!$A$6:$A$2205,0)),"MISSING ID")</x:f>
        <x:v>Salvage</x:v>
      </x:c>
      <x:c r="J795" s="4" t="str">
        <x:f>IFERROR(INDEX('Material routes'!$B$6:$B$2205,MATCH(U795,'Material routes'!$A$6:$A$2205,0)),"MISSING ID")</x:f>
        <x:v>design.collection.metal_free_reed_mouth_organ</x:v>
      </x:c>
      <x:c r="K795" s="4" t="str">
        <x:f>IFERROR(INDEX('Crafting recipes'!$C$6:$C$1005,MATCH(J795,'Crafting recipes'!$A$6:$A$1005,0)),"MISSING ID")</x:f>
        <x:v>Finished-item crafting</x:v>
      </x:c>
      <x:c r="L795" s="4" t="str">
        <x:f>IFERROR(INDEX('Material routes'!$K$6:$K$2205,MATCH(U795,'Material routes'!$A$6:$A$2205,0)),"MISSING ID")</x:f>
        <x:v>Proposal</x:v>
      </x:c>
      <x:c r="M795" s="4" t="str">
        <x:f>IFERROR(INDEX('Material routes'!$M$6:$M$2205,MATCH(U795,'Material routes'!$A$6:$A$2205,0)),"MISSING ID")</x:f>
        <x:v>Partial proposal</x:v>
      </x:c>
      <x:c r="N795" s="4"/>
      <x:c r="O795" s="4" t="str">
        <x:f>IFERROR(INDEX('Material routes'!$J$6:$J$2205,MATCH(U795,'Material routes'!$A$6:$A$2205,0)),"MISSING ID")</x:f>
        <x:v>Unspecified</x:v>
      </x:c>
      <x:c r="P795" s="4"/>
      <x:c r="Q795" s="4" t="str">
        <x:f>IFERROR(INDEX('Material routes'!$J$6:$J$2205,MATCH(V795,'Material routes'!$A$6:$A$2205,0)),"MISSING ID")</x:f>
        <x:v>Unspecified</x:v>
      </x:c>
      <x:c r="R795" s="4" t="str">
        <x:f>IF(L795="Withheld","Withheld premise",IF(E795="Tool candidate","Reusable prerequisite",IF(K795="Raw entry preparation","Entry-resource preparation",IF(G795="Not applicable",IF(IFERROR(INDEX('Items'!$AI$6:$AI$1005,MATCH(T795,'Items'!$A$6:$A$1005,0)),"MISSING ID")="Finished item","Finished endpoint",IF(IFERROR(INDEX('Items'!$AI$6:$AI$1005,MATCH(T795,'Items'!$A$6:$A$1005,0)),"MISSING ID")="Currency","Currency / no refinement tier","Recovered output / tier not applicable")),IF(OR(IFERROR(INDEX('Crafting recipes'!$H$6:$H$1005,MATCH(J795,'Crafting recipes'!$A$6:$A$1005,0)),"MISSING ID")="Unassigned",G795="Unassigned"),"Tier unresolved",IF(IFERROR(VALUE(RIGHT(G795,1))-VALUE(RIGHT(IFERROR(INDEX('Crafting recipes'!$H$6:$H$1005,MATCH(J795,'Crafting recipes'!$A$6:$A$1005,0)),"MISSING ID"),1)),0)=1,IF(B795=IFERROR(INDEX('Crafting recipes'!$H$6:$H$1005,MATCH(J795,'Crafting recipes'!$A$6:$A$1005,0)),"MISSING ID"),"Advances one material tier","Lower-tier ingredient; route advances one tier"),"Needs tier review"))))))</x:f>
        <x:v>Finished endpoint</x:v>
      </x:c>
      <x:c r="S795" s="4" t="str">
        <x:f>IFERROR(INDEX('Material routes'!$D$6:$D$2205,MATCH(U795,'Material routes'!$A$6:$A$2205,0)),"MISSING ID")</x:f>
        <x:v>proposal.branch.spring_steel</x:v>
      </x:c>
      <x:c r="T795" s="4" t="str">
        <x:f>IFERROR(INDEX('Material routes'!$D$6:$D$2205,MATCH(V795,'Material routes'!$A$6:$A$2205,0)),"MISSING ID")</x:f>
        <x:v>proposal.collection.metal_free_reed_mouth_organ</x:v>
      </x:c>
      <x:c r="U795" s="4" t="str">
        <x:v>design.collection.metal_free_reed_mouth_organ.in.1</x:v>
      </x:c>
      <x:c r="V795" s="4" t="str">
        <x:v>design.collection.metal_free_reed_mouth_organ.out</x:v>
      </x:c>
    </x:row>
    <x:row r="796" ht="64" customHeight="1">
      <x:c r="A796" s="4" t="str">
        <x:f>IFERROR(INDEX('Material routes'!$E$6:$E$2205,MATCH(U796,'Material routes'!$A$6:$A$2205,0)),"MISSING ID")</x:f>
        <x:v>Annealed iron sheet stock</x:v>
      </x:c>
      <x:c r="B796" s="4" t="str">
        <x:f>IFERROR(INDEX('Material routes'!$F$6:$F$2205,MATCH(U796,'Material routes'!$A$6:$A$2205,0)),"MISSING ID")</x:f>
        <x:v>T3</x:v>
      </x:c>
      <x:c r="C796" s="4" t="str">
        <x:f>IFERROR(INDEX('Material routes'!$H$6:$H$2205,MATCH(U796,'Material routes'!$A$6:$A$2205,0)),"MISSING ID")</x:f>
        <x:v>Processed material</x:v>
      </x:c>
      <x:c r="D796" s="4" t="str">
        <x:f>IFERROR(INDEX('Material routes'!$G$6:$G$2205,MATCH(U796,'Material routes'!$A$6:$A$2205,0)),"MISSING ID")</x:f>
        <x:v>Manufactured stock</x:v>
      </x:c>
      <x:c r="E796" s="4" t="str">
        <x:f>IFERROR(INDEX('Material routes'!$C$6:$C$2205,MATCH(U796,'Material routes'!$A$6:$A$2205,0)),"MISSING ID")</x:f>
        <x:v>Ingredient candidate</x:v>
      </x:c>
      <x:c r="F796" s="4" t="str">
        <x:f>IFERROR(INDEX('Material routes'!$E$6:$E$2205,MATCH(V796,'Material routes'!$A$6:$A$2205,0)),"MISSING ID")</x:f>
        <x:v>Metal free-reed mouth organ</x:v>
      </x:c>
      <x:c r="G796" s="4" t="str">
        <x:f>IFERROR(INDEX('Material routes'!$F$6:$F$2205,MATCH(V796,'Material routes'!$A$6:$A$2205,0)),"MISSING ID")</x:f>
        <x:v>Not applicable</x:v>
      </x:c>
      <x:c r="H796" s="4" t="str">
        <x:f>IFERROR(INDEX('Material routes'!$H$6:$H$2205,MATCH(V796,'Material routes'!$A$6:$A$2205,0)),"MISSING ID")</x:f>
        <x:v>Musical instrument</x:v>
      </x:c>
      <x:c r="I796" s="4" t="str">
        <x:f>IFERROR(INDEX('Material routes'!$G$6:$G$2205,MATCH(V796,'Material routes'!$A$6:$A$2205,0)),"MISSING ID")</x:f>
        <x:v>Salvage</x:v>
      </x:c>
      <x:c r="J796" s="4" t="str">
        <x:f>IFERROR(INDEX('Material routes'!$B$6:$B$2205,MATCH(U796,'Material routes'!$A$6:$A$2205,0)),"MISSING ID")</x:f>
        <x:v>design.collection.metal_free_reed_mouth_organ</x:v>
      </x:c>
      <x:c r="K796" s="4" t="str">
        <x:f>IFERROR(INDEX('Crafting recipes'!$C$6:$C$1005,MATCH(J796,'Crafting recipes'!$A$6:$A$1005,0)),"MISSING ID")</x:f>
        <x:v>Finished-item crafting</x:v>
      </x:c>
      <x:c r="L796" s="4" t="str">
        <x:f>IFERROR(INDEX('Material routes'!$K$6:$K$2205,MATCH(U796,'Material routes'!$A$6:$A$2205,0)),"MISSING ID")</x:f>
        <x:v>Proposal</x:v>
      </x:c>
      <x:c r="M796" s="4" t="str">
        <x:f>IFERROR(INDEX('Material routes'!$M$6:$M$2205,MATCH(U796,'Material routes'!$A$6:$A$2205,0)),"MISSING ID")</x:f>
        <x:v>Partial proposal</x:v>
      </x:c>
      <x:c r="N796" s="4"/>
      <x:c r="O796" s="4" t="str">
        <x:f>IFERROR(INDEX('Material routes'!$J$6:$J$2205,MATCH(U796,'Material routes'!$A$6:$A$2205,0)),"MISSING ID")</x:f>
        <x:v>Unspecified</x:v>
      </x:c>
      <x:c r="P796" s="4"/>
      <x:c r="Q796" s="4" t="str">
        <x:f>IFERROR(INDEX('Material routes'!$J$6:$J$2205,MATCH(V796,'Material routes'!$A$6:$A$2205,0)),"MISSING ID")</x:f>
        <x:v>Unspecified</x:v>
      </x:c>
      <x:c r="R796" s="4" t="str">
        <x:f>IF(L796="Withheld","Withheld premise",IF(E796="Tool candidate","Reusable prerequisite",IF(K796="Raw entry preparation","Entry-resource preparation",IF(G796="Not applicable",IF(IFERROR(INDEX('Items'!$AI$6:$AI$1005,MATCH(T796,'Items'!$A$6:$A$1005,0)),"MISSING ID")="Finished item","Finished endpoint",IF(IFERROR(INDEX('Items'!$AI$6:$AI$1005,MATCH(T796,'Items'!$A$6:$A$1005,0)),"MISSING ID")="Currency","Currency / no refinement tier","Recovered output / tier not applicable")),IF(OR(IFERROR(INDEX('Crafting recipes'!$H$6:$H$1005,MATCH(J796,'Crafting recipes'!$A$6:$A$1005,0)),"MISSING ID")="Unassigned",G796="Unassigned"),"Tier unresolved",IF(IFERROR(VALUE(RIGHT(G796,1))-VALUE(RIGHT(IFERROR(INDEX('Crafting recipes'!$H$6:$H$1005,MATCH(J796,'Crafting recipes'!$A$6:$A$1005,0)),"MISSING ID"),1)),0)=1,IF(B796=IFERROR(INDEX('Crafting recipes'!$H$6:$H$1005,MATCH(J796,'Crafting recipes'!$A$6:$A$1005,0)),"MISSING ID"),"Advances one material tier","Lower-tier ingredient; route advances one tier"),"Needs tier review"))))))</x:f>
        <x:v>Finished endpoint</x:v>
      </x:c>
      <x:c r="S796" s="4" t="str">
        <x:f>IFERROR(INDEX('Material routes'!$D$6:$D$2205,MATCH(U796,'Material routes'!$A$6:$A$2205,0)),"MISSING ID")</x:f>
        <x:v>proposal.collection.annealed_iron_sheet_stock</x:v>
      </x:c>
      <x:c r="T796" s="4" t="str">
        <x:f>IFERROR(INDEX('Material routes'!$D$6:$D$2205,MATCH(V796,'Material routes'!$A$6:$A$2205,0)),"MISSING ID")</x:f>
        <x:v>proposal.collection.metal_free_reed_mouth_organ</x:v>
      </x:c>
      <x:c r="U796" s="4" t="str">
        <x:v>design.collection.metal_free_reed_mouth_organ.in.2</x:v>
      </x:c>
      <x:c r="V796" s="4" t="str">
        <x:v>design.collection.metal_free_reed_mouth_organ.out</x:v>
      </x:c>
    </x:row>
    <x:row r="797" ht="64" customHeight="1">
      <x:c r="A797" s="4"/>
      <x:c r="B797" s="4"/>
      <x:c r="C797" s="4"/>
      <x:c r="D797" s="4"/>
      <x:c r="E797" s="4"/>
      <x:c r="F797" s="4"/>
      <x:c r="G797" s="4"/>
      <x:c r="H797" s="4"/>
      <x:c r="I797" s="4"/>
      <x:c r="J797" s="4"/>
      <x:c r="K797" s="4"/>
      <x:c r="L797" s="4"/>
      <x:c r="M797" s="4"/>
      <x:c r="N797" s="4"/>
      <x:c r="O797" s="4"/>
      <x:c r="P797" s="4"/>
      <x:c r="Q797" s="4"/>
      <x:c r="R797" s="4"/>
      <x:c r="S797" s="4"/>
      <x:c r="T797" s="4"/>
      <x:c r="U797" s="4"/>
      <x:c r="V797" s="4"/>
    </x:row>
    <x:row r="798" ht="64" customHeight="1">
      <x:c r="A798" s="4"/>
      <x:c r="B798" s="4"/>
      <x:c r="C798" s="4"/>
      <x:c r="D798" s="4"/>
      <x:c r="E798" s="4"/>
      <x:c r="F798" s="4"/>
      <x:c r="G798" s="4"/>
      <x:c r="H798" s="4"/>
      <x:c r="I798" s="4"/>
      <x:c r="J798" s="4"/>
      <x:c r="K798" s="4"/>
      <x:c r="L798" s="4"/>
      <x:c r="M798" s="4"/>
      <x:c r="N798" s="4"/>
      <x:c r="O798" s="4"/>
      <x:c r="P798" s="4"/>
      <x:c r="Q798" s="4"/>
      <x:c r="R798" s="4"/>
      <x:c r="S798" s="4"/>
      <x:c r="T798" s="4"/>
      <x:c r="U798" s="4"/>
      <x:c r="V798" s="4"/>
    </x:row>
    <x:row r="799" ht="64" customHeight="1">
      <x:c r="A799" s="4"/>
      <x:c r="B799" s="4"/>
      <x:c r="C799" s="4"/>
      <x:c r="D799" s="4"/>
      <x:c r="E799" s="4"/>
      <x:c r="F799" s="4"/>
      <x:c r="G799" s="4"/>
      <x:c r="H799" s="4"/>
      <x:c r="I799" s="4"/>
      <x:c r="J799" s="4"/>
      <x:c r="K799" s="4"/>
      <x:c r="L799" s="4"/>
      <x:c r="M799" s="4"/>
      <x:c r="N799" s="4"/>
      <x:c r="O799" s="4"/>
      <x:c r="P799" s="4"/>
      <x:c r="Q799" s="4"/>
      <x:c r="R799" s="4"/>
      <x:c r="S799" s="4"/>
      <x:c r="T799" s="4"/>
      <x:c r="U799" s="4"/>
      <x:c r="V799" s="4"/>
    </x:row>
    <x:row r="800" ht="64" customHeight="1">
      <x:c r="A800" s="4"/>
      <x:c r="B800" s="4"/>
      <x:c r="C800" s="4"/>
      <x:c r="D800" s="4"/>
      <x:c r="E800" s="4"/>
      <x:c r="F800" s="4"/>
      <x:c r="G800" s="4"/>
      <x:c r="H800" s="4"/>
      <x:c r="I800" s="4"/>
      <x:c r="J800" s="4"/>
      <x:c r="K800" s="4"/>
      <x:c r="L800" s="4"/>
      <x:c r="M800" s="4"/>
      <x:c r="N800" s="4"/>
      <x:c r="O800" s="4"/>
      <x:c r="P800" s="4"/>
      <x:c r="Q800" s="4"/>
      <x:c r="R800" s="4"/>
      <x:c r="S800" s="4"/>
      <x:c r="T800" s="4"/>
      <x:c r="U800" s="4"/>
      <x:c r="V800" s="4"/>
    </x:row>
    <x:row r="801" ht="64" customHeight="1">
      <x:c r="A801" s="4" t="str">
        <x:f>IFERROR(INDEX('Material routes'!$E$6:$E$2205,MATCH(U801,'Material routes'!$A$6:$A$2205,0)),"MISSING ID")</x:f>
        <x:v>Spring-grade steel stock</x:v>
      </x:c>
      <x:c r="B801" s="4" t="str">
        <x:f>IFERROR(INDEX('Material routes'!$F$6:$F$2205,MATCH(U801,'Material routes'!$A$6:$A$2205,0)),"MISSING ID")</x:f>
        <x:v>T3</x:v>
      </x:c>
      <x:c r="C801" s="4" t="str">
        <x:f>IFERROR(INDEX('Material routes'!$H$6:$H$2205,MATCH(U801,'Material routes'!$A$6:$A$2205,0)),"MISSING ID")</x:f>
        <x:v>Processed material</x:v>
      </x:c>
      <x:c r="D801" s="4" t="str">
        <x:f>IFERROR(INDEX('Material routes'!$G$6:$G$2205,MATCH(U801,'Material routes'!$A$6:$A$2205,0)),"MISSING ID")</x:f>
        <x:v>Manufactured stock</x:v>
      </x:c>
      <x:c r="E801" s="4" t="str">
        <x:f>IFERROR(INDEX('Material routes'!$C$6:$C$2205,MATCH(U801,'Material routes'!$A$6:$A$2205,0)),"MISSING ID")</x:f>
        <x:v>Ingredient candidate</x:v>
      </x:c>
      <x:c r="F801" s="4" t="str">
        <x:f>IFERROR(INDEX('Material routes'!$E$6:$E$2205,MATCH(V801,'Material routes'!$A$6:$A$2205,0)),"MISSING ID")</x:f>
        <x:v>Steel jaw harp</x:v>
      </x:c>
      <x:c r="G801" s="4" t="str">
        <x:f>IFERROR(INDEX('Material routes'!$F$6:$F$2205,MATCH(V801,'Material routes'!$A$6:$A$2205,0)),"MISSING ID")</x:f>
        <x:v>Not applicable</x:v>
      </x:c>
      <x:c r="H801" s="4" t="str">
        <x:f>IFERROR(INDEX('Material routes'!$H$6:$H$2205,MATCH(V801,'Material routes'!$A$6:$A$2205,0)),"MISSING ID")</x:f>
        <x:v>Musical instrument</x:v>
      </x:c>
      <x:c r="I801" s="4" t="str">
        <x:f>IFERROR(INDEX('Material routes'!$G$6:$G$2205,MATCH(V801,'Material routes'!$A$6:$A$2205,0)),"MISSING ID")</x:f>
        <x:v>Salvage</x:v>
      </x:c>
      <x:c r="J801" s="4" t="str">
        <x:f>IFERROR(INDEX('Material routes'!$B$6:$B$2205,MATCH(U801,'Material routes'!$A$6:$A$2205,0)),"MISSING ID")</x:f>
        <x:v>design.collection.steel_jaw_harp</x:v>
      </x:c>
      <x:c r="K801" s="4" t="str">
        <x:f>IFERROR(INDEX('Crafting recipes'!$C$6:$C$1005,MATCH(J801,'Crafting recipes'!$A$6:$A$1005,0)),"MISSING ID")</x:f>
        <x:v>Finished-item crafting</x:v>
      </x:c>
      <x:c r="L801" s="4" t="str">
        <x:f>IFERROR(INDEX('Material routes'!$K$6:$K$2205,MATCH(U801,'Material routes'!$A$6:$A$2205,0)),"MISSING ID")</x:f>
        <x:v>Proposal</x:v>
      </x:c>
      <x:c r="M801" s="4" t="str">
        <x:f>IFERROR(INDEX('Material routes'!$M$6:$M$2205,MATCH(U801,'Material routes'!$A$6:$A$2205,0)),"MISSING ID")</x:f>
        <x:v>Partial proposal</x:v>
      </x:c>
      <x:c r="N801" s="4"/>
      <x:c r="O801" s="4" t="str">
        <x:f>IFERROR(INDEX('Material routes'!$J$6:$J$2205,MATCH(U801,'Material routes'!$A$6:$A$2205,0)),"MISSING ID")</x:f>
        <x:v>Unspecified</x:v>
      </x:c>
      <x:c r="P801" s="4"/>
      <x:c r="Q801" s="4" t="str">
        <x:f>IFERROR(INDEX('Material routes'!$J$6:$J$2205,MATCH(V801,'Material routes'!$A$6:$A$2205,0)),"MISSING ID")</x:f>
        <x:v>Unspecified</x:v>
      </x:c>
      <x:c r="R801" s="4" t="str">
        <x:f>IF(L801="Withheld","Withheld premise",IF(E801="Tool candidate","Reusable prerequisite",IF(K801="Raw entry preparation","Entry-resource preparation",IF(G801="Not applicable",IF(IFERROR(INDEX('Items'!$AI$6:$AI$1005,MATCH(T801,'Items'!$A$6:$A$1005,0)),"MISSING ID")="Finished item","Finished endpoint",IF(IFERROR(INDEX('Items'!$AI$6:$AI$1005,MATCH(T801,'Items'!$A$6:$A$1005,0)),"MISSING ID")="Currency","Currency / no refinement tier","Recovered output / tier not applicable")),IF(OR(IFERROR(INDEX('Crafting recipes'!$H$6:$H$1005,MATCH(J801,'Crafting recipes'!$A$6:$A$1005,0)),"MISSING ID")="Unassigned",G801="Unassigned"),"Tier unresolved",IF(IFERROR(VALUE(RIGHT(G801,1))-VALUE(RIGHT(IFERROR(INDEX('Crafting recipes'!$H$6:$H$1005,MATCH(J801,'Crafting recipes'!$A$6:$A$1005,0)),"MISSING ID"),1)),0)=1,IF(B801=IFERROR(INDEX('Crafting recipes'!$H$6:$H$1005,MATCH(J801,'Crafting recipes'!$A$6:$A$1005,0)),"MISSING ID"),"Advances one material tier","Lower-tier ingredient; route advances one tier"),"Needs tier review"))))))</x:f>
        <x:v>Finished endpoint</x:v>
      </x:c>
      <x:c r="S801" s="4" t="str">
        <x:f>IFERROR(INDEX('Material routes'!$D$6:$D$2205,MATCH(U801,'Material routes'!$A$6:$A$2205,0)),"MISSING ID")</x:f>
        <x:v>proposal.branch.spring_steel</x:v>
      </x:c>
      <x:c r="T801" s="4" t="str">
        <x:f>IFERROR(INDEX('Material routes'!$D$6:$D$2205,MATCH(V801,'Material routes'!$A$6:$A$2205,0)),"MISSING ID")</x:f>
        <x:v>proposal.collection.steel_jaw_harp</x:v>
      </x:c>
      <x:c r="U801" s="4" t="str">
        <x:v>design.collection.steel_jaw_harp.in.1</x:v>
      </x:c>
      <x:c r="V801" s="4" t="str">
        <x:v>design.collection.steel_jaw_harp.out</x:v>
      </x:c>
    </x:row>
    <x:row r="802" ht="64" customHeight="1">
      <x:c r="A802" s="4" t="str">
        <x:f>IFERROR(INDEX('Material routes'!$E$6:$E$2205,MATCH(U802,'Material routes'!$A$6:$A$2205,0)),"MISSING ID")</x:f>
        <x:v>Worked iron stock</x:v>
      </x:c>
      <x:c r="B802" s="4" t="str">
        <x:f>IFERROR(INDEX('Material routes'!$F$6:$F$2205,MATCH(U802,'Material routes'!$A$6:$A$2205,0)),"MISSING ID")</x:f>
        <x:v>T2</x:v>
      </x:c>
      <x:c r="C802" s="4" t="str">
        <x:f>IFERROR(INDEX('Material routes'!$H$6:$H$2205,MATCH(U802,'Material routes'!$A$6:$A$2205,0)),"MISSING ID")</x:f>
        <x:v>Processed material</x:v>
      </x:c>
      <x:c r="D802" s="4" t="str">
        <x:f>IFERROR(INDEX('Material routes'!$G$6:$G$2205,MATCH(U802,'Material routes'!$A$6:$A$2205,0)),"MISSING ID")</x:f>
        <x:v>Manufactured stock</x:v>
      </x:c>
      <x:c r="E802" s="4" t="str">
        <x:f>IFERROR(INDEX('Material routes'!$C$6:$C$2205,MATCH(U802,'Material routes'!$A$6:$A$2205,0)),"MISSING ID")</x:f>
        <x:v>Ingredient candidate</x:v>
      </x:c>
      <x:c r="F802" s="4" t="str">
        <x:f>IFERROR(INDEX('Material routes'!$E$6:$E$2205,MATCH(V802,'Material routes'!$A$6:$A$2205,0)),"MISSING ID")</x:f>
        <x:v>Steel jaw harp</x:v>
      </x:c>
      <x:c r="G802" s="4" t="str">
        <x:f>IFERROR(INDEX('Material routes'!$F$6:$F$2205,MATCH(V802,'Material routes'!$A$6:$A$2205,0)),"MISSING ID")</x:f>
        <x:v>Not applicable</x:v>
      </x:c>
      <x:c r="H802" s="4" t="str">
        <x:f>IFERROR(INDEX('Material routes'!$H$6:$H$2205,MATCH(V802,'Material routes'!$A$6:$A$2205,0)),"MISSING ID")</x:f>
        <x:v>Musical instrument</x:v>
      </x:c>
      <x:c r="I802" s="4" t="str">
        <x:f>IFERROR(INDEX('Material routes'!$G$6:$G$2205,MATCH(V802,'Material routes'!$A$6:$A$2205,0)),"MISSING ID")</x:f>
        <x:v>Salvage</x:v>
      </x:c>
      <x:c r="J802" s="4" t="str">
        <x:f>IFERROR(INDEX('Material routes'!$B$6:$B$2205,MATCH(U802,'Material routes'!$A$6:$A$2205,0)),"MISSING ID")</x:f>
        <x:v>design.collection.steel_jaw_harp</x:v>
      </x:c>
      <x:c r="K802" s="4" t="str">
        <x:f>IFERROR(INDEX('Crafting recipes'!$C$6:$C$1005,MATCH(J802,'Crafting recipes'!$A$6:$A$1005,0)),"MISSING ID")</x:f>
        <x:v>Finished-item crafting</x:v>
      </x:c>
      <x:c r="L802" s="4" t="str">
        <x:f>IFERROR(INDEX('Material routes'!$K$6:$K$2205,MATCH(U802,'Material routes'!$A$6:$A$2205,0)),"MISSING ID")</x:f>
        <x:v>Proposal</x:v>
      </x:c>
      <x:c r="M802" s="4" t="str">
        <x:f>IFERROR(INDEX('Material routes'!$M$6:$M$2205,MATCH(U802,'Material routes'!$A$6:$A$2205,0)),"MISSING ID")</x:f>
        <x:v>Partial proposal</x:v>
      </x:c>
      <x:c r="N802" s="4"/>
      <x:c r="O802" s="4" t="str">
        <x:f>IFERROR(INDEX('Material routes'!$J$6:$J$2205,MATCH(U802,'Material routes'!$A$6:$A$2205,0)),"MISSING ID")</x:f>
        <x:v>Unspecified</x:v>
      </x:c>
      <x:c r="P802" s="4"/>
      <x:c r="Q802" s="4" t="str">
        <x:f>IFERROR(INDEX('Material routes'!$J$6:$J$2205,MATCH(V802,'Material routes'!$A$6:$A$2205,0)),"MISSING ID")</x:f>
        <x:v>Unspecified</x:v>
      </x:c>
      <x:c r="R802" s="4" t="str">
        <x:f>IF(L802="Withheld","Withheld premise",IF(E802="Tool candidate","Reusable prerequisite",IF(K802="Raw entry preparation","Entry-resource preparation",IF(G802="Not applicable",IF(IFERROR(INDEX('Items'!$AI$6:$AI$1005,MATCH(T802,'Items'!$A$6:$A$1005,0)),"MISSING ID")="Finished item","Finished endpoint",IF(IFERROR(INDEX('Items'!$AI$6:$AI$1005,MATCH(T802,'Items'!$A$6:$A$1005,0)),"MISSING ID")="Currency","Currency / no refinement tier","Recovered output / tier not applicable")),IF(OR(IFERROR(INDEX('Crafting recipes'!$H$6:$H$1005,MATCH(J802,'Crafting recipes'!$A$6:$A$1005,0)),"MISSING ID")="Unassigned",G802="Unassigned"),"Tier unresolved",IF(IFERROR(VALUE(RIGHT(G802,1))-VALUE(RIGHT(IFERROR(INDEX('Crafting recipes'!$H$6:$H$1005,MATCH(J802,'Crafting recipes'!$A$6:$A$1005,0)),"MISSING ID"),1)),0)=1,IF(B802=IFERROR(INDEX('Crafting recipes'!$H$6:$H$1005,MATCH(J802,'Crafting recipes'!$A$6:$A$1005,0)),"MISSING ID"),"Advances one material tier","Lower-tier ingredient; route advances one tier"),"Needs tier review"))))))</x:f>
        <x:v>Finished endpoint</x:v>
      </x:c>
      <x:c r="S802" s="4" t="str">
        <x:f>IFERROR(INDEX('Material routes'!$D$6:$D$2205,MATCH(U802,'Material routes'!$A$6:$A$2205,0)),"MISSING ID")</x:f>
        <x:v>proposal.natural.iron_stock</x:v>
      </x:c>
      <x:c r="T802" s="4" t="str">
        <x:f>IFERROR(INDEX('Material routes'!$D$6:$D$2205,MATCH(V802,'Material routes'!$A$6:$A$2205,0)),"MISSING ID")</x:f>
        <x:v>proposal.collection.steel_jaw_harp</x:v>
      </x:c>
      <x:c r="U802" s="4" t="str">
        <x:v>design.collection.steel_jaw_harp.in.2</x:v>
      </x:c>
      <x:c r="V802" s="4" t="str">
        <x:v>design.collection.steel_jaw_harp.out</x:v>
      </x:c>
    </x:row>
    <x:row r="803" ht="64" customHeight="1">
      <x:c r="A803" s="4" t="str">
        <x:f>IFERROR(INDEX('Material routes'!$E$6:$E$2205,MATCH(U803,'Material routes'!$A$6:$A$2205,0)),"MISSING ID")</x:f>
        <x:v>Prepared wing shade panel</x:v>
      </x:c>
      <x:c r="B803" s="4" t="str">
        <x:f>IFERROR(INDEX('Material routes'!$F$6:$F$2205,MATCH(U803,'Material routes'!$A$6:$A$2205,0)),"MISSING ID")</x:f>
        <x:v>T1</x:v>
      </x:c>
      <x:c r="C803" s="4" t="str">
        <x:f>IFERROR(INDEX('Material routes'!$H$6:$H$2205,MATCH(U803,'Material routes'!$A$6:$A$2205,0)),"MISSING ID")</x:f>
        <x:v>Crafting component</x:v>
      </x:c>
      <x:c r="D803" s="4" t="str">
        <x:f>IFERROR(INDEX('Material routes'!$G$6:$G$2205,MATCH(U803,'Material routes'!$A$6:$A$2205,0)),"MISSING ID")</x:f>
        <x:v>Salvage</x:v>
      </x:c>
      <x:c r="E803" s="4" t="str">
        <x:f>IFERROR(INDEX('Material routes'!$C$6:$C$2205,MATCH(U803,'Material routes'!$A$6:$A$2205,0)),"MISSING ID")</x:f>
        <x:v>Ingredient candidate</x:v>
      </x:c>
      <x:c r="F803" s="4" t="str">
        <x:f>IFERROR(INDEX('Material routes'!$E$6:$E$2205,MATCH(V803,'Material routes'!$A$6:$A$2205,0)),"MISSING ID")</x:f>
        <x:v>Folding vertical wing shade</x:v>
      </x:c>
      <x:c r="G803" s="4" t="str">
        <x:f>IFERROR(INDEX('Material routes'!$F$6:$F$2205,MATCH(V803,'Material routes'!$A$6:$A$2205,0)),"MISSING ID")</x:f>
        <x:v>Not applicable</x:v>
      </x:c>
      <x:c r="H803" s="4" t="str">
        <x:f>IFERROR(INDEX('Material routes'!$H$6:$H$2205,MATCH(V803,'Material routes'!$A$6:$A$2205,0)),"MISSING ID")</x:f>
        <x:v>Shelter item</x:v>
      </x:c>
      <x:c r="I803" s="4" t="str">
        <x:f>IFERROR(INDEX('Material routes'!$G$6:$G$2205,MATCH(V803,'Material routes'!$A$6:$A$2205,0)),"MISSING ID")</x:f>
        <x:v>Salvage</x:v>
      </x:c>
      <x:c r="J803" s="4" t="str">
        <x:f>IFERROR(INDEX('Material routes'!$B$6:$B$2205,MATCH(U803,'Material routes'!$A$6:$A$2205,0)),"MISSING ID")</x:f>
        <x:v>design.collection.folding_vertical_wing_shade</x:v>
      </x:c>
      <x:c r="K803" s="4" t="str">
        <x:f>IFERROR(INDEX('Crafting recipes'!$C$6:$C$1005,MATCH(J803,'Crafting recipes'!$A$6:$A$1005,0)),"MISSING ID")</x:f>
        <x:v>Finished-item crafting</x:v>
      </x:c>
      <x:c r="L803" s="4" t="str">
        <x:f>IFERROR(INDEX('Material routes'!$K$6:$K$2205,MATCH(U803,'Material routes'!$A$6:$A$2205,0)),"MISSING ID")</x:f>
        <x:v>Proposal</x:v>
      </x:c>
      <x:c r="M803" s="4" t="str">
        <x:f>IFERROR(INDEX('Material routes'!$M$6:$M$2205,MATCH(U803,'Material routes'!$A$6:$A$2205,0)),"MISSING ID")</x:f>
        <x:v>Partial proposal</x:v>
      </x:c>
      <x:c r="N803" s="4"/>
      <x:c r="O803" s="4" t="str">
        <x:f>IFERROR(INDEX('Material routes'!$J$6:$J$2205,MATCH(U803,'Material routes'!$A$6:$A$2205,0)),"MISSING ID")</x:f>
        <x:v>Unspecified</x:v>
      </x:c>
      <x:c r="P803" s="4"/>
      <x:c r="Q803" s="4" t="str">
        <x:f>IFERROR(INDEX('Material routes'!$J$6:$J$2205,MATCH(V803,'Material routes'!$A$6:$A$2205,0)),"MISSING ID")</x:f>
        <x:v>Unspecified</x:v>
      </x:c>
      <x:c r="R803" s="4" t="str">
        <x:f>IF(L803="Withheld","Withheld premise",IF(E803="Tool candidate","Reusable prerequisite",IF(K803="Raw entry preparation","Entry-resource preparation",IF(G803="Not applicable",IF(IFERROR(INDEX('Items'!$AI$6:$AI$1005,MATCH(T803,'Items'!$A$6:$A$1005,0)),"MISSING ID")="Finished item","Finished endpoint",IF(IFERROR(INDEX('Items'!$AI$6:$AI$1005,MATCH(T803,'Items'!$A$6:$A$1005,0)),"MISSING ID")="Currency","Currency / no refinement tier","Recovered output / tier not applicable")),IF(OR(IFERROR(INDEX('Crafting recipes'!$H$6:$H$1005,MATCH(J803,'Crafting recipes'!$A$6:$A$1005,0)),"MISSING ID")="Unassigned",G803="Unassigned"),"Tier unresolved",IF(IFERROR(VALUE(RIGHT(G803,1))-VALUE(RIGHT(IFERROR(INDEX('Crafting recipes'!$H$6:$H$1005,MATCH(J803,'Crafting recipes'!$A$6:$A$1005,0)),"MISSING ID"),1)),0)=1,IF(B803=IFERROR(INDEX('Crafting recipes'!$H$6:$H$1005,MATCH(J803,'Crafting recipes'!$A$6:$A$1005,0)),"MISSING ID"),"Advances one material tier","Lower-tier ingredient; route advances one tier"),"Needs tier review"))))))</x:f>
        <x:v>Finished endpoint</x:v>
      </x:c>
      <x:c r="S803" s="4" t="str">
        <x:f>IFERROR(INDEX('Material routes'!$D$6:$D$2205,MATCH(U803,'Material routes'!$A$6:$A$2205,0)),"MISSING ID")</x:f>
        <x:v>proposal.bio.wing_panel</x:v>
      </x:c>
      <x:c r="T803" s="4" t="str">
        <x:f>IFERROR(INDEX('Material routes'!$D$6:$D$2205,MATCH(V803,'Material routes'!$A$6:$A$2205,0)),"MISSING ID")</x:f>
        <x:v>proposal.collection.folding_vertical_wing_shade</x:v>
      </x:c>
      <x:c r="U803" s="4" t="str">
        <x:v>design.collection.folding_vertical_wing_shade.in.1</x:v>
      </x:c>
      <x:c r="V803" s="4" t="str">
        <x:v>design.collection.folding_vertical_wing_shade.out</x:v>
      </x:c>
    </x:row>
    <x:row r="804" ht="64" customHeight="1">
      <x:c r="A804" s="4" t="str">
        <x:f>IFERROR(INDEX('Material routes'!$E$6:$E$2205,MATCH(U804,'Material routes'!$A$6:$A$2205,0)),"MISSING ID")</x:f>
        <x:v>Collapsible sail frame</x:v>
      </x:c>
      <x:c r="B804" s="4" t="str">
        <x:f>IFERROR(INDEX('Material routes'!$F$6:$F$2205,MATCH(U804,'Material routes'!$A$6:$A$2205,0)),"MISSING ID")</x:f>
        <x:v>T4</x:v>
      </x:c>
      <x:c r="C804" s="4" t="str">
        <x:f>IFERROR(INDEX('Material routes'!$H$6:$H$2205,MATCH(U804,'Material routes'!$A$6:$A$2205,0)),"MISSING ID")</x:f>
        <x:v>Crafting component</x:v>
      </x:c>
      <x:c r="D804" s="4" t="str">
        <x:f>IFERROR(INDEX('Material routes'!$G$6:$G$2205,MATCH(U804,'Material routes'!$A$6:$A$2205,0)),"MISSING ID")</x:f>
        <x:v>Salvage</x:v>
      </x:c>
      <x:c r="E804" s="4" t="str">
        <x:f>IFERROR(INDEX('Material routes'!$C$6:$C$2205,MATCH(U804,'Material routes'!$A$6:$A$2205,0)),"MISSING ID")</x:f>
        <x:v>Ingredient candidate</x:v>
      </x:c>
      <x:c r="F804" s="4" t="str">
        <x:f>IFERROR(INDEX('Material routes'!$E$6:$E$2205,MATCH(V804,'Material routes'!$A$6:$A$2205,0)),"MISSING ID")</x:f>
        <x:v>Folding vertical wing shade</x:v>
      </x:c>
      <x:c r="G804" s="4" t="str">
        <x:f>IFERROR(INDEX('Material routes'!$F$6:$F$2205,MATCH(V804,'Material routes'!$A$6:$A$2205,0)),"MISSING ID")</x:f>
        <x:v>Not applicable</x:v>
      </x:c>
      <x:c r="H804" s="4" t="str">
        <x:f>IFERROR(INDEX('Material routes'!$H$6:$H$2205,MATCH(V804,'Material routes'!$A$6:$A$2205,0)),"MISSING ID")</x:f>
        <x:v>Shelter item</x:v>
      </x:c>
      <x:c r="I804" s="4" t="str">
        <x:f>IFERROR(INDEX('Material routes'!$G$6:$G$2205,MATCH(V804,'Material routes'!$A$6:$A$2205,0)),"MISSING ID")</x:f>
        <x:v>Salvage</x:v>
      </x:c>
      <x:c r="J804" s="4" t="str">
        <x:f>IFERROR(INDEX('Material routes'!$B$6:$B$2205,MATCH(U804,'Material routes'!$A$6:$A$2205,0)),"MISSING ID")</x:f>
        <x:v>design.collection.folding_vertical_wing_shade</x:v>
      </x:c>
      <x:c r="K804" s="4" t="str">
        <x:f>IFERROR(INDEX('Crafting recipes'!$C$6:$C$1005,MATCH(J804,'Crafting recipes'!$A$6:$A$1005,0)),"MISSING ID")</x:f>
        <x:v>Finished-item crafting</x:v>
      </x:c>
      <x:c r="L804" s="4" t="str">
        <x:f>IFERROR(INDEX('Material routes'!$K$6:$K$2205,MATCH(U804,'Material routes'!$A$6:$A$2205,0)),"MISSING ID")</x:f>
        <x:v>Proposal</x:v>
      </x:c>
      <x:c r="M804" s="4" t="str">
        <x:f>IFERROR(INDEX('Material routes'!$M$6:$M$2205,MATCH(U804,'Material routes'!$A$6:$A$2205,0)),"MISSING ID")</x:f>
        <x:v>Partial proposal</x:v>
      </x:c>
      <x:c r="N804" s="4"/>
      <x:c r="O804" s="4" t="str">
        <x:f>IFERROR(INDEX('Material routes'!$J$6:$J$2205,MATCH(U804,'Material routes'!$A$6:$A$2205,0)),"MISSING ID")</x:f>
        <x:v>Unspecified</x:v>
      </x:c>
      <x:c r="P804" s="4"/>
      <x:c r="Q804" s="4" t="str">
        <x:f>IFERROR(INDEX('Material routes'!$J$6:$J$2205,MATCH(V804,'Material routes'!$A$6:$A$2205,0)),"MISSING ID")</x:f>
        <x:v>Unspecified</x:v>
      </x:c>
      <x:c r="R804" s="4" t="str">
        <x:f>IF(L804="Withheld","Withheld premise",IF(E804="Tool candidate","Reusable prerequisite",IF(K804="Raw entry preparation","Entry-resource preparation",IF(G804="Not applicable",IF(IFERROR(INDEX('Items'!$AI$6:$AI$1005,MATCH(T804,'Items'!$A$6:$A$1005,0)),"MISSING ID")="Finished item","Finished endpoint",IF(IFERROR(INDEX('Items'!$AI$6:$AI$1005,MATCH(T804,'Items'!$A$6:$A$1005,0)),"MISSING ID")="Currency","Currency / no refinement tier","Recovered output / tier not applicable")),IF(OR(IFERROR(INDEX('Crafting recipes'!$H$6:$H$1005,MATCH(J804,'Crafting recipes'!$A$6:$A$1005,0)),"MISSING ID")="Unassigned",G804="Unassigned"),"Tier unresolved",IF(IFERROR(VALUE(RIGHT(G804,1))-VALUE(RIGHT(IFERROR(INDEX('Crafting recipes'!$H$6:$H$1005,MATCH(J804,'Crafting recipes'!$A$6:$A$1005,0)),"MISSING ID"),1)),0)=1,IF(B804=IFERROR(INDEX('Crafting recipes'!$H$6:$H$1005,MATCH(J804,'Crafting recipes'!$A$6:$A$1005,0)),"MISSING ID"),"Advances one material tier","Lower-tier ingredient; route advances one tier"),"Needs tier review"))))))</x:f>
        <x:v>Finished endpoint</x:v>
      </x:c>
      <x:c r="S804" s="4" t="str">
        <x:f>IFERROR(INDEX('Material routes'!$D$6:$D$2205,MATCH(U804,'Material routes'!$A$6:$A$2205,0)),"MISSING ID")</x:f>
        <x:v>proposal.wind.folding_frame</x:v>
      </x:c>
      <x:c r="T804" s="4" t="str">
        <x:f>IFERROR(INDEX('Material routes'!$D$6:$D$2205,MATCH(V804,'Material routes'!$A$6:$A$2205,0)),"MISSING ID")</x:f>
        <x:v>proposal.collection.folding_vertical_wing_shade</x:v>
      </x:c>
      <x:c r="U804" s="4" t="str">
        <x:v>design.collection.folding_vertical_wing_shade.in.2</x:v>
      </x:c>
      <x:c r="V804" s="4" t="str">
        <x:v>design.collection.folding_vertical_wing_shade.out</x:v>
      </x:c>
    </x:row>
    <x:row r="805" ht="64" customHeight="1">
      <x:c r="A805" s="4" t="str">
        <x:f>IFERROR(INDEX('Material routes'!$E$6:$E$2205,MATCH(U805,'Material routes'!$A$6:$A$2205,0)),"MISSING ID")</x:f>
        <x:v>Reinforced wing membrane</x:v>
      </x:c>
      <x:c r="B805" s="4" t="str">
        <x:f>IFERROR(INDEX('Material routes'!$F$6:$F$2205,MATCH(U805,'Material routes'!$A$6:$A$2205,0)),"MISSING ID")</x:f>
        <x:v>T2</x:v>
      </x:c>
      <x:c r="C805" s="4" t="str">
        <x:f>IFERROR(INDEX('Material routes'!$H$6:$H$2205,MATCH(U805,'Material routes'!$A$6:$A$2205,0)),"MISSING ID")</x:f>
        <x:v>Processed material</x:v>
      </x:c>
      <x:c r="D805" s="4" t="str">
        <x:f>IFERROR(INDEX('Material routes'!$G$6:$G$2205,MATCH(U805,'Material routes'!$A$6:$A$2205,0)),"MISSING ID")</x:f>
        <x:v>Manufactured stock</x:v>
      </x:c>
      <x:c r="E805" s="4" t="str">
        <x:f>IFERROR(INDEX('Material routes'!$C$6:$C$2205,MATCH(U805,'Material routes'!$A$6:$A$2205,0)),"MISSING ID")</x:f>
        <x:v>Ingredient candidate</x:v>
      </x:c>
      <x:c r="F805" s="4" t="str">
        <x:f>IFERROR(INDEX('Material routes'!$E$6:$E$2205,MATCH(V805,'Material routes'!$A$6:$A$2205,0)),"MISSING ID")</x:f>
        <x:v>Low wing-roof panel</x:v>
      </x:c>
      <x:c r="G805" s="4" t="str">
        <x:f>IFERROR(INDEX('Material routes'!$F$6:$F$2205,MATCH(V805,'Material routes'!$A$6:$A$2205,0)),"MISSING ID")</x:f>
        <x:v>Not applicable</x:v>
      </x:c>
      <x:c r="H805" s="4" t="str">
        <x:f>IFERROR(INDEX('Material routes'!$H$6:$H$2205,MATCH(V805,'Material routes'!$A$6:$A$2205,0)),"MISSING ID")</x:f>
        <x:v>Shelter item</x:v>
      </x:c>
      <x:c r="I805" s="4" t="str">
        <x:f>IFERROR(INDEX('Material routes'!$G$6:$G$2205,MATCH(V805,'Material routes'!$A$6:$A$2205,0)),"MISSING ID")</x:f>
        <x:v>Salvage</x:v>
      </x:c>
      <x:c r="J805" s="4" t="str">
        <x:f>IFERROR(INDEX('Material routes'!$B$6:$B$2205,MATCH(U805,'Material routes'!$A$6:$A$2205,0)),"MISSING ID")</x:f>
        <x:v>design.collection.low_wing_roof_panel</x:v>
      </x:c>
      <x:c r="K805" s="4" t="str">
        <x:f>IFERROR(INDEX('Crafting recipes'!$C$6:$C$1005,MATCH(J805,'Crafting recipes'!$A$6:$A$1005,0)),"MISSING ID")</x:f>
        <x:v>Finished-item crafting</x:v>
      </x:c>
      <x:c r="L805" s="4" t="str">
        <x:f>IFERROR(INDEX('Material routes'!$K$6:$K$2205,MATCH(U805,'Material routes'!$A$6:$A$2205,0)),"MISSING ID")</x:f>
        <x:v>Proposal</x:v>
      </x:c>
      <x:c r="M805" s="4" t="str">
        <x:f>IFERROR(INDEX('Material routes'!$M$6:$M$2205,MATCH(U805,'Material routes'!$A$6:$A$2205,0)),"MISSING ID")</x:f>
        <x:v>Partial proposal</x:v>
      </x:c>
      <x:c r="N805" s="4"/>
      <x:c r="O805" s="4" t="str">
        <x:f>IFERROR(INDEX('Material routes'!$J$6:$J$2205,MATCH(U805,'Material routes'!$A$6:$A$2205,0)),"MISSING ID")</x:f>
        <x:v>Unspecified</x:v>
      </x:c>
      <x:c r="P805" s="4"/>
      <x:c r="Q805" s="4" t="str">
        <x:f>IFERROR(INDEX('Material routes'!$J$6:$J$2205,MATCH(V805,'Material routes'!$A$6:$A$2205,0)),"MISSING ID")</x:f>
        <x:v>Unspecified</x:v>
      </x:c>
      <x:c r="R805" s="4" t="str">
        <x:f>IF(L805="Withheld","Withheld premise",IF(E805="Tool candidate","Reusable prerequisite",IF(K805="Raw entry preparation","Entry-resource preparation",IF(G805="Not applicable",IF(IFERROR(INDEX('Items'!$AI$6:$AI$1005,MATCH(T805,'Items'!$A$6:$A$1005,0)),"MISSING ID")="Finished item","Finished endpoint",IF(IFERROR(INDEX('Items'!$AI$6:$AI$1005,MATCH(T805,'Items'!$A$6:$A$1005,0)),"MISSING ID")="Currency","Currency / no refinement tier","Recovered output / tier not applicable")),IF(OR(IFERROR(INDEX('Crafting recipes'!$H$6:$H$1005,MATCH(J805,'Crafting recipes'!$A$6:$A$1005,0)),"MISSING ID")="Unassigned",G805="Unassigned"),"Tier unresolved",IF(IFERROR(VALUE(RIGHT(G805,1))-VALUE(RIGHT(IFERROR(INDEX('Crafting recipes'!$H$6:$H$1005,MATCH(J805,'Crafting recipes'!$A$6:$A$1005,0)),"MISSING ID"),1)),0)=1,IF(B805=IFERROR(INDEX('Crafting recipes'!$H$6:$H$1005,MATCH(J805,'Crafting recipes'!$A$6:$A$1005,0)),"MISSING ID"),"Advances one material tier","Lower-tier ingredient; route advances one tier"),"Needs tier review"))))))</x:f>
        <x:v>Finished endpoint</x:v>
      </x:c>
      <x:c r="S805" s="4" t="str">
        <x:f>IFERROR(INDEX('Material routes'!$D$6:$D$2205,MATCH(U805,'Material routes'!$A$6:$A$2205,0)),"MISSING ID")</x:f>
        <x:v>proposal.branch.wing_membrane</x:v>
      </x:c>
      <x:c r="T805" s="4" t="str">
        <x:f>IFERROR(INDEX('Material routes'!$D$6:$D$2205,MATCH(V805,'Material routes'!$A$6:$A$2205,0)),"MISSING ID")</x:f>
        <x:v>proposal.collection.low_wing_roof_panel</x:v>
      </x:c>
      <x:c r="U805" s="4" t="str">
        <x:v>design.collection.low_wing_roof_panel.in.1</x:v>
      </x:c>
      <x:c r="V805" s="4" t="str">
        <x:v>design.collection.low_wing_roof_panel.out</x:v>
      </x:c>
    </x:row>
    <x:row r="806" ht="64" customHeight="1">
      <x:c r="A806" s="4" t="str">
        <x:f>IFERROR(INDEX('Material routes'!$E$6:$E$2205,MATCH(U806,'Material routes'!$A$6:$A$2205,0)),"MISSING ID")</x:f>
        <x:v>Worked iron stock</x:v>
      </x:c>
      <x:c r="B806" s="4" t="str">
        <x:f>IFERROR(INDEX('Material routes'!$F$6:$F$2205,MATCH(U806,'Material routes'!$A$6:$A$2205,0)),"MISSING ID")</x:f>
        <x:v>T2</x:v>
      </x:c>
      <x:c r="C806" s="4" t="str">
        <x:f>IFERROR(INDEX('Material routes'!$H$6:$H$2205,MATCH(U806,'Material routes'!$A$6:$A$2205,0)),"MISSING ID")</x:f>
        <x:v>Processed material</x:v>
      </x:c>
      <x:c r="D806" s="4" t="str">
        <x:f>IFERROR(INDEX('Material routes'!$G$6:$G$2205,MATCH(U806,'Material routes'!$A$6:$A$2205,0)),"MISSING ID")</x:f>
        <x:v>Manufactured stock</x:v>
      </x:c>
      <x:c r="E806" s="4" t="str">
        <x:f>IFERROR(INDEX('Material routes'!$C$6:$C$2205,MATCH(U806,'Material routes'!$A$6:$A$2205,0)),"MISSING ID")</x:f>
        <x:v>Ingredient candidate</x:v>
      </x:c>
      <x:c r="F806" s="4" t="str">
        <x:f>IFERROR(INDEX('Material routes'!$E$6:$E$2205,MATCH(V806,'Material routes'!$A$6:$A$2205,0)),"MISSING ID")</x:f>
        <x:v>Low wing-roof panel</x:v>
      </x:c>
      <x:c r="G806" s="4" t="str">
        <x:f>IFERROR(INDEX('Material routes'!$F$6:$F$2205,MATCH(V806,'Material routes'!$A$6:$A$2205,0)),"MISSING ID")</x:f>
        <x:v>Not applicable</x:v>
      </x:c>
      <x:c r="H806" s="4" t="str">
        <x:f>IFERROR(INDEX('Material routes'!$H$6:$H$2205,MATCH(V806,'Material routes'!$A$6:$A$2205,0)),"MISSING ID")</x:f>
        <x:v>Shelter item</x:v>
      </x:c>
      <x:c r="I806" s="4" t="str">
        <x:f>IFERROR(INDEX('Material routes'!$G$6:$G$2205,MATCH(V806,'Material routes'!$A$6:$A$2205,0)),"MISSING ID")</x:f>
        <x:v>Salvage</x:v>
      </x:c>
      <x:c r="J806" s="4" t="str">
        <x:f>IFERROR(INDEX('Material routes'!$B$6:$B$2205,MATCH(U806,'Material routes'!$A$6:$A$2205,0)),"MISSING ID")</x:f>
        <x:v>design.collection.low_wing_roof_panel</x:v>
      </x:c>
      <x:c r="K806" s="4" t="str">
        <x:f>IFERROR(INDEX('Crafting recipes'!$C$6:$C$1005,MATCH(J806,'Crafting recipes'!$A$6:$A$1005,0)),"MISSING ID")</x:f>
        <x:v>Finished-item crafting</x:v>
      </x:c>
      <x:c r="L806" s="4" t="str">
        <x:f>IFERROR(INDEX('Material routes'!$K$6:$K$2205,MATCH(U806,'Material routes'!$A$6:$A$2205,0)),"MISSING ID")</x:f>
        <x:v>Proposal</x:v>
      </x:c>
      <x:c r="M806" s="4" t="str">
        <x:f>IFERROR(INDEX('Material routes'!$M$6:$M$2205,MATCH(U806,'Material routes'!$A$6:$A$2205,0)),"MISSING ID")</x:f>
        <x:v>Partial proposal</x:v>
      </x:c>
      <x:c r="N806" s="4"/>
      <x:c r="O806" s="4" t="str">
        <x:f>IFERROR(INDEX('Material routes'!$J$6:$J$2205,MATCH(U806,'Material routes'!$A$6:$A$2205,0)),"MISSING ID")</x:f>
        <x:v>Unspecified</x:v>
      </x:c>
      <x:c r="P806" s="4"/>
      <x:c r="Q806" s="4" t="str">
        <x:f>IFERROR(INDEX('Material routes'!$J$6:$J$2205,MATCH(V806,'Material routes'!$A$6:$A$2205,0)),"MISSING ID")</x:f>
        <x:v>Unspecified</x:v>
      </x:c>
      <x:c r="R806" s="4" t="str">
        <x:f>IF(L806="Withheld","Withheld premise",IF(E806="Tool candidate","Reusable prerequisite",IF(K806="Raw entry preparation","Entry-resource preparation",IF(G806="Not applicable",IF(IFERROR(INDEX('Items'!$AI$6:$AI$1005,MATCH(T806,'Items'!$A$6:$A$1005,0)),"MISSING ID")="Finished item","Finished endpoint",IF(IFERROR(INDEX('Items'!$AI$6:$AI$1005,MATCH(T806,'Items'!$A$6:$A$1005,0)),"MISSING ID")="Currency","Currency / no refinement tier","Recovered output / tier not applicable")),IF(OR(IFERROR(INDEX('Crafting recipes'!$H$6:$H$1005,MATCH(J806,'Crafting recipes'!$A$6:$A$1005,0)),"MISSING ID")="Unassigned",G806="Unassigned"),"Tier unresolved",IF(IFERROR(VALUE(RIGHT(G806,1))-VALUE(RIGHT(IFERROR(INDEX('Crafting recipes'!$H$6:$H$1005,MATCH(J806,'Crafting recipes'!$A$6:$A$1005,0)),"MISSING ID"),1)),0)=1,IF(B806=IFERROR(INDEX('Crafting recipes'!$H$6:$H$1005,MATCH(J806,'Crafting recipes'!$A$6:$A$1005,0)),"MISSING ID"),"Advances one material tier","Lower-tier ingredient; route advances one tier"),"Needs tier review"))))))</x:f>
        <x:v>Finished endpoint</x:v>
      </x:c>
      <x:c r="S806" s="4" t="str">
        <x:f>IFERROR(INDEX('Material routes'!$D$6:$D$2205,MATCH(U806,'Material routes'!$A$6:$A$2205,0)),"MISSING ID")</x:f>
        <x:v>proposal.natural.iron_stock</x:v>
      </x:c>
      <x:c r="T806" s="4" t="str">
        <x:f>IFERROR(INDEX('Material routes'!$D$6:$D$2205,MATCH(V806,'Material routes'!$A$6:$A$2205,0)),"MISSING ID")</x:f>
        <x:v>proposal.collection.low_wing_roof_panel</x:v>
      </x:c>
      <x:c r="U806" s="4" t="str">
        <x:v>design.collection.low_wing_roof_panel.in.2</x:v>
      </x:c>
      <x:c r="V806" s="4" t="str">
        <x:v>design.collection.low_wing_roof_panel.out</x:v>
      </x:c>
    </x:row>
    <x:row r="807" ht="64" customHeight="1">
      <x:c r="A807" s="4" t="str">
        <x:f>IFERROR(INDEX('Material routes'!$E$6:$E$2205,MATCH(U807,'Material routes'!$A$6:$A$2205,0)),"MISSING ID")</x:f>
        <x:v>Drawn steel tube stock</x:v>
      </x:c>
      <x:c r="B807" s="4" t="str">
        <x:f>IFERROR(INDEX('Material routes'!$F$6:$F$2205,MATCH(U807,'Material routes'!$A$6:$A$2205,0)),"MISSING ID")</x:f>
        <x:v>T3</x:v>
      </x:c>
      <x:c r="C807" s="4" t="str">
        <x:f>IFERROR(INDEX('Material routes'!$H$6:$H$2205,MATCH(U807,'Material routes'!$A$6:$A$2205,0)),"MISSING ID")</x:f>
        <x:v>Processed material</x:v>
      </x:c>
      <x:c r="D807" s="4" t="str">
        <x:f>IFERROR(INDEX('Material routes'!$G$6:$G$2205,MATCH(U807,'Material routes'!$A$6:$A$2205,0)),"MISSING ID")</x:f>
        <x:v>Manufactured stock</x:v>
      </x:c>
      <x:c r="E807" s="4" t="str">
        <x:f>IFERROR(INDEX('Material routes'!$C$6:$C$2205,MATCH(U807,'Material routes'!$A$6:$A$2205,0)),"MISSING ID")</x:f>
        <x:v>Ingredient candidate</x:v>
      </x:c>
      <x:c r="F807" s="4" t="str">
        <x:f>IFERROR(INDEX('Material routes'!$E$6:$E$2205,MATCH(V807,'Material routes'!$A$6:$A$2205,0)),"MISSING ID")</x:f>
        <x:v>Segmented shelter pole set</x:v>
      </x:c>
      <x:c r="G807" s="4" t="str">
        <x:f>IFERROR(INDEX('Material routes'!$F$6:$F$2205,MATCH(V807,'Material routes'!$A$6:$A$2205,0)),"MISSING ID")</x:f>
        <x:v>Not applicable</x:v>
      </x:c>
      <x:c r="H807" s="4" t="str">
        <x:f>IFERROR(INDEX('Material routes'!$H$6:$H$2205,MATCH(V807,'Material routes'!$A$6:$A$2205,0)),"MISSING ID")</x:f>
        <x:v>Shelter item</x:v>
      </x:c>
      <x:c r="I807" s="4" t="str">
        <x:f>IFERROR(INDEX('Material routes'!$G$6:$G$2205,MATCH(V807,'Material routes'!$A$6:$A$2205,0)),"MISSING ID")</x:f>
        <x:v>Salvage</x:v>
      </x:c>
      <x:c r="J807" s="4" t="str">
        <x:f>IFERROR(INDEX('Material routes'!$B$6:$B$2205,MATCH(U807,'Material routes'!$A$6:$A$2205,0)),"MISSING ID")</x:f>
        <x:v>design.collection.segmented_shelter_pole_set</x:v>
      </x:c>
      <x:c r="K807" s="4" t="str">
        <x:f>IFERROR(INDEX('Crafting recipes'!$C$6:$C$1005,MATCH(J807,'Crafting recipes'!$A$6:$A$1005,0)),"MISSING ID")</x:f>
        <x:v>Finished-item crafting</x:v>
      </x:c>
      <x:c r="L807" s="4" t="str">
        <x:f>IFERROR(INDEX('Material routes'!$K$6:$K$2205,MATCH(U807,'Material routes'!$A$6:$A$2205,0)),"MISSING ID")</x:f>
        <x:v>Proposal</x:v>
      </x:c>
      <x:c r="M807" s="4" t="str">
        <x:f>IFERROR(INDEX('Material routes'!$M$6:$M$2205,MATCH(U807,'Material routes'!$A$6:$A$2205,0)),"MISSING ID")</x:f>
        <x:v>Partial proposal</x:v>
      </x:c>
      <x:c r="N807" s="4"/>
      <x:c r="O807" s="4" t="str">
        <x:f>IFERROR(INDEX('Material routes'!$J$6:$J$2205,MATCH(U807,'Material routes'!$A$6:$A$2205,0)),"MISSING ID")</x:f>
        <x:v>Unspecified</x:v>
      </x:c>
      <x:c r="P807" s="4"/>
      <x:c r="Q807" s="4" t="str">
        <x:f>IFERROR(INDEX('Material routes'!$J$6:$J$2205,MATCH(V807,'Material routes'!$A$6:$A$2205,0)),"MISSING ID")</x:f>
        <x:v>Unspecified</x:v>
      </x:c>
      <x:c r="R807" s="4" t="str">
        <x:f>IF(L807="Withheld","Withheld premise",IF(E807="Tool candidate","Reusable prerequisite",IF(K807="Raw entry preparation","Entry-resource preparation",IF(G807="Not applicable",IF(IFERROR(INDEX('Items'!$AI$6:$AI$1005,MATCH(T807,'Items'!$A$6:$A$1005,0)),"MISSING ID")="Finished item","Finished endpoint",IF(IFERROR(INDEX('Items'!$AI$6:$AI$1005,MATCH(T807,'Items'!$A$6:$A$1005,0)),"MISSING ID")="Currency","Currency / no refinement tier","Recovered output / tier not applicable")),IF(OR(IFERROR(INDEX('Crafting recipes'!$H$6:$H$1005,MATCH(J807,'Crafting recipes'!$A$6:$A$1005,0)),"MISSING ID")="Unassigned",G807="Unassigned"),"Tier unresolved",IF(IFERROR(VALUE(RIGHT(G807,1))-VALUE(RIGHT(IFERROR(INDEX('Crafting recipes'!$H$6:$H$1005,MATCH(J807,'Crafting recipes'!$A$6:$A$1005,0)),"MISSING ID"),1)),0)=1,IF(B807=IFERROR(INDEX('Crafting recipes'!$H$6:$H$1005,MATCH(J807,'Crafting recipes'!$A$6:$A$1005,0)),"MISSING ID"),"Advances one material tier","Lower-tier ingredient; route advances one tier"),"Needs tier review"))))))</x:f>
        <x:v>Finished endpoint</x:v>
      </x:c>
      <x:c r="S807" s="4" t="str">
        <x:f>IFERROR(INDEX('Material routes'!$D$6:$D$2205,MATCH(U807,'Material routes'!$A$6:$A$2205,0)),"MISSING ID")</x:f>
        <x:v>proposal.t3.precision_tube</x:v>
      </x:c>
      <x:c r="T807" s="4" t="str">
        <x:f>IFERROR(INDEX('Material routes'!$D$6:$D$2205,MATCH(V807,'Material routes'!$A$6:$A$2205,0)),"MISSING ID")</x:f>
        <x:v>proposal.collection.segmented_shelter_pole_set</x:v>
      </x:c>
      <x:c r="U807" s="4" t="str">
        <x:v>design.collection.segmented_shelter_pole_set.in.1</x:v>
      </x:c>
      <x:c r="V807" s="4" t="str">
        <x:v>design.collection.segmented_shelter_pole_set.out</x:v>
      </x:c>
    </x:row>
    <x:row r="808" ht="64" customHeight="1">
      <x:c r="A808" s="4" t="str">
        <x:f>IFERROR(INDEX('Material routes'!$E$6:$E$2205,MATCH(U808,'Material routes'!$A$6:$A$2205,0)),"MISSING ID")</x:f>
        <x:v>Matched metal fastener set</x:v>
      </x:c>
      <x:c r="B808" s="4" t="str">
        <x:f>IFERROR(INDEX('Material routes'!$F$6:$F$2205,MATCH(U808,'Material routes'!$A$6:$A$2205,0)),"MISSING ID")</x:f>
        <x:v>T3</x:v>
      </x:c>
      <x:c r="C808" s="4" t="str">
        <x:f>IFERROR(INDEX('Material routes'!$H$6:$H$2205,MATCH(U808,'Material routes'!$A$6:$A$2205,0)),"MISSING ID")</x:f>
        <x:v>Crafting component</x:v>
      </x:c>
      <x:c r="D808" s="4" t="str">
        <x:f>IFERROR(INDEX('Material routes'!$G$6:$G$2205,MATCH(U808,'Material routes'!$A$6:$A$2205,0)),"MISSING ID")</x:f>
        <x:v>Crafting components</x:v>
      </x:c>
      <x:c r="E808" s="4" t="str">
        <x:f>IFERROR(INDEX('Material routes'!$C$6:$C$2205,MATCH(U808,'Material routes'!$A$6:$A$2205,0)),"MISSING ID")</x:f>
        <x:v>Ingredient candidate</x:v>
      </x:c>
      <x:c r="F808" s="4" t="str">
        <x:f>IFERROR(INDEX('Material routes'!$E$6:$E$2205,MATCH(V808,'Material routes'!$A$6:$A$2205,0)),"MISSING ID")</x:f>
        <x:v>Segmented shelter pole set</x:v>
      </x:c>
      <x:c r="G808" s="4" t="str">
        <x:f>IFERROR(INDEX('Material routes'!$F$6:$F$2205,MATCH(V808,'Material routes'!$A$6:$A$2205,0)),"MISSING ID")</x:f>
        <x:v>Not applicable</x:v>
      </x:c>
      <x:c r="H808" s="4" t="str">
        <x:f>IFERROR(INDEX('Material routes'!$H$6:$H$2205,MATCH(V808,'Material routes'!$A$6:$A$2205,0)),"MISSING ID")</x:f>
        <x:v>Shelter item</x:v>
      </x:c>
      <x:c r="I808" s="4" t="str">
        <x:f>IFERROR(INDEX('Material routes'!$G$6:$G$2205,MATCH(V808,'Material routes'!$A$6:$A$2205,0)),"MISSING ID")</x:f>
        <x:v>Salvage</x:v>
      </x:c>
      <x:c r="J808" s="4" t="str">
        <x:f>IFERROR(INDEX('Material routes'!$B$6:$B$2205,MATCH(U808,'Material routes'!$A$6:$A$2205,0)),"MISSING ID")</x:f>
        <x:v>design.collection.segmented_shelter_pole_set</x:v>
      </x:c>
      <x:c r="K808" s="4" t="str">
        <x:f>IFERROR(INDEX('Crafting recipes'!$C$6:$C$1005,MATCH(J808,'Crafting recipes'!$A$6:$A$1005,0)),"MISSING ID")</x:f>
        <x:v>Finished-item crafting</x:v>
      </x:c>
      <x:c r="L808" s="4" t="str">
        <x:f>IFERROR(INDEX('Material routes'!$K$6:$K$2205,MATCH(U808,'Material routes'!$A$6:$A$2205,0)),"MISSING ID")</x:f>
        <x:v>Proposal</x:v>
      </x:c>
      <x:c r="M808" s="4" t="str">
        <x:f>IFERROR(INDEX('Material routes'!$M$6:$M$2205,MATCH(U808,'Material routes'!$A$6:$A$2205,0)),"MISSING ID")</x:f>
        <x:v>Partial proposal</x:v>
      </x:c>
      <x:c r="N808" s="4"/>
      <x:c r="O808" s="4" t="str">
        <x:f>IFERROR(INDEX('Material routes'!$J$6:$J$2205,MATCH(U808,'Material routes'!$A$6:$A$2205,0)),"MISSING ID")</x:f>
        <x:v>Unspecified</x:v>
      </x:c>
      <x:c r="P808" s="4"/>
      <x:c r="Q808" s="4" t="str">
        <x:f>IFERROR(INDEX('Material routes'!$J$6:$J$2205,MATCH(V808,'Material routes'!$A$6:$A$2205,0)),"MISSING ID")</x:f>
        <x:v>Unspecified</x:v>
      </x:c>
      <x:c r="R808" s="4" t="str">
        <x:f>IF(L808="Withheld","Withheld premise",IF(E808="Tool candidate","Reusable prerequisite",IF(K808="Raw entry preparation","Entry-resource preparation",IF(G808="Not applicable",IF(IFERROR(INDEX('Items'!$AI$6:$AI$1005,MATCH(T808,'Items'!$A$6:$A$1005,0)),"MISSING ID")="Finished item","Finished endpoint",IF(IFERROR(INDEX('Items'!$AI$6:$AI$1005,MATCH(T808,'Items'!$A$6:$A$1005,0)),"MISSING ID")="Currency","Currency / no refinement tier","Recovered output / tier not applicable")),IF(OR(IFERROR(INDEX('Crafting recipes'!$H$6:$H$1005,MATCH(J808,'Crafting recipes'!$A$6:$A$1005,0)),"MISSING ID")="Unassigned",G808="Unassigned"),"Tier unresolved",IF(IFERROR(VALUE(RIGHT(G808,1))-VALUE(RIGHT(IFERROR(INDEX('Crafting recipes'!$H$6:$H$1005,MATCH(J808,'Crafting recipes'!$A$6:$A$1005,0)),"MISSING ID"),1)),0)=1,IF(B808=IFERROR(INDEX('Crafting recipes'!$H$6:$H$1005,MATCH(J808,'Crafting recipes'!$A$6:$A$1005,0)),"MISSING ID"),"Advances one material tier","Lower-tier ingredient; route advances one tier"),"Needs tier review"))))))</x:f>
        <x:v>Finished endpoint</x:v>
      </x:c>
      <x:c r="S808" s="4" t="str">
        <x:f>IFERROR(INDEX('Material routes'!$D$6:$D$2205,MATCH(U808,'Material routes'!$A$6:$A$2205,0)),"MISSING ID")</x:f>
        <x:v>proposal.lore.fastener_set</x:v>
      </x:c>
      <x:c r="T808" s="4" t="str">
        <x:f>IFERROR(INDEX('Material routes'!$D$6:$D$2205,MATCH(V808,'Material routes'!$A$6:$A$2205,0)),"MISSING ID")</x:f>
        <x:v>proposal.collection.segmented_shelter_pole_set</x:v>
      </x:c>
      <x:c r="U808" s="4" t="str">
        <x:v>design.collection.segmented_shelter_pole_set.in.2</x:v>
      </x:c>
      <x:c r="V808" s="4" t="str">
        <x:v>design.collection.segmented_shelter_pole_set.out</x:v>
      </x:c>
    </x:row>
    <x:row r="809" ht="64" customHeight="1">
      <x:c r="A809" s="4" t="str">
        <x:f>IFERROR(INDEX('Material routes'!$E$6:$E$2205,MATCH(U809,'Material routes'!$A$6:$A$2205,0)),"MISSING ID")</x:f>
        <x:v>Steel stock</x:v>
      </x:c>
      <x:c r="B809" s="4" t="str">
        <x:f>IFERROR(INDEX('Material routes'!$F$6:$F$2205,MATCH(U809,'Material routes'!$A$6:$A$2205,0)),"MISSING ID")</x:f>
        <x:v>T2</x:v>
      </x:c>
      <x:c r="C809" s="4" t="str">
        <x:f>IFERROR(INDEX('Material routes'!$H$6:$H$2205,MATCH(U809,'Material routes'!$A$6:$A$2205,0)),"MISSING ID")</x:f>
        <x:v>Processed material</x:v>
      </x:c>
      <x:c r="D809" s="4" t="str">
        <x:f>IFERROR(INDEX('Material routes'!$G$6:$G$2205,MATCH(U809,'Material routes'!$A$6:$A$2205,0)),"MISSING ID")</x:f>
        <x:v>Manufactured stock</x:v>
      </x:c>
      <x:c r="E809" s="4" t="str">
        <x:f>IFERROR(INDEX('Material routes'!$C$6:$C$2205,MATCH(U809,'Material routes'!$A$6:$A$2205,0)),"MISSING ID")</x:f>
        <x:v>Ingredient candidate</x:v>
      </x:c>
      <x:c r="F809" s="4" t="str">
        <x:f>IFERROR(INDEX('Material routes'!$E$6:$E$2205,MATCH(V809,'Material routes'!$A$6:$A$2205,0)),"MISSING ID")</x:f>
        <x:v>Ground-anchor stake set</x:v>
      </x:c>
      <x:c r="G809" s="4" t="str">
        <x:f>IFERROR(INDEX('Material routes'!$F$6:$F$2205,MATCH(V809,'Material routes'!$A$6:$A$2205,0)),"MISSING ID")</x:f>
        <x:v>Not applicable</x:v>
      </x:c>
      <x:c r="H809" s="4" t="str">
        <x:f>IFERROR(INDEX('Material routes'!$H$6:$H$2205,MATCH(V809,'Material routes'!$A$6:$A$2205,0)),"MISSING ID")</x:f>
        <x:v>Shelter item</x:v>
      </x:c>
      <x:c r="I809" s="4" t="str">
        <x:f>IFERROR(INDEX('Material routes'!$G$6:$G$2205,MATCH(V809,'Material routes'!$A$6:$A$2205,0)),"MISSING ID")</x:f>
        <x:v>Salvage</x:v>
      </x:c>
      <x:c r="J809" s="4" t="str">
        <x:f>IFERROR(INDEX('Material routes'!$B$6:$B$2205,MATCH(U809,'Material routes'!$A$6:$A$2205,0)),"MISSING ID")</x:f>
        <x:v>design.collection.ground_anchor_stake_set</x:v>
      </x:c>
      <x:c r="K809" s="4" t="str">
        <x:f>IFERROR(INDEX('Crafting recipes'!$C$6:$C$1005,MATCH(J809,'Crafting recipes'!$A$6:$A$1005,0)),"MISSING ID")</x:f>
        <x:v>Finished-item crafting</x:v>
      </x:c>
      <x:c r="L809" s="4" t="str">
        <x:f>IFERROR(INDEX('Material routes'!$K$6:$K$2205,MATCH(U809,'Material routes'!$A$6:$A$2205,0)),"MISSING ID")</x:f>
        <x:v>Proposal</x:v>
      </x:c>
      <x:c r="M809" s="4" t="str">
        <x:f>IFERROR(INDEX('Material routes'!$M$6:$M$2205,MATCH(U809,'Material routes'!$A$6:$A$2205,0)),"MISSING ID")</x:f>
        <x:v>Partial proposal</x:v>
      </x:c>
      <x:c r="N809" s="4"/>
      <x:c r="O809" s="4" t="str">
        <x:f>IFERROR(INDEX('Material routes'!$J$6:$J$2205,MATCH(U809,'Material routes'!$A$6:$A$2205,0)),"MISSING ID")</x:f>
        <x:v>Unspecified</x:v>
      </x:c>
      <x:c r="P809" s="4"/>
      <x:c r="Q809" s="4" t="str">
        <x:f>IFERROR(INDEX('Material routes'!$J$6:$J$2205,MATCH(V809,'Material routes'!$A$6:$A$2205,0)),"MISSING ID")</x:f>
        <x:v>Unspecified</x:v>
      </x:c>
      <x:c r="R809" s="4" t="str">
        <x:f>IF(L809="Withheld","Withheld premise",IF(E809="Tool candidate","Reusable prerequisite",IF(K809="Raw entry preparation","Entry-resource preparation",IF(G809="Not applicable",IF(IFERROR(INDEX('Items'!$AI$6:$AI$1005,MATCH(T809,'Items'!$A$6:$A$1005,0)),"MISSING ID")="Finished item","Finished endpoint",IF(IFERROR(INDEX('Items'!$AI$6:$AI$1005,MATCH(T809,'Items'!$A$6:$A$1005,0)),"MISSING ID")="Currency","Currency / no refinement tier","Recovered output / tier not applicable")),IF(OR(IFERROR(INDEX('Crafting recipes'!$H$6:$H$1005,MATCH(J809,'Crafting recipes'!$A$6:$A$1005,0)),"MISSING ID")="Unassigned",G809="Unassigned"),"Tier unresolved",IF(IFERROR(VALUE(RIGHT(G809,1))-VALUE(RIGHT(IFERROR(INDEX('Crafting recipes'!$H$6:$H$1005,MATCH(J809,'Crafting recipes'!$A$6:$A$1005,0)),"MISSING ID"),1)),0)=1,IF(B809=IFERROR(INDEX('Crafting recipes'!$H$6:$H$1005,MATCH(J809,'Crafting recipes'!$A$6:$A$1005,0)),"MISSING ID"),"Advances one material tier","Lower-tier ingredient; route advances one tier"),"Needs tier review"))))))</x:f>
        <x:v>Finished endpoint</x:v>
      </x:c>
      <x:c r="S809" s="4" t="str">
        <x:f>IFERROR(INDEX('Material routes'!$D$6:$D$2205,MATCH(U809,'Material routes'!$A$6:$A$2205,0)),"MISSING ID")</x:f>
        <x:v>author.metallurgy.steel_stock</x:v>
      </x:c>
      <x:c r="T809" s="4" t="str">
        <x:f>IFERROR(INDEX('Material routes'!$D$6:$D$2205,MATCH(V809,'Material routes'!$A$6:$A$2205,0)),"MISSING ID")</x:f>
        <x:v>proposal.collection.ground_anchor_stake_set</x:v>
      </x:c>
      <x:c r="U809" s="4" t="str">
        <x:v>design.collection.ground_anchor_stake_set.in.1</x:v>
      </x:c>
      <x:c r="V809" s="4" t="str">
        <x:v>design.collection.ground_anchor_stake_set.out</x:v>
      </x:c>
    </x:row>
    <x:row r="810" ht="64" customHeight="1">
      <x:c r="A810" s="4" t="str">
        <x:f>IFERROR(INDEX('Material routes'!$E$6:$E$2205,MATCH(U810,'Material routes'!$A$6:$A$2205,0)),"MISSING ID")</x:f>
        <x:v>Tendon cord</x:v>
      </x:c>
      <x:c r="B810" s="4" t="str">
        <x:f>IFERROR(INDEX('Material routes'!$F$6:$F$2205,MATCH(U810,'Material routes'!$A$6:$A$2205,0)),"MISSING ID")</x:f>
        <x:v>T1</x:v>
      </x:c>
      <x:c r="C810" s="4" t="str">
        <x:f>IFERROR(INDEX('Material routes'!$H$6:$H$2205,MATCH(U810,'Material routes'!$A$6:$A$2205,0)),"MISSING ID")</x:f>
        <x:v>Crafting component</x:v>
      </x:c>
      <x:c r="D810" s="4" t="str">
        <x:f>IFERROR(INDEX('Material routes'!$G$6:$G$2205,MATCH(U810,'Material routes'!$A$6:$A$2205,0)),"MISSING ID")</x:f>
        <x:v>Crafting components</x:v>
      </x:c>
      <x:c r="E810" s="4" t="str">
        <x:f>IFERROR(INDEX('Material routes'!$C$6:$C$2205,MATCH(U810,'Material routes'!$A$6:$A$2205,0)),"MISSING ID")</x:f>
        <x:v>Ingredient candidate</x:v>
      </x:c>
      <x:c r="F810" s="4" t="str">
        <x:f>IFERROR(INDEX('Material routes'!$E$6:$E$2205,MATCH(V810,'Material routes'!$A$6:$A$2205,0)),"MISSING ID")</x:f>
        <x:v>Tendon guyline bundle</x:v>
      </x:c>
      <x:c r="G810" s="4" t="str">
        <x:f>IFERROR(INDEX('Material routes'!$F$6:$F$2205,MATCH(V810,'Material routes'!$A$6:$A$2205,0)),"MISSING ID")</x:f>
        <x:v>Not applicable</x:v>
      </x:c>
      <x:c r="H810" s="4" t="str">
        <x:f>IFERROR(INDEX('Material routes'!$H$6:$H$2205,MATCH(V810,'Material routes'!$A$6:$A$2205,0)),"MISSING ID")</x:f>
        <x:v>Shelter item</x:v>
      </x:c>
      <x:c r="I810" s="4" t="str">
        <x:f>IFERROR(INDEX('Material routes'!$G$6:$G$2205,MATCH(V810,'Material routes'!$A$6:$A$2205,0)),"MISSING ID")</x:f>
        <x:v>Salvage</x:v>
      </x:c>
      <x:c r="J810" s="4" t="str">
        <x:f>IFERROR(INDEX('Material routes'!$B$6:$B$2205,MATCH(U810,'Material routes'!$A$6:$A$2205,0)),"MISSING ID")</x:f>
        <x:v>design.collection.tendon_guyline_bundle</x:v>
      </x:c>
      <x:c r="K810" s="4" t="str">
        <x:f>IFERROR(INDEX('Crafting recipes'!$C$6:$C$1005,MATCH(J810,'Crafting recipes'!$A$6:$A$1005,0)),"MISSING ID")</x:f>
        <x:v>Finished-item crafting</x:v>
      </x:c>
      <x:c r="L810" s="4" t="str">
        <x:f>IFERROR(INDEX('Material routes'!$K$6:$K$2205,MATCH(U810,'Material routes'!$A$6:$A$2205,0)),"MISSING ID")</x:f>
        <x:v>Proposal</x:v>
      </x:c>
      <x:c r="M810" s="4" t="str">
        <x:f>IFERROR(INDEX('Material routes'!$M$6:$M$2205,MATCH(U810,'Material routes'!$A$6:$A$2205,0)),"MISSING ID")</x:f>
        <x:v>Partial proposal</x:v>
      </x:c>
      <x:c r="N810" s="4"/>
      <x:c r="O810" s="4" t="str">
        <x:f>IFERROR(INDEX('Material routes'!$J$6:$J$2205,MATCH(U810,'Material routes'!$A$6:$A$2205,0)),"MISSING ID")</x:f>
        <x:v>Unspecified</x:v>
      </x:c>
      <x:c r="P810" s="4"/>
      <x:c r="Q810" s="4" t="str">
        <x:f>IFERROR(INDEX('Material routes'!$J$6:$J$2205,MATCH(V810,'Material routes'!$A$6:$A$2205,0)),"MISSING ID")</x:f>
        <x:v>Unspecified</x:v>
      </x:c>
      <x:c r="R810" s="4" t="str">
        <x:f>IF(L810="Withheld","Withheld premise",IF(E810="Tool candidate","Reusable prerequisite",IF(K810="Raw entry preparation","Entry-resource preparation",IF(G810="Not applicable",IF(IFERROR(INDEX('Items'!$AI$6:$AI$1005,MATCH(T810,'Items'!$A$6:$A$1005,0)),"MISSING ID")="Finished item","Finished endpoint",IF(IFERROR(INDEX('Items'!$AI$6:$AI$1005,MATCH(T810,'Items'!$A$6:$A$1005,0)),"MISSING ID")="Currency","Currency / no refinement tier","Recovered output / tier not applicable")),IF(OR(IFERROR(INDEX('Crafting recipes'!$H$6:$H$1005,MATCH(J810,'Crafting recipes'!$A$6:$A$1005,0)),"MISSING ID")="Unassigned",G810="Unassigned"),"Tier unresolved",IF(IFERROR(VALUE(RIGHT(G810,1))-VALUE(RIGHT(IFERROR(INDEX('Crafting recipes'!$H$6:$H$1005,MATCH(J810,'Crafting recipes'!$A$6:$A$1005,0)),"MISSING ID"),1)),0)=1,IF(B810=IFERROR(INDEX('Crafting recipes'!$H$6:$H$1005,MATCH(J810,'Crafting recipes'!$A$6:$A$1005,0)),"MISSING ID"),"Advances one material tier","Lower-tier ingredient; route advances one tier"),"Needs tier review"))))))</x:f>
        <x:v>Finished endpoint</x:v>
      </x:c>
      <x:c r="S810" s="4" t="str">
        <x:f>IFERROR(INDEX('Material routes'!$D$6:$D$2205,MATCH(U810,'Material routes'!$A$6:$A$2205,0)),"MISSING ID")</x:f>
        <x:v>proposal.bio.cord</x:v>
      </x:c>
      <x:c r="T810" s="4" t="str">
        <x:f>IFERROR(INDEX('Material routes'!$D$6:$D$2205,MATCH(V810,'Material routes'!$A$6:$A$2205,0)),"MISSING ID")</x:f>
        <x:v>proposal.collection.tendon_guyline_bundle</x:v>
      </x:c>
      <x:c r="U810" s="4" t="str">
        <x:v>design.collection.tendon_guyline_bundle.in.1</x:v>
      </x:c>
      <x:c r="V810" s="4" t="str">
        <x:v>design.collection.tendon_guyline_bundle.out</x:v>
      </x:c>
    </x:row>
    <x:row r="811" ht="64" customHeight="1">
      <x:c r="A811" s="4" t="str">
        <x:f>IFERROR(INDEX('Material routes'!$E$6:$E$2205,MATCH(U811,'Material routes'!$A$6:$A$2205,0)),"MISSING ID")</x:f>
        <x:v>Bonded husk sheet</x:v>
      </x:c>
      <x:c r="B811" s="4" t="str">
        <x:f>IFERROR(INDEX('Material routes'!$F$6:$F$2205,MATCH(U811,'Material routes'!$A$6:$A$2205,0)),"MISSING ID")</x:f>
        <x:v>T2</x:v>
      </x:c>
      <x:c r="C811" s="4" t="str">
        <x:f>IFERROR(INDEX('Material routes'!$H$6:$H$2205,MATCH(U811,'Material routes'!$A$6:$A$2205,0)),"MISSING ID")</x:f>
        <x:v>Processed material</x:v>
      </x:c>
      <x:c r="D811" s="4" t="str">
        <x:f>IFERROR(INDEX('Material routes'!$G$6:$G$2205,MATCH(U811,'Material routes'!$A$6:$A$2205,0)),"MISSING ID")</x:f>
        <x:v>Manufactured stock</x:v>
      </x:c>
      <x:c r="E811" s="4" t="str">
        <x:f>IFERROR(INDEX('Material routes'!$C$6:$C$2205,MATCH(U811,'Material routes'!$A$6:$A$2205,0)),"MISSING ID")</x:f>
        <x:v>Ingredient candidate</x:v>
      </x:c>
      <x:c r="F811" s="4" t="str">
        <x:f>IFERROR(INDEX('Material routes'!$E$6:$E$2205,MATCH(V811,'Material routes'!$A$6:$A$2205,0)),"MISSING ID")</x:f>
        <x:v>Husk-sheet grit screen</x:v>
      </x:c>
      <x:c r="G811" s="4" t="str">
        <x:f>IFERROR(INDEX('Material routes'!$F$6:$F$2205,MATCH(V811,'Material routes'!$A$6:$A$2205,0)),"MISSING ID")</x:f>
        <x:v>Not applicable</x:v>
      </x:c>
      <x:c r="H811" s="4" t="str">
        <x:f>IFERROR(INDEX('Material routes'!$H$6:$H$2205,MATCH(V811,'Material routes'!$A$6:$A$2205,0)),"MISSING ID")</x:f>
        <x:v>Shelter item</x:v>
      </x:c>
      <x:c r="I811" s="4" t="str">
        <x:f>IFERROR(INDEX('Material routes'!$G$6:$G$2205,MATCH(V811,'Material routes'!$A$6:$A$2205,0)),"MISSING ID")</x:f>
        <x:v>Salvage</x:v>
      </x:c>
      <x:c r="J811" s="4" t="str">
        <x:f>IFERROR(INDEX('Material routes'!$B$6:$B$2205,MATCH(U811,'Material routes'!$A$6:$A$2205,0)),"MISSING ID")</x:f>
        <x:v>design.collection.husk_sheet_grit_screen</x:v>
      </x:c>
      <x:c r="K811" s="4" t="str">
        <x:f>IFERROR(INDEX('Crafting recipes'!$C$6:$C$1005,MATCH(J811,'Crafting recipes'!$A$6:$A$1005,0)),"MISSING ID")</x:f>
        <x:v>Finished-item crafting</x:v>
      </x:c>
      <x:c r="L811" s="4" t="str">
        <x:f>IFERROR(INDEX('Material routes'!$K$6:$K$2205,MATCH(U811,'Material routes'!$A$6:$A$2205,0)),"MISSING ID")</x:f>
        <x:v>Proposal</x:v>
      </x:c>
      <x:c r="M811" s="4" t="str">
        <x:f>IFERROR(INDEX('Material routes'!$M$6:$M$2205,MATCH(U811,'Material routes'!$A$6:$A$2205,0)),"MISSING ID")</x:f>
        <x:v>Partial proposal</x:v>
      </x:c>
      <x:c r="N811" s="4"/>
      <x:c r="O811" s="4" t="str">
        <x:f>IFERROR(INDEX('Material routes'!$J$6:$J$2205,MATCH(U811,'Material routes'!$A$6:$A$2205,0)),"MISSING ID")</x:f>
        <x:v>Unspecified</x:v>
      </x:c>
      <x:c r="P811" s="4"/>
      <x:c r="Q811" s="4" t="str">
        <x:f>IFERROR(INDEX('Material routes'!$J$6:$J$2205,MATCH(V811,'Material routes'!$A$6:$A$2205,0)),"MISSING ID")</x:f>
        <x:v>Unspecified</x:v>
      </x:c>
      <x:c r="R811" s="4" t="str">
        <x:f>IF(L811="Withheld","Withheld premise",IF(E811="Tool candidate","Reusable prerequisite",IF(K811="Raw entry preparation","Entry-resource preparation",IF(G811="Not applicable",IF(IFERROR(INDEX('Items'!$AI$6:$AI$1005,MATCH(T811,'Items'!$A$6:$A$1005,0)),"MISSING ID")="Finished item","Finished endpoint",IF(IFERROR(INDEX('Items'!$AI$6:$AI$1005,MATCH(T811,'Items'!$A$6:$A$1005,0)),"MISSING ID")="Currency","Currency / no refinement tier","Recovered output / tier not applicable")),IF(OR(IFERROR(INDEX('Crafting recipes'!$H$6:$H$1005,MATCH(J811,'Crafting recipes'!$A$6:$A$1005,0)),"MISSING ID")="Unassigned",G811="Unassigned"),"Tier unresolved",IF(IFERROR(VALUE(RIGHT(G811,1))-VALUE(RIGHT(IFERROR(INDEX('Crafting recipes'!$H$6:$H$1005,MATCH(J811,'Crafting recipes'!$A$6:$A$1005,0)),"MISSING ID"),1)),0)=1,IF(B811=IFERROR(INDEX('Crafting recipes'!$H$6:$H$1005,MATCH(J811,'Crafting recipes'!$A$6:$A$1005,0)),"MISSING ID"),"Advances one material tier","Lower-tier ingredient; route advances one tier"),"Needs tier review"))))))</x:f>
        <x:v>Finished endpoint</x:v>
      </x:c>
      <x:c r="S811" s="4" t="str">
        <x:f>IFERROR(INDEX('Material routes'!$D$6:$D$2205,MATCH(U811,'Material routes'!$A$6:$A$2205,0)),"MISSING ID")</x:f>
        <x:v>proposal.branch.husk_sheet</x:v>
      </x:c>
      <x:c r="T811" s="4" t="str">
        <x:f>IFERROR(INDEX('Material routes'!$D$6:$D$2205,MATCH(V811,'Material routes'!$A$6:$A$2205,0)),"MISSING ID")</x:f>
        <x:v>proposal.collection.husk_sheet_grit_screen</x:v>
      </x:c>
      <x:c r="U811" s="4" t="str">
        <x:v>design.collection.husk_sheet_grit_screen.in.1</x:v>
      </x:c>
      <x:c r="V811" s="4" t="str">
        <x:v>design.collection.husk_sheet_grit_screen.out</x:v>
      </x:c>
    </x:row>
    <x:row r="812" ht="64" customHeight="1">
      <x:c r="A812" s="4" t="str">
        <x:f>IFERROR(INDEX('Material routes'!$E$6:$E$2205,MATCH(U812,'Material routes'!$A$6:$A$2205,0)),"MISSING ID")</x:f>
        <x:v>Worked iron stock</x:v>
      </x:c>
      <x:c r="B812" s="4" t="str">
        <x:f>IFERROR(INDEX('Material routes'!$F$6:$F$2205,MATCH(U812,'Material routes'!$A$6:$A$2205,0)),"MISSING ID")</x:f>
        <x:v>T2</x:v>
      </x:c>
      <x:c r="C812" s="4" t="str">
        <x:f>IFERROR(INDEX('Material routes'!$H$6:$H$2205,MATCH(U812,'Material routes'!$A$6:$A$2205,0)),"MISSING ID")</x:f>
        <x:v>Processed material</x:v>
      </x:c>
      <x:c r="D812" s="4" t="str">
        <x:f>IFERROR(INDEX('Material routes'!$G$6:$G$2205,MATCH(U812,'Material routes'!$A$6:$A$2205,0)),"MISSING ID")</x:f>
        <x:v>Manufactured stock</x:v>
      </x:c>
      <x:c r="E812" s="4" t="str">
        <x:f>IFERROR(INDEX('Material routes'!$C$6:$C$2205,MATCH(U812,'Material routes'!$A$6:$A$2205,0)),"MISSING ID")</x:f>
        <x:v>Ingredient candidate</x:v>
      </x:c>
      <x:c r="F812" s="4" t="str">
        <x:f>IFERROR(INDEX('Material routes'!$E$6:$E$2205,MATCH(V812,'Material routes'!$A$6:$A$2205,0)),"MISSING ID")</x:f>
        <x:v>Husk-sheet grit screen</x:v>
      </x:c>
      <x:c r="G812" s="4" t="str">
        <x:f>IFERROR(INDEX('Material routes'!$F$6:$F$2205,MATCH(V812,'Material routes'!$A$6:$A$2205,0)),"MISSING ID")</x:f>
        <x:v>Not applicable</x:v>
      </x:c>
      <x:c r="H812" s="4" t="str">
        <x:f>IFERROR(INDEX('Material routes'!$H$6:$H$2205,MATCH(V812,'Material routes'!$A$6:$A$2205,0)),"MISSING ID")</x:f>
        <x:v>Shelter item</x:v>
      </x:c>
      <x:c r="I812" s="4" t="str">
        <x:f>IFERROR(INDEX('Material routes'!$G$6:$G$2205,MATCH(V812,'Material routes'!$A$6:$A$2205,0)),"MISSING ID")</x:f>
        <x:v>Salvage</x:v>
      </x:c>
      <x:c r="J812" s="4" t="str">
        <x:f>IFERROR(INDEX('Material routes'!$B$6:$B$2205,MATCH(U812,'Material routes'!$A$6:$A$2205,0)),"MISSING ID")</x:f>
        <x:v>design.collection.husk_sheet_grit_screen</x:v>
      </x:c>
      <x:c r="K812" s="4" t="str">
        <x:f>IFERROR(INDEX('Crafting recipes'!$C$6:$C$1005,MATCH(J812,'Crafting recipes'!$A$6:$A$1005,0)),"MISSING ID")</x:f>
        <x:v>Finished-item crafting</x:v>
      </x:c>
      <x:c r="L812" s="4" t="str">
        <x:f>IFERROR(INDEX('Material routes'!$K$6:$K$2205,MATCH(U812,'Material routes'!$A$6:$A$2205,0)),"MISSING ID")</x:f>
        <x:v>Proposal</x:v>
      </x:c>
      <x:c r="M812" s="4" t="str">
        <x:f>IFERROR(INDEX('Material routes'!$M$6:$M$2205,MATCH(U812,'Material routes'!$A$6:$A$2205,0)),"MISSING ID")</x:f>
        <x:v>Partial proposal</x:v>
      </x:c>
      <x:c r="N812" s="4"/>
      <x:c r="O812" s="4" t="str">
        <x:f>IFERROR(INDEX('Material routes'!$J$6:$J$2205,MATCH(U812,'Material routes'!$A$6:$A$2205,0)),"MISSING ID")</x:f>
        <x:v>Unspecified</x:v>
      </x:c>
      <x:c r="P812" s="4"/>
      <x:c r="Q812" s="4" t="str">
        <x:f>IFERROR(INDEX('Material routes'!$J$6:$J$2205,MATCH(V812,'Material routes'!$A$6:$A$2205,0)),"MISSING ID")</x:f>
        <x:v>Unspecified</x:v>
      </x:c>
      <x:c r="R812" s="4" t="str">
        <x:f>IF(L812="Withheld","Withheld premise",IF(E812="Tool candidate","Reusable prerequisite",IF(K812="Raw entry preparation","Entry-resource preparation",IF(G812="Not applicable",IF(IFERROR(INDEX('Items'!$AI$6:$AI$1005,MATCH(T812,'Items'!$A$6:$A$1005,0)),"MISSING ID")="Finished item","Finished endpoint",IF(IFERROR(INDEX('Items'!$AI$6:$AI$1005,MATCH(T812,'Items'!$A$6:$A$1005,0)),"MISSING ID")="Currency","Currency / no refinement tier","Recovered output / tier not applicable")),IF(OR(IFERROR(INDEX('Crafting recipes'!$H$6:$H$1005,MATCH(J812,'Crafting recipes'!$A$6:$A$1005,0)),"MISSING ID")="Unassigned",G812="Unassigned"),"Tier unresolved",IF(IFERROR(VALUE(RIGHT(G812,1))-VALUE(RIGHT(IFERROR(INDEX('Crafting recipes'!$H$6:$H$1005,MATCH(J812,'Crafting recipes'!$A$6:$A$1005,0)),"MISSING ID"),1)),0)=1,IF(B812=IFERROR(INDEX('Crafting recipes'!$H$6:$H$1005,MATCH(J812,'Crafting recipes'!$A$6:$A$1005,0)),"MISSING ID"),"Advances one material tier","Lower-tier ingredient; route advances one tier"),"Needs tier review"))))))</x:f>
        <x:v>Finished endpoint</x:v>
      </x:c>
      <x:c r="S812" s="4" t="str">
        <x:f>IFERROR(INDEX('Material routes'!$D$6:$D$2205,MATCH(U812,'Material routes'!$A$6:$A$2205,0)),"MISSING ID")</x:f>
        <x:v>proposal.natural.iron_stock</x:v>
      </x:c>
      <x:c r="T812" s="4" t="str">
        <x:f>IFERROR(INDEX('Material routes'!$D$6:$D$2205,MATCH(V812,'Material routes'!$A$6:$A$2205,0)),"MISSING ID")</x:f>
        <x:v>proposal.collection.husk_sheet_grit_screen</x:v>
      </x:c>
      <x:c r="U812" s="4" t="str">
        <x:v>design.collection.husk_sheet_grit_screen.in.2</x:v>
      </x:c>
      <x:c r="V812" s="4" t="str">
        <x:v>design.collection.husk_sheet_grit_screen.out</x:v>
      </x:c>
    </x:row>
    <x:row r="813" ht="64" customHeight="1">
      <x:c r="A813" s="4" t="str">
        <x:f>IFERROR(INDEX('Material routes'!$E$6:$E$2205,MATCH(U813,'Material routes'!$A$6:$A$2205,0)),"MISSING ID")</x:f>
        <x:v>Separated shell lamina stock</x:v>
      </x:c>
      <x:c r="B813" s="4" t="str">
        <x:f>IFERROR(INDEX('Material routes'!$F$6:$F$2205,MATCH(U813,'Material routes'!$A$6:$A$2205,0)),"MISSING ID")</x:f>
        <x:v>T1</x:v>
      </x:c>
      <x:c r="C813" s="4" t="str">
        <x:f>IFERROR(INDEX('Material routes'!$H$6:$H$2205,MATCH(U813,'Material routes'!$A$6:$A$2205,0)),"MISSING ID")</x:f>
        <x:v>Processed material</x:v>
      </x:c>
      <x:c r="D813" s="4" t="str">
        <x:f>IFERROR(INDEX('Material routes'!$G$6:$G$2205,MATCH(U813,'Material routes'!$A$6:$A$2205,0)),"MISSING ID")</x:f>
        <x:v>Manufactured stock</x:v>
      </x:c>
      <x:c r="E813" s="4" t="str">
        <x:f>IFERROR(INDEX('Material routes'!$C$6:$C$2205,MATCH(U813,'Material routes'!$A$6:$A$2205,0)),"MISSING ID")</x:f>
        <x:v>Ingredient candidate</x:v>
      </x:c>
      <x:c r="F813" s="4" t="str">
        <x:f>IFERROR(INDEX('Material routes'!$E$6:$E$2205,MATCH(V813,'Material routes'!$A$6:$A$2205,0)),"MISSING ID")</x:f>
        <x:v>Shell ground-rest panel</x:v>
      </x:c>
      <x:c r="G813" s="4" t="str">
        <x:f>IFERROR(INDEX('Material routes'!$F$6:$F$2205,MATCH(V813,'Material routes'!$A$6:$A$2205,0)),"MISSING ID")</x:f>
        <x:v>Not applicable</x:v>
      </x:c>
      <x:c r="H813" s="4" t="str">
        <x:f>IFERROR(INDEX('Material routes'!$H$6:$H$2205,MATCH(V813,'Material routes'!$A$6:$A$2205,0)),"MISSING ID")</x:f>
        <x:v>Shelter item</x:v>
      </x:c>
      <x:c r="I813" s="4" t="str">
        <x:f>IFERROR(INDEX('Material routes'!$G$6:$G$2205,MATCH(V813,'Material routes'!$A$6:$A$2205,0)),"MISSING ID")</x:f>
        <x:v>Salvage</x:v>
      </x:c>
      <x:c r="J813" s="4" t="str">
        <x:f>IFERROR(INDEX('Material routes'!$B$6:$B$2205,MATCH(U813,'Material routes'!$A$6:$A$2205,0)),"MISSING ID")</x:f>
        <x:v>design.collection.shell_ground_rest_panel</x:v>
      </x:c>
      <x:c r="K813" s="4" t="str">
        <x:f>IFERROR(INDEX('Crafting recipes'!$C$6:$C$1005,MATCH(J813,'Crafting recipes'!$A$6:$A$1005,0)),"MISSING ID")</x:f>
        <x:v>Finished-item crafting</x:v>
      </x:c>
      <x:c r="L813" s="4" t="str">
        <x:f>IFERROR(INDEX('Material routes'!$K$6:$K$2205,MATCH(U813,'Material routes'!$A$6:$A$2205,0)),"MISSING ID")</x:f>
        <x:v>Proposal</x:v>
      </x:c>
      <x:c r="M813" s="4" t="str">
        <x:f>IFERROR(INDEX('Material routes'!$M$6:$M$2205,MATCH(U813,'Material routes'!$A$6:$A$2205,0)),"MISSING ID")</x:f>
        <x:v>Partial proposal</x:v>
      </x:c>
      <x:c r="N813" s="4"/>
      <x:c r="O813" s="4" t="str">
        <x:f>IFERROR(INDEX('Material routes'!$J$6:$J$2205,MATCH(U813,'Material routes'!$A$6:$A$2205,0)),"MISSING ID")</x:f>
        <x:v>Unspecified</x:v>
      </x:c>
      <x:c r="P813" s="4"/>
      <x:c r="Q813" s="4" t="str">
        <x:f>IFERROR(INDEX('Material routes'!$J$6:$J$2205,MATCH(V813,'Material routes'!$A$6:$A$2205,0)),"MISSING ID")</x:f>
        <x:v>Unspecified</x:v>
      </x:c>
      <x:c r="R813" s="4" t="str">
        <x:f>IF(L813="Withheld","Withheld premise",IF(E813="Tool candidate","Reusable prerequisite",IF(K813="Raw entry preparation","Entry-resource preparation",IF(G813="Not applicable",IF(IFERROR(INDEX('Items'!$AI$6:$AI$1005,MATCH(T813,'Items'!$A$6:$A$1005,0)),"MISSING ID")="Finished item","Finished endpoint",IF(IFERROR(INDEX('Items'!$AI$6:$AI$1005,MATCH(T813,'Items'!$A$6:$A$1005,0)),"MISSING ID")="Currency","Currency / no refinement tier","Recovered output / tier not applicable")),IF(OR(IFERROR(INDEX('Crafting recipes'!$H$6:$H$1005,MATCH(J813,'Crafting recipes'!$A$6:$A$1005,0)),"MISSING ID")="Unassigned",G813="Unassigned"),"Tier unresolved",IF(IFERROR(VALUE(RIGHT(G813,1))-VALUE(RIGHT(IFERROR(INDEX('Crafting recipes'!$H$6:$H$1005,MATCH(J813,'Crafting recipes'!$A$6:$A$1005,0)),"MISSING ID"),1)),0)=1,IF(B813=IFERROR(INDEX('Crafting recipes'!$H$6:$H$1005,MATCH(J813,'Crafting recipes'!$A$6:$A$1005,0)),"MISSING ID"),"Advances one material tier","Lower-tier ingredient; route advances one tier"),"Needs tier review"))))))</x:f>
        <x:v>Finished endpoint</x:v>
      </x:c>
      <x:c r="S813" s="4" t="str">
        <x:f>IFERROR(INDEX('Material routes'!$D$6:$D$2205,MATCH(U813,'Material routes'!$A$6:$A$2205,0)),"MISSING ID")</x:f>
        <x:v>proposal.t1.shell_lamina</x:v>
      </x:c>
      <x:c r="T813" s="4" t="str">
        <x:f>IFERROR(INDEX('Material routes'!$D$6:$D$2205,MATCH(V813,'Material routes'!$A$6:$A$2205,0)),"MISSING ID")</x:f>
        <x:v>proposal.collection.shell_ground_rest_panel</x:v>
      </x:c>
      <x:c r="U813" s="4" t="str">
        <x:v>design.collection.shell_ground_rest_panel.in.1</x:v>
      </x:c>
      <x:c r="V813" s="4" t="str">
        <x:v>design.collection.shell_ground_rest_panel.out</x:v>
      </x:c>
    </x:row>
    <x:row r="814" ht="64" customHeight="1">
      <x:c r="A814" s="4" t="str">
        <x:f>IFERROR(INDEX('Material routes'!$E$6:$E$2205,MATCH(U814,'Material routes'!$A$6:$A$2205,0)),"MISSING ID")</x:f>
        <x:v>Worked iron stock</x:v>
      </x:c>
      <x:c r="B814" s="4" t="str">
        <x:f>IFERROR(INDEX('Material routes'!$F$6:$F$2205,MATCH(U814,'Material routes'!$A$6:$A$2205,0)),"MISSING ID")</x:f>
        <x:v>T2</x:v>
      </x:c>
      <x:c r="C814" s="4" t="str">
        <x:f>IFERROR(INDEX('Material routes'!$H$6:$H$2205,MATCH(U814,'Material routes'!$A$6:$A$2205,0)),"MISSING ID")</x:f>
        <x:v>Processed material</x:v>
      </x:c>
      <x:c r="D814" s="4" t="str">
        <x:f>IFERROR(INDEX('Material routes'!$G$6:$G$2205,MATCH(U814,'Material routes'!$A$6:$A$2205,0)),"MISSING ID")</x:f>
        <x:v>Manufactured stock</x:v>
      </x:c>
      <x:c r="E814" s="4" t="str">
        <x:f>IFERROR(INDEX('Material routes'!$C$6:$C$2205,MATCH(U814,'Material routes'!$A$6:$A$2205,0)),"MISSING ID")</x:f>
        <x:v>Ingredient candidate</x:v>
      </x:c>
      <x:c r="F814" s="4" t="str">
        <x:f>IFERROR(INDEX('Material routes'!$E$6:$E$2205,MATCH(V814,'Material routes'!$A$6:$A$2205,0)),"MISSING ID")</x:f>
        <x:v>Shell ground-rest panel</x:v>
      </x:c>
      <x:c r="G814" s="4" t="str">
        <x:f>IFERROR(INDEX('Material routes'!$F$6:$F$2205,MATCH(V814,'Material routes'!$A$6:$A$2205,0)),"MISSING ID")</x:f>
        <x:v>Not applicable</x:v>
      </x:c>
      <x:c r="H814" s="4" t="str">
        <x:f>IFERROR(INDEX('Material routes'!$H$6:$H$2205,MATCH(V814,'Material routes'!$A$6:$A$2205,0)),"MISSING ID")</x:f>
        <x:v>Shelter item</x:v>
      </x:c>
      <x:c r="I814" s="4" t="str">
        <x:f>IFERROR(INDEX('Material routes'!$G$6:$G$2205,MATCH(V814,'Material routes'!$A$6:$A$2205,0)),"MISSING ID")</x:f>
        <x:v>Salvage</x:v>
      </x:c>
      <x:c r="J814" s="4" t="str">
        <x:f>IFERROR(INDEX('Material routes'!$B$6:$B$2205,MATCH(U814,'Material routes'!$A$6:$A$2205,0)),"MISSING ID")</x:f>
        <x:v>design.collection.shell_ground_rest_panel</x:v>
      </x:c>
      <x:c r="K814" s="4" t="str">
        <x:f>IFERROR(INDEX('Crafting recipes'!$C$6:$C$1005,MATCH(J814,'Crafting recipes'!$A$6:$A$1005,0)),"MISSING ID")</x:f>
        <x:v>Finished-item crafting</x:v>
      </x:c>
      <x:c r="L814" s="4" t="str">
        <x:f>IFERROR(INDEX('Material routes'!$K$6:$K$2205,MATCH(U814,'Material routes'!$A$6:$A$2205,0)),"MISSING ID")</x:f>
        <x:v>Proposal</x:v>
      </x:c>
      <x:c r="M814" s="4" t="str">
        <x:f>IFERROR(INDEX('Material routes'!$M$6:$M$2205,MATCH(U814,'Material routes'!$A$6:$A$2205,0)),"MISSING ID")</x:f>
        <x:v>Partial proposal</x:v>
      </x:c>
      <x:c r="N814" s="4"/>
      <x:c r="O814" s="4" t="str">
        <x:f>IFERROR(INDEX('Material routes'!$J$6:$J$2205,MATCH(U814,'Material routes'!$A$6:$A$2205,0)),"MISSING ID")</x:f>
        <x:v>Unspecified</x:v>
      </x:c>
      <x:c r="P814" s="4"/>
      <x:c r="Q814" s="4" t="str">
        <x:f>IFERROR(INDEX('Material routes'!$J$6:$J$2205,MATCH(V814,'Material routes'!$A$6:$A$2205,0)),"MISSING ID")</x:f>
        <x:v>Unspecified</x:v>
      </x:c>
      <x:c r="R814" s="4" t="str">
        <x:f>IF(L814="Withheld","Withheld premise",IF(E814="Tool candidate","Reusable prerequisite",IF(K814="Raw entry preparation","Entry-resource preparation",IF(G814="Not applicable",IF(IFERROR(INDEX('Items'!$AI$6:$AI$1005,MATCH(T814,'Items'!$A$6:$A$1005,0)),"MISSING ID")="Finished item","Finished endpoint",IF(IFERROR(INDEX('Items'!$AI$6:$AI$1005,MATCH(T814,'Items'!$A$6:$A$1005,0)),"MISSING ID")="Currency","Currency / no refinement tier","Recovered output / tier not applicable")),IF(OR(IFERROR(INDEX('Crafting recipes'!$H$6:$H$1005,MATCH(J814,'Crafting recipes'!$A$6:$A$1005,0)),"MISSING ID")="Unassigned",G814="Unassigned"),"Tier unresolved",IF(IFERROR(VALUE(RIGHT(G814,1))-VALUE(RIGHT(IFERROR(INDEX('Crafting recipes'!$H$6:$H$1005,MATCH(J814,'Crafting recipes'!$A$6:$A$1005,0)),"MISSING ID"),1)),0)=1,IF(B814=IFERROR(INDEX('Crafting recipes'!$H$6:$H$1005,MATCH(J814,'Crafting recipes'!$A$6:$A$1005,0)),"MISSING ID"),"Advances one material tier","Lower-tier ingredient; route advances one tier"),"Needs tier review"))))))</x:f>
        <x:v>Finished endpoint</x:v>
      </x:c>
      <x:c r="S814" s="4" t="str">
        <x:f>IFERROR(INDEX('Material routes'!$D$6:$D$2205,MATCH(U814,'Material routes'!$A$6:$A$2205,0)),"MISSING ID")</x:f>
        <x:v>proposal.natural.iron_stock</x:v>
      </x:c>
      <x:c r="T814" s="4" t="str">
        <x:f>IFERROR(INDEX('Material routes'!$D$6:$D$2205,MATCH(V814,'Material routes'!$A$6:$A$2205,0)),"MISSING ID")</x:f>
        <x:v>proposal.collection.shell_ground_rest_panel</x:v>
      </x:c>
      <x:c r="U814" s="4" t="str">
        <x:v>design.collection.shell_ground_rest_panel.in.2</x:v>
      </x:c>
      <x:c r="V814" s="4" t="str">
        <x:v>design.collection.shell_ground_rest_panel.out</x:v>
      </x:c>
    </x:row>
    <x:row r="815" ht="64" customHeight="1">
      <x:c r="A815" s="4" t="str">
        <x:f>IFERROR(INDEX('Material routes'!$E$6:$E$2205,MATCH(U815,'Material routes'!$A$6:$A$2205,0)),"MISSING ID")</x:f>
        <x:v>Bonded husk sheet</x:v>
      </x:c>
      <x:c r="B815" s="4" t="str">
        <x:f>IFERROR(INDEX('Material routes'!$F$6:$F$2205,MATCH(U815,'Material routes'!$A$6:$A$2205,0)),"MISSING ID")</x:f>
        <x:v>T2</x:v>
      </x:c>
      <x:c r="C815" s="4" t="str">
        <x:f>IFERROR(INDEX('Material routes'!$H$6:$H$2205,MATCH(U815,'Material routes'!$A$6:$A$2205,0)),"MISSING ID")</x:f>
        <x:v>Processed material</x:v>
      </x:c>
      <x:c r="D815" s="4" t="str">
        <x:f>IFERROR(INDEX('Material routes'!$G$6:$G$2205,MATCH(U815,'Material routes'!$A$6:$A$2205,0)),"MISSING ID")</x:f>
        <x:v>Manufactured stock</x:v>
      </x:c>
      <x:c r="E815" s="4" t="str">
        <x:f>IFERROR(INDEX('Material routes'!$C$6:$C$2205,MATCH(U815,'Material routes'!$A$6:$A$2205,0)),"MISSING ID")</x:f>
        <x:v>Ingredient candidate</x:v>
      </x:c>
      <x:c r="F815" s="4" t="str">
        <x:f>IFERROR(INDEX('Material routes'!$E$6:$E$2205,MATCH(V815,'Material routes'!$A$6:$A$2205,0)),"MISSING ID")</x:f>
        <x:v>Folding privacy partition</x:v>
      </x:c>
      <x:c r="G815" s="4" t="str">
        <x:f>IFERROR(INDEX('Material routes'!$F$6:$F$2205,MATCH(V815,'Material routes'!$A$6:$A$2205,0)),"MISSING ID")</x:f>
        <x:v>Not applicable</x:v>
      </x:c>
      <x:c r="H815" s="4" t="str">
        <x:f>IFERROR(INDEX('Material routes'!$H$6:$H$2205,MATCH(V815,'Material routes'!$A$6:$A$2205,0)),"MISSING ID")</x:f>
        <x:v>Shelter item</x:v>
      </x:c>
      <x:c r="I815" s="4" t="str">
        <x:f>IFERROR(INDEX('Material routes'!$G$6:$G$2205,MATCH(V815,'Material routes'!$A$6:$A$2205,0)),"MISSING ID")</x:f>
        <x:v>Salvage</x:v>
      </x:c>
      <x:c r="J815" s="4" t="str">
        <x:f>IFERROR(INDEX('Material routes'!$B$6:$B$2205,MATCH(U815,'Material routes'!$A$6:$A$2205,0)),"MISSING ID")</x:f>
        <x:v>design.collection.folding_privacy_partition</x:v>
      </x:c>
      <x:c r="K815" s="4" t="str">
        <x:f>IFERROR(INDEX('Crafting recipes'!$C$6:$C$1005,MATCH(J815,'Crafting recipes'!$A$6:$A$1005,0)),"MISSING ID")</x:f>
        <x:v>Finished-item crafting</x:v>
      </x:c>
      <x:c r="L815" s="4" t="str">
        <x:f>IFERROR(INDEX('Material routes'!$K$6:$K$2205,MATCH(U815,'Material routes'!$A$6:$A$2205,0)),"MISSING ID")</x:f>
        <x:v>Proposal</x:v>
      </x:c>
      <x:c r="M815" s="4" t="str">
        <x:f>IFERROR(INDEX('Material routes'!$M$6:$M$2205,MATCH(U815,'Material routes'!$A$6:$A$2205,0)),"MISSING ID")</x:f>
        <x:v>Partial proposal</x:v>
      </x:c>
      <x:c r="N815" s="4"/>
      <x:c r="O815" s="4" t="str">
        <x:f>IFERROR(INDEX('Material routes'!$J$6:$J$2205,MATCH(U815,'Material routes'!$A$6:$A$2205,0)),"MISSING ID")</x:f>
        <x:v>Unspecified</x:v>
      </x:c>
      <x:c r="P815" s="4"/>
      <x:c r="Q815" s="4" t="str">
        <x:f>IFERROR(INDEX('Material routes'!$J$6:$J$2205,MATCH(V815,'Material routes'!$A$6:$A$2205,0)),"MISSING ID")</x:f>
        <x:v>Unspecified</x:v>
      </x:c>
      <x:c r="R815" s="4" t="str">
        <x:f>IF(L815="Withheld","Withheld premise",IF(E815="Tool candidate","Reusable prerequisite",IF(K815="Raw entry preparation","Entry-resource preparation",IF(G815="Not applicable",IF(IFERROR(INDEX('Items'!$AI$6:$AI$1005,MATCH(T815,'Items'!$A$6:$A$1005,0)),"MISSING ID")="Finished item","Finished endpoint",IF(IFERROR(INDEX('Items'!$AI$6:$AI$1005,MATCH(T815,'Items'!$A$6:$A$1005,0)),"MISSING ID")="Currency","Currency / no refinement tier","Recovered output / tier not applicable")),IF(OR(IFERROR(INDEX('Crafting recipes'!$H$6:$H$1005,MATCH(J815,'Crafting recipes'!$A$6:$A$1005,0)),"MISSING ID")="Unassigned",G815="Unassigned"),"Tier unresolved",IF(IFERROR(VALUE(RIGHT(G815,1))-VALUE(RIGHT(IFERROR(INDEX('Crafting recipes'!$H$6:$H$1005,MATCH(J815,'Crafting recipes'!$A$6:$A$1005,0)),"MISSING ID"),1)),0)=1,IF(B815=IFERROR(INDEX('Crafting recipes'!$H$6:$H$1005,MATCH(J815,'Crafting recipes'!$A$6:$A$1005,0)),"MISSING ID"),"Advances one material tier","Lower-tier ingredient; route advances one tier"),"Needs tier review"))))))</x:f>
        <x:v>Finished endpoint</x:v>
      </x:c>
      <x:c r="S815" s="4" t="str">
        <x:f>IFERROR(INDEX('Material routes'!$D$6:$D$2205,MATCH(U815,'Material routes'!$A$6:$A$2205,0)),"MISSING ID")</x:f>
        <x:v>proposal.branch.husk_sheet</x:v>
      </x:c>
      <x:c r="T815" s="4" t="str">
        <x:f>IFERROR(INDEX('Material routes'!$D$6:$D$2205,MATCH(V815,'Material routes'!$A$6:$A$2205,0)),"MISSING ID")</x:f>
        <x:v>proposal.collection.folding_privacy_partition</x:v>
      </x:c>
      <x:c r="U815" s="4" t="str">
        <x:v>design.collection.folding_privacy_partition.in.1</x:v>
      </x:c>
      <x:c r="V815" s="4" t="str">
        <x:v>design.collection.folding_privacy_partition.out</x:v>
      </x:c>
    </x:row>
    <x:row r="816" ht="64" customHeight="1">
      <x:c r="A816" s="4" t="str">
        <x:f>IFERROR(INDEX('Material routes'!$E$6:$E$2205,MATCH(U816,'Material routes'!$A$6:$A$2205,0)),"MISSING ID")</x:f>
        <x:v>Worked iron stock</x:v>
      </x:c>
      <x:c r="B816" s="4" t="str">
        <x:f>IFERROR(INDEX('Material routes'!$F$6:$F$2205,MATCH(U816,'Material routes'!$A$6:$A$2205,0)),"MISSING ID")</x:f>
        <x:v>T2</x:v>
      </x:c>
      <x:c r="C816" s="4" t="str">
        <x:f>IFERROR(INDEX('Material routes'!$H$6:$H$2205,MATCH(U816,'Material routes'!$A$6:$A$2205,0)),"MISSING ID")</x:f>
        <x:v>Processed material</x:v>
      </x:c>
      <x:c r="D816" s="4" t="str">
        <x:f>IFERROR(INDEX('Material routes'!$G$6:$G$2205,MATCH(U816,'Material routes'!$A$6:$A$2205,0)),"MISSING ID")</x:f>
        <x:v>Manufactured stock</x:v>
      </x:c>
      <x:c r="E816" s="4" t="str">
        <x:f>IFERROR(INDEX('Material routes'!$C$6:$C$2205,MATCH(U816,'Material routes'!$A$6:$A$2205,0)),"MISSING ID")</x:f>
        <x:v>Ingredient candidate</x:v>
      </x:c>
      <x:c r="F816" s="4" t="str">
        <x:f>IFERROR(INDEX('Material routes'!$E$6:$E$2205,MATCH(V816,'Material routes'!$A$6:$A$2205,0)),"MISSING ID")</x:f>
        <x:v>Folding privacy partition</x:v>
      </x:c>
      <x:c r="G816" s="4" t="str">
        <x:f>IFERROR(INDEX('Material routes'!$F$6:$F$2205,MATCH(V816,'Material routes'!$A$6:$A$2205,0)),"MISSING ID")</x:f>
        <x:v>Not applicable</x:v>
      </x:c>
      <x:c r="H816" s="4" t="str">
        <x:f>IFERROR(INDEX('Material routes'!$H$6:$H$2205,MATCH(V816,'Material routes'!$A$6:$A$2205,0)),"MISSING ID")</x:f>
        <x:v>Shelter item</x:v>
      </x:c>
      <x:c r="I816" s="4" t="str">
        <x:f>IFERROR(INDEX('Material routes'!$G$6:$G$2205,MATCH(V816,'Material routes'!$A$6:$A$2205,0)),"MISSING ID")</x:f>
        <x:v>Salvage</x:v>
      </x:c>
      <x:c r="J816" s="4" t="str">
        <x:f>IFERROR(INDEX('Material routes'!$B$6:$B$2205,MATCH(U816,'Material routes'!$A$6:$A$2205,0)),"MISSING ID")</x:f>
        <x:v>design.collection.folding_privacy_partition</x:v>
      </x:c>
      <x:c r="K816" s="4" t="str">
        <x:f>IFERROR(INDEX('Crafting recipes'!$C$6:$C$1005,MATCH(J816,'Crafting recipes'!$A$6:$A$1005,0)),"MISSING ID")</x:f>
        <x:v>Finished-item crafting</x:v>
      </x:c>
      <x:c r="L816" s="4" t="str">
        <x:f>IFERROR(INDEX('Material routes'!$K$6:$K$2205,MATCH(U816,'Material routes'!$A$6:$A$2205,0)),"MISSING ID")</x:f>
        <x:v>Proposal</x:v>
      </x:c>
      <x:c r="M816" s="4" t="str">
        <x:f>IFERROR(INDEX('Material routes'!$M$6:$M$2205,MATCH(U816,'Material routes'!$A$6:$A$2205,0)),"MISSING ID")</x:f>
        <x:v>Partial proposal</x:v>
      </x:c>
      <x:c r="N816" s="4"/>
      <x:c r="O816" s="4" t="str">
        <x:f>IFERROR(INDEX('Material routes'!$J$6:$J$2205,MATCH(U816,'Material routes'!$A$6:$A$2205,0)),"MISSING ID")</x:f>
        <x:v>Unspecified</x:v>
      </x:c>
      <x:c r="P816" s="4"/>
      <x:c r="Q816" s="4" t="str">
        <x:f>IFERROR(INDEX('Material routes'!$J$6:$J$2205,MATCH(V816,'Material routes'!$A$6:$A$2205,0)),"MISSING ID")</x:f>
        <x:v>Unspecified</x:v>
      </x:c>
      <x:c r="R816" s="4" t="str">
        <x:f>IF(L816="Withheld","Withheld premise",IF(E816="Tool candidate","Reusable prerequisite",IF(K816="Raw entry preparation","Entry-resource preparation",IF(G816="Not applicable",IF(IFERROR(INDEX('Items'!$AI$6:$AI$1005,MATCH(T816,'Items'!$A$6:$A$1005,0)),"MISSING ID")="Finished item","Finished endpoint",IF(IFERROR(INDEX('Items'!$AI$6:$AI$1005,MATCH(T816,'Items'!$A$6:$A$1005,0)),"MISSING ID")="Currency","Currency / no refinement tier","Recovered output / tier not applicable")),IF(OR(IFERROR(INDEX('Crafting recipes'!$H$6:$H$1005,MATCH(J816,'Crafting recipes'!$A$6:$A$1005,0)),"MISSING ID")="Unassigned",G816="Unassigned"),"Tier unresolved",IF(IFERROR(VALUE(RIGHT(G816,1))-VALUE(RIGHT(IFERROR(INDEX('Crafting recipes'!$H$6:$H$1005,MATCH(J816,'Crafting recipes'!$A$6:$A$1005,0)),"MISSING ID"),1)),0)=1,IF(B816=IFERROR(INDEX('Crafting recipes'!$H$6:$H$1005,MATCH(J816,'Crafting recipes'!$A$6:$A$1005,0)),"MISSING ID"),"Advances one material tier","Lower-tier ingredient; route advances one tier"),"Needs tier review"))))))</x:f>
        <x:v>Finished endpoint</x:v>
      </x:c>
      <x:c r="S816" s="4" t="str">
        <x:f>IFERROR(INDEX('Material routes'!$D$6:$D$2205,MATCH(U816,'Material routes'!$A$6:$A$2205,0)),"MISSING ID")</x:f>
        <x:v>proposal.natural.iron_stock</x:v>
      </x:c>
      <x:c r="T816" s="4" t="str">
        <x:f>IFERROR(INDEX('Material routes'!$D$6:$D$2205,MATCH(V816,'Material routes'!$A$6:$A$2205,0)),"MISSING ID")</x:f>
        <x:v>proposal.collection.folding_privacy_partition</x:v>
      </x:c>
      <x:c r="U816" s="4" t="str">
        <x:v>design.collection.folding_privacy_partition.in.2</x:v>
      </x:c>
      <x:c r="V816" s="4" t="str">
        <x:v>design.collection.folding_privacy_partition.out</x:v>
      </x:c>
    </x:row>
    <x:row r="817" ht="64" customHeight="1">
      <x:c r="A817" s="4" t="str">
        <x:f>IFERROR(INDEX('Material routes'!$E$6:$E$2205,MATCH(U817,'Material routes'!$A$6:$A$2205,0)),"MISSING ID")</x:f>
        <x:v>Annealed iron sheet stock</x:v>
      </x:c>
      <x:c r="B817" s="4" t="str">
        <x:f>IFERROR(INDEX('Material routes'!$F$6:$F$2205,MATCH(U817,'Material routes'!$A$6:$A$2205,0)),"MISSING ID")</x:f>
        <x:v>T3</x:v>
      </x:c>
      <x:c r="C817" s="4" t="str">
        <x:f>IFERROR(INDEX('Material routes'!$H$6:$H$2205,MATCH(U817,'Material routes'!$A$6:$A$2205,0)),"MISSING ID")</x:f>
        <x:v>Processed material</x:v>
      </x:c>
      <x:c r="D817" s="4" t="str">
        <x:f>IFERROR(INDEX('Material routes'!$G$6:$G$2205,MATCH(U817,'Material routes'!$A$6:$A$2205,0)),"MISSING ID")</x:f>
        <x:v>Manufactured stock</x:v>
      </x:c>
      <x:c r="E817" s="4" t="str">
        <x:f>IFERROR(INDEX('Material routes'!$C$6:$C$2205,MATCH(U817,'Material routes'!$A$6:$A$2205,0)),"MISSING ID")</x:f>
        <x:v>Ingredient candidate</x:v>
      </x:c>
      <x:c r="F817" s="4" t="str">
        <x:f>IFERROR(INDEX('Material routes'!$E$6:$E$2205,MATCH(V817,'Material routes'!$A$6:$A$2205,0)),"MISSING ID")</x:f>
        <x:v>Canister shelter docking stand</x:v>
      </x:c>
      <x:c r="G817" s="4" t="str">
        <x:f>IFERROR(INDEX('Material routes'!$F$6:$F$2205,MATCH(V817,'Material routes'!$A$6:$A$2205,0)),"MISSING ID")</x:f>
        <x:v>Not applicable</x:v>
      </x:c>
      <x:c r="H817" s="4" t="str">
        <x:f>IFERROR(INDEX('Material routes'!$H$6:$H$2205,MATCH(V817,'Material routes'!$A$6:$A$2205,0)),"MISSING ID")</x:f>
        <x:v>Shelter item</x:v>
      </x:c>
      <x:c r="I817" s="4" t="str">
        <x:f>IFERROR(INDEX('Material routes'!$G$6:$G$2205,MATCH(V817,'Material routes'!$A$6:$A$2205,0)),"MISSING ID")</x:f>
        <x:v>Salvage</x:v>
      </x:c>
      <x:c r="J817" s="4" t="str">
        <x:f>IFERROR(INDEX('Material routes'!$B$6:$B$2205,MATCH(U817,'Material routes'!$A$6:$A$2205,0)),"MISSING ID")</x:f>
        <x:v>design.collection.canister_shelter_docking_stand</x:v>
      </x:c>
      <x:c r="K817" s="4" t="str">
        <x:f>IFERROR(INDEX('Crafting recipes'!$C$6:$C$1005,MATCH(J817,'Crafting recipes'!$A$6:$A$1005,0)),"MISSING ID")</x:f>
        <x:v>Finished-item crafting</x:v>
      </x:c>
      <x:c r="L817" s="4" t="str">
        <x:f>IFERROR(INDEX('Material routes'!$K$6:$K$2205,MATCH(U817,'Material routes'!$A$6:$A$2205,0)),"MISSING ID")</x:f>
        <x:v>Proposal</x:v>
      </x:c>
      <x:c r="M817" s="4" t="str">
        <x:f>IFERROR(INDEX('Material routes'!$M$6:$M$2205,MATCH(U817,'Material routes'!$A$6:$A$2205,0)),"MISSING ID")</x:f>
        <x:v>Partial proposal</x:v>
      </x:c>
      <x:c r="N817" s="4"/>
      <x:c r="O817" s="4" t="str">
        <x:f>IFERROR(INDEX('Material routes'!$J$6:$J$2205,MATCH(U817,'Material routes'!$A$6:$A$2205,0)),"MISSING ID")</x:f>
        <x:v>Unspecified</x:v>
      </x:c>
      <x:c r="P817" s="4"/>
      <x:c r="Q817" s="4" t="str">
        <x:f>IFERROR(INDEX('Material routes'!$J$6:$J$2205,MATCH(V817,'Material routes'!$A$6:$A$2205,0)),"MISSING ID")</x:f>
        <x:v>Unspecified</x:v>
      </x:c>
      <x:c r="R817" s="4" t="str">
        <x:f>IF(L817="Withheld","Withheld premise",IF(E817="Tool candidate","Reusable prerequisite",IF(K817="Raw entry preparation","Entry-resource preparation",IF(G817="Not applicable",IF(IFERROR(INDEX('Items'!$AI$6:$AI$1005,MATCH(T817,'Items'!$A$6:$A$1005,0)),"MISSING ID")="Finished item","Finished endpoint",IF(IFERROR(INDEX('Items'!$AI$6:$AI$1005,MATCH(T817,'Items'!$A$6:$A$1005,0)),"MISSING ID")="Currency","Currency / no refinement tier","Recovered output / tier not applicable")),IF(OR(IFERROR(INDEX('Crafting recipes'!$H$6:$H$1005,MATCH(J817,'Crafting recipes'!$A$6:$A$1005,0)),"MISSING ID")="Unassigned",G817="Unassigned"),"Tier unresolved",IF(IFERROR(VALUE(RIGHT(G817,1))-VALUE(RIGHT(IFERROR(INDEX('Crafting recipes'!$H$6:$H$1005,MATCH(J817,'Crafting recipes'!$A$6:$A$1005,0)),"MISSING ID"),1)),0)=1,IF(B817=IFERROR(INDEX('Crafting recipes'!$H$6:$H$1005,MATCH(J817,'Crafting recipes'!$A$6:$A$1005,0)),"MISSING ID"),"Advances one material tier","Lower-tier ingredient; route advances one tier"),"Needs tier review"))))))</x:f>
        <x:v>Finished endpoint</x:v>
      </x:c>
      <x:c r="S817" s="4" t="str">
        <x:f>IFERROR(INDEX('Material routes'!$D$6:$D$2205,MATCH(U817,'Material routes'!$A$6:$A$2205,0)),"MISSING ID")</x:f>
        <x:v>proposal.collection.annealed_iron_sheet_stock</x:v>
      </x:c>
      <x:c r="T817" s="4" t="str">
        <x:f>IFERROR(INDEX('Material routes'!$D$6:$D$2205,MATCH(V817,'Material routes'!$A$6:$A$2205,0)),"MISSING ID")</x:f>
        <x:v>proposal.collection.canister_shelter_docking_stand</x:v>
      </x:c>
      <x:c r="U817" s="4" t="str">
        <x:v>design.collection.canister_shelter_docking_stand.in.1</x:v>
      </x:c>
      <x:c r="V817" s="4" t="str">
        <x:v>design.collection.canister_shelter_docking_stand.out</x:v>
      </x:c>
    </x:row>
    <x:row r="818" ht="64" customHeight="1">
      <x:c r="A818" s="4" t="str">
        <x:f>IFERROR(INDEX('Material routes'!$E$6:$E$2205,MATCH(U818,'Material routes'!$A$6:$A$2205,0)),"MISSING ID")</x:f>
        <x:v>Calibrated ceramic mounting saddle</x:v>
      </x:c>
      <x:c r="B818" s="4" t="str">
        <x:f>IFERROR(INDEX('Material routes'!$F$6:$F$2205,MATCH(U818,'Material routes'!$A$6:$A$2205,0)),"MISSING ID")</x:f>
        <x:v>T4</x:v>
      </x:c>
      <x:c r="C818" s="4" t="str">
        <x:f>IFERROR(INDEX('Material routes'!$H$6:$H$2205,MATCH(U818,'Material routes'!$A$6:$A$2205,0)),"MISSING ID")</x:f>
        <x:v>Crafting component</x:v>
      </x:c>
      <x:c r="D818" s="4" t="str">
        <x:f>IFERROR(INDEX('Material routes'!$G$6:$G$2205,MATCH(U818,'Material routes'!$A$6:$A$2205,0)),"MISSING ID")</x:f>
        <x:v>Crafting components</x:v>
      </x:c>
      <x:c r="E818" s="4" t="str">
        <x:f>IFERROR(INDEX('Material routes'!$C$6:$C$2205,MATCH(U818,'Material routes'!$A$6:$A$2205,0)),"MISSING ID")</x:f>
        <x:v>Ingredient candidate</x:v>
      </x:c>
      <x:c r="F818" s="4" t="str">
        <x:f>IFERROR(INDEX('Material routes'!$E$6:$E$2205,MATCH(V818,'Material routes'!$A$6:$A$2205,0)),"MISSING ID")</x:f>
        <x:v>Canister shelter docking stand</x:v>
      </x:c>
      <x:c r="G818" s="4" t="str">
        <x:f>IFERROR(INDEX('Material routes'!$F$6:$F$2205,MATCH(V818,'Material routes'!$A$6:$A$2205,0)),"MISSING ID")</x:f>
        <x:v>Not applicable</x:v>
      </x:c>
      <x:c r="H818" s="4" t="str">
        <x:f>IFERROR(INDEX('Material routes'!$H$6:$H$2205,MATCH(V818,'Material routes'!$A$6:$A$2205,0)),"MISSING ID")</x:f>
        <x:v>Shelter item</x:v>
      </x:c>
      <x:c r="I818" s="4" t="str">
        <x:f>IFERROR(INDEX('Material routes'!$G$6:$G$2205,MATCH(V818,'Material routes'!$A$6:$A$2205,0)),"MISSING ID")</x:f>
        <x:v>Salvage</x:v>
      </x:c>
      <x:c r="J818" s="4" t="str">
        <x:f>IFERROR(INDEX('Material routes'!$B$6:$B$2205,MATCH(U818,'Material routes'!$A$6:$A$2205,0)),"MISSING ID")</x:f>
        <x:v>design.collection.canister_shelter_docking_stand</x:v>
      </x:c>
      <x:c r="K818" s="4" t="str">
        <x:f>IFERROR(INDEX('Crafting recipes'!$C$6:$C$1005,MATCH(J818,'Crafting recipes'!$A$6:$A$1005,0)),"MISSING ID")</x:f>
        <x:v>Finished-item crafting</x:v>
      </x:c>
      <x:c r="L818" s="4" t="str">
        <x:f>IFERROR(INDEX('Material routes'!$K$6:$K$2205,MATCH(U818,'Material routes'!$A$6:$A$2205,0)),"MISSING ID")</x:f>
        <x:v>Proposal</x:v>
      </x:c>
      <x:c r="M818" s="4" t="str">
        <x:f>IFERROR(INDEX('Material routes'!$M$6:$M$2205,MATCH(U818,'Material routes'!$A$6:$A$2205,0)),"MISSING ID")</x:f>
        <x:v>Partial proposal</x:v>
      </x:c>
      <x:c r="N818" s="4"/>
      <x:c r="O818" s="4" t="str">
        <x:f>IFERROR(INDEX('Material routes'!$J$6:$J$2205,MATCH(U818,'Material routes'!$A$6:$A$2205,0)),"MISSING ID")</x:f>
        <x:v>Unspecified</x:v>
      </x:c>
      <x:c r="P818" s="4"/>
      <x:c r="Q818" s="4" t="str">
        <x:f>IFERROR(INDEX('Material routes'!$J$6:$J$2205,MATCH(V818,'Material routes'!$A$6:$A$2205,0)),"MISSING ID")</x:f>
        <x:v>Unspecified</x:v>
      </x:c>
      <x:c r="R818" s="4" t="str">
        <x:f>IF(L818="Withheld","Withheld premise",IF(E818="Tool candidate","Reusable prerequisite",IF(K818="Raw entry preparation","Entry-resource preparation",IF(G818="Not applicable",IF(IFERROR(INDEX('Items'!$AI$6:$AI$1005,MATCH(T818,'Items'!$A$6:$A$1005,0)),"MISSING ID")="Finished item","Finished endpoint",IF(IFERROR(INDEX('Items'!$AI$6:$AI$1005,MATCH(T818,'Items'!$A$6:$A$1005,0)),"MISSING ID")="Currency","Currency / no refinement tier","Recovered output / tier not applicable")),IF(OR(IFERROR(INDEX('Crafting recipes'!$H$6:$H$1005,MATCH(J818,'Crafting recipes'!$A$6:$A$1005,0)),"MISSING ID")="Unassigned",G818="Unassigned"),"Tier unresolved",IF(IFERROR(VALUE(RIGHT(G818,1))-VALUE(RIGHT(IFERROR(INDEX('Crafting recipes'!$H$6:$H$1005,MATCH(J818,'Crafting recipes'!$A$6:$A$1005,0)),"MISSING ID"),1)),0)=1,IF(B818=IFERROR(INDEX('Crafting recipes'!$H$6:$H$1005,MATCH(J818,'Crafting recipes'!$A$6:$A$1005,0)),"MISSING ID"),"Advances one material tier","Lower-tier ingredient; route advances one tier"),"Needs tier review"))))))</x:f>
        <x:v>Finished endpoint</x:v>
      </x:c>
      <x:c r="S818" s="4" t="str">
        <x:f>IFERROR(INDEX('Material routes'!$D$6:$D$2205,MATCH(U818,'Material routes'!$A$6:$A$2205,0)),"MISSING ID")</x:f>
        <x:v>proposal.collection.calibrated_ceramic_mounting_saddle</x:v>
      </x:c>
      <x:c r="T818" s="4" t="str">
        <x:f>IFERROR(INDEX('Material routes'!$D$6:$D$2205,MATCH(V818,'Material routes'!$A$6:$A$2205,0)),"MISSING ID")</x:f>
        <x:v>proposal.collection.canister_shelter_docking_stand</x:v>
      </x:c>
      <x:c r="U818" s="4" t="str">
        <x:v>design.collection.canister_shelter_docking_stand.in.2</x:v>
      </x:c>
      <x:c r="V818" s="4" t="str">
        <x:v>design.collection.canister_shelter_docking_stand.out</x:v>
      </x:c>
    </x:row>
    <x:row r="819" ht="64" customHeight="1">
      <x:c r="A819" s="4" t="str">
        <x:f>IFERROR(INDEX('Material routes'!$E$6:$E$2205,MATCH(U819,'Material routes'!$A$6:$A$2205,0)),"MISSING ID")</x:f>
        <x:v>Membrane seal patches</x:v>
      </x:c>
      <x:c r="B819" s="4" t="str">
        <x:f>IFERROR(INDEX('Material routes'!$F$6:$F$2205,MATCH(U819,'Material routes'!$A$6:$A$2205,0)),"MISSING ID")</x:f>
        <x:v>T1</x:v>
      </x:c>
      <x:c r="C819" s="4" t="str">
        <x:f>IFERROR(INDEX('Material routes'!$H$6:$H$2205,MATCH(U819,'Material routes'!$A$6:$A$2205,0)),"MISSING ID")</x:f>
        <x:v>Crafting component</x:v>
      </x:c>
      <x:c r="D819" s="4" t="str">
        <x:f>IFERROR(INDEX('Material routes'!$G$6:$G$2205,MATCH(U819,'Material routes'!$A$6:$A$2205,0)),"MISSING ID")</x:f>
        <x:v>Crafting components</x:v>
      </x:c>
      <x:c r="E819" s="4" t="str">
        <x:f>IFERROR(INDEX('Material routes'!$C$6:$C$2205,MATCH(U819,'Material routes'!$A$6:$A$2205,0)),"MISSING ID")</x:f>
        <x:v>Ingredient candidate</x:v>
      </x:c>
      <x:c r="F819" s="4" t="str">
        <x:f>IFERROR(INDEX('Material routes'!$E$6:$E$2205,MATCH(V819,'Material routes'!$A$6:$A$2205,0)),"MISSING ID")</x:f>
        <x:v>Shelter repair patch roll</x:v>
      </x:c>
      <x:c r="G819" s="4" t="str">
        <x:f>IFERROR(INDEX('Material routes'!$F$6:$F$2205,MATCH(V819,'Material routes'!$A$6:$A$2205,0)),"MISSING ID")</x:f>
        <x:v>Not applicable</x:v>
      </x:c>
      <x:c r="H819" s="4" t="str">
        <x:f>IFERROR(INDEX('Material routes'!$H$6:$H$2205,MATCH(V819,'Material routes'!$A$6:$A$2205,0)),"MISSING ID")</x:f>
        <x:v>Shelter item</x:v>
      </x:c>
      <x:c r="I819" s="4" t="str">
        <x:f>IFERROR(INDEX('Material routes'!$G$6:$G$2205,MATCH(V819,'Material routes'!$A$6:$A$2205,0)),"MISSING ID")</x:f>
        <x:v>Salvage</x:v>
      </x:c>
      <x:c r="J819" s="4" t="str">
        <x:f>IFERROR(INDEX('Material routes'!$B$6:$B$2205,MATCH(U819,'Material routes'!$A$6:$A$2205,0)),"MISSING ID")</x:f>
        <x:v>design.collection.shelter_repair_patch_roll</x:v>
      </x:c>
      <x:c r="K819" s="4" t="str">
        <x:f>IFERROR(INDEX('Crafting recipes'!$C$6:$C$1005,MATCH(J819,'Crafting recipes'!$A$6:$A$1005,0)),"MISSING ID")</x:f>
        <x:v>Finished-item crafting</x:v>
      </x:c>
      <x:c r="L819" s="4" t="str">
        <x:f>IFERROR(INDEX('Material routes'!$K$6:$K$2205,MATCH(U819,'Material routes'!$A$6:$A$2205,0)),"MISSING ID")</x:f>
        <x:v>Proposal</x:v>
      </x:c>
      <x:c r="M819" s="4" t="str">
        <x:f>IFERROR(INDEX('Material routes'!$M$6:$M$2205,MATCH(U819,'Material routes'!$A$6:$A$2205,0)),"MISSING ID")</x:f>
        <x:v>Partial proposal</x:v>
      </x:c>
      <x:c r="N819" s="4"/>
      <x:c r="O819" s="4" t="str">
        <x:f>IFERROR(INDEX('Material routes'!$J$6:$J$2205,MATCH(U819,'Material routes'!$A$6:$A$2205,0)),"MISSING ID")</x:f>
        <x:v>Unspecified</x:v>
      </x:c>
      <x:c r="P819" s="4"/>
      <x:c r="Q819" s="4" t="str">
        <x:f>IFERROR(INDEX('Material routes'!$J$6:$J$2205,MATCH(V819,'Material routes'!$A$6:$A$2205,0)),"MISSING ID")</x:f>
        <x:v>Unspecified</x:v>
      </x:c>
      <x:c r="R819" s="4" t="str">
        <x:f>IF(L819="Withheld","Withheld premise",IF(E819="Tool candidate","Reusable prerequisite",IF(K819="Raw entry preparation","Entry-resource preparation",IF(G819="Not applicable",IF(IFERROR(INDEX('Items'!$AI$6:$AI$1005,MATCH(T819,'Items'!$A$6:$A$1005,0)),"MISSING ID")="Finished item","Finished endpoint",IF(IFERROR(INDEX('Items'!$AI$6:$AI$1005,MATCH(T819,'Items'!$A$6:$A$1005,0)),"MISSING ID")="Currency","Currency / no refinement tier","Recovered output / tier not applicable")),IF(OR(IFERROR(INDEX('Crafting recipes'!$H$6:$H$1005,MATCH(J819,'Crafting recipes'!$A$6:$A$1005,0)),"MISSING ID")="Unassigned",G819="Unassigned"),"Tier unresolved",IF(IFERROR(VALUE(RIGHT(G819,1))-VALUE(RIGHT(IFERROR(INDEX('Crafting recipes'!$H$6:$H$1005,MATCH(J819,'Crafting recipes'!$A$6:$A$1005,0)),"MISSING ID"),1)),0)=1,IF(B819=IFERROR(INDEX('Crafting recipes'!$H$6:$H$1005,MATCH(J819,'Crafting recipes'!$A$6:$A$1005,0)),"MISSING ID"),"Advances one material tier","Lower-tier ingredient; route advances one tier"),"Needs tier review"))))))</x:f>
        <x:v>Finished endpoint</x:v>
      </x:c>
      <x:c r="S819" s="4" t="str">
        <x:f>IFERROR(INDEX('Material routes'!$D$6:$D$2205,MATCH(U819,'Material routes'!$A$6:$A$2205,0)),"MISSING ID")</x:f>
        <x:v>proposal.bio.seal</x:v>
      </x:c>
      <x:c r="T819" s="4" t="str">
        <x:f>IFERROR(INDEX('Material routes'!$D$6:$D$2205,MATCH(V819,'Material routes'!$A$6:$A$2205,0)),"MISSING ID")</x:f>
        <x:v>proposal.collection.shelter_repair_patch_roll</x:v>
      </x:c>
      <x:c r="U819" s="4" t="str">
        <x:v>design.collection.shelter_repair_patch_roll.in.1</x:v>
      </x:c>
      <x:c r="V819" s="4" t="str">
        <x:v>design.collection.shelter_repair_patch_roll.out</x:v>
      </x:c>
    </x:row>
    <x:row r="820" ht="64" customHeight="1">
      <x:c r="A820" s="4" t="str">
        <x:f>IFERROR(INDEX('Material routes'!$E$6:$E$2205,MATCH(U820,'Material routes'!$A$6:$A$2205,0)),"MISSING ID")</x:f>
        <x:v>Matched metal fastener set</x:v>
      </x:c>
      <x:c r="B820" s="4" t="str">
        <x:f>IFERROR(INDEX('Material routes'!$F$6:$F$2205,MATCH(U820,'Material routes'!$A$6:$A$2205,0)),"MISSING ID")</x:f>
        <x:v>T3</x:v>
      </x:c>
      <x:c r="C820" s="4" t="str">
        <x:f>IFERROR(INDEX('Material routes'!$H$6:$H$2205,MATCH(U820,'Material routes'!$A$6:$A$2205,0)),"MISSING ID")</x:f>
        <x:v>Crafting component</x:v>
      </x:c>
      <x:c r="D820" s="4" t="str">
        <x:f>IFERROR(INDEX('Material routes'!$G$6:$G$2205,MATCH(U820,'Material routes'!$A$6:$A$2205,0)),"MISSING ID")</x:f>
        <x:v>Crafting components</x:v>
      </x:c>
      <x:c r="E820" s="4" t="str">
        <x:f>IFERROR(INDEX('Material routes'!$C$6:$C$2205,MATCH(U820,'Material routes'!$A$6:$A$2205,0)),"MISSING ID")</x:f>
        <x:v>Ingredient candidate</x:v>
      </x:c>
      <x:c r="F820" s="4" t="str">
        <x:f>IFERROR(INDEX('Material routes'!$E$6:$E$2205,MATCH(V820,'Material routes'!$A$6:$A$2205,0)),"MISSING ID")</x:f>
        <x:v>Shelter repair patch roll</x:v>
      </x:c>
      <x:c r="G820" s="4" t="str">
        <x:f>IFERROR(INDEX('Material routes'!$F$6:$F$2205,MATCH(V820,'Material routes'!$A$6:$A$2205,0)),"MISSING ID")</x:f>
        <x:v>Not applicable</x:v>
      </x:c>
      <x:c r="H820" s="4" t="str">
        <x:f>IFERROR(INDEX('Material routes'!$H$6:$H$2205,MATCH(V820,'Material routes'!$A$6:$A$2205,0)),"MISSING ID")</x:f>
        <x:v>Shelter item</x:v>
      </x:c>
      <x:c r="I820" s="4" t="str">
        <x:f>IFERROR(INDEX('Material routes'!$G$6:$G$2205,MATCH(V820,'Material routes'!$A$6:$A$2205,0)),"MISSING ID")</x:f>
        <x:v>Salvage</x:v>
      </x:c>
      <x:c r="J820" s="4" t="str">
        <x:f>IFERROR(INDEX('Material routes'!$B$6:$B$2205,MATCH(U820,'Material routes'!$A$6:$A$2205,0)),"MISSING ID")</x:f>
        <x:v>design.collection.shelter_repair_patch_roll</x:v>
      </x:c>
      <x:c r="K820" s="4" t="str">
        <x:f>IFERROR(INDEX('Crafting recipes'!$C$6:$C$1005,MATCH(J820,'Crafting recipes'!$A$6:$A$1005,0)),"MISSING ID")</x:f>
        <x:v>Finished-item crafting</x:v>
      </x:c>
      <x:c r="L820" s="4" t="str">
        <x:f>IFERROR(INDEX('Material routes'!$K$6:$K$2205,MATCH(U820,'Material routes'!$A$6:$A$2205,0)),"MISSING ID")</x:f>
        <x:v>Proposal</x:v>
      </x:c>
      <x:c r="M820" s="4" t="str">
        <x:f>IFERROR(INDEX('Material routes'!$M$6:$M$2205,MATCH(U820,'Material routes'!$A$6:$A$2205,0)),"MISSING ID")</x:f>
        <x:v>Partial proposal</x:v>
      </x:c>
      <x:c r="N820" s="4"/>
      <x:c r="O820" s="4" t="str">
        <x:f>IFERROR(INDEX('Material routes'!$J$6:$J$2205,MATCH(U820,'Material routes'!$A$6:$A$2205,0)),"MISSING ID")</x:f>
        <x:v>Unspecified</x:v>
      </x:c>
      <x:c r="P820" s="4"/>
      <x:c r="Q820" s="4" t="str">
        <x:f>IFERROR(INDEX('Material routes'!$J$6:$J$2205,MATCH(V820,'Material routes'!$A$6:$A$2205,0)),"MISSING ID")</x:f>
        <x:v>Unspecified</x:v>
      </x:c>
      <x:c r="R820" s="4" t="str">
        <x:f>IF(L820="Withheld","Withheld premise",IF(E820="Tool candidate","Reusable prerequisite",IF(K820="Raw entry preparation","Entry-resource preparation",IF(G820="Not applicable",IF(IFERROR(INDEX('Items'!$AI$6:$AI$1005,MATCH(T820,'Items'!$A$6:$A$1005,0)),"MISSING ID")="Finished item","Finished endpoint",IF(IFERROR(INDEX('Items'!$AI$6:$AI$1005,MATCH(T820,'Items'!$A$6:$A$1005,0)),"MISSING ID")="Currency","Currency / no refinement tier","Recovered output / tier not applicable")),IF(OR(IFERROR(INDEX('Crafting recipes'!$H$6:$H$1005,MATCH(J820,'Crafting recipes'!$A$6:$A$1005,0)),"MISSING ID")="Unassigned",G820="Unassigned"),"Tier unresolved",IF(IFERROR(VALUE(RIGHT(G820,1))-VALUE(RIGHT(IFERROR(INDEX('Crafting recipes'!$H$6:$H$1005,MATCH(J820,'Crafting recipes'!$A$6:$A$1005,0)),"MISSING ID"),1)),0)=1,IF(B820=IFERROR(INDEX('Crafting recipes'!$H$6:$H$1005,MATCH(J820,'Crafting recipes'!$A$6:$A$1005,0)),"MISSING ID"),"Advances one material tier","Lower-tier ingredient; route advances one tier"),"Needs tier review"))))))</x:f>
        <x:v>Finished endpoint</x:v>
      </x:c>
      <x:c r="S820" s="4" t="str">
        <x:f>IFERROR(INDEX('Material routes'!$D$6:$D$2205,MATCH(U820,'Material routes'!$A$6:$A$2205,0)),"MISSING ID")</x:f>
        <x:v>proposal.lore.fastener_set</x:v>
      </x:c>
      <x:c r="T820" s="4" t="str">
        <x:f>IFERROR(INDEX('Material routes'!$D$6:$D$2205,MATCH(V820,'Material routes'!$A$6:$A$2205,0)),"MISSING ID")</x:f>
        <x:v>proposal.collection.shelter_repair_patch_roll</x:v>
      </x:c>
      <x:c r="U820" s="4" t="str">
        <x:v>design.collection.shelter_repair_patch_roll.in.2</x:v>
      </x:c>
      <x:c r="V820" s="4" t="str">
        <x:v>design.collection.shelter_repair_patch_roll.out</x:v>
      </x:c>
    </x:row>
    <x:row r="821" ht="64" customHeight="1">
      <x:c r="A821" s="4" t="str">
        <x:f>IFERROR(INDEX('Material routes'!$E$6:$E$2205,MATCH(U821,'Material routes'!$A$6:$A$2205,0)),"MISSING ID")</x:f>
        <x:v>Worked iron stock</x:v>
      </x:c>
      <x:c r="B821" s="4" t="str">
        <x:f>IFERROR(INDEX('Material routes'!$F$6:$F$2205,MATCH(U821,'Material routes'!$A$6:$A$2205,0)),"MISSING ID")</x:f>
        <x:v>T2</x:v>
      </x:c>
      <x:c r="C821" s="4" t="str">
        <x:f>IFERROR(INDEX('Material routes'!$H$6:$H$2205,MATCH(U821,'Material routes'!$A$6:$A$2205,0)),"MISSING ID")</x:f>
        <x:v>Processed material</x:v>
      </x:c>
      <x:c r="D821" s="4" t="str">
        <x:f>IFERROR(INDEX('Material routes'!$G$6:$G$2205,MATCH(U821,'Material routes'!$A$6:$A$2205,0)),"MISSING ID")</x:f>
        <x:v>Manufactured stock</x:v>
      </x:c>
      <x:c r="E821" s="4" t="str">
        <x:f>IFERROR(INDEX('Material routes'!$C$6:$C$2205,MATCH(U821,'Material routes'!$A$6:$A$2205,0)),"MISSING ID")</x:f>
        <x:v>Ingredient candidate</x:v>
      </x:c>
      <x:c r="F821" s="4" t="str">
        <x:f>IFERROR(INDEX('Material routes'!$E$6:$E$2205,MATCH(V821,'Material routes'!$A$6:$A$2205,0)),"MISSING ID")</x:f>
        <x:v>Round iron buckler</x:v>
      </x:c>
      <x:c r="G821" s="4" t="str">
        <x:f>IFERROR(INDEX('Material routes'!$F$6:$F$2205,MATCH(V821,'Material routes'!$A$6:$A$2205,0)),"MISSING ID")</x:f>
        <x:v>Not applicable</x:v>
      </x:c>
      <x:c r="H821" s="4" t="str">
        <x:f>IFERROR(INDEX('Material routes'!$H$6:$H$2205,MATCH(V821,'Material routes'!$A$6:$A$2205,0)),"MISSING ID")</x:f>
        <x:v>Shield</x:v>
      </x:c>
      <x:c r="I821" s="4" t="str">
        <x:f>IFERROR(INDEX('Material routes'!$G$6:$G$2205,MATCH(V821,'Material routes'!$A$6:$A$2205,0)),"MISSING ID")</x:f>
        <x:v>Armor</x:v>
      </x:c>
      <x:c r="J821" s="4" t="str">
        <x:f>IFERROR(INDEX('Material routes'!$B$6:$B$2205,MATCH(U821,'Material routes'!$A$6:$A$2205,0)),"MISSING ID")</x:f>
        <x:v>design.collection.round_iron_buckler</x:v>
      </x:c>
      <x:c r="K821" s="4" t="str">
        <x:f>IFERROR(INDEX('Crafting recipes'!$C$6:$C$1005,MATCH(J821,'Crafting recipes'!$A$6:$A$1005,0)),"MISSING ID")</x:f>
        <x:v>Finished-item crafting</x:v>
      </x:c>
      <x:c r="L821" s="4" t="str">
        <x:f>IFERROR(INDEX('Material routes'!$K$6:$K$2205,MATCH(U821,'Material routes'!$A$6:$A$2205,0)),"MISSING ID")</x:f>
        <x:v>Proposal</x:v>
      </x:c>
      <x:c r="M821" s="4" t="str">
        <x:f>IFERROR(INDEX('Material routes'!$M$6:$M$2205,MATCH(U821,'Material routes'!$A$6:$A$2205,0)),"MISSING ID")</x:f>
        <x:v>Partial proposal</x:v>
      </x:c>
      <x:c r="N821" s="4"/>
      <x:c r="O821" s="4" t="str">
        <x:f>IFERROR(INDEX('Material routes'!$J$6:$J$2205,MATCH(U821,'Material routes'!$A$6:$A$2205,0)),"MISSING ID")</x:f>
        <x:v>Unspecified</x:v>
      </x:c>
      <x:c r="P821" s="4"/>
      <x:c r="Q821" s="4" t="str">
        <x:f>IFERROR(INDEX('Material routes'!$J$6:$J$2205,MATCH(V821,'Material routes'!$A$6:$A$2205,0)),"MISSING ID")</x:f>
        <x:v>Unspecified</x:v>
      </x:c>
      <x:c r="R821" s="4" t="str">
        <x:f>IF(L821="Withheld","Withheld premise",IF(E821="Tool candidate","Reusable prerequisite",IF(K821="Raw entry preparation","Entry-resource preparation",IF(G821="Not applicable",IF(IFERROR(INDEX('Items'!$AI$6:$AI$1005,MATCH(T821,'Items'!$A$6:$A$1005,0)),"MISSING ID")="Finished item","Finished endpoint",IF(IFERROR(INDEX('Items'!$AI$6:$AI$1005,MATCH(T821,'Items'!$A$6:$A$1005,0)),"MISSING ID")="Currency","Currency / no refinement tier","Recovered output / tier not applicable")),IF(OR(IFERROR(INDEX('Crafting recipes'!$H$6:$H$1005,MATCH(J821,'Crafting recipes'!$A$6:$A$1005,0)),"MISSING ID")="Unassigned",G821="Unassigned"),"Tier unresolved",IF(IFERROR(VALUE(RIGHT(G821,1))-VALUE(RIGHT(IFERROR(INDEX('Crafting recipes'!$H$6:$H$1005,MATCH(J821,'Crafting recipes'!$A$6:$A$1005,0)),"MISSING ID"),1)),0)=1,IF(B821=IFERROR(INDEX('Crafting recipes'!$H$6:$H$1005,MATCH(J821,'Crafting recipes'!$A$6:$A$1005,0)),"MISSING ID"),"Advances one material tier","Lower-tier ingredient; route advances one tier"),"Needs tier review"))))))</x:f>
        <x:v>Finished endpoint</x:v>
      </x:c>
      <x:c r="S821" s="4" t="str">
        <x:f>IFERROR(INDEX('Material routes'!$D$6:$D$2205,MATCH(U821,'Material routes'!$A$6:$A$2205,0)),"MISSING ID")</x:f>
        <x:v>proposal.natural.iron_stock</x:v>
      </x:c>
      <x:c r="T821" s="4" t="str">
        <x:f>IFERROR(INDEX('Material routes'!$D$6:$D$2205,MATCH(V821,'Material routes'!$A$6:$A$2205,0)),"MISSING ID")</x:f>
        <x:v>proposal.collection.round_iron_buckler</x:v>
      </x:c>
      <x:c r="U821" s="4" t="str">
        <x:v>design.collection.round_iron_buckler.in.1</x:v>
      </x:c>
      <x:c r="V821" s="4" t="str">
        <x:v>design.collection.round_iron_buckler.out</x:v>
      </x:c>
    </x:row>
    <x:row r="822" ht="64" customHeight="1">
      <x:c r="A822" s="4" t="str">
        <x:f>IFERROR(INDEX('Material routes'!$E$6:$E$2205,MATCH(U822,'Material routes'!$A$6:$A$2205,0)),"MISSING ID")</x:f>
        <x:v>Steel stock</x:v>
      </x:c>
      <x:c r="B822" s="4" t="str">
        <x:f>IFERROR(INDEX('Material routes'!$F$6:$F$2205,MATCH(U822,'Material routes'!$A$6:$A$2205,0)),"MISSING ID")</x:f>
        <x:v>T2</x:v>
      </x:c>
      <x:c r="C822" s="4" t="str">
        <x:f>IFERROR(INDEX('Material routes'!$H$6:$H$2205,MATCH(U822,'Material routes'!$A$6:$A$2205,0)),"MISSING ID")</x:f>
        <x:v>Processed material</x:v>
      </x:c>
      <x:c r="D822" s="4" t="str">
        <x:f>IFERROR(INDEX('Material routes'!$G$6:$G$2205,MATCH(U822,'Material routes'!$A$6:$A$2205,0)),"MISSING ID")</x:f>
        <x:v>Manufactured stock</x:v>
      </x:c>
      <x:c r="E822" s="4" t="str">
        <x:f>IFERROR(INDEX('Material routes'!$C$6:$C$2205,MATCH(U822,'Material routes'!$A$6:$A$2205,0)),"MISSING ID")</x:f>
        <x:v>Ingredient candidate</x:v>
      </x:c>
      <x:c r="F822" s="4" t="str">
        <x:f>IFERROR(INDEX('Material routes'!$E$6:$E$2205,MATCH(V822,'Material routes'!$A$6:$A$2205,0)),"MISSING ID")</x:f>
        <x:v>Riveted steel round shield</x:v>
      </x:c>
      <x:c r="G822" s="4" t="str">
        <x:f>IFERROR(INDEX('Material routes'!$F$6:$F$2205,MATCH(V822,'Material routes'!$A$6:$A$2205,0)),"MISSING ID")</x:f>
        <x:v>Not applicable</x:v>
      </x:c>
      <x:c r="H822" s="4" t="str">
        <x:f>IFERROR(INDEX('Material routes'!$H$6:$H$2205,MATCH(V822,'Material routes'!$A$6:$A$2205,0)),"MISSING ID")</x:f>
        <x:v>Shield</x:v>
      </x:c>
      <x:c r="I822" s="4" t="str">
        <x:f>IFERROR(INDEX('Material routes'!$G$6:$G$2205,MATCH(V822,'Material routes'!$A$6:$A$2205,0)),"MISSING ID")</x:f>
        <x:v>Armor</x:v>
      </x:c>
      <x:c r="J822" s="4" t="str">
        <x:f>IFERROR(INDEX('Material routes'!$B$6:$B$2205,MATCH(U822,'Material routes'!$A$6:$A$2205,0)),"MISSING ID")</x:f>
        <x:v>design.collection.riveted_steel_round_shield</x:v>
      </x:c>
      <x:c r="K822" s="4" t="str">
        <x:f>IFERROR(INDEX('Crafting recipes'!$C$6:$C$1005,MATCH(J822,'Crafting recipes'!$A$6:$A$1005,0)),"MISSING ID")</x:f>
        <x:v>Finished-item crafting</x:v>
      </x:c>
      <x:c r="L822" s="4" t="str">
        <x:f>IFERROR(INDEX('Material routes'!$K$6:$K$2205,MATCH(U822,'Material routes'!$A$6:$A$2205,0)),"MISSING ID")</x:f>
        <x:v>Proposal</x:v>
      </x:c>
      <x:c r="M822" s="4" t="str">
        <x:f>IFERROR(INDEX('Material routes'!$M$6:$M$2205,MATCH(U822,'Material routes'!$A$6:$A$2205,0)),"MISSING ID")</x:f>
        <x:v>Partial proposal</x:v>
      </x:c>
      <x:c r="N822" s="4"/>
      <x:c r="O822" s="4" t="str">
        <x:f>IFERROR(INDEX('Material routes'!$J$6:$J$2205,MATCH(U822,'Material routes'!$A$6:$A$2205,0)),"MISSING ID")</x:f>
        <x:v>Unspecified</x:v>
      </x:c>
      <x:c r="P822" s="4"/>
      <x:c r="Q822" s="4" t="str">
        <x:f>IFERROR(INDEX('Material routes'!$J$6:$J$2205,MATCH(V822,'Material routes'!$A$6:$A$2205,0)),"MISSING ID")</x:f>
        <x:v>Unspecified</x:v>
      </x:c>
      <x:c r="R822" s="4" t="str">
        <x:f>IF(L822="Withheld","Withheld premise",IF(E822="Tool candidate","Reusable prerequisite",IF(K822="Raw entry preparation","Entry-resource preparation",IF(G822="Not applicable",IF(IFERROR(INDEX('Items'!$AI$6:$AI$1005,MATCH(T822,'Items'!$A$6:$A$1005,0)),"MISSING ID")="Finished item","Finished endpoint",IF(IFERROR(INDEX('Items'!$AI$6:$AI$1005,MATCH(T822,'Items'!$A$6:$A$1005,0)),"MISSING ID")="Currency","Currency / no refinement tier","Recovered output / tier not applicable")),IF(OR(IFERROR(INDEX('Crafting recipes'!$H$6:$H$1005,MATCH(J822,'Crafting recipes'!$A$6:$A$1005,0)),"MISSING ID")="Unassigned",G822="Unassigned"),"Tier unresolved",IF(IFERROR(VALUE(RIGHT(G822,1))-VALUE(RIGHT(IFERROR(INDEX('Crafting recipes'!$H$6:$H$1005,MATCH(J822,'Crafting recipes'!$A$6:$A$1005,0)),"MISSING ID"),1)),0)=1,IF(B822=IFERROR(INDEX('Crafting recipes'!$H$6:$H$1005,MATCH(J822,'Crafting recipes'!$A$6:$A$1005,0)),"MISSING ID"),"Advances one material tier","Lower-tier ingredient; route advances one tier"),"Needs tier review"))))))</x:f>
        <x:v>Finished endpoint</x:v>
      </x:c>
      <x:c r="S822" s="4" t="str">
        <x:f>IFERROR(INDEX('Material routes'!$D$6:$D$2205,MATCH(U822,'Material routes'!$A$6:$A$2205,0)),"MISSING ID")</x:f>
        <x:v>author.metallurgy.steel_stock</x:v>
      </x:c>
      <x:c r="T822" s="4" t="str">
        <x:f>IFERROR(INDEX('Material routes'!$D$6:$D$2205,MATCH(V822,'Material routes'!$A$6:$A$2205,0)),"MISSING ID")</x:f>
        <x:v>proposal.collection.riveted_steel_round_shield</x:v>
      </x:c>
      <x:c r="U822" s="4" t="str">
        <x:v>design.collection.riveted_steel_round_shield.in.1</x:v>
      </x:c>
      <x:c r="V822" s="4" t="str">
        <x:v>design.collection.riveted_steel_round_shield.out</x:v>
      </x:c>
    </x:row>
    <x:row r="823" ht="64" customHeight="1">
      <x:c r="A823" s="4" t="str">
        <x:f>IFERROR(INDEX('Material routes'!$E$6:$E$2205,MATCH(U823,'Material routes'!$A$6:$A$2205,0)),"MISSING ID")</x:f>
        <x:v>Rough iron rivet stock</x:v>
      </x:c>
      <x:c r="B823" s="4" t="str">
        <x:f>IFERROR(INDEX('Material routes'!$F$6:$F$2205,MATCH(U823,'Material routes'!$A$6:$A$2205,0)),"MISSING ID")</x:f>
        <x:v>T2</x:v>
      </x:c>
      <x:c r="C823" s="4" t="str">
        <x:f>IFERROR(INDEX('Material routes'!$H$6:$H$2205,MATCH(U823,'Material routes'!$A$6:$A$2205,0)),"MISSING ID")</x:f>
        <x:v>Processed material</x:v>
      </x:c>
      <x:c r="D823" s="4" t="str">
        <x:f>IFERROR(INDEX('Material routes'!$G$6:$G$2205,MATCH(U823,'Material routes'!$A$6:$A$2205,0)),"MISSING ID")</x:f>
        <x:v>Manufactured stock</x:v>
      </x:c>
      <x:c r="E823" s="4" t="str">
        <x:f>IFERROR(INDEX('Material routes'!$C$6:$C$2205,MATCH(U823,'Material routes'!$A$6:$A$2205,0)),"MISSING ID")</x:f>
        <x:v>Ingredient candidate</x:v>
      </x:c>
      <x:c r="F823" s="4" t="str">
        <x:f>IFERROR(INDEX('Material routes'!$E$6:$E$2205,MATCH(V823,'Material routes'!$A$6:$A$2205,0)),"MISSING ID")</x:f>
        <x:v>Riveted steel round shield</x:v>
      </x:c>
      <x:c r="G823" s="4" t="str">
        <x:f>IFERROR(INDEX('Material routes'!$F$6:$F$2205,MATCH(V823,'Material routes'!$A$6:$A$2205,0)),"MISSING ID")</x:f>
        <x:v>Not applicable</x:v>
      </x:c>
      <x:c r="H823" s="4" t="str">
        <x:f>IFERROR(INDEX('Material routes'!$H$6:$H$2205,MATCH(V823,'Material routes'!$A$6:$A$2205,0)),"MISSING ID")</x:f>
        <x:v>Shield</x:v>
      </x:c>
      <x:c r="I823" s="4" t="str">
        <x:f>IFERROR(INDEX('Material routes'!$G$6:$G$2205,MATCH(V823,'Material routes'!$A$6:$A$2205,0)),"MISSING ID")</x:f>
        <x:v>Armor</x:v>
      </x:c>
      <x:c r="J823" s="4" t="str">
        <x:f>IFERROR(INDEX('Material routes'!$B$6:$B$2205,MATCH(U823,'Material routes'!$A$6:$A$2205,0)),"MISSING ID")</x:f>
        <x:v>design.collection.riveted_steel_round_shield</x:v>
      </x:c>
      <x:c r="K823" s="4" t="str">
        <x:f>IFERROR(INDEX('Crafting recipes'!$C$6:$C$1005,MATCH(J823,'Crafting recipes'!$A$6:$A$1005,0)),"MISSING ID")</x:f>
        <x:v>Finished-item crafting</x:v>
      </x:c>
      <x:c r="L823" s="4" t="str">
        <x:f>IFERROR(INDEX('Material routes'!$K$6:$K$2205,MATCH(U823,'Material routes'!$A$6:$A$2205,0)),"MISSING ID")</x:f>
        <x:v>Proposal</x:v>
      </x:c>
      <x:c r="M823" s="4" t="str">
        <x:f>IFERROR(INDEX('Material routes'!$M$6:$M$2205,MATCH(U823,'Material routes'!$A$6:$A$2205,0)),"MISSING ID")</x:f>
        <x:v>Partial proposal</x:v>
      </x:c>
      <x:c r="N823" s="4"/>
      <x:c r="O823" s="4" t="str">
        <x:f>IFERROR(INDEX('Material routes'!$J$6:$J$2205,MATCH(U823,'Material routes'!$A$6:$A$2205,0)),"MISSING ID")</x:f>
        <x:v>Unspecified</x:v>
      </x:c>
      <x:c r="P823" s="4"/>
      <x:c r="Q823" s="4" t="str">
        <x:f>IFERROR(INDEX('Material routes'!$J$6:$J$2205,MATCH(V823,'Material routes'!$A$6:$A$2205,0)),"MISSING ID")</x:f>
        <x:v>Unspecified</x:v>
      </x:c>
      <x:c r="R823" s="4" t="str">
        <x:f>IF(L823="Withheld","Withheld premise",IF(E823="Tool candidate","Reusable prerequisite",IF(K823="Raw entry preparation","Entry-resource preparation",IF(G823="Not applicable",IF(IFERROR(INDEX('Items'!$AI$6:$AI$1005,MATCH(T823,'Items'!$A$6:$A$1005,0)),"MISSING ID")="Finished item","Finished endpoint",IF(IFERROR(INDEX('Items'!$AI$6:$AI$1005,MATCH(T823,'Items'!$A$6:$A$1005,0)),"MISSING ID")="Currency","Currency / no refinement tier","Recovered output / tier not applicable")),IF(OR(IFERROR(INDEX('Crafting recipes'!$H$6:$H$1005,MATCH(J823,'Crafting recipes'!$A$6:$A$1005,0)),"MISSING ID")="Unassigned",G823="Unassigned"),"Tier unresolved",IF(IFERROR(VALUE(RIGHT(G823,1))-VALUE(RIGHT(IFERROR(INDEX('Crafting recipes'!$H$6:$H$1005,MATCH(J823,'Crafting recipes'!$A$6:$A$1005,0)),"MISSING ID"),1)),0)=1,IF(B823=IFERROR(INDEX('Crafting recipes'!$H$6:$H$1005,MATCH(J823,'Crafting recipes'!$A$6:$A$1005,0)),"MISSING ID"),"Advances one material tier","Lower-tier ingredient; route advances one tier"),"Needs tier review"))))))</x:f>
        <x:v>Finished endpoint</x:v>
      </x:c>
      <x:c r="S823" s="4" t="str">
        <x:f>IFERROR(INDEX('Material routes'!$D$6:$D$2205,MATCH(U823,'Material routes'!$A$6:$A$2205,0)),"MISSING ID")</x:f>
        <x:v>proposal.lore.rivet_stock</x:v>
      </x:c>
      <x:c r="T823" s="4" t="str">
        <x:f>IFERROR(INDEX('Material routes'!$D$6:$D$2205,MATCH(V823,'Material routes'!$A$6:$A$2205,0)),"MISSING ID")</x:f>
        <x:v>proposal.collection.riveted_steel_round_shield</x:v>
      </x:c>
      <x:c r="U823" s="4" t="str">
        <x:v>design.collection.riveted_steel_round_shield.in.2</x:v>
      </x:c>
      <x:c r="V823" s="4" t="str">
        <x:v>design.collection.riveted_steel_round_shield.out</x:v>
      </x:c>
    </x:row>
    <x:row r="824" ht="64" customHeight="1">
      <x:c r="A824" s="4" t="str">
        <x:f>IFERROR(INDEX('Material routes'!$E$6:$E$2205,MATCH(U824,'Material routes'!$A$6:$A$2205,0)),"MISSING ID")</x:f>
        <x:v>Separated shell lamina stock</x:v>
      </x:c>
      <x:c r="B824" s="4" t="str">
        <x:f>IFERROR(INDEX('Material routes'!$F$6:$F$2205,MATCH(U824,'Material routes'!$A$6:$A$2205,0)),"MISSING ID")</x:f>
        <x:v>T1</x:v>
      </x:c>
      <x:c r="C824" s="4" t="str">
        <x:f>IFERROR(INDEX('Material routes'!$H$6:$H$2205,MATCH(U824,'Material routes'!$A$6:$A$2205,0)),"MISSING ID")</x:f>
        <x:v>Processed material</x:v>
      </x:c>
      <x:c r="D824" s="4" t="str">
        <x:f>IFERROR(INDEX('Material routes'!$G$6:$G$2205,MATCH(U824,'Material routes'!$A$6:$A$2205,0)),"MISSING ID")</x:f>
        <x:v>Manufactured stock</x:v>
      </x:c>
      <x:c r="E824" s="4" t="str">
        <x:f>IFERROR(INDEX('Material routes'!$C$6:$C$2205,MATCH(U824,'Material routes'!$A$6:$A$2205,0)),"MISSING ID")</x:f>
        <x:v>Ingredient candidate</x:v>
      </x:c>
      <x:c r="F824" s="4" t="str">
        <x:f>IFERROR(INDEX('Material routes'!$E$6:$E$2205,MATCH(V824,'Material routes'!$A$6:$A$2205,0)),"MISSING ID")</x:f>
        <x:v>Broad chitin shield</x:v>
      </x:c>
      <x:c r="G824" s="4" t="str">
        <x:f>IFERROR(INDEX('Material routes'!$F$6:$F$2205,MATCH(V824,'Material routes'!$A$6:$A$2205,0)),"MISSING ID")</x:f>
        <x:v>Not applicable</x:v>
      </x:c>
      <x:c r="H824" s="4" t="str">
        <x:f>IFERROR(INDEX('Material routes'!$H$6:$H$2205,MATCH(V824,'Material routes'!$A$6:$A$2205,0)),"MISSING ID")</x:f>
        <x:v>Shield</x:v>
      </x:c>
      <x:c r="I824" s="4" t="str">
        <x:f>IFERROR(INDEX('Material routes'!$G$6:$G$2205,MATCH(V824,'Material routes'!$A$6:$A$2205,0)),"MISSING ID")</x:f>
        <x:v>Armor</x:v>
      </x:c>
      <x:c r="J824" s="4" t="str">
        <x:f>IFERROR(INDEX('Material routes'!$B$6:$B$2205,MATCH(U824,'Material routes'!$A$6:$A$2205,0)),"MISSING ID")</x:f>
        <x:v>design.collection.broad_chitin_shield</x:v>
      </x:c>
      <x:c r="K824" s="4" t="str">
        <x:f>IFERROR(INDEX('Crafting recipes'!$C$6:$C$1005,MATCH(J824,'Crafting recipes'!$A$6:$A$1005,0)),"MISSING ID")</x:f>
        <x:v>Finished-item crafting</x:v>
      </x:c>
      <x:c r="L824" s="4" t="str">
        <x:f>IFERROR(INDEX('Material routes'!$K$6:$K$2205,MATCH(U824,'Material routes'!$A$6:$A$2205,0)),"MISSING ID")</x:f>
        <x:v>Proposal</x:v>
      </x:c>
      <x:c r="M824" s="4" t="str">
        <x:f>IFERROR(INDEX('Material routes'!$M$6:$M$2205,MATCH(U824,'Material routes'!$A$6:$A$2205,0)),"MISSING ID")</x:f>
        <x:v>Partial proposal</x:v>
      </x:c>
      <x:c r="N824" s="4"/>
      <x:c r="O824" s="4" t="str">
        <x:f>IFERROR(INDEX('Material routes'!$J$6:$J$2205,MATCH(U824,'Material routes'!$A$6:$A$2205,0)),"MISSING ID")</x:f>
        <x:v>Unspecified</x:v>
      </x:c>
      <x:c r="P824" s="4"/>
      <x:c r="Q824" s="4" t="str">
        <x:f>IFERROR(INDEX('Material routes'!$J$6:$J$2205,MATCH(V824,'Material routes'!$A$6:$A$2205,0)),"MISSING ID")</x:f>
        <x:v>Unspecified</x:v>
      </x:c>
      <x:c r="R824" s="4" t="str">
        <x:f>IF(L824="Withheld","Withheld premise",IF(E824="Tool candidate","Reusable prerequisite",IF(K824="Raw entry preparation","Entry-resource preparation",IF(G824="Not applicable",IF(IFERROR(INDEX('Items'!$AI$6:$AI$1005,MATCH(T824,'Items'!$A$6:$A$1005,0)),"MISSING ID")="Finished item","Finished endpoint",IF(IFERROR(INDEX('Items'!$AI$6:$AI$1005,MATCH(T824,'Items'!$A$6:$A$1005,0)),"MISSING ID")="Currency","Currency / no refinement tier","Recovered output / tier not applicable")),IF(OR(IFERROR(INDEX('Crafting recipes'!$H$6:$H$1005,MATCH(J824,'Crafting recipes'!$A$6:$A$1005,0)),"MISSING ID")="Unassigned",G824="Unassigned"),"Tier unresolved",IF(IFERROR(VALUE(RIGHT(G824,1))-VALUE(RIGHT(IFERROR(INDEX('Crafting recipes'!$H$6:$H$1005,MATCH(J824,'Crafting recipes'!$A$6:$A$1005,0)),"MISSING ID"),1)),0)=1,IF(B824=IFERROR(INDEX('Crafting recipes'!$H$6:$H$1005,MATCH(J824,'Crafting recipes'!$A$6:$A$1005,0)),"MISSING ID"),"Advances one material tier","Lower-tier ingredient; route advances one tier"),"Needs tier review"))))))</x:f>
        <x:v>Finished endpoint</x:v>
      </x:c>
      <x:c r="S824" s="4" t="str">
        <x:f>IFERROR(INDEX('Material routes'!$D$6:$D$2205,MATCH(U824,'Material routes'!$A$6:$A$2205,0)),"MISSING ID")</x:f>
        <x:v>proposal.t1.shell_lamina</x:v>
      </x:c>
      <x:c r="T824" s="4" t="str">
        <x:f>IFERROR(INDEX('Material routes'!$D$6:$D$2205,MATCH(V824,'Material routes'!$A$6:$A$2205,0)),"MISSING ID")</x:f>
        <x:v>proposal.collection.broad_chitin_shield</x:v>
      </x:c>
      <x:c r="U824" s="4" t="str">
        <x:v>design.collection.broad_chitin_shield.in.1</x:v>
      </x:c>
      <x:c r="V824" s="4" t="str">
        <x:v>design.collection.broad_chitin_shield.out</x:v>
      </x:c>
    </x:row>
    <x:row r="825" ht="64" customHeight="1">
      <x:c r="A825" s="4" t="str">
        <x:f>IFERROR(INDEX('Material routes'!$E$6:$E$2205,MATCH(U825,'Material routes'!$A$6:$A$2205,0)),"MISSING ID")</x:f>
        <x:v>Worked iron stock</x:v>
      </x:c>
      <x:c r="B825" s="4" t="str">
        <x:f>IFERROR(INDEX('Material routes'!$F$6:$F$2205,MATCH(U825,'Material routes'!$A$6:$A$2205,0)),"MISSING ID")</x:f>
        <x:v>T2</x:v>
      </x:c>
      <x:c r="C825" s="4" t="str">
        <x:f>IFERROR(INDEX('Material routes'!$H$6:$H$2205,MATCH(U825,'Material routes'!$A$6:$A$2205,0)),"MISSING ID")</x:f>
        <x:v>Processed material</x:v>
      </x:c>
      <x:c r="D825" s="4" t="str">
        <x:f>IFERROR(INDEX('Material routes'!$G$6:$G$2205,MATCH(U825,'Material routes'!$A$6:$A$2205,0)),"MISSING ID")</x:f>
        <x:v>Manufactured stock</x:v>
      </x:c>
      <x:c r="E825" s="4" t="str">
        <x:f>IFERROR(INDEX('Material routes'!$C$6:$C$2205,MATCH(U825,'Material routes'!$A$6:$A$2205,0)),"MISSING ID")</x:f>
        <x:v>Ingredient candidate</x:v>
      </x:c>
      <x:c r="F825" s="4" t="str">
        <x:f>IFERROR(INDEX('Material routes'!$E$6:$E$2205,MATCH(V825,'Material routes'!$A$6:$A$2205,0)),"MISSING ID")</x:f>
        <x:v>Broad chitin shield</x:v>
      </x:c>
      <x:c r="G825" s="4" t="str">
        <x:f>IFERROR(INDEX('Material routes'!$F$6:$F$2205,MATCH(V825,'Material routes'!$A$6:$A$2205,0)),"MISSING ID")</x:f>
        <x:v>Not applicable</x:v>
      </x:c>
      <x:c r="H825" s="4" t="str">
        <x:f>IFERROR(INDEX('Material routes'!$H$6:$H$2205,MATCH(V825,'Material routes'!$A$6:$A$2205,0)),"MISSING ID")</x:f>
        <x:v>Shield</x:v>
      </x:c>
      <x:c r="I825" s="4" t="str">
        <x:f>IFERROR(INDEX('Material routes'!$G$6:$G$2205,MATCH(V825,'Material routes'!$A$6:$A$2205,0)),"MISSING ID")</x:f>
        <x:v>Armor</x:v>
      </x:c>
      <x:c r="J825" s="4" t="str">
        <x:f>IFERROR(INDEX('Material routes'!$B$6:$B$2205,MATCH(U825,'Material routes'!$A$6:$A$2205,0)),"MISSING ID")</x:f>
        <x:v>design.collection.broad_chitin_shield</x:v>
      </x:c>
      <x:c r="K825" s="4" t="str">
        <x:f>IFERROR(INDEX('Crafting recipes'!$C$6:$C$1005,MATCH(J825,'Crafting recipes'!$A$6:$A$1005,0)),"MISSING ID")</x:f>
        <x:v>Finished-item crafting</x:v>
      </x:c>
      <x:c r="L825" s="4" t="str">
        <x:f>IFERROR(INDEX('Material routes'!$K$6:$K$2205,MATCH(U825,'Material routes'!$A$6:$A$2205,0)),"MISSING ID")</x:f>
        <x:v>Proposal</x:v>
      </x:c>
      <x:c r="M825" s="4" t="str">
        <x:f>IFERROR(INDEX('Material routes'!$M$6:$M$2205,MATCH(U825,'Material routes'!$A$6:$A$2205,0)),"MISSING ID")</x:f>
        <x:v>Partial proposal</x:v>
      </x:c>
      <x:c r="N825" s="4"/>
      <x:c r="O825" s="4" t="str">
        <x:f>IFERROR(INDEX('Material routes'!$J$6:$J$2205,MATCH(U825,'Material routes'!$A$6:$A$2205,0)),"MISSING ID")</x:f>
        <x:v>Unspecified</x:v>
      </x:c>
      <x:c r="P825" s="4"/>
      <x:c r="Q825" s="4" t="str">
        <x:f>IFERROR(INDEX('Material routes'!$J$6:$J$2205,MATCH(V825,'Material routes'!$A$6:$A$2205,0)),"MISSING ID")</x:f>
        <x:v>Unspecified</x:v>
      </x:c>
      <x:c r="R825" s="4" t="str">
        <x:f>IF(L825="Withheld","Withheld premise",IF(E825="Tool candidate","Reusable prerequisite",IF(K825="Raw entry preparation","Entry-resource preparation",IF(G825="Not applicable",IF(IFERROR(INDEX('Items'!$AI$6:$AI$1005,MATCH(T825,'Items'!$A$6:$A$1005,0)),"MISSING ID")="Finished item","Finished endpoint",IF(IFERROR(INDEX('Items'!$AI$6:$AI$1005,MATCH(T825,'Items'!$A$6:$A$1005,0)),"MISSING ID")="Currency","Currency / no refinement tier","Recovered output / tier not applicable")),IF(OR(IFERROR(INDEX('Crafting recipes'!$H$6:$H$1005,MATCH(J825,'Crafting recipes'!$A$6:$A$1005,0)),"MISSING ID")="Unassigned",G825="Unassigned"),"Tier unresolved",IF(IFERROR(VALUE(RIGHT(G825,1))-VALUE(RIGHT(IFERROR(INDEX('Crafting recipes'!$H$6:$H$1005,MATCH(J825,'Crafting recipes'!$A$6:$A$1005,0)),"MISSING ID"),1)),0)=1,IF(B825=IFERROR(INDEX('Crafting recipes'!$H$6:$H$1005,MATCH(J825,'Crafting recipes'!$A$6:$A$1005,0)),"MISSING ID"),"Advances one material tier","Lower-tier ingredient; route advances one tier"),"Needs tier review"))))))</x:f>
        <x:v>Finished endpoint</x:v>
      </x:c>
      <x:c r="S825" s="4" t="str">
        <x:f>IFERROR(INDEX('Material routes'!$D$6:$D$2205,MATCH(U825,'Material routes'!$A$6:$A$2205,0)),"MISSING ID")</x:f>
        <x:v>proposal.natural.iron_stock</x:v>
      </x:c>
      <x:c r="T825" s="4" t="str">
        <x:f>IFERROR(INDEX('Material routes'!$D$6:$D$2205,MATCH(V825,'Material routes'!$A$6:$A$2205,0)),"MISSING ID")</x:f>
        <x:v>proposal.collection.broad_chitin_shield</x:v>
      </x:c>
      <x:c r="U825" s="4" t="str">
        <x:v>design.collection.broad_chitin_shield.in.2</x:v>
      </x:c>
      <x:c r="V825" s="4" t="str">
        <x:v>design.collection.broad_chitin_shield.out</x:v>
      </x:c>
    </x:row>
    <x:row r="826" ht="64" customHeight="1">
      <x:c r="A826" s="4"/>
      <x:c r="B826" s="4"/>
      <x:c r="C826" s="4"/>
      <x:c r="D826" s="4"/>
      <x:c r="E826" s="4"/>
      <x:c r="F826" s="4"/>
      <x:c r="G826" s="4"/>
      <x:c r="H826" s="4"/>
      <x:c r="I826" s="4"/>
      <x:c r="J826" s="4"/>
      <x:c r="K826" s="4"/>
      <x:c r="L826" s="4"/>
      <x:c r="M826" s="4"/>
      <x:c r="N826" s="4"/>
      <x:c r="P826" s="4"/>
      <x:c r="R826" s="4"/>
      <x:c r="S826" s="4"/>
      <x:c r="T826" s="4"/>
      <x:c r="U826" s="4"/>
      <x:c r="V826" s="4"/>
    </x:row>
    <x:row r="827" ht="64" customHeight="1">
      <x:c r="A827" s="4"/>
      <x:c r="B827" s="4"/>
      <x:c r="C827" s="4"/>
      <x:c r="D827" s="4"/>
      <x:c r="E827" s="4"/>
      <x:c r="F827" s="4"/>
      <x:c r="G827" s="4"/>
      <x:c r="H827" s="4"/>
      <x:c r="I827" s="4"/>
      <x:c r="J827" s="4"/>
      <x:c r="K827" s="4"/>
      <x:c r="L827" s="4"/>
      <x:c r="M827" s="4"/>
      <x:c r="N827" s="4"/>
      <x:c r="P827" s="4"/>
      <x:c r="R827" s="4"/>
      <x:c r="S827" s="4"/>
      <x:c r="T827" s="4"/>
      <x:c r="U827" s="4"/>
      <x:c r="V827" s="4"/>
    </x:row>
    <x:row r="828" ht="64" customHeight="1">
      <x:c r="A828" s="4" t="str">
        <x:f>IFERROR(INDEX('Material routes'!$E$6:$E$2205,MATCH(U828,'Material routes'!$A$6:$A$2205,0)),"MISSING ID")</x:f>
        <x:v>Annealed iron sheet stock</x:v>
      </x:c>
      <x:c r="B828" s="4" t="str">
        <x:f>IFERROR(INDEX('Material routes'!$F$6:$F$2205,MATCH(U828,'Material routes'!$A$6:$A$2205,0)),"MISSING ID")</x:f>
        <x:v>T3</x:v>
      </x:c>
      <x:c r="C828" s="4" t="str">
        <x:f>IFERROR(INDEX('Material routes'!$H$6:$H$2205,MATCH(U828,'Material routes'!$A$6:$A$2205,0)),"MISSING ID")</x:f>
        <x:v>Processed material</x:v>
      </x:c>
      <x:c r="D828" s="4" t="str">
        <x:f>IFERROR(INDEX('Material routes'!$G$6:$G$2205,MATCH(U828,'Material routes'!$A$6:$A$2205,0)),"MISSING ID")</x:f>
        <x:v>Manufactured stock</x:v>
      </x:c>
      <x:c r="E828" s="4" t="str">
        <x:f>IFERROR(INDEX('Material routes'!$C$6:$C$2205,MATCH(U828,'Material routes'!$A$6:$A$2205,0)),"MISSING ID")</x:f>
        <x:v>Ingredient candidate</x:v>
      </x:c>
      <x:c r="F828" s="4" t="str">
        <x:f>IFERROR(INDEX('Material routes'!$E$6:$E$2205,MATCH(V828,'Material routes'!$A$6:$A$2205,0)),"MISSING ID")</x:f>
        <x:v>Tall iron pavise</x:v>
      </x:c>
      <x:c r="G828" s="4" t="str">
        <x:f>IFERROR(INDEX('Material routes'!$F$6:$F$2205,MATCH(V828,'Material routes'!$A$6:$A$2205,0)),"MISSING ID")</x:f>
        <x:v>Not applicable</x:v>
      </x:c>
      <x:c r="H828" s="4" t="str">
        <x:f>IFERROR(INDEX('Material routes'!$H$6:$H$2205,MATCH(V828,'Material routes'!$A$6:$A$2205,0)),"MISSING ID")</x:f>
        <x:v>Shield</x:v>
      </x:c>
      <x:c r="I828" s="4" t="str">
        <x:f>IFERROR(INDEX('Material routes'!$G$6:$G$2205,MATCH(V828,'Material routes'!$A$6:$A$2205,0)),"MISSING ID")</x:f>
        <x:v>Armor</x:v>
      </x:c>
      <x:c r="J828" s="4" t="str">
        <x:f>IFERROR(INDEX('Material routes'!$B$6:$B$2205,MATCH(U828,'Material routes'!$A$6:$A$2205,0)),"MISSING ID")</x:f>
        <x:v>design.collection.tall_iron_pavise</x:v>
      </x:c>
      <x:c r="K828" s="4" t="str">
        <x:f>IFERROR(INDEX('Crafting recipes'!$C$6:$C$1005,MATCH(J828,'Crafting recipes'!$A$6:$A$1005,0)),"MISSING ID")</x:f>
        <x:v>Finished-item crafting</x:v>
      </x:c>
      <x:c r="L828" s="4" t="str">
        <x:f>IFERROR(INDEX('Material routes'!$K$6:$K$2205,MATCH(U828,'Material routes'!$A$6:$A$2205,0)),"MISSING ID")</x:f>
        <x:v>Proposal</x:v>
      </x:c>
      <x:c r="M828" s="4" t="str">
        <x:f>IFERROR(INDEX('Material routes'!$M$6:$M$2205,MATCH(U828,'Material routes'!$A$6:$A$2205,0)),"MISSING ID")</x:f>
        <x:v>Partial proposal</x:v>
      </x:c>
      <x:c r="N828" s="4"/>
      <x:c r="O828" s="4" t="str">
        <x:f>IFERROR(INDEX('Material routes'!$J$6:$J$2205,MATCH(U828,'Material routes'!$A$6:$A$2205,0)),"MISSING ID")</x:f>
        <x:v>Unspecified</x:v>
      </x:c>
      <x:c r="P828" s="4"/>
      <x:c r="Q828" s="4" t="str">
        <x:f>IFERROR(INDEX('Material routes'!$J$6:$J$2205,MATCH(V828,'Material routes'!$A$6:$A$2205,0)),"MISSING ID")</x:f>
        <x:v>Unspecified</x:v>
      </x:c>
      <x:c r="R828" s="4" t="str">
        <x:f>IF(L828="Withheld","Withheld premise",IF(E828="Tool candidate","Reusable prerequisite",IF(K828="Raw entry preparation","Entry-resource preparation",IF(G828="Not applicable",IF(IFERROR(INDEX('Items'!$AI$6:$AI$1005,MATCH(T828,'Items'!$A$6:$A$1005,0)),"MISSING ID")="Finished item","Finished endpoint",IF(IFERROR(INDEX('Items'!$AI$6:$AI$1005,MATCH(T828,'Items'!$A$6:$A$1005,0)),"MISSING ID")="Currency","Currency / no refinement tier","Recovered output / tier not applicable")),IF(OR(IFERROR(INDEX('Crafting recipes'!$H$6:$H$1005,MATCH(J828,'Crafting recipes'!$A$6:$A$1005,0)),"MISSING ID")="Unassigned",G828="Unassigned"),"Tier unresolved",IF(IFERROR(VALUE(RIGHT(G828,1))-VALUE(RIGHT(IFERROR(INDEX('Crafting recipes'!$H$6:$H$1005,MATCH(J828,'Crafting recipes'!$A$6:$A$1005,0)),"MISSING ID"),1)),0)=1,IF(B828=IFERROR(INDEX('Crafting recipes'!$H$6:$H$1005,MATCH(J828,'Crafting recipes'!$A$6:$A$1005,0)),"MISSING ID"),"Advances one material tier","Lower-tier ingredient; route advances one tier"),"Needs tier review"))))))</x:f>
        <x:v>Finished endpoint</x:v>
      </x:c>
      <x:c r="S828" s="4" t="str">
        <x:f>IFERROR(INDEX('Material routes'!$D$6:$D$2205,MATCH(U828,'Material routes'!$A$6:$A$2205,0)),"MISSING ID")</x:f>
        <x:v>proposal.collection.annealed_iron_sheet_stock</x:v>
      </x:c>
      <x:c r="T828" s="4" t="str">
        <x:f>IFERROR(INDEX('Material routes'!$D$6:$D$2205,MATCH(V828,'Material routes'!$A$6:$A$2205,0)),"MISSING ID")</x:f>
        <x:v>proposal.collection.tall_iron_pavise</x:v>
      </x:c>
      <x:c r="U828" s="4" t="str">
        <x:v>design.collection.tall_iron_pavise.in.1</x:v>
      </x:c>
      <x:c r="V828" s="4" t="str">
        <x:v>design.collection.tall_iron_pavise.out</x:v>
      </x:c>
    </x:row>
    <x:row r="829" ht="64" customHeight="1">
      <x:c r="A829" s="4" t="str">
        <x:f>IFERROR(INDEX('Material routes'!$E$6:$E$2205,MATCH(U829,'Material routes'!$A$6:$A$2205,0)),"MISSING ID")</x:f>
        <x:v>Worked iron stock</x:v>
      </x:c>
      <x:c r="B829" s="4" t="str">
        <x:f>IFERROR(INDEX('Material routes'!$F$6:$F$2205,MATCH(U829,'Material routes'!$A$6:$A$2205,0)),"MISSING ID")</x:f>
        <x:v>T2</x:v>
      </x:c>
      <x:c r="C829" s="4" t="str">
        <x:f>IFERROR(INDEX('Material routes'!$H$6:$H$2205,MATCH(U829,'Material routes'!$A$6:$A$2205,0)),"MISSING ID")</x:f>
        <x:v>Processed material</x:v>
      </x:c>
      <x:c r="D829" s="4" t="str">
        <x:f>IFERROR(INDEX('Material routes'!$G$6:$G$2205,MATCH(U829,'Material routes'!$A$6:$A$2205,0)),"MISSING ID")</x:f>
        <x:v>Manufactured stock</x:v>
      </x:c>
      <x:c r="E829" s="4" t="str">
        <x:f>IFERROR(INDEX('Material routes'!$C$6:$C$2205,MATCH(U829,'Material routes'!$A$6:$A$2205,0)),"MISSING ID")</x:f>
        <x:v>Ingredient candidate</x:v>
      </x:c>
      <x:c r="F829" s="4" t="str">
        <x:f>IFERROR(INDEX('Material routes'!$E$6:$E$2205,MATCH(V829,'Material routes'!$A$6:$A$2205,0)),"MISSING ID")</x:f>
        <x:v>Tall iron pavise</x:v>
      </x:c>
      <x:c r="G829" s="4" t="str">
        <x:f>IFERROR(INDEX('Material routes'!$F$6:$F$2205,MATCH(V829,'Material routes'!$A$6:$A$2205,0)),"MISSING ID")</x:f>
        <x:v>Not applicable</x:v>
      </x:c>
      <x:c r="H829" s="4" t="str">
        <x:f>IFERROR(INDEX('Material routes'!$H$6:$H$2205,MATCH(V829,'Material routes'!$A$6:$A$2205,0)),"MISSING ID")</x:f>
        <x:v>Shield</x:v>
      </x:c>
      <x:c r="I829" s="4" t="str">
        <x:f>IFERROR(INDEX('Material routes'!$G$6:$G$2205,MATCH(V829,'Material routes'!$A$6:$A$2205,0)),"MISSING ID")</x:f>
        <x:v>Armor</x:v>
      </x:c>
      <x:c r="J829" s="4" t="str">
        <x:f>IFERROR(INDEX('Material routes'!$B$6:$B$2205,MATCH(U829,'Material routes'!$A$6:$A$2205,0)),"MISSING ID")</x:f>
        <x:v>design.collection.tall_iron_pavise</x:v>
      </x:c>
      <x:c r="K829" s="4" t="str">
        <x:f>IFERROR(INDEX('Crafting recipes'!$C$6:$C$1005,MATCH(J829,'Crafting recipes'!$A$6:$A$1005,0)),"MISSING ID")</x:f>
        <x:v>Finished-item crafting</x:v>
      </x:c>
      <x:c r="L829" s="4" t="str">
        <x:f>IFERROR(INDEX('Material routes'!$K$6:$K$2205,MATCH(U829,'Material routes'!$A$6:$A$2205,0)),"MISSING ID")</x:f>
        <x:v>Proposal</x:v>
      </x:c>
      <x:c r="M829" s="4" t="str">
        <x:f>IFERROR(INDEX('Material routes'!$M$6:$M$2205,MATCH(U829,'Material routes'!$A$6:$A$2205,0)),"MISSING ID")</x:f>
        <x:v>Partial proposal</x:v>
      </x:c>
      <x:c r="N829" s="4"/>
      <x:c r="O829" s="4" t="str">
        <x:f>IFERROR(INDEX('Material routes'!$J$6:$J$2205,MATCH(U829,'Material routes'!$A$6:$A$2205,0)),"MISSING ID")</x:f>
        <x:v>Unspecified</x:v>
      </x:c>
      <x:c r="P829" s="4"/>
      <x:c r="Q829" s="4" t="str">
        <x:f>IFERROR(INDEX('Material routes'!$J$6:$J$2205,MATCH(V829,'Material routes'!$A$6:$A$2205,0)),"MISSING ID")</x:f>
        <x:v>Unspecified</x:v>
      </x:c>
      <x:c r="R829" s="4" t="str">
        <x:f>IF(L829="Withheld","Withheld premise",IF(E829="Tool candidate","Reusable prerequisite",IF(K829="Raw entry preparation","Entry-resource preparation",IF(G829="Not applicable",IF(IFERROR(INDEX('Items'!$AI$6:$AI$1005,MATCH(T829,'Items'!$A$6:$A$1005,0)),"MISSING ID")="Finished item","Finished endpoint",IF(IFERROR(INDEX('Items'!$AI$6:$AI$1005,MATCH(T829,'Items'!$A$6:$A$1005,0)),"MISSING ID")="Currency","Currency / no refinement tier","Recovered output / tier not applicable")),IF(OR(IFERROR(INDEX('Crafting recipes'!$H$6:$H$1005,MATCH(J829,'Crafting recipes'!$A$6:$A$1005,0)),"MISSING ID")="Unassigned",G829="Unassigned"),"Tier unresolved",IF(IFERROR(VALUE(RIGHT(G829,1))-VALUE(RIGHT(IFERROR(INDEX('Crafting recipes'!$H$6:$H$1005,MATCH(J829,'Crafting recipes'!$A$6:$A$1005,0)),"MISSING ID"),1)),0)=1,IF(B829=IFERROR(INDEX('Crafting recipes'!$H$6:$H$1005,MATCH(J829,'Crafting recipes'!$A$6:$A$1005,0)),"MISSING ID"),"Advances one material tier","Lower-tier ingredient; route advances one tier"),"Needs tier review"))))))</x:f>
        <x:v>Finished endpoint</x:v>
      </x:c>
      <x:c r="S829" s="4" t="str">
        <x:f>IFERROR(INDEX('Material routes'!$D$6:$D$2205,MATCH(U829,'Material routes'!$A$6:$A$2205,0)),"MISSING ID")</x:f>
        <x:v>proposal.natural.iron_stock</x:v>
      </x:c>
      <x:c r="T829" s="4" t="str">
        <x:f>IFERROR(INDEX('Material routes'!$D$6:$D$2205,MATCH(V829,'Material routes'!$A$6:$A$2205,0)),"MISSING ID")</x:f>
        <x:v>proposal.collection.tall_iron_pavise</x:v>
      </x:c>
      <x:c r="U829" s="4" t="str">
        <x:v>design.collection.tall_iron_pavise.in.2</x:v>
      </x:c>
      <x:c r="V829" s="4" t="str">
        <x:v>design.collection.tall_iron_pavise.out</x:v>
      </x:c>
    </x:row>
    <x:row r="830" ht="64" customHeight="1">
      <x:c r="A830" s="4" t="str">
        <x:f>IFERROR(INDEX('Material routes'!$E$6:$E$2205,MATCH(U830,'Material routes'!$A$6:$A$2205,0)),"MISSING ID")</x:f>
        <x:v>Reinforced wing membrane</x:v>
      </x:c>
      <x:c r="B830" s="4" t="str">
        <x:f>IFERROR(INDEX('Material routes'!$F$6:$F$2205,MATCH(U830,'Material routes'!$A$6:$A$2205,0)),"MISSING ID")</x:f>
        <x:v>T2</x:v>
      </x:c>
      <x:c r="C830" s="4" t="str">
        <x:f>IFERROR(INDEX('Material routes'!$H$6:$H$2205,MATCH(U830,'Material routes'!$A$6:$A$2205,0)),"MISSING ID")</x:f>
        <x:v>Processed material</x:v>
      </x:c>
      <x:c r="D830" s="4" t="str">
        <x:f>IFERROR(INDEX('Material routes'!$G$6:$G$2205,MATCH(U830,'Material routes'!$A$6:$A$2205,0)),"MISSING ID")</x:f>
        <x:v>Manufactured stock</x:v>
      </x:c>
      <x:c r="E830" s="4" t="str">
        <x:f>IFERROR(INDEX('Material routes'!$C$6:$C$2205,MATCH(U830,'Material routes'!$A$6:$A$2205,0)),"MISSING ID")</x:f>
        <x:v>Ingredient candidate</x:v>
      </x:c>
      <x:c r="F830" s="4" t="str">
        <x:f>IFERROR(INDEX('Material routes'!$E$6:$E$2205,MATCH(V830,'Material routes'!$A$6:$A$2205,0)),"MISSING ID")</x:f>
        <x:v>Folding wing-frame screen shield</x:v>
      </x:c>
      <x:c r="G830" s="4" t="str">
        <x:f>IFERROR(INDEX('Material routes'!$F$6:$F$2205,MATCH(V830,'Material routes'!$A$6:$A$2205,0)),"MISSING ID")</x:f>
        <x:v>Not applicable</x:v>
      </x:c>
      <x:c r="H830" s="4" t="str">
        <x:f>IFERROR(INDEX('Material routes'!$H$6:$H$2205,MATCH(V830,'Material routes'!$A$6:$A$2205,0)),"MISSING ID")</x:f>
        <x:v>Shield</x:v>
      </x:c>
      <x:c r="I830" s="4" t="str">
        <x:f>IFERROR(INDEX('Material routes'!$G$6:$G$2205,MATCH(V830,'Material routes'!$A$6:$A$2205,0)),"MISSING ID")</x:f>
        <x:v>Armor</x:v>
      </x:c>
      <x:c r="J830" s="4" t="str">
        <x:f>IFERROR(INDEX('Material routes'!$B$6:$B$2205,MATCH(U830,'Material routes'!$A$6:$A$2205,0)),"MISSING ID")</x:f>
        <x:v>design.collection.folding_wing_frame_screen_shield</x:v>
      </x:c>
      <x:c r="K830" s="4" t="str">
        <x:f>IFERROR(INDEX('Crafting recipes'!$C$6:$C$1005,MATCH(J830,'Crafting recipes'!$A$6:$A$1005,0)),"MISSING ID")</x:f>
        <x:v>Finished-item crafting</x:v>
      </x:c>
      <x:c r="L830" s="4" t="str">
        <x:f>IFERROR(INDEX('Material routes'!$K$6:$K$2205,MATCH(U830,'Material routes'!$A$6:$A$2205,0)),"MISSING ID")</x:f>
        <x:v>Proposal</x:v>
      </x:c>
      <x:c r="M830" s="4" t="str">
        <x:f>IFERROR(INDEX('Material routes'!$M$6:$M$2205,MATCH(U830,'Material routes'!$A$6:$A$2205,0)),"MISSING ID")</x:f>
        <x:v>Partial proposal</x:v>
      </x:c>
      <x:c r="N830" s="4"/>
      <x:c r="O830" s="4" t="str">
        <x:f>IFERROR(INDEX('Material routes'!$J$6:$J$2205,MATCH(U830,'Material routes'!$A$6:$A$2205,0)),"MISSING ID")</x:f>
        <x:v>Unspecified</x:v>
      </x:c>
      <x:c r="P830" s="4"/>
      <x:c r="Q830" s="4" t="str">
        <x:f>IFERROR(INDEX('Material routes'!$J$6:$J$2205,MATCH(V830,'Material routes'!$A$6:$A$2205,0)),"MISSING ID")</x:f>
        <x:v>Unspecified</x:v>
      </x:c>
      <x:c r="R830" s="4" t="str">
        <x:f>IF(L830="Withheld","Withheld premise",IF(E830="Tool candidate","Reusable prerequisite",IF(K830="Raw entry preparation","Entry-resource preparation",IF(G830="Not applicable",IF(IFERROR(INDEX('Items'!$AI$6:$AI$1005,MATCH(T830,'Items'!$A$6:$A$1005,0)),"MISSING ID")="Finished item","Finished endpoint",IF(IFERROR(INDEX('Items'!$AI$6:$AI$1005,MATCH(T830,'Items'!$A$6:$A$1005,0)),"MISSING ID")="Currency","Currency / no refinement tier","Recovered output / tier not applicable")),IF(OR(IFERROR(INDEX('Crafting recipes'!$H$6:$H$1005,MATCH(J830,'Crafting recipes'!$A$6:$A$1005,0)),"MISSING ID")="Unassigned",G830="Unassigned"),"Tier unresolved",IF(IFERROR(VALUE(RIGHT(G830,1))-VALUE(RIGHT(IFERROR(INDEX('Crafting recipes'!$H$6:$H$1005,MATCH(J830,'Crafting recipes'!$A$6:$A$1005,0)),"MISSING ID"),1)),0)=1,IF(B830=IFERROR(INDEX('Crafting recipes'!$H$6:$H$1005,MATCH(J830,'Crafting recipes'!$A$6:$A$1005,0)),"MISSING ID"),"Advances one material tier","Lower-tier ingredient; route advances one tier"),"Needs tier review"))))))</x:f>
        <x:v>Finished endpoint</x:v>
      </x:c>
      <x:c r="S830" s="4" t="str">
        <x:f>IFERROR(INDEX('Material routes'!$D$6:$D$2205,MATCH(U830,'Material routes'!$A$6:$A$2205,0)),"MISSING ID")</x:f>
        <x:v>proposal.branch.wing_membrane</x:v>
      </x:c>
      <x:c r="T830" s="4" t="str">
        <x:f>IFERROR(INDEX('Material routes'!$D$6:$D$2205,MATCH(V830,'Material routes'!$A$6:$A$2205,0)),"MISSING ID")</x:f>
        <x:v>proposal.collection.folding_wing_frame_screen_shield</x:v>
      </x:c>
      <x:c r="U830" s="4" t="str">
        <x:v>design.collection.folding_wing_frame_screen_shield.in.1</x:v>
      </x:c>
      <x:c r="V830" s="4" t="str">
        <x:v>design.collection.folding_wing_frame_screen_shield.out</x:v>
      </x:c>
    </x:row>
    <x:row r="831" ht="64" customHeight="1">
      <x:c r="A831" s="4" t="str">
        <x:f>IFERROR(INDEX('Material routes'!$E$6:$E$2205,MATCH(U831,'Material routes'!$A$6:$A$2205,0)),"MISSING ID")</x:f>
        <x:v>Collapsible sail frame</x:v>
      </x:c>
      <x:c r="B831" s="4" t="str">
        <x:f>IFERROR(INDEX('Material routes'!$F$6:$F$2205,MATCH(U831,'Material routes'!$A$6:$A$2205,0)),"MISSING ID")</x:f>
        <x:v>T4</x:v>
      </x:c>
      <x:c r="C831" s="4" t="str">
        <x:f>IFERROR(INDEX('Material routes'!$H$6:$H$2205,MATCH(U831,'Material routes'!$A$6:$A$2205,0)),"MISSING ID")</x:f>
        <x:v>Crafting component</x:v>
      </x:c>
      <x:c r="D831" s="4" t="str">
        <x:f>IFERROR(INDEX('Material routes'!$G$6:$G$2205,MATCH(U831,'Material routes'!$A$6:$A$2205,0)),"MISSING ID")</x:f>
        <x:v>Salvage</x:v>
      </x:c>
      <x:c r="E831" s="4" t="str">
        <x:f>IFERROR(INDEX('Material routes'!$C$6:$C$2205,MATCH(U831,'Material routes'!$A$6:$A$2205,0)),"MISSING ID")</x:f>
        <x:v>Ingredient candidate</x:v>
      </x:c>
      <x:c r="F831" s="4" t="str">
        <x:f>IFERROR(INDEX('Material routes'!$E$6:$E$2205,MATCH(V831,'Material routes'!$A$6:$A$2205,0)),"MISSING ID")</x:f>
        <x:v>Folding wing-frame screen shield</x:v>
      </x:c>
      <x:c r="G831" s="4" t="str">
        <x:f>IFERROR(INDEX('Material routes'!$F$6:$F$2205,MATCH(V831,'Material routes'!$A$6:$A$2205,0)),"MISSING ID")</x:f>
        <x:v>Not applicable</x:v>
      </x:c>
      <x:c r="H831" s="4" t="str">
        <x:f>IFERROR(INDEX('Material routes'!$H$6:$H$2205,MATCH(V831,'Material routes'!$A$6:$A$2205,0)),"MISSING ID")</x:f>
        <x:v>Shield</x:v>
      </x:c>
      <x:c r="I831" s="4" t="str">
        <x:f>IFERROR(INDEX('Material routes'!$G$6:$G$2205,MATCH(V831,'Material routes'!$A$6:$A$2205,0)),"MISSING ID")</x:f>
        <x:v>Armor</x:v>
      </x:c>
      <x:c r="J831" s="4" t="str">
        <x:f>IFERROR(INDEX('Material routes'!$B$6:$B$2205,MATCH(U831,'Material routes'!$A$6:$A$2205,0)),"MISSING ID")</x:f>
        <x:v>design.collection.folding_wing_frame_screen_shield</x:v>
      </x:c>
      <x:c r="K831" s="4" t="str">
        <x:f>IFERROR(INDEX('Crafting recipes'!$C$6:$C$1005,MATCH(J831,'Crafting recipes'!$A$6:$A$1005,0)),"MISSING ID")</x:f>
        <x:v>Finished-item crafting</x:v>
      </x:c>
      <x:c r="L831" s="4" t="str">
        <x:f>IFERROR(INDEX('Material routes'!$K$6:$K$2205,MATCH(U831,'Material routes'!$A$6:$A$2205,0)),"MISSING ID")</x:f>
        <x:v>Proposal</x:v>
      </x:c>
      <x:c r="M831" s="4" t="str">
        <x:f>IFERROR(INDEX('Material routes'!$M$6:$M$2205,MATCH(U831,'Material routes'!$A$6:$A$2205,0)),"MISSING ID")</x:f>
        <x:v>Partial proposal</x:v>
      </x:c>
      <x:c r="N831" s="4"/>
      <x:c r="O831" s="4" t="str">
        <x:f>IFERROR(INDEX('Material routes'!$J$6:$J$2205,MATCH(U831,'Material routes'!$A$6:$A$2205,0)),"MISSING ID")</x:f>
        <x:v>Unspecified</x:v>
      </x:c>
      <x:c r="P831" s="4"/>
      <x:c r="Q831" s="4" t="str">
        <x:f>IFERROR(INDEX('Material routes'!$J$6:$J$2205,MATCH(V831,'Material routes'!$A$6:$A$2205,0)),"MISSING ID")</x:f>
        <x:v>Unspecified</x:v>
      </x:c>
      <x:c r="R831" s="4" t="str">
        <x:f>IF(L831="Withheld","Withheld premise",IF(E831="Tool candidate","Reusable prerequisite",IF(K831="Raw entry preparation","Entry-resource preparation",IF(G831="Not applicable",IF(IFERROR(INDEX('Items'!$AI$6:$AI$1005,MATCH(T831,'Items'!$A$6:$A$1005,0)),"MISSING ID")="Finished item","Finished endpoint",IF(IFERROR(INDEX('Items'!$AI$6:$AI$1005,MATCH(T831,'Items'!$A$6:$A$1005,0)),"MISSING ID")="Currency","Currency / no refinement tier","Recovered output / tier not applicable")),IF(OR(IFERROR(INDEX('Crafting recipes'!$H$6:$H$1005,MATCH(J831,'Crafting recipes'!$A$6:$A$1005,0)),"MISSING ID")="Unassigned",G831="Unassigned"),"Tier unresolved",IF(IFERROR(VALUE(RIGHT(G831,1))-VALUE(RIGHT(IFERROR(INDEX('Crafting recipes'!$H$6:$H$1005,MATCH(J831,'Crafting recipes'!$A$6:$A$1005,0)),"MISSING ID"),1)),0)=1,IF(B831=IFERROR(INDEX('Crafting recipes'!$H$6:$H$1005,MATCH(J831,'Crafting recipes'!$A$6:$A$1005,0)),"MISSING ID"),"Advances one material tier","Lower-tier ingredient; route advances one tier"),"Needs tier review"))))))</x:f>
        <x:v>Finished endpoint</x:v>
      </x:c>
      <x:c r="S831" s="4" t="str">
        <x:f>IFERROR(INDEX('Material routes'!$D$6:$D$2205,MATCH(U831,'Material routes'!$A$6:$A$2205,0)),"MISSING ID")</x:f>
        <x:v>proposal.wind.folding_frame</x:v>
      </x:c>
      <x:c r="T831" s="4" t="str">
        <x:f>IFERROR(INDEX('Material routes'!$D$6:$D$2205,MATCH(V831,'Material routes'!$A$6:$A$2205,0)),"MISSING ID")</x:f>
        <x:v>proposal.collection.folding_wing_frame_screen_shield</x:v>
      </x:c>
      <x:c r="U831" s="4" t="str">
        <x:v>design.collection.folding_wing_frame_screen_shield.in.2</x:v>
      </x:c>
      <x:c r="V831" s="4" t="str">
        <x:v>design.collection.folding_wing_frame_screen_shield.out</x:v>
      </x:c>
    </x:row>
    <x:row r="832" ht="64" customHeight="1">
      <x:c r="A832" s="4"/>
      <x:c r="B832" s="4"/>
      <x:c r="C832" s="4"/>
      <x:c r="D832" s="4"/>
      <x:c r="E832" s="4"/>
      <x:c r="F832" s="4"/>
      <x:c r="G832" s="4"/>
      <x:c r="H832" s="4"/>
      <x:c r="I832" s="4"/>
      <x:c r="J832" s="4"/>
      <x:c r="K832" s="4"/>
      <x:c r="L832" s="4"/>
      <x:c r="M832" s="4"/>
      <x:c r="N832" s="4"/>
      <x:c r="O832" s="4"/>
      <x:c r="P832" s="4"/>
      <x:c r="Q832" s="4"/>
      <x:c r="R832" s="4"/>
      <x:c r="S832" s="4"/>
      <x:c r="T832" s="4"/>
      <x:c r="U832" s="4"/>
      <x:c r="V832" s="4"/>
    </x:row>
    <x:row r="833" ht="64" customHeight="1">
      <x:c r="A833" s="4"/>
      <x:c r="B833" s="4"/>
      <x:c r="C833" s="4"/>
      <x:c r="D833" s="4"/>
      <x:c r="E833" s="4"/>
      <x:c r="F833" s="4"/>
      <x:c r="G833" s="4"/>
      <x:c r="H833" s="4"/>
      <x:c r="I833" s="4"/>
      <x:c r="J833" s="4"/>
      <x:c r="K833" s="4"/>
      <x:c r="L833" s="4"/>
      <x:c r="M833" s="4"/>
      <x:c r="N833" s="4"/>
      <x:c r="O833" s="4"/>
      <x:c r="P833" s="4"/>
      <x:c r="Q833" s="4"/>
      <x:c r="R833" s="4"/>
      <x:c r="S833" s="4"/>
      <x:c r="T833" s="4"/>
      <x:c r="U833" s="4"/>
      <x:c r="V833" s="4"/>
    </x:row>
    <x:row r="834" ht="64" customHeight="1">
      <x:c r="A834" s="4" t="str">
        <x:f>IFERROR(INDEX('Material routes'!$E$6:$E$2205,MATCH(U834,'Material routes'!$A$6:$A$2205,0)),"MISSING ID")</x:f>
        <x:v>Layered husk composite stock</x:v>
      </x:c>
      <x:c r="B834" s="4" t="str">
        <x:f>IFERROR(INDEX('Material routes'!$F$6:$F$2205,MATCH(U834,'Material routes'!$A$6:$A$2205,0)),"MISSING ID")</x:f>
        <x:v>T3</x:v>
      </x:c>
      <x:c r="C834" s="4" t="str">
        <x:f>IFERROR(INDEX('Material routes'!$H$6:$H$2205,MATCH(U834,'Material routes'!$A$6:$A$2205,0)),"MISSING ID")</x:f>
        <x:v>Processed material</x:v>
      </x:c>
      <x:c r="D834" s="4" t="str">
        <x:f>IFERROR(INDEX('Material routes'!$G$6:$G$2205,MATCH(U834,'Material routes'!$A$6:$A$2205,0)),"MISSING ID")</x:f>
        <x:v>Manufactured stock</x:v>
      </x:c>
      <x:c r="E834" s="4" t="str">
        <x:f>IFERROR(INDEX('Material routes'!$C$6:$C$2205,MATCH(U834,'Material routes'!$A$6:$A$2205,0)),"MISSING ID")</x:f>
        <x:v>Ingredient candidate</x:v>
      </x:c>
      <x:c r="F834" s="4" t="str">
        <x:f>IFERROR(INDEX('Material routes'!$E$6:$E$2205,MATCH(V834,'Material routes'!$A$6:$A$2205,0)),"MISSING ID")</x:f>
        <x:v>Layered husk shield</x:v>
      </x:c>
      <x:c r="G834" s="4" t="str">
        <x:f>IFERROR(INDEX('Material routes'!$F$6:$F$2205,MATCH(V834,'Material routes'!$A$6:$A$2205,0)),"MISSING ID")</x:f>
        <x:v>Not applicable</x:v>
      </x:c>
      <x:c r="H834" s="4" t="str">
        <x:f>IFERROR(INDEX('Material routes'!$H$6:$H$2205,MATCH(V834,'Material routes'!$A$6:$A$2205,0)),"MISSING ID")</x:f>
        <x:v>Shield</x:v>
      </x:c>
      <x:c r="I834" s="4" t="str">
        <x:f>IFERROR(INDEX('Material routes'!$G$6:$G$2205,MATCH(V834,'Material routes'!$A$6:$A$2205,0)),"MISSING ID")</x:f>
        <x:v>Armor</x:v>
      </x:c>
      <x:c r="J834" s="4" t="str">
        <x:f>IFERROR(INDEX('Material routes'!$B$6:$B$2205,MATCH(U834,'Material routes'!$A$6:$A$2205,0)),"MISSING ID")</x:f>
        <x:v>design.collection.layered_husk_shield</x:v>
      </x:c>
      <x:c r="K834" s="4" t="str">
        <x:f>IFERROR(INDEX('Crafting recipes'!$C$6:$C$1005,MATCH(J834,'Crafting recipes'!$A$6:$A$1005,0)),"MISSING ID")</x:f>
        <x:v>Finished-item crafting</x:v>
      </x:c>
      <x:c r="L834" s="4" t="str">
        <x:f>IFERROR(INDEX('Material routes'!$K$6:$K$2205,MATCH(U834,'Material routes'!$A$6:$A$2205,0)),"MISSING ID")</x:f>
        <x:v>Proposal</x:v>
      </x:c>
      <x:c r="M834" s="4" t="str">
        <x:f>IFERROR(INDEX('Material routes'!$M$6:$M$2205,MATCH(U834,'Material routes'!$A$6:$A$2205,0)),"MISSING ID")</x:f>
        <x:v>Partial proposal</x:v>
      </x:c>
      <x:c r="N834" s="4"/>
      <x:c r="O834" s="4" t="str">
        <x:f>IFERROR(INDEX('Material routes'!$J$6:$J$2205,MATCH(U834,'Material routes'!$A$6:$A$2205,0)),"MISSING ID")</x:f>
        <x:v>Unspecified</x:v>
      </x:c>
      <x:c r="P834" s="4"/>
      <x:c r="Q834" s="4" t="str">
        <x:f>IFERROR(INDEX('Material routes'!$J$6:$J$2205,MATCH(V834,'Material routes'!$A$6:$A$2205,0)),"MISSING ID")</x:f>
        <x:v>Unspecified</x:v>
      </x:c>
      <x:c r="R834" s="4" t="str">
        <x:f>IF(L834="Withheld","Withheld premise",IF(E834="Tool candidate","Reusable prerequisite",IF(K834="Raw entry preparation","Entry-resource preparation",IF(G834="Not applicable",IF(IFERROR(INDEX('Items'!$AI$6:$AI$1005,MATCH(T834,'Items'!$A$6:$A$1005,0)),"MISSING ID")="Finished item","Finished endpoint",IF(IFERROR(INDEX('Items'!$AI$6:$AI$1005,MATCH(T834,'Items'!$A$6:$A$1005,0)),"MISSING ID")="Currency","Currency / no refinement tier","Recovered output / tier not applicable")),IF(OR(IFERROR(INDEX('Crafting recipes'!$H$6:$H$1005,MATCH(J834,'Crafting recipes'!$A$6:$A$1005,0)),"MISSING ID")="Unassigned",G834="Unassigned"),"Tier unresolved",IF(IFERROR(VALUE(RIGHT(G834,1))-VALUE(RIGHT(IFERROR(INDEX('Crafting recipes'!$H$6:$H$1005,MATCH(J834,'Crafting recipes'!$A$6:$A$1005,0)),"MISSING ID"),1)),0)=1,IF(B834=IFERROR(INDEX('Crafting recipes'!$H$6:$H$1005,MATCH(J834,'Crafting recipes'!$A$6:$A$1005,0)),"MISSING ID"),"Advances one material tier","Lower-tier ingredient; route advances one tier"),"Needs tier review"))))))</x:f>
        <x:v>Finished endpoint</x:v>
      </x:c>
      <x:c r="S834" s="4" t="str">
        <x:f>IFERROR(INDEX('Material routes'!$D$6:$D$2205,MATCH(U834,'Material routes'!$A$6:$A$2205,0)),"MISSING ID")</x:f>
        <x:v>proposal.branch.husk_composite</x:v>
      </x:c>
      <x:c r="T834" s="4" t="str">
        <x:f>IFERROR(INDEX('Material routes'!$D$6:$D$2205,MATCH(V834,'Material routes'!$A$6:$A$2205,0)),"MISSING ID")</x:f>
        <x:v>proposal.collection.layered_husk_shield</x:v>
      </x:c>
      <x:c r="U834" s="4" t="str">
        <x:v>design.collection.layered_husk_shield.in.1</x:v>
      </x:c>
      <x:c r="V834" s="4" t="str">
        <x:v>design.collection.layered_husk_shield.out</x:v>
      </x:c>
    </x:row>
    <x:row r="835" ht="64" customHeight="1">
      <x:c r="A835" s="4" t="str">
        <x:f>IFERROR(INDEX('Material routes'!$E$6:$E$2205,MATCH(U835,'Material routes'!$A$6:$A$2205,0)),"MISSING ID")</x:f>
        <x:v>Worked iron stock</x:v>
      </x:c>
      <x:c r="B835" s="4" t="str">
        <x:f>IFERROR(INDEX('Material routes'!$F$6:$F$2205,MATCH(U835,'Material routes'!$A$6:$A$2205,0)),"MISSING ID")</x:f>
        <x:v>T2</x:v>
      </x:c>
      <x:c r="C835" s="4" t="str">
        <x:f>IFERROR(INDEX('Material routes'!$H$6:$H$2205,MATCH(U835,'Material routes'!$A$6:$A$2205,0)),"MISSING ID")</x:f>
        <x:v>Processed material</x:v>
      </x:c>
      <x:c r="D835" s="4" t="str">
        <x:f>IFERROR(INDEX('Material routes'!$G$6:$G$2205,MATCH(U835,'Material routes'!$A$6:$A$2205,0)),"MISSING ID")</x:f>
        <x:v>Manufactured stock</x:v>
      </x:c>
      <x:c r="E835" s="4" t="str">
        <x:f>IFERROR(INDEX('Material routes'!$C$6:$C$2205,MATCH(U835,'Material routes'!$A$6:$A$2205,0)),"MISSING ID")</x:f>
        <x:v>Ingredient candidate</x:v>
      </x:c>
      <x:c r="F835" s="4" t="str">
        <x:f>IFERROR(INDEX('Material routes'!$E$6:$E$2205,MATCH(V835,'Material routes'!$A$6:$A$2205,0)),"MISSING ID")</x:f>
        <x:v>Layered husk shield</x:v>
      </x:c>
      <x:c r="G835" s="4" t="str">
        <x:f>IFERROR(INDEX('Material routes'!$F$6:$F$2205,MATCH(V835,'Material routes'!$A$6:$A$2205,0)),"MISSING ID")</x:f>
        <x:v>Not applicable</x:v>
      </x:c>
      <x:c r="H835" s="4" t="str">
        <x:f>IFERROR(INDEX('Material routes'!$H$6:$H$2205,MATCH(V835,'Material routes'!$A$6:$A$2205,0)),"MISSING ID")</x:f>
        <x:v>Shield</x:v>
      </x:c>
      <x:c r="I835" s="4" t="str">
        <x:f>IFERROR(INDEX('Material routes'!$G$6:$G$2205,MATCH(V835,'Material routes'!$A$6:$A$2205,0)),"MISSING ID")</x:f>
        <x:v>Armor</x:v>
      </x:c>
      <x:c r="J835" s="4" t="str">
        <x:f>IFERROR(INDEX('Material routes'!$B$6:$B$2205,MATCH(U835,'Material routes'!$A$6:$A$2205,0)),"MISSING ID")</x:f>
        <x:v>design.collection.layered_husk_shield</x:v>
      </x:c>
      <x:c r="K835" s="4" t="str">
        <x:f>IFERROR(INDEX('Crafting recipes'!$C$6:$C$1005,MATCH(J835,'Crafting recipes'!$A$6:$A$1005,0)),"MISSING ID")</x:f>
        <x:v>Finished-item crafting</x:v>
      </x:c>
      <x:c r="L835" s="4" t="str">
        <x:f>IFERROR(INDEX('Material routes'!$K$6:$K$2205,MATCH(U835,'Material routes'!$A$6:$A$2205,0)),"MISSING ID")</x:f>
        <x:v>Proposal</x:v>
      </x:c>
      <x:c r="M835" s="4" t="str">
        <x:f>IFERROR(INDEX('Material routes'!$M$6:$M$2205,MATCH(U835,'Material routes'!$A$6:$A$2205,0)),"MISSING ID")</x:f>
        <x:v>Partial proposal</x:v>
      </x:c>
      <x:c r="N835" s="4"/>
      <x:c r="O835" s="4" t="str">
        <x:f>IFERROR(INDEX('Material routes'!$J$6:$J$2205,MATCH(U835,'Material routes'!$A$6:$A$2205,0)),"MISSING ID")</x:f>
        <x:v>Unspecified</x:v>
      </x:c>
      <x:c r="P835" s="4"/>
      <x:c r="Q835" s="4" t="str">
        <x:f>IFERROR(INDEX('Material routes'!$J$6:$J$2205,MATCH(V835,'Material routes'!$A$6:$A$2205,0)),"MISSING ID")</x:f>
        <x:v>Unspecified</x:v>
      </x:c>
      <x:c r="R835" s="4" t="str">
        <x:f>IF(L835="Withheld","Withheld premise",IF(E835="Tool candidate","Reusable prerequisite",IF(K835="Raw entry preparation","Entry-resource preparation",IF(G835="Not applicable",IF(IFERROR(INDEX('Items'!$AI$6:$AI$1005,MATCH(T835,'Items'!$A$6:$A$1005,0)),"MISSING ID")="Finished item","Finished endpoint",IF(IFERROR(INDEX('Items'!$AI$6:$AI$1005,MATCH(T835,'Items'!$A$6:$A$1005,0)),"MISSING ID")="Currency","Currency / no refinement tier","Recovered output / tier not applicable")),IF(OR(IFERROR(INDEX('Crafting recipes'!$H$6:$H$1005,MATCH(J835,'Crafting recipes'!$A$6:$A$1005,0)),"MISSING ID")="Unassigned",G835="Unassigned"),"Tier unresolved",IF(IFERROR(VALUE(RIGHT(G835,1))-VALUE(RIGHT(IFERROR(INDEX('Crafting recipes'!$H$6:$H$1005,MATCH(J835,'Crafting recipes'!$A$6:$A$1005,0)),"MISSING ID"),1)),0)=1,IF(B835=IFERROR(INDEX('Crafting recipes'!$H$6:$H$1005,MATCH(J835,'Crafting recipes'!$A$6:$A$1005,0)),"MISSING ID"),"Advances one material tier","Lower-tier ingredient; route advances one tier"),"Needs tier review"))))))</x:f>
        <x:v>Finished endpoint</x:v>
      </x:c>
      <x:c r="S835" s="4" t="str">
        <x:f>IFERROR(INDEX('Material routes'!$D$6:$D$2205,MATCH(U835,'Material routes'!$A$6:$A$2205,0)),"MISSING ID")</x:f>
        <x:v>proposal.natural.iron_stock</x:v>
      </x:c>
      <x:c r="T835" s="4" t="str">
        <x:f>IFERROR(INDEX('Material routes'!$D$6:$D$2205,MATCH(V835,'Material routes'!$A$6:$A$2205,0)),"MISSING ID")</x:f>
        <x:v>proposal.collection.layered_husk_shield</x:v>
      </x:c>
      <x:c r="U835" s="4" t="str">
        <x:v>design.collection.layered_husk_shield.in.2</x:v>
      </x:c>
      <x:c r="V835" s="4" t="str">
        <x:v>design.collection.layered_husk_shield.out</x:v>
      </x:c>
    </x:row>
    <x:row r="836" ht="64" customHeight="1">
      <x:c r="A836" s="4" t="str">
        <x:f>IFERROR(INDEX('Material routes'!$E$6:$E$2205,MATCH(U836,'Material routes'!$A$6:$A$2205,0)),"MISSING ID")</x:f>
        <x:v>Separated shell lamina stock</x:v>
      </x:c>
      <x:c r="B836" s="4" t="str">
        <x:f>IFERROR(INDEX('Material routes'!$F$6:$F$2205,MATCH(U836,'Material routes'!$A$6:$A$2205,0)),"MISSING ID")</x:f>
        <x:v>T1</x:v>
      </x:c>
      <x:c r="C836" s="4" t="str">
        <x:f>IFERROR(INDEX('Material routes'!$H$6:$H$2205,MATCH(U836,'Material routes'!$A$6:$A$2205,0)),"MISSING ID")</x:f>
        <x:v>Processed material</x:v>
      </x:c>
      <x:c r="D836" s="4" t="str">
        <x:f>IFERROR(INDEX('Material routes'!$G$6:$G$2205,MATCH(U836,'Material routes'!$A$6:$A$2205,0)),"MISSING ID")</x:f>
        <x:v>Manufactured stock</x:v>
      </x:c>
      <x:c r="E836" s="4" t="str">
        <x:f>IFERROR(INDEX('Material routes'!$C$6:$C$2205,MATCH(U836,'Material routes'!$A$6:$A$2205,0)),"MISSING ID")</x:f>
        <x:v>Ingredient candidate</x:v>
      </x:c>
      <x:c r="F836" s="4" t="str">
        <x:f>IFERROR(INDEX('Material routes'!$E$6:$E$2205,MATCH(V836,'Material routes'!$A$6:$A$2205,0)),"MISSING ID")</x:f>
        <x:v>Steel-rimmed shell shield</x:v>
      </x:c>
      <x:c r="G836" s="4" t="str">
        <x:f>IFERROR(INDEX('Material routes'!$F$6:$F$2205,MATCH(V836,'Material routes'!$A$6:$A$2205,0)),"MISSING ID")</x:f>
        <x:v>Not applicable</x:v>
      </x:c>
      <x:c r="H836" s="4" t="str">
        <x:f>IFERROR(INDEX('Material routes'!$H$6:$H$2205,MATCH(V836,'Material routes'!$A$6:$A$2205,0)),"MISSING ID")</x:f>
        <x:v>Shield</x:v>
      </x:c>
      <x:c r="I836" s="4" t="str">
        <x:f>IFERROR(INDEX('Material routes'!$G$6:$G$2205,MATCH(V836,'Material routes'!$A$6:$A$2205,0)),"MISSING ID")</x:f>
        <x:v>Armor</x:v>
      </x:c>
      <x:c r="J836" s="4" t="str">
        <x:f>IFERROR(INDEX('Material routes'!$B$6:$B$2205,MATCH(U836,'Material routes'!$A$6:$A$2205,0)),"MISSING ID")</x:f>
        <x:v>design.collection.steel_rimmed_shell_shield</x:v>
      </x:c>
      <x:c r="K836" s="4" t="str">
        <x:f>IFERROR(INDEX('Crafting recipes'!$C$6:$C$1005,MATCH(J836,'Crafting recipes'!$A$6:$A$1005,0)),"MISSING ID")</x:f>
        <x:v>Finished-item crafting</x:v>
      </x:c>
      <x:c r="L836" s="4" t="str">
        <x:f>IFERROR(INDEX('Material routes'!$K$6:$K$2205,MATCH(U836,'Material routes'!$A$6:$A$2205,0)),"MISSING ID")</x:f>
        <x:v>Proposal</x:v>
      </x:c>
      <x:c r="M836" s="4" t="str">
        <x:f>IFERROR(INDEX('Material routes'!$M$6:$M$2205,MATCH(U836,'Material routes'!$A$6:$A$2205,0)),"MISSING ID")</x:f>
        <x:v>Partial proposal</x:v>
      </x:c>
      <x:c r="N836" s="4"/>
      <x:c r="O836" s="4" t="str">
        <x:f>IFERROR(INDEX('Material routes'!$J$6:$J$2205,MATCH(U836,'Material routes'!$A$6:$A$2205,0)),"MISSING ID")</x:f>
        <x:v>Unspecified</x:v>
      </x:c>
      <x:c r="P836" s="4"/>
      <x:c r="Q836" s="4" t="str">
        <x:f>IFERROR(INDEX('Material routes'!$J$6:$J$2205,MATCH(V836,'Material routes'!$A$6:$A$2205,0)),"MISSING ID")</x:f>
        <x:v>Unspecified</x:v>
      </x:c>
      <x:c r="R836" s="4" t="str">
        <x:f>IF(L836="Withheld","Withheld premise",IF(E836="Tool candidate","Reusable prerequisite",IF(K836="Raw entry preparation","Entry-resource preparation",IF(G836="Not applicable",IF(IFERROR(INDEX('Items'!$AI$6:$AI$1005,MATCH(T836,'Items'!$A$6:$A$1005,0)),"MISSING ID")="Finished item","Finished endpoint",IF(IFERROR(INDEX('Items'!$AI$6:$AI$1005,MATCH(T836,'Items'!$A$6:$A$1005,0)),"MISSING ID")="Currency","Currency / no refinement tier","Recovered output / tier not applicable")),IF(OR(IFERROR(INDEX('Crafting recipes'!$H$6:$H$1005,MATCH(J836,'Crafting recipes'!$A$6:$A$1005,0)),"MISSING ID")="Unassigned",G836="Unassigned"),"Tier unresolved",IF(IFERROR(VALUE(RIGHT(G836,1))-VALUE(RIGHT(IFERROR(INDEX('Crafting recipes'!$H$6:$H$1005,MATCH(J836,'Crafting recipes'!$A$6:$A$1005,0)),"MISSING ID"),1)),0)=1,IF(B836=IFERROR(INDEX('Crafting recipes'!$H$6:$H$1005,MATCH(J836,'Crafting recipes'!$A$6:$A$1005,0)),"MISSING ID"),"Advances one material tier","Lower-tier ingredient; route advances one tier"),"Needs tier review"))))))</x:f>
        <x:v>Finished endpoint</x:v>
      </x:c>
      <x:c r="S836" s="4" t="str">
        <x:f>IFERROR(INDEX('Material routes'!$D$6:$D$2205,MATCH(U836,'Material routes'!$A$6:$A$2205,0)),"MISSING ID")</x:f>
        <x:v>proposal.t1.shell_lamina</x:v>
      </x:c>
      <x:c r="T836" s="4" t="str">
        <x:f>IFERROR(INDEX('Material routes'!$D$6:$D$2205,MATCH(V836,'Material routes'!$A$6:$A$2205,0)),"MISSING ID")</x:f>
        <x:v>proposal.collection.steel_rimmed_shell_shield</x:v>
      </x:c>
      <x:c r="U836" s="4" t="str">
        <x:v>design.collection.steel_rimmed_shell_shield.in.1</x:v>
      </x:c>
      <x:c r="V836" s="4" t="str">
        <x:v>design.collection.steel_rimmed_shell_shield.out</x:v>
      </x:c>
    </x:row>
    <x:row r="837" ht="64" customHeight="1">
      <x:c r="A837" s="4" t="str">
        <x:f>IFERROR(INDEX('Material routes'!$E$6:$E$2205,MATCH(U837,'Material routes'!$A$6:$A$2205,0)),"MISSING ID")</x:f>
        <x:v>Steel stock</x:v>
      </x:c>
      <x:c r="B837" s="4" t="str">
        <x:f>IFERROR(INDEX('Material routes'!$F$6:$F$2205,MATCH(U837,'Material routes'!$A$6:$A$2205,0)),"MISSING ID")</x:f>
        <x:v>T2</x:v>
      </x:c>
      <x:c r="C837" s="4" t="str">
        <x:f>IFERROR(INDEX('Material routes'!$H$6:$H$2205,MATCH(U837,'Material routes'!$A$6:$A$2205,0)),"MISSING ID")</x:f>
        <x:v>Processed material</x:v>
      </x:c>
      <x:c r="D837" s="4" t="str">
        <x:f>IFERROR(INDEX('Material routes'!$G$6:$G$2205,MATCH(U837,'Material routes'!$A$6:$A$2205,0)),"MISSING ID")</x:f>
        <x:v>Manufactured stock</x:v>
      </x:c>
      <x:c r="E837" s="4" t="str">
        <x:f>IFERROR(INDEX('Material routes'!$C$6:$C$2205,MATCH(U837,'Material routes'!$A$6:$A$2205,0)),"MISSING ID")</x:f>
        <x:v>Ingredient candidate</x:v>
      </x:c>
      <x:c r="F837" s="4" t="str">
        <x:f>IFERROR(INDEX('Material routes'!$E$6:$E$2205,MATCH(V837,'Material routes'!$A$6:$A$2205,0)),"MISSING ID")</x:f>
        <x:v>Steel-rimmed shell shield</x:v>
      </x:c>
      <x:c r="G837" s="4" t="str">
        <x:f>IFERROR(INDEX('Material routes'!$F$6:$F$2205,MATCH(V837,'Material routes'!$A$6:$A$2205,0)),"MISSING ID")</x:f>
        <x:v>Not applicable</x:v>
      </x:c>
      <x:c r="H837" s="4" t="str">
        <x:f>IFERROR(INDEX('Material routes'!$H$6:$H$2205,MATCH(V837,'Material routes'!$A$6:$A$2205,0)),"MISSING ID")</x:f>
        <x:v>Shield</x:v>
      </x:c>
      <x:c r="I837" s="4" t="str">
        <x:f>IFERROR(INDEX('Material routes'!$G$6:$G$2205,MATCH(V837,'Material routes'!$A$6:$A$2205,0)),"MISSING ID")</x:f>
        <x:v>Armor</x:v>
      </x:c>
      <x:c r="J837" s="4" t="str">
        <x:f>IFERROR(INDEX('Material routes'!$B$6:$B$2205,MATCH(U837,'Material routes'!$A$6:$A$2205,0)),"MISSING ID")</x:f>
        <x:v>design.collection.steel_rimmed_shell_shield</x:v>
      </x:c>
      <x:c r="K837" s="4" t="str">
        <x:f>IFERROR(INDEX('Crafting recipes'!$C$6:$C$1005,MATCH(J837,'Crafting recipes'!$A$6:$A$1005,0)),"MISSING ID")</x:f>
        <x:v>Finished-item crafting</x:v>
      </x:c>
      <x:c r="L837" s="4" t="str">
        <x:f>IFERROR(INDEX('Material routes'!$K$6:$K$2205,MATCH(U837,'Material routes'!$A$6:$A$2205,0)),"MISSING ID")</x:f>
        <x:v>Proposal</x:v>
      </x:c>
      <x:c r="M837" s="4" t="str">
        <x:f>IFERROR(INDEX('Material routes'!$M$6:$M$2205,MATCH(U837,'Material routes'!$A$6:$A$2205,0)),"MISSING ID")</x:f>
        <x:v>Partial proposal</x:v>
      </x:c>
      <x:c r="N837" s="4"/>
      <x:c r="O837" s="4" t="str">
        <x:f>IFERROR(INDEX('Material routes'!$J$6:$J$2205,MATCH(U837,'Material routes'!$A$6:$A$2205,0)),"MISSING ID")</x:f>
        <x:v>Unspecified</x:v>
      </x:c>
      <x:c r="P837" s="4"/>
      <x:c r="Q837" s="4" t="str">
        <x:f>IFERROR(INDEX('Material routes'!$J$6:$J$2205,MATCH(V837,'Material routes'!$A$6:$A$2205,0)),"MISSING ID")</x:f>
        <x:v>Unspecified</x:v>
      </x:c>
      <x:c r="R837" s="4" t="str">
        <x:f>IF(L837="Withheld","Withheld premise",IF(E837="Tool candidate","Reusable prerequisite",IF(K837="Raw entry preparation","Entry-resource preparation",IF(G837="Not applicable",IF(IFERROR(INDEX('Items'!$AI$6:$AI$1005,MATCH(T837,'Items'!$A$6:$A$1005,0)),"MISSING ID")="Finished item","Finished endpoint",IF(IFERROR(INDEX('Items'!$AI$6:$AI$1005,MATCH(T837,'Items'!$A$6:$A$1005,0)),"MISSING ID")="Currency","Currency / no refinement tier","Recovered output / tier not applicable")),IF(OR(IFERROR(INDEX('Crafting recipes'!$H$6:$H$1005,MATCH(J837,'Crafting recipes'!$A$6:$A$1005,0)),"MISSING ID")="Unassigned",G837="Unassigned"),"Tier unresolved",IF(IFERROR(VALUE(RIGHT(G837,1))-VALUE(RIGHT(IFERROR(INDEX('Crafting recipes'!$H$6:$H$1005,MATCH(J837,'Crafting recipes'!$A$6:$A$1005,0)),"MISSING ID"),1)),0)=1,IF(B837=IFERROR(INDEX('Crafting recipes'!$H$6:$H$1005,MATCH(J837,'Crafting recipes'!$A$6:$A$1005,0)),"MISSING ID"),"Advances one material tier","Lower-tier ingredient; route advances one tier"),"Needs tier review"))))))</x:f>
        <x:v>Finished endpoint</x:v>
      </x:c>
      <x:c r="S837" s="4" t="str">
        <x:f>IFERROR(INDEX('Material routes'!$D$6:$D$2205,MATCH(U837,'Material routes'!$A$6:$A$2205,0)),"MISSING ID")</x:f>
        <x:v>author.metallurgy.steel_stock</x:v>
      </x:c>
      <x:c r="T837" s="4" t="str">
        <x:f>IFERROR(INDEX('Material routes'!$D$6:$D$2205,MATCH(V837,'Material routes'!$A$6:$A$2205,0)),"MISSING ID")</x:f>
        <x:v>proposal.collection.steel_rimmed_shell_shield</x:v>
      </x:c>
      <x:c r="U837" s="4" t="str">
        <x:v>design.collection.steel_rimmed_shell_shield.in.2</x:v>
      </x:c>
      <x:c r="V837" s="4" t="str">
        <x:v>design.collection.steel_rimmed_shell_shield.out</x:v>
      </x:c>
    </x:row>
    <x:row r="838" ht="64" customHeight="1">
      <x:c r="A838" s="4"/>
      <x:c r="B838" s="4"/>
      <x:c r="C838" s="4"/>
      <x:c r="D838" s="4"/>
      <x:c r="E838" s="4"/>
      <x:c r="F838" s="4"/>
      <x:c r="G838" s="4"/>
      <x:c r="H838" s="4"/>
      <x:c r="I838" s="4"/>
      <x:c r="J838" s="4"/>
      <x:c r="K838" s="4"/>
      <x:c r="L838" s="4"/>
      <x:c r="M838" s="4"/>
      <x:c r="N838" s="4"/>
      <x:c r="P838" s="4"/>
      <x:c r="R838" s="4"/>
      <x:c r="S838" s="4"/>
      <x:c r="T838" s="4"/>
      <x:c r="U838" s="4"/>
      <x:c r="V838" s="4"/>
    </x:row>
    <x:row r="839" ht="64" customHeight="1">
      <x:c r="A839" s="4" t="str">
        <x:f>IFERROR(INDEX('Material routes'!$E$6:$E$2205,MATCH(U839,'Material routes'!$A$6:$A$2205,0)),"MISSING ID")</x:f>
        <x:v>Annealed iron sheet stock</x:v>
      </x:c>
      <x:c r="B839" s="4" t="str">
        <x:f>IFERROR(INDEX('Material routes'!$F$6:$F$2205,MATCH(U839,'Material routes'!$A$6:$A$2205,0)),"MISSING ID")</x:f>
        <x:v>T3</x:v>
      </x:c>
      <x:c r="C839" s="4" t="str">
        <x:f>IFERROR(INDEX('Material routes'!$H$6:$H$2205,MATCH(U839,'Material routes'!$A$6:$A$2205,0)),"MISSING ID")</x:f>
        <x:v>Processed material</x:v>
      </x:c>
      <x:c r="D839" s="4" t="str">
        <x:f>IFERROR(INDEX('Material routes'!$G$6:$G$2205,MATCH(U839,'Material routes'!$A$6:$A$2205,0)),"MISSING ID")</x:f>
        <x:v>Manufactured stock</x:v>
      </x:c>
      <x:c r="E839" s="4" t="str">
        <x:f>IFERROR(INDEX('Material routes'!$C$6:$C$2205,MATCH(U839,'Material routes'!$A$6:$A$2205,0)),"MISSING ID")</x:f>
        <x:v>Ingredient candidate</x:v>
      </x:c>
      <x:c r="F839" s="4" t="str">
        <x:f>IFERROR(INDEX('Material routes'!$E$6:$E$2205,MATCH(V839,'Material routes'!$A$6:$A$2205,0)),"MISSING ID")</x:f>
        <x:v>Elbow-strapped work shield</x:v>
      </x:c>
      <x:c r="G839" s="4" t="str">
        <x:f>IFERROR(INDEX('Material routes'!$F$6:$F$2205,MATCH(V839,'Material routes'!$A$6:$A$2205,0)),"MISSING ID")</x:f>
        <x:v>Not applicable</x:v>
      </x:c>
      <x:c r="H839" s="4" t="str">
        <x:f>IFERROR(INDEX('Material routes'!$H$6:$H$2205,MATCH(V839,'Material routes'!$A$6:$A$2205,0)),"MISSING ID")</x:f>
        <x:v>Shield</x:v>
      </x:c>
      <x:c r="I839" s="4" t="str">
        <x:f>IFERROR(INDEX('Material routes'!$G$6:$G$2205,MATCH(V839,'Material routes'!$A$6:$A$2205,0)),"MISSING ID")</x:f>
        <x:v>Armor</x:v>
      </x:c>
      <x:c r="J839" s="4" t="str">
        <x:f>IFERROR(INDEX('Material routes'!$B$6:$B$2205,MATCH(U839,'Material routes'!$A$6:$A$2205,0)),"MISSING ID")</x:f>
        <x:v>design.collection.elbow_strapped_work_shield</x:v>
      </x:c>
      <x:c r="K839" s="4" t="str">
        <x:f>IFERROR(INDEX('Crafting recipes'!$C$6:$C$1005,MATCH(J839,'Crafting recipes'!$A$6:$A$1005,0)),"MISSING ID")</x:f>
        <x:v>Finished-item crafting</x:v>
      </x:c>
      <x:c r="L839" s="4" t="str">
        <x:f>IFERROR(INDEX('Material routes'!$K$6:$K$2205,MATCH(U839,'Material routes'!$A$6:$A$2205,0)),"MISSING ID")</x:f>
        <x:v>Proposal</x:v>
      </x:c>
      <x:c r="M839" s="4" t="str">
        <x:f>IFERROR(INDEX('Material routes'!$M$6:$M$2205,MATCH(U839,'Material routes'!$A$6:$A$2205,0)),"MISSING ID")</x:f>
        <x:v>Partial proposal</x:v>
      </x:c>
      <x:c r="N839" s="4"/>
      <x:c r="O839" s="4" t="str">
        <x:f>IFERROR(INDEX('Material routes'!$J$6:$J$2205,MATCH(U839,'Material routes'!$A$6:$A$2205,0)),"MISSING ID")</x:f>
        <x:v>Unspecified</x:v>
      </x:c>
      <x:c r="P839" s="4"/>
      <x:c r="Q839" s="4" t="str">
        <x:f>IFERROR(INDEX('Material routes'!$J$6:$J$2205,MATCH(V839,'Material routes'!$A$6:$A$2205,0)),"MISSING ID")</x:f>
        <x:v>Unspecified</x:v>
      </x:c>
      <x:c r="R839" s="4" t="str">
        <x:f>IF(L839="Withheld","Withheld premise",IF(E839="Tool candidate","Reusable prerequisite",IF(K839="Raw entry preparation","Entry-resource preparation",IF(G839="Not applicable",IF(IFERROR(INDEX('Items'!$AI$6:$AI$1005,MATCH(T839,'Items'!$A$6:$A$1005,0)),"MISSING ID")="Finished item","Finished endpoint",IF(IFERROR(INDEX('Items'!$AI$6:$AI$1005,MATCH(T839,'Items'!$A$6:$A$1005,0)),"MISSING ID")="Currency","Currency / no refinement tier","Recovered output / tier not applicable")),IF(OR(IFERROR(INDEX('Crafting recipes'!$H$6:$H$1005,MATCH(J839,'Crafting recipes'!$A$6:$A$1005,0)),"MISSING ID")="Unassigned",G839="Unassigned"),"Tier unresolved",IF(IFERROR(VALUE(RIGHT(G839,1))-VALUE(RIGHT(IFERROR(INDEX('Crafting recipes'!$H$6:$H$1005,MATCH(J839,'Crafting recipes'!$A$6:$A$1005,0)),"MISSING ID"),1)),0)=1,IF(B839=IFERROR(INDEX('Crafting recipes'!$H$6:$H$1005,MATCH(J839,'Crafting recipes'!$A$6:$A$1005,0)),"MISSING ID"),"Advances one material tier","Lower-tier ingredient; route advances one tier"),"Needs tier review"))))))</x:f>
        <x:v>Finished endpoint</x:v>
      </x:c>
      <x:c r="S839" s="4" t="str">
        <x:f>IFERROR(INDEX('Material routes'!$D$6:$D$2205,MATCH(U839,'Material routes'!$A$6:$A$2205,0)),"MISSING ID")</x:f>
        <x:v>proposal.collection.annealed_iron_sheet_stock</x:v>
      </x:c>
      <x:c r="T839" s="4" t="str">
        <x:f>IFERROR(INDEX('Material routes'!$D$6:$D$2205,MATCH(V839,'Material routes'!$A$6:$A$2205,0)),"MISSING ID")</x:f>
        <x:v>proposal.collection.elbow_strapped_work_shield</x:v>
      </x:c>
      <x:c r="U839" s="4" t="str">
        <x:v>design.collection.elbow_strapped_work_shield.in.1</x:v>
      </x:c>
      <x:c r="V839" s="4" t="str">
        <x:v>design.collection.elbow_strapped_work_shield.out</x:v>
      </x:c>
    </x:row>
    <x:row r="840" ht="64" customHeight="1">
      <x:c r="A840" s="4" t="str">
        <x:f>IFERROR(INDEX('Material routes'!$E$6:$E$2205,MATCH(U840,'Material routes'!$A$6:$A$2205,0)),"MISSING ID")</x:f>
        <x:v>Processed hide material</x:v>
      </x:c>
      <x:c r="B840" s="4" t="str">
        <x:f>IFERROR(INDEX('Material routes'!$F$6:$F$2205,MATCH(U840,'Material routes'!$A$6:$A$2205,0)),"MISSING ID")</x:f>
        <x:v>T1</x:v>
      </x:c>
      <x:c r="C840" s="4" t="str">
        <x:f>IFERROR(INDEX('Material routes'!$H$6:$H$2205,MATCH(U840,'Material routes'!$A$6:$A$2205,0)),"MISSING ID")</x:f>
        <x:v>Processed material</x:v>
      </x:c>
      <x:c r="D840" s="4" t="str">
        <x:f>IFERROR(INDEX('Material routes'!$G$6:$G$2205,MATCH(U840,'Material routes'!$A$6:$A$2205,0)),"MISSING ID")</x:f>
        <x:v>Crafting components</x:v>
      </x:c>
      <x:c r="E840" s="4" t="str">
        <x:f>IFERROR(INDEX('Material routes'!$C$6:$C$2205,MATCH(U840,'Material routes'!$A$6:$A$2205,0)),"MISSING ID")</x:f>
        <x:v>Ingredient candidate</x:v>
      </x:c>
      <x:c r="F840" s="4" t="str">
        <x:f>IFERROR(INDEX('Material routes'!$E$6:$E$2205,MATCH(V840,'Material routes'!$A$6:$A$2205,0)),"MISSING ID")</x:f>
        <x:v>Elbow-strapped work shield</x:v>
      </x:c>
      <x:c r="G840" s="4" t="str">
        <x:f>IFERROR(INDEX('Material routes'!$F$6:$F$2205,MATCH(V840,'Material routes'!$A$6:$A$2205,0)),"MISSING ID")</x:f>
        <x:v>Not applicable</x:v>
      </x:c>
      <x:c r="H840" s="4" t="str">
        <x:f>IFERROR(INDEX('Material routes'!$H$6:$H$2205,MATCH(V840,'Material routes'!$A$6:$A$2205,0)),"MISSING ID")</x:f>
        <x:v>Shield</x:v>
      </x:c>
      <x:c r="I840" s="4" t="str">
        <x:f>IFERROR(INDEX('Material routes'!$G$6:$G$2205,MATCH(V840,'Material routes'!$A$6:$A$2205,0)),"MISSING ID")</x:f>
        <x:v>Armor</x:v>
      </x:c>
      <x:c r="J840" s="4" t="str">
        <x:f>IFERROR(INDEX('Material routes'!$B$6:$B$2205,MATCH(U840,'Material routes'!$A$6:$A$2205,0)),"MISSING ID")</x:f>
        <x:v>design.collection.elbow_strapped_work_shield</x:v>
      </x:c>
      <x:c r="K840" s="4" t="str">
        <x:f>IFERROR(INDEX('Crafting recipes'!$C$6:$C$1005,MATCH(J840,'Crafting recipes'!$A$6:$A$1005,0)),"MISSING ID")</x:f>
        <x:v>Finished-item crafting</x:v>
      </x:c>
      <x:c r="L840" s="4" t="str">
        <x:f>IFERROR(INDEX('Material routes'!$K$6:$K$2205,MATCH(U840,'Material routes'!$A$6:$A$2205,0)),"MISSING ID")</x:f>
        <x:v>Proposal</x:v>
      </x:c>
      <x:c r="M840" s="4" t="str">
        <x:f>IFERROR(INDEX('Material routes'!$M$6:$M$2205,MATCH(U840,'Material routes'!$A$6:$A$2205,0)),"MISSING ID")</x:f>
        <x:v>Partial proposal</x:v>
      </x:c>
      <x:c r="N840" s="4"/>
      <x:c r="O840" s="4" t="str">
        <x:f>IFERROR(INDEX('Material routes'!$J$6:$J$2205,MATCH(U840,'Material routes'!$A$6:$A$2205,0)),"MISSING ID")</x:f>
        <x:v>Unspecified</x:v>
      </x:c>
      <x:c r="P840" s="4"/>
      <x:c r="Q840" s="4" t="str">
        <x:f>IFERROR(INDEX('Material routes'!$J$6:$J$2205,MATCH(V840,'Material routes'!$A$6:$A$2205,0)),"MISSING ID")</x:f>
        <x:v>Unspecified</x:v>
      </x:c>
      <x:c r="R840" s="4" t="str">
        <x:f>IF(L840="Withheld","Withheld premise",IF(E840="Tool candidate","Reusable prerequisite",IF(K840="Raw entry preparation","Entry-resource preparation",IF(G840="Not applicable",IF(IFERROR(INDEX('Items'!$AI$6:$AI$1005,MATCH(T840,'Items'!$A$6:$A$1005,0)),"MISSING ID")="Finished item","Finished endpoint",IF(IFERROR(INDEX('Items'!$AI$6:$AI$1005,MATCH(T840,'Items'!$A$6:$A$1005,0)),"MISSING ID")="Currency","Currency / no refinement tier","Recovered output / tier not applicable")),IF(OR(IFERROR(INDEX('Crafting recipes'!$H$6:$H$1005,MATCH(J840,'Crafting recipes'!$A$6:$A$1005,0)),"MISSING ID")="Unassigned",G840="Unassigned"),"Tier unresolved",IF(IFERROR(VALUE(RIGHT(G840,1))-VALUE(RIGHT(IFERROR(INDEX('Crafting recipes'!$H$6:$H$1005,MATCH(J840,'Crafting recipes'!$A$6:$A$1005,0)),"MISSING ID"),1)),0)=1,IF(B840=IFERROR(INDEX('Crafting recipes'!$H$6:$H$1005,MATCH(J840,'Crafting recipes'!$A$6:$A$1005,0)),"MISSING ID"),"Advances one material tier","Lower-tier ingredient; route advances one tier"),"Needs tier review"))))))</x:f>
        <x:v>Finished endpoint</x:v>
      </x:c>
      <x:c r="S840" s="4" t="str">
        <x:f>IFERROR(INDEX('Material routes'!$D$6:$D$2205,MATCH(U840,'Material routes'!$A$6:$A$2205,0)),"MISSING ID")</x:f>
        <x:v>proposal.bio.hide_material</x:v>
      </x:c>
      <x:c r="T840" s="4" t="str">
        <x:f>IFERROR(INDEX('Material routes'!$D$6:$D$2205,MATCH(V840,'Material routes'!$A$6:$A$2205,0)),"MISSING ID")</x:f>
        <x:v>proposal.collection.elbow_strapped_work_shield</x:v>
      </x:c>
      <x:c r="U840" s="4" t="str">
        <x:v>design.collection.elbow_strapped_work_shield.in.2</x:v>
      </x:c>
      <x:c r="V840" s="4" t="str">
        <x:v>design.collection.elbow_strapped_work_shield.out</x:v>
      </x:c>
    </x:row>
    <x:row r="841" ht="64" customHeight="1">
      <x:c r="A841" s="4" t="str">
        <x:f>IFERROR(INDEX('Material routes'!$E$6:$E$2205,MATCH(U841,'Material routes'!$A$6:$A$2205,0)),"MISSING ID")</x:f>
        <x:v>Steel stock</x:v>
      </x:c>
      <x:c r="B841" s="4" t="str">
        <x:f>IFERROR(INDEX('Material routes'!$F$6:$F$2205,MATCH(U841,'Material routes'!$A$6:$A$2205,0)),"MISSING ID")</x:f>
        <x:v>T2</x:v>
      </x:c>
      <x:c r="C841" s="4" t="str">
        <x:f>IFERROR(INDEX('Material routes'!$H$6:$H$2205,MATCH(U841,'Material routes'!$A$6:$A$2205,0)),"MISSING ID")</x:f>
        <x:v>Processed material</x:v>
      </x:c>
      <x:c r="D841" s="4" t="str">
        <x:f>IFERROR(INDEX('Material routes'!$G$6:$G$2205,MATCH(U841,'Material routes'!$A$6:$A$2205,0)),"MISSING ID")</x:f>
        <x:v>Manufactured stock</x:v>
      </x:c>
      <x:c r="E841" s="4" t="str">
        <x:f>IFERROR(INDEX('Material routes'!$C$6:$C$2205,MATCH(U841,'Material routes'!$A$6:$A$2205,0)),"MISSING ID")</x:f>
        <x:v>Ingredient candidate</x:v>
      </x:c>
      <x:c r="F841" s="4" t="str">
        <x:f>IFERROR(INDEX('Material routes'!$E$6:$E$2205,MATCH(V841,'Material routes'!$A$6:$A$2205,0)),"MISSING ID")</x:f>
        <x:v>Knee-braced ground shield</x:v>
      </x:c>
      <x:c r="G841" s="4" t="str">
        <x:f>IFERROR(INDEX('Material routes'!$F$6:$F$2205,MATCH(V841,'Material routes'!$A$6:$A$2205,0)),"MISSING ID")</x:f>
        <x:v>Not applicable</x:v>
      </x:c>
      <x:c r="H841" s="4" t="str">
        <x:f>IFERROR(INDEX('Material routes'!$H$6:$H$2205,MATCH(V841,'Material routes'!$A$6:$A$2205,0)),"MISSING ID")</x:f>
        <x:v>Shield</x:v>
      </x:c>
      <x:c r="I841" s="4" t="str">
        <x:f>IFERROR(INDEX('Material routes'!$G$6:$G$2205,MATCH(V841,'Material routes'!$A$6:$A$2205,0)),"MISSING ID")</x:f>
        <x:v>Armor</x:v>
      </x:c>
      <x:c r="J841" s="4" t="str">
        <x:f>IFERROR(INDEX('Material routes'!$B$6:$B$2205,MATCH(U841,'Material routes'!$A$6:$A$2205,0)),"MISSING ID")</x:f>
        <x:v>design.collection.knee_braced_ground_shield</x:v>
      </x:c>
      <x:c r="K841" s="4" t="str">
        <x:f>IFERROR(INDEX('Crafting recipes'!$C$6:$C$1005,MATCH(J841,'Crafting recipes'!$A$6:$A$1005,0)),"MISSING ID")</x:f>
        <x:v>Finished-item crafting</x:v>
      </x:c>
      <x:c r="L841" s="4" t="str">
        <x:f>IFERROR(INDEX('Material routes'!$K$6:$K$2205,MATCH(U841,'Material routes'!$A$6:$A$2205,0)),"MISSING ID")</x:f>
        <x:v>Proposal</x:v>
      </x:c>
      <x:c r="M841" s="4" t="str">
        <x:f>IFERROR(INDEX('Material routes'!$M$6:$M$2205,MATCH(U841,'Material routes'!$A$6:$A$2205,0)),"MISSING ID")</x:f>
        <x:v>Partial proposal</x:v>
      </x:c>
      <x:c r="N841" s="4"/>
      <x:c r="O841" s="4" t="str">
        <x:f>IFERROR(INDEX('Material routes'!$J$6:$J$2205,MATCH(U841,'Material routes'!$A$6:$A$2205,0)),"MISSING ID")</x:f>
        <x:v>Unspecified</x:v>
      </x:c>
      <x:c r="P841" s="4"/>
      <x:c r="Q841" s="4" t="str">
        <x:f>IFERROR(INDEX('Material routes'!$J$6:$J$2205,MATCH(V841,'Material routes'!$A$6:$A$2205,0)),"MISSING ID")</x:f>
        <x:v>Unspecified</x:v>
      </x:c>
      <x:c r="R841" s="4" t="str">
        <x:f>IF(L841="Withheld","Withheld premise",IF(E841="Tool candidate","Reusable prerequisite",IF(K841="Raw entry preparation","Entry-resource preparation",IF(G841="Not applicable",IF(IFERROR(INDEX('Items'!$AI$6:$AI$1005,MATCH(T841,'Items'!$A$6:$A$1005,0)),"MISSING ID")="Finished item","Finished endpoint",IF(IFERROR(INDEX('Items'!$AI$6:$AI$1005,MATCH(T841,'Items'!$A$6:$A$1005,0)),"MISSING ID")="Currency","Currency / no refinement tier","Recovered output / tier not applicable")),IF(OR(IFERROR(INDEX('Crafting recipes'!$H$6:$H$1005,MATCH(J841,'Crafting recipes'!$A$6:$A$1005,0)),"MISSING ID")="Unassigned",G841="Unassigned"),"Tier unresolved",IF(IFERROR(VALUE(RIGHT(G841,1))-VALUE(RIGHT(IFERROR(INDEX('Crafting recipes'!$H$6:$H$1005,MATCH(J841,'Crafting recipes'!$A$6:$A$1005,0)),"MISSING ID"),1)),0)=1,IF(B841=IFERROR(INDEX('Crafting recipes'!$H$6:$H$1005,MATCH(J841,'Crafting recipes'!$A$6:$A$1005,0)),"MISSING ID"),"Advances one material tier","Lower-tier ingredient; route advances one tier"),"Needs tier review"))))))</x:f>
        <x:v>Finished endpoint</x:v>
      </x:c>
      <x:c r="S841" s="4" t="str">
        <x:f>IFERROR(INDEX('Material routes'!$D$6:$D$2205,MATCH(U841,'Material routes'!$A$6:$A$2205,0)),"MISSING ID")</x:f>
        <x:v>author.metallurgy.steel_stock</x:v>
      </x:c>
      <x:c r="T841" s="4" t="str">
        <x:f>IFERROR(INDEX('Material routes'!$D$6:$D$2205,MATCH(V841,'Material routes'!$A$6:$A$2205,0)),"MISSING ID")</x:f>
        <x:v>proposal.collection.knee_braced_ground_shield</x:v>
      </x:c>
      <x:c r="U841" s="4" t="str">
        <x:v>design.collection.knee_braced_ground_shield.in.1</x:v>
      </x:c>
      <x:c r="V841" s="4" t="str">
        <x:v>design.collection.knee_braced_ground_shield.out</x:v>
      </x:c>
    </x:row>
    <x:row r="842" ht="64" customHeight="1">
      <x:c r="A842" s="4" t="str">
        <x:f>IFERROR(INDEX('Material routes'!$E$6:$E$2205,MATCH(U842,'Material routes'!$A$6:$A$2205,0)),"MISSING ID")</x:f>
        <x:v>Replaceable joint pin</x:v>
      </x:c>
      <x:c r="B842" s="4" t="str">
        <x:f>IFERROR(INDEX('Material routes'!$F$6:$F$2205,MATCH(U842,'Material routes'!$A$6:$A$2205,0)),"MISSING ID")</x:f>
        <x:v>T3</x:v>
      </x:c>
      <x:c r="C842" s="4" t="str">
        <x:f>IFERROR(INDEX('Material routes'!$H$6:$H$2205,MATCH(U842,'Material routes'!$A$6:$A$2205,0)),"MISSING ID")</x:f>
        <x:v>Crafting component</x:v>
      </x:c>
      <x:c r="D842" s="4" t="str">
        <x:f>IFERROR(INDEX('Material routes'!$G$6:$G$2205,MATCH(U842,'Material routes'!$A$6:$A$2205,0)),"MISSING ID")</x:f>
        <x:v>Crafting components</x:v>
      </x:c>
      <x:c r="E842" s="4" t="str">
        <x:f>IFERROR(INDEX('Material routes'!$C$6:$C$2205,MATCH(U842,'Material routes'!$A$6:$A$2205,0)),"MISSING ID")</x:f>
        <x:v>Ingredient candidate</x:v>
      </x:c>
      <x:c r="F842" s="4" t="str">
        <x:f>IFERROR(INDEX('Material routes'!$E$6:$E$2205,MATCH(V842,'Material routes'!$A$6:$A$2205,0)),"MISSING ID")</x:f>
        <x:v>Knee-braced ground shield</x:v>
      </x:c>
      <x:c r="G842" s="4" t="str">
        <x:f>IFERROR(INDEX('Material routes'!$F$6:$F$2205,MATCH(V842,'Material routes'!$A$6:$A$2205,0)),"MISSING ID")</x:f>
        <x:v>Not applicable</x:v>
      </x:c>
      <x:c r="H842" s="4" t="str">
        <x:f>IFERROR(INDEX('Material routes'!$H$6:$H$2205,MATCH(V842,'Material routes'!$A$6:$A$2205,0)),"MISSING ID")</x:f>
        <x:v>Shield</x:v>
      </x:c>
      <x:c r="I842" s="4" t="str">
        <x:f>IFERROR(INDEX('Material routes'!$G$6:$G$2205,MATCH(V842,'Material routes'!$A$6:$A$2205,0)),"MISSING ID")</x:f>
        <x:v>Armor</x:v>
      </x:c>
      <x:c r="J842" s="4" t="str">
        <x:f>IFERROR(INDEX('Material routes'!$B$6:$B$2205,MATCH(U842,'Material routes'!$A$6:$A$2205,0)),"MISSING ID")</x:f>
        <x:v>design.collection.knee_braced_ground_shield</x:v>
      </x:c>
      <x:c r="K842" s="4" t="str">
        <x:f>IFERROR(INDEX('Crafting recipes'!$C$6:$C$1005,MATCH(J842,'Crafting recipes'!$A$6:$A$1005,0)),"MISSING ID")</x:f>
        <x:v>Finished-item crafting</x:v>
      </x:c>
      <x:c r="L842" s="4" t="str">
        <x:f>IFERROR(INDEX('Material routes'!$K$6:$K$2205,MATCH(U842,'Material routes'!$A$6:$A$2205,0)),"MISSING ID")</x:f>
        <x:v>Proposal</x:v>
      </x:c>
      <x:c r="M842" s="4" t="str">
        <x:f>IFERROR(INDEX('Material routes'!$M$6:$M$2205,MATCH(U842,'Material routes'!$A$6:$A$2205,0)),"MISSING ID")</x:f>
        <x:v>Partial proposal</x:v>
      </x:c>
      <x:c r="N842" s="4"/>
      <x:c r="O842" s="4" t="str">
        <x:f>IFERROR(INDEX('Material routes'!$J$6:$J$2205,MATCH(U842,'Material routes'!$A$6:$A$2205,0)),"MISSING ID")</x:f>
        <x:v>Unspecified</x:v>
      </x:c>
      <x:c r="P842" s="4"/>
      <x:c r="Q842" s="4" t="str">
        <x:f>IFERROR(INDEX('Material routes'!$J$6:$J$2205,MATCH(V842,'Material routes'!$A$6:$A$2205,0)),"MISSING ID")</x:f>
        <x:v>Unspecified</x:v>
      </x:c>
      <x:c r="R842" s="4" t="str">
        <x:f>IF(L842="Withheld","Withheld premise",IF(E842="Tool candidate","Reusable prerequisite",IF(K842="Raw entry preparation","Entry-resource preparation",IF(G842="Not applicable",IF(IFERROR(INDEX('Items'!$AI$6:$AI$1005,MATCH(T842,'Items'!$A$6:$A$1005,0)),"MISSING ID")="Finished item","Finished endpoint",IF(IFERROR(INDEX('Items'!$AI$6:$AI$1005,MATCH(T842,'Items'!$A$6:$A$1005,0)),"MISSING ID")="Currency","Currency / no refinement tier","Recovered output / tier not applicable")),IF(OR(IFERROR(INDEX('Crafting recipes'!$H$6:$H$1005,MATCH(J842,'Crafting recipes'!$A$6:$A$1005,0)),"MISSING ID")="Unassigned",G842="Unassigned"),"Tier unresolved",IF(IFERROR(VALUE(RIGHT(G842,1))-VALUE(RIGHT(IFERROR(INDEX('Crafting recipes'!$H$6:$H$1005,MATCH(J842,'Crafting recipes'!$A$6:$A$1005,0)),"MISSING ID"),1)),0)=1,IF(B842=IFERROR(INDEX('Crafting recipes'!$H$6:$H$1005,MATCH(J842,'Crafting recipes'!$A$6:$A$1005,0)),"MISSING ID"),"Advances one material tier","Lower-tier ingredient; route advances one tier"),"Needs tier review"))))))</x:f>
        <x:v>Finished endpoint</x:v>
      </x:c>
      <x:c r="S842" s="4" t="str">
        <x:f>IFERROR(INDEX('Material routes'!$D$6:$D$2205,MATCH(U842,'Material routes'!$A$6:$A$2205,0)),"MISSING ID")</x:f>
        <x:v>proposal.legger.joint_pin</x:v>
      </x:c>
      <x:c r="T842" s="4" t="str">
        <x:f>IFERROR(INDEX('Material routes'!$D$6:$D$2205,MATCH(V842,'Material routes'!$A$6:$A$2205,0)),"MISSING ID")</x:f>
        <x:v>proposal.collection.knee_braced_ground_shield</x:v>
      </x:c>
      <x:c r="U842" s="4" t="str">
        <x:v>design.collection.knee_braced_ground_shield.in.2</x:v>
      </x:c>
      <x:c r="V842" s="4" t="str">
        <x:v>design.collection.knee_braced_ground_shield.out</x:v>
      </x:c>
    </x:row>
    <x:row r="843" ht="64" customHeight="1">
      <x:c r="A843" s="4" t="str">
        <x:f>IFERROR(INDEX('Material routes'!$E$6:$E$2205,MATCH(U843,'Material routes'!$A$6:$A$2205,0)),"MISSING ID")</x:f>
        <x:v>Annealed iron sheet stock</x:v>
      </x:c>
      <x:c r="B843" s="4" t="str">
        <x:f>IFERROR(INDEX('Material routes'!$F$6:$F$2205,MATCH(U843,'Material routes'!$A$6:$A$2205,0)),"MISSING ID")</x:f>
        <x:v>T3</x:v>
      </x:c>
      <x:c r="C843" s="4" t="str">
        <x:f>IFERROR(INDEX('Material routes'!$H$6:$H$2205,MATCH(U843,'Material routes'!$A$6:$A$2205,0)),"MISSING ID")</x:f>
        <x:v>Processed material</x:v>
      </x:c>
      <x:c r="D843" s="4" t="str">
        <x:f>IFERROR(INDEX('Material routes'!$G$6:$G$2205,MATCH(U843,'Material routes'!$A$6:$A$2205,0)),"MISSING ID")</x:f>
        <x:v>Manufactured stock</x:v>
      </x:c>
      <x:c r="E843" s="4" t="str">
        <x:f>IFERROR(INDEX('Material routes'!$C$6:$C$2205,MATCH(U843,'Material routes'!$A$6:$A$2205,0)),"MISSING ID")</x:f>
        <x:v>Ingredient candidate</x:v>
      </x:c>
      <x:c r="F843" s="4" t="str">
        <x:f>IFERROR(INDEX('Material routes'!$E$6:$E$2205,MATCH(V843,'Material routes'!$A$6:$A$2205,0)),"MISSING ID")</x:f>
        <x:v>Segmented tower shield</x:v>
      </x:c>
      <x:c r="G843" s="4" t="str">
        <x:f>IFERROR(INDEX('Material routes'!$F$6:$F$2205,MATCH(V843,'Material routes'!$A$6:$A$2205,0)),"MISSING ID")</x:f>
        <x:v>Not applicable</x:v>
      </x:c>
      <x:c r="H843" s="4" t="str">
        <x:f>IFERROR(INDEX('Material routes'!$H$6:$H$2205,MATCH(V843,'Material routes'!$A$6:$A$2205,0)),"MISSING ID")</x:f>
        <x:v>Shield</x:v>
      </x:c>
      <x:c r="I843" s="4" t="str">
        <x:f>IFERROR(INDEX('Material routes'!$G$6:$G$2205,MATCH(V843,'Material routes'!$A$6:$A$2205,0)),"MISSING ID")</x:f>
        <x:v>Armor</x:v>
      </x:c>
      <x:c r="J843" s="4" t="str">
        <x:f>IFERROR(INDEX('Material routes'!$B$6:$B$2205,MATCH(U843,'Material routes'!$A$6:$A$2205,0)),"MISSING ID")</x:f>
        <x:v>design.collection.segmented_tower_shield</x:v>
      </x:c>
      <x:c r="K843" s="4" t="str">
        <x:f>IFERROR(INDEX('Crafting recipes'!$C$6:$C$1005,MATCH(J843,'Crafting recipes'!$A$6:$A$1005,0)),"MISSING ID")</x:f>
        <x:v>Finished-item crafting</x:v>
      </x:c>
      <x:c r="L843" s="4" t="str">
        <x:f>IFERROR(INDEX('Material routes'!$K$6:$K$2205,MATCH(U843,'Material routes'!$A$6:$A$2205,0)),"MISSING ID")</x:f>
        <x:v>Proposal</x:v>
      </x:c>
      <x:c r="M843" s="4" t="str">
        <x:f>IFERROR(INDEX('Material routes'!$M$6:$M$2205,MATCH(U843,'Material routes'!$A$6:$A$2205,0)),"MISSING ID")</x:f>
        <x:v>Partial proposal</x:v>
      </x:c>
      <x:c r="N843" s="4"/>
      <x:c r="O843" s="4" t="str">
        <x:f>IFERROR(INDEX('Material routes'!$J$6:$J$2205,MATCH(U843,'Material routes'!$A$6:$A$2205,0)),"MISSING ID")</x:f>
        <x:v>Unspecified</x:v>
      </x:c>
      <x:c r="P843" s="4"/>
      <x:c r="Q843" s="4" t="str">
        <x:f>IFERROR(INDEX('Material routes'!$J$6:$J$2205,MATCH(V843,'Material routes'!$A$6:$A$2205,0)),"MISSING ID")</x:f>
        <x:v>Unspecified</x:v>
      </x:c>
      <x:c r="R843" s="4" t="str">
        <x:f>IF(L843="Withheld","Withheld premise",IF(E843="Tool candidate","Reusable prerequisite",IF(K843="Raw entry preparation","Entry-resource preparation",IF(G843="Not applicable",IF(IFERROR(INDEX('Items'!$AI$6:$AI$1005,MATCH(T843,'Items'!$A$6:$A$1005,0)),"MISSING ID")="Finished item","Finished endpoint",IF(IFERROR(INDEX('Items'!$AI$6:$AI$1005,MATCH(T843,'Items'!$A$6:$A$1005,0)),"MISSING ID")="Currency","Currency / no refinement tier","Recovered output / tier not applicable")),IF(OR(IFERROR(INDEX('Crafting recipes'!$H$6:$H$1005,MATCH(J843,'Crafting recipes'!$A$6:$A$1005,0)),"MISSING ID")="Unassigned",G843="Unassigned"),"Tier unresolved",IF(IFERROR(VALUE(RIGHT(G843,1))-VALUE(RIGHT(IFERROR(INDEX('Crafting recipes'!$H$6:$H$1005,MATCH(J843,'Crafting recipes'!$A$6:$A$1005,0)),"MISSING ID"),1)),0)=1,IF(B843=IFERROR(INDEX('Crafting recipes'!$H$6:$H$1005,MATCH(J843,'Crafting recipes'!$A$6:$A$1005,0)),"MISSING ID"),"Advances one material tier","Lower-tier ingredient; route advances one tier"),"Needs tier review"))))))</x:f>
        <x:v>Finished endpoint</x:v>
      </x:c>
      <x:c r="S843" s="4" t="str">
        <x:f>IFERROR(INDEX('Material routes'!$D$6:$D$2205,MATCH(U843,'Material routes'!$A$6:$A$2205,0)),"MISSING ID")</x:f>
        <x:v>proposal.collection.annealed_iron_sheet_stock</x:v>
      </x:c>
      <x:c r="T843" s="4" t="str">
        <x:f>IFERROR(INDEX('Material routes'!$D$6:$D$2205,MATCH(V843,'Material routes'!$A$6:$A$2205,0)),"MISSING ID")</x:f>
        <x:v>proposal.collection.segmented_tower_shield</x:v>
      </x:c>
      <x:c r="U843" s="4" t="str">
        <x:v>design.collection.segmented_tower_shield.in.1</x:v>
      </x:c>
      <x:c r="V843" s="4" t="str">
        <x:v>design.collection.segmented_tower_shield.out</x:v>
      </x:c>
    </x:row>
    <x:row r="844" ht="64" customHeight="1">
      <x:c r="A844" s="4" t="str">
        <x:f>IFERROR(INDEX('Material routes'!$E$6:$E$2205,MATCH(U844,'Material routes'!$A$6:$A$2205,0)),"MISSING ID")</x:f>
        <x:v>Hinged shell-panel sets</x:v>
      </x:c>
      <x:c r="B844" s="4" t="str">
        <x:f>IFERROR(INDEX('Material routes'!$F$6:$F$2205,MATCH(U844,'Material routes'!$A$6:$A$2205,0)),"MISSING ID")</x:f>
        <x:v>T3</x:v>
      </x:c>
      <x:c r="C844" s="4" t="str">
        <x:f>IFERROR(INDEX('Material routes'!$H$6:$H$2205,MATCH(U844,'Material routes'!$A$6:$A$2205,0)),"MISSING ID")</x:f>
        <x:v>Crafting component</x:v>
      </x:c>
      <x:c r="D844" s="4" t="str">
        <x:f>IFERROR(INDEX('Material routes'!$G$6:$G$2205,MATCH(U844,'Material routes'!$A$6:$A$2205,0)),"MISSING ID")</x:f>
        <x:v>Crafting components</x:v>
      </x:c>
      <x:c r="E844" s="4" t="str">
        <x:f>IFERROR(INDEX('Material routes'!$C$6:$C$2205,MATCH(U844,'Material routes'!$A$6:$A$2205,0)),"MISSING ID")</x:f>
        <x:v>Ingredient candidate</x:v>
      </x:c>
      <x:c r="F844" s="4" t="str">
        <x:f>IFERROR(INDEX('Material routes'!$E$6:$E$2205,MATCH(V844,'Material routes'!$A$6:$A$2205,0)),"MISSING ID")</x:f>
        <x:v>Segmented tower shield</x:v>
      </x:c>
      <x:c r="G844" s="4" t="str">
        <x:f>IFERROR(INDEX('Material routes'!$F$6:$F$2205,MATCH(V844,'Material routes'!$A$6:$A$2205,0)),"MISSING ID")</x:f>
        <x:v>Not applicable</x:v>
      </x:c>
      <x:c r="H844" s="4" t="str">
        <x:f>IFERROR(INDEX('Material routes'!$H$6:$H$2205,MATCH(V844,'Material routes'!$A$6:$A$2205,0)),"MISSING ID")</x:f>
        <x:v>Shield</x:v>
      </x:c>
      <x:c r="I844" s="4" t="str">
        <x:f>IFERROR(INDEX('Material routes'!$G$6:$G$2205,MATCH(V844,'Material routes'!$A$6:$A$2205,0)),"MISSING ID")</x:f>
        <x:v>Armor</x:v>
      </x:c>
      <x:c r="J844" s="4" t="str">
        <x:f>IFERROR(INDEX('Material routes'!$B$6:$B$2205,MATCH(U844,'Material routes'!$A$6:$A$2205,0)),"MISSING ID")</x:f>
        <x:v>design.collection.segmented_tower_shield</x:v>
      </x:c>
      <x:c r="K844" s="4" t="str">
        <x:f>IFERROR(INDEX('Crafting recipes'!$C$6:$C$1005,MATCH(J844,'Crafting recipes'!$A$6:$A$1005,0)),"MISSING ID")</x:f>
        <x:v>Finished-item crafting</x:v>
      </x:c>
      <x:c r="L844" s="4" t="str">
        <x:f>IFERROR(INDEX('Material routes'!$K$6:$K$2205,MATCH(U844,'Material routes'!$A$6:$A$2205,0)),"MISSING ID")</x:f>
        <x:v>Proposal</x:v>
      </x:c>
      <x:c r="M844" s="4" t="str">
        <x:f>IFERROR(INDEX('Material routes'!$M$6:$M$2205,MATCH(U844,'Material routes'!$A$6:$A$2205,0)),"MISSING ID")</x:f>
        <x:v>Partial proposal</x:v>
      </x:c>
      <x:c r="N844" s="4"/>
      <x:c r="O844" s="4" t="str">
        <x:f>IFERROR(INDEX('Material routes'!$J$6:$J$2205,MATCH(U844,'Material routes'!$A$6:$A$2205,0)),"MISSING ID")</x:f>
        <x:v>Unspecified</x:v>
      </x:c>
      <x:c r="P844" s="4"/>
      <x:c r="Q844" s="4" t="str">
        <x:f>IFERROR(INDEX('Material routes'!$J$6:$J$2205,MATCH(V844,'Material routes'!$A$6:$A$2205,0)),"MISSING ID")</x:f>
        <x:v>Unspecified</x:v>
      </x:c>
      <x:c r="R844" s="4" t="str">
        <x:f>IF(L844="Withheld","Withheld premise",IF(E844="Tool candidate","Reusable prerequisite",IF(K844="Raw entry preparation","Entry-resource preparation",IF(G844="Not applicable",IF(IFERROR(INDEX('Items'!$AI$6:$AI$1005,MATCH(T844,'Items'!$A$6:$A$1005,0)),"MISSING ID")="Finished item","Finished endpoint",IF(IFERROR(INDEX('Items'!$AI$6:$AI$1005,MATCH(T844,'Items'!$A$6:$A$1005,0)),"MISSING ID")="Currency","Currency / no refinement tier","Recovered output / tier not applicable")),IF(OR(IFERROR(INDEX('Crafting recipes'!$H$6:$H$1005,MATCH(J844,'Crafting recipes'!$A$6:$A$1005,0)),"MISSING ID")="Unassigned",G844="Unassigned"),"Tier unresolved",IF(IFERROR(VALUE(RIGHT(G844,1))-VALUE(RIGHT(IFERROR(INDEX('Crafting recipes'!$H$6:$H$1005,MATCH(J844,'Crafting recipes'!$A$6:$A$1005,0)),"MISSING ID"),1)),0)=1,IF(B844=IFERROR(INDEX('Crafting recipes'!$H$6:$H$1005,MATCH(J844,'Crafting recipes'!$A$6:$A$1005,0)),"MISSING ID"),"Advances one material tier","Lower-tier ingredient; route advances one tier"),"Needs tier review"))))))</x:f>
        <x:v>Finished endpoint</x:v>
      </x:c>
      <x:c r="S844" s="4" t="str">
        <x:f>IFERROR(INDEX('Material routes'!$D$6:$D$2205,MATCH(U844,'Material routes'!$A$6:$A$2205,0)),"MISSING ID")</x:f>
        <x:v>proposal.t3.hinged_shell</x:v>
      </x:c>
      <x:c r="T844" s="4" t="str">
        <x:f>IFERROR(INDEX('Material routes'!$D$6:$D$2205,MATCH(V844,'Material routes'!$A$6:$A$2205,0)),"MISSING ID")</x:f>
        <x:v>proposal.collection.segmented_tower_shield</x:v>
      </x:c>
      <x:c r="U844" s="4" t="str">
        <x:v>design.collection.segmented_tower_shield.in.2</x:v>
      </x:c>
      <x:c r="V844" s="4" t="str">
        <x:v>design.collection.segmented_tower_shield.out</x:v>
      </x:c>
    </x:row>
    <x:row r="845" ht="64" customHeight="1">
      <x:c r="A845" s="4"/>
      <x:c r="B845" s="4"/>
      <x:c r="C845" s="4"/>
      <x:c r="D845" s="4"/>
      <x:c r="E845" s="4"/>
      <x:c r="F845" s="4"/>
      <x:c r="G845" s="4"/>
      <x:c r="H845" s="4"/>
      <x:c r="I845" s="4"/>
      <x:c r="J845" s="4"/>
      <x:c r="K845" s="4"/>
      <x:c r="L845" s="4"/>
      <x:c r="M845" s="4"/>
      <x:c r="N845" s="4"/>
      <x:c r="O845" s="4"/>
      <x:c r="P845" s="4"/>
      <x:c r="Q845" s="4"/>
      <x:c r="R845" s="4"/>
      <x:c r="S845" s="4"/>
      <x:c r="T845" s="4"/>
      <x:c r="U845" s="4"/>
      <x:c r="V845" s="4"/>
    </x:row>
    <x:row r="846" ht="64" customHeight="1">
      <x:c r="A846" s="4"/>
      <x:c r="B846" s="4"/>
      <x:c r="C846" s="4"/>
      <x:c r="D846" s="4"/>
      <x:c r="E846" s="4"/>
      <x:c r="F846" s="4"/>
      <x:c r="G846" s="4"/>
      <x:c r="H846" s="4"/>
      <x:c r="I846" s="4"/>
      <x:c r="J846" s="4"/>
      <x:c r="K846" s="4"/>
      <x:c r="L846" s="4"/>
      <x:c r="M846" s="4"/>
      <x:c r="N846" s="4"/>
      <x:c r="O846" s="4"/>
      <x:c r="P846" s="4"/>
      <x:c r="Q846" s="4"/>
      <x:c r="R846" s="4"/>
      <x:c r="S846" s="4"/>
      <x:c r="T846" s="4"/>
      <x:c r="U846" s="4"/>
      <x:c r="V846" s="4"/>
    </x:row>
    <x:row r="847" ht="64" customHeight="1">
      <x:c r="A847" s="4"/>
      <x:c r="B847" s="4"/>
      <x:c r="C847" s="4"/>
      <x:c r="D847" s="4"/>
      <x:c r="E847" s="4"/>
      <x:c r="F847" s="4"/>
      <x:c r="G847" s="4"/>
      <x:c r="H847" s="4"/>
      <x:c r="I847" s="4"/>
      <x:c r="J847" s="4"/>
      <x:c r="K847" s="4"/>
      <x:c r="L847" s="4"/>
      <x:c r="M847" s="4"/>
      <x:c r="N847" s="4"/>
      <x:c r="O847" s="4"/>
      <x:c r="P847" s="4"/>
      <x:c r="Q847" s="4"/>
      <x:c r="R847" s="4"/>
      <x:c r="S847" s="4"/>
      <x:c r="T847" s="4"/>
      <x:c r="U847" s="4"/>
      <x:c r="V847" s="4"/>
    </x:row>
    <x:row r="848" ht="64" customHeight="1">
      <x:c r="A848" s="4"/>
      <x:c r="B848" s="4"/>
      <x:c r="C848" s="4"/>
      <x:c r="D848" s="4"/>
      <x:c r="E848" s="4"/>
      <x:c r="F848" s="4"/>
      <x:c r="G848" s="4"/>
      <x:c r="H848" s="4"/>
      <x:c r="I848" s="4"/>
      <x:c r="J848" s="4"/>
      <x:c r="K848" s="4"/>
      <x:c r="L848" s="4"/>
      <x:c r="M848" s="4"/>
      <x:c r="N848" s="4"/>
      <x:c r="O848" s="4"/>
      <x:c r="P848" s="4"/>
      <x:c r="Q848" s="4"/>
      <x:c r="R848" s="4"/>
      <x:c r="S848" s="4"/>
      <x:c r="T848" s="4"/>
      <x:c r="U848" s="4"/>
      <x:c r="V848" s="4"/>
    </x:row>
    <x:row r="849" ht="64" customHeight="1">
      <x:c r="A849" s="4" t="str">
        <x:f>IFERROR(INDEX('Material routes'!$E$6:$E$2205,MATCH(U849,'Material routes'!$A$6:$A$2205,0)),"MISSING ID")</x:f>
        <x:v>Annealed iron sheet stock</x:v>
      </x:c>
      <x:c r="B849" s="4" t="str">
        <x:f>IFERROR(INDEX('Material routes'!$F$6:$F$2205,MATCH(U849,'Material routes'!$A$6:$A$2205,0)),"MISSING ID")</x:f>
        <x:v>T3</x:v>
      </x:c>
      <x:c r="C849" s="4" t="str">
        <x:f>IFERROR(INDEX('Material routes'!$H$6:$H$2205,MATCH(U849,'Material routes'!$A$6:$A$2205,0)),"MISSING ID")</x:f>
        <x:v>Processed material</x:v>
      </x:c>
      <x:c r="D849" s="4" t="str">
        <x:f>IFERROR(INDEX('Material routes'!$G$6:$G$2205,MATCH(U849,'Material routes'!$A$6:$A$2205,0)),"MISSING ID")</x:f>
        <x:v>Manufactured stock</x:v>
      </x:c>
      <x:c r="E849" s="4" t="str">
        <x:f>IFERROR(INDEX('Material routes'!$C$6:$C$2205,MATCH(U849,'Material routes'!$A$6:$A$2205,0)),"MISSING ID")</x:f>
        <x:v>Ingredient candidate</x:v>
      </x:c>
      <x:c r="F849" s="4" t="str">
        <x:f>IFERROR(INDEX('Material routes'!$E$6:$E$2205,MATCH(V849,'Material routes'!$A$6:$A$2205,0)),"MISSING ID")</x:f>
        <x:v>Insulated-handle shield</x:v>
      </x:c>
      <x:c r="G849" s="4" t="str">
        <x:f>IFERROR(INDEX('Material routes'!$F$6:$F$2205,MATCH(V849,'Material routes'!$A$6:$A$2205,0)),"MISSING ID")</x:f>
        <x:v>Not applicable</x:v>
      </x:c>
      <x:c r="H849" s="4" t="str">
        <x:f>IFERROR(INDEX('Material routes'!$H$6:$H$2205,MATCH(V849,'Material routes'!$A$6:$A$2205,0)),"MISSING ID")</x:f>
        <x:v>Shield</x:v>
      </x:c>
      <x:c r="I849" s="4" t="str">
        <x:f>IFERROR(INDEX('Material routes'!$G$6:$G$2205,MATCH(V849,'Material routes'!$A$6:$A$2205,0)),"MISSING ID")</x:f>
        <x:v>Armor</x:v>
      </x:c>
      <x:c r="J849" s="4" t="str">
        <x:f>IFERROR(INDEX('Material routes'!$B$6:$B$2205,MATCH(U849,'Material routes'!$A$6:$A$2205,0)),"MISSING ID")</x:f>
        <x:v>design.collection.insulated_handle_shield</x:v>
      </x:c>
      <x:c r="K849" s="4" t="str">
        <x:f>IFERROR(INDEX('Crafting recipes'!$C$6:$C$1005,MATCH(J849,'Crafting recipes'!$A$6:$A$1005,0)),"MISSING ID")</x:f>
        <x:v>Finished-item crafting</x:v>
      </x:c>
      <x:c r="L849" s="4" t="str">
        <x:f>IFERROR(INDEX('Material routes'!$K$6:$K$2205,MATCH(U849,'Material routes'!$A$6:$A$2205,0)),"MISSING ID")</x:f>
        <x:v>Proposal</x:v>
      </x:c>
      <x:c r="M849" s="4" t="str">
        <x:f>IFERROR(INDEX('Material routes'!$M$6:$M$2205,MATCH(U849,'Material routes'!$A$6:$A$2205,0)),"MISSING ID")</x:f>
        <x:v>Partial proposal</x:v>
      </x:c>
      <x:c r="N849" s="4"/>
      <x:c r="O849" s="4" t="str">
        <x:f>IFERROR(INDEX('Material routes'!$J$6:$J$2205,MATCH(U849,'Material routes'!$A$6:$A$2205,0)),"MISSING ID")</x:f>
        <x:v>Unspecified</x:v>
      </x:c>
      <x:c r="P849" s="4"/>
      <x:c r="Q849" s="4" t="str">
        <x:f>IFERROR(INDEX('Material routes'!$J$6:$J$2205,MATCH(V849,'Material routes'!$A$6:$A$2205,0)),"MISSING ID")</x:f>
        <x:v>Unspecified</x:v>
      </x:c>
      <x:c r="R849" s="4" t="str">
        <x:f>IF(L849="Withheld","Withheld premise",IF(E849="Tool candidate","Reusable prerequisite",IF(K849="Raw entry preparation","Entry-resource preparation",IF(G849="Not applicable",IF(IFERROR(INDEX('Items'!$AI$6:$AI$1005,MATCH(T849,'Items'!$A$6:$A$1005,0)),"MISSING ID")="Finished item","Finished endpoint",IF(IFERROR(INDEX('Items'!$AI$6:$AI$1005,MATCH(T849,'Items'!$A$6:$A$1005,0)),"MISSING ID")="Currency","Currency / no refinement tier","Recovered output / tier not applicable")),IF(OR(IFERROR(INDEX('Crafting recipes'!$H$6:$H$1005,MATCH(J849,'Crafting recipes'!$A$6:$A$1005,0)),"MISSING ID")="Unassigned",G849="Unassigned"),"Tier unresolved",IF(IFERROR(VALUE(RIGHT(G849,1))-VALUE(RIGHT(IFERROR(INDEX('Crafting recipes'!$H$6:$H$1005,MATCH(J849,'Crafting recipes'!$A$6:$A$1005,0)),"MISSING ID"),1)),0)=1,IF(B849=IFERROR(INDEX('Crafting recipes'!$H$6:$H$1005,MATCH(J849,'Crafting recipes'!$A$6:$A$1005,0)),"MISSING ID"),"Advances one material tier","Lower-tier ingredient; route advances one tier"),"Needs tier review"))))))</x:f>
        <x:v>Finished endpoint</x:v>
      </x:c>
      <x:c r="S849" s="4" t="str">
        <x:f>IFERROR(INDEX('Material routes'!$D$6:$D$2205,MATCH(U849,'Material routes'!$A$6:$A$2205,0)),"MISSING ID")</x:f>
        <x:v>proposal.collection.annealed_iron_sheet_stock</x:v>
      </x:c>
      <x:c r="T849" s="4" t="str">
        <x:f>IFERROR(INDEX('Material routes'!$D$6:$D$2205,MATCH(V849,'Material routes'!$A$6:$A$2205,0)),"MISSING ID")</x:f>
        <x:v>proposal.collection.insulated_handle_shield</x:v>
      </x:c>
      <x:c r="U849" s="4" t="str">
        <x:v>design.collection.insulated_handle_shield.in.1</x:v>
      </x:c>
      <x:c r="V849" s="4" t="str">
        <x:v>design.collection.insulated_handle_shield.out</x:v>
      </x:c>
    </x:row>
    <x:row r="850" ht="64" customHeight="1">
      <x:c r="A850" s="4" t="str">
        <x:f>IFERROR(INDEX('Material routes'!$E$6:$E$2205,MATCH(U850,'Material routes'!$A$6:$A$2205,0)),"MISSING ID")</x:f>
        <x:v>Prepared electrical insulation stock</x:v>
      </x:c>
      <x:c r="B850" s="4" t="str">
        <x:f>IFERROR(INDEX('Material routes'!$F$6:$F$2205,MATCH(U850,'Material routes'!$A$6:$A$2205,0)),"MISSING ID")</x:f>
        <x:v>T3</x:v>
      </x:c>
      <x:c r="C850" s="4" t="str">
        <x:f>IFERROR(INDEX('Material routes'!$H$6:$H$2205,MATCH(U850,'Material routes'!$A$6:$A$2205,0)),"MISSING ID")</x:f>
        <x:v>Processed material</x:v>
      </x:c>
      <x:c r="D850" s="4" t="str">
        <x:f>IFERROR(INDEX('Material routes'!$G$6:$G$2205,MATCH(U850,'Material routes'!$A$6:$A$2205,0)),"MISSING ID")</x:f>
        <x:v>Manufactured stock</x:v>
      </x:c>
      <x:c r="E850" s="4" t="str">
        <x:f>IFERROR(INDEX('Material routes'!$C$6:$C$2205,MATCH(U850,'Material routes'!$A$6:$A$2205,0)),"MISSING ID")</x:f>
        <x:v>Ingredient candidate</x:v>
      </x:c>
      <x:c r="F850" s="4" t="str">
        <x:f>IFERROR(INDEX('Material routes'!$E$6:$E$2205,MATCH(V850,'Material routes'!$A$6:$A$2205,0)),"MISSING ID")</x:f>
        <x:v>Insulated-handle shield</x:v>
      </x:c>
      <x:c r="G850" s="4" t="str">
        <x:f>IFERROR(INDEX('Material routes'!$F$6:$F$2205,MATCH(V850,'Material routes'!$A$6:$A$2205,0)),"MISSING ID")</x:f>
        <x:v>Not applicable</x:v>
      </x:c>
      <x:c r="H850" s="4" t="str">
        <x:f>IFERROR(INDEX('Material routes'!$H$6:$H$2205,MATCH(V850,'Material routes'!$A$6:$A$2205,0)),"MISSING ID")</x:f>
        <x:v>Shield</x:v>
      </x:c>
      <x:c r="I850" s="4" t="str">
        <x:f>IFERROR(INDEX('Material routes'!$G$6:$G$2205,MATCH(V850,'Material routes'!$A$6:$A$2205,0)),"MISSING ID")</x:f>
        <x:v>Armor</x:v>
      </x:c>
      <x:c r="J850" s="4" t="str">
        <x:f>IFERROR(INDEX('Material routes'!$B$6:$B$2205,MATCH(U850,'Material routes'!$A$6:$A$2205,0)),"MISSING ID")</x:f>
        <x:v>design.collection.insulated_handle_shield</x:v>
      </x:c>
      <x:c r="K850" s="4" t="str">
        <x:f>IFERROR(INDEX('Crafting recipes'!$C$6:$C$1005,MATCH(J850,'Crafting recipes'!$A$6:$A$1005,0)),"MISSING ID")</x:f>
        <x:v>Finished-item crafting</x:v>
      </x:c>
      <x:c r="L850" s="4" t="str">
        <x:f>IFERROR(INDEX('Material routes'!$K$6:$K$2205,MATCH(U850,'Material routes'!$A$6:$A$2205,0)),"MISSING ID")</x:f>
        <x:v>Proposal</x:v>
      </x:c>
      <x:c r="M850" s="4" t="str">
        <x:f>IFERROR(INDEX('Material routes'!$M$6:$M$2205,MATCH(U850,'Material routes'!$A$6:$A$2205,0)),"MISSING ID")</x:f>
        <x:v>Partial proposal</x:v>
      </x:c>
      <x:c r="N850" s="4"/>
      <x:c r="O850" s="4" t="str">
        <x:f>IFERROR(INDEX('Material routes'!$J$6:$J$2205,MATCH(U850,'Material routes'!$A$6:$A$2205,0)),"MISSING ID")</x:f>
        <x:v>Unspecified</x:v>
      </x:c>
      <x:c r="P850" s="4"/>
      <x:c r="Q850" s="4" t="str">
        <x:f>IFERROR(INDEX('Material routes'!$J$6:$J$2205,MATCH(V850,'Material routes'!$A$6:$A$2205,0)),"MISSING ID")</x:f>
        <x:v>Unspecified</x:v>
      </x:c>
      <x:c r="R850" s="4" t="str">
        <x:f>IF(L850="Withheld","Withheld premise",IF(E850="Tool candidate","Reusable prerequisite",IF(K850="Raw entry preparation","Entry-resource preparation",IF(G850="Not applicable",IF(IFERROR(INDEX('Items'!$AI$6:$AI$1005,MATCH(T850,'Items'!$A$6:$A$1005,0)),"MISSING ID")="Finished item","Finished endpoint",IF(IFERROR(INDEX('Items'!$AI$6:$AI$1005,MATCH(T850,'Items'!$A$6:$A$1005,0)),"MISSING ID")="Currency","Currency / no refinement tier","Recovered output / tier not applicable")),IF(OR(IFERROR(INDEX('Crafting recipes'!$H$6:$H$1005,MATCH(J850,'Crafting recipes'!$A$6:$A$1005,0)),"MISSING ID")="Unassigned",G850="Unassigned"),"Tier unresolved",IF(IFERROR(VALUE(RIGHT(G850,1))-VALUE(RIGHT(IFERROR(INDEX('Crafting recipes'!$H$6:$H$1005,MATCH(J850,'Crafting recipes'!$A$6:$A$1005,0)),"MISSING ID"),1)),0)=1,IF(B850=IFERROR(INDEX('Crafting recipes'!$H$6:$H$1005,MATCH(J850,'Crafting recipes'!$A$6:$A$1005,0)),"MISSING ID"),"Advances one material tier","Lower-tier ingredient; route advances one tier"),"Needs tier review"))))))</x:f>
        <x:v>Finished endpoint</x:v>
      </x:c>
      <x:c r="S850" s="4" t="str">
        <x:f>IFERROR(INDEX('Material routes'!$D$6:$D$2205,MATCH(U850,'Material routes'!$A$6:$A$2205,0)),"MISSING ID")</x:f>
        <x:v>author.electrical.insulation_stock</x:v>
      </x:c>
      <x:c r="T850" s="4" t="str">
        <x:f>IFERROR(INDEX('Material routes'!$D$6:$D$2205,MATCH(V850,'Material routes'!$A$6:$A$2205,0)),"MISSING ID")</x:f>
        <x:v>proposal.collection.insulated_handle_shield</x:v>
      </x:c>
      <x:c r="U850" s="4" t="str">
        <x:v>design.collection.insulated_handle_shield.in.2</x:v>
      </x:c>
      <x:c r="V850" s="4" t="str">
        <x:v>design.collection.insulated_handle_shield.out</x:v>
      </x:c>
    </x:row>
    <x:row r="851" ht="64" customHeight="1">
      <x:c r="A851" s="4"/>
      <x:c r="B851" s="4"/>
      <x:c r="C851" s="4"/>
      <x:c r="D851" s="4"/>
      <x:c r="E851" s="4"/>
      <x:c r="F851" s="4"/>
      <x:c r="G851" s="4"/>
      <x:c r="H851" s="4"/>
      <x:c r="I851" s="4"/>
      <x:c r="J851" s="4"/>
      <x:c r="K851" s="4"/>
      <x:c r="L851" s="4"/>
      <x:c r="M851" s="4"/>
      <x:c r="N851" s="4"/>
      <x:c r="P851" s="4"/>
      <x:c r="R851" s="4"/>
      <x:c r="S851" s="4"/>
      <x:c r="T851" s="4"/>
      <x:c r="U851" s="4"/>
      <x:c r="V851" s="4"/>
    </x:row>
    <x:row r="852" ht="64" customHeight="1">
      <x:c r="A852" s="4"/>
      <x:c r="B852" s="4"/>
      <x:c r="C852" s="4"/>
      <x:c r="D852" s="4"/>
      <x:c r="E852" s="4"/>
      <x:c r="F852" s="4"/>
      <x:c r="G852" s="4"/>
      <x:c r="H852" s="4"/>
      <x:c r="I852" s="4"/>
      <x:c r="J852" s="4"/>
      <x:c r="K852" s="4"/>
      <x:c r="L852" s="4"/>
      <x:c r="M852" s="4"/>
      <x:c r="N852" s="4"/>
      <x:c r="P852" s="4"/>
      <x:c r="R852" s="4"/>
      <x:c r="S852" s="4"/>
      <x:c r="T852" s="4"/>
      <x:c r="U852" s="4"/>
      <x:c r="V852" s="4"/>
    </x:row>
    <x:row r="853" ht="64" customHeight="1">
      <x:c r="A853" s="4" t="str">
        <x:f>IFERROR(INDEX('Material routes'!$E$6:$E$2205,MATCH(U853,'Material routes'!$A$6:$A$2205,0)),"MISSING ID")</x:f>
        <x:v>Annealed iron sheet stock</x:v>
      </x:c>
      <x:c r="B853" s="4" t="str">
        <x:f>IFERROR(INDEX('Material routes'!$F$6:$F$2205,MATCH(U853,'Material routes'!$A$6:$A$2205,0)),"MISSING ID")</x:f>
        <x:v>T3</x:v>
      </x:c>
      <x:c r="C853" s="4" t="str">
        <x:f>IFERROR(INDEX('Material routes'!$H$6:$H$2205,MATCH(U853,'Material routes'!$A$6:$A$2205,0)),"MISSING ID")</x:f>
        <x:v>Processed material</x:v>
      </x:c>
      <x:c r="D853" s="4" t="str">
        <x:f>IFERROR(INDEX('Material routes'!$G$6:$G$2205,MATCH(U853,'Material routes'!$A$6:$A$2205,0)),"MISSING ID")</x:f>
        <x:v>Manufactured stock</x:v>
      </x:c>
      <x:c r="E853" s="4" t="str">
        <x:f>IFERROR(INDEX('Material routes'!$C$6:$C$2205,MATCH(U853,'Material routes'!$A$6:$A$2205,0)),"MISSING ID")</x:f>
        <x:v>Ingredient candidate</x:v>
      </x:c>
      <x:c r="F853" s="4" t="str">
        <x:f>IFERROR(INDEX('Material routes'!$E$6:$E$2205,MATCH(V853,'Material routes'!$A$6:$A$2205,0)),"MISSING ID")</x:f>
        <x:v>Magnet-clamp utility shield</x:v>
      </x:c>
      <x:c r="G853" s="4" t="str">
        <x:f>IFERROR(INDEX('Material routes'!$F$6:$F$2205,MATCH(V853,'Material routes'!$A$6:$A$2205,0)),"MISSING ID")</x:f>
        <x:v>Not applicable</x:v>
      </x:c>
      <x:c r="H853" s="4" t="str">
        <x:f>IFERROR(INDEX('Material routes'!$H$6:$H$2205,MATCH(V853,'Material routes'!$A$6:$A$2205,0)),"MISSING ID")</x:f>
        <x:v>Shield</x:v>
      </x:c>
      <x:c r="I853" s="4" t="str">
        <x:f>IFERROR(INDEX('Material routes'!$G$6:$G$2205,MATCH(V853,'Material routes'!$A$6:$A$2205,0)),"MISSING ID")</x:f>
        <x:v>Armor</x:v>
      </x:c>
      <x:c r="J853" s="4" t="str">
        <x:f>IFERROR(INDEX('Material routes'!$B$6:$B$2205,MATCH(U853,'Material routes'!$A$6:$A$2205,0)),"MISSING ID")</x:f>
        <x:v>design.collection.magnet_clamp_utility_shield</x:v>
      </x:c>
      <x:c r="K853" s="4" t="str">
        <x:f>IFERROR(INDEX('Crafting recipes'!$C$6:$C$1005,MATCH(J853,'Crafting recipes'!$A$6:$A$1005,0)),"MISSING ID")</x:f>
        <x:v>Finished-item crafting</x:v>
      </x:c>
      <x:c r="L853" s="4" t="str">
        <x:f>IFERROR(INDEX('Material routes'!$K$6:$K$2205,MATCH(U853,'Material routes'!$A$6:$A$2205,0)),"MISSING ID")</x:f>
        <x:v>Proposal</x:v>
      </x:c>
      <x:c r="M853" s="4" t="str">
        <x:f>IFERROR(INDEX('Material routes'!$M$6:$M$2205,MATCH(U853,'Material routes'!$A$6:$A$2205,0)),"MISSING ID")</x:f>
        <x:v>Partial proposal</x:v>
      </x:c>
      <x:c r="N853" s="4"/>
      <x:c r="O853" s="4" t="str">
        <x:f>IFERROR(INDEX('Material routes'!$J$6:$J$2205,MATCH(U853,'Material routes'!$A$6:$A$2205,0)),"MISSING ID")</x:f>
        <x:v>Unspecified</x:v>
      </x:c>
      <x:c r="P853" s="4"/>
      <x:c r="Q853" s="4" t="str">
        <x:f>IFERROR(INDEX('Material routes'!$J$6:$J$2205,MATCH(V853,'Material routes'!$A$6:$A$2205,0)),"MISSING ID")</x:f>
        <x:v>Unspecified</x:v>
      </x:c>
      <x:c r="R853" s="4" t="str">
        <x:f>IF(L853="Withheld","Withheld premise",IF(E853="Tool candidate","Reusable prerequisite",IF(K853="Raw entry preparation","Entry-resource preparation",IF(G853="Not applicable",IF(IFERROR(INDEX('Items'!$AI$6:$AI$1005,MATCH(T853,'Items'!$A$6:$A$1005,0)),"MISSING ID")="Finished item","Finished endpoint",IF(IFERROR(INDEX('Items'!$AI$6:$AI$1005,MATCH(T853,'Items'!$A$6:$A$1005,0)),"MISSING ID")="Currency","Currency / no refinement tier","Recovered output / tier not applicable")),IF(OR(IFERROR(INDEX('Crafting recipes'!$H$6:$H$1005,MATCH(J853,'Crafting recipes'!$A$6:$A$1005,0)),"MISSING ID")="Unassigned",G853="Unassigned"),"Tier unresolved",IF(IFERROR(VALUE(RIGHT(G853,1))-VALUE(RIGHT(IFERROR(INDEX('Crafting recipes'!$H$6:$H$1005,MATCH(J853,'Crafting recipes'!$A$6:$A$1005,0)),"MISSING ID"),1)),0)=1,IF(B853=IFERROR(INDEX('Crafting recipes'!$H$6:$H$1005,MATCH(J853,'Crafting recipes'!$A$6:$A$1005,0)),"MISSING ID"),"Advances one material tier","Lower-tier ingredient; route advances one tier"),"Needs tier review"))))))</x:f>
        <x:v>Finished endpoint</x:v>
      </x:c>
      <x:c r="S853" s="4" t="str">
        <x:f>IFERROR(INDEX('Material routes'!$D$6:$D$2205,MATCH(U853,'Material routes'!$A$6:$A$2205,0)),"MISSING ID")</x:f>
        <x:v>proposal.collection.annealed_iron_sheet_stock</x:v>
      </x:c>
      <x:c r="T853" s="4" t="str">
        <x:f>IFERROR(INDEX('Material routes'!$D$6:$D$2205,MATCH(V853,'Material routes'!$A$6:$A$2205,0)),"MISSING ID")</x:f>
        <x:v>proposal.collection.magnet_clamp_utility_shield</x:v>
      </x:c>
      <x:c r="U853" s="4" t="str">
        <x:v>design.collection.magnet_clamp_utility_shield.in.1</x:v>
      </x:c>
      <x:c r="V853" s="4" t="str">
        <x:v>design.collection.magnet_clamp_utility_shield.out</x:v>
      </x:c>
    </x:row>
    <x:row r="854" ht="64" customHeight="1">
      <x:c r="A854" s="4" t="str">
        <x:f>IFERROR(INDEX('Material routes'!$E$6:$E$2205,MATCH(U854,'Material routes'!$A$6:$A$2205,0)),"MISSING ID")</x:f>
        <x:v>Field magnets</x:v>
      </x:c>
      <x:c r="B854" s="4" t="str">
        <x:f>IFERROR(INDEX('Material routes'!$F$6:$F$2205,MATCH(U854,'Material routes'!$A$6:$A$2205,0)),"MISSING ID")</x:f>
        <x:v>Not applicable</x:v>
      </x:c>
      <x:c r="C854" s="4" t="str">
        <x:f>IFERROR(INDEX('Material routes'!$H$6:$H$2205,MATCH(U854,'Material routes'!$A$6:$A$2205,0)),"MISSING ID")</x:f>
        <x:v>Tool</x:v>
      </x:c>
      <x:c r="D854" s="4" t="str">
        <x:f>IFERROR(INDEX('Material routes'!$G$6:$G$2205,MATCH(U854,'Material routes'!$A$6:$A$2205,0)),"MISSING ID")</x:f>
        <x:v>Tools</x:v>
      </x:c>
      <x:c r="E854" s="4" t="str">
        <x:f>IFERROR(INDEX('Material routes'!$C$6:$C$2205,MATCH(U854,'Material routes'!$A$6:$A$2205,0)),"MISSING ID")</x:f>
        <x:v>Ingredient candidate</x:v>
      </x:c>
      <x:c r="F854" s="4" t="str">
        <x:f>IFERROR(INDEX('Material routes'!$E$6:$E$2205,MATCH(V854,'Material routes'!$A$6:$A$2205,0)),"MISSING ID")</x:f>
        <x:v>Magnet-clamp utility shield</x:v>
      </x:c>
      <x:c r="G854" s="4" t="str">
        <x:f>IFERROR(INDEX('Material routes'!$F$6:$F$2205,MATCH(V854,'Material routes'!$A$6:$A$2205,0)),"MISSING ID")</x:f>
        <x:v>Not applicable</x:v>
      </x:c>
      <x:c r="H854" s="4" t="str">
        <x:f>IFERROR(INDEX('Material routes'!$H$6:$H$2205,MATCH(V854,'Material routes'!$A$6:$A$2205,0)),"MISSING ID")</x:f>
        <x:v>Shield</x:v>
      </x:c>
      <x:c r="I854" s="4" t="str">
        <x:f>IFERROR(INDEX('Material routes'!$G$6:$G$2205,MATCH(V854,'Material routes'!$A$6:$A$2205,0)),"MISSING ID")</x:f>
        <x:v>Armor</x:v>
      </x:c>
      <x:c r="J854" s="4" t="str">
        <x:f>IFERROR(INDEX('Material routes'!$B$6:$B$2205,MATCH(U854,'Material routes'!$A$6:$A$2205,0)),"MISSING ID")</x:f>
        <x:v>design.collection.magnet_clamp_utility_shield</x:v>
      </x:c>
      <x:c r="K854" s="4" t="str">
        <x:f>IFERROR(INDEX('Crafting recipes'!$C$6:$C$1005,MATCH(J854,'Crafting recipes'!$A$6:$A$1005,0)),"MISSING ID")</x:f>
        <x:v>Finished-item crafting</x:v>
      </x:c>
      <x:c r="L854" s="4" t="str">
        <x:f>IFERROR(INDEX('Material routes'!$K$6:$K$2205,MATCH(U854,'Material routes'!$A$6:$A$2205,0)),"MISSING ID")</x:f>
        <x:v>Proposal</x:v>
      </x:c>
      <x:c r="M854" s="4" t="str">
        <x:f>IFERROR(INDEX('Material routes'!$M$6:$M$2205,MATCH(U854,'Material routes'!$A$6:$A$2205,0)),"MISSING ID")</x:f>
        <x:v>Partial proposal</x:v>
      </x:c>
      <x:c r="N854" s="4"/>
      <x:c r="O854" s="4" t="str">
        <x:f>IFERROR(INDEX('Material routes'!$J$6:$J$2205,MATCH(U854,'Material routes'!$A$6:$A$2205,0)),"MISSING ID")</x:f>
        <x:v>Unspecified</x:v>
      </x:c>
      <x:c r="P854" s="4"/>
      <x:c r="Q854" s="4" t="str">
        <x:f>IFERROR(INDEX('Material routes'!$J$6:$J$2205,MATCH(V854,'Material routes'!$A$6:$A$2205,0)),"MISSING ID")</x:f>
        <x:v>Unspecified</x:v>
      </x:c>
      <x:c r="R854" s="4" t="str">
        <x:f>IF(L854="Withheld","Withheld premise",IF(E854="Tool candidate","Reusable prerequisite",IF(K854="Raw entry preparation","Entry-resource preparation",IF(G854="Not applicable",IF(IFERROR(INDEX('Items'!$AI$6:$AI$1005,MATCH(T854,'Items'!$A$6:$A$1005,0)),"MISSING ID")="Finished item","Finished endpoint",IF(IFERROR(INDEX('Items'!$AI$6:$AI$1005,MATCH(T854,'Items'!$A$6:$A$1005,0)),"MISSING ID")="Currency","Currency / no refinement tier","Recovered output / tier not applicable")),IF(OR(IFERROR(INDEX('Crafting recipes'!$H$6:$H$1005,MATCH(J854,'Crafting recipes'!$A$6:$A$1005,0)),"MISSING ID")="Unassigned",G854="Unassigned"),"Tier unresolved",IF(IFERROR(VALUE(RIGHT(G854,1))-VALUE(RIGHT(IFERROR(INDEX('Crafting recipes'!$H$6:$H$1005,MATCH(J854,'Crafting recipes'!$A$6:$A$1005,0)),"MISSING ID"),1)),0)=1,IF(B854=IFERROR(INDEX('Crafting recipes'!$H$6:$H$1005,MATCH(J854,'Crafting recipes'!$A$6:$A$1005,0)),"MISSING ID"),"Advances one material tier","Lower-tier ingredient; route advances one tier"),"Needs tier review"))))))</x:f>
        <x:v>Finished endpoint</x:v>
      </x:c>
      <x:c r="S854" s="4" t="str">
        <x:f>IFERROR(INDEX('Material routes'!$D$6:$D$2205,MATCH(U854,'Material routes'!$A$6:$A$2205,0)),"MISSING ID")</x:f>
        <x:v>proposal.gear.magnets</x:v>
      </x:c>
      <x:c r="T854" s="4" t="str">
        <x:f>IFERROR(INDEX('Material routes'!$D$6:$D$2205,MATCH(V854,'Material routes'!$A$6:$A$2205,0)),"MISSING ID")</x:f>
        <x:v>proposal.collection.magnet_clamp_utility_shield</x:v>
      </x:c>
      <x:c r="U854" s="4" t="str">
        <x:v>design.collection.magnet_clamp_utility_shield.in.2</x:v>
      </x:c>
      <x:c r="V854" s="4" t="str">
        <x:v>design.collection.magnet_clamp_utility_shield.out</x:v>
      </x:c>
    </x:row>
    <x:row r="855" ht="64" customHeight="1">
      <x:c r="A855" s="4" t="str">
        <x:f>IFERROR(INDEX('Material routes'!$E$6:$E$2205,MATCH(U855,'Material routes'!$A$6:$A$2205,0)),"MISSING ID")</x:f>
        <x:v>Separated shell lamina stock</x:v>
      </x:c>
      <x:c r="B855" s="4" t="str">
        <x:f>IFERROR(INDEX('Material routes'!$F$6:$F$2205,MATCH(U855,'Material routes'!$A$6:$A$2205,0)),"MISSING ID")</x:f>
        <x:v>T1</x:v>
      </x:c>
      <x:c r="C855" s="4" t="str">
        <x:f>IFERROR(INDEX('Material routes'!$H$6:$H$2205,MATCH(U855,'Material routes'!$A$6:$A$2205,0)),"MISSING ID")</x:f>
        <x:v>Processed material</x:v>
      </x:c>
      <x:c r="D855" s="4" t="str">
        <x:f>IFERROR(INDEX('Material routes'!$G$6:$G$2205,MATCH(U855,'Material routes'!$A$6:$A$2205,0)),"MISSING ID")</x:f>
        <x:v>Manufactured stock</x:v>
      </x:c>
      <x:c r="E855" s="4" t="str">
        <x:f>IFERROR(INDEX('Material routes'!$C$6:$C$2205,MATCH(U855,'Material routes'!$A$6:$A$2205,0)),"MISSING ID")</x:f>
        <x:v>Ingredient candidate</x:v>
      </x:c>
      <x:c r="F855" s="4" t="str">
        <x:f>IFERROR(INDEX('Material routes'!$E$6:$E$2205,MATCH(V855,'Material routes'!$A$6:$A$2205,0)),"MISSING ID")</x:f>
        <x:v>Replaceable-scale shield</x:v>
      </x:c>
      <x:c r="G855" s="4" t="str">
        <x:f>IFERROR(INDEX('Material routes'!$F$6:$F$2205,MATCH(V855,'Material routes'!$A$6:$A$2205,0)),"MISSING ID")</x:f>
        <x:v>Not applicable</x:v>
      </x:c>
      <x:c r="H855" s="4" t="str">
        <x:f>IFERROR(INDEX('Material routes'!$H$6:$H$2205,MATCH(V855,'Material routes'!$A$6:$A$2205,0)),"MISSING ID")</x:f>
        <x:v>Shield</x:v>
      </x:c>
      <x:c r="I855" s="4" t="str">
        <x:f>IFERROR(INDEX('Material routes'!$G$6:$G$2205,MATCH(V855,'Material routes'!$A$6:$A$2205,0)),"MISSING ID")</x:f>
        <x:v>Armor</x:v>
      </x:c>
      <x:c r="J855" s="4" t="str">
        <x:f>IFERROR(INDEX('Material routes'!$B$6:$B$2205,MATCH(U855,'Material routes'!$A$6:$A$2205,0)),"MISSING ID")</x:f>
        <x:v>design.collection.replaceable_scale_shield</x:v>
      </x:c>
      <x:c r="K855" s="4" t="str">
        <x:f>IFERROR(INDEX('Crafting recipes'!$C$6:$C$1005,MATCH(J855,'Crafting recipes'!$A$6:$A$1005,0)),"MISSING ID")</x:f>
        <x:v>Finished-item crafting</x:v>
      </x:c>
      <x:c r="L855" s="4" t="str">
        <x:f>IFERROR(INDEX('Material routes'!$K$6:$K$2205,MATCH(U855,'Material routes'!$A$6:$A$2205,0)),"MISSING ID")</x:f>
        <x:v>Proposal</x:v>
      </x:c>
      <x:c r="M855" s="4" t="str">
        <x:f>IFERROR(INDEX('Material routes'!$M$6:$M$2205,MATCH(U855,'Material routes'!$A$6:$A$2205,0)),"MISSING ID")</x:f>
        <x:v>Partial proposal</x:v>
      </x:c>
      <x:c r="N855" s="4"/>
      <x:c r="O855" s="4" t="str">
        <x:f>IFERROR(INDEX('Material routes'!$J$6:$J$2205,MATCH(U855,'Material routes'!$A$6:$A$2205,0)),"MISSING ID")</x:f>
        <x:v>Unspecified</x:v>
      </x:c>
      <x:c r="P855" s="4"/>
      <x:c r="Q855" s="4" t="str">
        <x:f>IFERROR(INDEX('Material routes'!$J$6:$J$2205,MATCH(V855,'Material routes'!$A$6:$A$2205,0)),"MISSING ID")</x:f>
        <x:v>Unspecified</x:v>
      </x:c>
      <x:c r="R855" s="4" t="str">
        <x:f>IF(L855="Withheld","Withheld premise",IF(E855="Tool candidate","Reusable prerequisite",IF(K855="Raw entry preparation","Entry-resource preparation",IF(G855="Not applicable",IF(IFERROR(INDEX('Items'!$AI$6:$AI$1005,MATCH(T855,'Items'!$A$6:$A$1005,0)),"MISSING ID")="Finished item","Finished endpoint",IF(IFERROR(INDEX('Items'!$AI$6:$AI$1005,MATCH(T855,'Items'!$A$6:$A$1005,0)),"MISSING ID")="Currency","Currency / no refinement tier","Recovered output / tier not applicable")),IF(OR(IFERROR(INDEX('Crafting recipes'!$H$6:$H$1005,MATCH(J855,'Crafting recipes'!$A$6:$A$1005,0)),"MISSING ID")="Unassigned",G855="Unassigned"),"Tier unresolved",IF(IFERROR(VALUE(RIGHT(G855,1))-VALUE(RIGHT(IFERROR(INDEX('Crafting recipes'!$H$6:$H$1005,MATCH(J855,'Crafting recipes'!$A$6:$A$1005,0)),"MISSING ID"),1)),0)=1,IF(B855=IFERROR(INDEX('Crafting recipes'!$H$6:$H$1005,MATCH(J855,'Crafting recipes'!$A$6:$A$1005,0)),"MISSING ID"),"Advances one material tier","Lower-tier ingredient; route advances one tier"),"Needs tier review"))))))</x:f>
        <x:v>Finished endpoint</x:v>
      </x:c>
      <x:c r="S855" s="4" t="str">
        <x:f>IFERROR(INDEX('Material routes'!$D$6:$D$2205,MATCH(U855,'Material routes'!$A$6:$A$2205,0)),"MISSING ID")</x:f>
        <x:v>proposal.t1.shell_lamina</x:v>
      </x:c>
      <x:c r="T855" s="4" t="str">
        <x:f>IFERROR(INDEX('Material routes'!$D$6:$D$2205,MATCH(V855,'Material routes'!$A$6:$A$2205,0)),"MISSING ID")</x:f>
        <x:v>proposal.collection.replaceable_scale_shield</x:v>
      </x:c>
      <x:c r="U855" s="4" t="str">
        <x:v>design.collection.replaceable_scale_shield.in.1</x:v>
      </x:c>
      <x:c r="V855" s="4" t="str">
        <x:v>design.collection.replaceable_scale_shield.out</x:v>
      </x:c>
    </x:row>
    <x:row r="856" ht="64" customHeight="1">
      <x:c r="A856" s="4" t="str">
        <x:f>IFERROR(INDEX('Material routes'!$E$6:$E$2205,MATCH(U856,'Material routes'!$A$6:$A$2205,0)),"MISSING ID")</x:f>
        <x:v>Matched metal fastener set</x:v>
      </x:c>
      <x:c r="B856" s="4" t="str">
        <x:f>IFERROR(INDEX('Material routes'!$F$6:$F$2205,MATCH(U856,'Material routes'!$A$6:$A$2205,0)),"MISSING ID")</x:f>
        <x:v>T3</x:v>
      </x:c>
      <x:c r="C856" s="4" t="str">
        <x:f>IFERROR(INDEX('Material routes'!$H$6:$H$2205,MATCH(U856,'Material routes'!$A$6:$A$2205,0)),"MISSING ID")</x:f>
        <x:v>Crafting component</x:v>
      </x:c>
      <x:c r="D856" s="4" t="str">
        <x:f>IFERROR(INDEX('Material routes'!$G$6:$G$2205,MATCH(U856,'Material routes'!$A$6:$A$2205,0)),"MISSING ID")</x:f>
        <x:v>Crafting components</x:v>
      </x:c>
      <x:c r="E856" s="4" t="str">
        <x:f>IFERROR(INDEX('Material routes'!$C$6:$C$2205,MATCH(U856,'Material routes'!$A$6:$A$2205,0)),"MISSING ID")</x:f>
        <x:v>Ingredient candidate</x:v>
      </x:c>
      <x:c r="F856" s="4" t="str">
        <x:f>IFERROR(INDEX('Material routes'!$E$6:$E$2205,MATCH(V856,'Material routes'!$A$6:$A$2205,0)),"MISSING ID")</x:f>
        <x:v>Replaceable-scale shield</x:v>
      </x:c>
      <x:c r="G856" s="4" t="str">
        <x:f>IFERROR(INDEX('Material routes'!$F$6:$F$2205,MATCH(V856,'Material routes'!$A$6:$A$2205,0)),"MISSING ID")</x:f>
        <x:v>Not applicable</x:v>
      </x:c>
      <x:c r="H856" s="4" t="str">
        <x:f>IFERROR(INDEX('Material routes'!$H$6:$H$2205,MATCH(V856,'Material routes'!$A$6:$A$2205,0)),"MISSING ID")</x:f>
        <x:v>Shield</x:v>
      </x:c>
      <x:c r="I856" s="4" t="str">
        <x:f>IFERROR(INDEX('Material routes'!$G$6:$G$2205,MATCH(V856,'Material routes'!$A$6:$A$2205,0)),"MISSING ID")</x:f>
        <x:v>Armor</x:v>
      </x:c>
      <x:c r="J856" s="4" t="str">
        <x:f>IFERROR(INDEX('Material routes'!$B$6:$B$2205,MATCH(U856,'Material routes'!$A$6:$A$2205,0)),"MISSING ID")</x:f>
        <x:v>design.collection.replaceable_scale_shield</x:v>
      </x:c>
      <x:c r="K856" s="4" t="str">
        <x:f>IFERROR(INDEX('Crafting recipes'!$C$6:$C$1005,MATCH(J856,'Crafting recipes'!$A$6:$A$1005,0)),"MISSING ID")</x:f>
        <x:v>Finished-item crafting</x:v>
      </x:c>
      <x:c r="L856" s="4" t="str">
        <x:f>IFERROR(INDEX('Material routes'!$K$6:$K$2205,MATCH(U856,'Material routes'!$A$6:$A$2205,0)),"MISSING ID")</x:f>
        <x:v>Proposal</x:v>
      </x:c>
      <x:c r="M856" s="4" t="str">
        <x:f>IFERROR(INDEX('Material routes'!$M$6:$M$2205,MATCH(U856,'Material routes'!$A$6:$A$2205,0)),"MISSING ID")</x:f>
        <x:v>Partial proposal</x:v>
      </x:c>
      <x:c r="N856" s="4"/>
      <x:c r="O856" s="4" t="str">
        <x:f>IFERROR(INDEX('Material routes'!$J$6:$J$2205,MATCH(U856,'Material routes'!$A$6:$A$2205,0)),"MISSING ID")</x:f>
        <x:v>Unspecified</x:v>
      </x:c>
      <x:c r="P856" s="4"/>
      <x:c r="Q856" s="4" t="str">
        <x:f>IFERROR(INDEX('Material routes'!$J$6:$J$2205,MATCH(V856,'Material routes'!$A$6:$A$2205,0)),"MISSING ID")</x:f>
        <x:v>Unspecified</x:v>
      </x:c>
      <x:c r="R856" s="4" t="str">
        <x:f>IF(L856="Withheld","Withheld premise",IF(E856="Tool candidate","Reusable prerequisite",IF(K856="Raw entry preparation","Entry-resource preparation",IF(G856="Not applicable",IF(IFERROR(INDEX('Items'!$AI$6:$AI$1005,MATCH(T856,'Items'!$A$6:$A$1005,0)),"MISSING ID")="Finished item","Finished endpoint",IF(IFERROR(INDEX('Items'!$AI$6:$AI$1005,MATCH(T856,'Items'!$A$6:$A$1005,0)),"MISSING ID")="Currency","Currency / no refinement tier","Recovered output / tier not applicable")),IF(OR(IFERROR(INDEX('Crafting recipes'!$H$6:$H$1005,MATCH(J856,'Crafting recipes'!$A$6:$A$1005,0)),"MISSING ID")="Unassigned",G856="Unassigned"),"Tier unresolved",IF(IFERROR(VALUE(RIGHT(G856,1))-VALUE(RIGHT(IFERROR(INDEX('Crafting recipes'!$H$6:$H$1005,MATCH(J856,'Crafting recipes'!$A$6:$A$1005,0)),"MISSING ID"),1)),0)=1,IF(B856=IFERROR(INDEX('Crafting recipes'!$H$6:$H$1005,MATCH(J856,'Crafting recipes'!$A$6:$A$1005,0)),"MISSING ID"),"Advances one material tier","Lower-tier ingredient; route advances one tier"),"Needs tier review"))))))</x:f>
        <x:v>Finished endpoint</x:v>
      </x:c>
      <x:c r="S856" s="4" t="str">
        <x:f>IFERROR(INDEX('Material routes'!$D$6:$D$2205,MATCH(U856,'Material routes'!$A$6:$A$2205,0)),"MISSING ID")</x:f>
        <x:v>proposal.lore.fastener_set</x:v>
      </x:c>
      <x:c r="T856" s="4" t="str">
        <x:f>IFERROR(INDEX('Material routes'!$D$6:$D$2205,MATCH(V856,'Material routes'!$A$6:$A$2205,0)),"MISSING ID")</x:f>
        <x:v>proposal.collection.replaceable_scale_shield</x:v>
      </x:c>
      <x:c r="U856" s="4" t="str">
        <x:v>design.collection.replaceable_scale_shield.in.2</x:v>
      </x:c>
      <x:c r="V856" s="4" t="str">
        <x:v>design.collection.replaceable_scale_shield.out</x:v>
      </x:c>
    </x:row>
    <x:row r="857" ht="64" customHeight="1">
      <x:c r="A857" s="4" t="str">
        <x:f>IFERROR(INDEX('Material routes'!$E$6:$E$2205,MATCH(U857,'Material routes'!$A$6:$A$2205,0)),"MISSING ID")</x:f>
        <x:v>Tendon cord</x:v>
      </x:c>
      <x:c r="B857" s="4" t="str">
        <x:f>IFERROR(INDEX('Material routes'!$F$6:$F$2205,MATCH(U857,'Material routes'!$A$6:$A$2205,0)),"MISSING ID")</x:f>
        <x:v>T1</x:v>
      </x:c>
      <x:c r="C857" s="4" t="str">
        <x:f>IFERROR(INDEX('Material routes'!$H$6:$H$2205,MATCH(U857,'Material routes'!$A$6:$A$2205,0)),"MISSING ID")</x:f>
        <x:v>Crafting component</x:v>
      </x:c>
      <x:c r="D857" s="4" t="str">
        <x:f>IFERROR(INDEX('Material routes'!$G$6:$G$2205,MATCH(U857,'Material routes'!$A$6:$A$2205,0)),"MISSING ID")</x:f>
        <x:v>Crafting components</x:v>
      </x:c>
      <x:c r="E857" s="4" t="str">
        <x:f>IFERROR(INDEX('Material routes'!$C$6:$C$2205,MATCH(U857,'Material routes'!$A$6:$A$2205,0)),"MISSING ID")</x:f>
        <x:v>Ingredient candidate</x:v>
      </x:c>
      <x:c r="F857" s="4" t="str">
        <x:f>IFERROR(INDEX('Material routes'!$E$6:$E$2205,MATCH(V857,'Material routes'!$A$6:$A$2205,0)),"MISSING ID")</x:f>
        <x:v>Tendon ankle tripline</x:v>
      </x:c>
      <x:c r="G857" s="4" t="str">
        <x:f>IFERROR(INDEX('Material routes'!$F$6:$F$2205,MATCH(V857,'Material routes'!$A$6:$A$2205,0)),"MISSING ID")</x:f>
        <x:v>Not applicable</x:v>
      </x:c>
      <x:c r="H857" s="4" t="str">
        <x:f>IFERROR(INDEX('Material routes'!$H$6:$H$2205,MATCH(V857,'Material routes'!$A$6:$A$2205,0)),"MISSING ID")</x:f>
        <x:v>Trap</x:v>
      </x:c>
      <x:c r="I857" s="4" t="str">
        <x:f>IFERROR(INDEX('Material routes'!$G$6:$G$2205,MATCH(V857,'Material routes'!$A$6:$A$2205,0)),"MISSING ID")</x:f>
        <x:v>Weapons</x:v>
      </x:c>
      <x:c r="J857" s="4" t="str">
        <x:f>IFERROR(INDEX('Material routes'!$B$6:$B$2205,MATCH(U857,'Material routes'!$A$6:$A$2205,0)),"MISSING ID")</x:f>
        <x:v>design.collection.tendon_ankle_tripline</x:v>
      </x:c>
      <x:c r="K857" s="4" t="str">
        <x:f>IFERROR(INDEX('Crafting recipes'!$C$6:$C$1005,MATCH(J857,'Crafting recipes'!$A$6:$A$1005,0)),"MISSING ID")</x:f>
        <x:v>Finished-item crafting</x:v>
      </x:c>
      <x:c r="L857" s="4" t="str">
        <x:f>IFERROR(INDEX('Material routes'!$K$6:$K$2205,MATCH(U857,'Material routes'!$A$6:$A$2205,0)),"MISSING ID")</x:f>
        <x:v>Proposal</x:v>
      </x:c>
      <x:c r="M857" s="4" t="str">
        <x:f>IFERROR(INDEX('Material routes'!$M$6:$M$2205,MATCH(U857,'Material routes'!$A$6:$A$2205,0)),"MISSING ID")</x:f>
        <x:v>Partial proposal</x:v>
      </x:c>
      <x:c r="N857" s="4"/>
      <x:c r="O857" s="4" t="str">
        <x:f>IFERROR(INDEX('Material routes'!$J$6:$J$2205,MATCH(U857,'Material routes'!$A$6:$A$2205,0)),"MISSING ID")</x:f>
        <x:v>Unspecified</x:v>
      </x:c>
      <x:c r="P857" s="4"/>
      <x:c r="Q857" s="4" t="str">
        <x:f>IFERROR(INDEX('Material routes'!$J$6:$J$2205,MATCH(V857,'Material routes'!$A$6:$A$2205,0)),"MISSING ID")</x:f>
        <x:v>Unspecified</x:v>
      </x:c>
      <x:c r="R857" s="4" t="str">
        <x:f>IF(L857="Withheld","Withheld premise",IF(E857="Tool candidate","Reusable prerequisite",IF(K857="Raw entry preparation","Entry-resource preparation",IF(G857="Not applicable",IF(IFERROR(INDEX('Items'!$AI$6:$AI$1005,MATCH(T857,'Items'!$A$6:$A$1005,0)),"MISSING ID")="Finished item","Finished endpoint",IF(IFERROR(INDEX('Items'!$AI$6:$AI$1005,MATCH(T857,'Items'!$A$6:$A$1005,0)),"MISSING ID")="Currency","Currency / no refinement tier","Recovered output / tier not applicable")),IF(OR(IFERROR(INDEX('Crafting recipes'!$H$6:$H$1005,MATCH(J857,'Crafting recipes'!$A$6:$A$1005,0)),"MISSING ID")="Unassigned",G857="Unassigned"),"Tier unresolved",IF(IFERROR(VALUE(RIGHT(G857,1))-VALUE(RIGHT(IFERROR(INDEX('Crafting recipes'!$H$6:$H$1005,MATCH(J857,'Crafting recipes'!$A$6:$A$1005,0)),"MISSING ID"),1)),0)=1,IF(B857=IFERROR(INDEX('Crafting recipes'!$H$6:$H$1005,MATCH(J857,'Crafting recipes'!$A$6:$A$1005,0)),"MISSING ID"),"Advances one material tier","Lower-tier ingredient; route advances one tier"),"Needs tier review"))))))</x:f>
        <x:v>Finished endpoint</x:v>
      </x:c>
      <x:c r="S857" s="4" t="str">
        <x:f>IFERROR(INDEX('Material routes'!$D$6:$D$2205,MATCH(U857,'Material routes'!$A$6:$A$2205,0)),"MISSING ID")</x:f>
        <x:v>proposal.bio.cord</x:v>
      </x:c>
      <x:c r="T857" s="4" t="str">
        <x:f>IFERROR(INDEX('Material routes'!$D$6:$D$2205,MATCH(V857,'Material routes'!$A$6:$A$2205,0)),"MISSING ID")</x:f>
        <x:v>proposal.collection.tendon_ankle_tripline</x:v>
      </x:c>
      <x:c r="U857" s="4" t="str">
        <x:v>design.collection.tendon_ankle_tripline.in.1</x:v>
      </x:c>
      <x:c r="V857" s="4" t="str">
        <x:v>design.collection.tendon_ankle_tripline.out</x:v>
      </x:c>
    </x:row>
    <x:row r="858" ht="64" customHeight="1">
      <x:c r="A858" s="4" t="str">
        <x:f>IFERROR(INDEX('Material routes'!$E$6:$E$2205,MATCH(U858,'Material routes'!$A$6:$A$2205,0)),"MISSING ID")</x:f>
        <x:v>Ground-anchor stake set</x:v>
      </x:c>
      <x:c r="B858" s="4" t="str">
        <x:f>IFERROR(INDEX('Material routes'!$F$6:$F$2205,MATCH(U858,'Material routes'!$A$6:$A$2205,0)),"MISSING ID")</x:f>
        <x:v>Not applicable</x:v>
      </x:c>
      <x:c r="C858" s="4" t="str">
        <x:f>IFERROR(INDEX('Material routes'!$H$6:$H$2205,MATCH(U858,'Material routes'!$A$6:$A$2205,0)),"MISSING ID")</x:f>
        <x:v>Shelter item</x:v>
      </x:c>
      <x:c r="D858" s="4" t="str">
        <x:f>IFERROR(INDEX('Material routes'!$G$6:$G$2205,MATCH(U858,'Material routes'!$A$6:$A$2205,0)),"MISSING ID")</x:f>
        <x:v>Salvage</x:v>
      </x:c>
      <x:c r="E858" s="4" t="str">
        <x:f>IFERROR(INDEX('Material routes'!$C$6:$C$2205,MATCH(U858,'Material routes'!$A$6:$A$2205,0)),"MISSING ID")</x:f>
        <x:v>Ingredient candidate</x:v>
      </x:c>
      <x:c r="F858" s="4" t="str">
        <x:f>IFERROR(INDEX('Material routes'!$E$6:$E$2205,MATCH(V858,'Material routes'!$A$6:$A$2205,0)),"MISSING ID")</x:f>
        <x:v>Tendon ankle tripline</x:v>
      </x:c>
      <x:c r="G858" s="4" t="str">
        <x:f>IFERROR(INDEX('Material routes'!$F$6:$F$2205,MATCH(V858,'Material routes'!$A$6:$A$2205,0)),"MISSING ID")</x:f>
        <x:v>Not applicable</x:v>
      </x:c>
      <x:c r="H858" s="4" t="str">
        <x:f>IFERROR(INDEX('Material routes'!$H$6:$H$2205,MATCH(V858,'Material routes'!$A$6:$A$2205,0)),"MISSING ID")</x:f>
        <x:v>Trap</x:v>
      </x:c>
      <x:c r="I858" s="4" t="str">
        <x:f>IFERROR(INDEX('Material routes'!$G$6:$G$2205,MATCH(V858,'Material routes'!$A$6:$A$2205,0)),"MISSING ID")</x:f>
        <x:v>Weapons</x:v>
      </x:c>
      <x:c r="J858" s="4" t="str">
        <x:f>IFERROR(INDEX('Material routes'!$B$6:$B$2205,MATCH(U858,'Material routes'!$A$6:$A$2205,0)),"MISSING ID")</x:f>
        <x:v>design.collection.tendon_ankle_tripline</x:v>
      </x:c>
      <x:c r="K858" s="4" t="str">
        <x:f>IFERROR(INDEX('Crafting recipes'!$C$6:$C$1005,MATCH(J858,'Crafting recipes'!$A$6:$A$1005,0)),"MISSING ID")</x:f>
        <x:v>Finished-item crafting</x:v>
      </x:c>
      <x:c r="L858" s="4" t="str">
        <x:f>IFERROR(INDEX('Material routes'!$K$6:$K$2205,MATCH(U858,'Material routes'!$A$6:$A$2205,0)),"MISSING ID")</x:f>
        <x:v>Proposal</x:v>
      </x:c>
      <x:c r="M858" s="4" t="str">
        <x:f>IFERROR(INDEX('Material routes'!$M$6:$M$2205,MATCH(U858,'Material routes'!$A$6:$A$2205,0)),"MISSING ID")</x:f>
        <x:v>Partial proposal</x:v>
      </x:c>
      <x:c r="N858" s="4"/>
      <x:c r="O858" s="4" t="str">
        <x:f>IFERROR(INDEX('Material routes'!$J$6:$J$2205,MATCH(U858,'Material routes'!$A$6:$A$2205,0)),"MISSING ID")</x:f>
        <x:v>Unspecified</x:v>
      </x:c>
      <x:c r="P858" s="4"/>
      <x:c r="Q858" s="4" t="str">
        <x:f>IFERROR(INDEX('Material routes'!$J$6:$J$2205,MATCH(V858,'Material routes'!$A$6:$A$2205,0)),"MISSING ID")</x:f>
        <x:v>Unspecified</x:v>
      </x:c>
      <x:c r="R858" s="4" t="str">
        <x:f>IF(L858="Withheld","Withheld premise",IF(E858="Tool candidate","Reusable prerequisite",IF(K858="Raw entry preparation","Entry-resource preparation",IF(G858="Not applicable",IF(IFERROR(INDEX('Items'!$AI$6:$AI$1005,MATCH(T858,'Items'!$A$6:$A$1005,0)),"MISSING ID")="Finished item","Finished endpoint",IF(IFERROR(INDEX('Items'!$AI$6:$AI$1005,MATCH(T858,'Items'!$A$6:$A$1005,0)),"MISSING ID")="Currency","Currency / no refinement tier","Recovered output / tier not applicable")),IF(OR(IFERROR(INDEX('Crafting recipes'!$H$6:$H$1005,MATCH(J858,'Crafting recipes'!$A$6:$A$1005,0)),"MISSING ID")="Unassigned",G858="Unassigned"),"Tier unresolved",IF(IFERROR(VALUE(RIGHT(G858,1))-VALUE(RIGHT(IFERROR(INDEX('Crafting recipes'!$H$6:$H$1005,MATCH(J858,'Crafting recipes'!$A$6:$A$1005,0)),"MISSING ID"),1)),0)=1,IF(B858=IFERROR(INDEX('Crafting recipes'!$H$6:$H$1005,MATCH(J858,'Crafting recipes'!$A$6:$A$1005,0)),"MISSING ID"),"Advances one material tier","Lower-tier ingredient; route advances one tier"),"Needs tier review"))))))</x:f>
        <x:v>Finished endpoint</x:v>
      </x:c>
      <x:c r="S858" s="4" t="str">
        <x:f>IFERROR(INDEX('Material routes'!$D$6:$D$2205,MATCH(U858,'Material routes'!$A$6:$A$2205,0)),"MISSING ID")</x:f>
        <x:v>proposal.collection.ground_anchor_stake_set</x:v>
      </x:c>
      <x:c r="T858" s="4" t="str">
        <x:f>IFERROR(INDEX('Material routes'!$D$6:$D$2205,MATCH(V858,'Material routes'!$A$6:$A$2205,0)),"MISSING ID")</x:f>
        <x:v>proposal.collection.tendon_ankle_tripline</x:v>
      </x:c>
      <x:c r="U858" s="4" t="str">
        <x:v>design.collection.tendon_ankle_tripline.in.2</x:v>
      </x:c>
      <x:c r="V858" s="4" t="str">
        <x:v>design.collection.tendon_ankle_tripline.out</x:v>
      </x:c>
    </x:row>
    <x:row r="859" ht="64" customHeight="1">
      <x:c r="A859" s="4" t="str">
        <x:f>IFERROR(INDEX('Material routes'!$E$6:$E$2205,MATCH(U859,'Material routes'!$A$6:$A$2205,0)),"MISSING ID")</x:f>
        <x:v>Tendon cord</x:v>
      </x:c>
      <x:c r="B859" s="4" t="str">
        <x:f>IFERROR(INDEX('Material routes'!$F$6:$F$2205,MATCH(U859,'Material routes'!$A$6:$A$2205,0)),"MISSING ID")</x:f>
        <x:v>T1</x:v>
      </x:c>
      <x:c r="C859" s="4" t="str">
        <x:f>IFERROR(INDEX('Material routes'!$H$6:$H$2205,MATCH(U859,'Material routes'!$A$6:$A$2205,0)),"MISSING ID")</x:f>
        <x:v>Crafting component</x:v>
      </x:c>
      <x:c r="D859" s="4" t="str">
        <x:f>IFERROR(INDEX('Material routes'!$G$6:$G$2205,MATCH(U859,'Material routes'!$A$6:$A$2205,0)),"MISSING ID")</x:f>
        <x:v>Crafting components</x:v>
      </x:c>
      <x:c r="E859" s="4" t="str">
        <x:f>IFERROR(INDEX('Material routes'!$C$6:$C$2205,MATCH(U859,'Material routes'!$A$6:$A$2205,0)),"MISSING ID")</x:f>
        <x:v>Ingredient candidate</x:v>
      </x:c>
      <x:c r="F859" s="4" t="str">
        <x:f>IFERROR(INDEX('Material routes'!$E$6:$E$2205,MATCH(V859,'Material routes'!$A$6:$A$2205,0)),"MISSING ID")</x:f>
        <x:v>Rattle alarm tripline</x:v>
      </x:c>
      <x:c r="G859" s="4" t="str">
        <x:f>IFERROR(INDEX('Material routes'!$F$6:$F$2205,MATCH(V859,'Material routes'!$A$6:$A$2205,0)),"MISSING ID")</x:f>
        <x:v>Not applicable</x:v>
      </x:c>
      <x:c r="H859" s="4" t="str">
        <x:f>IFERROR(INDEX('Material routes'!$H$6:$H$2205,MATCH(V859,'Material routes'!$A$6:$A$2205,0)),"MISSING ID")</x:f>
        <x:v>Trap</x:v>
      </x:c>
      <x:c r="I859" s="4" t="str">
        <x:f>IFERROR(INDEX('Material routes'!$G$6:$G$2205,MATCH(V859,'Material routes'!$A$6:$A$2205,0)),"MISSING ID")</x:f>
        <x:v>Weapons</x:v>
      </x:c>
      <x:c r="J859" s="4" t="str">
        <x:f>IFERROR(INDEX('Material routes'!$B$6:$B$2205,MATCH(U859,'Material routes'!$A$6:$A$2205,0)),"MISSING ID")</x:f>
        <x:v>design.collection.rattle_alarm_tripline</x:v>
      </x:c>
      <x:c r="K859" s="4" t="str">
        <x:f>IFERROR(INDEX('Crafting recipes'!$C$6:$C$1005,MATCH(J859,'Crafting recipes'!$A$6:$A$1005,0)),"MISSING ID")</x:f>
        <x:v>Finished-item crafting</x:v>
      </x:c>
      <x:c r="L859" s="4" t="str">
        <x:f>IFERROR(INDEX('Material routes'!$K$6:$K$2205,MATCH(U859,'Material routes'!$A$6:$A$2205,0)),"MISSING ID")</x:f>
        <x:v>Proposal</x:v>
      </x:c>
      <x:c r="M859" s="4" t="str">
        <x:f>IFERROR(INDEX('Material routes'!$M$6:$M$2205,MATCH(U859,'Material routes'!$A$6:$A$2205,0)),"MISSING ID")</x:f>
        <x:v>Partial proposal</x:v>
      </x:c>
      <x:c r="N859" s="4"/>
      <x:c r="O859" s="4" t="str">
        <x:f>IFERROR(INDEX('Material routes'!$J$6:$J$2205,MATCH(U859,'Material routes'!$A$6:$A$2205,0)),"MISSING ID")</x:f>
        <x:v>Unspecified</x:v>
      </x:c>
      <x:c r="P859" s="4"/>
      <x:c r="Q859" s="4" t="str">
        <x:f>IFERROR(INDEX('Material routes'!$J$6:$J$2205,MATCH(V859,'Material routes'!$A$6:$A$2205,0)),"MISSING ID")</x:f>
        <x:v>Unspecified</x:v>
      </x:c>
      <x:c r="R859" s="4" t="str">
        <x:f>IF(L859="Withheld","Withheld premise",IF(E859="Tool candidate","Reusable prerequisite",IF(K859="Raw entry preparation","Entry-resource preparation",IF(G859="Not applicable",IF(IFERROR(INDEX('Items'!$AI$6:$AI$1005,MATCH(T859,'Items'!$A$6:$A$1005,0)),"MISSING ID")="Finished item","Finished endpoint",IF(IFERROR(INDEX('Items'!$AI$6:$AI$1005,MATCH(T859,'Items'!$A$6:$A$1005,0)),"MISSING ID")="Currency","Currency / no refinement tier","Recovered output / tier not applicable")),IF(OR(IFERROR(INDEX('Crafting recipes'!$H$6:$H$1005,MATCH(J859,'Crafting recipes'!$A$6:$A$1005,0)),"MISSING ID")="Unassigned",G859="Unassigned"),"Tier unresolved",IF(IFERROR(VALUE(RIGHT(G859,1))-VALUE(RIGHT(IFERROR(INDEX('Crafting recipes'!$H$6:$H$1005,MATCH(J859,'Crafting recipes'!$A$6:$A$1005,0)),"MISSING ID"),1)),0)=1,IF(B859=IFERROR(INDEX('Crafting recipes'!$H$6:$H$1005,MATCH(J859,'Crafting recipes'!$A$6:$A$1005,0)),"MISSING ID"),"Advances one material tier","Lower-tier ingredient; route advances one tier"),"Needs tier review"))))))</x:f>
        <x:v>Finished endpoint</x:v>
      </x:c>
      <x:c r="S859" s="4" t="str">
        <x:f>IFERROR(INDEX('Material routes'!$D$6:$D$2205,MATCH(U859,'Material routes'!$A$6:$A$2205,0)),"MISSING ID")</x:f>
        <x:v>proposal.bio.cord</x:v>
      </x:c>
      <x:c r="T859" s="4" t="str">
        <x:f>IFERROR(INDEX('Material routes'!$D$6:$D$2205,MATCH(V859,'Material routes'!$A$6:$A$2205,0)),"MISSING ID")</x:f>
        <x:v>proposal.collection.rattle_alarm_tripline</x:v>
      </x:c>
      <x:c r="U859" s="4" t="str">
        <x:v>design.collection.rattle_alarm_tripline.in.1</x:v>
      </x:c>
      <x:c r="V859" s="4" t="str">
        <x:v>design.collection.rattle_alarm_tripline.out</x:v>
      </x:c>
    </x:row>
    <x:row r="860" ht="64" customHeight="1">
      <x:c r="A860" s="4" t="str">
        <x:f>IFERROR(INDEX('Material routes'!$E$6:$E$2205,MATCH(U860,'Material routes'!$A$6:$A$2205,0)),"MISSING ID")</x:f>
        <x:v>Shell-clapper pair</x:v>
      </x:c>
      <x:c r="B860" s="4" t="str">
        <x:f>IFERROR(INDEX('Material routes'!$F$6:$F$2205,MATCH(U860,'Material routes'!$A$6:$A$2205,0)),"MISSING ID")</x:f>
        <x:v>Not applicable</x:v>
      </x:c>
      <x:c r="C860" s="4" t="str">
        <x:f>IFERROR(INDEX('Material routes'!$H$6:$H$2205,MATCH(U860,'Material routes'!$A$6:$A$2205,0)),"MISSING ID")</x:f>
        <x:v>Musical instrument</x:v>
      </x:c>
      <x:c r="D860" s="4" t="str">
        <x:f>IFERROR(INDEX('Material routes'!$G$6:$G$2205,MATCH(U860,'Material routes'!$A$6:$A$2205,0)),"MISSING ID")</x:f>
        <x:v>Salvage</x:v>
      </x:c>
      <x:c r="E860" s="4" t="str">
        <x:f>IFERROR(INDEX('Material routes'!$C$6:$C$2205,MATCH(U860,'Material routes'!$A$6:$A$2205,0)),"MISSING ID")</x:f>
        <x:v>Ingredient candidate</x:v>
      </x:c>
      <x:c r="F860" s="4" t="str">
        <x:f>IFERROR(INDEX('Material routes'!$E$6:$E$2205,MATCH(V860,'Material routes'!$A$6:$A$2205,0)),"MISSING ID")</x:f>
        <x:v>Rattle alarm tripline</x:v>
      </x:c>
      <x:c r="G860" s="4" t="str">
        <x:f>IFERROR(INDEX('Material routes'!$F$6:$F$2205,MATCH(V860,'Material routes'!$A$6:$A$2205,0)),"MISSING ID")</x:f>
        <x:v>Not applicable</x:v>
      </x:c>
      <x:c r="H860" s="4" t="str">
        <x:f>IFERROR(INDEX('Material routes'!$H$6:$H$2205,MATCH(V860,'Material routes'!$A$6:$A$2205,0)),"MISSING ID")</x:f>
        <x:v>Trap</x:v>
      </x:c>
      <x:c r="I860" s="4" t="str">
        <x:f>IFERROR(INDEX('Material routes'!$G$6:$G$2205,MATCH(V860,'Material routes'!$A$6:$A$2205,0)),"MISSING ID")</x:f>
        <x:v>Weapons</x:v>
      </x:c>
      <x:c r="J860" s="4" t="str">
        <x:f>IFERROR(INDEX('Material routes'!$B$6:$B$2205,MATCH(U860,'Material routes'!$A$6:$A$2205,0)),"MISSING ID")</x:f>
        <x:v>design.collection.rattle_alarm_tripline</x:v>
      </x:c>
      <x:c r="K860" s="4" t="str">
        <x:f>IFERROR(INDEX('Crafting recipes'!$C$6:$C$1005,MATCH(J860,'Crafting recipes'!$A$6:$A$1005,0)),"MISSING ID")</x:f>
        <x:v>Finished-item crafting</x:v>
      </x:c>
      <x:c r="L860" s="4" t="str">
        <x:f>IFERROR(INDEX('Material routes'!$K$6:$K$2205,MATCH(U860,'Material routes'!$A$6:$A$2205,0)),"MISSING ID")</x:f>
        <x:v>Proposal</x:v>
      </x:c>
      <x:c r="M860" s="4" t="str">
        <x:f>IFERROR(INDEX('Material routes'!$M$6:$M$2205,MATCH(U860,'Material routes'!$A$6:$A$2205,0)),"MISSING ID")</x:f>
        <x:v>Partial proposal</x:v>
      </x:c>
      <x:c r="N860" s="4"/>
      <x:c r="O860" s="4" t="str">
        <x:f>IFERROR(INDEX('Material routes'!$J$6:$J$2205,MATCH(U860,'Material routes'!$A$6:$A$2205,0)),"MISSING ID")</x:f>
        <x:v>Unspecified</x:v>
      </x:c>
      <x:c r="P860" s="4"/>
      <x:c r="Q860" s="4" t="str">
        <x:f>IFERROR(INDEX('Material routes'!$J$6:$J$2205,MATCH(V860,'Material routes'!$A$6:$A$2205,0)),"MISSING ID")</x:f>
        <x:v>Unspecified</x:v>
      </x:c>
      <x:c r="R860" s="4" t="str">
        <x:f>IF(L860="Withheld","Withheld premise",IF(E860="Tool candidate","Reusable prerequisite",IF(K860="Raw entry preparation","Entry-resource preparation",IF(G860="Not applicable",IF(IFERROR(INDEX('Items'!$AI$6:$AI$1005,MATCH(T860,'Items'!$A$6:$A$1005,0)),"MISSING ID")="Finished item","Finished endpoint",IF(IFERROR(INDEX('Items'!$AI$6:$AI$1005,MATCH(T860,'Items'!$A$6:$A$1005,0)),"MISSING ID")="Currency","Currency / no refinement tier","Recovered output / tier not applicable")),IF(OR(IFERROR(INDEX('Crafting recipes'!$H$6:$H$1005,MATCH(J860,'Crafting recipes'!$A$6:$A$1005,0)),"MISSING ID")="Unassigned",G860="Unassigned"),"Tier unresolved",IF(IFERROR(VALUE(RIGHT(G860,1))-VALUE(RIGHT(IFERROR(INDEX('Crafting recipes'!$H$6:$H$1005,MATCH(J860,'Crafting recipes'!$A$6:$A$1005,0)),"MISSING ID"),1)),0)=1,IF(B860=IFERROR(INDEX('Crafting recipes'!$H$6:$H$1005,MATCH(J860,'Crafting recipes'!$A$6:$A$1005,0)),"MISSING ID"),"Advances one material tier","Lower-tier ingredient; route advances one tier"),"Needs tier review"))))))</x:f>
        <x:v>Finished endpoint</x:v>
      </x:c>
      <x:c r="S860" s="4" t="str">
        <x:f>IFERROR(INDEX('Material routes'!$D$6:$D$2205,MATCH(U860,'Material routes'!$A$6:$A$2205,0)),"MISSING ID")</x:f>
        <x:v>proposal.collection.shell_clapper_pair</x:v>
      </x:c>
      <x:c r="T860" s="4" t="str">
        <x:f>IFERROR(INDEX('Material routes'!$D$6:$D$2205,MATCH(V860,'Material routes'!$A$6:$A$2205,0)),"MISSING ID")</x:f>
        <x:v>proposal.collection.rattle_alarm_tripline</x:v>
      </x:c>
      <x:c r="U860" s="4" t="str">
        <x:v>design.collection.rattle_alarm_tripline.in.2</x:v>
      </x:c>
      <x:c r="V860" s="4" t="str">
        <x:v>design.collection.rattle_alarm_tripline.out</x:v>
      </x:c>
    </x:row>
    <x:row r="861" ht="64" customHeight="1">
      <x:c r="A861" s="4" t="str">
        <x:f>IFERROR(INDEX('Material routes'!$E$6:$E$2205,MATCH(U861,'Material routes'!$A$6:$A$2205,0)),"MISSING ID")</x:f>
        <x:v>Tendon cord</x:v>
      </x:c>
      <x:c r="B861" s="4" t="str">
        <x:f>IFERROR(INDEX('Material routes'!$F$6:$F$2205,MATCH(U861,'Material routes'!$A$6:$A$2205,0)),"MISSING ID")</x:f>
        <x:v>T1</x:v>
      </x:c>
      <x:c r="C861" s="4" t="str">
        <x:f>IFERROR(INDEX('Material routes'!$H$6:$H$2205,MATCH(U861,'Material routes'!$A$6:$A$2205,0)),"MISSING ID")</x:f>
        <x:v>Crafting component</x:v>
      </x:c>
      <x:c r="D861" s="4" t="str">
        <x:f>IFERROR(INDEX('Material routes'!$G$6:$G$2205,MATCH(U861,'Material routes'!$A$6:$A$2205,0)),"MISSING ID")</x:f>
        <x:v>Crafting components</x:v>
      </x:c>
      <x:c r="E861" s="4" t="str">
        <x:f>IFERROR(INDEX('Material routes'!$C$6:$C$2205,MATCH(U861,'Material routes'!$A$6:$A$2205,0)),"MISSING ID")</x:f>
        <x:v>Ingredient candidate</x:v>
      </x:c>
      <x:c r="F861" s="4" t="str">
        <x:f>IFERROR(INDEX('Material routes'!$E$6:$E$2205,MATCH(V861,'Material routes'!$A$6:$A$2205,0)),"MISSING ID")</x:f>
        <x:v>Metal bell alarm tether</x:v>
      </x:c>
      <x:c r="G861" s="4" t="str">
        <x:f>IFERROR(INDEX('Material routes'!$F$6:$F$2205,MATCH(V861,'Material routes'!$A$6:$A$2205,0)),"MISSING ID")</x:f>
        <x:v>Not applicable</x:v>
      </x:c>
      <x:c r="H861" s="4" t="str">
        <x:f>IFERROR(INDEX('Material routes'!$H$6:$H$2205,MATCH(V861,'Material routes'!$A$6:$A$2205,0)),"MISSING ID")</x:f>
        <x:v>Trap</x:v>
      </x:c>
      <x:c r="I861" s="4" t="str">
        <x:f>IFERROR(INDEX('Material routes'!$G$6:$G$2205,MATCH(V861,'Material routes'!$A$6:$A$2205,0)),"MISSING ID")</x:f>
        <x:v>Weapons</x:v>
      </x:c>
      <x:c r="J861" s="4" t="str">
        <x:f>IFERROR(INDEX('Material routes'!$B$6:$B$2205,MATCH(U861,'Material routes'!$A$6:$A$2205,0)),"MISSING ID")</x:f>
        <x:v>design.collection.metal_bell_alarm_tether</x:v>
      </x:c>
      <x:c r="K861" s="4" t="str">
        <x:f>IFERROR(INDEX('Crafting recipes'!$C$6:$C$1005,MATCH(J861,'Crafting recipes'!$A$6:$A$1005,0)),"MISSING ID")</x:f>
        <x:v>Finished-item crafting</x:v>
      </x:c>
      <x:c r="L861" s="4" t="str">
        <x:f>IFERROR(INDEX('Material routes'!$K$6:$K$2205,MATCH(U861,'Material routes'!$A$6:$A$2205,0)),"MISSING ID")</x:f>
        <x:v>Proposal</x:v>
      </x:c>
      <x:c r="M861" s="4" t="str">
        <x:f>IFERROR(INDEX('Material routes'!$M$6:$M$2205,MATCH(U861,'Material routes'!$A$6:$A$2205,0)),"MISSING ID")</x:f>
        <x:v>Partial proposal</x:v>
      </x:c>
      <x:c r="N861" s="4"/>
      <x:c r="O861" s="4" t="str">
        <x:f>IFERROR(INDEX('Material routes'!$J$6:$J$2205,MATCH(U861,'Material routes'!$A$6:$A$2205,0)),"MISSING ID")</x:f>
        <x:v>Unspecified</x:v>
      </x:c>
      <x:c r="P861" s="4"/>
      <x:c r="Q861" s="4" t="str">
        <x:f>IFERROR(INDEX('Material routes'!$J$6:$J$2205,MATCH(V861,'Material routes'!$A$6:$A$2205,0)),"MISSING ID")</x:f>
        <x:v>Unspecified</x:v>
      </x:c>
      <x:c r="R861" s="4" t="str">
        <x:f>IF(L861="Withheld","Withheld premise",IF(E861="Tool candidate","Reusable prerequisite",IF(K861="Raw entry preparation","Entry-resource preparation",IF(G861="Not applicable",IF(IFERROR(INDEX('Items'!$AI$6:$AI$1005,MATCH(T861,'Items'!$A$6:$A$1005,0)),"MISSING ID")="Finished item","Finished endpoint",IF(IFERROR(INDEX('Items'!$AI$6:$AI$1005,MATCH(T861,'Items'!$A$6:$A$1005,0)),"MISSING ID")="Currency","Currency / no refinement tier","Recovered output / tier not applicable")),IF(OR(IFERROR(INDEX('Crafting recipes'!$H$6:$H$1005,MATCH(J861,'Crafting recipes'!$A$6:$A$1005,0)),"MISSING ID")="Unassigned",G861="Unassigned"),"Tier unresolved",IF(IFERROR(VALUE(RIGHT(G861,1))-VALUE(RIGHT(IFERROR(INDEX('Crafting recipes'!$H$6:$H$1005,MATCH(J861,'Crafting recipes'!$A$6:$A$1005,0)),"MISSING ID"),1)),0)=1,IF(B861=IFERROR(INDEX('Crafting recipes'!$H$6:$H$1005,MATCH(J861,'Crafting recipes'!$A$6:$A$1005,0)),"MISSING ID"),"Advances one material tier","Lower-tier ingredient; route advances one tier"),"Needs tier review"))))))</x:f>
        <x:v>Finished endpoint</x:v>
      </x:c>
      <x:c r="S861" s="4" t="str">
        <x:f>IFERROR(INDEX('Material routes'!$D$6:$D$2205,MATCH(U861,'Material routes'!$A$6:$A$2205,0)),"MISSING ID")</x:f>
        <x:v>proposal.bio.cord</x:v>
      </x:c>
      <x:c r="T861" s="4" t="str">
        <x:f>IFERROR(INDEX('Material routes'!$D$6:$D$2205,MATCH(V861,'Material routes'!$A$6:$A$2205,0)),"MISSING ID")</x:f>
        <x:v>proposal.collection.metal_bell_alarm_tether</x:v>
      </x:c>
      <x:c r="U861" s="4" t="str">
        <x:v>design.collection.metal_bell_alarm_tether.in.1</x:v>
      </x:c>
      <x:c r="V861" s="4" t="str">
        <x:v>design.collection.metal_bell_alarm_tether.out</x:v>
      </x:c>
    </x:row>
    <x:row r="862" ht="64" customHeight="1">
      <x:c r="A862" s="4" t="str">
        <x:f>IFERROR(INDEX('Material routes'!$E$6:$E$2205,MATCH(U862,'Material routes'!$A$6:$A$2205,0)),"MISSING ID")</x:f>
        <x:v>Bronze hand bell</x:v>
      </x:c>
      <x:c r="B862" s="4" t="str">
        <x:f>IFERROR(INDEX('Material routes'!$F$6:$F$2205,MATCH(U862,'Material routes'!$A$6:$A$2205,0)),"MISSING ID")</x:f>
        <x:v>Not applicable</x:v>
      </x:c>
      <x:c r="C862" s="4" t="str">
        <x:f>IFERROR(INDEX('Material routes'!$H$6:$H$2205,MATCH(U862,'Material routes'!$A$6:$A$2205,0)),"MISSING ID")</x:f>
        <x:v>Musical instrument</x:v>
      </x:c>
      <x:c r="D862" s="4" t="str">
        <x:f>IFERROR(INDEX('Material routes'!$G$6:$G$2205,MATCH(U862,'Material routes'!$A$6:$A$2205,0)),"MISSING ID")</x:f>
        <x:v>Salvage</x:v>
      </x:c>
      <x:c r="E862" s="4" t="str">
        <x:f>IFERROR(INDEX('Material routes'!$C$6:$C$2205,MATCH(U862,'Material routes'!$A$6:$A$2205,0)),"MISSING ID")</x:f>
        <x:v>Ingredient candidate</x:v>
      </x:c>
      <x:c r="F862" s="4" t="str">
        <x:f>IFERROR(INDEX('Material routes'!$E$6:$E$2205,MATCH(V862,'Material routes'!$A$6:$A$2205,0)),"MISSING ID")</x:f>
        <x:v>Metal bell alarm tether</x:v>
      </x:c>
      <x:c r="G862" s="4" t="str">
        <x:f>IFERROR(INDEX('Material routes'!$F$6:$F$2205,MATCH(V862,'Material routes'!$A$6:$A$2205,0)),"MISSING ID")</x:f>
        <x:v>Not applicable</x:v>
      </x:c>
      <x:c r="H862" s="4" t="str">
        <x:f>IFERROR(INDEX('Material routes'!$H$6:$H$2205,MATCH(V862,'Material routes'!$A$6:$A$2205,0)),"MISSING ID")</x:f>
        <x:v>Trap</x:v>
      </x:c>
      <x:c r="I862" s="4" t="str">
        <x:f>IFERROR(INDEX('Material routes'!$G$6:$G$2205,MATCH(V862,'Material routes'!$A$6:$A$2205,0)),"MISSING ID")</x:f>
        <x:v>Weapons</x:v>
      </x:c>
      <x:c r="J862" s="4" t="str">
        <x:f>IFERROR(INDEX('Material routes'!$B$6:$B$2205,MATCH(U862,'Material routes'!$A$6:$A$2205,0)),"MISSING ID")</x:f>
        <x:v>design.collection.metal_bell_alarm_tether</x:v>
      </x:c>
      <x:c r="K862" s="4" t="str">
        <x:f>IFERROR(INDEX('Crafting recipes'!$C$6:$C$1005,MATCH(J862,'Crafting recipes'!$A$6:$A$1005,0)),"MISSING ID")</x:f>
        <x:v>Finished-item crafting</x:v>
      </x:c>
      <x:c r="L862" s="4" t="str">
        <x:f>IFERROR(INDEX('Material routes'!$K$6:$K$2205,MATCH(U862,'Material routes'!$A$6:$A$2205,0)),"MISSING ID")</x:f>
        <x:v>Proposal</x:v>
      </x:c>
      <x:c r="M862" s="4" t="str">
        <x:f>IFERROR(INDEX('Material routes'!$M$6:$M$2205,MATCH(U862,'Material routes'!$A$6:$A$2205,0)),"MISSING ID")</x:f>
        <x:v>Partial proposal</x:v>
      </x:c>
      <x:c r="N862" s="4"/>
      <x:c r="O862" s="4" t="str">
        <x:f>IFERROR(INDEX('Material routes'!$J$6:$J$2205,MATCH(U862,'Material routes'!$A$6:$A$2205,0)),"MISSING ID")</x:f>
        <x:v>Unspecified</x:v>
      </x:c>
      <x:c r="P862" s="4"/>
      <x:c r="Q862" s="4" t="str">
        <x:f>IFERROR(INDEX('Material routes'!$J$6:$J$2205,MATCH(V862,'Material routes'!$A$6:$A$2205,0)),"MISSING ID")</x:f>
        <x:v>Unspecified</x:v>
      </x:c>
      <x:c r="R862" s="4" t="str">
        <x:f>IF(L862="Withheld","Withheld premise",IF(E862="Tool candidate","Reusable prerequisite",IF(K862="Raw entry preparation","Entry-resource preparation",IF(G862="Not applicable",IF(IFERROR(INDEX('Items'!$AI$6:$AI$1005,MATCH(T862,'Items'!$A$6:$A$1005,0)),"MISSING ID")="Finished item","Finished endpoint",IF(IFERROR(INDEX('Items'!$AI$6:$AI$1005,MATCH(T862,'Items'!$A$6:$A$1005,0)),"MISSING ID")="Currency","Currency / no refinement tier","Recovered output / tier not applicable")),IF(OR(IFERROR(INDEX('Crafting recipes'!$H$6:$H$1005,MATCH(J862,'Crafting recipes'!$A$6:$A$1005,0)),"MISSING ID")="Unassigned",G862="Unassigned"),"Tier unresolved",IF(IFERROR(VALUE(RIGHT(G862,1))-VALUE(RIGHT(IFERROR(INDEX('Crafting recipes'!$H$6:$H$1005,MATCH(J862,'Crafting recipes'!$A$6:$A$1005,0)),"MISSING ID"),1)),0)=1,IF(B862=IFERROR(INDEX('Crafting recipes'!$H$6:$H$1005,MATCH(J862,'Crafting recipes'!$A$6:$A$1005,0)),"MISSING ID"),"Advances one material tier","Lower-tier ingredient; route advances one tier"),"Needs tier review"))))))</x:f>
        <x:v>Finished endpoint</x:v>
      </x:c>
      <x:c r="S862" s="4" t="str">
        <x:f>IFERROR(INDEX('Material routes'!$D$6:$D$2205,MATCH(U862,'Material routes'!$A$6:$A$2205,0)),"MISSING ID")</x:f>
        <x:v>proposal.collection.bronze_hand_bell</x:v>
      </x:c>
      <x:c r="T862" s="4" t="str">
        <x:f>IFERROR(INDEX('Material routes'!$D$6:$D$2205,MATCH(V862,'Material routes'!$A$6:$A$2205,0)),"MISSING ID")</x:f>
        <x:v>proposal.collection.metal_bell_alarm_tether</x:v>
      </x:c>
      <x:c r="U862" s="4" t="str">
        <x:v>design.collection.metal_bell_alarm_tether.in.2</x:v>
      </x:c>
      <x:c r="V862" s="4" t="str">
        <x:v>design.collection.metal_bell_alarm_tether.out</x:v>
      </x:c>
    </x:row>
    <x:row r="863" ht="64" customHeight="1">
      <x:c r="A863" s="4" t="str">
        <x:f>IFERROR(INDEX('Material routes'!$E$6:$E$2205,MATCH(U863,'Material routes'!$A$6:$A$2205,0)),"MISSING ID")</x:f>
        <x:v>Steel stock</x:v>
      </x:c>
      <x:c r="B863" s="4" t="str">
        <x:f>IFERROR(INDEX('Material routes'!$F$6:$F$2205,MATCH(U863,'Material routes'!$A$6:$A$2205,0)),"MISSING ID")</x:f>
        <x:v>T2</x:v>
      </x:c>
      <x:c r="C863" s="4" t="str">
        <x:f>IFERROR(INDEX('Material routes'!$H$6:$H$2205,MATCH(U863,'Material routes'!$A$6:$A$2205,0)),"MISSING ID")</x:f>
        <x:v>Processed material</x:v>
      </x:c>
      <x:c r="D863" s="4" t="str">
        <x:f>IFERROR(INDEX('Material routes'!$G$6:$G$2205,MATCH(U863,'Material routes'!$A$6:$A$2205,0)),"MISSING ID")</x:f>
        <x:v>Manufactured stock</x:v>
      </x:c>
      <x:c r="E863" s="4" t="str">
        <x:f>IFERROR(INDEX('Material routes'!$C$6:$C$2205,MATCH(U863,'Material routes'!$A$6:$A$2205,0)),"MISSING ID")</x:f>
        <x:v>Ingredient candidate</x:v>
      </x:c>
      <x:c r="F863" s="4" t="str">
        <x:f>IFERROR(INDEX('Material routes'!$E$6:$E$2205,MATCH(V863,'Material routes'!$A$6:$A$2205,0)),"MISSING ID")</x:f>
        <x:v>Folding hooked trip frame</x:v>
      </x:c>
      <x:c r="G863" s="4" t="str">
        <x:f>IFERROR(INDEX('Material routes'!$F$6:$F$2205,MATCH(V863,'Material routes'!$A$6:$A$2205,0)),"MISSING ID")</x:f>
        <x:v>Not applicable</x:v>
      </x:c>
      <x:c r="H863" s="4" t="str">
        <x:f>IFERROR(INDEX('Material routes'!$H$6:$H$2205,MATCH(V863,'Material routes'!$A$6:$A$2205,0)),"MISSING ID")</x:f>
        <x:v>Trap</x:v>
      </x:c>
      <x:c r="I863" s="4" t="str">
        <x:f>IFERROR(INDEX('Material routes'!$G$6:$G$2205,MATCH(V863,'Material routes'!$A$6:$A$2205,0)),"MISSING ID")</x:f>
        <x:v>Weapons</x:v>
      </x:c>
      <x:c r="J863" s="4" t="str">
        <x:f>IFERROR(INDEX('Material routes'!$B$6:$B$2205,MATCH(U863,'Material routes'!$A$6:$A$2205,0)),"MISSING ID")</x:f>
        <x:v>design.collection.folding_hooked_trip_frame</x:v>
      </x:c>
      <x:c r="K863" s="4" t="str">
        <x:f>IFERROR(INDEX('Crafting recipes'!$C$6:$C$1005,MATCH(J863,'Crafting recipes'!$A$6:$A$1005,0)),"MISSING ID")</x:f>
        <x:v>Finished-item crafting</x:v>
      </x:c>
      <x:c r="L863" s="4" t="str">
        <x:f>IFERROR(INDEX('Material routes'!$K$6:$K$2205,MATCH(U863,'Material routes'!$A$6:$A$2205,0)),"MISSING ID")</x:f>
        <x:v>Proposal</x:v>
      </x:c>
      <x:c r="M863" s="4" t="str">
        <x:f>IFERROR(INDEX('Material routes'!$M$6:$M$2205,MATCH(U863,'Material routes'!$A$6:$A$2205,0)),"MISSING ID")</x:f>
        <x:v>Partial proposal</x:v>
      </x:c>
      <x:c r="N863" s="4"/>
      <x:c r="O863" s="4" t="str">
        <x:f>IFERROR(INDEX('Material routes'!$J$6:$J$2205,MATCH(U863,'Material routes'!$A$6:$A$2205,0)),"MISSING ID")</x:f>
        <x:v>Unspecified</x:v>
      </x:c>
      <x:c r="P863" s="4"/>
      <x:c r="Q863" s="4" t="str">
        <x:f>IFERROR(INDEX('Material routes'!$J$6:$J$2205,MATCH(V863,'Material routes'!$A$6:$A$2205,0)),"MISSING ID")</x:f>
        <x:v>Unspecified</x:v>
      </x:c>
      <x:c r="R863" s="4" t="str">
        <x:f>IF(L863="Withheld","Withheld premise",IF(E863="Tool candidate","Reusable prerequisite",IF(K863="Raw entry preparation","Entry-resource preparation",IF(G863="Not applicable",IF(IFERROR(INDEX('Items'!$AI$6:$AI$1005,MATCH(T863,'Items'!$A$6:$A$1005,0)),"MISSING ID")="Finished item","Finished endpoint",IF(IFERROR(INDEX('Items'!$AI$6:$AI$1005,MATCH(T863,'Items'!$A$6:$A$1005,0)),"MISSING ID")="Currency","Currency / no refinement tier","Recovered output / tier not applicable")),IF(OR(IFERROR(INDEX('Crafting recipes'!$H$6:$H$1005,MATCH(J863,'Crafting recipes'!$A$6:$A$1005,0)),"MISSING ID")="Unassigned",G863="Unassigned"),"Tier unresolved",IF(IFERROR(VALUE(RIGHT(G863,1))-VALUE(RIGHT(IFERROR(INDEX('Crafting recipes'!$H$6:$H$1005,MATCH(J863,'Crafting recipes'!$A$6:$A$1005,0)),"MISSING ID"),1)),0)=1,IF(B863=IFERROR(INDEX('Crafting recipes'!$H$6:$H$1005,MATCH(J863,'Crafting recipes'!$A$6:$A$1005,0)),"MISSING ID"),"Advances one material tier","Lower-tier ingredient; route advances one tier"),"Needs tier review"))))))</x:f>
        <x:v>Finished endpoint</x:v>
      </x:c>
      <x:c r="S863" s="4" t="str">
        <x:f>IFERROR(INDEX('Material routes'!$D$6:$D$2205,MATCH(U863,'Material routes'!$A$6:$A$2205,0)),"MISSING ID")</x:f>
        <x:v>author.metallurgy.steel_stock</x:v>
      </x:c>
      <x:c r="T863" s="4" t="str">
        <x:f>IFERROR(INDEX('Material routes'!$D$6:$D$2205,MATCH(V863,'Material routes'!$A$6:$A$2205,0)),"MISSING ID")</x:f>
        <x:v>proposal.collection.folding_hooked_trip_frame</x:v>
      </x:c>
      <x:c r="U863" s="4" t="str">
        <x:v>design.collection.folding_hooked_trip_frame.in.1</x:v>
      </x:c>
      <x:c r="V863" s="4" t="str">
        <x:v>design.collection.folding_hooked_trip_frame.out</x:v>
      </x:c>
    </x:row>
    <x:row r="864" ht="64" customHeight="1">
      <x:c r="A864" s="4" t="str">
        <x:f>IFERROR(INDEX('Material routes'!$E$6:$E$2205,MATCH(U864,'Material routes'!$A$6:$A$2205,0)),"MISSING ID")</x:f>
        <x:v>Replaceable joint pin</x:v>
      </x:c>
      <x:c r="B864" s="4" t="str">
        <x:f>IFERROR(INDEX('Material routes'!$F$6:$F$2205,MATCH(U864,'Material routes'!$A$6:$A$2205,0)),"MISSING ID")</x:f>
        <x:v>T3</x:v>
      </x:c>
      <x:c r="C864" s="4" t="str">
        <x:f>IFERROR(INDEX('Material routes'!$H$6:$H$2205,MATCH(U864,'Material routes'!$A$6:$A$2205,0)),"MISSING ID")</x:f>
        <x:v>Crafting component</x:v>
      </x:c>
      <x:c r="D864" s="4" t="str">
        <x:f>IFERROR(INDEX('Material routes'!$G$6:$G$2205,MATCH(U864,'Material routes'!$A$6:$A$2205,0)),"MISSING ID")</x:f>
        <x:v>Crafting components</x:v>
      </x:c>
      <x:c r="E864" s="4" t="str">
        <x:f>IFERROR(INDEX('Material routes'!$C$6:$C$2205,MATCH(U864,'Material routes'!$A$6:$A$2205,0)),"MISSING ID")</x:f>
        <x:v>Ingredient candidate</x:v>
      </x:c>
      <x:c r="F864" s="4" t="str">
        <x:f>IFERROR(INDEX('Material routes'!$E$6:$E$2205,MATCH(V864,'Material routes'!$A$6:$A$2205,0)),"MISSING ID")</x:f>
        <x:v>Folding hooked trip frame</x:v>
      </x:c>
      <x:c r="G864" s="4" t="str">
        <x:f>IFERROR(INDEX('Material routes'!$F$6:$F$2205,MATCH(V864,'Material routes'!$A$6:$A$2205,0)),"MISSING ID")</x:f>
        <x:v>Not applicable</x:v>
      </x:c>
      <x:c r="H864" s="4" t="str">
        <x:f>IFERROR(INDEX('Material routes'!$H$6:$H$2205,MATCH(V864,'Material routes'!$A$6:$A$2205,0)),"MISSING ID")</x:f>
        <x:v>Trap</x:v>
      </x:c>
      <x:c r="I864" s="4" t="str">
        <x:f>IFERROR(INDEX('Material routes'!$G$6:$G$2205,MATCH(V864,'Material routes'!$A$6:$A$2205,0)),"MISSING ID")</x:f>
        <x:v>Weapons</x:v>
      </x:c>
      <x:c r="J864" s="4" t="str">
        <x:f>IFERROR(INDEX('Material routes'!$B$6:$B$2205,MATCH(U864,'Material routes'!$A$6:$A$2205,0)),"MISSING ID")</x:f>
        <x:v>design.collection.folding_hooked_trip_frame</x:v>
      </x:c>
      <x:c r="K864" s="4" t="str">
        <x:f>IFERROR(INDEX('Crafting recipes'!$C$6:$C$1005,MATCH(J864,'Crafting recipes'!$A$6:$A$1005,0)),"MISSING ID")</x:f>
        <x:v>Finished-item crafting</x:v>
      </x:c>
      <x:c r="L864" s="4" t="str">
        <x:f>IFERROR(INDEX('Material routes'!$K$6:$K$2205,MATCH(U864,'Material routes'!$A$6:$A$2205,0)),"MISSING ID")</x:f>
        <x:v>Proposal</x:v>
      </x:c>
      <x:c r="M864" s="4" t="str">
        <x:f>IFERROR(INDEX('Material routes'!$M$6:$M$2205,MATCH(U864,'Material routes'!$A$6:$A$2205,0)),"MISSING ID")</x:f>
        <x:v>Partial proposal</x:v>
      </x:c>
      <x:c r="N864" s="4"/>
      <x:c r="O864" s="4" t="str">
        <x:f>IFERROR(INDEX('Material routes'!$J$6:$J$2205,MATCH(U864,'Material routes'!$A$6:$A$2205,0)),"MISSING ID")</x:f>
        <x:v>Unspecified</x:v>
      </x:c>
      <x:c r="P864" s="4"/>
      <x:c r="Q864" s="4" t="str">
        <x:f>IFERROR(INDEX('Material routes'!$J$6:$J$2205,MATCH(V864,'Material routes'!$A$6:$A$2205,0)),"MISSING ID")</x:f>
        <x:v>Unspecified</x:v>
      </x:c>
      <x:c r="R864" s="4" t="str">
        <x:f>IF(L864="Withheld","Withheld premise",IF(E864="Tool candidate","Reusable prerequisite",IF(K864="Raw entry preparation","Entry-resource preparation",IF(G864="Not applicable",IF(IFERROR(INDEX('Items'!$AI$6:$AI$1005,MATCH(T864,'Items'!$A$6:$A$1005,0)),"MISSING ID")="Finished item","Finished endpoint",IF(IFERROR(INDEX('Items'!$AI$6:$AI$1005,MATCH(T864,'Items'!$A$6:$A$1005,0)),"MISSING ID")="Currency","Currency / no refinement tier","Recovered output / tier not applicable")),IF(OR(IFERROR(INDEX('Crafting recipes'!$H$6:$H$1005,MATCH(J864,'Crafting recipes'!$A$6:$A$1005,0)),"MISSING ID")="Unassigned",G864="Unassigned"),"Tier unresolved",IF(IFERROR(VALUE(RIGHT(G864,1))-VALUE(RIGHT(IFERROR(INDEX('Crafting recipes'!$H$6:$H$1005,MATCH(J864,'Crafting recipes'!$A$6:$A$1005,0)),"MISSING ID"),1)),0)=1,IF(B864=IFERROR(INDEX('Crafting recipes'!$H$6:$H$1005,MATCH(J864,'Crafting recipes'!$A$6:$A$1005,0)),"MISSING ID"),"Advances one material tier","Lower-tier ingredient; route advances one tier"),"Needs tier review"))))))</x:f>
        <x:v>Finished endpoint</x:v>
      </x:c>
      <x:c r="S864" s="4" t="str">
        <x:f>IFERROR(INDEX('Material routes'!$D$6:$D$2205,MATCH(U864,'Material routes'!$A$6:$A$2205,0)),"MISSING ID")</x:f>
        <x:v>proposal.legger.joint_pin</x:v>
      </x:c>
      <x:c r="T864" s="4" t="str">
        <x:f>IFERROR(INDEX('Material routes'!$D$6:$D$2205,MATCH(V864,'Material routes'!$A$6:$A$2205,0)),"MISSING ID")</x:f>
        <x:v>proposal.collection.folding_hooked_trip_frame</x:v>
      </x:c>
      <x:c r="U864" s="4" t="str">
        <x:v>design.collection.folding_hooked_trip_frame.in.2</x:v>
      </x:c>
      <x:c r="V864" s="4" t="str">
        <x:v>design.collection.folding_hooked_trip_frame.out</x:v>
      </x:c>
    </x:row>
    <x:row r="865" ht="64" customHeight="1">
      <x:c r="A865" s="4"/>
      <x:c r="B865" s="4"/>
      <x:c r="C865" s="4"/>
      <x:c r="D865" s="4"/>
      <x:c r="E865" s="4"/>
      <x:c r="F865" s="4"/>
      <x:c r="G865" s="4"/>
      <x:c r="H865" s="4"/>
      <x:c r="I865" s="4"/>
      <x:c r="J865" s="4"/>
      <x:c r="K865" s="4"/>
      <x:c r="L865" s="4"/>
      <x:c r="M865" s="4"/>
      <x:c r="N865" s="4"/>
      <x:c r="O865" s="4"/>
      <x:c r="P865" s="4"/>
      <x:c r="Q865" s="4"/>
      <x:c r="R865" s="4"/>
      <x:c r="S865" s="4"/>
      <x:c r="T865" s="4"/>
      <x:c r="U865" s="4"/>
      <x:c r="V865" s="4"/>
    </x:row>
    <x:row r="866" ht="64" customHeight="1">
      <x:c r="A866" s="4"/>
      <x:c r="B866" s="4"/>
      <x:c r="C866" s="4"/>
      <x:c r="D866" s="4"/>
      <x:c r="E866" s="4"/>
      <x:c r="F866" s="4"/>
      <x:c r="G866" s="4"/>
      <x:c r="H866" s="4"/>
      <x:c r="I866" s="4"/>
      <x:c r="J866" s="4"/>
      <x:c r="K866" s="4"/>
      <x:c r="L866" s="4"/>
      <x:c r="M866" s="4"/>
      <x:c r="N866" s="4"/>
      <x:c r="O866" s="4"/>
      <x:c r="P866" s="4"/>
      <x:c r="Q866" s="4"/>
      <x:c r="R866" s="4"/>
      <x:c r="S866" s="4"/>
      <x:c r="T866" s="4"/>
      <x:c r="U866" s="4"/>
      <x:c r="V866" s="4"/>
    </x:row>
    <x:row r="867" ht="64" customHeight="1">
      <x:c r="A867" s="4"/>
      <x:c r="B867" s="4"/>
      <x:c r="C867" s="4"/>
      <x:c r="D867" s="4"/>
      <x:c r="E867" s="4"/>
      <x:c r="F867" s="4"/>
      <x:c r="G867" s="4"/>
      <x:c r="H867" s="4"/>
      <x:c r="I867" s="4"/>
      <x:c r="J867" s="4"/>
      <x:c r="K867" s="4"/>
      <x:c r="L867" s="4"/>
      <x:c r="M867" s="4"/>
      <x:c r="N867" s="4"/>
      <x:c r="O867" s="4"/>
      <x:c r="P867" s="4"/>
      <x:c r="Q867" s="4"/>
      <x:c r="R867" s="4"/>
      <x:c r="S867" s="4"/>
      <x:c r="T867" s="4"/>
      <x:c r="U867" s="4"/>
      <x:c r="V867" s="4"/>
    </x:row>
    <x:row r="868" ht="64" customHeight="1">
      <x:c r="A868" s="4" t="str">
        <x:f>IFERROR(INDEX('Material routes'!$E$6:$E$2205,MATCH(U868,'Material routes'!$A$6:$A$2205,0)),"MISSING ID")</x:f>
        <x:v>Loose fauna spines</x:v>
      </x:c>
      <x:c r="B868" s="4" t="str">
        <x:f>IFERROR(INDEX('Material routes'!$F$6:$F$2205,MATCH(U868,'Material routes'!$A$6:$A$2205,0)),"MISSING ID")</x:f>
        <x:v>T0</x:v>
      </x:c>
      <x:c r="C868" s="4" t="str">
        <x:f>IFERROR(INDEX('Material routes'!$H$6:$H$2205,MATCH(U868,'Material routes'!$A$6:$A$2205,0)),"MISSING ID")</x:f>
        <x:v>Raw material</x:v>
      </x:c>
      <x:c r="D868" s="4" t="str">
        <x:f>IFERROR(INDEX('Material routes'!$G$6:$G$2205,MATCH(U868,'Material routes'!$A$6:$A$2205,0)),"MISSING ID")</x:f>
        <x:v>Biological resources</x:v>
      </x:c>
      <x:c r="E868" s="4" t="str">
        <x:f>IFERROR(INDEX('Material routes'!$C$6:$C$2205,MATCH(U868,'Material routes'!$A$6:$A$2205,0)),"MISSING ID")</x:f>
        <x:v>Ingredient candidate</x:v>
      </x:c>
      <x:c r="F868" s="4" t="str">
        <x:f>IFERROR(INDEX('Material routes'!$E$6:$E$2205,MATCH(V868,'Material routes'!$A$6:$A$2205,0)),"MISSING ID")</x:f>
        <x:v>Shell-spine scatter mat</x:v>
      </x:c>
      <x:c r="G868" s="4" t="str">
        <x:f>IFERROR(INDEX('Material routes'!$F$6:$F$2205,MATCH(V868,'Material routes'!$A$6:$A$2205,0)),"MISSING ID")</x:f>
        <x:v>Not applicable</x:v>
      </x:c>
      <x:c r="H868" s="4" t="str">
        <x:f>IFERROR(INDEX('Material routes'!$H$6:$H$2205,MATCH(V868,'Material routes'!$A$6:$A$2205,0)),"MISSING ID")</x:f>
        <x:v>Trap</x:v>
      </x:c>
      <x:c r="I868" s="4" t="str">
        <x:f>IFERROR(INDEX('Material routes'!$G$6:$G$2205,MATCH(V868,'Material routes'!$A$6:$A$2205,0)),"MISSING ID")</x:f>
        <x:v>Weapons</x:v>
      </x:c>
      <x:c r="J868" s="4" t="str">
        <x:f>IFERROR(INDEX('Material routes'!$B$6:$B$2205,MATCH(U868,'Material routes'!$A$6:$A$2205,0)),"MISSING ID")</x:f>
        <x:v>design.collection.shell_spine_scatter_mat</x:v>
      </x:c>
      <x:c r="K868" s="4" t="str">
        <x:f>IFERROR(INDEX('Crafting recipes'!$C$6:$C$1005,MATCH(J868,'Crafting recipes'!$A$6:$A$1005,0)),"MISSING ID")</x:f>
        <x:v>Finished-item crafting</x:v>
      </x:c>
      <x:c r="L868" s="4" t="str">
        <x:f>IFERROR(INDEX('Material routes'!$K$6:$K$2205,MATCH(U868,'Material routes'!$A$6:$A$2205,0)),"MISSING ID")</x:f>
        <x:v>Proposal</x:v>
      </x:c>
      <x:c r="M868" s="4" t="str">
        <x:f>IFERROR(INDEX('Material routes'!$M$6:$M$2205,MATCH(U868,'Material routes'!$A$6:$A$2205,0)),"MISSING ID")</x:f>
        <x:v>Partial proposal</x:v>
      </x:c>
      <x:c r="N868" s="4"/>
      <x:c r="O868" s="4" t="str">
        <x:f>IFERROR(INDEX('Material routes'!$J$6:$J$2205,MATCH(U868,'Material routes'!$A$6:$A$2205,0)),"MISSING ID")</x:f>
        <x:v>Unspecified</x:v>
      </x:c>
      <x:c r="P868" s="4"/>
      <x:c r="Q868" s="4" t="str">
        <x:f>IFERROR(INDEX('Material routes'!$J$6:$J$2205,MATCH(V868,'Material routes'!$A$6:$A$2205,0)),"MISSING ID")</x:f>
        <x:v>Unspecified</x:v>
      </x:c>
      <x:c r="R868" s="4" t="str">
        <x:f>IF(L868="Withheld","Withheld premise",IF(E868="Tool candidate","Reusable prerequisite",IF(K868="Raw entry preparation","Entry-resource preparation",IF(G868="Not applicable",IF(IFERROR(INDEX('Items'!$AI$6:$AI$1005,MATCH(T868,'Items'!$A$6:$A$1005,0)),"MISSING ID")="Finished item","Finished endpoint",IF(IFERROR(INDEX('Items'!$AI$6:$AI$1005,MATCH(T868,'Items'!$A$6:$A$1005,0)),"MISSING ID")="Currency","Currency / no refinement tier","Recovered output / tier not applicable")),IF(OR(IFERROR(INDEX('Crafting recipes'!$H$6:$H$1005,MATCH(J868,'Crafting recipes'!$A$6:$A$1005,0)),"MISSING ID")="Unassigned",G868="Unassigned"),"Tier unresolved",IF(IFERROR(VALUE(RIGHT(G868,1))-VALUE(RIGHT(IFERROR(INDEX('Crafting recipes'!$H$6:$H$1005,MATCH(J868,'Crafting recipes'!$A$6:$A$1005,0)),"MISSING ID"),1)),0)=1,IF(B868=IFERROR(INDEX('Crafting recipes'!$H$6:$H$1005,MATCH(J868,'Crafting recipes'!$A$6:$A$1005,0)),"MISSING ID"),"Advances one material tier","Lower-tier ingredient; route advances one tier"),"Needs tier review"))))))</x:f>
        <x:v>Finished endpoint</x:v>
      </x:c>
      <x:c r="S868" s="4" t="str">
        <x:f>IFERROR(INDEX('Material routes'!$D$6:$D$2205,MATCH(U868,'Material routes'!$A$6:$A$2205,0)),"MISSING ID")</x:f>
        <x:v>proposal.raw.spines</x:v>
      </x:c>
      <x:c r="T868" s="4" t="str">
        <x:f>IFERROR(INDEX('Material routes'!$D$6:$D$2205,MATCH(V868,'Material routes'!$A$6:$A$2205,0)),"MISSING ID")</x:f>
        <x:v>proposal.collection.shell_spine_scatter_mat</x:v>
      </x:c>
      <x:c r="U868" s="4" t="str">
        <x:v>design.collection.shell_spine_scatter_mat.in.1</x:v>
      </x:c>
      <x:c r="V868" s="4" t="str">
        <x:v>design.collection.shell_spine_scatter_mat.out</x:v>
      </x:c>
    </x:row>
    <x:row r="869" ht="64" customHeight="1">
      <x:c r="A869" s="4" t="str">
        <x:f>IFERROR(INDEX('Material routes'!$E$6:$E$2205,MATCH(U869,'Material routes'!$A$6:$A$2205,0)),"MISSING ID")</x:f>
        <x:v>Bonded husk sheet</x:v>
      </x:c>
      <x:c r="B869" s="4" t="str">
        <x:f>IFERROR(INDEX('Material routes'!$F$6:$F$2205,MATCH(U869,'Material routes'!$A$6:$A$2205,0)),"MISSING ID")</x:f>
        <x:v>T2</x:v>
      </x:c>
      <x:c r="C869" s="4" t="str">
        <x:f>IFERROR(INDEX('Material routes'!$H$6:$H$2205,MATCH(U869,'Material routes'!$A$6:$A$2205,0)),"MISSING ID")</x:f>
        <x:v>Processed material</x:v>
      </x:c>
      <x:c r="D869" s="4" t="str">
        <x:f>IFERROR(INDEX('Material routes'!$G$6:$G$2205,MATCH(U869,'Material routes'!$A$6:$A$2205,0)),"MISSING ID")</x:f>
        <x:v>Manufactured stock</x:v>
      </x:c>
      <x:c r="E869" s="4" t="str">
        <x:f>IFERROR(INDEX('Material routes'!$C$6:$C$2205,MATCH(U869,'Material routes'!$A$6:$A$2205,0)),"MISSING ID")</x:f>
        <x:v>Ingredient candidate</x:v>
      </x:c>
      <x:c r="F869" s="4" t="str">
        <x:f>IFERROR(INDEX('Material routes'!$E$6:$E$2205,MATCH(V869,'Material routes'!$A$6:$A$2205,0)),"MISSING ID")</x:f>
        <x:v>Shell-spine scatter mat</x:v>
      </x:c>
      <x:c r="G869" s="4" t="str">
        <x:f>IFERROR(INDEX('Material routes'!$F$6:$F$2205,MATCH(V869,'Material routes'!$A$6:$A$2205,0)),"MISSING ID")</x:f>
        <x:v>Not applicable</x:v>
      </x:c>
      <x:c r="H869" s="4" t="str">
        <x:f>IFERROR(INDEX('Material routes'!$H$6:$H$2205,MATCH(V869,'Material routes'!$A$6:$A$2205,0)),"MISSING ID")</x:f>
        <x:v>Trap</x:v>
      </x:c>
      <x:c r="I869" s="4" t="str">
        <x:f>IFERROR(INDEX('Material routes'!$G$6:$G$2205,MATCH(V869,'Material routes'!$A$6:$A$2205,0)),"MISSING ID")</x:f>
        <x:v>Weapons</x:v>
      </x:c>
      <x:c r="J869" s="4" t="str">
        <x:f>IFERROR(INDEX('Material routes'!$B$6:$B$2205,MATCH(U869,'Material routes'!$A$6:$A$2205,0)),"MISSING ID")</x:f>
        <x:v>design.collection.shell_spine_scatter_mat</x:v>
      </x:c>
      <x:c r="K869" s="4" t="str">
        <x:f>IFERROR(INDEX('Crafting recipes'!$C$6:$C$1005,MATCH(J869,'Crafting recipes'!$A$6:$A$1005,0)),"MISSING ID")</x:f>
        <x:v>Finished-item crafting</x:v>
      </x:c>
      <x:c r="L869" s="4" t="str">
        <x:f>IFERROR(INDEX('Material routes'!$K$6:$K$2205,MATCH(U869,'Material routes'!$A$6:$A$2205,0)),"MISSING ID")</x:f>
        <x:v>Proposal</x:v>
      </x:c>
      <x:c r="M869" s="4" t="str">
        <x:f>IFERROR(INDEX('Material routes'!$M$6:$M$2205,MATCH(U869,'Material routes'!$A$6:$A$2205,0)),"MISSING ID")</x:f>
        <x:v>Partial proposal</x:v>
      </x:c>
      <x:c r="N869" s="4"/>
      <x:c r="O869" s="4" t="str">
        <x:f>IFERROR(INDEX('Material routes'!$J$6:$J$2205,MATCH(U869,'Material routes'!$A$6:$A$2205,0)),"MISSING ID")</x:f>
        <x:v>Unspecified</x:v>
      </x:c>
      <x:c r="P869" s="4"/>
      <x:c r="Q869" s="4" t="str">
        <x:f>IFERROR(INDEX('Material routes'!$J$6:$J$2205,MATCH(V869,'Material routes'!$A$6:$A$2205,0)),"MISSING ID")</x:f>
        <x:v>Unspecified</x:v>
      </x:c>
      <x:c r="R869" s="4" t="str">
        <x:f>IF(L869="Withheld","Withheld premise",IF(E869="Tool candidate","Reusable prerequisite",IF(K869="Raw entry preparation","Entry-resource preparation",IF(G869="Not applicable",IF(IFERROR(INDEX('Items'!$AI$6:$AI$1005,MATCH(T869,'Items'!$A$6:$A$1005,0)),"MISSING ID")="Finished item","Finished endpoint",IF(IFERROR(INDEX('Items'!$AI$6:$AI$1005,MATCH(T869,'Items'!$A$6:$A$1005,0)),"MISSING ID")="Currency","Currency / no refinement tier","Recovered output / tier not applicable")),IF(OR(IFERROR(INDEX('Crafting recipes'!$H$6:$H$1005,MATCH(J869,'Crafting recipes'!$A$6:$A$1005,0)),"MISSING ID")="Unassigned",G869="Unassigned"),"Tier unresolved",IF(IFERROR(VALUE(RIGHT(G869,1))-VALUE(RIGHT(IFERROR(INDEX('Crafting recipes'!$H$6:$H$1005,MATCH(J869,'Crafting recipes'!$A$6:$A$1005,0)),"MISSING ID"),1)),0)=1,IF(B869=IFERROR(INDEX('Crafting recipes'!$H$6:$H$1005,MATCH(J869,'Crafting recipes'!$A$6:$A$1005,0)),"MISSING ID"),"Advances one material tier","Lower-tier ingredient; route advances one tier"),"Needs tier review"))))))</x:f>
        <x:v>Finished endpoint</x:v>
      </x:c>
      <x:c r="S869" s="4" t="str">
        <x:f>IFERROR(INDEX('Material routes'!$D$6:$D$2205,MATCH(U869,'Material routes'!$A$6:$A$2205,0)),"MISSING ID")</x:f>
        <x:v>proposal.branch.husk_sheet</x:v>
      </x:c>
      <x:c r="T869" s="4" t="str">
        <x:f>IFERROR(INDEX('Material routes'!$D$6:$D$2205,MATCH(V869,'Material routes'!$A$6:$A$2205,0)),"MISSING ID")</x:f>
        <x:v>proposal.collection.shell_spine_scatter_mat</x:v>
      </x:c>
      <x:c r="U869" s="4" t="str">
        <x:v>design.collection.shell_spine_scatter_mat.in.2</x:v>
      </x:c>
      <x:c r="V869" s="4" t="str">
        <x:v>design.collection.shell_spine_scatter_mat.out</x:v>
      </x:c>
    </x:row>
    <x:row r="870" ht="64" customHeight="1">
      <x:c r="A870" s="4" t="str">
        <x:f>IFERROR(INDEX('Material routes'!$E$6:$E$2205,MATCH(U870,'Material routes'!$A$6:$A$2205,0)),"MISSING ID")</x:f>
        <x:v>Steel stock</x:v>
      </x:c>
      <x:c r="B870" s="4" t="str">
        <x:f>IFERROR(INDEX('Material routes'!$F$6:$F$2205,MATCH(U870,'Material routes'!$A$6:$A$2205,0)),"MISSING ID")</x:f>
        <x:v>T2</x:v>
      </x:c>
      <x:c r="C870" s="4" t="str">
        <x:f>IFERROR(INDEX('Material routes'!$H$6:$H$2205,MATCH(U870,'Material routes'!$A$6:$A$2205,0)),"MISSING ID")</x:f>
        <x:v>Processed material</x:v>
      </x:c>
      <x:c r="D870" s="4" t="str">
        <x:f>IFERROR(INDEX('Material routes'!$G$6:$G$2205,MATCH(U870,'Material routes'!$A$6:$A$2205,0)),"MISSING ID")</x:f>
        <x:v>Manufactured stock</x:v>
      </x:c>
      <x:c r="E870" s="4" t="str">
        <x:f>IFERROR(INDEX('Material routes'!$C$6:$C$2205,MATCH(U870,'Material routes'!$A$6:$A$2205,0)),"MISSING ID")</x:f>
        <x:v>Ingredient candidate</x:v>
      </x:c>
      <x:c r="F870" s="4" t="str">
        <x:f>IFERROR(INDEX('Material routes'!$E$6:$E$2205,MATCH(V870,'Material routes'!$A$6:$A$2205,0)),"MISSING ID")</x:f>
        <x:v>Collapsible wheel chock</x:v>
      </x:c>
      <x:c r="G870" s="4" t="str">
        <x:f>IFERROR(INDEX('Material routes'!$F$6:$F$2205,MATCH(V870,'Material routes'!$A$6:$A$2205,0)),"MISSING ID")</x:f>
        <x:v>Not applicable</x:v>
      </x:c>
      <x:c r="H870" s="4" t="str">
        <x:f>IFERROR(INDEX('Material routes'!$H$6:$H$2205,MATCH(V870,'Material routes'!$A$6:$A$2205,0)),"MISSING ID")</x:f>
        <x:v>Trap</x:v>
      </x:c>
      <x:c r="I870" s="4" t="str">
        <x:f>IFERROR(INDEX('Material routes'!$G$6:$G$2205,MATCH(V870,'Material routes'!$A$6:$A$2205,0)),"MISSING ID")</x:f>
        <x:v>Weapons</x:v>
      </x:c>
      <x:c r="J870" s="4" t="str">
        <x:f>IFERROR(INDEX('Material routes'!$B$6:$B$2205,MATCH(U870,'Material routes'!$A$6:$A$2205,0)),"MISSING ID")</x:f>
        <x:v>design.collection.collapsible_wheel_chock</x:v>
      </x:c>
      <x:c r="K870" s="4" t="str">
        <x:f>IFERROR(INDEX('Crafting recipes'!$C$6:$C$1005,MATCH(J870,'Crafting recipes'!$A$6:$A$1005,0)),"MISSING ID")</x:f>
        <x:v>Finished-item crafting</x:v>
      </x:c>
      <x:c r="L870" s="4" t="str">
        <x:f>IFERROR(INDEX('Material routes'!$K$6:$K$2205,MATCH(U870,'Material routes'!$A$6:$A$2205,0)),"MISSING ID")</x:f>
        <x:v>Proposal</x:v>
      </x:c>
      <x:c r="M870" s="4" t="str">
        <x:f>IFERROR(INDEX('Material routes'!$M$6:$M$2205,MATCH(U870,'Material routes'!$A$6:$A$2205,0)),"MISSING ID")</x:f>
        <x:v>Partial proposal</x:v>
      </x:c>
      <x:c r="N870" s="4"/>
      <x:c r="O870" s="4" t="str">
        <x:f>IFERROR(INDEX('Material routes'!$J$6:$J$2205,MATCH(U870,'Material routes'!$A$6:$A$2205,0)),"MISSING ID")</x:f>
        <x:v>Unspecified</x:v>
      </x:c>
      <x:c r="P870" s="4"/>
      <x:c r="Q870" s="4" t="str">
        <x:f>IFERROR(INDEX('Material routes'!$J$6:$J$2205,MATCH(V870,'Material routes'!$A$6:$A$2205,0)),"MISSING ID")</x:f>
        <x:v>Unspecified</x:v>
      </x:c>
      <x:c r="R870" s="4" t="str">
        <x:f>IF(L870="Withheld","Withheld premise",IF(E870="Tool candidate","Reusable prerequisite",IF(K870="Raw entry preparation","Entry-resource preparation",IF(G870="Not applicable",IF(IFERROR(INDEX('Items'!$AI$6:$AI$1005,MATCH(T870,'Items'!$A$6:$A$1005,0)),"MISSING ID")="Finished item","Finished endpoint",IF(IFERROR(INDEX('Items'!$AI$6:$AI$1005,MATCH(T870,'Items'!$A$6:$A$1005,0)),"MISSING ID")="Currency","Currency / no refinement tier","Recovered output / tier not applicable")),IF(OR(IFERROR(INDEX('Crafting recipes'!$H$6:$H$1005,MATCH(J870,'Crafting recipes'!$A$6:$A$1005,0)),"MISSING ID")="Unassigned",G870="Unassigned"),"Tier unresolved",IF(IFERROR(VALUE(RIGHT(G870,1))-VALUE(RIGHT(IFERROR(INDEX('Crafting recipes'!$H$6:$H$1005,MATCH(J870,'Crafting recipes'!$A$6:$A$1005,0)),"MISSING ID"),1)),0)=1,IF(B870=IFERROR(INDEX('Crafting recipes'!$H$6:$H$1005,MATCH(J870,'Crafting recipes'!$A$6:$A$1005,0)),"MISSING ID"),"Advances one material tier","Lower-tier ingredient; route advances one tier"),"Needs tier review"))))))</x:f>
        <x:v>Finished endpoint</x:v>
      </x:c>
      <x:c r="S870" s="4" t="str">
        <x:f>IFERROR(INDEX('Material routes'!$D$6:$D$2205,MATCH(U870,'Material routes'!$A$6:$A$2205,0)),"MISSING ID")</x:f>
        <x:v>author.metallurgy.steel_stock</x:v>
      </x:c>
      <x:c r="T870" s="4" t="str">
        <x:f>IFERROR(INDEX('Material routes'!$D$6:$D$2205,MATCH(V870,'Material routes'!$A$6:$A$2205,0)),"MISSING ID")</x:f>
        <x:v>proposal.collection.collapsible_wheel_chock</x:v>
      </x:c>
      <x:c r="U870" s="4" t="str">
        <x:v>design.collection.collapsible_wheel_chock.in.1</x:v>
      </x:c>
      <x:c r="V870" s="4" t="str">
        <x:v>design.collection.collapsible_wheel_chock.out</x:v>
      </x:c>
    </x:row>
    <x:row r="871" ht="64" customHeight="1">
      <x:c r="A871" s="4" t="str">
        <x:f>IFERROR(INDEX('Material routes'!$E$6:$E$2205,MATCH(U871,'Material routes'!$A$6:$A$2205,0)),"MISSING ID")</x:f>
        <x:v>Replaceable joint pin</x:v>
      </x:c>
      <x:c r="B871" s="4" t="str">
        <x:f>IFERROR(INDEX('Material routes'!$F$6:$F$2205,MATCH(U871,'Material routes'!$A$6:$A$2205,0)),"MISSING ID")</x:f>
        <x:v>T3</x:v>
      </x:c>
      <x:c r="C871" s="4" t="str">
        <x:f>IFERROR(INDEX('Material routes'!$H$6:$H$2205,MATCH(U871,'Material routes'!$A$6:$A$2205,0)),"MISSING ID")</x:f>
        <x:v>Crafting component</x:v>
      </x:c>
      <x:c r="D871" s="4" t="str">
        <x:f>IFERROR(INDEX('Material routes'!$G$6:$G$2205,MATCH(U871,'Material routes'!$A$6:$A$2205,0)),"MISSING ID")</x:f>
        <x:v>Crafting components</x:v>
      </x:c>
      <x:c r="E871" s="4" t="str">
        <x:f>IFERROR(INDEX('Material routes'!$C$6:$C$2205,MATCH(U871,'Material routes'!$A$6:$A$2205,0)),"MISSING ID")</x:f>
        <x:v>Ingredient candidate</x:v>
      </x:c>
      <x:c r="F871" s="4" t="str">
        <x:f>IFERROR(INDEX('Material routes'!$E$6:$E$2205,MATCH(V871,'Material routes'!$A$6:$A$2205,0)),"MISSING ID")</x:f>
        <x:v>Collapsible wheel chock</x:v>
      </x:c>
      <x:c r="G871" s="4" t="str">
        <x:f>IFERROR(INDEX('Material routes'!$F$6:$F$2205,MATCH(V871,'Material routes'!$A$6:$A$2205,0)),"MISSING ID")</x:f>
        <x:v>Not applicable</x:v>
      </x:c>
      <x:c r="H871" s="4" t="str">
        <x:f>IFERROR(INDEX('Material routes'!$H$6:$H$2205,MATCH(V871,'Material routes'!$A$6:$A$2205,0)),"MISSING ID")</x:f>
        <x:v>Trap</x:v>
      </x:c>
      <x:c r="I871" s="4" t="str">
        <x:f>IFERROR(INDEX('Material routes'!$G$6:$G$2205,MATCH(V871,'Material routes'!$A$6:$A$2205,0)),"MISSING ID")</x:f>
        <x:v>Weapons</x:v>
      </x:c>
      <x:c r="J871" s="4" t="str">
        <x:f>IFERROR(INDEX('Material routes'!$B$6:$B$2205,MATCH(U871,'Material routes'!$A$6:$A$2205,0)),"MISSING ID")</x:f>
        <x:v>design.collection.collapsible_wheel_chock</x:v>
      </x:c>
      <x:c r="K871" s="4" t="str">
        <x:f>IFERROR(INDEX('Crafting recipes'!$C$6:$C$1005,MATCH(J871,'Crafting recipes'!$A$6:$A$1005,0)),"MISSING ID")</x:f>
        <x:v>Finished-item crafting</x:v>
      </x:c>
      <x:c r="L871" s="4" t="str">
        <x:f>IFERROR(INDEX('Material routes'!$K$6:$K$2205,MATCH(U871,'Material routes'!$A$6:$A$2205,0)),"MISSING ID")</x:f>
        <x:v>Proposal</x:v>
      </x:c>
      <x:c r="M871" s="4" t="str">
        <x:f>IFERROR(INDEX('Material routes'!$M$6:$M$2205,MATCH(U871,'Material routes'!$A$6:$A$2205,0)),"MISSING ID")</x:f>
        <x:v>Partial proposal</x:v>
      </x:c>
      <x:c r="N871" s="4"/>
      <x:c r="O871" s="4" t="str">
        <x:f>IFERROR(INDEX('Material routes'!$J$6:$J$2205,MATCH(U871,'Material routes'!$A$6:$A$2205,0)),"MISSING ID")</x:f>
        <x:v>Unspecified</x:v>
      </x:c>
      <x:c r="P871" s="4"/>
      <x:c r="Q871" s="4" t="str">
        <x:f>IFERROR(INDEX('Material routes'!$J$6:$J$2205,MATCH(V871,'Material routes'!$A$6:$A$2205,0)),"MISSING ID")</x:f>
        <x:v>Unspecified</x:v>
      </x:c>
      <x:c r="R871" s="4" t="str">
        <x:f>IF(L871="Withheld","Withheld premise",IF(E871="Tool candidate","Reusable prerequisite",IF(K871="Raw entry preparation","Entry-resource preparation",IF(G871="Not applicable",IF(IFERROR(INDEX('Items'!$AI$6:$AI$1005,MATCH(T871,'Items'!$A$6:$A$1005,0)),"MISSING ID")="Finished item","Finished endpoint",IF(IFERROR(INDEX('Items'!$AI$6:$AI$1005,MATCH(T871,'Items'!$A$6:$A$1005,0)),"MISSING ID")="Currency","Currency / no refinement tier","Recovered output / tier not applicable")),IF(OR(IFERROR(INDEX('Crafting recipes'!$H$6:$H$1005,MATCH(J871,'Crafting recipes'!$A$6:$A$1005,0)),"MISSING ID")="Unassigned",G871="Unassigned"),"Tier unresolved",IF(IFERROR(VALUE(RIGHT(G871,1))-VALUE(RIGHT(IFERROR(INDEX('Crafting recipes'!$H$6:$H$1005,MATCH(J871,'Crafting recipes'!$A$6:$A$1005,0)),"MISSING ID"),1)),0)=1,IF(B871=IFERROR(INDEX('Crafting recipes'!$H$6:$H$1005,MATCH(J871,'Crafting recipes'!$A$6:$A$1005,0)),"MISSING ID"),"Advances one material tier","Lower-tier ingredient; route advances one tier"),"Needs tier review"))))))</x:f>
        <x:v>Finished endpoint</x:v>
      </x:c>
      <x:c r="S871" s="4" t="str">
        <x:f>IFERROR(INDEX('Material routes'!$D$6:$D$2205,MATCH(U871,'Material routes'!$A$6:$A$2205,0)),"MISSING ID")</x:f>
        <x:v>proposal.legger.joint_pin</x:v>
      </x:c>
      <x:c r="T871" s="4" t="str">
        <x:f>IFERROR(INDEX('Material routes'!$D$6:$D$2205,MATCH(V871,'Material routes'!$A$6:$A$2205,0)),"MISSING ID")</x:f>
        <x:v>proposal.collection.collapsible_wheel_chock</x:v>
      </x:c>
      <x:c r="U871" s="4" t="str">
        <x:v>design.collection.collapsible_wheel_chock.in.2</x:v>
      </x:c>
      <x:c r="V871" s="4" t="str">
        <x:v>design.collection.collapsible_wheel_chock.out</x:v>
      </x:c>
    </x:row>
    <x:row r="872" ht="64" customHeight="1">
      <x:c r="A872" s="4" t="str">
        <x:f>IFERROR(INDEX('Material routes'!$E$6:$E$2205,MATCH(U872,'Material routes'!$A$6:$A$2205,0)),"MISSING ID")</x:f>
        <x:v>Salvaged metal cable</x:v>
      </x:c>
      <x:c r="B872" s="4" t="str">
        <x:f>IFERROR(INDEX('Material routes'!$F$6:$F$2205,MATCH(U872,'Material routes'!$A$6:$A$2205,0)),"MISSING ID")</x:f>
        <x:v>T0</x:v>
      </x:c>
      <x:c r="C872" s="4" t="str">
        <x:f>IFERROR(INDEX('Material routes'!$H$6:$H$2205,MATCH(U872,'Material routes'!$A$6:$A$2205,0)),"MISSING ID")</x:f>
        <x:v>Raw material</x:v>
      </x:c>
      <x:c r="D872" s="4" t="str">
        <x:f>IFERROR(INDEX('Material routes'!$G$6:$G$2205,MATCH(U872,'Material routes'!$A$6:$A$2205,0)),"MISSING ID")</x:f>
        <x:v>Salvage</x:v>
      </x:c>
      <x:c r="E872" s="4" t="str">
        <x:f>IFERROR(INDEX('Material routes'!$C$6:$C$2205,MATCH(U872,'Material routes'!$A$6:$A$2205,0)),"MISSING ID")</x:f>
        <x:v>Ingredient candidate</x:v>
      </x:c>
      <x:c r="F872" s="4" t="str">
        <x:f>IFERROR(INDEX('Material routes'!$E$6:$E$2205,MATCH(V872,'Material routes'!$A$6:$A$2205,0)),"MISSING ID")</x:f>
        <x:v>Cable snag hoop</x:v>
      </x:c>
      <x:c r="G872" s="4" t="str">
        <x:f>IFERROR(INDEX('Material routes'!$F$6:$F$2205,MATCH(V872,'Material routes'!$A$6:$A$2205,0)),"MISSING ID")</x:f>
        <x:v>Not applicable</x:v>
      </x:c>
      <x:c r="H872" s="4" t="str">
        <x:f>IFERROR(INDEX('Material routes'!$H$6:$H$2205,MATCH(V872,'Material routes'!$A$6:$A$2205,0)),"MISSING ID")</x:f>
        <x:v>Trap</x:v>
      </x:c>
      <x:c r="I872" s="4" t="str">
        <x:f>IFERROR(INDEX('Material routes'!$G$6:$G$2205,MATCH(V872,'Material routes'!$A$6:$A$2205,0)),"MISSING ID")</x:f>
        <x:v>Weapons</x:v>
      </x:c>
      <x:c r="J872" s="4" t="str">
        <x:f>IFERROR(INDEX('Material routes'!$B$6:$B$2205,MATCH(U872,'Material routes'!$A$6:$A$2205,0)),"MISSING ID")</x:f>
        <x:v>design.collection.cable_snag_hoop</x:v>
      </x:c>
      <x:c r="K872" s="4" t="str">
        <x:f>IFERROR(INDEX('Crafting recipes'!$C$6:$C$1005,MATCH(J872,'Crafting recipes'!$A$6:$A$1005,0)),"MISSING ID")</x:f>
        <x:v>Finished-item crafting</x:v>
      </x:c>
      <x:c r="L872" s="4" t="str">
        <x:f>IFERROR(INDEX('Material routes'!$K$6:$K$2205,MATCH(U872,'Material routes'!$A$6:$A$2205,0)),"MISSING ID")</x:f>
        <x:v>Proposal</x:v>
      </x:c>
      <x:c r="M872" s="4" t="str">
        <x:f>IFERROR(INDEX('Material routes'!$M$6:$M$2205,MATCH(U872,'Material routes'!$A$6:$A$2205,0)),"MISSING ID")</x:f>
        <x:v>Partial proposal</x:v>
      </x:c>
      <x:c r="N872" s="4"/>
      <x:c r="O872" s="4" t="str">
        <x:f>IFERROR(INDEX('Material routes'!$J$6:$J$2205,MATCH(U872,'Material routes'!$A$6:$A$2205,0)),"MISSING ID")</x:f>
        <x:v>Unspecified</x:v>
      </x:c>
      <x:c r="P872" s="4"/>
      <x:c r="Q872" s="4" t="str">
        <x:f>IFERROR(INDEX('Material routes'!$J$6:$J$2205,MATCH(V872,'Material routes'!$A$6:$A$2205,0)),"MISSING ID")</x:f>
        <x:v>Unspecified</x:v>
      </x:c>
      <x:c r="R872" s="4" t="str">
        <x:f>IF(L872="Withheld","Withheld premise",IF(E872="Tool candidate","Reusable prerequisite",IF(K872="Raw entry preparation","Entry-resource preparation",IF(G872="Not applicable",IF(IFERROR(INDEX('Items'!$AI$6:$AI$1005,MATCH(T872,'Items'!$A$6:$A$1005,0)),"MISSING ID")="Finished item","Finished endpoint",IF(IFERROR(INDEX('Items'!$AI$6:$AI$1005,MATCH(T872,'Items'!$A$6:$A$1005,0)),"MISSING ID")="Currency","Currency / no refinement tier","Recovered output / tier not applicable")),IF(OR(IFERROR(INDEX('Crafting recipes'!$H$6:$H$1005,MATCH(J872,'Crafting recipes'!$A$6:$A$1005,0)),"MISSING ID")="Unassigned",G872="Unassigned"),"Tier unresolved",IF(IFERROR(VALUE(RIGHT(G872,1))-VALUE(RIGHT(IFERROR(INDEX('Crafting recipes'!$H$6:$H$1005,MATCH(J872,'Crafting recipes'!$A$6:$A$1005,0)),"MISSING ID"),1)),0)=1,IF(B872=IFERROR(INDEX('Crafting recipes'!$H$6:$H$1005,MATCH(J872,'Crafting recipes'!$A$6:$A$1005,0)),"MISSING ID"),"Advances one material tier","Lower-tier ingredient; route advances one tier"),"Needs tier review"))))))</x:f>
        <x:v>Finished endpoint</x:v>
      </x:c>
      <x:c r="S872" s="4" t="str">
        <x:f>IFERROR(INDEX('Material routes'!$D$6:$D$2205,MATCH(U872,'Material routes'!$A$6:$A$2205,0)),"MISSING ID")</x:f>
        <x:v>proposal.raw.metal_cable</x:v>
      </x:c>
      <x:c r="T872" s="4" t="str">
        <x:f>IFERROR(INDEX('Material routes'!$D$6:$D$2205,MATCH(V872,'Material routes'!$A$6:$A$2205,0)),"MISSING ID")</x:f>
        <x:v>proposal.collection.cable_snag_hoop</x:v>
      </x:c>
      <x:c r="U872" s="4" t="str">
        <x:v>design.collection.cable_snag_hoop.in.1</x:v>
      </x:c>
      <x:c r="V872" s="4" t="str">
        <x:v>design.collection.cable_snag_hoop.out</x:v>
      </x:c>
    </x:row>
    <x:row r="873" ht="64" customHeight="1">
      <x:c r="A873" s="4" t="str">
        <x:f>IFERROR(INDEX('Material routes'!$E$6:$E$2205,MATCH(U873,'Material routes'!$A$6:$A$2205,0)),"MISSING ID")</x:f>
        <x:v>Worked iron stock</x:v>
      </x:c>
      <x:c r="B873" s="4" t="str">
        <x:f>IFERROR(INDEX('Material routes'!$F$6:$F$2205,MATCH(U873,'Material routes'!$A$6:$A$2205,0)),"MISSING ID")</x:f>
        <x:v>T2</x:v>
      </x:c>
      <x:c r="C873" s="4" t="str">
        <x:f>IFERROR(INDEX('Material routes'!$H$6:$H$2205,MATCH(U873,'Material routes'!$A$6:$A$2205,0)),"MISSING ID")</x:f>
        <x:v>Processed material</x:v>
      </x:c>
      <x:c r="D873" s="4" t="str">
        <x:f>IFERROR(INDEX('Material routes'!$G$6:$G$2205,MATCH(U873,'Material routes'!$A$6:$A$2205,0)),"MISSING ID")</x:f>
        <x:v>Manufactured stock</x:v>
      </x:c>
      <x:c r="E873" s="4" t="str">
        <x:f>IFERROR(INDEX('Material routes'!$C$6:$C$2205,MATCH(U873,'Material routes'!$A$6:$A$2205,0)),"MISSING ID")</x:f>
        <x:v>Ingredient candidate</x:v>
      </x:c>
      <x:c r="F873" s="4" t="str">
        <x:f>IFERROR(INDEX('Material routes'!$E$6:$E$2205,MATCH(V873,'Material routes'!$A$6:$A$2205,0)),"MISSING ID")</x:f>
        <x:v>Cable snag hoop</x:v>
      </x:c>
      <x:c r="G873" s="4" t="str">
        <x:f>IFERROR(INDEX('Material routes'!$F$6:$F$2205,MATCH(V873,'Material routes'!$A$6:$A$2205,0)),"MISSING ID")</x:f>
        <x:v>Not applicable</x:v>
      </x:c>
      <x:c r="H873" s="4" t="str">
        <x:f>IFERROR(INDEX('Material routes'!$H$6:$H$2205,MATCH(V873,'Material routes'!$A$6:$A$2205,0)),"MISSING ID")</x:f>
        <x:v>Trap</x:v>
      </x:c>
      <x:c r="I873" s="4" t="str">
        <x:f>IFERROR(INDEX('Material routes'!$G$6:$G$2205,MATCH(V873,'Material routes'!$A$6:$A$2205,0)),"MISSING ID")</x:f>
        <x:v>Weapons</x:v>
      </x:c>
      <x:c r="J873" s="4" t="str">
        <x:f>IFERROR(INDEX('Material routes'!$B$6:$B$2205,MATCH(U873,'Material routes'!$A$6:$A$2205,0)),"MISSING ID")</x:f>
        <x:v>design.collection.cable_snag_hoop</x:v>
      </x:c>
      <x:c r="K873" s="4" t="str">
        <x:f>IFERROR(INDEX('Crafting recipes'!$C$6:$C$1005,MATCH(J873,'Crafting recipes'!$A$6:$A$1005,0)),"MISSING ID")</x:f>
        <x:v>Finished-item crafting</x:v>
      </x:c>
      <x:c r="L873" s="4" t="str">
        <x:f>IFERROR(INDEX('Material routes'!$K$6:$K$2205,MATCH(U873,'Material routes'!$A$6:$A$2205,0)),"MISSING ID")</x:f>
        <x:v>Proposal</x:v>
      </x:c>
      <x:c r="M873" s="4" t="str">
        <x:f>IFERROR(INDEX('Material routes'!$M$6:$M$2205,MATCH(U873,'Material routes'!$A$6:$A$2205,0)),"MISSING ID")</x:f>
        <x:v>Partial proposal</x:v>
      </x:c>
      <x:c r="N873" s="4"/>
      <x:c r="O873" s="4" t="str">
        <x:f>IFERROR(INDEX('Material routes'!$J$6:$J$2205,MATCH(U873,'Material routes'!$A$6:$A$2205,0)),"MISSING ID")</x:f>
        <x:v>Unspecified</x:v>
      </x:c>
      <x:c r="P873" s="4"/>
      <x:c r="Q873" s="4" t="str">
        <x:f>IFERROR(INDEX('Material routes'!$J$6:$J$2205,MATCH(V873,'Material routes'!$A$6:$A$2205,0)),"MISSING ID")</x:f>
        <x:v>Unspecified</x:v>
      </x:c>
      <x:c r="R873" s="4" t="str">
        <x:f>IF(L873="Withheld","Withheld premise",IF(E873="Tool candidate","Reusable prerequisite",IF(K873="Raw entry preparation","Entry-resource preparation",IF(G873="Not applicable",IF(IFERROR(INDEX('Items'!$AI$6:$AI$1005,MATCH(T873,'Items'!$A$6:$A$1005,0)),"MISSING ID")="Finished item","Finished endpoint",IF(IFERROR(INDEX('Items'!$AI$6:$AI$1005,MATCH(T873,'Items'!$A$6:$A$1005,0)),"MISSING ID")="Currency","Currency / no refinement tier","Recovered output / tier not applicable")),IF(OR(IFERROR(INDEX('Crafting recipes'!$H$6:$H$1005,MATCH(J873,'Crafting recipes'!$A$6:$A$1005,0)),"MISSING ID")="Unassigned",G873="Unassigned"),"Tier unresolved",IF(IFERROR(VALUE(RIGHT(G873,1))-VALUE(RIGHT(IFERROR(INDEX('Crafting recipes'!$H$6:$H$1005,MATCH(J873,'Crafting recipes'!$A$6:$A$1005,0)),"MISSING ID"),1)),0)=1,IF(B873=IFERROR(INDEX('Crafting recipes'!$H$6:$H$1005,MATCH(J873,'Crafting recipes'!$A$6:$A$1005,0)),"MISSING ID"),"Advances one material tier","Lower-tier ingredient; route advances one tier"),"Needs tier review"))))))</x:f>
        <x:v>Finished endpoint</x:v>
      </x:c>
      <x:c r="S873" s="4" t="str">
        <x:f>IFERROR(INDEX('Material routes'!$D$6:$D$2205,MATCH(U873,'Material routes'!$A$6:$A$2205,0)),"MISSING ID")</x:f>
        <x:v>proposal.natural.iron_stock</x:v>
      </x:c>
      <x:c r="T873" s="4" t="str">
        <x:f>IFERROR(INDEX('Material routes'!$D$6:$D$2205,MATCH(V873,'Material routes'!$A$6:$A$2205,0)),"MISSING ID")</x:f>
        <x:v>proposal.collection.cable_snag_hoop</x:v>
      </x:c>
      <x:c r="U873" s="4" t="str">
        <x:v>design.collection.cable_snag_hoop.in.2</x:v>
      </x:c>
      <x:c r="V873" s="4" t="str">
        <x:v>design.collection.cable_snag_hoop.out</x:v>
      </x:c>
    </x:row>
    <x:row r="874" ht="64" customHeight="1">
      <x:c r="A874" s="4"/>
      <x:c r="B874" s="4"/>
      <x:c r="C874" s="4"/>
      <x:c r="D874" s="4"/>
      <x:c r="E874" s="4"/>
      <x:c r="F874" s="4"/>
      <x:c r="G874" s="4"/>
      <x:c r="H874" s="4"/>
      <x:c r="I874" s="4"/>
      <x:c r="J874" s="4"/>
      <x:c r="K874" s="4"/>
      <x:c r="L874" s="4"/>
      <x:c r="M874" s="4"/>
      <x:c r="N874" s="4"/>
      <x:c r="O874" s="4"/>
      <x:c r="P874" s="4"/>
      <x:c r="Q874" s="4"/>
      <x:c r="R874" s="4"/>
      <x:c r="S874" s="4"/>
      <x:c r="T874" s="4"/>
      <x:c r="U874" s="4"/>
      <x:c r="V874" s="4"/>
    </x:row>
    <x:row r="875" ht="64" customHeight="1">
      <x:c r="A875" s="4"/>
      <x:c r="B875" s="4"/>
      <x:c r="C875" s="4"/>
      <x:c r="D875" s="4"/>
      <x:c r="E875" s="4"/>
      <x:c r="F875" s="4"/>
      <x:c r="G875" s="4"/>
      <x:c r="H875" s="4"/>
      <x:c r="I875" s="4"/>
      <x:c r="J875" s="4"/>
      <x:c r="K875" s="4"/>
      <x:c r="L875" s="4"/>
      <x:c r="M875" s="4"/>
      <x:c r="N875" s="4"/>
      <x:c r="O875" s="4"/>
      <x:c r="P875" s="4"/>
      <x:c r="Q875" s="4"/>
      <x:c r="R875" s="4"/>
      <x:c r="S875" s="4"/>
      <x:c r="T875" s="4"/>
      <x:c r="U875" s="4"/>
      <x:c r="V875" s="4"/>
    </x:row>
    <x:row r="876" ht="64" customHeight="1">
      <x:c r="A876" s="4"/>
      <x:c r="B876" s="4"/>
      <x:c r="C876" s="4"/>
      <x:c r="D876" s="4"/>
      <x:c r="E876" s="4"/>
      <x:c r="F876" s="4"/>
      <x:c r="G876" s="4"/>
      <x:c r="H876" s="4"/>
      <x:c r="I876" s="4"/>
      <x:c r="J876" s="4"/>
      <x:c r="K876" s="4"/>
      <x:c r="L876" s="4"/>
      <x:c r="M876" s="4"/>
      <x:c r="N876" s="4"/>
      <x:c r="O876" s="4"/>
      <x:c r="P876" s="4"/>
      <x:c r="Q876" s="4"/>
      <x:c r="R876" s="4"/>
      <x:c r="S876" s="4"/>
      <x:c r="T876" s="4"/>
      <x:c r="U876" s="4"/>
      <x:c r="V876" s="4"/>
    </x:row>
    <x:row r="877" ht="64" customHeight="1">
      <x:c r="A877" s="4"/>
      <x:c r="B877" s="4"/>
      <x:c r="C877" s="4"/>
      <x:c r="D877" s="4"/>
      <x:c r="E877" s="4"/>
      <x:c r="F877" s="4"/>
      <x:c r="G877" s="4"/>
      <x:c r="H877" s="4"/>
      <x:c r="I877" s="4"/>
      <x:c r="J877" s="4"/>
      <x:c r="K877" s="4"/>
      <x:c r="L877" s="4"/>
      <x:c r="M877" s="4"/>
      <x:c r="N877" s="4"/>
      <x:c r="O877" s="4"/>
      <x:c r="P877" s="4"/>
      <x:c r="Q877" s="4"/>
      <x:c r="R877" s="4"/>
      <x:c r="S877" s="4"/>
      <x:c r="T877" s="4"/>
      <x:c r="U877" s="4"/>
      <x:c r="V877" s="4"/>
    </x:row>
    <x:row r="878" ht="64" customHeight="1">
      <x:c r="A878" s="4"/>
      <x:c r="B878" s="4"/>
      <x:c r="C878" s="4"/>
      <x:c r="D878" s="4"/>
      <x:c r="E878" s="4"/>
      <x:c r="F878" s="4"/>
      <x:c r="G878" s="4"/>
      <x:c r="H878" s="4"/>
      <x:c r="I878" s="4"/>
      <x:c r="J878" s="4"/>
      <x:c r="K878" s="4"/>
      <x:c r="L878" s="4"/>
      <x:c r="M878" s="4"/>
      <x:c r="N878" s="4"/>
      <x:c r="P878" s="4"/>
      <x:c r="R878" s="4"/>
      <x:c r="S878" s="4"/>
      <x:c r="T878" s="4"/>
      <x:c r="U878" s="4"/>
      <x:c r="V878" s="4"/>
    </x:row>
    <x:row r="879" ht="64" customHeight="1">
      <x:c r="A879" s="4"/>
      <x:c r="B879" s="4"/>
      <x:c r="C879" s="4"/>
      <x:c r="D879" s="4"/>
      <x:c r="E879" s="4"/>
      <x:c r="F879" s="4"/>
      <x:c r="G879" s="4"/>
      <x:c r="H879" s="4"/>
      <x:c r="I879" s="4"/>
      <x:c r="J879" s="4"/>
      <x:c r="K879" s="4"/>
      <x:c r="L879" s="4"/>
      <x:c r="M879" s="4"/>
      <x:c r="N879" s="4"/>
      <x:c r="P879" s="4"/>
      <x:c r="R879" s="4"/>
      <x:c r="S879" s="4"/>
      <x:c r="T879" s="4"/>
      <x:c r="U879" s="4"/>
      <x:c r="V879" s="4"/>
    </x:row>
    <x:row r="880" ht="64" customHeight="1">
      <x:c r="A880" s="4"/>
      <x:c r="B880" s="4"/>
      <x:c r="C880" s="4"/>
      <x:c r="D880" s="4"/>
      <x:c r="E880" s="4"/>
      <x:c r="F880" s="4"/>
      <x:c r="G880" s="4"/>
      <x:c r="H880" s="4"/>
      <x:c r="I880" s="4"/>
      <x:c r="J880" s="4"/>
      <x:c r="K880" s="4"/>
      <x:c r="L880" s="4"/>
      <x:c r="M880" s="4"/>
      <x:c r="N880" s="4"/>
      <x:c r="P880" s="4"/>
      <x:c r="R880" s="4"/>
      <x:c r="S880" s="4"/>
      <x:c r="T880" s="4"/>
      <x:c r="U880" s="4"/>
      <x:c r="V880" s="4"/>
    </x:row>
    <x:row r="881" ht="64" customHeight="1">
      <x:c r="A881" s="4" t="str">
        <x:f>IFERROR(INDEX('Material routes'!$E$6:$E$2205,MATCH(U881,'Material routes'!$A$6:$A$2205,0)),"MISSING ID")</x:f>
        <x:v>Annealed iron sheet stock</x:v>
      </x:c>
      <x:c r="B881" s="4" t="str">
        <x:f>IFERROR(INDEX('Material routes'!$F$6:$F$2205,MATCH(U881,'Material routes'!$A$6:$A$2205,0)),"MISSING ID")</x:f>
        <x:v>T3</x:v>
      </x:c>
      <x:c r="C881" s="4" t="str">
        <x:f>IFERROR(INDEX('Material routes'!$H$6:$H$2205,MATCH(U881,'Material routes'!$A$6:$A$2205,0)),"MISSING ID")</x:f>
        <x:v>Processed material</x:v>
      </x:c>
      <x:c r="D881" s="4" t="str">
        <x:f>IFERROR(INDEX('Material routes'!$G$6:$G$2205,MATCH(U881,'Material routes'!$A$6:$A$2205,0)),"MISSING ID")</x:f>
        <x:v>Manufactured stock</x:v>
      </x:c>
      <x:c r="E881" s="4" t="str">
        <x:f>IFERROR(INDEX('Material routes'!$C$6:$C$2205,MATCH(U881,'Material routes'!$A$6:$A$2205,0)),"MISSING ID")</x:f>
        <x:v>Ingredient candidate</x:v>
      </x:c>
      <x:c r="F881" s="4" t="str">
        <x:f>IFERROR(INDEX('Material routes'!$E$6:$E$2205,MATCH(V881,'Material routes'!$A$6:$A$2205,0)),"MISSING ID")</x:f>
        <x:v>Pressure-plate shell clacker</x:v>
      </x:c>
      <x:c r="G881" s="4" t="str">
        <x:f>IFERROR(INDEX('Material routes'!$F$6:$F$2205,MATCH(V881,'Material routes'!$A$6:$A$2205,0)),"MISSING ID")</x:f>
        <x:v>Not applicable</x:v>
      </x:c>
      <x:c r="H881" s="4" t="str">
        <x:f>IFERROR(INDEX('Material routes'!$H$6:$H$2205,MATCH(V881,'Material routes'!$A$6:$A$2205,0)),"MISSING ID")</x:f>
        <x:v>Trap</x:v>
      </x:c>
      <x:c r="I881" s="4" t="str">
        <x:f>IFERROR(INDEX('Material routes'!$G$6:$G$2205,MATCH(V881,'Material routes'!$A$6:$A$2205,0)),"MISSING ID")</x:f>
        <x:v>Weapons</x:v>
      </x:c>
      <x:c r="J881" s="4" t="str">
        <x:f>IFERROR(INDEX('Material routes'!$B$6:$B$2205,MATCH(U881,'Material routes'!$A$6:$A$2205,0)),"MISSING ID")</x:f>
        <x:v>design.collection.pressure_plate_shell_clacker</x:v>
      </x:c>
      <x:c r="K881" s="4" t="str">
        <x:f>IFERROR(INDEX('Crafting recipes'!$C$6:$C$1005,MATCH(J881,'Crafting recipes'!$A$6:$A$1005,0)),"MISSING ID")</x:f>
        <x:v>Finished-item crafting</x:v>
      </x:c>
      <x:c r="L881" s="4" t="str">
        <x:f>IFERROR(INDEX('Material routes'!$K$6:$K$2205,MATCH(U881,'Material routes'!$A$6:$A$2205,0)),"MISSING ID")</x:f>
        <x:v>Proposal</x:v>
      </x:c>
      <x:c r="M881" s="4" t="str">
        <x:f>IFERROR(INDEX('Material routes'!$M$6:$M$2205,MATCH(U881,'Material routes'!$A$6:$A$2205,0)),"MISSING ID")</x:f>
        <x:v>Partial proposal</x:v>
      </x:c>
      <x:c r="N881" s="4"/>
      <x:c r="O881" s="4" t="str">
        <x:f>IFERROR(INDEX('Material routes'!$J$6:$J$2205,MATCH(U881,'Material routes'!$A$6:$A$2205,0)),"MISSING ID")</x:f>
        <x:v>Unspecified</x:v>
      </x:c>
      <x:c r="P881" s="4"/>
      <x:c r="Q881" s="4" t="str">
        <x:f>IFERROR(INDEX('Material routes'!$J$6:$J$2205,MATCH(V881,'Material routes'!$A$6:$A$2205,0)),"MISSING ID")</x:f>
        <x:v>Unspecified</x:v>
      </x:c>
      <x:c r="R881" s="4" t="str">
        <x:f>IF(L881="Withheld","Withheld premise",IF(E881="Tool candidate","Reusable prerequisite",IF(K881="Raw entry preparation","Entry-resource preparation",IF(G881="Not applicable",IF(IFERROR(INDEX('Items'!$AI$6:$AI$1005,MATCH(T881,'Items'!$A$6:$A$1005,0)),"MISSING ID")="Finished item","Finished endpoint",IF(IFERROR(INDEX('Items'!$AI$6:$AI$1005,MATCH(T881,'Items'!$A$6:$A$1005,0)),"MISSING ID")="Currency","Currency / no refinement tier","Recovered output / tier not applicable")),IF(OR(IFERROR(INDEX('Crafting recipes'!$H$6:$H$1005,MATCH(J881,'Crafting recipes'!$A$6:$A$1005,0)),"MISSING ID")="Unassigned",G881="Unassigned"),"Tier unresolved",IF(IFERROR(VALUE(RIGHT(G881,1))-VALUE(RIGHT(IFERROR(INDEX('Crafting recipes'!$H$6:$H$1005,MATCH(J881,'Crafting recipes'!$A$6:$A$1005,0)),"MISSING ID"),1)),0)=1,IF(B881=IFERROR(INDEX('Crafting recipes'!$H$6:$H$1005,MATCH(J881,'Crafting recipes'!$A$6:$A$1005,0)),"MISSING ID"),"Advances one material tier","Lower-tier ingredient; route advances one tier"),"Needs tier review"))))))</x:f>
        <x:v>Finished endpoint</x:v>
      </x:c>
      <x:c r="S881" s="4" t="str">
        <x:f>IFERROR(INDEX('Material routes'!$D$6:$D$2205,MATCH(U881,'Material routes'!$A$6:$A$2205,0)),"MISSING ID")</x:f>
        <x:v>proposal.collection.annealed_iron_sheet_stock</x:v>
      </x:c>
      <x:c r="T881" s="4" t="str">
        <x:f>IFERROR(INDEX('Material routes'!$D$6:$D$2205,MATCH(V881,'Material routes'!$A$6:$A$2205,0)),"MISSING ID")</x:f>
        <x:v>proposal.collection.pressure_plate_shell_clacker</x:v>
      </x:c>
      <x:c r="U881" s="4" t="str">
        <x:v>design.collection.pressure_plate_shell_clacker.in.1</x:v>
      </x:c>
      <x:c r="V881" s="4" t="str">
        <x:v>design.collection.pressure_plate_shell_clacker.out</x:v>
      </x:c>
    </x:row>
    <x:row r="882" ht="64" customHeight="1">
      <x:c r="A882" s="4" t="str">
        <x:f>IFERROR(INDEX('Material routes'!$E$6:$E$2205,MATCH(U882,'Material routes'!$A$6:$A$2205,0)),"MISSING ID")</x:f>
        <x:v>Shell-clapper pair</x:v>
      </x:c>
      <x:c r="B882" s="4" t="str">
        <x:f>IFERROR(INDEX('Material routes'!$F$6:$F$2205,MATCH(U882,'Material routes'!$A$6:$A$2205,0)),"MISSING ID")</x:f>
        <x:v>Not applicable</x:v>
      </x:c>
      <x:c r="C882" s="4" t="str">
        <x:f>IFERROR(INDEX('Material routes'!$H$6:$H$2205,MATCH(U882,'Material routes'!$A$6:$A$2205,0)),"MISSING ID")</x:f>
        <x:v>Musical instrument</x:v>
      </x:c>
      <x:c r="D882" s="4" t="str">
        <x:f>IFERROR(INDEX('Material routes'!$G$6:$G$2205,MATCH(U882,'Material routes'!$A$6:$A$2205,0)),"MISSING ID")</x:f>
        <x:v>Salvage</x:v>
      </x:c>
      <x:c r="E882" s="4" t="str">
        <x:f>IFERROR(INDEX('Material routes'!$C$6:$C$2205,MATCH(U882,'Material routes'!$A$6:$A$2205,0)),"MISSING ID")</x:f>
        <x:v>Ingredient candidate</x:v>
      </x:c>
      <x:c r="F882" s="4" t="str">
        <x:f>IFERROR(INDEX('Material routes'!$E$6:$E$2205,MATCH(V882,'Material routes'!$A$6:$A$2205,0)),"MISSING ID")</x:f>
        <x:v>Pressure-plate shell clacker</x:v>
      </x:c>
      <x:c r="G882" s="4" t="str">
        <x:f>IFERROR(INDEX('Material routes'!$F$6:$F$2205,MATCH(V882,'Material routes'!$A$6:$A$2205,0)),"MISSING ID")</x:f>
        <x:v>Not applicable</x:v>
      </x:c>
      <x:c r="H882" s="4" t="str">
        <x:f>IFERROR(INDEX('Material routes'!$H$6:$H$2205,MATCH(V882,'Material routes'!$A$6:$A$2205,0)),"MISSING ID")</x:f>
        <x:v>Trap</x:v>
      </x:c>
      <x:c r="I882" s="4" t="str">
        <x:f>IFERROR(INDEX('Material routes'!$G$6:$G$2205,MATCH(V882,'Material routes'!$A$6:$A$2205,0)),"MISSING ID")</x:f>
        <x:v>Weapons</x:v>
      </x:c>
      <x:c r="J882" s="4" t="str">
        <x:f>IFERROR(INDEX('Material routes'!$B$6:$B$2205,MATCH(U882,'Material routes'!$A$6:$A$2205,0)),"MISSING ID")</x:f>
        <x:v>design.collection.pressure_plate_shell_clacker</x:v>
      </x:c>
      <x:c r="K882" s="4" t="str">
        <x:f>IFERROR(INDEX('Crafting recipes'!$C$6:$C$1005,MATCH(J882,'Crafting recipes'!$A$6:$A$1005,0)),"MISSING ID")</x:f>
        <x:v>Finished-item crafting</x:v>
      </x:c>
      <x:c r="L882" s="4" t="str">
        <x:f>IFERROR(INDEX('Material routes'!$K$6:$K$2205,MATCH(U882,'Material routes'!$A$6:$A$2205,0)),"MISSING ID")</x:f>
        <x:v>Proposal</x:v>
      </x:c>
      <x:c r="M882" s="4" t="str">
        <x:f>IFERROR(INDEX('Material routes'!$M$6:$M$2205,MATCH(U882,'Material routes'!$A$6:$A$2205,0)),"MISSING ID")</x:f>
        <x:v>Partial proposal</x:v>
      </x:c>
      <x:c r="N882" s="4"/>
      <x:c r="O882" s="4" t="str">
        <x:f>IFERROR(INDEX('Material routes'!$J$6:$J$2205,MATCH(U882,'Material routes'!$A$6:$A$2205,0)),"MISSING ID")</x:f>
        <x:v>Unspecified</x:v>
      </x:c>
      <x:c r="P882" s="4"/>
      <x:c r="Q882" s="4" t="str">
        <x:f>IFERROR(INDEX('Material routes'!$J$6:$J$2205,MATCH(V882,'Material routes'!$A$6:$A$2205,0)),"MISSING ID")</x:f>
        <x:v>Unspecified</x:v>
      </x:c>
      <x:c r="R882" s="4" t="str">
        <x:f>IF(L882="Withheld","Withheld premise",IF(E882="Tool candidate","Reusable prerequisite",IF(K882="Raw entry preparation","Entry-resource preparation",IF(G882="Not applicable",IF(IFERROR(INDEX('Items'!$AI$6:$AI$1005,MATCH(T882,'Items'!$A$6:$A$1005,0)),"MISSING ID")="Finished item","Finished endpoint",IF(IFERROR(INDEX('Items'!$AI$6:$AI$1005,MATCH(T882,'Items'!$A$6:$A$1005,0)),"MISSING ID")="Currency","Currency / no refinement tier","Recovered output / tier not applicable")),IF(OR(IFERROR(INDEX('Crafting recipes'!$H$6:$H$1005,MATCH(J882,'Crafting recipes'!$A$6:$A$1005,0)),"MISSING ID")="Unassigned",G882="Unassigned"),"Tier unresolved",IF(IFERROR(VALUE(RIGHT(G882,1))-VALUE(RIGHT(IFERROR(INDEX('Crafting recipes'!$H$6:$H$1005,MATCH(J882,'Crafting recipes'!$A$6:$A$1005,0)),"MISSING ID"),1)),0)=1,IF(B882=IFERROR(INDEX('Crafting recipes'!$H$6:$H$1005,MATCH(J882,'Crafting recipes'!$A$6:$A$1005,0)),"MISSING ID"),"Advances one material tier","Lower-tier ingredient; route advances one tier"),"Needs tier review"))))))</x:f>
        <x:v>Finished endpoint</x:v>
      </x:c>
      <x:c r="S882" s="4" t="str">
        <x:f>IFERROR(INDEX('Material routes'!$D$6:$D$2205,MATCH(U882,'Material routes'!$A$6:$A$2205,0)),"MISSING ID")</x:f>
        <x:v>proposal.collection.shell_clapper_pair</x:v>
      </x:c>
      <x:c r="T882" s="4" t="str">
        <x:f>IFERROR(INDEX('Material routes'!$D$6:$D$2205,MATCH(V882,'Material routes'!$A$6:$A$2205,0)),"MISSING ID")</x:f>
        <x:v>proposal.collection.pressure_plate_shell_clacker</x:v>
      </x:c>
      <x:c r="U882" s="4" t="str">
        <x:v>design.collection.pressure_plate_shell_clacker.in.2</x:v>
      </x:c>
      <x:c r="V882" s="4" t="str">
        <x:v>design.collection.pressure_plate_shell_clacker.out</x:v>
      </x:c>
    </x:row>
    <x:row r="883" ht="64" customHeight="1">
      <x:c r="A883" s="4"/>
      <x:c r="B883" s="4"/>
      <x:c r="C883" s="4"/>
      <x:c r="D883" s="4"/>
      <x:c r="E883" s="4"/>
      <x:c r="F883" s="4"/>
      <x:c r="G883" s="4"/>
      <x:c r="H883" s="4"/>
      <x:c r="I883" s="4"/>
      <x:c r="J883" s="4"/>
      <x:c r="K883" s="4"/>
      <x:c r="L883" s="4"/>
      <x:c r="M883" s="4"/>
      <x:c r="N883" s="4"/>
      <x:c r="O883" s="4"/>
      <x:c r="P883" s="4"/>
      <x:c r="Q883" s="4"/>
      <x:c r="R883" s="4"/>
      <x:c r="S883" s="4"/>
      <x:c r="T883" s="4"/>
      <x:c r="U883" s="4"/>
      <x:c r="V883" s="4"/>
    </x:row>
    <x:row r="884" ht="64" customHeight="1">
      <x:c r="A884" s="4"/>
      <x:c r="B884" s="4"/>
      <x:c r="C884" s="4"/>
      <x:c r="D884" s="4"/>
      <x:c r="E884" s="4"/>
      <x:c r="F884" s="4"/>
      <x:c r="G884" s="4"/>
      <x:c r="H884" s="4"/>
      <x:c r="I884" s="4"/>
      <x:c r="J884" s="4"/>
      <x:c r="K884" s="4"/>
      <x:c r="L884" s="4"/>
      <x:c r="M884" s="4"/>
      <x:c r="N884" s="4"/>
      <x:c r="O884" s="4"/>
      <x:c r="P884" s="4"/>
      <x:c r="Q884" s="4"/>
      <x:c r="R884" s="4"/>
      <x:c r="S884" s="4"/>
      <x:c r="T884" s="4"/>
      <x:c r="U884" s="4"/>
      <x:c r="V884" s="4"/>
    </x:row>
    <x:row r="885" ht="64" customHeight="1">
      <x:c r="A885" s="4" t="str">
        <x:f>IFERROR(INDEX('Material routes'!$E$6:$E$2205,MATCH(U885,'Material routes'!$A$6:$A$2205,0)),"MISSING ID")</x:f>
        <x:v>Chemical scent marker</x:v>
      </x:c>
      <x:c r="B885" s="4" t="str">
        <x:f>IFERROR(INDEX('Material routes'!$F$6:$F$2205,MATCH(U885,'Material routes'!$A$6:$A$2205,0)),"MISSING ID")</x:f>
        <x:v>T0</x:v>
      </x:c>
      <x:c r="C885" s="4" t="str">
        <x:f>IFERROR(INDEX('Material routes'!$H$6:$H$2205,MATCH(U885,'Material routes'!$A$6:$A$2205,0)),"MISSING ID")</x:f>
        <x:v>Chemical material</x:v>
      </x:c>
      <x:c r="D885" s="4" t="str">
        <x:f>IFERROR(INDEX('Material routes'!$G$6:$G$2205,MATCH(U885,'Material routes'!$A$6:$A$2205,0)),"MISSING ID")</x:f>
        <x:v>Biological resources</x:v>
      </x:c>
      <x:c r="E885" s="4" t="str">
        <x:f>IFERROR(INDEX('Material routes'!$C$6:$C$2205,MATCH(U885,'Material routes'!$A$6:$A$2205,0)),"MISSING ID")</x:f>
        <x:v>Ingredient candidate</x:v>
      </x:c>
      <x:c r="F885" s="4" t="str">
        <x:f>IFERROR(INDEX('Material routes'!$E$6:$E$2205,MATCH(V885,'Material routes'!$A$6:$A$2205,0)),"MISSING ID")</x:f>
        <x:v>Fauna scent lure station</x:v>
      </x:c>
      <x:c r="G885" s="4" t="str">
        <x:f>IFERROR(INDEX('Material routes'!$F$6:$F$2205,MATCH(V885,'Material routes'!$A$6:$A$2205,0)),"MISSING ID")</x:f>
        <x:v>Not applicable</x:v>
      </x:c>
      <x:c r="H885" s="4" t="str">
        <x:f>IFERROR(INDEX('Material routes'!$H$6:$H$2205,MATCH(V885,'Material routes'!$A$6:$A$2205,0)),"MISSING ID")</x:f>
        <x:v>Trap</x:v>
      </x:c>
      <x:c r="I885" s="4" t="str">
        <x:f>IFERROR(INDEX('Material routes'!$G$6:$G$2205,MATCH(V885,'Material routes'!$A$6:$A$2205,0)),"MISSING ID")</x:f>
        <x:v>Weapons</x:v>
      </x:c>
      <x:c r="J885" s="4" t="str">
        <x:f>IFERROR(INDEX('Material routes'!$B$6:$B$2205,MATCH(U885,'Material routes'!$A$6:$A$2205,0)),"MISSING ID")</x:f>
        <x:v>design.collection.fauna_scent_lure_station</x:v>
      </x:c>
      <x:c r="K885" s="4" t="str">
        <x:f>IFERROR(INDEX('Crafting recipes'!$C$6:$C$1005,MATCH(J885,'Crafting recipes'!$A$6:$A$1005,0)),"MISSING ID")</x:f>
        <x:v>Finished-item crafting</x:v>
      </x:c>
      <x:c r="L885" s="4" t="str">
        <x:f>IFERROR(INDEX('Material routes'!$K$6:$K$2205,MATCH(U885,'Material routes'!$A$6:$A$2205,0)),"MISSING ID")</x:f>
        <x:v>Proposal</x:v>
      </x:c>
      <x:c r="M885" s="4" t="str">
        <x:f>IFERROR(INDEX('Material routes'!$M$6:$M$2205,MATCH(U885,'Material routes'!$A$6:$A$2205,0)),"MISSING ID")</x:f>
        <x:v>Partial proposal</x:v>
      </x:c>
      <x:c r="N885" s="4"/>
      <x:c r="O885" s="4" t="str">
        <x:f>IFERROR(INDEX('Material routes'!$J$6:$J$2205,MATCH(U885,'Material routes'!$A$6:$A$2205,0)),"MISSING ID")</x:f>
        <x:v>Unspecified</x:v>
      </x:c>
      <x:c r="P885" s="4"/>
      <x:c r="Q885" s="4" t="str">
        <x:f>IFERROR(INDEX('Material routes'!$J$6:$J$2205,MATCH(V885,'Material routes'!$A$6:$A$2205,0)),"MISSING ID")</x:f>
        <x:v>Unspecified</x:v>
      </x:c>
      <x:c r="R885" s="4" t="str">
        <x:f>IF(L885="Withheld","Withheld premise",IF(E885="Tool candidate","Reusable prerequisite",IF(K885="Raw entry preparation","Entry-resource preparation",IF(G885="Not applicable",IF(IFERROR(INDEX('Items'!$AI$6:$AI$1005,MATCH(T885,'Items'!$A$6:$A$1005,0)),"MISSING ID")="Finished item","Finished endpoint",IF(IFERROR(INDEX('Items'!$AI$6:$AI$1005,MATCH(T885,'Items'!$A$6:$A$1005,0)),"MISSING ID")="Currency","Currency / no refinement tier","Recovered output / tier not applicable")),IF(OR(IFERROR(INDEX('Crafting recipes'!$H$6:$H$1005,MATCH(J885,'Crafting recipes'!$A$6:$A$1005,0)),"MISSING ID")="Unassigned",G885="Unassigned"),"Tier unresolved",IF(IFERROR(VALUE(RIGHT(G885,1))-VALUE(RIGHT(IFERROR(INDEX('Crafting recipes'!$H$6:$H$1005,MATCH(J885,'Crafting recipes'!$A$6:$A$1005,0)),"MISSING ID"),1)),0)=1,IF(B885=IFERROR(INDEX('Crafting recipes'!$H$6:$H$1005,MATCH(J885,'Crafting recipes'!$A$6:$A$1005,0)),"MISSING ID"),"Advances one material tier","Lower-tier ingredient; route advances one tier"),"Needs tier review"))))))</x:f>
        <x:v>Finished endpoint</x:v>
      </x:c>
      <x:c r="S885" s="4" t="str">
        <x:f>IFERROR(INDEX('Material routes'!$D$6:$D$2205,MATCH(U885,'Material routes'!$A$6:$A$2205,0)),"MISSING ID")</x:f>
        <x:v>proposal.chemical.scent_marker</x:v>
      </x:c>
      <x:c r="T885" s="4" t="str">
        <x:f>IFERROR(INDEX('Material routes'!$D$6:$D$2205,MATCH(V885,'Material routes'!$A$6:$A$2205,0)),"MISSING ID")</x:f>
        <x:v>proposal.collection.fauna_scent_lure_station</x:v>
      </x:c>
      <x:c r="U885" s="4" t="str">
        <x:v>design.collection.fauna_scent_lure_station.in.1</x:v>
      </x:c>
      <x:c r="V885" s="4" t="str">
        <x:v>design.collection.fauna_scent_lure_station.out</x:v>
      </x:c>
    </x:row>
    <x:row r="886" ht="64" customHeight="1">
      <x:c r="A886" s="4" t="str">
        <x:f>IFERROR(INDEX('Material routes'!$E$6:$E$2205,MATCH(U886,'Material routes'!$A$6:$A$2205,0)),"MISSING ID")</x:f>
        <x:v>Glazed ceramic reagent jar</x:v>
      </x:c>
      <x:c r="B886" s="4" t="str">
        <x:f>IFERROR(INDEX('Material routes'!$F$6:$F$2205,MATCH(U886,'Material routes'!$A$6:$A$2205,0)),"MISSING ID")</x:f>
        <x:v>Not applicable</x:v>
      </x:c>
      <x:c r="C886" s="4" t="inlineStr">
        <x:is>
          <x:t xml:space="preserve">Salvage</x:t>
        </x:is>
      </x:c>
      <x:c r="D886" s="4" t="str">
        <x:f>IFERROR(INDEX('Material routes'!$G$6:$G$2205,MATCH(U886,'Material routes'!$A$6:$A$2205,0)),"MISSING ID")</x:f>
        <x:v>Salvage</x:v>
      </x:c>
      <x:c r="E886" s="4" t="str">
        <x:f>IFERROR(INDEX('Material routes'!$C$6:$C$2205,MATCH(U886,'Material routes'!$A$6:$A$2205,0)),"MISSING ID")</x:f>
        <x:v>Ingredient candidate</x:v>
      </x:c>
      <x:c r="F886" s="4" t="str">
        <x:f>IFERROR(INDEX('Material routes'!$E$6:$E$2205,MATCH(V886,'Material routes'!$A$6:$A$2205,0)),"MISSING ID")</x:f>
        <x:v>Fauna scent lure station</x:v>
      </x:c>
      <x:c r="G886" s="4" t="str">
        <x:f>IFERROR(INDEX('Material routes'!$F$6:$F$2205,MATCH(V886,'Material routes'!$A$6:$A$2205,0)),"MISSING ID")</x:f>
        <x:v>Not applicable</x:v>
      </x:c>
      <x:c r="H886" s="4" t="str">
        <x:f>IFERROR(INDEX('Material routes'!$H$6:$H$2205,MATCH(V886,'Material routes'!$A$6:$A$2205,0)),"MISSING ID")</x:f>
        <x:v>Trap</x:v>
      </x:c>
      <x:c r="I886" s="4" t="str">
        <x:f>IFERROR(INDEX('Material routes'!$G$6:$G$2205,MATCH(V886,'Material routes'!$A$6:$A$2205,0)),"MISSING ID")</x:f>
        <x:v>Weapons</x:v>
      </x:c>
      <x:c r="J886" s="4" t="str">
        <x:f>IFERROR(INDEX('Material routes'!$B$6:$B$2205,MATCH(U886,'Material routes'!$A$6:$A$2205,0)),"MISSING ID")</x:f>
        <x:v>design.collection.fauna_scent_lure_station</x:v>
      </x:c>
      <x:c r="K886" s="4" t="str">
        <x:f>IFERROR(INDEX('Crafting recipes'!$C$6:$C$1005,MATCH(J886,'Crafting recipes'!$A$6:$A$1005,0)),"MISSING ID")</x:f>
        <x:v>Finished-item crafting</x:v>
      </x:c>
      <x:c r="L886" s="4" t="str">
        <x:f>IFERROR(INDEX('Material routes'!$K$6:$K$2205,MATCH(U886,'Material routes'!$A$6:$A$2205,0)),"MISSING ID")</x:f>
        <x:v>Proposal</x:v>
      </x:c>
      <x:c r="M886" s="4" t="str">
        <x:f>IFERROR(INDEX('Material routes'!$M$6:$M$2205,MATCH(U886,'Material routes'!$A$6:$A$2205,0)),"MISSING ID")</x:f>
        <x:v>Partial proposal</x:v>
      </x:c>
      <x:c r="N886" s="4"/>
      <x:c r="O886" s="4" t="str">
        <x:f>IFERROR(INDEX('Material routes'!$J$6:$J$2205,MATCH(U886,'Material routes'!$A$6:$A$2205,0)),"MISSING ID")</x:f>
        <x:v>Unspecified</x:v>
      </x:c>
      <x:c r="P886" s="4"/>
      <x:c r="Q886" s="4" t="str">
        <x:f>IFERROR(INDEX('Material routes'!$J$6:$J$2205,MATCH(V886,'Material routes'!$A$6:$A$2205,0)),"MISSING ID")</x:f>
        <x:v>Unspecified</x:v>
      </x:c>
      <x:c r="R886" s="4" t="str">
        <x:f>IF(L886="Withheld","Withheld premise",IF(E886="Tool candidate","Reusable prerequisite",IF(K886="Raw entry preparation","Entry-resource preparation",IF(G886="Not applicable",IF(IFERROR(INDEX('Items'!$AI$6:$AI$1005,MATCH(T886,'Items'!$A$6:$A$1005,0)),"MISSING ID")="Finished item","Finished endpoint",IF(IFERROR(INDEX('Items'!$AI$6:$AI$1005,MATCH(T886,'Items'!$A$6:$A$1005,0)),"MISSING ID")="Currency","Currency / no refinement tier","Recovered output / tier not applicable")),IF(OR(IFERROR(INDEX('Crafting recipes'!$H$6:$H$1005,MATCH(J886,'Crafting recipes'!$A$6:$A$1005,0)),"MISSING ID")="Unassigned",G886="Unassigned"),"Tier unresolved",IF(IFERROR(VALUE(RIGHT(G886,1))-VALUE(RIGHT(IFERROR(INDEX('Crafting recipes'!$H$6:$H$1005,MATCH(J886,'Crafting recipes'!$A$6:$A$1005,0)),"MISSING ID"),1)),0)=1,IF(B886=IFERROR(INDEX('Crafting recipes'!$H$6:$H$1005,MATCH(J886,'Crafting recipes'!$A$6:$A$1005,0)),"MISSING ID"),"Advances one material tier","Lower-tier ingredient; route advances one tier"),"Needs tier review"))))))</x:f>
        <x:v>Finished endpoint</x:v>
      </x:c>
      <x:c r="S886" s="4" t="str">
        <x:f>IFERROR(INDEX('Material routes'!$D$6:$D$2205,MATCH(U886,'Material routes'!$A$6:$A$2205,0)),"MISSING ID")</x:f>
        <x:v>proposal.container.ceramic_jar</x:v>
      </x:c>
      <x:c r="T886" s="4" t="str">
        <x:f>IFERROR(INDEX('Material routes'!$D$6:$D$2205,MATCH(V886,'Material routes'!$A$6:$A$2205,0)),"MISSING ID")</x:f>
        <x:v>proposal.collection.fauna_scent_lure_station</x:v>
      </x:c>
      <x:c r="U886" s="4" t="str">
        <x:v>design.collection.fauna_scent_lure_station.in.2</x:v>
      </x:c>
      <x:c r="V886" s="4" t="str">
        <x:v>design.collection.fauna_scent_lure_station.out</x:v>
      </x:c>
    </x:row>
    <x:row r="887" ht="64" customHeight="1">
      <x:c r="A887" s="4" t="str">
        <x:f>IFERROR(INDEX('Material routes'!$E$6:$E$2205,MATCH(U887,'Material routes'!$A$6:$A$2205,0)),"MISSING ID")</x:f>
        <x:v>Field magnets</x:v>
      </x:c>
      <x:c r="B887" s="4" t="str">
        <x:f>IFERROR(INDEX('Material routes'!$F$6:$F$2205,MATCH(U887,'Material routes'!$A$6:$A$2205,0)),"MISSING ID")</x:f>
        <x:v>Not applicable</x:v>
      </x:c>
      <x:c r="C887" s="4" t="str">
        <x:f>IFERROR(INDEX('Material routes'!$H$6:$H$2205,MATCH(U887,'Material routes'!$A$6:$A$2205,0)),"MISSING ID")</x:f>
        <x:v>Tool</x:v>
      </x:c>
      <x:c r="D887" s="4" t="str">
        <x:f>IFERROR(INDEX('Material routes'!$G$6:$G$2205,MATCH(U887,'Material routes'!$A$6:$A$2205,0)),"MISSING ID")</x:f>
        <x:v>Tools</x:v>
      </x:c>
      <x:c r="E887" s="4" t="str">
        <x:f>IFERROR(INDEX('Material routes'!$C$6:$C$2205,MATCH(U887,'Material routes'!$A$6:$A$2205,0)),"MISSING ID")</x:f>
        <x:v>Ingredient candidate</x:v>
      </x:c>
      <x:c r="F887" s="4" t="str">
        <x:f>IFERROR(INDEX('Material routes'!$E$6:$E$2205,MATCH(V887,'Material routes'!$A$6:$A$2205,0)),"MISSING ID")</x:f>
        <x:v>Magnetic salvage catch plate</x:v>
      </x:c>
      <x:c r="G887" s="4" t="str">
        <x:f>IFERROR(INDEX('Material routes'!$F$6:$F$2205,MATCH(V887,'Material routes'!$A$6:$A$2205,0)),"MISSING ID")</x:f>
        <x:v>Not applicable</x:v>
      </x:c>
      <x:c r="H887" s="4" t="str">
        <x:f>IFERROR(INDEX('Material routes'!$H$6:$H$2205,MATCH(V887,'Material routes'!$A$6:$A$2205,0)),"MISSING ID")</x:f>
        <x:v>Trap</x:v>
      </x:c>
      <x:c r="I887" s="4" t="str">
        <x:f>IFERROR(INDEX('Material routes'!$G$6:$G$2205,MATCH(V887,'Material routes'!$A$6:$A$2205,0)),"MISSING ID")</x:f>
        <x:v>Crafting components</x:v>
      </x:c>
      <x:c r="J887" s="4" t="str">
        <x:f>IFERROR(INDEX('Material routes'!$B$6:$B$2205,MATCH(U887,'Material routes'!$A$6:$A$2205,0)),"MISSING ID")</x:f>
        <x:v>design.collection.magnetic_salvage_catch_plate</x:v>
      </x:c>
      <x:c r="K887" s="4" t="str">
        <x:f>IFERROR(INDEX('Crafting recipes'!$C$6:$C$1005,MATCH(J887,'Crafting recipes'!$A$6:$A$1005,0)),"MISSING ID")</x:f>
        <x:v>Finished-item crafting</x:v>
      </x:c>
      <x:c r="L887" s="4" t="str">
        <x:f>IFERROR(INDEX('Material routes'!$K$6:$K$2205,MATCH(U887,'Material routes'!$A$6:$A$2205,0)),"MISSING ID")</x:f>
        <x:v>Proposal</x:v>
      </x:c>
      <x:c r="M887" s="4" t="str">
        <x:f>IFERROR(INDEX('Material routes'!$M$6:$M$2205,MATCH(U887,'Material routes'!$A$6:$A$2205,0)),"MISSING ID")</x:f>
        <x:v>Partial proposal</x:v>
      </x:c>
      <x:c r="N887" s="4"/>
      <x:c r="O887" s="4" t="str">
        <x:f>IFERROR(INDEX('Material routes'!$J$6:$J$2205,MATCH(U887,'Material routes'!$A$6:$A$2205,0)),"MISSING ID")</x:f>
        <x:v>Unspecified</x:v>
      </x:c>
      <x:c r="P887" s="4"/>
      <x:c r="Q887" s="4" t="str">
        <x:f>IFERROR(INDEX('Material routes'!$J$6:$J$2205,MATCH(V887,'Material routes'!$A$6:$A$2205,0)),"MISSING ID")</x:f>
        <x:v>Unspecified</x:v>
      </x:c>
      <x:c r="R887" s="4" t="str">
        <x:f>IF(L887="Withheld","Withheld premise",IF(E887="Tool candidate","Reusable prerequisite",IF(K887="Raw entry preparation","Entry-resource preparation",IF(G887="Not applicable",IF(IFERROR(INDEX('Items'!$AI$6:$AI$1005,MATCH(T887,'Items'!$A$6:$A$1005,0)),"MISSING ID")="Finished item","Finished endpoint",IF(IFERROR(INDEX('Items'!$AI$6:$AI$1005,MATCH(T887,'Items'!$A$6:$A$1005,0)),"MISSING ID")="Currency","Currency / no refinement tier","Recovered output / tier not applicable")),IF(OR(IFERROR(INDEX('Crafting recipes'!$H$6:$H$1005,MATCH(J887,'Crafting recipes'!$A$6:$A$1005,0)),"MISSING ID")="Unassigned",G887="Unassigned"),"Tier unresolved",IF(IFERROR(VALUE(RIGHT(G887,1))-VALUE(RIGHT(IFERROR(INDEX('Crafting recipes'!$H$6:$H$1005,MATCH(J887,'Crafting recipes'!$A$6:$A$1005,0)),"MISSING ID"),1)),0)=1,IF(B887=IFERROR(INDEX('Crafting recipes'!$H$6:$H$1005,MATCH(J887,'Crafting recipes'!$A$6:$A$1005,0)),"MISSING ID"),"Advances one material tier","Lower-tier ingredient; route advances one tier"),"Needs tier review"))))))</x:f>
        <x:v>Finished endpoint</x:v>
      </x:c>
      <x:c r="S887" s="4" t="str">
        <x:f>IFERROR(INDEX('Material routes'!$D$6:$D$2205,MATCH(U887,'Material routes'!$A$6:$A$2205,0)),"MISSING ID")</x:f>
        <x:v>proposal.gear.magnets</x:v>
      </x:c>
      <x:c r="T887" s="4" t="str">
        <x:f>IFERROR(INDEX('Material routes'!$D$6:$D$2205,MATCH(V887,'Material routes'!$A$6:$A$2205,0)),"MISSING ID")</x:f>
        <x:v>proposal.collection.magnetic_salvage_catch_plate</x:v>
      </x:c>
      <x:c r="U887" s="4" t="str">
        <x:v>design.collection.magnetic_salvage_catch_plate.in.1</x:v>
      </x:c>
      <x:c r="V887" s="4" t="str">
        <x:v>design.collection.magnetic_salvage_catch_plate.out</x:v>
      </x:c>
    </x:row>
    <x:row r="888" ht="64" customHeight="1">
      <x:c r="A888" s="4" t="str">
        <x:f>IFERROR(INDEX('Material routes'!$E$6:$E$2205,MATCH(U888,'Material routes'!$A$6:$A$2205,0)),"MISSING ID")</x:f>
        <x:v>Annealed iron sheet stock</x:v>
      </x:c>
      <x:c r="B888" s="4" t="str">
        <x:f>IFERROR(INDEX('Material routes'!$F$6:$F$2205,MATCH(U888,'Material routes'!$A$6:$A$2205,0)),"MISSING ID")</x:f>
        <x:v>T3</x:v>
      </x:c>
      <x:c r="C888" s="4" t="str">
        <x:f>IFERROR(INDEX('Material routes'!$H$6:$H$2205,MATCH(U888,'Material routes'!$A$6:$A$2205,0)),"MISSING ID")</x:f>
        <x:v>Processed material</x:v>
      </x:c>
      <x:c r="D888" s="4" t="str">
        <x:f>IFERROR(INDEX('Material routes'!$G$6:$G$2205,MATCH(U888,'Material routes'!$A$6:$A$2205,0)),"MISSING ID")</x:f>
        <x:v>Manufactured stock</x:v>
      </x:c>
      <x:c r="E888" s="4" t="str">
        <x:f>IFERROR(INDEX('Material routes'!$C$6:$C$2205,MATCH(U888,'Material routes'!$A$6:$A$2205,0)),"MISSING ID")</x:f>
        <x:v>Ingredient candidate</x:v>
      </x:c>
      <x:c r="F888" s="4" t="str">
        <x:f>IFERROR(INDEX('Material routes'!$E$6:$E$2205,MATCH(V888,'Material routes'!$A$6:$A$2205,0)),"MISSING ID")</x:f>
        <x:v>Magnetic salvage catch plate</x:v>
      </x:c>
      <x:c r="G888" s="4" t="str">
        <x:f>IFERROR(INDEX('Material routes'!$F$6:$F$2205,MATCH(V888,'Material routes'!$A$6:$A$2205,0)),"MISSING ID")</x:f>
        <x:v>Not applicable</x:v>
      </x:c>
      <x:c r="H888" s="4" t="str">
        <x:f>IFERROR(INDEX('Material routes'!$H$6:$H$2205,MATCH(V888,'Material routes'!$A$6:$A$2205,0)),"MISSING ID")</x:f>
        <x:v>Trap</x:v>
      </x:c>
      <x:c r="I888" s="4" t="str">
        <x:f>IFERROR(INDEX('Material routes'!$G$6:$G$2205,MATCH(V888,'Material routes'!$A$6:$A$2205,0)),"MISSING ID")</x:f>
        <x:v>Crafting components</x:v>
      </x:c>
      <x:c r="J888" s="4" t="str">
        <x:f>IFERROR(INDEX('Material routes'!$B$6:$B$2205,MATCH(U888,'Material routes'!$A$6:$A$2205,0)),"MISSING ID")</x:f>
        <x:v>design.collection.magnetic_salvage_catch_plate</x:v>
      </x:c>
      <x:c r="K888" s="4" t="str">
        <x:f>IFERROR(INDEX('Crafting recipes'!$C$6:$C$1005,MATCH(J888,'Crafting recipes'!$A$6:$A$1005,0)),"MISSING ID")</x:f>
        <x:v>Finished-item crafting</x:v>
      </x:c>
      <x:c r="L888" s="4" t="str">
        <x:f>IFERROR(INDEX('Material routes'!$K$6:$K$2205,MATCH(U888,'Material routes'!$A$6:$A$2205,0)),"MISSING ID")</x:f>
        <x:v>Proposal</x:v>
      </x:c>
      <x:c r="M888" s="4" t="str">
        <x:f>IFERROR(INDEX('Material routes'!$M$6:$M$2205,MATCH(U888,'Material routes'!$A$6:$A$2205,0)),"MISSING ID")</x:f>
        <x:v>Partial proposal</x:v>
      </x:c>
      <x:c r="N888" s="4"/>
      <x:c r="O888" s="4" t="str">
        <x:f>IFERROR(INDEX('Material routes'!$J$6:$J$2205,MATCH(U888,'Material routes'!$A$6:$A$2205,0)),"MISSING ID")</x:f>
        <x:v>Unspecified</x:v>
      </x:c>
      <x:c r="P888" s="4"/>
      <x:c r="Q888" s="4" t="str">
        <x:f>IFERROR(INDEX('Material routes'!$J$6:$J$2205,MATCH(V888,'Material routes'!$A$6:$A$2205,0)),"MISSING ID")</x:f>
        <x:v>Unspecified</x:v>
      </x:c>
      <x:c r="R888" s="4" t="str">
        <x:f>IF(L888="Withheld","Withheld premise",IF(E888="Tool candidate","Reusable prerequisite",IF(K888="Raw entry preparation","Entry-resource preparation",IF(G888="Not applicable",IF(IFERROR(INDEX('Items'!$AI$6:$AI$1005,MATCH(T888,'Items'!$A$6:$A$1005,0)),"MISSING ID")="Finished item","Finished endpoint",IF(IFERROR(INDEX('Items'!$AI$6:$AI$1005,MATCH(T888,'Items'!$A$6:$A$1005,0)),"MISSING ID")="Currency","Currency / no refinement tier","Recovered output / tier not applicable")),IF(OR(IFERROR(INDEX('Crafting recipes'!$H$6:$H$1005,MATCH(J888,'Crafting recipes'!$A$6:$A$1005,0)),"MISSING ID")="Unassigned",G888="Unassigned"),"Tier unresolved",IF(IFERROR(VALUE(RIGHT(G888,1))-VALUE(RIGHT(IFERROR(INDEX('Crafting recipes'!$H$6:$H$1005,MATCH(J888,'Crafting recipes'!$A$6:$A$1005,0)),"MISSING ID"),1)),0)=1,IF(B888=IFERROR(INDEX('Crafting recipes'!$H$6:$H$1005,MATCH(J888,'Crafting recipes'!$A$6:$A$1005,0)),"MISSING ID"),"Advances one material tier","Lower-tier ingredient; route advances one tier"),"Needs tier review"))))))</x:f>
        <x:v>Finished endpoint</x:v>
      </x:c>
      <x:c r="S888" s="4" t="str">
        <x:f>IFERROR(INDEX('Material routes'!$D$6:$D$2205,MATCH(U888,'Material routes'!$A$6:$A$2205,0)),"MISSING ID")</x:f>
        <x:v>proposal.collection.annealed_iron_sheet_stock</x:v>
      </x:c>
      <x:c r="T888" s="4" t="str">
        <x:f>IFERROR(INDEX('Material routes'!$D$6:$D$2205,MATCH(V888,'Material routes'!$A$6:$A$2205,0)),"MISSING ID")</x:f>
        <x:v>proposal.collection.magnetic_salvage_catch_plate</x:v>
      </x:c>
      <x:c r="U888" s="4" t="str">
        <x:v>design.collection.magnetic_salvage_catch_plate.in.2</x:v>
      </x:c>
      <x:c r="V888" s="4" t="str">
        <x:v>design.collection.magnetic_salvage_catch_plate.out</x:v>
      </x:c>
    </x:row>
    <x:row r="889" ht="64" customHeight="1">
      <x:c r="A889" s="4" t="str">
        <x:f>IFERROR(INDEX('Material routes'!$E$6:$E$2205,MATCH(U889,'Material routes'!$A$6:$A$2205,0)),"MISSING ID")</x:f>
        <x:v>Steel stock</x:v>
      </x:c>
      <x:c r="B889" s="4" t="str">
        <x:f>IFERROR(INDEX('Material routes'!$F$6:$F$2205,MATCH(U889,'Material routes'!$A$6:$A$2205,0)),"MISSING ID")</x:f>
        <x:v>T2</x:v>
      </x:c>
      <x:c r="C889" s="4" t="str">
        <x:f>IFERROR(INDEX('Material routes'!$H$6:$H$2205,MATCH(U889,'Material routes'!$A$6:$A$2205,0)),"MISSING ID")</x:f>
        <x:v>Processed material</x:v>
      </x:c>
      <x:c r="D889" s="4" t="str">
        <x:f>IFERROR(INDEX('Material routes'!$G$6:$G$2205,MATCH(U889,'Material routes'!$A$6:$A$2205,0)),"MISSING ID")</x:f>
        <x:v>Manufactured stock</x:v>
      </x:c>
      <x:c r="E889" s="4" t="str">
        <x:f>IFERROR(INDEX('Material routes'!$C$6:$C$2205,MATCH(U889,'Material routes'!$A$6:$A$2205,0)),"MISSING ID")</x:f>
        <x:v>Ingredient candidate</x:v>
      </x:c>
      <x:c r="F889" s="4" t="str">
        <x:f>IFERROR(INDEX('Material routes'!$E$6:$E$2205,MATCH(V889,'Material routes'!$A$6:$A$2205,0)),"MISSING ID")</x:f>
        <x:v>Dirtboard lane snag bar</x:v>
      </x:c>
      <x:c r="G889" s="4" t="str">
        <x:f>IFERROR(INDEX('Material routes'!$F$6:$F$2205,MATCH(V889,'Material routes'!$A$6:$A$2205,0)),"MISSING ID")</x:f>
        <x:v>Not applicable</x:v>
      </x:c>
      <x:c r="H889" s="4" t="str">
        <x:f>IFERROR(INDEX('Material routes'!$H$6:$H$2205,MATCH(V889,'Material routes'!$A$6:$A$2205,0)),"MISSING ID")</x:f>
        <x:v>Trap</x:v>
      </x:c>
      <x:c r="I889" s="4" t="str">
        <x:f>IFERROR(INDEX('Material routes'!$G$6:$G$2205,MATCH(V889,'Material routes'!$A$6:$A$2205,0)),"MISSING ID")</x:f>
        <x:v>Salvage</x:v>
      </x:c>
      <x:c r="J889" s="4" t="str">
        <x:f>IFERROR(INDEX('Material routes'!$B$6:$B$2205,MATCH(U889,'Material routes'!$A$6:$A$2205,0)),"MISSING ID")</x:f>
        <x:v>design.collection.dirtboard_lane_snag_bar</x:v>
      </x:c>
      <x:c r="K889" s="4" t="str">
        <x:f>IFERROR(INDEX('Crafting recipes'!$C$6:$C$1005,MATCH(J889,'Crafting recipes'!$A$6:$A$1005,0)),"MISSING ID")</x:f>
        <x:v>Finished-item crafting</x:v>
      </x:c>
      <x:c r="L889" s="4" t="str">
        <x:f>IFERROR(INDEX('Material routes'!$K$6:$K$2205,MATCH(U889,'Material routes'!$A$6:$A$2205,0)),"MISSING ID")</x:f>
        <x:v>Proposal</x:v>
      </x:c>
      <x:c r="M889" s="4" t="str">
        <x:f>IFERROR(INDEX('Material routes'!$M$6:$M$2205,MATCH(U889,'Material routes'!$A$6:$A$2205,0)),"MISSING ID")</x:f>
        <x:v>Partial proposal</x:v>
      </x:c>
      <x:c r="N889" s="4"/>
      <x:c r="O889" s="4" t="str">
        <x:f>IFERROR(INDEX('Material routes'!$J$6:$J$2205,MATCH(U889,'Material routes'!$A$6:$A$2205,0)),"MISSING ID")</x:f>
        <x:v>Unspecified</x:v>
      </x:c>
      <x:c r="P889" s="4"/>
      <x:c r="Q889" s="4" t="str">
        <x:f>IFERROR(INDEX('Material routes'!$J$6:$J$2205,MATCH(V889,'Material routes'!$A$6:$A$2205,0)),"MISSING ID")</x:f>
        <x:v>Unspecified</x:v>
      </x:c>
      <x:c r="R889" s="4" t="str">
        <x:f>IF(L889="Withheld","Withheld premise",IF(E889="Tool candidate","Reusable prerequisite",IF(K889="Raw entry preparation","Entry-resource preparation",IF(G889="Not applicable",IF(IFERROR(INDEX('Items'!$AI$6:$AI$1005,MATCH(T889,'Items'!$A$6:$A$1005,0)),"MISSING ID")="Finished item","Finished endpoint",IF(IFERROR(INDEX('Items'!$AI$6:$AI$1005,MATCH(T889,'Items'!$A$6:$A$1005,0)),"MISSING ID")="Currency","Currency / no refinement tier","Recovered output / tier not applicable")),IF(OR(IFERROR(INDEX('Crafting recipes'!$H$6:$H$1005,MATCH(J889,'Crafting recipes'!$A$6:$A$1005,0)),"MISSING ID")="Unassigned",G889="Unassigned"),"Tier unresolved",IF(IFERROR(VALUE(RIGHT(G889,1))-VALUE(RIGHT(IFERROR(INDEX('Crafting recipes'!$H$6:$H$1005,MATCH(J889,'Crafting recipes'!$A$6:$A$1005,0)),"MISSING ID"),1)),0)=1,IF(B889=IFERROR(INDEX('Crafting recipes'!$H$6:$H$1005,MATCH(J889,'Crafting recipes'!$A$6:$A$1005,0)),"MISSING ID"),"Advances one material tier","Lower-tier ingredient; route advances one tier"),"Needs tier review"))))))</x:f>
        <x:v>Finished endpoint</x:v>
      </x:c>
      <x:c r="S889" s="4" t="str">
        <x:f>IFERROR(INDEX('Material routes'!$D$6:$D$2205,MATCH(U889,'Material routes'!$A$6:$A$2205,0)),"MISSING ID")</x:f>
        <x:v>author.metallurgy.steel_stock</x:v>
      </x:c>
      <x:c r="T889" s="4" t="str">
        <x:f>IFERROR(INDEX('Material routes'!$D$6:$D$2205,MATCH(V889,'Material routes'!$A$6:$A$2205,0)),"MISSING ID")</x:f>
        <x:v>proposal.collection.dirtboard_lane_snag_bar</x:v>
      </x:c>
      <x:c r="U889" s="4" t="str">
        <x:v>design.collection.dirtboard_lane_snag_bar.in.1</x:v>
      </x:c>
      <x:c r="V889" s="4" t="str">
        <x:v>design.collection.dirtboard_lane_snag_bar.out</x:v>
      </x:c>
    </x:row>
    <x:row r="890" ht="64" customHeight="1">
      <x:c r="A890" s="4"/>
      <x:c r="B890" s="4"/>
      <x:c r="C890" s="4"/>
      <x:c r="D890" s="4"/>
      <x:c r="E890" s="4"/>
      <x:c r="F890" s="4"/>
      <x:c r="G890" s="4"/>
      <x:c r="H890" s="4"/>
      <x:c r="I890" s="4"/>
      <x:c r="J890" s="4"/>
      <x:c r="K890" s="4"/>
      <x:c r="L890" s="4"/>
      <x:c r="M890" s="4"/>
      <x:c r="N890" s="4"/>
      <x:c r="O890" s="4"/>
      <x:c r="P890" s="4"/>
      <x:c r="Q890" s="4"/>
      <x:c r="R890" s="4"/>
      <x:c r="S890" s="4"/>
      <x:c r="T890" s="4"/>
      <x:c r="U890" s="4"/>
      <x:c r="V890" s="4"/>
    </x:row>
    <x:row r="891" ht="64" customHeight="1">
      <x:c r="A891" s="4" t="str">
        <x:f>IFERROR(INDEX('Material routes'!$E$6:$E$2205,MATCH(U891,'Material routes'!$A$6:$A$2205,0)),"MISSING ID")</x:f>
        <x:v>Braided iron signal lead</x:v>
      </x:c>
      <x:c r="B891" s="4" t="str">
        <x:f>IFERROR(INDEX('Material routes'!$F$6:$F$2205,MATCH(U891,'Material routes'!$A$6:$A$2205,0)),"MISSING ID")</x:f>
        <x:v>T3</x:v>
      </x:c>
      <x:c r="C891" s="4" t="str">
        <x:f>IFERROR(INDEX('Material routes'!$H$6:$H$2205,MATCH(U891,'Material routes'!$A$6:$A$2205,0)),"MISSING ID")</x:f>
        <x:v>Machine part</x:v>
      </x:c>
      <x:c r="D891" s="4" t="str">
        <x:f>IFERROR(INDEX('Material routes'!$G$6:$G$2205,MATCH(U891,'Material routes'!$A$6:$A$2205,0)),"MISSING ID")</x:f>
        <x:v>Crafting components</x:v>
      </x:c>
      <x:c r="E891" s="4" t="str">
        <x:f>IFERROR(INDEX('Material routes'!$C$6:$C$2205,MATCH(U891,'Material routes'!$A$6:$A$2205,0)),"MISSING ID")</x:f>
        <x:v>Ingredient candidate</x:v>
      </x:c>
      <x:c r="F891" s="4" t="str">
        <x:f>IFERROR(INDEX('Material routes'!$E$6:$E$2205,MATCH(V891,'Material routes'!$A$6:$A$2205,0)),"MISSING ID")</x:f>
        <x:v>Static alarm contact line</x:v>
      </x:c>
      <x:c r="G891" s="4" t="str">
        <x:f>IFERROR(INDEX('Material routes'!$F$6:$F$2205,MATCH(V891,'Material routes'!$A$6:$A$2205,0)),"MISSING ID")</x:f>
        <x:v>Not applicable</x:v>
      </x:c>
      <x:c r="H891" s="4" t="str">
        <x:f>IFERROR(INDEX('Material routes'!$H$6:$H$2205,MATCH(V891,'Material routes'!$A$6:$A$2205,0)),"MISSING ID")</x:f>
        <x:v>Trap</x:v>
      </x:c>
      <x:c r="I891" s="4" t="str">
        <x:f>IFERROR(INDEX('Material routes'!$G$6:$G$2205,MATCH(V891,'Material routes'!$A$6:$A$2205,0)),"MISSING ID")</x:f>
        <x:v>Weapons</x:v>
      </x:c>
      <x:c r="J891" s="4" t="str">
        <x:f>IFERROR(INDEX('Material routes'!$B$6:$B$2205,MATCH(U891,'Material routes'!$A$6:$A$2205,0)),"MISSING ID")</x:f>
        <x:v>design.collection.static_alarm_contact_line</x:v>
      </x:c>
      <x:c r="K891" s="4" t="str">
        <x:f>IFERROR(INDEX('Crafting recipes'!$C$6:$C$1005,MATCH(J891,'Crafting recipes'!$A$6:$A$1005,0)),"MISSING ID")</x:f>
        <x:v>Finished-item crafting</x:v>
      </x:c>
      <x:c r="L891" s="4" t="str">
        <x:f>IFERROR(INDEX('Material routes'!$K$6:$K$2205,MATCH(U891,'Material routes'!$A$6:$A$2205,0)),"MISSING ID")</x:f>
        <x:v>Proposal</x:v>
      </x:c>
      <x:c r="M891" s="4" t="str">
        <x:f>IFERROR(INDEX('Material routes'!$M$6:$M$2205,MATCH(U891,'Material routes'!$A$6:$A$2205,0)),"MISSING ID")</x:f>
        <x:v>Partial proposal</x:v>
      </x:c>
      <x:c r="N891" s="4"/>
      <x:c r="O891" s="4" t="str">
        <x:f>IFERROR(INDEX('Material routes'!$J$6:$J$2205,MATCH(U891,'Material routes'!$A$6:$A$2205,0)),"MISSING ID")</x:f>
        <x:v>Unspecified</x:v>
      </x:c>
      <x:c r="P891" s="4"/>
      <x:c r="Q891" s="4" t="str">
        <x:f>IFERROR(INDEX('Material routes'!$J$6:$J$2205,MATCH(V891,'Material routes'!$A$6:$A$2205,0)),"MISSING ID")</x:f>
        <x:v>Unspecified</x:v>
      </x:c>
      <x:c r="R891" s="4" t="str">
        <x:f>IF(L891="Withheld","Withheld premise",IF(E891="Tool candidate","Reusable prerequisite",IF(K891="Raw entry preparation","Entry-resource preparation",IF(G891="Not applicable",IF(IFERROR(INDEX('Items'!$AI$6:$AI$1005,MATCH(T891,'Items'!$A$6:$A$1005,0)),"MISSING ID")="Finished item","Finished endpoint",IF(IFERROR(INDEX('Items'!$AI$6:$AI$1005,MATCH(T891,'Items'!$A$6:$A$1005,0)),"MISSING ID")="Currency","Currency / no refinement tier","Recovered output / tier not applicable")),IF(OR(IFERROR(INDEX('Crafting recipes'!$H$6:$H$1005,MATCH(J891,'Crafting recipes'!$A$6:$A$1005,0)),"MISSING ID")="Unassigned",G891="Unassigned"),"Tier unresolved",IF(IFERROR(VALUE(RIGHT(G891,1))-VALUE(RIGHT(IFERROR(INDEX('Crafting recipes'!$H$6:$H$1005,MATCH(J891,'Crafting recipes'!$A$6:$A$1005,0)),"MISSING ID"),1)),0)=1,IF(B891=IFERROR(INDEX('Crafting recipes'!$H$6:$H$1005,MATCH(J891,'Crafting recipes'!$A$6:$A$1005,0)),"MISSING ID"),"Advances one material tier","Lower-tier ingredient; route advances one tier"),"Needs tier review"))))))</x:f>
        <x:v>Finished endpoint</x:v>
      </x:c>
      <x:c r="S891" s="4" t="str">
        <x:f>IFERROR(INDEX('Material routes'!$D$6:$D$2205,MATCH(U891,'Material routes'!$A$6:$A$2205,0)),"MISSING ID")</x:f>
        <x:v>proposal.collection.braided_iron_signal_lead</x:v>
      </x:c>
      <x:c r="T891" s="4" t="str">
        <x:f>IFERROR(INDEX('Material routes'!$D$6:$D$2205,MATCH(V891,'Material routes'!$A$6:$A$2205,0)),"MISSING ID")</x:f>
        <x:v>proposal.collection.static_alarm_contact_line</x:v>
      </x:c>
      <x:c r="U891" s="4" t="str">
        <x:v>design.collection.static_alarm_contact_line.in.1</x:v>
      </x:c>
      <x:c r="V891" s="4" t="str">
        <x:v>design.collection.static_alarm_contact_line.out</x:v>
      </x:c>
    </x:row>
    <x:row r="892" ht="64" customHeight="1">
      <x:c r="A892" s="4" t="str">
        <x:f>IFERROR(INDEX('Material routes'!$E$6:$E$2205,MATCH(U892,'Material routes'!$A$6:$A$2205,0)),"MISSING ID")</x:f>
        <x:v>Mica-separated terminal strip</x:v>
      </x:c>
      <x:c r="B892" s="4" t="str">
        <x:f>IFERROR(INDEX('Material routes'!$F$6:$F$2205,MATCH(U892,'Material routes'!$A$6:$A$2205,0)),"MISSING ID")</x:f>
        <x:v>T4</x:v>
      </x:c>
      <x:c r="C892" s="4" t="str">
        <x:f>IFERROR(INDEX('Material routes'!$H$6:$H$2205,MATCH(U892,'Material routes'!$A$6:$A$2205,0)),"MISSING ID")</x:f>
        <x:v>Machine part</x:v>
      </x:c>
      <x:c r="D892" s="4" t="str">
        <x:f>IFERROR(INDEX('Material routes'!$G$6:$G$2205,MATCH(U892,'Material routes'!$A$6:$A$2205,0)),"MISSING ID")</x:f>
        <x:v>Crafting components</x:v>
      </x:c>
      <x:c r="E892" s="4" t="str">
        <x:f>IFERROR(INDEX('Material routes'!$C$6:$C$2205,MATCH(U892,'Material routes'!$A$6:$A$2205,0)),"MISSING ID")</x:f>
        <x:v>Ingredient candidate</x:v>
      </x:c>
      <x:c r="F892" s="4" t="str">
        <x:f>IFERROR(INDEX('Material routes'!$E$6:$E$2205,MATCH(V892,'Material routes'!$A$6:$A$2205,0)),"MISSING ID")</x:f>
        <x:v>Static alarm contact line</x:v>
      </x:c>
      <x:c r="G892" s="4" t="str">
        <x:f>IFERROR(INDEX('Material routes'!$F$6:$F$2205,MATCH(V892,'Material routes'!$A$6:$A$2205,0)),"MISSING ID")</x:f>
        <x:v>Not applicable</x:v>
      </x:c>
      <x:c r="H892" s="4" t="str">
        <x:f>IFERROR(INDEX('Material routes'!$H$6:$H$2205,MATCH(V892,'Material routes'!$A$6:$A$2205,0)),"MISSING ID")</x:f>
        <x:v>Trap</x:v>
      </x:c>
      <x:c r="I892" s="4" t="str">
        <x:f>IFERROR(INDEX('Material routes'!$G$6:$G$2205,MATCH(V892,'Material routes'!$A$6:$A$2205,0)),"MISSING ID")</x:f>
        <x:v>Weapons</x:v>
      </x:c>
      <x:c r="J892" s="4" t="str">
        <x:f>IFERROR(INDEX('Material routes'!$B$6:$B$2205,MATCH(U892,'Material routes'!$A$6:$A$2205,0)),"MISSING ID")</x:f>
        <x:v>design.collection.static_alarm_contact_line</x:v>
      </x:c>
      <x:c r="K892" s="4" t="str">
        <x:f>IFERROR(INDEX('Crafting recipes'!$C$6:$C$1005,MATCH(J892,'Crafting recipes'!$A$6:$A$1005,0)),"MISSING ID")</x:f>
        <x:v>Finished-item crafting</x:v>
      </x:c>
      <x:c r="L892" s="4" t="str">
        <x:f>IFERROR(INDEX('Material routes'!$K$6:$K$2205,MATCH(U892,'Material routes'!$A$6:$A$2205,0)),"MISSING ID")</x:f>
        <x:v>Proposal</x:v>
      </x:c>
      <x:c r="M892" s="4" t="str">
        <x:f>IFERROR(INDEX('Material routes'!$M$6:$M$2205,MATCH(U892,'Material routes'!$A$6:$A$2205,0)),"MISSING ID")</x:f>
        <x:v>Partial proposal</x:v>
      </x:c>
      <x:c r="N892" s="4"/>
      <x:c r="O892" s="4" t="str">
        <x:f>IFERROR(INDEX('Material routes'!$J$6:$J$2205,MATCH(U892,'Material routes'!$A$6:$A$2205,0)),"MISSING ID")</x:f>
        <x:v>Unspecified</x:v>
      </x:c>
      <x:c r="P892" s="4"/>
      <x:c r="Q892" s="4" t="str">
        <x:f>IFERROR(INDEX('Material routes'!$J$6:$J$2205,MATCH(V892,'Material routes'!$A$6:$A$2205,0)),"MISSING ID")</x:f>
        <x:v>Unspecified</x:v>
      </x:c>
      <x:c r="R892" s="4" t="str">
        <x:f>IF(L892="Withheld","Withheld premise",IF(E892="Tool candidate","Reusable prerequisite",IF(K892="Raw entry preparation","Entry-resource preparation",IF(G892="Not applicable",IF(IFERROR(INDEX('Items'!$AI$6:$AI$1005,MATCH(T892,'Items'!$A$6:$A$1005,0)),"MISSING ID")="Finished item","Finished endpoint",IF(IFERROR(INDEX('Items'!$AI$6:$AI$1005,MATCH(T892,'Items'!$A$6:$A$1005,0)),"MISSING ID")="Currency","Currency / no refinement tier","Recovered output / tier not applicable")),IF(OR(IFERROR(INDEX('Crafting recipes'!$H$6:$H$1005,MATCH(J892,'Crafting recipes'!$A$6:$A$1005,0)),"MISSING ID")="Unassigned",G892="Unassigned"),"Tier unresolved",IF(IFERROR(VALUE(RIGHT(G892,1))-VALUE(RIGHT(IFERROR(INDEX('Crafting recipes'!$H$6:$H$1005,MATCH(J892,'Crafting recipes'!$A$6:$A$1005,0)),"MISSING ID"),1)),0)=1,IF(B892=IFERROR(INDEX('Crafting recipes'!$H$6:$H$1005,MATCH(J892,'Crafting recipes'!$A$6:$A$1005,0)),"MISSING ID"),"Advances one material tier","Lower-tier ingredient; route advances one tier"),"Needs tier review"))))))</x:f>
        <x:v>Finished endpoint</x:v>
      </x:c>
      <x:c r="S892" s="4" t="str">
        <x:f>IFERROR(INDEX('Material routes'!$D$6:$D$2205,MATCH(U892,'Material routes'!$A$6:$A$2205,0)),"MISSING ID")</x:f>
        <x:v>proposal.collection.mica_separated_terminal_strip</x:v>
      </x:c>
      <x:c r="T892" s="4" t="str">
        <x:f>IFERROR(INDEX('Material routes'!$D$6:$D$2205,MATCH(V892,'Material routes'!$A$6:$A$2205,0)),"MISSING ID")</x:f>
        <x:v>proposal.collection.static_alarm_contact_line</x:v>
      </x:c>
      <x:c r="U892" s="4" t="str">
        <x:v>design.collection.static_alarm_contact_line.in.2</x:v>
      </x:c>
      <x:c r="V892" s="4" t="str">
        <x:v>design.collection.static_alarm_contact_line.out</x:v>
      </x:c>
    </x:row>
    <x:row r="893" ht="64" customHeight="1">
      <x:c r="A893" s="4" t="str">
        <x:f>IFERROR(INDEX('Material routes'!$E$6:$E$2205,MATCH(U893,'Material routes'!$A$6:$A$2205,0)),"MISSING ID")</x:f>
        <x:v>Dressed building-stone stock</x:v>
      </x:c>
      <x:c r="B893" s="4" t="str">
        <x:f>IFERROR(INDEX('Material routes'!$F$6:$F$2205,MATCH(U893,'Material routes'!$A$6:$A$2205,0)),"MISSING ID")</x:f>
        <x:v>T1</x:v>
      </x:c>
      <x:c r="C893" s="4" t="str">
        <x:f>IFERROR(INDEX('Material routes'!$H$6:$H$2205,MATCH(U893,'Material routes'!$A$6:$A$2205,0)),"MISSING ID")</x:f>
        <x:v>Processed material</x:v>
      </x:c>
      <x:c r="D893" s="4" t="str">
        <x:f>IFERROR(INDEX('Material routes'!$G$6:$G$2205,MATCH(U893,'Material routes'!$A$6:$A$2205,0)),"MISSING ID")</x:f>
        <x:v>Manufactured stock</x:v>
      </x:c>
      <x:c r="E893" s="4" t="str">
        <x:f>IFERROR(INDEX('Material routes'!$C$6:$C$2205,MATCH(U893,'Material routes'!$A$6:$A$2205,0)),"MISSING ID")</x:f>
        <x:v>Ingredient candidate</x:v>
      </x:c>
      <x:c r="F893" s="4" t="str">
        <x:f>IFERROR(INDEX('Material routes'!$E$6:$E$2205,MATCH(V893,'Material routes'!$A$6:$A$2205,0)),"MISSING ID")</x:f>
        <x:v>Shaped stone sling pellet</x:v>
      </x:c>
      <x:c r="G893" s="4" t="str">
        <x:f>IFERROR(INDEX('Material routes'!$F$6:$F$2205,MATCH(V893,'Material routes'!$A$6:$A$2205,0)),"MISSING ID")</x:f>
        <x:v>Not applicable</x:v>
      </x:c>
      <x:c r="H893" s="4" t="str">
        <x:f>IFERROR(INDEX('Material routes'!$H$6:$H$2205,MATCH(V893,'Material routes'!$A$6:$A$2205,0)),"MISSING ID")</x:f>
        <x:v>Ammunition</x:v>
      </x:c>
      <x:c r="I893" s="4" t="str">
        <x:f>IFERROR(INDEX('Material routes'!$G$6:$G$2205,MATCH(V893,'Material routes'!$A$6:$A$2205,0)),"MISSING ID")</x:f>
        <x:v>Ammunition</x:v>
      </x:c>
      <x:c r="J893" s="4" t="str">
        <x:f>IFERROR(INDEX('Material routes'!$B$6:$B$2205,MATCH(U893,'Material routes'!$A$6:$A$2205,0)),"MISSING ID")</x:f>
        <x:v>design.collection.shaped_stone_sling_pellet</x:v>
      </x:c>
      <x:c r="K893" s="4" t="str">
        <x:f>IFERROR(INDEX('Crafting recipes'!$C$6:$C$1005,MATCH(J893,'Crafting recipes'!$A$6:$A$1005,0)),"MISSING ID")</x:f>
        <x:v>Finished-item crafting</x:v>
      </x:c>
      <x:c r="L893" s="4" t="str">
        <x:f>IFERROR(INDEX('Material routes'!$K$6:$K$2205,MATCH(U893,'Material routes'!$A$6:$A$2205,0)),"MISSING ID")</x:f>
        <x:v>Proposal</x:v>
      </x:c>
      <x:c r="M893" s="4" t="str">
        <x:f>IFERROR(INDEX('Material routes'!$M$6:$M$2205,MATCH(U893,'Material routes'!$A$6:$A$2205,0)),"MISSING ID")</x:f>
        <x:v>Partial proposal</x:v>
      </x:c>
      <x:c r="N893" s="4"/>
      <x:c r="O893" s="4" t="str">
        <x:f>IFERROR(INDEX('Material routes'!$J$6:$J$2205,MATCH(U893,'Material routes'!$A$6:$A$2205,0)),"MISSING ID")</x:f>
        <x:v>Unspecified</x:v>
      </x:c>
      <x:c r="P893" s="4"/>
      <x:c r="Q893" s="4" t="str">
        <x:f>IFERROR(INDEX('Material routes'!$J$6:$J$2205,MATCH(V893,'Material routes'!$A$6:$A$2205,0)),"MISSING ID")</x:f>
        <x:v>Unspecified</x:v>
      </x:c>
      <x:c r="R893" s="4" t="str">
        <x:f>IF(L893="Withheld","Withheld premise",IF(E893="Tool candidate","Reusable prerequisite",IF(K893="Raw entry preparation","Entry-resource preparation",IF(G893="Not applicable",IF(IFERROR(INDEX('Items'!$AI$6:$AI$1005,MATCH(T893,'Items'!$A$6:$A$1005,0)),"MISSING ID")="Finished item","Finished endpoint",IF(IFERROR(INDEX('Items'!$AI$6:$AI$1005,MATCH(T893,'Items'!$A$6:$A$1005,0)),"MISSING ID")="Currency","Currency / no refinement tier","Recovered output / tier not applicable")),IF(OR(IFERROR(INDEX('Crafting recipes'!$H$6:$H$1005,MATCH(J893,'Crafting recipes'!$A$6:$A$1005,0)),"MISSING ID")="Unassigned",G893="Unassigned"),"Tier unresolved",IF(IFERROR(VALUE(RIGHT(G893,1))-VALUE(RIGHT(IFERROR(INDEX('Crafting recipes'!$H$6:$H$1005,MATCH(J893,'Crafting recipes'!$A$6:$A$1005,0)),"MISSING ID"),1)),0)=1,IF(B893=IFERROR(INDEX('Crafting recipes'!$H$6:$H$1005,MATCH(J893,'Crafting recipes'!$A$6:$A$1005,0)),"MISSING ID"),"Advances one material tier","Lower-tier ingredient; route advances one tier"),"Needs tier review"))))))</x:f>
        <x:v>Finished endpoint</x:v>
      </x:c>
      <x:c r="S893" s="4" t="str">
        <x:f>IFERROR(INDEX('Material routes'!$D$6:$D$2205,MATCH(U893,'Material routes'!$A$6:$A$2205,0)),"MISSING ID")</x:f>
        <x:v>proposal.t1.dressed_stone</x:v>
      </x:c>
      <x:c r="T893" s="4" t="str">
        <x:f>IFERROR(INDEX('Material routes'!$D$6:$D$2205,MATCH(V893,'Material routes'!$A$6:$A$2205,0)),"MISSING ID")</x:f>
        <x:v>proposal.collection.shaped_stone_sling_pellet</x:v>
      </x:c>
      <x:c r="U893" s="4" t="str">
        <x:v>design.collection.shaped_stone_sling_pellet.in.1</x:v>
      </x:c>
      <x:c r="V893" s="4" t="str">
        <x:v>design.collection.shaped_stone_sling_pellet.out</x:v>
      </x:c>
    </x:row>
    <x:row r="894" ht="64" customHeight="1">
      <x:c r="A894" s="4" t="str">
        <x:f>IFERROR(INDEX('Material routes'!$E$6:$E$2205,MATCH(U894,'Material routes'!$A$6:$A$2205,0)),"MISSING ID")</x:f>
        <x:v>Steel stock</x:v>
      </x:c>
      <x:c r="B894" s="4" t="str">
        <x:f>IFERROR(INDEX('Material routes'!$F$6:$F$2205,MATCH(U894,'Material routes'!$A$6:$A$2205,0)),"MISSING ID")</x:f>
        <x:v>T2</x:v>
      </x:c>
      <x:c r="C894" s="4" t="str">
        <x:f>IFERROR(INDEX('Material routes'!$H$6:$H$2205,MATCH(U894,'Material routes'!$A$6:$A$2205,0)),"MISSING ID")</x:f>
        <x:v>Processed material</x:v>
      </x:c>
      <x:c r="D894" s="4" t="str">
        <x:f>IFERROR(INDEX('Material routes'!$G$6:$G$2205,MATCH(U894,'Material routes'!$A$6:$A$2205,0)),"MISSING ID")</x:f>
        <x:v>Manufactured stock</x:v>
      </x:c>
      <x:c r="E894" s="4" t="str">
        <x:f>IFERROR(INDEX('Material routes'!$C$6:$C$2205,MATCH(U894,'Material routes'!$A$6:$A$2205,0)),"MISSING ID")</x:f>
        <x:v>Ingredient candidate</x:v>
      </x:c>
      <x:c r="F894" s="4" t="str">
        <x:f>IFERROR(INDEX('Material routes'!$E$6:$E$2205,MATCH(V894,'Material routes'!$A$6:$A$2205,0)),"MISSING ID")</x:f>
        <x:v>Steel broadhead bolt</x:v>
      </x:c>
      <x:c r="G894" s="4" t="str">
        <x:f>IFERROR(INDEX('Material routes'!$F$6:$F$2205,MATCH(V894,'Material routes'!$A$6:$A$2205,0)),"MISSING ID")</x:f>
        <x:v>Not applicable</x:v>
      </x:c>
      <x:c r="H894" s="4" t="str">
        <x:f>IFERROR(INDEX('Material routes'!$H$6:$H$2205,MATCH(V894,'Material routes'!$A$6:$A$2205,0)),"MISSING ID")</x:f>
        <x:v>Ammunition</x:v>
      </x:c>
      <x:c r="I894" s="4" t="str">
        <x:f>IFERROR(INDEX('Material routes'!$G$6:$G$2205,MATCH(V894,'Material routes'!$A$6:$A$2205,0)),"MISSING ID")</x:f>
        <x:v>Ammunition</x:v>
      </x:c>
      <x:c r="J894" s="4" t="str">
        <x:f>IFERROR(INDEX('Material routes'!$B$6:$B$2205,MATCH(U894,'Material routes'!$A$6:$A$2205,0)),"MISSING ID")</x:f>
        <x:v>design.collection.steel_broadhead_bolt</x:v>
      </x:c>
      <x:c r="K894" s="4" t="str">
        <x:f>IFERROR(INDEX('Crafting recipes'!$C$6:$C$1005,MATCH(J894,'Crafting recipes'!$A$6:$A$1005,0)),"MISSING ID")</x:f>
        <x:v>Finished-item crafting</x:v>
      </x:c>
      <x:c r="L894" s="4" t="str">
        <x:f>IFERROR(INDEX('Material routes'!$K$6:$K$2205,MATCH(U894,'Material routes'!$A$6:$A$2205,0)),"MISSING ID")</x:f>
        <x:v>Proposal</x:v>
      </x:c>
      <x:c r="M894" s="4" t="str">
        <x:f>IFERROR(INDEX('Material routes'!$M$6:$M$2205,MATCH(U894,'Material routes'!$A$6:$A$2205,0)),"MISSING ID")</x:f>
        <x:v>Partial proposal</x:v>
      </x:c>
      <x:c r="N894" s="4"/>
      <x:c r="O894" s="4" t="str">
        <x:f>IFERROR(INDEX('Material routes'!$J$6:$J$2205,MATCH(U894,'Material routes'!$A$6:$A$2205,0)),"MISSING ID")</x:f>
        <x:v>Unspecified</x:v>
      </x:c>
      <x:c r="P894" s="4"/>
      <x:c r="Q894" s="4" t="str">
        <x:f>IFERROR(INDEX('Material routes'!$J$6:$J$2205,MATCH(V894,'Material routes'!$A$6:$A$2205,0)),"MISSING ID")</x:f>
        <x:v>Unspecified</x:v>
      </x:c>
      <x:c r="R894" s="4" t="str">
        <x:f>IF(L894="Withheld","Withheld premise",IF(E894="Tool candidate","Reusable prerequisite",IF(K894="Raw entry preparation","Entry-resource preparation",IF(G894="Not applicable",IF(IFERROR(INDEX('Items'!$AI$6:$AI$1005,MATCH(T894,'Items'!$A$6:$A$1005,0)),"MISSING ID")="Finished item","Finished endpoint",IF(IFERROR(INDEX('Items'!$AI$6:$AI$1005,MATCH(T894,'Items'!$A$6:$A$1005,0)),"MISSING ID")="Currency","Currency / no refinement tier","Recovered output / tier not applicable")),IF(OR(IFERROR(INDEX('Crafting recipes'!$H$6:$H$1005,MATCH(J894,'Crafting recipes'!$A$6:$A$1005,0)),"MISSING ID")="Unassigned",G894="Unassigned"),"Tier unresolved",IF(IFERROR(VALUE(RIGHT(G894,1))-VALUE(RIGHT(IFERROR(INDEX('Crafting recipes'!$H$6:$H$1005,MATCH(J894,'Crafting recipes'!$A$6:$A$1005,0)),"MISSING ID"),1)),0)=1,IF(B894=IFERROR(INDEX('Crafting recipes'!$H$6:$H$1005,MATCH(J894,'Crafting recipes'!$A$6:$A$1005,0)),"MISSING ID"),"Advances one material tier","Lower-tier ingredient; route advances one tier"),"Needs tier review"))))))</x:f>
        <x:v>Finished endpoint</x:v>
      </x:c>
      <x:c r="S894" s="4" t="str">
        <x:f>IFERROR(INDEX('Material routes'!$D$6:$D$2205,MATCH(U894,'Material routes'!$A$6:$A$2205,0)),"MISSING ID")</x:f>
        <x:v>author.metallurgy.steel_stock</x:v>
      </x:c>
      <x:c r="T894" s="4" t="str">
        <x:f>IFERROR(INDEX('Material routes'!$D$6:$D$2205,MATCH(V894,'Material routes'!$A$6:$A$2205,0)),"MISSING ID")</x:f>
        <x:v>proposal.collection.steel_broadhead_bolt</x:v>
      </x:c>
      <x:c r="U894" s="4" t="str">
        <x:v>design.collection.steel_broadhead_bolt.in.1</x:v>
      </x:c>
      <x:c r="V894" s="4" t="str">
        <x:v>design.collection.steel_broadhead_bolt.out</x:v>
      </x:c>
    </x:row>
    <x:row r="895" ht="64" customHeight="1">
      <x:c r="A895" s="4" t="str">
        <x:f>IFERROR(INDEX('Material routes'!$E$6:$E$2205,MATCH(U895,'Material routes'!$A$6:$A$2205,0)),"MISSING ID")</x:f>
        <x:v>Steel stock</x:v>
      </x:c>
      <x:c r="B895" s="4" t="str">
        <x:f>IFERROR(INDEX('Material routes'!$F$6:$F$2205,MATCH(U895,'Material routes'!$A$6:$A$2205,0)),"MISSING ID")</x:f>
        <x:v>T2</x:v>
      </x:c>
      <x:c r="C895" s="4" t="str">
        <x:f>IFERROR(INDEX('Material routes'!$H$6:$H$2205,MATCH(U895,'Material routes'!$A$6:$A$2205,0)),"MISSING ID")</x:f>
        <x:v>Processed material</x:v>
      </x:c>
      <x:c r="D895" s="4" t="str">
        <x:f>IFERROR(INDEX('Material routes'!$G$6:$G$2205,MATCH(U895,'Material routes'!$A$6:$A$2205,0)),"MISSING ID")</x:f>
        <x:v>Manufactured stock</x:v>
      </x:c>
      <x:c r="E895" s="4" t="str">
        <x:f>IFERROR(INDEX('Material routes'!$C$6:$C$2205,MATCH(U895,'Material routes'!$A$6:$A$2205,0)),"MISSING ID")</x:f>
        <x:v>Ingredient candidate</x:v>
      </x:c>
      <x:c r="F895" s="4" t="str">
        <x:f>IFERROR(INDEX('Material routes'!$E$6:$E$2205,MATCH(V895,'Material routes'!$A$6:$A$2205,0)),"MISSING ID")</x:f>
        <x:v>Heavy siege bolt</x:v>
      </x:c>
      <x:c r="G895" s="4" t="str">
        <x:f>IFERROR(INDEX('Material routes'!$F$6:$F$2205,MATCH(V895,'Material routes'!$A$6:$A$2205,0)),"MISSING ID")</x:f>
        <x:v>Not applicable</x:v>
      </x:c>
      <x:c r="H895" s="4" t="str">
        <x:f>IFERROR(INDEX('Material routes'!$H$6:$H$2205,MATCH(V895,'Material routes'!$A$6:$A$2205,0)),"MISSING ID")</x:f>
        <x:v>Ammunition</x:v>
      </x:c>
      <x:c r="I895" s="4" t="str">
        <x:f>IFERROR(INDEX('Material routes'!$G$6:$G$2205,MATCH(V895,'Material routes'!$A$6:$A$2205,0)),"MISSING ID")</x:f>
        <x:v>Ammunition</x:v>
      </x:c>
      <x:c r="J895" s="4" t="str">
        <x:f>IFERROR(INDEX('Material routes'!$B$6:$B$2205,MATCH(U895,'Material routes'!$A$6:$A$2205,0)),"MISSING ID")</x:f>
        <x:v>design.collection.heavy_siege_bolt</x:v>
      </x:c>
      <x:c r="K895" s="4" t="str">
        <x:f>IFERROR(INDEX('Crafting recipes'!$C$6:$C$1005,MATCH(J895,'Crafting recipes'!$A$6:$A$1005,0)),"MISSING ID")</x:f>
        <x:v>Finished-item crafting</x:v>
      </x:c>
      <x:c r="L895" s="4" t="str">
        <x:f>IFERROR(INDEX('Material routes'!$K$6:$K$2205,MATCH(U895,'Material routes'!$A$6:$A$2205,0)),"MISSING ID")</x:f>
        <x:v>Proposal</x:v>
      </x:c>
      <x:c r="M895" s="4" t="str">
        <x:f>IFERROR(INDEX('Material routes'!$M$6:$M$2205,MATCH(U895,'Material routes'!$A$6:$A$2205,0)),"MISSING ID")</x:f>
        <x:v>Partial proposal</x:v>
      </x:c>
      <x:c r="N895" s="4"/>
      <x:c r="O895" s="4" t="str">
        <x:f>IFERROR(INDEX('Material routes'!$J$6:$J$2205,MATCH(U895,'Material routes'!$A$6:$A$2205,0)),"MISSING ID")</x:f>
        <x:v>Unspecified</x:v>
      </x:c>
      <x:c r="P895" s="4"/>
      <x:c r="Q895" s="4" t="str">
        <x:f>IFERROR(INDEX('Material routes'!$J$6:$J$2205,MATCH(V895,'Material routes'!$A$6:$A$2205,0)),"MISSING ID")</x:f>
        <x:v>Unspecified</x:v>
      </x:c>
      <x:c r="R895" s="4" t="str">
        <x:f>IF(L895="Withheld","Withheld premise",IF(E895="Tool candidate","Reusable prerequisite",IF(K895="Raw entry preparation","Entry-resource preparation",IF(G895="Not applicable",IF(IFERROR(INDEX('Items'!$AI$6:$AI$1005,MATCH(T895,'Items'!$A$6:$A$1005,0)),"MISSING ID")="Finished item","Finished endpoint",IF(IFERROR(INDEX('Items'!$AI$6:$AI$1005,MATCH(T895,'Items'!$A$6:$A$1005,0)),"MISSING ID")="Currency","Currency / no refinement tier","Recovered output / tier not applicable")),IF(OR(IFERROR(INDEX('Crafting recipes'!$H$6:$H$1005,MATCH(J895,'Crafting recipes'!$A$6:$A$1005,0)),"MISSING ID")="Unassigned",G895="Unassigned"),"Tier unresolved",IF(IFERROR(VALUE(RIGHT(G895,1))-VALUE(RIGHT(IFERROR(INDEX('Crafting recipes'!$H$6:$H$1005,MATCH(J895,'Crafting recipes'!$A$6:$A$1005,0)),"MISSING ID"),1)),0)=1,IF(B895=IFERROR(INDEX('Crafting recipes'!$H$6:$H$1005,MATCH(J895,'Crafting recipes'!$A$6:$A$1005,0)),"MISSING ID"),"Advances one material tier","Lower-tier ingredient; route advances one tier"),"Needs tier review"))))))</x:f>
        <x:v>Finished endpoint</x:v>
      </x:c>
      <x:c r="S895" s="4" t="str">
        <x:f>IFERROR(INDEX('Material routes'!$D$6:$D$2205,MATCH(U895,'Material routes'!$A$6:$A$2205,0)),"MISSING ID")</x:f>
        <x:v>author.metallurgy.steel_stock</x:v>
      </x:c>
      <x:c r="T895" s="4" t="str">
        <x:f>IFERROR(INDEX('Material routes'!$D$6:$D$2205,MATCH(V895,'Material routes'!$A$6:$A$2205,0)),"MISSING ID")</x:f>
        <x:v>proposal.collection.heavy_siege_bolt</x:v>
      </x:c>
      <x:c r="U895" s="4" t="str">
        <x:v>design.collection.heavy_siege_bolt.in.1</x:v>
      </x:c>
      <x:c r="V895" s="4" t="str">
        <x:v>design.collection.heavy_siege_bolt.out</x:v>
      </x:c>
    </x:row>
    <x:row r="896" ht="64" customHeight="1">
      <x:c r="A896" s="4" t="str">
        <x:f>IFERROR(INDEX('Material routes'!$E$6:$E$2205,MATCH(U896,'Material routes'!$A$6:$A$2205,0)),"MISSING ID")</x:f>
        <x:v>Drawn steel tube stock</x:v>
      </x:c>
      <x:c r="B896" s="4" t="str">
        <x:f>IFERROR(INDEX('Material routes'!$F$6:$F$2205,MATCH(U896,'Material routes'!$A$6:$A$2205,0)),"MISSING ID")</x:f>
        <x:v>T3</x:v>
      </x:c>
      <x:c r="C896" s="4" t="str">
        <x:f>IFERROR(INDEX('Material routes'!$H$6:$H$2205,MATCH(U896,'Material routes'!$A$6:$A$2205,0)),"MISSING ID")</x:f>
        <x:v>Processed material</x:v>
      </x:c>
      <x:c r="D896" s="4" t="str">
        <x:f>IFERROR(INDEX('Material routes'!$G$6:$G$2205,MATCH(U896,'Material routes'!$A$6:$A$2205,0)),"MISSING ID")</x:f>
        <x:v>Manufactured stock</x:v>
      </x:c>
      <x:c r="E896" s="4" t="str">
        <x:f>IFERROR(INDEX('Material routes'!$C$6:$C$2205,MATCH(U896,'Material routes'!$A$6:$A$2205,0)),"MISSING ID")</x:f>
        <x:v>Ingredient candidate</x:v>
      </x:c>
      <x:c r="F896" s="4" t="str">
        <x:f>IFERROR(INDEX('Material routes'!$E$6:$E$2205,MATCH(V896,'Material routes'!$A$6:$A$2205,0)),"MISSING ID")</x:f>
        <x:v>Heavy siege bolt</x:v>
      </x:c>
      <x:c r="G896" s="4" t="str">
        <x:f>IFERROR(INDEX('Material routes'!$F$6:$F$2205,MATCH(V896,'Material routes'!$A$6:$A$2205,0)),"MISSING ID")</x:f>
        <x:v>Not applicable</x:v>
      </x:c>
      <x:c r="H896" s="4" t="str">
        <x:f>IFERROR(INDEX('Material routes'!$H$6:$H$2205,MATCH(V896,'Material routes'!$A$6:$A$2205,0)),"MISSING ID")</x:f>
        <x:v>Ammunition</x:v>
      </x:c>
      <x:c r="I896" s="4" t="str">
        <x:f>IFERROR(INDEX('Material routes'!$G$6:$G$2205,MATCH(V896,'Material routes'!$A$6:$A$2205,0)),"MISSING ID")</x:f>
        <x:v>Ammunition</x:v>
      </x:c>
      <x:c r="J896" s="4" t="str">
        <x:f>IFERROR(INDEX('Material routes'!$B$6:$B$2205,MATCH(U896,'Material routes'!$A$6:$A$2205,0)),"MISSING ID")</x:f>
        <x:v>design.collection.heavy_siege_bolt</x:v>
      </x:c>
      <x:c r="K896" s="4" t="str">
        <x:f>IFERROR(INDEX('Crafting recipes'!$C$6:$C$1005,MATCH(J896,'Crafting recipes'!$A$6:$A$1005,0)),"MISSING ID")</x:f>
        <x:v>Finished-item crafting</x:v>
      </x:c>
      <x:c r="L896" s="4" t="str">
        <x:f>IFERROR(INDEX('Material routes'!$K$6:$K$2205,MATCH(U896,'Material routes'!$A$6:$A$2205,0)),"MISSING ID")</x:f>
        <x:v>Proposal</x:v>
      </x:c>
      <x:c r="M896" s="4" t="str">
        <x:f>IFERROR(INDEX('Material routes'!$M$6:$M$2205,MATCH(U896,'Material routes'!$A$6:$A$2205,0)),"MISSING ID")</x:f>
        <x:v>Partial proposal</x:v>
      </x:c>
      <x:c r="N896" s="4"/>
      <x:c r="O896" s="4" t="str">
        <x:f>IFERROR(INDEX('Material routes'!$J$6:$J$2205,MATCH(U896,'Material routes'!$A$6:$A$2205,0)),"MISSING ID")</x:f>
        <x:v>Unspecified</x:v>
      </x:c>
      <x:c r="P896" s="4"/>
      <x:c r="Q896" s="4" t="str">
        <x:f>IFERROR(INDEX('Material routes'!$J$6:$J$2205,MATCH(V896,'Material routes'!$A$6:$A$2205,0)),"MISSING ID")</x:f>
        <x:v>Unspecified</x:v>
      </x:c>
      <x:c r="R896" s="4" t="str">
        <x:f>IF(L896="Withheld","Withheld premise",IF(E896="Tool candidate","Reusable prerequisite",IF(K896="Raw entry preparation","Entry-resource preparation",IF(G896="Not applicable",IF(IFERROR(INDEX('Items'!$AI$6:$AI$1005,MATCH(T896,'Items'!$A$6:$A$1005,0)),"MISSING ID")="Finished item","Finished endpoint",IF(IFERROR(INDEX('Items'!$AI$6:$AI$1005,MATCH(T896,'Items'!$A$6:$A$1005,0)),"MISSING ID")="Currency","Currency / no refinement tier","Recovered output / tier not applicable")),IF(OR(IFERROR(INDEX('Crafting recipes'!$H$6:$H$1005,MATCH(J896,'Crafting recipes'!$A$6:$A$1005,0)),"MISSING ID")="Unassigned",G896="Unassigned"),"Tier unresolved",IF(IFERROR(VALUE(RIGHT(G896,1))-VALUE(RIGHT(IFERROR(INDEX('Crafting recipes'!$H$6:$H$1005,MATCH(J896,'Crafting recipes'!$A$6:$A$1005,0)),"MISSING ID"),1)),0)=1,IF(B896=IFERROR(INDEX('Crafting recipes'!$H$6:$H$1005,MATCH(J896,'Crafting recipes'!$A$6:$A$1005,0)),"MISSING ID"),"Advances one material tier","Lower-tier ingredient; route advances one tier"),"Needs tier review"))))))</x:f>
        <x:v>Finished endpoint</x:v>
      </x:c>
      <x:c r="S896" s="4" t="str">
        <x:f>IFERROR(INDEX('Material routes'!$D$6:$D$2205,MATCH(U896,'Material routes'!$A$6:$A$2205,0)),"MISSING ID")</x:f>
        <x:v>proposal.t3.precision_tube</x:v>
      </x:c>
      <x:c r="T896" s="4" t="str">
        <x:f>IFERROR(INDEX('Material routes'!$D$6:$D$2205,MATCH(V896,'Material routes'!$A$6:$A$2205,0)),"MISSING ID")</x:f>
        <x:v>proposal.collection.heavy_siege_bolt</x:v>
      </x:c>
      <x:c r="U896" s="4" t="str">
        <x:v>design.collection.heavy_siege_bolt.in.2</x:v>
      </x:c>
      <x:c r="V896" s="4" t="str">
        <x:v>design.collection.heavy_siege_bolt.out</x:v>
      </x:c>
    </x:row>
    <x:row r="897" ht="64" customHeight="1">
      <x:c r="A897" s="4"/>
      <x:c r="B897" s="4"/>
      <x:c r="C897" s="4"/>
      <x:c r="D897" s="4"/>
      <x:c r="E897" s="4"/>
      <x:c r="F897" s="4"/>
      <x:c r="G897" s="4"/>
      <x:c r="H897" s="4"/>
      <x:c r="I897" s="4"/>
      <x:c r="J897" s="4"/>
      <x:c r="K897" s="4"/>
      <x:c r="L897" s="4"/>
      <x:c r="M897" s="4"/>
      <x:c r="N897" s="4"/>
      <x:c r="P897" s="4"/>
      <x:c r="R897" s="4"/>
      <x:c r="S897" s="4"/>
      <x:c r="T897" s="4"/>
      <x:c r="U897" s="4"/>
      <x:c r="V897" s="4"/>
    </x:row>
    <x:row r="898" ht="64" customHeight="1">
      <x:c r="A898" s="4" t="str">
        <x:f>IFERROR(INDEX('Material routes'!$E$6:$E$2205,MATCH(U898,'Material routes'!$A$6:$A$2205,0)),"MISSING ID")</x:f>
        <x:v>Rough iron rivet stock</x:v>
      </x:c>
      <x:c r="B898" s="4" t="str">
        <x:f>IFERROR(INDEX('Material routes'!$F$6:$F$2205,MATCH(U898,'Material routes'!$A$6:$A$2205,0)),"MISSING ID")</x:f>
        <x:v>T2</x:v>
      </x:c>
      <x:c r="C898" s="4" t="str">
        <x:f>IFERROR(INDEX('Material routes'!$H$6:$H$2205,MATCH(U898,'Material routes'!$A$6:$A$2205,0)),"MISSING ID")</x:f>
        <x:v>Processed material</x:v>
      </x:c>
      <x:c r="D898" s="4" t="str">
        <x:f>IFERROR(INDEX('Material routes'!$G$6:$G$2205,MATCH(U898,'Material routes'!$A$6:$A$2205,0)),"MISSING ID")</x:f>
        <x:v>Manufactured stock</x:v>
      </x:c>
      <x:c r="E898" s="4" t="str">
        <x:f>IFERROR(INDEX('Material routes'!$C$6:$C$2205,MATCH(U898,'Material routes'!$A$6:$A$2205,0)),"MISSING ID")</x:f>
        <x:v>Ingredient candidate</x:v>
      </x:c>
      <x:c r="F898" s="4" t="str">
        <x:f>IFERROR(INDEX('Material routes'!$E$6:$E$2205,MATCH(V898,'Material routes'!$A$6:$A$2205,0)),"MISSING ID")</x:f>
        <x:v>Pressure-launcher rivet round</x:v>
      </x:c>
      <x:c r="G898" s="4" t="str">
        <x:f>IFERROR(INDEX('Material routes'!$F$6:$F$2205,MATCH(V898,'Material routes'!$A$6:$A$2205,0)),"MISSING ID")</x:f>
        <x:v>Not applicable</x:v>
      </x:c>
      <x:c r="H898" s="4" t="str">
        <x:f>IFERROR(INDEX('Material routes'!$H$6:$H$2205,MATCH(V898,'Material routes'!$A$6:$A$2205,0)),"MISSING ID")</x:f>
        <x:v>Ammunition</x:v>
      </x:c>
      <x:c r="I898" s="4" t="str">
        <x:f>IFERROR(INDEX('Material routes'!$G$6:$G$2205,MATCH(V898,'Material routes'!$A$6:$A$2205,0)),"MISSING ID")</x:f>
        <x:v>Ammunition</x:v>
      </x:c>
      <x:c r="J898" s="4" t="str">
        <x:f>IFERROR(INDEX('Material routes'!$B$6:$B$2205,MATCH(U898,'Material routes'!$A$6:$A$2205,0)),"MISSING ID")</x:f>
        <x:v>design.collection.pressure_launcher_rivet_round</x:v>
      </x:c>
      <x:c r="K898" s="4" t="str">
        <x:f>IFERROR(INDEX('Crafting recipes'!$C$6:$C$1005,MATCH(J898,'Crafting recipes'!$A$6:$A$1005,0)),"MISSING ID")</x:f>
        <x:v>Finished-item crafting</x:v>
      </x:c>
      <x:c r="L898" s="4" t="str">
        <x:f>IFERROR(INDEX('Material routes'!$K$6:$K$2205,MATCH(U898,'Material routes'!$A$6:$A$2205,0)),"MISSING ID")</x:f>
        <x:v>Proposal</x:v>
      </x:c>
      <x:c r="M898" s="4" t="str">
        <x:f>IFERROR(INDEX('Material routes'!$M$6:$M$2205,MATCH(U898,'Material routes'!$A$6:$A$2205,0)),"MISSING ID")</x:f>
        <x:v>Partial proposal</x:v>
      </x:c>
      <x:c r="N898" s="4"/>
      <x:c r="O898" s="4" t="str">
        <x:f>IFERROR(INDEX('Material routes'!$J$6:$J$2205,MATCH(U898,'Material routes'!$A$6:$A$2205,0)),"MISSING ID")</x:f>
        <x:v>Unspecified</x:v>
      </x:c>
      <x:c r="P898" s="4"/>
      <x:c r="Q898" s="4" t="str">
        <x:f>IFERROR(INDEX('Material routes'!$J$6:$J$2205,MATCH(V898,'Material routes'!$A$6:$A$2205,0)),"MISSING ID")</x:f>
        <x:v>Unspecified</x:v>
      </x:c>
      <x:c r="R898" s="4" t="str">
        <x:f>IF(L898="Withheld","Withheld premise",IF(E898="Tool candidate","Reusable prerequisite",IF(K898="Raw entry preparation","Entry-resource preparation",IF(G898="Not applicable",IF(IFERROR(INDEX('Items'!$AI$6:$AI$1005,MATCH(T898,'Items'!$A$6:$A$1005,0)),"MISSING ID")="Finished item","Finished endpoint",IF(IFERROR(INDEX('Items'!$AI$6:$AI$1005,MATCH(T898,'Items'!$A$6:$A$1005,0)),"MISSING ID")="Currency","Currency / no refinement tier","Recovered output / tier not applicable")),IF(OR(IFERROR(INDEX('Crafting recipes'!$H$6:$H$1005,MATCH(J898,'Crafting recipes'!$A$6:$A$1005,0)),"MISSING ID")="Unassigned",G898="Unassigned"),"Tier unresolved",IF(IFERROR(VALUE(RIGHT(G898,1))-VALUE(RIGHT(IFERROR(INDEX('Crafting recipes'!$H$6:$H$1005,MATCH(J898,'Crafting recipes'!$A$6:$A$1005,0)),"MISSING ID"),1)),0)=1,IF(B898=IFERROR(INDEX('Crafting recipes'!$H$6:$H$1005,MATCH(J898,'Crafting recipes'!$A$6:$A$1005,0)),"MISSING ID"),"Advances one material tier","Lower-tier ingredient; route advances one tier"),"Needs tier review"))))))</x:f>
        <x:v>Finished endpoint</x:v>
      </x:c>
      <x:c r="S898" s="4" t="str">
        <x:f>IFERROR(INDEX('Material routes'!$D$6:$D$2205,MATCH(U898,'Material routes'!$A$6:$A$2205,0)),"MISSING ID")</x:f>
        <x:v>proposal.lore.rivet_stock</x:v>
      </x:c>
      <x:c r="T898" s="4" t="str">
        <x:f>IFERROR(INDEX('Material routes'!$D$6:$D$2205,MATCH(V898,'Material routes'!$A$6:$A$2205,0)),"MISSING ID")</x:f>
        <x:v>proposal.collection.pressure_launcher_rivet_round</x:v>
      </x:c>
      <x:c r="U898" s="4" t="str">
        <x:v>design.collection.pressure_launcher_rivet_round.in.1</x:v>
      </x:c>
      <x:c r="V898" s="4" t="str">
        <x:v>design.collection.pressure_launcher_rivet_round.out</x:v>
      </x:c>
    </x:row>
    <x:row r="899" ht="64" customHeight="1">
      <x:c r="A899" s="4" t="str">
        <x:f>IFERROR(INDEX('Material routes'!$E$6:$E$2205,MATCH(U899,'Material routes'!$A$6:$A$2205,0)),"MISSING ID")</x:f>
        <x:v>Steel stock</x:v>
      </x:c>
      <x:c r="B899" s="4" t="str">
        <x:f>IFERROR(INDEX('Material routes'!$F$6:$F$2205,MATCH(U899,'Material routes'!$A$6:$A$2205,0)),"MISSING ID")</x:f>
        <x:v>T2</x:v>
      </x:c>
      <x:c r="C899" s="4" t="str">
        <x:f>IFERROR(INDEX('Material routes'!$H$6:$H$2205,MATCH(U899,'Material routes'!$A$6:$A$2205,0)),"MISSING ID")</x:f>
        <x:v>Processed material</x:v>
      </x:c>
      <x:c r="D899" s="4" t="str">
        <x:f>IFERROR(INDEX('Material routes'!$G$6:$G$2205,MATCH(U899,'Material routes'!$A$6:$A$2205,0)),"MISSING ID")</x:f>
        <x:v>Manufactured stock</x:v>
      </x:c>
      <x:c r="E899" s="4" t="str">
        <x:f>IFERROR(INDEX('Material routes'!$C$6:$C$2205,MATCH(U899,'Material routes'!$A$6:$A$2205,0)),"MISSING ID")</x:f>
        <x:v>Ingredient candidate</x:v>
      </x:c>
      <x:c r="F899" s="4" t="str">
        <x:f>IFERROR(INDEX('Material routes'!$E$6:$E$2205,MATCH(V899,'Material routes'!$A$6:$A$2205,0)),"MISSING ID")</x:f>
        <x:v>Magnetic projector dart</x:v>
      </x:c>
      <x:c r="G899" s="4" t="str">
        <x:f>IFERROR(INDEX('Material routes'!$F$6:$F$2205,MATCH(V899,'Material routes'!$A$6:$A$2205,0)),"MISSING ID")</x:f>
        <x:v>Not applicable</x:v>
      </x:c>
      <x:c r="H899" s="4" t="str">
        <x:f>IFERROR(INDEX('Material routes'!$H$6:$H$2205,MATCH(V899,'Material routes'!$A$6:$A$2205,0)),"MISSING ID")</x:f>
        <x:v>Ammunition</x:v>
      </x:c>
      <x:c r="I899" s="4" t="str">
        <x:f>IFERROR(INDEX('Material routes'!$G$6:$G$2205,MATCH(V899,'Material routes'!$A$6:$A$2205,0)),"MISSING ID")</x:f>
        <x:v>Ammunition</x:v>
      </x:c>
      <x:c r="J899" s="4" t="str">
        <x:f>IFERROR(INDEX('Material routes'!$B$6:$B$2205,MATCH(U899,'Material routes'!$A$6:$A$2205,0)),"MISSING ID")</x:f>
        <x:v>design.collection.magnetic_projector_dart</x:v>
      </x:c>
      <x:c r="K899" s="4" t="str">
        <x:f>IFERROR(INDEX('Crafting recipes'!$C$6:$C$1005,MATCH(J899,'Crafting recipes'!$A$6:$A$1005,0)),"MISSING ID")</x:f>
        <x:v>Finished-item crafting</x:v>
      </x:c>
      <x:c r="L899" s="4" t="str">
        <x:f>IFERROR(INDEX('Material routes'!$K$6:$K$2205,MATCH(U899,'Material routes'!$A$6:$A$2205,0)),"MISSING ID")</x:f>
        <x:v>Proposal</x:v>
      </x:c>
      <x:c r="M899" s="4" t="str">
        <x:f>IFERROR(INDEX('Material routes'!$M$6:$M$2205,MATCH(U899,'Material routes'!$A$6:$A$2205,0)),"MISSING ID")</x:f>
        <x:v>Partial proposal</x:v>
      </x:c>
      <x:c r="N899" s="4"/>
      <x:c r="O899" s="4" t="str">
        <x:f>IFERROR(INDEX('Material routes'!$J$6:$J$2205,MATCH(U899,'Material routes'!$A$6:$A$2205,0)),"MISSING ID")</x:f>
        <x:v>Unspecified</x:v>
      </x:c>
      <x:c r="P899" s="4"/>
      <x:c r="Q899" s="4" t="str">
        <x:f>IFERROR(INDEX('Material routes'!$J$6:$J$2205,MATCH(V899,'Material routes'!$A$6:$A$2205,0)),"MISSING ID")</x:f>
        <x:v>Unspecified</x:v>
      </x:c>
      <x:c r="R899" s="4" t="str">
        <x:f>IF(L899="Withheld","Withheld premise",IF(E899="Tool candidate","Reusable prerequisite",IF(K899="Raw entry preparation","Entry-resource preparation",IF(G899="Not applicable",IF(IFERROR(INDEX('Items'!$AI$6:$AI$1005,MATCH(T899,'Items'!$A$6:$A$1005,0)),"MISSING ID")="Finished item","Finished endpoint",IF(IFERROR(INDEX('Items'!$AI$6:$AI$1005,MATCH(T899,'Items'!$A$6:$A$1005,0)),"MISSING ID")="Currency","Currency / no refinement tier","Recovered output / tier not applicable")),IF(OR(IFERROR(INDEX('Crafting recipes'!$H$6:$H$1005,MATCH(J899,'Crafting recipes'!$A$6:$A$1005,0)),"MISSING ID")="Unassigned",G899="Unassigned"),"Tier unresolved",IF(IFERROR(VALUE(RIGHT(G899,1))-VALUE(RIGHT(IFERROR(INDEX('Crafting recipes'!$H$6:$H$1005,MATCH(J899,'Crafting recipes'!$A$6:$A$1005,0)),"MISSING ID"),1)),0)=1,IF(B899=IFERROR(INDEX('Crafting recipes'!$H$6:$H$1005,MATCH(J899,'Crafting recipes'!$A$6:$A$1005,0)),"MISSING ID"),"Advances one material tier","Lower-tier ingredient; route advances one tier"),"Needs tier review"))))))</x:f>
        <x:v>Finished endpoint</x:v>
      </x:c>
      <x:c r="S899" s="4" t="str">
        <x:f>IFERROR(INDEX('Material routes'!$D$6:$D$2205,MATCH(U899,'Material routes'!$A$6:$A$2205,0)),"MISSING ID")</x:f>
        <x:v>author.metallurgy.steel_stock</x:v>
      </x:c>
      <x:c r="T899" s="4" t="str">
        <x:f>IFERROR(INDEX('Material routes'!$D$6:$D$2205,MATCH(V899,'Material routes'!$A$6:$A$2205,0)),"MISSING ID")</x:f>
        <x:v>proposal.collection.magnetic_projector_dart</x:v>
      </x:c>
      <x:c r="U899" s="4" t="str">
        <x:v>design.collection.magnetic_projector_dart.in.1</x:v>
      </x:c>
      <x:c r="V899" s="4" t="str">
        <x:v>design.collection.magnetic_projector_dart.out</x:v>
      </x:c>
    </x:row>
    <x:row r="900" ht="64" customHeight="1">
      <x:c r="A900" s="4" t="str">
        <x:f>IFERROR(INDEX('Material routes'!$E$6:$E$2205,MATCH(U900,'Material routes'!$A$6:$A$2205,0)),"MISSING ID")</x:f>
        <x:v>Steel stock</x:v>
      </x:c>
      <x:c r="B900" s="4" t="str">
        <x:f>IFERROR(INDEX('Material routes'!$F$6:$F$2205,MATCH(U900,'Material routes'!$A$6:$A$2205,0)),"MISSING ID")</x:f>
        <x:v>T2</x:v>
      </x:c>
      <x:c r="C900" s="4" t="str">
        <x:f>IFERROR(INDEX('Material routes'!$H$6:$H$2205,MATCH(U900,'Material routes'!$A$6:$A$2205,0)),"MISSING ID")</x:f>
        <x:v>Processed material</x:v>
      </x:c>
      <x:c r="D900" s="4" t="str">
        <x:f>IFERROR(INDEX('Material routes'!$G$6:$G$2205,MATCH(U900,'Material routes'!$A$6:$A$2205,0)),"MISSING ID")</x:f>
        <x:v>Manufactured stock</x:v>
      </x:c>
      <x:c r="E900" s="4" t="str">
        <x:f>IFERROR(INDEX('Material routes'!$C$6:$C$2205,MATCH(U900,'Material routes'!$A$6:$A$2205,0)),"MISSING ID")</x:f>
        <x:v>Ingredient candidate</x:v>
      </x:c>
      <x:c r="F900" s="4" t="str">
        <x:f>IFERROR(INDEX('Material routes'!$E$6:$E$2205,MATCH(V900,'Material routes'!$A$6:$A$2205,0)),"MISSING ID")</x:f>
        <x:v>Coil-carbine slug</x:v>
      </x:c>
      <x:c r="G900" s="4" t="str">
        <x:f>IFERROR(INDEX('Material routes'!$F$6:$F$2205,MATCH(V900,'Material routes'!$A$6:$A$2205,0)),"MISSING ID")</x:f>
        <x:v>Not applicable</x:v>
      </x:c>
      <x:c r="H900" s="4" t="str">
        <x:f>IFERROR(INDEX('Material routes'!$H$6:$H$2205,MATCH(V900,'Material routes'!$A$6:$A$2205,0)),"MISSING ID")</x:f>
        <x:v>Ammunition</x:v>
      </x:c>
      <x:c r="I900" s="4" t="str">
        <x:f>IFERROR(INDEX('Material routes'!$G$6:$G$2205,MATCH(V900,'Material routes'!$A$6:$A$2205,0)),"MISSING ID")</x:f>
        <x:v>Ammunition</x:v>
      </x:c>
      <x:c r="J900" s="4" t="str">
        <x:f>IFERROR(INDEX('Material routes'!$B$6:$B$2205,MATCH(U900,'Material routes'!$A$6:$A$2205,0)),"MISSING ID")</x:f>
        <x:v>design.collection.coil_carbine_slug</x:v>
      </x:c>
      <x:c r="K900" s="4" t="str">
        <x:f>IFERROR(INDEX('Crafting recipes'!$C$6:$C$1005,MATCH(J900,'Crafting recipes'!$A$6:$A$1005,0)),"MISSING ID")</x:f>
        <x:v>Finished-item crafting</x:v>
      </x:c>
      <x:c r="L900" s="4" t="str">
        <x:f>IFERROR(INDEX('Material routes'!$K$6:$K$2205,MATCH(U900,'Material routes'!$A$6:$A$2205,0)),"MISSING ID")</x:f>
        <x:v>Proposal</x:v>
      </x:c>
      <x:c r="M900" s="4" t="str">
        <x:f>IFERROR(INDEX('Material routes'!$M$6:$M$2205,MATCH(U900,'Material routes'!$A$6:$A$2205,0)),"MISSING ID")</x:f>
        <x:v>Partial proposal</x:v>
      </x:c>
      <x:c r="N900" s="4"/>
      <x:c r="O900" s="4" t="str">
        <x:f>IFERROR(INDEX('Material routes'!$J$6:$J$2205,MATCH(U900,'Material routes'!$A$6:$A$2205,0)),"MISSING ID")</x:f>
        <x:v>Unspecified</x:v>
      </x:c>
      <x:c r="P900" s="4"/>
      <x:c r="Q900" s="4" t="str">
        <x:f>IFERROR(INDEX('Material routes'!$J$6:$J$2205,MATCH(V900,'Material routes'!$A$6:$A$2205,0)),"MISSING ID")</x:f>
        <x:v>Unspecified</x:v>
      </x:c>
      <x:c r="R900" s="4" t="str">
        <x:f>IF(L900="Withheld","Withheld premise",IF(E900="Tool candidate","Reusable prerequisite",IF(K900="Raw entry preparation","Entry-resource preparation",IF(G900="Not applicable",IF(IFERROR(INDEX('Items'!$AI$6:$AI$1005,MATCH(T900,'Items'!$A$6:$A$1005,0)),"MISSING ID")="Finished item","Finished endpoint",IF(IFERROR(INDEX('Items'!$AI$6:$AI$1005,MATCH(T900,'Items'!$A$6:$A$1005,0)),"MISSING ID")="Currency","Currency / no refinement tier","Recovered output / tier not applicable")),IF(OR(IFERROR(INDEX('Crafting recipes'!$H$6:$H$1005,MATCH(J900,'Crafting recipes'!$A$6:$A$1005,0)),"MISSING ID")="Unassigned",G900="Unassigned"),"Tier unresolved",IF(IFERROR(VALUE(RIGHT(G900,1))-VALUE(RIGHT(IFERROR(INDEX('Crafting recipes'!$H$6:$H$1005,MATCH(J900,'Crafting recipes'!$A$6:$A$1005,0)),"MISSING ID"),1)),0)=1,IF(B900=IFERROR(INDEX('Crafting recipes'!$H$6:$H$1005,MATCH(J900,'Crafting recipes'!$A$6:$A$1005,0)),"MISSING ID"),"Advances one material tier","Lower-tier ingredient; route advances one tier"),"Needs tier review"))))))</x:f>
        <x:v>Finished endpoint</x:v>
      </x:c>
      <x:c r="S900" s="4" t="str">
        <x:f>IFERROR(INDEX('Material routes'!$D$6:$D$2205,MATCH(U900,'Material routes'!$A$6:$A$2205,0)),"MISSING ID")</x:f>
        <x:v>author.metallurgy.steel_stock</x:v>
      </x:c>
      <x:c r="T900" s="4" t="str">
        <x:f>IFERROR(INDEX('Material routes'!$D$6:$D$2205,MATCH(V900,'Material routes'!$A$6:$A$2205,0)),"MISSING ID")</x:f>
        <x:v>proposal.collection.coil_carbine_slug</x:v>
      </x:c>
      <x:c r="U900" s="4" t="str">
        <x:v>design.collection.coil_carbine_slug.in.1</x:v>
      </x:c>
      <x:c r="V900" s="4" t="str">
        <x:v>design.collection.coil_carbine_slug.out</x:v>
      </x:c>
    </x:row>
    <x:row r="901" ht="64" customHeight="1">
      <x:c r="A901" s="4" t="str">
        <x:f>IFERROR(INDEX('Material routes'!$E$6:$E$2205,MATCH(U901,'Material routes'!$A$6:$A$2205,0)),"MISSING ID")</x:f>
        <x:v>Ceramic-dielectric pulse bank</x:v>
      </x:c>
      <x:c r="B901" s="4" t="str">
        <x:f>IFERROR(INDEX('Material routes'!$F$6:$F$2205,MATCH(U901,'Material routes'!$A$6:$A$2205,0)),"MISSING ID")</x:f>
        <x:v>Not applicable</x:v>
      </x:c>
      <x:c r="C901" s="4" t="str">
        <x:f>IFERROR(INDEX('Material routes'!$H$6:$H$2205,MATCH(U901,'Material routes'!$A$6:$A$2205,0)),"MISSING ID")</x:f>
        <x:v>Energy storage</x:v>
      </x:c>
      <x:c r="D901" s="4" t="str">
        <x:f>IFERROR(INDEX('Material routes'!$G$6:$G$2205,MATCH(U901,'Material routes'!$A$6:$A$2205,0)),"MISSING ID")</x:f>
        <x:v>Crafting components</x:v>
      </x:c>
      <x:c r="E901" s="4" t="str">
        <x:f>IFERROR(INDEX('Material routes'!$C$6:$C$2205,MATCH(U901,'Material routes'!$A$6:$A$2205,0)),"MISSING ID")</x:f>
        <x:v>Ingredient candidate</x:v>
      </x:c>
      <x:c r="F901" s="4" t="str">
        <x:f>IFERROR(INDEX('Material routes'!$E$6:$E$2205,MATCH(V901,'Material routes'!$A$6:$A$2205,0)),"MISSING ID")</x:f>
        <x:v>Arc-gun discharge cartridge</x:v>
      </x:c>
      <x:c r="G901" s="4" t="str">
        <x:f>IFERROR(INDEX('Material routes'!$F$6:$F$2205,MATCH(V901,'Material routes'!$A$6:$A$2205,0)),"MISSING ID")</x:f>
        <x:v>Not applicable</x:v>
      </x:c>
      <x:c r="H901" s="4" t="str">
        <x:f>IFERROR(INDEX('Material routes'!$H$6:$H$2205,MATCH(V901,'Material routes'!$A$6:$A$2205,0)),"MISSING ID")</x:f>
        <x:v>Ammunition</x:v>
      </x:c>
      <x:c r="I901" s="4" t="str">
        <x:f>IFERROR(INDEX('Material routes'!$G$6:$G$2205,MATCH(V901,'Material routes'!$A$6:$A$2205,0)),"MISSING ID")</x:f>
        <x:v>Ammunition</x:v>
      </x:c>
      <x:c r="J901" s="4" t="str">
        <x:f>IFERROR(INDEX('Material routes'!$B$6:$B$2205,MATCH(U901,'Material routes'!$A$6:$A$2205,0)),"MISSING ID")</x:f>
        <x:v>design.collection.arc_gun_discharge_cartridge</x:v>
      </x:c>
      <x:c r="K901" s="4" t="str">
        <x:f>IFERROR(INDEX('Crafting recipes'!$C$6:$C$1005,MATCH(J901,'Crafting recipes'!$A$6:$A$1005,0)),"MISSING ID")</x:f>
        <x:v>Finished-item crafting</x:v>
      </x:c>
      <x:c r="L901" s="4" t="str">
        <x:f>IFERROR(INDEX('Material routes'!$K$6:$K$2205,MATCH(U901,'Material routes'!$A$6:$A$2205,0)),"MISSING ID")</x:f>
        <x:v>Proposal</x:v>
      </x:c>
      <x:c r="M901" s="4" t="str">
        <x:f>IFERROR(INDEX('Material routes'!$M$6:$M$2205,MATCH(U901,'Material routes'!$A$6:$A$2205,0)),"MISSING ID")</x:f>
        <x:v>Partial proposal</x:v>
      </x:c>
      <x:c r="N901" s="4"/>
      <x:c r="O901" s="4" t="str">
        <x:f>IFERROR(INDEX('Material routes'!$J$6:$J$2205,MATCH(U901,'Material routes'!$A$6:$A$2205,0)),"MISSING ID")</x:f>
        <x:v>Unspecified</x:v>
      </x:c>
      <x:c r="P901" s="4"/>
      <x:c r="Q901" s="4" t="str">
        <x:f>IFERROR(INDEX('Material routes'!$J$6:$J$2205,MATCH(V901,'Material routes'!$A$6:$A$2205,0)),"MISSING ID")</x:f>
        <x:v>Unspecified</x:v>
      </x:c>
      <x:c r="R901" s="4" t="str">
        <x:f>IF(L901="Withheld","Withheld premise",IF(E901="Tool candidate","Reusable prerequisite",IF(K901="Raw entry preparation","Entry-resource preparation",IF(G901="Not applicable",IF(IFERROR(INDEX('Items'!$AI$6:$AI$1005,MATCH(T901,'Items'!$A$6:$A$1005,0)),"MISSING ID")="Finished item","Finished endpoint",IF(IFERROR(INDEX('Items'!$AI$6:$AI$1005,MATCH(T901,'Items'!$A$6:$A$1005,0)),"MISSING ID")="Currency","Currency / no refinement tier","Recovered output / tier not applicable")),IF(OR(IFERROR(INDEX('Crafting recipes'!$H$6:$H$1005,MATCH(J901,'Crafting recipes'!$A$6:$A$1005,0)),"MISSING ID")="Unassigned",G901="Unassigned"),"Tier unresolved",IF(IFERROR(VALUE(RIGHT(G901,1))-VALUE(RIGHT(IFERROR(INDEX('Crafting recipes'!$H$6:$H$1005,MATCH(J901,'Crafting recipes'!$A$6:$A$1005,0)),"MISSING ID"),1)),0)=1,IF(B901=IFERROR(INDEX('Crafting recipes'!$H$6:$H$1005,MATCH(J901,'Crafting recipes'!$A$6:$A$1005,0)),"MISSING ID"),"Advances one material tier","Lower-tier ingredient; route advances one tier"),"Needs tier review"))))))</x:f>
        <x:v>Finished endpoint</x:v>
      </x:c>
      <x:c r="S901" s="4" t="str">
        <x:f>IFERROR(INDEX('Material routes'!$D$6:$D$2205,MATCH(U901,'Material routes'!$A$6:$A$2205,0)),"MISSING ID")</x:f>
        <x:v>proposal.collection.ceramic_dielectric_pulse_bank</x:v>
      </x:c>
      <x:c r="T901" s="4" t="str">
        <x:f>IFERROR(INDEX('Material routes'!$D$6:$D$2205,MATCH(V901,'Material routes'!$A$6:$A$2205,0)),"MISSING ID")</x:f>
        <x:v>proposal.collection.arc_gun_discharge_cartridge</x:v>
      </x:c>
      <x:c r="U901" s="4" t="str">
        <x:v>design.collection.arc_gun_discharge_cartridge.in.1</x:v>
      </x:c>
      <x:c r="V901" s="4" t="str">
        <x:v>design.collection.arc_gun_discharge_cartridge.out</x:v>
      </x:c>
    </x:row>
    <x:row r="902" ht="64" customHeight="1">
      <x:c r="A902" s="4" t="str">
        <x:f>IFERROR(INDEX('Material routes'!$E$6:$E$2205,MATCH(U902,'Material routes'!$A$6:$A$2205,0)),"MISSING ID")</x:f>
        <x:v>Broken magnet fragments</x:v>
      </x:c>
      <x:c r="B902" s="4" t="str">
        <x:f>IFERROR(INDEX('Material routes'!$F$6:$F$2205,MATCH(U902,'Material routes'!$A$6:$A$2205,0)),"MISSING ID")</x:f>
        <x:v>T0</x:v>
      </x:c>
      <x:c r="C902" s="4" t="str">
        <x:f>IFERROR(INDEX('Material routes'!$H$6:$H$2205,MATCH(U902,'Material routes'!$A$6:$A$2205,0)),"MISSING ID")</x:f>
        <x:v>Raw material</x:v>
      </x:c>
      <x:c r="D902" s="4" t="str">
        <x:f>IFERROR(INDEX('Material routes'!$G$6:$G$2205,MATCH(U902,'Material routes'!$A$6:$A$2205,0)),"MISSING ID")</x:f>
        <x:v>Salvage</x:v>
      </x:c>
      <x:c r="E902" s="4" t="str">
        <x:f>IFERROR(INDEX('Material routes'!$C$6:$C$2205,MATCH(U902,'Material routes'!$A$6:$A$2205,0)),"MISSING ID")</x:f>
        <x:v>Ingredient candidate</x:v>
      </x:c>
      <x:c r="F902" s="4" t="str">
        <x:f>IFERROR(INDEX('Material routes'!$E$6:$E$2205,MATCH(V902,'Material routes'!$A$6:$A$2205,0)),"MISSING ID")</x:f>
        <x:v>Screened remanent magnet pieces</x:v>
      </x:c>
      <x:c r="G902" s="4" t="str">
        <x:f>IFERROR(INDEX('Material routes'!$F$6:$F$2205,MATCH(V902,'Material routes'!$A$6:$A$2205,0)),"MISSING ID")</x:f>
        <x:v>T1</x:v>
      </x:c>
      <x:c r="H902" s="4" t="str">
        <x:f>IFERROR(INDEX('Material routes'!$H$6:$H$2205,MATCH(V902,'Material routes'!$A$6:$A$2205,0)),"MISSING ID")</x:f>
        <x:v>Processed material</x:v>
      </x:c>
      <x:c r="I902" s="4" t="str">
        <x:f>IFERROR(INDEX('Material routes'!$G$6:$G$2205,MATCH(V902,'Material routes'!$A$6:$A$2205,0)),"MISSING ID")</x:f>
        <x:v>Manufactured stock</x:v>
      </x:c>
      <x:c r="J902" s="4" t="str">
        <x:f>IFERROR(INDEX('Material routes'!$B$6:$B$2205,MATCH(U902,'Material routes'!$A$6:$A$2205,0)),"MISSING ID")</x:f>
        <x:v>design.audit.proposal_audit_screened_remanent_magnet_pieces</x:v>
      </x:c>
      <x:c r="K902" s="4" t="str">
        <x:f>IFERROR(INDEX('Crafting recipes'!$C$6:$C$1005,MATCH(J902,'Crafting recipes'!$A$6:$A$1005,0)),"MISSING ID")</x:f>
        <x:v>Material refinement</x:v>
      </x:c>
      <x:c r="L902" s="4" t="str">
        <x:f>IFERROR(INDEX('Material routes'!$K$6:$K$2205,MATCH(U902,'Material routes'!$A$6:$A$2205,0)),"MISSING ID")</x:f>
        <x:v>Proposal</x:v>
      </x:c>
      <x:c r="M902" s="4" t="str">
        <x:f>IFERROR(INDEX('Material routes'!$M$6:$M$2205,MATCH(U902,'Material routes'!$A$6:$A$2205,0)),"MISSING ID")</x:f>
        <x:v>Partial proposal</x:v>
      </x:c>
      <x:c r="N902" s="4"/>
      <x:c r="O902" s="4" t="str">
        <x:f>IFERROR(INDEX('Material routes'!$J$6:$J$2205,MATCH(U902,'Material routes'!$A$6:$A$2205,0)),"MISSING ID")</x:f>
        <x:v>Unspecified</x:v>
      </x:c>
      <x:c r="P902" s="4"/>
      <x:c r="Q902" s="4" t="str">
        <x:f>IFERROR(INDEX('Material routes'!$J$6:$J$2205,MATCH(V902,'Material routes'!$A$6:$A$2205,0)),"MISSING ID")</x:f>
        <x:v>Unspecified</x:v>
      </x:c>
      <x:c r="R902" s="4" t="str">
        <x:f>IF(L902="Withheld","Withheld premise",IF(E902="Tool candidate","Reusable prerequisite",IF(K902="Raw entry preparation","Entry-resource preparation",IF(G902="Not applicable",IF(IFERROR(INDEX('Items'!$AI$6:$AI$1005,MATCH(T902,'Items'!$A$6:$A$1005,0)),"MISSING ID")="Finished item","Finished endpoint",IF(IFERROR(INDEX('Items'!$AI$6:$AI$1005,MATCH(T902,'Items'!$A$6:$A$1005,0)),"MISSING ID")="Currency","Currency / no refinement tier","Recovered output / tier not applicable")),IF(OR(IFERROR(INDEX('Crafting recipes'!$H$6:$H$1005,MATCH(J902,'Crafting recipes'!$A$6:$A$1005,0)),"MISSING ID")="Unassigned",G902="Unassigned"),"Tier unresolved",IF(IFERROR(VALUE(RIGHT(G902,1))-VALUE(RIGHT(IFERROR(INDEX('Crafting recipes'!$H$6:$H$1005,MATCH(J902,'Crafting recipes'!$A$6:$A$1005,0)),"MISSING ID"),1)),0)=1,IF(B902=IFERROR(INDEX('Crafting recipes'!$H$6:$H$1005,MATCH(J902,'Crafting recipes'!$A$6:$A$1005,0)),"MISSING ID"),"Advances one material tier","Lower-tier ingredient; route advances one tier"),"Needs tier review"))))))</x:f>
        <x:v>Advances one material tier</x:v>
      </x:c>
      <x:c r="S902" s="4" t="str">
        <x:f>IFERROR(INDEX('Material routes'!$D$6:$D$2205,MATCH(U902,'Material routes'!$A$6:$A$2205,0)),"MISSING ID")</x:f>
        <x:v>proposal.raw.magnet_fragments</x:v>
      </x:c>
      <x:c r="T902" s="4" t="str">
        <x:f>IFERROR(INDEX('Material routes'!$D$6:$D$2205,MATCH(V902,'Material routes'!$A$6:$A$2205,0)),"MISSING ID")</x:f>
        <x:v>proposal.audit.screened_remanent_magnet_pieces</x:v>
      </x:c>
      <x:c r="U902" s="4" t="str">
        <x:v>design.audit.proposal_audit_screened_remanent_magnet_pieces.audit.in.1</x:v>
      </x:c>
      <x:c r="V902" s="4" t="str">
        <x:v>design.audit.proposal_audit_screened_remanent_magnet_pieces.audit.out</x:v>
      </x:c>
    </x:row>
    <x:row r="903" ht="64" customHeight="1">
      <x:c r="A903" s="4" t="str">
        <x:f>IFERROR(INDEX('Material routes'!$E$6:$E$2205,MATCH(U903,'Material routes'!$A$6:$A$2205,0)),"MISSING ID")</x:f>
        <x:v>Processed hide material</x:v>
      </x:c>
      <x:c r="B903" s="4" t="str">
        <x:f>IFERROR(INDEX('Material routes'!$F$6:$F$2205,MATCH(U903,'Material routes'!$A$6:$A$2205,0)),"MISSING ID")</x:f>
        <x:v>T1</x:v>
      </x:c>
      <x:c r="C903" s="4" t="str">
        <x:f>IFERROR(INDEX('Material routes'!$H$6:$H$2205,MATCH(U903,'Material routes'!$A$6:$A$2205,0)),"MISSING ID")</x:f>
        <x:v>Processed material</x:v>
      </x:c>
      <x:c r="D903" s="4" t="str">
        <x:f>IFERROR(INDEX('Material routes'!$G$6:$G$2205,MATCH(U903,'Material routes'!$A$6:$A$2205,0)),"MISSING ID")</x:f>
        <x:v>Crafting components</x:v>
      </x:c>
      <x:c r="E903" s="4" t="str">
        <x:f>IFERROR(INDEX('Material routes'!$C$6:$C$2205,MATCH(U903,'Material routes'!$A$6:$A$2205,0)),"MISSING ID")</x:f>
        <x:v>Ingredient candidate</x:v>
      </x:c>
      <x:c r="F903" s="4" t="str">
        <x:f>IFERROR(INDEX('Material routes'!$E$6:$E$2205,MATCH(V903,'Material routes'!$A$6:$A$2205,0)),"MISSING ID")</x:f>
        <x:v>Pressed hide fastening strips</x:v>
      </x:c>
      <x:c r="G903" s="4" t="str">
        <x:f>IFERROR(INDEX('Material routes'!$F$6:$F$2205,MATCH(V903,'Material routes'!$A$6:$A$2205,0)),"MISSING ID")</x:f>
        <x:v>T2</x:v>
      </x:c>
      <x:c r="H903" s="4" t="str">
        <x:f>IFERROR(INDEX('Material routes'!$H$6:$H$2205,MATCH(V903,'Material routes'!$A$6:$A$2205,0)),"MISSING ID")</x:f>
        <x:v>Processed material</x:v>
      </x:c>
      <x:c r="I903" s="4" t="str">
        <x:f>IFERROR(INDEX('Material routes'!$G$6:$G$2205,MATCH(V903,'Material routes'!$A$6:$A$2205,0)),"MISSING ID")</x:f>
        <x:v>Manufactured stock</x:v>
      </x:c>
      <x:c r="J903" s="4" t="str">
        <x:f>IFERROR(INDEX('Material routes'!$B$6:$B$2205,MATCH(U903,'Material routes'!$A$6:$A$2205,0)),"MISSING ID")</x:f>
        <x:v>design.audit.proposal_audit_pressed_hide_fastening_strips</x:v>
      </x:c>
      <x:c r="K903" s="4" t="str">
        <x:f>IFERROR(INDEX('Crafting recipes'!$C$6:$C$1005,MATCH(J903,'Crafting recipes'!$A$6:$A$1005,0)),"MISSING ID")</x:f>
        <x:v>Material refinement</x:v>
      </x:c>
      <x:c r="L903" s="4" t="str">
        <x:f>IFERROR(INDEX('Material routes'!$K$6:$K$2205,MATCH(U903,'Material routes'!$A$6:$A$2205,0)),"MISSING ID")</x:f>
        <x:v>Proposal</x:v>
      </x:c>
      <x:c r="M903" s="4" t="str">
        <x:f>IFERROR(INDEX('Material routes'!$M$6:$M$2205,MATCH(U903,'Material routes'!$A$6:$A$2205,0)),"MISSING ID")</x:f>
        <x:v>Partial proposal</x:v>
      </x:c>
      <x:c r="N903" s="4"/>
      <x:c r="O903" s="4" t="str">
        <x:f>IFERROR(INDEX('Material routes'!$J$6:$J$2205,MATCH(U903,'Material routes'!$A$6:$A$2205,0)),"MISSING ID")</x:f>
        <x:v>Unspecified</x:v>
      </x:c>
      <x:c r="P903" s="4"/>
      <x:c r="Q903" s="4" t="str">
        <x:f>IFERROR(INDEX('Material routes'!$J$6:$J$2205,MATCH(V903,'Material routes'!$A$6:$A$2205,0)),"MISSING ID")</x:f>
        <x:v>Unspecified</x:v>
      </x:c>
      <x:c r="R903" s="4" t="str">
        <x:f>IF(L903="Withheld","Withheld premise",IF(E903="Tool candidate","Reusable prerequisite",IF(K903="Raw entry preparation","Entry-resource preparation",IF(G903="Not applicable",IF(IFERROR(INDEX('Items'!$AI$6:$AI$1005,MATCH(T903,'Items'!$A$6:$A$1005,0)),"MISSING ID")="Finished item","Finished endpoint",IF(IFERROR(INDEX('Items'!$AI$6:$AI$1005,MATCH(T903,'Items'!$A$6:$A$1005,0)),"MISSING ID")="Currency","Currency / no refinement tier","Recovered output / tier not applicable")),IF(OR(IFERROR(INDEX('Crafting recipes'!$H$6:$H$1005,MATCH(J903,'Crafting recipes'!$A$6:$A$1005,0)),"MISSING ID")="Unassigned",G903="Unassigned"),"Tier unresolved",IF(IFERROR(VALUE(RIGHT(G903,1))-VALUE(RIGHT(IFERROR(INDEX('Crafting recipes'!$H$6:$H$1005,MATCH(J903,'Crafting recipes'!$A$6:$A$1005,0)),"MISSING ID"),1)),0)=1,IF(B903=IFERROR(INDEX('Crafting recipes'!$H$6:$H$1005,MATCH(J903,'Crafting recipes'!$A$6:$A$1005,0)),"MISSING ID"),"Advances one material tier","Lower-tier ingredient; route advances one tier"),"Needs tier review"))))))</x:f>
        <x:v>Advances one material tier</x:v>
      </x:c>
      <x:c r="S903" s="4" t="str">
        <x:f>IFERROR(INDEX('Material routes'!$D$6:$D$2205,MATCH(U903,'Material routes'!$A$6:$A$2205,0)),"MISSING ID")</x:f>
        <x:v>proposal.bio.hide_material</x:v>
      </x:c>
      <x:c r="T903" s="4" t="str">
        <x:f>IFERROR(INDEX('Material routes'!$D$6:$D$2205,MATCH(V903,'Material routes'!$A$6:$A$2205,0)),"MISSING ID")</x:f>
        <x:v>proposal.audit.pressed_hide_fastening_strips</x:v>
      </x:c>
      <x:c r="U903" s="4" t="str">
        <x:v>design.audit.proposal_audit_pressed_hide_fastening_strips.audit.in.1</x:v>
      </x:c>
      <x:c r="V903" s="4" t="str">
        <x:v>design.audit.proposal_audit_pressed_hide_fastening_strips.audit.out</x:v>
      </x:c>
    </x:row>
    <x:row r="904" ht="64" customHeight="1">
      <x:c r="A904" s="4" t="str">
        <x:f>IFERROR(INDEX('Material routes'!$E$6:$E$2205,MATCH(U904,'Material routes'!$A$6:$A$2205,0)),"MISSING ID")</x:f>
        <x:v>Spring-grade steel stock</x:v>
      </x:c>
      <x:c r="B904" s="4" t="str">
        <x:f>IFERROR(INDEX('Material routes'!$F$6:$F$2205,MATCH(U904,'Material routes'!$A$6:$A$2205,0)),"MISSING ID")</x:f>
        <x:v>T3</x:v>
      </x:c>
      <x:c r="C904" s="4" t="str">
        <x:f>IFERROR(INDEX('Material routes'!$H$6:$H$2205,MATCH(U904,'Material routes'!$A$6:$A$2205,0)),"MISSING ID")</x:f>
        <x:v>Processed material</x:v>
      </x:c>
      <x:c r="D904" s="4" t="str">
        <x:f>IFERROR(INDEX('Material routes'!$G$6:$G$2205,MATCH(U904,'Material routes'!$A$6:$A$2205,0)),"MISSING ID")</x:f>
        <x:v>Manufactured stock</x:v>
      </x:c>
      <x:c r="E904" s="4" t="str">
        <x:f>IFERROR(INDEX('Material routes'!$C$6:$C$2205,MATCH(U904,'Material routes'!$A$6:$A$2205,0)),"MISSING ID")</x:f>
        <x:v>Ingredient candidate</x:v>
      </x:c>
      <x:c r="F904" s="4" t="str">
        <x:f>IFERROR(INDEX('Material routes'!$E$6:$E$2205,MATCH(V904,'Material routes'!$A$6:$A$2205,0)),"MISSING ID")</x:f>
        <x:v>Drawn steel music-wire stock</x:v>
      </x:c>
      <x:c r="G904" s="4" t="str">
        <x:f>IFERROR(INDEX('Material routes'!$F$6:$F$2205,MATCH(V904,'Material routes'!$A$6:$A$2205,0)),"MISSING ID")</x:f>
        <x:v>T4</x:v>
      </x:c>
      <x:c r="H904" s="4" t="str">
        <x:f>IFERROR(INDEX('Material routes'!$H$6:$H$2205,MATCH(V904,'Material routes'!$A$6:$A$2205,0)),"MISSING ID")</x:f>
        <x:v>Processed material</x:v>
      </x:c>
      <x:c r="I904" s="4" t="str">
        <x:f>IFERROR(INDEX('Material routes'!$G$6:$G$2205,MATCH(V904,'Material routes'!$A$6:$A$2205,0)),"MISSING ID")</x:f>
        <x:v>Manufactured stock</x:v>
      </x:c>
      <x:c r="J904" s="4" t="str">
        <x:f>IFERROR(INDEX('Material routes'!$B$6:$B$2205,MATCH(U904,'Material routes'!$A$6:$A$2205,0)),"MISSING ID")</x:f>
        <x:v>design.audit.proposal_audit_drawn_steel_music_wire_stock</x:v>
      </x:c>
      <x:c r="K904" s="4" t="str">
        <x:f>IFERROR(INDEX('Crafting recipes'!$C$6:$C$1005,MATCH(J904,'Crafting recipes'!$A$6:$A$1005,0)),"MISSING ID")</x:f>
        <x:v>Material refinement</x:v>
      </x:c>
      <x:c r="L904" s="4" t="str">
        <x:f>IFERROR(INDEX('Material routes'!$K$6:$K$2205,MATCH(U904,'Material routes'!$A$6:$A$2205,0)),"MISSING ID")</x:f>
        <x:v>Proposal</x:v>
      </x:c>
      <x:c r="M904" s="4" t="str">
        <x:f>IFERROR(INDEX('Material routes'!$M$6:$M$2205,MATCH(U904,'Material routes'!$A$6:$A$2205,0)),"MISSING ID")</x:f>
        <x:v>Partial proposal</x:v>
      </x:c>
      <x:c r="N904" s="4"/>
      <x:c r="O904" s="4" t="str">
        <x:f>IFERROR(INDEX('Material routes'!$J$6:$J$2205,MATCH(U904,'Material routes'!$A$6:$A$2205,0)),"MISSING ID")</x:f>
        <x:v>Unspecified</x:v>
      </x:c>
      <x:c r="P904" s="4"/>
      <x:c r="Q904" s="4" t="str">
        <x:f>IFERROR(INDEX('Material routes'!$J$6:$J$2205,MATCH(V904,'Material routes'!$A$6:$A$2205,0)),"MISSING ID")</x:f>
        <x:v>Unspecified</x:v>
      </x:c>
      <x:c r="R904" s="4" t="str">
        <x:f>IF(L904="Withheld","Withheld premise",IF(E904="Tool candidate","Reusable prerequisite",IF(K904="Raw entry preparation","Entry-resource preparation",IF(G904="Not applicable",IF(IFERROR(INDEX('Items'!$AI$6:$AI$1005,MATCH(T904,'Items'!$A$6:$A$1005,0)),"MISSING ID")="Finished item","Finished endpoint",IF(IFERROR(INDEX('Items'!$AI$6:$AI$1005,MATCH(T904,'Items'!$A$6:$A$1005,0)),"MISSING ID")="Currency","Currency / no refinement tier","Recovered output / tier not applicable")),IF(OR(IFERROR(INDEX('Crafting recipes'!$H$6:$H$1005,MATCH(J904,'Crafting recipes'!$A$6:$A$1005,0)),"MISSING ID")="Unassigned",G904="Unassigned"),"Tier unresolved",IF(IFERROR(VALUE(RIGHT(G904,1))-VALUE(RIGHT(IFERROR(INDEX('Crafting recipes'!$H$6:$H$1005,MATCH(J904,'Crafting recipes'!$A$6:$A$1005,0)),"MISSING ID"),1)),0)=1,IF(B904=IFERROR(INDEX('Crafting recipes'!$H$6:$H$1005,MATCH(J904,'Crafting recipes'!$A$6:$A$1005,0)),"MISSING ID"),"Advances one material tier","Lower-tier ingredient; route advances one tier"),"Needs tier review"))))))</x:f>
        <x:v>Advances one material tier</x:v>
      </x:c>
      <x:c r="S904" s="4" t="str">
        <x:f>IFERROR(INDEX('Material routes'!$D$6:$D$2205,MATCH(U904,'Material routes'!$A$6:$A$2205,0)),"MISSING ID")</x:f>
        <x:v>proposal.branch.spring_steel</x:v>
      </x:c>
      <x:c r="T904" s="4" t="str">
        <x:f>IFERROR(INDEX('Material routes'!$D$6:$D$2205,MATCH(V904,'Material routes'!$A$6:$A$2205,0)),"MISSING ID")</x:f>
        <x:v>proposal.audit.drawn_steel_music_wire_stock</x:v>
      </x:c>
      <x:c r="U904" s="4" t="str">
        <x:v>design.audit.proposal_audit_drawn_steel_music_wire_stock.audit.in.1</x:v>
      </x:c>
      <x:c r="V904" s="4" t="str">
        <x:v>design.audit.proposal_audit_drawn_steel_music_wire_stock.audit.out</x:v>
      </x:c>
    </x:row>
    <x:row r="905" ht="64" customHeight="1">
      <x:c r="A905" s="4"/>
      <x:c r="B905" s="4"/>
      <x:c r="C905" s="4"/>
      <x:c r="D905" s="4"/>
      <x:c r="E905" s="4"/>
      <x:c r="F905" s="4"/>
      <x:c r="G905" s="4"/>
      <x:c r="H905" s="4"/>
      <x:c r="I905" s="4"/>
      <x:c r="J905" s="4"/>
      <x:c r="K905" s="4"/>
      <x:c r="L905" s="4"/>
      <x:c r="M905" s="4"/>
      <x:c r="N905" s="4"/>
      <x:c r="P905" s="4"/>
      <x:c r="R905" s="4"/>
      <x:c r="S905" s="4"/>
      <x:c r="T905" s="4"/>
      <x:c r="U905" s="4"/>
      <x:c r="V905" s="4"/>
    </x:row>
    <x:row r="906" ht="64" customHeight="1">
      <x:c r="A906" s="4"/>
      <x:c r="B906" s="4"/>
      <x:c r="C906" s="4"/>
      <x:c r="D906" s="4"/>
      <x:c r="E906" s="4"/>
      <x:c r="F906" s="4"/>
      <x:c r="G906" s="4"/>
      <x:c r="H906" s="4"/>
      <x:c r="I906" s="4"/>
      <x:c r="J906" s="4"/>
      <x:c r="K906" s="4"/>
      <x:c r="L906" s="4"/>
      <x:c r="M906" s="4"/>
      <x:c r="N906" s="4"/>
      <x:c r="P906" s="4"/>
      <x:c r="R906" s="4"/>
      <x:c r="S906" s="4"/>
      <x:c r="T906" s="4"/>
      <x:c r="U906" s="4"/>
      <x:c r="V906" s="4"/>
    </x:row>
    <x:row r="907" ht="64" customHeight="1">
      <x:c r="A907" s="4" t="str">
        <x:f>IFERROR(INDEX('Material routes'!$E$6:$E$2205,MATCH(U907,'Material routes'!$A$6:$A$2205,0)),"MISSING ID")</x:f>
        <x:v>Graded graphite flakes</x:v>
      </x:c>
      <x:c r="B907" s="4" t="str">
        <x:f>IFERROR(INDEX('Material routes'!$F$6:$F$2205,MATCH(U907,'Material routes'!$A$6:$A$2205,0)),"MISSING ID")</x:f>
        <x:v>T1</x:v>
      </x:c>
      <x:c r="C907" s="4" t="str">
        <x:f>IFERROR(INDEX('Material routes'!$H$6:$H$2205,MATCH(U907,'Material routes'!$A$6:$A$2205,0)),"MISSING ID")</x:f>
        <x:v>Processed material</x:v>
      </x:c>
      <x:c r="D907" s="4" t="str">
        <x:f>IFERROR(INDEX('Material routes'!$G$6:$G$2205,MATCH(U907,'Material routes'!$A$6:$A$2205,0)),"MISSING ID")</x:f>
        <x:v>Manufactured stock</x:v>
      </x:c>
      <x:c r="E907" s="4" t="str">
        <x:f>IFERROR(INDEX('Material routes'!$C$6:$C$2205,MATCH(U907,'Material routes'!$A$6:$A$2205,0)),"MISSING ID")</x:f>
        <x:v>Ingredient candidate</x:v>
      </x:c>
      <x:c r="F907" s="4" t="str">
        <x:f>IFERROR(INDEX('Material routes'!$E$6:$E$2205,MATCH(V907,'Material routes'!$A$6:$A$2205,0)),"MISSING ID")</x:f>
        <x:v>Graphite electrode plate stock</x:v>
      </x:c>
      <x:c r="G907" s="4" t="str">
        <x:f>IFERROR(INDEX('Material routes'!$F$6:$F$2205,MATCH(V907,'Material routes'!$A$6:$A$2205,0)),"MISSING ID")</x:f>
        <x:v>T2</x:v>
      </x:c>
      <x:c r="H907" s="4" t="str">
        <x:f>IFERROR(INDEX('Material routes'!$H$6:$H$2205,MATCH(V907,'Material routes'!$A$6:$A$2205,0)),"MISSING ID")</x:f>
        <x:v>Processed material</x:v>
      </x:c>
      <x:c r="I907" s="4" t="str">
        <x:f>IFERROR(INDEX('Material routes'!$G$6:$G$2205,MATCH(V907,'Material routes'!$A$6:$A$2205,0)),"MISSING ID")</x:f>
        <x:v>Manufactured stock</x:v>
      </x:c>
      <x:c r="J907" s="4" t="str">
        <x:f>IFERROR(INDEX('Material routes'!$B$6:$B$2205,MATCH(U907,'Material routes'!$A$6:$A$2205,0)),"MISSING ID")</x:f>
        <x:v>design.audit.proposal_audit_graphite_electrode_plate_stock</x:v>
      </x:c>
      <x:c r="K907" s="4" t="str">
        <x:f>IFERROR(INDEX('Crafting recipes'!$C$6:$C$1005,MATCH(J907,'Crafting recipes'!$A$6:$A$1005,0)),"MISSING ID")</x:f>
        <x:v>Material refinement</x:v>
      </x:c>
      <x:c r="L907" s="4" t="str">
        <x:f>IFERROR(INDEX('Material routes'!$K$6:$K$2205,MATCH(U907,'Material routes'!$A$6:$A$2205,0)),"MISSING ID")</x:f>
        <x:v>Proposal</x:v>
      </x:c>
      <x:c r="M907" s="4" t="str">
        <x:f>IFERROR(INDEX('Material routes'!$M$6:$M$2205,MATCH(U907,'Material routes'!$A$6:$A$2205,0)),"MISSING ID")</x:f>
        <x:v>Partial proposal</x:v>
      </x:c>
      <x:c r="N907" s="4"/>
      <x:c r="O907" s="4" t="str">
        <x:f>IFERROR(INDEX('Material routes'!$J$6:$J$2205,MATCH(U907,'Material routes'!$A$6:$A$2205,0)),"MISSING ID")</x:f>
        <x:v>Unspecified</x:v>
      </x:c>
      <x:c r="P907" s="4"/>
      <x:c r="Q907" s="4" t="str">
        <x:f>IFERROR(INDEX('Material routes'!$J$6:$J$2205,MATCH(V907,'Material routes'!$A$6:$A$2205,0)),"MISSING ID")</x:f>
        <x:v>Unspecified</x:v>
      </x:c>
      <x:c r="R907" s="4" t="str">
        <x:f>IF(L907="Withheld","Withheld premise",IF(E907="Tool candidate","Reusable prerequisite",IF(K907="Raw entry preparation","Entry-resource preparation",IF(G907="Not applicable",IF(IFERROR(INDEX('Items'!$AI$6:$AI$1005,MATCH(T907,'Items'!$A$6:$A$1005,0)),"MISSING ID")="Finished item","Finished endpoint",IF(IFERROR(INDEX('Items'!$AI$6:$AI$1005,MATCH(T907,'Items'!$A$6:$A$1005,0)),"MISSING ID")="Currency","Currency / no refinement tier","Recovered output / tier not applicable")),IF(OR(IFERROR(INDEX('Crafting recipes'!$H$6:$H$1005,MATCH(J907,'Crafting recipes'!$A$6:$A$1005,0)),"MISSING ID")="Unassigned",G907="Unassigned"),"Tier unresolved",IF(IFERROR(VALUE(RIGHT(G907,1))-VALUE(RIGHT(IFERROR(INDEX('Crafting recipes'!$H$6:$H$1005,MATCH(J907,'Crafting recipes'!$A$6:$A$1005,0)),"MISSING ID"),1)),0)=1,IF(B907=IFERROR(INDEX('Crafting recipes'!$H$6:$H$1005,MATCH(J907,'Crafting recipes'!$A$6:$A$1005,0)),"MISSING ID"),"Advances one material tier","Lower-tier ingredient; route advances one tier"),"Needs tier review"))))))</x:f>
        <x:v>Advances one material tier</x:v>
      </x:c>
      <x:c r="S907" s="4" t="str">
        <x:f>IFERROR(INDEX('Material routes'!$D$6:$D$2205,MATCH(U907,'Material routes'!$A$6:$A$2205,0)),"MISSING ID")</x:f>
        <x:v>proposal.natural.carbon</x:v>
      </x:c>
      <x:c r="T907" s="4" t="str">
        <x:f>IFERROR(INDEX('Material routes'!$D$6:$D$2205,MATCH(V907,'Material routes'!$A$6:$A$2205,0)),"MISSING ID")</x:f>
        <x:v>proposal.audit.graphite_electrode_plate_stock</x:v>
      </x:c>
      <x:c r="U907" s="4" t="str">
        <x:v>design.audit.proposal_audit_graphite_electrode_plate_stock.audit.in.1</x:v>
      </x:c>
      <x:c r="V907" s="4" t="str">
        <x:v>design.audit.proposal_audit_graphite_electrode_plate_stock.audit.out</x:v>
      </x:c>
    </x:row>
    <x:row r="908" ht="64" customHeight="1">
      <x:c r="A908" s="4" t="str">
        <x:f>IFERROR(INDEX('Material routes'!$E$6:$E$2205,MATCH(U908,'Material routes'!$A$6:$A$2205,0)),"MISSING ID")</x:f>
        <x:v>Prepared shell-binding adhesive</x:v>
      </x:c>
      <x:c r="B908" s="4" t="str">
        <x:f>IFERROR(INDEX('Material routes'!$F$6:$F$2205,MATCH(U908,'Material routes'!$A$6:$A$2205,0)),"MISSING ID")</x:f>
        <x:v>T1</x:v>
      </x:c>
      <x:c r="C908" s="4" t="str">
        <x:f>IFERROR(INDEX('Material routes'!$H$6:$H$2205,MATCH(U908,'Material routes'!$A$6:$A$2205,0)),"MISSING ID")</x:f>
        <x:v>Chemical material</x:v>
      </x:c>
      <x:c r="D908" s="4" t="str">
        <x:f>IFERROR(INDEX('Material routes'!$G$6:$G$2205,MATCH(U908,'Material routes'!$A$6:$A$2205,0)),"MISSING ID")</x:f>
        <x:v>Crafting components</x:v>
      </x:c>
      <x:c r="E908" s="4" t="str">
        <x:f>IFERROR(INDEX('Material routes'!$C$6:$C$2205,MATCH(U908,'Material routes'!$A$6:$A$2205,0)),"MISSING ID")</x:f>
        <x:v>Ingredient candidate</x:v>
      </x:c>
      <x:c r="F908" s="4" t="str">
        <x:f>IFERROR(INDEX('Material routes'!$E$6:$E$2205,MATCH(V908,'Material routes'!$A$6:$A$2205,0)),"MISSING ID")</x:f>
        <x:v>Graphite electrode plate stock</x:v>
      </x:c>
      <x:c r="G908" s="4" t="str">
        <x:f>IFERROR(INDEX('Material routes'!$F$6:$F$2205,MATCH(V908,'Material routes'!$A$6:$A$2205,0)),"MISSING ID")</x:f>
        <x:v>T2</x:v>
      </x:c>
      <x:c r="H908" s="4" t="str">
        <x:f>IFERROR(INDEX('Material routes'!$H$6:$H$2205,MATCH(V908,'Material routes'!$A$6:$A$2205,0)),"MISSING ID")</x:f>
        <x:v>Processed material</x:v>
      </x:c>
      <x:c r="I908" s="4" t="str">
        <x:f>IFERROR(INDEX('Material routes'!$G$6:$G$2205,MATCH(V908,'Material routes'!$A$6:$A$2205,0)),"MISSING ID")</x:f>
        <x:v>Manufactured stock</x:v>
      </x:c>
      <x:c r="J908" s="4" t="str">
        <x:f>IFERROR(INDEX('Material routes'!$B$6:$B$2205,MATCH(U908,'Material routes'!$A$6:$A$2205,0)),"MISSING ID")</x:f>
        <x:v>design.audit.proposal_audit_graphite_electrode_plate_stock</x:v>
      </x:c>
      <x:c r="K908" s="4" t="str">
        <x:f>IFERROR(INDEX('Crafting recipes'!$C$6:$C$1005,MATCH(J908,'Crafting recipes'!$A$6:$A$1005,0)),"MISSING ID")</x:f>
        <x:v>Material refinement</x:v>
      </x:c>
      <x:c r="L908" s="4" t="str">
        <x:f>IFERROR(INDEX('Material routes'!$K$6:$K$2205,MATCH(U908,'Material routes'!$A$6:$A$2205,0)),"MISSING ID")</x:f>
        <x:v>Proposal</x:v>
      </x:c>
      <x:c r="M908" s="4" t="str">
        <x:f>IFERROR(INDEX('Material routes'!$M$6:$M$2205,MATCH(U908,'Material routes'!$A$6:$A$2205,0)),"MISSING ID")</x:f>
        <x:v>Partial proposal</x:v>
      </x:c>
      <x:c r="N908" s="4"/>
      <x:c r="O908" s="4" t="str">
        <x:f>IFERROR(INDEX('Material routes'!$J$6:$J$2205,MATCH(U908,'Material routes'!$A$6:$A$2205,0)),"MISSING ID")</x:f>
        <x:v>Unspecified</x:v>
      </x:c>
      <x:c r="P908" s="4"/>
      <x:c r="Q908" s="4" t="str">
        <x:f>IFERROR(INDEX('Material routes'!$J$6:$J$2205,MATCH(V908,'Material routes'!$A$6:$A$2205,0)),"MISSING ID")</x:f>
        <x:v>Unspecified</x:v>
      </x:c>
      <x:c r="R908" s="4" t="str">
        <x:f>IF(L908="Withheld","Withheld premise",IF(E908="Tool candidate","Reusable prerequisite",IF(K908="Raw entry preparation","Entry-resource preparation",IF(G908="Not applicable",IF(IFERROR(INDEX('Items'!$AI$6:$AI$1005,MATCH(T908,'Items'!$A$6:$A$1005,0)),"MISSING ID")="Finished item","Finished endpoint",IF(IFERROR(INDEX('Items'!$AI$6:$AI$1005,MATCH(T908,'Items'!$A$6:$A$1005,0)),"MISSING ID")="Currency","Currency / no refinement tier","Recovered output / tier not applicable")),IF(OR(IFERROR(INDEX('Crafting recipes'!$H$6:$H$1005,MATCH(J908,'Crafting recipes'!$A$6:$A$1005,0)),"MISSING ID")="Unassigned",G908="Unassigned"),"Tier unresolved",IF(IFERROR(VALUE(RIGHT(G908,1))-VALUE(RIGHT(IFERROR(INDEX('Crafting recipes'!$H$6:$H$1005,MATCH(J908,'Crafting recipes'!$A$6:$A$1005,0)),"MISSING ID"),1)),0)=1,IF(B908=IFERROR(INDEX('Crafting recipes'!$H$6:$H$1005,MATCH(J908,'Crafting recipes'!$A$6:$A$1005,0)),"MISSING ID"),"Advances one material tier","Lower-tier ingredient; route advances one tier"),"Needs tier review"))))))</x:f>
        <x:v>Advances one material tier</x:v>
      </x:c>
      <x:c r="S908" s="4" t="str">
        <x:f>IFERROR(INDEX('Material routes'!$D$6:$D$2205,MATCH(U908,'Material routes'!$A$6:$A$2205,0)),"MISSING ID")</x:f>
        <x:v>proposal.t1.shell_adhesive</x:v>
      </x:c>
      <x:c r="T908" s="4" t="str">
        <x:f>IFERROR(INDEX('Material routes'!$D$6:$D$2205,MATCH(V908,'Material routes'!$A$6:$A$2205,0)),"MISSING ID")</x:f>
        <x:v>proposal.audit.graphite_electrode_plate_stock</x:v>
      </x:c>
      <x:c r="U908" s="4" t="str">
        <x:v>design.audit.proposal_audit_graphite_electrode_plate_stock.audit.in.2</x:v>
      </x:c>
      <x:c r="V908" s="4" t="str">
        <x:v>design.audit.proposal_audit_graphite_electrode_plate_stock.audit.out</x:v>
      </x:c>
    </x:row>
    <x:row r="909" ht="64" customHeight="1">
      <x:c r="A909" s="4"/>
      <x:c r="B909" s="4"/>
      <x:c r="C909" s="4"/>
      <x:c r="D909" s="4"/>
      <x:c r="E909" s="4"/>
      <x:c r="F909" s="4"/>
      <x:c r="G909" s="4"/>
      <x:c r="H909" s="4"/>
      <x:c r="I909" s="4"/>
      <x:c r="J909" s="4"/>
      <x:c r="K909" s="4"/>
      <x:c r="L909" s="4"/>
      <x:c r="M909" s="4"/>
      <x:c r="N909" s="4"/>
      <x:c r="O909" s="4"/>
      <x:c r="P909" s="4"/>
      <x:c r="Q909" s="4"/>
      <x:c r="R909" s="4"/>
      <x:c r="S909" s="4"/>
      <x:c r="T909" s="4"/>
      <x:c r="U909" s="4"/>
      <x:c r="V909" s="4"/>
    </x:row>
    <x:row r="910" ht="64" customHeight="1">
      <x:c r="A910" s="4"/>
      <x:c r="B910" s="4"/>
      <x:c r="C910" s="4"/>
      <x:c r="D910" s="4"/>
      <x:c r="E910" s="4"/>
      <x:c r="F910" s="4"/>
      <x:c r="G910" s="4"/>
      <x:c r="H910" s="4"/>
      <x:c r="I910" s="4"/>
      <x:c r="J910" s="4"/>
      <x:c r="K910" s="4"/>
      <x:c r="L910" s="4"/>
      <x:c r="M910" s="4"/>
      <x:c r="N910" s="4"/>
      <x:c r="O910" s="4"/>
      <x:c r="P910" s="4"/>
      <x:c r="Q910" s="4"/>
      <x:c r="R910" s="4"/>
      <x:c r="S910" s="4"/>
      <x:c r="T910" s="4"/>
      <x:c r="U910" s="4"/>
      <x:c r="V910" s="4"/>
    </x:row>
    <x:row r="911" ht="64" customHeight="1">
      <x:c r="A911" s="4" t="str">
        <x:f>IFERROR(INDEX('Material routes'!$E$6:$E$2205,MATCH(U911,'Material routes'!$A$6:$A$2205,0)),"MISSING ID")</x:f>
        <x:v>Worked iron stock</x:v>
      </x:c>
      <x:c r="B911" s="4" t="str">
        <x:f>IFERROR(INDEX('Material routes'!$F$6:$F$2205,MATCH(U911,'Material routes'!$A$6:$A$2205,0)),"MISSING ID")</x:f>
        <x:v>T2</x:v>
      </x:c>
      <x:c r="C911" s="4" t="str">
        <x:f>IFERROR(INDEX('Material routes'!$H$6:$H$2205,MATCH(U911,'Material routes'!$A$6:$A$2205,0)),"MISSING ID")</x:f>
        <x:v>Processed material</x:v>
      </x:c>
      <x:c r="D911" s="4" t="str">
        <x:f>IFERROR(INDEX('Material routes'!$G$6:$G$2205,MATCH(U911,'Material routes'!$A$6:$A$2205,0)),"MISSING ID")</x:f>
        <x:v>Manufactured stock</x:v>
      </x:c>
      <x:c r="E911" s="4" t="str">
        <x:f>IFERROR(INDEX('Material routes'!$C$6:$C$2205,MATCH(U911,'Material routes'!$A$6:$A$2205,0)),"MISSING ID")</x:f>
        <x:v>Ingredient candidate</x:v>
      </x:c>
      <x:c r="F911" s="4" t="str">
        <x:f>IFERROR(INDEX('Material routes'!$E$6:$E$2205,MATCH(V911,'Material routes'!$A$6:$A$2205,0)),"MISSING ID")</x:f>
        <x:v>Shaped metal grip blank</x:v>
      </x:c>
      <x:c r="G911" s="4" t="str">
        <x:f>IFERROR(INDEX('Material routes'!$F$6:$F$2205,MATCH(V911,'Material routes'!$A$6:$A$2205,0)),"MISSING ID")</x:f>
        <x:v>T3</x:v>
      </x:c>
      <x:c r="H911" s="4" t="str">
        <x:f>IFERROR(INDEX('Material routes'!$H$6:$H$2205,MATCH(V911,'Material routes'!$A$6:$A$2205,0)),"MISSING ID")</x:f>
        <x:v>Crafting component</x:v>
      </x:c>
      <x:c r="I911" s="4" t="str">
        <x:f>IFERROR(INDEX('Material routes'!$G$6:$G$2205,MATCH(V911,'Material routes'!$A$6:$A$2205,0)),"MISSING ID")</x:f>
        <x:v>Crafting components</x:v>
      </x:c>
      <x:c r="J911" s="4" t="str">
        <x:f>IFERROR(INDEX('Material routes'!$B$6:$B$2205,MATCH(U911,'Material routes'!$A$6:$A$2205,0)),"MISSING ID")</x:f>
        <x:v>design.audit.proposal_audit_shaped_metal_grip_blank</x:v>
      </x:c>
      <x:c r="K911" s="4" t="str">
        <x:f>IFERROR(INDEX('Crafting recipes'!$C$6:$C$1005,MATCH(J911,'Crafting recipes'!$A$6:$A$1005,0)),"MISSING ID")</x:f>
        <x:v>Material refinement</x:v>
      </x:c>
      <x:c r="L911" s="4" t="str">
        <x:f>IFERROR(INDEX('Material routes'!$K$6:$K$2205,MATCH(U911,'Material routes'!$A$6:$A$2205,0)),"MISSING ID")</x:f>
        <x:v>Proposal</x:v>
      </x:c>
      <x:c r="M911" s="4" t="str">
        <x:f>IFERROR(INDEX('Material routes'!$M$6:$M$2205,MATCH(U911,'Material routes'!$A$6:$A$2205,0)),"MISSING ID")</x:f>
        <x:v>Partial proposal</x:v>
      </x:c>
      <x:c r="N911" s="4"/>
      <x:c r="O911" s="4" t="str">
        <x:f>IFERROR(INDEX('Material routes'!$J$6:$J$2205,MATCH(U911,'Material routes'!$A$6:$A$2205,0)),"MISSING ID")</x:f>
        <x:v>Unspecified</x:v>
      </x:c>
      <x:c r="P911" s="4"/>
      <x:c r="Q911" s="4" t="str">
        <x:f>IFERROR(INDEX('Material routes'!$J$6:$J$2205,MATCH(V911,'Material routes'!$A$6:$A$2205,0)),"MISSING ID")</x:f>
        <x:v>Unspecified</x:v>
      </x:c>
      <x:c r="R911" s="4" t="str">
        <x:f>IF(L911="Withheld","Withheld premise",IF(E911="Tool candidate","Reusable prerequisite",IF(K911="Raw entry preparation","Entry-resource preparation",IF(G911="Not applicable",IF(IFERROR(INDEX('Items'!$AI$6:$AI$1005,MATCH(T911,'Items'!$A$6:$A$1005,0)),"MISSING ID")="Finished item","Finished endpoint",IF(IFERROR(INDEX('Items'!$AI$6:$AI$1005,MATCH(T911,'Items'!$A$6:$A$1005,0)),"MISSING ID")="Currency","Currency / no refinement tier","Recovered output / tier not applicable")),IF(OR(IFERROR(INDEX('Crafting recipes'!$H$6:$H$1005,MATCH(J911,'Crafting recipes'!$A$6:$A$1005,0)),"MISSING ID")="Unassigned",G911="Unassigned"),"Tier unresolved",IF(IFERROR(VALUE(RIGHT(G911,1))-VALUE(RIGHT(IFERROR(INDEX('Crafting recipes'!$H$6:$H$1005,MATCH(J911,'Crafting recipes'!$A$6:$A$1005,0)),"MISSING ID"),1)),0)=1,IF(B911=IFERROR(INDEX('Crafting recipes'!$H$6:$H$1005,MATCH(J911,'Crafting recipes'!$A$6:$A$1005,0)),"MISSING ID"),"Advances one material tier","Lower-tier ingredient; route advances one tier"),"Needs tier review"))))))</x:f>
        <x:v>Advances one material tier</x:v>
      </x:c>
      <x:c r="S911" s="4" t="str">
        <x:f>IFERROR(INDEX('Material routes'!$D$6:$D$2205,MATCH(U911,'Material routes'!$A$6:$A$2205,0)),"MISSING ID")</x:f>
        <x:v>proposal.natural.iron_stock</x:v>
      </x:c>
      <x:c r="T911" s="4" t="str">
        <x:f>IFERROR(INDEX('Material routes'!$D$6:$D$2205,MATCH(V911,'Material routes'!$A$6:$A$2205,0)),"MISSING ID")</x:f>
        <x:v>proposal.audit.shaped_metal_grip_blank</x:v>
      </x:c>
      <x:c r="U911" s="4" t="str">
        <x:v>design.audit.proposal_audit_shaped_metal_grip_blank.audit.in.1</x:v>
      </x:c>
      <x:c r="V911" s="4" t="str">
        <x:v>design.audit.proposal_audit_shaped_metal_grip_blank.audit.out</x:v>
      </x:c>
    </x:row>
    <x:row r="912" ht="64" customHeight="1">
      <x:c r="A912" s="4" t="str">
        <x:f>IFERROR(INDEX('Material routes'!$E$6:$E$2205,MATCH(U912,'Material routes'!$A$6:$A$2205,0)),"MISSING ID")</x:f>
        <x:v>Spring-grade steel stock</x:v>
      </x:c>
      <x:c r="B912" s="4" t="str">
        <x:f>IFERROR(INDEX('Material routes'!$F$6:$F$2205,MATCH(U912,'Material routes'!$A$6:$A$2205,0)),"MISSING ID")</x:f>
        <x:v>T3</x:v>
      </x:c>
      <x:c r="C912" s="4" t="str">
        <x:f>IFERROR(INDEX('Material routes'!$H$6:$H$2205,MATCH(U912,'Material routes'!$A$6:$A$2205,0)),"MISSING ID")</x:f>
        <x:v>Processed material</x:v>
      </x:c>
      <x:c r="D912" s="4" t="str">
        <x:f>IFERROR(INDEX('Material routes'!$G$6:$G$2205,MATCH(U912,'Material routes'!$A$6:$A$2205,0)),"MISSING ID")</x:f>
        <x:v>Manufactured stock</x:v>
      </x:c>
      <x:c r="E912" s="4" t="str">
        <x:f>IFERROR(INDEX('Material routes'!$C$6:$C$2205,MATCH(U912,'Material routes'!$A$6:$A$2205,0)),"MISSING ID")</x:f>
        <x:v>Ingredient candidate</x:v>
      </x:c>
      <x:c r="F912" s="4" t="str">
        <x:f>IFERROR(INDEX('Material routes'!$E$6:$E$2205,MATCH(V912,'Material routes'!$A$6:$A$2205,0)),"MISSING ID")</x:f>
        <x:v>Linked steel mail rings</x:v>
      </x:c>
      <x:c r="G912" s="4" t="str">
        <x:f>IFERROR(INDEX('Material routes'!$F$6:$F$2205,MATCH(V912,'Material routes'!$A$6:$A$2205,0)),"MISSING ID")</x:f>
        <x:v>T4</x:v>
      </x:c>
      <x:c r="H912" s="4" t="str">
        <x:f>IFERROR(INDEX('Material routes'!$H$6:$H$2205,MATCH(V912,'Material routes'!$A$6:$A$2205,0)),"MISSING ID")</x:f>
        <x:v>Crafting component</x:v>
      </x:c>
      <x:c r="I912" s="4" t="str">
        <x:f>IFERROR(INDEX('Material routes'!$G$6:$G$2205,MATCH(V912,'Material routes'!$A$6:$A$2205,0)),"MISSING ID")</x:f>
        <x:v>Crafting components</x:v>
      </x:c>
      <x:c r="J912" s="4" t="str">
        <x:f>IFERROR(INDEX('Material routes'!$B$6:$B$2205,MATCH(U912,'Material routes'!$A$6:$A$2205,0)),"MISSING ID")</x:f>
        <x:v>design.audit.proposal_audit_linked_steel_mail_rings</x:v>
      </x:c>
      <x:c r="K912" s="4" t="str">
        <x:f>IFERROR(INDEX('Crafting recipes'!$C$6:$C$1005,MATCH(J912,'Crafting recipes'!$A$6:$A$1005,0)),"MISSING ID")</x:f>
        <x:v>Material refinement</x:v>
      </x:c>
      <x:c r="L912" s="4" t="str">
        <x:f>IFERROR(INDEX('Material routes'!$K$6:$K$2205,MATCH(U912,'Material routes'!$A$6:$A$2205,0)),"MISSING ID")</x:f>
        <x:v>Proposal</x:v>
      </x:c>
      <x:c r="M912" s="4" t="str">
        <x:f>IFERROR(INDEX('Material routes'!$M$6:$M$2205,MATCH(U912,'Material routes'!$A$6:$A$2205,0)),"MISSING ID")</x:f>
        <x:v>Partial proposal</x:v>
      </x:c>
      <x:c r="N912" s="4"/>
      <x:c r="O912" s="4" t="str">
        <x:f>IFERROR(INDEX('Material routes'!$J$6:$J$2205,MATCH(U912,'Material routes'!$A$6:$A$2205,0)),"MISSING ID")</x:f>
        <x:v>Unspecified</x:v>
      </x:c>
      <x:c r="P912" s="4"/>
      <x:c r="Q912" s="4" t="str">
        <x:f>IFERROR(INDEX('Material routes'!$J$6:$J$2205,MATCH(V912,'Material routes'!$A$6:$A$2205,0)),"MISSING ID")</x:f>
        <x:v>Unspecified</x:v>
      </x:c>
      <x:c r="R912" s="4" t="str">
        <x:f>IF(L912="Withheld","Withheld premise",IF(E912="Tool candidate","Reusable prerequisite",IF(K912="Raw entry preparation","Entry-resource preparation",IF(G912="Not applicable",IF(IFERROR(INDEX('Items'!$AI$6:$AI$1005,MATCH(T912,'Items'!$A$6:$A$1005,0)),"MISSING ID")="Finished item","Finished endpoint",IF(IFERROR(INDEX('Items'!$AI$6:$AI$1005,MATCH(T912,'Items'!$A$6:$A$1005,0)),"MISSING ID")="Currency","Currency / no refinement tier","Recovered output / tier not applicable")),IF(OR(IFERROR(INDEX('Crafting recipes'!$H$6:$H$1005,MATCH(J912,'Crafting recipes'!$A$6:$A$1005,0)),"MISSING ID")="Unassigned",G912="Unassigned"),"Tier unresolved",IF(IFERROR(VALUE(RIGHT(G912,1))-VALUE(RIGHT(IFERROR(INDEX('Crafting recipes'!$H$6:$H$1005,MATCH(J912,'Crafting recipes'!$A$6:$A$1005,0)),"MISSING ID"),1)),0)=1,IF(B912=IFERROR(INDEX('Crafting recipes'!$H$6:$H$1005,MATCH(J912,'Crafting recipes'!$A$6:$A$1005,0)),"MISSING ID"),"Advances one material tier","Lower-tier ingredient; route advances one tier"),"Needs tier review"))))))</x:f>
        <x:v>Advances one material tier</x:v>
      </x:c>
      <x:c r="S912" s="4" t="str">
        <x:f>IFERROR(INDEX('Material routes'!$D$6:$D$2205,MATCH(U912,'Material routes'!$A$6:$A$2205,0)),"MISSING ID")</x:f>
        <x:v>proposal.branch.spring_steel</x:v>
      </x:c>
      <x:c r="T912" s="4" t="str">
        <x:f>IFERROR(INDEX('Material routes'!$D$6:$D$2205,MATCH(V912,'Material routes'!$A$6:$A$2205,0)),"MISSING ID")</x:f>
        <x:v>proposal.audit.linked_steel_mail_rings</x:v>
      </x:c>
      <x:c r="U912" s="4" t="str">
        <x:v>design.audit.proposal_audit_linked_steel_mail_rings.audit.in.1</x:v>
      </x:c>
      <x:c r="V912" s="4" t="str">
        <x:v>design.audit.proposal_audit_linked_steel_mail_rings.audit.out</x:v>
      </x:c>
    </x:row>
    <x:row r="913" ht="64" customHeight="1">
      <x:c r="A913" s="4" t="str">
        <x:f>IFERROR(INDEX('Material routes'!$E$6:$E$2205,MATCH(U913,'Material routes'!$A$6:$A$2205,0)),"MISSING ID")</x:f>
        <x:v>Steel stock</x:v>
      </x:c>
      <x:c r="B913" s="4" t="str">
        <x:f>IFERROR(INDEX('Material routes'!$F$6:$F$2205,MATCH(U913,'Material routes'!$A$6:$A$2205,0)),"MISSING ID")</x:f>
        <x:v>T2</x:v>
      </x:c>
      <x:c r="C913" s="4" t="str">
        <x:f>IFERROR(INDEX('Material routes'!$H$6:$H$2205,MATCH(U913,'Material routes'!$A$6:$A$2205,0)),"MISSING ID")</x:f>
        <x:v>Processed material</x:v>
      </x:c>
      <x:c r="D913" s="4" t="str">
        <x:f>IFERROR(INDEX('Material routes'!$G$6:$G$2205,MATCH(U913,'Material routes'!$A$6:$A$2205,0)),"MISSING ID")</x:f>
        <x:v>Manufactured stock</x:v>
      </x:c>
      <x:c r="E913" s="4" t="str">
        <x:f>IFERROR(INDEX('Material routes'!$C$6:$C$2205,MATCH(U913,'Material routes'!$A$6:$A$2205,0)),"MISSING ID")</x:f>
        <x:v>Ingredient candidate</x:v>
      </x:c>
      <x:c r="F913" s="4" t="str">
        <x:f>IFERROR(INDEX('Material routes'!$E$6:$E$2205,MATCH(V913,'Material routes'!$A$6:$A$2205,0)),"MISSING ID")</x:f>
        <x:v>Small metal hinge pair</x:v>
      </x:c>
      <x:c r="G913" s="4" t="str">
        <x:f>IFERROR(INDEX('Material routes'!$F$6:$F$2205,MATCH(V913,'Material routes'!$A$6:$A$2205,0)),"MISSING ID")</x:f>
        <x:v>T3</x:v>
      </x:c>
      <x:c r="H913" s="4" t="str">
        <x:f>IFERROR(INDEX('Material routes'!$H$6:$H$2205,MATCH(V913,'Material routes'!$A$6:$A$2205,0)),"MISSING ID")</x:f>
        <x:v>Crafting component</x:v>
      </x:c>
      <x:c r="I913" s="4" t="str">
        <x:f>IFERROR(INDEX('Material routes'!$G$6:$G$2205,MATCH(V913,'Material routes'!$A$6:$A$2205,0)),"MISSING ID")</x:f>
        <x:v>Crafting components</x:v>
      </x:c>
      <x:c r="J913" s="4" t="str">
        <x:f>IFERROR(INDEX('Material routes'!$B$6:$B$2205,MATCH(U913,'Material routes'!$A$6:$A$2205,0)),"MISSING ID")</x:f>
        <x:v>design.audit.proposal_audit_small_metal_hinge_pair</x:v>
      </x:c>
      <x:c r="K913" s="4" t="str">
        <x:f>IFERROR(INDEX('Crafting recipes'!$C$6:$C$1005,MATCH(J913,'Crafting recipes'!$A$6:$A$1005,0)),"MISSING ID")</x:f>
        <x:v>Material refinement</x:v>
      </x:c>
      <x:c r="L913" s="4" t="str">
        <x:f>IFERROR(INDEX('Material routes'!$K$6:$K$2205,MATCH(U913,'Material routes'!$A$6:$A$2205,0)),"MISSING ID")</x:f>
        <x:v>Proposal</x:v>
      </x:c>
      <x:c r="M913" s="4" t="str">
        <x:f>IFERROR(INDEX('Material routes'!$M$6:$M$2205,MATCH(U913,'Material routes'!$A$6:$A$2205,0)),"MISSING ID")</x:f>
        <x:v>Partial proposal</x:v>
      </x:c>
      <x:c r="N913" s="4"/>
      <x:c r="O913" s="4" t="str">
        <x:f>IFERROR(INDEX('Material routes'!$J$6:$J$2205,MATCH(U913,'Material routes'!$A$6:$A$2205,0)),"MISSING ID")</x:f>
        <x:v>Unspecified</x:v>
      </x:c>
      <x:c r="P913" s="4"/>
      <x:c r="Q913" s="4" t="str">
        <x:f>IFERROR(INDEX('Material routes'!$J$6:$J$2205,MATCH(V913,'Material routes'!$A$6:$A$2205,0)),"MISSING ID")</x:f>
        <x:v>Unspecified</x:v>
      </x:c>
      <x:c r="R913" s="4" t="str">
        <x:f>IF(L913="Withheld","Withheld premise",IF(E913="Tool candidate","Reusable prerequisite",IF(K913="Raw entry preparation","Entry-resource preparation",IF(G913="Not applicable",IF(IFERROR(INDEX('Items'!$AI$6:$AI$1005,MATCH(T913,'Items'!$A$6:$A$1005,0)),"MISSING ID")="Finished item","Finished endpoint",IF(IFERROR(INDEX('Items'!$AI$6:$AI$1005,MATCH(T913,'Items'!$A$6:$A$1005,0)),"MISSING ID")="Currency","Currency / no refinement tier","Recovered output / tier not applicable")),IF(OR(IFERROR(INDEX('Crafting recipes'!$H$6:$H$1005,MATCH(J913,'Crafting recipes'!$A$6:$A$1005,0)),"MISSING ID")="Unassigned",G913="Unassigned"),"Tier unresolved",IF(IFERROR(VALUE(RIGHT(G913,1))-VALUE(RIGHT(IFERROR(INDEX('Crafting recipes'!$H$6:$H$1005,MATCH(J913,'Crafting recipes'!$A$6:$A$1005,0)),"MISSING ID"),1)),0)=1,IF(B913=IFERROR(INDEX('Crafting recipes'!$H$6:$H$1005,MATCH(J913,'Crafting recipes'!$A$6:$A$1005,0)),"MISSING ID"),"Advances one material tier","Lower-tier ingredient; route advances one tier"),"Needs tier review"))))))</x:f>
        <x:v>Advances one material tier</x:v>
      </x:c>
      <x:c r="S913" s="4" t="str">
        <x:f>IFERROR(INDEX('Material routes'!$D$6:$D$2205,MATCH(U913,'Material routes'!$A$6:$A$2205,0)),"MISSING ID")</x:f>
        <x:v>author.metallurgy.steel_stock</x:v>
      </x:c>
      <x:c r="T913" s="4" t="str">
        <x:f>IFERROR(INDEX('Material routes'!$D$6:$D$2205,MATCH(V913,'Material routes'!$A$6:$A$2205,0)),"MISSING ID")</x:f>
        <x:v>proposal.audit.small_metal_hinge_pair</x:v>
      </x:c>
      <x:c r="U913" s="4" t="str">
        <x:v>design.audit.proposal_audit_small_metal_hinge_pair.audit.in.1</x:v>
      </x:c>
      <x:c r="V913" s="4" t="str">
        <x:v>design.audit.proposal_audit_small_metal_hinge_pair.audit.out</x:v>
      </x:c>
    </x:row>
    <x:row r="914" ht="64" customHeight="1">
      <x:c r="A914" s="4" t="str">
        <x:f>IFERROR(INDEX('Material routes'!$E$6:$E$2205,MATCH(U914,'Material routes'!$A$6:$A$2205,0)),"MISSING ID")</x:f>
        <x:v>Worked iron stock</x:v>
      </x:c>
      <x:c r="B914" s="4" t="str">
        <x:f>IFERROR(INDEX('Material routes'!$F$6:$F$2205,MATCH(U914,'Material routes'!$A$6:$A$2205,0)),"MISSING ID")</x:f>
        <x:v>T2</x:v>
      </x:c>
      <x:c r="C914" s="4" t="str">
        <x:f>IFERROR(INDEX('Material routes'!$H$6:$H$2205,MATCH(U914,'Material routes'!$A$6:$A$2205,0)),"MISSING ID")</x:f>
        <x:v>Processed material</x:v>
      </x:c>
      <x:c r="D914" s="4" t="str">
        <x:f>IFERROR(INDEX('Material routes'!$G$6:$G$2205,MATCH(U914,'Material routes'!$A$6:$A$2205,0)),"MISSING ID")</x:f>
        <x:v>Manufactured stock</x:v>
      </x:c>
      <x:c r="E914" s="4" t="str">
        <x:f>IFERROR(INDEX('Material routes'!$C$6:$C$2205,MATCH(U914,'Material routes'!$A$6:$A$2205,0)),"MISSING ID")</x:f>
        <x:v>Ingredient candidate</x:v>
      </x:c>
      <x:c r="F914" s="4" t="str">
        <x:f>IFERROR(INDEX('Material routes'!$E$6:$E$2205,MATCH(V914,'Material routes'!$A$6:$A$2205,0)),"MISSING ID")</x:f>
        <x:v>Small metal hinge pair</x:v>
      </x:c>
      <x:c r="G914" s="4" t="str">
        <x:f>IFERROR(INDEX('Material routes'!$F$6:$F$2205,MATCH(V914,'Material routes'!$A$6:$A$2205,0)),"MISSING ID")</x:f>
        <x:v>T3</x:v>
      </x:c>
      <x:c r="H914" s="4" t="str">
        <x:f>IFERROR(INDEX('Material routes'!$H$6:$H$2205,MATCH(V914,'Material routes'!$A$6:$A$2205,0)),"MISSING ID")</x:f>
        <x:v>Crafting component</x:v>
      </x:c>
      <x:c r="I914" s="4" t="str">
        <x:f>IFERROR(INDEX('Material routes'!$G$6:$G$2205,MATCH(V914,'Material routes'!$A$6:$A$2205,0)),"MISSING ID")</x:f>
        <x:v>Crafting components</x:v>
      </x:c>
      <x:c r="J914" s="4" t="str">
        <x:f>IFERROR(INDEX('Material routes'!$B$6:$B$2205,MATCH(U914,'Material routes'!$A$6:$A$2205,0)),"MISSING ID")</x:f>
        <x:v>design.audit.proposal_audit_small_metal_hinge_pair</x:v>
      </x:c>
      <x:c r="K914" s="4" t="str">
        <x:f>IFERROR(INDEX('Crafting recipes'!$C$6:$C$1005,MATCH(J914,'Crafting recipes'!$A$6:$A$1005,0)),"MISSING ID")</x:f>
        <x:v>Material refinement</x:v>
      </x:c>
      <x:c r="L914" s="4" t="str">
        <x:f>IFERROR(INDEX('Material routes'!$K$6:$K$2205,MATCH(U914,'Material routes'!$A$6:$A$2205,0)),"MISSING ID")</x:f>
        <x:v>Proposal</x:v>
      </x:c>
      <x:c r="M914" s="4" t="str">
        <x:f>IFERROR(INDEX('Material routes'!$M$6:$M$2205,MATCH(U914,'Material routes'!$A$6:$A$2205,0)),"MISSING ID")</x:f>
        <x:v>Partial proposal</x:v>
      </x:c>
      <x:c r="N914" s="4"/>
      <x:c r="O914" s="4" t="str">
        <x:f>IFERROR(INDEX('Material routes'!$J$6:$J$2205,MATCH(U914,'Material routes'!$A$6:$A$2205,0)),"MISSING ID")</x:f>
        <x:v>Unspecified</x:v>
      </x:c>
      <x:c r="P914" s="4"/>
      <x:c r="Q914" s="4" t="str">
        <x:f>IFERROR(INDEX('Material routes'!$J$6:$J$2205,MATCH(V914,'Material routes'!$A$6:$A$2205,0)),"MISSING ID")</x:f>
        <x:v>Unspecified</x:v>
      </x:c>
      <x:c r="R914" s="4" t="str">
        <x:f>IF(L914="Withheld","Withheld premise",IF(E914="Tool candidate","Reusable prerequisite",IF(K914="Raw entry preparation","Entry-resource preparation",IF(G914="Not applicable",IF(IFERROR(INDEX('Items'!$AI$6:$AI$1005,MATCH(T914,'Items'!$A$6:$A$1005,0)),"MISSING ID")="Finished item","Finished endpoint",IF(IFERROR(INDEX('Items'!$AI$6:$AI$1005,MATCH(T914,'Items'!$A$6:$A$1005,0)),"MISSING ID")="Currency","Currency / no refinement tier","Recovered output / tier not applicable")),IF(OR(IFERROR(INDEX('Crafting recipes'!$H$6:$H$1005,MATCH(J914,'Crafting recipes'!$A$6:$A$1005,0)),"MISSING ID")="Unassigned",G914="Unassigned"),"Tier unresolved",IF(IFERROR(VALUE(RIGHT(G914,1))-VALUE(RIGHT(IFERROR(INDEX('Crafting recipes'!$H$6:$H$1005,MATCH(J914,'Crafting recipes'!$A$6:$A$1005,0)),"MISSING ID"),1)),0)=1,IF(B914=IFERROR(INDEX('Crafting recipes'!$H$6:$H$1005,MATCH(J914,'Crafting recipes'!$A$6:$A$1005,0)),"MISSING ID"),"Advances one material tier","Lower-tier ingredient; route advances one tier"),"Needs tier review"))))))</x:f>
        <x:v>Advances one material tier</x:v>
      </x:c>
      <x:c r="S914" s="4" t="str">
        <x:f>IFERROR(INDEX('Material routes'!$D$6:$D$2205,MATCH(U914,'Material routes'!$A$6:$A$2205,0)),"MISSING ID")</x:f>
        <x:v>proposal.natural.iron_stock</x:v>
      </x:c>
      <x:c r="T914" s="4" t="str">
        <x:f>IFERROR(INDEX('Material routes'!$D$6:$D$2205,MATCH(V914,'Material routes'!$A$6:$A$2205,0)),"MISSING ID")</x:f>
        <x:v>proposal.audit.small_metal_hinge_pair</x:v>
      </x:c>
      <x:c r="U914" s="4" t="str">
        <x:v>design.audit.proposal_audit_small_metal_hinge_pair.audit.in.2</x:v>
      </x:c>
      <x:c r="V914" s="4" t="str">
        <x:v>design.audit.proposal_audit_small_metal_hinge_pair.audit.out</x:v>
      </x:c>
    </x:row>
    <x:row r="915" ht="64" customHeight="1">
      <x:c r="A915" s="4" t="str">
        <x:f>IFERROR(INDEX('Material routes'!$E$6:$E$2205,MATCH(U915,'Material routes'!$A$6:$A$2205,0)),"MISSING ID")</x:f>
        <x:v>Drawn iron conductor stock</x:v>
      </x:c>
      <x:c r="B915" s="4" t="str">
        <x:f>IFERROR(INDEX('Material routes'!$F$6:$F$2205,MATCH(U915,'Material routes'!$A$6:$A$2205,0)),"MISSING ID")</x:f>
        <x:v>T2</x:v>
      </x:c>
      <x:c r="C915" s="4" t="str">
        <x:f>IFERROR(INDEX('Material routes'!$H$6:$H$2205,MATCH(U915,'Material routes'!$A$6:$A$2205,0)),"MISSING ID")</x:f>
        <x:v>Processed material</x:v>
      </x:c>
      <x:c r="D915" s="4" t="str">
        <x:f>IFERROR(INDEX('Material routes'!$G$6:$G$2205,MATCH(U915,'Material routes'!$A$6:$A$2205,0)),"MISSING ID")</x:f>
        <x:v>Manufactured stock</x:v>
      </x:c>
      <x:c r="E915" s="4" t="str">
        <x:f>IFERROR(INDEX('Material routes'!$C$6:$C$2205,MATCH(U915,'Material routes'!$A$6:$A$2205,0)),"MISSING ID")</x:f>
        <x:v>Ingredient candidate</x:v>
      </x:c>
      <x:c r="F915" s="4" t="str">
        <x:f>IFERROR(INDEX('Material routes'!$E$6:$E$2205,MATCH(V915,'Material routes'!$A$6:$A$2205,0)),"MISSING ID")</x:f>
        <x:v>Bent-wire spectacle frame</x:v>
      </x:c>
      <x:c r="G915" s="4" t="str">
        <x:f>IFERROR(INDEX('Material routes'!$F$6:$F$2205,MATCH(V915,'Material routes'!$A$6:$A$2205,0)),"MISSING ID")</x:f>
        <x:v>T3</x:v>
      </x:c>
      <x:c r="H915" s="4" t="str">
        <x:f>IFERROR(INDEX('Material routes'!$H$6:$H$2205,MATCH(V915,'Material routes'!$A$6:$A$2205,0)),"MISSING ID")</x:f>
        <x:v>Crafting component</x:v>
      </x:c>
      <x:c r="I915" s="4" t="str">
        <x:f>IFERROR(INDEX('Material routes'!$G$6:$G$2205,MATCH(V915,'Material routes'!$A$6:$A$2205,0)),"MISSING ID")</x:f>
        <x:v>Crafting components</x:v>
      </x:c>
      <x:c r="J915" s="4" t="str">
        <x:f>IFERROR(INDEX('Material routes'!$B$6:$B$2205,MATCH(U915,'Material routes'!$A$6:$A$2205,0)),"MISSING ID")</x:f>
        <x:v>design.audit.proposal_audit_bent_wire_spectacle_frame</x:v>
      </x:c>
      <x:c r="K915" s="4" t="str">
        <x:f>IFERROR(INDEX('Crafting recipes'!$C$6:$C$1005,MATCH(J915,'Crafting recipes'!$A$6:$A$1005,0)),"MISSING ID")</x:f>
        <x:v>Material refinement</x:v>
      </x:c>
      <x:c r="L915" s="4" t="str">
        <x:f>IFERROR(INDEX('Material routes'!$K$6:$K$2205,MATCH(U915,'Material routes'!$A$6:$A$2205,0)),"MISSING ID")</x:f>
        <x:v>Proposal</x:v>
      </x:c>
      <x:c r="M915" s="4" t="str">
        <x:f>IFERROR(INDEX('Material routes'!$M$6:$M$2205,MATCH(U915,'Material routes'!$A$6:$A$2205,0)),"MISSING ID")</x:f>
        <x:v>Partial proposal</x:v>
      </x:c>
      <x:c r="N915" s="4"/>
      <x:c r="O915" s="4" t="str">
        <x:f>IFERROR(INDEX('Material routes'!$J$6:$J$2205,MATCH(U915,'Material routes'!$A$6:$A$2205,0)),"MISSING ID")</x:f>
        <x:v>Unspecified</x:v>
      </x:c>
      <x:c r="P915" s="4"/>
      <x:c r="Q915" s="4" t="str">
        <x:f>IFERROR(INDEX('Material routes'!$J$6:$J$2205,MATCH(V915,'Material routes'!$A$6:$A$2205,0)),"MISSING ID")</x:f>
        <x:v>Unspecified</x:v>
      </x:c>
      <x:c r="R915" s="4" t="str">
        <x:f>IF(L915="Withheld","Withheld premise",IF(E915="Tool candidate","Reusable prerequisite",IF(K915="Raw entry preparation","Entry-resource preparation",IF(G915="Not applicable",IF(IFERROR(INDEX('Items'!$AI$6:$AI$1005,MATCH(T915,'Items'!$A$6:$A$1005,0)),"MISSING ID")="Finished item","Finished endpoint",IF(IFERROR(INDEX('Items'!$AI$6:$AI$1005,MATCH(T915,'Items'!$A$6:$A$1005,0)),"MISSING ID")="Currency","Currency / no refinement tier","Recovered output / tier not applicable")),IF(OR(IFERROR(INDEX('Crafting recipes'!$H$6:$H$1005,MATCH(J915,'Crafting recipes'!$A$6:$A$1005,0)),"MISSING ID")="Unassigned",G915="Unassigned"),"Tier unresolved",IF(IFERROR(VALUE(RIGHT(G915,1))-VALUE(RIGHT(IFERROR(INDEX('Crafting recipes'!$H$6:$H$1005,MATCH(J915,'Crafting recipes'!$A$6:$A$1005,0)),"MISSING ID"),1)),0)=1,IF(B915=IFERROR(INDEX('Crafting recipes'!$H$6:$H$1005,MATCH(J915,'Crafting recipes'!$A$6:$A$1005,0)),"MISSING ID"),"Advances one material tier","Lower-tier ingredient; route advances one tier"),"Needs tier review"))))))</x:f>
        <x:v>Advances one material tier</x:v>
      </x:c>
      <x:c r="S915" s="4" t="str">
        <x:f>IFERROR(INDEX('Material routes'!$D$6:$D$2205,MATCH(U915,'Material routes'!$A$6:$A$2205,0)),"MISSING ID")</x:f>
        <x:v>proposal.lore.iron_conductor</x:v>
      </x:c>
      <x:c r="T915" s="4" t="str">
        <x:f>IFERROR(INDEX('Material routes'!$D$6:$D$2205,MATCH(V915,'Material routes'!$A$6:$A$2205,0)),"MISSING ID")</x:f>
        <x:v>proposal.audit.bent_wire_spectacle_frame</x:v>
      </x:c>
      <x:c r="U915" s="4" t="str">
        <x:v>design.audit.proposal_audit_bent_wire_spectacle_frame.audit.in.1</x:v>
      </x:c>
      <x:c r="V915" s="4" t="str">
        <x:v>design.audit.proposal_audit_bent_wire_spectacle_frame.audit.out</x:v>
      </x:c>
    </x:row>
    <x:row r="916" ht="64" customHeight="1">
      <x:c r="A916" s="4"/>
      <x:c r="B916" s="4"/>
      <x:c r="C916" s="4"/>
      <x:c r="D916" s="4"/>
      <x:c r="E916" s="4"/>
      <x:c r="F916" s="4"/>
      <x:c r="G916" s="4"/>
      <x:c r="H916" s="4"/>
      <x:c r="I916" s="4"/>
      <x:c r="J916" s="4"/>
      <x:c r="K916" s="4"/>
      <x:c r="L916" s="4"/>
      <x:c r="M916" s="4"/>
      <x:c r="N916" s="4"/>
      <x:c r="P916" s="4"/>
      <x:c r="R916" s="4"/>
      <x:c r="S916" s="4"/>
      <x:c r="T916" s="4"/>
      <x:c r="U916" s="4"/>
      <x:c r="V916" s="4"/>
    </x:row>
    <x:row r="917" ht="64" customHeight="1">
      <x:c r="A917" s="4" t="str">
        <x:f>IFERROR(INDEX('Material routes'!$E$6:$E$2205,MATCH(U917,'Material routes'!$A$6:$A$2205,0)),"MISSING ID")</x:f>
        <x:v>Prepared ceramic body feed</x:v>
      </x:c>
      <x:c r="B917" s="4" t="str">
        <x:f>IFERROR(INDEX('Material routes'!$F$6:$F$2205,MATCH(U917,'Material routes'!$A$6:$A$2205,0)),"MISSING ID")</x:f>
        <x:v>T1</x:v>
      </x:c>
      <x:c r="C917" s="4" t="str">
        <x:f>IFERROR(INDEX('Material routes'!$H$6:$H$2205,MATCH(U917,'Material routes'!$A$6:$A$2205,0)),"MISSING ID")</x:f>
        <x:v>Processed material</x:v>
      </x:c>
      <x:c r="D917" s="4" t="str">
        <x:f>IFERROR(INDEX('Material routes'!$G$6:$G$2205,MATCH(U917,'Material routes'!$A$6:$A$2205,0)),"MISSING ID")</x:f>
        <x:v>Manufactured stock</x:v>
      </x:c>
      <x:c r="E917" s="4" t="str">
        <x:f>IFERROR(INDEX('Material routes'!$C$6:$C$2205,MATCH(U917,'Material routes'!$A$6:$A$2205,0)),"MISSING ID")</x:f>
        <x:v>Ingredient candidate</x:v>
      </x:c>
      <x:c r="F917" s="4" t="str">
        <x:f>IFERROR(INDEX('Material routes'!$E$6:$E$2205,MATCH(V917,'Material routes'!$A$6:$A$2205,0)),"MISSING ID")</x:f>
        <x:v>Fired ceramic vessel blank</x:v>
      </x:c>
      <x:c r="G917" s="4" t="str">
        <x:f>IFERROR(INDEX('Material routes'!$F$6:$F$2205,MATCH(V917,'Material routes'!$A$6:$A$2205,0)),"MISSING ID")</x:f>
        <x:v>T2</x:v>
      </x:c>
      <x:c r="H917" s="4" t="str">
        <x:f>IFERROR(INDEX('Material routes'!$H$6:$H$2205,MATCH(V917,'Material routes'!$A$6:$A$2205,0)),"MISSING ID")</x:f>
        <x:v>Crafting component</x:v>
      </x:c>
      <x:c r="I917" s="4" t="str">
        <x:f>IFERROR(INDEX('Material routes'!$G$6:$G$2205,MATCH(V917,'Material routes'!$A$6:$A$2205,0)),"MISSING ID")</x:f>
        <x:v>Crafting components</x:v>
      </x:c>
      <x:c r="J917" s="4" t="str">
        <x:f>IFERROR(INDEX('Material routes'!$B$6:$B$2205,MATCH(U917,'Material routes'!$A$6:$A$2205,0)),"MISSING ID")</x:f>
        <x:v>design.audit.proposal_audit_fired_ceramic_vessel_blank</x:v>
      </x:c>
      <x:c r="K917" s="4" t="str">
        <x:f>IFERROR(INDEX('Crafting recipes'!$C$6:$C$1005,MATCH(J917,'Crafting recipes'!$A$6:$A$1005,0)),"MISSING ID")</x:f>
        <x:v>Material refinement</x:v>
      </x:c>
      <x:c r="L917" s="4" t="str">
        <x:f>IFERROR(INDEX('Material routes'!$K$6:$K$2205,MATCH(U917,'Material routes'!$A$6:$A$2205,0)),"MISSING ID")</x:f>
        <x:v>Proposal</x:v>
      </x:c>
      <x:c r="M917" s="4" t="str">
        <x:f>IFERROR(INDEX('Material routes'!$M$6:$M$2205,MATCH(U917,'Material routes'!$A$6:$A$2205,0)),"MISSING ID")</x:f>
        <x:v>Partial proposal</x:v>
      </x:c>
      <x:c r="N917" s="4"/>
      <x:c r="O917" s="4" t="str">
        <x:f>IFERROR(INDEX('Material routes'!$J$6:$J$2205,MATCH(U917,'Material routes'!$A$6:$A$2205,0)),"MISSING ID")</x:f>
        <x:v>Unspecified</x:v>
      </x:c>
      <x:c r="P917" s="4"/>
      <x:c r="Q917" s="4" t="str">
        <x:f>IFERROR(INDEX('Material routes'!$J$6:$J$2205,MATCH(V917,'Material routes'!$A$6:$A$2205,0)),"MISSING ID")</x:f>
        <x:v>Unspecified</x:v>
      </x:c>
      <x:c r="R917" s="4" t="str">
        <x:f>IF(L917="Withheld","Withheld premise",IF(E917="Tool candidate","Reusable prerequisite",IF(K917="Raw entry preparation","Entry-resource preparation",IF(G917="Not applicable",IF(IFERROR(INDEX('Items'!$AI$6:$AI$1005,MATCH(T917,'Items'!$A$6:$A$1005,0)),"MISSING ID")="Finished item","Finished endpoint",IF(IFERROR(INDEX('Items'!$AI$6:$AI$1005,MATCH(T917,'Items'!$A$6:$A$1005,0)),"MISSING ID")="Currency","Currency / no refinement tier","Recovered output / tier not applicable")),IF(OR(IFERROR(INDEX('Crafting recipes'!$H$6:$H$1005,MATCH(J917,'Crafting recipes'!$A$6:$A$1005,0)),"MISSING ID")="Unassigned",G917="Unassigned"),"Tier unresolved",IF(IFERROR(VALUE(RIGHT(G917,1))-VALUE(RIGHT(IFERROR(INDEX('Crafting recipes'!$H$6:$H$1005,MATCH(J917,'Crafting recipes'!$A$6:$A$1005,0)),"MISSING ID"),1)),0)=1,IF(B917=IFERROR(INDEX('Crafting recipes'!$H$6:$H$1005,MATCH(J917,'Crafting recipes'!$A$6:$A$1005,0)),"MISSING ID"),"Advances one material tier","Lower-tier ingredient; route advances one tier"),"Needs tier review"))))))</x:f>
        <x:v>Advances one material tier</x:v>
      </x:c>
      <x:c r="S917" s="4" t="str">
        <x:f>IFERROR(INDEX('Material routes'!$D$6:$D$2205,MATCH(U917,'Material routes'!$A$6:$A$2205,0)),"MISSING ID")</x:f>
        <x:v>proposal.ceramic.body_feed</x:v>
      </x:c>
      <x:c r="T917" s="4" t="str">
        <x:f>IFERROR(INDEX('Material routes'!$D$6:$D$2205,MATCH(V917,'Material routes'!$A$6:$A$2205,0)),"MISSING ID")</x:f>
        <x:v>proposal.audit.fired_ceramic_vessel_blank</x:v>
      </x:c>
      <x:c r="U917" s="4" t="str">
        <x:v>design.audit.proposal_audit_fired_ceramic_vessel_blank.audit.in.1</x:v>
      </x:c>
      <x:c r="V917" s="4" t="str">
        <x:v>design.audit.proposal_audit_fired_ceramic_vessel_blank.audit.out</x:v>
      </x:c>
    </x:row>
    <x:row r="918" ht="64" customHeight="1">
      <x:c r="A918" s="4" t="str">
        <x:f>IFERROR(INDEX('Material routes'!$E$6:$E$2205,MATCH(U918,'Material routes'!$A$6:$A$2205,0)),"MISSING ID")</x:f>
        <x:v>Worked iron stock</x:v>
      </x:c>
      <x:c r="B918" s="4" t="str">
        <x:f>IFERROR(INDEX('Material routes'!$F$6:$F$2205,MATCH(U918,'Material routes'!$A$6:$A$2205,0)),"MISSING ID")</x:f>
        <x:v>T2</x:v>
      </x:c>
      <x:c r="C918" s="4" t="str">
        <x:f>IFERROR(INDEX('Material routes'!$H$6:$H$2205,MATCH(U918,'Material routes'!$A$6:$A$2205,0)),"MISSING ID")</x:f>
        <x:v>Processed material</x:v>
      </x:c>
      <x:c r="D918" s="4" t="str">
        <x:f>IFERROR(INDEX('Material routes'!$G$6:$G$2205,MATCH(U918,'Material routes'!$A$6:$A$2205,0)),"MISSING ID")</x:f>
        <x:v>Manufactured stock</x:v>
      </x:c>
      <x:c r="E918" s="4" t="str">
        <x:f>IFERROR(INDEX('Material routes'!$C$6:$C$2205,MATCH(U918,'Material routes'!$A$6:$A$2205,0)),"MISSING ID")</x:f>
        <x:v>Ingredient candidate</x:v>
      </x:c>
      <x:c r="F918" s="4" t="str">
        <x:f>IFERROR(INDEX('Material routes'!$E$6:$E$2205,MATCH(V918,'Material routes'!$A$6:$A$2205,0)),"MISSING ID")</x:f>
        <x:v>Membrane tension hoop</x:v>
      </x:c>
      <x:c r="G918" s="4" t="str">
        <x:f>IFERROR(INDEX('Material routes'!$F$6:$F$2205,MATCH(V918,'Material routes'!$A$6:$A$2205,0)),"MISSING ID")</x:f>
        <x:v>T3</x:v>
      </x:c>
      <x:c r="H918" s="4" t="str">
        <x:f>IFERROR(INDEX('Material routes'!$H$6:$H$2205,MATCH(V918,'Material routes'!$A$6:$A$2205,0)),"MISSING ID")</x:f>
        <x:v>Crafting component</x:v>
      </x:c>
      <x:c r="I918" s="4" t="str">
        <x:f>IFERROR(INDEX('Material routes'!$G$6:$G$2205,MATCH(V918,'Material routes'!$A$6:$A$2205,0)),"MISSING ID")</x:f>
        <x:v>Crafting components</x:v>
      </x:c>
      <x:c r="J918" s="4" t="str">
        <x:f>IFERROR(INDEX('Material routes'!$B$6:$B$2205,MATCH(U918,'Material routes'!$A$6:$A$2205,0)),"MISSING ID")</x:f>
        <x:v>design.audit.proposal_audit_membrane_tension_hoop</x:v>
      </x:c>
      <x:c r="K918" s="4" t="str">
        <x:f>IFERROR(INDEX('Crafting recipes'!$C$6:$C$1005,MATCH(J918,'Crafting recipes'!$A$6:$A$1005,0)),"MISSING ID")</x:f>
        <x:v>Material refinement</x:v>
      </x:c>
      <x:c r="L918" s="4" t="str">
        <x:f>IFERROR(INDEX('Material routes'!$K$6:$K$2205,MATCH(U918,'Material routes'!$A$6:$A$2205,0)),"MISSING ID")</x:f>
        <x:v>Proposal</x:v>
      </x:c>
      <x:c r="M918" s="4" t="str">
        <x:f>IFERROR(INDEX('Material routes'!$M$6:$M$2205,MATCH(U918,'Material routes'!$A$6:$A$2205,0)),"MISSING ID")</x:f>
        <x:v>Partial proposal</x:v>
      </x:c>
      <x:c r="N918" s="4"/>
      <x:c r="O918" s="4" t="str">
        <x:f>IFERROR(INDEX('Material routes'!$J$6:$J$2205,MATCH(U918,'Material routes'!$A$6:$A$2205,0)),"MISSING ID")</x:f>
        <x:v>Unspecified</x:v>
      </x:c>
      <x:c r="P918" s="4"/>
      <x:c r="Q918" s="4" t="str">
        <x:f>IFERROR(INDEX('Material routes'!$J$6:$J$2205,MATCH(V918,'Material routes'!$A$6:$A$2205,0)),"MISSING ID")</x:f>
        <x:v>Unspecified</x:v>
      </x:c>
      <x:c r="R918" s="4" t="str">
        <x:f>IF(L918="Withheld","Withheld premise",IF(E918="Tool candidate","Reusable prerequisite",IF(K918="Raw entry preparation","Entry-resource preparation",IF(G918="Not applicable",IF(IFERROR(INDEX('Items'!$AI$6:$AI$1005,MATCH(T918,'Items'!$A$6:$A$1005,0)),"MISSING ID")="Finished item","Finished endpoint",IF(IFERROR(INDEX('Items'!$AI$6:$AI$1005,MATCH(T918,'Items'!$A$6:$A$1005,0)),"MISSING ID")="Currency","Currency / no refinement tier","Recovered output / tier not applicable")),IF(OR(IFERROR(INDEX('Crafting recipes'!$H$6:$H$1005,MATCH(J918,'Crafting recipes'!$A$6:$A$1005,0)),"MISSING ID")="Unassigned",G918="Unassigned"),"Tier unresolved",IF(IFERROR(VALUE(RIGHT(G918,1))-VALUE(RIGHT(IFERROR(INDEX('Crafting recipes'!$H$6:$H$1005,MATCH(J918,'Crafting recipes'!$A$6:$A$1005,0)),"MISSING ID"),1)),0)=1,IF(B918=IFERROR(INDEX('Crafting recipes'!$H$6:$H$1005,MATCH(J918,'Crafting recipes'!$A$6:$A$1005,0)),"MISSING ID"),"Advances one material tier","Lower-tier ingredient; route advances one tier"),"Needs tier review"))))))</x:f>
        <x:v>Advances one material tier</x:v>
      </x:c>
      <x:c r="S918" s="4" t="str">
        <x:f>IFERROR(INDEX('Material routes'!$D$6:$D$2205,MATCH(U918,'Material routes'!$A$6:$A$2205,0)),"MISSING ID")</x:f>
        <x:v>proposal.natural.iron_stock</x:v>
      </x:c>
      <x:c r="T918" s="4" t="str">
        <x:f>IFERROR(INDEX('Material routes'!$D$6:$D$2205,MATCH(V918,'Material routes'!$A$6:$A$2205,0)),"MISSING ID")</x:f>
        <x:v>proposal.audit.membrane_tension_hoop</x:v>
      </x:c>
      <x:c r="U918" s="4" t="str">
        <x:v>design.audit.proposal_audit_membrane_tension_hoop.audit.in.1</x:v>
      </x:c>
      <x:c r="V918" s="4" t="str">
        <x:v>design.audit.proposal_audit_membrane_tension_hoop.audit.out</x:v>
      </x:c>
    </x:row>
    <x:row r="919" ht="64" customHeight="1">
      <x:c r="A919" s="4" t="str">
        <x:f>IFERROR(INDEX('Material routes'!$E$6:$E$2205,MATCH(U919,'Material routes'!$A$6:$A$2205,0)),"MISSING ID")</x:f>
        <x:v>Tendon cord</x:v>
      </x:c>
      <x:c r="B919" s="4" t="str">
        <x:f>IFERROR(INDEX('Material routes'!$F$6:$F$2205,MATCH(U919,'Material routes'!$A$6:$A$2205,0)),"MISSING ID")</x:f>
        <x:v>T1</x:v>
      </x:c>
      <x:c r="C919" s="4" t="str">
        <x:f>IFERROR(INDEX('Material routes'!$H$6:$H$2205,MATCH(U919,'Material routes'!$A$6:$A$2205,0)),"MISSING ID")</x:f>
        <x:v>Crafting component</x:v>
      </x:c>
      <x:c r="D919" s="4" t="str">
        <x:f>IFERROR(INDEX('Material routes'!$G$6:$G$2205,MATCH(U919,'Material routes'!$A$6:$A$2205,0)),"MISSING ID")</x:f>
        <x:v>Crafting components</x:v>
      </x:c>
      <x:c r="E919" s="4" t="str">
        <x:f>IFERROR(INDEX('Material routes'!$C$6:$C$2205,MATCH(U919,'Material routes'!$A$6:$A$2205,0)),"MISSING ID")</x:f>
        <x:v>Ingredient candidate</x:v>
      </x:c>
      <x:c r="F919" s="4" t="str">
        <x:f>IFERROR(INDEX('Material routes'!$E$6:$E$2205,MATCH(V919,'Material routes'!$A$6:$A$2205,0)),"MISSING ID")</x:f>
        <x:v>Membrane tension hoop</x:v>
      </x:c>
      <x:c r="G919" s="4" t="str">
        <x:f>IFERROR(INDEX('Material routes'!$F$6:$F$2205,MATCH(V919,'Material routes'!$A$6:$A$2205,0)),"MISSING ID")</x:f>
        <x:v>T3</x:v>
      </x:c>
      <x:c r="H919" s="4" t="str">
        <x:f>IFERROR(INDEX('Material routes'!$H$6:$H$2205,MATCH(V919,'Material routes'!$A$6:$A$2205,0)),"MISSING ID")</x:f>
        <x:v>Crafting component</x:v>
      </x:c>
      <x:c r="I919" s="4" t="str">
        <x:f>IFERROR(INDEX('Material routes'!$G$6:$G$2205,MATCH(V919,'Material routes'!$A$6:$A$2205,0)),"MISSING ID")</x:f>
        <x:v>Crafting components</x:v>
      </x:c>
      <x:c r="J919" s="4" t="str">
        <x:f>IFERROR(INDEX('Material routes'!$B$6:$B$2205,MATCH(U919,'Material routes'!$A$6:$A$2205,0)),"MISSING ID")</x:f>
        <x:v>design.audit.proposal_audit_membrane_tension_hoop</x:v>
      </x:c>
      <x:c r="K919" s="4" t="str">
        <x:f>IFERROR(INDEX('Crafting recipes'!$C$6:$C$1005,MATCH(J919,'Crafting recipes'!$A$6:$A$1005,0)),"MISSING ID")</x:f>
        <x:v>Material refinement</x:v>
      </x:c>
      <x:c r="L919" s="4" t="str">
        <x:f>IFERROR(INDEX('Material routes'!$K$6:$K$2205,MATCH(U919,'Material routes'!$A$6:$A$2205,0)),"MISSING ID")</x:f>
        <x:v>Proposal</x:v>
      </x:c>
      <x:c r="M919" s="4" t="str">
        <x:f>IFERROR(INDEX('Material routes'!$M$6:$M$2205,MATCH(U919,'Material routes'!$A$6:$A$2205,0)),"MISSING ID")</x:f>
        <x:v>Partial proposal</x:v>
      </x:c>
      <x:c r="N919" s="4"/>
      <x:c r="O919" s="4" t="str">
        <x:f>IFERROR(INDEX('Material routes'!$J$6:$J$2205,MATCH(U919,'Material routes'!$A$6:$A$2205,0)),"MISSING ID")</x:f>
        <x:v>Unspecified</x:v>
      </x:c>
      <x:c r="P919" s="4"/>
      <x:c r="Q919" s="4" t="str">
        <x:f>IFERROR(INDEX('Material routes'!$J$6:$J$2205,MATCH(V919,'Material routes'!$A$6:$A$2205,0)),"MISSING ID")</x:f>
        <x:v>Unspecified</x:v>
      </x:c>
      <x:c r="R919" s="4" t="str">
        <x:f>IF(L919="Withheld","Withheld premise",IF(E919="Tool candidate","Reusable prerequisite",IF(K919="Raw entry preparation","Entry-resource preparation",IF(G919="Not applicable",IF(IFERROR(INDEX('Items'!$AI$6:$AI$1005,MATCH(T919,'Items'!$A$6:$A$1005,0)),"MISSING ID")="Finished item","Finished endpoint",IF(IFERROR(INDEX('Items'!$AI$6:$AI$1005,MATCH(T919,'Items'!$A$6:$A$1005,0)),"MISSING ID")="Currency","Currency / no refinement tier","Recovered output / tier not applicable")),IF(OR(IFERROR(INDEX('Crafting recipes'!$H$6:$H$1005,MATCH(J919,'Crafting recipes'!$A$6:$A$1005,0)),"MISSING ID")="Unassigned",G919="Unassigned"),"Tier unresolved",IF(IFERROR(VALUE(RIGHT(G919,1))-VALUE(RIGHT(IFERROR(INDEX('Crafting recipes'!$H$6:$H$1005,MATCH(J919,'Crafting recipes'!$A$6:$A$1005,0)),"MISSING ID"),1)),0)=1,IF(B919=IFERROR(INDEX('Crafting recipes'!$H$6:$H$1005,MATCH(J919,'Crafting recipes'!$A$6:$A$1005,0)),"MISSING ID"),"Advances one material tier","Lower-tier ingredient; route advances one tier"),"Needs tier review"))))))</x:f>
        <x:v>Lower-tier ingredient; route advances one tier</x:v>
      </x:c>
      <x:c r="S919" s="4" t="str">
        <x:f>IFERROR(INDEX('Material routes'!$D$6:$D$2205,MATCH(U919,'Material routes'!$A$6:$A$2205,0)),"MISSING ID")</x:f>
        <x:v>proposal.bio.cord</x:v>
      </x:c>
      <x:c r="T919" s="4" t="str">
        <x:f>IFERROR(INDEX('Material routes'!$D$6:$D$2205,MATCH(V919,'Material routes'!$A$6:$A$2205,0)),"MISSING ID")</x:f>
        <x:v>proposal.audit.membrane_tension_hoop</x:v>
      </x:c>
      <x:c r="U919" s="4" t="str">
        <x:v>design.audit.proposal_audit_membrane_tension_hoop.audit.in.2</x:v>
      </x:c>
      <x:c r="V919" s="4" t="str">
        <x:v>design.audit.proposal_audit_membrane_tension_hoop.audit.out</x:v>
      </x:c>
    </x:row>
    <x:row r="920" ht="64" customHeight="1">
      <x:c r="A920" s="4"/>
      <x:c r="B920" s="4"/>
      <x:c r="C920" s="4"/>
      <x:c r="D920" s="4"/>
      <x:c r="E920" s="4"/>
      <x:c r="F920" s="4"/>
      <x:c r="G920" s="4"/>
      <x:c r="H920" s="4"/>
      <x:c r="I920" s="4"/>
      <x:c r="J920" s="4"/>
      <x:c r="K920" s="4"/>
      <x:c r="L920" s="4"/>
      <x:c r="M920" s="4"/>
      <x:c r="N920" s="4"/>
      <x:c r="O920" s="4"/>
      <x:c r="P920" s="4"/>
      <x:c r="Q920" s="4"/>
      <x:c r="R920" s="4"/>
      <x:c r="S920" s="4"/>
      <x:c r="T920" s="4"/>
      <x:c r="U920" s="4"/>
      <x:c r="V920" s="4"/>
    </x:row>
    <x:row r="921" ht="64" customHeight="1">
      <x:c r="A921" s="4"/>
      <x:c r="B921" s="4"/>
      <x:c r="C921" s="4"/>
      <x:c r="D921" s="4"/>
      <x:c r="E921" s="4"/>
      <x:c r="F921" s="4"/>
      <x:c r="G921" s="4"/>
      <x:c r="H921" s="4"/>
      <x:c r="I921" s="4"/>
      <x:c r="J921" s="4"/>
      <x:c r="K921" s="4"/>
      <x:c r="L921" s="4"/>
      <x:c r="M921" s="4"/>
      <x:c r="N921" s="4"/>
      <x:c r="O921" s="4"/>
      <x:c r="P921" s="4"/>
      <x:c r="Q921" s="4"/>
      <x:c r="R921" s="4"/>
      <x:c r="S921" s="4"/>
      <x:c r="T921" s="4"/>
      <x:c r="U921" s="4"/>
      <x:c r="V921" s="4"/>
    </x:row>
    <x:row r="922" ht="64" customHeight="1">
      <x:c r="A922" s="4" t="str">
        <x:f>IFERROR(INDEX('Material routes'!$E$6:$E$2205,MATCH(U922,'Material routes'!$A$6:$A$2205,0)),"MISSING ID")</x:f>
        <x:v>Spring-grade steel stock</x:v>
      </x:c>
      <x:c r="B922" s="4" t="str">
        <x:f>IFERROR(INDEX('Material routes'!$F$6:$F$2205,MATCH(U922,'Material routes'!$A$6:$A$2205,0)),"MISSING ID")</x:f>
        <x:v>T3</x:v>
      </x:c>
      <x:c r="C922" s="4" t="str">
        <x:f>IFERROR(INDEX('Material routes'!$H$6:$H$2205,MATCH(U922,'Material routes'!$A$6:$A$2205,0)),"MISSING ID")</x:f>
        <x:v>Processed material</x:v>
      </x:c>
      <x:c r="D922" s="4" t="str">
        <x:f>IFERROR(INDEX('Material routes'!$G$6:$G$2205,MATCH(U922,'Material routes'!$A$6:$A$2205,0)),"MISSING ID")</x:f>
        <x:v>Manufactured stock</x:v>
      </x:c>
      <x:c r="E922" s="4" t="str">
        <x:f>IFERROR(INDEX('Material routes'!$C$6:$C$2205,MATCH(U922,'Material routes'!$A$6:$A$2205,0)),"MISSING ID")</x:f>
        <x:v>Ingredient candidate</x:v>
      </x:c>
      <x:c r="F922" s="4" t="str">
        <x:f>IFERROR(INDEX('Material routes'!$E$6:$E$2205,MATCH(V922,'Material routes'!$A$6:$A$2205,0)),"MISSING ID")</x:f>
        <x:v>Cut metal reed set</x:v>
      </x:c>
      <x:c r="G922" s="4" t="str">
        <x:f>IFERROR(INDEX('Material routes'!$F$6:$F$2205,MATCH(V922,'Material routes'!$A$6:$A$2205,0)),"MISSING ID")</x:f>
        <x:v>T4</x:v>
      </x:c>
      <x:c r="H922" s="4" t="str">
        <x:f>IFERROR(INDEX('Material routes'!$H$6:$H$2205,MATCH(V922,'Material routes'!$A$6:$A$2205,0)),"MISSING ID")</x:f>
        <x:v>Crafting component</x:v>
      </x:c>
      <x:c r="I922" s="4" t="str">
        <x:f>IFERROR(INDEX('Material routes'!$G$6:$G$2205,MATCH(V922,'Material routes'!$A$6:$A$2205,0)),"MISSING ID")</x:f>
        <x:v>Crafting components</x:v>
      </x:c>
      <x:c r="J922" s="4" t="str">
        <x:f>IFERROR(INDEX('Material routes'!$B$6:$B$2205,MATCH(U922,'Material routes'!$A$6:$A$2205,0)),"MISSING ID")</x:f>
        <x:v>design.audit.proposal_audit_cut_metal_reed_set</x:v>
      </x:c>
      <x:c r="K922" s="4" t="str">
        <x:f>IFERROR(INDEX('Crafting recipes'!$C$6:$C$1005,MATCH(J922,'Crafting recipes'!$A$6:$A$1005,0)),"MISSING ID")</x:f>
        <x:v>Material refinement</x:v>
      </x:c>
      <x:c r="L922" s="4" t="str">
        <x:f>IFERROR(INDEX('Material routes'!$K$6:$K$2205,MATCH(U922,'Material routes'!$A$6:$A$2205,0)),"MISSING ID")</x:f>
        <x:v>Proposal</x:v>
      </x:c>
      <x:c r="M922" s="4" t="str">
        <x:f>IFERROR(INDEX('Material routes'!$M$6:$M$2205,MATCH(U922,'Material routes'!$A$6:$A$2205,0)),"MISSING ID")</x:f>
        <x:v>Partial proposal</x:v>
      </x:c>
      <x:c r="N922" s="4"/>
      <x:c r="O922" s="4" t="str">
        <x:f>IFERROR(INDEX('Material routes'!$J$6:$J$2205,MATCH(U922,'Material routes'!$A$6:$A$2205,0)),"MISSING ID")</x:f>
        <x:v>Unspecified</x:v>
      </x:c>
      <x:c r="P922" s="4"/>
      <x:c r="Q922" s="4" t="str">
        <x:f>IFERROR(INDEX('Material routes'!$J$6:$J$2205,MATCH(V922,'Material routes'!$A$6:$A$2205,0)),"MISSING ID")</x:f>
        <x:v>Unspecified</x:v>
      </x:c>
      <x:c r="R922" s="4" t="str">
        <x:f>IF(L922="Withheld","Withheld premise",IF(E922="Tool candidate","Reusable prerequisite",IF(K922="Raw entry preparation","Entry-resource preparation",IF(G922="Not applicable",IF(IFERROR(INDEX('Items'!$AI$6:$AI$1005,MATCH(T922,'Items'!$A$6:$A$1005,0)),"MISSING ID")="Finished item","Finished endpoint",IF(IFERROR(INDEX('Items'!$AI$6:$AI$1005,MATCH(T922,'Items'!$A$6:$A$1005,0)),"MISSING ID")="Currency","Currency / no refinement tier","Recovered output / tier not applicable")),IF(OR(IFERROR(INDEX('Crafting recipes'!$H$6:$H$1005,MATCH(J922,'Crafting recipes'!$A$6:$A$1005,0)),"MISSING ID")="Unassigned",G922="Unassigned"),"Tier unresolved",IF(IFERROR(VALUE(RIGHT(G922,1))-VALUE(RIGHT(IFERROR(INDEX('Crafting recipes'!$H$6:$H$1005,MATCH(J922,'Crafting recipes'!$A$6:$A$1005,0)),"MISSING ID"),1)),0)=1,IF(B922=IFERROR(INDEX('Crafting recipes'!$H$6:$H$1005,MATCH(J922,'Crafting recipes'!$A$6:$A$1005,0)),"MISSING ID"),"Advances one material tier","Lower-tier ingredient; route advances one tier"),"Needs tier review"))))))</x:f>
        <x:v>Advances one material tier</x:v>
      </x:c>
      <x:c r="S922" s="4" t="str">
        <x:f>IFERROR(INDEX('Material routes'!$D$6:$D$2205,MATCH(U922,'Material routes'!$A$6:$A$2205,0)),"MISSING ID")</x:f>
        <x:v>proposal.branch.spring_steel</x:v>
      </x:c>
      <x:c r="T922" s="4" t="str">
        <x:f>IFERROR(INDEX('Material routes'!$D$6:$D$2205,MATCH(V922,'Material routes'!$A$6:$A$2205,0)),"MISSING ID")</x:f>
        <x:v>proposal.audit.cut_metal_reed_set</x:v>
      </x:c>
      <x:c r="U922" s="4" t="str">
        <x:v>design.audit.proposal_audit_cut_metal_reed_set.audit.in.1</x:v>
      </x:c>
      <x:c r="V922" s="4" t="str">
        <x:v>design.audit.proposal_audit_cut_metal_reed_set.audit.out</x:v>
      </x:c>
    </x:row>
    <x:row r="923" ht="64" customHeight="1">
      <x:c r="A923" s="4" t="str">
        <x:f>IFERROR(INDEX('Material routes'!$E$6:$E$2205,MATCH(U923,'Material routes'!$A$6:$A$2205,0)),"MISSING ID")</x:f>
        <x:v>Prepared ceramic body feed</x:v>
      </x:c>
      <x:c r="B923" s="4" t="str">
        <x:f>IFERROR(INDEX('Material routes'!$F$6:$F$2205,MATCH(U923,'Material routes'!$A$6:$A$2205,0)),"MISSING ID")</x:f>
        <x:v>T1</x:v>
      </x:c>
      <x:c r="C923" s="4" t="str">
        <x:f>IFERROR(INDEX('Material routes'!$H$6:$H$2205,MATCH(U923,'Material routes'!$A$6:$A$2205,0)),"MISSING ID")</x:f>
        <x:v>Processed material</x:v>
      </x:c>
      <x:c r="D923" s="4" t="str">
        <x:f>IFERROR(INDEX('Material routes'!$G$6:$G$2205,MATCH(U923,'Material routes'!$A$6:$A$2205,0)),"MISSING ID")</x:f>
        <x:v>Manufactured stock</x:v>
      </x:c>
      <x:c r="E923" s="4" t="str">
        <x:f>IFERROR(INDEX('Material routes'!$C$6:$C$2205,MATCH(U923,'Material routes'!$A$6:$A$2205,0)),"MISSING ID")</x:f>
        <x:v>Ingredient candidate</x:v>
      </x:c>
      <x:c r="F923" s="4" t="str">
        <x:f>IFERROR(INDEX('Material routes'!$E$6:$E$2205,MATCH(V923,'Material routes'!$A$6:$A$2205,0)),"MISSING ID")</x:f>
        <x:v>Ceramic whistle mouthpiece</x:v>
      </x:c>
      <x:c r="G923" s="4" t="str">
        <x:f>IFERROR(INDEX('Material routes'!$F$6:$F$2205,MATCH(V923,'Material routes'!$A$6:$A$2205,0)),"MISSING ID")</x:f>
        <x:v>T2</x:v>
      </x:c>
      <x:c r="H923" s="4" t="str">
        <x:f>IFERROR(INDEX('Material routes'!$H$6:$H$2205,MATCH(V923,'Material routes'!$A$6:$A$2205,0)),"MISSING ID")</x:f>
        <x:v>Crafting component</x:v>
      </x:c>
      <x:c r="I923" s="4" t="str">
        <x:f>IFERROR(INDEX('Material routes'!$G$6:$G$2205,MATCH(V923,'Material routes'!$A$6:$A$2205,0)),"MISSING ID")</x:f>
        <x:v>Crafting components</x:v>
      </x:c>
      <x:c r="J923" s="4" t="str">
        <x:f>IFERROR(INDEX('Material routes'!$B$6:$B$2205,MATCH(U923,'Material routes'!$A$6:$A$2205,0)),"MISSING ID")</x:f>
        <x:v>design.audit.proposal_audit_ceramic_whistle_mouthpiece</x:v>
      </x:c>
      <x:c r="K923" s="4" t="str">
        <x:f>IFERROR(INDEX('Crafting recipes'!$C$6:$C$1005,MATCH(J923,'Crafting recipes'!$A$6:$A$1005,0)),"MISSING ID")</x:f>
        <x:v>Material refinement</x:v>
      </x:c>
      <x:c r="L923" s="4" t="str">
        <x:f>IFERROR(INDEX('Material routes'!$K$6:$K$2205,MATCH(U923,'Material routes'!$A$6:$A$2205,0)),"MISSING ID")</x:f>
        <x:v>Proposal</x:v>
      </x:c>
      <x:c r="M923" s="4" t="str">
        <x:f>IFERROR(INDEX('Material routes'!$M$6:$M$2205,MATCH(U923,'Material routes'!$A$6:$A$2205,0)),"MISSING ID")</x:f>
        <x:v>Partial proposal</x:v>
      </x:c>
      <x:c r="N923" s="4"/>
      <x:c r="O923" s="4" t="str">
        <x:f>IFERROR(INDEX('Material routes'!$J$6:$J$2205,MATCH(U923,'Material routes'!$A$6:$A$2205,0)),"MISSING ID")</x:f>
        <x:v>Unspecified</x:v>
      </x:c>
      <x:c r="P923" s="4"/>
      <x:c r="Q923" s="4" t="str">
        <x:f>IFERROR(INDEX('Material routes'!$J$6:$J$2205,MATCH(V923,'Material routes'!$A$6:$A$2205,0)),"MISSING ID")</x:f>
        <x:v>Unspecified</x:v>
      </x:c>
      <x:c r="R923" s="4" t="str">
        <x:f>IF(L923="Withheld","Withheld premise",IF(E923="Tool candidate","Reusable prerequisite",IF(K923="Raw entry preparation","Entry-resource preparation",IF(G923="Not applicable",IF(IFERROR(INDEX('Items'!$AI$6:$AI$1005,MATCH(T923,'Items'!$A$6:$A$1005,0)),"MISSING ID")="Finished item","Finished endpoint",IF(IFERROR(INDEX('Items'!$AI$6:$AI$1005,MATCH(T923,'Items'!$A$6:$A$1005,0)),"MISSING ID")="Currency","Currency / no refinement tier","Recovered output / tier not applicable")),IF(OR(IFERROR(INDEX('Crafting recipes'!$H$6:$H$1005,MATCH(J923,'Crafting recipes'!$A$6:$A$1005,0)),"MISSING ID")="Unassigned",G923="Unassigned"),"Tier unresolved",IF(IFERROR(VALUE(RIGHT(G923,1))-VALUE(RIGHT(IFERROR(INDEX('Crafting recipes'!$H$6:$H$1005,MATCH(J923,'Crafting recipes'!$A$6:$A$1005,0)),"MISSING ID"),1)),0)=1,IF(B923=IFERROR(INDEX('Crafting recipes'!$H$6:$H$1005,MATCH(J923,'Crafting recipes'!$A$6:$A$1005,0)),"MISSING ID"),"Advances one material tier","Lower-tier ingredient; route advances one tier"),"Needs tier review"))))))</x:f>
        <x:v>Advances one material tier</x:v>
      </x:c>
      <x:c r="S923" s="4" t="str">
        <x:f>IFERROR(INDEX('Material routes'!$D$6:$D$2205,MATCH(U923,'Material routes'!$A$6:$A$2205,0)),"MISSING ID")</x:f>
        <x:v>proposal.ceramic.body_feed</x:v>
      </x:c>
      <x:c r="T923" s="4" t="str">
        <x:f>IFERROR(INDEX('Material routes'!$D$6:$D$2205,MATCH(V923,'Material routes'!$A$6:$A$2205,0)),"MISSING ID")</x:f>
        <x:v>proposal.audit.ceramic_whistle_mouthpiece</x:v>
      </x:c>
      <x:c r="U923" s="4" t="str">
        <x:v>design.audit.proposal_audit_ceramic_whistle_mouthpiece.audit.in.1</x:v>
      </x:c>
      <x:c r="V923" s="4" t="str">
        <x:v>design.audit.proposal_audit_ceramic_whistle_mouthpiece.audit.out</x:v>
      </x:c>
    </x:row>
    <x:row r="924" ht="64" customHeight="1">
      <x:c r="A924" s="4" t="str">
        <x:f>IFERROR(INDEX('Material routes'!$E$6:$E$2205,MATCH(U924,'Material routes'!$A$6:$A$2205,0)),"MISSING ID")</x:f>
        <x:v>Steel stock</x:v>
      </x:c>
      <x:c r="B924" s="4" t="str">
        <x:f>IFERROR(INDEX('Material routes'!$F$6:$F$2205,MATCH(U924,'Material routes'!$A$6:$A$2205,0)),"MISSING ID")</x:f>
        <x:v>T2</x:v>
      </x:c>
      <x:c r="C924" s="4" t="str">
        <x:f>IFERROR(INDEX('Material routes'!$H$6:$H$2205,MATCH(U924,'Material routes'!$A$6:$A$2205,0)),"MISSING ID")</x:f>
        <x:v>Processed material</x:v>
      </x:c>
      <x:c r="D924" s="4" t="str">
        <x:f>IFERROR(INDEX('Material routes'!$G$6:$G$2205,MATCH(U924,'Material routes'!$A$6:$A$2205,0)),"MISSING ID")</x:f>
        <x:v>Manufactured stock</x:v>
      </x:c>
      <x:c r="E924" s="4" t="str">
        <x:f>IFERROR(INDEX('Material routes'!$C$6:$C$2205,MATCH(U924,'Material routes'!$A$6:$A$2205,0)),"MISSING ID")</x:f>
        <x:v>Ingredient candidate</x:v>
      </x:c>
      <x:c r="F924" s="4" t="str">
        <x:f>IFERROR(INDEX('Material routes'!$E$6:$E$2205,MATCH(V924,'Material routes'!$A$6:$A$2205,0)),"MISSING ID")</x:f>
        <x:v>Threaded drive screw</x:v>
      </x:c>
      <x:c r="G924" s="4" t="str">
        <x:f>IFERROR(INDEX('Material routes'!$F$6:$F$2205,MATCH(V924,'Material routes'!$A$6:$A$2205,0)),"MISSING ID")</x:f>
        <x:v>T3</x:v>
      </x:c>
      <x:c r="H924" s="4" t="str">
        <x:f>IFERROR(INDEX('Material routes'!$H$6:$H$2205,MATCH(V924,'Material routes'!$A$6:$A$2205,0)),"MISSING ID")</x:f>
        <x:v>Machine part</x:v>
      </x:c>
      <x:c r="I924" s="4" t="str">
        <x:f>IFERROR(INDEX('Material routes'!$G$6:$G$2205,MATCH(V924,'Material routes'!$A$6:$A$2205,0)),"MISSING ID")</x:f>
        <x:v>Crafting components</x:v>
      </x:c>
      <x:c r="J924" s="4" t="str">
        <x:f>IFERROR(INDEX('Material routes'!$B$6:$B$2205,MATCH(U924,'Material routes'!$A$6:$A$2205,0)),"MISSING ID")</x:f>
        <x:v>design.audit.proposal_audit_threaded_drive_screw</x:v>
      </x:c>
      <x:c r="K924" s="4" t="str">
        <x:f>IFERROR(INDEX('Crafting recipes'!$C$6:$C$1005,MATCH(J924,'Crafting recipes'!$A$6:$A$1005,0)),"MISSING ID")</x:f>
        <x:v>Material refinement</x:v>
      </x:c>
      <x:c r="L924" s="4" t="str">
        <x:f>IFERROR(INDEX('Material routes'!$K$6:$K$2205,MATCH(U924,'Material routes'!$A$6:$A$2205,0)),"MISSING ID")</x:f>
        <x:v>Proposal</x:v>
      </x:c>
      <x:c r="M924" s="4" t="str">
        <x:f>IFERROR(INDEX('Material routes'!$M$6:$M$2205,MATCH(U924,'Material routes'!$A$6:$A$2205,0)),"MISSING ID")</x:f>
        <x:v>Partial proposal</x:v>
      </x:c>
      <x:c r="N924" s="4"/>
      <x:c r="O924" s="4" t="str">
        <x:f>IFERROR(INDEX('Material routes'!$J$6:$J$2205,MATCH(U924,'Material routes'!$A$6:$A$2205,0)),"MISSING ID")</x:f>
        <x:v>Unspecified</x:v>
      </x:c>
      <x:c r="P924" s="4"/>
      <x:c r="Q924" s="4" t="str">
        <x:f>IFERROR(INDEX('Material routes'!$J$6:$J$2205,MATCH(V924,'Material routes'!$A$6:$A$2205,0)),"MISSING ID")</x:f>
        <x:v>Unspecified</x:v>
      </x:c>
      <x:c r="R924" s="4" t="str">
        <x:f>IF(L924="Withheld","Withheld premise",IF(E924="Tool candidate","Reusable prerequisite",IF(K924="Raw entry preparation","Entry-resource preparation",IF(G924="Not applicable",IF(IFERROR(INDEX('Items'!$AI$6:$AI$1005,MATCH(T924,'Items'!$A$6:$A$1005,0)),"MISSING ID")="Finished item","Finished endpoint",IF(IFERROR(INDEX('Items'!$AI$6:$AI$1005,MATCH(T924,'Items'!$A$6:$A$1005,0)),"MISSING ID")="Currency","Currency / no refinement tier","Recovered output / tier not applicable")),IF(OR(IFERROR(INDEX('Crafting recipes'!$H$6:$H$1005,MATCH(J924,'Crafting recipes'!$A$6:$A$1005,0)),"MISSING ID")="Unassigned",G924="Unassigned"),"Tier unresolved",IF(IFERROR(VALUE(RIGHT(G924,1))-VALUE(RIGHT(IFERROR(INDEX('Crafting recipes'!$H$6:$H$1005,MATCH(J924,'Crafting recipes'!$A$6:$A$1005,0)),"MISSING ID"),1)),0)=1,IF(B924=IFERROR(INDEX('Crafting recipes'!$H$6:$H$1005,MATCH(J924,'Crafting recipes'!$A$6:$A$1005,0)),"MISSING ID"),"Advances one material tier","Lower-tier ingredient; route advances one tier"),"Needs tier review"))))))</x:f>
        <x:v>Advances one material tier</x:v>
      </x:c>
      <x:c r="S924" s="4" t="str">
        <x:f>IFERROR(INDEX('Material routes'!$D$6:$D$2205,MATCH(U924,'Material routes'!$A$6:$A$2205,0)),"MISSING ID")</x:f>
        <x:v>author.metallurgy.steel_stock</x:v>
      </x:c>
      <x:c r="T924" s="4" t="str">
        <x:f>IFERROR(INDEX('Material routes'!$D$6:$D$2205,MATCH(V924,'Material routes'!$A$6:$A$2205,0)),"MISSING ID")</x:f>
        <x:v>proposal.audit.threaded_drive_screw</x:v>
      </x:c>
      <x:c r="U924" s="4" t="str">
        <x:v>design.audit.proposal_audit_threaded_drive_screw.audit.in.1</x:v>
      </x:c>
      <x:c r="V924" s="4" t="str">
        <x:v>design.audit.proposal_audit_threaded_drive_screw.audit.out</x:v>
      </x:c>
    </x:row>
    <x:row r="925" ht="64" customHeight="1">
      <x:c r="A925" s="4" t="str">
        <x:f>IFERROR(INDEX('Material routes'!$E$6:$E$2205,MATCH(U925,'Material routes'!$A$6:$A$2205,0)),"MISSING ID")</x:f>
        <x:v>Steel stock</x:v>
      </x:c>
      <x:c r="B925" s="4" t="str">
        <x:f>IFERROR(INDEX('Material routes'!$F$6:$F$2205,MATCH(U925,'Material routes'!$A$6:$A$2205,0)),"MISSING ID")</x:f>
        <x:v>T2</x:v>
      </x:c>
      <x:c r="C925" s="4" t="str">
        <x:f>IFERROR(INDEX('Material routes'!$H$6:$H$2205,MATCH(U925,'Material routes'!$A$6:$A$2205,0)),"MISSING ID")</x:f>
        <x:v>Processed material</x:v>
      </x:c>
      <x:c r="D925" s="4" t="str">
        <x:f>IFERROR(INDEX('Material routes'!$G$6:$G$2205,MATCH(U925,'Material routes'!$A$6:$A$2205,0)),"MISSING ID")</x:f>
        <x:v>Manufactured stock</x:v>
      </x:c>
      <x:c r="E925" s="4" t="str">
        <x:f>IFERROR(INDEX('Material routes'!$C$6:$C$2205,MATCH(U925,'Material routes'!$A$6:$A$2205,0)),"MISSING ID")</x:f>
        <x:v>Ingredient candidate</x:v>
      </x:c>
      <x:c r="F925" s="4" t="str">
        <x:f>IFERROR(INDEX('Material routes'!$E$6:$E$2205,MATCH(V925,'Material routes'!$A$6:$A$2205,0)),"MISSING ID")</x:f>
        <x:v>Hand-drill spindle</x:v>
      </x:c>
      <x:c r="G925" s="4" t="str">
        <x:f>IFERROR(INDEX('Material routes'!$F$6:$F$2205,MATCH(V925,'Material routes'!$A$6:$A$2205,0)),"MISSING ID")</x:f>
        <x:v>T3</x:v>
      </x:c>
      <x:c r="H925" s="4" t="str">
        <x:f>IFERROR(INDEX('Material routes'!$H$6:$H$2205,MATCH(V925,'Material routes'!$A$6:$A$2205,0)),"MISSING ID")</x:f>
        <x:v>Machine part</x:v>
      </x:c>
      <x:c r="I925" s="4" t="str">
        <x:f>IFERROR(INDEX('Material routes'!$G$6:$G$2205,MATCH(V925,'Material routes'!$A$6:$A$2205,0)),"MISSING ID")</x:f>
        <x:v>Crafting components</x:v>
      </x:c>
      <x:c r="J925" s="4" t="str">
        <x:f>IFERROR(INDEX('Material routes'!$B$6:$B$2205,MATCH(U925,'Material routes'!$A$6:$A$2205,0)),"MISSING ID")</x:f>
        <x:v>design.audit.proposal_audit_hand_drill_spindle</x:v>
      </x:c>
      <x:c r="K925" s="4" t="str">
        <x:f>IFERROR(INDEX('Crafting recipes'!$C$6:$C$1005,MATCH(J925,'Crafting recipes'!$A$6:$A$1005,0)),"MISSING ID")</x:f>
        <x:v>Material refinement</x:v>
      </x:c>
      <x:c r="L925" s="4" t="str">
        <x:f>IFERROR(INDEX('Material routes'!$K$6:$K$2205,MATCH(U925,'Material routes'!$A$6:$A$2205,0)),"MISSING ID")</x:f>
        <x:v>Proposal</x:v>
      </x:c>
      <x:c r="M925" s="4" t="str">
        <x:f>IFERROR(INDEX('Material routes'!$M$6:$M$2205,MATCH(U925,'Material routes'!$A$6:$A$2205,0)),"MISSING ID")</x:f>
        <x:v>Partial proposal</x:v>
      </x:c>
      <x:c r="N925" s="4"/>
      <x:c r="O925" s="4" t="str">
        <x:f>IFERROR(INDEX('Material routes'!$J$6:$J$2205,MATCH(U925,'Material routes'!$A$6:$A$2205,0)),"MISSING ID")</x:f>
        <x:v>Unspecified</x:v>
      </x:c>
      <x:c r="P925" s="4"/>
      <x:c r="Q925" s="4" t="str">
        <x:f>IFERROR(INDEX('Material routes'!$J$6:$J$2205,MATCH(V925,'Material routes'!$A$6:$A$2205,0)),"MISSING ID")</x:f>
        <x:v>Unspecified</x:v>
      </x:c>
      <x:c r="R925" s="4" t="str">
        <x:f>IF(L925="Withheld","Withheld premise",IF(E925="Tool candidate","Reusable prerequisite",IF(K925="Raw entry preparation","Entry-resource preparation",IF(G925="Not applicable",IF(IFERROR(INDEX('Items'!$AI$6:$AI$1005,MATCH(T925,'Items'!$A$6:$A$1005,0)),"MISSING ID")="Finished item","Finished endpoint",IF(IFERROR(INDEX('Items'!$AI$6:$AI$1005,MATCH(T925,'Items'!$A$6:$A$1005,0)),"MISSING ID")="Currency","Currency / no refinement tier","Recovered output / tier not applicable")),IF(OR(IFERROR(INDEX('Crafting recipes'!$H$6:$H$1005,MATCH(J925,'Crafting recipes'!$A$6:$A$1005,0)),"MISSING ID")="Unassigned",G925="Unassigned"),"Tier unresolved",IF(IFERROR(VALUE(RIGHT(G925,1))-VALUE(RIGHT(IFERROR(INDEX('Crafting recipes'!$H$6:$H$1005,MATCH(J925,'Crafting recipes'!$A$6:$A$1005,0)),"MISSING ID"),1)),0)=1,IF(B925=IFERROR(INDEX('Crafting recipes'!$H$6:$H$1005,MATCH(J925,'Crafting recipes'!$A$6:$A$1005,0)),"MISSING ID"),"Advances one material tier","Lower-tier ingredient; route advances one tier"),"Needs tier review"))))))</x:f>
        <x:v>Advances one material tier</x:v>
      </x:c>
      <x:c r="S925" s="4" t="str">
        <x:f>IFERROR(INDEX('Material routes'!$D$6:$D$2205,MATCH(U925,'Material routes'!$A$6:$A$2205,0)),"MISSING ID")</x:f>
        <x:v>author.metallurgy.steel_stock</x:v>
      </x:c>
      <x:c r="T925" s="4" t="str">
        <x:f>IFERROR(INDEX('Material routes'!$D$6:$D$2205,MATCH(V925,'Material routes'!$A$6:$A$2205,0)),"MISSING ID")</x:f>
        <x:v>proposal.audit.hand_drill_spindle</x:v>
      </x:c>
      <x:c r="U925" s="4" t="str">
        <x:v>design.audit.proposal_audit_hand_drill_spindle.audit.in.1</x:v>
      </x:c>
      <x:c r="V925" s="4" t="str">
        <x:v>design.audit.proposal_audit_hand_drill_spindle.audit.out</x:v>
      </x:c>
    </x:row>
    <x:row r="926" ht="64" customHeight="1">
      <x:c r="A926" s="4" t="str">
        <x:f>IFERROR(INDEX('Material routes'!$E$6:$E$2205,MATCH(U926,'Material routes'!$A$6:$A$2205,0)),"MISSING ID")</x:f>
        <x:v>Steel stock</x:v>
      </x:c>
      <x:c r="B926" s="4" t="str">
        <x:f>IFERROR(INDEX('Material routes'!$F$6:$F$2205,MATCH(U926,'Material routes'!$A$6:$A$2205,0)),"MISSING ID")</x:f>
        <x:v>T2</x:v>
      </x:c>
      <x:c r="C926" s="4" t="str">
        <x:f>IFERROR(INDEX('Material routes'!$H$6:$H$2205,MATCH(U926,'Material routes'!$A$6:$A$2205,0)),"MISSING ID")</x:f>
        <x:v>Processed material</x:v>
      </x:c>
      <x:c r="D926" s="4" t="str">
        <x:f>IFERROR(INDEX('Material routes'!$G$6:$G$2205,MATCH(U926,'Material routes'!$A$6:$A$2205,0)),"MISSING ID")</x:f>
        <x:v>Manufactured stock</x:v>
      </x:c>
      <x:c r="E926" s="4" t="str">
        <x:f>IFERROR(INDEX('Material routes'!$C$6:$C$2205,MATCH(U926,'Material routes'!$A$6:$A$2205,0)),"MISSING ID")</x:f>
        <x:v>Ingredient candidate</x:v>
      </x:c>
      <x:c r="F926" s="4" t="str">
        <x:f>IFERROR(INDEX('Material routes'!$E$6:$E$2205,MATCH(V926,'Material routes'!$A$6:$A$2205,0)),"MISSING ID")</x:f>
        <x:v>Replaceable drill-bit insert</x:v>
      </x:c>
      <x:c r="G926" s="4" t="str">
        <x:f>IFERROR(INDEX('Material routes'!$F$6:$F$2205,MATCH(V926,'Material routes'!$A$6:$A$2205,0)),"MISSING ID")</x:f>
        <x:v>T3</x:v>
      </x:c>
      <x:c r="H926" s="4" t="str">
        <x:f>IFERROR(INDEX('Material routes'!$H$6:$H$2205,MATCH(V926,'Material routes'!$A$6:$A$2205,0)),"MISSING ID")</x:f>
        <x:v>Machine part</x:v>
      </x:c>
      <x:c r="I926" s="4" t="str">
        <x:f>IFERROR(INDEX('Material routes'!$G$6:$G$2205,MATCH(V926,'Material routes'!$A$6:$A$2205,0)),"MISSING ID")</x:f>
        <x:v>Crafting components</x:v>
      </x:c>
      <x:c r="J926" s="4" t="str">
        <x:f>IFERROR(INDEX('Material routes'!$B$6:$B$2205,MATCH(U926,'Material routes'!$A$6:$A$2205,0)),"MISSING ID")</x:f>
        <x:v>design.audit.proposal_audit_replaceable_drill_bit_insert</x:v>
      </x:c>
      <x:c r="K926" s="4" t="str">
        <x:f>IFERROR(INDEX('Crafting recipes'!$C$6:$C$1005,MATCH(J926,'Crafting recipes'!$A$6:$A$1005,0)),"MISSING ID")</x:f>
        <x:v>Material refinement</x:v>
      </x:c>
      <x:c r="L926" s="4" t="str">
        <x:f>IFERROR(INDEX('Material routes'!$K$6:$K$2205,MATCH(U926,'Material routes'!$A$6:$A$2205,0)),"MISSING ID")</x:f>
        <x:v>Proposal</x:v>
      </x:c>
      <x:c r="M926" s="4" t="str">
        <x:f>IFERROR(INDEX('Material routes'!$M$6:$M$2205,MATCH(U926,'Material routes'!$A$6:$A$2205,0)),"MISSING ID")</x:f>
        <x:v>Partial proposal</x:v>
      </x:c>
      <x:c r="N926" s="4"/>
      <x:c r="O926" s="4" t="str">
        <x:f>IFERROR(INDEX('Material routes'!$J$6:$J$2205,MATCH(U926,'Material routes'!$A$6:$A$2205,0)),"MISSING ID")</x:f>
        <x:v>Unspecified</x:v>
      </x:c>
      <x:c r="P926" s="4"/>
      <x:c r="Q926" s="4" t="str">
        <x:f>IFERROR(INDEX('Material routes'!$J$6:$J$2205,MATCH(V926,'Material routes'!$A$6:$A$2205,0)),"MISSING ID")</x:f>
        <x:v>Unspecified</x:v>
      </x:c>
      <x:c r="R926" s="4" t="str">
        <x:f>IF(L926="Withheld","Withheld premise",IF(E926="Tool candidate","Reusable prerequisite",IF(K926="Raw entry preparation","Entry-resource preparation",IF(G926="Not applicable",IF(IFERROR(INDEX('Items'!$AI$6:$AI$1005,MATCH(T926,'Items'!$A$6:$A$1005,0)),"MISSING ID")="Finished item","Finished endpoint",IF(IFERROR(INDEX('Items'!$AI$6:$AI$1005,MATCH(T926,'Items'!$A$6:$A$1005,0)),"MISSING ID")="Currency","Currency / no refinement tier","Recovered output / tier not applicable")),IF(OR(IFERROR(INDEX('Crafting recipes'!$H$6:$H$1005,MATCH(J926,'Crafting recipes'!$A$6:$A$1005,0)),"MISSING ID")="Unassigned",G926="Unassigned"),"Tier unresolved",IF(IFERROR(VALUE(RIGHT(G926,1))-VALUE(RIGHT(IFERROR(INDEX('Crafting recipes'!$H$6:$H$1005,MATCH(J926,'Crafting recipes'!$A$6:$A$1005,0)),"MISSING ID"),1)),0)=1,IF(B926=IFERROR(INDEX('Crafting recipes'!$H$6:$H$1005,MATCH(J926,'Crafting recipes'!$A$6:$A$1005,0)),"MISSING ID"),"Advances one material tier","Lower-tier ingredient; route advances one tier"),"Needs tier review"))))))</x:f>
        <x:v>Advances one material tier</x:v>
      </x:c>
      <x:c r="S926" s="4" t="str">
        <x:f>IFERROR(INDEX('Material routes'!$D$6:$D$2205,MATCH(U926,'Material routes'!$A$6:$A$2205,0)),"MISSING ID")</x:f>
        <x:v>author.metallurgy.steel_stock</x:v>
      </x:c>
      <x:c r="T926" s="4" t="str">
        <x:f>IFERROR(INDEX('Material routes'!$D$6:$D$2205,MATCH(V926,'Material routes'!$A$6:$A$2205,0)),"MISSING ID")</x:f>
        <x:v>proposal.audit.replaceable_drill_bit_insert</x:v>
      </x:c>
      <x:c r="U926" s="4" t="str">
        <x:v>design.audit.proposal_audit_replaceable_drill_bit_insert.audit.in.1</x:v>
      </x:c>
      <x:c r="V926" s="4" t="str">
        <x:v>design.audit.proposal_audit_replaceable_drill_bit_insert.audit.out</x:v>
      </x:c>
    </x:row>
    <x:row r="927" ht="64" customHeight="1">
      <x:c r="A927" s="4" t="str">
        <x:f>IFERROR(INDEX('Material routes'!$E$6:$E$2205,MATCH(U927,'Material routes'!$A$6:$A$2205,0)),"MISSING ID")</x:f>
        <x:v>Spring-grade steel stock</x:v>
      </x:c>
      <x:c r="B927" s="4" t="str">
        <x:f>IFERROR(INDEX('Material routes'!$F$6:$F$2205,MATCH(U927,'Material routes'!$A$6:$A$2205,0)),"MISSING ID")</x:f>
        <x:v>T3</x:v>
      </x:c>
      <x:c r="C927" s="4" t="str">
        <x:f>IFERROR(INDEX('Material routes'!$H$6:$H$2205,MATCH(U927,'Material routes'!$A$6:$A$2205,0)),"MISSING ID")</x:f>
        <x:v>Processed material</x:v>
      </x:c>
      <x:c r="D927" s="4" t="str">
        <x:f>IFERROR(INDEX('Material routes'!$G$6:$G$2205,MATCH(U927,'Material routes'!$A$6:$A$2205,0)),"MISSING ID")</x:f>
        <x:v>Manufactured stock</x:v>
      </x:c>
      <x:c r="E927" s="4" t="str">
        <x:f>IFERROR(INDEX('Material routes'!$C$6:$C$2205,MATCH(U927,'Material routes'!$A$6:$A$2205,0)),"MISSING ID")</x:f>
        <x:v>Ingredient candidate</x:v>
      </x:c>
      <x:c r="F927" s="4" t="str">
        <x:f>IFERROR(INDEX('Material routes'!$E$6:$E$2205,MATCH(V927,'Material routes'!$A$6:$A$2205,0)),"MISSING ID")</x:f>
        <x:v>Compact latch and trigger pack</x:v>
      </x:c>
      <x:c r="G927" s="4" t="str">
        <x:f>IFERROR(INDEX('Material routes'!$F$6:$F$2205,MATCH(V927,'Material routes'!$A$6:$A$2205,0)),"MISSING ID")</x:f>
        <x:v>T4</x:v>
      </x:c>
      <x:c r="H927" s="4" t="str">
        <x:f>IFERROR(INDEX('Material routes'!$H$6:$H$2205,MATCH(V927,'Material routes'!$A$6:$A$2205,0)),"MISSING ID")</x:f>
        <x:v>Crafting component</x:v>
      </x:c>
      <x:c r="I927" s="4" t="str">
        <x:f>IFERROR(INDEX('Material routes'!$G$6:$G$2205,MATCH(V927,'Material routes'!$A$6:$A$2205,0)),"MISSING ID")</x:f>
        <x:v>Crafting components</x:v>
      </x:c>
      <x:c r="J927" s="4" t="str">
        <x:f>IFERROR(INDEX('Material routes'!$B$6:$B$2205,MATCH(U927,'Material routes'!$A$6:$A$2205,0)),"MISSING ID")</x:f>
        <x:v>design.audit.proposal_audit_compact_latch_and_trigger_pack</x:v>
      </x:c>
      <x:c r="K927" s="4" t="str">
        <x:f>IFERROR(INDEX('Crafting recipes'!$C$6:$C$1005,MATCH(J927,'Crafting recipes'!$A$6:$A$1005,0)),"MISSING ID")</x:f>
        <x:v>Material refinement</x:v>
      </x:c>
      <x:c r="L927" s="4" t="str">
        <x:f>IFERROR(INDEX('Material routes'!$K$6:$K$2205,MATCH(U927,'Material routes'!$A$6:$A$2205,0)),"MISSING ID")</x:f>
        <x:v>Proposal</x:v>
      </x:c>
      <x:c r="M927" s="4" t="str">
        <x:f>IFERROR(INDEX('Material routes'!$M$6:$M$2205,MATCH(U927,'Material routes'!$A$6:$A$2205,0)),"MISSING ID")</x:f>
        <x:v>Partial proposal</x:v>
      </x:c>
      <x:c r="N927" s="4"/>
      <x:c r="O927" s="4" t="str">
        <x:f>IFERROR(INDEX('Material routes'!$J$6:$J$2205,MATCH(U927,'Material routes'!$A$6:$A$2205,0)),"MISSING ID")</x:f>
        <x:v>Unspecified</x:v>
      </x:c>
      <x:c r="P927" s="4"/>
      <x:c r="Q927" s="4" t="str">
        <x:f>IFERROR(INDEX('Material routes'!$J$6:$J$2205,MATCH(V927,'Material routes'!$A$6:$A$2205,0)),"MISSING ID")</x:f>
        <x:v>Unspecified</x:v>
      </x:c>
      <x:c r="R927" s="4" t="str">
        <x:f>IF(L927="Withheld","Withheld premise",IF(E927="Tool candidate","Reusable prerequisite",IF(K927="Raw entry preparation","Entry-resource preparation",IF(G927="Not applicable",IF(IFERROR(INDEX('Items'!$AI$6:$AI$1005,MATCH(T927,'Items'!$A$6:$A$1005,0)),"MISSING ID")="Finished item","Finished endpoint",IF(IFERROR(INDEX('Items'!$AI$6:$AI$1005,MATCH(T927,'Items'!$A$6:$A$1005,0)),"MISSING ID")="Currency","Currency / no refinement tier","Recovered output / tier not applicable")),IF(OR(IFERROR(INDEX('Crafting recipes'!$H$6:$H$1005,MATCH(J927,'Crafting recipes'!$A$6:$A$1005,0)),"MISSING ID")="Unassigned",G927="Unassigned"),"Tier unresolved",IF(IFERROR(VALUE(RIGHT(G927,1))-VALUE(RIGHT(IFERROR(INDEX('Crafting recipes'!$H$6:$H$1005,MATCH(J927,'Crafting recipes'!$A$6:$A$1005,0)),"MISSING ID"),1)),0)=1,IF(B927=IFERROR(INDEX('Crafting recipes'!$H$6:$H$1005,MATCH(J927,'Crafting recipes'!$A$6:$A$1005,0)),"MISSING ID"),"Advances one material tier","Lower-tier ingredient; route advances one tier"),"Needs tier review"))))))</x:f>
        <x:v>Advances one material tier</x:v>
      </x:c>
      <x:c r="S927" s="4" t="str">
        <x:f>IFERROR(INDEX('Material routes'!$D$6:$D$2205,MATCH(U927,'Material routes'!$A$6:$A$2205,0)),"MISSING ID")</x:f>
        <x:v>proposal.branch.spring_steel</x:v>
      </x:c>
      <x:c r="T927" s="4" t="str">
        <x:f>IFERROR(INDEX('Material routes'!$D$6:$D$2205,MATCH(V927,'Material routes'!$A$6:$A$2205,0)),"MISSING ID")</x:f>
        <x:v>proposal.audit.compact_latch_and_trigger_pack</x:v>
      </x:c>
      <x:c r="U927" s="4" t="str">
        <x:v>design.audit.proposal_audit_compact_latch_and_trigger_pack.audit.in.1</x:v>
      </x:c>
      <x:c r="V927" s="4" t="str">
        <x:v>design.audit.proposal_audit_compact_latch_and_trigger_pack.audit.out</x:v>
      </x:c>
    </x:row>
    <x:row r="928" ht="64" customHeight="1">
      <x:c r="A928" s="4" t="str">
        <x:f>IFERROR(INDEX('Material routes'!$E$6:$E$2205,MATCH(U928,'Material routes'!$A$6:$A$2205,0)),"MISSING ID")</x:f>
        <x:v>Worked iron stock</x:v>
      </x:c>
      <x:c r="B928" s="4" t="str">
        <x:f>IFERROR(INDEX('Material routes'!$F$6:$F$2205,MATCH(U928,'Material routes'!$A$6:$A$2205,0)),"MISSING ID")</x:f>
        <x:v>T2</x:v>
      </x:c>
      <x:c r="C928" s="4" t="str">
        <x:f>IFERROR(INDEX('Material routes'!$H$6:$H$2205,MATCH(U928,'Material routes'!$A$6:$A$2205,0)),"MISSING ID")</x:f>
        <x:v>Processed material</x:v>
      </x:c>
      <x:c r="D928" s="4" t="str">
        <x:f>IFERROR(INDEX('Material routes'!$G$6:$G$2205,MATCH(U928,'Material routes'!$A$6:$A$2205,0)),"MISSING ID")</x:f>
        <x:v>Manufactured stock</x:v>
      </x:c>
      <x:c r="E928" s="4" t="str">
        <x:f>IFERROR(INDEX('Material routes'!$C$6:$C$2205,MATCH(U928,'Material routes'!$A$6:$A$2205,0)),"MISSING ID")</x:f>
        <x:v>Ingredient candidate</x:v>
      </x:c>
      <x:c r="F928" s="4" t="str">
        <x:f>IFERROR(INDEX('Material routes'!$E$6:$E$2205,MATCH(V928,'Material routes'!$A$6:$A$2205,0)),"MISSING ID")</x:f>
        <x:v>Compact latch and trigger pack</x:v>
      </x:c>
      <x:c r="G928" s="4" t="str">
        <x:f>IFERROR(INDEX('Material routes'!$F$6:$F$2205,MATCH(V928,'Material routes'!$A$6:$A$2205,0)),"MISSING ID")</x:f>
        <x:v>T4</x:v>
      </x:c>
      <x:c r="H928" s="4" t="str">
        <x:f>IFERROR(INDEX('Material routes'!$H$6:$H$2205,MATCH(V928,'Material routes'!$A$6:$A$2205,0)),"MISSING ID")</x:f>
        <x:v>Crafting component</x:v>
      </x:c>
      <x:c r="I928" s="4" t="str">
        <x:f>IFERROR(INDEX('Material routes'!$G$6:$G$2205,MATCH(V928,'Material routes'!$A$6:$A$2205,0)),"MISSING ID")</x:f>
        <x:v>Crafting components</x:v>
      </x:c>
      <x:c r="J928" s="4" t="str">
        <x:f>IFERROR(INDEX('Material routes'!$B$6:$B$2205,MATCH(U928,'Material routes'!$A$6:$A$2205,0)),"MISSING ID")</x:f>
        <x:v>design.audit.proposal_audit_compact_latch_and_trigger_pack</x:v>
      </x:c>
      <x:c r="K928" s="4" t="str">
        <x:f>IFERROR(INDEX('Crafting recipes'!$C$6:$C$1005,MATCH(J928,'Crafting recipes'!$A$6:$A$1005,0)),"MISSING ID")</x:f>
        <x:v>Material refinement</x:v>
      </x:c>
      <x:c r="L928" s="4" t="str">
        <x:f>IFERROR(INDEX('Material routes'!$K$6:$K$2205,MATCH(U928,'Material routes'!$A$6:$A$2205,0)),"MISSING ID")</x:f>
        <x:v>Proposal</x:v>
      </x:c>
      <x:c r="M928" s="4" t="str">
        <x:f>IFERROR(INDEX('Material routes'!$M$6:$M$2205,MATCH(U928,'Material routes'!$A$6:$A$2205,0)),"MISSING ID")</x:f>
        <x:v>Partial proposal</x:v>
      </x:c>
      <x:c r="N928" s="4"/>
      <x:c r="O928" s="4" t="str">
        <x:f>IFERROR(INDEX('Material routes'!$J$6:$J$2205,MATCH(U928,'Material routes'!$A$6:$A$2205,0)),"MISSING ID")</x:f>
        <x:v>Unspecified</x:v>
      </x:c>
      <x:c r="P928" s="4"/>
      <x:c r="Q928" s="4" t="str">
        <x:f>IFERROR(INDEX('Material routes'!$J$6:$J$2205,MATCH(V928,'Material routes'!$A$6:$A$2205,0)),"MISSING ID")</x:f>
        <x:v>Unspecified</x:v>
      </x:c>
      <x:c r="R928" s="4" t="str">
        <x:f>IF(L928="Withheld","Withheld premise",IF(E928="Tool candidate","Reusable prerequisite",IF(K928="Raw entry preparation","Entry-resource preparation",IF(G928="Not applicable",IF(IFERROR(INDEX('Items'!$AI$6:$AI$1005,MATCH(T928,'Items'!$A$6:$A$1005,0)),"MISSING ID")="Finished item","Finished endpoint",IF(IFERROR(INDEX('Items'!$AI$6:$AI$1005,MATCH(T928,'Items'!$A$6:$A$1005,0)),"MISSING ID")="Currency","Currency / no refinement tier","Recovered output / tier not applicable")),IF(OR(IFERROR(INDEX('Crafting recipes'!$H$6:$H$1005,MATCH(J928,'Crafting recipes'!$A$6:$A$1005,0)),"MISSING ID")="Unassigned",G928="Unassigned"),"Tier unresolved",IF(IFERROR(VALUE(RIGHT(G928,1))-VALUE(RIGHT(IFERROR(INDEX('Crafting recipes'!$H$6:$H$1005,MATCH(J928,'Crafting recipes'!$A$6:$A$1005,0)),"MISSING ID"),1)),0)=1,IF(B928=IFERROR(INDEX('Crafting recipes'!$H$6:$H$1005,MATCH(J928,'Crafting recipes'!$A$6:$A$1005,0)),"MISSING ID"),"Advances one material tier","Lower-tier ingredient; route advances one tier"),"Needs tier review"))))))</x:f>
        <x:v>Lower-tier ingredient; route advances one tier</x:v>
      </x:c>
      <x:c r="S928" s="4" t="str">
        <x:f>IFERROR(INDEX('Material routes'!$D$6:$D$2205,MATCH(U928,'Material routes'!$A$6:$A$2205,0)),"MISSING ID")</x:f>
        <x:v>proposal.natural.iron_stock</x:v>
      </x:c>
      <x:c r="T928" s="4" t="str">
        <x:f>IFERROR(INDEX('Material routes'!$D$6:$D$2205,MATCH(V928,'Material routes'!$A$6:$A$2205,0)),"MISSING ID")</x:f>
        <x:v>proposal.audit.compact_latch_and_trigger_pack</x:v>
      </x:c>
      <x:c r="U928" s="4" t="str">
        <x:v>design.audit.proposal_audit_compact_latch_and_trigger_pack.audit.in.2</x:v>
      </x:c>
      <x:c r="V928" s="4" t="str">
        <x:v>design.audit.proposal_audit_compact_latch_and_trigger_pack.audit.out</x:v>
      </x:c>
    </x:row>
    <x:row r="929" ht="64" customHeight="1">
      <x:c r="A929" s="4" t="str">
        <x:f>IFERROR(INDEX('Material routes'!$E$6:$E$2205,MATCH(U929,'Material routes'!$A$6:$A$2205,0)),"MISSING ID")</x:f>
        <x:v>Steel stock</x:v>
      </x:c>
      <x:c r="B929" s="4" t="str">
        <x:f>IFERROR(INDEX('Material routes'!$F$6:$F$2205,MATCH(U929,'Material routes'!$A$6:$A$2205,0)),"MISSING ID")</x:f>
        <x:v>T2</x:v>
      </x:c>
      <x:c r="C929" s="4" t="str">
        <x:f>IFERROR(INDEX('Material routes'!$H$6:$H$2205,MATCH(U929,'Material routes'!$A$6:$A$2205,0)),"MISSING ID")</x:f>
        <x:v>Processed material</x:v>
      </x:c>
      <x:c r="D929" s="4" t="str">
        <x:f>IFERROR(INDEX('Material routes'!$G$6:$G$2205,MATCH(U929,'Material routes'!$A$6:$A$2205,0)),"MISSING ID")</x:f>
        <x:v>Manufactured stock</x:v>
      </x:c>
      <x:c r="E929" s="4" t="str">
        <x:f>IFERROR(INDEX('Material routes'!$C$6:$C$2205,MATCH(U929,'Material routes'!$A$6:$A$2205,0)),"MISSING ID")</x:f>
        <x:v>Ingredient candidate</x:v>
      </x:c>
      <x:c r="F929" s="4" t="str">
        <x:f>IFERROR(INDEX('Material routes'!$E$6:$E$2205,MATCH(V929,'Material routes'!$A$6:$A$2205,0)),"MISSING ID")</x:f>
        <x:v>Valve poppet blank</x:v>
      </x:c>
      <x:c r="G929" s="4" t="str">
        <x:f>IFERROR(INDEX('Material routes'!$F$6:$F$2205,MATCH(V929,'Material routes'!$A$6:$A$2205,0)),"MISSING ID")</x:f>
        <x:v>T3</x:v>
      </x:c>
      <x:c r="H929" s="4" t="str">
        <x:f>IFERROR(INDEX('Material routes'!$H$6:$H$2205,MATCH(V929,'Material routes'!$A$6:$A$2205,0)),"MISSING ID")</x:f>
        <x:v>Machine part</x:v>
      </x:c>
      <x:c r="I929" s="4" t="str">
        <x:f>IFERROR(INDEX('Material routes'!$G$6:$G$2205,MATCH(V929,'Material routes'!$A$6:$A$2205,0)),"MISSING ID")</x:f>
        <x:v>Crafting components</x:v>
      </x:c>
      <x:c r="J929" s="4" t="str">
        <x:f>IFERROR(INDEX('Material routes'!$B$6:$B$2205,MATCH(U929,'Material routes'!$A$6:$A$2205,0)),"MISSING ID")</x:f>
        <x:v>design.audit.proposal_audit_valve_poppet_blank</x:v>
      </x:c>
      <x:c r="K929" s="4" t="str">
        <x:f>IFERROR(INDEX('Crafting recipes'!$C$6:$C$1005,MATCH(J929,'Crafting recipes'!$A$6:$A$1005,0)),"MISSING ID")</x:f>
        <x:v>Material refinement</x:v>
      </x:c>
      <x:c r="L929" s="4" t="str">
        <x:f>IFERROR(INDEX('Material routes'!$K$6:$K$2205,MATCH(U929,'Material routes'!$A$6:$A$2205,0)),"MISSING ID")</x:f>
        <x:v>Proposal</x:v>
      </x:c>
      <x:c r="M929" s="4" t="str">
        <x:f>IFERROR(INDEX('Material routes'!$M$6:$M$2205,MATCH(U929,'Material routes'!$A$6:$A$2205,0)),"MISSING ID")</x:f>
        <x:v>Partial proposal</x:v>
      </x:c>
      <x:c r="N929" s="4"/>
      <x:c r="O929" s="4" t="str">
        <x:f>IFERROR(INDEX('Material routes'!$J$6:$J$2205,MATCH(U929,'Material routes'!$A$6:$A$2205,0)),"MISSING ID")</x:f>
        <x:v>Unspecified</x:v>
      </x:c>
      <x:c r="P929" s="4"/>
      <x:c r="Q929" s="4" t="str">
        <x:f>IFERROR(INDEX('Material routes'!$J$6:$J$2205,MATCH(V929,'Material routes'!$A$6:$A$2205,0)),"MISSING ID")</x:f>
        <x:v>Unspecified</x:v>
      </x:c>
      <x:c r="R929" s="4" t="str">
        <x:f>IF(L929="Withheld","Withheld premise",IF(E929="Tool candidate","Reusable prerequisite",IF(K929="Raw entry preparation","Entry-resource preparation",IF(G929="Not applicable",IF(IFERROR(INDEX('Items'!$AI$6:$AI$1005,MATCH(T929,'Items'!$A$6:$A$1005,0)),"MISSING ID")="Finished item","Finished endpoint",IF(IFERROR(INDEX('Items'!$AI$6:$AI$1005,MATCH(T929,'Items'!$A$6:$A$1005,0)),"MISSING ID")="Currency","Currency / no refinement tier","Recovered output / tier not applicable")),IF(OR(IFERROR(INDEX('Crafting recipes'!$H$6:$H$1005,MATCH(J929,'Crafting recipes'!$A$6:$A$1005,0)),"MISSING ID")="Unassigned",G929="Unassigned"),"Tier unresolved",IF(IFERROR(VALUE(RIGHT(G929,1))-VALUE(RIGHT(IFERROR(INDEX('Crafting recipes'!$H$6:$H$1005,MATCH(J929,'Crafting recipes'!$A$6:$A$1005,0)),"MISSING ID"),1)),0)=1,IF(B929=IFERROR(INDEX('Crafting recipes'!$H$6:$H$1005,MATCH(J929,'Crafting recipes'!$A$6:$A$1005,0)),"MISSING ID"),"Advances one material tier","Lower-tier ingredient; route advances one tier"),"Needs tier review"))))))</x:f>
        <x:v>Advances one material tier</x:v>
      </x:c>
      <x:c r="S929" s="4" t="str">
        <x:f>IFERROR(INDEX('Material routes'!$D$6:$D$2205,MATCH(U929,'Material routes'!$A$6:$A$2205,0)),"MISSING ID")</x:f>
        <x:v>author.metallurgy.steel_stock</x:v>
      </x:c>
      <x:c r="T929" s="4" t="str">
        <x:f>IFERROR(INDEX('Material routes'!$D$6:$D$2205,MATCH(V929,'Material routes'!$A$6:$A$2205,0)),"MISSING ID")</x:f>
        <x:v>proposal.audit.valve_poppet_blank</x:v>
      </x:c>
      <x:c r="U929" s="4" t="str">
        <x:v>design.audit.proposal_audit_valve_poppet_blank.audit.in.1</x:v>
      </x:c>
      <x:c r="V929" s="4" t="str">
        <x:v>design.audit.proposal_audit_valve_poppet_blank.audit.out</x:v>
      </x:c>
    </x:row>
    <x:row r="930" ht="64" customHeight="1">
      <x:c r="A930" s="4" t="str">
        <x:f>IFERROR(INDEX('Material routes'!$E$6:$E$2205,MATCH(U930,'Material routes'!$A$6:$A$2205,0)),"MISSING ID")</x:f>
        <x:v>Drawn steel tube stock</x:v>
      </x:c>
      <x:c r="B930" s="4" t="str">
        <x:f>IFERROR(INDEX('Material routes'!$F$6:$F$2205,MATCH(U930,'Material routes'!$A$6:$A$2205,0)),"MISSING ID")</x:f>
        <x:v>T3</x:v>
      </x:c>
      <x:c r="C930" s="4" t="str">
        <x:f>IFERROR(INDEX('Material routes'!$H$6:$H$2205,MATCH(U930,'Material routes'!$A$6:$A$2205,0)),"MISSING ID")</x:f>
        <x:v>Processed material</x:v>
      </x:c>
      <x:c r="D930" s="4" t="str">
        <x:f>IFERROR(INDEX('Material routes'!$G$6:$G$2205,MATCH(U930,'Material routes'!$A$6:$A$2205,0)),"MISSING ID")</x:f>
        <x:v>Manufactured stock</x:v>
      </x:c>
      <x:c r="E930" s="4" t="str">
        <x:f>IFERROR(INDEX('Material routes'!$C$6:$C$2205,MATCH(U930,'Material routes'!$A$6:$A$2205,0)),"MISSING ID")</x:f>
        <x:v>Ingredient candidate</x:v>
      </x:c>
      <x:c r="F930" s="4" t="str">
        <x:f>IFERROR(INDEX('Material routes'!$E$6:$E$2205,MATCH(V930,'Material routes'!$A$6:$A$2205,0)),"MISSING ID")</x:f>
        <x:v>Fitted pressure-barrel module</x:v>
      </x:c>
      <x:c r="G930" s="4" t="str">
        <x:f>IFERROR(INDEX('Material routes'!$F$6:$F$2205,MATCH(V930,'Material routes'!$A$6:$A$2205,0)),"MISSING ID")</x:f>
        <x:v>T4</x:v>
      </x:c>
      <x:c r="H930" s="4" t="str">
        <x:f>IFERROR(INDEX('Material routes'!$H$6:$H$2205,MATCH(V930,'Material routes'!$A$6:$A$2205,0)),"MISSING ID")</x:f>
        <x:v>Crafting component</x:v>
      </x:c>
      <x:c r="I930" s="4" t="str">
        <x:f>IFERROR(INDEX('Material routes'!$G$6:$G$2205,MATCH(V930,'Material routes'!$A$6:$A$2205,0)),"MISSING ID")</x:f>
        <x:v>Crafting components</x:v>
      </x:c>
      <x:c r="J930" s="4" t="str">
        <x:f>IFERROR(INDEX('Material routes'!$B$6:$B$2205,MATCH(U930,'Material routes'!$A$6:$A$2205,0)),"MISSING ID")</x:f>
        <x:v>design.audit.proposal_audit_fitted_pressure_barrel_module</x:v>
      </x:c>
      <x:c r="K930" s="4" t="str">
        <x:f>IFERROR(INDEX('Crafting recipes'!$C$6:$C$1005,MATCH(J930,'Crafting recipes'!$A$6:$A$1005,0)),"MISSING ID")</x:f>
        <x:v>Material refinement</x:v>
      </x:c>
      <x:c r="L930" s="4" t="str">
        <x:f>IFERROR(INDEX('Material routes'!$K$6:$K$2205,MATCH(U930,'Material routes'!$A$6:$A$2205,0)),"MISSING ID")</x:f>
        <x:v>Proposal</x:v>
      </x:c>
      <x:c r="M930" s="4" t="str">
        <x:f>IFERROR(INDEX('Material routes'!$M$6:$M$2205,MATCH(U930,'Material routes'!$A$6:$A$2205,0)),"MISSING ID")</x:f>
        <x:v>Partial proposal</x:v>
      </x:c>
      <x:c r="N930" s="4"/>
      <x:c r="O930" s="4" t="str">
        <x:f>IFERROR(INDEX('Material routes'!$J$6:$J$2205,MATCH(U930,'Material routes'!$A$6:$A$2205,0)),"MISSING ID")</x:f>
        <x:v>Unspecified</x:v>
      </x:c>
      <x:c r="P930" s="4"/>
      <x:c r="Q930" s="4" t="str">
        <x:f>IFERROR(INDEX('Material routes'!$J$6:$J$2205,MATCH(V930,'Material routes'!$A$6:$A$2205,0)),"MISSING ID")</x:f>
        <x:v>Unspecified</x:v>
      </x:c>
      <x:c r="R930" s="4" t="str">
        <x:f>IF(L930="Withheld","Withheld premise",IF(E930="Tool candidate","Reusable prerequisite",IF(K930="Raw entry preparation","Entry-resource preparation",IF(G930="Not applicable",IF(IFERROR(INDEX('Items'!$AI$6:$AI$1005,MATCH(T930,'Items'!$A$6:$A$1005,0)),"MISSING ID")="Finished item","Finished endpoint",IF(IFERROR(INDEX('Items'!$AI$6:$AI$1005,MATCH(T930,'Items'!$A$6:$A$1005,0)),"MISSING ID")="Currency","Currency / no refinement tier","Recovered output / tier not applicable")),IF(OR(IFERROR(INDEX('Crafting recipes'!$H$6:$H$1005,MATCH(J930,'Crafting recipes'!$A$6:$A$1005,0)),"MISSING ID")="Unassigned",G930="Unassigned"),"Tier unresolved",IF(IFERROR(VALUE(RIGHT(G930,1))-VALUE(RIGHT(IFERROR(INDEX('Crafting recipes'!$H$6:$H$1005,MATCH(J930,'Crafting recipes'!$A$6:$A$1005,0)),"MISSING ID"),1)),0)=1,IF(B930=IFERROR(INDEX('Crafting recipes'!$H$6:$H$1005,MATCH(J930,'Crafting recipes'!$A$6:$A$1005,0)),"MISSING ID"),"Advances one material tier","Lower-tier ingredient; route advances one tier"),"Needs tier review"))))))</x:f>
        <x:v>Advances one material tier</x:v>
      </x:c>
      <x:c r="S930" s="4" t="str">
        <x:f>IFERROR(INDEX('Material routes'!$D$6:$D$2205,MATCH(U930,'Material routes'!$A$6:$A$2205,0)),"MISSING ID")</x:f>
        <x:v>proposal.t3.precision_tube</x:v>
      </x:c>
      <x:c r="T930" s="4" t="str">
        <x:f>IFERROR(INDEX('Material routes'!$D$6:$D$2205,MATCH(V930,'Material routes'!$A$6:$A$2205,0)),"MISSING ID")</x:f>
        <x:v>proposal.audit.fitted_pressure_barrel_module</x:v>
      </x:c>
      <x:c r="U930" s="4" t="str">
        <x:v>design.audit.proposal_audit_fitted_pressure_barrel_module.audit.in.1</x:v>
      </x:c>
      <x:c r="V930" s="4" t="str">
        <x:v>design.audit.proposal_audit_fitted_pressure_barrel_module.audit.out</x:v>
      </x:c>
    </x:row>
    <x:row r="931" ht="64" customHeight="1">
      <x:c r="A931" s="4" t="str">
        <x:f>IFERROR(INDEX('Material routes'!$E$6:$E$2205,MATCH(U931,'Material routes'!$A$6:$A$2205,0)),"MISSING ID")</x:f>
        <x:v>Reinforced sealing sheet</x:v>
      </x:c>
      <x:c r="B931" s="4" t="str">
        <x:f>IFERROR(INDEX('Material routes'!$F$6:$F$2205,MATCH(U931,'Material routes'!$A$6:$A$2205,0)),"MISSING ID")</x:f>
        <x:v>T3</x:v>
      </x:c>
      <x:c r="C931" s="4" t="str">
        <x:f>IFERROR(INDEX('Material routes'!$H$6:$H$2205,MATCH(U931,'Material routes'!$A$6:$A$2205,0)),"MISSING ID")</x:f>
        <x:v>Processed material</x:v>
      </x:c>
      <x:c r="D931" s="4" t="str">
        <x:f>IFERROR(INDEX('Material routes'!$G$6:$G$2205,MATCH(U931,'Material routes'!$A$6:$A$2205,0)),"MISSING ID")</x:f>
        <x:v>Manufactured stock</x:v>
      </x:c>
      <x:c r="E931" s="4" t="str">
        <x:f>IFERROR(INDEX('Material routes'!$C$6:$C$2205,MATCH(U931,'Material routes'!$A$6:$A$2205,0)),"MISSING ID")</x:f>
        <x:v>Ingredient candidate</x:v>
      </x:c>
      <x:c r="F931" s="4" t="str">
        <x:f>IFERROR(INDEX('Material routes'!$E$6:$E$2205,MATCH(V931,'Material routes'!$A$6:$A$2205,0)),"MISSING ID")</x:f>
        <x:v>Fitted pressure-barrel module</x:v>
      </x:c>
      <x:c r="G931" s="4" t="str">
        <x:f>IFERROR(INDEX('Material routes'!$F$6:$F$2205,MATCH(V931,'Material routes'!$A$6:$A$2205,0)),"MISSING ID")</x:f>
        <x:v>T4</x:v>
      </x:c>
      <x:c r="H931" s="4" t="str">
        <x:f>IFERROR(INDEX('Material routes'!$H$6:$H$2205,MATCH(V931,'Material routes'!$A$6:$A$2205,0)),"MISSING ID")</x:f>
        <x:v>Crafting component</x:v>
      </x:c>
      <x:c r="I931" s="4" t="str">
        <x:f>IFERROR(INDEX('Material routes'!$G$6:$G$2205,MATCH(V931,'Material routes'!$A$6:$A$2205,0)),"MISSING ID")</x:f>
        <x:v>Crafting components</x:v>
      </x:c>
      <x:c r="J931" s="4" t="str">
        <x:f>IFERROR(INDEX('Material routes'!$B$6:$B$2205,MATCH(U931,'Material routes'!$A$6:$A$2205,0)),"MISSING ID")</x:f>
        <x:v>design.audit.proposal_audit_fitted_pressure_barrel_module</x:v>
      </x:c>
      <x:c r="K931" s="4" t="str">
        <x:f>IFERROR(INDEX('Crafting recipes'!$C$6:$C$1005,MATCH(J931,'Crafting recipes'!$A$6:$A$1005,0)),"MISSING ID")</x:f>
        <x:v>Material refinement</x:v>
      </x:c>
      <x:c r="L931" s="4" t="str">
        <x:f>IFERROR(INDEX('Material routes'!$K$6:$K$2205,MATCH(U931,'Material routes'!$A$6:$A$2205,0)),"MISSING ID")</x:f>
        <x:v>Proposal</x:v>
      </x:c>
      <x:c r="M931" s="4" t="str">
        <x:f>IFERROR(INDEX('Material routes'!$M$6:$M$2205,MATCH(U931,'Material routes'!$A$6:$A$2205,0)),"MISSING ID")</x:f>
        <x:v>Partial proposal</x:v>
      </x:c>
      <x:c r="N931" s="4"/>
      <x:c r="O931" s="4" t="str">
        <x:f>IFERROR(INDEX('Material routes'!$J$6:$J$2205,MATCH(U931,'Material routes'!$A$6:$A$2205,0)),"MISSING ID")</x:f>
        <x:v>Unspecified</x:v>
      </x:c>
      <x:c r="P931" s="4"/>
      <x:c r="Q931" s="4" t="str">
        <x:f>IFERROR(INDEX('Material routes'!$J$6:$J$2205,MATCH(V931,'Material routes'!$A$6:$A$2205,0)),"MISSING ID")</x:f>
        <x:v>Unspecified</x:v>
      </x:c>
      <x:c r="R931" s="4" t="str">
        <x:f>IF(L931="Withheld","Withheld premise",IF(E931="Tool candidate","Reusable prerequisite",IF(K931="Raw entry preparation","Entry-resource preparation",IF(G931="Not applicable",IF(IFERROR(INDEX('Items'!$AI$6:$AI$1005,MATCH(T931,'Items'!$A$6:$A$1005,0)),"MISSING ID")="Finished item","Finished endpoint",IF(IFERROR(INDEX('Items'!$AI$6:$AI$1005,MATCH(T931,'Items'!$A$6:$A$1005,0)),"MISSING ID")="Currency","Currency / no refinement tier","Recovered output / tier not applicable")),IF(OR(IFERROR(INDEX('Crafting recipes'!$H$6:$H$1005,MATCH(J931,'Crafting recipes'!$A$6:$A$1005,0)),"MISSING ID")="Unassigned",G931="Unassigned"),"Tier unresolved",IF(IFERROR(VALUE(RIGHT(G931,1))-VALUE(RIGHT(IFERROR(INDEX('Crafting recipes'!$H$6:$H$1005,MATCH(J931,'Crafting recipes'!$A$6:$A$1005,0)),"MISSING ID"),1)),0)=1,IF(B931=IFERROR(INDEX('Crafting recipes'!$H$6:$H$1005,MATCH(J931,'Crafting recipes'!$A$6:$A$1005,0)),"MISSING ID"),"Advances one material tier","Lower-tier ingredient; route advances one tier"),"Needs tier review"))))))</x:f>
        <x:v>Advances one material tier</x:v>
      </x:c>
      <x:c r="S931" s="4" t="str">
        <x:f>IFERROR(INDEX('Material routes'!$D$6:$D$2205,MATCH(U931,'Material routes'!$A$6:$A$2205,0)),"MISSING ID")</x:f>
        <x:v>proposal.branch.sealing_sheet</x:v>
      </x:c>
      <x:c r="T931" s="4" t="str">
        <x:f>IFERROR(INDEX('Material routes'!$D$6:$D$2205,MATCH(V931,'Material routes'!$A$6:$A$2205,0)),"MISSING ID")</x:f>
        <x:v>proposal.audit.fitted_pressure_barrel_module</x:v>
      </x:c>
      <x:c r="U931" s="4" t="str">
        <x:v>design.audit.proposal_audit_fitted_pressure_barrel_module.audit.in.2</x:v>
      </x:c>
      <x:c r="V931" s="4" t="str">
        <x:v>design.audit.proposal_audit_fitted_pressure_barrel_module.audit.out</x:v>
      </x:c>
    </x:row>
    <x:row r="932" ht="64" customHeight="1">
      <x:c r="A932" s="4" t="str">
        <x:f>IFERROR(INDEX('Material routes'!$E$6:$E$2205,MATCH(U932,'Material routes'!$A$6:$A$2205,0)),"MISSING ID")</x:f>
        <x:v>Refractory ceramic stock</x:v>
      </x:c>
      <x:c r="B932" s="4" t="str">
        <x:f>IFERROR(INDEX('Material routes'!$F$6:$F$2205,MATCH(U932,'Material routes'!$A$6:$A$2205,0)),"MISSING ID")</x:f>
        <x:v>T2</x:v>
      </x:c>
      <x:c r="C932" s="4" t="str">
        <x:f>IFERROR(INDEX('Material routes'!$H$6:$H$2205,MATCH(U932,'Material routes'!$A$6:$A$2205,0)),"MISSING ID")</x:f>
        <x:v>Processed material</x:v>
      </x:c>
      <x:c r="D932" s="4" t="str">
        <x:f>IFERROR(INDEX('Material routes'!$G$6:$G$2205,MATCH(U932,'Material routes'!$A$6:$A$2205,0)),"MISSING ID")</x:f>
        <x:v>Manufactured stock</x:v>
      </x:c>
      <x:c r="E932" s="4" t="str">
        <x:f>IFERROR(INDEX('Material routes'!$C$6:$C$2205,MATCH(U932,'Material routes'!$A$6:$A$2205,0)),"MISSING ID")</x:f>
        <x:v>Ingredient candidate</x:v>
      </x:c>
      <x:c r="F932" s="4" t="str">
        <x:f>IFERROR(INDEX('Material routes'!$E$6:$E$2205,MATCH(V932,'Material routes'!$A$6:$A$2205,0)),"MISSING ID")</x:f>
        <x:v>Ceramic-backed control switch</x:v>
      </x:c>
      <x:c r="G932" s="4" t="str">
        <x:f>IFERROR(INDEX('Material routes'!$F$6:$F$2205,MATCH(V932,'Material routes'!$A$6:$A$2205,0)),"MISSING ID")</x:f>
        <x:v>T4</x:v>
      </x:c>
      <x:c r="H932" s="4" t="str">
        <x:f>IFERROR(INDEX('Material routes'!$H$6:$H$2205,MATCH(V932,'Material routes'!$A$6:$A$2205,0)),"MISSING ID")</x:f>
        <x:v>Crafting component</x:v>
      </x:c>
      <x:c r="I932" s="4" t="str">
        <x:f>IFERROR(INDEX('Material routes'!$G$6:$G$2205,MATCH(V932,'Material routes'!$A$6:$A$2205,0)),"MISSING ID")</x:f>
        <x:v>Crafting components</x:v>
      </x:c>
      <x:c r="J932" s="4" t="str">
        <x:f>IFERROR(INDEX('Material routes'!$B$6:$B$2205,MATCH(U932,'Material routes'!$A$6:$A$2205,0)),"MISSING ID")</x:f>
        <x:v>design.audit.proposal_audit_ceramic_backed_control_switch</x:v>
      </x:c>
      <x:c r="K932" s="4" t="str">
        <x:f>IFERROR(INDEX('Crafting recipes'!$C$6:$C$1005,MATCH(J932,'Crafting recipes'!$A$6:$A$1005,0)),"MISSING ID")</x:f>
        <x:v>Material refinement</x:v>
      </x:c>
      <x:c r="L932" s="4" t="str">
        <x:f>IFERROR(INDEX('Material routes'!$K$6:$K$2205,MATCH(U932,'Material routes'!$A$6:$A$2205,0)),"MISSING ID")</x:f>
        <x:v>Proposal</x:v>
      </x:c>
      <x:c r="M932" s="4" t="str">
        <x:f>IFERROR(INDEX('Material routes'!$M$6:$M$2205,MATCH(U932,'Material routes'!$A$6:$A$2205,0)),"MISSING ID")</x:f>
        <x:v>Partial proposal</x:v>
      </x:c>
      <x:c r="N932" s="4"/>
      <x:c r="O932" s="4" t="str">
        <x:f>IFERROR(INDEX('Material routes'!$J$6:$J$2205,MATCH(U932,'Material routes'!$A$6:$A$2205,0)),"MISSING ID")</x:f>
        <x:v>Unspecified</x:v>
      </x:c>
      <x:c r="P932" s="4"/>
      <x:c r="Q932" s="4" t="str">
        <x:f>IFERROR(INDEX('Material routes'!$J$6:$J$2205,MATCH(V932,'Material routes'!$A$6:$A$2205,0)),"MISSING ID")</x:f>
        <x:v>Unspecified</x:v>
      </x:c>
      <x:c r="R932" s="4" t="str">
        <x:f>IF(L932="Withheld","Withheld premise",IF(E932="Tool candidate","Reusable prerequisite",IF(K932="Raw entry preparation","Entry-resource preparation",IF(G932="Not applicable",IF(IFERROR(INDEX('Items'!$AI$6:$AI$1005,MATCH(T932,'Items'!$A$6:$A$1005,0)),"MISSING ID")="Finished item","Finished endpoint",IF(IFERROR(INDEX('Items'!$AI$6:$AI$1005,MATCH(T932,'Items'!$A$6:$A$1005,0)),"MISSING ID")="Currency","Currency / no refinement tier","Recovered output / tier not applicable")),IF(OR(IFERROR(INDEX('Crafting recipes'!$H$6:$H$1005,MATCH(J932,'Crafting recipes'!$A$6:$A$1005,0)),"MISSING ID")="Unassigned",G932="Unassigned"),"Tier unresolved",IF(IFERROR(VALUE(RIGHT(G932,1))-VALUE(RIGHT(IFERROR(INDEX('Crafting recipes'!$H$6:$H$1005,MATCH(J932,'Crafting recipes'!$A$6:$A$1005,0)),"MISSING ID"),1)),0)=1,IF(B932=IFERROR(INDEX('Crafting recipes'!$H$6:$H$1005,MATCH(J932,'Crafting recipes'!$A$6:$A$1005,0)),"MISSING ID"),"Advances one material tier","Lower-tier ingredient; route advances one tier"),"Needs tier review"))))))</x:f>
        <x:v>Lower-tier ingredient; route advances one tier</x:v>
      </x:c>
      <x:c r="S932" s="4" t="str">
        <x:f>IFERROR(INDEX('Material routes'!$D$6:$D$2205,MATCH(U932,'Material routes'!$A$6:$A$2205,0)),"MISSING ID")</x:f>
        <x:v>proposal.branch.refractory_ceramic</x:v>
      </x:c>
      <x:c r="T932" s="4" t="str">
        <x:f>IFERROR(INDEX('Material routes'!$D$6:$D$2205,MATCH(V932,'Material routes'!$A$6:$A$2205,0)),"MISSING ID")</x:f>
        <x:v>proposal.audit.ceramic_backed_control_switch</x:v>
      </x:c>
      <x:c r="U932" s="4" t="str">
        <x:v>design.audit.proposal_audit_ceramic_backed_control_switch.audit.in.1</x:v>
      </x:c>
      <x:c r="V932" s="4" t="str">
        <x:v>design.audit.proposal_audit_ceramic_backed_control_switch.audit.out</x:v>
      </x:c>
    </x:row>
    <x:row r="933" ht="64" customHeight="1">
      <x:c r="A933" s="4" t="str">
        <x:f>IFERROR(INDEX('Material routes'!$E$6:$E$2205,MATCH(U933,'Material routes'!$A$6:$A$2205,0)),"MISSING ID")</x:f>
        <x:v>Drawn copper stock</x:v>
      </x:c>
      <x:c r="B933" s="4" t="str">
        <x:f>IFERROR(INDEX('Material routes'!$F$6:$F$2205,MATCH(U933,'Material routes'!$A$6:$A$2205,0)),"MISSING ID")</x:f>
        <x:v>T2</x:v>
      </x:c>
      <x:c r="C933" s="4" t="str">
        <x:f>IFERROR(INDEX('Material routes'!$H$6:$H$2205,MATCH(U933,'Material routes'!$A$6:$A$2205,0)),"MISSING ID")</x:f>
        <x:v>Processed material</x:v>
      </x:c>
      <x:c r="D933" s="4" t="str">
        <x:f>IFERROR(INDEX('Material routes'!$G$6:$G$2205,MATCH(U933,'Material routes'!$A$6:$A$2205,0)),"MISSING ID")</x:f>
        <x:v>Manufactured stock</x:v>
      </x:c>
      <x:c r="E933" s="4" t="str">
        <x:f>IFERROR(INDEX('Material routes'!$C$6:$C$2205,MATCH(U933,'Material routes'!$A$6:$A$2205,0)),"MISSING ID")</x:f>
        <x:v>Ingredient candidate</x:v>
      </x:c>
      <x:c r="F933" s="4" t="str">
        <x:f>IFERROR(INDEX('Material routes'!$E$6:$E$2205,MATCH(V933,'Material routes'!$A$6:$A$2205,0)),"MISSING ID")</x:f>
        <x:v>Ceramic-backed control switch</x:v>
      </x:c>
      <x:c r="G933" s="4" t="str">
        <x:f>IFERROR(INDEX('Material routes'!$F$6:$F$2205,MATCH(V933,'Material routes'!$A$6:$A$2205,0)),"MISSING ID")</x:f>
        <x:v>T4</x:v>
      </x:c>
      <x:c r="H933" s="4" t="str">
        <x:f>IFERROR(INDEX('Material routes'!$H$6:$H$2205,MATCH(V933,'Material routes'!$A$6:$A$2205,0)),"MISSING ID")</x:f>
        <x:v>Crafting component</x:v>
      </x:c>
      <x:c r="I933" s="4" t="str">
        <x:f>IFERROR(INDEX('Material routes'!$G$6:$G$2205,MATCH(V933,'Material routes'!$A$6:$A$2205,0)),"MISSING ID")</x:f>
        <x:v>Crafting components</x:v>
      </x:c>
      <x:c r="J933" s="4" t="str">
        <x:f>IFERROR(INDEX('Material routes'!$B$6:$B$2205,MATCH(U933,'Material routes'!$A$6:$A$2205,0)),"MISSING ID")</x:f>
        <x:v>design.audit.proposal_audit_ceramic_backed_control_switch</x:v>
      </x:c>
      <x:c r="K933" s="4" t="str">
        <x:f>IFERROR(INDEX('Crafting recipes'!$C$6:$C$1005,MATCH(J933,'Crafting recipes'!$A$6:$A$1005,0)),"MISSING ID")</x:f>
        <x:v>Material refinement</x:v>
      </x:c>
      <x:c r="L933" s="4" t="str">
        <x:f>IFERROR(INDEX('Material routes'!$K$6:$K$2205,MATCH(U933,'Material routes'!$A$6:$A$2205,0)),"MISSING ID")</x:f>
        <x:v>Proposal</x:v>
      </x:c>
      <x:c r="M933" s="4" t="str">
        <x:f>IFERROR(INDEX('Material routes'!$M$6:$M$2205,MATCH(U933,'Material routes'!$A$6:$A$2205,0)),"MISSING ID")</x:f>
        <x:v>Partial proposal</x:v>
      </x:c>
      <x:c r="N933" s="4"/>
      <x:c r="O933" s="4" t="str">
        <x:f>IFERROR(INDEX('Material routes'!$J$6:$J$2205,MATCH(U933,'Material routes'!$A$6:$A$2205,0)),"MISSING ID")</x:f>
        <x:v>Unspecified</x:v>
      </x:c>
      <x:c r="P933" s="4"/>
      <x:c r="Q933" s="4" t="str">
        <x:f>IFERROR(INDEX('Material routes'!$J$6:$J$2205,MATCH(V933,'Material routes'!$A$6:$A$2205,0)),"MISSING ID")</x:f>
        <x:v>Unspecified</x:v>
      </x:c>
      <x:c r="R933" s="4" t="str">
        <x:f>IF(L933="Withheld","Withheld premise",IF(E933="Tool candidate","Reusable prerequisite",IF(K933="Raw entry preparation","Entry-resource preparation",IF(G933="Not applicable",IF(IFERROR(INDEX('Items'!$AI$6:$AI$1005,MATCH(T933,'Items'!$A$6:$A$1005,0)),"MISSING ID")="Finished item","Finished endpoint",IF(IFERROR(INDEX('Items'!$AI$6:$AI$1005,MATCH(T933,'Items'!$A$6:$A$1005,0)),"MISSING ID")="Currency","Currency / no refinement tier","Recovered output / tier not applicable")),IF(OR(IFERROR(INDEX('Crafting recipes'!$H$6:$H$1005,MATCH(J933,'Crafting recipes'!$A$6:$A$1005,0)),"MISSING ID")="Unassigned",G933="Unassigned"),"Tier unresolved",IF(IFERROR(VALUE(RIGHT(G933,1))-VALUE(RIGHT(IFERROR(INDEX('Crafting recipes'!$H$6:$H$1005,MATCH(J933,'Crafting recipes'!$A$6:$A$1005,0)),"MISSING ID"),1)),0)=1,IF(B933=IFERROR(INDEX('Crafting recipes'!$H$6:$H$1005,MATCH(J933,'Crafting recipes'!$A$6:$A$1005,0)),"MISSING ID"),"Advances one material tier","Lower-tier ingredient; route advances one tier"),"Needs tier review"))))))</x:f>
        <x:v>Lower-tier ingredient; route advances one tier</x:v>
      </x:c>
      <x:c r="S933" s="4" t="str">
        <x:f>IFERROR(INDEX('Material routes'!$D$6:$D$2205,MATCH(U933,'Material routes'!$A$6:$A$2205,0)),"MISSING ID")</x:f>
        <x:v>proposal.branch.drawn_copper</x:v>
      </x:c>
      <x:c r="T933" s="4" t="str">
        <x:f>IFERROR(INDEX('Material routes'!$D$6:$D$2205,MATCH(V933,'Material routes'!$A$6:$A$2205,0)),"MISSING ID")</x:f>
        <x:v>proposal.audit.ceramic_backed_control_switch</x:v>
      </x:c>
      <x:c r="U933" s="4" t="str">
        <x:v>design.audit.proposal_audit_ceramic_backed_control_switch.audit.in.2</x:v>
      </x:c>
      <x:c r="V933" s="4" t="str">
        <x:v>design.audit.proposal_audit_ceramic_backed_control_switch.audit.out</x:v>
      </x:c>
    </x:row>
    <x:row r="934" ht="64" customHeight="1">
      <x:c r="A934" s="4" t="str">
        <x:f>IFERROR(INDEX('Material routes'!$E$6:$E$2205,MATCH(U934,'Material routes'!$A$6:$A$2205,0)),"MISSING ID")</x:f>
        <x:v>Spring-grade steel stock</x:v>
      </x:c>
      <x:c r="B934" s="4" t="str">
        <x:f>IFERROR(INDEX('Material routes'!$F$6:$F$2205,MATCH(U934,'Material routes'!$A$6:$A$2205,0)),"MISSING ID")</x:f>
        <x:v>T3</x:v>
      </x:c>
      <x:c r="C934" s="4" t="str">
        <x:f>IFERROR(INDEX('Material routes'!$H$6:$H$2205,MATCH(U934,'Material routes'!$A$6:$A$2205,0)),"MISSING ID")</x:f>
        <x:v>Processed material</x:v>
      </x:c>
      <x:c r="D934" s="4" t="str">
        <x:f>IFERROR(INDEX('Material routes'!$G$6:$G$2205,MATCH(U934,'Material routes'!$A$6:$A$2205,0)),"MISSING ID")</x:f>
        <x:v>Manufactured stock</x:v>
      </x:c>
      <x:c r="E934" s="4" t="str">
        <x:f>IFERROR(INDEX('Material routes'!$C$6:$C$2205,MATCH(U934,'Material routes'!$A$6:$A$2205,0)),"MISSING ID")</x:f>
        <x:v>Ingredient candidate</x:v>
      </x:c>
      <x:c r="F934" s="4" t="str">
        <x:f>IFERROR(INDEX('Material routes'!$E$6:$E$2205,MATCH(V934,'Material routes'!$A$6:$A$2205,0)),"MISSING ID")</x:f>
        <x:v>Ceramic-backed control switch</x:v>
      </x:c>
      <x:c r="G934" s="4" t="str">
        <x:f>IFERROR(INDEX('Material routes'!$F$6:$F$2205,MATCH(V934,'Material routes'!$A$6:$A$2205,0)),"MISSING ID")</x:f>
        <x:v>T4</x:v>
      </x:c>
      <x:c r="H934" s="4" t="str">
        <x:f>IFERROR(INDEX('Material routes'!$H$6:$H$2205,MATCH(V934,'Material routes'!$A$6:$A$2205,0)),"MISSING ID")</x:f>
        <x:v>Crafting component</x:v>
      </x:c>
      <x:c r="I934" s="4" t="str">
        <x:f>IFERROR(INDEX('Material routes'!$G$6:$G$2205,MATCH(V934,'Material routes'!$A$6:$A$2205,0)),"MISSING ID")</x:f>
        <x:v>Crafting components</x:v>
      </x:c>
      <x:c r="J934" s="4" t="str">
        <x:f>IFERROR(INDEX('Material routes'!$B$6:$B$2205,MATCH(U934,'Material routes'!$A$6:$A$2205,0)),"MISSING ID")</x:f>
        <x:v>design.audit.proposal_audit_ceramic_backed_control_switch</x:v>
      </x:c>
      <x:c r="K934" s="4" t="str">
        <x:f>IFERROR(INDEX('Crafting recipes'!$C$6:$C$1005,MATCH(J934,'Crafting recipes'!$A$6:$A$1005,0)),"MISSING ID")</x:f>
        <x:v>Material refinement</x:v>
      </x:c>
      <x:c r="L934" s="4" t="str">
        <x:f>IFERROR(INDEX('Material routes'!$K$6:$K$2205,MATCH(U934,'Material routes'!$A$6:$A$2205,0)),"MISSING ID")</x:f>
        <x:v>Proposal</x:v>
      </x:c>
      <x:c r="M934" s="4" t="str">
        <x:f>IFERROR(INDEX('Material routes'!$M$6:$M$2205,MATCH(U934,'Material routes'!$A$6:$A$2205,0)),"MISSING ID")</x:f>
        <x:v>Partial proposal</x:v>
      </x:c>
      <x:c r="N934" s="4"/>
      <x:c r="O934" s="4" t="str">
        <x:f>IFERROR(INDEX('Material routes'!$J$6:$J$2205,MATCH(U934,'Material routes'!$A$6:$A$2205,0)),"MISSING ID")</x:f>
        <x:v>Unspecified</x:v>
      </x:c>
      <x:c r="P934" s="4"/>
      <x:c r="Q934" s="4" t="str">
        <x:f>IFERROR(INDEX('Material routes'!$J$6:$J$2205,MATCH(V934,'Material routes'!$A$6:$A$2205,0)),"MISSING ID")</x:f>
        <x:v>Unspecified</x:v>
      </x:c>
      <x:c r="R934" s="4" t="str">
        <x:f>IF(L934="Withheld","Withheld premise",IF(E934="Tool candidate","Reusable prerequisite",IF(K934="Raw entry preparation","Entry-resource preparation",IF(G934="Not applicable",IF(IFERROR(INDEX('Items'!$AI$6:$AI$1005,MATCH(T934,'Items'!$A$6:$A$1005,0)),"MISSING ID")="Finished item","Finished endpoint",IF(IFERROR(INDEX('Items'!$AI$6:$AI$1005,MATCH(T934,'Items'!$A$6:$A$1005,0)),"MISSING ID")="Currency","Currency / no refinement tier","Recovered output / tier not applicable")),IF(OR(IFERROR(INDEX('Crafting recipes'!$H$6:$H$1005,MATCH(J934,'Crafting recipes'!$A$6:$A$1005,0)),"MISSING ID")="Unassigned",G934="Unassigned"),"Tier unresolved",IF(IFERROR(VALUE(RIGHT(G934,1))-VALUE(RIGHT(IFERROR(INDEX('Crafting recipes'!$H$6:$H$1005,MATCH(J934,'Crafting recipes'!$A$6:$A$1005,0)),"MISSING ID"),1)),0)=1,IF(B934=IFERROR(INDEX('Crafting recipes'!$H$6:$H$1005,MATCH(J934,'Crafting recipes'!$A$6:$A$1005,0)),"MISSING ID"),"Advances one material tier","Lower-tier ingredient; route advances one tier"),"Needs tier review"))))))</x:f>
        <x:v>Advances one material tier</x:v>
      </x:c>
      <x:c r="S934" s="4" t="str">
        <x:f>IFERROR(INDEX('Material routes'!$D$6:$D$2205,MATCH(U934,'Material routes'!$A$6:$A$2205,0)),"MISSING ID")</x:f>
        <x:v>proposal.branch.spring_steel</x:v>
      </x:c>
      <x:c r="T934" s="4" t="str">
        <x:f>IFERROR(INDEX('Material routes'!$D$6:$D$2205,MATCH(V934,'Material routes'!$A$6:$A$2205,0)),"MISSING ID")</x:f>
        <x:v>proposal.audit.ceramic_backed_control_switch</x:v>
      </x:c>
      <x:c r="U934" s="4" t="str">
        <x:v>design.audit.proposal_audit_ceramic_backed_control_switch.audit.in.3</x:v>
      </x:c>
      <x:c r="V934" s="4" t="str">
        <x:v>design.audit.proposal_audit_ceramic_backed_control_switch.audit.out</x:v>
      </x:c>
    </x:row>
    <x:row r="935" ht="64" customHeight="1">
      <x:c r="A935" s="4" t="str">
        <x:f>IFERROR(INDEX('Material routes'!$E$6:$E$2205,MATCH(U935,'Material routes'!$A$6:$A$2205,0)),"MISSING ID")</x:f>
        <x:v>Worked iron stock</x:v>
      </x:c>
      <x:c r="B935" s="4" t="str">
        <x:f>IFERROR(INDEX('Material routes'!$F$6:$F$2205,MATCH(U935,'Material routes'!$A$6:$A$2205,0)),"MISSING ID")</x:f>
        <x:v>T2</x:v>
      </x:c>
      <x:c r="C935" s="4" t="str">
        <x:f>IFERROR(INDEX('Material routes'!$H$6:$H$2205,MATCH(U935,'Material routes'!$A$6:$A$2205,0)),"MISSING ID")</x:f>
        <x:v>Processed material</x:v>
      </x:c>
      <x:c r="D935" s="4" t="str">
        <x:f>IFERROR(INDEX('Material routes'!$G$6:$G$2205,MATCH(U935,'Material routes'!$A$6:$A$2205,0)),"MISSING ID")</x:f>
        <x:v>Manufactured stock</x:v>
      </x:c>
      <x:c r="E935" s="4" t="str">
        <x:f>IFERROR(INDEX('Material routes'!$C$6:$C$2205,MATCH(U935,'Material routes'!$A$6:$A$2205,0)),"MISSING ID")</x:f>
        <x:v>Ingredient candidate</x:v>
      </x:c>
      <x:c r="F935" s="4" t="str">
        <x:f>IFERROR(INDEX('Material routes'!$E$6:$E$2205,MATCH(V935,'Material routes'!$A$6:$A$2205,0)),"MISSING ID")</x:f>
        <x:v>Fitted machine casing</x:v>
      </x:c>
      <x:c r="G935" s="4" t="str">
        <x:f>IFERROR(INDEX('Material routes'!$F$6:$F$2205,MATCH(V935,'Material routes'!$A$6:$A$2205,0)),"MISSING ID")</x:f>
        <x:v>T3</x:v>
      </x:c>
      <x:c r="H935" s="4" t="str">
        <x:f>IFERROR(INDEX('Material routes'!$H$6:$H$2205,MATCH(V935,'Material routes'!$A$6:$A$2205,0)),"MISSING ID")</x:f>
        <x:v>Crafting component</x:v>
      </x:c>
      <x:c r="I935" s="4" t="str">
        <x:f>IFERROR(INDEX('Material routes'!$G$6:$G$2205,MATCH(V935,'Material routes'!$A$6:$A$2205,0)),"MISSING ID")</x:f>
        <x:v>Crafting components</x:v>
      </x:c>
      <x:c r="J935" s="4" t="str">
        <x:f>IFERROR(INDEX('Material routes'!$B$6:$B$2205,MATCH(U935,'Material routes'!$A$6:$A$2205,0)),"MISSING ID")</x:f>
        <x:v>design.audit.proposal_audit_fitted_machine_casing</x:v>
      </x:c>
      <x:c r="K935" s="4" t="str">
        <x:f>IFERROR(INDEX('Crafting recipes'!$C$6:$C$1005,MATCH(J935,'Crafting recipes'!$A$6:$A$1005,0)),"MISSING ID")</x:f>
        <x:v>Material refinement</x:v>
      </x:c>
      <x:c r="L935" s="4" t="str">
        <x:f>IFERROR(INDEX('Material routes'!$K$6:$K$2205,MATCH(U935,'Material routes'!$A$6:$A$2205,0)),"MISSING ID")</x:f>
        <x:v>Proposal</x:v>
      </x:c>
      <x:c r="M935" s="4" t="str">
        <x:f>IFERROR(INDEX('Material routes'!$M$6:$M$2205,MATCH(U935,'Material routes'!$A$6:$A$2205,0)),"MISSING ID")</x:f>
        <x:v>Partial proposal</x:v>
      </x:c>
      <x:c r="N935" s="4"/>
      <x:c r="O935" s="4" t="str">
        <x:f>IFERROR(INDEX('Material routes'!$J$6:$J$2205,MATCH(U935,'Material routes'!$A$6:$A$2205,0)),"MISSING ID")</x:f>
        <x:v>Unspecified</x:v>
      </x:c>
      <x:c r="P935" s="4"/>
      <x:c r="Q935" s="4" t="str">
        <x:f>IFERROR(INDEX('Material routes'!$J$6:$J$2205,MATCH(V935,'Material routes'!$A$6:$A$2205,0)),"MISSING ID")</x:f>
        <x:v>Unspecified</x:v>
      </x:c>
      <x:c r="R935" s="4" t="str">
        <x:f>IF(L935="Withheld","Withheld premise",IF(E935="Tool candidate","Reusable prerequisite",IF(K935="Raw entry preparation","Entry-resource preparation",IF(G935="Not applicable",IF(IFERROR(INDEX('Items'!$AI$6:$AI$1005,MATCH(T935,'Items'!$A$6:$A$1005,0)),"MISSING ID")="Finished item","Finished endpoint",IF(IFERROR(INDEX('Items'!$AI$6:$AI$1005,MATCH(T935,'Items'!$A$6:$A$1005,0)),"MISSING ID")="Currency","Currency / no refinement tier","Recovered output / tier not applicable")),IF(OR(IFERROR(INDEX('Crafting recipes'!$H$6:$H$1005,MATCH(J935,'Crafting recipes'!$A$6:$A$1005,0)),"MISSING ID")="Unassigned",G935="Unassigned"),"Tier unresolved",IF(IFERROR(VALUE(RIGHT(G935,1))-VALUE(RIGHT(IFERROR(INDEX('Crafting recipes'!$H$6:$H$1005,MATCH(J935,'Crafting recipes'!$A$6:$A$1005,0)),"MISSING ID"),1)),0)=1,IF(B935=IFERROR(INDEX('Crafting recipes'!$H$6:$H$1005,MATCH(J935,'Crafting recipes'!$A$6:$A$1005,0)),"MISSING ID"),"Advances one material tier","Lower-tier ingredient; route advances one tier"),"Needs tier review"))))))</x:f>
        <x:v>Advances one material tier</x:v>
      </x:c>
      <x:c r="S935" s="4" t="str">
        <x:f>IFERROR(INDEX('Material routes'!$D$6:$D$2205,MATCH(U935,'Material routes'!$A$6:$A$2205,0)),"MISSING ID")</x:f>
        <x:v>proposal.natural.iron_stock</x:v>
      </x:c>
      <x:c r="T935" s="4" t="str">
        <x:f>IFERROR(INDEX('Material routes'!$D$6:$D$2205,MATCH(V935,'Material routes'!$A$6:$A$2205,0)),"MISSING ID")</x:f>
        <x:v>proposal.audit.fitted_machine_casing</x:v>
      </x:c>
      <x:c r="U935" s="4" t="str">
        <x:v>design.audit.proposal_audit_fitted_machine_casing.audit.in.1</x:v>
      </x:c>
      <x:c r="V935" s="4" t="str">
        <x:v>design.audit.proposal_audit_fitted_machine_casing.audit.out</x:v>
      </x:c>
    </x:row>
    <x:row r="936" ht="64" customHeight="1">
      <x:c r="A936" s="4" t="str">
        <x:f>IFERROR(INDEX('Material routes'!$E$6:$E$2205,MATCH(U936,'Material routes'!$A$6:$A$2205,0)),"MISSING ID")</x:f>
        <x:v>Drawn iron conductor stock</x:v>
      </x:c>
      <x:c r="B936" s="4" t="str">
        <x:f>IFERROR(INDEX('Material routes'!$F$6:$F$2205,MATCH(U936,'Material routes'!$A$6:$A$2205,0)),"MISSING ID")</x:f>
        <x:v>T2</x:v>
      </x:c>
      <x:c r="C936" s="4" t="str">
        <x:f>IFERROR(INDEX('Material routes'!$H$6:$H$2205,MATCH(U936,'Material routes'!$A$6:$A$2205,0)),"MISSING ID")</x:f>
        <x:v>Processed material</x:v>
      </x:c>
      <x:c r="D936" s="4" t="str">
        <x:f>IFERROR(INDEX('Material routes'!$G$6:$G$2205,MATCH(U936,'Material routes'!$A$6:$A$2205,0)),"MISSING ID")</x:f>
        <x:v>Manufactured stock</x:v>
      </x:c>
      <x:c r="E936" s="4" t="str">
        <x:f>IFERROR(INDEX('Material routes'!$C$6:$C$2205,MATCH(U936,'Material routes'!$A$6:$A$2205,0)),"MISSING ID")</x:f>
        <x:v>Ingredient candidate</x:v>
      </x:c>
      <x:c r="F936" s="4" t="str">
        <x:f>IFERROR(INDEX('Material routes'!$E$6:$E$2205,MATCH(V936,'Material routes'!$A$6:$A$2205,0)),"MISSING ID")</x:f>
        <x:v>Supported iron heating element</x:v>
      </x:c>
      <x:c r="G936" s="4" t="str">
        <x:f>IFERROR(INDEX('Material routes'!$F$6:$F$2205,MATCH(V936,'Material routes'!$A$6:$A$2205,0)),"MISSING ID")</x:f>
        <x:v>T3</x:v>
      </x:c>
      <x:c r="H936" s="4" t="str">
        <x:f>IFERROR(INDEX('Material routes'!$H$6:$H$2205,MATCH(V936,'Material routes'!$A$6:$A$2205,0)),"MISSING ID")</x:f>
        <x:v>Machine part</x:v>
      </x:c>
      <x:c r="I936" s="4" t="str">
        <x:f>IFERROR(INDEX('Material routes'!$G$6:$G$2205,MATCH(V936,'Material routes'!$A$6:$A$2205,0)),"MISSING ID")</x:f>
        <x:v>Crafting components</x:v>
      </x:c>
      <x:c r="J936" s="4" t="str">
        <x:f>IFERROR(INDEX('Material routes'!$B$6:$B$2205,MATCH(U936,'Material routes'!$A$6:$A$2205,0)),"MISSING ID")</x:f>
        <x:v>design.audit.proposal_audit_supported_iron_heating_element</x:v>
      </x:c>
      <x:c r="K936" s="4" t="str">
        <x:f>IFERROR(INDEX('Crafting recipes'!$C$6:$C$1005,MATCH(J936,'Crafting recipes'!$A$6:$A$1005,0)),"MISSING ID")</x:f>
        <x:v>Material refinement</x:v>
      </x:c>
      <x:c r="L936" s="4" t="str">
        <x:f>IFERROR(INDEX('Material routes'!$K$6:$K$2205,MATCH(U936,'Material routes'!$A$6:$A$2205,0)),"MISSING ID")</x:f>
        <x:v>Proposal</x:v>
      </x:c>
      <x:c r="M936" s="4" t="str">
        <x:f>IFERROR(INDEX('Material routes'!$M$6:$M$2205,MATCH(U936,'Material routes'!$A$6:$A$2205,0)),"MISSING ID")</x:f>
        <x:v>Partial proposal</x:v>
      </x:c>
      <x:c r="N936" s="4"/>
      <x:c r="O936" s="4" t="str">
        <x:f>IFERROR(INDEX('Material routes'!$J$6:$J$2205,MATCH(U936,'Material routes'!$A$6:$A$2205,0)),"MISSING ID")</x:f>
        <x:v>Unspecified</x:v>
      </x:c>
      <x:c r="P936" s="4"/>
      <x:c r="Q936" s="4" t="str">
        <x:f>IFERROR(INDEX('Material routes'!$J$6:$J$2205,MATCH(V936,'Material routes'!$A$6:$A$2205,0)),"MISSING ID")</x:f>
        <x:v>Unspecified</x:v>
      </x:c>
      <x:c r="R936" s="4" t="str">
        <x:f>IF(L936="Withheld","Withheld premise",IF(E936="Tool candidate","Reusable prerequisite",IF(K936="Raw entry preparation","Entry-resource preparation",IF(G936="Not applicable",IF(IFERROR(INDEX('Items'!$AI$6:$AI$1005,MATCH(T936,'Items'!$A$6:$A$1005,0)),"MISSING ID")="Finished item","Finished endpoint",IF(IFERROR(INDEX('Items'!$AI$6:$AI$1005,MATCH(T936,'Items'!$A$6:$A$1005,0)),"MISSING ID")="Currency","Currency / no refinement tier","Recovered output / tier not applicable")),IF(OR(IFERROR(INDEX('Crafting recipes'!$H$6:$H$1005,MATCH(J936,'Crafting recipes'!$A$6:$A$1005,0)),"MISSING ID")="Unassigned",G936="Unassigned"),"Tier unresolved",IF(IFERROR(VALUE(RIGHT(G936,1))-VALUE(RIGHT(IFERROR(INDEX('Crafting recipes'!$H$6:$H$1005,MATCH(J936,'Crafting recipes'!$A$6:$A$1005,0)),"MISSING ID"),1)),0)=1,IF(B936=IFERROR(INDEX('Crafting recipes'!$H$6:$H$1005,MATCH(J936,'Crafting recipes'!$A$6:$A$1005,0)),"MISSING ID"),"Advances one material tier","Lower-tier ingredient; route advances one tier"),"Needs tier review"))))))</x:f>
        <x:v>Advances one material tier</x:v>
      </x:c>
      <x:c r="S936" s="4" t="str">
        <x:f>IFERROR(INDEX('Material routes'!$D$6:$D$2205,MATCH(U936,'Material routes'!$A$6:$A$2205,0)),"MISSING ID")</x:f>
        <x:v>proposal.lore.iron_conductor</x:v>
      </x:c>
      <x:c r="T936" s="4" t="str">
        <x:f>IFERROR(INDEX('Material routes'!$D$6:$D$2205,MATCH(V936,'Material routes'!$A$6:$A$2205,0)),"MISSING ID")</x:f>
        <x:v>proposal.audit.supported_iron_heating_element</x:v>
      </x:c>
      <x:c r="U936" s="4" t="str">
        <x:v>design.audit.proposal_audit_supported_iron_heating_element.audit.in.1</x:v>
      </x:c>
      <x:c r="V936" s="4" t="str">
        <x:v>design.audit.proposal_audit_supported_iron_heating_element.audit.out</x:v>
      </x:c>
    </x:row>
    <x:row r="937" ht="64" customHeight="1">
      <x:c r="A937" s="4" t="str">
        <x:f>IFERROR(INDEX('Material routes'!$E$6:$E$2205,MATCH(U937,'Material routes'!$A$6:$A$2205,0)),"MISSING ID")</x:f>
        <x:v>Refractory ceramic stock</x:v>
      </x:c>
      <x:c r="B937" s="4" t="str">
        <x:f>IFERROR(INDEX('Material routes'!$F$6:$F$2205,MATCH(U937,'Material routes'!$A$6:$A$2205,0)),"MISSING ID")</x:f>
        <x:v>T2</x:v>
      </x:c>
      <x:c r="C937" s="4" t="str">
        <x:f>IFERROR(INDEX('Material routes'!$H$6:$H$2205,MATCH(U937,'Material routes'!$A$6:$A$2205,0)),"MISSING ID")</x:f>
        <x:v>Processed material</x:v>
      </x:c>
      <x:c r="D937" s="4" t="str">
        <x:f>IFERROR(INDEX('Material routes'!$G$6:$G$2205,MATCH(U937,'Material routes'!$A$6:$A$2205,0)),"MISSING ID")</x:f>
        <x:v>Manufactured stock</x:v>
      </x:c>
      <x:c r="E937" s="4" t="str">
        <x:f>IFERROR(INDEX('Material routes'!$C$6:$C$2205,MATCH(U937,'Material routes'!$A$6:$A$2205,0)),"MISSING ID")</x:f>
        <x:v>Ingredient candidate</x:v>
      </x:c>
      <x:c r="F937" s="4" t="str">
        <x:f>IFERROR(INDEX('Material routes'!$E$6:$E$2205,MATCH(V937,'Material routes'!$A$6:$A$2205,0)),"MISSING ID")</x:f>
        <x:v>Supported iron heating element</x:v>
      </x:c>
      <x:c r="G937" s="4" t="str">
        <x:f>IFERROR(INDEX('Material routes'!$F$6:$F$2205,MATCH(V937,'Material routes'!$A$6:$A$2205,0)),"MISSING ID")</x:f>
        <x:v>T3</x:v>
      </x:c>
      <x:c r="H937" s="4" t="str">
        <x:f>IFERROR(INDEX('Material routes'!$H$6:$H$2205,MATCH(V937,'Material routes'!$A$6:$A$2205,0)),"MISSING ID")</x:f>
        <x:v>Machine part</x:v>
      </x:c>
      <x:c r="I937" s="4" t="str">
        <x:f>IFERROR(INDEX('Material routes'!$G$6:$G$2205,MATCH(V937,'Material routes'!$A$6:$A$2205,0)),"MISSING ID")</x:f>
        <x:v>Crafting components</x:v>
      </x:c>
      <x:c r="J937" s="4" t="str">
        <x:f>IFERROR(INDEX('Material routes'!$B$6:$B$2205,MATCH(U937,'Material routes'!$A$6:$A$2205,0)),"MISSING ID")</x:f>
        <x:v>design.audit.proposal_audit_supported_iron_heating_element</x:v>
      </x:c>
      <x:c r="K937" s="4" t="str">
        <x:f>IFERROR(INDEX('Crafting recipes'!$C$6:$C$1005,MATCH(J937,'Crafting recipes'!$A$6:$A$1005,0)),"MISSING ID")</x:f>
        <x:v>Material refinement</x:v>
      </x:c>
      <x:c r="L937" s="4" t="str">
        <x:f>IFERROR(INDEX('Material routes'!$K$6:$K$2205,MATCH(U937,'Material routes'!$A$6:$A$2205,0)),"MISSING ID")</x:f>
        <x:v>Proposal</x:v>
      </x:c>
      <x:c r="M937" s="4" t="str">
        <x:f>IFERROR(INDEX('Material routes'!$M$6:$M$2205,MATCH(U937,'Material routes'!$A$6:$A$2205,0)),"MISSING ID")</x:f>
        <x:v>Partial proposal</x:v>
      </x:c>
      <x:c r="N937" s="4"/>
      <x:c r="O937" s="4" t="str">
        <x:f>IFERROR(INDEX('Material routes'!$J$6:$J$2205,MATCH(U937,'Material routes'!$A$6:$A$2205,0)),"MISSING ID")</x:f>
        <x:v>Unspecified</x:v>
      </x:c>
      <x:c r="P937" s="4"/>
      <x:c r="Q937" s="4" t="str">
        <x:f>IFERROR(INDEX('Material routes'!$J$6:$J$2205,MATCH(V937,'Material routes'!$A$6:$A$2205,0)),"MISSING ID")</x:f>
        <x:v>Unspecified</x:v>
      </x:c>
      <x:c r="R937" s="4" t="str">
        <x:f>IF(L937="Withheld","Withheld premise",IF(E937="Tool candidate","Reusable prerequisite",IF(K937="Raw entry preparation","Entry-resource preparation",IF(G937="Not applicable",IF(IFERROR(INDEX('Items'!$AI$6:$AI$1005,MATCH(T937,'Items'!$A$6:$A$1005,0)),"MISSING ID")="Finished item","Finished endpoint",IF(IFERROR(INDEX('Items'!$AI$6:$AI$1005,MATCH(T937,'Items'!$A$6:$A$1005,0)),"MISSING ID")="Currency","Currency / no refinement tier","Recovered output / tier not applicable")),IF(OR(IFERROR(INDEX('Crafting recipes'!$H$6:$H$1005,MATCH(J937,'Crafting recipes'!$A$6:$A$1005,0)),"MISSING ID")="Unassigned",G937="Unassigned"),"Tier unresolved",IF(IFERROR(VALUE(RIGHT(G937,1))-VALUE(RIGHT(IFERROR(INDEX('Crafting recipes'!$H$6:$H$1005,MATCH(J937,'Crafting recipes'!$A$6:$A$1005,0)),"MISSING ID"),1)),0)=1,IF(B937=IFERROR(INDEX('Crafting recipes'!$H$6:$H$1005,MATCH(J937,'Crafting recipes'!$A$6:$A$1005,0)),"MISSING ID"),"Advances one material tier","Lower-tier ingredient; route advances one tier"),"Needs tier review"))))))</x:f>
        <x:v>Advances one material tier</x:v>
      </x:c>
      <x:c r="S937" s="4" t="str">
        <x:f>IFERROR(INDEX('Material routes'!$D$6:$D$2205,MATCH(U937,'Material routes'!$A$6:$A$2205,0)),"MISSING ID")</x:f>
        <x:v>proposal.branch.refractory_ceramic</x:v>
      </x:c>
      <x:c r="T937" s="4" t="str">
        <x:f>IFERROR(INDEX('Material routes'!$D$6:$D$2205,MATCH(V937,'Material routes'!$A$6:$A$2205,0)),"MISSING ID")</x:f>
        <x:v>proposal.audit.supported_iron_heating_element</x:v>
      </x:c>
      <x:c r="U937" s="4" t="str">
        <x:v>design.audit.proposal_audit_supported_iron_heating_element.audit.in.2</x:v>
      </x:c>
      <x:c r="V937" s="4" t="str">
        <x:v>design.audit.proposal_audit_supported_iron_heating_element.audit.out</x:v>
      </x:c>
    </x:row>
    <x:row r="938" ht="64" customHeight="1">
      <x:c r="A938" s="4" t="str">
        <x:f>IFERROR(INDEX('Material routes'!$E$6:$E$2205,MATCH(U938,'Material routes'!$A$6:$A$2205,0)),"MISSING ID")</x:f>
        <x:v>Refractory ceramic brick</x:v>
      </x:c>
      <x:c r="B938" s="4" t="str">
        <x:f>IFERROR(INDEX('Material routes'!$F$6:$F$2205,MATCH(U938,'Material routes'!$A$6:$A$2205,0)),"MISSING ID")</x:f>
        <x:v>T3</x:v>
      </x:c>
      <x:c r="C938" s="4" t="str">
        <x:f>IFERROR(INDEX('Material routes'!$H$6:$H$2205,MATCH(U938,'Material routes'!$A$6:$A$2205,0)),"MISSING ID")</x:f>
        <x:v>Crafting component</x:v>
      </x:c>
      <x:c r="D938" s="4" t="str">
        <x:f>IFERROR(INDEX('Material routes'!$G$6:$G$2205,MATCH(U938,'Material routes'!$A$6:$A$2205,0)),"MISSING ID")</x:f>
        <x:v>Crafting components</x:v>
      </x:c>
      <x:c r="E938" s="4" t="str">
        <x:f>IFERROR(INDEX('Material routes'!$C$6:$C$2205,MATCH(U938,'Material routes'!$A$6:$A$2205,0)),"MISSING ID")</x:f>
        <x:v>Ingredient candidate</x:v>
      </x:c>
      <x:c r="F938" s="4" t="str">
        <x:f>IFERROR(INDEX('Material routes'!$E$6:$E$2205,MATCH(V938,'Material routes'!$A$6:$A$2205,0)),"MISSING ID")</x:f>
        <x:v>Controlled-heating firing kiln</x:v>
      </x:c>
      <x:c r="G938" s="4" t="str">
        <x:f>IFERROR(INDEX('Material routes'!$F$6:$F$2205,MATCH(V938,'Material routes'!$A$6:$A$2205,0)),"MISSING ID")</x:f>
        <x:v>Not applicable</x:v>
      </x:c>
      <x:c r="H938" s="4" t="str">
        <x:f>IFERROR(INDEX('Material routes'!$H$6:$H$2205,MATCH(V938,'Material routes'!$A$6:$A$2205,0)),"MISSING ID")</x:f>
        <x:v>Machine</x:v>
      </x:c>
      <x:c r="I938" s="4" t="str">
        <x:f>IFERROR(INDEX('Material routes'!$G$6:$G$2205,MATCH(V938,'Material routes'!$A$6:$A$2205,0)),"MISSING ID")</x:f>
        <x:v>Crafting stations</x:v>
      </x:c>
      <x:c r="J938" s="4" t="str">
        <x:f>IFERROR(INDEX('Material routes'!$B$6:$B$2205,MATCH(U938,'Material routes'!$A$6:$A$2205,0)),"MISSING ID")</x:f>
        <x:v>design.audit.proposal_audit_controlled_heating_firing_kiln</x:v>
      </x:c>
      <x:c r="K938" s="4" t="str">
        <x:f>IFERROR(INDEX('Crafting recipes'!$C$6:$C$1005,MATCH(J938,'Crafting recipes'!$A$6:$A$1005,0)),"MISSING ID")</x:f>
        <x:v>Finished-item crafting</x:v>
      </x:c>
      <x:c r="L938" s="4" t="str">
        <x:f>IFERROR(INDEX('Material routes'!$K$6:$K$2205,MATCH(U938,'Material routes'!$A$6:$A$2205,0)),"MISSING ID")</x:f>
        <x:v>Proposal</x:v>
      </x:c>
      <x:c r="M938" s="4" t="str">
        <x:f>IFERROR(INDEX('Material routes'!$M$6:$M$2205,MATCH(U938,'Material routes'!$A$6:$A$2205,0)),"MISSING ID")</x:f>
        <x:v>Partial proposal</x:v>
      </x:c>
      <x:c r="N938" s="4"/>
      <x:c r="O938" s="4" t="str">
        <x:f>IFERROR(INDEX('Material routes'!$J$6:$J$2205,MATCH(U938,'Material routes'!$A$6:$A$2205,0)),"MISSING ID")</x:f>
        <x:v>Unspecified</x:v>
      </x:c>
      <x:c r="P938" s="4"/>
      <x:c r="Q938" s="4" t="str">
        <x:f>IFERROR(INDEX('Material routes'!$J$6:$J$2205,MATCH(V938,'Material routes'!$A$6:$A$2205,0)),"MISSING ID")</x:f>
        <x:v>Unspecified</x:v>
      </x:c>
      <x:c r="R938" s="4" t="str">
        <x:f>IF(L938="Withheld","Withheld premise",IF(E938="Tool candidate","Reusable prerequisite",IF(K938="Raw entry preparation","Entry-resource preparation",IF(G938="Not applicable",IF(IFERROR(INDEX('Items'!$AI$6:$AI$1005,MATCH(T938,'Items'!$A$6:$A$1005,0)),"MISSING ID")="Finished item","Finished endpoint",IF(IFERROR(INDEX('Items'!$AI$6:$AI$1005,MATCH(T938,'Items'!$A$6:$A$1005,0)),"MISSING ID")="Currency","Currency / no refinement tier","Recovered output / tier not applicable")),IF(OR(IFERROR(INDEX('Crafting recipes'!$H$6:$H$1005,MATCH(J938,'Crafting recipes'!$A$6:$A$1005,0)),"MISSING ID")="Unassigned",G938="Unassigned"),"Tier unresolved",IF(IFERROR(VALUE(RIGHT(G938,1))-VALUE(RIGHT(IFERROR(INDEX('Crafting recipes'!$H$6:$H$1005,MATCH(J938,'Crafting recipes'!$A$6:$A$1005,0)),"MISSING ID"),1)),0)=1,IF(B938=IFERROR(INDEX('Crafting recipes'!$H$6:$H$1005,MATCH(J938,'Crafting recipes'!$A$6:$A$1005,0)),"MISSING ID"),"Advances one material tier","Lower-tier ingredient; route advances one tier"),"Needs tier review"))))))</x:f>
        <x:v>Finished endpoint</x:v>
      </x:c>
      <x:c r="S938" s="4" t="str">
        <x:f>IFERROR(INDEX('Material routes'!$D$6:$D$2205,MATCH(U938,'Material routes'!$A$6:$A$2205,0)),"MISSING ID")</x:f>
        <x:v>proposal.ceramic.refractory_brick</x:v>
      </x:c>
      <x:c r="T938" s="4" t="str">
        <x:f>IFERROR(INDEX('Material routes'!$D$6:$D$2205,MATCH(V938,'Material routes'!$A$6:$A$2205,0)),"MISSING ID")</x:f>
        <x:v>proposal.audit.controlled_heating_firing_kiln</x:v>
      </x:c>
      <x:c r="U938" s="4" t="str">
        <x:v>design.audit.proposal_audit_controlled_heating_firing_kiln.audit.in.1</x:v>
      </x:c>
      <x:c r="V938" s="4" t="str">
        <x:v>design.audit.proposal_audit_controlled_heating_firing_kiln.audit.out</x:v>
      </x:c>
    </x:row>
    <x:row r="939" ht="64" customHeight="1">
      <x:c r="A939" s="4" t="str">
        <x:f>IFERROR(INDEX('Material routes'!$E$6:$E$2205,MATCH(U939,'Material routes'!$A$6:$A$2205,0)),"MISSING ID")</x:f>
        <x:v>Ceramic kiln lining panel</x:v>
      </x:c>
      <x:c r="B939" s="4" t="str">
        <x:f>IFERROR(INDEX('Material routes'!$F$6:$F$2205,MATCH(U939,'Material routes'!$A$6:$A$2205,0)),"MISSING ID")</x:f>
        <x:v>T3</x:v>
      </x:c>
      <x:c r="C939" s="4" t="str">
        <x:f>IFERROR(INDEX('Material routes'!$H$6:$H$2205,MATCH(U939,'Material routes'!$A$6:$A$2205,0)),"MISSING ID")</x:f>
        <x:v>Crafting component</x:v>
      </x:c>
      <x:c r="D939" s="4" t="str">
        <x:f>IFERROR(INDEX('Material routes'!$G$6:$G$2205,MATCH(U939,'Material routes'!$A$6:$A$2205,0)),"MISSING ID")</x:f>
        <x:v>Crafting components</x:v>
      </x:c>
      <x:c r="E939" s="4" t="str">
        <x:f>IFERROR(INDEX('Material routes'!$C$6:$C$2205,MATCH(U939,'Material routes'!$A$6:$A$2205,0)),"MISSING ID")</x:f>
        <x:v>Ingredient candidate</x:v>
      </x:c>
      <x:c r="F939" s="4" t="str">
        <x:f>IFERROR(INDEX('Material routes'!$E$6:$E$2205,MATCH(V939,'Material routes'!$A$6:$A$2205,0)),"MISSING ID")</x:f>
        <x:v>Controlled-heating firing kiln</x:v>
      </x:c>
      <x:c r="G939" s="4" t="str">
        <x:f>IFERROR(INDEX('Material routes'!$F$6:$F$2205,MATCH(V939,'Material routes'!$A$6:$A$2205,0)),"MISSING ID")</x:f>
        <x:v>Not applicable</x:v>
      </x:c>
      <x:c r="H939" s="4" t="str">
        <x:f>IFERROR(INDEX('Material routes'!$H$6:$H$2205,MATCH(V939,'Material routes'!$A$6:$A$2205,0)),"MISSING ID")</x:f>
        <x:v>Machine</x:v>
      </x:c>
      <x:c r="I939" s="4" t="str">
        <x:f>IFERROR(INDEX('Material routes'!$G$6:$G$2205,MATCH(V939,'Material routes'!$A$6:$A$2205,0)),"MISSING ID")</x:f>
        <x:v>Crafting stations</x:v>
      </x:c>
      <x:c r="J939" s="4" t="str">
        <x:f>IFERROR(INDEX('Material routes'!$B$6:$B$2205,MATCH(U939,'Material routes'!$A$6:$A$2205,0)),"MISSING ID")</x:f>
        <x:v>design.audit.proposal_audit_controlled_heating_firing_kiln</x:v>
      </x:c>
      <x:c r="K939" s="4" t="str">
        <x:f>IFERROR(INDEX('Crafting recipes'!$C$6:$C$1005,MATCH(J939,'Crafting recipes'!$A$6:$A$1005,0)),"MISSING ID")</x:f>
        <x:v>Finished-item crafting</x:v>
      </x:c>
      <x:c r="L939" s="4" t="str">
        <x:f>IFERROR(INDEX('Material routes'!$K$6:$K$2205,MATCH(U939,'Material routes'!$A$6:$A$2205,0)),"MISSING ID")</x:f>
        <x:v>Proposal</x:v>
      </x:c>
      <x:c r="M939" s="4" t="str">
        <x:f>IFERROR(INDEX('Material routes'!$M$6:$M$2205,MATCH(U939,'Material routes'!$A$6:$A$2205,0)),"MISSING ID")</x:f>
        <x:v>Partial proposal</x:v>
      </x:c>
      <x:c r="N939" s="4"/>
      <x:c r="O939" s="4" t="str">
        <x:f>IFERROR(INDEX('Material routes'!$J$6:$J$2205,MATCH(U939,'Material routes'!$A$6:$A$2205,0)),"MISSING ID")</x:f>
        <x:v>Unspecified</x:v>
      </x:c>
      <x:c r="P939" s="4"/>
      <x:c r="Q939" s="4" t="str">
        <x:f>IFERROR(INDEX('Material routes'!$J$6:$J$2205,MATCH(V939,'Material routes'!$A$6:$A$2205,0)),"MISSING ID")</x:f>
        <x:v>Unspecified</x:v>
      </x:c>
      <x:c r="R939" s="4" t="str">
        <x:f>IF(L939="Withheld","Withheld premise",IF(E939="Tool candidate","Reusable prerequisite",IF(K939="Raw entry preparation","Entry-resource preparation",IF(G939="Not applicable",IF(IFERROR(INDEX('Items'!$AI$6:$AI$1005,MATCH(T939,'Items'!$A$6:$A$1005,0)),"MISSING ID")="Finished item","Finished endpoint",IF(IFERROR(INDEX('Items'!$AI$6:$AI$1005,MATCH(T939,'Items'!$A$6:$A$1005,0)),"MISSING ID")="Currency","Currency / no refinement tier","Recovered output / tier not applicable")),IF(OR(IFERROR(INDEX('Crafting recipes'!$H$6:$H$1005,MATCH(J939,'Crafting recipes'!$A$6:$A$1005,0)),"MISSING ID")="Unassigned",G939="Unassigned"),"Tier unresolved",IF(IFERROR(VALUE(RIGHT(G939,1))-VALUE(RIGHT(IFERROR(INDEX('Crafting recipes'!$H$6:$H$1005,MATCH(J939,'Crafting recipes'!$A$6:$A$1005,0)),"MISSING ID"),1)),0)=1,IF(B939=IFERROR(INDEX('Crafting recipes'!$H$6:$H$1005,MATCH(J939,'Crafting recipes'!$A$6:$A$1005,0)),"MISSING ID"),"Advances one material tier","Lower-tier ingredient; route advances one tier"),"Needs tier review"))))))</x:f>
        <x:v>Finished endpoint</x:v>
      </x:c>
      <x:c r="S939" s="4" t="str">
        <x:f>IFERROR(INDEX('Material routes'!$D$6:$D$2205,MATCH(U939,'Material routes'!$A$6:$A$2205,0)),"MISSING ID")</x:f>
        <x:v>proposal.ceramic.kiln_liner</x:v>
      </x:c>
      <x:c r="T939" s="4" t="str">
        <x:f>IFERROR(INDEX('Material routes'!$D$6:$D$2205,MATCH(V939,'Material routes'!$A$6:$A$2205,0)),"MISSING ID")</x:f>
        <x:v>proposal.audit.controlled_heating_firing_kiln</x:v>
      </x:c>
      <x:c r="U939" s="4" t="str">
        <x:v>design.audit.proposal_audit_controlled_heating_firing_kiln.audit.in.2</x:v>
      </x:c>
      <x:c r="V939" s="4" t="str">
        <x:v>design.audit.proposal_audit_controlled_heating_firing_kiln.audit.out</x:v>
      </x:c>
    </x:row>
    <x:row r="940" ht="64" customHeight="1">
      <x:c r="A940" s="4" t="str">
        <x:f>IFERROR(INDEX('Material routes'!$E$6:$E$2205,MATCH(U940,'Material routes'!$A$6:$A$2205,0)),"MISSING ID")</x:f>
        <x:v>Supported iron heating element</x:v>
      </x:c>
      <x:c r="B940" s="4" t="str">
        <x:f>IFERROR(INDEX('Material routes'!$F$6:$F$2205,MATCH(U940,'Material routes'!$A$6:$A$2205,0)),"MISSING ID")</x:f>
        <x:v>T3</x:v>
      </x:c>
      <x:c r="C940" s="4" t="str">
        <x:f>IFERROR(INDEX('Material routes'!$H$6:$H$2205,MATCH(U940,'Material routes'!$A$6:$A$2205,0)),"MISSING ID")</x:f>
        <x:v>Machine part</x:v>
      </x:c>
      <x:c r="D940" s="4" t="str">
        <x:f>IFERROR(INDEX('Material routes'!$G$6:$G$2205,MATCH(U940,'Material routes'!$A$6:$A$2205,0)),"MISSING ID")</x:f>
        <x:v>Crafting components</x:v>
      </x:c>
      <x:c r="E940" s="4" t="str">
        <x:f>IFERROR(INDEX('Material routes'!$C$6:$C$2205,MATCH(U940,'Material routes'!$A$6:$A$2205,0)),"MISSING ID")</x:f>
        <x:v>Ingredient candidate</x:v>
      </x:c>
      <x:c r="F940" s="4" t="str">
        <x:f>IFERROR(INDEX('Material routes'!$E$6:$E$2205,MATCH(V940,'Material routes'!$A$6:$A$2205,0)),"MISSING ID")</x:f>
        <x:v>Controlled-heating firing kiln</x:v>
      </x:c>
      <x:c r="G940" s="4" t="str">
        <x:f>IFERROR(INDEX('Material routes'!$F$6:$F$2205,MATCH(V940,'Material routes'!$A$6:$A$2205,0)),"MISSING ID")</x:f>
        <x:v>Not applicable</x:v>
      </x:c>
      <x:c r="H940" s="4" t="str">
        <x:f>IFERROR(INDEX('Material routes'!$H$6:$H$2205,MATCH(V940,'Material routes'!$A$6:$A$2205,0)),"MISSING ID")</x:f>
        <x:v>Machine</x:v>
      </x:c>
      <x:c r="I940" s="4" t="str">
        <x:f>IFERROR(INDEX('Material routes'!$G$6:$G$2205,MATCH(V940,'Material routes'!$A$6:$A$2205,0)),"MISSING ID")</x:f>
        <x:v>Crafting stations</x:v>
      </x:c>
      <x:c r="J940" s="4" t="str">
        <x:f>IFERROR(INDEX('Material routes'!$B$6:$B$2205,MATCH(U940,'Material routes'!$A$6:$A$2205,0)),"MISSING ID")</x:f>
        <x:v>design.audit.proposal_audit_controlled_heating_firing_kiln</x:v>
      </x:c>
      <x:c r="K940" s="4" t="str">
        <x:f>IFERROR(INDEX('Crafting recipes'!$C$6:$C$1005,MATCH(J940,'Crafting recipes'!$A$6:$A$1005,0)),"MISSING ID")</x:f>
        <x:v>Finished-item crafting</x:v>
      </x:c>
      <x:c r="L940" s="4" t="str">
        <x:f>IFERROR(INDEX('Material routes'!$K$6:$K$2205,MATCH(U940,'Material routes'!$A$6:$A$2205,0)),"MISSING ID")</x:f>
        <x:v>Proposal</x:v>
      </x:c>
      <x:c r="M940" s="4" t="str">
        <x:f>IFERROR(INDEX('Material routes'!$M$6:$M$2205,MATCH(U940,'Material routes'!$A$6:$A$2205,0)),"MISSING ID")</x:f>
        <x:v>Partial proposal</x:v>
      </x:c>
      <x:c r="N940" s="4"/>
      <x:c r="O940" s="4" t="str">
        <x:f>IFERROR(INDEX('Material routes'!$J$6:$J$2205,MATCH(U940,'Material routes'!$A$6:$A$2205,0)),"MISSING ID")</x:f>
        <x:v>Unspecified</x:v>
      </x:c>
      <x:c r="P940" s="4"/>
      <x:c r="Q940" s="4" t="str">
        <x:f>IFERROR(INDEX('Material routes'!$J$6:$J$2205,MATCH(V940,'Material routes'!$A$6:$A$2205,0)),"MISSING ID")</x:f>
        <x:v>Unspecified</x:v>
      </x:c>
      <x:c r="R940" s="4" t="str">
        <x:f>IF(L940="Withheld","Withheld premise",IF(E940="Tool candidate","Reusable prerequisite",IF(K940="Raw entry preparation","Entry-resource preparation",IF(G940="Not applicable",IF(IFERROR(INDEX('Items'!$AI$6:$AI$1005,MATCH(T940,'Items'!$A$6:$A$1005,0)),"MISSING ID")="Finished item","Finished endpoint",IF(IFERROR(INDEX('Items'!$AI$6:$AI$1005,MATCH(T940,'Items'!$A$6:$A$1005,0)),"MISSING ID")="Currency","Currency / no refinement tier","Recovered output / tier not applicable")),IF(OR(IFERROR(INDEX('Crafting recipes'!$H$6:$H$1005,MATCH(J940,'Crafting recipes'!$A$6:$A$1005,0)),"MISSING ID")="Unassigned",G940="Unassigned"),"Tier unresolved",IF(IFERROR(VALUE(RIGHT(G940,1))-VALUE(RIGHT(IFERROR(INDEX('Crafting recipes'!$H$6:$H$1005,MATCH(J940,'Crafting recipes'!$A$6:$A$1005,0)),"MISSING ID"),1)),0)=1,IF(B940=IFERROR(INDEX('Crafting recipes'!$H$6:$H$1005,MATCH(J940,'Crafting recipes'!$A$6:$A$1005,0)),"MISSING ID"),"Advances one material tier","Lower-tier ingredient; route advances one tier"),"Needs tier review"))))))</x:f>
        <x:v>Finished endpoint</x:v>
      </x:c>
      <x:c r="S940" s="4" t="str">
        <x:f>IFERROR(INDEX('Material routes'!$D$6:$D$2205,MATCH(U940,'Material routes'!$A$6:$A$2205,0)),"MISSING ID")</x:f>
        <x:v>proposal.audit.supported_iron_heating_element</x:v>
      </x:c>
      <x:c r="T940" s="4" t="str">
        <x:f>IFERROR(INDEX('Material routes'!$D$6:$D$2205,MATCH(V940,'Material routes'!$A$6:$A$2205,0)),"MISSING ID")</x:f>
        <x:v>proposal.audit.controlled_heating_firing_kiln</x:v>
      </x:c>
      <x:c r="U940" s="4" t="str">
        <x:v>design.audit.proposal_audit_controlled_heating_firing_kiln.audit.in.3</x:v>
      </x:c>
      <x:c r="V940" s="4" t="str">
        <x:v>design.audit.proposal_audit_controlled_heating_firing_kiln.audit.out</x:v>
      </x:c>
    </x:row>
    <x:row r="941" ht="64" customHeight="1">
      <x:c r="A941" s="4" t="str">
        <x:f>IFERROR(INDEX('Material routes'!$E$6:$E$2205,MATCH(U941,'Material routes'!$A$6:$A$2205,0)),"MISSING ID")</x:f>
        <x:v>Serviceable insulated contact block</x:v>
      </x:c>
      <x:c r="B941" s="4" t="str">
        <x:f>IFERROR(INDEX('Material routes'!$F$6:$F$2205,MATCH(U941,'Material routes'!$A$6:$A$2205,0)),"MISSING ID")</x:f>
        <x:v>T4</x:v>
      </x:c>
      <x:c r="C941" s="4" t="str">
        <x:f>IFERROR(INDEX('Material routes'!$H$6:$H$2205,MATCH(U941,'Material routes'!$A$6:$A$2205,0)),"MISSING ID")</x:f>
        <x:v>Crafting component</x:v>
      </x:c>
      <x:c r="D941" s="4" t="str">
        <x:f>IFERROR(INDEX('Material routes'!$G$6:$G$2205,MATCH(U941,'Material routes'!$A$6:$A$2205,0)),"MISSING ID")</x:f>
        <x:v>Crafting components</x:v>
      </x:c>
      <x:c r="E941" s="4" t="str">
        <x:f>IFERROR(INDEX('Material routes'!$C$6:$C$2205,MATCH(U941,'Material routes'!$A$6:$A$2205,0)),"MISSING ID")</x:f>
        <x:v>Ingredient candidate</x:v>
      </x:c>
      <x:c r="F941" s="4" t="str">
        <x:f>IFERROR(INDEX('Material routes'!$E$6:$E$2205,MATCH(V941,'Material routes'!$A$6:$A$2205,0)),"MISSING ID")</x:f>
        <x:v>Controlled-heating firing kiln</x:v>
      </x:c>
      <x:c r="G941" s="4" t="str">
        <x:f>IFERROR(INDEX('Material routes'!$F$6:$F$2205,MATCH(V941,'Material routes'!$A$6:$A$2205,0)),"MISSING ID")</x:f>
        <x:v>Not applicable</x:v>
      </x:c>
      <x:c r="H941" s="4" t="str">
        <x:f>IFERROR(INDEX('Material routes'!$H$6:$H$2205,MATCH(V941,'Material routes'!$A$6:$A$2205,0)),"MISSING ID")</x:f>
        <x:v>Machine</x:v>
      </x:c>
      <x:c r="I941" s="4" t="str">
        <x:f>IFERROR(INDEX('Material routes'!$G$6:$G$2205,MATCH(V941,'Material routes'!$A$6:$A$2205,0)),"MISSING ID")</x:f>
        <x:v>Crafting stations</x:v>
      </x:c>
      <x:c r="J941" s="4" t="str">
        <x:f>IFERROR(INDEX('Material routes'!$B$6:$B$2205,MATCH(U941,'Material routes'!$A$6:$A$2205,0)),"MISSING ID")</x:f>
        <x:v>design.audit.proposal_audit_controlled_heating_firing_kiln</x:v>
      </x:c>
      <x:c r="K941" s="4" t="str">
        <x:f>IFERROR(INDEX('Crafting recipes'!$C$6:$C$1005,MATCH(J941,'Crafting recipes'!$A$6:$A$1005,0)),"MISSING ID")</x:f>
        <x:v>Finished-item crafting</x:v>
      </x:c>
      <x:c r="L941" s="4" t="str">
        <x:f>IFERROR(INDEX('Material routes'!$K$6:$K$2205,MATCH(U941,'Material routes'!$A$6:$A$2205,0)),"MISSING ID")</x:f>
        <x:v>Proposal</x:v>
      </x:c>
      <x:c r="M941" s="4" t="str">
        <x:f>IFERROR(INDEX('Material routes'!$M$6:$M$2205,MATCH(U941,'Material routes'!$A$6:$A$2205,0)),"MISSING ID")</x:f>
        <x:v>Partial proposal</x:v>
      </x:c>
      <x:c r="N941" s="4"/>
      <x:c r="O941" s="4" t="str">
        <x:f>IFERROR(INDEX('Material routes'!$J$6:$J$2205,MATCH(U941,'Material routes'!$A$6:$A$2205,0)),"MISSING ID")</x:f>
        <x:v>Unspecified</x:v>
      </x:c>
      <x:c r="P941" s="4"/>
      <x:c r="Q941" s="4" t="str">
        <x:f>IFERROR(INDEX('Material routes'!$J$6:$J$2205,MATCH(V941,'Material routes'!$A$6:$A$2205,0)),"MISSING ID")</x:f>
        <x:v>Unspecified</x:v>
      </x:c>
      <x:c r="R941" s="4" t="str">
        <x:f>IF(L941="Withheld","Withheld premise",IF(E941="Tool candidate","Reusable prerequisite",IF(K941="Raw entry preparation","Entry-resource preparation",IF(G941="Not applicable",IF(IFERROR(INDEX('Items'!$AI$6:$AI$1005,MATCH(T941,'Items'!$A$6:$A$1005,0)),"MISSING ID")="Finished item","Finished endpoint",IF(IFERROR(INDEX('Items'!$AI$6:$AI$1005,MATCH(T941,'Items'!$A$6:$A$1005,0)),"MISSING ID")="Currency","Currency / no refinement tier","Recovered output / tier not applicable")),IF(OR(IFERROR(INDEX('Crafting recipes'!$H$6:$H$1005,MATCH(J941,'Crafting recipes'!$A$6:$A$1005,0)),"MISSING ID")="Unassigned",G941="Unassigned"),"Tier unresolved",IF(IFERROR(VALUE(RIGHT(G941,1))-VALUE(RIGHT(IFERROR(INDEX('Crafting recipes'!$H$6:$H$1005,MATCH(J941,'Crafting recipes'!$A$6:$A$1005,0)),"MISSING ID"),1)),0)=1,IF(B941=IFERROR(INDEX('Crafting recipes'!$H$6:$H$1005,MATCH(J941,'Crafting recipes'!$A$6:$A$1005,0)),"MISSING ID"),"Advances one material tier","Lower-tier ingredient; route advances one tier"),"Needs tier review"))))))</x:f>
        <x:v>Finished endpoint</x:v>
      </x:c>
      <x:c r="S941" s="4" t="str">
        <x:f>IFERROR(INDEX('Material routes'!$D$6:$D$2205,MATCH(U941,'Material routes'!$A$6:$A$2205,0)),"MISSING ID")</x:f>
        <x:v>proposal.t4.contact_block</x:v>
      </x:c>
      <x:c r="T941" s="4" t="str">
        <x:f>IFERROR(INDEX('Material routes'!$D$6:$D$2205,MATCH(V941,'Material routes'!$A$6:$A$2205,0)),"MISSING ID")</x:f>
        <x:v>proposal.audit.controlled_heating_firing_kiln</x:v>
      </x:c>
      <x:c r="U941" s="4" t="str">
        <x:v>design.audit.proposal_audit_controlled_heating_firing_kiln.audit.in.4</x:v>
      </x:c>
      <x:c r="V941" s="4" t="str">
        <x:v>design.audit.proposal_audit_controlled_heating_firing_kiln.audit.out</x:v>
      </x:c>
    </x:row>
    <x:row r="942" ht="64" customHeight="1">
      <x:c r="A942" s="4" t="str">
        <x:f>IFERROR(INDEX('Material routes'!$E$6:$E$2205,MATCH(U942,'Material routes'!$A$6:$A$2205,0)),"MISSING ID")</x:f>
        <x:v>Steel stock</x:v>
      </x:c>
      <x:c r="B942" s="4" t="str">
        <x:f>IFERROR(INDEX('Material routes'!$F$6:$F$2205,MATCH(U942,'Material routes'!$A$6:$A$2205,0)),"MISSING ID")</x:f>
        <x:v>T2</x:v>
      </x:c>
      <x:c r="C942" s="4" t="str">
        <x:f>IFERROR(INDEX('Material routes'!$H$6:$H$2205,MATCH(U942,'Material routes'!$A$6:$A$2205,0)),"MISSING ID")</x:f>
        <x:v>Processed material</x:v>
      </x:c>
      <x:c r="D942" s="4" t="str">
        <x:f>IFERROR(INDEX('Material routes'!$G$6:$G$2205,MATCH(U942,'Material routes'!$A$6:$A$2205,0)),"MISSING ID")</x:f>
        <x:v>Manufactured stock</x:v>
      </x:c>
      <x:c r="E942" s="4" t="str">
        <x:f>IFERROR(INDEX('Material routes'!$C$6:$C$2205,MATCH(U942,'Material routes'!$A$6:$A$2205,0)),"MISSING ID")</x:f>
        <x:v>Ingredient candidate</x:v>
      </x:c>
      <x:c r="F942" s="4" t="str">
        <x:f>IFERROR(INDEX('Material routes'!$E$6:$E$2205,MATCH(V942,'Material routes'!$A$6:$A$2205,0)),"MISSING ID")</x:f>
        <x:v>Metalworking hand saw</x:v>
      </x:c>
      <x:c r="G942" s="4" t="str">
        <x:f>IFERROR(INDEX('Material routes'!$F$6:$F$2205,MATCH(V942,'Material routes'!$A$6:$A$2205,0)),"MISSING ID")</x:f>
        <x:v>Not applicable</x:v>
      </x:c>
      <x:c r="H942" s="4" t="str">
        <x:f>IFERROR(INDEX('Material routes'!$H$6:$H$2205,MATCH(V942,'Material routes'!$A$6:$A$2205,0)),"MISSING ID")</x:f>
        <x:v>Tool</x:v>
      </x:c>
      <x:c r="I942" s="4" t="str">
        <x:f>IFERROR(INDEX('Material routes'!$G$6:$G$2205,MATCH(V942,'Material routes'!$A$6:$A$2205,0)),"MISSING ID")</x:f>
        <x:v>Salvage</x:v>
      </x:c>
      <x:c r="J942" s="4" t="str">
        <x:f>IFERROR(INDEX('Material routes'!$B$6:$B$2205,MATCH(U942,'Material routes'!$A$6:$A$2205,0)),"MISSING ID")</x:f>
        <x:v>design.audit.proposal_audit_metalworking_hand_saw</x:v>
      </x:c>
      <x:c r="K942" s="4" t="str">
        <x:f>IFERROR(INDEX('Crafting recipes'!$C$6:$C$1005,MATCH(J942,'Crafting recipes'!$A$6:$A$1005,0)),"MISSING ID")</x:f>
        <x:v>Finished-item crafting</x:v>
      </x:c>
      <x:c r="L942" s="4" t="str">
        <x:f>IFERROR(INDEX('Material routes'!$K$6:$K$2205,MATCH(U942,'Material routes'!$A$6:$A$2205,0)),"MISSING ID")</x:f>
        <x:v>Proposal</x:v>
      </x:c>
      <x:c r="M942" s="4" t="str">
        <x:f>IFERROR(INDEX('Material routes'!$M$6:$M$2205,MATCH(U942,'Material routes'!$A$6:$A$2205,0)),"MISSING ID")</x:f>
        <x:v>Partial proposal</x:v>
      </x:c>
      <x:c r="N942" s="4"/>
      <x:c r="O942" s="4" t="str">
        <x:f>IFERROR(INDEX('Material routes'!$J$6:$J$2205,MATCH(U942,'Material routes'!$A$6:$A$2205,0)),"MISSING ID")</x:f>
        <x:v>Unspecified</x:v>
      </x:c>
      <x:c r="P942" s="4"/>
      <x:c r="Q942" s="4" t="str">
        <x:f>IFERROR(INDEX('Material routes'!$J$6:$J$2205,MATCH(V942,'Material routes'!$A$6:$A$2205,0)),"MISSING ID")</x:f>
        <x:v>Unspecified</x:v>
      </x:c>
      <x:c r="R942" s="4" t="str">
        <x:f>IF(L942="Withheld","Withheld premise",IF(E942="Tool candidate","Reusable prerequisite",IF(K942="Raw entry preparation","Entry-resource preparation",IF(G942="Not applicable",IF(IFERROR(INDEX('Items'!$AI$6:$AI$1005,MATCH(T942,'Items'!$A$6:$A$1005,0)),"MISSING ID")="Finished item","Finished endpoint",IF(IFERROR(INDEX('Items'!$AI$6:$AI$1005,MATCH(T942,'Items'!$A$6:$A$1005,0)),"MISSING ID")="Currency","Currency / no refinement tier","Recovered output / tier not applicable")),IF(OR(IFERROR(INDEX('Crafting recipes'!$H$6:$H$1005,MATCH(J942,'Crafting recipes'!$A$6:$A$1005,0)),"MISSING ID")="Unassigned",G942="Unassigned"),"Tier unresolved",IF(IFERROR(VALUE(RIGHT(G942,1))-VALUE(RIGHT(IFERROR(INDEX('Crafting recipes'!$H$6:$H$1005,MATCH(J942,'Crafting recipes'!$A$6:$A$1005,0)),"MISSING ID"),1)),0)=1,IF(B942=IFERROR(INDEX('Crafting recipes'!$H$6:$H$1005,MATCH(J942,'Crafting recipes'!$A$6:$A$1005,0)),"MISSING ID"),"Advances one material tier","Lower-tier ingredient; route advances one tier"),"Needs tier review"))))))</x:f>
        <x:v>Finished endpoint</x:v>
      </x:c>
      <x:c r="S942" s="4" t="str">
        <x:f>IFERROR(INDEX('Material routes'!$D$6:$D$2205,MATCH(U942,'Material routes'!$A$6:$A$2205,0)),"MISSING ID")</x:f>
        <x:v>author.metallurgy.steel_stock</x:v>
      </x:c>
      <x:c r="T942" s="4" t="str">
        <x:f>IFERROR(INDEX('Material routes'!$D$6:$D$2205,MATCH(V942,'Material routes'!$A$6:$A$2205,0)),"MISSING ID")</x:f>
        <x:v>proposal.audit.metalworking_hand_saw</x:v>
      </x:c>
      <x:c r="U942" s="4" t="str">
        <x:v>design.audit.proposal_audit_metalworking_hand_saw.audit.in.1</x:v>
      </x:c>
      <x:c r="V942" s="4" t="str">
        <x:v>design.audit.proposal_audit_metalworking_hand_saw.audit.out</x:v>
      </x:c>
    </x:row>
    <x:row r="943" ht="64" customHeight="1">
      <x:c r="A943" s="4" t="str">
        <x:f>IFERROR(INDEX('Material routes'!$E$6:$E$2205,MATCH(U943,'Material routes'!$A$6:$A$2205,0)),"MISSING ID")</x:f>
        <x:v>Shaped metal grip blank</x:v>
      </x:c>
      <x:c r="B943" s="4" t="str">
        <x:f>IFERROR(INDEX('Material routes'!$F$6:$F$2205,MATCH(U943,'Material routes'!$A$6:$A$2205,0)),"MISSING ID")</x:f>
        <x:v>T3</x:v>
      </x:c>
      <x:c r="C943" s="4" t="str">
        <x:f>IFERROR(INDEX('Material routes'!$H$6:$H$2205,MATCH(U943,'Material routes'!$A$6:$A$2205,0)),"MISSING ID")</x:f>
        <x:v>Crafting component</x:v>
      </x:c>
      <x:c r="D943" s="4" t="str">
        <x:f>IFERROR(INDEX('Material routes'!$G$6:$G$2205,MATCH(U943,'Material routes'!$A$6:$A$2205,0)),"MISSING ID")</x:f>
        <x:v>Crafting components</x:v>
      </x:c>
      <x:c r="E943" s="4" t="str">
        <x:f>IFERROR(INDEX('Material routes'!$C$6:$C$2205,MATCH(U943,'Material routes'!$A$6:$A$2205,0)),"MISSING ID")</x:f>
        <x:v>Ingredient candidate</x:v>
      </x:c>
      <x:c r="F943" s="4" t="str">
        <x:f>IFERROR(INDEX('Material routes'!$E$6:$E$2205,MATCH(V943,'Material routes'!$A$6:$A$2205,0)),"MISSING ID")</x:f>
        <x:v>Metalworking hand saw</x:v>
      </x:c>
      <x:c r="G943" s="4" t="str">
        <x:f>IFERROR(INDEX('Material routes'!$F$6:$F$2205,MATCH(V943,'Material routes'!$A$6:$A$2205,0)),"MISSING ID")</x:f>
        <x:v>Not applicable</x:v>
      </x:c>
      <x:c r="H943" s="4" t="str">
        <x:f>IFERROR(INDEX('Material routes'!$H$6:$H$2205,MATCH(V943,'Material routes'!$A$6:$A$2205,0)),"MISSING ID")</x:f>
        <x:v>Tool</x:v>
      </x:c>
      <x:c r="I943" s="4" t="str">
        <x:f>IFERROR(INDEX('Material routes'!$G$6:$G$2205,MATCH(V943,'Material routes'!$A$6:$A$2205,0)),"MISSING ID")</x:f>
        <x:v>Salvage</x:v>
      </x:c>
      <x:c r="J943" s="4" t="str">
        <x:f>IFERROR(INDEX('Material routes'!$B$6:$B$2205,MATCH(U943,'Material routes'!$A$6:$A$2205,0)),"MISSING ID")</x:f>
        <x:v>design.audit.proposal_audit_metalworking_hand_saw</x:v>
      </x:c>
      <x:c r="K943" s="4" t="str">
        <x:f>IFERROR(INDEX('Crafting recipes'!$C$6:$C$1005,MATCH(J943,'Crafting recipes'!$A$6:$A$1005,0)),"MISSING ID")</x:f>
        <x:v>Finished-item crafting</x:v>
      </x:c>
      <x:c r="L943" s="4" t="str">
        <x:f>IFERROR(INDEX('Material routes'!$K$6:$K$2205,MATCH(U943,'Material routes'!$A$6:$A$2205,0)),"MISSING ID")</x:f>
        <x:v>Proposal</x:v>
      </x:c>
      <x:c r="M943" s="4" t="str">
        <x:f>IFERROR(INDEX('Material routes'!$M$6:$M$2205,MATCH(U943,'Material routes'!$A$6:$A$2205,0)),"MISSING ID")</x:f>
        <x:v>Partial proposal</x:v>
      </x:c>
      <x:c r="N943" s="4"/>
      <x:c r="O943" s="4" t="str">
        <x:f>IFERROR(INDEX('Material routes'!$J$6:$J$2205,MATCH(U943,'Material routes'!$A$6:$A$2205,0)),"MISSING ID")</x:f>
        <x:v>Unspecified</x:v>
      </x:c>
      <x:c r="P943" s="4"/>
      <x:c r="Q943" s="4" t="str">
        <x:f>IFERROR(INDEX('Material routes'!$J$6:$J$2205,MATCH(V943,'Material routes'!$A$6:$A$2205,0)),"MISSING ID")</x:f>
        <x:v>Unspecified</x:v>
      </x:c>
      <x:c r="R943" s="4" t="str">
        <x:f>IF(L943="Withheld","Withheld premise",IF(E943="Tool candidate","Reusable prerequisite",IF(K943="Raw entry preparation","Entry-resource preparation",IF(G943="Not applicable",IF(IFERROR(INDEX('Items'!$AI$6:$AI$1005,MATCH(T943,'Items'!$A$6:$A$1005,0)),"MISSING ID")="Finished item","Finished endpoint",IF(IFERROR(INDEX('Items'!$AI$6:$AI$1005,MATCH(T943,'Items'!$A$6:$A$1005,0)),"MISSING ID")="Currency","Currency / no refinement tier","Recovered output / tier not applicable")),IF(OR(IFERROR(INDEX('Crafting recipes'!$H$6:$H$1005,MATCH(J943,'Crafting recipes'!$A$6:$A$1005,0)),"MISSING ID")="Unassigned",G943="Unassigned"),"Tier unresolved",IF(IFERROR(VALUE(RIGHT(G943,1))-VALUE(RIGHT(IFERROR(INDEX('Crafting recipes'!$H$6:$H$1005,MATCH(J943,'Crafting recipes'!$A$6:$A$1005,0)),"MISSING ID"),1)),0)=1,IF(B943=IFERROR(INDEX('Crafting recipes'!$H$6:$H$1005,MATCH(J943,'Crafting recipes'!$A$6:$A$1005,0)),"MISSING ID"),"Advances one material tier","Lower-tier ingredient; route advances one tier"),"Needs tier review"))))))</x:f>
        <x:v>Finished endpoint</x:v>
      </x:c>
      <x:c r="S943" s="4" t="str">
        <x:f>IFERROR(INDEX('Material routes'!$D$6:$D$2205,MATCH(U943,'Material routes'!$A$6:$A$2205,0)),"MISSING ID")</x:f>
        <x:v>proposal.audit.shaped_metal_grip_blank</x:v>
      </x:c>
      <x:c r="T943" s="4" t="str">
        <x:f>IFERROR(INDEX('Material routes'!$D$6:$D$2205,MATCH(V943,'Material routes'!$A$6:$A$2205,0)),"MISSING ID")</x:f>
        <x:v>proposal.audit.metalworking_hand_saw</x:v>
      </x:c>
      <x:c r="U943" s="4" t="str">
        <x:v>design.audit.proposal_audit_metalworking_hand_saw.audit.in.2</x:v>
      </x:c>
      <x:c r="V943" s="4" t="str">
        <x:v>design.audit.proposal_audit_metalworking_hand_saw.audit.out</x:v>
      </x:c>
    </x:row>
    <x:row r="944" ht="64" customHeight="1">
      <x:c r="A944" s="4" t="str">
        <x:f>IFERROR(INDEX('Material routes'!$E$6:$E$2205,MATCH(U944,'Material routes'!$A$6:$A$2205,0)),"MISSING ID")</x:f>
        <x:v>Steel stock</x:v>
      </x:c>
      <x:c r="B944" s="4" t="str">
        <x:f>IFERROR(INDEX('Material routes'!$F$6:$F$2205,MATCH(U944,'Material routes'!$A$6:$A$2205,0)),"MISSING ID")</x:f>
        <x:v>T2</x:v>
      </x:c>
      <x:c r="C944" s="4" t="str">
        <x:f>IFERROR(INDEX('Material routes'!$H$6:$H$2205,MATCH(U944,'Material routes'!$A$6:$A$2205,0)),"MISSING ID")</x:f>
        <x:v>Processed material</x:v>
      </x:c>
      <x:c r="D944" s="4" t="str">
        <x:f>IFERROR(INDEX('Material routes'!$G$6:$G$2205,MATCH(U944,'Material routes'!$A$6:$A$2205,0)),"MISSING ID")</x:f>
        <x:v>Manufactured stock</x:v>
      </x:c>
      <x:c r="E944" s="4" t="str">
        <x:f>IFERROR(INDEX('Material routes'!$C$6:$C$2205,MATCH(U944,'Material routes'!$A$6:$A$2205,0)),"MISSING ID")</x:f>
        <x:v>Ingredient candidate</x:v>
      </x:c>
      <x:c r="F944" s="4" t="str">
        <x:f>IFERROR(INDEX('Material routes'!$E$6:$E$2205,MATCH(V944,'Material routes'!$A$6:$A$2205,0)),"MISSING ID")</x:f>
        <x:v>Workshop winding mandrel</x:v>
      </x:c>
      <x:c r="G944" s="4" t="str">
        <x:f>IFERROR(INDEX('Material routes'!$F$6:$F$2205,MATCH(V944,'Material routes'!$A$6:$A$2205,0)),"MISSING ID")</x:f>
        <x:v>Not applicable</x:v>
      </x:c>
      <x:c r="H944" s="4" t="str">
        <x:f>IFERROR(INDEX('Material routes'!$H$6:$H$2205,MATCH(V944,'Material routes'!$A$6:$A$2205,0)),"MISSING ID")</x:f>
        <x:v>Tool</x:v>
      </x:c>
      <x:c r="I944" s="4" t="str">
        <x:f>IFERROR(INDEX('Material routes'!$G$6:$G$2205,MATCH(V944,'Material routes'!$A$6:$A$2205,0)),"MISSING ID")</x:f>
        <x:v>Salvage</x:v>
      </x:c>
      <x:c r="J944" s="4" t="str">
        <x:f>IFERROR(INDEX('Material routes'!$B$6:$B$2205,MATCH(U944,'Material routes'!$A$6:$A$2205,0)),"MISSING ID")</x:f>
        <x:v>design.audit.proposal_audit_workshop_winding_mandrel</x:v>
      </x:c>
      <x:c r="K944" s="4" t="str">
        <x:f>IFERROR(INDEX('Crafting recipes'!$C$6:$C$1005,MATCH(J944,'Crafting recipes'!$A$6:$A$1005,0)),"MISSING ID")</x:f>
        <x:v>Finished-item crafting</x:v>
      </x:c>
      <x:c r="L944" s="4" t="str">
        <x:f>IFERROR(INDEX('Material routes'!$K$6:$K$2205,MATCH(U944,'Material routes'!$A$6:$A$2205,0)),"MISSING ID")</x:f>
        <x:v>Proposal</x:v>
      </x:c>
      <x:c r="M944" s="4" t="str">
        <x:f>IFERROR(INDEX('Material routes'!$M$6:$M$2205,MATCH(U944,'Material routes'!$A$6:$A$2205,0)),"MISSING ID")</x:f>
        <x:v>Partial proposal</x:v>
      </x:c>
      <x:c r="N944" s="4"/>
      <x:c r="O944" s="4" t="str">
        <x:f>IFERROR(INDEX('Material routes'!$J$6:$J$2205,MATCH(U944,'Material routes'!$A$6:$A$2205,0)),"MISSING ID")</x:f>
        <x:v>Unspecified</x:v>
      </x:c>
      <x:c r="P944" s="4"/>
      <x:c r="Q944" s="4" t="str">
        <x:f>IFERROR(INDEX('Material routes'!$J$6:$J$2205,MATCH(V944,'Material routes'!$A$6:$A$2205,0)),"MISSING ID")</x:f>
        <x:v>Unspecified</x:v>
      </x:c>
      <x:c r="R944" s="4" t="str">
        <x:f>IF(L944="Withheld","Withheld premise",IF(E944="Tool candidate","Reusable prerequisite",IF(K944="Raw entry preparation","Entry-resource preparation",IF(G944="Not applicable",IF(IFERROR(INDEX('Items'!$AI$6:$AI$1005,MATCH(T944,'Items'!$A$6:$A$1005,0)),"MISSING ID")="Finished item","Finished endpoint",IF(IFERROR(INDEX('Items'!$AI$6:$AI$1005,MATCH(T944,'Items'!$A$6:$A$1005,0)),"MISSING ID")="Currency","Currency / no refinement tier","Recovered output / tier not applicable")),IF(OR(IFERROR(INDEX('Crafting recipes'!$H$6:$H$1005,MATCH(J944,'Crafting recipes'!$A$6:$A$1005,0)),"MISSING ID")="Unassigned",G944="Unassigned"),"Tier unresolved",IF(IFERROR(VALUE(RIGHT(G944,1))-VALUE(RIGHT(IFERROR(INDEX('Crafting recipes'!$H$6:$H$1005,MATCH(J944,'Crafting recipes'!$A$6:$A$1005,0)),"MISSING ID"),1)),0)=1,IF(B944=IFERROR(INDEX('Crafting recipes'!$H$6:$H$1005,MATCH(J944,'Crafting recipes'!$A$6:$A$1005,0)),"MISSING ID"),"Advances one material tier","Lower-tier ingredient; route advances one tier"),"Needs tier review"))))))</x:f>
        <x:v>Finished endpoint</x:v>
      </x:c>
      <x:c r="S944" s="4" t="str">
        <x:f>IFERROR(INDEX('Material routes'!$D$6:$D$2205,MATCH(U944,'Material routes'!$A$6:$A$2205,0)),"MISSING ID")</x:f>
        <x:v>author.metallurgy.steel_stock</x:v>
      </x:c>
      <x:c r="T944" s="4" t="str">
        <x:f>IFERROR(INDEX('Material routes'!$D$6:$D$2205,MATCH(V944,'Material routes'!$A$6:$A$2205,0)),"MISSING ID")</x:f>
        <x:v>proposal.audit.workshop_winding_mandrel</x:v>
      </x:c>
      <x:c r="U944" s="4" t="str">
        <x:v>design.audit.proposal_audit_workshop_winding_mandrel.audit.in.1</x:v>
      </x:c>
      <x:c r="V944" s="4" t="str">
        <x:v>design.audit.proposal_audit_workshop_winding_mandrel.audit.out</x:v>
      </x:c>
    </x:row>
    <x:row r="945" ht="64" customHeight="1">
      <x:c r="A945" s="4" t="str">
        <x:f>IFERROR(INDEX('Material routes'!$E$6:$E$2205,MATCH(U945,'Material routes'!$A$6:$A$2205,0)),"MISSING ID")</x:f>
        <x:v>Tendon cord</x:v>
      </x:c>
      <x:c r="B945" s="4" t="str">
        <x:f>IFERROR(INDEX('Material routes'!$F$6:$F$2205,MATCH(U945,'Material routes'!$A$6:$A$2205,0)),"MISSING ID")</x:f>
        <x:v>T1</x:v>
      </x:c>
      <x:c r="C945" s="4" t="str">
        <x:f>IFERROR(INDEX('Material routes'!$H$6:$H$2205,MATCH(U945,'Material routes'!$A$6:$A$2205,0)),"MISSING ID")</x:f>
        <x:v>Crafting component</x:v>
      </x:c>
      <x:c r="D945" s="4" t="str">
        <x:f>IFERROR(INDEX('Material routes'!$G$6:$G$2205,MATCH(U945,'Material routes'!$A$6:$A$2205,0)),"MISSING ID")</x:f>
        <x:v>Crafting components</x:v>
      </x:c>
      <x:c r="E945" s="4" t="str">
        <x:f>IFERROR(INDEX('Material routes'!$C$6:$C$2205,MATCH(U945,'Material routes'!$A$6:$A$2205,0)),"MISSING ID")</x:f>
        <x:v>Ingredient candidate</x:v>
      </x:c>
      <x:c r="F945" s="4" t="str">
        <x:f>IFERROR(INDEX('Material routes'!$E$6:$E$2205,MATCH(V945,'Material routes'!$A$6:$A$2205,0)),"MISSING ID")</x:f>
        <x:v>Food preparation screen</x:v>
      </x:c>
      <x:c r="G945" s="4" t="str">
        <x:f>IFERROR(INDEX('Material routes'!$F$6:$F$2205,MATCH(V945,'Material routes'!$A$6:$A$2205,0)),"MISSING ID")</x:f>
        <x:v>Not applicable</x:v>
      </x:c>
      <x:c r="H945" s="4" t="str">
        <x:f>IFERROR(INDEX('Material routes'!$H$6:$H$2205,MATCH(V945,'Material routes'!$A$6:$A$2205,0)),"MISSING ID")</x:f>
        <x:v>Tool</x:v>
      </x:c>
      <x:c r="I945" s="4" t="str">
        <x:f>IFERROR(INDEX('Material routes'!$G$6:$G$2205,MATCH(V945,'Material routes'!$A$6:$A$2205,0)),"MISSING ID")</x:f>
        <x:v>Salvage</x:v>
      </x:c>
      <x:c r="J945" s="4" t="str">
        <x:f>IFERROR(INDEX('Material routes'!$B$6:$B$2205,MATCH(U945,'Material routes'!$A$6:$A$2205,0)),"MISSING ID")</x:f>
        <x:v>design.audit.proposal_audit_food_preparation_screen</x:v>
      </x:c>
      <x:c r="K945" s="4" t="str">
        <x:f>IFERROR(INDEX('Crafting recipes'!$C$6:$C$1005,MATCH(J945,'Crafting recipes'!$A$6:$A$1005,0)),"MISSING ID")</x:f>
        <x:v>Finished-item crafting</x:v>
      </x:c>
      <x:c r="L945" s="4" t="str">
        <x:f>IFERROR(INDEX('Material routes'!$K$6:$K$2205,MATCH(U945,'Material routes'!$A$6:$A$2205,0)),"MISSING ID")</x:f>
        <x:v>Proposal</x:v>
      </x:c>
      <x:c r="M945" s="4" t="str">
        <x:f>IFERROR(INDEX('Material routes'!$M$6:$M$2205,MATCH(U945,'Material routes'!$A$6:$A$2205,0)),"MISSING ID")</x:f>
        <x:v>Partial proposal</x:v>
      </x:c>
      <x:c r="N945" s="4"/>
      <x:c r="O945" s="4" t="str">
        <x:f>IFERROR(INDEX('Material routes'!$J$6:$J$2205,MATCH(U945,'Material routes'!$A$6:$A$2205,0)),"MISSING ID")</x:f>
        <x:v>Unspecified</x:v>
      </x:c>
      <x:c r="P945" s="4"/>
      <x:c r="Q945" s="4" t="str">
        <x:f>IFERROR(INDEX('Material routes'!$J$6:$J$2205,MATCH(V945,'Material routes'!$A$6:$A$2205,0)),"MISSING ID")</x:f>
        <x:v>Unspecified</x:v>
      </x:c>
      <x:c r="R945" s="4" t="str">
        <x:f>IF(L945="Withheld","Withheld premise",IF(E945="Tool candidate","Reusable prerequisite",IF(K945="Raw entry preparation","Entry-resource preparation",IF(G945="Not applicable",IF(IFERROR(INDEX('Items'!$AI$6:$AI$1005,MATCH(T945,'Items'!$A$6:$A$1005,0)),"MISSING ID")="Finished item","Finished endpoint",IF(IFERROR(INDEX('Items'!$AI$6:$AI$1005,MATCH(T945,'Items'!$A$6:$A$1005,0)),"MISSING ID")="Currency","Currency / no refinement tier","Recovered output / tier not applicable")),IF(OR(IFERROR(INDEX('Crafting recipes'!$H$6:$H$1005,MATCH(J945,'Crafting recipes'!$A$6:$A$1005,0)),"MISSING ID")="Unassigned",G945="Unassigned"),"Tier unresolved",IF(IFERROR(VALUE(RIGHT(G945,1))-VALUE(RIGHT(IFERROR(INDEX('Crafting recipes'!$H$6:$H$1005,MATCH(J945,'Crafting recipes'!$A$6:$A$1005,0)),"MISSING ID"),1)),0)=1,IF(B945=IFERROR(INDEX('Crafting recipes'!$H$6:$H$1005,MATCH(J945,'Crafting recipes'!$A$6:$A$1005,0)),"MISSING ID"),"Advances one material tier","Lower-tier ingredient; route advances one tier"),"Needs tier review"))))))</x:f>
        <x:v>Finished endpoint</x:v>
      </x:c>
      <x:c r="S945" s="4" t="str">
        <x:f>IFERROR(INDEX('Material routes'!$D$6:$D$2205,MATCH(U945,'Material routes'!$A$6:$A$2205,0)),"MISSING ID")</x:f>
        <x:v>proposal.bio.cord</x:v>
      </x:c>
      <x:c r="T945" s="4" t="str">
        <x:f>IFERROR(INDEX('Material routes'!$D$6:$D$2205,MATCH(V945,'Material routes'!$A$6:$A$2205,0)),"MISSING ID")</x:f>
        <x:v>proposal.audit.food_preparation_screen</x:v>
      </x:c>
      <x:c r="U945" s="4" t="str">
        <x:v>design.audit.proposal_audit_food_preparation_screen.audit.in.1</x:v>
      </x:c>
      <x:c r="V945" s="4" t="str">
        <x:v>design.audit.proposal_audit_food_preparation_screen.audit.out</x:v>
      </x:c>
    </x:row>
    <x:row r="946" ht="64" customHeight="1">
      <x:c r="A946" s="4" t="str">
        <x:f>IFERROR(INDEX('Material routes'!$E$6:$E$2205,MATCH(U946,'Material routes'!$A$6:$A$2205,0)),"MISSING ID")</x:f>
        <x:v>Separated shell lamina stock</x:v>
      </x:c>
      <x:c r="B946" s="4" t="str">
        <x:f>IFERROR(INDEX('Material routes'!$F$6:$F$2205,MATCH(U946,'Material routes'!$A$6:$A$2205,0)),"MISSING ID")</x:f>
        <x:v>T1</x:v>
      </x:c>
      <x:c r="C946" s="4" t="str">
        <x:f>IFERROR(INDEX('Material routes'!$H$6:$H$2205,MATCH(U946,'Material routes'!$A$6:$A$2205,0)),"MISSING ID")</x:f>
        <x:v>Processed material</x:v>
      </x:c>
      <x:c r="D946" s="4" t="str">
        <x:f>IFERROR(INDEX('Material routes'!$G$6:$G$2205,MATCH(U946,'Material routes'!$A$6:$A$2205,0)),"MISSING ID")</x:f>
        <x:v>Manufactured stock</x:v>
      </x:c>
      <x:c r="E946" s="4" t="str">
        <x:f>IFERROR(INDEX('Material routes'!$C$6:$C$2205,MATCH(U946,'Material routes'!$A$6:$A$2205,0)),"MISSING ID")</x:f>
        <x:v>Ingredient candidate</x:v>
      </x:c>
      <x:c r="F946" s="4" t="str">
        <x:f>IFERROR(INDEX('Material routes'!$E$6:$E$2205,MATCH(V946,'Material routes'!$A$6:$A$2205,0)),"MISSING ID")</x:f>
        <x:v>Food preparation screen</x:v>
      </x:c>
      <x:c r="G946" s="4" t="str">
        <x:f>IFERROR(INDEX('Material routes'!$F$6:$F$2205,MATCH(V946,'Material routes'!$A$6:$A$2205,0)),"MISSING ID")</x:f>
        <x:v>Not applicable</x:v>
      </x:c>
      <x:c r="H946" s="4" t="str">
        <x:f>IFERROR(INDEX('Material routes'!$H$6:$H$2205,MATCH(V946,'Material routes'!$A$6:$A$2205,0)),"MISSING ID")</x:f>
        <x:v>Tool</x:v>
      </x:c>
      <x:c r="I946" s="4" t="str">
        <x:f>IFERROR(INDEX('Material routes'!$G$6:$G$2205,MATCH(V946,'Material routes'!$A$6:$A$2205,0)),"MISSING ID")</x:f>
        <x:v>Salvage</x:v>
      </x:c>
      <x:c r="J946" s="4" t="str">
        <x:f>IFERROR(INDEX('Material routes'!$B$6:$B$2205,MATCH(U946,'Material routes'!$A$6:$A$2205,0)),"MISSING ID")</x:f>
        <x:v>design.audit.proposal_audit_food_preparation_screen</x:v>
      </x:c>
      <x:c r="K946" s="4" t="str">
        <x:f>IFERROR(INDEX('Crafting recipes'!$C$6:$C$1005,MATCH(J946,'Crafting recipes'!$A$6:$A$1005,0)),"MISSING ID")</x:f>
        <x:v>Finished-item crafting</x:v>
      </x:c>
      <x:c r="L946" s="4" t="str">
        <x:f>IFERROR(INDEX('Material routes'!$K$6:$K$2205,MATCH(U946,'Material routes'!$A$6:$A$2205,0)),"MISSING ID")</x:f>
        <x:v>Proposal</x:v>
      </x:c>
      <x:c r="M946" s="4" t="str">
        <x:f>IFERROR(INDEX('Material routes'!$M$6:$M$2205,MATCH(U946,'Material routes'!$A$6:$A$2205,0)),"MISSING ID")</x:f>
        <x:v>Partial proposal</x:v>
      </x:c>
      <x:c r="N946" s="4"/>
      <x:c r="O946" s="4" t="str">
        <x:f>IFERROR(INDEX('Material routes'!$J$6:$J$2205,MATCH(U946,'Material routes'!$A$6:$A$2205,0)),"MISSING ID")</x:f>
        <x:v>Unspecified</x:v>
      </x:c>
      <x:c r="P946" s="4"/>
      <x:c r="Q946" s="4" t="str">
        <x:f>IFERROR(INDEX('Material routes'!$J$6:$J$2205,MATCH(V946,'Material routes'!$A$6:$A$2205,0)),"MISSING ID")</x:f>
        <x:v>Unspecified</x:v>
      </x:c>
      <x:c r="R946" s="4" t="str">
        <x:f>IF(L946="Withheld","Withheld premise",IF(E946="Tool candidate","Reusable prerequisite",IF(K946="Raw entry preparation","Entry-resource preparation",IF(G946="Not applicable",IF(IFERROR(INDEX('Items'!$AI$6:$AI$1005,MATCH(T946,'Items'!$A$6:$A$1005,0)),"MISSING ID")="Finished item","Finished endpoint",IF(IFERROR(INDEX('Items'!$AI$6:$AI$1005,MATCH(T946,'Items'!$A$6:$A$1005,0)),"MISSING ID")="Currency","Currency / no refinement tier","Recovered output / tier not applicable")),IF(OR(IFERROR(INDEX('Crafting recipes'!$H$6:$H$1005,MATCH(J946,'Crafting recipes'!$A$6:$A$1005,0)),"MISSING ID")="Unassigned",G946="Unassigned"),"Tier unresolved",IF(IFERROR(VALUE(RIGHT(G946,1))-VALUE(RIGHT(IFERROR(INDEX('Crafting recipes'!$H$6:$H$1005,MATCH(J946,'Crafting recipes'!$A$6:$A$1005,0)),"MISSING ID"),1)),0)=1,IF(B946=IFERROR(INDEX('Crafting recipes'!$H$6:$H$1005,MATCH(J946,'Crafting recipes'!$A$6:$A$1005,0)),"MISSING ID"),"Advances one material tier","Lower-tier ingredient; route advances one tier"),"Needs tier review"))))))</x:f>
        <x:v>Finished endpoint</x:v>
      </x:c>
      <x:c r="S946" s="4" t="str">
        <x:f>IFERROR(INDEX('Material routes'!$D$6:$D$2205,MATCH(U946,'Material routes'!$A$6:$A$2205,0)),"MISSING ID")</x:f>
        <x:v>proposal.t1.shell_lamina</x:v>
      </x:c>
      <x:c r="T946" s="4" t="str">
        <x:f>IFERROR(INDEX('Material routes'!$D$6:$D$2205,MATCH(V946,'Material routes'!$A$6:$A$2205,0)),"MISSING ID")</x:f>
        <x:v>proposal.audit.food_preparation_screen</x:v>
      </x:c>
      <x:c r="U946" s="4" t="str">
        <x:v>design.audit.proposal_audit_food_preparation_screen.audit.in.2</x:v>
      </x:c>
      <x:c r="V946" s="4" t="str">
        <x:v>design.audit.proposal_audit_food_preparation_screen.audit.out</x:v>
      </x:c>
    </x:row>
    <x:row r="947" ht="64" customHeight="1">
      <x:c r="A947" s="4" t="str">
        <x:f>IFERROR(INDEX('Material routes'!$E$6:$E$2205,MATCH(U947,'Material routes'!$A$6:$A$2205,0)),"MISSING ID")</x:f>
        <x:v>Drawn steel tube stock</x:v>
      </x:c>
      <x:c r="B947" s="4" t="str">
        <x:f>IFERROR(INDEX('Material routes'!$F$6:$F$2205,MATCH(U947,'Material routes'!$A$6:$A$2205,0)),"MISSING ID")</x:f>
        <x:v>T3</x:v>
      </x:c>
      <x:c r="C947" s="4" t="str">
        <x:f>IFERROR(INDEX('Material routes'!$H$6:$H$2205,MATCH(U947,'Material routes'!$A$6:$A$2205,0)),"MISSING ID")</x:f>
        <x:v>Processed material</x:v>
      </x:c>
      <x:c r="D947" s="4" t="str">
        <x:f>IFERROR(INDEX('Material routes'!$G$6:$G$2205,MATCH(U947,'Material routes'!$A$6:$A$2205,0)),"MISSING ID")</x:f>
        <x:v>Manufactured stock</x:v>
      </x:c>
      <x:c r="E947" s="4" t="str">
        <x:f>IFERROR(INDEX('Material routes'!$C$6:$C$2205,MATCH(U947,'Material routes'!$A$6:$A$2205,0)),"MISSING ID")</x:f>
        <x:v>Ingredient candidate</x:v>
      </x:c>
      <x:c r="F947" s="4" t="str">
        <x:f>IFERROR(INDEX('Material routes'!$E$6:$E$2205,MATCH(V947,'Material routes'!$A$6:$A$2205,0)),"MISSING ID")</x:f>
        <x:v>Metal glassworking blowpipe</x:v>
      </x:c>
      <x:c r="G947" s="4" t="str">
        <x:f>IFERROR(INDEX('Material routes'!$F$6:$F$2205,MATCH(V947,'Material routes'!$A$6:$A$2205,0)),"MISSING ID")</x:f>
        <x:v>Not applicable</x:v>
      </x:c>
      <x:c r="H947" s="4" t="str">
        <x:f>IFERROR(INDEX('Material routes'!$H$6:$H$2205,MATCH(V947,'Material routes'!$A$6:$A$2205,0)),"MISSING ID")</x:f>
        <x:v>Tool</x:v>
      </x:c>
      <x:c r="I947" s="4" t="str">
        <x:f>IFERROR(INDEX('Material routes'!$G$6:$G$2205,MATCH(V947,'Material routes'!$A$6:$A$2205,0)),"MISSING ID")</x:f>
        <x:v>Salvage</x:v>
      </x:c>
      <x:c r="J947" s="4" t="str">
        <x:f>IFERROR(INDEX('Material routes'!$B$6:$B$2205,MATCH(U947,'Material routes'!$A$6:$A$2205,0)),"MISSING ID")</x:f>
        <x:v>design.audit.proposal_audit_metal_glassworking_blowpipe</x:v>
      </x:c>
      <x:c r="K947" s="4" t="str">
        <x:f>IFERROR(INDEX('Crafting recipes'!$C$6:$C$1005,MATCH(J947,'Crafting recipes'!$A$6:$A$1005,0)),"MISSING ID")</x:f>
        <x:v>Finished-item crafting</x:v>
      </x:c>
      <x:c r="L947" s="4" t="str">
        <x:f>IFERROR(INDEX('Material routes'!$K$6:$K$2205,MATCH(U947,'Material routes'!$A$6:$A$2205,0)),"MISSING ID")</x:f>
        <x:v>Proposal</x:v>
      </x:c>
      <x:c r="M947" s="4" t="str">
        <x:f>IFERROR(INDEX('Material routes'!$M$6:$M$2205,MATCH(U947,'Material routes'!$A$6:$A$2205,0)),"MISSING ID")</x:f>
        <x:v>Partial proposal</x:v>
      </x:c>
      <x:c r="N947" s="4"/>
      <x:c r="O947" s="4" t="str">
        <x:f>IFERROR(INDEX('Material routes'!$J$6:$J$2205,MATCH(U947,'Material routes'!$A$6:$A$2205,0)),"MISSING ID")</x:f>
        <x:v>Unspecified</x:v>
      </x:c>
      <x:c r="P947" s="4"/>
      <x:c r="Q947" s="4" t="str">
        <x:f>IFERROR(INDEX('Material routes'!$J$6:$J$2205,MATCH(V947,'Material routes'!$A$6:$A$2205,0)),"MISSING ID")</x:f>
        <x:v>Unspecified</x:v>
      </x:c>
      <x:c r="R947" s="4" t="str">
        <x:f>IF(L947="Withheld","Withheld premise",IF(E947="Tool candidate","Reusable prerequisite",IF(K947="Raw entry preparation","Entry-resource preparation",IF(G947="Not applicable",IF(IFERROR(INDEX('Items'!$AI$6:$AI$1005,MATCH(T947,'Items'!$A$6:$A$1005,0)),"MISSING ID")="Finished item","Finished endpoint",IF(IFERROR(INDEX('Items'!$AI$6:$AI$1005,MATCH(T947,'Items'!$A$6:$A$1005,0)),"MISSING ID")="Currency","Currency / no refinement tier","Recovered output / tier not applicable")),IF(OR(IFERROR(INDEX('Crafting recipes'!$H$6:$H$1005,MATCH(J947,'Crafting recipes'!$A$6:$A$1005,0)),"MISSING ID")="Unassigned",G947="Unassigned"),"Tier unresolved",IF(IFERROR(VALUE(RIGHT(G947,1))-VALUE(RIGHT(IFERROR(INDEX('Crafting recipes'!$H$6:$H$1005,MATCH(J947,'Crafting recipes'!$A$6:$A$1005,0)),"MISSING ID"),1)),0)=1,IF(B947=IFERROR(INDEX('Crafting recipes'!$H$6:$H$1005,MATCH(J947,'Crafting recipes'!$A$6:$A$1005,0)),"MISSING ID"),"Advances one material tier","Lower-tier ingredient; route advances one tier"),"Needs tier review"))))))</x:f>
        <x:v>Finished endpoint</x:v>
      </x:c>
      <x:c r="S947" s="4" t="str">
        <x:f>IFERROR(INDEX('Material routes'!$D$6:$D$2205,MATCH(U947,'Material routes'!$A$6:$A$2205,0)),"MISSING ID")</x:f>
        <x:v>proposal.t3.precision_tube</x:v>
      </x:c>
      <x:c r="T947" s="4" t="str">
        <x:f>IFERROR(INDEX('Material routes'!$D$6:$D$2205,MATCH(V947,'Material routes'!$A$6:$A$2205,0)),"MISSING ID")</x:f>
        <x:v>proposal.audit.metal_glassworking_blowpipe</x:v>
      </x:c>
      <x:c r="U947" s="4" t="str">
        <x:v>design.audit.proposal_audit_metal_glassworking_blowpipe.audit.in.1</x:v>
      </x:c>
      <x:c r="V947" s="4" t="str">
        <x:v>design.audit.proposal_audit_metal_glassworking_blowpipe.audit.out</x:v>
      </x:c>
    </x:row>
    <x:row r="948" ht="64" customHeight="1">
      <x:c r="A948" s="4" t="str">
        <x:f>IFERROR(INDEX('Material routes'!$E$6:$E$2205,MATCH(U948,'Material routes'!$A$6:$A$2205,0)),"MISSING ID")</x:f>
        <x:v>Shaped metal grip blank</x:v>
      </x:c>
      <x:c r="B948" s="4" t="str">
        <x:f>IFERROR(INDEX('Material routes'!$F$6:$F$2205,MATCH(U948,'Material routes'!$A$6:$A$2205,0)),"MISSING ID")</x:f>
        <x:v>T3</x:v>
      </x:c>
      <x:c r="C948" s="4" t="str">
        <x:f>IFERROR(INDEX('Material routes'!$H$6:$H$2205,MATCH(U948,'Material routes'!$A$6:$A$2205,0)),"MISSING ID")</x:f>
        <x:v>Crafting component</x:v>
      </x:c>
      <x:c r="D948" s="4" t="str">
        <x:f>IFERROR(INDEX('Material routes'!$G$6:$G$2205,MATCH(U948,'Material routes'!$A$6:$A$2205,0)),"MISSING ID")</x:f>
        <x:v>Crafting components</x:v>
      </x:c>
      <x:c r="E948" s="4" t="str">
        <x:f>IFERROR(INDEX('Material routes'!$C$6:$C$2205,MATCH(U948,'Material routes'!$A$6:$A$2205,0)),"MISSING ID")</x:f>
        <x:v>Ingredient candidate</x:v>
      </x:c>
      <x:c r="F948" s="4" t="str">
        <x:f>IFERROR(INDEX('Material routes'!$E$6:$E$2205,MATCH(V948,'Material routes'!$A$6:$A$2205,0)),"MISSING ID")</x:f>
        <x:v>Metal glassworking blowpipe</x:v>
      </x:c>
      <x:c r="G948" s="4" t="str">
        <x:f>IFERROR(INDEX('Material routes'!$F$6:$F$2205,MATCH(V948,'Material routes'!$A$6:$A$2205,0)),"MISSING ID")</x:f>
        <x:v>Not applicable</x:v>
      </x:c>
      <x:c r="H948" s="4" t="str">
        <x:f>IFERROR(INDEX('Material routes'!$H$6:$H$2205,MATCH(V948,'Material routes'!$A$6:$A$2205,0)),"MISSING ID")</x:f>
        <x:v>Tool</x:v>
      </x:c>
      <x:c r="I948" s="4" t="str">
        <x:f>IFERROR(INDEX('Material routes'!$G$6:$G$2205,MATCH(V948,'Material routes'!$A$6:$A$2205,0)),"MISSING ID")</x:f>
        <x:v>Salvage</x:v>
      </x:c>
      <x:c r="J948" s="4" t="str">
        <x:f>IFERROR(INDEX('Material routes'!$B$6:$B$2205,MATCH(U948,'Material routes'!$A$6:$A$2205,0)),"MISSING ID")</x:f>
        <x:v>design.audit.proposal_audit_metal_glassworking_blowpipe</x:v>
      </x:c>
      <x:c r="K948" s="4" t="str">
        <x:f>IFERROR(INDEX('Crafting recipes'!$C$6:$C$1005,MATCH(J948,'Crafting recipes'!$A$6:$A$1005,0)),"MISSING ID")</x:f>
        <x:v>Finished-item crafting</x:v>
      </x:c>
      <x:c r="L948" s="4" t="str">
        <x:f>IFERROR(INDEX('Material routes'!$K$6:$K$2205,MATCH(U948,'Material routes'!$A$6:$A$2205,0)),"MISSING ID")</x:f>
        <x:v>Proposal</x:v>
      </x:c>
      <x:c r="M948" s="4" t="str">
        <x:f>IFERROR(INDEX('Material routes'!$M$6:$M$2205,MATCH(U948,'Material routes'!$A$6:$A$2205,0)),"MISSING ID")</x:f>
        <x:v>Partial proposal</x:v>
      </x:c>
      <x:c r="N948" s="4"/>
      <x:c r="O948" s="4" t="str">
        <x:f>IFERROR(INDEX('Material routes'!$J$6:$J$2205,MATCH(U948,'Material routes'!$A$6:$A$2205,0)),"MISSING ID")</x:f>
        <x:v>Unspecified</x:v>
      </x:c>
      <x:c r="P948" s="4"/>
      <x:c r="Q948" s="4" t="str">
        <x:f>IFERROR(INDEX('Material routes'!$J$6:$J$2205,MATCH(V948,'Material routes'!$A$6:$A$2205,0)),"MISSING ID")</x:f>
        <x:v>Unspecified</x:v>
      </x:c>
      <x:c r="R948" s="4" t="str">
        <x:f>IF(L948="Withheld","Withheld premise",IF(E948="Tool candidate","Reusable prerequisite",IF(K948="Raw entry preparation","Entry-resource preparation",IF(G948="Not applicable",IF(IFERROR(INDEX('Items'!$AI$6:$AI$1005,MATCH(T948,'Items'!$A$6:$A$1005,0)),"MISSING ID")="Finished item","Finished endpoint",IF(IFERROR(INDEX('Items'!$AI$6:$AI$1005,MATCH(T948,'Items'!$A$6:$A$1005,0)),"MISSING ID")="Currency","Currency / no refinement tier","Recovered output / tier not applicable")),IF(OR(IFERROR(INDEX('Crafting recipes'!$H$6:$H$1005,MATCH(J948,'Crafting recipes'!$A$6:$A$1005,0)),"MISSING ID")="Unassigned",G948="Unassigned"),"Tier unresolved",IF(IFERROR(VALUE(RIGHT(G948,1))-VALUE(RIGHT(IFERROR(INDEX('Crafting recipes'!$H$6:$H$1005,MATCH(J948,'Crafting recipes'!$A$6:$A$1005,0)),"MISSING ID"),1)),0)=1,IF(B948=IFERROR(INDEX('Crafting recipes'!$H$6:$H$1005,MATCH(J948,'Crafting recipes'!$A$6:$A$1005,0)),"MISSING ID"),"Advances one material tier","Lower-tier ingredient; route advances one tier"),"Needs tier review"))))))</x:f>
        <x:v>Finished endpoint</x:v>
      </x:c>
      <x:c r="S948" s="4" t="str">
        <x:f>IFERROR(INDEX('Material routes'!$D$6:$D$2205,MATCH(U948,'Material routes'!$A$6:$A$2205,0)),"MISSING ID")</x:f>
        <x:v>proposal.audit.shaped_metal_grip_blank</x:v>
      </x:c>
      <x:c r="T948" s="4" t="str">
        <x:f>IFERROR(INDEX('Material routes'!$D$6:$D$2205,MATCH(V948,'Material routes'!$A$6:$A$2205,0)),"MISSING ID")</x:f>
        <x:v>proposal.audit.metal_glassworking_blowpipe</x:v>
      </x:c>
      <x:c r="U948" s="4" t="str">
        <x:v>design.audit.proposal_audit_metal_glassworking_blowpipe.audit.in.2</x:v>
      </x:c>
      <x:c r="V948" s="4" t="str">
        <x:v>design.audit.proposal_audit_metal_glassworking_blowpipe.audit.out</x:v>
      </x:c>
    </x:row>
    <x:row r="949" ht="64" customHeight="1">
      <x:c r="A949" s="4" t="str">
        <x:f>IFERROR(INDEX('Material routes'!$E$6:$E$2205,MATCH(U949,'Material routes'!$A$6:$A$2205,0)),"MISSING ID")</x:f>
        <x:v>Salvaged turbine rotor assembly</x:v>
      </x:c>
      <x:c r="B949" s="4" t="str">
        <x:f>IFERROR(INDEX('Material routes'!$F$6:$F$2205,MATCH(U949,'Material routes'!$A$6:$A$2205,0)),"MISSING ID")</x:f>
        <x:v>Not applicable</x:v>
      </x:c>
      <x:c r="C949" s="4" t="str">
        <x:f>IFERROR(INDEX('Material routes'!$H$6:$H$2205,MATCH(U949,'Material routes'!$A$6:$A$2205,0)),"MISSING ID")</x:f>
        <x:v>Crafting component</x:v>
      </x:c>
      <x:c r="D949" s="4" t="str">
        <x:f>IFERROR(INDEX('Material routes'!$G$6:$G$2205,MATCH(U949,'Material routes'!$A$6:$A$2205,0)),"MISSING ID")</x:f>
        <x:v>Salvage</x:v>
      </x:c>
      <x:c r="E949" s="4" t="str">
        <x:f>IFERROR(INDEX('Material routes'!$C$6:$C$2205,MATCH(U949,'Material routes'!$A$6:$A$2205,0)),"MISSING ID")</x:f>
        <x:v>Ingredient candidate</x:v>
      </x:c>
      <x:c r="F949" s="4" t="str">
        <x:f>IFERROR(INDEX('Material routes'!$E$6:$E$2205,MATCH(V949,'Material routes'!$A$6:$A$2205,0)),"MISSING ID")</x:f>
        <x:v>Salvaged wind turbine</x:v>
      </x:c>
      <x:c r="G949" s="4" t="str">
        <x:f>IFERROR(INDEX('Material routes'!$F$6:$F$2205,MATCH(V949,'Material routes'!$A$6:$A$2205,0)),"MISSING ID")</x:f>
        <x:v>Not applicable</x:v>
      </x:c>
      <x:c r="H949" s="4" t="str">
        <x:f>IFERROR(INDEX('Material routes'!$H$6:$H$2205,MATCH(V949,'Material routes'!$A$6:$A$2205,0)),"MISSING ID")</x:f>
        <x:v>Machine</x:v>
      </x:c>
      <x:c r="I949" s="4" t="str">
        <x:f>IFERROR(INDEX('Material routes'!$G$6:$G$2205,MATCH(V949,'Material routes'!$A$6:$A$2205,0)),"MISSING ID")</x:f>
        <x:v>Salvage</x:v>
      </x:c>
      <x:c r="J949" s="4" t="str">
        <x:f>IFERROR(INDEX('Material routes'!$B$6:$B$2205,MATCH(U949,'Material routes'!$A$6:$A$2205,0)),"MISSING ID")</x:f>
        <x:v>design.audit.proposal_wind_turbine</x:v>
      </x:c>
      <x:c r="K949" s="4" t="str">
        <x:f>IFERROR(INDEX('Crafting recipes'!$C$6:$C$1005,MATCH(J949,'Crafting recipes'!$A$6:$A$1005,0)),"MISSING ID")</x:f>
        <x:v>Recovery assembly</x:v>
      </x:c>
      <x:c r="L949" s="4" t="str">
        <x:f>IFERROR(INDEX('Material routes'!$K$6:$K$2205,MATCH(U949,'Material routes'!$A$6:$A$2205,0)),"MISSING ID")</x:f>
        <x:v>Proposal</x:v>
      </x:c>
      <x:c r="M949" s="4" t="str">
        <x:f>IFERROR(INDEX('Material routes'!$M$6:$M$2205,MATCH(U949,'Material routes'!$A$6:$A$2205,0)),"MISSING ID")</x:f>
        <x:v>Partial proposal</x:v>
      </x:c>
      <x:c r="N949" s="4"/>
      <x:c r="O949" s="4" t="str">
        <x:f>IFERROR(INDEX('Material routes'!$J$6:$J$2205,MATCH(U949,'Material routes'!$A$6:$A$2205,0)),"MISSING ID")</x:f>
        <x:v>Unspecified</x:v>
      </x:c>
      <x:c r="P949" s="4"/>
      <x:c r="Q949" s="4" t="str">
        <x:f>IFERROR(INDEX('Material routes'!$J$6:$J$2205,MATCH(V949,'Material routes'!$A$6:$A$2205,0)),"MISSING ID")</x:f>
        <x:v>Unspecified</x:v>
      </x:c>
      <x:c r="R949" s="4" t="str">
        <x:f>IF(L949="Withheld","Withheld premise",IF(E949="Tool candidate","Reusable prerequisite",IF(K949="Raw entry preparation","Entry-resource preparation",IF(G949="Not applicable",IF(IFERROR(INDEX('Items'!$AI$6:$AI$1005,MATCH(T949,'Items'!$A$6:$A$1005,0)),"MISSING ID")="Finished item","Finished endpoint",IF(IFERROR(INDEX('Items'!$AI$6:$AI$1005,MATCH(T949,'Items'!$A$6:$A$1005,0)),"MISSING ID")="Currency","Currency / no refinement tier","Recovered output / tier not applicable")),IF(OR(IFERROR(INDEX('Crafting recipes'!$H$6:$H$1005,MATCH(J949,'Crafting recipes'!$A$6:$A$1005,0)),"MISSING ID")="Unassigned",G949="Unassigned"),"Tier unresolved",IF(IFERROR(VALUE(RIGHT(G949,1))-VALUE(RIGHT(IFERROR(INDEX('Crafting recipes'!$H$6:$H$1005,MATCH(J949,'Crafting recipes'!$A$6:$A$1005,0)),"MISSING ID"),1)),0)=1,IF(B949=IFERROR(INDEX('Crafting recipes'!$H$6:$H$1005,MATCH(J949,'Crafting recipes'!$A$6:$A$1005,0)),"MISSING ID"),"Advances one material tier","Lower-tier ingredient; route advances one tier"),"Needs tier review"))))))</x:f>
        <x:v>Finished endpoint</x:v>
      </x:c>
      <x:c r="S949" s="4" t="str">
        <x:f>IFERROR(INDEX('Material routes'!$D$6:$D$2205,MATCH(U949,'Material routes'!$A$6:$A$2205,0)),"MISSING ID")</x:f>
        <x:v>proposal.wind.rotor</x:v>
      </x:c>
      <x:c r="T949" s="4" t="str">
        <x:f>IFERROR(INDEX('Material routes'!$D$6:$D$2205,MATCH(V949,'Material routes'!$A$6:$A$2205,0)),"MISSING ID")</x:f>
        <x:v>proposal.wind.turbine</x:v>
      </x:c>
      <x:c r="U949" s="4" t="str">
        <x:v>design.audit.proposal_wind_turbine.audit.in.1</x:v>
      </x:c>
      <x:c r="V949" s="4" t="str">
        <x:v>design.audit.proposal_wind_turbine.audit.out</x:v>
      </x:c>
    </x:row>
    <x:row r="950" ht="64" customHeight="1">
      <x:c r="A950" s="4" t="str">
        <x:f>IFERROR(INDEX('Material routes'!$E$6:$E$2205,MATCH(U950,'Material routes'!$A$6:$A$2205,0)),"MISSING ID")</x:f>
        <x:v>Salvaged generator assembly</x:v>
      </x:c>
      <x:c r="B950" s="4" t="str">
        <x:f>IFERROR(INDEX('Material routes'!$F$6:$F$2205,MATCH(U950,'Material routes'!$A$6:$A$2205,0)),"MISSING ID")</x:f>
        <x:v>Not applicable</x:v>
      </x:c>
      <x:c r="C950" s="4" t="str">
        <x:f>IFERROR(INDEX('Material routes'!$H$6:$H$2205,MATCH(U950,'Material routes'!$A$6:$A$2205,0)),"MISSING ID")</x:f>
        <x:v>Crafting component</x:v>
      </x:c>
      <x:c r="D950" s="4" t="str">
        <x:f>IFERROR(INDEX('Material routes'!$G$6:$G$2205,MATCH(U950,'Material routes'!$A$6:$A$2205,0)),"MISSING ID")</x:f>
        <x:v>Salvage</x:v>
      </x:c>
      <x:c r="E950" s="4" t="str">
        <x:f>IFERROR(INDEX('Material routes'!$C$6:$C$2205,MATCH(U950,'Material routes'!$A$6:$A$2205,0)),"MISSING ID")</x:f>
        <x:v>Ingredient candidate</x:v>
      </x:c>
      <x:c r="F950" s="4" t="str">
        <x:f>IFERROR(INDEX('Material routes'!$E$6:$E$2205,MATCH(V950,'Material routes'!$A$6:$A$2205,0)),"MISSING ID")</x:f>
        <x:v>Salvaged wind turbine</x:v>
      </x:c>
      <x:c r="G950" s="4" t="str">
        <x:f>IFERROR(INDEX('Material routes'!$F$6:$F$2205,MATCH(V950,'Material routes'!$A$6:$A$2205,0)),"MISSING ID")</x:f>
        <x:v>Not applicable</x:v>
      </x:c>
      <x:c r="H950" s="4" t="str">
        <x:f>IFERROR(INDEX('Material routes'!$H$6:$H$2205,MATCH(V950,'Material routes'!$A$6:$A$2205,0)),"MISSING ID")</x:f>
        <x:v>Machine</x:v>
      </x:c>
      <x:c r="I950" s="4" t="str">
        <x:f>IFERROR(INDEX('Material routes'!$G$6:$G$2205,MATCH(V950,'Material routes'!$A$6:$A$2205,0)),"MISSING ID")</x:f>
        <x:v>Salvage</x:v>
      </x:c>
      <x:c r="J950" s="4" t="str">
        <x:f>IFERROR(INDEX('Material routes'!$B$6:$B$2205,MATCH(U950,'Material routes'!$A$6:$A$2205,0)),"MISSING ID")</x:f>
        <x:v>design.audit.proposal_wind_turbine</x:v>
      </x:c>
      <x:c r="K950" s="4" t="str">
        <x:f>IFERROR(INDEX('Crafting recipes'!$C$6:$C$1005,MATCH(J950,'Crafting recipes'!$A$6:$A$1005,0)),"MISSING ID")</x:f>
        <x:v>Recovery assembly</x:v>
      </x:c>
      <x:c r="L950" s="4" t="str">
        <x:f>IFERROR(INDEX('Material routes'!$K$6:$K$2205,MATCH(U950,'Material routes'!$A$6:$A$2205,0)),"MISSING ID")</x:f>
        <x:v>Proposal</x:v>
      </x:c>
      <x:c r="M950" s="4" t="str">
        <x:f>IFERROR(INDEX('Material routes'!$M$6:$M$2205,MATCH(U950,'Material routes'!$A$6:$A$2205,0)),"MISSING ID")</x:f>
        <x:v>Partial proposal</x:v>
      </x:c>
      <x:c r="N950" s="4"/>
      <x:c r="O950" s="4" t="str">
        <x:f>IFERROR(INDEX('Material routes'!$J$6:$J$2205,MATCH(U950,'Material routes'!$A$6:$A$2205,0)),"MISSING ID")</x:f>
        <x:v>Unspecified</x:v>
      </x:c>
      <x:c r="P950" s="4"/>
      <x:c r="Q950" s="4" t="str">
        <x:f>IFERROR(INDEX('Material routes'!$J$6:$J$2205,MATCH(V950,'Material routes'!$A$6:$A$2205,0)),"MISSING ID")</x:f>
        <x:v>Unspecified</x:v>
      </x:c>
      <x:c r="R950" s="4" t="str">
        <x:f>IF(L950="Withheld","Withheld premise",IF(E950="Tool candidate","Reusable prerequisite",IF(K950="Raw entry preparation","Entry-resource preparation",IF(G950="Not applicable",IF(IFERROR(INDEX('Items'!$AI$6:$AI$1005,MATCH(T950,'Items'!$A$6:$A$1005,0)),"MISSING ID")="Finished item","Finished endpoint",IF(IFERROR(INDEX('Items'!$AI$6:$AI$1005,MATCH(T950,'Items'!$A$6:$A$1005,0)),"MISSING ID")="Currency","Currency / no refinement tier","Recovered output / tier not applicable")),IF(OR(IFERROR(INDEX('Crafting recipes'!$H$6:$H$1005,MATCH(J950,'Crafting recipes'!$A$6:$A$1005,0)),"MISSING ID")="Unassigned",G950="Unassigned"),"Tier unresolved",IF(IFERROR(VALUE(RIGHT(G950,1))-VALUE(RIGHT(IFERROR(INDEX('Crafting recipes'!$H$6:$H$1005,MATCH(J950,'Crafting recipes'!$A$6:$A$1005,0)),"MISSING ID"),1)),0)=1,IF(B950=IFERROR(INDEX('Crafting recipes'!$H$6:$H$1005,MATCH(J950,'Crafting recipes'!$A$6:$A$1005,0)),"MISSING ID"),"Advances one material tier","Lower-tier ingredient; route advances one tier"),"Needs tier review"))))))</x:f>
        <x:v>Finished endpoint</x:v>
      </x:c>
      <x:c r="S950" s="4" t="str">
        <x:f>IFERROR(INDEX('Material routes'!$D$6:$D$2205,MATCH(U950,'Material routes'!$A$6:$A$2205,0)),"MISSING ID")</x:f>
        <x:v>proposal.wind.generator</x:v>
      </x:c>
      <x:c r="T950" s="4" t="str">
        <x:f>IFERROR(INDEX('Material routes'!$D$6:$D$2205,MATCH(V950,'Material routes'!$A$6:$A$2205,0)),"MISSING ID")</x:f>
        <x:v>proposal.wind.turbine</x:v>
      </x:c>
      <x:c r="U950" s="4" t="str">
        <x:v>design.audit.proposal_wind_turbine.audit.in.2</x:v>
      </x:c>
      <x:c r="V950" s="4" t="str">
        <x:v>design.audit.proposal_wind_turbine.audit.out</x:v>
      </x:c>
    </x:row>
    <x:row r="951" ht="64" customHeight="1">
      <x:c r="A951" s="4" t="str">
        <x:f>IFERROR(INDEX('Material routes'!$E$6:$E$2205,MATCH(U951,'Material routes'!$A$6:$A$2205,0)),"MISSING ID")</x:f>
        <x:v>Matched wind-turbine hub core</x:v>
      </x:c>
      <x:c r="B951" s="4" t="str">
        <x:f>IFERROR(INDEX('Material routes'!$F$6:$F$2205,MATCH(U951,'Material routes'!$A$6:$A$2205,0)),"MISSING ID")</x:f>
        <x:v>T4</x:v>
      </x:c>
      <x:c r="C951" s="4" t="str">
        <x:f>IFERROR(INDEX('Material routes'!$H$6:$H$2205,MATCH(U951,'Material routes'!$A$6:$A$2205,0)),"MISSING ID")</x:f>
        <x:v>Crafting component</x:v>
      </x:c>
      <x:c r="D951" s="4" t="str">
        <x:f>IFERROR(INDEX('Material routes'!$G$6:$G$2205,MATCH(U951,'Material routes'!$A$6:$A$2205,0)),"MISSING ID")</x:f>
        <x:v>Crafting components</x:v>
      </x:c>
      <x:c r="E951" s="4" t="str">
        <x:f>IFERROR(INDEX('Material routes'!$C$6:$C$2205,MATCH(U951,'Material routes'!$A$6:$A$2205,0)),"MISSING ID")</x:f>
        <x:v>Ingredient candidate</x:v>
      </x:c>
      <x:c r="F951" s="4" t="str">
        <x:f>IFERROR(INDEX('Material routes'!$E$6:$E$2205,MATCH(V951,'Material routes'!$A$6:$A$2205,0)),"MISSING ID")</x:f>
        <x:v>Salvaged wind turbine</x:v>
      </x:c>
      <x:c r="G951" s="4" t="str">
        <x:f>IFERROR(INDEX('Material routes'!$F$6:$F$2205,MATCH(V951,'Material routes'!$A$6:$A$2205,0)),"MISSING ID")</x:f>
        <x:v>Not applicable</x:v>
      </x:c>
      <x:c r="H951" s="4" t="str">
        <x:f>IFERROR(INDEX('Material routes'!$H$6:$H$2205,MATCH(V951,'Material routes'!$A$6:$A$2205,0)),"MISSING ID")</x:f>
        <x:v>Machine</x:v>
      </x:c>
      <x:c r="I951" s="4" t="str">
        <x:f>IFERROR(INDEX('Material routes'!$G$6:$G$2205,MATCH(V951,'Material routes'!$A$6:$A$2205,0)),"MISSING ID")</x:f>
        <x:v>Salvage</x:v>
      </x:c>
      <x:c r="J951" s="4" t="str">
        <x:f>IFERROR(INDEX('Material routes'!$B$6:$B$2205,MATCH(U951,'Material routes'!$A$6:$A$2205,0)),"MISSING ID")</x:f>
        <x:v>design.audit.proposal_wind_turbine</x:v>
      </x:c>
      <x:c r="K951" s="4" t="str">
        <x:f>IFERROR(INDEX('Crafting recipes'!$C$6:$C$1005,MATCH(J951,'Crafting recipes'!$A$6:$A$1005,0)),"MISSING ID")</x:f>
        <x:v>Recovery assembly</x:v>
      </x:c>
      <x:c r="L951" s="4" t="str">
        <x:f>IFERROR(INDEX('Material routes'!$K$6:$K$2205,MATCH(U951,'Material routes'!$A$6:$A$2205,0)),"MISSING ID")</x:f>
        <x:v>Proposal</x:v>
      </x:c>
      <x:c r="M951" s="4" t="str">
        <x:f>IFERROR(INDEX('Material routes'!$M$6:$M$2205,MATCH(U951,'Material routes'!$A$6:$A$2205,0)),"MISSING ID")</x:f>
        <x:v>Partial proposal</x:v>
      </x:c>
      <x:c r="N951" s="4"/>
      <x:c r="O951" s="4" t="str">
        <x:f>IFERROR(INDEX('Material routes'!$J$6:$J$2205,MATCH(U951,'Material routes'!$A$6:$A$2205,0)),"MISSING ID")</x:f>
        <x:v>Unspecified</x:v>
      </x:c>
      <x:c r="P951" s="4"/>
      <x:c r="Q951" s="4" t="str">
        <x:f>IFERROR(INDEX('Material routes'!$J$6:$J$2205,MATCH(V951,'Material routes'!$A$6:$A$2205,0)),"MISSING ID")</x:f>
        <x:v>Unspecified</x:v>
      </x:c>
      <x:c r="R951" s="4" t="str">
        <x:f>IF(L951="Withheld","Withheld premise",IF(E951="Tool candidate","Reusable prerequisite",IF(K951="Raw entry preparation","Entry-resource preparation",IF(G951="Not applicable",IF(IFERROR(INDEX('Items'!$AI$6:$AI$1005,MATCH(T951,'Items'!$A$6:$A$1005,0)),"MISSING ID")="Finished item","Finished endpoint",IF(IFERROR(INDEX('Items'!$AI$6:$AI$1005,MATCH(T951,'Items'!$A$6:$A$1005,0)),"MISSING ID")="Currency","Currency / no refinement tier","Recovered output / tier not applicable")),IF(OR(IFERROR(INDEX('Crafting recipes'!$H$6:$H$1005,MATCH(J951,'Crafting recipes'!$A$6:$A$1005,0)),"MISSING ID")="Unassigned",G951="Unassigned"),"Tier unresolved",IF(IFERROR(VALUE(RIGHT(G951,1))-VALUE(RIGHT(IFERROR(INDEX('Crafting recipes'!$H$6:$H$1005,MATCH(J951,'Crafting recipes'!$A$6:$A$1005,0)),"MISSING ID"),1)),0)=1,IF(B951=IFERROR(INDEX('Crafting recipes'!$H$6:$H$1005,MATCH(J951,'Crafting recipes'!$A$6:$A$1005,0)),"MISSING ID"),"Advances one material tier","Lower-tier ingredient; route advances one tier"),"Needs tier review"))))))</x:f>
        <x:v>Finished endpoint</x:v>
      </x:c>
      <x:c r="S951" s="4" t="str">
        <x:f>IFERROR(INDEX('Material routes'!$D$6:$D$2205,MATCH(U951,'Material routes'!$A$6:$A$2205,0)),"MISSING ID")</x:f>
        <x:v>proposal.t4.turbine_hub</x:v>
      </x:c>
      <x:c r="T951" s="4" t="str">
        <x:f>IFERROR(INDEX('Material routes'!$D$6:$D$2205,MATCH(V951,'Material routes'!$A$6:$A$2205,0)),"MISSING ID")</x:f>
        <x:v>proposal.wind.turbine</x:v>
      </x:c>
      <x:c r="U951" s="4" t="str">
        <x:v>design.audit.proposal_wind_turbine.audit.in.3</x:v>
      </x:c>
      <x:c r="V951" s="4" t="str">
        <x:v>design.audit.proposal_wind_turbine.audit.out</x:v>
      </x:c>
    </x:row>
    <x:row r="952" ht="64" customHeight="1">
      <x:c r="A952" s="4" t="str">
        <x:f>IFERROR(INDEX('Material routes'!$E$6:$E$2205,MATCH(U952,'Material routes'!$A$6:$A$2205,0)),"MISSING ID")</x:f>
        <x:v>Iron chassis replacement rib</x:v>
      </x:c>
      <x:c r="B952" s="4" t="str">
        <x:f>IFERROR(INDEX('Material routes'!$F$6:$F$2205,MATCH(U952,'Material routes'!$A$6:$A$2205,0)),"MISSING ID")</x:f>
        <x:v>T3</x:v>
      </x:c>
      <x:c r="C952" s="4" t="str">
        <x:f>IFERROR(INDEX('Material routes'!$H$6:$H$2205,MATCH(U952,'Material routes'!$A$6:$A$2205,0)),"MISSING ID")</x:f>
        <x:v>Crafting component</x:v>
      </x:c>
      <x:c r="D952" s="4" t="str">
        <x:f>IFERROR(INDEX('Material routes'!$G$6:$G$2205,MATCH(U952,'Material routes'!$A$6:$A$2205,0)),"MISSING ID")</x:f>
        <x:v>Crafting components</x:v>
      </x:c>
      <x:c r="E952" s="4" t="str">
        <x:f>IFERROR(INDEX('Material routes'!$C$6:$C$2205,MATCH(U952,'Material routes'!$A$6:$A$2205,0)),"MISSING ID")</x:f>
        <x:v>Ingredient candidate</x:v>
      </x:c>
      <x:c r="F952" s="4" t="str">
        <x:f>IFERROR(INDEX('Material routes'!$E$6:$E$2205,MATCH(V952,'Material routes'!$A$6:$A$2205,0)),"MISSING ID")</x:f>
        <x:v>Salvaged wind turbine</x:v>
      </x:c>
      <x:c r="G952" s="4" t="str">
        <x:f>IFERROR(INDEX('Material routes'!$F$6:$F$2205,MATCH(V952,'Material routes'!$A$6:$A$2205,0)),"MISSING ID")</x:f>
        <x:v>Not applicable</x:v>
      </x:c>
      <x:c r="H952" s="4" t="str">
        <x:f>IFERROR(INDEX('Material routes'!$H$6:$H$2205,MATCH(V952,'Material routes'!$A$6:$A$2205,0)),"MISSING ID")</x:f>
        <x:v>Machine</x:v>
      </x:c>
      <x:c r="I952" s="4" t="str">
        <x:f>IFERROR(INDEX('Material routes'!$G$6:$G$2205,MATCH(V952,'Material routes'!$A$6:$A$2205,0)),"MISSING ID")</x:f>
        <x:v>Salvage</x:v>
      </x:c>
      <x:c r="J952" s="4" t="str">
        <x:f>IFERROR(INDEX('Material routes'!$B$6:$B$2205,MATCH(U952,'Material routes'!$A$6:$A$2205,0)),"MISSING ID")</x:f>
        <x:v>design.audit.proposal_wind_turbine</x:v>
      </x:c>
      <x:c r="K952" s="4" t="str">
        <x:f>IFERROR(INDEX('Crafting recipes'!$C$6:$C$1005,MATCH(J952,'Crafting recipes'!$A$6:$A$1005,0)),"MISSING ID")</x:f>
        <x:v>Recovery assembly</x:v>
      </x:c>
      <x:c r="L952" s="4" t="str">
        <x:f>IFERROR(INDEX('Material routes'!$K$6:$K$2205,MATCH(U952,'Material routes'!$A$6:$A$2205,0)),"MISSING ID")</x:f>
        <x:v>Proposal</x:v>
      </x:c>
      <x:c r="M952" s="4" t="str">
        <x:f>IFERROR(INDEX('Material routes'!$M$6:$M$2205,MATCH(U952,'Material routes'!$A$6:$A$2205,0)),"MISSING ID")</x:f>
        <x:v>Partial proposal</x:v>
      </x:c>
      <x:c r="N952" s="4"/>
      <x:c r="O952" s="4" t="str">
        <x:f>IFERROR(INDEX('Material routes'!$J$6:$J$2205,MATCH(U952,'Material routes'!$A$6:$A$2205,0)),"MISSING ID")</x:f>
        <x:v>Unspecified</x:v>
      </x:c>
      <x:c r="P952" s="4"/>
      <x:c r="Q952" s="4" t="str">
        <x:f>IFERROR(INDEX('Material routes'!$J$6:$J$2205,MATCH(V952,'Material routes'!$A$6:$A$2205,0)),"MISSING ID")</x:f>
        <x:v>Unspecified</x:v>
      </x:c>
      <x:c r="R952" s="4" t="str">
        <x:f>IF(L952="Withheld","Withheld premise",IF(E952="Tool candidate","Reusable prerequisite",IF(K952="Raw entry preparation","Entry-resource preparation",IF(G952="Not applicable",IF(IFERROR(INDEX('Items'!$AI$6:$AI$1005,MATCH(T952,'Items'!$A$6:$A$1005,0)),"MISSING ID")="Finished item","Finished endpoint",IF(IFERROR(INDEX('Items'!$AI$6:$AI$1005,MATCH(T952,'Items'!$A$6:$A$1005,0)),"MISSING ID")="Currency","Currency / no refinement tier","Recovered output / tier not applicable")),IF(OR(IFERROR(INDEX('Crafting recipes'!$H$6:$H$1005,MATCH(J952,'Crafting recipes'!$A$6:$A$1005,0)),"MISSING ID")="Unassigned",G952="Unassigned"),"Tier unresolved",IF(IFERROR(VALUE(RIGHT(G952,1))-VALUE(RIGHT(IFERROR(INDEX('Crafting recipes'!$H$6:$H$1005,MATCH(J952,'Crafting recipes'!$A$6:$A$1005,0)),"MISSING ID"),1)),0)=1,IF(B952=IFERROR(INDEX('Crafting recipes'!$H$6:$H$1005,MATCH(J952,'Crafting recipes'!$A$6:$A$1005,0)),"MISSING ID"),"Advances one material tier","Lower-tier ingredient; route advances one tier"),"Needs tier review"))))))</x:f>
        <x:v>Finished endpoint</x:v>
      </x:c>
      <x:c r="S952" s="4" t="str">
        <x:f>IFERROR(INDEX('Material routes'!$D$6:$D$2205,MATCH(U952,'Material routes'!$A$6:$A$2205,0)),"MISSING ID")</x:f>
        <x:v>proposal.legger.iron_rib</x:v>
      </x:c>
      <x:c r="T952" s="4" t="str">
        <x:f>IFERROR(INDEX('Material routes'!$D$6:$D$2205,MATCH(V952,'Material routes'!$A$6:$A$2205,0)),"MISSING ID")</x:f>
        <x:v>proposal.wind.turbine</x:v>
      </x:c>
      <x:c r="U952" s="4" t="str">
        <x:v>design.audit.proposal_wind_turbine.audit.in.4</x:v>
      </x:c>
      <x:c r="V952" s="4" t="str">
        <x:v>design.audit.proposal_wind_turbine.audit.out</x:v>
      </x:c>
    </x:row>
    <x:row r="953" ht="64" customHeight="1">
      <x:c r="A953" s="4"/>
      <x:c r="B953" s="4"/>
      <x:c r="C953" s="4"/>
      <x:c r="D953" s="4"/>
      <x:c r="E953" s="4"/>
      <x:c r="F953" s="4"/>
      <x:c r="G953" s="4"/>
      <x:c r="H953" s="4"/>
      <x:c r="I953" s="4"/>
      <x:c r="J953" s="4"/>
      <x:c r="K953" s="4"/>
      <x:c r="L953" s="4"/>
      <x:c r="M953" s="4"/>
      <x:c r="N953" s="4"/>
      <x:c r="O953" s="4"/>
      <x:c r="P953" s="4"/>
      <x:c r="Q953" s="4"/>
      <x:c r="R953" s="4"/>
      <x:c r="S953" s="4"/>
      <x:c r="T953" s="4"/>
      <x:c r="U953" s="4"/>
      <x:c r="V953" s="4"/>
    </x:row>
    <x:row r="954" ht="64" customHeight="1">
      <x:c r="A954" s="4"/>
      <x:c r="B954" s="4"/>
      <x:c r="C954" s="4"/>
      <x:c r="D954" s="4"/>
      <x:c r="E954" s="4"/>
      <x:c r="F954" s="4"/>
      <x:c r="G954" s="4"/>
      <x:c r="H954" s="4"/>
      <x:c r="I954" s="4"/>
      <x:c r="J954" s="4"/>
      <x:c r="K954" s="4"/>
      <x:c r="L954" s="4"/>
      <x:c r="M954" s="4"/>
      <x:c r="N954" s="4"/>
      <x:c r="O954" s="4"/>
      <x:c r="P954" s="4"/>
      <x:c r="Q954" s="4"/>
      <x:c r="R954" s="4"/>
      <x:c r="S954" s="4"/>
      <x:c r="T954" s="4"/>
      <x:c r="U954" s="4"/>
      <x:c r="V954" s="4"/>
    </x:row>
    <x:row r="955" ht="64" customHeight="1">
      <x:c r="A955" s="4"/>
      <x:c r="B955" s="4"/>
      <x:c r="C955" s="4"/>
      <x:c r="D955" s="4"/>
      <x:c r="E955" s="4"/>
      <x:c r="F955" s="4"/>
      <x:c r="G955" s="4"/>
      <x:c r="H955" s="4"/>
      <x:c r="I955" s="4"/>
      <x:c r="J955" s="4"/>
      <x:c r="K955" s="4"/>
      <x:c r="L955" s="4"/>
      <x:c r="M955" s="4"/>
      <x:c r="N955" s="4"/>
      <x:c r="O955" s="4"/>
      <x:c r="P955" s="4"/>
      <x:c r="Q955" s="4"/>
      <x:c r="R955" s="4"/>
      <x:c r="S955" s="4"/>
      <x:c r="T955" s="4"/>
      <x:c r="U955" s="4"/>
      <x:c r="V955" s="4"/>
    </x:row>
    <x:row r="956" ht="64" customHeight="1">
      <x:c r="A956" s="4"/>
      <x:c r="B956" s="4"/>
      <x:c r="C956" s="4"/>
      <x:c r="D956" s="4"/>
      <x:c r="E956" s="4"/>
      <x:c r="F956" s="4"/>
      <x:c r="G956" s="4"/>
      <x:c r="H956" s="4"/>
      <x:c r="I956" s="4"/>
      <x:c r="J956" s="4"/>
      <x:c r="K956" s="4"/>
      <x:c r="L956" s="4"/>
      <x:c r="M956" s="4"/>
      <x:c r="N956" s="4"/>
      <x:c r="O956" s="4"/>
      <x:c r="P956" s="4"/>
      <x:c r="Q956" s="4"/>
      <x:c r="R956" s="4"/>
      <x:c r="S956" s="4"/>
      <x:c r="T956" s="4"/>
      <x:c r="U956" s="4"/>
      <x:c r="V956" s="4"/>
    </x:row>
    <x:row r="957" ht="64" customHeight="1">
      <x:c r="A957" s="4" t="str">
        <x:f>IFERROR(INDEX('Material routes'!$E$6:$E$2205,MATCH(U957,'Material routes'!$A$6:$A$2205,0)),"MISSING ID")</x:f>
        <x:v>Layered husk composite stock</x:v>
      </x:c>
      <x:c r="B957" s="4" t="str">
        <x:f>IFERROR(INDEX('Material routes'!$F$6:$F$2205,MATCH(U957,'Material routes'!$A$6:$A$2205,0)),"MISSING ID")</x:f>
        <x:v>T3</x:v>
      </x:c>
      <x:c r="C957" s="4" t="str">
        <x:f>IFERROR(INDEX('Material routes'!$H$6:$H$2205,MATCH(U957,'Material routes'!$A$6:$A$2205,0)),"MISSING ID")</x:f>
        <x:v>Processed material</x:v>
      </x:c>
      <x:c r="D957" s="4" t="str">
        <x:f>IFERROR(INDEX('Material routes'!$G$6:$G$2205,MATCH(U957,'Material routes'!$A$6:$A$2205,0)),"MISSING ID")</x:f>
        <x:v>Manufactured stock</x:v>
      </x:c>
      <x:c r="E957" s="4" t="str">
        <x:f>IFERROR(INDEX('Material routes'!$C$6:$C$2205,MATCH(U957,'Material routes'!$A$6:$A$2205,0)),"MISSING ID")</x:f>
        <x:v>Ingredient candidate</x:v>
      </x:c>
      <x:c r="F957" s="4" t="str">
        <x:f>IFERROR(INDEX('Material routes'!$E$6:$E$2205,MATCH(V957,'Material routes'!$A$6:$A$2205,0)),"MISSING ID")</x:f>
        <x:v>Cloak</x:v>
      </x:c>
      <x:c r="G957" s="4" t="str">
        <x:f>IFERROR(INDEX('Material routes'!$F$6:$F$2205,MATCH(V957,'Material routes'!$A$6:$A$2205,0)),"MISSING ID")</x:f>
        <x:v>Not applicable</x:v>
      </x:c>
      <x:c r="H957" s="4" t="str">
        <x:f>IFERROR(INDEX('Material routes'!$H$6:$H$2205,MATCH(V957,'Material routes'!$A$6:$A$2205,0)),"MISSING ID")</x:f>
        <x:v>Wearable</x:v>
      </x:c>
      <x:c r="I957" s="4" t="str">
        <x:f>IFERROR(INDEX('Material routes'!$G$6:$G$2205,MATCH(V957,'Material routes'!$A$6:$A$2205,0)),"MISSING ID")</x:f>
        <x:v>Tools</x:v>
      </x:c>
      <x:c r="J957" s="4" t="str">
        <x:f>IFERROR(INDEX('Material routes'!$B$6:$B$2205,MATCH(U957,'Material routes'!$A$6:$A$2205,0)),"MISSING ID")</x:f>
        <x:v>design.audit.equipment_cloak</x:v>
      </x:c>
      <x:c r="K957" s="4" t="str">
        <x:f>IFERROR(INDEX('Crafting recipes'!$C$6:$C$1005,MATCH(J957,'Crafting recipes'!$A$6:$A$1005,0)),"MISSING ID")</x:f>
        <x:v>Finished-item crafting</x:v>
      </x:c>
      <x:c r="L957" s="4" t="str">
        <x:f>IFERROR(INDEX('Material routes'!$K$6:$K$2205,MATCH(U957,'Material routes'!$A$6:$A$2205,0)),"MISSING ID")</x:f>
        <x:v>Proposal</x:v>
      </x:c>
      <x:c r="M957" s="4" t="str">
        <x:f>IFERROR(INDEX('Material routes'!$M$6:$M$2205,MATCH(U957,'Material routes'!$A$6:$A$2205,0)),"MISSING ID")</x:f>
        <x:v>Partial proposal</x:v>
      </x:c>
      <x:c r="N957" s="4"/>
      <x:c r="O957" s="4" t="str">
        <x:f>IFERROR(INDEX('Material routes'!$J$6:$J$2205,MATCH(U957,'Material routes'!$A$6:$A$2205,0)),"MISSING ID")</x:f>
        <x:v>Unspecified</x:v>
      </x:c>
      <x:c r="P957" s="4"/>
      <x:c r="Q957" s="4" t="str">
        <x:f>IFERROR(INDEX('Material routes'!$J$6:$J$2205,MATCH(V957,'Material routes'!$A$6:$A$2205,0)),"MISSING ID")</x:f>
        <x:v>Unspecified</x:v>
      </x:c>
      <x:c r="R957" s="4" t="str">
        <x:f>IF(L957="Withheld","Withheld premise",IF(E957="Tool candidate","Reusable prerequisite",IF(K957="Raw entry preparation","Entry-resource preparation",IF(G957="Not applicable",IF(IFERROR(INDEX('Items'!$AI$6:$AI$1005,MATCH(T957,'Items'!$A$6:$A$1005,0)),"MISSING ID")="Finished item","Finished endpoint",IF(IFERROR(INDEX('Items'!$AI$6:$AI$1005,MATCH(T957,'Items'!$A$6:$A$1005,0)),"MISSING ID")="Currency","Currency / no refinement tier","Recovered output / tier not applicable")),IF(OR(IFERROR(INDEX('Crafting recipes'!$H$6:$H$1005,MATCH(J957,'Crafting recipes'!$A$6:$A$1005,0)),"MISSING ID")="Unassigned",G957="Unassigned"),"Tier unresolved",IF(IFERROR(VALUE(RIGHT(G957,1))-VALUE(RIGHT(IFERROR(INDEX('Crafting recipes'!$H$6:$H$1005,MATCH(J957,'Crafting recipes'!$A$6:$A$1005,0)),"MISSING ID"),1)),0)=1,IF(B957=IFERROR(INDEX('Crafting recipes'!$H$6:$H$1005,MATCH(J957,'Crafting recipes'!$A$6:$A$1005,0)),"MISSING ID"),"Advances one material tier","Lower-tier ingredient; route advances one tier"),"Needs tier review"))))))</x:f>
        <x:v>Finished endpoint</x:v>
      </x:c>
      <x:c r="S957" s="4" t="str">
        <x:f>IFERROR(INDEX('Material routes'!$D$6:$D$2205,MATCH(U957,'Material routes'!$A$6:$A$2205,0)),"MISSING ID")</x:f>
        <x:v>proposal.branch.husk_composite</x:v>
      </x:c>
      <x:c r="T957" s="4" t="str">
        <x:f>IFERROR(INDEX('Material routes'!$D$6:$D$2205,MATCH(V957,'Material routes'!$A$6:$A$2205,0)),"MISSING ID")</x:f>
        <x:v>equipment.cloak</x:v>
      </x:c>
      <x:c r="U957" s="4" t="str">
        <x:v>design.audit.equipment_cloak.audit.in.1</x:v>
      </x:c>
      <x:c r="V957" s="4" t="str">
        <x:v>design.audit.equipment_cloak.audit.out</x:v>
      </x:c>
    </x:row>
    <x:row r="958" ht="64" customHeight="1">
      <x:c r="A958" s="4" t="str">
        <x:f>IFERROR(INDEX('Material routes'!$E$6:$E$2205,MATCH(U958,'Material routes'!$A$6:$A$2205,0)),"MISSING ID")</x:f>
        <x:v>Pressed hide fastening strips</x:v>
      </x:c>
      <x:c r="B958" s="4" t="str">
        <x:f>IFERROR(INDEX('Material routes'!$F$6:$F$2205,MATCH(U958,'Material routes'!$A$6:$A$2205,0)),"MISSING ID")</x:f>
        <x:v>T2</x:v>
      </x:c>
      <x:c r="C958" s="4" t="str">
        <x:f>IFERROR(INDEX('Material routes'!$H$6:$H$2205,MATCH(U958,'Material routes'!$A$6:$A$2205,0)),"MISSING ID")</x:f>
        <x:v>Processed material</x:v>
      </x:c>
      <x:c r="D958" s="4" t="str">
        <x:f>IFERROR(INDEX('Material routes'!$G$6:$G$2205,MATCH(U958,'Material routes'!$A$6:$A$2205,0)),"MISSING ID")</x:f>
        <x:v>Manufactured stock</x:v>
      </x:c>
      <x:c r="E958" s="4" t="str">
        <x:f>IFERROR(INDEX('Material routes'!$C$6:$C$2205,MATCH(U958,'Material routes'!$A$6:$A$2205,0)),"MISSING ID")</x:f>
        <x:v>Ingredient candidate</x:v>
      </x:c>
      <x:c r="F958" s="4" t="str">
        <x:f>IFERROR(INDEX('Material routes'!$E$6:$E$2205,MATCH(V958,'Material routes'!$A$6:$A$2205,0)),"MISSING ID")</x:f>
        <x:v>Cloak</x:v>
      </x:c>
      <x:c r="G958" s="4" t="str">
        <x:f>IFERROR(INDEX('Material routes'!$F$6:$F$2205,MATCH(V958,'Material routes'!$A$6:$A$2205,0)),"MISSING ID")</x:f>
        <x:v>Not applicable</x:v>
      </x:c>
      <x:c r="H958" s="4" t="str">
        <x:f>IFERROR(INDEX('Material routes'!$H$6:$H$2205,MATCH(V958,'Material routes'!$A$6:$A$2205,0)),"MISSING ID")</x:f>
        <x:v>Wearable</x:v>
      </x:c>
      <x:c r="I958" s="4" t="str">
        <x:f>IFERROR(INDEX('Material routes'!$G$6:$G$2205,MATCH(V958,'Material routes'!$A$6:$A$2205,0)),"MISSING ID")</x:f>
        <x:v>Tools</x:v>
      </x:c>
      <x:c r="J958" s="4" t="str">
        <x:f>IFERROR(INDEX('Material routes'!$B$6:$B$2205,MATCH(U958,'Material routes'!$A$6:$A$2205,0)),"MISSING ID")</x:f>
        <x:v>design.audit.equipment_cloak</x:v>
      </x:c>
      <x:c r="K958" s="4" t="str">
        <x:f>IFERROR(INDEX('Crafting recipes'!$C$6:$C$1005,MATCH(J958,'Crafting recipes'!$A$6:$A$1005,0)),"MISSING ID")</x:f>
        <x:v>Finished-item crafting</x:v>
      </x:c>
      <x:c r="L958" s="4" t="str">
        <x:f>IFERROR(INDEX('Material routes'!$K$6:$K$2205,MATCH(U958,'Material routes'!$A$6:$A$2205,0)),"MISSING ID")</x:f>
        <x:v>Proposal</x:v>
      </x:c>
      <x:c r="M958" s="4" t="str">
        <x:f>IFERROR(INDEX('Material routes'!$M$6:$M$2205,MATCH(U958,'Material routes'!$A$6:$A$2205,0)),"MISSING ID")</x:f>
        <x:v>Partial proposal</x:v>
      </x:c>
      <x:c r="N958" s="4"/>
      <x:c r="O958" s="4" t="str">
        <x:f>IFERROR(INDEX('Material routes'!$J$6:$J$2205,MATCH(U958,'Material routes'!$A$6:$A$2205,0)),"MISSING ID")</x:f>
        <x:v>Unspecified</x:v>
      </x:c>
      <x:c r="P958" s="4"/>
      <x:c r="Q958" s="4" t="str">
        <x:f>IFERROR(INDEX('Material routes'!$J$6:$J$2205,MATCH(V958,'Material routes'!$A$6:$A$2205,0)),"MISSING ID")</x:f>
        <x:v>Unspecified</x:v>
      </x:c>
      <x:c r="R958" s="4" t="str">
        <x:f>IF(L958="Withheld","Withheld premise",IF(E958="Tool candidate","Reusable prerequisite",IF(K958="Raw entry preparation","Entry-resource preparation",IF(G958="Not applicable",IF(IFERROR(INDEX('Items'!$AI$6:$AI$1005,MATCH(T958,'Items'!$A$6:$A$1005,0)),"MISSING ID")="Finished item","Finished endpoint",IF(IFERROR(INDEX('Items'!$AI$6:$AI$1005,MATCH(T958,'Items'!$A$6:$A$1005,0)),"MISSING ID")="Currency","Currency / no refinement tier","Recovered output / tier not applicable")),IF(OR(IFERROR(INDEX('Crafting recipes'!$H$6:$H$1005,MATCH(J958,'Crafting recipes'!$A$6:$A$1005,0)),"MISSING ID")="Unassigned",G958="Unassigned"),"Tier unresolved",IF(IFERROR(VALUE(RIGHT(G958,1))-VALUE(RIGHT(IFERROR(INDEX('Crafting recipes'!$H$6:$H$1005,MATCH(J958,'Crafting recipes'!$A$6:$A$1005,0)),"MISSING ID"),1)),0)=1,IF(B958=IFERROR(INDEX('Crafting recipes'!$H$6:$H$1005,MATCH(J958,'Crafting recipes'!$A$6:$A$1005,0)),"MISSING ID"),"Advances one material tier","Lower-tier ingredient; route advances one tier"),"Needs tier review"))))))</x:f>
        <x:v>Finished endpoint</x:v>
      </x:c>
      <x:c r="S958" s="4" t="str">
        <x:f>IFERROR(INDEX('Material routes'!$D$6:$D$2205,MATCH(U958,'Material routes'!$A$6:$A$2205,0)),"MISSING ID")</x:f>
        <x:v>proposal.audit.pressed_hide_fastening_strips</x:v>
      </x:c>
      <x:c r="T958" s="4" t="str">
        <x:f>IFERROR(INDEX('Material routes'!$D$6:$D$2205,MATCH(V958,'Material routes'!$A$6:$A$2205,0)),"MISSING ID")</x:f>
        <x:v>equipment.cloak</x:v>
      </x:c>
      <x:c r="U958" s="4" t="str">
        <x:v>design.audit.equipment_cloak.audit.in.2</x:v>
      </x:c>
      <x:c r="V958" s="4" t="str">
        <x:v>design.audit.equipment_cloak.audit.out</x:v>
      </x:c>
    </x:row>
    <x:row r="959" ht="64" customHeight="1">
      <x:c r="A959" s="4" t="str">
        <x:f>IFERROR(INDEX('Material routes'!$E$6:$E$2205,MATCH(U959,'Material routes'!$A$6:$A$2205,0)),"MISSING ID")</x:f>
        <x:v>Ceramic toggle fastener</x:v>
      </x:c>
      <x:c r="B959" s="4" t="str">
        <x:f>IFERROR(INDEX('Material routes'!$F$6:$F$2205,MATCH(U959,'Material routes'!$A$6:$A$2205,0)),"MISSING ID")</x:f>
        <x:v>T3</x:v>
      </x:c>
      <x:c r="C959" s="4" t="str">
        <x:f>IFERROR(INDEX('Material routes'!$H$6:$H$2205,MATCH(U959,'Material routes'!$A$6:$A$2205,0)),"MISSING ID")</x:f>
        <x:v>Crafting component</x:v>
      </x:c>
      <x:c r="D959" s="4" t="str">
        <x:f>IFERROR(INDEX('Material routes'!$G$6:$G$2205,MATCH(U959,'Material routes'!$A$6:$A$2205,0)),"MISSING ID")</x:f>
        <x:v>Crafting components</x:v>
      </x:c>
      <x:c r="E959" s="4" t="str">
        <x:f>IFERROR(INDEX('Material routes'!$C$6:$C$2205,MATCH(U959,'Material routes'!$A$6:$A$2205,0)),"MISSING ID")</x:f>
        <x:v>Ingredient candidate</x:v>
      </x:c>
      <x:c r="F959" s="4" t="str">
        <x:f>IFERROR(INDEX('Material routes'!$E$6:$E$2205,MATCH(V959,'Material routes'!$A$6:$A$2205,0)),"MISSING ID")</x:f>
        <x:v>Cloak</x:v>
      </x:c>
      <x:c r="G959" s="4" t="str">
        <x:f>IFERROR(INDEX('Material routes'!$F$6:$F$2205,MATCH(V959,'Material routes'!$A$6:$A$2205,0)),"MISSING ID")</x:f>
        <x:v>Not applicable</x:v>
      </x:c>
      <x:c r="H959" s="4" t="str">
        <x:f>IFERROR(INDEX('Material routes'!$H$6:$H$2205,MATCH(V959,'Material routes'!$A$6:$A$2205,0)),"MISSING ID")</x:f>
        <x:v>Wearable</x:v>
      </x:c>
      <x:c r="I959" s="4" t="str">
        <x:f>IFERROR(INDEX('Material routes'!$G$6:$G$2205,MATCH(V959,'Material routes'!$A$6:$A$2205,0)),"MISSING ID")</x:f>
        <x:v>Tools</x:v>
      </x:c>
      <x:c r="J959" s="4" t="str">
        <x:f>IFERROR(INDEX('Material routes'!$B$6:$B$2205,MATCH(U959,'Material routes'!$A$6:$A$2205,0)),"MISSING ID")</x:f>
        <x:v>design.audit.equipment_cloak</x:v>
      </x:c>
      <x:c r="K959" s="4" t="str">
        <x:f>IFERROR(INDEX('Crafting recipes'!$C$6:$C$1005,MATCH(J959,'Crafting recipes'!$A$6:$A$1005,0)),"MISSING ID")</x:f>
        <x:v>Finished-item crafting</x:v>
      </x:c>
      <x:c r="L959" s="4" t="str">
        <x:f>IFERROR(INDEX('Material routes'!$K$6:$K$2205,MATCH(U959,'Material routes'!$A$6:$A$2205,0)),"MISSING ID")</x:f>
        <x:v>Proposal</x:v>
      </x:c>
      <x:c r="M959" s="4" t="str">
        <x:f>IFERROR(INDEX('Material routes'!$M$6:$M$2205,MATCH(U959,'Material routes'!$A$6:$A$2205,0)),"MISSING ID")</x:f>
        <x:v>Partial proposal</x:v>
      </x:c>
      <x:c r="N959" s="4"/>
      <x:c r="O959" s="4" t="str">
        <x:f>IFERROR(INDEX('Material routes'!$J$6:$J$2205,MATCH(U959,'Material routes'!$A$6:$A$2205,0)),"MISSING ID")</x:f>
        <x:v>Unspecified</x:v>
      </x:c>
      <x:c r="P959" s="4"/>
      <x:c r="Q959" s="4" t="str">
        <x:f>IFERROR(INDEX('Material routes'!$J$6:$J$2205,MATCH(V959,'Material routes'!$A$6:$A$2205,0)),"MISSING ID")</x:f>
        <x:v>Unspecified</x:v>
      </x:c>
      <x:c r="R959" s="4" t="str">
        <x:f>IF(L959="Withheld","Withheld premise",IF(E959="Tool candidate","Reusable prerequisite",IF(K959="Raw entry preparation","Entry-resource preparation",IF(G959="Not applicable",IF(IFERROR(INDEX('Items'!$AI$6:$AI$1005,MATCH(T959,'Items'!$A$6:$A$1005,0)),"MISSING ID")="Finished item","Finished endpoint",IF(IFERROR(INDEX('Items'!$AI$6:$AI$1005,MATCH(T959,'Items'!$A$6:$A$1005,0)),"MISSING ID")="Currency","Currency / no refinement tier","Recovered output / tier not applicable")),IF(OR(IFERROR(INDEX('Crafting recipes'!$H$6:$H$1005,MATCH(J959,'Crafting recipes'!$A$6:$A$1005,0)),"MISSING ID")="Unassigned",G959="Unassigned"),"Tier unresolved",IF(IFERROR(VALUE(RIGHT(G959,1))-VALUE(RIGHT(IFERROR(INDEX('Crafting recipes'!$H$6:$H$1005,MATCH(J959,'Crafting recipes'!$A$6:$A$1005,0)),"MISSING ID"),1)),0)=1,IF(B959=IFERROR(INDEX('Crafting recipes'!$H$6:$H$1005,MATCH(J959,'Crafting recipes'!$A$6:$A$1005,0)),"MISSING ID"),"Advances one material tier","Lower-tier ingredient; route advances one tier"),"Needs tier review"))))))</x:f>
        <x:v>Finished endpoint</x:v>
      </x:c>
      <x:c r="S959" s="4" t="str">
        <x:f>IFERROR(INDEX('Material routes'!$D$6:$D$2205,MATCH(U959,'Material routes'!$A$6:$A$2205,0)),"MISSING ID")</x:f>
        <x:v>proposal.ceramic.fastener</x:v>
      </x:c>
      <x:c r="T959" s="4" t="str">
        <x:f>IFERROR(INDEX('Material routes'!$D$6:$D$2205,MATCH(V959,'Material routes'!$A$6:$A$2205,0)),"MISSING ID")</x:f>
        <x:v>equipment.cloak</x:v>
      </x:c>
      <x:c r="U959" s="4" t="str">
        <x:v>design.audit.equipment_cloak.audit.in.3</x:v>
      </x:c>
      <x:c r="V959" s="4" t="str">
        <x:v>design.audit.equipment_cloak.audit.out</x:v>
      </x:c>
    </x:row>
    <x:row r="960" ht="64" customHeight="1">
      <x:c r="A960" s="4" t="str">
        <x:f>IFERROR(INDEX('Material routes'!$E$6:$E$2205,MATCH(U960,'Material routes'!$A$6:$A$2205,0)),"MISSING ID")</x:f>
        <x:v>Steel stock</x:v>
      </x:c>
      <x:c r="B960" s="4" t="str">
        <x:f>IFERROR(INDEX('Material routes'!$F$6:$F$2205,MATCH(U960,'Material routes'!$A$6:$A$2205,0)),"MISSING ID")</x:f>
        <x:v>T2</x:v>
      </x:c>
      <x:c r="C960" s="4" t="str">
        <x:f>IFERROR(INDEX('Material routes'!$H$6:$H$2205,MATCH(U960,'Material routes'!$A$6:$A$2205,0)),"MISSING ID")</x:f>
        <x:v>Processed material</x:v>
      </x:c>
      <x:c r="D960" s="4" t="str">
        <x:f>IFERROR(INDEX('Material routes'!$G$6:$G$2205,MATCH(U960,'Material routes'!$A$6:$A$2205,0)),"MISSING ID")</x:f>
        <x:v>Manufactured stock</x:v>
      </x:c>
      <x:c r="E960" s="4" t="str">
        <x:f>IFERROR(INDEX('Material routes'!$C$6:$C$2205,MATCH(U960,'Material routes'!$A$6:$A$2205,0)),"MISSING ID")</x:f>
        <x:v>Ingredient candidate</x:v>
      </x:c>
      <x:c r="F960" s="4" t="str">
        <x:f>IFERROR(INDEX('Material routes'!$E$6:$E$2205,MATCH(V960,'Material routes'!$A$6:$A$2205,0)),"MISSING ID")</x:f>
        <x:v>Digging shovel axe</x:v>
      </x:c>
      <x:c r="G960" s="4" t="str">
        <x:f>IFERROR(INDEX('Material routes'!$F$6:$F$2205,MATCH(V960,'Material routes'!$A$6:$A$2205,0)),"MISSING ID")</x:f>
        <x:v>Not applicable</x:v>
      </x:c>
      <x:c r="H960" s="4" t="str">
        <x:f>IFERROR(INDEX('Material routes'!$H$6:$H$2205,MATCH(V960,'Material routes'!$A$6:$A$2205,0)),"MISSING ID")</x:f>
        <x:v>Tool</x:v>
      </x:c>
      <x:c r="I960" s="4" t="str">
        <x:f>IFERROR(INDEX('Material routes'!$G$6:$G$2205,MATCH(V960,'Material routes'!$A$6:$A$2205,0)),"MISSING ID")</x:f>
        <x:v>Tools</x:v>
      </x:c>
      <x:c r="J960" s="4" t="str">
        <x:f>IFERROR(INDEX('Material routes'!$B$6:$B$2205,MATCH(U960,'Material routes'!$A$6:$A$2205,0)),"MISSING ID")</x:f>
        <x:v>design.audit.equipment_digging_tool</x:v>
      </x:c>
      <x:c r="K960" s="4" t="str">
        <x:f>IFERROR(INDEX('Crafting recipes'!$C$6:$C$1005,MATCH(J960,'Crafting recipes'!$A$6:$A$1005,0)),"MISSING ID")</x:f>
        <x:v>Finished-item crafting</x:v>
      </x:c>
      <x:c r="L960" s="4" t="str">
        <x:f>IFERROR(INDEX('Material routes'!$K$6:$K$2205,MATCH(U960,'Material routes'!$A$6:$A$2205,0)),"MISSING ID")</x:f>
        <x:v>Proposal</x:v>
      </x:c>
      <x:c r="M960" s="4" t="str">
        <x:f>IFERROR(INDEX('Material routes'!$M$6:$M$2205,MATCH(U960,'Material routes'!$A$6:$A$2205,0)),"MISSING ID")</x:f>
        <x:v>Partial proposal</x:v>
      </x:c>
      <x:c r="N960" s="4"/>
      <x:c r="O960" s="4" t="str">
        <x:f>IFERROR(INDEX('Material routes'!$J$6:$J$2205,MATCH(U960,'Material routes'!$A$6:$A$2205,0)),"MISSING ID")</x:f>
        <x:v>Unspecified</x:v>
      </x:c>
      <x:c r="P960" s="4"/>
      <x:c r="Q960" s="4" t="str">
        <x:f>IFERROR(INDEX('Material routes'!$J$6:$J$2205,MATCH(V960,'Material routes'!$A$6:$A$2205,0)),"MISSING ID")</x:f>
        <x:v>Unspecified</x:v>
      </x:c>
      <x:c r="R960" s="4" t="str">
        <x:f>IF(L960="Withheld","Withheld premise",IF(E960="Tool candidate","Reusable prerequisite",IF(K960="Raw entry preparation","Entry-resource preparation",IF(G960="Not applicable",IF(IFERROR(INDEX('Items'!$AI$6:$AI$1005,MATCH(T960,'Items'!$A$6:$A$1005,0)),"MISSING ID")="Finished item","Finished endpoint",IF(IFERROR(INDEX('Items'!$AI$6:$AI$1005,MATCH(T960,'Items'!$A$6:$A$1005,0)),"MISSING ID")="Currency","Currency / no refinement tier","Recovered output / tier not applicable")),IF(OR(IFERROR(INDEX('Crafting recipes'!$H$6:$H$1005,MATCH(J960,'Crafting recipes'!$A$6:$A$1005,0)),"MISSING ID")="Unassigned",G960="Unassigned"),"Tier unresolved",IF(IFERROR(VALUE(RIGHT(G960,1))-VALUE(RIGHT(IFERROR(INDEX('Crafting recipes'!$H$6:$H$1005,MATCH(J960,'Crafting recipes'!$A$6:$A$1005,0)),"MISSING ID"),1)),0)=1,IF(B960=IFERROR(INDEX('Crafting recipes'!$H$6:$H$1005,MATCH(J960,'Crafting recipes'!$A$6:$A$1005,0)),"MISSING ID"),"Advances one material tier","Lower-tier ingredient; route advances one tier"),"Needs tier review"))))))</x:f>
        <x:v>Finished endpoint</x:v>
      </x:c>
      <x:c r="S960" s="4" t="str">
        <x:f>IFERROR(INDEX('Material routes'!$D$6:$D$2205,MATCH(U960,'Material routes'!$A$6:$A$2205,0)),"MISSING ID")</x:f>
        <x:v>author.metallurgy.steel_stock</x:v>
      </x:c>
      <x:c r="T960" s="4" t="str">
        <x:f>IFERROR(INDEX('Material routes'!$D$6:$D$2205,MATCH(V960,'Material routes'!$A$6:$A$2205,0)),"MISSING ID")</x:f>
        <x:v>equipment.digging_tool</x:v>
      </x:c>
      <x:c r="U960" s="4" t="str">
        <x:v>design.audit.equipment_digging_tool.audit.in.1</x:v>
      </x:c>
      <x:c r="V960" s="4" t="str">
        <x:v>design.audit.equipment_digging_tool.audit.out</x:v>
      </x:c>
    </x:row>
    <x:row r="961" ht="64" customHeight="1">
      <x:c r="A961" s="4" t="str">
        <x:f>IFERROR(INDEX('Material routes'!$E$6:$E$2205,MATCH(U961,'Material routes'!$A$6:$A$2205,0)),"MISSING ID")</x:f>
        <x:v>Shaped metal grip blank</x:v>
      </x:c>
      <x:c r="B961" s="4" t="str">
        <x:f>IFERROR(INDEX('Material routes'!$F$6:$F$2205,MATCH(U961,'Material routes'!$A$6:$A$2205,0)),"MISSING ID")</x:f>
        <x:v>T3</x:v>
      </x:c>
      <x:c r="C961" s="4" t="str">
        <x:f>IFERROR(INDEX('Material routes'!$H$6:$H$2205,MATCH(U961,'Material routes'!$A$6:$A$2205,0)),"MISSING ID")</x:f>
        <x:v>Crafting component</x:v>
      </x:c>
      <x:c r="D961" s="4" t="str">
        <x:f>IFERROR(INDEX('Material routes'!$G$6:$G$2205,MATCH(U961,'Material routes'!$A$6:$A$2205,0)),"MISSING ID")</x:f>
        <x:v>Crafting components</x:v>
      </x:c>
      <x:c r="E961" s="4" t="str">
        <x:f>IFERROR(INDEX('Material routes'!$C$6:$C$2205,MATCH(U961,'Material routes'!$A$6:$A$2205,0)),"MISSING ID")</x:f>
        <x:v>Ingredient candidate</x:v>
      </x:c>
      <x:c r="F961" s="4" t="str">
        <x:f>IFERROR(INDEX('Material routes'!$E$6:$E$2205,MATCH(V961,'Material routes'!$A$6:$A$2205,0)),"MISSING ID")</x:f>
        <x:v>Digging shovel axe</x:v>
      </x:c>
      <x:c r="G961" s="4" t="str">
        <x:f>IFERROR(INDEX('Material routes'!$F$6:$F$2205,MATCH(V961,'Material routes'!$A$6:$A$2205,0)),"MISSING ID")</x:f>
        <x:v>Not applicable</x:v>
      </x:c>
      <x:c r="H961" s="4" t="str">
        <x:f>IFERROR(INDEX('Material routes'!$H$6:$H$2205,MATCH(V961,'Material routes'!$A$6:$A$2205,0)),"MISSING ID")</x:f>
        <x:v>Tool</x:v>
      </x:c>
      <x:c r="I961" s="4" t="str">
        <x:f>IFERROR(INDEX('Material routes'!$G$6:$G$2205,MATCH(V961,'Material routes'!$A$6:$A$2205,0)),"MISSING ID")</x:f>
        <x:v>Tools</x:v>
      </x:c>
      <x:c r="J961" s="4" t="str">
        <x:f>IFERROR(INDEX('Material routes'!$B$6:$B$2205,MATCH(U961,'Material routes'!$A$6:$A$2205,0)),"MISSING ID")</x:f>
        <x:v>design.audit.equipment_digging_tool</x:v>
      </x:c>
      <x:c r="K961" s="4" t="str">
        <x:f>IFERROR(INDEX('Crafting recipes'!$C$6:$C$1005,MATCH(J961,'Crafting recipes'!$A$6:$A$1005,0)),"MISSING ID")</x:f>
        <x:v>Finished-item crafting</x:v>
      </x:c>
      <x:c r="L961" s="4" t="str">
        <x:f>IFERROR(INDEX('Material routes'!$K$6:$K$2205,MATCH(U961,'Material routes'!$A$6:$A$2205,0)),"MISSING ID")</x:f>
        <x:v>Proposal</x:v>
      </x:c>
      <x:c r="M961" s="4" t="str">
        <x:f>IFERROR(INDEX('Material routes'!$M$6:$M$2205,MATCH(U961,'Material routes'!$A$6:$A$2205,0)),"MISSING ID")</x:f>
        <x:v>Partial proposal</x:v>
      </x:c>
      <x:c r="N961" s="4"/>
      <x:c r="O961" s="4" t="str">
        <x:f>IFERROR(INDEX('Material routes'!$J$6:$J$2205,MATCH(U961,'Material routes'!$A$6:$A$2205,0)),"MISSING ID")</x:f>
        <x:v>Unspecified</x:v>
      </x:c>
      <x:c r="P961" s="4"/>
      <x:c r="Q961" s="4" t="str">
        <x:f>IFERROR(INDEX('Material routes'!$J$6:$J$2205,MATCH(V961,'Material routes'!$A$6:$A$2205,0)),"MISSING ID")</x:f>
        <x:v>Unspecified</x:v>
      </x:c>
      <x:c r="R961" s="4" t="str">
        <x:f>IF(L961="Withheld","Withheld premise",IF(E961="Tool candidate","Reusable prerequisite",IF(K961="Raw entry preparation","Entry-resource preparation",IF(G961="Not applicable",IF(IFERROR(INDEX('Items'!$AI$6:$AI$1005,MATCH(T961,'Items'!$A$6:$A$1005,0)),"MISSING ID")="Finished item","Finished endpoint",IF(IFERROR(INDEX('Items'!$AI$6:$AI$1005,MATCH(T961,'Items'!$A$6:$A$1005,0)),"MISSING ID")="Currency","Currency / no refinement tier","Recovered output / tier not applicable")),IF(OR(IFERROR(INDEX('Crafting recipes'!$H$6:$H$1005,MATCH(J961,'Crafting recipes'!$A$6:$A$1005,0)),"MISSING ID")="Unassigned",G961="Unassigned"),"Tier unresolved",IF(IFERROR(VALUE(RIGHT(G961,1))-VALUE(RIGHT(IFERROR(INDEX('Crafting recipes'!$H$6:$H$1005,MATCH(J961,'Crafting recipes'!$A$6:$A$1005,0)),"MISSING ID"),1)),0)=1,IF(B961=IFERROR(INDEX('Crafting recipes'!$H$6:$H$1005,MATCH(J961,'Crafting recipes'!$A$6:$A$1005,0)),"MISSING ID"),"Advances one material tier","Lower-tier ingredient; route advances one tier"),"Needs tier review"))))))</x:f>
        <x:v>Finished endpoint</x:v>
      </x:c>
      <x:c r="S961" s="4" t="str">
        <x:f>IFERROR(INDEX('Material routes'!$D$6:$D$2205,MATCH(U961,'Material routes'!$A$6:$A$2205,0)),"MISSING ID")</x:f>
        <x:v>proposal.audit.shaped_metal_grip_blank</x:v>
      </x:c>
      <x:c r="T961" s="4" t="str">
        <x:f>IFERROR(INDEX('Material routes'!$D$6:$D$2205,MATCH(V961,'Material routes'!$A$6:$A$2205,0)),"MISSING ID")</x:f>
        <x:v>equipment.digging_tool</x:v>
      </x:c>
      <x:c r="U961" s="4" t="str">
        <x:v>design.audit.equipment_digging_tool.audit.in.2</x:v>
      </x:c>
      <x:c r="V961" s="4" t="str">
        <x:v>design.audit.equipment_digging_tool.audit.out</x:v>
      </x:c>
    </x:row>
    <x:row r="962" ht="64" customHeight="1">
      <x:c r="A962" s="4" t="str">
        <x:f>IFERROR(INDEX('Material routes'!$E$6:$E$2205,MATCH(U962,'Material routes'!$A$6:$A$2205,0)),"MISSING ID")</x:f>
        <x:v>Matched metal fastener set</x:v>
      </x:c>
      <x:c r="B962" s="4" t="str">
        <x:f>IFERROR(INDEX('Material routes'!$F$6:$F$2205,MATCH(U962,'Material routes'!$A$6:$A$2205,0)),"MISSING ID")</x:f>
        <x:v>T3</x:v>
      </x:c>
      <x:c r="C962" s="4" t="str">
        <x:f>IFERROR(INDEX('Material routes'!$H$6:$H$2205,MATCH(U962,'Material routes'!$A$6:$A$2205,0)),"MISSING ID")</x:f>
        <x:v>Crafting component</x:v>
      </x:c>
      <x:c r="D962" s="4" t="str">
        <x:f>IFERROR(INDEX('Material routes'!$G$6:$G$2205,MATCH(U962,'Material routes'!$A$6:$A$2205,0)),"MISSING ID")</x:f>
        <x:v>Crafting components</x:v>
      </x:c>
      <x:c r="E962" s="4" t="str">
        <x:f>IFERROR(INDEX('Material routes'!$C$6:$C$2205,MATCH(U962,'Material routes'!$A$6:$A$2205,0)),"MISSING ID")</x:f>
        <x:v>Ingredient candidate</x:v>
      </x:c>
      <x:c r="F962" s="4" t="str">
        <x:f>IFERROR(INDEX('Material routes'!$E$6:$E$2205,MATCH(V962,'Material routes'!$A$6:$A$2205,0)),"MISSING ID")</x:f>
        <x:v>Digging shovel axe</x:v>
      </x:c>
      <x:c r="G962" s="4" t="str">
        <x:f>IFERROR(INDEX('Material routes'!$F$6:$F$2205,MATCH(V962,'Material routes'!$A$6:$A$2205,0)),"MISSING ID")</x:f>
        <x:v>Not applicable</x:v>
      </x:c>
      <x:c r="H962" s="4" t="str">
        <x:f>IFERROR(INDEX('Material routes'!$H$6:$H$2205,MATCH(V962,'Material routes'!$A$6:$A$2205,0)),"MISSING ID")</x:f>
        <x:v>Tool</x:v>
      </x:c>
      <x:c r="I962" s="4" t="str">
        <x:f>IFERROR(INDEX('Material routes'!$G$6:$G$2205,MATCH(V962,'Material routes'!$A$6:$A$2205,0)),"MISSING ID")</x:f>
        <x:v>Tools</x:v>
      </x:c>
      <x:c r="J962" s="4" t="str">
        <x:f>IFERROR(INDEX('Material routes'!$B$6:$B$2205,MATCH(U962,'Material routes'!$A$6:$A$2205,0)),"MISSING ID")</x:f>
        <x:v>design.audit.equipment_digging_tool</x:v>
      </x:c>
      <x:c r="K962" s="4" t="str">
        <x:f>IFERROR(INDEX('Crafting recipes'!$C$6:$C$1005,MATCH(J962,'Crafting recipes'!$A$6:$A$1005,0)),"MISSING ID")</x:f>
        <x:v>Finished-item crafting</x:v>
      </x:c>
      <x:c r="L962" s="4" t="str">
        <x:f>IFERROR(INDEX('Material routes'!$K$6:$K$2205,MATCH(U962,'Material routes'!$A$6:$A$2205,0)),"MISSING ID")</x:f>
        <x:v>Proposal</x:v>
      </x:c>
      <x:c r="M962" s="4" t="str">
        <x:f>IFERROR(INDEX('Material routes'!$M$6:$M$2205,MATCH(U962,'Material routes'!$A$6:$A$2205,0)),"MISSING ID")</x:f>
        <x:v>Partial proposal</x:v>
      </x:c>
      <x:c r="N962" s="4"/>
      <x:c r="O962" s="4" t="str">
        <x:f>IFERROR(INDEX('Material routes'!$J$6:$J$2205,MATCH(U962,'Material routes'!$A$6:$A$2205,0)),"MISSING ID")</x:f>
        <x:v>Unspecified</x:v>
      </x:c>
      <x:c r="P962" s="4"/>
      <x:c r="Q962" s="4" t="str">
        <x:f>IFERROR(INDEX('Material routes'!$J$6:$J$2205,MATCH(V962,'Material routes'!$A$6:$A$2205,0)),"MISSING ID")</x:f>
        <x:v>Unspecified</x:v>
      </x:c>
      <x:c r="R962" s="4" t="str">
        <x:f>IF(L962="Withheld","Withheld premise",IF(E962="Tool candidate","Reusable prerequisite",IF(K962="Raw entry preparation","Entry-resource preparation",IF(G962="Not applicable",IF(IFERROR(INDEX('Items'!$AI$6:$AI$1005,MATCH(T962,'Items'!$A$6:$A$1005,0)),"MISSING ID")="Finished item","Finished endpoint",IF(IFERROR(INDEX('Items'!$AI$6:$AI$1005,MATCH(T962,'Items'!$A$6:$A$1005,0)),"MISSING ID")="Currency","Currency / no refinement tier","Recovered output / tier not applicable")),IF(OR(IFERROR(INDEX('Crafting recipes'!$H$6:$H$1005,MATCH(J962,'Crafting recipes'!$A$6:$A$1005,0)),"MISSING ID")="Unassigned",G962="Unassigned"),"Tier unresolved",IF(IFERROR(VALUE(RIGHT(G962,1))-VALUE(RIGHT(IFERROR(INDEX('Crafting recipes'!$H$6:$H$1005,MATCH(J962,'Crafting recipes'!$A$6:$A$1005,0)),"MISSING ID"),1)),0)=1,IF(B962=IFERROR(INDEX('Crafting recipes'!$H$6:$H$1005,MATCH(J962,'Crafting recipes'!$A$6:$A$1005,0)),"MISSING ID"),"Advances one material tier","Lower-tier ingredient; route advances one tier"),"Needs tier review"))))))</x:f>
        <x:v>Finished endpoint</x:v>
      </x:c>
      <x:c r="S962" s="4" t="str">
        <x:f>IFERROR(INDEX('Material routes'!$D$6:$D$2205,MATCH(U962,'Material routes'!$A$6:$A$2205,0)),"MISSING ID")</x:f>
        <x:v>proposal.lore.fastener_set</x:v>
      </x:c>
      <x:c r="T962" s="4" t="str">
        <x:f>IFERROR(INDEX('Material routes'!$D$6:$D$2205,MATCH(V962,'Material routes'!$A$6:$A$2205,0)),"MISSING ID")</x:f>
        <x:v>equipment.digging_tool</x:v>
      </x:c>
      <x:c r="U962" s="4" t="str">
        <x:v>design.audit.equipment_digging_tool.audit.in.3</x:v>
      </x:c>
      <x:c r="V962" s="4" t="str">
        <x:v>design.audit.equipment_digging_tool.audit.out</x:v>
      </x:c>
    </x:row>
    <x:row r="963" ht="64" customHeight="1">
      <x:c r="A963" s="4" t="str">
        <x:f>IFERROR(INDEX('Material routes'!$E$6:$E$2205,MATCH(U963,'Material routes'!$A$6:$A$2205,0)),"MISSING ID")</x:f>
        <x:v>Canister body blank</x:v>
      </x:c>
      <x:c r="B963" s="4" t="str">
        <x:f>IFERROR(INDEX('Material routes'!$F$6:$F$2205,MATCH(U963,'Material routes'!$A$6:$A$2205,0)),"MISSING ID")</x:f>
        <x:v>T3</x:v>
      </x:c>
      <x:c r="C963" s="4" t="str">
        <x:f>IFERROR(INDEX('Material routes'!$H$6:$H$2205,MATCH(U963,'Material routes'!$A$6:$A$2205,0)),"MISSING ID")</x:f>
        <x:v>Container part</x:v>
      </x:c>
      <x:c r="D963" s="4" t="str">
        <x:f>IFERROR(INDEX('Material routes'!$G$6:$G$2205,MATCH(U963,'Material routes'!$A$6:$A$2205,0)),"MISSING ID")</x:f>
        <x:v>Crafting components</x:v>
      </x:c>
      <x:c r="E963" s="4" t="str">
        <x:f>IFERROR(INDEX('Material routes'!$C$6:$C$2205,MATCH(U963,'Material routes'!$A$6:$A$2205,0)),"MISSING ID")</x:f>
        <x:v>Ingredient candidate</x:v>
      </x:c>
      <x:c r="F963" s="4" t="str">
        <x:f>IFERROR(INDEX('Material routes'!$E$6:$E$2205,MATCH(V963,'Material routes'!$A$6:$A$2205,0)),"MISSING ID")</x:f>
        <x:v>Dust canister</x:v>
      </x:c>
      <x:c r="G963" s="4" t="str">
        <x:f>IFERROR(INDEX('Material routes'!$F$6:$F$2205,MATCH(V963,'Material routes'!$A$6:$A$2205,0)),"MISSING ID")</x:f>
        <x:v>Not applicable</x:v>
      </x:c>
      <x:c r="H963" s="4" t="str">
        <x:f>IFERROR(INDEX('Material routes'!$H$6:$H$2205,MATCH(V963,'Material routes'!$A$6:$A$2205,0)),"MISSING ID")</x:f>
        <x:v>Tool</x:v>
      </x:c>
      <x:c r="I963" s="4" t="str">
        <x:f>IFERROR(INDEX('Material routes'!$G$6:$G$2205,MATCH(V963,'Material routes'!$A$6:$A$2205,0)),"MISSING ID")</x:f>
        <x:v>Tools</x:v>
      </x:c>
      <x:c r="J963" s="4" t="str">
        <x:f>IFERROR(INDEX('Material routes'!$B$6:$B$2205,MATCH(U963,'Material routes'!$A$6:$A$2205,0)),"MISSING ID")</x:f>
        <x:v>design.audit.tool_micro_dust_harvester</x:v>
      </x:c>
      <x:c r="K963" s="4" t="str">
        <x:f>IFERROR(INDEX('Crafting recipes'!$C$6:$C$1005,MATCH(J963,'Crafting recipes'!$A$6:$A$1005,0)),"MISSING ID")</x:f>
        <x:v>Finished-item crafting</x:v>
      </x:c>
      <x:c r="L963" s="4" t="str">
        <x:f>IFERROR(INDEX('Material routes'!$K$6:$K$2205,MATCH(U963,'Material routes'!$A$6:$A$2205,0)),"MISSING ID")</x:f>
        <x:v>Proposal</x:v>
      </x:c>
      <x:c r="M963" s="4" t="str">
        <x:f>IFERROR(INDEX('Material routes'!$M$6:$M$2205,MATCH(U963,'Material routes'!$A$6:$A$2205,0)),"MISSING ID")</x:f>
        <x:v>Partial proposal</x:v>
      </x:c>
      <x:c r="N963" s="4"/>
      <x:c r="O963" s="4" t="str">
        <x:f>IFERROR(INDEX('Material routes'!$J$6:$J$2205,MATCH(U963,'Material routes'!$A$6:$A$2205,0)),"MISSING ID")</x:f>
        <x:v>Unspecified</x:v>
      </x:c>
      <x:c r="P963" s="4"/>
      <x:c r="Q963" s="4" t="str">
        <x:f>IFERROR(INDEX('Material routes'!$J$6:$J$2205,MATCH(V963,'Material routes'!$A$6:$A$2205,0)),"MISSING ID")</x:f>
        <x:v>Unspecified</x:v>
      </x:c>
      <x:c r="R963" s="4" t="str">
        <x:f>IF(L963="Withheld","Withheld premise",IF(E963="Tool candidate","Reusable prerequisite",IF(K963="Raw entry preparation","Entry-resource preparation",IF(G963="Not applicable",IF(IFERROR(INDEX('Items'!$AI$6:$AI$1005,MATCH(T963,'Items'!$A$6:$A$1005,0)),"MISSING ID")="Finished item","Finished endpoint",IF(IFERROR(INDEX('Items'!$AI$6:$AI$1005,MATCH(T963,'Items'!$A$6:$A$1005,0)),"MISSING ID")="Currency","Currency / no refinement tier","Recovered output / tier not applicable")),IF(OR(IFERROR(INDEX('Crafting recipes'!$H$6:$H$1005,MATCH(J963,'Crafting recipes'!$A$6:$A$1005,0)),"MISSING ID")="Unassigned",G963="Unassigned"),"Tier unresolved",IF(IFERROR(VALUE(RIGHT(G963,1))-VALUE(RIGHT(IFERROR(INDEX('Crafting recipes'!$H$6:$H$1005,MATCH(J963,'Crafting recipes'!$A$6:$A$1005,0)),"MISSING ID"),1)),0)=1,IF(B963=IFERROR(INDEX('Crafting recipes'!$H$6:$H$1005,MATCH(J963,'Crafting recipes'!$A$6:$A$1005,0)),"MISSING ID"),"Advances one material tier","Lower-tier ingredient; route advances one tier"),"Needs tier review"))))))</x:f>
        <x:v>Finished endpoint</x:v>
      </x:c>
      <x:c r="S963" s="4" t="str">
        <x:f>IFERROR(INDEX('Material routes'!$D$6:$D$2205,MATCH(U963,'Material routes'!$A$6:$A$2205,0)),"MISSING ID")</x:f>
        <x:v>proposal.canister.body_blank</x:v>
      </x:c>
      <x:c r="T963" s="4" t="str">
        <x:f>IFERROR(INDEX('Material routes'!$D$6:$D$2205,MATCH(V963,'Material routes'!$A$6:$A$2205,0)),"MISSING ID")</x:f>
        <x:v>tool.micro_dust_harvester</x:v>
      </x:c>
      <x:c r="U963" s="4" t="str">
        <x:v>design.audit.tool_micro_dust_harvester.audit.in.1</x:v>
      </x:c>
      <x:c r="V963" s="4" t="str">
        <x:v>design.audit.tool_micro_dust_harvester.audit.out</x:v>
      </x:c>
    </x:row>
    <x:row r="964" ht="64" customHeight="1">
      <x:c r="A964" s="4" t="str">
        <x:f>IFERROR(INDEX('Material routes'!$E$6:$E$2205,MATCH(U964,'Material routes'!$A$6:$A$2205,0)),"MISSING ID")</x:f>
        <x:v>Ceramic vent labyrinth insert</x:v>
      </x:c>
      <x:c r="B964" s="4" t="str">
        <x:f>IFERROR(INDEX('Material routes'!$F$6:$F$2205,MATCH(U964,'Material routes'!$A$6:$A$2205,0)),"MISSING ID")</x:f>
        <x:v>T3</x:v>
      </x:c>
      <x:c r="C964" s="4" t="str">
        <x:f>IFERROR(INDEX('Material routes'!$H$6:$H$2205,MATCH(U964,'Material routes'!$A$6:$A$2205,0)),"MISSING ID")</x:f>
        <x:v>Container part</x:v>
      </x:c>
      <x:c r="D964" s="4" t="str">
        <x:f>IFERROR(INDEX('Material routes'!$G$6:$G$2205,MATCH(U964,'Material routes'!$A$6:$A$2205,0)),"MISSING ID")</x:f>
        <x:v>Crafting components</x:v>
      </x:c>
      <x:c r="E964" s="4" t="str">
        <x:f>IFERROR(INDEX('Material routes'!$C$6:$C$2205,MATCH(U964,'Material routes'!$A$6:$A$2205,0)),"MISSING ID")</x:f>
        <x:v>Ingredient candidate</x:v>
      </x:c>
      <x:c r="F964" s="4" t="str">
        <x:f>IFERROR(INDEX('Material routes'!$E$6:$E$2205,MATCH(V964,'Material routes'!$A$6:$A$2205,0)),"MISSING ID")</x:f>
        <x:v>Dust canister</x:v>
      </x:c>
      <x:c r="G964" s="4" t="str">
        <x:f>IFERROR(INDEX('Material routes'!$F$6:$F$2205,MATCH(V964,'Material routes'!$A$6:$A$2205,0)),"MISSING ID")</x:f>
        <x:v>Not applicable</x:v>
      </x:c>
      <x:c r="H964" s="4" t="str">
        <x:f>IFERROR(INDEX('Material routes'!$H$6:$H$2205,MATCH(V964,'Material routes'!$A$6:$A$2205,0)),"MISSING ID")</x:f>
        <x:v>Tool</x:v>
      </x:c>
      <x:c r="I964" s="4" t="str">
        <x:f>IFERROR(INDEX('Material routes'!$G$6:$G$2205,MATCH(V964,'Material routes'!$A$6:$A$2205,0)),"MISSING ID")</x:f>
        <x:v>Tools</x:v>
      </x:c>
      <x:c r="J964" s="4" t="str">
        <x:f>IFERROR(INDEX('Material routes'!$B$6:$B$2205,MATCH(U964,'Material routes'!$A$6:$A$2205,0)),"MISSING ID")</x:f>
        <x:v>design.audit.tool_micro_dust_harvester</x:v>
      </x:c>
      <x:c r="K964" s="4" t="str">
        <x:f>IFERROR(INDEX('Crafting recipes'!$C$6:$C$1005,MATCH(J964,'Crafting recipes'!$A$6:$A$1005,0)),"MISSING ID")</x:f>
        <x:v>Finished-item crafting</x:v>
      </x:c>
      <x:c r="L964" s="4" t="str">
        <x:f>IFERROR(INDEX('Material routes'!$K$6:$K$2205,MATCH(U964,'Material routes'!$A$6:$A$2205,0)),"MISSING ID")</x:f>
        <x:v>Proposal</x:v>
      </x:c>
      <x:c r="M964" s="4" t="str">
        <x:f>IFERROR(INDEX('Material routes'!$M$6:$M$2205,MATCH(U964,'Material routes'!$A$6:$A$2205,0)),"MISSING ID")</x:f>
        <x:v>Partial proposal</x:v>
      </x:c>
      <x:c r="N964" s="4"/>
      <x:c r="O964" s="4" t="str">
        <x:f>IFERROR(INDEX('Material routes'!$J$6:$J$2205,MATCH(U964,'Material routes'!$A$6:$A$2205,0)),"MISSING ID")</x:f>
        <x:v>Unspecified</x:v>
      </x:c>
      <x:c r="P964" s="4"/>
      <x:c r="Q964" s="4" t="str">
        <x:f>IFERROR(INDEX('Material routes'!$J$6:$J$2205,MATCH(V964,'Material routes'!$A$6:$A$2205,0)),"MISSING ID")</x:f>
        <x:v>Unspecified</x:v>
      </x:c>
      <x:c r="R964" s="4" t="str">
        <x:f>IF(L964="Withheld","Withheld premise",IF(E964="Tool candidate","Reusable prerequisite",IF(K964="Raw entry preparation","Entry-resource preparation",IF(G964="Not applicable",IF(IFERROR(INDEX('Items'!$AI$6:$AI$1005,MATCH(T964,'Items'!$A$6:$A$1005,0)),"MISSING ID")="Finished item","Finished endpoint",IF(IFERROR(INDEX('Items'!$AI$6:$AI$1005,MATCH(T964,'Items'!$A$6:$A$1005,0)),"MISSING ID")="Currency","Currency / no refinement tier","Recovered output / tier not applicable")),IF(OR(IFERROR(INDEX('Crafting recipes'!$H$6:$H$1005,MATCH(J964,'Crafting recipes'!$A$6:$A$1005,0)),"MISSING ID")="Unassigned",G964="Unassigned"),"Tier unresolved",IF(IFERROR(VALUE(RIGHT(G964,1))-VALUE(RIGHT(IFERROR(INDEX('Crafting recipes'!$H$6:$H$1005,MATCH(J964,'Crafting recipes'!$A$6:$A$1005,0)),"MISSING ID"),1)),0)=1,IF(B964=IFERROR(INDEX('Crafting recipes'!$H$6:$H$1005,MATCH(J964,'Crafting recipes'!$A$6:$A$1005,0)),"MISSING ID"),"Advances one material tier","Lower-tier ingredient; route advances one tier"),"Needs tier review"))))))</x:f>
        <x:v>Finished endpoint</x:v>
      </x:c>
      <x:c r="S964" s="4" t="str">
        <x:f>IFERROR(INDEX('Material routes'!$D$6:$D$2205,MATCH(U964,'Material routes'!$A$6:$A$2205,0)),"MISSING ID")</x:f>
        <x:v>proposal.collection.ceramic_vent_labyrinth_insert</x:v>
      </x:c>
      <x:c r="T964" s="4" t="str">
        <x:f>IFERROR(INDEX('Material routes'!$D$6:$D$2205,MATCH(V964,'Material routes'!$A$6:$A$2205,0)),"MISSING ID")</x:f>
        <x:v>tool.micro_dust_harvester</x:v>
      </x:c>
      <x:c r="U964" s="4" t="str">
        <x:v>design.audit.tool_micro_dust_harvester.audit.in.2</x:v>
      </x:c>
      <x:c r="V964" s="4" t="str">
        <x:v>design.audit.tool_micro_dust_harvester.audit.out</x:v>
      </x:c>
    </x:row>
    <x:row r="965" ht="64" customHeight="1">
      <x:c r="A965" s="4" t="str">
        <x:f>IFERROR(INDEX('Material routes'!$E$6:$E$2205,MATCH(U965,'Material routes'!$A$6:$A$2205,0)),"MISSING ID")</x:f>
        <x:v>Canister protective endcap</x:v>
      </x:c>
      <x:c r="B965" s="4" t="str">
        <x:f>IFERROR(INDEX('Material routes'!$F$6:$F$2205,MATCH(U965,'Material routes'!$A$6:$A$2205,0)),"MISSING ID")</x:f>
        <x:v>T3</x:v>
      </x:c>
      <x:c r="C965" s="4" t="str">
        <x:f>IFERROR(INDEX('Material routes'!$H$6:$H$2205,MATCH(U965,'Material routes'!$A$6:$A$2205,0)),"MISSING ID")</x:f>
        <x:v>Container part</x:v>
      </x:c>
      <x:c r="D965" s="4" t="str">
        <x:f>IFERROR(INDEX('Material routes'!$G$6:$G$2205,MATCH(U965,'Material routes'!$A$6:$A$2205,0)),"MISSING ID")</x:f>
        <x:v>Crafting components</x:v>
      </x:c>
      <x:c r="E965" s="4" t="str">
        <x:f>IFERROR(INDEX('Material routes'!$C$6:$C$2205,MATCH(U965,'Material routes'!$A$6:$A$2205,0)),"MISSING ID")</x:f>
        <x:v>Ingredient candidate</x:v>
      </x:c>
      <x:c r="F965" s="4" t="str">
        <x:f>IFERROR(INDEX('Material routes'!$E$6:$E$2205,MATCH(V965,'Material routes'!$A$6:$A$2205,0)),"MISSING ID")</x:f>
        <x:v>Dust canister</x:v>
      </x:c>
      <x:c r="G965" s="4" t="str">
        <x:f>IFERROR(INDEX('Material routes'!$F$6:$F$2205,MATCH(V965,'Material routes'!$A$6:$A$2205,0)),"MISSING ID")</x:f>
        <x:v>Not applicable</x:v>
      </x:c>
      <x:c r="H965" s="4" t="str">
        <x:f>IFERROR(INDEX('Material routes'!$H$6:$H$2205,MATCH(V965,'Material routes'!$A$6:$A$2205,0)),"MISSING ID")</x:f>
        <x:v>Tool</x:v>
      </x:c>
      <x:c r="I965" s="4" t="str">
        <x:f>IFERROR(INDEX('Material routes'!$G$6:$G$2205,MATCH(V965,'Material routes'!$A$6:$A$2205,0)),"MISSING ID")</x:f>
        <x:v>Tools</x:v>
      </x:c>
      <x:c r="J965" s="4" t="str">
        <x:f>IFERROR(INDEX('Material routes'!$B$6:$B$2205,MATCH(U965,'Material routes'!$A$6:$A$2205,0)),"MISSING ID")</x:f>
        <x:v>design.audit.tool_micro_dust_harvester</x:v>
      </x:c>
      <x:c r="K965" s="4" t="str">
        <x:f>IFERROR(INDEX('Crafting recipes'!$C$6:$C$1005,MATCH(J965,'Crafting recipes'!$A$6:$A$1005,0)),"MISSING ID")</x:f>
        <x:v>Finished-item crafting</x:v>
      </x:c>
      <x:c r="L965" s="4" t="str">
        <x:f>IFERROR(INDEX('Material routes'!$K$6:$K$2205,MATCH(U965,'Material routes'!$A$6:$A$2205,0)),"MISSING ID")</x:f>
        <x:v>Proposal</x:v>
      </x:c>
      <x:c r="M965" s="4" t="str">
        <x:f>IFERROR(INDEX('Material routes'!$M$6:$M$2205,MATCH(U965,'Material routes'!$A$6:$A$2205,0)),"MISSING ID")</x:f>
        <x:v>Partial proposal</x:v>
      </x:c>
      <x:c r="N965" s="4"/>
      <x:c r="O965" s="4" t="str">
        <x:f>IFERROR(INDEX('Material routes'!$J$6:$J$2205,MATCH(U965,'Material routes'!$A$6:$A$2205,0)),"MISSING ID")</x:f>
        <x:v>Unspecified</x:v>
      </x:c>
      <x:c r="P965" s="4"/>
      <x:c r="Q965" s="4" t="str">
        <x:f>IFERROR(INDEX('Material routes'!$J$6:$J$2205,MATCH(V965,'Material routes'!$A$6:$A$2205,0)),"MISSING ID")</x:f>
        <x:v>Unspecified</x:v>
      </x:c>
      <x:c r="R965" s="4" t="str">
        <x:f>IF(L965="Withheld","Withheld premise",IF(E965="Tool candidate","Reusable prerequisite",IF(K965="Raw entry preparation","Entry-resource preparation",IF(G965="Not applicable",IF(IFERROR(INDEX('Items'!$AI$6:$AI$1005,MATCH(T965,'Items'!$A$6:$A$1005,0)),"MISSING ID")="Finished item","Finished endpoint",IF(IFERROR(INDEX('Items'!$AI$6:$AI$1005,MATCH(T965,'Items'!$A$6:$A$1005,0)),"MISSING ID")="Currency","Currency / no refinement tier","Recovered output / tier not applicable")),IF(OR(IFERROR(INDEX('Crafting recipes'!$H$6:$H$1005,MATCH(J965,'Crafting recipes'!$A$6:$A$1005,0)),"MISSING ID")="Unassigned",G965="Unassigned"),"Tier unresolved",IF(IFERROR(VALUE(RIGHT(G965,1))-VALUE(RIGHT(IFERROR(INDEX('Crafting recipes'!$H$6:$H$1005,MATCH(J965,'Crafting recipes'!$A$6:$A$1005,0)),"MISSING ID"),1)),0)=1,IF(B965=IFERROR(INDEX('Crafting recipes'!$H$6:$H$1005,MATCH(J965,'Crafting recipes'!$A$6:$A$1005,0)),"MISSING ID"),"Advances one material tier","Lower-tier ingredient; route advances one tier"),"Needs tier review"))))))</x:f>
        <x:v>Finished endpoint</x:v>
      </x:c>
      <x:c r="S965" s="4" t="str">
        <x:f>IFERROR(INDEX('Material routes'!$D$6:$D$2205,MATCH(U965,'Material routes'!$A$6:$A$2205,0)),"MISSING ID")</x:f>
        <x:v>proposal.canister.endcap</x:v>
      </x:c>
      <x:c r="T965" s="4" t="str">
        <x:f>IFERROR(INDEX('Material routes'!$D$6:$D$2205,MATCH(V965,'Material routes'!$A$6:$A$2205,0)),"MISSING ID")</x:f>
        <x:v>tool.micro_dust_harvester</x:v>
      </x:c>
      <x:c r="U965" s="4" t="str">
        <x:v>design.audit.tool_micro_dust_harvester.audit.in.3</x:v>
      </x:c>
      <x:c r="V965" s="4" t="str">
        <x:v>design.audit.tool_micro_dust_harvester.audit.out</x:v>
      </x:c>
    </x:row>
    <x:row r="966" ht="64" customHeight="1">
      <x:c r="A966" s="4" t="str">
        <x:f>IFERROR(INDEX('Material routes'!$E$6:$E$2205,MATCH(U966,'Material routes'!$A$6:$A$2205,0)),"MISSING ID")</x:f>
        <x:v>Canister mounting bracket</x:v>
      </x:c>
      <x:c r="B966" s="4" t="str">
        <x:f>IFERROR(INDEX('Material routes'!$F$6:$F$2205,MATCH(U966,'Material routes'!$A$6:$A$2205,0)),"MISSING ID")</x:f>
        <x:v>T3</x:v>
      </x:c>
      <x:c r="C966" s="4" t="str">
        <x:f>IFERROR(INDEX('Material routes'!$H$6:$H$2205,MATCH(U966,'Material routes'!$A$6:$A$2205,0)),"MISSING ID")</x:f>
        <x:v>Container part</x:v>
      </x:c>
      <x:c r="D966" s="4" t="str">
        <x:f>IFERROR(INDEX('Material routes'!$G$6:$G$2205,MATCH(U966,'Material routes'!$A$6:$A$2205,0)),"MISSING ID")</x:f>
        <x:v>Crafting components</x:v>
      </x:c>
      <x:c r="E966" s="4" t="str">
        <x:f>IFERROR(INDEX('Material routes'!$C$6:$C$2205,MATCH(U966,'Material routes'!$A$6:$A$2205,0)),"MISSING ID")</x:f>
        <x:v>Ingredient candidate</x:v>
      </x:c>
      <x:c r="F966" s="4" t="str">
        <x:f>IFERROR(INDEX('Material routes'!$E$6:$E$2205,MATCH(V966,'Material routes'!$A$6:$A$2205,0)),"MISSING ID")</x:f>
        <x:v>Dust canister</x:v>
      </x:c>
      <x:c r="G966" s="4" t="str">
        <x:f>IFERROR(INDEX('Material routes'!$F$6:$F$2205,MATCH(V966,'Material routes'!$A$6:$A$2205,0)),"MISSING ID")</x:f>
        <x:v>Not applicable</x:v>
      </x:c>
      <x:c r="H966" s="4" t="str">
        <x:f>IFERROR(INDEX('Material routes'!$H$6:$H$2205,MATCH(V966,'Material routes'!$A$6:$A$2205,0)),"MISSING ID")</x:f>
        <x:v>Tool</x:v>
      </x:c>
      <x:c r="I966" s="4" t="str">
        <x:f>IFERROR(INDEX('Material routes'!$G$6:$G$2205,MATCH(V966,'Material routes'!$A$6:$A$2205,0)),"MISSING ID")</x:f>
        <x:v>Tools</x:v>
      </x:c>
      <x:c r="J966" s="4" t="str">
        <x:f>IFERROR(INDEX('Material routes'!$B$6:$B$2205,MATCH(U966,'Material routes'!$A$6:$A$2205,0)),"MISSING ID")</x:f>
        <x:v>design.audit.tool_micro_dust_harvester</x:v>
      </x:c>
      <x:c r="K966" s="4" t="str">
        <x:f>IFERROR(INDEX('Crafting recipes'!$C$6:$C$1005,MATCH(J966,'Crafting recipes'!$A$6:$A$1005,0)),"MISSING ID")</x:f>
        <x:v>Finished-item crafting</x:v>
      </x:c>
      <x:c r="L966" s="4" t="str">
        <x:f>IFERROR(INDEX('Material routes'!$K$6:$K$2205,MATCH(U966,'Material routes'!$A$6:$A$2205,0)),"MISSING ID")</x:f>
        <x:v>Proposal</x:v>
      </x:c>
      <x:c r="M966" s="4" t="str">
        <x:f>IFERROR(INDEX('Material routes'!$M$6:$M$2205,MATCH(U966,'Material routes'!$A$6:$A$2205,0)),"MISSING ID")</x:f>
        <x:v>Partial proposal</x:v>
      </x:c>
      <x:c r="N966" s="4"/>
      <x:c r="O966" s="4" t="str">
        <x:f>IFERROR(INDEX('Material routes'!$J$6:$J$2205,MATCH(U966,'Material routes'!$A$6:$A$2205,0)),"MISSING ID")</x:f>
        <x:v>Unspecified</x:v>
      </x:c>
      <x:c r="P966" s="4"/>
      <x:c r="Q966" s="4" t="str">
        <x:f>IFERROR(INDEX('Material routes'!$J$6:$J$2205,MATCH(V966,'Material routes'!$A$6:$A$2205,0)),"MISSING ID")</x:f>
        <x:v>Unspecified</x:v>
      </x:c>
      <x:c r="R966" s="4" t="str">
        <x:f>IF(L966="Withheld","Withheld premise",IF(E966="Tool candidate","Reusable prerequisite",IF(K966="Raw entry preparation","Entry-resource preparation",IF(G966="Not applicable",IF(IFERROR(INDEX('Items'!$AI$6:$AI$1005,MATCH(T966,'Items'!$A$6:$A$1005,0)),"MISSING ID")="Finished item","Finished endpoint",IF(IFERROR(INDEX('Items'!$AI$6:$AI$1005,MATCH(T966,'Items'!$A$6:$A$1005,0)),"MISSING ID")="Currency","Currency / no refinement tier","Recovered output / tier not applicable")),IF(OR(IFERROR(INDEX('Crafting recipes'!$H$6:$H$1005,MATCH(J966,'Crafting recipes'!$A$6:$A$1005,0)),"MISSING ID")="Unassigned",G966="Unassigned"),"Tier unresolved",IF(IFERROR(VALUE(RIGHT(G966,1))-VALUE(RIGHT(IFERROR(INDEX('Crafting recipes'!$H$6:$H$1005,MATCH(J966,'Crafting recipes'!$A$6:$A$1005,0)),"MISSING ID"),1)),0)=1,IF(B966=IFERROR(INDEX('Crafting recipes'!$H$6:$H$1005,MATCH(J966,'Crafting recipes'!$A$6:$A$1005,0)),"MISSING ID"),"Advances one material tier","Lower-tier ingredient; route advances one tier"),"Needs tier review"))))))</x:f>
        <x:v>Finished endpoint</x:v>
      </x:c>
      <x:c r="S966" s="4" t="str">
        <x:f>IFERROR(INDEX('Material routes'!$D$6:$D$2205,MATCH(U966,'Material routes'!$A$6:$A$2205,0)),"MISSING ID")</x:f>
        <x:v>proposal.canister.mount</x:v>
      </x:c>
      <x:c r="T966" s="4" t="str">
        <x:f>IFERROR(INDEX('Material routes'!$D$6:$D$2205,MATCH(V966,'Material routes'!$A$6:$A$2205,0)),"MISSING ID")</x:f>
        <x:v>tool.micro_dust_harvester</x:v>
      </x:c>
      <x:c r="U966" s="4" t="str">
        <x:v>design.audit.tool_micro_dust_harvester.audit.in.4</x:v>
      </x:c>
      <x:c r="V966" s="4" t="str">
        <x:v>design.audit.tool_micro_dust_harvester.audit.out</x:v>
      </x:c>
    </x:row>
    <x:row r="967" ht="64" customHeight="1">
      <x:c r="A967" s="4" t="str">
        <x:f>IFERROR(INDEX('Material routes'!$E$6:$E$2205,MATCH(U967,'Material routes'!$A$6:$A$2205,0)),"MISSING ID")</x:f>
        <x:v>Steel stock</x:v>
      </x:c>
      <x:c r="B967" s="4" t="str">
        <x:f>IFERROR(INDEX('Material routes'!$F$6:$F$2205,MATCH(U967,'Material routes'!$A$6:$A$2205,0)),"MISSING ID")</x:f>
        <x:v>T2</x:v>
      </x:c>
      <x:c r="C967" s="4" t="str">
        <x:f>IFERROR(INDEX('Material routes'!$H$6:$H$2205,MATCH(U967,'Material routes'!$A$6:$A$2205,0)),"MISSING ID")</x:f>
        <x:v>Processed material</x:v>
      </x:c>
      <x:c r="D967" s="4" t="str">
        <x:f>IFERROR(INDEX('Material routes'!$G$6:$G$2205,MATCH(U967,'Material routes'!$A$6:$A$2205,0)),"MISSING ID")</x:f>
        <x:v>Manufactured stock</x:v>
      </x:c>
      <x:c r="E967" s="4" t="str">
        <x:f>IFERROR(INDEX('Material routes'!$C$6:$C$2205,MATCH(U967,'Material routes'!$A$6:$A$2205,0)),"MISSING ID")</x:f>
        <x:v>Ingredient candidate</x:v>
      </x:c>
      <x:c r="F967" s="4" t="str">
        <x:f>IFERROR(INDEX('Material routes'!$E$6:$E$2205,MATCH(V967,'Material routes'!$A$6:$A$2205,0)),"MISSING ID")</x:f>
        <x:v>Grappling hook</x:v>
      </x:c>
      <x:c r="G967" s="4" t="str">
        <x:f>IFERROR(INDEX('Material routes'!$F$6:$F$2205,MATCH(V967,'Material routes'!$A$6:$A$2205,0)),"MISSING ID")</x:f>
        <x:v>Not applicable</x:v>
      </x:c>
      <x:c r="H967" s="4" t="str">
        <x:f>IFERROR(INDEX('Material routes'!$H$6:$H$2205,MATCH(V967,'Material routes'!$A$6:$A$2205,0)),"MISSING ID")</x:f>
        <x:v>Tool</x:v>
      </x:c>
      <x:c r="I967" s="4" t="str">
        <x:f>IFERROR(INDEX('Material routes'!$G$6:$G$2205,MATCH(V967,'Material routes'!$A$6:$A$2205,0)),"MISSING ID")</x:f>
        <x:v>Tools</x:v>
      </x:c>
      <x:c r="J967" s="4" t="str">
        <x:f>IFERROR(INDEX('Material routes'!$B$6:$B$2205,MATCH(U967,'Material routes'!$A$6:$A$2205,0)),"MISSING ID")</x:f>
        <x:v>design.audit.equipment_grappling_hook</x:v>
      </x:c>
      <x:c r="K967" s="4" t="str">
        <x:f>IFERROR(INDEX('Crafting recipes'!$C$6:$C$1005,MATCH(J967,'Crafting recipes'!$A$6:$A$1005,0)),"MISSING ID")</x:f>
        <x:v>Finished-item crafting</x:v>
      </x:c>
      <x:c r="L967" s="4" t="str">
        <x:f>IFERROR(INDEX('Material routes'!$K$6:$K$2205,MATCH(U967,'Material routes'!$A$6:$A$2205,0)),"MISSING ID")</x:f>
        <x:v>Proposal</x:v>
      </x:c>
      <x:c r="M967" s="4" t="str">
        <x:f>IFERROR(INDEX('Material routes'!$M$6:$M$2205,MATCH(U967,'Material routes'!$A$6:$A$2205,0)),"MISSING ID")</x:f>
        <x:v>Partial proposal</x:v>
      </x:c>
      <x:c r="N967" s="4"/>
      <x:c r="O967" s="4" t="str">
        <x:f>IFERROR(INDEX('Material routes'!$J$6:$J$2205,MATCH(U967,'Material routes'!$A$6:$A$2205,0)),"MISSING ID")</x:f>
        <x:v>Unspecified</x:v>
      </x:c>
      <x:c r="P967" s="4"/>
      <x:c r="Q967" s="4" t="str">
        <x:f>IFERROR(INDEX('Material routes'!$J$6:$J$2205,MATCH(V967,'Material routes'!$A$6:$A$2205,0)),"MISSING ID")</x:f>
        <x:v>Unspecified</x:v>
      </x:c>
      <x:c r="R967" s="4" t="str">
        <x:f>IF(L967="Withheld","Withheld premise",IF(E967="Tool candidate","Reusable prerequisite",IF(K967="Raw entry preparation","Entry-resource preparation",IF(G967="Not applicable",IF(IFERROR(INDEX('Items'!$AI$6:$AI$1005,MATCH(T967,'Items'!$A$6:$A$1005,0)),"MISSING ID")="Finished item","Finished endpoint",IF(IFERROR(INDEX('Items'!$AI$6:$AI$1005,MATCH(T967,'Items'!$A$6:$A$1005,0)),"MISSING ID")="Currency","Currency / no refinement tier","Recovered output / tier not applicable")),IF(OR(IFERROR(INDEX('Crafting recipes'!$H$6:$H$1005,MATCH(J967,'Crafting recipes'!$A$6:$A$1005,0)),"MISSING ID")="Unassigned",G967="Unassigned"),"Tier unresolved",IF(IFERROR(VALUE(RIGHT(G967,1))-VALUE(RIGHT(IFERROR(INDEX('Crafting recipes'!$H$6:$H$1005,MATCH(J967,'Crafting recipes'!$A$6:$A$1005,0)),"MISSING ID"),1)),0)=1,IF(B967=IFERROR(INDEX('Crafting recipes'!$H$6:$H$1005,MATCH(J967,'Crafting recipes'!$A$6:$A$1005,0)),"MISSING ID"),"Advances one material tier","Lower-tier ingredient; route advances one tier"),"Needs tier review"))))))</x:f>
        <x:v>Finished endpoint</x:v>
      </x:c>
      <x:c r="S967" s="4" t="str">
        <x:f>IFERROR(INDEX('Material routes'!$D$6:$D$2205,MATCH(U967,'Material routes'!$A$6:$A$2205,0)),"MISSING ID")</x:f>
        <x:v>author.metallurgy.steel_stock</x:v>
      </x:c>
      <x:c r="T967" s="4" t="str">
        <x:f>IFERROR(INDEX('Material routes'!$D$6:$D$2205,MATCH(V967,'Material routes'!$A$6:$A$2205,0)),"MISSING ID")</x:f>
        <x:v>equipment.grappling_hook</x:v>
      </x:c>
      <x:c r="U967" s="4" t="str">
        <x:v>design.audit.equipment_grappling_hook.audit.in.1</x:v>
      </x:c>
      <x:c r="V967" s="4" t="str">
        <x:v>design.audit.equipment_grappling_hook.audit.out</x:v>
      </x:c>
    </x:row>
    <x:row r="968" ht="64" customHeight="1">
      <x:c r="A968" s="4" t="str">
        <x:f>IFERROR(INDEX('Material routes'!$E$6:$E$2205,MATCH(U968,'Material routes'!$A$6:$A$2205,0)),"MISSING ID")</x:f>
        <x:v>Tendon cord</x:v>
      </x:c>
      <x:c r="B968" s="4" t="str">
        <x:f>IFERROR(INDEX('Material routes'!$F$6:$F$2205,MATCH(U968,'Material routes'!$A$6:$A$2205,0)),"MISSING ID")</x:f>
        <x:v>T1</x:v>
      </x:c>
      <x:c r="C968" s="4" t="str">
        <x:f>IFERROR(INDEX('Material routes'!$H$6:$H$2205,MATCH(U968,'Material routes'!$A$6:$A$2205,0)),"MISSING ID")</x:f>
        <x:v>Crafting component</x:v>
      </x:c>
      <x:c r="D968" s="4" t="str">
        <x:f>IFERROR(INDEX('Material routes'!$G$6:$G$2205,MATCH(U968,'Material routes'!$A$6:$A$2205,0)),"MISSING ID")</x:f>
        <x:v>Crafting components</x:v>
      </x:c>
      <x:c r="E968" s="4" t="str">
        <x:f>IFERROR(INDEX('Material routes'!$C$6:$C$2205,MATCH(U968,'Material routes'!$A$6:$A$2205,0)),"MISSING ID")</x:f>
        <x:v>Ingredient candidate</x:v>
      </x:c>
      <x:c r="F968" s="4" t="str">
        <x:f>IFERROR(INDEX('Material routes'!$E$6:$E$2205,MATCH(V968,'Material routes'!$A$6:$A$2205,0)),"MISSING ID")</x:f>
        <x:v>Grappling hook</x:v>
      </x:c>
      <x:c r="G968" s="4" t="str">
        <x:f>IFERROR(INDEX('Material routes'!$F$6:$F$2205,MATCH(V968,'Material routes'!$A$6:$A$2205,0)),"MISSING ID")</x:f>
        <x:v>Not applicable</x:v>
      </x:c>
      <x:c r="H968" s="4" t="str">
        <x:f>IFERROR(INDEX('Material routes'!$H$6:$H$2205,MATCH(V968,'Material routes'!$A$6:$A$2205,0)),"MISSING ID")</x:f>
        <x:v>Tool</x:v>
      </x:c>
      <x:c r="I968" s="4" t="str">
        <x:f>IFERROR(INDEX('Material routes'!$G$6:$G$2205,MATCH(V968,'Material routes'!$A$6:$A$2205,0)),"MISSING ID")</x:f>
        <x:v>Tools</x:v>
      </x:c>
      <x:c r="J968" s="4" t="str">
        <x:f>IFERROR(INDEX('Material routes'!$B$6:$B$2205,MATCH(U968,'Material routes'!$A$6:$A$2205,0)),"MISSING ID")</x:f>
        <x:v>design.audit.equipment_grappling_hook</x:v>
      </x:c>
      <x:c r="K968" s="4" t="str">
        <x:f>IFERROR(INDEX('Crafting recipes'!$C$6:$C$1005,MATCH(J968,'Crafting recipes'!$A$6:$A$1005,0)),"MISSING ID")</x:f>
        <x:v>Finished-item crafting</x:v>
      </x:c>
      <x:c r="L968" s="4" t="str">
        <x:f>IFERROR(INDEX('Material routes'!$K$6:$K$2205,MATCH(U968,'Material routes'!$A$6:$A$2205,0)),"MISSING ID")</x:f>
        <x:v>Proposal</x:v>
      </x:c>
      <x:c r="M968" s="4" t="str">
        <x:f>IFERROR(INDEX('Material routes'!$M$6:$M$2205,MATCH(U968,'Material routes'!$A$6:$A$2205,0)),"MISSING ID")</x:f>
        <x:v>Partial proposal</x:v>
      </x:c>
      <x:c r="N968" s="4"/>
      <x:c r="O968" s="4" t="str">
        <x:f>IFERROR(INDEX('Material routes'!$J$6:$J$2205,MATCH(U968,'Material routes'!$A$6:$A$2205,0)),"MISSING ID")</x:f>
        <x:v>Unspecified</x:v>
      </x:c>
      <x:c r="P968" s="4"/>
      <x:c r="Q968" s="4" t="str">
        <x:f>IFERROR(INDEX('Material routes'!$J$6:$J$2205,MATCH(V968,'Material routes'!$A$6:$A$2205,0)),"MISSING ID")</x:f>
        <x:v>Unspecified</x:v>
      </x:c>
      <x:c r="R968" s="4" t="str">
        <x:f>IF(L968="Withheld","Withheld premise",IF(E968="Tool candidate","Reusable prerequisite",IF(K968="Raw entry preparation","Entry-resource preparation",IF(G968="Not applicable",IF(IFERROR(INDEX('Items'!$AI$6:$AI$1005,MATCH(T968,'Items'!$A$6:$A$1005,0)),"MISSING ID")="Finished item","Finished endpoint",IF(IFERROR(INDEX('Items'!$AI$6:$AI$1005,MATCH(T968,'Items'!$A$6:$A$1005,0)),"MISSING ID")="Currency","Currency / no refinement tier","Recovered output / tier not applicable")),IF(OR(IFERROR(INDEX('Crafting recipes'!$H$6:$H$1005,MATCH(J968,'Crafting recipes'!$A$6:$A$1005,0)),"MISSING ID")="Unassigned",G968="Unassigned"),"Tier unresolved",IF(IFERROR(VALUE(RIGHT(G968,1))-VALUE(RIGHT(IFERROR(INDEX('Crafting recipes'!$H$6:$H$1005,MATCH(J968,'Crafting recipes'!$A$6:$A$1005,0)),"MISSING ID"),1)),0)=1,IF(B968=IFERROR(INDEX('Crafting recipes'!$H$6:$H$1005,MATCH(J968,'Crafting recipes'!$A$6:$A$1005,0)),"MISSING ID"),"Advances one material tier","Lower-tier ingredient; route advances one tier"),"Needs tier review"))))))</x:f>
        <x:v>Finished endpoint</x:v>
      </x:c>
      <x:c r="S968" s="4" t="str">
        <x:f>IFERROR(INDEX('Material routes'!$D$6:$D$2205,MATCH(U968,'Material routes'!$A$6:$A$2205,0)),"MISSING ID")</x:f>
        <x:v>proposal.bio.cord</x:v>
      </x:c>
      <x:c r="T968" s="4" t="str">
        <x:f>IFERROR(INDEX('Material routes'!$D$6:$D$2205,MATCH(V968,'Material routes'!$A$6:$A$2205,0)),"MISSING ID")</x:f>
        <x:v>equipment.grappling_hook</x:v>
      </x:c>
      <x:c r="U968" s="4" t="str">
        <x:v>design.audit.equipment_grappling_hook.audit.in.2</x:v>
      </x:c>
      <x:c r="V968" s="4" t="str">
        <x:v>design.audit.equipment_grappling_hook.audit.out</x:v>
      </x:c>
    </x:row>
    <x:row r="969" ht="64" customHeight="1">
      <x:c r="A969" s="4"/>
      <x:c r="B969" s="4"/>
      <x:c r="C969" s="4"/>
      <x:c r="D969" s="4"/>
      <x:c r="E969" s="4"/>
      <x:c r="F969" s="4"/>
      <x:c r="G969" s="4"/>
      <x:c r="H969" s="4"/>
      <x:c r="I969" s="4"/>
      <x:c r="J969" s="4"/>
      <x:c r="K969" s="4"/>
      <x:c r="L969" s="4"/>
      <x:c r="M969" s="4"/>
      <x:c r="N969" s="4"/>
      <x:c r="O969" s="4"/>
      <x:c r="P969" s="4"/>
      <x:c r="Q969" s="4"/>
      <x:c r="R969" s="4"/>
      <x:c r="S969" s="4"/>
      <x:c r="T969" s="4"/>
      <x:c r="U969" s="4"/>
      <x:c r="V969" s="4"/>
    </x:row>
    <x:row r="970" ht="64" customHeight="1">
      <x:c r="A970" s="4"/>
      <x:c r="B970" s="4"/>
      <x:c r="C970" s="4"/>
      <x:c r="D970" s="4"/>
      <x:c r="E970" s="4"/>
      <x:c r="F970" s="4"/>
      <x:c r="G970" s="4"/>
      <x:c r="H970" s="4"/>
      <x:c r="I970" s="4"/>
      <x:c r="J970" s="4"/>
      <x:c r="K970" s="4"/>
      <x:c r="L970" s="4"/>
      <x:c r="M970" s="4"/>
      <x:c r="N970" s="4"/>
      <x:c r="O970" s="4"/>
      <x:c r="P970" s="4"/>
      <x:c r="Q970" s="4"/>
      <x:c r="R970" s="4"/>
      <x:c r="S970" s="4"/>
      <x:c r="T970" s="4"/>
      <x:c r="U970" s="4"/>
      <x:c r="V970" s="4"/>
    </x:row>
    <x:row r="971" ht="64" customHeight="1">
      <x:c r="A971" s="4"/>
      <x:c r="B971" s="4"/>
      <x:c r="C971" s="4"/>
      <x:c r="D971" s="4"/>
      <x:c r="E971" s="4"/>
      <x:c r="F971" s="4"/>
      <x:c r="G971" s="4"/>
      <x:c r="H971" s="4"/>
      <x:c r="I971" s="4"/>
      <x:c r="J971" s="4"/>
      <x:c r="K971" s="4"/>
      <x:c r="L971" s="4"/>
      <x:c r="M971" s="4"/>
      <x:c r="N971" s="4"/>
      <x:c r="O971" s="4"/>
      <x:c r="P971" s="4"/>
      <x:c r="Q971" s="4"/>
      <x:c r="R971" s="4"/>
      <x:c r="S971" s="4"/>
      <x:c r="T971" s="4"/>
      <x:c r="U971" s="4"/>
      <x:c r="V971" s="4"/>
    </x:row>
    <x:row r="972" ht="64" customHeight="1">
      <x:c r="A972" s="4" t="str">
        <x:f>IFERROR(INDEX('Material routes'!$E$6:$E$2205,MATCH(U972,'Material routes'!$A$6:$A$2205,0)),"MISSING ID")</x:f>
        <x:v>Folding vertical wing shade</x:v>
      </x:c>
      <x:c r="B972" s="4" t="str">
        <x:f>IFERROR(INDEX('Material routes'!$F$6:$F$2205,MATCH(U972,'Material routes'!$A$6:$A$2205,0)),"MISSING ID")</x:f>
        <x:v>Not applicable</x:v>
      </x:c>
      <x:c r="C972" s="4" t="str">
        <x:f>IFERROR(INDEX('Material routes'!$H$6:$H$2205,MATCH(U972,'Material routes'!$A$6:$A$2205,0)),"MISSING ID")</x:f>
        <x:v>Shelter item</x:v>
      </x:c>
      <x:c r="D972" s="4" t="str">
        <x:f>IFERROR(INDEX('Material routes'!$G$6:$G$2205,MATCH(U972,'Material routes'!$A$6:$A$2205,0)),"MISSING ID")</x:f>
        <x:v>Salvage</x:v>
      </x:c>
      <x:c r="E972" s="4" t="str">
        <x:f>IFERROR(INDEX('Material routes'!$C$6:$C$2205,MATCH(U972,'Material routes'!$A$6:$A$2205,0)),"MISSING ID")</x:f>
        <x:v>Ingredient candidate</x:v>
      </x:c>
      <x:c r="F972" s="4" t="str">
        <x:f>IFERROR(INDEX('Material routes'!$E$6:$E$2205,MATCH(V972,'Material routes'!$A$6:$A$2205,0)),"MISSING ID")</x:f>
        <x:v>Pop-up camp</x:v>
      </x:c>
      <x:c r="G972" s="4" t="str">
        <x:f>IFERROR(INDEX('Material routes'!$F$6:$F$2205,MATCH(V972,'Material routes'!$A$6:$A$2205,0)),"MISSING ID")</x:f>
        <x:v>Not applicable</x:v>
      </x:c>
      <x:c r="H972" s="4" t="str">
        <x:f>IFERROR(INDEX('Material routes'!$H$6:$H$2205,MATCH(V972,'Material routes'!$A$6:$A$2205,0)),"MISSING ID")</x:f>
        <x:v>Shelter item</x:v>
      </x:c>
      <x:c r="I972" s="4" t="str">
        <x:f>IFERROR(INDEX('Material routes'!$G$6:$G$2205,MATCH(V972,'Material routes'!$A$6:$A$2205,0)),"MISSING ID")</x:f>
        <x:v>Salvage</x:v>
      </x:c>
      <x:c r="J972" s="4" t="str">
        <x:f>IFERROR(INDEX('Material routes'!$B$6:$B$2205,MATCH(U972,'Material routes'!$A$6:$A$2205,0)),"MISSING ID")</x:f>
        <x:v>design.audit.tool_popup_camp</x:v>
      </x:c>
      <x:c r="K972" s="4" t="str">
        <x:f>IFERROR(INDEX('Crafting recipes'!$C$6:$C$1005,MATCH(J972,'Crafting recipes'!$A$6:$A$1005,0)),"MISSING ID")</x:f>
        <x:v>Kit assembly</x:v>
      </x:c>
      <x:c r="L972" s="4" t="str">
        <x:f>IFERROR(INDEX('Material routes'!$K$6:$K$2205,MATCH(U972,'Material routes'!$A$6:$A$2205,0)),"MISSING ID")</x:f>
        <x:v>Proposal</x:v>
      </x:c>
      <x:c r="M972" s="4" t="str">
        <x:f>IFERROR(INDEX('Material routes'!$M$6:$M$2205,MATCH(U972,'Material routes'!$A$6:$A$2205,0)),"MISSING ID")</x:f>
        <x:v>Partial proposal</x:v>
      </x:c>
      <x:c r="N972" s="4"/>
      <x:c r="O972" s="4" t="str">
        <x:f>IFERROR(INDEX('Material routes'!$J$6:$J$2205,MATCH(U972,'Material routes'!$A$6:$A$2205,0)),"MISSING ID")</x:f>
        <x:v>Unspecified</x:v>
      </x:c>
      <x:c r="P972" s="4"/>
      <x:c r="Q972" s="4" t="str">
        <x:f>IFERROR(INDEX('Material routes'!$J$6:$J$2205,MATCH(V972,'Material routes'!$A$6:$A$2205,0)),"MISSING ID")</x:f>
        <x:v>Unspecified</x:v>
      </x:c>
      <x:c r="R972" s="4" t="str">
        <x:f>IF(L972="Withheld","Withheld premise",IF(E972="Tool candidate","Reusable prerequisite",IF(K972="Raw entry preparation","Entry-resource preparation",IF(G972="Not applicable",IF(IFERROR(INDEX('Items'!$AI$6:$AI$1005,MATCH(T972,'Items'!$A$6:$A$1005,0)),"MISSING ID")="Finished item","Finished endpoint",IF(IFERROR(INDEX('Items'!$AI$6:$AI$1005,MATCH(T972,'Items'!$A$6:$A$1005,0)),"MISSING ID")="Currency","Currency / no refinement tier","Recovered output / tier not applicable")),IF(OR(IFERROR(INDEX('Crafting recipes'!$H$6:$H$1005,MATCH(J972,'Crafting recipes'!$A$6:$A$1005,0)),"MISSING ID")="Unassigned",G972="Unassigned"),"Tier unresolved",IF(IFERROR(VALUE(RIGHT(G972,1))-VALUE(RIGHT(IFERROR(INDEX('Crafting recipes'!$H$6:$H$1005,MATCH(J972,'Crafting recipes'!$A$6:$A$1005,0)),"MISSING ID"),1)),0)=1,IF(B972=IFERROR(INDEX('Crafting recipes'!$H$6:$H$1005,MATCH(J972,'Crafting recipes'!$A$6:$A$1005,0)),"MISSING ID"),"Advances one material tier","Lower-tier ingredient; route advances one tier"),"Needs tier review"))))))</x:f>
        <x:v>Finished endpoint</x:v>
      </x:c>
      <x:c r="S972" s="4" t="str">
        <x:f>IFERROR(INDEX('Material routes'!$D$6:$D$2205,MATCH(U972,'Material routes'!$A$6:$A$2205,0)),"MISSING ID")</x:f>
        <x:v>proposal.collection.folding_vertical_wing_shade</x:v>
      </x:c>
      <x:c r="T972" s="4" t="str">
        <x:f>IFERROR(INDEX('Material routes'!$D$6:$D$2205,MATCH(V972,'Material routes'!$A$6:$A$2205,0)),"MISSING ID")</x:f>
        <x:v>tool.popup_camp</x:v>
      </x:c>
      <x:c r="U972" s="4" t="str">
        <x:v>design.audit.tool_popup_camp.audit.in.1</x:v>
      </x:c>
      <x:c r="V972" s="4" t="str">
        <x:v>design.audit.tool_popup_camp.audit.out</x:v>
      </x:c>
    </x:row>
    <x:row r="973" ht="64" customHeight="1">
      <x:c r="A973" s="4" t="str">
        <x:f>IFERROR(INDEX('Material routes'!$E$6:$E$2205,MATCH(U973,'Material routes'!$A$6:$A$2205,0)),"MISSING ID")</x:f>
        <x:v>Low wing-roof panel</x:v>
      </x:c>
      <x:c r="B973" s="4" t="str">
        <x:f>IFERROR(INDEX('Material routes'!$F$6:$F$2205,MATCH(U973,'Material routes'!$A$6:$A$2205,0)),"MISSING ID")</x:f>
        <x:v>Not applicable</x:v>
      </x:c>
      <x:c r="C973" s="4" t="str">
        <x:f>IFERROR(INDEX('Material routes'!$H$6:$H$2205,MATCH(U973,'Material routes'!$A$6:$A$2205,0)),"MISSING ID")</x:f>
        <x:v>Shelter item</x:v>
      </x:c>
      <x:c r="D973" s="4" t="str">
        <x:f>IFERROR(INDEX('Material routes'!$G$6:$G$2205,MATCH(U973,'Material routes'!$A$6:$A$2205,0)),"MISSING ID")</x:f>
        <x:v>Salvage</x:v>
      </x:c>
      <x:c r="E973" s="4" t="str">
        <x:f>IFERROR(INDEX('Material routes'!$C$6:$C$2205,MATCH(U973,'Material routes'!$A$6:$A$2205,0)),"MISSING ID")</x:f>
        <x:v>Ingredient candidate</x:v>
      </x:c>
      <x:c r="F973" s="4" t="str">
        <x:f>IFERROR(INDEX('Material routes'!$E$6:$E$2205,MATCH(V973,'Material routes'!$A$6:$A$2205,0)),"MISSING ID")</x:f>
        <x:v>Pop-up camp</x:v>
      </x:c>
      <x:c r="G973" s="4" t="str">
        <x:f>IFERROR(INDEX('Material routes'!$F$6:$F$2205,MATCH(V973,'Material routes'!$A$6:$A$2205,0)),"MISSING ID")</x:f>
        <x:v>Not applicable</x:v>
      </x:c>
      <x:c r="H973" s="4" t="str">
        <x:f>IFERROR(INDEX('Material routes'!$H$6:$H$2205,MATCH(V973,'Material routes'!$A$6:$A$2205,0)),"MISSING ID")</x:f>
        <x:v>Shelter item</x:v>
      </x:c>
      <x:c r="I973" s="4" t="str">
        <x:f>IFERROR(INDEX('Material routes'!$G$6:$G$2205,MATCH(V973,'Material routes'!$A$6:$A$2205,0)),"MISSING ID")</x:f>
        <x:v>Salvage</x:v>
      </x:c>
      <x:c r="J973" s="4" t="str">
        <x:f>IFERROR(INDEX('Material routes'!$B$6:$B$2205,MATCH(U973,'Material routes'!$A$6:$A$2205,0)),"MISSING ID")</x:f>
        <x:v>design.audit.tool_popup_camp</x:v>
      </x:c>
      <x:c r="K973" s="4" t="str">
        <x:f>IFERROR(INDEX('Crafting recipes'!$C$6:$C$1005,MATCH(J973,'Crafting recipes'!$A$6:$A$1005,0)),"MISSING ID")</x:f>
        <x:v>Kit assembly</x:v>
      </x:c>
      <x:c r="L973" s="4" t="str">
        <x:f>IFERROR(INDEX('Material routes'!$K$6:$K$2205,MATCH(U973,'Material routes'!$A$6:$A$2205,0)),"MISSING ID")</x:f>
        <x:v>Proposal</x:v>
      </x:c>
      <x:c r="M973" s="4" t="str">
        <x:f>IFERROR(INDEX('Material routes'!$M$6:$M$2205,MATCH(U973,'Material routes'!$A$6:$A$2205,0)),"MISSING ID")</x:f>
        <x:v>Partial proposal</x:v>
      </x:c>
      <x:c r="N973" s="4"/>
      <x:c r="O973" s="4" t="str">
        <x:f>IFERROR(INDEX('Material routes'!$J$6:$J$2205,MATCH(U973,'Material routes'!$A$6:$A$2205,0)),"MISSING ID")</x:f>
        <x:v>Unspecified</x:v>
      </x:c>
      <x:c r="P973" s="4"/>
      <x:c r="Q973" s="4" t="str">
        <x:f>IFERROR(INDEX('Material routes'!$J$6:$J$2205,MATCH(V973,'Material routes'!$A$6:$A$2205,0)),"MISSING ID")</x:f>
        <x:v>Unspecified</x:v>
      </x:c>
      <x:c r="R973" s="4" t="str">
        <x:f>IF(L973="Withheld","Withheld premise",IF(E973="Tool candidate","Reusable prerequisite",IF(K973="Raw entry preparation","Entry-resource preparation",IF(G973="Not applicable",IF(IFERROR(INDEX('Items'!$AI$6:$AI$1005,MATCH(T973,'Items'!$A$6:$A$1005,0)),"MISSING ID")="Finished item","Finished endpoint",IF(IFERROR(INDEX('Items'!$AI$6:$AI$1005,MATCH(T973,'Items'!$A$6:$A$1005,0)),"MISSING ID")="Currency","Currency / no refinement tier","Recovered output / tier not applicable")),IF(OR(IFERROR(INDEX('Crafting recipes'!$H$6:$H$1005,MATCH(J973,'Crafting recipes'!$A$6:$A$1005,0)),"MISSING ID")="Unassigned",G973="Unassigned"),"Tier unresolved",IF(IFERROR(VALUE(RIGHT(G973,1))-VALUE(RIGHT(IFERROR(INDEX('Crafting recipes'!$H$6:$H$1005,MATCH(J973,'Crafting recipes'!$A$6:$A$1005,0)),"MISSING ID"),1)),0)=1,IF(B973=IFERROR(INDEX('Crafting recipes'!$H$6:$H$1005,MATCH(J973,'Crafting recipes'!$A$6:$A$1005,0)),"MISSING ID"),"Advances one material tier","Lower-tier ingredient; route advances one tier"),"Needs tier review"))))))</x:f>
        <x:v>Finished endpoint</x:v>
      </x:c>
      <x:c r="S973" s="4" t="str">
        <x:f>IFERROR(INDEX('Material routes'!$D$6:$D$2205,MATCH(U973,'Material routes'!$A$6:$A$2205,0)),"MISSING ID")</x:f>
        <x:v>proposal.collection.low_wing_roof_panel</x:v>
      </x:c>
      <x:c r="T973" s="4" t="str">
        <x:f>IFERROR(INDEX('Material routes'!$D$6:$D$2205,MATCH(V973,'Material routes'!$A$6:$A$2205,0)),"MISSING ID")</x:f>
        <x:v>tool.popup_camp</x:v>
      </x:c>
      <x:c r="U973" s="4" t="str">
        <x:v>design.audit.tool_popup_camp.audit.in.2</x:v>
      </x:c>
      <x:c r="V973" s="4" t="str">
        <x:v>design.audit.tool_popup_camp.audit.out</x:v>
      </x:c>
    </x:row>
    <x:row r="974" ht="64" customHeight="1">
      <x:c r="A974" s="4" t="str">
        <x:f>IFERROR(INDEX('Material routes'!$E$6:$E$2205,MATCH(U974,'Material routes'!$A$6:$A$2205,0)),"MISSING ID")</x:f>
        <x:v>Segmented shelter pole set</x:v>
      </x:c>
      <x:c r="B974" s="4" t="str">
        <x:f>IFERROR(INDEX('Material routes'!$F$6:$F$2205,MATCH(U974,'Material routes'!$A$6:$A$2205,0)),"MISSING ID")</x:f>
        <x:v>Not applicable</x:v>
      </x:c>
      <x:c r="C974" s="4" t="str">
        <x:f>IFERROR(INDEX('Material routes'!$H$6:$H$2205,MATCH(U974,'Material routes'!$A$6:$A$2205,0)),"MISSING ID")</x:f>
        <x:v>Shelter item</x:v>
      </x:c>
      <x:c r="D974" s="4" t="str">
        <x:f>IFERROR(INDEX('Material routes'!$G$6:$G$2205,MATCH(U974,'Material routes'!$A$6:$A$2205,0)),"MISSING ID")</x:f>
        <x:v>Salvage</x:v>
      </x:c>
      <x:c r="E974" s="4" t="str">
        <x:f>IFERROR(INDEX('Material routes'!$C$6:$C$2205,MATCH(U974,'Material routes'!$A$6:$A$2205,0)),"MISSING ID")</x:f>
        <x:v>Ingredient candidate</x:v>
      </x:c>
      <x:c r="F974" s="4" t="str">
        <x:f>IFERROR(INDEX('Material routes'!$E$6:$E$2205,MATCH(V974,'Material routes'!$A$6:$A$2205,0)),"MISSING ID")</x:f>
        <x:v>Pop-up camp</x:v>
      </x:c>
      <x:c r="G974" s="4" t="str">
        <x:f>IFERROR(INDEX('Material routes'!$F$6:$F$2205,MATCH(V974,'Material routes'!$A$6:$A$2205,0)),"MISSING ID")</x:f>
        <x:v>Not applicable</x:v>
      </x:c>
      <x:c r="H974" s="4" t="str">
        <x:f>IFERROR(INDEX('Material routes'!$H$6:$H$2205,MATCH(V974,'Material routes'!$A$6:$A$2205,0)),"MISSING ID")</x:f>
        <x:v>Shelter item</x:v>
      </x:c>
      <x:c r="I974" s="4" t="str">
        <x:f>IFERROR(INDEX('Material routes'!$G$6:$G$2205,MATCH(V974,'Material routes'!$A$6:$A$2205,0)),"MISSING ID")</x:f>
        <x:v>Salvage</x:v>
      </x:c>
      <x:c r="J974" s="4" t="str">
        <x:f>IFERROR(INDEX('Material routes'!$B$6:$B$2205,MATCH(U974,'Material routes'!$A$6:$A$2205,0)),"MISSING ID")</x:f>
        <x:v>design.audit.tool_popup_camp</x:v>
      </x:c>
      <x:c r="K974" s="4" t="str">
        <x:f>IFERROR(INDEX('Crafting recipes'!$C$6:$C$1005,MATCH(J974,'Crafting recipes'!$A$6:$A$1005,0)),"MISSING ID")</x:f>
        <x:v>Kit assembly</x:v>
      </x:c>
      <x:c r="L974" s="4" t="str">
        <x:f>IFERROR(INDEX('Material routes'!$K$6:$K$2205,MATCH(U974,'Material routes'!$A$6:$A$2205,0)),"MISSING ID")</x:f>
        <x:v>Proposal</x:v>
      </x:c>
      <x:c r="M974" s="4" t="str">
        <x:f>IFERROR(INDEX('Material routes'!$M$6:$M$2205,MATCH(U974,'Material routes'!$A$6:$A$2205,0)),"MISSING ID")</x:f>
        <x:v>Partial proposal</x:v>
      </x:c>
      <x:c r="N974" s="4"/>
      <x:c r="O974" s="4" t="str">
        <x:f>IFERROR(INDEX('Material routes'!$J$6:$J$2205,MATCH(U974,'Material routes'!$A$6:$A$2205,0)),"MISSING ID")</x:f>
        <x:v>Unspecified</x:v>
      </x:c>
      <x:c r="P974" s="4"/>
      <x:c r="Q974" s="4" t="str">
        <x:f>IFERROR(INDEX('Material routes'!$J$6:$J$2205,MATCH(V974,'Material routes'!$A$6:$A$2205,0)),"MISSING ID")</x:f>
        <x:v>Unspecified</x:v>
      </x:c>
      <x:c r="R974" s="4" t="str">
        <x:f>IF(L974="Withheld","Withheld premise",IF(E974="Tool candidate","Reusable prerequisite",IF(K974="Raw entry preparation","Entry-resource preparation",IF(G974="Not applicable",IF(IFERROR(INDEX('Items'!$AI$6:$AI$1005,MATCH(T974,'Items'!$A$6:$A$1005,0)),"MISSING ID")="Finished item","Finished endpoint",IF(IFERROR(INDEX('Items'!$AI$6:$AI$1005,MATCH(T974,'Items'!$A$6:$A$1005,0)),"MISSING ID")="Currency","Currency / no refinement tier","Recovered output / tier not applicable")),IF(OR(IFERROR(INDEX('Crafting recipes'!$H$6:$H$1005,MATCH(J974,'Crafting recipes'!$A$6:$A$1005,0)),"MISSING ID")="Unassigned",G974="Unassigned"),"Tier unresolved",IF(IFERROR(VALUE(RIGHT(G974,1))-VALUE(RIGHT(IFERROR(INDEX('Crafting recipes'!$H$6:$H$1005,MATCH(J974,'Crafting recipes'!$A$6:$A$1005,0)),"MISSING ID"),1)),0)=1,IF(B974=IFERROR(INDEX('Crafting recipes'!$H$6:$H$1005,MATCH(J974,'Crafting recipes'!$A$6:$A$1005,0)),"MISSING ID"),"Advances one material tier","Lower-tier ingredient; route advances one tier"),"Needs tier review"))))))</x:f>
        <x:v>Finished endpoint</x:v>
      </x:c>
      <x:c r="S974" s="4" t="str">
        <x:f>IFERROR(INDEX('Material routes'!$D$6:$D$2205,MATCH(U974,'Material routes'!$A$6:$A$2205,0)),"MISSING ID")</x:f>
        <x:v>proposal.collection.segmented_shelter_pole_set</x:v>
      </x:c>
      <x:c r="T974" s="4" t="str">
        <x:f>IFERROR(INDEX('Material routes'!$D$6:$D$2205,MATCH(V974,'Material routes'!$A$6:$A$2205,0)),"MISSING ID")</x:f>
        <x:v>tool.popup_camp</x:v>
      </x:c>
      <x:c r="U974" s="4" t="str">
        <x:v>design.audit.tool_popup_camp.audit.in.3</x:v>
      </x:c>
      <x:c r="V974" s="4" t="str">
        <x:v>design.audit.tool_popup_camp.audit.out</x:v>
      </x:c>
    </x:row>
    <x:row r="975" ht="64" customHeight="1">
      <x:c r="A975" s="4" t="str">
        <x:f>IFERROR(INDEX('Material routes'!$E$6:$E$2205,MATCH(U975,'Material routes'!$A$6:$A$2205,0)),"MISSING ID")</x:f>
        <x:v>Ground-anchor stake set</x:v>
      </x:c>
      <x:c r="B975" s="4" t="str">
        <x:f>IFERROR(INDEX('Material routes'!$F$6:$F$2205,MATCH(U975,'Material routes'!$A$6:$A$2205,0)),"MISSING ID")</x:f>
        <x:v>Not applicable</x:v>
      </x:c>
      <x:c r="C975" s="4" t="str">
        <x:f>IFERROR(INDEX('Material routes'!$H$6:$H$2205,MATCH(U975,'Material routes'!$A$6:$A$2205,0)),"MISSING ID")</x:f>
        <x:v>Shelter item</x:v>
      </x:c>
      <x:c r="D975" s="4" t="str">
        <x:f>IFERROR(INDEX('Material routes'!$G$6:$G$2205,MATCH(U975,'Material routes'!$A$6:$A$2205,0)),"MISSING ID")</x:f>
        <x:v>Salvage</x:v>
      </x:c>
      <x:c r="E975" s="4" t="str">
        <x:f>IFERROR(INDEX('Material routes'!$C$6:$C$2205,MATCH(U975,'Material routes'!$A$6:$A$2205,0)),"MISSING ID")</x:f>
        <x:v>Ingredient candidate</x:v>
      </x:c>
      <x:c r="F975" s="4" t="str">
        <x:f>IFERROR(INDEX('Material routes'!$E$6:$E$2205,MATCH(V975,'Material routes'!$A$6:$A$2205,0)),"MISSING ID")</x:f>
        <x:v>Pop-up camp</x:v>
      </x:c>
      <x:c r="G975" s="4" t="str">
        <x:f>IFERROR(INDEX('Material routes'!$F$6:$F$2205,MATCH(V975,'Material routes'!$A$6:$A$2205,0)),"MISSING ID")</x:f>
        <x:v>Not applicable</x:v>
      </x:c>
      <x:c r="H975" s="4" t="str">
        <x:f>IFERROR(INDEX('Material routes'!$H$6:$H$2205,MATCH(V975,'Material routes'!$A$6:$A$2205,0)),"MISSING ID")</x:f>
        <x:v>Shelter item</x:v>
      </x:c>
      <x:c r="I975" s="4" t="str">
        <x:f>IFERROR(INDEX('Material routes'!$G$6:$G$2205,MATCH(V975,'Material routes'!$A$6:$A$2205,0)),"MISSING ID")</x:f>
        <x:v>Salvage</x:v>
      </x:c>
      <x:c r="J975" s="4" t="str">
        <x:f>IFERROR(INDEX('Material routes'!$B$6:$B$2205,MATCH(U975,'Material routes'!$A$6:$A$2205,0)),"MISSING ID")</x:f>
        <x:v>design.audit.tool_popup_camp</x:v>
      </x:c>
      <x:c r="K975" s="4" t="str">
        <x:f>IFERROR(INDEX('Crafting recipes'!$C$6:$C$1005,MATCH(J975,'Crafting recipes'!$A$6:$A$1005,0)),"MISSING ID")</x:f>
        <x:v>Kit assembly</x:v>
      </x:c>
      <x:c r="L975" s="4" t="str">
        <x:f>IFERROR(INDEX('Material routes'!$K$6:$K$2205,MATCH(U975,'Material routes'!$A$6:$A$2205,0)),"MISSING ID")</x:f>
        <x:v>Proposal</x:v>
      </x:c>
      <x:c r="M975" s="4" t="str">
        <x:f>IFERROR(INDEX('Material routes'!$M$6:$M$2205,MATCH(U975,'Material routes'!$A$6:$A$2205,0)),"MISSING ID")</x:f>
        <x:v>Partial proposal</x:v>
      </x:c>
      <x:c r="N975" s="4"/>
      <x:c r="O975" s="4" t="str">
        <x:f>IFERROR(INDEX('Material routes'!$J$6:$J$2205,MATCH(U975,'Material routes'!$A$6:$A$2205,0)),"MISSING ID")</x:f>
        <x:v>Unspecified</x:v>
      </x:c>
      <x:c r="P975" s="4"/>
      <x:c r="Q975" s="4" t="str">
        <x:f>IFERROR(INDEX('Material routes'!$J$6:$J$2205,MATCH(V975,'Material routes'!$A$6:$A$2205,0)),"MISSING ID")</x:f>
        <x:v>Unspecified</x:v>
      </x:c>
      <x:c r="R975" s="4" t="str">
        <x:f>IF(L975="Withheld","Withheld premise",IF(E975="Tool candidate","Reusable prerequisite",IF(K975="Raw entry preparation","Entry-resource preparation",IF(G975="Not applicable",IF(IFERROR(INDEX('Items'!$AI$6:$AI$1005,MATCH(T975,'Items'!$A$6:$A$1005,0)),"MISSING ID")="Finished item","Finished endpoint",IF(IFERROR(INDEX('Items'!$AI$6:$AI$1005,MATCH(T975,'Items'!$A$6:$A$1005,0)),"MISSING ID")="Currency","Currency / no refinement tier","Recovered output / tier not applicable")),IF(OR(IFERROR(INDEX('Crafting recipes'!$H$6:$H$1005,MATCH(J975,'Crafting recipes'!$A$6:$A$1005,0)),"MISSING ID")="Unassigned",G975="Unassigned"),"Tier unresolved",IF(IFERROR(VALUE(RIGHT(G975,1))-VALUE(RIGHT(IFERROR(INDEX('Crafting recipes'!$H$6:$H$1005,MATCH(J975,'Crafting recipes'!$A$6:$A$1005,0)),"MISSING ID"),1)),0)=1,IF(B975=IFERROR(INDEX('Crafting recipes'!$H$6:$H$1005,MATCH(J975,'Crafting recipes'!$A$6:$A$1005,0)),"MISSING ID"),"Advances one material tier","Lower-tier ingredient; route advances one tier"),"Needs tier review"))))))</x:f>
        <x:v>Finished endpoint</x:v>
      </x:c>
      <x:c r="S975" s="4" t="str">
        <x:f>IFERROR(INDEX('Material routes'!$D$6:$D$2205,MATCH(U975,'Material routes'!$A$6:$A$2205,0)),"MISSING ID")</x:f>
        <x:v>proposal.collection.ground_anchor_stake_set</x:v>
      </x:c>
      <x:c r="T975" s="4" t="str">
        <x:f>IFERROR(INDEX('Material routes'!$D$6:$D$2205,MATCH(V975,'Material routes'!$A$6:$A$2205,0)),"MISSING ID")</x:f>
        <x:v>tool.popup_camp</x:v>
      </x:c>
      <x:c r="U975" s="4" t="str">
        <x:v>design.audit.tool_popup_camp.audit.in.4</x:v>
      </x:c>
      <x:c r="V975" s="4" t="str">
        <x:v>design.audit.tool_popup_camp.audit.out</x:v>
      </x:c>
    </x:row>
    <x:row r="976" ht="64" customHeight="1">
      <x:c r="A976" s="4" t="str">
        <x:f>IFERROR(INDEX('Material routes'!$E$6:$E$2205,MATCH(U976,'Material routes'!$A$6:$A$2205,0)),"MISSING ID")</x:f>
        <x:v>Tendon guyline bundle</x:v>
      </x:c>
      <x:c r="B976" s="4" t="str">
        <x:f>IFERROR(INDEX('Material routes'!$F$6:$F$2205,MATCH(U976,'Material routes'!$A$6:$A$2205,0)),"MISSING ID")</x:f>
        <x:v>Not applicable</x:v>
      </x:c>
      <x:c r="C976" s="4" t="str">
        <x:f>IFERROR(INDEX('Material routes'!$H$6:$H$2205,MATCH(U976,'Material routes'!$A$6:$A$2205,0)),"MISSING ID")</x:f>
        <x:v>Shelter item</x:v>
      </x:c>
      <x:c r="D976" s="4" t="str">
        <x:f>IFERROR(INDEX('Material routes'!$G$6:$G$2205,MATCH(U976,'Material routes'!$A$6:$A$2205,0)),"MISSING ID")</x:f>
        <x:v>Salvage</x:v>
      </x:c>
      <x:c r="E976" s="4" t="str">
        <x:f>IFERROR(INDEX('Material routes'!$C$6:$C$2205,MATCH(U976,'Material routes'!$A$6:$A$2205,0)),"MISSING ID")</x:f>
        <x:v>Ingredient candidate</x:v>
      </x:c>
      <x:c r="F976" s="4" t="str">
        <x:f>IFERROR(INDEX('Material routes'!$E$6:$E$2205,MATCH(V976,'Material routes'!$A$6:$A$2205,0)),"MISSING ID")</x:f>
        <x:v>Pop-up camp</x:v>
      </x:c>
      <x:c r="G976" s="4" t="str">
        <x:f>IFERROR(INDEX('Material routes'!$F$6:$F$2205,MATCH(V976,'Material routes'!$A$6:$A$2205,0)),"MISSING ID")</x:f>
        <x:v>Not applicable</x:v>
      </x:c>
      <x:c r="H976" s="4" t="str">
        <x:f>IFERROR(INDEX('Material routes'!$H$6:$H$2205,MATCH(V976,'Material routes'!$A$6:$A$2205,0)),"MISSING ID")</x:f>
        <x:v>Shelter item</x:v>
      </x:c>
      <x:c r="I976" s="4" t="str">
        <x:f>IFERROR(INDEX('Material routes'!$G$6:$G$2205,MATCH(V976,'Material routes'!$A$6:$A$2205,0)),"MISSING ID")</x:f>
        <x:v>Salvage</x:v>
      </x:c>
      <x:c r="J976" s="4" t="str">
        <x:f>IFERROR(INDEX('Material routes'!$B$6:$B$2205,MATCH(U976,'Material routes'!$A$6:$A$2205,0)),"MISSING ID")</x:f>
        <x:v>design.audit.tool_popup_camp</x:v>
      </x:c>
      <x:c r="K976" s="4" t="str">
        <x:f>IFERROR(INDEX('Crafting recipes'!$C$6:$C$1005,MATCH(J976,'Crafting recipes'!$A$6:$A$1005,0)),"MISSING ID")</x:f>
        <x:v>Kit assembly</x:v>
      </x:c>
      <x:c r="L976" s="4" t="str">
        <x:f>IFERROR(INDEX('Material routes'!$K$6:$K$2205,MATCH(U976,'Material routes'!$A$6:$A$2205,0)),"MISSING ID")</x:f>
        <x:v>Proposal</x:v>
      </x:c>
      <x:c r="M976" s="4" t="str">
        <x:f>IFERROR(INDEX('Material routes'!$M$6:$M$2205,MATCH(U976,'Material routes'!$A$6:$A$2205,0)),"MISSING ID")</x:f>
        <x:v>Partial proposal</x:v>
      </x:c>
      <x:c r="N976" s="4"/>
      <x:c r="O976" s="4" t="str">
        <x:f>IFERROR(INDEX('Material routes'!$J$6:$J$2205,MATCH(U976,'Material routes'!$A$6:$A$2205,0)),"MISSING ID")</x:f>
        <x:v>Unspecified</x:v>
      </x:c>
      <x:c r="P976" s="4"/>
      <x:c r="Q976" s="4" t="str">
        <x:f>IFERROR(INDEX('Material routes'!$J$6:$J$2205,MATCH(V976,'Material routes'!$A$6:$A$2205,0)),"MISSING ID")</x:f>
        <x:v>Unspecified</x:v>
      </x:c>
      <x:c r="R976" s="4" t="str">
        <x:f>IF(L976="Withheld","Withheld premise",IF(E976="Tool candidate","Reusable prerequisite",IF(K976="Raw entry preparation","Entry-resource preparation",IF(G976="Not applicable",IF(IFERROR(INDEX('Items'!$AI$6:$AI$1005,MATCH(T976,'Items'!$A$6:$A$1005,0)),"MISSING ID")="Finished item","Finished endpoint",IF(IFERROR(INDEX('Items'!$AI$6:$AI$1005,MATCH(T976,'Items'!$A$6:$A$1005,0)),"MISSING ID")="Currency","Currency / no refinement tier","Recovered output / tier not applicable")),IF(OR(IFERROR(INDEX('Crafting recipes'!$H$6:$H$1005,MATCH(J976,'Crafting recipes'!$A$6:$A$1005,0)),"MISSING ID")="Unassigned",G976="Unassigned"),"Tier unresolved",IF(IFERROR(VALUE(RIGHT(G976,1))-VALUE(RIGHT(IFERROR(INDEX('Crafting recipes'!$H$6:$H$1005,MATCH(J976,'Crafting recipes'!$A$6:$A$1005,0)),"MISSING ID"),1)),0)=1,IF(B976=IFERROR(INDEX('Crafting recipes'!$H$6:$H$1005,MATCH(J976,'Crafting recipes'!$A$6:$A$1005,0)),"MISSING ID"),"Advances one material tier","Lower-tier ingredient; route advances one tier"),"Needs tier review"))))))</x:f>
        <x:v>Finished endpoint</x:v>
      </x:c>
      <x:c r="S976" s="4" t="str">
        <x:f>IFERROR(INDEX('Material routes'!$D$6:$D$2205,MATCH(U976,'Material routes'!$A$6:$A$2205,0)),"MISSING ID")</x:f>
        <x:v>proposal.collection.tendon_guyline_bundle</x:v>
      </x:c>
      <x:c r="T976" s="4" t="str">
        <x:f>IFERROR(INDEX('Material routes'!$D$6:$D$2205,MATCH(V976,'Material routes'!$A$6:$A$2205,0)),"MISSING ID")</x:f>
        <x:v>tool.popup_camp</x:v>
      </x:c>
      <x:c r="U976" s="4" t="str">
        <x:v>design.audit.tool_popup_camp.audit.in.5</x:v>
      </x:c>
      <x:c r="V976" s="4" t="str">
        <x:v>design.audit.tool_popup_camp.audit.out</x:v>
      </x:c>
    </x:row>
    <x:row r="977" ht="64" customHeight="1">
      <x:c r="A977" s="4" t="str">
        <x:f>IFERROR(INDEX('Material routes'!$E$6:$E$2205,MATCH(U977,'Material routes'!$A$6:$A$2205,0)),"MISSING ID")</x:f>
        <x:v>Husk-sheet grit screen</x:v>
      </x:c>
      <x:c r="B977" s="4" t="str">
        <x:f>IFERROR(INDEX('Material routes'!$F$6:$F$2205,MATCH(U977,'Material routes'!$A$6:$A$2205,0)),"MISSING ID")</x:f>
        <x:v>Not applicable</x:v>
      </x:c>
      <x:c r="C977" s="4" t="str">
        <x:f>IFERROR(INDEX('Material routes'!$H$6:$H$2205,MATCH(U977,'Material routes'!$A$6:$A$2205,0)),"MISSING ID")</x:f>
        <x:v>Shelter item</x:v>
      </x:c>
      <x:c r="D977" s="4" t="str">
        <x:f>IFERROR(INDEX('Material routes'!$G$6:$G$2205,MATCH(U977,'Material routes'!$A$6:$A$2205,0)),"MISSING ID")</x:f>
        <x:v>Salvage</x:v>
      </x:c>
      <x:c r="E977" s="4" t="str">
        <x:f>IFERROR(INDEX('Material routes'!$C$6:$C$2205,MATCH(U977,'Material routes'!$A$6:$A$2205,0)),"MISSING ID")</x:f>
        <x:v>Ingredient candidate</x:v>
      </x:c>
      <x:c r="F977" s="4" t="str">
        <x:f>IFERROR(INDEX('Material routes'!$E$6:$E$2205,MATCH(V977,'Material routes'!$A$6:$A$2205,0)),"MISSING ID")</x:f>
        <x:v>Pop-up camp</x:v>
      </x:c>
      <x:c r="G977" s="4" t="str">
        <x:f>IFERROR(INDEX('Material routes'!$F$6:$F$2205,MATCH(V977,'Material routes'!$A$6:$A$2205,0)),"MISSING ID")</x:f>
        <x:v>Not applicable</x:v>
      </x:c>
      <x:c r="H977" s="4" t="str">
        <x:f>IFERROR(INDEX('Material routes'!$H$6:$H$2205,MATCH(V977,'Material routes'!$A$6:$A$2205,0)),"MISSING ID")</x:f>
        <x:v>Shelter item</x:v>
      </x:c>
      <x:c r="I977" s="4" t="str">
        <x:f>IFERROR(INDEX('Material routes'!$G$6:$G$2205,MATCH(V977,'Material routes'!$A$6:$A$2205,0)),"MISSING ID")</x:f>
        <x:v>Salvage</x:v>
      </x:c>
      <x:c r="J977" s="4" t="str">
        <x:f>IFERROR(INDEX('Material routes'!$B$6:$B$2205,MATCH(U977,'Material routes'!$A$6:$A$2205,0)),"MISSING ID")</x:f>
        <x:v>design.audit.tool_popup_camp</x:v>
      </x:c>
      <x:c r="K977" s="4" t="str">
        <x:f>IFERROR(INDEX('Crafting recipes'!$C$6:$C$1005,MATCH(J977,'Crafting recipes'!$A$6:$A$1005,0)),"MISSING ID")</x:f>
        <x:v>Kit assembly</x:v>
      </x:c>
      <x:c r="L977" s="4" t="str">
        <x:f>IFERROR(INDEX('Material routes'!$K$6:$K$2205,MATCH(U977,'Material routes'!$A$6:$A$2205,0)),"MISSING ID")</x:f>
        <x:v>Proposal</x:v>
      </x:c>
      <x:c r="M977" s="4" t="str">
        <x:f>IFERROR(INDEX('Material routes'!$M$6:$M$2205,MATCH(U977,'Material routes'!$A$6:$A$2205,0)),"MISSING ID")</x:f>
        <x:v>Partial proposal</x:v>
      </x:c>
      <x:c r="N977" s="4"/>
      <x:c r="O977" s="4" t="str">
        <x:f>IFERROR(INDEX('Material routes'!$J$6:$J$2205,MATCH(U977,'Material routes'!$A$6:$A$2205,0)),"MISSING ID")</x:f>
        <x:v>Unspecified</x:v>
      </x:c>
      <x:c r="P977" s="4"/>
      <x:c r="Q977" s="4" t="str">
        <x:f>IFERROR(INDEX('Material routes'!$J$6:$J$2205,MATCH(V977,'Material routes'!$A$6:$A$2205,0)),"MISSING ID")</x:f>
        <x:v>Unspecified</x:v>
      </x:c>
      <x:c r="R977" s="4" t="str">
        <x:f>IF(L977="Withheld","Withheld premise",IF(E977="Tool candidate","Reusable prerequisite",IF(K977="Raw entry preparation","Entry-resource preparation",IF(G977="Not applicable",IF(IFERROR(INDEX('Items'!$AI$6:$AI$1005,MATCH(T977,'Items'!$A$6:$A$1005,0)),"MISSING ID")="Finished item","Finished endpoint",IF(IFERROR(INDEX('Items'!$AI$6:$AI$1005,MATCH(T977,'Items'!$A$6:$A$1005,0)),"MISSING ID")="Currency","Currency / no refinement tier","Recovered output / tier not applicable")),IF(OR(IFERROR(INDEX('Crafting recipes'!$H$6:$H$1005,MATCH(J977,'Crafting recipes'!$A$6:$A$1005,0)),"MISSING ID")="Unassigned",G977="Unassigned"),"Tier unresolved",IF(IFERROR(VALUE(RIGHT(G977,1))-VALUE(RIGHT(IFERROR(INDEX('Crafting recipes'!$H$6:$H$1005,MATCH(J977,'Crafting recipes'!$A$6:$A$1005,0)),"MISSING ID"),1)),0)=1,IF(B977=IFERROR(INDEX('Crafting recipes'!$H$6:$H$1005,MATCH(J977,'Crafting recipes'!$A$6:$A$1005,0)),"MISSING ID"),"Advances one material tier","Lower-tier ingredient; route advances one tier"),"Needs tier review"))))))</x:f>
        <x:v>Finished endpoint</x:v>
      </x:c>
      <x:c r="S977" s="4" t="str">
        <x:f>IFERROR(INDEX('Material routes'!$D$6:$D$2205,MATCH(U977,'Material routes'!$A$6:$A$2205,0)),"MISSING ID")</x:f>
        <x:v>proposal.collection.husk_sheet_grit_screen</x:v>
      </x:c>
      <x:c r="T977" s="4" t="str">
        <x:f>IFERROR(INDEX('Material routes'!$D$6:$D$2205,MATCH(V977,'Material routes'!$A$6:$A$2205,0)),"MISSING ID")</x:f>
        <x:v>tool.popup_camp</x:v>
      </x:c>
      <x:c r="U977" s="4" t="str">
        <x:v>design.audit.tool_popup_camp.audit.in.6</x:v>
      </x:c>
      <x:c r="V977" s="4" t="str">
        <x:v>design.audit.tool_popup_camp.audit.out</x:v>
      </x:c>
    </x:row>
    <x:row r="978" ht="64" customHeight="1">
      <x:c r="A978" s="4" t="str">
        <x:f>IFERROR(INDEX('Material routes'!$E$6:$E$2205,MATCH(U978,'Material routes'!$A$6:$A$2205,0)),"MISSING ID")</x:f>
        <x:v>Shell ground-rest panel</x:v>
      </x:c>
      <x:c r="B978" s="4" t="str">
        <x:f>IFERROR(INDEX('Material routes'!$F$6:$F$2205,MATCH(U978,'Material routes'!$A$6:$A$2205,0)),"MISSING ID")</x:f>
        <x:v>Not applicable</x:v>
      </x:c>
      <x:c r="C978" s="4" t="str">
        <x:f>IFERROR(INDEX('Material routes'!$H$6:$H$2205,MATCH(U978,'Material routes'!$A$6:$A$2205,0)),"MISSING ID")</x:f>
        <x:v>Shelter item</x:v>
      </x:c>
      <x:c r="D978" s="4" t="str">
        <x:f>IFERROR(INDEX('Material routes'!$G$6:$G$2205,MATCH(U978,'Material routes'!$A$6:$A$2205,0)),"MISSING ID")</x:f>
        <x:v>Salvage</x:v>
      </x:c>
      <x:c r="E978" s="4" t="str">
        <x:f>IFERROR(INDEX('Material routes'!$C$6:$C$2205,MATCH(U978,'Material routes'!$A$6:$A$2205,0)),"MISSING ID")</x:f>
        <x:v>Ingredient candidate</x:v>
      </x:c>
      <x:c r="F978" s="4" t="str">
        <x:f>IFERROR(INDEX('Material routes'!$E$6:$E$2205,MATCH(V978,'Material routes'!$A$6:$A$2205,0)),"MISSING ID")</x:f>
        <x:v>Pop-up camp</x:v>
      </x:c>
      <x:c r="G978" s="4" t="str">
        <x:f>IFERROR(INDEX('Material routes'!$F$6:$F$2205,MATCH(V978,'Material routes'!$A$6:$A$2205,0)),"MISSING ID")</x:f>
        <x:v>Not applicable</x:v>
      </x:c>
      <x:c r="H978" s="4" t="str">
        <x:f>IFERROR(INDEX('Material routes'!$H$6:$H$2205,MATCH(V978,'Material routes'!$A$6:$A$2205,0)),"MISSING ID")</x:f>
        <x:v>Shelter item</x:v>
      </x:c>
      <x:c r="I978" s="4" t="str">
        <x:f>IFERROR(INDEX('Material routes'!$G$6:$G$2205,MATCH(V978,'Material routes'!$A$6:$A$2205,0)),"MISSING ID")</x:f>
        <x:v>Salvage</x:v>
      </x:c>
      <x:c r="J978" s="4" t="str">
        <x:f>IFERROR(INDEX('Material routes'!$B$6:$B$2205,MATCH(U978,'Material routes'!$A$6:$A$2205,0)),"MISSING ID")</x:f>
        <x:v>design.audit.tool_popup_camp</x:v>
      </x:c>
      <x:c r="K978" s="4" t="str">
        <x:f>IFERROR(INDEX('Crafting recipes'!$C$6:$C$1005,MATCH(J978,'Crafting recipes'!$A$6:$A$1005,0)),"MISSING ID")</x:f>
        <x:v>Kit assembly</x:v>
      </x:c>
      <x:c r="L978" s="4" t="str">
        <x:f>IFERROR(INDEX('Material routes'!$K$6:$K$2205,MATCH(U978,'Material routes'!$A$6:$A$2205,0)),"MISSING ID")</x:f>
        <x:v>Proposal</x:v>
      </x:c>
      <x:c r="M978" s="4" t="str">
        <x:f>IFERROR(INDEX('Material routes'!$M$6:$M$2205,MATCH(U978,'Material routes'!$A$6:$A$2205,0)),"MISSING ID")</x:f>
        <x:v>Partial proposal</x:v>
      </x:c>
      <x:c r="N978" s="4"/>
      <x:c r="O978" s="4" t="str">
        <x:f>IFERROR(INDEX('Material routes'!$J$6:$J$2205,MATCH(U978,'Material routes'!$A$6:$A$2205,0)),"MISSING ID")</x:f>
        <x:v>Unspecified</x:v>
      </x:c>
      <x:c r="P978" s="4"/>
      <x:c r="Q978" s="4" t="str">
        <x:f>IFERROR(INDEX('Material routes'!$J$6:$J$2205,MATCH(V978,'Material routes'!$A$6:$A$2205,0)),"MISSING ID")</x:f>
        <x:v>Unspecified</x:v>
      </x:c>
      <x:c r="R978" s="4" t="str">
        <x:f>IF(L978="Withheld","Withheld premise",IF(E978="Tool candidate","Reusable prerequisite",IF(K978="Raw entry preparation","Entry-resource preparation",IF(G978="Not applicable",IF(IFERROR(INDEX('Items'!$AI$6:$AI$1005,MATCH(T978,'Items'!$A$6:$A$1005,0)),"MISSING ID")="Finished item","Finished endpoint",IF(IFERROR(INDEX('Items'!$AI$6:$AI$1005,MATCH(T978,'Items'!$A$6:$A$1005,0)),"MISSING ID")="Currency","Currency / no refinement tier","Recovered output / tier not applicable")),IF(OR(IFERROR(INDEX('Crafting recipes'!$H$6:$H$1005,MATCH(J978,'Crafting recipes'!$A$6:$A$1005,0)),"MISSING ID")="Unassigned",G978="Unassigned"),"Tier unresolved",IF(IFERROR(VALUE(RIGHT(G978,1))-VALUE(RIGHT(IFERROR(INDEX('Crafting recipes'!$H$6:$H$1005,MATCH(J978,'Crafting recipes'!$A$6:$A$1005,0)),"MISSING ID"),1)),0)=1,IF(B978=IFERROR(INDEX('Crafting recipes'!$H$6:$H$1005,MATCH(J978,'Crafting recipes'!$A$6:$A$1005,0)),"MISSING ID"),"Advances one material tier","Lower-tier ingredient; route advances one tier"),"Needs tier review"))))))</x:f>
        <x:v>Finished endpoint</x:v>
      </x:c>
      <x:c r="S978" s="4" t="str">
        <x:f>IFERROR(INDEX('Material routes'!$D$6:$D$2205,MATCH(U978,'Material routes'!$A$6:$A$2205,0)),"MISSING ID")</x:f>
        <x:v>proposal.collection.shell_ground_rest_panel</x:v>
      </x:c>
      <x:c r="T978" s="4" t="str">
        <x:f>IFERROR(INDEX('Material routes'!$D$6:$D$2205,MATCH(V978,'Material routes'!$A$6:$A$2205,0)),"MISSING ID")</x:f>
        <x:v>tool.popup_camp</x:v>
      </x:c>
      <x:c r="U978" s="4" t="str">
        <x:v>design.audit.tool_popup_camp.audit.in.7</x:v>
      </x:c>
      <x:c r="V978" s="4" t="str">
        <x:v>design.audit.tool_popup_camp.audit.out</x:v>
      </x:c>
    </x:row>
    <x:row r="979" ht="64" customHeight="1">
      <x:c r="A979" s="4" t="str">
        <x:f>IFERROR(INDEX('Material routes'!$E$6:$E$2205,MATCH(U979,'Material routes'!$A$6:$A$2205,0)),"MISSING ID")</x:f>
        <x:v>Folding privacy partition</x:v>
      </x:c>
      <x:c r="B979" s="4" t="str">
        <x:f>IFERROR(INDEX('Material routes'!$F$6:$F$2205,MATCH(U979,'Material routes'!$A$6:$A$2205,0)),"MISSING ID")</x:f>
        <x:v>Not applicable</x:v>
      </x:c>
      <x:c r="C979" s="4" t="str">
        <x:f>IFERROR(INDEX('Material routes'!$H$6:$H$2205,MATCH(U979,'Material routes'!$A$6:$A$2205,0)),"MISSING ID")</x:f>
        <x:v>Shelter item</x:v>
      </x:c>
      <x:c r="D979" s="4" t="str">
        <x:f>IFERROR(INDEX('Material routes'!$G$6:$G$2205,MATCH(U979,'Material routes'!$A$6:$A$2205,0)),"MISSING ID")</x:f>
        <x:v>Salvage</x:v>
      </x:c>
      <x:c r="E979" s="4" t="str">
        <x:f>IFERROR(INDEX('Material routes'!$C$6:$C$2205,MATCH(U979,'Material routes'!$A$6:$A$2205,0)),"MISSING ID")</x:f>
        <x:v>Ingredient candidate</x:v>
      </x:c>
      <x:c r="F979" s="4" t="str">
        <x:f>IFERROR(INDEX('Material routes'!$E$6:$E$2205,MATCH(V979,'Material routes'!$A$6:$A$2205,0)),"MISSING ID")</x:f>
        <x:v>Pop-up camp</x:v>
      </x:c>
      <x:c r="G979" s="4" t="str">
        <x:f>IFERROR(INDEX('Material routes'!$F$6:$F$2205,MATCH(V979,'Material routes'!$A$6:$A$2205,0)),"MISSING ID")</x:f>
        <x:v>Not applicable</x:v>
      </x:c>
      <x:c r="H979" s="4" t="str">
        <x:f>IFERROR(INDEX('Material routes'!$H$6:$H$2205,MATCH(V979,'Material routes'!$A$6:$A$2205,0)),"MISSING ID")</x:f>
        <x:v>Shelter item</x:v>
      </x:c>
      <x:c r="I979" s="4" t="str">
        <x:f>IFERROR(INDEX('Material routes'!$G$6:$G$2205,MATCH(V979,'Material routes'!$A$6:$A$2205,0)),"MISSING ID")</x:f>
        <x:v>Salvage</x:v>
      </x:c>
      <x:c r="J979" s="4" t="str">
        <x:f>IFERROR(INDEX('Material routes'!$B$6:$B$2205,MATCH(U979,'Material routes'!$A$6:$A$2205,0)),"MISSING ID")</x:f>
        <x:v>design.audit.tool_popup_camp</x:v>
      </x:c>
      <x:c r="K979" s="4" t="str">
        <x:f>IFERROR(INDEX('Crafting recipes'!$C$6:$C$1005,MATCH(J979,'Crafting recipes'!$A$6:$A$1005,0)),"MISSING ID")</x:f>
        <x:v>Kit assembly</x:v>
      </x:c>
      <x:c r="L979" s="4" t="str">
        <x:f>IFERROR(INDEX('Material routes'!$K$6:$K$2205,MATCH(U979,'Material routes'!$A$6:$A$2205,0)),"MISSING ID")</x:f>
        <x:v>Proposal</x:v>
      </x:c>
      <x:c r="M979" s="4" t="str">
        <x:f>IFERROR(INDEX('Material routes'!$M$6:$M$2205,MATCH(U979,'Material routes'!$A$6:$A$2205,0)),"MISSING ID")</x:f>
        <x:v>Partial proposal</x:v>
      </x:c>
      <x:c r="N979" s="4"/>
      <x:c r="O979" s="4" t="str">
        <x:f>IFERROR(INDEX('Material routes'!$J$6:$J$2205,MATCH(U979,'Material routes'!$A$6:$A$2205,0)),"MISSING ID")</x:f>
        <x:v>Unspecified</x:v>
      </x:c>
      <x:c r="P979" s="4"/>
      <x:c r="Q979" s="4" t="str">
        <x:f>IFERROR(INDEX('Material routes'!$J$6:$J$2205,MATCH(V979,'Material routes'!$A$6:$A$2205,0)),"MISSING ID")</x:f>
        <x:v>Unspecified</x:v>
      </x:c>
      <x:c r="R979" s="4" t="str">
        <x:f>IF(L979="Withheld","Withheld premise",IF(E979="Tool candidate","Reusable prerequisite",IF(K979="Raw entry preparation","Entry-resource preparation",IF(G979="Not applicable",IF(IFERROR(INDEX('Items'!$AI$6:$AI$1005,MATCH(T979,'Items'!$A$6:$A$1005,0)),"MISSING ID")="Finished item","Finished endpoint",IF(IFERROR(INDEX('Items'!$AI$6:$AI$1005,MATCH(T979,'Items'!$A$6:$A$1005,0)),"MISSING ID")="Currency","Currency / no refinement tier","Recovered output / tier not applicable")),IF(OR(IFERROR(INDEX('Crafting recipes'!$H$6:$H$1005,MATCH(J979,'Crafting recipes'!$A$6:$A$1005,0)),"MISSING ID")="Unassigned",G979="Unassigned"),"Tier unresolved",IF(IFERROR(VALUE(RIGHT(G979,1))-VALUE(RIGHT(IFERROR(INDEX('Crafting recipes'!$H$6:$H$1005,MATCH(J979,'Crafting recipes'!$A$6:$A$1005,0)),"MISSING ID"),1)),0)=1,IF(B979=IFERROR(INDEX('Crafting recipes'!$H$6:$H$1005,MATCH(J979,'Crafting recipes'!$A$6:$A$1005,0)),"MISSING ID"),"Advances one material tier","Lower-tier ingredient; route advances one tier"),"Needs tier review"))))))</x:f>
        <x:v>Finished endpoint</x:v>
      </x:c>
      <x:c r="S979" s="4" t="str">
        <x:f>IFERROR(INDEX('Material routes'!$D$6:$D$2205,MATCH(U979,'Material routes'!$A$6:$A$2205,0)),"MISSING ID")</x:f>
        <x:v>proposal.collection.folding_privacy_partition</x:v>
      </x:c>
      <x:c r="T979" s="4" t="str">
        <x:f>IFERROR(INDEX('Material routes'!$D$6:$D$2205,MATCH(V979,'Material routes'!$A$6:$A$2205,0)),"MISSING ID")</x:f>
        <x:v>tool.popup_camp</x:v>
      </x:c>
      <x:c r="U979" s="4" t="str">
        <x:v>design.audit.tool_popup_camp.audit.in.8</x:v>
      </x:c>
      <x:c r="V979" s="4" t="str">
        <x:v>design.audit.tool_popup_camp.audit.out</x:v>
      </x:c>
    </x:row>
    <x:row r="980" ht="64" customHeight="1">
      <x:c r="A980" s="4" t="str">
        <x:f>IFERROR(INDEX('Material routes'!$E$6:$E$2205,MATCH(U980,'Material routes'!$A$6:$A$2205,0)),"MISSING ID")</x:f>
        <x:v>Canister shelter docking stand</x:v>
      </x:c>
      <x:c r="B980" s="4" t="str">
        <x:f>IFERROR(INDEX('Material routes'!$F$6:$F$2205,MATCH(U980,'Material routes'!$A$6:$A$2205,0)),"MISSING ID")</x:f>
        <x:v>Not applicable</x:v>
      </x:c>
      <x:c r="C980" s="4" t="str">
        <x:f>IFERROR(INDEX('Material routes'!$H$6:$H$2205,MATCH(U980,'Material routes'!$A$6:$A$2205,0)),"MISSING ID")</x:f>
        <x:v>Shelter item</x:v>
      </x:c>
      <x:c r="D980" s="4" t="str">
        <x:f>IFERROR(INDEX('Material routes'!$G$6:$G$2205,MATCH(U980,'Material routes'!$A$6:$A$2205,0)),"MISSING ID")</x:f>
        <x:v>Salvage</x:v>
      </x:c>
      <x:c r="E980" s="4" t="str">
        <x:f>IFERROR(INDEX('Material routes'!$C$6:$C$2205,MATCH(U980,'Material routes'!$A$6:$A$2205,0)),"MISSING ID")</x:f>
        <x:v>Ingredient candidate</x:v>
      </x:c>
      <x:c r="F980" s="4" t="str">
        <x:f>IFERROR(INDEX('Material routes'!$E$6:$E$2205,MATCH(V980,'Material routes'!$A$6:$A$2205,0)),"MISSING ID")</x:f>
        <x:v>Pop-up camp</x:v>
      </x:c>
      <x:c r="G980" s="4" t="str">
        <x:f>IFERROR(INDEX('Material routes'!$F$6:$F$2205,MATCH(V980,'Material routes'!$A$6:$A$2205,0)),"MISSING ID")</x:f>
        <x:v>Not applicable</x:v>
      </x:c>
      <x:c r="H980" s="4" t="str">
        <x:f>IFERROR(INDEX('Material routes'!$H$6:$H$2205,MATCH(V980,'Material routes'!$A$6:$A$2205,0)),"MISSING ID")</x:f>
        <x:v>Shelter item</x:v>
      </x:c>
      <x:c r="I980" s="4" t="str">
        <x:f>IFERROR(INDEX('Material routes'!$G$6:$G$2205,MATCH(V980,'Material routes'!$A$6:$A$2205,0)),"MISSING ID")</x:f>
        <x:v>Salvage</x:v>
      </x:c>
      <x:c r="J980" s="4" t="str">
        <x:f>IFERROR(INDEX('Material routes'!$B$6:$B$2205,MATCH(U980,'Material routes'!$A$6:$A$2205,0)),"MISSING ID")</x:f>
        <x:v>design.audit.tool_popup_camp</x:v>
      </x:c>
      <x:c r="K980" s="4" t="str">
        <x:f>IFERROR(INDEX('Crafting recipes'!$C$6:$C$1005,MATCH(J980,'Crafting recipes'!$A$6:$A$1005,0)),"MISSING ID")</x:f>
        <x:v>Kit assembly</x:v>
      </x:c>
      <x:c r="L980" s="4" t="str">
        <x:f>IFERROR(INDEX('Material routes'!$K$6:$K$2205,MATCH(U980,'Material routes'!$A$6:$A$2205,0)),"MISSING ID")</x:f>
        <x:v>Proposal</x:v>
      </x:c>
      <x:c r="M980" s="4" t="str">
        <x:f>IFERROR(INDEX('Material routes'!$M$6:$M$2205,MATCH(U980,'Material routes'!$A$6:$A$2205,0)),"MISSING ID")</x:f>
        <x:v>Partial proposal</x:v>
      </x:c>
      <x:c r="N980" s="4"/>
      <x:c r="O980" s="4" t="str">
        <x:f>IFERROR(INDEX('Material routes'!$J$6:$J$2205,MATCH(U980,'Material routes'!$A$6:$A$2205,0)),"MISSING ID")</x:f>
        <x:v>Unspecified</x:v>
      </x:c>
      <x:c r="P980" s="4"/>
      <x:c r="Q980" s="4" t="str">
        <x:f>IFERROR(INDEX('Material routes'!$J$6:$J$2205,MATCH(V980,'Material routes'!$A$6:$A$2205,0)),"MISSING ID")</x:f>
        <x:v>Unspecified</x:v>
      </x:c>
      <x:c r="R980" s="4" t="str">
        <x:f>IF(L980="Withheld","Withheld premise",IF(E980="Tool candidate","Reusable prerequisite",IF(K980="Raw entry preparation","Entry-resource preparation",IF(G980="Not applicable",IF(IFERROR(INDEX('Items'!$AI$6:$AI$1005,MATCH(T980,'Items'!$A$6:$A$1005,0)),"MISSING ID")="Finished item","Finished endpoint",IF(IFERROR(INDEX('Items'!$AI$6:$AI$1005,MATCH(T980,'Items'!$A$6:$A$1005,0)),"MISSING ID")="Currency","Currency / no refinement tier","Recovered output / tier not applicable")),IF(OR(IFERROR(INDEX('Crafting recipes'!$H$6:$H$1005,MATCH(J980,'Crafting recipes'!$A$6:$A$1005,0)),"MISSING ID")="Unassigned",G980="Unassigned"),"Tier unresolved",IF(IFERROR(VALUE(RIGHT(G980,1))-VALUE(RIGHT(IFERROR(INDEX('Crafting recipes'!$H$6:$H$1005,MATCH(J980,'Crafting recipes'!$A$6:$A$1005,0)),"MISSING ID"),1)),0)=1,IF(B980=IFERROR(INDEX('Crafting recipes'!$H$6:$H$1005,MATCH(J980,'Crafting recipes'!$A$6:$A$1005,0)),"MISSING ID"),"Advances one material tier","Lower-tier ingredient; route advances one tier"),"Needs tier review"))))))</x:f>
        <x:v>Finished endpoint</x:v>
      </x:c>
      <x:c r="S980" s="4" t="str">
        <x:f>IFERROR(INDEX('Material routes'!$D$6:$D$2205,MATCH(U980,'Material routes'!$A$6:$A$2205,0)),"MISSING ID")</x:f>
        <x:v>proposal.collection.canister_shelter_docking_stand</x:v>
      </x:c>
      <x:c r="T980" s="4" t="str">
        <x:f>IFERROR(INDEX('Material routes'!$D$6:$D$2205,MATCH(V980,'Material routes'!$A$6:$A$2205,0)),"MISSING ID")</x:f>
        <x:v>tool.popup_camp</x:v>
      </x:c>
      <x:c r="U980" s="4" t="str">
        <x:v>design.audit.tool_popup_camp.audit.in.9</x:v>
      </x:c>
      <x:c r="V980" s="4" t="str">
        <x:v>design.audit.tool_popup_camp.audit.out</x:v>
      </x:c>
    </x:row>
    <x:row r="981" ht="64" customHeight="1">
      <x:c r="A981" s="4" t="str">
        <x:f>IFERROR(INDEX('Material routes'!$E$6:$E$2205,MATCH(U981,'Material routes'!$A$6:$A$2205,0)),"MISSING ID")</x:f>
        <x:v>Shelter repair patch roll</x:v>
      </x:c>
      <x:c r="B981" s="4" t="str">
        <x:f>IFERROR(INDEX('Material routes'!$F$6:$F$2205,MATCH(U981,'Material routes'!$A$6:$A$2205,0)),"MISSING ID")</x:f>
        <x:v>Not applicable</x:v>
      </x:c>
      <x:c r="C981" s="4" t="str">
        <x:f>IFERROR(INDEX('Material routes'!$H$6:$H$2205,MATCH(U981,'Material routes'!$A$6:$A$2205,0)),"MISSING ID")</x:f>
        <x:v>Shelter item</x:v>
      </x:c>
      <x:c r="D981" s="4" t="str">
        <x:f>IFERROR(INDEX('Material routes'!$G$6:$G$2205,MATCH(U981,'Material routes'!$A$6:$A$2205,0)),"MISSING ID")</x:f>
        <x:v>Salvage</x:v>
      </x:c>
      <x:c r="E981" s="4" t="str">
        <x:f>IFERROR(INDEX('Material routes'!$C$6:$C$2205,MATCH(U981,'Material routes'!$A$6:$A$2205,0)),"MISSING ID")</x:f>
        <x:v>Ingredient candidate</x:v>
      </x:c>
      <x:c r="F981" s="4" t="str">
        <x:f>IFERROR(INDEX('Material routes'!$E$6:$E$2205,MATCH(V981,'Material routes'!$A$6:$A$2205,0)),"MISSING ID")</x:f>
        <x:v>Pop-up camp</x:v>
      </x:c>
      <x:c r="G981" s="4" t="str">
        <x:f>IFERROR(INDEX('Material routes'!$F$6:$F$2205,MATCH(V981,'Material routes'!$A$6:$A$2205,0)),"MISSING ID")</x:f>
        <x:v>Not applicable</x:v>
      </x:c>
      <x:c r="H981" s="4" t="str">
        <x:f>IFERROR(INDEX('Material routes'!$H$6:$H$2205,MATCH(V981,'Material routes'!$A$6:$A$2205,0)),"MISSING ID")</x:f>
        <x:v>Shelter item</x:v>
      </x:c>
      <x:c r="I981" s="4" t="str">
        <x:f>IFERROR(INDEX('Material routes'!$G$6:$G$2205,MATCH(V981,'Material routes'!$A$6:$A$2205,0)),"MISSING ID")</x:f>
        <x:v>Salvage</x:v>
      </x:c>
      <x:c r="J981" s="4" t="str">
        <x:f>IFERROR(INDEX('Material routes'!$B$6:$B$2205,MATCH(U981,'Material routes'!$A$6:$A$2205,0)),"MISSING ID")</x:f>
        <x:v>design.audit.tool_popup_camp</x:v>
      </x:c>
      <x:c r="K981" s="4" t="str">
        <x:f>IFERROR(INDEX('Crafting recipes'!$C$6:$C$1005,MATCH(J981,'Crafting recipes'!$A$6:$A$1005,0)),"MISSING ID")</x:f>
        <x:v>Kit assembly</x:v>
      </x:c>
      <x:c r="L981" s="4" t="str">
        <x:f>IFERROR(INDEX('Material routes'!$K$6:$K$2205,MATCH(U981,'Material routes'!$A$6:$A$2205,0)),"MISSING ID")</x:f>
        <x:v>Proposal</x:v>
      </x:c>
      <x:c r="M981" s="4" t="str">
        <x:f>IFERROR(INDEX('Material routes'!$M$6:$M$2205,MATCH(U981,'Material routes'!$A$6:$A$2205,0)),"MISSING ID")</x:f>
        <x:v>Partial proposal</x:v>
      </x:c>
      <x:c r="N981" s="4"/>
      <x:c r="O981" s="4" t="str">
        <x:f>IFERROR(INDEX('Material routes'!$J$6:$J$2205,MATCH(U981,'Material routes'!$A$6:$A$2205,0)),"MISSING ID")</x:f>
        <x:v>Unspecified</x:v>
      </x:c>
      <x:c r="P981" s="4"/>
      <x:c r="Q981" s="4" t="str">
        <x:f>IFERROR(INDEX('Material routes'!$J$6:$J$2205,MATCH(V981,'Material routes'!$A$6:$A$2205,0)),"MISSING ID")</x:f>
        <x:v>Unspecified</x:v>
      </x:c>
      <x:c r="R981" s="4" t="str">
        <x:f>IF(L981="Withheld","Withheld premise",IF(E981="Tool candidate","Reusable prerequisite",IF(K981="Raw entry preparation","Entry-resource preparation",IF(G981="Not applicable",IF(IFERROR(INDEX('Items'!$AI$6:$AI$1005,MATCH(T981,'Items'!$A$6:$A$1005,0)),"MISSING ID")="Finished item","Finished endpoint",IF(IFERROR(INDEX('Items'!$AI$6:$AI$1005,MATCH(T981,'Items'!$A$6:$A$1005,0)),"MISSING ID")="Currency","Currency / no refinement tier","Recovered output / tier not applicable")),IF(OR(IFERROR(INDEX('Crafting recipes'!$H$6:$H$1005,MATCH(J981,'Crafting recipes'!$A$6:$A$1005,0)),"MISSING ID")="Unassigned",G981="Unassigned"),"Tier unresolved",IF(IFERROR(VALUE(RIGHT(G981,1))-VALUE(RIGHT(IFERROR(INDEX('Crafting recipes'!$H$6:$H$1005,MATCH(J981,'Crafting recipes'!$A$6:$A$1005,0)),"MISSING ID"),1)),0)=1,IF(B981=IFERROR(INDEX('Crafting recipes'!$H$6:$H$1005,MATCH(J981,'Crafting recipes'!$A$6:$A$1005,0)),"MISSING ID"),"Advances one material tier","Lower-tier ingredient; route advances one tier"),"Needs tier review"))))))</x:f>
        <x:v>Finished endpoint</x:v>
      </x:c>
      <x:c r="S981" s="4" t="str">
        <x:f>IFERROR(INDEX('Material routes'!$D$6:$D$2205,MATCH(U981,'Material routes'!$A$6:$A$2205,0)),"MISSING ID")</x:f>
        <x:v>proposal.collection.shelter_repair_patch_roll</x:v>
      </x:c>
      <x:c r="T981" s="4" t="str">
        <x:f>IFERROR(INDEX('Material routes'!$D$6:$D$2205,MATCH(V981,'Material routes'!$A$6:$A$2205,0)),"MISSING ID")</x:f>
        <x:v>tool.popup_camp</x:v>
      </x:c>
      <x:c r="U981" s="4" t="str">
        <x:v>design.audit.tool_popup_camp.audit.in.10</x:v>
      </x:c>
      <x:c r="V981" s="4" t="str">
        <x:v>design.audit.tool_popup_camp.audit.out</x:v>
      </x:c>
    </x:row>
    <x:row r="982" ht="64" customHeight="1">
      <x:c r="A982" s="4" t="str">
        <x:f>IFERROR(INDEX('Material routes'!$E$6:$E$2205,MATCH(U982,'Material routes'!$A$6:$A$2205,0)),"MISSING ID")</x:f>
        <x:v>Screened remanent magnet pieces</x:v>
      </x:c>
      <x:c r="B982" s="4" t="str">
        <x:f>IFERROR(INDEX('Material routes'!$F$6:$F$2205,MATCH(U982,'Material routes'!$A$6:$A$2205,0)),"MISSING ID")</x:f>
        <x:v>T1</x:v>
      </x:c>
      <x:c r="C982" s="4" t="str">
        <x:f>IFERROR(INDEX('Material routes'!$H$6:$H$2205,MATCH(U982,'Material routes'!$A$6:$A$2205,0)),"MISSING ID")</x:f>
        <x:v>Processed material</x:v>
      </x:c>
      <x:c r="D982" s="4" t="str">
        <x:f>IFERROR(INDEX('Material routes'!$G$6:$G$2205,MATCH(U982,'Material routes'!$A$6:$A$2205,0)),"MISSING ID")</x:f>
        <x:v>Manufactured stock</x:v>
      </x:c>
      <x:c r="E982" s="4" t="str">
        <x:f>IFERROR(INDEX('Material routes'!$C$6:$C$2205,MATCH(U982,'Material routes'!$A$6:$A$2205,0)),"MISSING ID")</x:f>
        <x:v>Ingredient candidate</x:v>
      </x:c>
      <x:c r="F982" s="4" t="str">
        <x:f>IFERROR(INDEX('Material routes'!$E$6:$E$2205,MATCH(V982,'Material routes'!$A$6:$A$2205,0)),"MISSING ID")</x:f>
        <x:v>Field magnets</x:v>
      </x:c>
      <x:c r="G982" s="4" t="str">
        <x:f>IFERROR(INDEX('Material routes'!$F$6:$F$2205,MATCH(V982,'Material routes'!$A$6:$A$2205,0)),"MISSING ID")</x:f>
        <x:v>Not applicable</x:v>
      </x:c>
      <x:c r="H982" s="4" t="str">
        <x:f>IFERROR(INDEX('Material routes'!$H$6:$H$2205,MATCH(V982,'Material routes'!$A$6:$A$2205,0)),"MISSING ID")</x:f>
        <x:v>Tool</x:v>
      </x:c>
      <x:c r="I982" s="4" t="str">
        <x:f>IFERROR(INDEX('Material routes'!$G$6:$G$2205,MATCH(V982,'Material routes'!$A$6:$A$2205,0)),"MISSING ID")</x:f>
        <x:v>Tools</x:v>
      </x:c>
      <x:c r="J982" s="4" t="str">
        <x:f>IFERROR(INDEX('Material routes'!$B$6:$B$2205,MATCH(U982,'Material routes'!$A$6:$A$2205,0)),"MISSING ID")</x:f>
        <x:v>design.audit.proposal_gear_magnets</x:v>
      </x:c>
      <x:c r="K982" s="4" t="str">
        <x:f>IFERROR(INDEX('Crafting recipes'!$C$6:$C$1005,MATCH(J982,'Crafting recipes'!$A$6:$A$1005,0)),"MISSING ID")</x:f>
        <x:v>Finished-item crafting</x:v>
      </x:c>
      <x:c r="L982" s="4" t="str">
        <x:f>IFERROR(INDEX('Material routes'!$K$6:$K$2205,MATCH(U982,'Material routes'!$A$6:$A$2205,0)),"MISSING ID")</x:f>
        <x:v>Proposal</x:v>
      </x:c>
      <x:c r="M982" s="4" t="str">
        <x:f>IFERROR(INDEX('Material routes'!$M$6:$M$2205,MATCH(U982,'Material routes'!$A$6:$A$2205,0)),"MISSING ID")</x:f>
        <x:v>Partial proposal</x:v>
      </x:c>
      <x:c r="N982" s="4"/>
      <x:c r="O982" s="4" t="str">
        <x:f>IFERROR(INDEX('Material routes'!$J$6:$J$2205,MATCH(U982,'Material routes'!$A$6:$A$2205,0)),"MISSING ID")</x:f>
        <x:v>Unspecified</x:v>
      </x:c>
      <x:c r="P982" s="4"/>
      <x:c r="Q982" s="4" t="str">
        <x:f>IFERROR(INDEX('Material routes'!$J$6:$J$2205,MATCH(V982,'Material routes'!$A$6:$A$2205,0)),"MISSING ID")</x:f>
        <x:v>Unspecified</x:v>
      </x:c>
      <x:c r="R982" s="4" t="str">
        <x:f>IF(L982="Withheld","Withheld premise",IF(E982="Tool candidate","Reusable prerequisite",IF(K982="Raw entry preparation","Entry-resource preparation",IF(G982="Not applicable",IF(IFERROR(INDEX('Items'!$AI$6:$AI$1005,MATCH(T982,'Items'!$A$6:$A$1005,0)),"MISSING ID")="Finished item","Finished endpoint",IF(IFERROR(INDEX('Items'!$AI$6:$AI$1005,MATCH(T982,'Items'!$A$6:$A$1005,0)),"MISSING ID")="Currency","Currency / no refinement tier","Recovered output / tier not applicable")),IF(OR(IFERROR(INDEX('Crafting recipes'!$H$6:$H$1005,MATCH(J982,'Crafting recipes'!$A$6:$A$1005,0)),"MISSING ID")="Unassigned",G982="Unassigned"),"Tier unresolved",IF(IFERROR(VALUE(RIGHT(G982,1))-VALUE(RIGHT(IFERROR(INDEX('Crafting recipes'!$H$6:$H$1005,MATCH(J982,'Crafting recipes'!$A$6:$A$1005,0)),"MISSING ID"),1)),0)=1,IF(B982=IFERROR(INDEX('Crafting recipes'!$H$6:$H$1005,MATCH(J982,'Crafting recipes'!$A$6:$A$1005,0)),"MISSING ID"),"Advances one material tier","Lower-tier ingredient; route advances one tier"),"Needs tier review"))))))</x:f>
        <x:v>Finished endpoint</x:v>
      </x:c>
      <x:c r="S982" s="4" t="str">
        <x:f>IFERROR(INDEX('Material routes'!$D$6:$D$2205,MATCH(U982,'Material routes'!$A$6:$A$2205,0)),"MISSING ID")</x:f>
        <x:v>proposal.audit.screened_remanent_magnet_pieces</x:v>
      </x:c>
      <x:c r="T982" s="4" t="str">
        <x:f>IFERROR(INDEX('Material routes'!$D$6:$D$2205,MATCH(V982,'Material routes'!$A$6:$A$2205,0)),"MISSING ID")</x:f>
        <x:v>proposal.gear.magnets</x:v>
      </x:c>
      <x:c r="U982" s="4" t="str">
        <x:v>design.audit.proposal_gear_magnets.audit.in.1</x:v>
      </x:c>
      <x:c r="V982" s="4" t="str">
        <x:v>design.audit.proposal_gear_magnets.audit.out</x:v>
      </x:c>
    </x:row>
    <x:row r="983" ht="64" customHeight="1">
      <x:c r="A983" s="4" t="str">
        <x:f>IFERROR(INDEX('Material routes'!$E$6:$E$2205,MATCH(U983,'Material routes'!$A$6:$A$2205,0)),"MISSING ID")</x:f>
        <x:v>Shaped metal grip blank</x:v>
      </x:c>
      <x:c r="B983" s="4" t="str">
        <x:f>IFERROR(INDEX('Material routes'!$F$6:$F$2205,MATCH(U983,'Material routes'!$A$6:$A$2205,0)),"MISSING ID")</x:f>
        <x:v>T3</x:v>
      </x:c>
      <x:c r="C983" s="4" t="str">
        <x:f>IFERROR(INDEX('Material routes'!$H$6:$H$2205,MATCH(U983,'Material routes'!$A$6:$A$2205,0)),"MISSING ID")</x:f>
        <x:v>Crafting component</x:v>
      </x:c>
      <x:c r="D983" s="4" t="str">
        <x:f>IFERROR(INDEX('Material routes'!$G$6:$G$2205,MATCH(U983,'Material routes'!$A$6:$A$2205,0)),"MISSING ID")</x:f>
        <x:v>Crafting components</x:v>
      </x:c>
      <x:c r="E983" s="4" t="str">
        <x:f>IFERROR(INDEX('Material routes'!$C$6:$C$2205,MATCH(U983,'Material routes'!$A$6:$A$2205,0)),"MISSING ID")</x:f>
        <x:v>Ingredient candidate</x:v>
      </x:c>
      <x:c r="F983" s="4" t="str">
        <x:f>IFERROR(INDEX('Material routes'!$E$6:$E$2205,MATCH(V983,'Material routes'!$A$6:$A$2205,0)),"MISSING ID")</x:f>
        <x:v>Field magnets</x:v>
      </x:c>
      <x:c r="G983" s="4" t="str">
        <x:f>IFERROR(INDEX('Material routes'!$F$6:$F$2205,MATCH(V983,'Material routes'!$A$6:$A$2205,0)),"MISSING ID")</x:f>
        <x:v>Not applicable</x:v>
      </x:c>
      <x:c r="H983" s="4" t="str">
        <x:f>IFERROR(INDEX('Material routes'!$H$6:$H$2205,MATCH(V983,'Material routes'!$A$6:$A$2205,0)),"MISSING ID")</x:f>
        <x:v>Tool</x:v>
      </x:c>
      <x:c r="I983" s="4" t="str">
        <x:f>IFERROR(INDEX('Material routes'!$G$6:$G$2205,MATCH(V983,'Material routes'!$A$6:$A$2205,0)),"MISSING ID")</x:f>
        <x:v>Tools</x:v>
      </x:c>
      <x:c r="J983" s="4" t="str">
        <x:f>IFERROR(INDEX('Material routes'!$B$6:$B$2205,MATCH(U983,'Material routes'!$A$6:$A$2205,0)),"MISSING ID")</x:f>
        <x:v>design.audit.proposal_gear_magnets</x:v>
      </x:c>
      <x:c r="K983" s="4" t="str">
        <x:f>IFERROR(INDEX('Crafting recipes'!$C$6:$C$1005,MATCH(J983,'Crafting recipes'!$A$6:$A$1005,0)),"MISSING ID")</x:f>
        <x:v>Finished-item crafting</x:v>
      </x:c>
      <x:c r="L983" s="4" t="str">
        <x:f>IFERROR(INDEX('Material routes'!$K$6:$K$2205,MATCH(U983,'Material routes'!$A$6:$A$2205,0)),"MISSING ID")</x:f>
        <x:v>Proposal</x:v>
      </x:c>
      <x:c r="M983" s="4" t="str">
        <x:f>IFERROR(INDEX('Material routes'!$M$6:$M$2205,MATCH(U983,'Material routes'!$A$6:$A$2205,0)),"MISSING ID")</x:f>
        <x:v>Partial proposal</x:v>
      </x:c>
      <x:c r="N983" s="4"/>
      <x:c r="O983" s="4" t="str">
        <x:f>IFERROR(INDEX('Material routes'!$J$6:$J$2205,MATCH(U983,'Material routes'!$A$6:$A$2205,0)),"MISSING ID")</x:f>
        <x:v>Unspecified</x:v>
      </x:c>
      <x:c r="P983" s="4"/>
      <x:c r="Q983" s="4" t="str">
        <x:f>IFERROR(INDEX('Material routes'!$J$6:$J$2205,MATCH(V983,'Material routes'!$A$6:$A$2205,0)),"MISSING ID")</x:f>
        <x:v>Unspecified</x:v>
      </x:c>
      <x:c r="R983" s="4" t="str">
        <x:f>IF(L983="Withheld","Withheld premise",IF(E983="Tool candidate","Reusable prerequisite",IF(K983="Raw entry preparation","Entry-resource preparation",IF(G983="Not applicable",IF(IFERROR(INDEX('Items'!$AI$6:$AI$1005,MATCH(T983,'Items'!$A$6:$A$1005,0)),"MISSING ID")="Finished item","Finished endpoint",IF(IFERROR(INDEX('Items'!$AI$6:$AI$1005,MATCH(T983,'Items'!$A$6:$A$1005,0)),"MISSING ID")="Currency","Currency / no refinement tier","Recovered output / tier not applicable")),IF(OR(IFERROR(INDEX('Crafting recipes'!$H$6:$H$1005,MATCH(J983,'Crafting recipes'!$A$6:$A$1005,0)),"MISSING ID")="Unassigned",G983="Unassigned"),"Tier unresolved",IF(IFERROR(VALUE(RIGHT(G983,1))-VALUE(RIGHT(IFERROR(INDEX('Crafting recipes'!$H$6:$H$1005,MATCH(J983,'Crafting recipes'!$A$6:$A$1005,0)),"MISSING ID"),1)),0)=1,IF(B983=IFERROR(INDEX('Crafting recipes'!$H$6:$H$1005,MATCH(J983,'Crafting recipes'!$A$6:$A$1005,0)),"MISSING ID"),"Advances one material tier","Lower-tier ingredient; route advances one tier"),"Needs tier review"))))))</x:f>
        <x:v>Finished endpoint</x:v>
      </x:c>
      <x:c r="S983" s="4" t="str">
        <x:f>IFERROR(INDEX('Material routes'!$D$6:$D$2205,MATCH(U983,'Material routes'!$A$6:$A$2205,0)),"MISSING ID")</x:f>
        <x:v>proposal.audit.shaped_metal_grip_blank</x:v>
      </x:c>
      <x:c r="T983" s="4" t="str">
        <x:f>IFERROR(INDEX('Material routes'!$D$6:$D$2205,MATCH(V983,'Material routes'!$A$6:$A$2205,0)),"MISSING ID")</x:f>
        <x:v>proposal.gear.magnets</x:v>
      </x:c>
      <x:c r="U983" s="4" t="str">
        <x:v>design.audit.proposal_gear_magnets.audit.in.2</x:v>
      </x:c>
      <x:c r="V983" s="4" t="str">
        <x:v>design.audit.proposal_gear_magnets.audit.out</x:v>
      </x:c>
    </x:row>
    <x:row r="984" ht="64" customHeight="1">
      <x:c r="A984" s="4"/>
      <x:c r="B984" s="4"/>
      <x:c r="C984" s="4"/>
      <x:c r="D984" s="4"/>
      <x:c r="E984" s="4"/>
      <x:c r="F984" s="4"/>
      <x:c r="G984" s="4"/>
      <x:c r="H984" s="4"/>
      <x:c r="I984" s="4"/>
      <x:c r="J984" s="4"/>
      <x:c r="K984" s="4"/>
      <x:c r="L984" s="4"/>
      <x:c r="M984" s="4"/>
      <x:c r="N984" s="4"/>
      <x:c r="O984" s="4"/>
      <x:c r="P984" s="4"/>
      <x:c r="Q984" s="4"/>
      <x:c r="R984" s="4"/>
      <x:c r="S984" s="4"/>
      <x:c r="T984" s="4"/>
      <x:c r="U984" s="4"/>
      <x:c r="V984" s="4"/>
    </x:row>
    <x:row r="985" ht="64" customHeight="1">
      <x:c r="A985" s="4"/>
      <x:c r="B985" s="4"/>
      <x:c r="C985" s="4"/>
      <x:c r="D985" s="4"/>
      <x:c r="E985" s="4"/>
      <x:c r="F985" s="4"/>
      <x:c r="G985" s="4"/>
      <x:c r="H985" s="4"/>
      <x:c r="I985" s="4"/>
      <x:c r="J985" s="4"/>
      <x:c r="K985" s="4"/>
      <x:c r="L985" s="4"/>
      <x:c r="M985" s="4"/>
      <x:c r="N985" s="4"/>
      <x:c r="O985" s="4"/>
      <x:c r="P985" s="4"/>
      <x:c r="Q985" s="4"/>
      <x:c r="R985" s="4"/>
      <x:c r="S985" s="4"/>
      <x:c r="T985" s="4"/>
      <x:c r="U985" s="4"/>
      <x:c r="V985" s="4"/>
    </x:row>
    <x:row r="986" ht="64" customHeight="1">
      <x:c r="A986" s="4"/>
      <x:c r="B986" s="4"/>
      <x:c r="C986" s="4"/>
      <x:c r="D986" s="4"/>
      <x:c r="E986" s="4"/>
      <x:c r="F986" s="4"/>
      <x:c r="G986" s="4"/>
      <x:c r="H986" s="4"/>
      <x:c r="I986" s="4"/>
      <x:c r="J986" s="4"/>
      <x:c r="K986" s="4"/>
      <x:c r="L986" s="4"/>
      <x:c r="M986" s="4"/>
      <x:c r="N986" s="4"/>
      <x:c r="O986" s="4"/>
      <x:c r="P986" s="4"/>
      <x:c r="Q986" s="4"/>
      <x:c r="R986" s="4"/>
      <x:c r="S986" s="4"/>
      <x:c r="T986" s="4"/>
      <x:c r="U986" s="4"/>
      <x:c r="V986" s="4"/>
    </x:row>
    <x:row r="987" ht="64" customHeight="1">
      <x:c r="A987" s="4"/>
      <x:c r="B987" s="4"/>
      <x:c r="C987" s="4"/>
      <x:c r="D987" s="4"/>
      <x:c r="E987" s="4"/>
      <x:c r="F987" s="4"/>
      <x:c r="G987" s="4"/>
      <x:c r="H987" s="4"/>
      <x:c r="I987" s="4"/>
      <x:c r="J987" s="4"/>
      <x:c r="K987" s="4"/>
      <x:c r="L987" s="4"/>
      <x:c r="M987" s="4"/>
      <x:c r="N987" s="4"/>
      <x:c r="P987" s="4"/>
      <x:c r="R987" s="4"/>
      <x:c r="S987" s="4"/>
      <x:c r="T987" s="4"/>
      <x:c r="U987" s="4"/>
      <x:c r="V987" s="4"/>
    </x:row>
    <x:row r="988" ht="64" customHeight="1">
      <x:c r="A988" s="4"/>
      <x:c r="B988" s="4"/>
      <x:c r="C988" s="4"/>
      <x:c r="D988" s="4"/>
      <x:c r="E988" s="4"/>
      <x:c r="F988" s="4"/>
      <x:c r="G988" s="4"/>
      <x:c r="H988" s="4"/>
      <x:c r="I988" s="4"/>
      <x:c r="J988" s="4"/>
      <x:c r="K988" s="4"/>
      <x:c r="L988" s="4"/>
      <x:c r="M988" s="4"/>
      <x:c r="N988" s="4"/>
      <x:c r="P988" s="4"/>
      <x:c r="R988" s="4"/>
      <x:c r="S988" s="4"/>
      <x:c r="T988" s="4"/>
      <x:c r="U988" s="4"/>
      <x:c r="V988" s="4"/>
    </x:row>
    <x:row r="989" ht="64" customHeight="1">
      <x:c r="A989" s="4" t="str">
        <x:f>IFERROR(INDEX('Material routes'!$E$6:$E$2205,MATCH(U989,'Material routes'!$A$6:$A$2205,0)),"MISSING ID")</x:f>
        <x:v>Opaque mineral-glass stock</x:v>
      </x:c>
      <x:c r="B989" s="4" t="str">
        <x:f>IFERROR(INDEX('Material routes'!$F$6:$F$2205,MATCH(U989,'Material routes'!$A$6:$A$2205,0)),"MISSING ID")</x:f>
        <x:v>T1</x:v>
      </x:c>
      <x:c r="C989" s="4" t="str">
        <x:f>IFERROR(INDEX('Material routes'!$H$6:$H$2205,MATCH(U989,'Material routes'!$A$6:$A$2205,0)),"MISSING ID")</x:f>
        <x:v>Processed material</x:v>
      </x:c>
      <x:c r="D989" s="4" t="str">
        <x:f>IFERROR(INDEX('Material routes'!$G$6:$G$2205,MATCH(U989,'Material routes'!$A$6:$A$2205,0)),"MISSING ID")</x:f>
        <x:v>Manufactured stock</x:v>
      </x:c>
      <x:c r="E989" s="4" t="str">
        <x:f>IFERROR(INDEX('Material routes'!$C$6:$C$2205,MATCH(U989,'Material routes'!$A$6:$A$2205,0)),"MISSING ID")</x:f>
        <x:v>Ingredient candidate</x:v>
      </x:c>
      <x:c r="F989" s="4" t="str">
        <x:f>IFERROR(INDEX('Material routes'!$E$6:$E$2205,MATCH(V989,'Material routes'!$A$6:$A$2205,0)),"MISSING ID")</x:f>
        <x:v>Opaque reagent bottle</x:v>
      </x:c>
      <x:c r="G989" s="4" t="str">
        <x:f>IFERROR(INDEX('Material routes'!$F$6:$F$2205,MATCH(V989,'Material routes'!$A$6:$A$2205,0)),"MISSING ID")</x:f>
        <x:v>Not applicable</x:v>
      </x:c>
      <x:c r="H989" s="4" t="inlineStr">
        <x:is>
          <x:t xml:space="preserve">Salvage</x:t>
        </x:is>
      </x:c>
      <x:c r="I989" s="4" t="str">
        <x:f>IFERROR(INDEX('Material routes'!$G$6:$G$2205,MATCH(V989,'Material routes'!$A$6:$A$2205,0)),"MISSING ID")</x:f>
        <x:v>Salvage</x:v>
      </x:c>
      <x:c r="J989" s="4" t="str">
        <x:f>IFERROR(INDEX('Material routes'!$B$6:$B$2205,MATCH(U989,'Material routes'!$A$6:$A$2205,0)),"MISSING ID")</x:f>
        <x:v>design.audit.proposal_container_reagent_bottle</x:v>
      </x:c>
      <x:c r="K989" s="4" t="str">
        <x:f>IFERROR(INDEX('Crafting recipes'!$C$6:$C$1005,MATCH(J989,'Crafting recipes'!$A$6:$A$1005,0)),"MISSING ID")</x:f>
        <x:v>Finished-item crafting</x:v>
      </x:c>
      <x:c r="L989" s="4" t="inlineStr">
        <x:is>
          <x:t xml:space="preserve">Retired</x:t>
        </x:is>
      </x:c>
      <x:c r="M989" s="4" t="inlineStr">
        <x:is>
          <x:t xml:space="preserve">Withdrawn container proposal</x:t>
        </x:is>
      </x:c>
      <x:c r="N989" s="4"/>
      <x:c r="O989" s="4" t="str">
        <x:f>IFERROR(INDEX('Material routes'!$J$6:$J$2205,MATCH(U989,'Material routes'!$A$6:$A$2205,0)),"MISSING ID")</x:f>
        <x:v>Unspecified</x:v>
      </x:c>
      <x:c r="P989" s="4"/>
      <x:c r="Q989" s="4" t="str">
        <x:f>IFERROR(INDEX('Material routes'!$J$6:$J$2205,MATCH(V989,'Material routes'!$A$6:$A$2205,0)),"MISSING ID")</x:f>
        <x:v>Unspecified</x:v>
      </x:c>
      <x:c r="R989" s="4" t="str">
        <x:f>IF(L989="Withheld","Withheld premise",IF(E989="Tool candidate","Reusable prerequisite",IF(K989="Raw entry preparation","Entry-resource preparation",IF(G989="Not applicable",IF(IFERROR(INDEX('Items'!$AI$6:$AI$1005,MATCH(T989,'Items'!$A$6:$A$1005,0)),"MISSING ID")="Finished item","Finished endpoint",IF(IFERROR(INDEX('Items'!$AI$6:$AI$1005,MATCH(T989,'Items'!$A$6:$A$1005,0)),"MISSING ID")="Currency","Currency / no refinement tier","Recovered output / tier not applicable")),IF(OR(IFERROR(INDEX('Crafting recipes'!$H$6:$H$1005,MATCH(J989,'Crafting recipes'!$A$6:$A$1005,0)),"MISSING ID")="Unassigned",G989="Unassigned"),"Tier unresolved",IF(IFERROR(VALUE(RIGHT(G989,1))-VALUE(RIGHT(IFERROR(INDEX('Crafting recipes'!$H$6:$H$1005,MATCH(J989,'Crafting recipes'!$A$6:$A$1005,0)),"MISSING ID"),1)),0)=1,IF(B989=IFERROR(INDEX('Crafting recipes'!$H$6:$H$1005,MATCH(J989,'Crafting recipes'!$A$6:$A$1005,0)),"MISSING ID"),"Advances one material tier","Lower-tier ingredient; route advances one tier"),"Needs tier review"))))))</x:f>
        <x:v>Finished endpoint</x:v>
      </x:c>
      <x:c r="S989" s="4" t="str">
        <x:f>IFERROR(INDEX('Material routes'!$D$6:$D$2205,MATCH(U989,'Material routes'!$A$6:$A$2205,0)),"MISSING ID")</x:f>
        <x:v>proposal.t1.opaque_glass</x:v>
      </x:c>
      <x:c r="T989" s="4" t="str">
        <x:f>IFERROR(INDEX('Material routes'!$D$6:$D$2205,MATCH(V989,'Material routes'!$A$6:$A$2205,0)),"MISSING ID")</x:f>
        <x:v>proposal.container.reagent_bottle</x:v>
      </x:c>
      <x:c r="U989" s="4" t="str">
        <x:v>design.audit.proposal_container_reagent_bottle.audit.in.1</x:v>
      </x:c>
      <x:c r="V989" s="4" t="str">
        <x:v>design.audit.proposal_container_reagent_bottle.audit.out</x:v>
      </x:c>
    </x:row>
    <x:row r="990" ht="64" customHeight="1">
      <x:c r="A990" s="4" t="str">
        <x:f>IFERROR(INDEX('Material routes'!$E$6:$E$2205,MATCH(U990,'Material routes'!$A$6:$A$2205,0)),"MISSING ID")</x:f>
        <x:v>Matched glass stopper</x:v>
      </x:c>
      <x:c r="B990" s="4" t="str">
        <x:f>IFERROR(INDEX('Material routes'!$F$6:$F$2205,MATCH(U990,'Material routes'!$A$6:$A$2205,0)),"MISSING ID")</x:f>
        <x:v>T2</x:v>
      </x:c>
      <x:c r="C990" s="4" t="inlineStr">
        <x:is>
          <x:t xml:space="preserve">Salvage</x:t>
        </x:is>
      </x:c>
      <x:c r="D990" s="4" t="str">
        <x:f>IFERROR(INDEX('Material routes'!$G$6:$G$2205,MATCH(U990,'Material routes'!$A$6:$A$2205,0)),"MISSING ID")</x:f>
        <x:v>Salvage</x:v>
      </x:c>
      <x:c r="E990" s="4" t="str">
        <x:f>IFERROR(INDEX('Material routes'!$C$6:$C$2205,MATCH(U990,'Material routes'!$A$6:$A$2205,0)),"MISSING ID")</x:f>
        <x:v>Ingredient candidate</x:v>
      </x:c>
      <x:c r="F990" s="4" t="str">
        <x:f>IFERROR(INDEX('Material routes'!$E$6:$E$2205,MATCH(V990,'Material routes'!$A$6:$A$2205,0)),"MISSING ID")</x:f>
        <x:v>Opaque reagent bottle</x:v>
      </x:c>
      <x:c r="G990" s="4" t="str">
        <x:f>IFERROR(INDEX('Material routes'!$F$6:$F$2205,MATCH(V990,'Material routes'!$A$6:$A$2205,0)),"MISSING ID")</x:f>
        <x:v>Not applicable</x:v>
      </x:c>
      <x:c r="H990" s="4" t="inlineStr">
        <x:is>
          <x:t xml:space="preserve">Salvage</x:t>
        </x:is>
      </x:c>
      <x:c r="I990" s="4" t="str">
        <x:f>IFERROR(INDEX('Material routes'!$G$6:$G$2205,MATCH(V990,'Material routes'!$A$6:$A$2205,0)),"MISSING ID")</x:f>
        <x:v>Salvage</x:v>
      </x:c>
      <x:c r="J990" s="4" t="str">
        <x:f>IFERROR(INDEX('Material routes'!$B$6:$B$2205,MATCH(U990,'Material routes'!$A$6:$A$2205,0)),"MISSING ID")</x:f>
        <x:v>design.audit.proposal_container_reagent_bottle</x:v>
      </x:c>
      <x:c r="K990" s="4" t="str">
        <x:f>IFERROR(INDEX('Crafting recipes'!$C$6:$C$1005,MATCH(J990,'Crafting recipes'!$A$6:$A$1005,0)),"MISSING ID")</x:f>
        <x:v>Finished-item crafting</x:v>
      </x:c>
      <x:c r="L990" s="4" t="inlineStr">
        <x:is>
          <x:t xml:space="preserve">Retired</x:t>
        </x:is>
      </x:c>
      <x:c r="M990" s="4" t="inlineStr">
        <x:is>
          <x:t xml:space="preserve">Withdrawn container proposal</x:t>
        </x:is>
      </x:c>
      <x:c r="N990" s="4"/>
      <x:c r="O990" s="4" t="str">
        <x:f>IFERROR(INDEX('Material routes'!$J$6:$J$2205,MATCH(U990,'Material routes'!$A$6:$A$2205,0)),"MISSING ID")</x:f>
        <x:v>Unspecified</x:v>
      </x:c>
      <x:c r="P990" s="4"/>
      <x:c r="Q990" s="4" t="str">
        <x:f>IFERROR(INDEX('Material routes'!$J$6:$J$2205,MATCH(V990,'Material routes'!$A$6:$A$2205,0)),"MISSING ID")</x:f>
        <x:v>Unspecified</x:v>
      </x:c>
      <x:c r="R990" s="4" t="str">
        <x:f>IF(L990="Withheld","Withheld premise",IF(E990="Tool candidate","Reusable prerequisite",IF(K990="Raw entry preparation","Entry-resource preparation",IF(G990="Not applicable",IF(IFERROR(INDEX('Items'!$AI$6:$AI$1005,MATCH(T990,'Items'!$A$6:$A$1005,0)),"MISSING ID")="Finished item","Finished endpoint",IF(IFERROR(INDEX('Items'!$AI$6:$AI$1005,MATCH(T990,'Items'!$A$6:$A$1005,0)),"MISSING ID")="Currency","Currency / no refinement tier","Recovered output / tier not applicable")),IF(OR(IFERROR(INDEX('Crafting recipes'!$H$6:$H$1005,MATCH(J990,'Crafting recipes'!$A$6:$A$1005,0)),"MISSING ID")="Unassigned",G990="Unassigned"),"Tier unresolved",IF(IFERROR(VALUE(RIGHT(G990,1))-VALUE(RIGHT(IFERROR(INDEX('Crafting recipes'!$H$6:$H$1005,MATCH(J990,'Crafting recipes'!$A$6:$A$1005,0)),"MISSING ID"),1)),0)=1,IF(B990=IFERROR(INDEX('Crafting recipes'!$H$6:$H$1005,MATCH(J990,'Crafting recipes'!$A$6:$A$1005,0)),"MISSING ID"),"Advances one material tier","Lower-tier ingredient; route advances one tier"),"Needs tier review"))))))</x:f>
        <x:v>Finished endpoint</x:v>
      </x:c>
      <x:c r="S990" s="4" t="str">
        <x:f>IFERROR(INDEX('Material routes'!$D$6:$D$2205,MATCH(U990,'Material routes'!$A$6:$A$2205,0)),"MISSING ID")</x:f>
        <x:v>proposal.container.glass_stopper</x:v>
      </x:c>
      <x:c r="T990" s="4" t="str">
        <x:f>IFERROR(INDEX('Material routes'!$D$6:$D$2205,MATCH(V990,'Material routes'!$A$6:$A$2205,0)),"MISSING ID")</x:f>
        <x:v>proposal.container.reagent_bottle</x:v>
      </x:c>
      <x:c r="U990" s="4" t="str">
        <x:v>design.audit.proposal_container_reagent_bottle.audit.in.2</x:v>
      </x:c>
      <x:c r="V990" s="4" t="str">
        <x:v>design.audit.proposal_container_reagent_bottle.audit.out</x:v>
      </x:c>
    </x:row>
    <x:row r="991" ht="64" customHeight="1">
      <x:c r="A991" s="4"/>
      <x:c r="B991" s="4"/>
      <x:c r="C991" s="4"/>
      <x:c r="D991" s="4"/>
      <x:c r="E991" s="4"/>
      <x:c r="F991" s="4"/>
      <x:c r="G991" s="4"/>
      <x:c r="H991" s="4"/>
      <x:c r="I991" s="4"/>
      <x:c r="J991" s="4"/>
      <x:c r="K991" s="4"/>
      <x:c r="L991" s="4"/>
      <x:c r="M991" s="4"/>
      <x:c r="N991" s="4"/>
      <x:c r="P991" s="4"/>
      <x:c r="R991" s="4"/>
      <x:c r="S991" s="4"/>
      <x:c r="T991" s="4"/>
      <x:c r="U991" s="4"/>
      <x:c r="V991" s="4"/>
    </x:row>
    <x:row r="992" ht="64" customHeight="1">
      <x:c r="A992" s="4"/>
      <x:c r="B992" s="4"/>
      <x:c r="C992" s="4"/>
      <x:c r="D992" s="4"/>
      <x:c r="E992" s="4"/>
      <x:c r="F992" s="4"/>
      <x:c r="G992" s="4"/>
      <x:c r="H992" s="4"/>
      <x:c r="I992" s="4"/>
      <x:c r="J992" s="4"/>
      <x:c r="K992" s="4"/>
      <x:c r="L992" s="4"/>
      <x:c r="M992" s="4"/>
      <x:c r="N992" s="4"/>
      <x:c r="P992" s="4"/>
      <x:c r="R992" s="4"/>
      <x:c r="S992" s="4"/>
      <x:c r="T992" s="4"/>
      <x:c r="U992" s="4"/>
      <x:c r="V992" s="4"/>
    </x:row>
    <x:row r="993" ht="64" customHeight="1">
      <x:c r="A993" s="4"/>
      <x:c r="B993" s="4"/>
      <x:c r="C993" s="4"/>
      <x:c r="D993" s="4"/>
      <x:c r="E993" s="4"/>
      <x:c r="F993" s="4"/>
      <x:c r="G993" s="4"/>
      <x:c r="H993" s="4"/>
      <x:c r="I993" s="4"/>
      <x:c r="J993" s="4"/>
      <x:c r="K993" s="4"/>
      <x:c r="L993" s="4"/>
      <x:c r="M993" s="4"/>
      <x:c r="N993" s="4"/>
      <x:c r="P993" s="4"/>
      <x:c r="R993" s="4"/>
      <x:c r="S993" s="4"/>
      <x:c r="T993" s="4"/>
      <x:c r="U993" s="4"/>
      <x:c r="V993" s="4"/>
    </x:row>
    <x:row r="994" ht="64" customHeight="1">
      <x:c r="A994" s="4"/>
      <x:c r="B994" s="4"/>
      <x:c r="C994" s="4"/>
      <x:c r="D994" s="4"/>
      <x:c r="E994" s="4"/>
      <x:c r="F994" s="4"/>
      <x:c r="G994" s="4"/>
      <x:c r="H994" s="4"/>
      <x:c r="I994" s="4"/>
      <x:c r="J994" s="4"/>
      <x:c r="K994" s="4"/>
      <x:c r="L994" s="4"/>
      <x:c r="M994" s="4"/>
      <x:c r="N994" s="4"/>
      <x:c r="P994" s="4"/>
      <x:c r="R994" s="4"/>
      <x:c r="S994" s="4"/>
      <x:c r="T994" s="4"/>
      <x:c r="U994" s="4"/>
      <x:c r="V994" s="4"/>
    </x:row>
    <x:row r="995" ht="64" customHeight="1">
      <x:c r="A995" s="4"/>
      <x:c r="B995" s="4"/>
      <x:c r="C995" s="4"/>
      <x:c r="D995" s="4"/>
      <x:c r="E995" s="4"/>
      <x:c r="F995" s="4"/>
      <x:c r="G995" s="4"/>
      <x:c r="H995" s="4"/>
      <x:c r="I995" s="4"/>
      <x:c r="J995" s="4"/>
      <x:c r="K995" s="4"/>
      <x:c r="L995" s="4"/>
      <x:c r="M995" s="4"/>
      <x:c r="N995" s="4"/>
      <x:c r="P995" s="4"/>
      <x:c r="R995" s="4"/>
      <x:c r="S995" s="4"/>
      <x:c r="T995" s="4"/>
      <x:c r="U995" s="4"/>
      <x:c r="V995" s="4"/>
    </x:row>
    <x:row r="996" ht="64" customHeight="1">
      <x:c r="A996" s="4"/>
      <x:c r="B996" s="4"/>
      <x:c r="C996" s="4"/>
      <x:c r="D996" s="4"/>
      <x:c r="E996" s="4"/>
      <x:c r="F996" s="4"/>
      <x:c r="G996" s="4"/>
      <x:c r="H996" s="4"/>
      <x:c r="I996" s="4"/>
      <x:c r="J996" s="4"/>
      <x:c r="K996" s="4"/>
      <x:c r="L996" s="4"/>
      <x:c r="M996" s="4"/>
      <x:c r="N996" s="4"/>
      <x:c r="P996" s="4"/>
      <x:c r="R996" s="4"/>
      <x:c r="S996" s="4"/>
      <x:c r="T996" s="4"/>
      <x:c r="U996" s="4"/>
      <x:c r="V996" s="4"/>
    </x:row>
    <x:row r="997" ht="64" customHeight="1">
      <x:c r="A997" s="4"/>
      <x:c r="B997" s="4"/>
      <x:c r="C997" s="4"/>
      <x:c r="D997" s="4"/>
      <x:c r="E997" s="4"/>
      <x:c r="F997" s="4"/>
      <x:c r="G997" s="4"/>
      <x:c r="H997" s="4"/>
      <x:c r="I997" s="4"/>
      <x:c r="J997" s="4"/>
      <x:c r="K997" s="4"/>
      <x:c r="L997" s="4"/>
      <x:c r="M997" s="4"/>
      <x:c r="N997" s="4"/>
      <x:c r="P997" s="4"/>
      <x:c r="R997" s="4"/>
      <x:c r="S997" s="4"/>
      <x:c r="T997" s="4"/>
      <x:c r="U997" s="4"/>
      <x:c r="V997" s="4"/>
    </x:row>
    <x:row r="998" ht="64" customHeight="1">
      <x:c r="A998" s="4"/>
      <x:c r="B998" s="4"/>
      <x:c r="C998" s="4"/>
      <x:c r="D998" s="4"/>
      <x:c r="E998" s="4"/>
      <x:c r="F998" s="4"/>
      <x:c r="G998" s="4"/>
      <x:c r="H998" s="4"/>
      <x:c r="I998" s="4"/>
      <x:c r="J998" s="4"/>
      <x:c r="K998" s="4"/>
      <x:c r="L998" s="4"/>
      <x:c r="M998" s="4"/>
      <x:c r="N998" s="4"/>
      <x:c r="P998" s="4"/>
      <x:c r="R998" s="4"/>
      <x:c r="S998" s="4"/>
      <x:c r="T998" s="4"/>
      <x:c r="U998" s="4"/>
      <x:c r="V998" s="4"/>
    </x:row>
    <x:row r="999" ht="64" customHeight="1">
      <x:c r="A999" s="4"/>
      <x:c r="B999" s="4"/>
      <x:c r="C999" s="4"/>
      <x:c r="D999" s="4"/>
      <x:c r="E999" s="4"/>
      <x:c r="F999" s="4"/>
      <x:c r="G999" s="4"/>
      <x:c r="H999" s="4"/>
      <x:c r="I999" s="4"/>
      <x:c r="J999" s="4"/>
      <x:c r="K999" s="4"/>
      <x:c r="L999" s="4"/>
      <x:c r="M999" s="4"/>
      <x:c r="N999" s="4"/>
      <x:c r="P999" s="4"/>
      <x:c r="R999" s="4"/>
      <x:c r="S999" s="4"/>
      <x:c r="T999" s="4"/>
      <x:c r="U999" s="4"/>
      <x:c r="V999" s="4"/>
    </x:row>
    <x:row r="1000" ht="64" customHeight="1">
      <x:c r="A1000" s="4"/>
      <x:c r="B1000" s="4"/>
      <x:c r="C1000" s="4"/>
      <x:c r="D1000" s="4"/>
      <x:c r="E1000" s="4"/>
      <x:c r="F1000" s="4"/>
      <x:c r="G1000" s="4"/>
      <x:c r="H1000" s="4"/>
      <x:c r="I1000" s="4"/>
      <x:c r="J1000" s="4"/>
      <x:c r="K1000" s="4"/>
      <x:c r="L1000" s="4"/>
      <x:c r="M1000" s="4"/>
      <x:c r="N1000" s="4"/>
      <x:c r="P1000" s="4"/>
      <x:c r="R1000" s="4"/>
      <x:c r="S1000" s="4"/>
      <x:c r="T1000" s="4"/>
      <x:c r="U1000" s="4"/>
      <x:c r="V1000" s="4"/>
    </x:row>
    <x:row r="1001" ht="64" customHeight="1">
      <x:c r="A1001" s="4" t="str">
        <x:f>IFERROR(INDEX('Material routes'!$E$6:$E$2205,MATCH(U1001,'Material routes'!$A$6:$A$2205,0)),"MISSING ID")</x:f>
        <x:v>Canister body blank</x:v>
      </x:c>
      <x:c r="B1001" s="4" t="str">
        <x:f>IFERROR(INDEX('Material routes'!$F$6:$F$2205,MATCH(U1001,'Material routes'!$A$6:$A$2205,0)),"MISSING ID")</x:f>
        <x:v>T3</x:v>
      </x:c>
      <x:c r="C1001" s="4" t="str">
        <x:f>IFERROR(INDEX('Material routes'!$H$6:$H$2205,MATCH(U1001,'Material routes'!$A$6:$A$2205,0)),"MISSING ID")</x:f>
        <x:v>Container part</x:v>
      </x:c>
      <x:c r="D1001" s="4" t="str">
        <x:f>IFERROR(INDEX('Material routes'!$G$6:$G$2205,MATCH(U1001,'Material routes'!$A$6:$A$2205,0)),"MISSING ID")</x:f>
        <x:v>Crafting components</x:v>
      </x:c>
      <x:c r="E1001" s="4" t="str">
        <x:f>IFERROR(INDEX('Material routes'!$C$6:$C$2205,MATCH(U1001,'Material routes'!$A$6:$A$2205,0)),"MISSING ID")</x:f>
        <x:v>Ingredient candidate</x:v>
      </x:c>
      <x:c r="F1001" s="4" t="str">
        <x:f>IFERROR(INDEX('Material routes'!$E$6:$E$2205,MATCH(V1001,'Material routes'!$A$6:$A$2205,0)),"MISSING ID")</x:f>
        <x:v>Glass-lined haul canister</x:v>
      </x:c>
      <x:c r="G1001" s="4" t="str">
        <x:f>IFERROR(INDEX('Material routes'!$F$6:$F$2205,MATCH(V1001,'Material routes'!$A$6:$A$2205,0)),"MISSING ID")</x:f>
        <x:v>Not applicable</x:v>
      </x:c>
      <x:c r="H1001" s="4" t="inlineStr">
        <x:is>
          <x:t xml:space="preserve">Salvage</x:t>
        </x:is>
      </x:c>
      <x:c r="I1001" s="4" t="str">
        <x:f>IFERROR(INDEX('Material routes'!$G$6:$G$2205,MATCH(V1001,'Material routes'!$A$6:$A$2205,0)),"MISSING ID")</x:f>
        <x:v>Salvage</x:v>
      </x:c>
      <x:c r="J1001" s="4" t="str">
        <x:f>IFERROR(INDEX('Material routes'!$B$6:$B$2205,MATCH(U1001,'Material routes'!$A$6:$A$2205,0)),"MISSING ID")</x:f>
        <x:v>design.audit.proposal_container_lined_canister</x:v>
      </x:c>
      <x:c r="K1001" s="4" t="str">
        <x:f>IFERROR(INDEX('Crafting recipes'!$C$6:$C$1005,MATCH(J1001,'Crafting recipes'!$A$6:$A$1005,0)),"MISSING ID")</x:f>
        <x:v>Finished-item crafting</x:v>
      </x:c>
      <x:c r="L1001" s="4" t="inlineStr">
        <x:is>
          <x:t xml:space="preserve">Retired</x:t>
        </x:is>
      </x:c>
      <x:c r="M1001" s="4" t="inlineStr">
        <x:is>
          <x:t xml:space="preserve">Withdrawn container proposal</x:t>
        </x:is>
      </x:c>
      <x:c r="N1001" s="4"/>
      <x:c r="O1001" s="4" t="str">
        <x:f>IFERROR(INDEX('Material routes'!$J$6:$J$2205,MATCH(U1001,'Material routes'!$A$6:$A$2205,0)),"MISSING ID")</x:f>
        <x:v>Unspecified</x:v>
      </x:c>
      <x:c r="P1001" s="4"/>
      <x:c r="Q1001" s="4" t="str">
        <x:f>IFERROR(INDEX('Material routes'!$J$6:$J$2205,MATCH(V1001,'Material routes'!$A$6:$A$2205,0)),"MISSING ID")</x:f>
        <x:v>Unspecified</x:v>
      </x:c>
      <x:c r="R1001" s="4" t="str">
        <x:f>IF(L1001="Withheld","Withheld premise",IF(E1001="Tool candidate","Reusable prerequisite",IF(K1001="Raw entry preparation","Entry-resource preparation",IF(G1001="Not applicable",IF(IFERROR(INDEX('Items'!$AI$6:$AI$1005,MATCH(T1001,'Items'!$A$6:$A$1005,0)),"MISSING ID")="Finished item","Finished endpoint",IF(IFERROR(INDEX('Items'!$AI$6:$AI$1005,MATCH(T1001,'Items'!$A$6:$A$1005,0)),"MISSING ID")="Currency","Currency / no refinement tier","Recovered output / tier not applicable")),IF(OR(IFERROR(INDEX('Crafting recipes'!$H$6:$H$1005,MATCH(J1001,'Crafting recipes'!$A$6:$A$1005,0)),"MISSING ID")="Unassigned",G1001="Unassigned"),"Tier unresolved",IF(IFERROR(VALUE(RIGHT(G1001,1))-VALUE(RIGHT(IFERROR(INDEX('Crafting recipes'!$H$6:$H$1005,MATCH(J1001,'Crafting recipes'!$A$6:$A$1005,0)),"MISSING ID"),1)),0)=1,IF(B1001=IFERROR(INDEX('Crafting recipes'!$H$6:$H$1005,MATCH(J1001,'Crafting recipes'!$A$6:$A$1005,0)),"MISSING ID"),"Advances one material tier","Lower-tier ingredient; route advances one tier"),"Needs tier review"))))))</x:f>
        <x:v>Finished endpoint</x:v>
      </x:c>
      <x:c r="S1001" s="4" t="str">
        <x:f>IFERROR(INDEX('Material routes'!$D$6:$D$2205,MATCH(U1001,'Material routes'!$A$6:$A$2205,0)),"MISSING ID")</x:f>
        <x:v>proposal.canister.body_blank</x:v>
      </x:c>
      <x:c r="T1001" s="4" t="str">
        <x:f>IFERROR(INDEX('Material routes'!$D$6:$D$2205,MATCH(V1001,'Material routes'!$A$6:$A$2205,0)),"MISSING ID")</x:f>
        <x:v>proposal.container.lined_canister</x:v>
      </x:c>
      <x:c r="U1001" s="4" t="str">
        <x:v>design.audit.proposal_container_lined_canister.audit.in.1</x:v>
      </x:c>
      <x:c r="V1001" s="4" t="str">
        <x:v>design.audit.proposal_container_lined_canister.audit.out</x:v>
      </x:c>
    </x:row>
    <x:row r="1002" ht="64" customHeight="1">
      <x:c r="A1002" s="4" t="str">
        <x:f>IFERROR(INDEX('Material routes'!$E$6:$E$2205,MATCH(U1002,'Material routes'!$A$6:$A$2205,0)),"MISSING ID")</x:f>
        <x:v>Fitted chemical-vessel liner insert</x:v>
      </x:c>
      <x:c r="B1002" s="4" t="str">
        <x:f>IFERROR(INDEX('Material routes'!$F$6:$F$2205,MATCH(U1002,'Material routes'!$A$6:$A$2205,0)),"MISSING ID")</x:f>
        <x:v>T4</x:v>
      </x:c>
      <x:c r="C1002" s="4" t="str">
        <x:f>IFERROR(INDEX('Material routes'!$H$6:$H$2205,MATCH(U1002,'Material routes'!$A$6:$A$2205,0)),"MISSING ID")</x:f>
        <x:v>Crafting component</x:v>
      </x:c>
      <x:c r="D1002" s="4" t="str">
        <x:f>IFERROR(INDEX('Material routes'!$G$6:$G$2205,MATCH(U1002,'Material routes'!$A$6:$A$2205,0)),"MISSING ID")</x:f>
        <x:v>Crafting components</x:v>
      </x:c>
      <x:c r="E1002" s="4" t="str">
        <x:f>IFERROR(INDEX('Material routes'!$C$6:$C$2205,MATCH(U1002,'Material routes'!$A$6:$A$2205,0)),"MISSING ID")</x:f>
        <x:v>Ingredient candidate</x:v>
      </x:c>
      <x:c r="F1002" s="4" t="str">
        <x:f>IFERROR(INDEX('Material routes'!$E$6:$E$2205,MATCH(V1002,'Material routes'!$A$6:$A$2205,0)),"MISSING ID")</x:f>
        <x:v>Glass-lined haul canister</x:v>
      </x:c>
      <x:c r="G1002" s="4" t="str">
        <x:f>IFERROR(INDEX('Material routes'!$F$6:$F$2205,MATCH(V1002,'Material routes'!$A$6:$A$2205,0)),"MISSING ID")</x:f>
        <x:v>Not applicable</x:v>
      </x:c>
      <x:c r="H1002" s="4" t="inlineStr">
        <x:is>
          <x:t xml:space="preserve">Salvage</x:t>
        </x:is>
      </x:c>
      <x:c r="I1002" s="4" t="str">
        <x:f>IFERROR(INDEX('Material routes'!$G$6:$G$2205,MATCH(V1002,'Material routes'!$A$6:$A$2205,0)),"MISSING ID")</x:f>
        <x:v>Salvage</x:v>
      </x:c>
      <x:c r="J1002" s="4" t="str">
        <x:f>IFERROR(INDEX('Material routes'!$B$6:$B$2205,MATCH(U1002,'Material routes'!$A$6:$A$2205,0)),"MISSING ID")</x:f>
        <x:v>design.audit.proposal_container_lined_canister</x:v>
      </x:c>
      <x:c r="K1002" s="4" t="str">
        <x:f>IFERROR(INDEX('Crafting recipes'!$C$6:$C$1005,MATCH(J1002,'Crafting recipes'!$A$6:$A$1005,0)),"MISSING ID")</x:f>
        <x:v>Finished-item crafting</x:v>
      </x:c>
      <x:c r="L1002" s="4" t="inlineStr">
        <x:is>
          <x:t xml:space="preserve">Retired</x:t>
        </x:is>
      </x:c>
      <x:c r="M1002" s="4" t="inlineStr">
        <x:is>
          <x:t xml:space="preserve">Withdrawn container proposal</x:t>
        </x:is>
      </x:c>
      <x:c r="N1002" s="4"/>
      <x:c r="O1002" s="4" t="str">
        <x:f>IFERROR(INDEX('Material routes'!$J$6:$J$2205,MATCH(U1002,'Material routes'!$A$6:$A$2205,0)),"MISSING ID")</x:f>
        <x:v>Unspecified</x:v>
      </x:c>
      <x:c r="P1002" s="4"/>
      <x:c r="Q1002" s="4" t="str">
        <x:f>IFERROR(INDEX('Material routes'!$J$6:$J$2205,MATCH(V1002,'Material routes'!$A$6:$A$2205,0)),"MISSING ID")</x:f>
        <x:v>Unspecified</x:v>
      </x:c>
      <x:c r="R1002" s="4" t="str">
        <x:f>IF(L1002="Withheld","Withheld premise",IF(E1002="Tool candidate","Reusable prerequisite",IF(K1002="Raw entry preparation","Entry-resource preparation",IF(G1002="Not applicable",IF(IFERROR(INDEX('Items'!$AI$6:$AI$1005,MATCH(T1002,'Items'!$A$6:$A$1005,0)),"MISSING ID")="Finished item","Finished endpoint",IF(IFERROR(INDEX('Items'!$AI$6:$AI$1005,MATCH(T1002,'Items'!$A$6:$A$1005,0)),"MISSING ID")="Currency","Currency / no refinement tier","Recovered output / tier not applicable")),IF(OR(IFERROR(INDEX('Crafting recipes'!$H$6:$H$1005,MATCH(J1002,'Crafting recipes'!$A$6:$A$1005,0)),"MISSING ID")="Unassigned",G1002="Unassigned"),"Tier unresolved",IF(IFERROR(VALUE(RIGHT(G1002,1))-VALUE(RIGHT(IFERROR(INDEX('Crafting recipes'!$H$6:$H$1005,MATCH(J1002,'Crafting recipes'!$A$6:$A$1005,0)),"MISSING ID"),1)),0)=1,IF(B1002=IFERROR(INDEX('Crafting recipes'!$H$6:$H$1005,MATCH(J1002,'Crafting recipes'!$A$6:$A$1005,0)),"MISSING ID"),"Advances one material tier","Lower-tier ingredient; route advances one tier"),"Needs tier review"))))))</x:f>
        <x:v>Finished endpoint</x:v>
      </x:c>
      <x:c r="S1002" s="4" t="str">
        <x:f>IFERROR(INDEX('Material routes'!$D$6:$D$2205,MATCH(U1002,'Material routes'!$A$6:$A$2205,0)),"MISSING ID")</x:f>
        <x:v>proposal.t4.vessel_liner</x:v>
      </x:c>
      <x:c r="T1002" s="4" t="str">
        <x:f>IFERROR(INDEX('Material routes'!$D$6:$D$2205,MATCH(V1002,'Material routes'!$A$6:$A$2205,0)),"MISSING ID")</x:f>
        <x:v>proposal.container.lined_canister</x:v>
      </x:c>
      <x:c r="U1002" s="4" t="str">
        <x:v>design.audit.proposal_container_lined_canister.audit.in.2</x:v>
      </x:c>
      <x:c r="V1002" s="4" t="str">
        <x:v>design.audit.proposal_container_lined_canister.audit.out</x:v>
      </x:c>
    </x:row>
    <x:row r="1003" ht="64" customHeight="1">
      <x:c r="A1003" s="4" t="str">
        <x:f>IFERROR(INDEX('Material routes'!$E$6:$E$2205,MATCH(U1003,'Material routes'!$A$6:$A$2205,0)),"MISSING ID")</x:f>
        <x:v>Replacement seal ring</x:v>
      </x:c>
      <x:c r="B1003" s="4" t="str">
        <x:f>IFERROR(INDEX('Material routes'!$F$6:$F$2205,MATCH(U1003,'Material routes'!$A$6:$A$2205,0)),"MISSING ID")</x:f>
        <x:v>T3</x:v>
      </x:c>
      <x:c r="C1003" s="4" t="str">
        <x:f>IFERROR(INDEX('Material routes'!$H$6:$H$2205,MATCH(U1003,'Material routes'!$A$6:$A$2205,0)),"MISSING ID")</x:f>
        <x:v>Container part</x:v>
      </x:c>
      <x:c r="D1003" s="4" t="str">
        <x:f>IFERROR(INDEX('Material routes'!$G$6:$G$2205,MATCH(U1003,'Material routes'!$A$6:$A$2205,0)),"MISSING ID")</x:f>
        <x:v>Crafting components</x:v>
      </x:c>
      <x:c r="E1003" s="4" t="str">
        <x:f>IFERROR(INDEX('Material routes'!$C$6:$C$2205,MATCH(U1003,'Material routes'!$A$6:$A$2205,0)),"MISSING ID")</x:f>
        <x:v>Ingredient candidate</x:v>
      </x:c>
      <x:c r="F1003" s="4" t="str">
        <x:f>IFERROR(INDEX('Material routes'!$E$6:$E$2205,MATCH(V1003,'Material routes'!$A$6:$A$2205,0)),"MISSING ID")</x:f>
        <x:v>Glass-lined haul canister</x:v>
      </x:c>
      <x:c r="G1003" s="4" t="str">
        <x:f>IFERROR(INDEX('Material routes'!$F$6:$F$2205,MATCH(V1003,'Material routes'!$A$6:$A$2205,0)),"MISSING ID")</x:f>
        <x:v>Not applicable</x:v>
      </x:c>
      <x:c r="H1003" s="4" t="inlineStr">
        <x:is>
          <x:t xml:space="preserve">Salvage</x:t>
        </x:is>
      </x:c>
      <x:c r="I1003" s="4" t="str">
        <x:f>IFERROR(INDEX('Material routes'!$G$6:$G$2205,MATCH(V1003,'Material routes'!$A$6:$A$2205,0)),"MISSING ID")</x:f>
        <x:v>Salvage</x:v>
      </x:c>
      <x:c r="J1003" s="4" t="str">
        <x:f>IFERROR(INDEX('Material routes'!$B$6:$B$2205,MATCH(U1003,'Material routes'!$A$6:$A$2205,0)),"MISSING ID")</x:f>
        <x:v>design.audit.proposal_container_lined_canister</x:v>
      </x:c>
      <x:c r="K1003" s="4" t="str">
        <x:f>IFERROR(INDEX('Crafting recipes'!$C$6:$C$1005,MATCH(J1003,'Crafting recipes'!$A$6:$A$1005,0)),"MISSING ID")</x:f>
        <x:v>Finished-item crafting</x:v>
      </x:c>
      <x:c r="L1003" s="4" t="inlineStr">
        <x:is>
          <x:t xml:space="preserve">Retired</x:t>
        </x:is>
      </x:c>
      <x:c r="M1003" s="4" t="inlineStr">
        <x:is>
          <x:t xml:space="preserve">Withdrawn container proposal</x:t>
        </x:is>
      </x:c>
      <x:c r="N1003" s="4"/>
      <x:c r="O1003" s="4" t="str">
        <x:f>IFERROR(INDEX('Material routes'!$J$6:$J$2205,MATCH(U1003,'Material routes'!$A$6:$A$2205,0)),"MISSING ID")</x:f>
        <x:v>Unspecified</x:v>
      </x:c>
      <x:c r="P1003" s="4"/>
      <x:c r="Q1003" s="4" t="str">
        <x:f>IFERROR(INDEX('Material routes'!$J$6:$J$2205,MATCH(V1003,'Material routes'!$A$6:$A$2205,0)),"MISSING ID")</x:f>
        <x:v>Unspecified</x:v>
      </x:c>
      <x:c r="R1003" s="4" t="str">
        <x:f>IF(L1003="Withheld","Withheld premise",IF(E1003="Tool candidate","Reusable prerequisite",IF(K1003="Raw entry preparation","Entry-resource preparation",IF(G1003="Not applicable",IF(IFERROR(INDEX('Items'!$AI$6:$AI$1005,MATCH(T1003,'Items'!$A$6:$A$1005,0)),"MISSING ID")="Finished item","Finished endpoint",IF(IFERROR(INDEX('Items'!$AI$6:$AI$1005,MATCH(T1003,'Items'!$A$6:$A$1005,0)),"MISSING ID")="Currency","Currency / no refinement tier","Recovered output / tier not applicable")),IF(OR(IFERROR(INDEX('Crafting recipes'!$H$6:$H$1005,MATCH(J1003,'Crafting recipes'!$A$6:$A$1005,0)),"MISSING ID")="Unassigned",G1003="Unassigned"),"Tier unresolved",IF(IFERROR(VALUE(RIGHT(G1003,1))-VALUE(RIGHT(IFERROR(INDEX('Crafting recipes'!$H$6:$H$1005,MATCH(J1003,'Crafting recipes'!$A$6:$A$1005,0)),"MISSING ID"),1)),0)=1,IF(B1003=IFERROR(INDEX('Crafting recipes'!$H$6:$H$1005,MATCH(J1003,'Crafting recipes'!$A$6:$A$1005,0)),"MISSING ID"),"Advances one material tier","Lower-tier ingredient; route advances one tier"),"Needs tier review"))))))</x:f>
        <x:v>Finished endpoint</x:v>
      </x:c>
      <x:c r="S1003" s="4" t="str">
        <x:f>IFERROR(INDEX('Material routes'!$D$6:$D$2205,MATCH(U1003,'Material routes'!$A$6:$A$2205,0)),"MISSING ID")</x:f>
        <x:v>proposal.canister.seal_ring</x:v>
      </x:c>
      <x:c r="T1003" s="4" t="str">
        <x:f>IFERROR(INDEX('Material routes'!$D$6:$D$2205,MATCH(V1003,'Material routes'!$A$6:$A$2205,0)),"MISSING ID")</x:f>
        <x:v>proposal.container.lined_canister</x:v>
      </x:c>
      <x:c r="U1003" s="4" t="str">
        <x:v>design.audit.proposal_container_lined_canister.audit.in.3</x:v>
      </x:c>
      <x:c r="V1003" s="4" t="str">
        <x:v>design.audit.proposal_container_lined_canister.audit.out</x:v>
      </x:c>
    </x:row>
    <x:row r="1004" ht="64" customHeight="1">
      <x:c r="A1004" s="4" t="str">
        <x:f>IFERROR(INDEX('Material routes'!$E$6:$E$2205,MATCH(U1004,'Material routes'!$A$6:$A$2205,0)),"MISSING ID")</x:f>
        <x:v>Canister protective endcap</x:v>
      </x:c>
      <x:c r="B1004" s="4" t="str">
        <x:f>IFERROR(INDEX('Material routes'!$F$6:$F$2205,MATCH(U1004,'Material routes'!$A$6:$A$2205,0)),"MISSING ID")</x:f>
        <x:v>T3</x:v>
      </x:c>
      <x:c r="C1004" s="4" t="str">
        <x:f>IFERROR(INDEX('Material routes'!$H$6:$H$2205,MATCH(U1004,'Material routes'!$A$6:$A$2205,0)),"MISSING ID")</x:f>
        <x:v>Container part</x:v>
      </x:c>
      <x:c r="D1004" s="4" t="str">
        <x:f>IFERROR(INDEX('Material routes'!$G$6:$G$2205,MATCH(U1004,'Material routes'!$A$6:$A$2205,0)),"MISSING ID")</x:f>
        <x:v>Crafting components</x:v>
      </x:c>
      <x:c r="E1004" s="4" t="str">
        <x:f>IFERROR(INDEX('Material routes'!$C$6:$C$2205,MATCH(U1004,'Material routes'!$A$6:$A$2205,0)),"MISSING ID")</x:f>
        <x:v>Ingredient candidate</x:v>
      </x:c>
      <x:c r="F1004" s="4" t="str">
        <x:f>IFERROR(INDEX('Material routes'!$E$6:$E$2205,MATCH(V1004,'Material routes'!$A$6:$A$2205,0)),"MISSING ID")</x:f>
        <x:v>Glass-lined haul canister</x:v>
      </x:c>
      <x:c r="G1004" s="4" t="str">
        <x:f>IFERROR(INDEX('Material routes'!$F$6:$F$2205,MATCH(V1004,'Material routes'!$A$6:$A$2205,0)),"MISSING ID")</x:f>
        <x:v>Not applicable</x:v>
      </x:c>
      <x:c r="H1004" s="4" t="inlineStr">
        <x:is>
          <x:t xml:space="preserve">Salvage</x:t>
        </x:is>
      </x:c>
      <x:c r="I1004" s="4" t="str">
        <x:f>IFERROR(INDEX('Material routes'!$G$6:$G$2205,MATCH(V1004,'Material routes'!$A$6:$A$2205,0)),"MISSING ID")</x:f>
        <x:v>Salvage</x:v>
      </x:c>
      <x:c r="J1004" s="4" t="str">
        <x:f>IFERROR(INDEX('Material routes'!$B$6:$B$2205,MATCH(U1004,'Material routes'!$A$6:$A$2205,0)),"MISSING ID")</x:f>
        <x:v>design.audit.proposal_container_lined_canister</x:v>
      </x:c>
      <x:c r="K1004" s="4" t="str">
        <x:f>IFERROR(INDEX('Crafting recipes'!$C$6:$C$1005,MATCH(J1004,'Crafting recipes'!$A$6:$A$1005,0)),"MISSING ID")</x:f>
        <x:v>Finished-item crafting</x:v>
      </x:c>
      <x:c r="L1004" s="4" t="inlineStr">
        <x:is>
          <x:t xml:space="preserve">Retired</x:t>
        </x:is>
      </x:c>
      <x:c r="M1004" s="4" t="inlineStr">
        <x:is>
          <x:t xml:space="preserve">Withdrawn container proposal</x:t>
        </x:is>
      </x:c>
      <x:c r="N1004" s="4"/>
      <x:c r="O1004" s="4" t="str">
        <x:f>IFERROR(INDEX('Material routes'!$J$6:$J$2205,MATCH(U1004,'Material routes'!$A$6:$A$2205,0)),"MISSING ID")</x:f>
        <x:v>Unspecified</x:v>
      </x:c>
      <x:c r="P1004" s="4"/>
      <x:c r="Q1004" s="4" t="str">
        <x:f>IFERROR(INDEX('Material routes'!$J$6:$J$2205,MATCH(V1004,'Material routes'!$A$6:$A$2205,0)),"MISSING ID")</x:f>
        <x:v>Unspecified</x:v>
      </x:c>
      <x:c r="R1004" s="4" t="str">
        <x:f>IF(L1004="Withheld","Withheld premise",IF(E1004="Tool candidate","Reusable prerequisite",IF(K1004="Raw entry preparation","Entry-resource preparation",IF(G1004="Not applicable",IF(IFERROR(INDEX('Items'!$AI$6:$AI$1005,MATCH(T1004,'Items'!$A$6:$A$1005,0)),"MISSING ID")="Finished item","Finished endpoint",IF(IFERROR(INDEX('Items'!$AI$6:$AI$1005,MATCH(T1004,'Items'!$A$6:$A$1005,0)),"MISSING ID")="Currency","Currency / no refinement tier","Recovered output / tier not applicable")),IF(OR(IFERROR(INDEX('Crafting recipes'!$H$6:$H$1005,MATCH(J1004,'Crafting recipes'!$A$6:$A$1005,0)),"MISSING ID")="Unassigned",G1004="Unassigned"),"Tier unresolved",IF(IFERROR(VALUE(RIGHT(G1004,1))-VALUE(RIGHT(IFERROR(INDEX('Crafting recipes'!$H$6:$H$1005,MATCH(J1004,'Crafting recipes'!$A$6:$A$1005,0)),"MISSING ID"),1)),0)=1,IF(B1004=IFERROR(INDEX('Crafting recipes'!$H$6:$H$1005,MATCH(J1004,'Crafting recipes'!$A$6:$A$1005,0)),"MISSING ID"),"Advances one material tier","Lower-tier ingredient; route advances one tier"),"Needs tier review"))))))</x:f>
        <x:v>Finished endpoint</x:v>
      </x:c>
      <x:c r="S1004" s="4" t="str">
        <x:f>IFERROR(INDEX('Material routes'!$D$6:$D$2205,MATCH(U1004,'Material routes'!$A$6:$A$2205,0)),"MISSING ID")</x:f>
        <x:v>proposal.canister.endcap</x:v>
      </x:c>
      <x:c r="T1004" s="4" t="str">
        <x:f>IFERROR(INDEX('Material routes'!$D$6:$D$2205,MATCH(V1004,'Material routes'!$A$6:$A$2205,0)),"MISSING ID")</x:f>
        <x:v>proposal.container.lined_canister</x:v>
      </x:c>
      <x:c r="U1004" s="4" t="str">
        <x:v>design.audit.proposal_container_lined_canister.audit.in.4</x:v>
      </x:c>
      <x:c r="V1004" s="4" t="str">
        <x:v>design.audit.proposal_container_lined_canister.audit.out</x:v>
      </x:c>
    </x:row>
    <x:row r="1005" ht="64" customHeight="1">
      <x:c r="A1005" s="4" t="str">
        <x:f>IFERROR(INDEX('Material routes'!$E$6:$E$2205,MATCH(U1005,'Material routes'!$A$6:$A$2205,0)),"MISSING ID")</x:f>
        <x:v>Fired ceramic vessel blank</x:v>
      </x:c>
      <x:c r="B1005" s="4" t="str">
        <x:f>IFERROR(INDEX('Material routes'!$F$6:$F$2205,MATCH(U1005,'Material routes'!$A$6:$A$2205,0)),"MISSING ID")</x:f>
        <x:v>T2</x:v>
      </x:c>
      <x:c r="C1005" s="4" t="str">
        <x:f>IFERROR(INDEX('Material routes'!$H$6:$H$2205,MATCH(U1005,'Material routes'!$A$6:$A$2205,0)),"MISSING ID")</x:f>
        <x:v>Crafting component</x:v>
      </x:c>
      <x:c r="D1005" s="4" t="str">
        <x:f>IFERROR(INDEX('Material routes'!$G$6:$G$2205,MATCH(U1005,'Material routes'!$A$6:$A$2205,0)),"MISSING ID")</x:f>
        <x:v>Crafting components</x:v>
      </x:c>
      <x:c r="E1005" s="4" t="str">
        <x:f>IFERROR(INDEX('Material routes'!$C$6:$C$2205,MATCH(U1005,'Material routes'!$A$6:$A$2205,0)),"MISSING ID")</x:f>
        <x:v>Ingredient candidate</x:v>
      </x:c>
      <x:c r="F1005" s="4" t="str">
        <x:f>IFERROR(INDEX('Material routes'!$E$6:$E$2205,MATCH(V1005,'Material routes'!$A$6:$A$2205,0)),"MISSING ID")</x:f>
        <x:v>Glazed ceramic reagent jar</x:v>
      </x:c>
      <x:c r="G1005" s="4" t="str">
        <x:f>IFERROR(INDEX('Material routes'!$F$6:$F$2205,MATCH(V1005,'Material routes'!$A$6:$A$2205,0)),"MISSING ID")</x:f>
        <x:v>Not applicable</x:v>
      </x:c>
      <x:c r="H1005" s="4" t="inlineStr">
        <x:is>
          <x:t xml:space="preserve">Salvage</x:t>
        </x:is>
      </x:c>
      <x:c r="I1005" s="4" t="str">
        <x:f>IFERROR(INDEX('Material routes'!$G$6:$G$2205,MATCH(V1005,'Material routes'!$A$6:$A$2205,0)),"MISSING ID")</x:f>
        <x:v>Salvage</x:v>
      </x:c>
      <x:c r="J1005" s="4" t="str">
        <x:f>IFERROR(INDEX('Material routes'!$B$6:$B$2205,MATCH(U1005,'Material routes'!$A$6:$A$2205,0)),"MISSING ID")</x:f>
        <x:v>design.audit.proposal_container_ceramic_jar</x:v>
      </x:c>
      <x:c r="K1005" s="4" t="str">
        <x:f>IFERROR(INDEX('Crafting recipes'!$C$6:$C$1005,MATCH(J1005,'Crafting recipes'!$A$6:$A$1005,0)),"MISSING ID")</x:f>
        <x:v>Finished-item crafting</x:v>
      </x:c>
      <x:c r="L1005" s="4" t="inlineStr">
        <x:is>
          <x:t xml:space="preserve">Retired</x:t>
        </x:is>
      </x:c>
      <x:c r="M1005" s="4" t="inlineStr">
        <x:is>
          <x:t xml:space="preserve">Withdrawn container proposal</x:t>
        </x:is>
      </x:c>
      <x:c r="N1005" s="4"/>
      <x:c r="O1005" s="4" t="str">
        <x:f>IFERROR(INDEX('Material routes'!$J$6:$J$2205,MATCH(U1005,'Material routes'!$A$6:$A$2205,0)),"MISSING ID")</x:f>
        <x:v>Unspecified</x:v>
      </x:c>
      <x:c r="P1005" s="4"/>
      <x:c r="Q1005" s="4" t="str">
        <x:f>IFERROR(INDEX('Material routes'!$J$6:$J$2205,MATCH(V1005,'Material routes'!$A$6:$A$2205,0)),"MISSING ID")</x:f>
        <x:v>Unspecified</x:v>
      </x:c>
      <x:c r="R1005" s="4" t="str">
        <x:f>IF(L1005="Withheld","Withheld premise",IF(E1005="Tool candidate","Reusable prerequisite",IF(K1005="Raw entry preparation","Entry-resource preparation",IF(G1005="Not applicable",IF(IFERROR(INDEX('Items'!$AI$6:$AI$1005,MATCH(T1005,'Items'!$A$6:$A$1005,0)),"MISSING ID")="Finished item","Finished endpoint",IF(IFERROR(INDEX('Items'!$AI$6:$AI$1005,MATCH(T1005,'Items'!$A$6:$A$1005,0)),"MISSING ID")="Currency","Currency / no refinement tier","Recovered output / tier not applicable")),IF(OR(IFERROR(INDEX('Crafting recipes'!$H$6:$H$1005,MATCH(J1005,'Crafting recipes'!$A$6:$A$1005,0)),"MISSING ID")="Unassigned",G1005="Unassigned"),"Tier unresolved",IF(IFERROR(VALUE(RIGHT(G1005,1))-VALUE(RIGHT(IFERROR(INDEX('Crafting recipes'!$H$6:$H$1005,MATCH(J1005,'Crafting recipes'!$A$6:$A$1005,0)),"MISSING ID"),1)),0)=1,IF(B1005=IFERROR(INDEX('Crafting recipes'!$H$6:$H$1005,MATCH(J1005,'Crafting recipes'!$A$6:$A$1005,0)),"MISSING ID"),"Advances one material tier","Lower-tier ingredient; route advances one tier"),"Needs tier review"))))))</x:f>
        <x:v>Finished endpoint</x:v>
      </x:c>
      <x:c r="S1005" s="4" t="str">
        <x:f>IFERROR(INDEX('Material routes'!$D$6:$D$2205,MATCH(U1005,'Material routes'!$A$6:$A$2205,0)),"MISSING ID")</x:f>
        <x:v>proposal.audit.fired_ceramic_vessel_blank</x:v>
      </x:c>
      <x:c r="T1005" s="4" t="str">
        <x:f>IFERROR(INDEX('Material routes'!$D$6:$D$2205,MATCH(V1005,'Material routes'!$A$6:$A$2205,0)),"MISSING ID")</x:f>
        <x:v>proposal.container.ceramic_jar</x:v>
      </x:c>
      <x:c r="U1005" s="4" t="str">
        <x:v>design.audit.proposal_container_ceramic_jar.audit.in.1</x:v>
      </x:c>
      <x:c r="V1005" s="4" t="str">
        <x:v>design.audit.proposal_container_ceramic_jar.audit.out</x:v>
      </x:c>
    </x:row>
    <x:row r="1006" ht="64" customHeight="1">
      <x:c r="A1006" s="4" t="str">
        <x:f>IFERROR(INDEX('Material routes'!$E$6:$E$2205,MATCH(U1006,'Material routes'!$A$6:$A$2205,0)),"MISSING ID")</x:f>
        <x:v>Prepared glaze feed</x:v>
      </x:c>
      <x:c r="B1006" s="4" t="str">
        <x:f>IFERROR(INDEX('Material routes'!$F$6:$F$2205,MATCH(U1006,'Material routes'!$A$6:$A$2205,0)),"MISSING ID")</x:f>
        <x:v>T1</x:v>
      </x:c>
      <x:c r="C1006" s="4" t="str">
        <x:f>IFERROR(INDEX('Material routes'!$H$6:$H$2205,MATCH(U1006,'Material routes'!$A$6:$A$2205,0)),"MISSING ID")</x:f>
        <x:v>Processed material</x:v>
      </x:c>
      <x:c r="D1006" s="4" t="str">
        <x:f>IFERROR(INDEX('Material routes'!$G$6:$G$2205,MATCH(U1006,'Material routes'!$A$6:$A$2205,0)),"MISSING ID")</x:f>
        <x:v>Manufactured stock</x:v>
      </x:c>
      <x:c r="E1006" s="4" t="str">
        <x:f>IFERROR(INDEX('Material routes'!$C$6:$C$2205,MATCH(U1006,'Material routes'!$A$6:$A$2205,0)),"MISSING ID")</x:f>
        <x:v>Ingredient candidate</x:v>
      </x:c>
      <x:c r="F1006" s="4" t="str">
        <x:f>IFERROR(INDEX('Material routes'!$E$6:$E$2205,MATCH(V1006,'Material routes'!$A$6:$A$2205,0)),"MISSING ID")</x:f>
        <x:v>Glazed ceramic reagent jar</x:v>
      </x:c>
      <x:c r="G1006" s="4" t="str">
        <x:f>IFERROR(INDEX('Material routes'!$F$6:$F$2205,MATCH(V1006,'Material routes'!$A$6:$A$2205,0)),"MISSING ID")</x:f>
        <x:v>Not applicable</x:v>
      </x:c>
      <x:c r="H1006" s="4" t="inlineStr">
        <x:is>
          <x:t xml:space="preserve">Salvage</x:t>
        </x:is>
      </x:c>
      <x:c r="I1006" s="4" t="str">
        <x:f>IFERROR(INDEX('Material routes'!$G$6:$G$2205,MATCH(V1006,'Material routes'!$A$6:$A$2205,0)),"MISSING ID")</x:f>
        <x:v>Salvage</x:v>
      </x:c>
      <x:c r="J1006" s="4" t="str">
        <x:f>IFERROR(INDEX('Material routes'!$B$6:$B$2205,MATCH(U1006,'Material routes'!$A$6:$A$2205,0)),"MISSING ID")</x:f>
        <x:v>design.audit.proposal_container_ceramic_jar</x:v>
      </x:c>
      <x:c r="K1006" s="4" t="str">
        <x:f>IFERROR(INDEX('Crafting recipes'!$C$6:$C$1005,MATCH(J1006,'Crafting recipes'!$A$6:$A$1005,0)),"MISSING ID")</x:f>
        <x:v>Finished-item crafting</x:v>
      </x:c>
      <x:c r="L1006" s="4" t="inlineStr">
        <x:is>
          <x:t xml:space="preserve">Retired</x:t>
        </x:is>
      </x:c>
      <x:c r="M1006" s="4" t="inlineStr">
        <x:is>
          <x:t xml:space="preserve">Withdrawn container proposal</x:t>
        </x:is>
      </x:c>
      <x:c r="N1006" s="4"/>
      <x:c r="O1006" s="4" t="str">
        <x:f>IFERROR(INDEX('Material routes'!$J$6:$J$2205,MATCH(U1006,'Material routes'!$A$6:$A$2205,0)),"MISSING ID")</x:f>
        <x:v>Unspecified</x:v>
      </x:c>
      <x:c r="P1006" s="4"/>
      <x:c r="Q1006" s="4" t="str">
        <x:f>IFERROR(INDEX('Material routes'!$J$6:$J$2205,MATCH(V1006,'Material routes'!$A$6:$A$2205,0)),"MISSING ID")</x:f>
        <x:v>Unspecified</x:v>
      </x:c>
      <x:c r="R1006" s="4" t="str">
        <x:f>IF(L1006="Withheld","Withheld premise",IF(E1006="Tool candidate","Reusable prerequisite",IF(K1006="Raw entry preparation","Entry-resource preparation",IF(G1006="Not applicable",IF(IFERROR(INDEX('Items'!$AI$6:$AI$1005,MATCH(T1006,'Items'!$A$6:$A$1005,0)),"MISSING ID")="Finished item","Finished endpoint",IF(IFERROR(INDEX('Items'!$AI$6:$AI$1005,MATCH(T1006,'Items'!$A$6:$A$1005,0)),"MISSING ID")="Currency","Currency / no refinement tier","Recovered output / tier not applicable")),IF(OR(IFERROR(INDEX('Crafting recipes'!$H$6:$H$1005,MATCH(J1006,'Crafting recipes'!$A$6:$A$1005,0)),"MISSING ID")="Unassigned",G1006="Unassigned"),"Tier unresolved",IF(IFERROR(VALUE(RIGHT(G1006,1))-VALUE(RIGHT(IFERROR(INDEX('Crafting recipes'!$H$6:$H$1005,MATCH(J1006,'Crafting recipes'!$A$6:$A$1005,0)),"MISSING ID"),1)),0)=1,IF(B1006=IFERROR(INDEX('Crafting recipes'!$H$6:$H$1005,MATCH(J1006,'Crafting recipes'!$A$6:$A$1005,0)),"MISSING ID"),"Advances one material tier","Lower-tier ingredient; route advances one tier"),"Needs tier review"))))))</x:f>
        <x:v>Finished endpoint</x:v>
      </x:c>
      <x:c r="S1006" s="4" t="str">
        <x:f>IFERROR(INDEX('Material routes'!$D$6:$D$2205,MATCH(U1006,'Material routes'!$A$6:$A$2205,0)),"MISSING ID")</x:f>
        <x:v>proposal.ceramic.glaze_feed</x:v>
      </x:c>
      <x:c r="T1006" s="4" t="str">
        <x:f>IFERROR(INDEX('Material routes'!$D$6:$D$2205,MATCH(V1006,'Material routes'!$A$6:$A$2205,0)),"MISSING ID")</x:f>
        <x:v>proposal.container.ceramic_jar</x:v>
      </x:c>
      <x:c r="U1006" s="4" t="str">
        <x:v>design.audit.proposal_container_ceramic_jar.audit.in.2</x:v>
      </x:c>
      <x:c r="V1006" s="4" t="str">
        <x:v>design.audit.proposal_container_ceramic_jar.audit.out</x:v>
      </x:c>
    </x:row>
    <x:row r="1007" ht="64" customHeight="1">
      <x:c r="A1007" s="4" t="str">
        <x:f>IFERROR(INDEX('Material routes'!$E$6:$E$2205,MATCH(U1007,'Material routes'!$A$6:$A$2205,0)),"MISSING ID")</x:f>
        <x:v>Fitted ceramic stopper</x:v>
      </x:c>
      <x:c r="B1007" s="4" t="str">
        <x:f>IFERROR(INDEX('Material routes'!$F$6:$F$2205,MATCH(U1007,'Material routes'!$A$6:$A$2205,0)),"MISSING ID")</x:f>
        <x:v>T3</x:v>
      </x:c>
      <x:c r="C1007" s="4" t="str">
        <x:f>IFERROR(INDEX('Material routes'!$H$6:$H$2205,MATCH(U1007,'Material routes'!$A$6:$A$2205,0)),"MISSING ID")</x:f>
        <x:v>Container part</x:v>
      </x:c>
      <x:c r="D1007" s="4" t="str">
        <x:f>IFERROR(INDEX('Material routes'!$G$6:$G$2205,MATCH(U1007,'Material routes'!$A$6:$A$2205,0)),"MISSING ID")</x:f>
        <x:v>Crafting components</x:v>
      </x:c>
      <x:c r="E1007" s="4" t="str">
        <x:f>IFERROR(INDEX('Material routes'!$C$6:$C$2205,MATCH(U1007,'Material routes'!$A$6:$A$2205,0)),"MISSING ID")</x:f>
        <x:v>Ingredient candidate</x:v>
      </x:c>
      <x:c r="F1007" s="4" t="str">
        <x:f>IFERROR(INDEX('Material routes'!$E$6:$E$2205,MATCH(V1007,'Material routes'!$A$6:$A$2205,0)),"MISSING ID")</x:f>
        <x:v>Glazed ceramic reagent jar</x:v>
      </x:c>
      <x:c r="G1007" s="4" t="str">
        <x:f>IFERROR(INDEX('Material routes'!$F$6:$F$2205,MATCH(V1007,'Material routes'!$A$6:$A$2205,0)),"MISSING ID")</x:f>
        <x:v>Not applicable</x:v>
      </x:c>
      <x:c r="H1007" s="4" t="inlineStr">
        <x:is>
          <x:t xml:space="preserve">Salvage</x:t>
        </x:is>
      </x:c>
      <x:c r="I1007" s="4" t="str">
        <x:f>IFERROR(INDEX('Material routes'!$G$6:$G$2205,MATCH(V1007,'Material routes'!$A$6:$A$2205,0)),"MISSING ID")</x:f>
        <x:v>Salvage</x:v>
      </x:c>
      <x:c r="J1007" s="4" t="str">
        <x:f>IFERROR(INDEX('Material routes'!$B$6:$B$2205,MATCH(U1007,'Material routes'!$A$6:$A$2205,0)),"MISSING ID")</x:f>
        <x:v>design.audit.proposal_container_ceramic_jar</x:v>
      </x:c>
      <x:c r="K1007" s="4" t="str">
        <x:f>IFERROR(INDEX('Crafting recipes'!$C$6:$C$1005,MATCH(J1007,'Crafting recipes'!$A$6:$A$1005,0)),"MISSING ID")</x:f>
        <x:v>Finished-item crafting</x:v>
      </x:c>
      <x:c r="L1007" s="4" t="inlineStr">
        <x:is>
          <x:t xml:space="preserve">Retired</x:t>
        </x:is>
      </x:c>
      <x:c r="M1007" s="4" t="inlineStr">
        <x:is>
          <x:t xml:space="preserve">Withdrawn container proposal</x:t>
        </x:is>
      </x:c>
      <x:c r="N1007" s="4"/>
      <x:c r="O1007" s="4" t="str">
        <x:f>IFERROR(INDEX('Material routes'!$J$6:$J$2205,MATCH(U1007,'Material routes'!$A$6:$A$2205,0)),"MISSING ID")</x:f>
        <x:v>Unspecified</x:v>
      </x:c>
      <x:c r="P1007" s="4"/>
      <x:c r="Q1007" s="4" t="str">
        <x:f>IFERROR(INDEX('Material routes'!$J$6:$J$2205,MATCH(V1007,'Material routes'!$A$6:$A$2205,0)),"MISSING ID")</x:f>
        <x:v>Unspecified</x:v>
      </x:c>
      <x:c r="R1007" s="4" t="str">
        <x:f>IF(L1007="Withheld","Withheld premise",IF(E1007="Tool candidate","Reusable prerequisite",IF(K1007="Raw entry preparation","Entry-resource preparation",IF(G1007="Not applicable",IF(IFERROR(INDEX('Items'!$AI$6:$AI$1005,MATCH(T1007,'Items'!$A$6:$A$1005,0)),"MISSING ID")="Finished item","Finished endpoint",IF(IFERROR(INDEX('Items'!$AI$6:$AI$1005,MATCH(T1007,'Items'!$A$6:$A$1005,0)),"MISSING ID")="Currency","Currency / no refinement tier","Recovered output / tier not applicable")),IF(OR(IFERROR(INDEX('Crafting recipes'!$H$6:$H$1005,MATCH(J1007,'Crafting recipes'!$A$6:$A$1005,0)),"MISSING ID")="Unassigned",G1007="Unassigned"),"Tier unresolved",IF(IFERROR(VALUE(RIGHT(G1007,1))-VALUE(RIGHT(IFERROR(INDEX('Crafting recipes'!$H$6:$H$1005,MATCH(J1007,'Crafting recipes'!$A$6:$A$1005,0)),"MISSING ID"),1)),0)=1,IF(B1007=IFERROR(INDEX('Crafting recipes'!$H$6:$H$1005,MATCH(J1007,'Crafting recipes'!$A$6:$A$1005,0)),"MISSING ID"),"Advances one material tier","Lower-tier ingredient; route advances one tier"),"Needs tier review"))))))</x:f>
        <x:v>Finished endpoint</x:v>
      </x:c>
      <x:c r="S1007" s="4" t="str">
        <x:f>IFERROR(INDEX('Material routes'!$D$6:$D$2205,MATCH(U1007,'Material routes'!$A$6:$A$2205,0)),"MISSING ID")</x:f>
        <x:v>proposal.ceramic.stopper</x:v>
      </x:c>
      <x:c r="T1007" s="4" t="str">
        <x:f>IFERROR(INDEX('Material routes'!$D$6:$D$2205,MATCH(V1007,'Material routes'!$A$6:$A$2205,0)),"MISSING ID")</x:f>
        <x:v>proposal.container.ceramic_jar</x:v>
      </x:c>
      <x:c r="U1007" s="4" t="str">
        <x:v>design.audit.proposal_container_ceramic_jar.audit.in.3</x:v>
      </x:c>
      <x:c r="V1007" s="4" t="str">
        <x:v>design.audit.proposal_container_ceramic_jar.audit.out</x:v>
      </x:c>
    </x:row>
    <x:row r="1008" ht="64" customHeight="1">
      <x:c r="A1008" s="4" t="str">
        <x:f>IFERROR(INDEX('Material routes'!$E$6:$E$2205,MATCH(U1008,'Material routes'!$A$6:$A$2205,0)),"MISSING ID")</x:f>
        <x:v>Canister body blank</x:v>
      </x:c>
      <x:c r="B1008" s="4" t="str">
        <x:f>IFERROR(INDEX('Material routes'!$F$6:$F$2205,MATCH(U1008,'Material routes'!$A$6:$A$2205,0)),"MISSING ID")</x:f>
        <x:v>T3</x:v>
      </x:c>
      <x:c r="C1008" s="4" t="str">
        <x:f>IFERROR(INDEX('Material routes'!$H$6:$H$2205,MATCH(U1008,'Material routes'!$A$6:$A$2205,0)),"MISSING ID")</x:f>
        <x:v>Container part</x:v>
      </x:c>
      <x:c r="D1008" s="4" t="str">
        <x:f>IFERROR(INDEX('Material routes'!$G$6:$G$2205,MATCH(U1008,'Material routes'!$A$6:$A$2205,0)),"MISSING ID")</x:f>
        <x:v>Crafting components</x:v>
      </x:c>
      <x:c r="E1008" s="4" t="str">
        <x:f>IFERROR(INDEX('Material routes'!$C$6:$C$2205,MATCH(U1008,'Material routes'!$A$6:$A$2205,0)),"MISSING ID")</x:f>
        <x:v>Ingredient candidate</x:v>
      </x:c>
      <x:c r="F1008" s="4" t="str">
        <x:f>IFERROR(INDEX('Material routes'!$E$6:$E$2205,MATCH(V1008,'Material routes'!$A$6:$A$2205,0)),"MISSING ID")</x:f>
        <x:v>Bulk ichor vessel</x:v>
      </x:c>
      <x:c r="G1008" s="4" t="str">
        <x:f>IFERROR(INDEX('Material routes'!$F$6:$F$2205,MATCH(V1008,'Material routes'!$A$6:$A$2205,0)),"MISSING ID")</x:f>
        <x:v>Not applicable</x:v>
      </x:c>
      <x:c r="H1008" s="4" t="str">
        <x:f>IFERROR(INDEX('Material routes'!$H$6:$H$2205,MATCH(V1008,'Material routes'!$A$6:$A$2205,0)),"MISSING ID")</x:f>
        <x:v>Container</x:v>
      </x:c>
      <x:c r="I1008" s="4" t="str">
        <x:f>IFERROR(INDEX('Material routes'!$G$6:$G$2205,MATCH(V1008,'Material routes'!$A$6:$A$2205,0)),"MISSING ID")</x:f>
        <x:v>Tools</x:v>
      </x:c>
      <x:c r="J1008" s="4" t="str">
        <x:f>IFERROR(INDEX('Material routes'!$B$6:$B$2205,MATCH(U1008,'Material routes'!$A$6:$A$2205,0)),"MISSING ID")</x:f>
        <x:v>design.audit.proposal_container_bulk_ichor</x:v>
      </x:c>
      <x:c r="K1008" s="4" t="str">
        <x:f>IFERROR(INDEX('Crafting recipes'!$C$6:$C$1005,MATCH(J1008,'Crafting recipes'!$A$6:$A$1005,0)),"MISSING ID")</x:f>
        <x:v>Finished-item crafting</x:v>
      </x:c>
      <x:c r="L1008" s="4" t="str">
        <x:f>IFERROR(INDEX('Material routes'!$K$6:$K$2205,MATCH(U1008,'Material routes'!$A$6:$A$2205,0)),"MISSING ID")</x:f>
        <x:v>Proposal</x:v>
      </x:c>
      <x:c r="M1008" s="4" t="str">
        <x:f>IFERROR(INDEX('Material routes'!$M$6:$M$2205,MATCH(U1008,'Material routes'!$A$6:$A$2205,0)),"MISSING ID")</x:f>
        <x:v>Partial proposal</x:v>
      </x:c>
      <x:c r="N1008" s="4"/>
      <x:c r="O1008" s="4" t="str">
        <x:f>IFERROR(INDEX('Material routes'!$J$6:$J$2205,MATCH(U1008,'Material routes'!$A$6:$A$2205,0)),"MISSING ID")</x:f>
        <x:v>Unspecified</x:v>
      </x:c>
      <x:c r="P1008" s="4"/>
      <x:c r="Q1008" s="4" t="str">
        <x:f>IFERROR(INDEX('Material routes'!$J$6:$J$2205,MATCH(V1008,'Material routes'!$A$6:$A$2205,0)),"MISSING ID")</x:f>
        <x:v>Unspecified</x:v>
      </x:c>
      <x:c r="R1008" s="4" t="str">
        <x:f>IF(L1008="Withheld","Withheld premise",IF(E1008="Tool candidate","Reusable prerequisite",IF(K1008="Raw entry preparation","Entry-resource preparation",IF(G1008="Not applicable",IF(IFERROR(INDEX('Items'!$AI$6:$AI$1005,MATCH(T1008,'Items'!$A$6:$A$1005,0)),"MISSING ID")="Finished item","Finished endpoint",IF(IFERROR(INDEX('Items'!$AI$6:$AI$1005,MATCH(T1008,'Items'!$A$6:$A$1005,0)),"MISSING ID")="Currency","Currency / no refinement tier","Recovered output / tier not applicable")),IF(OR(IFERROR(INDEX('Crafting recipes'!$H$6:$H$1005,MATCH(J1008,'Crafting recipes'!$A$6:$A$1005,0)),"MISSING ID")="Unassigned",G1008="Unassigned"),"Tier unresolved",IF(IFERROR(VALUE(RIGHT(G1008,1))-VALUE(RIGHT(IFERROR(INDEX('Crafting recipes'!$H$6:$H$1005,MATCH(J1008,'Crafting recipes'!$A$6:$A$1005,0)),"MISSING ID"),1)),0)=1,IF(B1008=IFERROR(INDEX('Crafting recipes'!$H$6:$H$1005,MATCH(J1008,'Crafting recipes'!$A$6:$A$1005,0)),"MISSING ID"),"Advances one material tier","Lower-tier ingredient; route advances one tier"),"Needs tier review"))))))</x:f>
        <x:v>Finished endpoint</x:v>
      </x:c>
      <x:c r="S1008" s="4" t="str">
        <x:f>IFERROR(INDEX('Material routes'!$D$6:$D$2205,MATCH(U1008,'Material routes'!$A$6:$A$2205,0)),"MISSING ID")</x:f>
        <x:v>proposal.canister.body_blank</x:v>
      </x:c>
      <x:c r="T1008" s="4" t="str">
        <x:f>IFERROR(INDEX('Material routes'!$D$6:$D$2205,MATCH(V1008,'Material routes'!$A$6:$A$2205,0)),"MISSING ID")</x:f>
        <x:v>proposal.container.bulk_ichor</x:v>
      </x:c>
      <x:c r="U1008" s="4" t="str">
        <x:v>design.audit.proposal_container_bulk_ichor.audit.in.1</x:v>
      </x:c>
      <x:c r="V1008" s="4" t="str">
        <x:v>design.audit.proposal_container_bulk_ichor.audit.out</x:v>
      </x:c>
    </x:row>
    <x:row r="1009" ht="64" customHeight="1">
      <x:c r="A1009" s="4" t="str">
        <x:f>IFERROR(INDEX('Material routes'!$E$6:$E$2205,MATCH(U1009,'Material routes'!$A$6:$A$2205,0)),"MISSING ID")</x:f>
        <x:v>Fitted chemical-vessel liner insert</x:v>
      </x:c>
      <x:c r="B1009" s="4" t="str">
        <x:f>IFERROR(INDEX('Material routes'!$F$6:$F$2205,MATCH(U1009,'Material routes'!$A$6:$A$2205,0)),"MISSING ID")</x:f>
        <x:v>T4</x:v>
      </x:c>
      <x:c r="C1009" s="4" t="str">
        <x:f>IFERROR(INDEX('Material routes'!$H$6:$H$2205,MATCH(U1009,'Material routes'!$A$6:$A$2205,0)),"MISSING ID")</x:f>
        <x:v>Crafting component</x:v>
      </x:c>
      <x:c r="D1009" s="4" t="str">
        <x:f>IFERROR(INDEX('Material routes'!$G$6:$G$2205,MATCH(U1009,'Material routes'!$A$6:$A$2205,0)),"MISSING ID")</x:f>
        <x:v>Crafting components</x:v>
      </x:c>
      <x:c r="E1009" s="4" t="str">
        <x:f>IFERROR(INDEX('Material routes'!$C$6:$C$2205,MATCH(U1009,'Material routes'!$A$6:$A$2205,0)),"MISSING ID")</x:f>
        <x:v>Ingredient candidate</x:v>
      </x:c>
      <x:c r="F1009" s="4" t="str">
        <x:f>IFERROR(INDEX('Material routes'!$E$6:$E$2205,MATCH(V1009,'Material routes'!$A$6:$A$2205,0)),"MISSING ID")</x:f>
        <x:v>Bulk ichor vessel</x:v>
      </x:c>
      <x:c r="G1009" s="4" t="str">
        <x:f>IFERROR(INDEX('Material routes'!$F$6:$F$2205,MATCH(V1009,'Material routes'!$A$6:$A$2205,0)),"MISSING ID")</x:f>
        <x:v>Not applicable</x:v>
      </x:c>
      <x:c r="H1009" s="4" t="str">
        <x:f>IFERROR(INDEX('Material routes'!$H$6:$H$2205,MATCH(V1009,'Material routes'!$A$6:$A$2205,0)),"MISSING ID")</x:f>
        <x:v>Container</x:v>
      </x:c>
      <x:c r="I1009" s="4" t="str">
        <x:f>IFERROR(INDEX('Material routes'!$G$6:$G$2205,MATCH(V1009,'Material routes'!$A$6:$A$2205,0)),"MISSING ID")</x:f>
        <x:v>Tools</x:v>
      </x:c>
      <x:c r="J1009" s="4" t="str">
        <x:f>IFERROR(INDEX('Material routes'!$B$6:$B$2205,MATCH(U1009,'Material routes'!$A$6:$A$2205,0)),"MISSING ID")</x:f>
        <x:v>design.audit.proposal_container_bulk_ichor</x:v>
      </x:c>
      <x:c r="K1009" s="4" t="str">
        <x:f>IFERROR(INDEX('Crafting recipes'!$C$6:$C$1005,MATCH(J1009,'Crafting recipes'!$A$6:$A$1005,0)),"MISSING ID")</x:f>
        <x:v>Finished-item crafting</x:v>
      </x:c>
      <x:c r="L1009" s="4" t="str">
        <x:f>IFERROR(INDEX('Material routes'!$K$6:$K$2205,MATCH(U1009,'Material routes'!$A$6:$A$2205,0)),"MISSING ID")</x:f>
        <x:v>Proposal</x:v>
      </x:c>
      <x:c r="M1009" s="4" t="str">
        <x:f>IFERROR(INDEX('Material routes'!$M$6:$M$2205,MATCH(U1009,'Material routes'!$A$6:$A$2205,0)),"MISSING ID")</x:f>
        <x:v>Partial proposal</x:v>
      </x:c>
      <x:c r="N1009" s="4"/>
      <x:c r="O1009" s="4" t="str">
        <x:f>IFERROR(INDEX('Material routes'!$J$6:$J$2205,MATCH(U1009,'Material routes'!$A$6:$A$2205,0)),"MISSING ID")</x:f>
        <x:v>Unspecified</x:v>
      </x:c>
      <x:c r="P1009" s="4"/>
      <x:c r="Q1009" s="4" t="str">
        <x:f>IFERROR(INDEX('Material routes'!$J$6:$J$2205,MATCH(V1009,'Material routes'!$A$6:$A$2205,0)),"MISSING ID")</x:f>
        <x:v>Unspecified</x:v>
      </x:c>
      <x:c r="R1009" s="4" t="str">
        <x:f>IF(L1009="Withheld","Withheld premise",IF(E1009="Tool candidate","Reusable prerequisite",IF(K1009="Raw entry preparation","Entry-resource preparation",IF(G1009="Not applicable",IF(IFERROR(INDEX('Items'!$AI$6:$AI$1005,MATCH(T1009,'Items'!$A$6:$A$1005,0)),"MISSING ID")="Finished item","Finished endpoint",IF(IFERROR(INDEX('Items'!$AI$6:$AI$1005,MATCH(T1009,'Items'!$A$6:$A$1005,0)),"MISSING ID")="Currency","Currency / no refinement tier","Recovered output / tier not applicable")),IF(OR(IFERROR(INDEX('Crafting recipes'!$H$6:$H$1005,MATCH(J1009,'Crafting recipes'!$A$6:$A$1005,0)),"MISSING ID")="Unassigned",G1009="Unassigned"),"Tier unresolved",IF(IFERROR(VALUE(RIGHT(G1009,1))-VALUE(RIGHT(IFERROR(INDEX('Crafting recipes'!$H$6:$H$1005,MATCH(J1009,'Crafting recipes'!$A$6:$A$1005,0)),"MISSING ID"),1)),0)=1,IF(B1009=IFERROR(INDEX('Crafting recipes'!$H$6:$H$1005,MATCH(J1009,'Crafting recipes'!$A$6:$A$1005,0)),"MISSING ID"),"Advances one material tier","Lower-tier ingredient; route advances one tier"),"Needs tier review"))))))</x:f>
        <x:v>Finished endpoint</x:v>
      </x:c>
      <x:c r="S1009" s="4" t="str">
        <x:f>IFERROR(INDEX('Material routes'!$D$6:$D$2205,MATCH(U1009,'Material routes'!$A$6:$A$2205,0)),"MISSING ID")</x:f>
        <x:v>proposal.t4.vessel_liner</x:v>
      </x:c>
      <x:c r="T1009" s="4" t="str">
        <x:f>IFERROR(INDEX('Material routes'!$D$6:$D$2205,MATCH(V1009,'Material routes'!$A$6:$A$2205,0)),"MISSING ID")</x:f>
        <x:v>proposal.container.bulk_ichor</x:v>
      </x:c>
      <x:c r="U1009" s="4" t="str">
        <x:v>design.audit.proposal_container_bulk_ichor.audit.in.2</x:v>
      </x:c>
      <x:c r="V1009" s="4" t="str">
        <x:v>design.audit.proposal_container_bulk_ichor.audit.out</x:v>
      </x:c>
    </x:row>
    <x:row r="1010" ht="64" customHeight="1">
      <x:c r="A1010" s="4" t="str">
        <x:f>IFERROR(INDEX('Material routes'!$E$6:$E$2205,MATCH(U1010,'Material routes'!$A$6:$A$2205,0)),"MISSING ID")</x:f>
        <x:v>Feed-line coupling</x:v>
      </x:c>
      <x:c r="B1010" s="4" t="str">
        <x:f>IFERROR(INDEX('Material routes'!$F$6:$F$2205,MATCH(U1010,'Material routes'!$A$6:$A$2205,0)),"MISSING ID")</x:f>
        <x:v>T4</x:v>
      </x:c>
      <x:c r="C1010" s="4" t="str">
        <x:f>IFERROR(INDEX('Material routes'!$H$6:$H$2205,MATCH(U1010,'Material routes'!$A$6:$A$2205,0)),"MISSING ID")</x:f>
        <x:v>Container part</x:v>
      </x:c>
      <x:c r="D1010" s="4" t="str">
        <x:f>IFERROR(INDEX('Material routes'!$G$6:$G$2205,MATCH(U1010,'Material routes'!$A$6:$A$2205,0)),"MISSING ID")</x:f>
        <x:v>Crafting components</x:v>
      </x:c>
      <x:c r="E1010" s="4" t="str">
        <x:f>IFERROR(INDEX('Material routes'!$C$6:$C$2205,MATCH(U1010,'Material routes'!$A$6:$A$2205,0)),"MISSING ID")</x:f>
        <x:v>Ingredient candidate</x:v>
      </x:c>
      <x:c r="F1010" s="4" t="str">
        <x:f>IFERROR(INDEX('Material routes'!$E$6:$E$2205,MATCH(V1010,'Material routes'!$A$6:$A$2205,0)),"MISSING ID")</x:f>
        <x:v>Bulk ichor vessel</x:v>
      </x:c>
      <x:c r="G1010" s="4" t="str">
        <x:f>IFERROR(INDEX('Material routes'!$F$6:$F$2205,MATCH(V1010,'Material routes'!$A$6:$A$2205,0)),"MISSING ID")</x:f>
        <x:v>Not applicable</x:v>
      </x:c>
      <x:c r="H1010" s="4" t="str">
        <x:f>IFERROR(INDEX('Material routes'!$H$6:$H$2205,MATCH(V1010,'Material routes'!$A$6:$A$2205,0)),"MISSING ID")</x:f>
        <x:v>Container</x:v>
      </x:c>
      <x:c r="I1010" s="4" t="str">
        <x:f>IFERROR(INDEX('Material routes'!$G$6:$G$2205,MATCH(V1010,'Material routes'!$A$6:$A$2205,0)),"MISSING ID")</x:f>
        <x:v>Tools</x:v>
      </x:c>
      <x:c r="J1010" s="4" t="str">
        <x:f>IFERROR(INDEX('Material routes'!$B$6:$B$2205,MATCH(U1010,'Material routes'!$A$6:$A$2205,0)),"MISSING ID")</x:f>
        <x:v>design.audit.proposal_container_bulk_ichor</x:v>
      </x:c>
      <x:c r="K1010" s="4" t="str">
        <x:f>IFERROR(INDEX('Crafting recipes'!$C$6:$C$1005,MATCH(J1010,'Crafting recipes'!$A$6:$A$1005,0)),"MISSING ID")</x:f>
        <x:v>Finished-item crafting</x:v>
      </x:c>
      <x:c r="L1010" s="4" t="str">
        <x:f>IFERROR(INDEX('Material routes'!$K$6:$K$2205,MATCH(U1010,'Material routes'!$A$6:$A$2205,0)),"MISSING ID")</x:f>
        <x:v>Proposal</x:v>
      </x:c>
      <x:c r="M1010" s="4" t="str">
        <x:f>IFERROR(INDEX('Material routes'!$M$6:$M$2205,MATCH(U1010,'Material routes'!$A$6:$A$2205,0)),"MISSING ID")</x:f>
        <x:v>Partial proposal</x:v>
      </x:c>
      <x:c r="N1010" s="4"/>
      <x:c r="O1010" s="4" t="str">
        <x:f>IFERROR(INDEX('Material routes'!$J$6:$J$2205,MATCH(U1010,'Material routes'!$A$6:$A$2205,0)),"MISSING ID")</x:f>
        <x:v>Unspecified</x:v>
      </x:c>
      <x:c r="P1010" s="4"/>
      <x:c r="Q1010" s="4" t="str">
        <x:f>IFERROR(INDEX('Material routes'!$J$6:$J$2205,MATCH(V1010,'Material routes'!$A$6:$A$2205,0)),"MISSING ID")</x:f>
        <x:v>Unspecified</x:v>
      </x:c>
      <x:c r="R1010" s="4" t="str">
        <x:f>IF(L1010="Withheld","Withheld premise",IF(E1010="Tool candidate","Reusable prerequisite",IF(K1010="Raw entry preparation","Entry-resource preparation",IF(G1010="Not applicable",IF(IFERROR(INDEX('Items'!$AI$6:$AI$1005,MATCH(T1010,'Items'!$A$6:$A$1005,0)),"MISSING ID")="Finished item","Finished endpoint",IF(IFERROR(INDEX('Items'!$AI$6:$AI$1005,MATCH(T1010,'Items'!$A$6:$A$1005,0)),"MISSING ID")="Currency","Currency / no refinement tier","Recovered output / tier not applicable")),IF(OR(IFERROR(INDEX('Crafting recipes'!$H$6:$H$1005,MATCH(J1010,'Crafting recipes'!$A$6:$A$1005,0)),"MISSING ID")="Unassigned",G1010="Unassigned"),"Tier unresolved",IF(IFERROR(VALUE(RIGHT(G1010,1))-VALUE(RIGHT(IFERROR(INDEX('Crafting recipes'!$H$6:$H$1005,MATCH(J1010,'Crafting recipes'!$A$6:$A$1005,0)),"MISSING ID"),1)),0)=1,IF(B1010=IFERROR(INDEX('Crafting recipes'!$H$6:$H$1005,MATCH(J1010,'Crafting recipes'!$A$6:$A$1005,0)),"MISSING ID"),"Advances one material tier","Lower-tier ingredient; route advances one tier"),"Needs tier review"))))))</x:f>
        <x:v>Finished endpoint</x:v>
      </x:c>
      <x:c r="S1010" s="4" t="str">
        <x:f>IFERROR(INDEX('Material routes'!$D$6:$D$2205,MATCH(U1010,'Material routes'!$A$6:$A$2205,0)),"MISSING ID")</x:f>
        <x:v>proposal.canister.coupling</x:v>
      </x:c>
      <x:c r="T1010" s="4" t="str">
        <x:f>IFERROR(INDEX('Material routes'!$D$6:$D$2205,MATCH(V1010,'Material routes'!$A$6:$A$2205,0)),"MISSING ID")</x:f>
        <x:v>proposal.container.bulk_ichor</x:v>
      </x:c>
      <x:c r="U1010" s="4" t="str">
        <x:v>design.audit.proposal_container_bulk_ichor.audit.in.3</x:v>
      </x:c>
      <x:c r="V1010" s="4" t="str">
        <x:v>design.audit.proposal_container_bulk_ichor.audit.out</x:v>
      </x:c>
    </x:row>
    <x:row r="1011" ht="64" customHeight="1">
      <x:c r="A1011" s="4" t="str">
        <x:f>IFERROR(INDEX('Material routes'!$E$6:$E$2205,MATCH(U1011,'Material routes'!$A$6:$A$2205,0)),"MISSING ID")</x:f>
        <x:v>Replacement seal ring</x:v>
      </x:c>
      <x:c r="B1011" s="4" t="str">
        <x:f>IFERROR(INDEX('Material routes'!$F$6:$F$2205,MATCH(U1011,'Material routes'!$A$6:$A$2205,0)),"MISSING ID")</x:f>
        <x:v>T3</x:v>
      </x:c>
      <x:c r="C1011" s="4" t="str">
        <x:f>IFERROR(INDEX('Material routes'!$H$6:$H$2205,MATCH(U1011,'Material routes'!$A$6:$A$2205,0)),"MISSING ID")</x:f>
        <x:v>Container part</x:v>
      </x:c>
      <x:c r="D1011" s="4" t="str">
        <x:f>IFERROR(INDEX('Material routes'!$G$6:$G$2205,MATCH(U1011,'Material routes'!$A$6:$A$2205,0)),"MISSING ID")</x:f>
        <x:v>Crafting components</x:v>
      </x:c>
      <x:c r="E1011" s="4" t="str">
        <x:f>IFERROR(INDEX('Material routes'!$C$6:$C$2205,MATCH(U1011,'Material routes'!$A$6:$A$2205,0)),"MISSING ID")</x:f>
        <x:v>Ingredient candidate</x:v>
      </x:c>
      <x:c r="F1011" s="4" t="str">
        <x:f>IFERROR(INDEX('Material routes'!$E$6:$E$2205,MATCH(V1011,'Material routes'!$A$6:$A$2205,0)),"MISSING ID")</x:f>
        <x:v>Bulk ichor vessel</x:v>
      </x:c>
      <x:c r="G1011" s="4" t="str">
        <x:f>IFERROR(INDEX('Material routes'!$F$6:$F$2205,MATCH(V1011,'Material routes'!$A$6:$A$2205,0)),"MISSING ID")</x:f>
        <x:v>Not applicable</x:v>
      </x:c>
      <x:c r="H1011" s="4" t="str">
        <x:f>IFERROR(INDEX('Material routes'!$H$6:$H$2205,MATCH(V1011,'Material routes'!$A$6:$A$2205,0)),"MISSING ID")</x:f>
        <x:v>Container</x:v>
      </x:c>
      <x:c r="I1011" s="4" t="str">
        <x:f>IFERROR(INDEX('Material routes'!$G$6:$G$2205,MATCH(V1011,'Material routes'!$A$6:$A$2205,0)),"MISSING ID")</x:f>
        <x:v>Tools</x:v>
      </x:c>
      <x:c r="J1011" s="4" t="str">
        <x:f>IFERROR(INDEX('Material routes'!$B$6:$B$2205,MATCH(U1011,'Material routes'!$A$6:$A$2205,0)),"MISSING ID")</x:f>
        <x:v>design.audit.proposal_container_bulk_ichor</x:v>
      </x:c>
      <x:c r="K1011" s="4" t="str">
        <x:f>IFERROR(INDEX('Crafting recipes'!$C$6:$C$1005,MATCH(J1011,'Crafting recipes'!$A$6:$A$1005,0)),"MISSING ID")</x:f>
        <x:v>Finished-item crafting</x:v>
      </x:c>
      <x:c r="L1011" s="4" t="str">
        <x:f>IFERROR(INDEX('Material routes'!$K$6:$K$2205,MATCH(U1011,'Material routes'!$A$6:$A$2205,0)),"MISSING ID")</x:f>
        <x:v>Proposal</x:v>
      </x:c>
      <x:c r="M1011" s="4" t="str">
        <x:f>IFERROR(INDEX('Material routes'!$M$6:$M$2205,MATCH(U1011,'Material routes'!$A$6:$A$2205,0)),"MISSING ID")</x:f>
        <x:v>Partial proposal</x:v>
      </x:c>
      <x:c r="N1011" s="4"/>
      <x:c r="O1011" s="4" t="str">
        <x:f>IFERROR(INDEX('Material routes'!$J$6:$J$2205,MATCH(U1011,'Material routes'!$A$6:$A$2205,0)),"MISSING ID")</x:f>
        <x:v>Unspecified</x:v>
      </x:c>
      <x:c r="P1011" s="4"/>
      <x:c r="Q1011" s="4" t="str">
        <x:f>IFERROR(INDEX('Material routes'!$J$6:$J$2205,MATCH(V1011,'Material routes'!$A$6:$A$2205,0)),"MISSING ID")</x:f>
        <x:v>Unspecified</x:v>
      </x:c>
      <x:c r="R1011" s="4" t="str">
        <x:f>IF(L1011="Withheld","Withheld premise",IF(E1011="Tool candidate","Reusable prerequisite",IF(K1011="Raw entry preparation","Entry-resource preparation",IF(G1011="Not applicable",IF(IFERROR(INDEX('Items'!$AI$6:$AI$1005,MATCH(T1011,'Items'!$A$6:$A$1005,0)),"MISSING ID")="Finished item","Finished endpoint",IF(IFERROR(INDEX('Items'!$AI$6:$AI$1005,MATCH(T1011,'Items'!$A$6:$A$1005,0)),"MISSING ID")="Currency","Currency / no refinement tier","Recovered output / tier not applicable")),IF(OR(IFERROR(INDEX('Crafting recipes'!$H$6:$H$1005,MATCH(J1011,'Crafting recipes'!$A$6:$A$1005,0)),"MISSING ID")="Unassigned",G1011="Unassigned"),"Tier unresolved",IF(IFERROR(VALUE(RIGHT(G1011,1))-VALUE(RIGHT(IFERROR(INDEX('Crafting recipes'!$H$6:$H$1005,MATCH(J1011,'Crafting recipes'!$A$6:$A$1005,0)),"MISSING ID"),1)),0)=1,IF(B1011=IFERROR(INDEX('Crafting recipes'!$H$6:$H$1005,MATCH(J1011,'Crafting recipes'!$A$6:$A$1005,0)),"MISSING ID"),"Advances one material tier","Lower-tier ingredient; route advances one tier"),"Needs tier review"))))))</x:f>
        <x:v>Finished endpoint</x:v>
      </x:c>
      <x:c r="S1011" s="4" t="str">
        <x:f>IFERROR(INDEX('Material routes'!$D$6:$D$2205,MATCH(U1011,'Material routes'!$A$6:$A$2205,0)),"MISSING ID")</x:f>
        <x:v>proposal.canister.seal_ring</x:v>
      </x:c>
      <x:c r="T1011" s="4" t="str">
        <x:f>IFERROR(INDEX('Material routes'!$D$6:$D$2205,MATCH(V1011,'Material routes'!$A$6:$A$2205,0)),"MISSING ID")</x:f>
        <x:v>proposal.container.bulk_ichor</x:v>
      </x:c>
      <x:c r="U1011" s="4" t="str">
        <x:v>design.audit.proposal_container_bulk_ichor.audit.in.4</x:v>
      </x:c>
      <x:c r="V1011" s="4" t="str">
        <x:v>design.audit.proposal_container_bulk_ichor.audit.out</x:v>
      </x:c>
    </x:row>
    <x:row r="1012" ht="64" customHeight="1">
      <x:c r="A1012" s="4"/>
      <x:c r="B1012" s="4"/>
      <x:c r="C1012" s="4"/>
      <x:c r="D1012" s="4"/>
      <x:c r="E1012" s="4"/>
      <x:c r="F1012" s="4"/>
      <x:c r="G1012" s="4"/>
      <x:c r="H1012" s="4"/>
      <x:c r="I1012" s="4"/>
      <x:c r="J1012" s="4"/>
      <x:c r="K1012" s="4"/>
      <x:c r="L1012" s="4"/>
      <x:c r="M1012" s="4"/>
      <x:c r="N1012" s="4"/>
      <x:c r="P1012" s="4"/>
      <x:c r="R1012" s="4"/>
      <x:c r="S1012" s="4"/>
      <x:c r="T1012" s="4"/>
      <x:c r="U1012" s="4"/>
      <x:c r="V1012" s="4"/>
    </x:row>
    <x:row r="1013" ht="64" customHeight="1">
      <x:c r="A1013" s="4"/>
      <x:c r="B1013" s="4"/>
      <x:c r="C1013" s="4"/>
      <x:c r="D1013" s="4"/>
      <x:c r="E1013" s="4"/>
      <x:c r="F1013" s="4"/>
      <x:c r="G1013" s="4"/>
      <x:c r="H1013" s="4"/>
      <x:c r="I1013" s="4"/>
      <x:c r="J1013" s="4"/>
      <x:c r="K1013" s="4"/>
      <x:c r="L1013" s="4"/>
      <x:c r="M1013" s="4"/>
      <x:c r="N1013" s="4"/>
      <x:c r="P1013" s="4"/>
      <x:c r="R1013" s="4"/>
      <x:c r="S1013" s="4"/>
      <x:c r="T1013" s="4"/>
      <x:c r="U1013" s="4"/>
      <x:c r="V1013" s="4"/>
    </x:row>
    <x:row r="1014" ht="64" customHeight="1">
      <x:c r="A1014" s="4"/>
      <x:c r="B1014" s="4"/>
      <x:c r="C1014" s="4"/>
      <x:c r="D1014" s="4"/>
      <x:c r="E1014" s="4"/>
      <x:c r="F1014" s="4"/>
      <x:c r="G1014" s="4"/>
      <x:c r="H1014" s="4"/>
      <x:c r="I1014" s="4"/>
      <x:c r="J1014" s="4"/>
      <x:c r="K1014" s="4"/>
      <x:c r="L1014" s="4"/>
      <x:c r="M1014" s="4"/>
      <x:c r="N1014" s="4"/>
      <x:c r="P1014" s="4"/>
      <x:c r="R1014" s="4"/>
      <x:c r="S1014" s="4"/>
      <x:c r="T1014" s="4"/>
      <x:c r="U1014" s="4"/>
      <x:c r="V1014" s="4"/>
    </x:row>
    <x:row r="1015" ht="64" customHeight="1">
      <x:c r="A1015" s="4"/>
      <x:c r="B1015" s="4"/>
      <x:c r="C1015" s="4"/>
      <x:c r="D1015" s="4"/>
      <x:c r="E1015" s="4"/>
      <x:c r="F1015" s="4"/>
      <x:c r="G1015" s="4"/>
      <x:c r="H1015" s="4"/>
      <x:c r="I1015" s="4"/>
      <x:c r="J1015" s="4"/>
      <x:c r="K1015" s="4"/>
      <x:c r="L1015" s="4"/>
      <x:c r="M1015" s="4"/>
      <x:c r="N1015" s="4"/>
      <x:c r="P1015" s="4"/>
      <x:c r="R1015" s="4"/>
      <x:c r="S1015" s="4"/>
      <x:c r="T1015" s="4"/>
      <x:c r="U1015" s="4"/>
      <x:c r="V1015" s="4"/>
    </x:row>
    <x:row r="1016" ht="64" customHeight="1">
      <x:c r="A1016" s="4"/>
      <x:c r="B1016" s="4"/>
      <x:c r="C1016" s="4"/>
      <x:c r="D1016" s="4"/>
      <x:c r="E1016" s="4"/>
      <x:c r="F1016" s="4"/>
      <x:c r="G1016" s="4"/>
      <x:c r="H1016" s="4"/>
      <x:c r="I1016" s="4"/>
      <x:c r="J1016" s="4"/>
      <x:c r="K1016" s="4"/>
      <x:c r="L1016" s="4"/>
      <x:c r="M1016" s="4"/>
      <x:c r="N1016" s="4"/>
      <x:c r="P1016" s="4"/>
      <x:c r="R1016" s="4"/>
      <x:c r="S1016" s="4"/>
      <x:c r="T1016" s="4"/>
      <x:c r="U1016" s="4"/>
      <x:c r="V1016" s="4"/>
    </x:row>
    <x:row r="1017" ht="64" customHeight="1">
      <x:c r="A1017" s="4"/>
      <x:c r="B1017" s="4"/>
      <x:c r="C1017" s="4"/>
      <x:c r="D1017" s="4"/>
      <x:c r="E1017" s="4"/>
      <x:c r="F1017" s="4"/>
      <x:c r="G1017" s="4"/>
      <x:c r="H1017" s="4"/>
      <x:c r="I1017" s="4"/>
      <x:c r="J1017" s="4"/>
      <x:c r="K1017" s="4"/>
      <x:c r="L1017" s="4"/>
      <x:c r="M1017" s="4"/>
      <x:c r="N1017" s="4"/>
      <x:c r="P1017" s="4"/>
      <x:c r="R1017" s="4"/>
      <x:c r="S1017" s="4"/>
      <x:c r="T1017" s="4"/>
      <x:c r="U1017" s="4"/>
      <x:c r="V1017" s="4"/>
    </x:row>
    <x:row r="1018" ht="64" customHeight="1">
      <x:c r="A1018" s="4"/>
      <x:c r="B1018" s="4"/>
      <x:c r="C1018" s="4"/>
      <x:c r="D1018" s="4"/>
      <x:c r="E1018" s="4"/>
      <x:c r="F1018" s="4"/>
      <x:c r="G1018" s="4"/>
      <x:c r="H1018" s="4"/>
      <x:c r="I1018" s="4"/>
      <x:c r="J1018" s="4"/>
      <x:c r="K1018" s="4"/>
      <x:c r="L1018" s="4"/>
      <x:c r="M1018" s="4"/>
      <x:c r="N1018" s="4"/>
      <x:c r="P1018" s="4"/>
      <x:c r="R1018" s="4"/>
      <x:c r="S1018" s="4"/>
      <x:c r="T1018" s="4"/>
      <x:c r="U1018" s="4"/>
      <x:c r="V1018" s="4"/>
    </x:row>
    <x:row r="1019" ht="64" customHeight="1">
      <x:c r="A1019" s="4" t="str">
        <x:f>IFERROR(INDEX('Material routes'!$E$6:$E$2205,MATCH(U1019,'Material routes'!$A$6:$A$2205,0)),"MISSING ID")</x:f>
        <x:v>Annealed iron sheet stock</x:v>
      </x:c>
      <x:c r="B1019" s="4" t="str">
        <x:f>IFERROR(INDEX('Material routes'!$F$6:$F$2205,MATCH(U1019,'Material routes'!$A$6:$A$2205,0)),"MISSING ID")</x:f>
        <x:v>T3</x:v>
      </x:c>
      <x:c r="C1019" s="4" t="str">
        <x:f>IFERROR(INDEX('Material routes'!$H$6:$H$2205,MATCH(U1019,'Material routes'!$A$6:$A$2205,0)),"MISSING ID")</x:f>
        <x:v>Processed material</x:v>
      </x:c>
      <x:c r="D1019" s="4" t="str">
        <x:f>IFERROR(INDEX('Material routes'!$G$6:$G$2205,MATCH(U1019,'Material routes'!$A$6:$A$2205,0)),"MISSING ID")</x:f>
        <x:v>Manufactured stock</x:v>
      </x:c>
      <x:c r="E1019" s="4" t="str">
        <x:f>IFERROR(INDEX('Material routes'!$C$6:$C$2205,MATCH(U1019,'Material routes'!$A$6:$A$2205,0)),"MISSING ID")</x:f>
        <x:v>Ingredient candidate</x:v>
      </x:c>
      <x:c r="F1019" s="4" t="str">
        <x:f>IFERROR(INDEX('Material routes'!$E$6:$E$2205,MATCH(V1019,'Material routes'!$A$6:$A$2205,0)),"MISSING ID")</x:f>
        <x:v>Locking field chest</x:v>
      </x:c>
      <x:c r="G1019" s="4" t="str">
        <x:f>IFERROR(INDEX('Material routes'!$F$6:$F$2205,MATCH(V1019,'Material routes'!$A$6:$A$2205,0)),"MISSING ID")</x:f>
        <x:v>Not applicable</x:v>
      </x:c>
      <x:c r="H1019" s="4" t="str">
        <x:f>IFERROR(INDEX('Material routes'!$H$6:$H$2205,MATCH(V1019,'Material routes'!$A$6:$A$2205,0)),"MISSING ID")</x:f>
        <x:v>Container</x:v>
      </x:c>
      <x:c r="I1019" s="4" t="str">
        <x:f>IFERROR(INDEX('Material routes'!$G$6:$G$2205,MATCH(V1019,'Material routes'!$A$6:$A$2205,0)),"MISSING ID")</x:f>
        <x:v>Salvage</x:v>
      </x:c>
      <x:c r="J1019" s="4" t="str">
        <x:f>IFERROR(INDEX('Material routes'!$B$6:$B$2205,MATCH(U1019,'Material routes'!$A$6:$A$2205,0)),"MISSING ID")</x:f>
        <x:v>design.audit.proposal_container_field_chest</x:v>
      </x:c>
      <x:c r="K1019" s="4" t="str">
        <x:f>IFERROR(INDEX('Crafting recipes'!$C$6:$C$1005,MATCH(J1019,'Crafting recipes'!$A$6:$A$1005,0)),"MISSING ID")</x:f>
        <x:v>Finished-item crafting</x:v>
      </x:c>
      <x:c r="L1019" s="4" t="str">
        <x:f>IFERROR(INDEX('Material routes'!$K$6:$K$2205,MATCH(U1019,'Material routes'!$A$6:$A$2205,0)),"MISSING ID")</x:f>
        <x:v>Proposal</x:v>
      </x:c>
      <x:c r="M1019" s="4" t="str">
        <x:f>IFERROR(INDEX('Material routes'!$M$6:$M$2205,MATCH(U1019,'Material routes'!$A$6:$A$2205,0)),"MISSING ID")</x:f>
        <x:v>Partial proposal</x:v>
      </x:c>
      <x:c r="N1019" s="4"/>
      <x:c r="O1019" s="4" t="str">
        <x:f>IFERROR(INDEX('Material routes'!$J$6:$J$2205,MATCH(U1019,'Material routes'!$A$6:$A$2205,0)),"MISSING ID")</x:f>
        <x:v>Unspecified</x:v>
      </x:c>
      <x:c r="P1019" s="4"/>
      <x:c r="Q1019" s="4" t="str">
        <x:f>IFERROR(INDEX('Material routes'!$J$6:$J$2205,MATCH(V1019,'Material routes'!$A$6:$A$2205,0)),"MISSING ID")</x:f>
        <x:v>Unspecified</x:v>
      </x:c>
      <x:c r="R1019" s="4" t="str">
        <x:f>IF(L1019="Withheld","Withheld premise",IF(E1019="Tool candidate","Reusable prerequisite",IF(K1019="Raw entry preparation","Entry-resource preparation",IF(G1019="Not applicable",IF(IFERROR(INDEX('Items'!$AI$6:$AI$1005,MATCH(T1019,'Items'!$A$6:$A$1005,0)),"MISSING ID")="Finished item","Finished endpoint",IF(IFERROR(INDEX('Items'!$AI$6:$AI$1005,MATCH(T1019,'Items'!$A$6:$A$1005,0)),"MISSING ID")="Currency","Currency / no refinement tier","Recovered output / tier not applicable")),IF(OR(IFERROR(INDEX('Crafting recipes'!$H$6:$H$1005,MATCH(J1019,'Crafting recipes'!$A$6:$A$1005,0)),"MISSING ID")="Unassigned",G1019="Unassigned"),"Tier unresolved",IF(IFERROR(VALUE(RIGHT(G1019,1))-VALUE(RIGHT(IFERROR(INDEX('Crafting recipes'!$H$6:$H$1005,MATCH(J1019,'Crafting recipes'!$A$6:$A$1005,0)),"MISSING ID"),1)),0)=1,IF(B1019=IFERROR(INDEX('Crafting recipes'!$H$6:$H$1005,MATCH(J1019,'Crafting recipes'!$A$6:$A$1005,0)),"MISSING ID"),"Advances one material tier","Lower-tier ingredient; route advances one tier"),"Needs tier review"))))))</x:f>
        <x:v>Finished endpoint</x:v>
      </x:c>
      <x:c r="S1019" s="4" t="str">
        <x:f>IFERROR(INDEX('Material routes'!$D$6:$D$2205,MATCH(U1019,'Material routes'!$A$6:$A$2205,0)),"MISSING ID")</x:f>
        <x:v>proposal.collection.annealed_iron_sheet_stock</x:v>
      </x:c>
      <x:c r="T1019" s="4" t="str">
        <x:f>IFERROR(INDEX('Material routes'!$D$6:$D$2205,MATCH(V1019,'Material routes'!$A$6:$A$2205,0)),"MISSING ID")</x:f>
        <x:v>proposal.container.field_chest</x:v>
      </x:c>
      <x:c r="U1019" s="4" t="str">
        <x:v>design.audit.proposal_container_field_chest.audit.in.1</x:v>
      </x:c>
      <x:c r="V1019" s="4" t="str">
        <x:v>design.audit.proposal_container_field_chest.audit.out</x:v>
      </x:c>
    </x:row>
    <x:row r="1020" ht="64" customHeight="1">
      <x:c r="A1020" s="4" t="str">
        <x:f>IFERROR(INDEX('Material routes'!$E$6:$E$2205,MATCH(U1020,'Material routes'!$A$6:$A$2205,0)),"MISSING ID")</x:f>
        <x:v>Small metal hinge pair</x:v>
      </x:c>
      <x:c r="B1020" s="4" t="str">
        <x:f>IFERROR(INDEX('Material routes'!$F$6:$F$2205,MATCH(U1020,'Material routes'!$A$6:$A$2205,0)),"MISSING ID")</x:f>
        <x:v>T3</x:v>
      </x:c>
      <x:c r="C1020" s="4" t="str">
        <x:f>IFERROR(INDEX('Material routes'!$H$6:$H$2205,MATCH(U1020,'Material routes'!$A$6:$A$2205,0)),"MISSING ID")</x:f>
        <x:v>Crafting component</x:v>
      </x:c>
      <x:c r="D1020" s="4" t="str">
        <x:f>IFERROR(INDEX('Material routes'!$G$6:$G$2205,MATCH(U1020,'Material routes'!$A$6:$A$2205,0)),"MISSING ID")</x:f>
        <x:v>Crafting components</x:v>
      </x:c>
      <x:c r="E1020" s="4" t="str">
        <x:f>IFERROR(INDEX('Material routes'!$C$6:$C$2205,MATCH(U1020,'Material routes'!$A$6:$A$2205,0)),"MISSING ID")</x:f>
        <x:v>Ingredient candidate</x:v>
      </x:c>
      <x:c r="F1020" s="4" t="str">
        <x:f>IFERROR(INDEX('Material routes'!$E$6:$E$2205,MATCH(V1020,'Material routes'!$A$6:$A$2205,0)),"MISSING ID")</x:f>
        <x:v>Locking field chest</x:v>
      </x:c>
      <x:c r="G1020" s="4" t="str">
        <x:f>IFERROR(INDEX('Material routes'!$F$6:$F$2205,MATCH(V1020,'Material routes'!$A$6:$A$2205,0)),"MISSING ID")</x:f>
        <x:v>Not applicable</x:v>
      </x:c>
      <x:c r="H1020" s="4" t="str">
        <x:f>IFERROR(INDEX('Material routes'!$H$6:$H$2205,MATCH(V1020,'Material routes'!$A$6:$A$2205,0)),"MISSING ID")</x:f>
        <x:v>Container</x:v>
      </x:c>
      <x:c r="I1020" s="4" t="str">
        <x:f>IFERROR(INDEX('Material routes'!$G$6:$G$2205,MATCH(V1020,'Material routes'!$A$6:$A$2205,0)),"MISSING ID")</x:f>
        <x:v>Salvage</x:v>
      </x:c>
      <x:c r="J1020" s="4" t="str">
        <x:f>IFERROR(INDEX('Material routes'!$B$6:$B$2205,MATCH(U1020,'Material routes'!$A$6:$A$2205,0)),"MISSING ID")</x:f>
        <x:v>design.audit.proposal_container_field_chest</x:v>
      </x:c>
      <x:c r="K1020" s="4" t="str">
        <x:f>IFERROR(INDEX('Crafting recipes'!$C$6:$C$1005,MATCH(J1020,'Crafting recipes'!$A$6:$A$1005,0)),"MISSING ID")</x:f>
        <x:v>Finished-item crafting</x:v>
      </x:c>
      <x:c r="L1020" s="4" t="str">
        <x:f>IFERROR(INDEX('Material routes'!$K$6:$K$2205,MATCH(U1020,'Material routes'!$A$6:$A$2205,0)),"MISSING ID")</x:f>
        <x:v>Proposal</x:v>
      </x:c>
      <x:c r="M1020" s="4" t="str">
        <x:f>IFERROR(INDEX('Material routes'!$M$6:$M$2205,MATCH(U1020,'Material routes'!$A$6:$A$2205,0)),"MISSING ID")</x:f>
        <x:v>Partial proposal</x:v>
      </x:c>
      <x:c r="N1020" s="4"/>
      <x:c r="O1020" s="4" t="str">
        <x:f>IFERROR(INDEX('Material routes'!$J$6:$J$2205,MATCH(U1020,'Material routes'!$A$6:$A$2205,0)),"MISSING ID")</x:f>
        <x:v>Unspecified</x:v>
      </x:c>
      <x:c r="P1020" s="4"/>
      <x:c r="Q1020" s="4" t="str">
        <x:f>IFERROR(INDEX('Material routes'!$J$6:$J$2205,MATCH(V1020,'Material routes'!$A$6:$A$2205,0)),"MISSING ID")</x:f>
        <x:v>Unspecified</x:v>
      </x:c>
      <x:c r="R1020" s="4" t="str">
        <x:f>IF(L1020="Withheld","Withheld premise",IF(E1020="Tool candidate","Reusable prerequisite",IF(K1020="Raw entry preparation","Entry-resource preparation",IF(G1020="Not applicable",IF(IFERROR(INDEX('Items'!$AI$6:$AI$1005,MATCH(T1020,'Items'!$A$6:$A$1005,0)),"MISSING ID")="Finished item","Finished endpoint",IF(IFERROR(INDEX('Items'!$AI$6:$AI$1005,MATCH(T1020,'Items'!$A$6:$A$1005,0)),"MISSING ID")="Currency","Currency / no refinement tier","Recovered output / tier not applicable")),IF(OR(IFERROR(INDEX('Crafting recipes'!$H$6:$H$1005,MATCH(J1020,'Crafting recipes'!$A$6:$A$1005,0)),"MISSING ID")="Unassigned",G1020="Unassigned"),"Tier unresolved",IF(IFERROR(VALUE(RIGHT(G1020,1))-VALUE(RIGHT(IFERROR(INDEX('Crafting recipes'!$H$6:$H$1005,MATCH(J1020,'Crafting recipes'!$A$6:$A$1005,0)),"MISSING ID"),1)),0)=1,IF(B1020=IFERROR(INDEX('Crafting recipes'!$H$6:$H$1005,MATCH(J1020,'Crafting recipes'!$A$6:$A$1005,0)),"MISSING ID"),"Advances one material tier","Lower-tier ingredient; route advances one tier"),"Needs tier review"))))))</x:f>
        <x:v>Finished endpoint</x:v>
      </x:c>
      <x:c r="S1020" s="4" t="str">
        <x:f>IFERROR(INDEX('Material routes'!$D$6:$D$2205,MATCH(U1020,'Material routes'!$A$6:$A$2205,0)),"MISSING ID")</x:f>
        <x:v>proposal.audit.small_metal_hinge_pair</x:v>
      </x:c>
      <x:c r="T1020" s="4" t="str">
        <x:f>IFERROR(INDEX('Material routes'!$D$6:$D$2205,MATCH(V1020,'Material routes'!$A$6:$A$2205,0)),"MISSING ID")</x:f>
        <x:v>proposal.container.field_chest</x:v>
      </x:c>
      <x:c r="U1020" s="4" t="str">
        <x:v>design.audit.proposal_container_field_chest.audit.in.2</x:v>
      </x:c>
      <x:c r="V1020" s="4" t="str">
        <x:v>design.audit.proposal_container_field_chest.audit.out</x:v>
      </x:c>
    </x:row>
    <x:row r="1021" ht="64" customHeight="1">
      <x:c r="A1021" s="4" t="str">
        <x:f>IFERROR(INDEX('Material routes'!$E$6:$E$2205,MATCH(U1021,'Material routes'!$A$6:$A$2205,0)),"MISSING ID")</x:f>
        <x:v>Compact latch and trigger pack</x:v>
      </x:c>
      <x:c r="B1021" s="4" t="str">
        <x:f>IFERROR(INDEX('Material routes'!$F$6:$F$2205,MATCH(U1021,'Material routes'!$A$6:$A$2205,0)),"MISSING ID")</x:f>
        <x:v>T4</x:v>
      </x:c>
      <x:c r="C1021" s="4" t="str">
        <x:f>IFERROR(INDEX('Material routes'!$H$6:$H$2205,MATCH(U1021,'Material routes'!$A$6:$A$2205,0)),"MISSING ID")</x:f>
        <x:v>Crafting component</x:v>
      </x:c>
      <x:c r="D1021" s="4" t="str">
        <x:f>IFERROR(INDEX('Material routes'!$G$6:$G$2205,MATCH(U1021,'Material routes'!$A$6:$A$2205,0)),"MISSING ID")</x:f>
        <x:v>Crafting components</x:v>
      </x:c>
      <x:c r="E1021" s="4" t="str">
        <x:f>IFERROR(INDEX('Material routes'!$C$6:$C$2205,MATCH(U1021,'Material routes'!$A$6:$A$2205,0)),"MISSING ID")</x:f>
        <x:v>Ingredient candidate</x:v>
      </x:c>
      <x:c r="F1021" s="4" t="str">
        <x:f>IFERROR(INDEX('Material routes'!$E$6:$E$2205,MATCH(V1021,'Material routes'!$A$6:$A$2205,0)),"MISSING ID")</x:f>
        <x:v>Locking field chest</x:v>
      </x:c>
      <x:c r="G1021" s="4" t="str">
        <x:f>IFERROR(INDEX('Material routes'!$F$6:$F$2205,MATCH(V1021,'Material routes'!$A$6:$A$2205,0)),"MISSING ID")</x:f>
        <x:v>Not applicable</x:v>
      </x:c>
      <x:c r="H1021" s="4" t="str">
        <x:f>IFERROR(INDEX('Material routes'!$H$6:$H$2205,MATCH(V1021,'Material routes'!$A$6:$A$2205,0)),"MISSING ID")</x:f>
        <x:v>Container</x:v>
      </x:c>
      <x:c r="I1021" s="4" t="str">
        <x:f>IFERROR(INDEX('Material routes'!$G$6:$G$2205,MATCH(V1021,'Material routes'!$A$6:$A$2205,0)),"MISSING ID")</x:f>
        <x:v>Salvage</x:v>
      </x:c>
      <x:c r="J1021" s="4" t="str">
        <x:f>IFERROR(INDEX('Material routes'!$B$6:$B$2205,MATCH(U1021,'Material routes'!$A$6:$A$2205,0)),"MISSING ID")</x:f>
        <x:v>design.audit.proposal_container_field_chest</x:v>
      </x:c>
      <x:c r="K1021" s="4" t="str">
        <x:f>IFERROR(INDEX('Crafting recipes'!$C$6:$C$1005,MATCH(J1021,'Crafting recipes'!$A$6:$A$1005,0)),"MISSING ID")</x:f>
        <x:v>Finished-item crafting</x:v>
      </x:c>
      <x:c r="L1021" s="4" t="str">
        <x:f>IFERROR(INDEX('Material routes'!$K$6:$K$2205,MATCH(U1021,'Material routes'!$A$6:$A$2205,0)),"MISSING ID")</x:f>
        <x:v>Proposal</x:v>
      </x:c>
      <x:c r="M1021" s="4" t="str">
        <x:f>IFERROR(INDEX('Material routes'!$M$6:$M$2205,MATCH(U1021,'Material routes'!$A$6:$A$2205,0)),"MISSING ID")</x:f>
        <x:v>Partial proposal</x:v>
      </x:c>
      <x:c r="N1021" s="4"/>
      <x:c r="O1021" s="4" t="str">
        <x:f>IFERROR(INDEX('Material routes'!$J$6:$J$2205,MATCH(U1021,'Material routes'!$A$6:$A$2205,0)),"MISSING ID")</x:f>
        <x:v>Unspecified</x:v>
      </x:c>
      <x:c r="P1021" s="4"/>
      <x:c r="Q1021" s="4" t="str">
        <x:f>IFERROR(INDEX('Material routes'!$J$6:$J$2205,MATCH(V1021,'Material routes'!$A$6:$A$2205,0)),"MISSING ID")</x:f>
        <x:v>Unspecified</x:v>
      </x:c>
      <x:c r="R1021" s="4" t="str">
        <x:f>IF(L1021="Withheld","Withheld premise",IF(E1021="Tool candidate","Reusable prerequisite",IF(K1021="Raw entry preparation","Entry-resource preparation",IF(G1021="Not applicable",IF(IFERROR(INDEX('Items'!$AI$6:$AI$1005,MATCH(T1021,'Items'!$A$6:$A$1005,0)),"MISSING ID")="Finished item","Finished endpoint",IF(IFERROR(INDEX('Items'!$AI$6:$AI$1005,MATCH(T1021,'Items'!$A$6:$A$1005,0)),"MISSING ID")="Currency","Currency / no refinement tier","Recovered output / tier not applicable")),IF(OR(IFERROR(INDEX('Crafting recipes'!$H$6:$H$1005,MATCH(J1021,'Crafting recipes'!$A$6:$A$1005,0)),"MISSING ID")="Unassigned",G1021="Unassigned"),"Tier unresolved",IF(IFERROR(VALUE(RIGHT(G1021,1))-VALUE(RIGHT(IFERROR(INDEX('Crafting recipes'!$H$6:$H$1005,MATCH(J1021,'Crafting recipes'!$A$6:$A$1005,0)),"MISSING ID"),1)),0)=1,IF(B1021=IFERROR(INDEX('Crafting recipes'!$H$6:$H$1005,MATCH(J1021,'Crafting recipes'!$A$6:$A$1005,0)),"MISSING ID"),"Advances one material tier","Lower-tier ingredient; route advances one tier"),"Needs tier review"))))))</x:f>
        <x:v>Finished endpoint</x:v>
      </x:c>
      <x:c r="S1021" s="4" t="str">
        <x:f>IFERROR(INDEX('Material routes'!$D$6:$D$2205,MATCH(U1021,'Material routes'!$A$6:$A$2205,0)),"MISSING ID")</x:f>
        <x:v>proposal.audit.compact_latch_and_trigger_pack</x:v>
      </x:c>
      <x:c r="T1021" s="4" t="str">
        <x:f>IFERROR(INDEX('Material routes'!$D$6:$D$2205,MATCH(V1021,'Material routes'!$A$6:$A$2205,0)),"MISSING ID")</x:f>
        <x:v>proposal.container.field_chest</x:v>
      </x:c>
      <x:c r="U1021" s="4" t="str">
        <x:v>design.audit.proposal_container_field_chest.audit.in.3</x:v>
      </x:c>
      <x:c r="V1021" s="4" t="str">
        <x:v>design.audit.proposal_container_field_chest.audit.out</x:v>
      </x:c>
    </x:row>
    <x:row r="1022" ht="64" customHeight="1">
      <x:c r="A1022" s="4"/>
      <x:c r="B1022" s="4"/>
      <x:c r="C1022" s="4"/>
      <x:c r="D1022" s="4"/>
      <x:c r="E1022" s="4"/>
      <x:c r="F1022" s="4"/>
      <x:c r="G1022" s="4"/>
      <x:c r="H1022" s="4"/>
      <x:c r="I1022" s="4"/>
      <x:c r="J1022" s="4"/>
      <x:c r="K1022" s="4"/>
      <x:c r="L1022" s="4"/>
      <x:c r="M1022" s="4"/>
      <x:c r="N1022" s="4"/>
      <x:c r="P1022" s="4"/>
      <x:c r="R1022" s="4"/>
      <x:c r="S1022" s="4"/>
      <x:c r="T1022" s="4"/>
      <x:c r="U1022" s="4"/>
      <x:c r="V1022" s="4"/>
    </x:row>
    <x:row r="1023" ht="64" customHeight="1">
      <x:c r="A1023" s="4" t="str">
        <x:f>IFERROR(INDEX('Material routes'!$E$6:$E$2205,MATCH(U1023,'Material routes'!$A$6:$A$2205,0)),"MISSING ID")</x:f>
        <x:v>Rough clear-glass blank</x:v>
      </x:c>
      <x:c r="B1023" s="4" t="str">
        <x:f>IFERROR(INDEX('Material routes'!$F$6:$F$2205,MATCH(U1023,'Material routes'!$A$6:$A$2205,0)),"MISSING ID")</x:f>
        <x:v>T1</x:v>
      </x:c>
      <x:c r="C1023" s="4" t="str">
        <x:f>IFERROR(INDEX('Material routes'!$H$6:$H$2205,MATCH(U1023,'Material routes'!$A$6:$A$2205,0)),"MISSING ID")</x:f>
        <x:v>Processed material</x:v>
      </x:c>
      <x:c r="D1023" s="4" t="str">
        <x:f>IFERROR(INDEX('Material routes'!$G$6:$G$2205,MATCH(U1023,'Material routes'!$A$6:$A$2205,0)),"MISSING ID")</x:f>
        <x:v>Manufactured stock</x:v>
      </x:c>
      <x:c r="E1023" s="4" t="str">
        <x:f>IFERROR(INDEX('Material routes'!$C$6:$C$2205,MATCH(U1023,'Material routes'!$A$6:$A$2205,0)),"MISSING ID")</x:f>
        <x:v>Ingredient candidate</x:v>
      </x:c>
      <x:c r="F1023" s="4" t="str">
        <x:f>IFERROR(INDEX('Material routes'!$E$6:$E$2205,MATCH(V1023,'Material routes'!$A$6:$A$2205,0)),"MISSING ID")</x:f>
        <x:v>Glass draw tube</x:v>
      </x:c>
      <x:c r="G1023" s="4" t="str">
        <x:f>IFERROR(INDEX('Material routes'!$F$6:$F$2205,MATCH(V1023,'Material routes'!$A$6:$A$2205,0)),"MISSING ID")</x:f>
        <x:v>Not applicable</x:v>
      </x:c>
      <x:c r="H1023" s="4" t="inlineStr">
        <x:is>
          <x:t xml:space="preserve">Salvage</x:t>
        </x:is>
      </x:c>
      <x:c r="I1023" s="4" t="str">
        <x:f>IFERROR(INDEX('Material routes'!$G$6:$G$2205,MATCH(V1023,'Material routes'!$A$6:$A$2205,0)),"MISSING ID")</x:f>
        <x:v>Salvage</x:v>
      </x:c>
      <x:c r="J1023" s="4" t="str">
        <x:f>IFERROR(INDEX('Material routes'!$B$6:$B$2205,MATCH(U1023,'Material routes'!$A$6:$A$2205,0)),"MISSING ID")</x:f>
        <x:v>design.audit.proposal_container_draw_tube</x:v>
      </x:c>
      <x:c r="K1023" s="4" t="str">
        <x:f>IFERROR(INDEX('Crafting recipes'!$C$6:$C$1005,MATCH(J1023,'Crafting recipes'!$A$6:$A$1005,0)),"MISSING ID")</x:f>
        <x:v>Finished-item crafting</x:v>
      </x:c>
      <x:c r="L1023" s="4" t="inlineStr">
        <x:is>
          <x:t xml:space="preserve">Retired</x:t>
        </x:is>
      </x:c>
      <x:c r="M1023" s="4" t="inlineStr">
        <x:is>
          <x:t xml:space="preserve">Withdrawn container proposal</x:t>
        </x:is>
      </x:c>
      <x:c r="N1023" s="4"/>
      <x:c r="O1023" s="4" t="str">
        <x:f>IFERROR(INDEX('Material routes'!$J$6:$J$2205,MATCH(U1023,'Material routes'!$A$6:$A$2205,0)),"MISSING ID")</x:f>
        <x:v>Unspecified</x:v>
      </x:c>
      <x:c r="P1023" s="4"/>
      <x:c r="Q1023" s="4" t="str">
        <x:f>IFERROR(INDEX('Material routes'!$J$6:$J$2205,MATCH(V1023,'Material routes'!$A$6:$A$2205,0)),"MISSING ID")</x:f>
        <x:v>Unspecified</x:v>
      </x:c>
      <x:c r="R1023" s="4" t="str">
        <x:f>IF(L1023="Withheld","Withheld premise",IF(E1023="Tool candidate","Reusable prerequisite",IF(K1023="Raw entry preparation","Entry-resource preparation",IF(G1023="Not applicable",IF(IFERROR(INDEX('Items'!$AI$6:$AI$1005,MATCH(T1023,'Items'!$A$6:$A$1005,0)),"MISSING ID")="Finished item","Finished endpoint",IF(IFERROR(INDEX('Items'!$AI$6:$AI$1005,MATCH(T1023,'Items'!$A$6:$A$1005,0)),"MISSING ID")="Currency","Currency / no refinement tier","Recovered output / tier not applicable")),IF(OR(IFERROR(INDEX('Crafting recipes'!$H$6:$H$1005,MATCH(J1023,'Crafting recipes'!$A$6:$A$1005,0)),"MISSING ID")="Unassigned",G1023="Unassigned"),"Tier unresolved",IF(IFERROR(VALUE(RIGHT(G1023,1))-VALUE(RIGHT(IFERROR(INDEX('Crafting recipes'!$H$6:$H$1005,MATCH(J1023,'Crafting recipes'!$A$6:$A$1005,0)),"MISSING ID"),1)),0)=1,IF(B1023=IFERROR(INDEX('Crafting recipes'!$H$6:$H$1005,MATCH(J1023,'Crafting recipes'!$A$6:$A$1005,0)),"MISSING ID"),"Advances one material tier","Lower-tier ingredient; route advances one tier"),"Needs tier review"))))))</x:f>
        <x:v>Finished endpoint</x:v>
      </x:c>
      <x:c r="S1023" s="4" t="str">
        <x:f>IFERROR(INDEX('Material routes'!$D$6:$D$2205,MATCH(U1023,'Material routes'!$A$6:$A$2205,0)),"MISSING ID")</x:f>
        <x:v>proposal.t1.clear_glass_blank</x:v>
      </x:c>
      <x:c r="T1023" s="4" t="str">
        <x:f>IFERROR(INDEX('Material routes'!$D$6:$D$2205,MATCH(V1023,'Material routes'!$A$6:$A$2205,0)),"MISSING ID")</x:f>
        <x:v>proposal.container.draw_tube</x:v>
      </x:c>
      <x:c r="U1023" s="4" t="str">
        <x:v>design.audit.proposal_container_draw_tube.audit.in.1</x:v>
      </x:c>
      <x:c r="V1023" s="4" t="str">
        <x:v>design.audit.proposal_container_draw_tube.audit.out</x:v>
      </x:c>
    </x:row>
    <x:row r="1024" ht="64" customHeight="1">
      <x:c r="A1024" s="4"/>
      <x:c r="B1024" s="4"/>
      <x:c r="C1024" s="4"/>
      <x:c r="D1024" s="4"/>
      <x:c r="E1024" s="4"/>
      <x:c r="F1024" s="4"/>
      <x:c r="G1024" s="4"/>
      <x:c r="H1024" s="4"/>
      <x:c r="I1024" s="4"/>
      <x:c r="J1024" s="4"/>
      <x:c r="K1024" s="4"/>
      <x:c r="L1024" s="4"/>
      <x:c r="M1024" s="4"/>
      <x:c r="N1024" s="4"/>
      <x:c r="P1024" s="4"/>
      <x:c r="R1024" s="4"/>
      <x:c r="S1024" s="4"/>
      <x:c r="T1024" s="4"/>
      <x:c r="U1024" s="4"/>
      <x:c r="V1024" s="4"/>
    </x:row>
    <x:row r="1025" ht="64" customHeight="1">
      <x:c r="A1025" s="4"/>
      <x:c r="B1025" s="4"/>
      <x:c r="C1025" s="4"/>
      <x:c r="D1025" s="4"/>
      <x:c r="E1025" s="4"/>
      <x:c r="F1025" s="4"/>
      <x:c r="G1025" s="4"/>
      <x:c r="H1025" s="4"/>
      <x:c r="I1025" s="4"/>
      <x:c r="J1025" s="4"/>
      <x:c r="K1025" s="4"/>
      <x:c r="L1025" s="4"/>
      <x:c r="M1025" s="4"/>
      <x:c r="N1025" s="4"/>
      <x:c r="P1025" s="4"/>
      <x:c r="R1025" s="4"/>
      <x:c r="S1025" s="4"/>
      <x:c r="T1025" s="4"/>
      <x:c r="U1025" s="4"/>
      <x:c r="V1025" s="4"/>
    </x:row>
    <x:row r="1026" ht="64" customHeight="1">
      <x:c r="A1026" s="4"/>
      <x:c r="B1026" s="4"/>
      <x:c r="C1026" s="4"/>
      <x:c r="D1026" s="4"/>
      <x:c r="E1026" s="4"/>
      <x:c r="F1026" s="4"/>
      <x:c r="G1026" s="4"/>
      <x:c r="H1026" s="4"/>
      <x:c r="I1026" s="4"/>
      <x:c r="J1026" s="4"/>
      <x:c r="K1026" s="4"/>
      <x:c r="L1026" s="4"/>
      <x:c r="M1026" s="4"/>
      <x:c r="N1026" s="4"/>
      <x:c r="O1026" s="4"/>
      <x:c r="P1026" s="4"/>
      <x:c r="Q1026" s="4"/>
      <x:c r="R1026" s="4"/>
      <x:c r="S1026" s="4"/>
      <x:c r="T1026" s="4"/>
      <x:c r="U1026" s="4"/>
      <x:c r="V1026" s="4"/>
    </x:row>
    <x:row r="1027" ht="64" customHeight="1">
      <x:c r="A1027" s="4"/>
      <x:c r="B1027" s="4"/>
      <x:c r="C1027" s="4"/>
      <x:c r="D1027" s="4"/>
      <x:c r="E1027" s="4"/>
      <x:c r="F1027" s="4"/>
      <x:c r="G1027" s="4"/>
      <x:c r="H1027" s="4"/>
      <x:c r="I1027" s="4"/>
      <x:c r="J1027" s="4"/>
      <x:c r="K1027" s="4"/>
      <x:c r="L1027" s="4"/>
      <x:c r="M1027" s="4"/>
      <x:c r="N1027" s="4"/>
      <x:c r="O1027" s="4"/>
      <x:c r="P1027" s="4"/>
      <x:c r="Q1027" s="4"/>
      <x:c r="R1027" s="4"/>
      <x:c r="S1027" s="4"/>
      <x:c r="T1027" s="4"/>
      <x:c r="U1027" s="4"/>
      <x:c r="V1027" s="4"/>
    </x:row>
    <x:row r="1028" ht="64" customHeight="1">
      <x:c r="A1028" s="4"/>
      <x:c r="B1028" s="4"/>
      <x:c r="C1028" s="4"/>
      <x:c r="D1028" s="4"/>
      <x:c r="E1028" s="4"/>
      <x:c r="F1028" s="4"/>
      <x:c r="G1028" s="4"/>
      <x:c r="H1028" s="4"/>
      <x:c r="I1028" s="4"/>
      <x:c r="J1028" s="4"/>
      <x:c r="K1028" s="4"/>
      <x:c r="L1028" s="4"/>
      <x:c r="M1028" s="4"/>
      <x:c r="N1028" s="4"/>
      <x:c r="O1028" s="4"/>
      <x:c r="P1028" s="4"/>
      <x:c r="Q1028" s="4"/>
      <x:c r="R1028" s="4"/>
      <x:c r="S1028" s="4"/>
      <x:c r="T1028" s="4"/>
      <x:c r="U1028" s="4"/>
      <x:c r="V1028" s="4"/>
    </x:row>
    <x:row r="1029" ht="64" customHeight="1">
      <x:c r="A1029" s="4"/>
      <x:c r="B1029" s="4"/>
      <x:c r="C1029" s="4"/>
      <x:c r="D1029" s="4"/>
      <x:c r="E1029" s="4"/>
      <x:c r="F1029" s="4"/>
      <x:c r="G1029" s="4"/>
      <x:c r="H1029" s="4"/>
      <x:c r="I1029" s="4"/>
      <x:c r="J1029" s="4"/>
      <x:c r="K1029" s="4"/>
      <x:c r="L1029" s="4"/>
      <x:c r="M1029" s="4"/>
      <x:c r="N1029" s="4"/>
      <x:c r="O1029" s="4"/>
      <x:c r="P1029" s="4"/>
      <x:c r="Q1029" s="4"/>
      <x:c r="R1029" s="4"/>
      <x:c r="S1029" s="4"/>
      <x:c r="T1029" s="4"/>
      <x:c r="U1029" s="4"/>
      <x:c r="V1029" s="4"/>
    </x:row>
    <x:row r="1030" ht="64" customHeight="1">
      <x:c r="A1030" s="4" t="str">
        <x:f>IFERROR(INDEX('Material routes'!$E$6:$E$2205,MATCH(U1030,'Material routes'!$A$6:$A$2205,0)),"MISSING ID")</x:f>
        <x:v>Steel stock</x:v>
      </x:c>
      <x:c r="B1030" s="4" t="str">
        <x:f>IFERROR(INDEX('Material routes'!$F$6:$F$2205,MATCH(U1030,'Material routes'!$A$6:$A$2205,0)),"MISSING ID")</x:f>
        <x:v>T2</x:v>
      </x:c>
      <x:c r="C1030" s="4" t="str">
        <x:f>IFERROR(INDEX('Material routes'!$H$6:$H$2205,MATCH(U1030,'Material routes'!$A$6:$A$2205,0)),"MISSING ID")</x:f>
        <x:v>Processed material</x:v>
      </x:c>
      <x:c r="D1030" s="4" t="str">
        <x:f>IFERROR(INDEX('Material routes'!$G$6:$G$2205,MATCH(U1030,'Material routes'!$A$6:$A$2205,0)),"MISSING ID")</x:f>
        <x:v>Manufactured stock</x:v>
      </x:c>
      <x:c r="E1030" s="4" t="str">
        <x:f>IFERROR(INDEX('Material routes'!$C$6:$C$2205,MATCH(U1030,'Material routes'!$A$6:$A$2205,0)),"MISSING ID")</x:f>
        <x:v>Ingredient candidate</x:v>
      </x:c>
      <x:c r="F1030" s="4" t="str">
        <x:f>IFERROR(INDEX('Material routes'!$E$6:$E$2205,MATCH(V1030,'Material routes'!$A$6:$A$2205,0)),"MISSING ID")</x:f>
        <x:v>Helmet</x:v>
      </x:c>
      <x:c r="G1030" s="4" t="str">
        <x:f>IFERROR(INDEX('Material routes'!$F$6:$F$2205,MATCH(V1030,'Material routes'!$A$6:$A$2205,0)),"MISSING ID")</x:f>
        <x:v>Not applicable</x:v>
      </x:c>
      <x:c r="H1030" s="4" t="str">
        <x:f>IFERROR(INDEX('Material routes'!$H$6:$H$2205,MATCH(V1030,'Material routes'!$A$6:$A$2205,0)),"MISSING ID")</x:f>
        <x:v>Armor</x:v>
      </x:c>
      <x:c r="I1030" s="4" t="str">
        <x:f>IFERROR(INDEX('Material routes'!$G$6:$G$2205,MATCH(V1030,'Material routes'!$A$6:$A$2205,0)),"MISSING ID")</x:f>
        <x:v>Armor</x:v>
      </x:c>
      <x:c r="J1030" s="4" t="str">
        <x:f>IFERROR(INDEX('Material routes'!$B$6:$B$2205,MATCH(U1030,'Material routes'!$A$6:$A$2205,0)),"MISSING ID")</x:f>
        <x:v>design.audit.proposal_gear_helmet</x:v>
      </x:c>
      <x:c r="K1030" s="4" t="str">
        <x:f>IFERROR(INDEX('Crafting recipes'!$C$6:$C$1005,MATCH(J1030,'Crafting recipes'!$A$6:$A$1005,0)),"MISSING ID")</x:f>
        <x:v>Finished-item crafting</x:v>
      </x:c>
      <x:c r="L1030" s="4" t="str">
        <x:f>IFERROR(INDEX('Material routes'!$K$6:$K$2205,MATCH(U1030,'Material routes'!$A$6:$A$2205,0)),"MISSING ID")</x:f>
        <x:v>Proposal</x:v>
      </x:c>
      <x:c r="M1030" s="4" t="str">
        <x:f>IFERROR(INDEX('Material routes'!$M$6:$M$2205,MATCH(U1030,'Material routes'!$A$6:$A$2205,0)),"MISSING ID")</x:f>
        <x:v>Partial proposal</x:v>
      </x:c>
      <x:c r="N1030" s="4"/>
      <x:c r="O1030" s="4" t="str">
        <x:f>IFERROR(INDEX('Material routes'!$J$6:$J$2205,MATCH(U1030,'Material routes'!$A$6:$A$2205,0)),"MISSING ID")</x:f>
        <x:v>Unspecified</x:v>
      </x:c>
      <x:c r="P1030" s="4"/>
      <x:c r="Q1030" s="4" t="str">
        <x:f>IFERROR(INDEX('Material routes'!$J$6:$J$2205,MATCH(V1030,'Material routes'!$A$6:$A$2205,0)),"MISSING ID")</x:f>
        <x:v>Unspecified</x:v>
      </x:c>
      <x:c r="R1030" s="4" t="str">
        <x:f>IF(L1030="Withheld","Withheld premise",IF(E1030="Tool candidate","Reusable prerequisite",IF(K1030="Raw entry preparation","Entry-resource preparation",IF(G1030="Not applicable",IF(IFERROR(INDEX('Items'!$AI$6:$AI$1005,MATCH(T1030,'Items'!$A$6:$A$1005,0)),"MISSING ID")="Finished item","Finished endpoint",IF(IFERROR(INDEX('Items'!$AI$6:$AI$1005,MATCH(T1030,'Items'!$A$6:$A$1005,0)),"MISSING ID")="Currency","Currency / no refinement tier","Recovered output / tier not applicable")),IF(OR(IFERROR(INDEX('Crafting recipes'!$H$6:$H$1005,MATCH(J1030,'Crafting recipes'!$A$6:$A$1005,0)),"MISSING ID")="Unassigned",G1030="Unassigned"),"Tier unresolved",IF(IFERROR(VALUE(RIGHT(G1030,1))-VALUE(RIGHT(IFERROR(INDEX('Crafting recipes'!$H$6:$H$1005,MATCH(J1030,'Crafting recipes'!$A$6:$A$1005,0)),"MISSING ID"),1)),0)=1,IF(B1030=IFERROR(INDEX('Crafting recipes'!$H$6:$H$1005,MATCH(J1030,'Crafting recipes'!$A$6:$A$1005,0)),"MISSING ID"),"Advances one material tier","Lower-tier ingredient; route advances one tier"),"Needs tier review"))))))</x:f>
        <x:v>Finished endpoint</x:v>
      </x:c>
      <x:c r="S1030" s="4" t="str">
        <x:f>IFERROR(INDEX('Material routes'!$D$6:$D$2205,MATCH(U1030,'Material routes'!$A$6:$A$2205,0)),"MISSING ID")</x:f>
        <x:v>author.metallurgy.steel_stock</x:v>
      </x:c>
      <x:c r="T1030" s="4" t="str">
        <x:f>IFERROR(INDEX('Material routes'!$D$6:$D$2205,MATCH(V1030,'Material routes'!$A$6:$A$2205,0)),"MISSING ID")</x:f>
        <x:v>proposal.gear.helmet</x:v>
      </x:c>
      <x:c r="U1030" s="4" t="str">
        <x:v>design.audit.proposal_gear_helmet.audit.in.1</x:v>
      </x:c>
      <x:c r="V1030" s="4" t="str">
        <x:v>design.audit.proposal_gear_helmet.audit.out</x:v>
      </x:c>
    </x:row>
    <x:row r="1031" ht="64" customHeight="1">
      <x:c r="A1031" s="4" t="str">
        <x:f>IFERROR(INDEX('Material routes'!$E$6:$E$2205,MATCH(U1031,'Material routes'!$A$6:$A$2205,0)),"MISSING ID")</x:f>
        <x:v>Husk-reinforced packing stock</x:v>
      </x:c>
      <x:c r="B1031" s="4" t="str">
        <x:f>IFERROR(INDEX('Material routes'!$F$6:$F$2205,MATCH(U1031,'Material routes'!$A$6:$A$2205,0)),"MISSING ID")</x:f>
        <x:v>T3</x:v>
      </x:c>
      <x:c r="C1031" s="4" t="str">
        <x:f>IFERROR(INDEX('Material routes'!$H$6:$H$2205,MATCH(U1031,'Material routes'!$A$6:$A$2205,0)),"MISSING ID")</x:f>
        <x:v>Processed material</x:v>
      </x:c>
      <x:c r="D1031" s="4" t="str">
        <x:f>IFERROR(INDEX('Material routes'!$G$6:$G$2205,MATCH(U1031,'Material routes'!$A$6:$A$2205,0)),"MISSING ID")</x:f>
        <x:v>Manufactured stock</x:v>
      </x:c>
      <x:c r="E1031" s="4" t="str">
        <x:f>IFERROR(INDEX('Material routes'!$C$6:$C$2205,MATCH(U1031,'Material routes'!$A$6:$A$2205,0)),"MISSING ID")</x:f>
        <x:v>Ingredient candidate</x:v>
      </x:c>
      <x:c r="F1031" s="4" t="str">
        <x:f>IFERROR(INDEX('Material routes'!$E$6:$E$2205,MATCH(V1031,'Material routes'!$A$6:$A$2205,0)),"MISSING ID")</x:f>
        <x:v>Helmet</x:v>
      </x:c>
      <x:c r="G1031" s="4" t="str">
        <x:f>IFERROR(INDEX('Material routes'!$F$6:$F$2205,MATCH(V1031,'Material routes'!$A$6:$A$2205,0)),"MISSING ID")</x:f>
        <x:v>Not applicable</x:v>
      </x:c>
      <x:c r="H1031" s="4" t="str">
        <x:f>IFERROR(INDEX('Material routes'!$H$6:$H$2205,MATCH(V1031,'Material routes'!$A$6:$A$2205,0)),"MISSING ID")</x:f>
        <x:v>Armor</x:v>
      </x:c>
      <x:c r="I1031" s="4" t="str">
        <x:f>IFERROR(INDEX('Material routes'!$G$6:$G$2205,MATCH(V1031,'Material routes'!$A$6:$A$2205,0)),"MISSING ID")</x:f>
        <x:v>Armor</x:v>
      </x:c>
      <x:c r="J1031" s="4" t="str">
        <x:f>IFERROR(INDEX('Material routes'!$B$6:$B$2205,MATCH(U1031,'Material routes'!$A$6:$A$2205,0)),"MISSING ID")</x:f>
        <x:v>design.audit.proposal_gear_helmet</x:v>
      </x:c>
      <x:c r="K1031" s="4" t="str">
        <x:f>IFERROR(INDEX('Crafting recipes'!$C$6:$C$1005,MATCH(J1031,'Crafting recipes'!$A$6:$A$1005,0)),"MISSING ID")</x:f>
        <x:v>Finished-item crafting</x:v>
      </x:c>
      <x:c r="L1031" s="4" t="str">
        <x:f>IFERROR(INDEX('Material routes'!$K$6:$K$2205,MATCH(U1031,'Material routes'!$A$6:$A$2205,0)),"MISSING ID")</x:f>
        <x:v>Proposal</x:v>
      </x:c>
      <x:c r="M1031" s="4" t="str">
        <x:f>IFERROR(INDEX('Material routes'!$M$6:$M$2205,MATCH(U1031,'Material routes'!$A$6:$A$2205,0)),"MISSING ID")</x:f>
        <x:v>Partial proposal</x:v>
      </x:c>
      <x:c r="N1031" s="4"/>
      <x:c r="O1031" s="4" t="str">
        <x:f>IFERROR(INDEX('Material routes'!$J$6:$J$2205,MATCH(U1031,'Material routes'!$A$6:$A$2205,0)),"MISSING ID")</x:f>
        <x:v>Unspecified</x:v>
      </x:c>
      <x:c r="P1031" s="4"/>
      <x:c r="Q1031" s="4" t="str">
        <x:f>IFERROR(INDEX('Material routes'!$J$6:$J$2205,MATCH(V1031,'Material routes'!$A$6:$A$2205,0)),"MISSING ID")</x:f>
        <x:v>Unspecified</x:v>
      </x:c>
      <x:c r="R1031" s="4" t="str">
        <x:f>IF(L1031="Withheld","Withheld premise",IF(E1031="Tool candidate","Reusable prerequisite",IF(K1031="Raw entry preparation","Entry-resource preparation",IF(G1031="Not applicable",IF(IFERROR(INDEX('Items'!$AI$6:$AI$1005,MATCH(T1031,'Items'!$A$6:$A$1005,0)),"MISSING ID")="Finished item","Finished endpoint",IF(IFERROR(INDEX('Items'!$AI$6:$AI$1005,MATCH(T1031,'Items'!$A$6:$A$1005,0)),"MISSING ID")="Currency","Currency / no refinement tier","Recovered output / tier not applicable")),IF(OR(IFERROR(INDEX('Crafting recipes'!$H$6:$H$1005,MATCH(J1031,'Crafting recipes'!$A$6:$A$1005,0)),"MISSING ID")="Unassigned",G1031="Unassigned"),"Tier unresolved",IF(IFERROR(VALUE(RIGHT(G1031,1))-VALUE(RIGHT(IFERROR(INDEX('Crafting recipes'!$H$6:$H$1005,MATCH(J1031,'Crafting recipes'!$A$6:$A$1005,0)),"MISSING ID"),1)),0)=1,IF(B1031=IFERROR(INDEX('Crafting recipes'!$H$6:$H$1005,MATCH(J1031,'Crafting recipes'!$A$6:$A$1005,0)),"MISSING ID"),"Advances one material tier","Lower-tier ingredient; route advances one tier"),"Needs tier review"))))))</x:f>
        <x:v>Finished endpoint</x:v>
      </x:c>
      <x:c r="S1031" s="4" t="str">
        <x:f>IFERROR(INDEX('Material routes'!$D$6:$D$2205,MATCH(U1031,'Material routes'!$A$6:$A$2205,0)),"MISSING ID")</x:f>
        <x:v>proposal.t3.packing_stock</x:v>
      </x:c>
      <x:c r="T1031" s="4" t="str">
        <x:f>IFERROR(INDEX('Material routes'!$D$6:$D$2205,MATCH(V1031,'Material routes'!$A$6:$A$2205,0)),"MISSING ID")</x:f>
        <x:v>proposal.gear.helmet</x:v>
      </x:c>
      <x:c r="U1031" s="4" t="str">
        <x:v>design.audit.proposal_gear_helmet.audit.in.2</x:v>
      </x:c>
      <x:c r="V1031" s="4" t="str">
        <x:v>design.audit.proposal_gear_helmet.audit.out</x:v>
      </x:c>
    </x:row>
    <x:row r="1032" ht="64" customHeight="1">
      <x:c r="A1032" s="4" t="str">
        <x:f>IFERROR(INDEX('Material routes'!$E$6:$E$2205,MATCH(U1032,'Material routes'!$A$6:$A$2205,0)),"MISSING ID")</x:f>
        <x:v>Steel stock</x:v>
      </x:c>
      <x:c r="B1032" s="4" t="str">
        <x:f>IFERROR(INDEX('Material routes'!$F$6:$F$2205,MATCH(U1032,'Material routes'!$A$6:$A$2205,0)),"MISSING ID")</x:f>
        <x:v>T2</x:v>
      </x:c>
      <x:c r="C1032" s="4" t="str">
        <x:f>IFERROR(INDEX('Material routes'!$H$6:$H$2205,MATCH(U1032,'Material routes'!$A$6:$A$2205,0)),"MISSING ID")</x:f>
        <x:v>Processed material</x:v>
      </x:c>
      <x:c r="D1032" s="4" t="str">
        <x:f>IFERROR(INDEX('Material routes'!$G$6:$G$2205,MATCH(U1032,'Material routes'!$A$6:$A$2205,0)),"MISSING ID")</x:f>
        <x:v>Manufactured stock</x:v>
      </x:c>
      <x:c r="E1032" s="4" t="str">
        <x:f>IFERROR(INDEX('Material routes'!$C$6:$C$2205,MATCH(U1032,'Material routes'!$A$6:$A$2205,0)),"MISSING ID")</x:f>
        <x:v>Ingredient candidate</x:v>
      </x:c>
      <x:c r="F1032" s="4" t="str">
        <x:f>IFERROR(INDEX('Material routes'!$E$6:$E$2205,MATCH(V1032,'Material routes'!$A$6:$A$2205,0)),"MISSING ID")</x:f>
        <x:v>Leg armor</x:v>
      </x:c>
      <x:c r="G1032" s="4" t="str">
        <x:f>IFERROR(INDEX('Material routes'!$F$6:$F$2205,MATCH(V1032,'Material routes'!$A$6:$A$2205,0)),"MISSING ID")</x:f>
        <x:v>Not applicable</x:v>
      </x:c>
      <x:c r="H1032" s="4" t="str">
        <x:f>IFERROR(INDEX('Material routes'!$H$6:$H$2205,MATCH(V1032,'Material routes'!$A$6:$A$2205,0)),"MISSING ID")</x:f>
        <x:v>Armor</x:v>
      </x:c>
      <x:c r="I1032" s="4" t="str">
        <x:f>IFERROR(INDEX('Material routes'!$G$6:$G$2205,MATCH(V1032,'Material routes'!$A$6:$A$2205,0)),"MISSING ID")</x:f>
        <x:v>Armor</x:v>
      </x:c>
      <x:c r="J1032" s="4" t="str">
        <x:f>IFERROR(INDEX('Material routes'!$B$6:$B$2205,MATCH(U1032,'Material routes'!$A$6:$A$2205,0)),"MISSING ID")</x:f>
        <x:v>design.audit.proposal_gear_leg_armor</x:v>
      </x:c>
      <x:c r="K1032" s="4" t="str">
        <x:f>IFERROR(INDEX('Crafting recipes'!$C$6:$C$1005,MATCH(J1032,'Crafting recipes'!$A$6:$A$1005,0)),"MISSING ID")</x:f>
        <x:v>Finished-item crafting</x:v>
      </x:c>
      <x:c r="L1032" s="4" t="str">
        <x:f>IFERROR(INDEX('Material routes'!$K$6:$K$2205,MATCH(U1032,'Material routes'!$A$6:$A$2205,0)),"MISSING ID")</x:f>
        <x:v>Proposal</x:v>
      </x:c>
      <x:c r="M1032" s="4" t="str">
        <x:f>IFERROR(INDEX('Material routes'!$M$6:$M$2205,MATCH(U1032,'Material routes'!$A$6:$A$2205,0)),"MISSING ID")</x:f>
        <x:v>Partial proposal</x:v>
      </x:c>
      <x:c r="N1032" s="4"/>
      <x:c r="O1032" s="4" t="str">
        <x:f>IFERROR(INDEX('Material routes'!$J$6:$J$2205,MATCH(U1032,'Material routes'!$A$6:$A$2205,0)),"MISSING ID")</x:f>
        <x:v>Unspecified</x:v>
      </x:c>
      <x:c r="P1032" s="4"/>
      <x:c r="Q1032" s="4" t="str">
        <x:f>IFERROR(INDEX('Material routes'!$J$6:$J$2205,MATCH(V1032,'Material routes'!$A$6:$A$2205,0)),"MISSING ID")</x:f>
        <x:v>Unspecified</x:v>
      </x:c>
      <x:c r="R1032" s="4" t="str">
        <x:f>IF(L1032="Withheld","Withheld premise",IF(E1032="Tool candidate","Reusable prerequisite",IF(K1032="Raw entry preparation","Entry-resource preparation",IF(G1032="Not applicable",IF(IFERROR(INDEX('Items'!$AI$6:$AI$1005,MATCH(T1032,'Items'!$A$6:$A$1005,0)),"MISSING ID")="Finished item","Finished endpoint",IF(IFERROR(INDEX('Items'!$AI$6:$AI$1005,MATCH(T1032,'Items'!$A$6:$A$1005,0)),"MISSING ID")="Currency","Currency / no refinement tier","Recovered output / tier not applicable")),IF(OR(IFERROR(INDEX('Crafting recipes'!$H$6:$H$1005,MATCH(J1032,'Crafting recipes'!$A$6:$A$1005,0)),"MISSING ID")="Unassigned",G1032="Unassigned"),"Tier unresolved",IF(IFERROR(VALUE(RIGHT(G1032,1))-VALUE(RIGHT(IFERROR(INDEX('Crafting recipes'!$H$6:$H$1005,MATCH(J1032,'Crafting recipes'!$A$6:$A$1005,0)),"MISSING ID"),1)),0)=1,IF(B1032=IFERROR(INDEX('Crafting recipes'!$H$6:$H$1005,MATCH(J1032,'Crafting recipes'!$A$6:$A$1005,0)),"MISSING ID"),"Advances one material tier","Lower-tier ingredient; route advances one tier"),"Needs tier review"))))))</x:f>
        <x:v>Finished endpoint</x:v>
      </x:c>
      <x:c r="S1032" s="4" t="str">
        <x:f>IFERROR(INDEX('Material routes'!$D$6:$D$2205,MATCH(U1032,'Material routes'!$A$6:$A$2205,0)),"MISSING ID")</x:f>
        <x:v>author.metallurgy.steel_stock</x:v>
      </x:c>
      <x:c r="T1032" s="4" t="str">
        <x:f>IFERROR(INDEX('Material routes'!$D$6:$D$2205,MATCH(V1032,'Material routes'!$A$6:$A$2205,0)),"MISSING ID")</x:f>
        <x:v>proposal.gear.leg_armor</x:v>
      </x:c>
      <x:c r="U1032" s="4" t="str">
        <x:v>design.audit.proposal_gear_leg_armor.audit.in.1</x:v>
      </x:c>
      <x:c r="V1032" s="4" t="str">
        <x:v>design.audit.proposal_gear_leg_armor.audit.out</x:v>
      </x:c>
    </x:row>
    <x:row r="1033" ht="64" customHeight="1">
      <x:c r="A1033" s="4" t="str">
        <x:f>IFERROR(INDEX('Material routes'!$E$6:$E$2205,MATCH(U1033,'Material routes'!$A$6:$A$2205,0)),"MISSING ID")</x:f>
        <x:v>Small metal hinge pair</x:v>
      </x:c>
      <x:c r="B1033" s="4" t="str">
        <x:f>IFERROR(INDEX('Material routes'!$F$6:$F$2205,MATCH(U1033,'Material routes'!$A$6:$A$2205,0)),"MISSING ID")</x:f>
        <x:v>T3</x:v>
      </x:c>
      <x:c r="C1033" s="4" t="str">
        <x:f>IFERROR(INDEX('Material routes'!$H$6:$H$2205,MATCH(U1033,'Material routes'!$A$6:$A$2205,0)),"MISSING ID")</x:f>
        <x:v>Crafting component</x:v>
      </x:c>
      <x:c r="D1033" s="4" t="str">
        <x:f>IFERROR(INDEX('Material routes'!$G$6:$G$2205,MATCH(U1033,'Material routes'!$A$6:$A$2205,0)),"MISSING ID")</x:f>
        <x:v>Crafting components</x:v>
      </x:c>
      <x:c r="E1033" s="4" t="str">
        <x:f>IFERROR(INDEX('Material routes'!$C$6:$C$2205,MATCH(U1033,'Material routes'!$A$6:$A$2205,0)),"MISSING ID")</x:f>
        <x:v>Ingredient candidate</x:v>
      </x:c>
      <x:c r="F1033" s="4" t="str">
        <x:f>IFERROR(INDEX('Material routes'!$E$6:$E$2205,MATCH(V1033,'Material routes'!$A$6:$A$2205,0)),"MISSING ID")</x:f>
        <x:v>Leg armor</x:v>
      </x:c>
      <x:c r="G1033" s="4" t="str">
        <x:f>IFERROR(INDEX('Material routes'!$F$6:$F$2205,MATCH(V1033,'Material routes'!$A$6:$A$2205,0)),"MISSING ID")</x:f>
        <x:v>Not applicable</x:v>
      </x:c>
      <x:c r="H1033" s="4" t="str">
        <x:f>IFERROR(INDEX('Material routes'!$H$6:$H$2205,MATCH(V1033,'Material routes'!$A$6:$A$2205,0)),"MISSING ID")</x:f>
        <x:v>Armor</x:v>
      </x:c>
      <x:c r="I1033" s="4" t="str">
        <x:f>IFERROR(INDEX('Material routes'!$G$6:$G$2205,MATCH(V1033,'Material routes'!$A$6:$A$2205,0)),"MISSING ID")</x:f>
        <x:v>Armor</x:v>
      </x:c>
      <x:c r="J1033" s="4" t="str">
        <x:f>IFERROR(INDEX('Material routes'!$B$6:$B$2205,MATCH(U1033,'Material routes'!$A$6:$A$2205,0)),"MISSING ID")</x:f>
        <x:v>design.audit.proposal_gear_leg_armor</x:v>
      </x:c>
      <x:c r="K1033" s="4" t="str">
        <x:f>IFERROR(INDEX('Crafting recipes'!$C$6:$C$1005,MATCH(J1033,'Crafting recipes'!$A$6:$A$1005,0)),"MISSING ID")</x:f>
        <x:v>Finished-item crafting</x:v>
      </x:c>
      <x:c r="L1033" s="4" t="str">
        <x:f>IFERROR(INDEX('Material routes'!$K$6:$K$2205,MATCH(U1033,'Material routes'!$A$6:$A$2205,0)),"MISSING ID")</x:f>
        <x:v>Proposal</x:v>
      </x:c>
      <x:c r="M1033" s="4" t="str">
        <x:f>IFERROR(INDEX('Material routes'!$M$6:$M$2205,MATCH(U1033,'Material routes'!$A$6:$A$2205,0)),"MISSING ID")</x:f>
        <x:v>Partial proposal</x:v>
      </x:c>
      <x:c r="N1033" s="4"/>
      <x:c r="O1033" s="4" t="str">
        <x:f>IFERROR(INDEX('Material routes'!$J$6:$J$2205,MATCH(U1033,'Material routes'!$A$6:$A$2205,0)),"MISSING ID")</x:f>
        <x:v>Unspecified</x:v>
      </x:c>
      <x:c r="P1033" s="4"/>
      <x:c r="Q1033" s="4" t="str">
        <x:f>IFERROR(INDEX('Material routes'!$J$6:$J$2205,MATCH(V1033,'Material routes'!$A$6:$A$2205,0)),"MISSING ID")</x:f>
        <x:v>Unspecified</x:v>
      </x:c>
      <x:c r="R1033" s="4" t="str">
        <x:f>IF(L1033="Withheld","Withheld premise",IF(E1033="Tool candidate","Reusable prerequisite",IF(K1033="Raw entry preparation","Entry-resource preparation",IF(G1033="Not applicable",IF(IFERROR(INDEX('Items'!$AI$6:$AI$1005,MATCH(T1033,'Items'!$A$6:$A$1005,0)),"MISSING ID")="Finished item","Finished endpoint",IF(IFERROR(INDEX('Items'!$AI$6:$AI$1005,MATCH(T1033,'Items'!$A$6:$A$1005,0)),"MISSING ID")="Currency","Currency / no refinement tier","Recovered output / tier not applicable")),IF(OR(IFERROR(INDEX('Crafting recipes'!$H$6:$H$1005,MATCH(J1033,'Crafting recipes'!$A$6:$A$1005,0)),"MISSING ID")="Unassigned",G1033="Unassigned"),"Tier unresolved",IF(IFERROR(VALUE(RIGHT(G1033,1))-VALUE(RIGHT(IFERROR(INDEX('Crafting recipes'!$H$6:$H$1005,MATCH(J1033,'Crafting recipes'!$A$6:$A$1005,0)),"MISSING ID"),1)),0)=1,IF(B1033=IFERROR(INDEX('Crafting recipes'!$H$6:$H$1005,MATCH(J1033,'Crafting recipes'!$A$6:$A$1005,0)),"MISSING ID"),"Advances one material tier","Lower-tier ingredient; route advances one tier"),"Needs tier review"))))))</x:f>
        <x:v>Finished endpoint</x:v>
      </x:c>
      <x:c r="S1033" s="4" t="str">
        <x:f>IFERROR(INDEX('Material routes'!$D$6:$D$2205,MATCH(U1033,'Material routes'!$A$6:$A$2205,0)),"MISSING ID")</x:f>
        <x:v>proposal.audit.small_metal_hinge_pair</x:v>
      </x:c>
      <x:c r="T1033" s="4" t="str">
        <x:f>IFERROR(INDEX('Material routes'!$D$6:$D$2205,MATCH(V1033,'Material routes'!$A$6:$A$2205,0)),"MISSING ID")</x:f>
        <x:v>proposal.gear.leg_armor</x:v>
      </x:c>
      <x:c r="U1033" s="4" t="str">
        <x:v>design.audit.proposal_gear_leg_armor.audit.in.2</x:v>
      </x:c>
      <x:c r="V1033" s="4" t="str">
        <x:v>design.audit.proposal_gear_leg_armor.audit.out</x:v>
      </x:c>
    </x:row>
    <x:row r="1034" ht="64" customHeight="1">
      <x:c r="A1034" s="4" t="str">
        <x:f>IFERROR(INDEX('Material routes'!$E$6:$E$2205,MATCH(U1034,'Material routes'!$A$6:$A$2205,0)),"MISSING ID")</x:f>
        <x:v>Pressed hide fastening strips</x:v>
      </x:c>
      <x:c r="B1034" s="4" t="str">
        <x:f>IFERROR(INDEX('Material routes'!$F$6:$F$2205,MATCH(U1034,'Material routes'!$A$6:$A$2205,0)),"MISSING ID")</x:f>
        <x:v>T2</x:v>
      </x:c>
      <x:c r="C1034" s="4" t="str">
        <x:f>IFERROR(INDEX('Material routes'!$H$6:$H$2205,MATCH(U1034,'Material routes'!$A$6:$A$2205,0)),"MISSING ID")</x:f>
        <x:v>Processed material</x:v>
      </x:c>
      <x:c r="D1034" s="4" t="str">
        <x:f>IFERROR(INDEX('Material routes'!$G$6:$G$2205,MATCH(U1034,'Material routes'!$A$6:$A$2205,0)),"MISSING ID")</x:f>
        <x:v>Manufactured stock</x:v>
      </x:c>
      <x:c r="E1034" s="4" t="str">
        <x:f>IFERROR(INDEX('Material routes'!$C$6:$C$2205,MATCH(U1034,'Material routes'!$A$6:$A$2205,0)),"MISSING ID")</x:f>
        <x:v>Ingredient candidate</x:v>
      </x:c>
      <x:c r="F1034" s="4" t="str">
        <x:f>IFERROR(INDEX('Material routes'!$E$6:$E$2205,MATCH(V1034,'Material routes'!$A$6:$A$2205,0)),"MISSING ID")</x:f>
        <x:v>Leg armor</x:v>
      </x:c>
      <x:c r="G1034" s="4" t="str">
        <x:f>IFERROR(INDEX('Material routes'!$F$6:$F$2205,MATCH(V1034,'Material routes'!$A$6:$A$2205,0)),"MISSING ID")</x:f>
        <x:v>Not applicable</x:v>
      </x:c>
      <x:c r="H1034" s="4" t="str">
        <x:f>IFERROR(INDEX('Material routes'!$H$6:$H$2205,MATCH(V1034,'Material routes'!$A$6:$A$2205,0)),"MISSING ID")</x:f>
        <x:v>Armor</x:v>
      </x:c>
      <x:c r="I1034" s="4" t="str">
        <x:f>IFERROR(INDEX('Material routes'!$G$6:$G$2205,MATCH(V1034,'Material routes'!$A$6:$A$2205,0)),"MISSING ID")</x:f>
        <x:v>Armor</x:v>
      </x:c>
      <x:c r="J1034" s="4" t="str">
        <x:f>IFERROR(INDEX('Material routes'!$B$6:$B$2205,MATCH(U1034,'Material routes'!$A$6:$A$2205,0)),"MISSING ID")</x:f>
        <x:v>design.audit.proposal_gear_leg_armor</x:v>
      </x:c>
      <x:c r="K1034" s="4" t="str">
        <x:f>IFERROR(INDEX('Crafting recipes'!$C$6:$C$1005,MATCH(J1034,'Crafting recipes'!$A$6:$A$1005,0)),"MISSING ID")</x:f>
        <x:v>Finished-item crafting</x:v>
      </x:c>
      <x:c r="L1034" s="4" t="str">
        <x:f>IFERROR(INDEX('Material routes'!$K$6:$K$2205,MATCH(U1034,'Material routes'!$A$6:$A$2205,0)),"MISSING ID")</x:f>
        <x:v>Proposal</x:v>
      </x:c>
      <x:c r="M1034" s="4" t="str">
        <x:f>IFERROR(INDEX('Material routes'!$M$6:$M$2205,MATCH(U1034,'Material routes'!$A$6:$A$2205,0)),"MISSING ID")</x:f>
        <x:v>Partial proposal</x:v>
      </x:c>
      <x:c r="N1034" s="4"/>
      <x:c r="O1034" s="4" t="str">
        <x:f>IFERROR(INDEX('Material routes'!$J$6:$J$2205,MATCH(U1034,'Material routes'!$A$6:$A$2205,0)),"MISSING ID")</x:f>
        <x:v>Unspecified</x:v>
      </x:c>
      <x:c r="P1034" s="4"/>
      <x:c r="Q1034" s="4" t="str">
        <x:f>IFERROR(INDEX('Material routes'!$J$6:$J$2205,MATCH(V1034,'Material routes'!$A$6:$A$2205,0)),"MISSING ID")</x:f>
        <x:v>Unspecified</x:v>
      </x:c>
      <x:c r="R1034" s="4" t="str">
        <x:f>IF(L1034="Withheld","Withheld premise",IF(E1034="Tool candidate","Reusable prerequisite",IF(K1034="Raw entry preparation","Entry-resource preparation",IF(G1034="Not applicable",IF(IFERROR(INDEX('Items'!$AI$6:$AI$1005,MATCH(T1034,'Items'!$A$6:$A$1005,0)),"MISSING ID")="Finished item","Finished endpoint",IF(IFERROR(INDEX('Items'!$AI$6:$AI$1005,MATCH(T1034,'Items'!$A$6:$A$1005,0)),"MISSING ID")="Currency","Currency / no refinement tier","Recovered output / tier not applicable")),IF(OR(IFERROR(INDEX('Crafting recipes'!$H$6:$H$1005,MATCH(J1034,'Crafting recipes'!$A$6:$A$1005,0)),"MISSING ID")="Unassigned",G1034="Unassigned"),"Tier unresolved",IF(IFERROR(VALUE(RIGHT(G1034,1))-VALUE(RIGHT(IFERROR(INDEX('Crafting recipes'!$H$6:$H$1005,MATCH(J1034,'Crafting recipes'!$A$6:$A$1005,0)),"MISSING ID"),1)),0)=1,IF(B1034=IFERROR(INDEX('Crafting recipes'!$H$6:$H$1005,MATCH(J1034,'Crafting recipes'!$A$6:$A$1005,0)),"MISSING ID"),"Advances one material tier","Lower-tier ingredient; route advances one tier"),"Needs tier review"))))))</x:f>
        <x:v>Finished endpoint</x:v>
      </x:c>
      <x:c r="S1034" s="4" t="str">
        <x:f>IFERROR(INDEX('Material routes'!$D$6:$D$2205,MATCH(U1034,'Material routes'!$A$6:$A$2205,0)),"MISSING ID")</x:f>
        <x:v>proposal.audit.pressed_hide_fastening_strips</x:v>
      </x:c>
      <x:c r="T1034" s="4" t="str">
        <x:f>IFERROR(INDEX('Material routes'!$D$6:$D$2205,MATCH(V1034,'Material routes'!$A$6:$A$2205,0)),"MISSING ID")</x:f>
        <x:v>proposal.gear.leg_armor</x:v>
      </x:c>
      <x:c r="U1034" s="4" t="str">
        <x:v>design.audit.proposal_gear_leg_armor.audit.in.3</x:v>
      </x:c>
      <x:c r="V1034" s="4" t="str">
        <x:v>design.audit.proposal_gear_leg_armor.audit.out</x:v>
      </x:c>
    </x:row>
    <x:row r="1035" ht="64" customHeight="1">
      <x:c r="A1035" s="4"/>
      <x:c r="B1035" s="4"/>
      <x:c r="C1035" s="4"/>
      <x:c r="D1035" s="4"/>
      <x:c r="E1035" s="4"/>
      <x:c r="F1035" s="4"/>
      <x:c r="G1035" s="4"/>
      <x:c r="H1035" s="4"/>
      <x:c r="I1035" s="4"/>
      <x:c r="J1035" s="4"/>
      <x:c r="K1035" s="4"/>
      <x:c r="L1035" s="4"/>
      <x:c r="M1035" s="4"/>
      <x:c r="N1035" s="4"/>
      <x:c r="O1035" s="4"/>
      <x:c r="P1035" s="4"/>
      <x:c r="Q1035" s="4"/>
      <x:c r="R1035" s="4"/>
      <x:c r="S1035" s="4"/>
      <x:c r="T1035" s="4"/>
      <x:c r="U1035" s="4"/>
      <x:c r="V1035" s="4"/>
    </x:row>
    <x:row r="1036" ht="64" customHeight="1">
      <x:c r="A1036" s="4"/>
      <x:c r="B1036" s="4"/>
      <x:c r="C1036" s="4"/>
      <x:c r="D1036" s="4"/>
      <x:c r="E1036" s="4"/>
      <x:c r="F1036" s="4"/>
      <x:c r="G1036" s="4"/>
      <x:c r="H1036" s="4"/>
      <x:c r="I1036" s="4"/>
      <x:c r="J1036" s="4"/>
      <x:c r="K1036" s="4"/>
      <x:c r="L1036" s="4"/>
      <x:c r="M1036" s="4"/>
      <x:c r="N1036" s="4"/>
      <x:c r="O1036" s="4"/>
      <x:c r="P1036" s="4"/>
      <x:c r="Q1036" s="4"/>
      <x:c r="R1036" s="4"/>
      <x:c r="S1036" s="4"/>
      <x:c r="T1036" s="4"/>
      <x:c r="U1036" s="4"/>
      <x:c r="V1036" s="4"/>
    </x:row>
    <x:row r="1037" ht="64" customHeight="1">
      <x:c r="A1037" s="4"/>
      <x:c r="B1037" s="4"/>
      <x:c r="C1037" s="4"/>
      <x:c r="D1037" s="4"/>
      <x:c r="E1037" s="4"/>
      <x:c r="F1037" s="4"/>
      <x:c r="G1037" s="4"/>
      <x:c r="H1037" s="4"/>
      <x:c r="I1037" s="4"/>
      <x:c r="J1037" s="4"/>
      <x:c r="K1037" s="4"/>
      <x:c r="L1037" s="4"/>
      <x:c r="M1037" s="4"/>
      <x:c r="N1037" s="4"/>
      <x:c r="O1037" s="4"/>
      <x:c r="P1037" s="4"/>
      <x:c r="Q1037" s="4"/>
      <x:c r="R1037" s="4"/>
      <x:c r="S1037" s="4"/>
      <x:c r="T1037" s="4"/>
      <x:c r="U1037" s="4"/>
      <x:c r="V1037" s="4"/>
    </x:row>
    <x:row r="1038" ht="64" customHeight="1">
      <x:c r="A1038" s="4"/>
      <x:c r="B1038" s="4"/>
      <x:c r="C1038" s="4"/>
      <x:c r="D1038" s="4"/>
      <x:c r="E1038" s="4"/>
      <x:c r="F1038" s="4"/>
      <x:c r="G1038" s="4"/>
      <x:c r="H1038" s="4"/>
      <x:c r="I1038" s="4"/>
      <x:c r="J1038" s="4"/>
      <x:c r="K1038" s="4"/>
      <x:c r="L1038" s="4"/>
      <x:c r="M1038" s="4"/>
      <x:c r="N1038" s="4"/>
      <x:c r="O1038" s="4"/>
      <x:c r="P1038" s="4"/>
      <x:c r="Q1038" s="4"/>
      <x:c r="R1038" s="4"/>
      <x:c r="S1038" s="4"/>
      <x:c r="T1038" s="4"/>
      <x:c r="U1038" s="4"/>
      <x:c r="V1038" s="4"/>
    </x:row>
    <x:row r="1039" ht="64" customHeight="1">
      <x:c r="A1039" s="4"/>
      <x:c r="B1039" s="4"/>
      <x:c r="C1039" s="4"/>
      <x:c r="D1039" s="4"/>
      <x:c r="E1039" s="4"/>
      <x:c r="F1039" s="4"/>
      <x:c r="G1039" s="4"/>
      <x:c r="H1039" s="4"/>
      <x:c r="I1039" s="4"/>
      <x:c r="J1039" s="4"/>
      <x:c r="K1039" s="4"/>
      <x:c r="L1039" s="4"/>
      <x:c r="M1039" s="4"/>
      <x:c r="N1039" s="4"/>
      <x:c r="O1039" s="4"/>
      <x:c r="P1039" s="4"/>
      <x:c r="Q1039" s="4"/>
      <x:c r="R1039" s="4"/>
      <x:c r="S1039" s="4"/>
      <x:c r="T1039" s="4"/>
      <x:c r="U1039" s="4"/>
      <x:c r="V1039" s="4"/>
    </x:row>
    <x:row r="1040" ht="64" customHeight="1">
      <x:c r="A1040" s="4" t="str">
        <x:f>IFERROR(INDEX('Material routes'!$E$6:$E$2205,MATCH(U1040,'Material routes'!$A$6:$A$2205,0)),"MISSING ID")</x:f>
        <x:v>Layered husk composite stock</x:v>
      </x:c>
      <x:c r="B1040" s="4" t="str">
        <x:f>IFERROR(INDEX('Material routes'!$F$6:$F$2205,MATCH(U1040,'Material routes'!$A$6:$A$2205,0)),"MISSING ID")</x:f>
        <x:v>T3</x:v>
      </x:c>
      <x:c r="C1040" s="4" t="str">
        <x:f>IFERROR(INDEX('Material routes'!$H$6:$H$2205,MATCH(U1040,'Material routes'!$A$6:$A$2205,0)),"MISSING ID")</x:f>
        <x:v>Processed material</x:v>
      </x:c>
      <x:c r="D1040" s="4" t="str">
        <x:f>IFERROR(INDEX('Material routes'!$G$6:$G$2205,MATCH(U1040,'Material routes'!$A$6:$A$2205,0)),"MISSING ID")</x:f>
        <x:v>Manufactured stock</x:v>
      </x:c>
      <x:c r="E1040" s="4" t="str">
        <x:f>IFERROR(INDEX('Material routes'!$C$6:$C$2205,MATCH(U1040,'Material routes'!$A$6:$A$2205,0)),"MISSING ID")</x:f>
        <x:v>Ingredient candidate</x:v>
      </x:c>
      <x:c r="F1040" s="4" t="str">
        <x:f>IFERROR(INDEX('Material routes'!$E$6:$E$2205,MATCH(V1040,'Material routes'!$A$6:$A$2205,0)),"MISSING ID")</x:f>
        <x:v>Backpack</x:v>
      </x:c>
      <x:c r="G1040" s="4" t="str">
        <x:f>IFERROR(INDEX('Material routes'!$F$6:$F$2205,MATCH(V1040,'Material routes'!$A$6:$A$2205,0)),"MISSING ID")</x:f>
        <x:v>Not applicable</x:v>
      </x:c>
      <x:c r="H1040" s="4" t="str">
        <x:f>IFERROR(INDEX('Material routes'!$H$6:$H$2205,MATCH(V1040,'Material routes'!$A$6:$A$2205,0)),"MISSING ID")</x:f>
        <x:v>Carrier</x:v>
      </x:c>
      <x:c r="I1040" s="4" t="str">
        <x:f>IFERROR(INDEX('Material routes'!$G$6:$G$2205,MATCH(V1040,'Material routes'!$A$6:$A$2205,0)),"MISSING ID")</x:f>
        <x:v>Tools</x:v>
      </x:c>
      <x:c r="J1040" s="4" t="str">
        <x:f>IFERROR(INDEX('Material routes'!$B$6:$B$2205,MATCH(U1040,'Material routes'!$A$6:$A$2205,0)),"MISSING ID")</x:f>
        <x:v>design.audit.proposal_gear_backpack</x:v>
      </x:c>
      <x:c r="K1040" s="4" t="str">
        <x:f>IFERROR(INDEX('Crafting recipes'!$C$6:$C$1005,MATCH(J1040,'Crafting recipes'!$A$6:$A$1005,0)),"MISSING ID")</x:f>
        <x:v>Finished-item crafting</x:v>
      </x:c>
      <x:c r="L1040" s="4" t="str">
        <x:f>IFERROR(INDEX('Material routes'!$K$6:$K$2205,MATCH(U1040,'Material routes'!$A$6:$A$2205,0)),"MISSING ID")</x:f>
        <x:v>Proposal</x:v>
      </x:c>
      <x:c r="M1040" s="4" t="str">
        <x:f>IFERROR(INDEX('Material routes'!$M$6:$M$2205,MATCH(U1040,'Material routes'!$A$6:$A$2205,0)),"MISSING ID")</x:f>
        <x:v>Partial proposal</x:v>
      </x:c>
      <x:c r="N1040" s="4"/>
      <x:c r="O1040" s="4" t="str">
        <x:f>IFERROR(INDEX('Material routes'!$J$6:$J$2205,MATCH(U1040,'Material routes'!$A$6:$A$2205,0)),"MISSING ID")</x:f>
        <x:v>Unspecified</x:v>
      </x:c>
      <x:c r="P1040" s="4"/>
      <x:c r="Q1040" s="4" t="str">
        <x:f>IFERROR(INDEX('Material routes'!$J$6:$J$2205,MATCH(V1040,'Material routes'!$A$6:$A$2205,0)),"MISSING ID")</x:f>
        <x:v>Unspecified</x:v>
      </x:c>
      <x:c r="R1040" s="4" t="str">
        <x:f>IF(L1040="Withheld","Withheld premise",IF(E1040="Tool candidate","Reusable prerequisite",IF(K1040="Raw entry preparation","Entry-resource preparation",IF(G1040="Not applicable",IF(IFERROR(INDEX('Items'!$AI$6:$AI$1005,MATCH(T1040,'Items'!$A$6:$A$1005,0)),"MISSING ID")="Finished item","Finished endpoint",IF(IFERROR(INDEX('Items'!$AI$6:$AI$1005,MATCH(T1040,'Items'!$A$6:$A$1005,0)),"MISSING ID")="Currency","Currency / no refinement tier","Recovered output / tier not applicable")),IF(OR(IFERROR(INDEX('Crafting recipes'!$H$6:$H$1005,MATCH(J1040,'Crafting recipes'!$A$6:$A$1005,0)),"MISSING ID")="Unassigned",G1040="Unassigned"),"Tier unresolved",IF(IFERROR(VALUE(RIGHT(G1040,1))-VALUE(RIGHT(IFERROR(INDEX('Crafting recipes'!$H$6:$H$1005,MATCH(J1040,'Crafting recipes'!$A$6:$A$1005,0)),"MISSING ID"),1)),0)=1,IF(B1040=IFERROR(INDEX('Crafting recipes'!$H$6:$H$1005,MATCH(J1040,'Crafting recipes'!$A$6:$A$1005,0)),"MISSING ID"),"Advances one material tier","Lower-tier ingredient; route advances one tier"),"Needs tier review"))))))</x:f>
        <x:v>Finished endpoint</x:v>
      </x:c>
      <x:c r="S1040" s="4" t="str">
        <x:f>IFERROR(INDEX('Material routes'!$D$6:$D$2205,MATCH(U1040,'Material routes'!$A$6:$A$2205,0)),"MISSING ID")</x:f>
        <x:v>proposal.branch.husk_composite</x:v>
      </x:c>
      <x:c r="T1040" s="4" t="str">
        <x:f>IFERROR(INDEX('Material routes'!$D$6:$D$2205,MATCH(V1040,'Material routes'!$A$6:$A$2205,0)),"MISSING ID")</x:f>
        <x:v>proposal.gear.backpack</x:v>
      </x:c>
      <x:c r="U1040" s="4" t="str">
        <x:v>design.audit.proposal_gear_backpack.audit.in.1</x:v>
      </x:c>
      <x:c r="V1040" s="4" t="str">
        <x:v>design.audit.proposal_gear_backpack.audit.out</x:v>
      </x:c>
    </x:row>
    <x:row r="1041" ht="64" customHeight="1">
      <x:c r="A1041" s="4" t="str">
        <x:f>IFERROR(INDEX('Material routes'!$E$6:$E$2205,MATCH(U1041,'Material routes'!$A$6:$A$2205,0)),"MISSING ID")</x:f>
        <x:v>Pressed hide fastening strips</x:v>
      </x:c>
      <x:c r="B1041" s="4" t="str">
        <x:f>IFERROR(INDEX('Material routes'!$F$6:$F$2205,MATCH(U1041,'Material routes'!$A$6:$A$2205,0)),"MISSING ID")</x:f>
        <x:v>T2</x:v>
      </x:c>
      <x:c r="C1041" s="4" t="str">
        <x:f>IFERROR(INDEX('Material routes'!$H$6:$H$2205,MATCH(U1041,'Material routes'!$A$6:$A$2205,0)),"MISSING ID")</x:f>
        <x:v>Processed material</x:v>
      </x:c>
      <x:c r="D1041" s="4" t="str">
        <x:f>IFERROR(INDEX('Material routes'!$G$6:$G$2205,MATCH(U1041,'Material routes'!$A$6:$A$2205,0)),"MISSING ID")</x:f>
        <x:v>Manufactured stock</x:v>
      </x:c>
      <x:c r="E1041" s="4" t="str">
        <x:f>IFERROR(INDEX('Material routes'!$C$6:$C$2205,MATCH(U1041,'Material routes'!$A$6:$A$2205,0)),"MISSING ID")</x:f>
        <x:v>Ingredient candidate</x:v>
      </x:c>
      <x:c r="F1041" s="4" t="str">
        <x:f>IFERROR(INDEX('Material routes'!$E$6:$E$2205,MATCH(V1041,'Material routes'!$A$6:$A$2205,0)),"MISSING ID")</x:f>
        <x:v>Backpack</x:v>
      </x:c>
      <x:c r="G1041" s="4" t="str">
        <x:f>IFERROR(INDEX('Material routes'!$F$6:$F$2205,MATCH(V1041,'Material routes'!$A$6:$A$2205,0)),"MISSING ID")</x:f>
        <x:v>Not applicable</x:v>
      </x:c>
      <x:c r="H1041" s="4" t="str">
        <x:f>IFERROR(INDEX('Material routes'!$H$6:$H$2205,MATCH(V1041,'Material routes'!$A$6:$A$2205,0)),"MISSING ID")</x:f>
        <x:v>Carrier</x:v>
      </x:c>
      <x:c r="I1041" s="4" t="str">
        <x:f>IFERROR(INDEX('Material routes'!$G$6:$G$2205,MATCH(V1041,'Material routes'!$A$6:$A$2205,0)),"MISSING ID")</x:f>
        <x:v>Tools</x:v>
      </x:c>
      <x:c r="J1041" s="4" t="str">
        <x:f>IFERROR(INDEX('Material routes'!$B$6:$B$2205,MATCH(U1041,'Material routes'!$A$6:$A$2205,0)),"MISSING ID")</x:f>
        <x:v>design.audit.proposal_gear_backpack</x:v>
      </x:c>
      <x:c r="K1041" s="4" t="str">
        <x:f>IFERROR(INDEX('Crafting recipes'!$C$6:$C$1005,MATCH(J1041,'Crafting recipes'!$A$6:$A$1005,0)),"MISSING ID")</x:f>
        <x:v>Finished-item crafting</x:v>
      </x:c>
      <x:c r="L1041" s="4" t="str">
        <x:f>IFERROR(INDEX('Material routes'!$K$6:$K$2205,MATCH(U1041,'Material routes'!$A$6:$A$2205,0)),"MISSING ID")</x:f>
        <x:v>Proposal</x:v>
      </x:c>
      <x:c r="M1041" s="4" t="str">
        <x:f>IFERROR(INDEX('Material routes'!$M$6:$M$2205,MATCH(U1041,'Material routes'!$A$6:$A$2205,0)),"MISSING ID")</x:f>
        <x:v>Partial proposal</x:v>
      </x:c>
      <x:c r="N1041" s="4"/>
      <x:c r="O1041" s="4" t="str">
        <x:f>IFERROR(INDEX('Material routes'!$J$6:$J$2205,MATCH(U1041,'Material routes'!$A$6:$A$2205,0)),"MISSING ID")</x:f>
        <x:v>Unspecified</x:v>
      </x:c>
      <x:c r="P1041" s="4"/>
      <x:c r="Q1041" s="4" t="str">
        <x:f>IFERROR(INDEX('Material routes'!$J$6:$J$2205,MATCH(V1041,'Material routes'!$A$6:$A$2205,0)),"MISSING ID")</x:f>
        <x:v>Unspecified</x:v>
      </x:c>
      <x:c r="R1041" s="4" t="str">
        <x:f>IF(L1041="Withheld","Withheld premise",IF(E1041="Tool candidate","Reusable prerequisite",IF(K1041="Raw entry preparation","Entry-resource preparation",IF(G1041="Not applicable",IF(IFERROR(INDEX('Items'!$AI$6:$AI$1005,MATCH(T1041,'Items'!$A$6:$A$1005,0)),"MISSING ID")="Finished item","Finished endpoint",IF(IFERROR(INDEX('Items'!$AI$6:$AI$1005,MATCH(T1041,'Items'!$A$6:$A$1005,0)),"MISSING ID")="Currency","Currency / no refinement tier","Recovered output / tier not applicable")),IF(OR(IFERROR(INDEX('Crafting recipes'!$H$6:$H$1005,MATCH(J1041,'Crafting recipes'!$A$6:$A$1005,0)),"MISSING ID")="Unassigned",G1041="Unassigned"),"Tier unresolved",IF(IFERROR(VALUE(RIGHT(G1041,1))-VALUE(RIGHT(IFERROR(INDEX('Crafting recipes'!$H$6:$H$1005,MATCH(J1041,'Crafting recipes'!$A$6:$A$1005,0)),"MISSING ID"),1)),0)=1,IF(B1041=IFERROR(INDEX('Crafting recipes'!$H$6:$H$1005,MATCH(J1041,'Crafting recipes'!$A$6:$A$1005,0)),"MISSING ID"),"Advances one material tier","Lower-tier ingredient; route advances one tier"),"Needs tier review"))))))</x:f>
        <x:v>Finished endpoint</x:v>
      </x:c>
      <x:c r="S1041" s="4" t="str">
        <x:f>IFERROR(INDEX('Material routes'!$D$6:$D$2205,MATCH(U1041,'Material routes'!$A$6:$A$2205,0)),"MISSING ID")</x:f>
        <x:v>proposal.audit.pressed_hide_fastening_strips</x:v>
      </x:c>
      <x:c r="T1041" s="4" t="str">
        <x:f>IFERROR(INDEX('Material routes'!$D$6:$D$2205,MATCH(V1041,'Material routes'!$A$6:$A$2205,0)),"MISSING ID")</x:f>
        <x:v>proposal.gear.backpack</x:v>
      </x:c>
      <x:c r="U1041" s="4" t="str">
        <x:v>design.audit.proposal_gear_backpack.audit.in.2</x:v>
      </x:c>
      <x:c r="V1041" s="4" t="str">
        <x:v>design.audit.proposal_gear_backpack.audit.out</x:v>
      </x:c>
    </x:row>
    <x:row r="1042" ht="64" customHeight="1">
      <x:c r="A1042" s="4" t="str">
        <x:f>IFERROR(INDEX('Material routes'!$E$6:$E$2205,MATCH(U1042,'Material routes'!$A$6:$A$2205,0)),"MISSING ID")</x:f>
        <x:v>Matched metal fastener set</x:v>
      </x:c>
      <x:c r="B1042" s="4" t="str">
        <x:f>IFERROR(INDEX('Material routes'!$F$6:$F$2205,MATCH(U1042,'Material routes'!$A$6:$A$2205,0)),"MISSING ID")</x:f>
        <x:v>T3</x:v>
      </x:c>
      <x:c r="C1042" s="4" t="str">
        <x:f>IFERROR(INDEX('Material routes'!$H$6:$H$2205,MATCH(U1042,'Material routes'!$A$6:$A$2205,0)),"MISSING ID")</x:f>
        <x:v>Crafting component</x:v>
      </x:c>
      <x:c r="D1042" s="4" t="str">
        <x:f>IFERROR(INDEX('Material routes'!$G$6:$G$2205,MATCH(U1042,'Material routes'!$A$6:$A$2205,0)),"MISSING ID")</x:f>
        <x:v>Crafting components</x:v>
      </x:c>
      <x:c r="E1042" s="4" t="str">
        <x:f>IFERROR(INDEX('Material routes'!$C$6:$C$2205,MATCH(U1042,'Material routes'!$A$6:$A$2205,0)),"MISSING ID")</x:f>
        <x:v>Ingredient candidate</x:v>
      </x:c>
      <x:c r="F1042" s="4" t="str">
        <x:f>IFERROR(INDEX('Material routes'!$E$6:$E$2205,MATCH(V1042,'Material routes'!$A$6:$A$2205,0)),"MISSING ID")</x:f>
        <x:v>Backpack</x:v>
      </x:c>
      <x:c r="G1042" s="4" t="str">
        <x:f>IFERROR(INDEX('Material routes'!$F$6:$F$2205,MATCH(V1042,'Material routes'!$A$6:$A$2205,0)),"MISSING ID")</x:f>
        <x:v>Not applicable</x:v>
      </x:c>
      <x:c r="H1042" s="4" t="str">
        <x:f>IFERROR(INDEX('Material routes'!$H$6:$H$2205,MATCH(V1042,'Material routes'!$A$6:$A$2205,0)),"MISSING ID")</x:f>
        <x:v>Carrier</x:v>
      </x:c>
      <x:c r="I1042" s="4" t="str">
        <x:f>IFERROR(INDEX('Material routes'!$G$6:$G$2205,MATCH(V1042,'Material routes'!$A$6:$A$2205,0)),"MISSING ID")</x:f>
        <x:v>Tools</x:v>
      </x:c>
      <x:c r="J1042" s="4" t="str">
        <x:f>IFERROR(INDEX('Material routes'!$B$6:$B$2205,MATCH(U1042,'Material routes'!$A$6:$A$2205,0)),"MISSING ID")</x:f>
        <x:v>design.audit.proposal_gear_backpack</x:v>
      </x:c>
      <x:c r="K1042" s="4" t="str">
        <x:f>IFERROR(INDEX('Crafting recipes'!$C$6:$C$1005,MATCH(J1042,'Crafting recipes'!$A$6:$A$1005,0)),"MISSING ID")</x:f>
        <x:v>Finished-item crafting</x:v>
      </x:c>
      <x:c r="L1042" s="4" t="str">
        <x:f>IFERROR(INDEX('Material routes'!$K$6:$K$2205,MATCH(U1042,'Material routes'!$A$6:$A$2205,0)),"MISSING ID")</x:f>
        <x:v>Proposal</x:v>
      </x:c>
      <x:c r="M1042" s="4" t="str">
        <x:f>IFERROR(INDEX('Material routes'!$M$6:$M$2205,MATCH(U1042,'Material routes'!$A$6:$A$2205,0)),"MISSING ID")</x:f>
        <x:v>Partial proposal</x:v>
      </x:c>
      <x:c r="N1042" s="4"/>
      <x:c r="O1042" s="4" t="str">
        <x:f>IFERROR(INDEX('Material routes'!$J$6:$J$2205,MATCH(U1042,'Material routes'!$A$6:$A$2205,0)),"MISSING ID")</x:f>
        <x:v>Unspecified</x:v>
      </x:c>
      <x:c r="P1042" s="4"/>
      <x:c r="Q1042" s="4" t="str">
        <x:f>IFERROR(INDEX('Material routes'!$J$6:$J$2205,MATCH(V1042,'Material routes'!$A$6:$A$2205,0)),"MISSING ID")</x:f>
        <x:v>Unspecified</x:v>
      </x:c>
      <x:c r="R1042" s="4" t="str">
        <x:f>IF(L1042="Withheld","Withheld premise",IF(E1042="Tool candidate","Reusable prerequisite",IF(K1042="Raw entry preparation","Entry-resource preparation",IF(G1042="Not applicable",IF(IFERROR(INDEX('Items'!$AI$6:$AI$1005,MATCH(T1042,'Items'!$A$6:$A$1005,0)),"MISSING ID")="Finished item","Finished endpoint",IF(IFERROR(INDEX('Items'!$AI$6:$AI$1005,MATCH(T1042,'Items'!$A$6:$A$1005,0)),"MISSING ID")="Currency","Currency / no refinement tier","Recovered output / tier not applicable")),IF(OR(IFERROR(INDEX('Crafting recipes'!$H$6:$H$1005,MATCH(J1042,'Crafting recipes'!$A$6:$A$1005,0)),"MISSING ID")="Unassigned",G1042="Unassigned"),"Tier unresolved",IF(IFERROR(VALUE(RIGHT(G1042,1))-VALUE(RIGHT(IFERROR(INDEX('Crafting recipes'!$H$6:$H$1005,MATCH(J1042,'Crafting recipes'!$A$6:$A$1005,0)),"MISSING ID"),1)),0)=1,IF(B1042=IFERROR(INDEX('Crafting recipes'!$H$6:$H$1005,MATCH(J1042,'Crafting recipes'!$A$6:$A$1005,0)),"MISSING ID"),"Advances one material tier","Lower-tier ingredient; route advances one tier"),"Needs tier review"))))))</x:f>
        <x:v>Finished endpoint</x:v>
      </x:c>
      <x:c r="S1042" s="4" t="str">
        <x:f>IFERROR(INDEX('Material routes'!$D$6:$D$2205,MATCH(U1042,'Material routes'!$A$6:$A$2205,0)),"MISSING ID")</x:f>
        <x:v>proposal.lore.fastener_set</x:v>
      </x:c>
      <x:c r="T1042" s="4" t="str">
        <x:f>IFERROR(INDEX('Material routes'!$D$6:$D$2205,MATCH(V1042,'Material routes'!$A$6:$A$2205,0)),"MISSING ID")</x:f>
        <x:v>proposal.gear.backpack</x:v>
      </x:c>
      <x:c r="U1042" s="4" t="str">
        <x:v>design.audit.proposal_gear_backpack.audit.in.3</x:v>
      </x:c>
      <x:c r="V1042" s="4" t="str">
        <x:v>design.audit.proposal_gear_backpack.audit.out</x:v>
      </x:c>
    </x:row>
    <x:row r="1043" ht="64" customHeight="1">
      <x:c r="A1043" s="4" t="str">
        <x:f>IFERROR(INDEX('Material routes'!$E$6:$E$2205,MATCH(U1043,'Material routes'!$A$6:$A$2205,0)),"MISSING ID")</x:f>
        <x:v>Layered protective composite stock</x:v>
      </x:c>
      <x:c r="B1043" s="4" t="str">
        <x:f>IFERROR(INDEX('Material routes'!$F$6:$F$2205,MATCH(U1043,'Material routes'!$A$6:$A$2205,0)),"MISSING ID")</x:f>
        <x:v>T4</x:v>
      </x:c>
      <x:c r="C1043" s="4" t="str">
        <x:f>IFERROR(INDEX('Material routes'!$H$6:$H$2205,MATCH(U1043,'Material routes'!$A$6:$A$2205,0)),"MISSING ID")</x:f>
        <x:v>Processed material</x:v>
      </x:c>
      <x:c r="D1043" s="4" t="str">
        <x:f>IFERROR(INDEX('Material routes'!$G$6:$G$2205,MATCH(U1043,'Material routes'!$A$6:$A$2205,0)),"MISSING ID")</x:f>
        <x:v>Manufactured stock</x:v>
      </x:c>
      <x:c r="E1043" s="4" t="str">
        <x:f>IFERROR(INDEX('Material routes'!$C$6:$C$2205,MATCH(U1043,'Material routes'!$A$6:$A$2205,0)),"MISSING ID")</x:f>
        <x:v>Ingredient candidate</x:v>
      </x:c>
      <x:c r="F1043" s="4" t="str">
        <x:f>IFERROR(INDEX('Material routes'!$E$6:$E$2205,MATCH(V1043,'Material routes'!$A$6:$A$2205,0)),"MISSING ID")</x:f>
        <x:v>Specialized armor plates</x:v>
      </x:c>
      <x:c r="G1043" s="4" t="str">
        <x:f>IFERROR(INDEX('Material routes'!$F$6:$F$2205,MATCH(V1043,'Material routes'!$A$6:$A$2205,0)),"MISSING ID")</x:f>
        <x:v>Not applicable</x:v>
      </x:c>
      <x:c r="H1043" s="4" t="str">
        <x:f>IFERROR(INDEX('Material routes'!$H$6:$H$2205,MATCH(V1043,'Material routes'!$A$6:$A$2205,0)),"MISSING ID")</x:f>
        <x:v>Armor</x:v>
      </x:c>
      <x:c r="I1043" s="4" t="str">
        <x:f>IFERROR(INDEX('Material routes'!$G$6:$G$2205,MATCH(V1043,'Material routes'!$A$6:$A$2205,0)),"MISSING ID")</x:f>
        <x:v>Armor</x:v>
      </x:c>
      <x:c r="J1043" s="4" t="str">
        <x:f>IFERROR(INDEX('Material routes'!$B$6:$B$2205,MATCH(U1043,'Material routes'!$A$6:$A$2205,0)),"MISSING ID")</x:f>
        <x:v>design.audit.proposal_gear_special_plates</x:v>
      </x:c>
      <x:c r="K1043" s="4" t="str">
        <x:f>IFERROR(INDEX('Crafting recipes'!$C$6:$C$1005,MATCH(J1043,'Crafting recipes'!$A$6:$A$1005,0)),"MISSING ID")</x:f>
        <x:v>Finished-item crafting</x:v>
      </x:c>
      <x:c r="L1043" s="4" t="str">
        <x:f>IFERROR(INDEX('Material routes'!$K$6:$K$2205,MATCH(U1043,'Material routes'!$A$6:$A$2205,0)),"MISSING ID")</x:f>
        <x:v>Proposal</x:v>
      </x:c>
      <x:c r="M1043" s="4" t="str">
        <x:f>IFERROR(INDEX('Material routes'!$M$6:$M$2205,MATCH(U1043,'Material routes'!$A$6:$A$2205,0)),"MISSING ID")</x:f>
        <x:v>Partial proposal</x:v>
      </x:c>
      <x:c r="N1043" s="4"/>
      <x:c r="O1043" s="4" t="str">
        <x:f>IFERROR(INDEX('Material routes'!$J$6:$J$2205,MATCH(U1043,'Material routes'!$A$6:$A$2205,0)),"MISSING ID")</x:f>
        <x:v>Unspecified</x:v>
      </x:c>
      <x:c r="P1043" s="4"/>
      <x:c r="Q1043" s="4" t="str">
        <x:f>IFERROR(INDEX('Material routes'!$J$6:$J$2205,MATCH(V1043,'Material routes'!$A$6:$A$2205,0)),"MISSING ID")</x:f>
        <x:v>Unspecified</x:v>
      </x:c>
      <x:c r="R1043" s="4" t="str">
        <x:f>IF(L1043="Withheld","Withheld premise",IF(E1043="Tool candidate","Reusable prerequisite",IF(K1043="Raw entry preparation","Entry-resource preparation",IF(G1043="Not applicable",IF(IFERROR(INDEX('Items'!$AI$6:$AI$1005,MATCH(T1043,'Items'!$A$6:$A$1005,0)),"MISSING ID")="Finished item","Finished endpoint",IF(IFERROR(INDEX('Items'!$AI$6:$AI$1005,MATCH(T1043,'Items'!$A$6:$A$1005,0)),"MISSING ID")="Currency","Currency / no refinement tier","Recovered output / tier not applicable")),IF(OR(IFERROR(INDEX('Crafting recipes'!$H$6:$H$1005,MATCH(J1043,'Crafting recipes'!$A$6:$A$1005,0)),"MISSING ID")="Unassigned",G1043="Unassigned"),"Tier unresolved",IF(IFERROR(VALUE(RIGHT(G1043,1))-VALUE(RIGHT(IFERROR(INDEX('Crafting recipes'!$H$6:$H$1005,MATCH(J1043,'Crafting recipes'!$A$6:$A$1005,0)),"MISSING ID"),1)),0)=1,IF(B1043=IFERROR(INDEX('Crafting recipes'!$H$6:$H$1005,MATCH(J1043,'Crafting recipes'!$A$6:$A$1005,0)),"MISSING ID"),"Advances one material tier","Lower-tier ingredient; route advances one tier"),"Needs tier review"))))))</x:f>
        <x:v>Finished endpoint</x:v>
      </x:c>
      <x:c r="S1043" s="4" t="str">
        <x:f>IFERROR(INDEX('Material routes'!$D$6:$D$2205,MATCH(U1043,'Material routes'!$A$6:$A$2205,0)),"MISSING ID")</x:f>
        <x:v>proposal.branch.protective_stock</x:v>
      </x:c>
      <x:c r="T1043" s="4" t="str">
        <x:f>IFERROR(INDEX('Material routes'!$D$6:$D$2205,MATCH(V1043,'Material routes'!$A$6:$A$2205,0)),"MISSING ID")</x:f>
        <x:v>proposal.gear.special_plates</x:v>
      </x:c>
      <x:c r="U1043" s="4" t="str">
        <x:v>design.audit.proposal_gear_special_plates.audit.in.1</x:v>
      </x:c>
      <x:c r="V1043" s="4" t="str">
        <x:v>design.audit.proposal_gear_special_plates.audit.out</x:v>
      </x:c>
    </x:row>
    <x:row r="1044" ht="64" customHeight="1">
      <x:c r="A1044" s="4" t="str">
        <x:f>IFERROR(INDEX('Material routes'!$E$6:$E$2205,MATCH(U1044,'Material routes'!$A$6:$A$2205,0)),"MISSING ID")</x:f>
        <x:v>Matched metal fastener set</x:v>
      </x:c>
      <x:c r="B1044" s="4" t="str">
        <x:f>IFERROR(INDEX('Material routes'!$F$6:$F$2205,MATCH(U1044,'Material routes'!$A$6:$A$2205,0)),"MISSING ID")</x:f>
        <x:v>T3</x:v>
      </x:c>
      <x:c r="C1044" s="4" t="str">
        <x:f>IFERROR(INDEX('Material routes'!$H$6:$H$2205,MATCH(U1044,'Material routes'!$A$6:$A$2205,0)),"MISSING ID")</x:f>
        <x:v>Crafting component</x:v>
      </x:c>
      <x:c r="D1044" s="4" t="str">
        <x:f>IFERROR(INDEX('Material routes'!$G$6:$G$2205,MATCH(U1044,'Material routes'!$A$6:$A$2205,0)),"MISSING ID")</x:f>
        <x:v>Crafting components</x:v>
      </x:c>
      <x:c r="E1044" s="4" t="str">
        <x:f>IFERROR(INDEX('Material routes'!$C$6:$C$2205,MATCH(U1044,'Material routes'!$A$6:$A$2205,0)),"MISSING ID")</x:f>
        <x:v>Ingredient candidate</x:v>
      </x:c>
      <x:c r="F1044" s="4" t="str">
        <x:f>IFERROR(INDEX('Material routes'!$E$6:$E$2205,MATCH(V1044,'Material routes'!$A$6:$A$2205,0)),"MISSING ID")</x:f>
        <x:v>Specialized armor plates</x:v>
      </x:c>
      <x:c r="G1044" s="4" t="str">
        <x:f>IFERROR(INDEX('Material routes'!$F$6:$F$2205,MATCH(V1044,'Material routes'!$A$6:$A$2205,0)),"MISSING ID")</x:f>
        <x:v>Not applicable</x:v>
      </x:c>
      <x:c r="H1044" s="4" t="str">
        <x:f>IFERROR(INDEX('Material routes'!$H$6:$H$2205,MATCH(V1044,'Material routes'!$A$6:$A$2205,0)),"MISSING ID")</x:f>
        <x:v>Armor</x:v>
      </x:c>
      <x:c r="I1044" s="4" t="str">
        <x:f>IFERROR(INDEX('Material routes'!$G$6:$G$2205,MATCH(V1044,'Material routes'!$A$6:$A$2205,0)),"MISSING ID")</x:f>
        <x:v>Armor</x:v>
      </x:c>
      <x:c r="J1044" s="4" t="str">
        <x:f>IFERROR(INDEX('Material routes'!$B$6:$B$2205,MATCH(U1044,'Material routes'!$A$6:$A$2205,0)),"MISSING ID")</x:f>
        <x:v>design.audit.proposal_gear_special_plates</x:v>
      </x:c>
      <x:c r="K1044" s="4" t="str">
        <x:f>IFERROR(INDEX('Crafting recipes'!$C$6:$C$1005,MATCH(J1044,'Crafting recipes'!$A$6:$A$1005,0)),"MISSING ID")</x:f>
        <x:v>Finished-item crafting</x:v>
      </x:c>
      <x:c r="L1044" s="4" t="str">
        <x:f>IFERROR(INDEX('Material routes'!$K$6:$K$2205,MATCH(U1044,'Material routes'!$A$6:$A$2205,0)),"MISSING ID")</x:f>
        <x:v>Proposal</x:v>
      </x:c>
      <x:c r="M1044" s="4" t="str">
        <x:f>IFERROR(INDEX('Material routes'!$M$6:$M$2205,MATCH(U1044,'Material routes'!$A$6:$A$2205,0)),"MISSING ID")</x:f>
        <x:v>Partial proposal</x:v>
      </x:c>
      <x:c r="N1044" s="4"/>
      <x:c r="O1044" s="4" t="str">
        <x:f>IFERROR(INDEX('Material routes'!$J$6:$J$2205,MATCH(U1044,'Material routes'!$A$6:$A$2205,0)),"MISSING ID")</x:f>
        <x:v>Unspecified</x:v>
      </x:c>
      <x:c r="P1044" s="4"/>
      <x:c r="Q1044" s="4" t="str">
        <x:f>IFERROR(INDEX('Material routes'!$J$6:$J$2205,MATCH(V1044,'Material routes'!$A$6:$A$2205,0)),"MISSING ID")</x:f>
        <x:v>Unspecified</x:v>
      </x:c>
      <x:c r="R1044" s="4" t="str">
        <x:f>IF(L1044="Withheld","Withheld premise",IF(E1044="Tool candidate","Reusable prerequisite",IF(K1044="Raw entry preparation","Entry-resource preparation",IF(G1044="Not applicable",IF(IFERROR(INDEX('Items'!$AI$6:$AI$1005,MATCH(T1044,'Items'!$A$6:$A$1005,0)),"MISSING ID")="Finished item","Finished endpoint",IF(IFERROR(INDEX('Items'!$AI$6:$AI$1005,MATCH(T1044,'Items'!$A$6:$A$1005,0)),"MISSING ID")="Currency","Currency / no refinement tier","Recovered output / tier not applicable")),IF(OR(IFERROR(INDEX('Crafting recipes'!$H$6:$H$1005,MATCH(J1044,'Crafting recipes'!$A$6:$A$1005,0)),"MISSING ID")="Unassigned",G1044="Unassigned"),"Tier unresolved",IF(IFERROR(VALUE(RIGHT(G1044,1))-VALUE(RIGHT(IFERROR(INDEX('Crafting recipes'!$H$6:$H$1005,MATCH(J1044,'Crafting recipes'!$A$6:$A$1005,0)),"MISSING ID"),1)),0)=1,IF(B1044=IFERROR(INDEX('Crafting recipes'!$H$6:$H$1005,MATCH(J1044,'Crafting recipes'!$A$6:$A$1005,0)),"MISSING ID"),"Advances one material tier","Lower-tier ingredient; route advances one tier"),"Needs tier review"))))))</x:f>
        <x:v>Finished endpoint</x:v>
      </x:c>
      <x:c r="S1044" s="4" t="str">
        <x:f>IFERROR(INDEX('Material routes'!$D$6:$D$2205,MATCH(U1044,'Material routes'!$A$6:$A$2205,0)),"MISSING ID")</x:f>
        <x:v>proposal.lore.fastener_set</x:v>
      </x:c>
      <x:c r="T1044" s="4" t="str">
        <x:f>IFERROR(INDEX('Material routes'!$D$6:$D$2205,MATCH(V1044,'Material routes'!$A$6:$A$2205,0)),"MISSING ID")</x:f>
        <x:v>proposal.gear.special_plates</x:v>
      </x:c>
      <x:c r="U1044" s="4" t="str">
        <x:v>design.audit.proposal_gear_special_plates.audit.in.2</x:v>
      </x:c>
      <x:c r="V1044" s="4" t="str">
        <x:v>design.audit.proposal_gear_special_plates.audit.out</x:v>
      </x:c>
    </x:row>
    <x:row r="1045" ht="64" customHeight="1">
      <x:c r="A1045" s="4"/>
      <x:c r="B1045" s="4"/>
      <x:c r="C1045" s="4"/>
      <x:c r="D1045" s="4"/>
      <x:c r="E1045" s="4"/>
      <x:c r="F1045" s="4"/>
      <x:c r="G1045" s="4"/>
      <x:c r="H1045" s="4"/>
      <x:c r="I1045" s="4"/>
      <x:c r="J1045" s="4"/>
      <x:c r="K1045" s="4"/>
      <x:c r="L1045" s="4"/>
      <x:c r="M1045" s="4"/>
      <x:c r="N1045" s="4"/>
      <x:c r="P1045" s="4"/>
      <x:c r="R1045" s="4"/>
      <x:c r="S1045" s="4"/>
      <x:c r="T1045" s="4"/>
      <x:c r="U1045" s="4"/>
      <x:c r="V1045" s="4"/>
    </x:row>
    <x:row r="1046" ht="64" customHeight="1">
      <x:c r="A1046" s="4" t="str">
        <x:f>IFERROR(INDEX('Material routes'!$E$6:$E$2205,MATCH(U1046,'Material routes'!$A$6:$A$2205,0)),"MISSING ID")</x:f>
        <x:v>Steel stock</x:v>
      </x:c>
      <x:c r="B1046" s="4" t="str">
        <x:f>IFERROR(INDEX('Material routes'!$F$6:$F$2205,MATCH(U1046,'Material routes'!$A$6:$A$2205,0)),"MISSING ID")</x:f>
        <x:v>T2</x:v>
      </x:c>
      <x:c r="C1046" s="4" t="str">
        <x:f>IFERROR(INDEX('Material routes'!$H$6:$H$2205,MATCH(U1046,'Material routes'!$A$6:$A$2205,0)),"MISSING ID")</x:f>
        <x:v>Processed material</x:v>
      </x:c>
      <x:c r="D1046" s="4" t="str">
        <x:f>IFERROR(INDEX('Material routes'!$G$6:$G$2205,MATCH(U1046,'Material routes'!$A$6:$A$2205,0)),"MISSING ID")</x:f>
        <x:v>Manufactured stock</x:v>
      </x:c>
      <x:c r="E1046" s="4" t="str">
        <x:f>IFERROR(INDEX('Material routes'!$C$6:$C$2205,MATCH(U1046,'Material routes'!$A$6:$A$2205,0)),"MISSING ID")</x:f>
        <x:v>Ingredient candidate</x:v>
      </x:c>
      <x:c r="F1046" s="4" t="str">
        <x:f>IFERROR(INDEX('Material routes'!$E$6:$E$2205,MATCH(V1046,'Material routes'!$A$6:$A$2205,0)),"MISSING ID")</x:f>
        <x:v>Caltrops</x:v>
      </x:c>
      <x:c r="G1046" s="4" t="str">
        <x:f>IFERROR(INDEX('Material routes'!$F$6:$F$2205,MATCH(V1046,'Material routes'!$A$6:$A$2205,0)),"MISSING ID")</x:f>
        <x:v>Not applicable</x:v>
      </x:c>
      <x:c r="H1046" s="4" t="str">
        <x:f>IFERROR(INDEX('Material routes'!$H$6:$H$2205,MATCH(V1046,'Material routes'!$A$6:$A$2205,0)),"MISSING ID")</x:f>
        <x:v>Trip hazard</x:v>
      </x:c>
      <x:c r="I1046" s="4" t="str">
        <x:f>IFERROR(INDEX('Material routes'!$G$6:$G$2205,MATCH(V1046,'Material routes'!$A$6:$A$2205,0)),"MISSING ID")</x:f>
        <x:v>Weapons</x:v>
      </x:c>
      <x:c r="J1046" s="4" t="str">
        <x:f>IFERROR(INDEX('Material routes'!$B$6:$B$2205,MATCH(U1046,'Material routes'!$A$6:$A$2205,0)),"MISSING ID")</x:f>
        <x:v>design.audit.proposal_weapon_caltrops</x:v>
      </x:c>
      <x:c r="K1046" s="4" t="str">
        <x:f>IFERROR(INDEX('Crafting recipes'!$C$6:$C$1005,MATCH(J1046,'Crafting recipes'!$A$6:$A$1005,0)),"MISSING ID")</x:f>
        <x:v>Finished-item crafting</x:v>
      </x:c>
      <x:c r="L1046" s="4" t="str">
        <x:f>IFERROR(INDEX('Material routes'!$K$6:$K$2205,MATCH(U1046,'Material routes'!$A$6:$A$2205,0)),"MISSING ID")</x:f>
        <x:v>Proposal</x:v>
      </x:c>
      <x:c r="M1046" s="4" t="str">
        <x:f>IFERROR(INDEX('Material routes'!$M$6:$M$2205,MATCH(U1046,'Material routes'!$A$6:$A$2205,0)),"MISSING ID")</x:f>
        <x:v>Partial proposal</x:v>
      </x:c>
      <x:c r="N1046" s="4"/>
      <x:c r="O1046" s="4" t="str">
        <x:f>IFERROR(INDEX('Material routes'!$J$6:$J$2205,MATCH(U1046,'Material routes'!$A$6:$A$2205,0)),"MISSING ID")</x:f>
        <x:v>Unspecified</x:v>
      </x:c>
      <x:c r="P1046" s="4"/>
      <x:c r="Q1046" s="4" t="str">
        <x:f>IFERROR(INDEX('Material routes'!$J$6:$J$2205,MATCH(V1046,'Material routes'!$A$6:$A$2205,0)),"MISSING ID")</x:f>
        <x:v>Unspecified</x:v>
      </x:c>
      <x:c r="R1046" s="4" t="str">
        <x:f>IF(L1046="Withheld","Withheld premise",IF(E1046="Tool candidate","Reusable prerequisite",IF(K1046="Raw entry preparation","Entry-resource preparation",IF(G1046="Not applicable",IF(IFERROR(INDEX('Items'!$AI$6:$AI$1005,MATCH(T1046,'Items'!$A$6:$A$1005,0)),"MISSING ID")="Finished item","Finished endpoint",IF(IFERROR(INDEX('Items'!$AI$6:$AI$1005,MATCH(T1046,'Items'!$A$6:$A$1005,0)),"MISSING ID")="Currency","Currency / no refinement tier","Recovered output / tier not applicable")),IF(OR(IFERROR(INDEX('Crafting recipes'!$H$6:$H$1005,MATCH(J1046,'Crafting recipes'!$A$6:$A$1005,0)),"MISSING ID")="Unassigned",G1046="Unassigned"),"Tier unresolved",IF(IFERROR(VALUE(RIGHT(G1046,1))-VALUE(RIGHT(IFERROR(INDEX('Crafting recipes'!$H$6:$H$1005,MATCH(J1046,'Crafting recipes'!$A$6:$A$1005,0)),"MISSING ID"),1)),0)=1,IF(B1046=IFERROR(INDEX('Crafting recipes'!$H$6:$H$1005,MATCH(J1046,'Crafting recipes'!$A$6:$A$1005,0)),"MISSING ID"),"Advances one material tier","Lower-tier ingredient; route advances one tier"),"Needs tier review"))))))</x:f>
        <x:v>Finished endpoint</x:v>
      </x:c>
      <x:c r="S1046" s="4" t="str">
        <x:f>IFERROR(INDEX('Material routes'!$D$6:$D$2205,MATCH(U1046,'Material routes'!$A$6:$A$2205,0)),"MISSING ID")</x:f>
        <x:v>author.metallurgy.steel_stock</x:v>
      </x:c>
      <x:c r="T1046" s="4" t="str">
        <x:f>IFERROR(INDEX('Material routes'!$D$6:$D$2205,MATCH(V1046,'Material routes'!$A$6:$A$2205,0)),"MISSING ID")</x:f>
        <x:v>proposal.weapon.caltrops</x:v>
      </x:c>
      <x:c r="U1046" s="4" t="str">
        <x:v>design.audit.proposal_weapon_caltrops.audit.in.1</x:v>
      </x:c>
      <x:c r="V1046" s="4" t="str">
        <x:v>design.audit.proposal_weapon_caltrops.audit.out</x:v>
      </x:c>
    </x:row>
    <x:row r="1047" ht="64" customHeight="1">
      <x:c r="A1047" s="4" t="str">
        <x:f>IFERROR(INDEX('Material routes'!$E$6:$E$2205,MATCH(U1047,'Material routes'!$A$6:$A$2205,0)),"MISSING ID")</x:f>
        <x:v>Ground optical glass stock</x:v>
      </x:c>
      <x:c r="B1047" s="4" t="str">
        <x:f>IFERROR(INDEX('Material routes'!$F$6:$F$2205,MATCH(U1047,'Material routes'!$A$6:$A$2205,0)),"MISSING ID")</x:f>
        <x:v>T3</x:v>
      </x:c>
      <x:c r="C1047" s="4" t="str">
        <x:f>IFERROR(INDEX('Material routes'!$H$6:$H$2205,MATCH(U1047,'Material routes'!$A$6:$A$2205,0)),"MISSING ID")</x:f>
        <x:v>Processed material</x:v>
      </x:c>
      <x:c r="D1047" s="4" t="str">
        <x:f>IFERROR(INDEX('Material routes'!$G$6:$G$2205,MATCH(U1047,'Material routes'!$A$6:$A$2205,0)),"MISSING ID")</x:f>
        <x:v>Manufactured stock</x:v>
      </x:c>
      <x:c r="E1047" s="4" t="str">
        <x:f>IFERROR(INDEX('Material routes'!$C$6:$C$2205,MATCH(U1047,'Material routes'!$A$6:$A$2205,0)),"MISSING ID")</x:f>
        <x:v>Ingredient candidate</x:v>
      </x:c>
      <x:c r="F1047" s="4" t="str">
        <x:f>IFERROR(INDEX('Material routes'!$E$6:$E$2205,MATCH(V1047,'Material routes'!$A$6:$A$2205,0)),"MISSING ID")</x:f>
        <x:v>Specialized spectacles</x:v>
      </x:c>
      <x:c r="G1047" s="4" t="str">
        <x:f>IFERROR(INDEX('Material routes'!$F$6:$F$2205,MATCH(V1047,'Material routes'!$A$6:$A$2205,0)),"MISSING ID")</x:f>
        <x:v>Not applicable</x:v>
      </x:c>
      <x:c r="H1047" s="4" t="str">
        <x:f>IFERROR(INDEX('Material routes'!$H$6:$H$2205,MATCH(V1047,'Material routes'!$A$6:$A$2205,0)),"MISSING ID")</x:f>
        <x:v>Wearable</x:v>
      </x:c>
      <x:c r="I1047" s="4" t="str">
        <x:f>IFERROR(INDEX('Material routes'!$G$6:$G$2205,MATCH(V1047,'Material routes'!$A$6:$A$2205,0)),"MISSING ID")</x:f>
        <x:v>Salvage</x:v>
      </x:c>
      <x:c r="J1047" s="4" t="str">
        <x:f>IFERROR(INDEX('Material routes'!$B$6:$B$2205,MATCH(U1047,'Material routes'!$A$6:$A$2205,0)),"MISSING ID")</x:f>
        <x:v>design.audit.proposal_fashion_special_spectacles</x:v>
      </x:c>
      <x:c r="K1047" s="4" t="str">
        <x:f>IFERROR(INDEX('Crafting recipes'!$C$6:$C$1005,MATCH(J1047,'Crafting recipes'!$A$6:$A$1005,0)),"MISSING ID")</x:f>
        <x:v>Finished-item crafting</x:v>
      </x:c>
      <x:c r="L1047" s="4" t="str">
        <x:f>IFERROR(INDEX('Material routes'!$K$6:$K$2205,MATCH(U1047,'Material routes'!$A$6:$A$2205,0)),"MISSING ID")</x:f>
        <x:v>Proposal</x:v>
      </x:c>
      <x:c r="M1047" s="4" t="str">
        <x:f>IFERROR(INDEX('Material routes'!$M$6:$M$2205,MATCH(U1047,'Material routes'!$A$6:$A$2205,0)),"MISSING ID")</x:f>
        <x:v>Partial proposal</x:v>
      </x:c>
      <x:c r="N1047" s="4"/>
      <x:c r="O1047" s="4" t="str">
        <x:f>IFERROR(INDEX('Material routes'!$J$6:$J$2205,MATCH(U1047,'Material routes'!$A$6:$A$2205,0)),"MISSING ID")</x:f>
        <x:v>Unspecified</x:v>
      </x:c>
      <x:c r="P1047" s="4"/>
      <x:c r="Q1047" s="4" t="str">
        <x:f>IFERROR(INDEX('Material routes'!$J$6:$J$2205,MATCH(V1047,'Material routes'!$A$6:$A$2205,0)),"MISSING ID")</x:f>
        <x:v>Unspecified</x:v>
      </x:c>
      <x:c r="R1047" s="4" t="str">
        <x:f>IF(L1047="Withheld","Withheld premise",IF(E1047="Tool candidate","Reusable prerequisite",IF(K1047="Raw entry preparation","Entry-resource preparation",IF(G1047="Not applicable",IF(IFERROR(INDEX('Items'!$AI$6:$AI$1005,MATCH(T1047,'Items'!$A$6:$A$1005,0)),"MISSING ID")="Finished item","Finished endpoint",IF(IFERROR(INDEX('Items'!$AI$6:$AI$1005,MATCH(T1047,'Items'!$A$6:$A$1005,0)),"MISSING ID")="Currency","Currency / no refinement tier","Recovered output / tier not applicable")),IF(OR(IFERROR(INDEX('Crafting recipes'!$H$6:$H$1005,MATCH(J1047,'Crafting recipes'!$A$6:$A$1005,0)),"MISSING ID")="Unassigned",G1047="Unassigned"),"Tier unresolved",IF(IFERROR(VALUE(RIGHT(G1047,1))-VALUE(RIGHT(IFERROR(INDEX('Crafting recipes'!$H$6:$H$1005,MATCH(J1047,'Crafting recipes'!$A$6:$A$1005,0)),"MISSING ID"),1)),0)=1,IF(B1047=IFERROR(INDEX('Crafting recipes'!$H$6:$H$1005,MATCH(J1047,'Crafting recipes'!$A$6:$A$1005,0)),"MISSING ID"),"Advances one material tier","Lower-tier ingredient; route advances one tier"),"Needs tier review"))))))</x:f>
        <x:v>Finished endpoint</x:v>
      </x:c>
      <x:c r="S1047" s="4" t="str">
        <x:f>IFERROR(INDEX('Material routes'!$D$6:$D$2205,MATCH(U1047,'Material routes'!$A$6:$A$2205,0)),"MISSING ID")</x:f>
        <x:v>proposal.branch.optical_glass</x:v>
      </x:c>
      <x:c r="T1047" s="4" t="str">
        <x:f>IFERROR(INDEX('Material routes'!$D$6:$D$2205,MATCH(V1047,'Material routes'!$A$6:$A$2205,0)),"MISSING ID")</x:f>
        <x:v>proposal.fashion.special_spectacles</x:v>
      </x:c>
      <x:c r="U1047" s="4" t="str">
        <x:v>design.audit.proposal_fashion_special_spectacles.audit.in.1</x:v>
      </x:c>
      <x:c r="V1047" s="4" t="str">
        <x:v>design.audit.proposal_fashion_special_spectacles.audit.out</x:v>
      </x:c>
    </x:row>
    <x:row r="1048" ht="64" customHeight="1">
      <x:c r="A1048" s="4" t="str">
        <x:f>IFERROR(INDEX('Material routes'!$E$6:$E$2205,MATCH(U1048,'Material routes'!$A$6:$A$2205,0)),"MISSING ID")</x:f>
        <x:v>Bent-wire spectacle frame</x:v>
      </x:c>
      <x:c r="B1048" s="4" t="str">
        <x:f>IFERROR(INDEX('Material routes'!$F$6:$F$2205,MATCH(U1048,'Material routes'!$A$6:$A$2205,0)),"MISSING ID")</x:f>
        <x:v>T3</x:v>
      </x:c>
      <x:c r="C1048" s="4" t="str">
        <x:f>IFERROR(INDEX('Material routes'!$H$6:$H$2205,MATCH(U1048,'Material routes'!$A$6:$A$2205,0)),"MISSING ID")</x:f>
        <x:v>Crafting component</x:v>
      </x:c>
      <x:c r="D1048" s="4" t="str">
        <x:f>IFERROR(INDEX('Material routes'!$G$6:$G$2205,MATCH(U1048,'Material routes'!$A$6:$A$2205,0)),"MISSING ID")</x:f>
        <x:v>Crafting components</x:v>
      </x:c>
      <x:c r="E1048" s="4" t="str">
        <x:f>IFERROR(INDEX('Material routes'!$C$6:$C$2205,MATCH(U1048,'Material routes'!$A$6:$A$2205,0)),"MISSING ID")</x:f>
        <x:v>Ingredient candidate</x:v>
      </x:c>
      <x:c r="F1048" s="4" t="str">
        <x:f>IFERROR(INDEX('Material routes'!$E$6:$E$2205,MATCH(V1048,'Material routes'!$A$6:$A$2205,0)),"MISSING ID")</x:f>
        <x:v>Specialized spectacles</x:v>
      </x:c>
      <x:c r="G1048" s="4" t="str">
        <x:f>IFERROR(INDEX('Material routes'!$F$6:$F$2205,MATCH(V1048,'Material routes'!$A$6:$A$2205,0)),"MISSING ID")</x:f>
        <x:v>Not applicable</x:v>
      </x:c>
      <x:c r="H1048" s="4" t="str">
        <x:f>IFERROR(INDEX('Material routes'!$H$6:$H$2205,MATCH(V1048,'Material routes'!$A$6:$A$2205,0)),"MISSING ID")</x:f>
        <x:v>Wearable</x:v>
      </x:c>
      <x:c r="I1048" s="4" t="str">
        <x:f>IFERROR(INDEX('Material routes'!$G$6:$G$2205,MATCH(V1048,'Material routes'!$A$6:$A$2205,0)),"MISSING ID")</x:f>
        <x:v>Salvage</x:v>
      </x:c>
      <x:c r="J1048" s="4" t="str">
        <x:f>IFERROR(INDEX('Material routes'!$B$6:$B$2205,MATCH(U1048,'Material routes'!$A$6:$A$2205,0)),"MISSING ID")</x:f>
        <x:v>design.audit.proposal_fashion_special_spectacles</x:v>
      </x:c>
      <x:c r="K1048" s="4" t="str">
        <x:f>IFERROR(INDEX('Crafting recipes'!$C$6:$C$1005,MATCH(J1048,'Crafting recipes'!$A$6:$A$1005,0)),"MISSING ID")</x:f>
        <x:v>Finished-item crafting</x:v>
      </x:c>
      <x:c r="L1048" s="4" t="str">
        <x:f>IFERROR(INDEX('Material routes'!$K$6:$K$2205,MATCH(U1048,'Material routes'!$A$6:$A$2205,0)),"MISSING ID")</x:f>
        <x:v>Proposal</x:v>
      </x:c>
      <x:c r="M1048" s="4" t="str">
        <x:f>IFERROR(INDEX('Material routes'!$M$6:$M$2205,MATCH(U1048,'Material routes'!$A$6:$A$2205,0)),"MISSING ID")</x:f>
        <x:v>Partial proposal</x:v>
      </x:c>
      <x:c r="N1048" s="4"/>
      <x:c r="O1048" s="4" t="str">
        <x:f>IFERROR(INDEX('Material routes'!$J$6:$J$2205,MATCH(U1048,'Material routes'!$A$6:$A$2205,0)),"MISSING ID")</x:f>
        <x:v>Unspecified</x:v>
      </x:c>
      <x:c r="P1048" s="4"/>
      <x:c r="Q1048" s="4" t="str">
        <x:f>IFERROR(INDEX('Material routes'!$J$6:$J$2205,MATCH(V1048,'Material routes'!$A$6:$A$2205,0)),"MISSING ID")</x:f>
        <x:v>Unspecified</x:v>
      </x:c>
      <x:c r="R1048" s="4" t="str">
        <x:f>IF(L1048="Withheld","Withheld premise",IF(E1048="Tool candidate","Reusable prerequisite",IF(K1048="Raw entry preparation","Entry-resource preparation",IF(G1048="Not applicable",IF(IFERROR(INDEX('Items'!$AI$6:$AI$1005,MATCH(T1048,'Items'!$A$6:$A$1005,0)),"MISSING ID")="Finished item","Finished endpoint",IF(IFERROR(INDEX('Items'!$AI$6:$AI$1005,MATCH(T1048,'Items'!$A$6:$A$1005,0)),"MISSING ID")="Currency","Currency / no refinement tier","Recovered output / tier not applicable")),IF(OR(IFERROR(INDEX('Crafting recipes'!$H$6:$H$1005,MATCH(J1048,'Crafting recipes'!$A$6:$A$1005,0)),"MISSING ID")="Unassigned",G1048="Unassigned"),"Tier unresolved",IF(IFERROR(VALUE(RIGHT(G1048,1))-VALUE(RIGHT(IFERROR(INDEX('Crafting recipes'!$H$6:$H$1005,MATCH(J1048,'Crafting recipes'!$A$6:$A$1005,0)),"MISSING ID"),1)),0)=1,IF(B1048=IFERROR(INDEX('Crafting recipes'!$H$6:$H$1005,MATCH(J1048,'Crafting recipes'!$A$6:$A$1005,0)),"MISSING ID"),"Advances one material tier","Lower-tier ingredient; route advances one tier"),"Needs tier review"))))))</x:f>
        <x:v>Finished endpoint</x:v>
      </x:c>
      <x:c r="S1048" s="4" t="str">
        <x:f>IFERROR(INDEX('Material routes'!$D$6:$D$2205,MATCH(U1048,'Material routes'!$A$6:$A$2205,0)),"MISSING ID")</x:f>
        <x:v>proposal.audit.bent_wire_spectacle_frame</x:v>
      </x:c>
      <x:c r="T1048" s="4" t="str">
        <x:f>IFERROR(INDEX('Material routes'!$D$6:$D$2205,MATCH(V1048,'Material routes'!$A$6:$A$2205,0)),"MISSING ID")</x:f>
        <x:v>proposal.fashion.special_spectacles</x:v>
      </x:c>
      <x:c r="U1048" s="4" t="str">
        <x:v>design.audit.proposal_fashion_special_spectacles.audit.in.2</x:v>
      </x:c>
      <x:c r="V1048" s="4" t="str">
        <x:v>design.audit.proposal_fashion_special_spectacles.audit.out</x:v>
      </x:c>
    </x:row>
    <x:row r="1049" ht="64" customHeight="1">
      <x:c r="A1049" s="4" t="str">
        <x:f>IFERROR(INDEX('Material routes'!$E$6:$E$2205,MATCH(U1049,'Material routes'!$A$6:$A$2205,0)),"MISSING ID")</x:f>
        <x:v>Small metal hinge pair</x:v>
      </x:c>
      <x:c r="B1049" s="4" t="str">
        <x:f>IFERROR(INDEX('Material routes'!$F$6:$F$2205,MATCH(U1049,'Material routes'!$A$6:$A$2205,0)),"MISSING ID")</x:f>
        <x:v>T3</x:v>
      </x:c>
      <x:c r="C1049" s="4" t="str">
        <x:f>IFERROR(INDEX('Material routes'!$H$6:$H$2205,MATCH(U1049,'Material routes'!$A$6:$A$2205,0)),"MISSING ID")</x:f>
        <x:v>Crafting component</x:v>
      </x:c>
      <x:c r="D1049" s="4" t="str">
        <x:f>IFERROR(INDEX('Material routes'!$G$6:$G$2205,MATCH(U1049,'Material routes'!$A$6:$A$2205,0)),"MISSING ID")</x:f>
        <x:v>Crafting components</x:v>
      </x:c>
      <x:c r="E1049" s="4" t="str">
        <x:f>IFERROR(INDEX('Material routes'!$C$6:$C$2205,MATCH(U1049,'Material routes'!$A$6:$A$2205,0)),"MISSING ID")</x:f>
        <x:v>Ingredient candidate</x:v>
      </x:c>
      <x:c r="F1049" s="4" t="str">
        <x:f>IFERROR(INDEX('Material routes'!$E$6:$E$2205,MATCH(V1049,'Material routes'!$A$6:$A$2205,0)),"MISSING ID")</x:f>
        <x:v>Specialized spectacles</x:v>
      </x:c>
      <x:c r="G1049" s="4" t="str">
        <x:f>IFERROR(INDEX('Material routes'!$F$6:$F$2205,MATCH(V1049,'Material routes'!$A$6:$A$2205,0)),"MISSING ID")</x:f>
        <x:v>Not applicable</x:v>
      </x:c>
      <x:c r="H1049" s="4" t="str">
        <x:f>IFERROR(INDEX('Material routes'!$H$6:$H$2205,MATCH(V1049,'Material routes'!$A$6:$A$2205,0)),"MISSING ID")</x:f>
        <x:v>Wearable</x:v>
      </x:c>
      <x:c r="I1049" s="4" t="str">
        <x:f>IFERROR(INDEX('Material routes'!$G$6:$G$2205,MATCH(V1049,'Material routes'!$A$6:$A$2205,0)),"MISSING ID")</x:f>
        <x:v>Salvage</x:v>
      </x:c>
      <x:c r="J1049" s="4" t="str">
        <x:f>IFERROR(INDEX('Material routes'!$B$6:$B$2205,MATCH(U1049,'Material routes'!$A$6:$A$2205,0)),"MISSING ID")</x:f>
        <x:v>design.audit.proposal_fashion_special_spectacles</x:v>
      </x:c>
      <x:c r="K1049" s="4" t="str">
        <x:f>IFERROR(INDEX('Crafting recipes'!$C$6:$C$1005,MATCH(J1049,'Crafting recipes'!$A$6:$A$1005,0)),"MISSING ID")</x:f>
        <x:v>Finished-item crafting</x:v>
      </x:c>
      <x:c r="L1049" s="4" t="str">
        <x:f>IFERROR(INDEX('Material routes'!$K$6:$K$2205,MATCH(U1049,'Material routes'!$A$6:$A$2205,0)),"MISSING ID")</x:f>
        <x:v>Proposal</x:v>
      </x:c>
      <x:c r="M1049" s="4" t="str">
        <x:f>IFERROR(INDEX('Material routes'!$M$6:$M$2205,MATCH(U1049,'Material routes'!$A$6:$A$2205,0)),"MISSING ID")</x:f>
        <x:v>Partial proposal</x:v>
      </x:c>
      <x:c r="N1049" s="4"/>
      <x:c r="O1049" s="4" t="str">
        <x:f>IFERROR(INDEX('Material routes'!$J$6:$J$2205,MATCH(U1049,'Material routes'!$A$6:$A$2205,0)),"MISSING ID")</x:f>
        <x:v>Unspecified</x:v>
      </x:c>
      <x:c r="P1049" s="4"/>
      <x:c r="Q1049" s="4" t="str">
        <x:f>IFERROR(INDEX('Material routes'!$J$6:$J$2205,MATCH(V1049,'Material routes'!$A$6:$A$2205,0)),"MISSING ID")</x:f>
        <x:v>Unspecified</x:v>
      </x:c>
      <x:c r="R1049" s="4" t="str">
        <x:f>IF(L1049="Withheld","Withheld premise",IF(E1049="Tool candidate","Reusable prerequisite",IF(K1049="Raw entry preparation","Entry-resource preparation",IF(G1049="Not applicable",IF(IFERROR(INDEX('Items'!$AI$6:$AI$1005,MATCH(T1049,'Items'!$A$6:$A$1005,0)),"MISSING ID")="Finished item","Finished endpoint",IF(IFERROR(INDEX('Items'!$AI$6:$AI$1005,MATCH(T1049,'Items'!$A$6:$A$1005,0)),"MISSING ID")="Currency","Currency / no refinement tier","Recovered output / tier not applicable")),IF(OR(IFERROR(INDEX('Crafting recipes'!$H$6:$H$1005,MATCH(J1049,'Crafting recipes'!$A$6:$A$1005,0)),"MISSING ID")="Unassigned",G1049="Unassigned"),"Tier unresolved",IF(IFERROR(VALUE(RIGHT(G1049,1))-VALUE(RIGHT(IFERROR(INDEX('Crafting recipes'!$H$6:$H$1005,MATCH(J1049,'Crafting recipes'!$A$6:$A$1005,0)),"MISSING ID"),1)),0)=1,IF(B1049=IFERROR(INDEX('Crafting recipes'!$H$6:$H$1005,MATCH(J1049,'Crafting recipes'!$A$6:$A$1005,0)),"MISSING ID"),"Advances one material tier","Lower-tier ingredient; route advances one tier"),"Needs tier review"))))))</x:f>
        <x:v>Finished endpoint</x:v>
      </x:c>
      <x:c r="S1049" s="4" t="str">
        <x:f>IFERROR(INDEX('Material routes'!$D$6:$D$2205,MATCH(U1049,'Material routes'!$A$6:$A$2205,0)),"MISSING ID")</x:f>
        <x:v>proposal.audit.small_metal_hinge_pair</x:v>
      </x:c>
      <x:c r="T1049" s="4" t="str">
        <x:f>IFERROR(INDEX('Material routes'!$D$6:$D$2205,MATCH(V1049,'Material routes'!$A$6:$A$2205,0)),"MISSING ID")</x:f>
        <x:v>proposal.fashion.special_spectacles</x:v>
      </x:c>
      <x:c r="U1049" s="4" t="str">
        <x:v>design.audit.proposal_fashion_special_spectacles.audit.in.3</x:v>
      </x:c>
      <x:c r="V1049" s="4" t="str">
        <x:v>design.audit.proposal_fashion_special_spectacles.audit.out</x:v>
      </x:c>
    </x:row>
    <x:row r="1050" ht="64" customHeight="1">
      <x:c r="A1050" s="4" t="str">
        <x:f>IFERROR(INDEX('Material routes'!$E$6:$E$2205,MATCH(U1050,'Material routes'!$A$6:$A$2205,0)),"MISSING ID")</x:f>
        <x:v>Ground optical glass stock</x:v>
      </x:c>
      <x:c r="B1050" s="4" t="str">
        <x:f>IFERROR(INDEX('Material routes'!$F$6:$F$2205,MATCH(U1050,'Material routes'!$A$6:$A$2205,0)),"MISSING ID")</x:f>
        <x:v>T3</x:v>
      </x:c>
      <x:c r="C1050" s="4" t="str">
        <x:f>IFERROR(INDEX('Material routes'!$H$6:$H$2205,MATCH(U1050,'Material routes'!$A$6:$A$2205,0)),"MISSING ID")</x:f>
        <x:v>Processed material</x:v>
      </x:c>
      <x:c r="D1050" s="4" t="str">
        <x:f>IFERROR(INDEX('Material routes'!$G$6:$G$2205,MATCH(U1050,'Material routes'!$A$6:$A$2205,0)),"MISSING ID")</x:f>
        <x:v>Manufactured stock</x:v>
      </x:c>
      <x:c r="E1050" s="4" t="str">
        <x:f>IFERROR(INDEX('Material routes'!$C$6:$C$2205,MATCH(U1050,'Material routes'!$A$6:$A$2205,0)),"MISSING ID")</x:f>
        <x:v>Ingredient candidate</x:v>
      </x:c>
      <x:c r="F1050" s="4" t="str">
        <x:f>IFERROR(INDEX('Material routes'!$E$6:$E$2205,MATCH(V1050,'Material routes'!$A$6:$A$2205,0)),"MISSING ID")</x:f>
        <x:v>Eyeglasses</x:v>
      </x:c>
      <x:c r="G1050" s="4" t="str">
        <x:f>IFERROR(INDEX('Material routes'!$F$6:$F$2205,MATCH(V1050,'Material routes'!$A$6:$A$2205,0)),"MISSING ID")</x:f>
        <x:v>Not applicable</x:v>
      </x:c>
      <x:c r="H1050" s="4" t="str">
        <x:f>IFERROR(INDEX('Material routes'!$H$6:$H$2205,MATCH(V1050,'Material routes'!$A$6:$A$2205,0)),"MISSING ID")</x:f>
        <x:v>Wearable</x:v>
      </x:c>
      <x:c r="I1050" s="4" t="str">
        <x:f>IFERROR(INDEX('Material routes'!$G$6:$G$2205,MATCH(V1050,'Material routes'!$A$6:$A$2205,0)),"MISSING ID")</x:f>
        <x:v>Salvage</x:v>
      </x:c>
      <x:c r="J1050" s="4" t="str">
        <x:f>IFERROR(INDEX('Material routes'!$B$6:$B$2205,MATCH(U1050,'Material routes'!$A$6:$A$2205,0)),"MISSING ID")</x:f>
        <x:v>design.audit.proposal_fashion_eyeglasses</x:v>
      </x:c>
      <x:c r="K1050" s="4" t="str">
        <x:f>IFERROR(INDEX('Crafting recipes'!$C$6:$C$1005,MATCH(J1050,'Crafting recipes'!$A$6:$A$1005,0)),"MISSING ID")</x:f>
        <x:v>Finished-item crafting</x:v>
      </x:c>
      <x:c r="L1050" s="4" t="str">
        <x:f>IFERROR(INDEX('Material routes'!$K$6:$K$2205,MATCH(U1050,'Material routes'!$A$6:$A$2205,0)),"MISSING ID")</x:f>
        <x:v>Proposal</x:v>
      </x:c>
      <x:c r="M1050" s="4" t="str">
        <x:f>IFERROR(INDEX('Material routes'!$M$6:$M$2205,MATCH(U1050,'Material routes'!$A$6:$A$2205,0)),"MISSING ID")</x:f>
        <x:v>Partial proposal</x:v>
      </x:c>
      <x:c r="N1050" s="4"/>
      <x:c r="O1050" s="4" t="str">
        <x:f>IFERROR(INDEX('Material routes'!$J$6:$J$2205,MATCH(U1050,'Material routes'!$A$6:$A$2205,0)),"MISSING ID")</x:f>
        <x:v>Unspecified</x:v>
      </x:c>
      <x:c r="P1050" s="4"/>
      <x:c r="Q1050" s="4" t="str">
        <x:f>IFERROR(INDEX('Material routes'!$J$6:$J$2205,MATCH(V1050,'Material routes'!$A$6:$A$2205,0)),"MISSING ID")</x:f>
        <x:v>Unspecified</x:v>
      </x:c>
      <x:c r="R1050" s="4" t="str">
        <x:f>IF(L1050="Withheld","Withheld premise",IF(E1050="Tool candidate","Reusable prerequisite",IF(K1050="Raw entry preparation","Entry-resource preparation",IF(G1050="Not applicable",IF(IFERROR(INDEX('Items'!$AI$6:$AI$1005,MATCH(T1050,'Items'!$A$6:$A$1005,0)),"MISSING ID")="Finished item","Finished endpoint",IF(IFERROR(INDEX('Items'!$AI$6:$AI$1005,MATCH(T1050,'Items'!$A$6:$A$1005,0)),"MISSING ID")="Currency","Currency / no refinement tier","Recovered output / tier not applicable")),IF(OR(IFERROR(INDEX('Crafting recipes'!$H$6:$H$1005,MATCH(J1050,'Crafting recipes'!$A$6:$A$1005,0)),"MISSING ID")="Unassigned",G1050="Unassigned"),"Tier unresolved",IF(IFERROR(VALUE(RIGHT(G1050,1))-VALUE(RIGHT(IFERROR(INDEX('Crafting recipes'!$H$6:$H$1005,MATCH(J1050,'Crafting recipes'!$A$6:$A$1005,0)),"MISSING ID"),1)),0)=1,IF(B1050=IFERROR(INDEX('Crafting recipes'!$H$6:$H$1005,MATCH(J1050,'Crafting recipes'!$A$6:$A$1005,0)),"MISSING ID"),"Advances one material tier","Lower-tier ingredient; route advances one tier"),"Needs tier review"))))))</x:f>
        <x:v>Finished endpoint</x:v>
      </x:c>
      <x:c r="S1050" s="4" t="str">
        <x:f>IFERROR(INDEX('Material routes'!$D$6:$D$2205,MATCH(U1050,'Material routes'!$A$6:$A$2205,0)),"MISSING ID")</x:f>
        <x:v>proposal.branch.optical_glass</x:v>
      </x:c>
      <x:c r="T1050" s="4" t="str">
        <x:f>IFERROR(INDEX('Material routes'!$D$6:$D$2205,MATCH(V1050,'Material routes'!$A$6:$A$2205,0)),"MISSING ID")</x:f>
        <x:v>proposal.fashion.eyeglasses</x:v>
      </x:c>
      <x:c r="U1050" s="4" t="str">
        <x:v>design.audit.proposal_fashion_eyeglasses.audit.in.1</x:v>
      </x:c>
      <x:c r="V1050" s="4" t="str">
        <x:v>design.audit.proposal_fashion_eyeglasses.audit.out</x:v>
      </x:c>
    </x:row>
    <x:row r="1051" ht="64" customHeight="1">
      <x:c r="A1051" s="4" t="str">
        <x:f>IFERROR(INDEX('Material routes'!$E$6:$E$2205,MATCH(U1051,'Material routes'!$A$6:$A$2205,0)),"MISSING ID")</x:f>
        <x:v>Bent-wire spectacle frame</x:v>
      </x:c>
      <x:c r="B1051" s="4" t="str">
        <x:f>IFERROR(INDEX('Material routes'!$F$6:$F$2205,MATCH(U1051,'Material routes'!$A$6:$A$2205,0)),"MISSING ID")</x:f>
        <x:v>T3</x:v>
      </x:c>
      <x:c r="C1051" s="4" t="str">
        <x:f>IFERROR(INDEX('Material routes'!$H$6:$H$2205,MATCH(U1051,'Material routes'!$A$6:$A$2205,0)),"MISSING ID")</x:f>
        <x:v>Crafting component</x:v>
      </x:c>
      <x:c r="D1051" s="4" t="str">
        <x:f>IFERROR(INDEX('Material routes'!$G$6:$G$2205,MATCH(U1051,'Material routes'!$A$6:$A$2205,0)),"MISSING ID")</x:f>
        <x:v>Crafting components</x:v>
      </x:c>
      <x:c r="E1051" s="4" t="str">
        <x:f>IFERROR(INDEX('Material routes'!$C$6:$C$2205,MATCH(U1051,'Material routes'!$A$6:$A$2205,0)),"MISSING ID")</x:f>
        <x:v>Ingredient candidate</x:v>
      </x:c>
      <x:c r="F1051" s="4" t="str">
        <x:f>IFERROR(INDEX('Material routes'!$E$6:$E$2205,MATCH(V1051,'Material routes'!$A$6:$A$2205,0)),"MISSING ID")</x:f>
        <x:v>Eyeglasses</x:v>
      </x:c>
      <x:c r="G1051" s="4" t="str">
        <x:f>IFERROR(INDEX('Material routes'!$F$6:$F$2205,MATCH(V1051,'Material routes'!$A$6:$A$2205,0)),"MISSING ID")</x:f>
        <x:v>Not applicable</x:v>
      </x:c>
      <x:c r="H1051" s="4" t="str">
        <x:f>IFERROR(INDEX('Material routes'!$H$6:$H$2205,MATCH(V1051,'Material routes'!$A$6:$A$2205,0)),"MISSING ID")</x:f>
        <x:v>Wearable</x:v>
      </x:c>
      <x:c r="I1051" s="4" t="str">
        <x:f>IFERROR(INDEX('Material routes'!$G$6:$G$2205,MATCH(V1051,'Material routes'!$A$6:$A$2205,0)),"MISSING ID")</x:f>
        <x:v>Salvage</x:v>
      </x:c>
      <x:c r="J1051" s="4" t="str">
        <x:f>IFERROR(INDEX('Material routes'!$B$6:$B$2205,MATCH(U1051,'Material routes'!$A$6:$A$2205,0)),"MISSING ID")</x:f>
        <x:v>design.audit.proposal_fashion_eyeglasses</x:v>
      </x:c>
      <x:c r="K1051" s="4" t="str">
        <x:f>IFERROR(INDEX('Crafting recipes'!$C$6:$C$1005,MATCH(J1051,'Crafting recipes'!$A$6:$A$1005,0)),"MISSING ID")</x:f>
        <x:v>Finished-item crafting</x:v>
      </x:c>
      <x:c r="L1051" s="4" t="str">
        <x:f>IFERROR(INDEX('Material routes'!$K$6:$K$2205,MATCH(U1051,'Material routes'!$A$6:$A$2205,0)),"MISSING ID")</x:f>
        <x:v>Proposal</x:v>
      </x:c>
      <x:c r="M1051" s="4" t="str">
        <x:f>IFERROR(INDEX('Material routes'!$M$6:$M$2205,MATCH(U1051,'Material routes'!$A$6:$A$2205,0)),"MISSING ID")</x:f>
        <x:v>Partial proposal</x:v>
      </x:c>
      <x:c r="N1051" s="4"/>
      <x:c r="O1051" s="4" t="str">
        <x:f>IFERROR(INDEX('Material routes'!$J$6:$J$2205,MATCH(U1051,'Material routes'!$A$6:$A$2205,0)),"MISSING ID")</x:f>
        <x:v>Unspecified</x:v>
      </x:c>
      <x:c r="P1051" s="4"/>
      <x:c r="Q1051" s="4" t="str">
        <x:f>IFERROR(INDEX('Material routes'!$J$6:$J$2205,MATCH(V1051,'Material routes'!$A$6:$A$2205,0)),"MISSING ID")</x:f>
        <x:v>Unspecified</x:v>
      </x:c>
      <x:c r="R1051" s="4" t="str">
        <x:f>IF(L1051="Withheld","Withheld premise",IF(E1051="Tool candidate","Reusable prerequisite",IF(K1051="Raw entry preparation","Entry-resource preparation",IF(G1051="Not applicable",IF(IFERROR(INDEX('Items'!$AI$6:$AI$1005,MATCH(T1051,'Items'!$A$6:$A$1005,0)),"MISSING ID")="Finished item","Finished endpoint",IF(IFERROR(INDEX('Items'!$AI$6:$AI$1005,MATCH(T1051,'Items'!$A$6:$A$1005,0)),"MISSING ID")="Currency","Currency / no refinement tier","Recovered output / tier not applicable")),IF(OR(IFERROR(INDEX('Crafting recipes'!$H$6:$H$1005,MATCH(J1051,'Crafting recipes'!$A$6:$A$1005,0)),"MISSING ID")="Unassigned",G1051="Unassigned"),"Tier unresolved",IF(IFERROR(VALUE(RIGHT(G1051,1))-VALUE(RIGHT(IFERROR(INDEX('Crafting recipes'!$H$6:$H$1005,MATCH(J1051,'Crafting recipes'!$A$6:$A$1005,0)),"MISSING ID"),1)),0)=1,IF(B1051=IFERROR(INDEX('Crafting recipes'!$H$6:$H$1005,MATCH(J1051,'Crafting recipes'!$A$6:$A$1005,0)),"MISSING ID"),"Advances one material tier","Lower-tier ingredient; route advances one tier"),"Needs tier review"))))))</x:f>
        <x:v>Finished endpoint</x:v>
      </x:c>
      <x:c r="S1051" s="4" t="str">
        <x:f>IFERROR(INDEX('Material routes'!$D$6:$D$2205,MATCH(U1051,'Material routes'!$A$6:$A$2205,0)),"MISSING ID")</x:f>
        <x:v>proposal.audit.bent_wire_spectacle_frame</x:v>
      </x:c>
      <x:c r="T1051" s="4" t="str">
        <x:f>IFERROR(INDEX('Material routes'!$D$6:$D$2205,MATCH(V1051,'Material routes'!$A$6:$A$2205,0)),"MISSING ID")</x:f>
        <x:v>proposal.fashion.eyeglasses</x:v>
      </x:c>
      <x:c r="U1051" s="4" t="str">
        <x:v>design.audit.proposal_fashion_eyeglasses.audit.in.2</x:v>
      </x:c>
      <x:c r="V1051" s="4" t="str">
        <x:v>design.audit.proposal_fashion_eyeglasses.audit.out</x:v>
      </x:c>
    </x:row>
    <x:row r="1052" ht="64" customHeight="1">
      <x:c r="A1052" s="4" t="str">
        <x:f>IFERROR(INDEX('Material routes'!$E$6:$E$2205,MATCH(U1052,'Material routes'!$A$6:$A$2205,0)),"MISSING ID")</x:f>
        <x:v>Small metal hinge pair</x:v>
      </x:c>
      <x:c r="B1052" s="4" t="str">
        <x:f>IFERROR(INDEX('Material routes'!$F$6:$F$2205,MATCH(U1052,'Material routes'!$A$6:$A$2205,0)),"MISSING ID")</x:f>
        <x:v>T3</x:v>
      </x:c>
      <x:c r="C1052" s="4" t="str">
        <x:f>IFERROR(INDEX('Material routes'!$H$6:$H$2205,MATCH(U1052,'Material routes'!$A$6:$A$2205,0)),"MISSING ID")</x:f>
        <x:v>Crafting component</x:v>
      </x:c>
      <x:c r="D1052" s="4" t="str">
        <x:f>IFERROR(INDEX('Material routes'!$G$6:$G$2205,MATCH(U1052,'Material routes'!$A$6:$A$2205,0)),"MISSING ID")</x:f>
        <x:v>Crafting components</x:v>
      </x:c>
      <x:c r="E1052" s="4" t="str">
        <x:f>IFERROR(INDEX('Material routes'!$C$6:$C$2205,MATCH(U1052,'Material routes'!$A$6:$A$2205,0)),"MISSING ID")</x:f>
        <x:v>Ingredient candidate</x:v>
      </x:c>
      <x:c r="F1052" s="4" t="str">
        <x:f>IFERROR(INDEX('Material routes'!$E$6:$E$2205,MATCH(V1052,'Material routes'!$A$6:$A$2205,0)),"MISSING ID")</x:f>
        <x:v>Eyeglasses</x:v>
      </x:c>
      <x:c r="G1052" s="4" t="str">
        <x:f>IFERROR(INDEX('Material routes'!$F$6:$F$2205,MATCH(V1052,'Material routes'!$A$6:$A$2205,0)),"MISSING ID")</x:f>
        <x:v>Not applicable</x:v>
      </x:c>
      <x:c r="H1052" s="4" t="str">
        <x:f>IFERROR(INDEX('Material routes'!$H$6:$H$2205,MATCH(V1052,'Material routes'!$A$6:$A$2205,0)),"MISSING ID")</x:f>
        <x:v>Wearable</x:v>
      </x:c>
      <x:c r="I1052" s="4" t="str">
        <x:f>IFERROR(INDEX('Material routes'!$G$6:$G$2205,MATCH(V1052,'Material routes'!$A$6:$A$2205,0)),"MISSING ID")</x:f>
        <x:v>Salvage</x:v>
      </x:c>
      <x:c r="J1052" s="4" t="str">
        <x:f>IFERROR(INDEX('Material routes'!$B$6:$B$2205,MATCH(U1052,'Material routes'!$A$6:$A$2205,0)),"MISSING ID")</x:f>
        <x:v>design.audit.proposal_fashion_eyeglasses</x:v>
      </x:c>
      <x:c r="K1052" s="4" t="str">
        <x:f>IFERROR(INDEX('Crafting recipes'!$C$6:$C$1005,MATCH(J1052,'Crafting recipes'!$A$6:$A$1005,0)),"MISSING ID")</x:f>
        <x:v>Finished-item crafting</x:v>
      </x:c>
      <x:c r="L1052" s="4" t="str">
        <x:f>IFERROR(INDEX('Material routes'!$K$6:$K$2205,MATCH(U1052,'Material routes'!$A$6:$A$2205,0)),"MISSING ID")</x:f>
        <x:v>Proposal</x:v>
      </x:c>
      <x:c r="M1052" s="4" t="str">
        <x:f>IFERROR(INDEX('Material routes'!$M$6:$M$2205,MATCH(U1052,'Material routes'!$A$6:$A$2205,0)),"MISSING ID")</x:f>
        <x:v>Partial proposal</x:v>
      </x:c>
      <x:c r="N1052" s="4"/>
      <x:c r="O1052" s="4" t="str">
        <x:f>IFERROR(INDEX('Material routes'!$J$6:$J$2205,MATCH(U1052,'Material routes'!$A$6:$A$2205,0)),"MISSING ID")</x:f>
        <x:v>Unspecified</x:v>
      </x:c>
      <x:c r="P1052" s="4"/>
      <x:c r="Q1052" s="4" t="str">
        <x:f>IFERROR(INDEX('Material routes'!$J$6:$J$2205,MATCH(V1052,'Material routes'!$A$6:$A$2205,0)),"MISSING ID")</x:f>
        <x:v>Unspecified</x:v>
      </x:c>
      <x:c r="R1052" s="4" t="str">
        <x:f>IF(L1052="Withheld","Withheld premise",IF(E1052="Tool candidate","Reusable prerequisite",IF(K1052="Raw entry preparation","Entry-resource preparation",IF(G1052="Not applicable",IF(IFERROR(INDEX('Items'!$AI$6:$AI$1005,MATCH(T1052,'Items'!$A$6:$A$1005,0)),"MISSING ID")="Finished item","Finished endpoint",IF(IFERROR(INDEX('Items'!$AI$6:$AI$1005,MATCH(T1052,'Items'!$A$6:$A$1005,0)),"MISSING ID")="Currency","Currency / no refinement tier","Recovered output / tier not applicable")),IF(OR(IFERROR(INDEX('Crafting recipes'!$H$6:$H$1005,MATCH(J1052,'Crafting recipes'!$A$6:$A$1005,0)),"MISSING ID")="Unassigned",G1052="Unassigned"),"Tier unresolved",IF(IFERROR(VALUE(RIGHT(G1052,1))-VALUE(RIGHT(IFERROR(INDEX('Crafting recipes'!$H$6:$H$1005,MATCH(J1052,'Crafting recipes'!$A$6:$A$1005,0)),"MISSING ID"),1)),0)=1,IF(B1052=IFERROR(INDEX('Crafting recipes'!$H$6:$H$1005,MATCH(J1052,'Crafting recipes'!$A$6:$A$1005,0)),"MISSING ID"),"Advances one material tier","Lower-tier ingredient; route advances one tier"),"Needs tier review"))))))</x:f>
        <x:v>Finished endpoint</x:v>
      </x:c>
      <x:c r="S1052" s="4" t="str">
        <x:f>IFERROR(INDEX('Material routes'!$D$6:$D$2205,MATCH(U1052,'Material routes'!$A$6:$A$2205,0)),"MISSING ID")</x:f>
        <x:v>proposal.audit.small_metal_hinge_pair</x:v>
      </x:c>
      <x:c r="T1052" s="4" t="str">
        <x:f>IFERROR(INDEX('Material routes'!$D$6:$D$2205,MATCH(V1052,'Material routes'!$A$6:$A$2205,0)),"MISSING ID")</x:f>
        <x:v>proposal.fashion.eyeglasses</x:v>
      </x:c>
      <x:c r="U1052" s="4" t="str">
        <x:v>design.audit.proposal_fashion_eyeglasses.audit.in.3</x:v>
      </x:c>
      <x:c r="V1052" s="4" t="str">
        <x:v>design.audit.proposal_fashion_eyeglasses.audit.out</x:v>
      </x:c>
    </x:row>
    <x:row r="1053" ht="64" customHeight="1">
      <x:c r="A1053" s="4"/>
      <x:c r="B1053" s="4"/>
      <x:c r="C1053" s="4"/>
      <x:c r="D1053" s="4"/>
      <x:c r="E1053" s="4"/>
      <x:c r="F1053" s="4"/>
      <x:c r="G1053" s="4"/>
      <x:c r="H1053" s="4"/>
      <x:c r="I1053" s="4"/>
      <x:c r="J1053" s="4"/>
      <x:c r="K1053" s="4"/>
      <x:c r="L1053" s="4"/>
      <x:c r="M1053" s="4"/>
      <x:c r="N1053" s="4"/>
      <x:c r="O1053" s="4"/>
      <x:c r="P1053" s="4"/>
      <x:c r="Q1053" s="4"/>
      <x:c r="R1053" s="4"/>
      <x:c r="S1053" s="4"/>
      <x:c r="T1053" s="4"/>
      <x:c r="U1053" s="4"/>
      <x:c r="V1053" s="4"/>
    </x:row>
    <x:row r="1054" ht="64" customHeight="1">
      <x:c r="A1054" s="4"/>
      <x:c r="B1054" s="4"/>
      <x:c r="C1054" s="4"/>
      <x:c r="D1054" s="4"/>
      <x:c r="E1054" s="4"/>
      <x:c r="F1054" s="4"/>
      <x:c r="G1054" s="4"/>
      <x:c r="H1054" s="4"/>
      <x:c r="I1054" s="4"/>
      <x:c r="J1054" s="4"/>
      <x:c r="K1054" s="4"/>
      <x:c r="L1054" s="4"/>
      <x:c r="M1054" s="4"/>
      <x:c r="N1054" s="4"/>
      <x:c r="O1054" s="4"/>
      <x:c r="P1054" s="4"/>
      <x:c r="Q1054" s="4"/>
      <x:c r="R1054" s="4"/>
      <x:c r="S1054" s="4"/>
      <x:c r="T1054" s="4"/>
      <x:c r="U1054" s="4"/>
      <x:c r="V1054" s="4"/>
    </x:row>
    <x:row r="1055" ht="64" customHeight="1">
      <x:c r="A1055" s="4" t="str">
        <x:f>IFERROR(INDEX('Material routes'!$E$6:$E$2205,MATCH(U1055,'Material routes'!$A$6:$A$2205,0)),"MISSING ID")</x:f>
        <x:v>Finished decorative husk stock</x:v>
      </x:c>
      <x:c r="B1055" s="4" t="str">
        <x:f>IFERROR(INDEX('Material routes'!$F$6:$F$2205,MATCH(U1055,'Material routes'!$A$6:$A$2205,0)),"MISSING ID")</x:f>
        <x:v>T3</x:v>
      </x:c>
      <x:c r="C1055" s="4" t="str">
        <x:f>IFERROR(INDEX('Material routes'!$H$6:$H$2205,MATCH(U1055,'Material routes'!$A$6:$A$2205,0)),"MISSING ID")</x:f>
        <x:v>Processed material</x:v>
      </x:c>
      <x:c r="D1055" s="4" t="str">
        <x:f>IFERROR(INDEX('Material routes'!$G$6:$G$2205,MATCH(U1055,'Material routes'!$A$6:$A$2205,0)),"MISSING ID")</x:f>
        <x:v>Manufactured stock</x:v>
      </x:c>
      <x:c r="E1055" s="4" t="str">
        <x:f>IFERROR(INDEX('Material routes'!$C$6:$C$2205,MATCH(U1055,'Material routes'!$A$6:$A$2205,0)),"MISSING ID")</x:f>
        <x:v>Ingredient candidate</x:v>
      </x:c>
      <x:c r="F1055" s="4" t="str">
        <x:f>IFERROR(INDEX('Material routes'!$E$6:$E$2205,MATCH(V1055,'Material routes'!$A$6:$A$2205,0)),"MISSING ID")</x:f>
        <x:v>Elaborate husk-fiber wear</x:v>
      </x:c>
      <x:c r="G1055" s="4" t="str">
        <x:f>IFERROR(INDEX('Material routes'!$F$6:$F$2205,MATCH(V1055,'Material routes'!$A$6:$A$2205,0)),"MISSING ID")</x:f>
        <x:v>Not applicable</x:v>
      </x:c>
      <x:c r="H1055" s="4" t="str">
        <x:f>IFERROR(INDEX('Material routes'!$H$6:$H$2205,MATCH(V1055,'Material routes'!$A$6:$A$2205,0)),"MISSING ID")</x:f>
        <x:v>Wearable</x:v>
      </x:c>
      <x:c r="I1055" s="4" t="str">
        <x:f>IFERROR(INDEX('Material routes'!$G$6:$G$2205,MATCH(V1055,'Material routes'!$A$6:$A$2205,0)),"MISSING ID")</x:f>
        <x:v>Clothing</x:v>
      </x:c>
      <x:c r="J1055" s="4" t="str">
        <x:f>IFERROR(INDEX('Material routes'!$B$6:$B$2205,MATCH(U1055,'Material routes'!$A$6:$A$2205,0)),"MISSING ID")</x:f>
        <x:v>design.audit.proposal_fashion_husk_garment</x:v>
      </x:c>
      <x:c r="K1055" s="4" t="str">
        <x:f>IFERROR(INDEX('Crafting recipes'!$C$6:$C$1005,MATCH(J1055,'Crafting recipes'!$A$6:$A$1005,0)),"MISSING ID")</x:f>
        <x:v>Finished-item crafting</x:v>
      </x:c>
      <x:c r="L1055" s="4" t="str">
        <x:f>IFERROR(INDEX('Material routes'!$K$6:$K$2205,MATCH(U1055,'Material routes'!$A$6:$A$2205,0)),"MISSING ID")</x:f>
        <x:v>Proposal</x:v>
      </x:c>
      <x:c r="M1055" s="4" t="str">
        <x:f>IFERROR(INDEX('Material routes'!$M$6:$M$2205,MATCH(U1055,'Material routes'!$A$6:$A$2205,0)),"MISSING ID")</x:f>
        <x:v>Partial proposal</x:v>
      </x:c>
      <x:c r="N1055" s="4"/>
      <x:c r="O1055" s="4" t="str">
        <x:f>IFERROR(INDEX('Material routes'!$J$6:$J$2205,MATCH(U1055,'Material routes'!$A$6:$A$2205,0)),"MISSING ID")</x:f>
        <x:v>Unspecified</x:v>
      </x:c>
      <x:c r="P1055" s="4"/>
      <x:c r="Q1055" s="4" t="str">
        <x:f>IFERROR(INDEX('Material routes'!$J$6:$J$2205,MATCH(V1055,'Material routes'!$A$6:$A$2205,0)),"MISSING ID")</x:f>
        <x:v>Unspecified</x:v>
      </x:c>
      <x:c r="R1055" s="4" t="str">
        <x:f>IF(L1055="Withheld","Withheld premise",IF(E1055="Tool candidate","Reusable prerequisite",IF(K1055="Raw entry preparation","Entry-resource preparation",IF(G1055="Not applicable",IF(IFERROR(INDEX('Items'!$AI$6:$AI$1005,MATCH(T1055,'Items'!$A$6:$A$1005,0)),"MISSING ID")="Finished item","Finished endpoint",IF(IFERROR(INDEX('Items'!$AI$6:$AI$1005,MATCH(T1055,'Items'!$A$6:$A$1005,0)),"MISSING ID")="Currency","Currency / no refinement tier","Recovered output / tier not applicable")),IF(OR(IFERROR(INDEX('Crafting recipes'!$H$6:$H$1005,MATCH(J1055,'Crafting recipes'!$A$6:$A$1005,0)),"MISSING ID")="Unassigned",G1055="Unassigned"),"Tier unresolved",IF(IFERROR(VALUE(RIGHT(G1055,1))-VALUE(RIGHT(IFERROR(INDEX('Crafting recipes'!$H$6:$H$1005,MATCH(J1055,'Crafting recipes'!$A$6:$A$1005,0)),"MISSING ID"),1)),0)=1,IF(B1055=IFERROR(INDEX('Crafting recipes'!$H$6:$H$1005,MATCH(J1055,'Crafting recipes'!$A$6:$A$1005,0)),"MISSING ID"),"Advances one material tier","Lower-tier ingredient; route advances one tier"),"Needs tier review"))))))</x:f>
        <x:v>Finished endpoint</x:v>
      </x:c>
      <x:c r="S1055" s="4" t="str">
        <x:f>IFERROR(INDEX('Material routes'!$D$6:$D$2205,MATCH(U1055,'Material routes'!$A$6:$A$2205,0)),"MISSING ID")</x:f>
        <x:v>proposal.branch.decorative_husk</x:v>
      </x:c>
      <x:c r="T1055" s="4" t="str">
        <x:f>IFERROR(INDEX('Material routes'!$D$6:$D$2205,MATCH(V1055,'Material routes'!$A$6:$A$2205,0)),"MISSING ID")</x:f>
        <x:v>proposal.fashion.husk_garment</x:v>
      </x:c>
      <x:c r="U1055" s="4" t="str">
        <x:v>design.audit.proposal_fashion_husk_garment.audit.in.1</x:v>
      </x:c>
      <x:c r="V1055" s="4" t="str">
        <x:v>design.audit.proposal_fashion_husk_garment.audit.out</x:v>
      </x:c>
    </x:row>
    <x:row r="1056" ht="64" customHeight="1">
      <x:c r="A1056" s="4" t="str">
        <x:f>IFERROR(INDEX('Material routes'!$E$6:$E$2205,MATCH(U1056,'Material routes'!$A$6:$A$2205,0)),"MISSING ID")</x:f>
        <x:v>Pressed hide fastening strips</x:v>
      </x:c>
      <x:c r="B1056" s="4" t="str">
        <x:f>IFERROR(INDEX('Material routes'!$F$6:$F$2205,MATCH(U1056,'Material routes'!$A$6:$A$2205,0)),"MISSING ID")</x:f>
        <x:v>T2</x:v>
      </x:c>
      <x:c r="C1056" s="4" t="str">
        <x:f>IFERROR(INDEX('Material routes'!$H$6:$H$2205,MATCH(U1056,'Material routes'!$A$6:$A$2205,0)),"MISSING ID")</x:f>
        <x:v>Processed material</x:v>
      </x:c>
      <x:c r="D1056" s="4" t="str">
        <x:f>IFERROR(INDEX('Material routes'!$G$6:$G$2205,MATCH(U1056,'Material routes'!$A$6:$A$2205,0)),"MISSING ID")</x:f>
        <x:v>Manufactured stock</x:v>
      </x:c>
      <x:c r="E1056" s="4" t="str">
        <x:f>IFERROR(INDEX('Material routes'!$C$6:$C$2205,MATCH(U1056,'Material routes'!$A$6:$A$2205,0)),"MISSING ID")</x:f>
        <x:v>Ingredient candidate</x:v>
      </x:c>
      <x:c r="F1056" s="4" t="str">
        <x:f>IFERROR(INDEX('Material routes'!$E$6:$E$2205,MATCH(V1056,'Material routes'!$A$6:$A$2205,0)),"MISSING ID")</x:f>
        <x:v>Elaborate husk-fiber wear</x:v>
      </x:c>
      <x:c r="G1056" s="4" t="str">
        <x:f>IFERROR(INDEX('Material routes'!$F$6:$F$2205,MATCH(V1056,'Material routes'!$A$6:$A$2205,0)),"MISSING ID")</x:f>
        <x:v>Not applicable</x:v>
      </x:c>
      <x:c r="H1056" s="4" t="str">
        <x:f>IFERROR(INDEX('Material routes'!$H$6:$H$2205,MATCH(V1056,'Material routes'!$A$6:$A$2205,0)),"MISSING ID")</x:f>
        <x:v>Wearable</x:v>
      </x:c>
      <x:c r="I1056" s="4" t="str">
        <x:f>IFERROR(INDEX('Material routes'!$G$6:$G$2205,MATCH(V1056,'Material routes'!$A$6:$A$2205,0)),"MISSING ID")</x:f>
        <x:v>Clothing</x:v>
      </x:c>
      <x:c r="J1056" s="4" t="str">
        <x:f>IFERROR(INDEX('Material routes'!$B$6:$B$2205,MATCH(U1056,'Material routes'!$A$6:$A$2205,0)),"MISSING ID")</x:f>
        <x:v>design.audit.proposal_fashion_husk_garment</x:v>
      </x:c>
      <x:c r="K1056" s="4" t="str">
        <x:f>IFERROR(INDEX('Crafting recipes'!$C$6:$C$1005,MATCH(J1056,'Crafting recipes'!$A$6:$A$1005,0)),"MISSING ID")</x:f>
        <x:v>Finished-item crafting</x:v>
      </x:c>
      <x:c r="L1056" s="4" t="str">
        <x:f>IFERROR(INDEX('Material routes'!$K$6:$K$2205,MATCH(U1056,'Material routes'!$A$6:$A$2205,0)),"MISSING ID")</x:f>
        <x:v>Proposal</x:v>
      </x:c>
      <x:c r="M1056" s="4" t="str">
        <x:f>IFERROR(INDEX('Material routes'!$M$6:$M$2205,MATCH(U1056,'Material routes'!$A$6:$A$2205,0)),"MISSING ID")</x:f>
        <x:v>Partial proposal</x:v>
      </x:c>
      <x:c r="N1056" s="4"/>
      <x:c r="O1056" s="4" t="str">
        <x:f>IFERROR(INDEX('Material routes'!$J$6:$J$2205,MATCH(U1056,'Material routes'!$A$6:$A$2205,0)),"MISSING ID")</x:f>
        <x:v>Unspecified</x:v>
      </x:c>
      <x:c r="P1056" s="4"/>
      <x:c r="Q1056" s="4" t="str">
        <x:f>IFERROR(INDEX('Material routes'!$J$6:$J$2205,MATCH(V1056,'Material routes'!$A$6:$A$2205,0)),"MISSING ID")</x:f>
        <x:v>Unspecified</x:v>
      </x:c>
      <x:c r="R1056" s="4" t="str">
        <x:f>IF(L1056="Withheld","Withheld premise",IF(E1056="Tool candidate","Reusable prerequisite",IF(K1056="Raw entry preparation","Entry-resource preparation",IF(G1056="Not applicable",IF(IFERROR(INDEX('Items'!$AI$6:$AI$1005,MATCH(T1056,'Items'!$A$6:$A$1005,0)),"MISSING ID")="Finished item","Finished endpoint",IF(IFERROR(INDEX('Items'!$AI$6:$AI$1005,MATCH(T1056,'Items'!$A$6:$A$1005,0)),"MISSING ID")="Currency","Currency / no refinement tier","Recovered output / tier not applicable")),IF(OR(IFERROR(INDEX('Crafting recipes'!$H$6:$H$1005,MATCH(J1056,'Crafting recipes'!$A$6:$A$1005,0)),"MISSING ID")="Unassigned",G1056="Unassigned"),"Tier unresolved",IF(IFERROR(VALUE(RIGHT(G1056,1))-VALUE(RIGHT(IFERROR(INDEX('Crafting recipes'!$H$6:$H$1005,MATCH(J1056,'Crafting recipes'!$A$6:$A$1005,0)),"MISSING ID"),1)),0)=1,IF(B1056=IFERROR(INDEX('Crafting recipes'!$H$6:$H$1005,MATCH(J1056,'Crafting recipes'!$A$6:$A$1005,0)),"MISSING ID"),"Advances one material tier","Lower-tier ingredient; route advances one tier"),"Needs tier review"))))))</x:f>
        <x:v>Finished endpoint</x:v>
      </x:c>
      <x:c r="S1056" s="4" t="str">
        <x:f>IFERROR(INDEX('Material routes'!$D$6:$D$2205,MATCH(U1056,'Material routes'!$A$6:$A$2205,0)),"MISSING ID")</x:f>
        <x:v>proposal.audit.pressed_hide_fastening_strips</x:v>
      </x:c>
      <x:c r="T1056" s="4" t="str">
        <x:f>IFERROR(INDEX('Material routes'!$D$6:$D$2205,MATCH(V1056,'Material routes'!$A$6:$A$2205,0)),"MISSING ID")</x:f>
        <x:v>proposal.fashion.husk_garment</x:v>
      </x:c>
      <x:c r="U1056" s="4" t="str">
        <x:v>design.audit.proposal_fashion_husk_garment.audit.in.2</x:v>
      </x:c>
      <x:c r="V1056" s="4" t="str">
        <x:v>design.audit.proposal_fashion_husk_garment.audit.out</x:v>
      </x:c>
    </x:row>
    <x:row r="1057" ht="64" customHeight="1">
      <x:c r="A1057" s="4" t="str">
        <x:f>IFERROR(INDEX('Material routes'!$E$6:$E$2205,MATCH(U1057,'Material routes'!$A$6:$A$2205,0)),"MISSING ID")</x:f>
        <x:v>Polished gemstone blanks</x:v>
      </x:c>
      <x:c r="B1057" s="4" t="str">
        <x:f>IFERROR(INDEX('Material routes'!$F$6:$F$2205,MATCH(U1057,'Material routes'!$A$6:$A$2205,0)),"MISSING ID")</x:f>
        <x:v>T2</x:v>
      </x:c>
      <x:c r="C1057" s="4" t="str">
        <x:f>IFERROR(INDEX('Material routes'!$H$6:$H$2205,MATCH(U1057,'Material routes'!$A$6:$A$2205,0)),"MISSING ID")</x:f>
        <x:v>Processed material</x:v>
      </x:c>
      <x:c r="D1057" s="4" t="str">
        <x:f>IFERROR(INDEX('Material routes'!$G$6:$G$2205,MATCH(U1057,'Material routes'!$A$6:$A$2205,0)),"MISSING ID")</x:f>
        <x:v>Manufactured stock</x:v>
      </x:c>
      <x:c r="E1057" s="4" t="str">
        <x:f>IFERROR(INDEX('Material routes'!$C$6:$C$2205,MATCH(U1057,'Material routes'!$A$6:$A$2205,0)),"MISSING ID")</x:f>
        <x:v>Ingredient candidate</x:v>
      </x:c>
      <x:c r="F1057" s="4" t="str">
        <x:f>IFERROR(INDEX('Material routes'!$E$6:$E$2205,MATCH(V1057,'Material routes'!$A$6:$A$2205,0)),"MISSING ID")</x:f>
        <x:v>Elaborate husk-fiber wear</x:v>
      </x:c>
      <x:c r="G1057" s="4" t="str">
        <x:f>IFERROR(INDEX('Material routes'!$F$6:$F$2205,MATCH(V1057,'Material routes'!$A$6:$A$2205,0)),"MISSING ID")</x:f>
        <x:v>Not applicable</x:v>
      </x:c>
      <x:c r="H1057" s="4" t="str">
        <x:f>IFERROR(INDEX('Material routes'!$H$6:$H$2205,MATCH(V1057,'Material routes'!$A$6:$A$2205,0)),"MISSING ID")</x:f>
        <x:v>Wearable</x:v>
      </x:c>
      <x:c r="I1057" s="4" t="str">
        <x:f>IFERROR(INDEX('Material routes'!$G$6:$G$2205,MATCH(V1057,'Material routes'!$A$6:$A$2205,0)),"MISSING ID")</x:f>
        <x:v>Clothing</x:v>
      </x:c>
      <x:c r="J1057" s="4" t="str">
        <x:f>IFERROR(INDEX('Material routes'!$B$6:$B$2205,MATCH(U1057,'Material routes'!$A$6:$A$2205,0)),"MISSING ID")</x:f>
        <x:v>design.audit.proposal_fashion_husk_garment</x:v>
      </x:c>
      <x:c r="K1057" s="4" t="str">
        <x:f>IFERROR(INDEX('Crafting recipes'!$C$6:$C$1005,MATCH(J1057,'Crafting recipes'!$A$6:$A$1005,0)),"MISSING ID")</x:f>
        <x:v>Finished-item crafting</x:v>
      </x:c>
      <x:c r="L1057" s="4" t="str">
        <x:f>IFERROR(INDEX('Material routes'!$K$6:$K$2205,MATCH(U1057,'Material routes'!$A$6:$A$2205,0)),"MISSING ID")</x:f>
        <x:v>Proposal</x:v>
      </x:c>
      <x:c r="M1057" s="4" t="str">
        <x:f>IFERROR(INDEX('Material routes'!$M$6:$M$2205,MATCH(U1057,'Material routes'!$A$6:$A$2205,0)),"MISSING ID")</x:f>
        <x:v>Partial proposal</x:v>
      </x:c>
      <x:c r="N1057" s="4"/>
      <x:c r="O1057" s="4" t="str">
        <x:f>IFERROR(INDEX('Material routes'!$J$6:$J$2205,MATCH(U1057,'Material routes'!$A$6:$A$2205,0)),"MISSING ID")</x:f>
        <x:v>Unspecified</x:v>
      </x:c>
      <x:c r="P1057" s="4"/>
      <x:c r="Q1057" s="4" t="str">
        <x:f>IFERROR(INDEX('Material routes'!$J$6:$J$2205,MATCH(V1057,'Material routes'!$A$6:$A$2205,0)),"MISSING ID")</x:f>
        <x:v>Unspecified</x:v>
      </x:c>
      <x:c r="R1057" s="4" t="str">
        <x:f>IF(L1057="Withheld","Withheld premise",IF(E1057="Tool candidate","Reusable prerequisite",IF(K1057="Raw entry preparation","Entry-resource preparation",IF(G1057="Not applicable",IF(IFERROR(INDEX('Items'!$AI$6:$AI$1005,MATCH(T1057,'Items'!$A$6:$A$1005,0)),"MISSING ID")="Finished item","Finished endpoint",IF(IFERROR(INDEX('Items'!$AI$6:$AI$1005,MATCH(T1057,'Items'!$A$6:$A$1005,0)),"MISSING ID")="Currency","Currency / no refinement tier","Recovered output / tier not applicable")),IF(OR(IFERROR(INDEX('Crafting recipes'!$H$6:$H$1005,MATCH(J1057,'Crafting recipes'!$A$6:$A$1005,0)),"MISSING ID")="Unassigned",G1057="Unassigned"),"Tier unresolved",IF(IFERROR(VALUE(RIGHT(G1057,1))-VALUE(RIGHT(IFERROR(INDEX('Crafting recipes'!$H$6:$H$1005,MATCH(J1057,'Crafting recipes'!$A$6:$A$1005,0)),"MISSING ID"),1)),0)=1,IF(B1057=IFERROR(INDEX('Crafting recipes'!$H$6:$H$1005,MATCH(J1057,'Crafting recipes'!$A$6:$A$1005,0)),"MISSING ID"),"Advances one material tier","Lower-tier ingredient; route advances one tier"),"Needs tier review"))))))</x:f>
        <x:v>Finished endpoint</x:v>
      </x:c>
      <x:c r="S1057" s="4" t="str">
        <x:f>IFERROR(INDEX('Material routes'!$D$6:$D$2205,MATCH(U1057,'Material routes'!$A$6:$A$2205,0)),"MISSING ID")</x:f>
        <x:v>proposal.branch.polished_gem</x:v>
      </x:c>
      <x:c r="T1057" s="4" t="str">
        <x:f>IFERROR(INDEX('Material routes'!$D$6:$D$2205,MATCH(V1057,'Material routes'!$A$6:$A$2205,0)),"MISSING ID")</x:f>
        <x:v>proposal.fashion.husk_garment</x:v>
      </x:c>
      <x:c r="U1057" s="4" t="str">
        <x:v>design.audit.proposal_fashion_husk_garment.audit.in.3</x:v>
      </x:c>
      <x:c r="V1057" s="4" t="str">
        <x:v>design.audit.proposal_fashion_husk_garment.audit.out</x:v>
      </x:c>
    </x:row>
    <x:row r="1058" ht="64" customHeight="1">
      <x:c r="A1058" s="4" t="str">
        <x:f>IFERROR(INDEX('Material routes'!$E$6:$E$2205,MATCH(U1058,'Material routes'!$A$6:$A$2205,0)),"MISSING ID")</x:f>
        <x:v>Pressed fur-fiber material</x:v>
      </x:c>
      <x:c r="B1058" s="4" t="str">
        <x:f>IFERROR(INDEX('Material routes'!$F$6:$F$2205,MATCH(U1058,'Material routes'!$A$6:$A$2205,0)),"MISSING ID")</x:f>
        <x:v>T1</x:v>
      </x:c>
      <x:c r="C1058" s="4" t="str">
        <x:f>IFERROR(INDEX('Material routes'!$H$6:$H$2205,MATCH(U1058,'Material routes'!$A$6:$A$2205,0)),"MISSING ID")</x:f>
        <x:v>Processed material</x:v>
      </x:c>
      <x:c r="D1058" s="4" t="str">
        <x:f>IFERROR(INDEX('Material routes'!$G$6:$G$2205,MATCH(U1058,'Material routes'!$A$6:$A$2205,0)),"MISSING ID")</x:f>
        <x:v>Crafting components</x:v>
      </x:c>
      <x:c r="E1058" s="4" t="str">
        <x:f>IFERROR(INDEX('Material routes'!$C$6:$C$2205,MATCH(U1058,'Material routes'!$A$6:$A$2205,0)),"MISSING ID")</x:f>
        <x:v>Ingredient candidate</x:v>
      </x:c>
      <x:c r="F1058" s="4" t="str">
        <x:f>IFERROR(INDEX('Material routes'!$E$6:$E$2205,MATCH(V1058,'Material routes'!$A$6:$A$2205,0)),"MISSING ID")</x:f>
        <x:v>Elaborate fur wear</x:v>
      </x:c>
      <x:c r="G1058" s="4" t="str">
        <x:f>IFERROR(INDEX('Material routes'!$F$6:$F$2205,MATCH(V1058,'Material routes'!$A$6:$A$2205,0)),"MISSING ID")</x:f>
        <x:v>Not applicable</x:v>
      </x:c>
      <x:c r="H1058" s="4" t="str">
        <x:f>IFERROR(INDEX('Material routes'!$H$6:$H$2205,MATCH(V1058,'Material routes'!$A$6:$A$2205,0)),"MISSING ID")</x:f>
        <x:v>Wearable</x:v>
      </x:c>
      <x:c r="I1058" s="4" t="str">
        <x:f>IFERROR(INDEX('Material routes'!$G$6:$G$2205,MATCH(V1058,'Material routes'!$A$6:$A$2205,0)),"MISSING ID")</x:f>
        <x:v>Clothing</x:v>
      </x:c>
      <x:c r="J1058" s="4" t="str">
        <x:f>IFERROR(INDEX('Material routes'!$B$6:$B$2205,MATCH(U1058,'Material routes'!$A$6:$A$2205,0)),"MISSING ID")</x:f>
        <x:v>design.audit.proposal_fashion_fur_garment</x:v>
      </x:c>
      <x:c r="K1058" s="4" t="str">
        <x:f>IFERROR(INDEX('Crafting recipes'!$C$6:$C$1005,MATCH(J1058,'Crafting recipes'!$A$6:$A$1005,0)),"MISSING ID")</x:f>
        <x:v>Finished-item crafting</x:v>
      </x:c>
      <x:c r="L1058" s="4" t="str">
        <x:f>IFERROR(INDEX('Material routes'!$K$6:$K$2205,MATCH(U1058,'Material routes'!$A$6:$A$2205,0)),"MISSING ID")</x:f>
        <x:v>Proposal</x:v>
      </x:c>
      <x:c r="M1058" s="4" t="str">
        <x:f>IFERROR(INDEX('Material routes'!$M$6:$M$2205,MATCH(U1058,'Material routes'!$A$6:$A$2205,0)),"MISSING ID")</x:f>
        <x:v>Partial proposal</x:v>
      </x:c>
      <x:c r="N1058" s="4"/>
      <x:c r="O1058" s="4" t="str">
        <x:f>IFERROR(INDEX('Material routes'!$J$6:$J$2205,MATCH(U1058,'Material routes'!$A$6:$A$2205,0)),"MISSING ID")</x:f>
        <x:v>Unspecified</x:v>
      </x:c>
      <x:c r="P1058" s="4"/>
      <x:c r="Q1058" s="4" t="str">
        <x:f>IFERROR(INDEX('Material routes'!$J$6:$J$2205,MATCH(V1058,'Material routes'!$A$6:$A$2205,0)),"MISSING ID")</x:f>
        <x:v>Unspecified</x:v>
      </x:c>
      <x:c r="R1058" s="4" t="str">
        <x:f>IF(L1058="Withheld","Withheld premise",IF(E1058="Tool candidate","Reusable prerequisite",IF(K1058="Raw entry preparation","Entry-resource preparation",IF(G1058="Not applicable",IF(IFERROR(INDEX('Items'!$AI$6:$AI$1005,MATCH(T1058,'Items'!$A$6:$A$1005,0)),"MISSING ID")="Finished item","Finished endpoint",IF(IFERROR(INDEX('Items'!$AI$6:$AI$1005,MATCH(T1058,'Items'!$A$6:$A$1005,0)),"MISSING ID")="Currency","Currency / no refinement tier","Recovered output / tier not applicable")),IF(OR(IFERROR(INDEX('Crafting recipes'!$H$6:$H$1005,MATCH(J1058,'Crafting recipes'!$A$6:$A$1005,0)),"MISSING ID")="Unassigned",G1058="Unassigned"),"Tier unresolved",IF(IFERROR(VALUE(RIGHT(G1058,1))-VALUE(RIGHT(IFERROR(INDEX('Crafting recipes'!$H$6:$H$1005,MATCH(J1058,'Crafting recipes'!$A$6:$A$1005,0)),"MISSING ID"),1)),0)=1,IF(B1058=IFERROR(INDEX('Crafting recipes'!$H$6:$H$1005,MATCH(J1058,'Crafting recipes'!$A$6:$A$1005,0)),"MISSING ID"),"Advances one material tier","Lower-tier ingredient; route advances one tier"),"Needs tier review"))))))</x:f>
        <x:v>Finished endpoint</x:v>
      </x:c>
      <x:c r="S1058" s="4" t="str">
        <x:f>IFERROR(INDEX('Material routes'!$D$6:$D$2205,MATCH(U1058,'Material routes'!$A$6:$A$2205,0)),"MISSING ID")</x:f>
        <x:v>proposal.bio.liner</x:v>
      </x:c>
      <x:c r="T1058" s="4" t="str">
        <x:f>IFERROR(INDEX('Material routes'!$D$6:$D$2205,MATCH(V1058,'Material routes'!$A$6:$A$2205,0)),"MISSING ID")</x:f>
        <x:v>proposal.fashion.fur_garment</x:v>
      </x:c>
      <x:c r="U1058" s="4" t="str">
        <x:v>design.audit.proposal_fashion_fur_garment.audit.in.1</x:v>
      </x:c>
      <x:c r="V1058" s="4" t="str">
        <x:v>design.audit.proposal_fashion_fur_garment.audit.out</x:v>
      </x:c>
    </x:row>
    <x:row r="1059" ht="64" customHeight="1">
      <x:c r="A1059" s="4" t="str">
        <x:f>IFERROR(INDEX('Material routes'!$E$6:$E$2205,MATCH(U1059,'Material routes'!$A$6:$A$2205,0)),"MISSING ID")</x:f>
        <x:v>Pressed hide fastening strips</x:v>
      </x:c>
      <x:c r="B1059" s="4" t="str">
        <x:f>IFERROR(INDEX('Material routes'!$F$6:$F$2205,MATCH(U1059,'Material routes'!$A$6:$A$2205,0)),"MISSING ID")</x:f>
        <x:v>T2</x:v>
      </x:c>
      <x:c r="C1059" s="4" t="str">
        <x:f>IFERROR(INDEX('Material routes'!$H$6:$H$2205,MATCH(U1059,'Material routes'!$A$6:$A$2205,0)),"MISSING ID")</x:f>
        <x:v>Processed material</x:v>
      </x:c>
      <x:c r="D1059" s="4" t="str">
        <x:f>IFERROR(INDEX('Material routes'!$G$6:$G$2205,MATCH(U1059,'Material routes'!$A$6:$A$2205,0)),"MISSING ID")</x:f>
        <x:v>Manufactured stock</x:v>
      </x:c>
      <x:c r="E1059" s="4" t="str">
        <x:f>IFERROR(INDEX('Material routes'!$C$6:$C$2205,MATCH(U1059,'Material routes'!$A$6:$A$2205,0)),"MISSING ID")</x:f>
        <x:v>Ingredient candidate</x:v>
      </x:c>
      <x:c r="F1059" s="4" t="str">
        <x:f>IFERROR(INDEX('Material routes'!$E$6:$E$2205,MATCH(V1059,'Material routes'!$A$6:$A$2205,0)),"MISSING ID")</x:f>
        <x:v>Elaborate fur wear</x:v>
      </x:c>
      <x:c r="G1059" s="4" t="str">
        <x:f>IFERROR(INDEX('Material routes'!$F$6:$F$2205,MATCH(V1059,'Material routes'!$A$6:$A$2205,0)),"MISSING ID")</x:f>
        <x:v>Not applicable</x:v>
      </x:c>
      <x:c r="H1059" s="4" t="str">
        <x:f>IFERROR(INDEX('Material routes'!$H$6:$H$2205,MATCH(V1059,'Material routes'!$A$6:$A$2205,0)),"MISSING ID")</x:f>
        <x:v>Wearable</x:v>
      </x:c>
      <x:c r="I1059" s="4" t="str">
        <x:f>IFERROR(INDEX('Material routes'!$G$6:$G$2205,MATCH(V1059,'Material routes'!$A$6:$A$2205,0)),"MISSING ID")</x:f>
        <x:v>Clothing</x:v>
      </x:c>
      <x:c r="J1059" s="4" t="str">
        <x:f>IFERROR(INDEX('Material routes'!$B$6:$B$2205,MATCH(U1059,'Material routes'!$A$6:$A$2205,0)),"MISSING ID")</x:f>
        <x:v>design.audit.proposal_fashion_fur_garment</x:v>
      </x:c>
      <x:c r="K1059" s="4" t="str">
        <x:f>IFERROR(INDEX('Crafting recipes'!$C$6:$C$1005,MATCH(J1059,'Crafting recipes'!$A$6:$A$1005,0)),"MISSING ID")</x:f>
        <x:v>Finished-item crafting</x:v>
      </x:c>
      <x:c r="L1059" s="4" t="str">
        <x:f>IFERROR(INDEX('Material routes'!$K$6:$K$2205,MATCH(U1059,'Material routes'!$A$6:$A$2205,0)),"MISSING ID")</x:f>
        <x:v>Proposal</x:v>
      </x:c>
      <x:c r="M1059" s="4" t="str">
        <x:f>IFERROR(INDEX('Material routes'!$M$6:$M$2205,MATCH(U1059,'Material routes'!$A$6:$A$2205,0)),"MISSING ID")</x:f>
        <x:v>Partial proposal</x:v>
      </x:c>
      <x:c r="N1059" s="4"/>
      <x:c r="O1059" s="4" t="str">
        <x:f>IFERROR(INDEX('Material routes'!$J$6:$J$2205,MATCH(U1059,'Material routes'!$A$6:$A$2205,0)),"MISSING ID")</x:f>
        <x:v>Unspecified</x:v>
      </x:c>
      <x:c r="P1059" s="4"/>
      <x:c r="Q1059" s="4" t="str">
        <x:f>IFERROR(INDEX('Material routes'!$J$6:$J$2205,MATCH(V1059,'Material routes'!$A$6:$A$2205,0)),"MISSING ID")</x:f>
        <x:v>Unspecified</x:v>
      </x:c>
      <x:c r="R1059" s="4" t="str">
        <x:f>IF(L1059="Withheld","Withheld premise",IF(E1059="Tool candidate","Reusable prerequisite",IF(K1059="Raw entry preparation","Entry-resource preparation",IF(G1059="Not applicable",IF(IFERROR(INDEX('Items'!$AI$6:$AI$1005,MATCH(T1059,'Items'!$A$6:$A$1005,0)),"MISSING ID")="Finished item","Finished endpoint",IF(IFERROR(INDEX('Items'!$AI$6:$AI$1005,MATCH(T1059,'Items'!$A$6:$A$1005,0)),"MISSING ID")="Currency","Currency / no refinement tier","Recovered output / tier not applicable")),IF(OR(IFERROR(INDEX('Crafting recipes'!$H$6:$H$1005,MATCH(J1059,'Crafting recipes'!$A$6:$A$1005,0)),"MISSING ID")="Unassigned",G1059="Unassigned"),"Tier unresolved",IF(IFERROR(VALUE(RIGHT(G1059,1))-VALUE(RIGHT(IFERROR(INDEX('Crafting recipes'!$H$6:$H$1005,MATCH(J1059,'Crafting recipes'!$A$6:$A$1005,0)),"MISSING ID"),1)),0)=1,IF(B1059=IFERROR(INDEX('Crafting recipes'!$H$6:$H$1005,MATCH(J1059,'Crafting recipes'!$A$6:$A$1005,0)),"MISSING ID"),"Advances one material tier","Lower-tier ingredient; route advances one tier"),"Needs tier review"))))))</x:f>
        <x:v>Finished endpoint</x:v>
      </x:c>
      <x:c r="S1059" s="4" t="str">
        <x:f>IFERROR(INDEX('Material routes'!$D$6:$D$2205,MATCH(U1059,'Material routes'!$A$6:$A$2205,0)),"MISSING ID")</x:f>
        <x:v>proposal.audit.pressed_hide_fastening_strips</x:v>
      </x:c>
      <x:c r="T1059" s="4" t="str">
        <x:f>IFERROR(INDEX('Material routes'!$D$6:$D$2205,MATCH(V1059,'Material routes'!$A$6:$A$2205,0)),"MISSING ID")</x:f>
        <x:v>proposal.fashion.fur_garment</x:v>
      </x:c>
      <x:c r="U1059" s="4" t="str">
        <x:v>design.audit.proposal_fashion_fur_garment.audit.in.2</x:v>
      </x:c>
      <x:c r="V1059" s="4" t="str">
        <x:v>design.audit.proposal_fashion_fur_garment.audit.out</x:v>
      </x:c>
    </x:row>
    <x:row r="1060" ht="64" customHeight="1">
      <x:c r="A1060" s="4" t="str">
        <x:f>IFERROR(INDEX('Material routes'!$E$6:$E$2205,MATCH(U1060,'Material routes'!$A$6:$A$2205,0)),"MISSING ID")</x:f>
        <x:v>Layered ceremonial inlay stock</x:v>
      </x:c>
      <x:c r="B1060" s="4" t="str">
        <x:f>IFERROR(INDEX('Material routes'!$F$6:$F$2205,MATCH(U1060,'Material routes'!$A$6:$A$2205,0)),"MISSING ID")</x:f>
        <x:v>T4</x:v>
      </x:c>
      <x:c r="C1060" s="4" t="str">
        <x:f>IFERROR(INDEX('Material routes'!$H$6:$H$2205,MATCH(U1060,'Material routes'!$A$6:$A$2205,0)),"MISSING ID")</x:f>
        <x:v>Processed material</x:v>
      </x:c>
      <x:c r="D1060" s="4" t="str">
        <x:f>IFERROR(INDEX('Material routes'!$G$6:$G$2205,MATCH(U1060,'Material routes'!$A$6:$A$2205,0)),"MISSING ID")</x:f>
        <x:v>Manufactured stock</x:v>
      </x:c>
      <x:c r="E1060" s="4" t="str">
        <x:f>IFERROR(INDEX('Material routes'!$C$6:$C$2205,MATCH(U1060,'Material routes'!$A$6:$A$2205,0)),"MISSING ID")</x:f>
        <x:v>Ingredient candidate</x:v>
      </x:c>
      <x:c r="F1060" s="4" t="str">
        <x:f>IFERROR(INDEX('Material routes'!$E$6:$E$2205,MATCH(V1060,'Material routes'!$A$6:$A$2205,0)),"MISSING ID")</x:f>
        <x:v>Elaborate fur wear</x:v>
      </x:c>
      <x:c r="G1060" s="4" t="str">
        <x:f>IFERROR(INDEX('Material routes'!$F$6:$F$2205,MATCH(V1060,'Material routes'!$A$6:$A$2205,0)),"MISSING ID")</x:f>
        <x:v>Not applicable</x:v>
      </x:c>
      <x:c r="H1060" s="4" t="str">
        <x:f>IFERROR(INDEX('Material routes'!$H$6:$H$2205,MATCH(V1060,'Material routes'!$A$6:$A$2205,0)),"MISSING ID")</x:f>
        <x:v>Wearable</x:v>
      </x:c>
      <x:c r="I1060" s="4" t="str">
        <x:f>IFERROR(INDEX('Material routes'!$G$6:$G$2205,MATCH(V1060,'Material routes'!$A$6:$A$2205,0)),"MISSING ID")</x:f>
        <x:v>Clothing</x:v>
      </x:c>
      <x:c r="J1060" s="4" t="str">
        <x:f>IFERROR(INDEX('Material routes'!$B$6:$B$2205,MATCH(U1060,'Material routes'!$A$6:$A$2205,0)),"MISSING ID")</x:f>
        <x:v>design.audit.proposal_fashion_fur_garment</x:v>
      </x:c>
      <x:c r="K1060" s="4" t="str">
        <x:f>IFERROR(INDEX('Crafting recipes'!$C$6:$C$1005,MATCH(J1060,'Crafting recipes'!$A$6:$A$1005,0)),"MISSING ID")</x:f>
        <x:v>Finished-item crafting</x:v>
      </x:c>
      <x:c r="L1060" s="4" t="str">
        <x:f>IFERROR(INDEX('Material routes'!$K$6:$K$2205,MATCH(U1060,'Material routes'!$A$6:$A$2205,0)),"MISSING ID")</x:f>
        <x:v>Proposal</x:v>
      </x:c>
      <x:c r="M1060" s="4" t="str">
        <x:f>IFERROR(INDEX('Material routes'!$M$6:$M$2205,MATCH(U1060,'Material routes'!$A$6:$A$2205,0)),"MISSING ID")</x:f>
        <x:v>Partial proposal</x:v>
      </x:c>
      <x:c r="N1060" s="4"/>
      <x:c r="O1060" s="4" t="str">
        <x:f>IFERROR(INDEX('Material routes'!$J$6:$J$2205,MATCH(U1060,'Material routes'!$A$6:$A$2205,0)),"MISSING ID")</x:f>
        <x:v>Unspecified</x:v>
      </x:c>
      <x:c r="P1060" s="4"/>
      <x:c r="Q1060" s="4" t="str">
        <x:f>IFERROR(INDEX('Material routes'!$J$6:$J$2205,MATCH(V1060,'Material routes'!$A$6:$A$2205,0)),"MISSING ID")</x:f>
        <x:v>Unspecified</x:v>
      </x:c>
      <x:c r="R1060" s="4" t="str">
        <x:f>IF(L1060="Withheld","Withheld premise",IF(E1060="Tool candidate","Reusable prerequisite",IF(K1060="Raw entry preparation","Entry-resource preparation",IF(G1060="Not applicable",IF(IFERROR(INDEX('Items'!$AI$6:$AI$1005,MATCH(T1060,'Items'!$A$6:$A$1005,0)),"MISSING ID")="Finished item","Finished endpoint",IF(IFERROR(INDEX('Items'!$AI$6:$AI$1005,MATCH(T1060,'Items'!$A$6:$A$1005,0)),"MISSING ID")="Currency","Currency / no refinement tier","Recovered output / tier not applicable")),IF(OR(IFERROR(INDEX('Crafting recipes'!$H$6:$H$1005,MATCH(J1060,'Crafting recipes'!$A$6:$A$1005,0)),"MISSING ID")="Unassigned",G1060="Unassigned"),"Tier unresolved",IF(IFERROR(VALUE(RIGHT(G1060,1))-VALUE(RIGHT(IFERROR(INDEX('Crafting recipes'!$H$6:$H$1005,MATCH(J1060,'Crafting recipes'!$A$6:$A$1005,0)),"MISSING ID"),1)),0)=1,IF(B1060=IFERROR(INDEX('Crafting recipes'!$H$6:$H$1005,MATCH(J1060,'Crafting recipes'!$A$6:$A$1005,0)),"MISSING ID"),"Advances one material tier","Lower-tier ingredient; route advances one tier"),"Needs tier review"))))))</x:f>
        <x:v>Finished endpoint</x:v>
      </x:c>
      <x:c r="S1060" s="4" t="str">
        <x:f>IFERROR(INDEX('Material routes'!$D$6:$D$2205,MATCH(U1060,'Material routes'!$A$6:$A$2205,0)),"MISSING ID")</x:f>
        <x:v>proposal.t4.decorative_veneer</x:v>
      </x:c>
      <x:c r="T1060" s="4" t="str">
        <x:f>IFERROR(INDEX('Material routes'!$D$6:$D$2205,MATCH(V1060,'Material routes'!$A$6:$A$2205,0)),"MISSING ID")</x:f>
        <x:v>proposal.fashion.fur_garment</x:v>
      </x:c>
      <x:c r="U1060" s="4" t="str">
        <x:v>design.audit.proposal_fashion_fur_garment.audit.in.3</x:v>
      </x:c>
      <x:c r="V1060" s="4" t="str">
        <x:v>design.audit.proposal_fashion_fur_garment.audit.out</x:v>
      </x:c>
    </x:row>
    <x:row r="1061" ht="64" customHeight="1">
      <x:c r="A1061" s="4" t="str">
        <x:f>IFERROR(INDEX('Material routes'!$E$6:$E$2205,MATCH(U1061,'Material routes'!$A$6:$A$2205,0)),"MISSING ID")</x:f>
        <x:v>Processed hide material</x:v>
      </x:c>
      <x:c r="B1061" s="4" t="str">
        <x:f>IFERROR(INDEX('Material routes'!$F$6:$F$2205,MATCH(U1061,'Material routes'!$A$6:$A$2205,0)),"MISSING ID")</x:f>
        <x:v>T1</x:v>
      </x:c>
      <x:c r="C1061" s="4" t="str">
        <x:f>IFERROR(INDEX('Material routes'!$H$6:$H$2205,MATCH(U1061,'Material routes'!$A$6:$A$2205,0)),"MISSING ID")</x:f>
        <x:v>Processed material</x:v>
      </x:c>
      <x:c r="D1061" s="4" t="str">
        <x:f>IFERROR(INDEX('Material routes'!$G$6:$G$2205,MATCH(U1061,'Material routes'!$A$6:$A$2205,0)),"MISSING ID")</x:f>
        <x:v>Crafting components</x:v>
      </x:c>
      <x:c r="E1061" s="4" t="str">
        <x:f>IFERROR(INDEX('Material routes'!$C$6:$C$2205,MATCH(U1061,'Material routes'!$A$6:$A$2205,0)),"MISSING ID")</x:f>
        <x:v>Ingredient candidate</x:v>
      </x:c>
      <x:c r="F1061" s="4" t="str">
        <x:f>IFERROR(INDEX('Material routes'!$E$6:$E$2205,MATCH(V1061,'Material routes'!$A$6:$A$2205,0)),"MISSING ID")</x:f>
        <x:v>Elaborate hide wear</x:v>
      </x:c>
      <x:c r="G1061" s="4" t="str">
        <x:f>IFERROR(INDEX('Material routes'!$F$6:$F$2205,MATCH(V1061,'Material routes'!$A$6:$A$2205,0)),"MISSING ID")</x:f>
        <x:v>Not applicable</x:v>
      </x:c>
      <x:c r="H1061" s="4" t="str">
        <x:f>IFERROR(INDEX('Material routes'!$H$6:$H$2205,MATCH(V1061,'Material routes'!$A$6:$A$2205,0)),"MISSING ID")</x:f>
        <x:v>Wearable</x:v>
      </x:c>
      <x:c r="I1061" s="4" t="str">
        <x:f>IFERROR(INDEX('Material routes'!$G$6:$G$2205,MATCH(V1061,'Material routes'!$A$6:$A$2205,0)),"MISSING ID")</x:f>
        <x:v>Clothing</x:v>
      </x:c>
      <x:c r="J1061" s="4" t="str">
        <x:f>IFERROR(INDEX('Material routes'!$B$6:$B$2205,MATCH(U1061,'Material routes'!$A$6:$A$2205,0)),"MISSING ID")</x:f>
        <x:v>design.audit.proposal_fashion_hide_garment</x:v>
      </x:c>
      <x:c r="K1061" s="4" t="str">
        <x:f>IFERROR(INDEX('Crafting recipes'!$C$6:$C$1005,MATCH(J1061,'Crafting recipes'!$A$6:$A$1005,0)),"MISSING ID")</x:f>
        <x:v>Finished-item crafting</x:v>
      </x:c>
      <x:c r="L1061" s="4" t="str">
        <x:f>IFERROR(INDEX('Material routes'!$K$6:$K$2205,MATCH(U1061,'Material routes'!$A$6:$A$2205,0)),"MISSING ID")</x:f>
        <x:v>Proposal</x:v>
      </x:c>
      <x:c r="M1061" s="4" t="str">
        <x:f>IFERROR(INDEX('Material routes'!$M$6:$M$2205,MATCH(U1061,'Material routes'!$A$6:$A$2205,0)),"MISSING ID")</x:f>
        <x:v>Partial proposal</x:v>
      </x:c>
      <x:c r="N1061" s="4"/>
      <x:c r="O1061" s="4" t="str">
        <x:f>IFERROR(INDEX('Material routes'!$J$6:$J$2205,MATCH(U1061,'Material routes'!$A$6:$A$2205,0)),"MISSING ID")</x:f>
        <x:v>Unspecified</x:v>
      </x:c>
      <x:c r="P1061" s="4"/>
      <x:c r="Q1061" s="4" t="str">
        <x:f>IFERROR(INDEX('Material routes'!$J$6:$J$2205,MATCH(V1061,'Material routes'!$A$6:$A$2205,0)),"MISSING ID")</x:f>
        <x:v>Unspecified</x:v>
      </x:c>
      <x:c r="R1061" s="4" t="str">
        <x:f>IF(L1061="Withheld","Withheld premise",IF(E1061="Tool candidate","Reusable prerequisite",IF(K1061="Raw entry preparation","Entry-resource preparation",IF(G1061="Not applicable",IF(IFERROR(INDEX('Items'!$AI$6:$AI$1005,MATCH(T1061,'Items'!$A$6:$A$1005,0)),"MISSING ID")="Finished item","Finished endpoint",IF(IFERROR(INDEX('Items'!$AI$6:$AI$1005,MATCH(T1061,'Items'!$A$6:$A$1005,0)),"MISSING ID")="Currency","Currency / no refinement tier","Recovered output / tier not applicable")),IF(OR(IFERROR(INDEX('Crafting recipes'!$H$6:$H$1005,MATCH(J1061,'Crafting recipes'!$A$6:$A$1005,0)),"MISSING ID")="Unassigned",G1061="Unassigned"),"Tier unresolved",IF(IFERROR(VALUE(RIGHT(G1061,1))-VALUE(RIGHT(IFERROR(INDEX('Crafting recipes'!$H$6:$H$1005,MATCH(J1061,'Crafting recipes'!$A$6:$A$1005,0)),"MISSING ID"),1)),0)=1,IF(B1061=IFERROR(INDEX('Crafting recipes'!$H$6:$H$1005,MATCH(J1061,'Crafting recipes'!$A$6:$A$1005,0)),"MISSING ID"),"Advances one material tier","Lower-tier ingredient; route advances one tier"),"Needs tier review"))))))</x:f>
        <x:v>Finished endpoint</x:v>
      </x:c>
      <x:c r="S1061" s="4" t="str">
        <x:f>IFERROR(INDEX('Material routes'!$D$6:$D$2205,MATCH(U1061,'Material routes'!$A$6:$A$2205,0)),"MISSING ID")</x:f>
        <x:v>proposal.bio.hide_material</x:v>
      </x:c>
      <x:c r="T1061" s="4" t="str">
        <x:f>IFERROR(INDEX('Material routes'!$D$6:$D$2205,MATCH(V1061,'Material routes'!$A$6:$A$2205,0)),"MISSING ID")</x:f>
        <x:v>proposal.fashion.hide_garment</x:v>
      </x:c>
      <x:c r="U1061" s="4" t="str">
        <x:v>design.audit.proposal_fashion_hide_garment.audit.in.1</x:v>
      </x:c>
      <x:c r="V1061" s="4" t="str">
        <x:v>design.audit.proposal_fashion_hide_garment.audit.out</x:v>
      </x:c>
    </x:row>
    <x:row r="1062" ht="64" customHeight="1">
      <x:c r="A1062" s="4" t="str">
        <x:f>IFERROR(INDEX('Material routes'!$E$6:$E$2205,MATCH(U1062,'Material routes'!$A$6:$A$2205,0)),"MISSING ID")</x:f>
        <x:v>Pressed hide fastening strips</x:v>
      </x:c>
      <x:c r="B1062" s="4" t="str">
        <x:f>IFERROR(INDEX('Material routes'!$F$6:$F$2205,MATCH(U1062,'Material routes'!$A$6:$A$2205,0)),"MISSING ID")</x:f>
        <x:v>T2</x:v>
      </x:c>
      <x:c r="C1062" s="4" t="str">
        <x:f>IFERROR(INDEX('Material routes'!$H$6:$H$2205,MATCH(U1062,'Material routes'!$A$6:$A$2205,0)),"MISSING ID")</x:f>
        <x:v>Processed material</x:v>
      </x:c>
      <x:c r="D1062" s="4" t="str">
        <x:f>IFERROR(INDEX('Material routes'!$G$6:$G$2205,MATCH(U1062,'Material routes'!$A$6:$A$2205,0)),"MISSING ID")</x:f>
        <x:v>Manufactured stock</x:v>
      </x:c>
      <x:c r="E1062" s="4" t="str">
        <x:f>IFERROR(INDEX('Material routes'!$C$6:$C$2205,MATCH(U1062,'Material routes'!$A$6:$A$2205,0)),"MISSING ID")</x:f>
        <x:v>Ingredient candidate</x:v>
      </x:c>
      <x:c r="F1062" s="4" t="str">
        <x:f>IFERROR(INDEX('Material routes'!$E$6:$E$2205,MATCH(V1062,'Material routes'!$A$6:$A$2205,0)),"MISSING ID")</x:f>
        <x:v>Elaborate hide wear</x:v>
      </x:c>
      <x:c r="G1062" s="4" t="str">
        <x:f>IFERROR(INDEX('Material routes'!$F$6:$F$2205,MATCH(V1062,'Material routes'!$A$6:$A$2205,0)),"MISSING ID")</x:f>
        <x:v>Not applicable</x:v>
      </x:c>
      <x:c r="H1062" s="4" t="str">
        <x:f>IFERROR(INDEX('Material routes'!$H$6:$H$2205,MATCH(V1062,'Material routes'!$A$6:$A$2205,0)),"MISSING ID")</x:f>
        <x:v>Wearable</x:v>
      </x:c>
      <x:c r="I1062" s="4" t="str">
        <x:f>IFERROR(INDEX('Material routes'!$G$6:$G$2205,MATCH(V1062,'Material routes'!$A$6:$A$2205,0)),"MISSING ID")</x:f>
        <x:v>Clothing</x:v>
      </x:c>
      <x:c r="J1062" s="4" t="str">
        <x:f>IFERROR(INDEX('Material routes'!$B$6:$B$2205,MATCH(U1062,'Material routes'!$A$6:$A$2205,0)),"MISSING ID")</x:f>
        <x:v>design.audit.proposal_fashion_hide_garment</x:v>
      </x:c>
      <x:c r="K1062" s="4" t="str">
        <x:f>IFERROR(INDEX('Crafting recipes'!$C$6:$C$1005,MATCH(J1062,'Crafting recipes'!$A$6:$A$1005,0)),"MISSING ID")</x:f>
        <x:v>Finished-item crafting</x:v>
      </x:c>
      <x:c r="L1062" s="4" t="str">
        <x:f>IFERROR(INDEX('Material routes'!$K$6:$K$2205,MATCH(U1062,'Material routes'!$A$6:$A$2205,0)),"MISSING ID")</x:f>
        <x:v>Proposal</x:v>
      </x:c>
      <x:c r="M1062" s="4" t="str">
        <x:f>IFERROR(INDEX('Material routes'!$M$6:$M$2205,MATCH(U1062,'Material routes'!$A$6:$A$2205,0)),"MISSING ID")</x:f>
        <x:v>Partial proposal</x:v>
      </x:c>
      <x:c r="N1062" s="4"/>
      <x:c r="O1062" s="4" t="str">
        <x:f>IFERROR(INDEX('Material routes'!$J$6:$J$2205,MATCH(U1062,'Material routes'!$A$6:$A$2205,0)),"MISSING ID")</x:f>
        <x:v>Unspecified</x:v>
      </x:c>
      <x:c r="P1062" s="4"/>
      <x:c r="Q1062" s="4" t="str">
        <x:f>IFERROR(INDEX('Material routes'!$J$6:$J$2205,MATCH(V1062,'Material routes'!$A$6:$A$2205,0)),"MISSING ID")</x:f>
        <x:v>Unspecified</x:v>
      </x:c>
      <x:c r="R1062" s="4" t="str">
        <x:f>IF(L1062="Withheld","Withheld premise",IF(E1062="Tool candidate","Reusable prerequisite",IF(K1062="Raw entry preparation","Entry-resource preparation",IF(G1062="Not applicable",IF(IFERROR(INDEX('Items'!$AI$6:$AI$1005,MATCH(T1062,'Items'!$A$6:$A$1005,0)),"MISSING ID")="Finished item","Finished endpoint",IF(IFERROR(INDEX('Items'!$AI$6:$AI$1005,MATCH(T1062,'Items'!$A$6:$A$1005,0)),"MISSING ID")="Currency","Currency / no refinement tier","Recovered output / tier not applicable")),IF(OR(IFERROR(INDEX('Crafting recipes'!$H$6:$H$1005,MATCH(J1062,'Crafting recipes'!$A$6:$A$1005,0)),"MISSING ID")="Unassigned",G1062="Unassigned"),"Tier unresolved",IF(IFERROR(VALUE(RIGHT(G1062,1))-VALUE(RIGHT(IFERROR(INDEX('Crafting recipes'!$H$6:$H$1005,MATCH(J1062,'Crafting recipes'!$A$6:$A$1005,0)),"MISSING ID"),1)),0)=1,IF(B1062=IFERROR(INDEX('Crafting recipes'!$H$6:$H$1005,MATCH(J1062,'Crafting recipes'!$A$6:$A$1005,0)),"MISSING ID"),"Advances one material tier","Lower-tier ingredient; route advances one tier"),"Needs tier review"))))))</x:f>
        <x:v>Finished endpoint</x:v>
      </x:c>
      <x:c r="S1062" s="4" t="str">
        <x:f>IFERROR(INDEX('Material routes'!$D$6:$D$2205,MATCH(U1062,'Material routes'!$A$6:$A$2205,0)),"MISSING ID")</x:f>
        <x:v>proposal.audit.pressed_hide_fastening_strips</x:v>
      </x:c>
      <x:c r="T1062" s="4" t="str">
        <x:f>IFERROR(INDEX('Material routes'!$D$6:$D$2205,MATCH(V1062,'Material routes'!$A$6:$A$2205,0)),"MISSING ID")</x:f>
        <x:v>proposal.fashion.hide_garment</x:v>
      </x:c>
      <x:c r="U1062" s="4" t="str">
        <x:v>design.audit.proposal_fashion_hide_garment.audit.in.2</x:v>
      </x:c>
      <x:c r="V1062" s="4" t="str">
        <x:v>design.audit.proposal_fashion_hide_garment.audit.out</x:v>
      </x:c>
    </x:row>
    <x:row r="1063" ht="64" customHeight="1">
      <x:c r="A1063" s="4" t="str">
        <x:f>IFERROR(INDEX('Material routes'!$E$6:$E$2205,MATCH(U1063,'Material routes'!$A$6:$A$2205,0)),"MISSING ID")</x:f>
        <x:v>Layered ceremonial inlay stock</x:v>
      </x:c>
      <x:c r="B1063" s="4" t="str">
        <x:f>IFERROR(INDEX('Material routes'!$F$6:$F$2205,MATCH(U1063,'Material routes'!$A$6:$A$2205,0)),"MISSING ID")</x:f>
        <x:v>T4</x:v>
      </x:c>
      <x:c r="C1063" s="4" t="str">
        <x:f>IFERROR(INDEX('Material routes'!$H$6:$H$2205,MATCH(U1063,'Material routes'!$A$6:$A$2205,0)),"MISSING ID")</x:f>
        <x:v>Processed material</x:v>
      </x:c>
      <x:c r="D1063" s="4" t="str">
        <x:f>IFERROR(INDEX('Material routes'!$G$6:$G$2205,MATCH(U1063,'Material routes'!$A$6:$A$2205,0)),"MISSING ID")</x:f>
        <x:v>Manufactured stock</x:v>
      </x:c>
      <x:c r="E1063" s="4" t="str">
        <x:f>IFERROR(INDEX('Material routes'!$C$6:$C$2205,MATCH(U1063,'Material routes'!$A$6:$A$2205,0)),"MISSING ID")</x:f>
        <x:v>Ingredient candidate</x:v>
      </x:c>
      <x:c r="F1063" s="4" t="str">
        <x:f>IFERROR(INDEX('Material routes'!$E$6:$E$2205,MATCH(V1063,'Material routes'!$A$6:$A$2205,0)),"MISSING ID")</x:f>
        <x:v>Elaborate hide wear</x:v>
      </x:c>
      <x:c r="G1063" s="4" t="str">
        <x:f>IFERROR(INDEX('Material routes'!$F$6:$F$2205,MATCH(V1063,'Material routes'!$A$6:$A$2205,0)),"MISSING ID")</x:f>
        <x:v>Not applicable</x:v>
      </x:c>
      <x:c r="H1063" s="4" t="str">
        <x:f>IFERROR(INDEX('Material routes'!$H$6:$H$2205,MATCH(V1063,'Material routes'!$A$6:$A$2205,0)),"MISSING ID")</x:f>
        <x:v>Wearable</x:v>
      </x:c>
      <x:c r="I1063" s="4" t="str">
        <x:f>IFERROR(INDEX('Material routes'!$G$6:$G$2205,MATCH(V1063,'Material routes'!$A$6:$A$2205,0)),"MISSING ID")</x:f>
        <x:v>Clothing</x:v>
      </x:c>
      <x:c r="J1063" s="4" t="str">
        <x:f>IFERROR(INDEX('Material routes'!$B$6:$B$2205,MATCH(U1063,'Material routes'!$A$6:$A$2205,0)),"MISSING ID")</x:f>
        <x:v>design.audit.proposal_fashion_hide_garment</x:v>
      </x:c>
      <x:c r="K1063" s="4" t="str">
        <x:f>IFERROR(INDEX('Crafting recipes'!$C$6:$C$1005,MATCH(J1063,'Crafting recipes'!$A$6:$A$1005,0)),"MISSING ID")</x:f>
        <x:v>Finished-item crafting</x:v>
      </x:c>
      <x:c r="L1063" s="4" t="str">
        <x:f>IFERROR(INDEX('Material routes'!$K$6:$K$2205,MATCH(U1063,'Material routes'!$A$6:$A$2205,0)),"MISSING ID")</x:f>
        <x:v>Proposal</x:v>
      </x:c>
      <x:c r="M1063" s="4" t="str">
        <x:f>IFERROR(INDEX('Material routes'!$M$6:$M$2205,MATCH(U1063,'Material routes'!$A$6:$A$2205,0)),"MISSING ID")</x:f>
        <x:v>Partial proposal</x:v>
      </x:c>
      <x:c r="N1063" s="4"/>
      <x:c r="O1063" s="4" t="str">
        <x:f>IFERROR(INDEX('Material routes'!$J$6:$J$2205,MATCH(U1063,'Material routes'!$A$6:$A$2205,0)),"MISSING ID")</x:f>
        <x:v>Unspecified</x:v>
      </x:c>
      <x:c r="P1063" s="4"/>
      <x:c r="Q1063" s="4" t="str">
        <x:f>IFERROR(INDEX('Material routes'!$J$6:$J$2205,MATCH(V1063,'Material routes'!$A$6:$A$2205,0)),"MISSING ID")</x:f>
        <x:v>Unspecified</x:v>
      </x:c>
      <x:c r="R1063" s="4" t="str">
        <x:f>IF(L1063="Withheld","Withheld premise",IF(E1063="Tool candidate","Reusable prerequisite",IF(K1063="Raw entry preparation","Entry-resource preparation",IF(G1063="Not applicable",IF(IFERROR(INDEX('Items'!$AI$6:$AI$1005,MATCH(T1063,'Items'!$A$6:$A$1005,0)),"MISSING ID")="Finished item","Finished endpoint",IF(IFERROR(INDEX('Items'!$AI$6:$AI$1005,MATCH(T1063,'Items'!$A$6:$A$1005,0)),"MISSING ID")="Currency","Currency / no refinement tier","Recovered output / tier not applicable")),IF(OR(IFERROR(INDEX('Crafting recipes'!$H$6:$H$1005,MATCH(J1063,'Crafting recipes'!$A$6:$A$1005,0)),"MISSING ID")="Unassigned",G1063="Unassigned"),"Tier unresolved",IF(IFERROR(VALUE(RIGHT(G1063,1))-VALUE(RIGHT(IFERROR(INDEX('Crafting recipes'!$H$6:$H$1005,MATCH(J1063,'Crafting recipes'!$A$6:$A$1005,0)),"MISSING ID"),1)),0)=1,IF(B1063=IFERROR(INDEX('Crafting recipes'!$H$6:$H$1005,MATCH(J1063,'Crafting recipes'!$A$6:$A$1005,0)),"MISSING ID"),"Advances one material tier","Lower-tier ingredient; route advances one tier"),"Needs tier review"))))))</x:f>
        <x:v>Finished endpoint</x:v>
      </x:c>
      <x:c r="S1063" s="4" t="str">
        <x:f>IFERROR(INDEX('Material routes'!$D$6:$D$2205,MATCH(U1063,'Material routes'!$A$6:$A$2205,0)),"MISSING ID")</x:f>
        <x:v>proposal.t4.decorative_veneer</x:v>
      </x:c>
      <x:c r="T1063" s="4" t="str">
        <x:f>IFERROR(INDEX('Material routes'!$D$6:$D$2205,MATCH(V1063,'Material routes'!$A$6:$A$2205,0)),"MISSING ID")</x:f>
        <x:v>proposal.fashion.hide_garment</x:v>
      </x:c>
      <x:c r="U1063" s="4" t="str">
        <x:v>design.audit.proposal_fashion_hide_garment.audit.in.3</x:v>
      </x:c>
      <x:c r="V1063" s="4" t="str">
        <x:v>design.audit.proposal_fashion_hide_garment.audit.out</x:v>
      </x:c>
    </x:row>
    <x:row r="1064" ht="64" customHeight="1">
      <x:c r="A1064" s="4" t="str">
        <x:f>IFERROR(INDEX('Material routes'!$E$6:$E$2205,MATCH(U1064,'Material routes'!$A$6:$A$2205,0)),"MISSING ID")</x:f>
        <x:v>Pressed husk-fiber textile material</x:v>
      </x:c>
      <x:c r="B1064" s="4" t="str">
        <x:f>IFERROR(INDEX('Material routes'!$F$6:$F$2205,MATCH(U1064,'Material routes'!$A$6:$A$2205,0)),"MISSING ID")</x:f>
        <x:v>T1</x:v>
      </x:c>
      <x:c r="C1064" s="4" t="str">
        <x:f>IFERROR(INDEX('Material routes'!$H$6:$H$2205,MATCH(U1064,'Material routes'!$A$6:$A$2205,0)),"MISSING ID")</x:f>
        <x:v>Processed material</x:v>
      </x:c>
      <x:c r="D1064" s="4" t="str">
        <x:f>IFERROR(INDEX('Material routes'!$G$6:$G$2205,MATCH(U1064,'Material routes'!$A$6:$A$2205,0)),"MISSING ID")</x:f>
        <x:v>Crafting components</x:v>
      </x:c>
      <x:c r="E1064" s="4" t="str">
        <x:f>IFERROR(INDEX('Material routes'!$C$6:$C$2205,MATCH(U1064,'Material routes'!$A$6:$A$2205,0)),"MISSING ID")</x:f>
        <x:v>Ingredient candidate</x:v>
      </x:c>
      <x:c r="F1064" s="4" t="str">
        <x:f>IFERROR(INDEX('Material routes'!$E$6:$E$2205,MATCH(V1064,'Material routes'!$A$6:$A$2205,0)),"MISSING ID")</x:f>
        <x:v>Simple everyday wraps</x:v>
      </x:c>
      <x:c r="G1064" s="4" t="str">
        <x:f>IFERROR(INDEX('Material routes'!$F$6:$F$2205,MATCH(V1064,'Material routes'!$A$6:$A$2205,0)),"MISSING ID")</x:f>
        <x:v>Not applicable</x:v>
      </x:c>
      <x:c r="H1064" s="4" t="str">
        <x:f>IFERROR(INDEX('Material routes'!$H$6:$H$2205,MATCH(V1064,'Material routes'!$A$6:$A$2205,0)),"MISSING ID")</x:f>
        <x:v>Wearable</x:v>
      </x:c>
      <x:c r="I1064" s="4" t="str">
        <x:f>IFERROR(INDEX('Material routes'!$G$6:$G$2205,MATCH(V1064,'Material routes'!$A$6:$A$2205,0)),"MISSING ID")</x:f>
        <x:v>Clothing</x:v>
      </x:c>
      <x:c r="J1064" s="4" t="str">
        <x:f>IFERROR(INDEX('Material routes'!$B$6:$B$2205,MATCH(U1064,'Material routes'!$A$6:$A$2205,0)),"MISSING ID")</x:f>
        <x:v>design.audit.proposal_gear_simple_wraps</x:v>
      </x:c>
      <x:c r="K1064" s="4" t="str">
        <x:f>IFERROR(INDEX('Crafting recipes'!$C$6:$C$1005,MATCH(J1064,'Crafting recipes'!$A$6:$A$1005,0)),"MISSING ID")</x:f>
        <x:v>Finished-item crafting</x:v>
      </x:c>
      <x:c r="L1064" s="4" t="str">
        <x:f>IFERROR(INDEX('Material routes'!$K$6:$K$2205,MATCH(U1064,'Material routes'!$A$6:$A$2205,0)),"MISSING ID")</x:f>
        <x:v>Proposal</x:v>
      </x:c>
      <x:c r="M1064" s="4" t="str">
        <x:f>IFERROR(INDEX('Material routes'!$M$6:$M$2205,MATCH(U1064,'Material routes'!$A$6:$A$2205,0)),"MISSING ID")</x:f>
        <x:v>Partial proposal</x:v>
      </x:c>
      <x:c r="N1064" s="4"/>
      <x:c r="O1064" s="4" t="str">
        <x:f>IFERROR(INDEX('Material routes'!$J$6:$J$2205,MATCH(U1064,'Material routes'!$A$6:$A$2205,0)),"MISSING ID")</x:f>
        <x:v>Unspecified</x:v>
      </x:c>
      <x:c r="P1064" s="4"/>
      <x:c r="Q1064" s="4" t="str">
        <x:f>IFERROR(INDEX('Material routes'!$J$6:$J$2205,MATCH(V1064,'Material routes'!$A$6:$A$2205,0)),"MISSING ID")</x:f>
        <x:v>Unspecified</x:v>
      </x:c>
      <x:c r="R1064" s="4" t="str">
        <x:f>IF(L1064="Withheld","Withheld premise",IF(E1064="Tool candidate","Reusable prerequisite",IF(K1064="Raw entry preparation","Entry-resource preparation",IF(G1064="Not applicable",IF(IFERROR(INDEX('Items'!$AI$6:$AI$1005,MATCH(T1064,'Items'!$A$6:$A$1005,0)),"MISSING ID")="Finished item","Finished endpoint",IF(IFERROR(INDEX('Items'!$AI$6:$AI$1005,MATCH(T1064,'Items'!$A$6:$A$1005,0)),"MISSING ID")="Currency","Currency / no refinement tier","Recovered output / tier not applicable")),IF(OR(IFERROR(INDEX('Crafting recipes'!$H$6:$H$1005,MATCH(J1064,'Crafting recipes'!$A$6:$A$1005,0)),"MISSING ID")="Unassigned",G1064="Unassigned"),"Tier unresolved",IF(IFERROR(VALUE(RIGHT(G1064,1))-VALUE(RIGHT(IFERROR(INDEX('Crafting recipes'!$H$6:$H$1005,MATCH(J1064,'Crafting recipes'!$A$6:$A$1005,0)),"MISSING ID"),1)),0)=1,IF(B1064=IFERROR(INDEX('Crafting recipes'!$H$6:$H$1005,MATCH(J1064,'Crafting recipes'!$A$6:$A$1005,0)),"MISSING ID"),"Advances one material tier","Lower-tier ingredient; route advances one tier"),"Needs tier review"))))))</x:f>
        <x:v>Finished endpoint</x:v>
      </x:c>
      <x:c r="S1064" s="4" t="str">
        <x:f>IFERROR(INDEX('Material routes'!$D$6:$D$2205,MATCH(U1064,'Material routes'!$A$6:$A$2205,0)),"MISSING ID")</x:f>
        <x:v>proposal.bio.pressed_husk</x:v>
      </x:c>
      <x:c r="T1064" s="4" t="str">
        <x:f>IFERROR(INDEX('Material routes'!$D$6:$D$2205,MATCH(V1064,'Material routes'!$A$6:$A$2205,0)),"MISSING ID")</x:f>
        <x:v>proposal.gear.simple_wraps</x:v>
      </x:c>
      <x:c r="U1064" s="4" t="str">
        <x:v>design.audit.proposal_gear_simple_wraps.audit.in.1</x:v>
      </x:c>
      <x:c r="V1064" s="4" t="str">
        <x:v>design.audit.proposal_gear_simple_wraps.audit.out</x:v>
      </x:c>
    </x:row>
    <x:row r="1065" ht="64" customHeight="1">
      <x:c r="A1065" s="4" t="str">
        <x:f>IFERROR(INDEX('Material routes'!$E$6:$E$2205,MATCH(U1065,'Material routes'!$A$6:$A$2205,0)),"MISSING ID")</x:f>
        <x:v>Ceramic toggle fastener</x:v>
      </x:c>
      <x:c r="B1065" s="4" t="str">
        <x:f>IFERROR(INDEX('Material routes'!$F$6:$F$2205,MATCH(U1065,'Material routes'!$A$6:$A$2205,0)),"MISSING ID")</x:f>
        <x:v>T3</x:v>
      </x:c>
      <x:c r="C1065" s="4" t="str">
        <x:f>IFERROR(INDEX('Material routes'!$H$6:$H$2205,MATCH(U1065,'Material routes'!$A$6:$A$2205,0)),"MISSING ID")</x:f>
        <x:v>Crafting component</x:v>
      </x:c>
      <x:c r="D1065" s="4" t="str">
        <x:f>IFERROR(INDEX('Material routes'!$G$6:$G$2205,MATCH(U1065,'Material routes'!$A$6:$A$2205,0)),"MISSING ID")</x:f>
        <x:v>Crafting components</x:v>
      </x:c>
      <x:c r="E1065" s="4" t="str">
        <x:f>IFERROR(INDEX('Material routes'!$C$6:$C$2205,MATCH(U1065,'Material routes'!$A$6:$A$2205,0)),"MISSING ID")</x:f>
        <x:v>Ingredient candidate</x:v>
      </x:c>
      <x:c r="F1065" s="4" t="str">
        <x:f>IFERROR(INDEX('Material routes'!$E$6:$E$2205,MATCH(V1065,'Material routes'!$A$6:$A$2205,0)),"MISSING ID")</x:f>
        <x:v>Simple everyday wraps</x:v>
      </x:c>
      <x:c r="G1065" s="4" t="str">
        <x:f>IFERROR(INDEX('Material routes'!$F$6:$F$2205,MATCH(V1065,'Material routes'!$A$6:$A$2205,0)),"MISSING ID")</x:f>
        <x:v>Not applicable</x:v>
      </x:c>
      <x:c r="H1065" s="4" t="str">
        <x:f>IFERROR(INDEX('Material routes'!$H$6:$H$2205,MATCH(V1065,'Material routes'!$A$6:$A$2205,0)),"MISSING ID")</x:f>
        <x:v>Wearable</x:v>
      </x:c>
      <x:c r="I1065" s="4" t="str">
        <x:f>IFERROR(INDEX('Material routes'!$G$6:$G$2205,MATCH(V1065,'Material routes'!$A$6:$A$2205,0)),"MISSING ID")</x:f>
        <x:v>Clothing</x:v>
      </x:c>
      <x:c r="J1065" s="4" t="str">
        <x:f>IFERROR(INDEX('Material routes'!$B$6:$B$2205,MATCH(U1065,'Material routes'!$A$6:$A$2205,0)),"MISSING ID")</x:f>
        <x:v>design.audit.proposal_gear_simple_wraps</x:v>
      </x:c>
      <x:c r="K1065" s="4" t="str">
        <x:f>IFERROR(INDEX('Crafting recipes'!$C$6:$C$1005,MATCH(J1065,'Crafting recipes'!$A$6:$A$1005,0)),"MISSING ID")</x:f>
        <x:v>Finished-item crafting</x:v>
      </x:c>
      <x:c r="L1065" s="4" t="str">
        <x:f>IFERROR(INDEX('Material routes'!$K$6:$K$2205,MATCH(U1065,'Material routes'!$A$6:$A$2205,0)),"MISSING ID")</x:f>
        <x:v>Proposal</x:v>
      </x:c>
      <x:c r="M1065" s="4" t="str">
        <x:f>IFERROR(INDEX('Material routes'!$M$6:$M$2205,MATCH(U1065,'Material routes'!$A$6:$A$2205,0)),"MISSING ID")</x:f>
        <x:v>Partial proposal</x:v>
      </x:c>
      <x:c r="N1065" s="4"/>
      <x:c r="O1065" s="4" t="str">
        <x:f>IFERROR(INDEX('Material routes'!$J$6:$J$2205,MATCH(U1065,'Material routes'!$A$6:$A$2205,0)),"MISSING ID")</x:f>
        <x:v>Unspecified</x:v>
      </x:c>
      <x:c r="P1065" s="4"/>
      <x:c r="Q1065" s="4" t="str">
        <x:f>IFERROR(INDEX('Material routes'!$J$6:$J$2205,MATCH(V1065,'Material routes'!$A$6:$A$2205,0)),"MISSING ID")</x:f>
        <x:v>Unspecified</x:v>
      </x:c>
      <x:c r="R1065" s="4" t="str">
        <x:f>IF(L1065="Withheld","Withheld premise",IF(E1065="Tool candidate","Reusable prerequisite",IF(K1065="Raw entry preparation","Entry-resource preparation",IF(G1065="Not applicable",IF(IFERROR(INDEX('Items'!$AI$6:$AI$1005,MATCH(T1065,'Items'!$A$6:$A$1005,0)),"MISSING ID")="Finished item","Finished endpoint",IF(IFERROR(INDEX('Items'!$AI$6:$AI$1005,MATCH(T1065,'Items'!$A$6:$A$1005,0)),"MISSING ID")="Currency","Currency / no refinement tier","Recovered output / tier not applicable")),IF(OR(IFERROR(INDEX('Crafting recipes'!$H$6:$H$1005,MATCH(J1065,'Crafting recipes'!$A$6:$A$1005,0)),"MISSING ID")="Unassigned",G1065="Unassigned"),"Tier unresolved",IF(IFERROR(VALUE(RIGHT(G1065,1))-VALUE(RIGHT(IFERROR(INDEX('Crafting recipes'!$H$6:$H$1005,MATCH(J1065,'Crafting recipes'!$A$6:$A$1005,0)),"MISSING ID"),1)),0)=1,IF(B1065=IFERROR(INDEX('Crafting recipes'!$H$6:$H$1005,MATCH(J1065,'Crafting recipes'!$A$6:$A$1005,0)),"MISSING ID"),"Advances one material tier","Lower-tier ingredient; route advances one tier"),"Needs tier review"))))))</x:f>
        <x:v>Finished endpoint</x:v>
      </x:c>
      <x:c r="S1065" s="4" t="str">
        <x:f>IFERROR(INDEX('Material routes'!$D$6:$D$2205,MATCH(U1065,'Material routes'!$A$6:$A$2205,0)),"MISSING ID")</x:f>
        <x:v>proposal.ceramic.fastener</x:v>
      </x:c>
      <x:c r="T1065" s="4" t="str">
        <x:f>IFERROR(INDEX('Material routes'!$D$6:$D$2205,MATCH(V1065,'Material routes'!$A$6:$A$2205,0)),"MISSING ID")</x:f>
        <x:v>proposal.gear.simple_wraps</x:v>
      </x:c>
      <x:c r="U1065" s="4" t="str">
        <x:v>design.audit.proposal_gear_simple_wraps.audit.in.2</x:v>
      </x:c>
      <x:c r="V1065" s="4" t="str">
        <x:v>design.audit.proposal_gear_simple_wraps.audit.out</x:v>
      </x:c>
    </x:row>
    <x:row r="1066" ht="64" customHeight="1">
      <x:c r="A1066" s="4" t="str">
        <x:f>IFERROR(INDEX('Material routes'!$E$6:$E$2205,MATCH(U1066,'Material routes'!$A$6:$A$2205,0)),"MISSING ID")</x:f>
        <x:v>Pressed hide fastening strips</x:v>
      </x:c>
      <x:c r="B1066" s="4" t="str">
        <x:f>IFERROR(INDEX('Material routes'!$F$6:$F$2205,MATCH(U1066,'Material routes'!$A$6:$A$2205,0)),"MISSING ID")</x:f>
        <x:v>T2</x:v>
      </x:c>
      <x:c r="C1066" s="4" t="str">
        <x:f>IFERROR(INDEX('Material routes'!$H$6:$H$2205,MATCH(U1066,'Material routes'!$A$6:$A$2205,0)),"MISSING ID")</x:f>
        <x:v>Processed material</x:v>
      </x:c>
      <x:c r="D1066" s="4" t="str">
        <x:f>IFERROR(INDEX('Material routes'!$G$6:$G$2205,MATCH(U1066,'Material routes'!$A$6:$A$2205,0)),"MISSING ID")</x:f>
        <x:v>Manufactured stock</x:v>
      </x:c>
      <x:c r="E1066" s="4" t="str">
        <x:f>IFERROR(INDEX('Material routes'!$C$6:$C$2205,MATCH(U1066,'Material routes'!$A$6:$A$2205,0)),"MISSING ID")</x:f>
        <x:v>Ingredient candidate</x:v>
      </x:c>
      <x:c r="F1066" s="4" t="str">
        <x:f>IFERROR(INDEX('Material routes'!$E$6:$E$2205,MATCH(V1066,'Material routes'!$A$6:$A$2205,0)),"MISSING ID")</x:f>
        <x:v>Fitted canister harness</x:v>
      </x:c>
      <x:c r="G1066" s="4" t="str">
        <x:f>IFERROR(INDEX('Material routes'!$F$6:$F$2205,MATCH(V1066,'Material routes'!$A$6:$A$2205,0)),"MISSING ID")</x:f>
        <x:v>Not applicable</x:v>
      </x:c>
      <x:c r="H1066" s="4" t="str">
        <x:f>IFERROR(INDEX('Material routes'!$H$6:$H$2205,MATCH(V1066,'Material routes'!$A$6:$A$2205,0)),"MISSING ID")</x:f>
        <x:v>Carrier</x:v>
      </x:c>
      <x:c r="I1066" s="4" t="str">
        <x:f>IFERROR(INDEX('Material routes'!$G$6:$G$2205,MATCH(V1066,'Material routes'!$A$6:$A$2205,0)),"MISSING ID")</x:f>
        <x:v>Armor</x:v>
      </x:c>
      <x:c r="J1066" s="4" t="str">
        <x:f>IFERROR(INDEX('Material routes'!$B$6:$B$2205,MATCH(U1066,'Material routes'!$A$6:$A$2205,0)),"MISSING ID")</x:f>
        <x:v>design.audit.proposal_canister_harness</x:v>
      </x:c>
      <x:c r="K1066" s="4" t="str">
        <x:f>IFERROR(INDEX('Crafting recipes'!$C$6:$C$1005,MATCH(J1066,'Crafting recipes'!$A$6:$A$1005,0)),"MISSING ID")</x:f>
        <x:v>Finished-item crafting</x:v>
      </x:c>
      <x:c r="L1066" s="4" t="str">
        <x:f>IFERROR(INDEX('Material routes'!$K$6:$K$2205,MATCH(U1066,'Material routes'!$A$6:$A$2205,0)),"MISSING ID")</x:f>
        <x:v>Proposal</x:v>
      </x:c>
      <x:c r="M1066" s="4" t="str">
        <x:f>IFERROR(INDEX('Material routes'!$M$6:$M$2205,MATCH(U1066,'Material routes'!$A$6:$A$2205,0)),"MISSING ID")</x:f>
        <x:v>Partial proposal</x:v>
      </x:c>
      <x:c r="N1066" s="4"/>
      <x:c r="O1066" s="4" t="str">
        <x:f>IFERROR(INDEX('Material routes'!$J$6:$J$2205,MATCH(U1066,'Material routes'!$A$6:$A$2205,0)),"MISSING ID")</x:f>
        <x:v>Unspecified</x:v>
      </x:c>
      <x:c r="P1066" s="4"/>
      <x:c r="Q1066" s="4" t="str">
        <x:f>IFERROR(INDEX('Material routes'!$J$6:$J$2205,MATCH(V1066,'Material routes'!$A$6:$A$2205,0)),"MISSING ID")</x:f>
        <x:v>Unspecified</x:v>
      </x:c>
      <x:c r="R1066" s="4" t="str">
        <x:f>IF(L1066="Withheld","Withheld premise",IF(E1066="Tool candidate","Reusable prerequisite",IF(K1066="Raw entry preparation","Entry-resource preparation",IF(G1066="Not applicable",IF(IFERROR(INDEX('Items'!$AI$6:$AI$1005,MATCH(T1066,'Items'!$A$6:$A$1005,0)),"MISSING ID")="Finished item","Finished endpoint",IF(IFERROR(INDEX('Items'!$AI$6:$AI$1005,MATCH(T1066,'Items'!$A$6:$A$1005,0)),"MISSING ID")="Currency","Currency / no refinement tier","Recovered output / tier not applicable")),IF(OR(IFERROR(INDEX('Crafting recipes'!$H$6:$H$1005,MATCH(J1066,'Crafting recipes'!$A$6:$A$1005,0)),"MISSING ID")="Unassigned",G1066="Unassigned"),"Tier unresolved",IF(IFERROR(VALUE(RIGHT(G1066,1))-VALUE(RIGHT(IFERROR(INDEX('Crafting recipes'!$H$6:$H$1005,MATCH(J1066,'Crafting recipes'!$A$6:$A$1005,0)),"MISSING ID"),1)),0)=1,IF(B1066=IFERROR(INDEX('Crafting recipes'!$H$6:$H$1005,MATCH(J1066,'Crafting recipes'!$A$6:$A$1005,0)),"MISSING ID"),"Advances one material tier","Lower-tier ingredient; route advances one tier"),"Needs tier review"))))))</x:f>
        <x:v>Finished endpoint</x:v>
      </x:c>
      <x:c r="S1066" s="4" t="str">
        <x:f>IFERROR(INDEX('Material routes'!$D$6:$D$2205,MATCH(U1066,'Material routes'!$A$6:$A$2205,0)),"MISSING ID")</x:f>
        <x:v>proposal.audit.pressed_hide_fastening_strips</x:v>
      </x:c>
      <x:c r="T1066" s="4" t="str">
        <x:f>IFERROR(INDEX('Material routes'!$D$6:$D$2205,MATCH(V1066,'Material routes'!$A$6:$A$2205,0)),"MISSING ID")</x:f>
        <x:v>proposal.canister.harness</x:v>
      </x:c>
      <x:c r="U1066" s="4" t="str">
        <x:v>design.audit.proposal_canister_harness.audit.in.1</x:v>
      </x:c>
      <x:c r="V1066" s="4" t="str">
        <x:v>design.audit.proposal_canister_harness.audit.out</x:v>
      </x:c>
    </x:row>
    <x:row r="1067" ht="64" customHeight="1">
      <x:c r="A1067" s="4" t="str">
        <x:f>IFERROR(INDEX('Material routes'!$E$6:$E$2205,MATCH(U1067,'Material routes'!$A$6:$A$2205,0)),"MISSING ID")</x:f>
        <x:v>Steel stock</x:v>
      </x:c>
      <x:c r="B1067" s="4" t="str">
        <x:f>IFERROR(INDEX('Material routes'!$F$6:$F$2205,MATCH(U1067,'Material routes'!$A$6:$A$2205,0)),"MISSING ID")</x:f>
        <x:v>T2</x:v>
      </x:c>
      <x:c r="C1067" s="4" t="str">
        <x:f>IFERROR(INDEX('Material routes'!$H$6:$H$2205,MATCH(U1067,'Material routes'!$A$6:$A$2205,0)),"MISSING ID")</x:f>
        <x:v>Processed material</x:v>
      </x:c>
      <x:c r="D1067" s="4" t="str">
        <x:f>IFERROR(INDEX('Material routes'!$G$6:$G$2205,MATCH(U1067,'Material routes'!$A$6:$A$2205,0)),"MISSING ID")</x:f>
        <x:v>Manufactured stock</x:v>
      </x:c>
      <x:c r="E1067" s="4" t="str">
        <x:f>IFERROR(INDEX('Material routes'!$C$6:$C$2205,MATCH(U1067,'Material routes'!$A$6:$A$2205,0)),"MISSING ID")</x:f>
        <x:v>Ingredient candidate</x:v>
      </x:c>
      <x:c r="F1067" s="4" t="str">
        <x:f>IFERROR(INDEX('Material routes'!$E$6:$E$2205,MATCH(V1067,'Material routes'!$A$6:$A$2205,0)),"MISSING ID")</x:f>
        <x:v>Fitted canister harness</x:v>
      </x:c>
      <x:c r="G1067" s="4" t="str">
        <x:f>IFERROR(INDEX('Material routes'!$F$6:$F$2205,MATCH(V1067,'Material routes'!$A$6:$A$2205,0)),"MISSING ID")</x:f>
        <x:v>Not applicable</x:v>
      </x:c>
      <x:c r="H1067" s="4" t="str">
        <x:f>IFERROR(INDEX('Material routes'!$H$6:$H$2205,MATCH(V1067,'Material routes'!$A$6:$A$2205,0)),"MISSING ID")</x:f>
        <x:v>Carrier</x:v>
      </x:c>
      <x:c r="I1067" s="4" t="str">
        <x:f>IFERROR(INDEX('Material routes'!$G$6:$G$2205,MATCH(V1067,'Material routes'!$A$6:$A$2205,0)),"MISSING ID")</x:f>
        <x:v>Armor</x:v>
      </x:c>
      <x:c r="J1067" s="4" t="str">
        <x:f>IFERROR(INDEX('Material routes'!$B$6:$B$2205,MATCH(U1067,'Material routes'!$A$6:$A$2205,0)),"MISSING ID")</x:f>
        <x:v>design.audit.proposal_canister_harness</x:v>
      </x:c>
      <x:c r="K1067" s="4" t="str">
        <x:f>IFERROR(INDEX('Crafting recipes'!$C$6:$C$1005,MATCH(J1067,'Crafting recipes'!$A$6:$A$1005,0)),"MISSING ID")</x:f>
        <x:v>Finished-item crafting</x:v>
      </x:c>
      <x:c r="L1067" s="4" t="str">
        <x:f>IFERROR(INDEX('Material routes'!$K$6:$K$2205,MATCH(U1067,'Material routes'!$A$6:$A$2205,0)),"MISSING ID")</x:f>
        <x:v>Proposal</x:v>
      </x:c>
      <x:c r="M1067" s="4" t="str">
        <x:f>IFERROR(INDEX('Material routes'!$M$6:$M$2205,MATCH(U1067,'Material routes'!$A$6:$A$2205,0)),"MISSING ID")</x:f>
        <x:v>Partial proposal</x:v>
      </x:c>
      <x:c r="N1067" s="4"/>
      <x:c r="O1067" s="4" t="str">
        <x:f>IFERROR(INDEX('Material routes'!$J$6:$J$2205,MATCH(U1067,'Material routes'!$A$6:$A$2205,0)),"MISSING ID")</x:f>
        <x:v>Unspecified</x:v>
      </x:c>
      <x:c r="P1067" s="4"/>
      <x:c r="Q1067" s="4" t="str">
        <x:f>IFERROR(INDEX('Material routes'!$J$6:$J$2205,MATCH(V1067,'Material routes'!$A$6:$A$2205,0)),"MISSING ID")</x:f>
        <x:v>Unspecified</x:v>
      </x:c>
      <x:c r="R1067" s="4" t="str">
        <x:f>IF(L1067="Withheld","Withheld premise",IF(E1067="Tool candidate","Reusable prerequisite",IF(K1067="Raw entry preparation","Entry-resource preparation",IF(G1067="Not applicable",IF(IFERROR(INDEX('Items'!$AI$6:$AI$1005,MATCH(T1067,'Items'!$A$6:$A$1005,0)),"MISSING ID")="Finished item","Finished endpoint",IF(IFERROR(INDEX('Items'!$AI$6:$AI$1005,MATCH(T1067,'Items'!$A$6:$A$1005,0)),"MISSING ID")="Currency","Currency / no refinement tier","Recovered output / tier not applicable")),IF(OR(IFERROR(INDEX('Crafting recipes'!$H$6:$H$1005,MATCH(J1067,'Crafting recipes'!$A$6:$A$1005,0)),"MISSING ID")="Unassigned",G1067="Unassigned"),"Tier unresolved",IF(IFERROR(VALUE(RIGHT(G1067,1))-VALUE(RIGHT(IFERROR(INDEX('Crafting recipes'!$H$6:$H$1005,MATCH(J1067,'Crafting recipes'!$A$6:$A$1005,0)),"MISSING ID"),1)),0)=1,IF(B1067=IFERROR(INDEX('Crafting recipes'!$H$6:$H$1005,MATCH(J1067,'Crafting recipes'!$A$6:$A$1005,0)),"MISSING ID"),"Advances one material tier","Lower-tier ingredient; route advances one tier"),"Needs tier review"))))))</x:f>
        <x:v>Finished endpoint</x:v>
      </x:c>
      <x:c r="S1067" s="4" t="str">
        <x:f>IFERROR(INDEX('Material routes'!$D$6:$D$2205,MATCH(U1067,'Material routes'!$A$6:$A$2205,0)),"MISSING ID")</x:f>
        <x:v>author.metallurgy.steel_stock</x:v>
      </x:c>
      <x:c r="T1067" s="4" t="str">
        <x:f>IFERROR(INDEX('Material routes'!$D$6:$D$2205,MATCH(V1067,'Material routes'!$A$6:$A$2205,0)),"MISSING ID")</x:f>
        <x:v>proposal.canister.harness</x:v>
      </x:c>
      <x:c r="U1067" s="4" t="str">
        <x:v>design.audit.proposal_canister_harness.audit.in.2</x:v>
      </x:c>
      <x:c r="V1067" s="4" t="str">
        <x:v>design.audit.proposal_canister_harness.audit.out</x:v>
      </x:c>
    </x:row>
    <x:row r="1068" ht="64" customHeight="1">
      <x:c r="A1068" s="4" t="str">
        <x:f>IFERROR(INDEX('Material routes'!$E$6:$E$2205,MATCH(U1068,'Material routes'!$A$6:$A$2205,0)),"MISSING ID")</x:f>
        <x:v>Husk-reinforced packing stock</x:v>
      </x:c>
      <x:c r="B1068" s="4" t="str">
        <x:f>IFERROR(INDEX('Material routes'!$F$6:$F$2205,MATCH(U1068,'Material routes'!$A$6:$A$2205,0)),"MISSING ID")</x:f>
        <x:v>T3</x:v>
      </x:c>
      <x:c r="C1068" s="4" t="str">
        <x:f>IFERROR(INDEX('Material routes'!$H$6:$H$2205,MATCH(U1068,'Material routes'!$A$6:$A$2205,0)),"MISSING ID")</x:f>
        <x:v>Processed material</x:v>
      </x:c>
      <x:c r="D1068" s="4" t="str">
        <x:f>IFERROR(INDEX('Material routes'!$G$6:$G$2205,MATCH(U1068,'Material routes'!$A$6:$A$2205,0)),"MISSING ID")</x:f>
        <x:v>Manufactured stock</x:v>
      </x:c>
      <x:c r="E1068" s="4" t="str">
        <x:f>IFERROR(INDEX('Material routes'!$C$6:$C$2205,MATCH(U1068,'Material routes'!$A$6:$A$2205,0)),"MISSING ID")</x:f>
        <x:v>Ingredient candidate</x:v>
      </x:c>
      <x:c r="F1068" s="4" t="str">
        <x:f>IFERROR(INDEX('Material routes'!$E$6:$E$2205,MATCH(V1068,'Material routes'!$A$6:$A$2205,0)),"MISSING ID")</x:f>
        <x:v>Fitted canister harness</x:v>
      </x:c>
      <x:c r="G1068" s="4" t="str">
        <x:f>IFERROR(INDEX('Material routes'!$F$6:$F$2205,MATCH(V1068,'Material routes'!$A$6:$A$2205,0)),"MISSING ID")</x:f>
        <x:v>Not applicable</x:v>
      </x:c>
      <x:c r="H1068" s="4" t="str">
        <x:f>IFERROR(INDEX('Material routes'!$H$6:$H$2205,MATCH(V1068,'Material routes'!$A$6:$A$2205,0)),"MISSING ID")</x:f>
        <x:v>Carrier</x:v>
      </x:c>
      <x:c r="I1068" s="4" t="str">
        <x:f>IFERROR(INDEX('Material routes'!$G$6:$G$2205,MATCH(V1068,'Material routes'!$A$6:$A$2205,0)),"MISSING ID")</x:f>
        <x:v>Armor</x:v>
      </x:c>
      <x:c r="J1068" s="4" t="str">
        <x:f>IFERROR(INDEX('Material routes'!$B$6:$B$2205,MATCH(U1068,'Material routes'!$A$6:$A$2205,0)),"MISSING ID")</x:f>
        <x:v>design.audit.proposal_canister_harness</x:v>
      </x:c>
      <x:c r="K1068" s="4" t="str">
        <x:f>IFERROR(INDEX('Crafting recipes'!$C$6:$C$1005,MATCH(J1068,'Crafting recipes'!$A$6:$A$1005,0)),"MISSING ID")</x:f>
        <x:v>Finished-item crafting</x:v>
      </x:c>
      <x:c r="L1068" s="4" t="str">
        <x:f>IFERROR(INDEX('Material routes'!$K$6:$K$2205,MATCH(U1068,'Material routes'!$A$6:$A$2205,0)),"MISSING ID")</x:f>
        <x:v>Proposal</x:v>
      </x:c>
      <x:c r="M1068" s="4" t="str">
        <x:f>IFERROR(INDEX('Material routes'!$M$6:$M$2205,MATCH(U1068,'Material routes'!$A$6:$A$2205,0)),"MISSING ID")</x:f>
        <x:v>Partial proposal</x:v>
      </x:c>
      <x:c r="N1068" s="4"/>
      <x:c r="O1068" s="4" t="str">
        <x:f>IFERROR(INDEX('Material routes'!$J$6:$J$2205,MATCH(U1068,'Material routes'!$A$6:$A$2205,0)),"MISSING ID")</x:f>
        <x:v>Unspecified</x:v>
      </x:c>
      <x:c r="P1068" s="4"/>
      <x:c r="Q1068" s="4" t="str">
        <x:f>IFERROR(INDEX('Material routes'!$J$6:$J$2205,MATCH(V1068,'Material routes'!$A$6:$A$2205,0)),"MISSING ID")</x:f>
        <x:v>Unspecified</x:v>
      </x:c>
      <x:c r="R1068" s="4" t="str">
        <x:f>IF(L1068="Withheld","Withheld premise",IF(E1068="Tool candidate","Reusable prerequisite",IF(K1068="Raw entry preparation","Entry-resource preparation",IF(G1068="Not applicable",IF(IFERROR(INDEX('Items'!$AI$6:$AI$1005,MATCH(T1068,'Items'!$A$6:$A$1005,0)),"MISSING ID")="Finished item","Finished endpoint",IF(IFERROR(INDEX('Items'!$AI$6:$AI$1005,MATCH(T1068,'Items'!$A$6:$A$1005,0)),"MISSING ID")="Currency","Currency / no refinement tier","Recovered output / tier not applicable")),IF(OR(IFERROR(INDEX('Crafting recipes'!$H$6:$H$1005,MATCH(J1068,'Crafting recipes'!$A$6:$A$1005,0)),"MISSING ID")="Unassigned",G1068="Unassigned"),"Tier unresolved",IF(IFERROR(VALUE(RIGHT(G1068,1))-VALUE(RIGHT(IFERROR(INDEX('Crafting recipes'!$H$6:$H$1005,MATCH(J1068,'Crafting recipes'!$A$6:$A$1005,0)),"MISSING ID"),1)),0)=1,IF(B1068=IFERROR(INDEX('Crafting recipes'!$H$6:$H$1005,MATCH(J1068,'Crafting recipes'!$A$6:$A$1005,0)),"MISSING ID"),"Advances one material tier","Lower-tier ingredient; route advances one tier"),"Needs tier review"))))))</x:f>
        <x:v>Finished endpoint</x:v>
      </x:c>
      <x:c r="S1068" s="4" t="str">
        <x:f>IFERROR(INDEX('Material routes'!$D$6:$D$2205,MATCH(U1068,'Material routes'!$A$6:$A$2205,0)),"MISSING ID")</x:f>
        <x:v>proposal.t3.packing_stock</x:v>
      </x:c>
      <x:c r="T1068" s="4" t="str">
        <x:f>IFERROR(INDEX('Material routes'!$D$6:$D$2205,MATCH(V1068,'Material routes'!$A$6:$A$2205,0)),"MISSING ID")</x:f>
        <x:v>proposal.canister.harness</x:v>
      </x:c>
      <x:c r="U1068" s="4" t="str">
        <x:v>design.audit.proposal_canister_harness.audit.in.3</x:v>
      </x:c>
      <x:c r="V1068" s="4" t="str">
        <x:v>design.audit.proposal_canister_harness.audit.out</x:v>
      </x:c>
    </x:row>
    <x:row r="1069" ht="64" customHeight="1">
      <x:c r="A1069" s="4" t="str">
        <x:f>IFERROR(INDEX('Material routes'!$E$6:$E$2205,MATCH(U1069,'Material routes'!$A$6:$A$2205,0)),"MISSING ID")</x:f>
        <x:v>Steel stock</x:v>
      </x:c>
      <x:c r="B1069" s="4" t="str">
        <x:f>IFERROR(INDEX('Material routes'!$F$6:$F$2205,MATCH(U1069,'Material routes'!$A$6:$A$2205,0)),"MISSING ID")</x:f>
        <x:v>T2</x:v>
      </x:c>
      <x:c r="C1069" s="4" t="str">
        <x:f>IFERROR(INDEX('Material routes'!$H$6:$H$2205,MATCH(U1069,'Material routes'!$A$6:$A$2205,0)),"MISSING ID")</x:f>
        <x:v>Processed material</x:v>
      </x:c>
      <x:c r="D1069" s="4" t="str">
        <x:f>IFERROR(INDEX('Material routes'!$G$6:$G$2205,MATCH(U1069,'Material routes'!$A$6:$A$2205,0)),"MISSING ID")</x:f>
        <x:v>Manufactured stock</x:v>
      </x:c>
      <x:c r="E1069" s="4" t="str">
        <x:f>IFERROR(INDEX('Material routes'!$C$6:$C$2205,MATCH(U1069,'Material routes'!$A$6:$A$2205,0)),"MISSING ID")</x:f>
        <x:v>Ingredient candidate</x:v>
      </x:c>
      <x:c r="F1069" s="4" t="str">
        <x:f>IFERROR(INDEX('Material routes'!$E$6:$E$2205,MATCH(V1069,'Material routes'!$A$6:$A$2205,0)),"MISSING ID")</x:f>
        <x:v>Seal inspection gauge</x:v>
      </x:c>
      <x:c r="G1069" s="4" t="str">
        <x:f>IFERROR(INDEX('Material routes'!$F$6:$F$2205,MATCH(V1069,'Material routes'!$A$6:$A$2205,0)),"MISSING ID")</x:f>
        <x:v>Not applicable</x:v>
      </x:c>
      <x:c r="H1069" s="4" t="str">
        <x:f>IFERROR(INDEX('Material routes'!$H$6:$H$2205,MATCH(V1069,'Material routes'!$A$6:$A$2205,0)),"MISSING ID")</x:f>
        <x:v>Tool</x:v>
      </x:c>
      <x:c r="I1069" s="4" t="str">
        <x:f>IFERROR(INDEX('Material routes'!$G$6:$G$2205,MATCH(V1069,'Material routes'!$A$6:$A$2205,0)),"MISSING ID")</x:f>
        <x:v>Salvage</x:v>
      </x:c>
      <x:c r="J1069" s="4" t="str">
        <x:f>IFERROR(INDEX('Material routes'!$B$6:$B$2205,MATCH(U1069,'Material routes'!$A$6:$A$2205,0)),"MISSING ID")</x:f>
        <x:v>design.audit.proposal_canister_inspection_gauge</x:v>
      </x:c>
      <x:c r="K1069" s="4" t="str">
        <x:f>IFERROR(INDEX('Crafting recipes'!$C$6:$C$1005,MATCH(J1069,'Crafting recipes'!$A$6:$A$1005,0)),"MISSING ID")</x:f>
        <x:v>Finished-item crafting</x:v>
      </x:c>
      <x:c r="L1069" s="4" t="str">
        <x:f>IFERROR(INDEX('Material routes'!$K$6:$K$2205,MATCH(U1069,'Material routes'!$A$6:$A$2205,0)),"MISSING ID")</x:f>
        <x:v>Proposal</x:v>
      </x:c>
      <x:c r="M1069" s="4" t="str">
        <x:f>IFERROR(INDEX('Material routes'!$M$6:$M$2205,MATCH(U1069,'Material routes'!$A$6:$A$2205,0)),"MISSING ID")</x:f>
        <x:v>Partial proposal</x:v>
      </x:c>
      <x:c r="N1069" s="4"/>
      <x:c r="O1069" s="4" t="str">
        <x:f>IFERROR(INDEX('Material routes'!$J$6:$J$2205,MATCH(U1069,'Material routes'!$A$6:$A$2205,0)),"MISSING ID")</x:f>
        <x:v>Unspecified</x:v>
      </x:c>
      <x:c r="P1069" s="4"/>
      <x:c r="Q1069" s="4" t="str">
        <x:f>IFERROR(INDEX('Material routes'!$J$6:$J$2205,MATCH(V1069,'Material routes'!$A$6:$A$2205,0)),"MISSING ID")</x:f>
        <x:v>Unspecified</x:v>
      </x:c>
      <x:c r="R1069" s="4" t="str">
        <x:f>IF(L1069="Withheld","Withheld premise",IF(E1069="Tool candidate","Reusable prerequisite",IF(K1069="Raw entry preparation","Entry-resource preparation",IF(G1069="Not applicable",IF(IFERROR(INDEX('Items'!$AI$6:$AI$1005,MATCH(T1069,'Items'!$A$6:$A$1005,0)),"MISSING ID")="Finished item","Finished endpoint",IF(IFERROR(INDEX('Items'!$AI$6:$AI$1005,MATCH(T1069,'Items'!$A$6:$A$1005,0)),"MISSING ID")="Currency","Currency / no refinement tier","Recovered output / tier not applicable")),IF(OR(IFERROR(INDEX('Crafting recipes'!$H$6:$H$1005,MATCH(J1069,'Crafting recipes'!$A$6:$A$1005,0)),"MISSING ID")="Unassigned",G1069="Unassigned"),"Tier unresolved",IF(IFERROR(VALUE(RIGHT(G1069,1))-VALUE(RIGHT(IFERROR(INDEX('Crafting recipes'!$H$6:$H$1005,MATCH(J1069,'Crafting recipes'!$A$6:$A$1005,0)),"MISSING ID"),1)),0)=1,IF(B1069=IFERROR(INDEX('Crafting recipes'!$H$6:$H$1005,MATCH(J1069,'Crafting recipes'!$A$6:$A$1005,0)),"MISSING ID"),"Advances one material tier","Lower-tier ingredient; route advances one tier"),"Needs tier review"))))))</x:f>
        <x:v>Finished endpoint</x:v>
      </x:c>
      <x:c r="S1069" s="4" t="str">
        <x:f>IFERROR(INDEX('Material routes'!$D$6:$D$2205,MATCH(U1069,'Material routes'!$A$6:$A$2205,0)),"MISSING ID")</x:f>
        <x:v>author.metallurgy.steel_stock</x:v>
      </x:c>
      <x:c r="T1069" s="4" t="str">
        <x:f>IFERROR(INDEX('Material routes'!$D$6:$D$2205,MATCH(V1069,'Material routes'!$A$6:$A$2205,0)),"MISSING ID")</x:f>
        <x:v>proposal.canister.inspection_gauge</x:v>
      </x:c>
      <x:c r="U1069" s="4" t="str">
        <x:v>design.audit.proposal_canister_inspection_gauge.audit.in.1</x:v>
      </x:c>
      <x:c r="V1069" s="4" t="str">
        <x:v>design.audit.proposal_canister_inspection_gauge.audit.out</x:v>
      </x:c>
    </x:row>
    <x:row r="1070" ht="64" customHeight="1">
      <x:c r="A1070" s="4" t="str">
        <x:f>IFERROR(INDEX('Material routes'!$E$6:$E$2205,MATCH(U1070,'Material routes'!$A$6:$A$2205,0)),"MISSING ID")</x:f>
        <x:v>Selected viewing-glass stock</x:v>
      </x:c>
      <x:c r="B1070" s="4" t="str">
        <x:f>IFERROR(INDEX('Material routes'!$F$6:$F$2205,MATCH(U1070,'Material routes'!$A$6:$A$2205,0)),"MISSING ID")</x:f>
        <x:v>T2</x:v>
      </x:c>
      <x:c r="C1070" s="4" t="str">
        <x:f>IFERROR(INDEX('Material routes'!$H$6:$H$2205,MATCH(U1070,'Material routes'!$A$6:$A$2205,0)),"MISSING ID")</x:f>
        <x:v>Processed material</x:v>
      </x:c>
      <x:c r="D1070" s="4" t="str">
        <x:f>IFERROR(INDEX('Material routes'!$G$6:$G$2205,MATCH(U1070,'Material routes'!$A$6:$A$2205,0)),"MISSING ID")</x:f>
        <x:v>Manufactured stock</x:v>
      </x:c>
      <x:c r="E1070" s="4" t="str">
        <x:f>IFERROR(INDEX('Material routes'!$C$6:$C$2205,MATCH(U1070,'Material routes'!$A$6:$A$2205,0)),"MISSING ID")</x:f>
        <x:v>Ingredient candidate</x:v>
      </x:c>
      <x:c r="F1070" s="4" t="str">
        <x:f>IFERROR(INDEX('Material routes'!$E$6:$E$2205,MATCH(V1070,'Material routes'!$A$6:$A$2205,0)),"MISSING ID")</x:f>
        <x:v>Seal inspection gauge</x:v>
      </x:c>
      <x:c r="G1070" s="4" t="str">
        <x:f>IFERROR(INDEX('Material routes'!$F$6:$F$2205,MATCH(V1070,'Material routes'!$A$6:$A$2205,0)),"MISSING ID")</x:f>
        <x:v>Not applicable</x:v>
      </x:c>
      <x:c r="H1070" s="4" t="str">
        <x:f>IFERROR(INDEX('Material routes'!$H$6:$H$2205,MATCH(V1070,'Material routes'!$A$6:$A$2205,0)),"MISSING ID")</x:f>
        <x:v>Tool</x:v>
      </x:c>
      <x:c r="I1070" s="4" t="str">
        <x:f>IFERROR(INDEX('Material routes'!$G$6:$G$2205,MATCH(V1070,'Material routes'!$A$6:$A$2205,0)),"MISSING ID")</x:f>
        <x:v>Salvage</x:v>
      </x:c>
      <x:c r="J1070" s="4" t="str">
        <x:f>IFERROR(INDEX('Material routes'!$B$6:$B$2205,MATCH(U1070,'Material routes'!$A$6:$A$2205,0)),"MISSING ID")</x:f>
        <x:v>design.audit.proposal_canister_inspection_gauge</x:v>
      </x:c>
      <x:c r="K1070" s="4" t="str">
        <x:f>IFERROR(INDEX('Crafting recipes'!$C$6:$C$1005,MATCH(J1070,'Crafting recipes'!$A$6:$A$1005,0)),"MISSING ID")</x:f>
        <x:v>Finished-item crafting</x:v>
      </x:c>
      <x:c r="L1070" s="4" t="str">
        <x:f>IFERROR(INDEX('Material routes'!$K$6:$K$2205,MATCH(U1070,'Material routes'!$A$6:$A$2205,0)),"MISSING ID")</x:f>
        <x:v>Proposal</x:v>
      </x:c>
      <x:c r="M1070" s="4" t="str">
        <x:f>IFERROR(INDEX('Material routes'!$M$6:$M$2205,MATCH(U1070,'Material routes'!$A$6:$A$2205,0)),"MISSING ID")</x:f>
        <x:v>Partial proposal</x:v>
      </x:c>
      <x:c r="N1070" s="4"/>
      <x:c r="O1070" s="4" t="str">
        <x:f>IFERROR(INDEX('Material routes'!$J$6:$J$2205,MATCH(U1070,'Material routes'!$A$6:$A$2205,0)),"MISSING ID")</x:f>
        <x:v>Unspecified</x:v>
      </x:c>
      <x:c r="P1070" s="4"/>
      <x:c r="Q1070" s="4" t="str">
        <x:f>IFERROR(INDEX('Material routes'!$J$6:$J$2205,MATCH(V1070,'Material routes'!$A$6:$A$2205,0)),"MISSING ID")</x:f>
        <x:v>Unspecified</x:v>
      </x:c>
      <x:c r="R1070" s="4" t="str">
        <x:f>IF(L1070="Withheld","Withheld premise",IF(E1070="Tool candidate","Reusable prerequisite",IF(K1070="Raw entry preparation","Entry-resource preparation",IF(G1070="Not applicable",IF(IFERROR(INDEX('Items'!$AI$6:$AI$1005,MATCH(T1070,'Items'!$A$6:$A$1005,0)),"MISSING ID")="Finished item","Finished endpoint",IF(IFERROR(INDEX('Items'!$AI$6:$AI$1005,MATCH(T1070,'Items'!$A$6:$A$1005,0)),"MISSING ID")="Currency","Currency / no refinement tier","Recovered output / tier not applicable")),IF(OR(IFERROR(INDEX('Crafting recipes'!$H$6:$H$1005,MATCH(J1070,'Crafting recipes'!$A$6:$A$1005,0)),"MISSING ID")="Unassigned",G1070="Unassigned"),"Tier unresolved",IF(IFERROR(VALUE(RIGHT(G1070,1))-VALUE(RIGHT(IFERROR(INDEX('Crafting recipes'!$H$6:$H$1005,MATCH(J1070,'Crafting recipes'!$A$6:$A$1005,0)),"MISSING ID"),1)),0)=1,IF(B1070=IFERROR(INDEX('Crafting recipes'!$H$6:$H$1005,MATCH(J1070,'Crafting recipes'!$A$6:$A$1005,0)),"MISSING ID"),"Advances one material tier","Lower-tier ingredient; route advances one tier"),"Needs tier review"))))))</x:f>
        <x:v>Finished endpoint</x:v>
      </x:c>
      <x:c r="S1070" s="4" t="str">
        <x:f>IFERROR(INDEX('Material routes'!$D$6:$D$2205,MATCH(U1070,'Material routes'!$A$6:$A$2205,0)),"MISSING ID")</x:f>
        <x:v>proposal.branch.viewing_glass</x:v>
      </x:c>
      <x:c r="T1070" s="4" t="str">
        <x:f>IFERROR(INDEX('Material routes'!$D$6:$D$2205,MATCH(V1070,'Material routes'!$A$6:$A$2205,0)),"MISSING ID")</x:f>
        <x:v>proposal.canister.inspection_gauge</x:v>
      </x:c>
      <x:c r="U1070" s="4" t="str">
        <x:v>design.audit.proposal_canister_inspection_gauge.audit.in.2</x:v>
      </x:c>
      <x:c r="V1070" s="4" t="str">
        <x:v>design.audit.proposal_canister_inspection_gauge.audit.out</x:v>
      </x:c>
    </x:row>
    <x:row r="1071" ht="64" customHeight="1">
      <x:c r="A1071" s="4" t="str">
        <x:f>IFERROR(INDEX('Material routes'!$E$6:$E$2205,MATCH(U1071,'Material routes'!$A$6:$A$2205,0)),"MISSING ID")</x:f>
        <x:v>Replacement seal ring</x:v>
      </x:c>
      <x:c r="B1071" s="4" t="str">
        <x:f>IFERROR(INDEX('Material routes'!$F$6:$F$2205,MATCH(U1071,'Material routes'!$A$6:$A$2205,0)),"MISSING ID")</x:f>
        <x:v>T3</x:v>
      </x:c>
      <x:c r="C1071" s="4" t="str">
        <x:f>IFERROR(INDEX('Material routes'!$H$6:$H$2205,MATCH(U1071,'Material routes'!$A$6:$A$2205,0)),"MISSING ID")</x:f>
        <x:v>Container part</x:v>
      </x:c>
      <x:c r="D1071" s="4" t="str">
        <x:f>IFERROR(INDEX('Material routes'!$G$6:$G$2205,MATCH(U1071,'Material routes'!$A$6:$A$2205,0)),"MISSING ID")</x:f>
        <x:v>Crafting components</x:v>
      </x:c>
      <x:c r="E1071" s="4" t="str">
        <x:f>IFERROR(INDEX('Material routes'!$C$6:$C$2205,MATCH(U1071,'Material routes'!$A$6:$A$2205,0)),"MISSING ID")</x:f>
        <x:v>Ingredient candidate</x:v>
      </x:c>
      <x:c r="F1071" s="4" t="str">
        <x:f>IFERROR(INDEX('Material routes'!$E$6:$E$2205,MATCH(V1071,'Material routes'!$A$6:$A$2205,0)),"MISSING ID")</x:f>
        <x:v>Canister service kit</x:v>
      </x:c>
      <x:c r="G1071" s="4" t="str">
        <x:f>IFERROR(INDEX('Material routes'!$F$6:$F$2205,MATCH(V1071,'Material routes'!$A$6:$A$2205,0)),"MISSING ID")</x:f>
        <x:v>Not applicable</x:v>
      </x:c>
      <x:c r="H1071" s="4" t="str">
        <x:f>IFERROR(INDEX('Material routes'!$H$6:$H$2205,MATCH(V1071,'Material routes'!$A$6:$A$2205,0)),"MISSING ID")</x:f>
        <x:v>Service kit</x:v>
      </x:c>
      <x:c r="I1071" s="4" t="str">
        <x:f>IFERROR(INDEX('Material routes'!$G$6:$G$2205,MATCH(V1071,'Material routes'!$A$6:$A$2205,0)),"MISSING ID")</x:f>
        <x:v>Salvage</x:v>
      </x:c>
      <x:c r="J1071" s="4" t="str">
        <x:f>IFERROR(INDEX('Material routes'!$B$6:$B$2205,MATCH(U1071,'Material routes'!$A$6:$A$2205,0)),"MISSING ID")</x:f>
        <x:v>design.audit.proposal_canister_service_kit</x:v>
      </x:c>
      <x:c r="K1071" s="4" t="str">
        <x:f>IFERROR(INDEX('Crafting recipes'!$C$6:$C$1005,MATCH(J1071,'Crafting recipes'!$A$6:$A$1005,0)),"MISSING ID")</x:f>
        <x:v>Finished-item crafting</x:v>
      </x:c>
      <x:c r="L1071" s="4" t="str">
        <x:f>IFERROR(INDEX('Material routes'!$K$6:$K$2205,MATCH(U1071,'Material routes'!$A$6:$A$2205,0)),"MISSING ID")</x:f>
        <x:v>Proposal</x:v>
      </x:c>
      <x:c r="M1071" s="4" t="str">
        <x:f>IFERROR(INDEX('Material routes'!$M$6:$M$2205,MATCH(U1071,'Material routes'!$A$6:$A$2205,0)),"MISSING ID")</x:f>
        <x:v>Partial proposal</x:v>
      </x:c>
      <x:c r="N1071" s="4"/>
      <x:c r="O1071" s="4" t="str">
        <x:f>IFERROR(INDEX('Material routes'!$J$6:$J$2205,MATCH(U1071,'Material routes'!$A$6:$A$2205,0)),"MISSING ID")</x:f>
        <x:v>Unspecified</x:v>
      </x:c>
      <x:c r="P1071" s="4"/>
      <x:c r="Q1071" s="4" t="str">
        <x:f>IFERROR(INDEX('Material routes'!$J$6:$J$2205,MATCH(V1071,'Material routes'!$A$6:$A$2205,0)),"MISSING ID")</x:f>
        <x:v>Unspecified</x:v>
      </x:c>
      <x:c r="R1071" s="4" t="str">
        <x:f>IF(L1071="Withheld","Withheld premise",IF(E1071="Tool candidate","Reusable prerequisite",IF(K1071="Raw entry preparation","Entry-resource preparation",IF(G1071="Not applicable",IF(IFERROR(INDEX('Items'!$AI$6:$AI$1005,MATCH(T1071,'Items'!$A$6:$A$1005,0)),"MISSING ID")="Finished item","Finished endpoint",IF(IFERROR(INDEX('Items'!$AI$6:$AI$1005,MATCH(T1071,'Items'!$A$6:$A$1005,0)),"MISSING ID")="Currency","Currency / no refinement tier","Recovered output / tier not applicable")),IF(OR(IFERROR(INDEX('Crafting recipes'!$H$6:$H$1005,MATCH(J1071,'Crafting recipes'!$A$6:$A$1005,0)),"MISSING ID")="Unassigned",G1071="Unassigned"),"Tier unresolved",IF(IFERROR(VALUE(RIGHT(G1071,1))-VALUE(RIGHT(IFERROR(INDEX('Crafting recipes'!$H$6:$H$1005,MATCH(J1071,'Crafting recipes'!$A$6:$A$1005,0)),"MISSING ID"),1)),0)=1,IF(B1071=IFERROR(INDEX('Crafting recipes'!$H$6:$H$1005,MATCH(J1071,'Crafting recipes'!$A$6:$A$1005,0)),"MISSING ID"),"Advances one material tier","Lower-tier ingredient; route advances one tier"),"Needs tier review"))))))</x:f>
        <x:v>Finished endpoint</x:v>
      </x:c>
      <x:c r="S1071" s="4" t="str">
        <x:f>IFERROR(INDEX('Material routes'!$D$6:$D$2205,MATCH(U1071,'Material routes'!$A$6:$A$2205,0)),"MISSING ID")</x:f>
        <x:v>proposal.canister.seal_ring</x:v>
      </x:c>
      <x:c r="T1071" s="4" t="str">
        <x:f>IFERROR(INDEX('Material routes'!$D$6:$D$2205,MATCH(V1071,'Material routes'!$A$6:$A$2205,0)),"MISSING ID")</x:f>
        <x:v>proposal.canister.service_kit</x:v>
      </x:c>
      <x:c r="U1071" s="4" t="str">
        <x:v>design.audit.proposal_canister_service_kit.audit.in.1</x:v>
      </x:c>
      <x:c r="V1071" s="4" t="str">
        <x:v>design.audit.proposal_canister_service_kit.audit.out</x:v>
      </x:c>
    </x:row>
    <x:row r="1072" ht="64" customHeight="1">
      <x:c r="A1072" s="4" t="str">
        <x:f>IFERROR(INDEX('Material routes'!$E$6:$E$2205,MATCH(U1072,'Material routes'!$A$6:$A$2205,0)),"MISSING ID")</x:f>
        <x:v>Canister joint sealant</x:v>
      </x:c>
      <x:c r="B1072" s="4" t="str">
        <x:f>IFERROR(INDEX('Material routes'!$F$6:$F$2205,MATCH(U1072,'Material routes'!$A$6:$A$2205,0)),"MISSING ID")</x:f>
        <x:v>T3</x:v>
      </x:c>
      <x:c r="C1072" s="4" t="str">
        <x:f>IFERROR(INDEX('Material routes'!$H$6:$H$2205,MATCH(U1072,'Material routes'!$A$6:$A$2205,0)),"MISSING ID")</x:f>
        <x:v>Chemical material</x:v>
      </x:c>
      <x:c r="D1072" s="4" t="str">
        <x:f>IFERROR(INDEX('Material routes'!$G$6:$G$2205,MATCH(U1072,'Material routes'!$A$6:$A$2205,0)),"MISSING ID")</x:f>
        <x:v>Crafting components</x:v>
      </x:c>
      <x:c r="E1072" s="4" t="str">
        <x:f>IFERROR(INDEX('Material routes'!$C$6:$C$2205,MATCH(U1072,'Material routes'!$A$6:$A$2205,0)),"MISSING ID")</x:f>
        <x:v>Ingredient candidate</x:v>
      </x:c>
      <x:c r="F1072" s="4" t="str">
        <x:f>IFERROR(INDEX('Material routes'!$E$6:$E$2205,MATCH(V1072,'Material routes'!$A$6:$A$2205,0)),"MISSING ID")</x:f>
        <x:v>Canister service kit</x:v>
      </x:c>
      <x:c r="G1072" s="4" t="str">
        <x:f>IFERROR(INDEX('Material routes'!$F$6:$F$2205,MATCH(V1072,'Material routes'!$A$6:$A$2205,0)),"MISSING ID")</x:f>
        <x:v>Not applicable</x:v>
      </x:c>
      <x:c r="H1072" s="4" t="str">
        <x:f>IFERROR(INDEX('Material routes'!$H$6:$H$2205,MATCH(V1072,'Material routes'!$A$6:$A$2205,0)),"MISSING ID")</x:f>
        <x:v>Service kit</x:v>
      </x:c>
      <x:c r="I1072" s="4" t="str">
        <x:f>IFERROR(INDEX('Material routes'!$G$6:$G$2205,MATCH(V1072,'Material routes'!$A$6:$A$2205,0)),"MISSING ID")</x:f>
        <x:v>Salvage</x:v>
      </x:c>
      <x:c r="J1072" s="4" t="str">
        <x:f>IFERROR(INDEX('Material routes'!$B$6:$B$2205,MATCH(U1072,'Material routes'!$A$6:$A$2205,0)),"MISSING ID")</x:f>
        <x:v>design.audit.proposal_canister_service_kit</x:v>
      </x:c>
      <x:c r="K1072" s="4" t="str">
        <x:f>IFERROR(INDEX('Crafting recipes'!$C$6:$C$1005,MATCH(J1072,'Crafting recipes'!$A$6:$A$1005,0)),"MISSING ID")</x:f>
        <x:v>Finished-item crafting</x:v>
      </x:c>
      <x:c r="L1072" s="4" t="str">
        <x:f>IFERROR(INDEX('Material routes'!$K$6:$K$2205,MATCH(U1072,'Material routes'!$A$6:$A$2205,0)),"MISSING ID")</x:f>
        <x:v>Proposal</x:v>
      </x:c>
      <x:c r="M1072" s="4" t="str">
        <x:f>IFERROR(INDEX('Material routes'!$M$6:$M$2205,MATCH(U1072,'Material routes'!$A$6:$A$2205,0)),"MISSING ID")</x:f>
        <x:v>Partial proposal</x:v>
      </x:c>
      <x:c r="N1072" s="4"/>
      <x:c r="O1072" s="4" t="str">
        <x:f>IFERROR(INDEX('Material routes'!$J$6:$J$2205,MATCH(U1072,'Material routes'!$A$6:$A$2205,0)),"MISSING ID")</x:f>
        <x:v>Unspecified</x:v>
      </x:c>
      <x:c r="P1072" s="4"/>
      <x:c r="Q1072" s="4" t="str">
        <x:f>IFERROR(INDEX('Material routes'!$J$6:$J$2205,MATCH(V1072,'Material routes'!$A$6:$A$2205,0)),"MISSING ID")</x:f>
        <x:v>Unspecified</x:v>
      </x:c>
      <x:c r="R1072" s="4" t="str">
        <x:f>IF(L1072="Withheld","Withheld premise",IF(E1072="Tool candidate","Reusable prerequisite",IF(K1072="Raw entry preparation","Entry-resource preparation",IF(G1072="Not applicable",IF(IFERROR(INDEX('Items'!$AI$6:$AI$1005,MATCH(T1072,'Items'!$A$6:$A$1005,0)),"MISSING ID")="Finished item","Finished endpoint",IF(IFERROR(INDEX('Items'!$AI$6:$AI$1005,MATCH(T1072,'Items'!$A$6:$A$1005,0)),"MISSING ID")="Currency","Currency / no refinement tier","Recovered output / tier not applicable")),IF(OR(IFERROR(INDEX('Crafting recipes'!$H$6:$H$1005,MATCH(J1072,'Crafting recipes'!$A$6:$A$1005,0)),"MISSING ID")="Unassigned",G1072="Unassigned"),"Tier unresolved",IF(IFERROR(VALUE(RIGHT(G1072,1))-VALUE(RIGHT(IFERROR(INDEX('Crafting recipes'!$H$6:$H$1005,MATCH(J1072,'Crafting recipes'!$A$6:$A$1005,0)),"MISSING ID"),1)),0)=1,IF(B1072=IFERROR(INDEX('Crafting recipes'!$H$6:$H$1005,MATCH(J1072,'Crafting recipes'!$A$6:$A$1005,0)),"MISSING ID"),"Advances one material tier","Lower-tier ingredient; route advances one tier"),"Needs tier review"))))))</x:f>
        <x:v>Finished endpoint</x:v>
      </x:c>
      <x:c r="S1072" s="4" t="str">
        <x:f>IFERROR(INDEX('Material routes'!$D$6:$D$2205,MATCH(U1072,'Material routes'!$A$6:$A$2205,0)),"MISSING ID")</x:f>
        <x:v>proposal.canister.sealant</x:v>
      </x:c>
      <x:c r="T1072" s="4" t="str">
        <x:f>IFERROR(INDEX('Material routes'!$D$6:$D$2205,MATCH(V1072,'Material routes'!$A$6:$A$2205,0)),"MISSING ID")</x:f>
        <x:v>proposal.canister.service_kit</x:v>
      </x:c>
      <x:c r="U1072" s="4" t="str">
        <x:v>design.audit.proposal_canister_service_kit.audit.in.2</x:v>
      </x:c>
      <x:c r="V1072" s="4" t="str">
        <x:v>design.audit.proposal_canister_service_kit.audit.out</x:v>
      </x:c>
    </x:row>
    <x:row r="1073" ht="64" customHeight="1">
      <x:c r="A1073" s="4" t="str">
        <x:f>IFERROR(INDEX('Material routes'!$E$6:$E$2205,MATCH(U1073,'Material routes'!$A$6:$A$2205,0)),"MISSING ID")</x:f>
        <x:v>Seal inspection gauge</x:v>
      </x:c>
      <x:c r="B1073" s="4" t="str">
        <x:f>IFERROR(INDEX('Material routes'!$F$6:$F$2205,MATCH(U1073,'Material routes'!$A$6:$A$2205,0)),"MISSING ID")</x:f>
        <x:v>Not applicable</x:v>
      </x:c>
      <x:c r="C1073" s="4" t="str">
        <x:f>IFERROR(INDEX('Material routes'!$H$6:$H$2205,MATCH(U1073,'Material routes'!$A$6:$A$2205,0)),"MISSING ID")</x:f>
        <x:v>Tool</x:v>
      </x:c>
      <x:c r="D1073" s="4" t="str">
        <x:f>IFERROR(INDEX('Material routes'!$G$6:$G$2205,MATCH(U1073,'Material routes'!$A$6:$A$2205,0)),"MISSING ID")</x:f>
        <x:v>Salvage</x:v>
      </x:c>
      <x:c r="E1073" s="4" t="str">
        <x:f>IFERROR(INDEX('Material routes'!$C$6:$C$2205,MATCH(U1073,'Material routes'!$A$6:$A$2205,0)),"MISSING ID")</x:f>
        <x:v>Ingredient candidate</x:v>
      </x:c>
      <x:c r="F1073" s="4" t="str">
        <x:f>IFERROR(INDEX('Material routes'!$E$6:$E$2205,MATCH(V1073,'Material routes'!$A$6:$A$2205,0)),"MISSING ID")</x:f>
        <x:v>Canister service kit</x:v>
      </x:c>
      <x:c r="G1073" s="4" t="str">
        <x:f>IFERROR(INDEX('Material routes'!$F$6:$F$2205,MATCH(V1073,'Material routes'!$A$6:$A$2205,0)),"MISSING ID")</x:f>
        <x:v>Not applicable</x:v>
      </x:c>
      <x:c r="H1073" s="4" t="str">
        <x:f>IFERROR(INDEX('Material routes'!$H$6:$H$2205,MATCH(V1073,'Material routes'!$A$6:$A$2205,0)),"MISSING ID")</x:f>
        <x:v>Service kit</x:v>
      </x:c>
      <x:c r="I1073" s="4" t="str">
        <x:f>IFERROR(INDEX('Material routes'!$G$6:$G$2205,MATCH(V1073,'Material routes'!$A$6:$A$2205,0)),"MISSING ID")</x:f>
        <x:v>Salvage</x:v>
      </x:c>
      <x:c r="J1073" s="4" t="str">
        <x:f>IFERROR(INDEX('Material routes'!$B$6:$B$2205,MATCH(U1073,'Material routes'!$A$6:$A$2205,0)),"MISSING ID")</x:f>
        <x:v>design.audit.proposal_canister_service_kit</x:v>
      </x:c>
      <x:c r="K1073" s="4" t="str">
        <x:f>IFERROR(INDEX('Crafting recipes'!$C$6:$C$1005,MATCH(J1073,'Crafting recipes'!$A$6:$A$1005,0)),"MISSING ID")</x:f>
        <x:v>Finished-item crafting</x:v>
      </x:c>
      <x:c r="L1073" s="4" t="str">
        <x:f>IFERROR(INDEX('Material routes'!$K$6:$K$2205,MATCH(U1073,'Material routes'!$A$6:$A$2205,0)),"MISSING ID")</x:f>
        <x:v>Proposal</x:v>
      </x:c>
      <x:c r="M1073" s="4" t="str">
        <x:f>IFERROR(INDEX('Material routes'!$M$6:$M$2205,MATCH(U1073,'Material routes'!$A$6:$A$2205,0)),"MISSING ID")</x:f>
        <x:v>Partial proposal</x:v>
      </x:c>
      <x:c r="N1073" s="4"/>
      <x:c r="O1073" s="4" t="str">
        <x:f>IFERROR(INDEX('Material routes'!$J$6:$J$2205,MATCH(U1073,'Material routes'!$A$6:$A$2205,0)),"MISSING ID")</x:f>
        <x:v>Unspecified</x:v>
      </x:c>
      <x:c r="P1073" s="4"/>
      <x:c r="Q1073" s="4" t="str">
        <x:f>IFERROR(INDEX('Material routes'!$J$6:$J$2205,MATCH(V1073,'Material routes'!$A$6:$A$2205,0)),"MISSING ID")</x:f>
        <x:v>Unspecified</x:v>
      </x:c>
      <x:c r="R1073" s="4" t="str">
        <x:f>IF(L1073="Withheld","Withheld premise",IF(E1073="Tool candidate","Reusable prerequisite",IF(K1073="Raw entry preparation","Entry-resource preparation",IF(G1073="Not applicable",IF(IFERROR(INDEX('Items'!$AI$6:$AI$1005,MATCH(T1073,'Items'!$A$6:$A$1005,0)),"MISSING ID")="Finished item","Finished endpoint",IF(IFERROR(INDEX('Items'!$AI$6:$AI$1005,MATCH(T1073,'Items'!$A$6:$A$1005,0)),"MISSING ID")="Currency","Currency / no refinement tier","Recovered output / tier not applicable")),IF(OR(IFERROR(INDEX('Crafting recipes'!$H$6:$H$1005,MATCH(J1073,'Crafting recipes'!$A$6:$A$1005,0)),"MISSING ID")="Unassigned",G1073="Unassigned"),"Tier unresolved",IF(IFERROR(VALUE(RIGHT(G1073,1))-VALUE(RIGHT(IFERROR(INDEX('Crafting recipes'!$H$6:$H$1005,MATCH(J1073,'Crafting recipes'!$A$6:$A$1005,0)),"MISSING ID"),1)),0)=1,IF(B1073=IFERROR(INDEX('Crafting recipes'!$H$6:$H$1005,MATCH(J1073,'Crafting recipes'!$A$6:$A$1005,0)),"MISSING ID"),"Advances one material tier","Lower-tier ingredient; route advances one tier"),"Needs tier review"))))))</x:f>
        <x:v>Finished endpoint</x:v>
      </x:c>
      <x:c r="S1073" s="4" t="str">
        <x:f>IFERROR(INDEX('Material routes'!$D$6:$D$2205,MATCH(U1073,'Material routes'!$A$6:$A$2205,0)),"MISSING ID")</x:f>
        <x:v>proposal.canister.inspection_gauge</x:v>
      </x:c>
      <x:c r="T1073" s="4" t="str">
        <x:f>IFERROR(INDEX('Material routes'!$D$6:$D$2205,MATCH(V1073,'Material routes'!$A$6:$A$2205,0)),"MISSING ID")</x:f>
        <x:v>proposal.canister.service_kit</x:v>
      </x:c>
      <x:c r="U1073" s="4" t="str">
        <x:v>design.audit.proposal_canister_service_kit.audit.in.3</x:v>
      </x:c>
      <x:c r="V1073" s="4" t="str">
        <x:v>design.audit.proposal_canister_service_kit.audit.out</x:v>
      </x:c>
    </x:row>
    <x:row r="1074" ht="64" customHeight="1">
      <x:c r="A1074" s="4" t="str">
        <x:f>IFERROR(INDEX('Material routes'!$E$6:$E$2205,MATCH(U1074,'Material routes'!$A$6:$A$2205,0)),"MISSING ID")</x:f>
        <x:v>Joint-service cleaning pick</x:v>
      </x:c>
      <x:c r="B1074" s="4" t="str">
        <x:f>IFERROR(INDEX('Material routes'!$F$6:$F$2205,MATCH(U1074,'Material routes'!$A$6:$A$2205,0)),"MISSING ID")</x:f>
        <x:v>Not applicable</x:v>
      </x:c>
      <x:c r="C1074" s="4" t="str">
        <x:f>IFERROR(INDEX('Material routes'!$H$6:$H$2205,MATCH(U1074,'Material routes'!$A$6:$A$2205,0)),"MISSING ID")</x:f>
        <x:v>Tool</x:v>
      </x:c>
      <x:c r="D1074" s="4" t="str">
        <x:f>IFERROR(INDEX('Material routes'!$G$6:$G$2205,MATCH(U1074,'Material routes'!$A$6:$A$2205,0)),"MISSING ID")</x:f>
        <x:v>Salvage</x:v>
      </x:c>
      <x:c r="E1074" s="4" t="str">
        <x:f>IFERROR(INDEX('Material routes'!$C$6:$C$2205,MATCH(U1074,'Material routes'!$A$6:$A$2205,0)),"MISSING ID")</x:f>
        <x:v>Ingredient candidate</x:v>
      </x:c>
      <x:c r="F1074" s="4" t="str">
        <x:f>IFERROR(INDEX('Material routes'!$E$6:$E$2205,MATCH(V1074,'Material routes'!$A$6:$A$2205,0)),"MISSING ID")</x:f>
        <x:v>Canister service kit</x:v>
      </x:c>
      <x:c r="G1074" s="4" t="str">
        <x:f>IFERROR(INDEX('Material routes'!$F$6:$F$2205,MATCH(V1074,'Material routes'!$A$6:$A$2205,0)),"MISSING ID")</x:f>
        <x:v>Not applicable</x:v>
      </x:c>
      <x:c r="H1074" s="4" t="str">
        <x:f>IFERROR(INDEX('Material routes'!$H$6:$H$2205,MATCH(V1074,'Material routes'!$A$6:$A$2205,0)),"MISSING ID")</x:f>
        <x:v>Service kit</x:v>
      </x:c>
      <x:c r="I1074" s="4" t="str">
        <x:f>IFERROR(INDEX('Material routes'!$G$6:$G$2205,MATCH(V1074,'Material routes'!$A$6:$A$2205,0)),"MISSING ID")</x:f>
        <x:v>Salvage</x:v>
      </x:c>
      <x:c r="J1074" s="4" t="str">
        <x:f>IFERROR(INDEX('Material routes'!$B$6:$B$2205,MATCH(U1074,'Material routes'!$A$6:$A$2205,0)),"MISSING ID")</x:f>
        <x:v>design.audit.proposal_canister_service_kit</x:v>
      </x:c>
      <x:c r="K1074" s="4" t="str">
        <x:f>IFERROR(INDEX('Crafting recipes'!$C$6:$C$1005,MATCH(J1074,'Crafting recipes'!$A$6:$A$1005,0)),"MISSING ID")</x:f>
        <x:v>Finished-item crafting</x:v>
      </x:c>
      <x:c r="L1074" s="4" t="str">
        <x:f>IFERROR(INDEX('Material routes'!$K$6:$K$2205,MATCH(U1074,'Material routes'!$A$6:$A$2205,0)),"MISSING ID")</x:f>
        <x:v>Proposal</x:v>
      </x:c>
      <x:c r="M1074" s="4" t="str">
        <x:f>IFERROR(INDEX('Material routes'!$M$6:$M$2205,MATCH(U1074,'Material routes'!$A$6:$A$2205,0)),"MISSING ID")</x:f>
        <x:v>Partial proposal</x:v>
      </x:c>
      <x:c r="N1074" s="4"/>
      <x:c r="O1074" s="4" t="str">
        <x:f>IFERROR(INDEX('Material routes'!$J$6:$J$2205,MATCH(U1074,'Material routes'!$A$6:$A$2205,0)),"MISSING ID")</x:f>
        <x:v>Unspecified</x:v>
      </x:c>
      <x:c r="P1074" s="4"/>
      <x:c r="Q1074" s="4" t="str">
        <x:f>IFERROR(INDEX('Material routes'!$J$6:$J$2205,MATCH(V1074,'Material routes'!$A$6:$A$2205,0)),"MISSING ID")</x:f>
        <x:v>Unspecified</x:v>
      </x:c>
      <x:c r="R1074" s="4" t="str">
        <x:f>IF(L1074="Withheld","Withheld premise",IF(E1074="Tool candidate","Reusable prerequisite",IF(K1074="Raw entry preparation","Entry-resource preparation",IF(G1074="Not applicable",IF(IFERROR(INDEX('Items'!$AI$6:$AI$1005,MATCH(T1074,'Items'!$A$6:$A$1005,0)),"MISSING ID")="Finished item","Finished endpoint",IF(IFERROR(INDEX('Items'!$AI$6:$AI$1005,MATCH(T1074,'Items'!$A$6:$A$1005,0)),"MISSING ID")="Currency","Currency / no refinement tier","Recovered output / tier not applicable")),IF(OR(IFERROR(INDEX('Crafting recipes'!$H$6:$H$1005,MATCH(J1074,'Crafting recipes'!$A$6:$A$1005,0)),"MISSING ID")="Unassigned",G1074="Unassigned"),"Tier unresolved",IF(IFERROR(VALUE(RIGHT(G1074,1))-VALUE(RIGHT(IFERROR(INDEX('Crafting recipes'!$H$6:$H$1005,MATCH(J1074,'Crafting recipes'!$A$6:$A$1005,0)),"MISSING ID"),1)),0)=1,IF(B1074=IFERROR(INDEX('Crafting recipes'!$H$6:$H$1005,MATCH(J1074,'Crafting recipes'!$A$6:$A$1005,0)),"MISSING ID"),"Advances one material tier","Lower-tier ingredient; route advances one tier"),"Needs tier review"))))))</x:f>
        <x:v>Finished endpoint</x:v>
      </x:c>
      <x:c r="S1074" s="4" t="str">
        <x:f>IFERROR(INDEX('Material routes'!$D$6:$D$2205,MATCH(U1074,'Material routes'!$A$6:$A$2205,0)),"MISSING ID")</x:f>
        <x:v>proposal.legger.service_pick</x:v>
      </x:c>
      <x:c r="T1074" s="4" t="str">
        <x:f>IFERROR(INDEX('Material routes'!$D$6:$D$2205,MATCH(V1074,'Material routes'!$A$6:$A$2205,0)),"MISSING ID")</x:f>
        <x:v>proposal.canister.service_kit</x:v>
      </x:c>
      <x:c r="U1074" s="4" t="str">
        <x:v>design.audit.proposal_canister_service_kit.audit.in.4</x:v>
      </x:c>
      <x:c r="V1074" s="4" t="str">
        <x:v>design.audit.proposal_canister_service_kit.audit.out</x:v>
      </x:c>
    </x:row>
    <x:row r="1075" ht="64" customHeight="1">
      <x:c r="A1075" s="4" t="str">
        <x:f>IFERROR(INDEX('Material routes'!$E$6:$E$2205,MATCH(U1075,'Material routes'!$A$6:$A$2205,0)),"MISSING ID")</x:f>
        <x:v>Shaped fauna hard-part blanks</x:v>
      </x:c>
      <x:c r="B1075" s="4" t="str">
        <x:f>IFERROR(INDEX('Material routes'!$F$6:$F$2205,MATCH(U1075,'Material routes'!$A$6:$A$2205,0)),"MISSING ID")</x:f>
        <x:v>T1</x:v>
      </x:c>
      <x:c r="C1075" s="4" t="str">
        <x:f>IFERROR(INDEX('Material routes'!$H$6:$H$2205,MATCH(U1075,'Material routes'!$A$6:$A$2205,0)),"MISSING ID")</x:f>
        <x:v>Processed material</x:v>
      </x:c>
      <x:c r="D1075" s="4" t="str">
        <x:f>IFERROR(INDEX('Material routes'!$G$6:$G$2205,MATCH(U1075,'Material routes'!$A$6:$A$2205,0)),"MISSING ID")</x:f>
        <x:v>Manufactured stock</x:v>
      </x:c>
      <x:c r="E1075" s="4" t="str">
        <x:f>IFERROR(INDEX('Material routes'!$C$6:$C$2205,MATCH(U1075,'Material routes'!$A$6:$A$2205,0)),"MISSING ID")</x:f>
        <x:v>Ingredient candidate</x:v>
      </x:c>
      <x:c r="F1075" s="4" t="str">
        <x:f>IFERROR(INDEX('Material routes'!$E$6:$E$2205,MATCH(V1075,'Material routes'!$A$6:$A$2205,0)),"MISSING ID")</x:f>
        <x:v>Preserver icon token</x:v>
      </x:c>
      <x:c r="G1075" s="4" t="str">
        <x:f>IFERROR(INDEX('Material routes'!$F$6:$F$2205,MATCH(V1075,'Material routes'!$A$6:$A$2205,0)),"MISSING ID")</x:f>
        <x:v>Not applicable</x:v>
      </x:c>
      <x:c r="H1075" s="4" t="str">
        <x:f>IFERROR(INDEX('Material routes'!$H$6:$H$2205,MATCH(V1075,'Material routes'!$A$6:$A$2205,0)),"MISSING ID")</x:f>
        <x:v>Cultural object</x:v>
      </x:c>
      <x:c r="I1075" s="4" t="str">
        <x:f>IFERROR(INDEX('Material routes'!$G$6:$G$2205,MATCH(V1075,'Material routes'!$A$6:$A$2205,0)),"MISSING ID")</x:f>
        <x:v>Salvage</x:v>
      </x:c>
      <x:c r="J1075" s="4" t="str">
        <x:f>IFERROR(INDEX('Material routes'!$B$6:$B$2205,MATCH(U1075,'Material routes'!$A$6:$A$2205,0)),"MISSING ID")</x:f>
        <x:v>design.audit.proposal_culture_icon</x:v>
      </x:c>
      <x:c r="K1075" s="4" t="str">
        <x:f>IFERROR(INDEX('Crafting recipes'!$C$6:$C$1005,MATCH(J1075,'Crafting recipes'!$A$6:$A$1005,0)),"MISSING ID")</x:f>
        <x:v>Finished-item crafting</x:v>
      </x:c>
      <x:c r="L1075" s="4" t="str">
        <x:f>IFERROR(INDEX('Material routes'!$K$6:$K$2205,MATCH(U1075,'Material routes'!$A$6:$A$2205,0)),"MISSING ID")</x:f>
        <x:v>Proposal</x:v>
      </x:c>
      <x:c r="M1075" s="4" t="str">
        <x:f>IFERROR(INDEX('Material routes'!$M$6:$M$2205,MATCH(U1075,'Material routes'!$A$6:$A$2205,0)),"MISSING ID")</x:f>
        <x:v>Partial proposal</x:v>
      </x:c>
      <x:c r="N1075" s="4"/>
      <x:c r="O1075" s="4" t="str">
        <x:f>IFERROR(INDEX('Material routes'!$J$6:$J$2205,MATCH(U1075,'Material routes'!$A$6:$A$2205,0)),"MISSING ID")</x:f>
        <x:v>Unspecified</x:v>
      </x:c>
      <x:c r="P1075" s="4"/>
      <x:c r="Q1075" s="4" t="str">
        <x:f>IFERROR(INDEX('Material routes'!$J$6:$J$2205,MATCH(V1075,'Material routes'!$A$6:$A$2205,0)),"MISSING ID")</x:f>
        <x:v>Unspecified</x:v>
      </x:c>
      <x:c r="R1075" s="4" t="str">
        <x:f>IF(L1075="Withheld","Withheld premise",IF(E1075="Tool candidate","Reusable prerequisite",IF(K1075="Raw entry preparation","Entry-resource preparation",IF(G1075="Not applicable",IF(IFERROR(INDEX('Items'!$AI$6:$AI$1005,MATCH(T1075,'Items'!$A$6:$A$1005,0)),"MISSING ID")="Finished item","Finished endpoint",IF(IFERROR(INDEX('Items'!$AI$6:$AI$1005,MATCH(T1075,'Items'!$A$6:$A$1005,0)),"MISSING ID")="Currency","Currency / no refinement tier","Recovered output / tier not applicable")),IF(OR(IFERROR(INDEX('Crafting recipes'!$H$6:$H$1005,MATCH(J1075,'Crafting recipes'!$A$6:$A$1005,0)),"MISSING ID")="Unassigned",G1075="Unassigned"),"Tier unresolved",IF(IFERROR(VALUE(RIGHT(G1075,1))-VALUE(RIGHT(IFERROR(INDEX('Crafting recipes'!$H$6:$H$1005,MATCH(J1075,'Crafting recipes'!$A$6:$A$1005,0)),"MISSING ID"),1)),0)=1,IF(B1075=IFERROR(INDEX('Crafting recipes'!$H$6:$H$1005,MATCH(J1075,'Crafting recipes'!$A$6:$A$1005,0)),"MISSING ID"),"Advances one material tier","Lower-tier ingredient; route advances one tier"),"Needs tier review"))))))</x:f>
        <x:v>Finished endpoint</x:v>
      </x:c>
      <x:c r="S1075" s="4" t="str">
        <x:f>IFERROR(INDEX('Material routes'!$D$6:$D$2205,MATCH(U1075,'Material routes'!$A$6:$A$2205,0)),"MISSING ID")</x:f>
        <x:v>proposal.t1.hardpart_blank</x:v>
      </x:c>
      <x:c r="T1075" s="4" t="str">
        <x:f>IFERROR(INDEX('Material routes'!$D$6:$D$2205,MATCH(V1075,'Material routes'!$A$6:$A$2205,0)),"MISSING ID")</x:f>
        <x:v>proposal.culture.icon</x:v>
      </x:c>
      <x:c r="U1075" s="4" t="str">
        <x:v>design.audit.proposal_culture_icon.audit.in.1</x:v>
      </x:c>
      <x:c r="V1075" s="4" t="str">
        <x:v>design.audit.proposal_culture_icon.audit.out</x:v>
      </x:c>
    </x:row>
    <x:row r="1076" ht="64" customHeight="1">
      <x:c r="A1076" s="4" t="str">
        <x:f>IFERROR(INDEX('Material routes'!$E$6:$E$2205,MATCH(U1076,'Material routes'!$A$6:$A$2205,0)),"MISSING ID")</x:f>
        <x:v>Drawn bronze strip stock</x:v>
      </x:c>
      <x:c r="B1076" s="4" t="str">
        <x:f>IFERROR(INDEX('Material routes'!$F$6:$F$2205,MATCH(U1076,'Material routes'!$A$6:$A$2205,0)),"MISSING ID")</x:f>
        <x:v>T2</x:v>
      </x:c>
      <x:c r="C1076" s="4" t="str">
        <x:f>IFERROR(INDEX('Material routes'!$H$6:$H$2205,MATCH(U1076,'Material routes'!$A$6:$A$2205,0)),"MISSING ID")</x:f>
        <x:v>Processed material</x:v>
      </x:c>
      <x:c r="D1076" s="4" t="str">
        <x:f>IFERROR(INDEX('Material routes'!$G$6:$G$2205,MATCH(U1076,'Material routes'!$A$6:$A$2205,0)),"MISSING ID")</x:f>
        <x:v>Manufactured stock</x:v>
      </x:c>
      <x:c r="E1076" s="4" t="str">
        <x:f>IFERROR(INDEX('Material routes'!$C$6:$C$2205,MATCH(U1076,'Material routes'!$A$6:$A$2205,0)),"MISSING ID")</x:f>
        <x:v>Ingredient candidate</x:v>
      </x:c>
      <x:c r="F1076" s="4" t="str">
        <x:f>IFERROR(INDEX('Material routes'!$E$6:$E$2205,MATCH(V1076,'Material routes'!$A$6:$A$2205,0)),"MISSING ID")</x:f>
        <x:v>Preserver icon token</x:v>
      </x:c>
      <x:c r="G1076" s="4" t="str">
        <x:f>IFERROR(INDEX('Material routes'!$F$6:$F$2205,MATCH(V1076,'Material routes'!$A$6:$A$2205,0)),"MISSING ID")</x:f>
        <x:v>Not applicable</x:v>
      </x:c>
      <x:c r="H1076" s="4" t="str">
        <x:f>IFERROR(INDEX('Material routes'!$H$6:$H$2205,MATCH(V1076,'Material routes'!$A$6:$A$2205,0)),"MISSING ID")</x:f>
        <x:v>Cultural object</x:v>
      </x:c>
      <x:c r="I1076" s="4" t="str">
        <x:f>IFERROR(INDEX('Material routes'!$G$6:$G$2205,MATCH(V1076,'Material routes'!$A$6:$A$2205,0)),"MISSING ID")</x:f>
        <x:v>Salvage</x:v>
      </x:c>
      <x:c r="J1076" s="4" t="str">
        <x:f>IFERROR(INDEX('Material routes'!$B$6:$B$2205,MATCH(U1076,'Material routes'!$A$6:$A$2205,0)),"MISSING ID")</x:f>
        <x:v>design.audit.proposal_culture_icon</x:v>
      </x:c>
      <x:c r="K1076" s="4" t="str">
        <x:f>IFERROR(INDEX('Crafting recipes'!$C$6:$C$1005,MATCH(J1076,'Crafting recipes'!$A$6:$A$1005,0)),"MISSING ID")</x:f>
        <x:v>Finished-item crafting</x:v>
      </x:c>
      <x:c r="L1076" s="4" t="str">
        <x:f>IFERROR(INDEX('Material routes'!$K$6:$K$2205,MATCH(U1076,'Material routes'!$A$6:$A$2205,0)),"MISSING ID")</x:f>
        <x:v>Proposal</x:v>
      </x:c>
      <x:c r="M1076" s="4" t="str">
        <x:f>IFERROR(INDEX('Material routes'!$M$6:$M$2205,MATCH(U1076,'Material routes'!$A$6:$A$2205,0)),"MISSING ID")</x:f>
        <x:v>Partial proposal</x:v>
      </x:c>
      <x:c r="N1076" s="4"/>
      <x:c r="O1076" s="4" t="str">
        <x:f>IFERROR(INDEX('Material routes'!$J$6:$J$2205,MATCH(U1076,'Material routes'!$A$6:$A$2205,0)),"MISSING ID")</x:f>
        <x:v>Unspecified</x:v>
      </x:c>
      <x:c r="P1076" s="4"/>
      <x:c r="Q1076" s="4" t="str">
        <x:f>IFERROR(INDEX('Material routes'!$J$6:$J$2205,MATCH(V1076,'Material routes'!$A$6:$A$2205,0)),"MISSING ID")</x:f>
        <x:v>Unspecified</x:v>
      </x:c>
      <x:c r="R1076" s="4" t="str">
        <x:f>IF(L1076="Withheld","Withheld premise",IF(E1076="Tool candidate","Reusable prerequisite",IF(K1076="Raw entry preparation","Entry-resource preparation",IF(G1076="Not applicable",IF(IFERROR(INDEX('Items'!$AI$6:$AI$1005,MATCH(T1076,'Items'!$A$6:$A$1005,0)),"MISSING ID")="Finished item","Finished endpoint",IF(IFERROR(INDEX('Items'!$AI$6:$AI$1005,MATCH(T1076,'Items'!$A$6:$A$1005,0)),"MISSING ID")="Currency","Currency / no refinement tier","Recovered output / tier not applicable")),IF(OR(IFERROR(INDEX('Crafting recipes'!$H$6:$H$1005,MATCH(J1076,'Crafting recipes'!$A$6:$A$1005,0)),"MISSING ID")="Unassigned",G1076="Unassigned"),"Tier unresolved",IF(IFERROR(VALUE(RIGHT(G1076,1))-VALUE(RIGHT(IFERROR(INDEX('Crafting recipes'!$H$6:$H$1005,MATCH(J1076,'Crafting recipes'!$A$6:$A$1005,0)),"MISSING ID"),1)),0)=1,IF(B1076=IFERROR(INDEX('Crafting recipes'!$H$6:$H$1005,MATCH(J1076,'Crafting recipes'!$A$6:$A$1005,0)),"MISSING ID"),"Advances one material tier","Lower-tier ingredient; route advances one tier"),"Needs tier review"))))))</x:f>
        <x:v>Finished endpoint</x:v>
      </x:c>
      <x:c r="S1076" s="4" t="str">
        <x:f>IFERROR(INDEX('Material routes'!$D$6:$D$2205,MATCH(U1076,'Material routes'!$A$6:$A$2205,0)),"MISSING ID")</x:f>
        <x:v>proposal.collection.drawn_bronze_strip_stock</x:v>
      </x:c>
      <x:c r="T1076" s="4" t="str">
        <x:f>IFERROR(INDEX('Material routes'!$D$6:$D$2205,MATCH(V1076,'Material routes'!$A$6:$A$2205,0)),"MISSING ID")</x:f>
        <x:v>proposal.culture.icon</x:v>
      </x:c>
      <x:c r="U1076" s="4" t="str">
        <x:v>design.audit.proposal_culture_icon.audit.in.2</x:v>
      </x:c>
      <x:c r="V1076" s="4" t="str">
        <x:v>design.audit.proposal_culture_icon.audit.out</x:v>
      </x:c>
    </x:row>
    <x:row r="1077" ht="64" customHeight="1">
      <x:c r="A1077" s="4" t="str">
        <x:f>IFERROR(INDEX('Material routes'!$E$6:$E$2205,MATCH(U1077,'Material routes'!$A$6:$A$2205,0)),"MISSING ID")</x:f>
        <x:v>Prepared mineral pigment powder</x:v>
      </x:c>
      <x:c r="B1077" s="4" t="str">
        <x:f>IFERROR(INDEX('Material routes'!$F$6:$F$2205,MATCH(U1077,'Material routes'!$A$6:$A$2205,0)),"MISSING ID")</x:f>
        <x:v>T1</x:v>
      </x:c>
      <x:c r="C1077" s="4" t="str">
        <x:f>IFERROR(INDEX('Material routes'!$H$6:$H$2205,MATCH(U1077,'Material routes'!$A$6:$A$2205,0)),"MISSING ID")</x:f>
        <x:v>Processed material</x:v>
      </x:c>
      <x:c r="D1077" s="4" t="str">
        <x:f>IFERROR(INDEX('Material routes'!$G$6:$G$2205,MATCH(U1077,'Material routes'!$A$6:$A$2205,0)),"MISSING ID")</x:f>
        <x:v>Manufactured stock</x:v>
      </x:c>
      <x:c r="E1077" s="4" t="str">
        <x:f>IFERROR(INDEX('Material routes'!$C$6:$C$2205,MATCH(U1077,'Material routes'!$A$6:$A$2205,0)),"MISSING ID")</x:f>
        <x:v>Ingredient candidate</x:v>
      </x:c>
      <x:c r="F1077" s="4" t="str">
        <x:f>IFERROR(INDEX('Material routes'!$E$6:$E$2205,MATCH(V1077,'Material routes'!$A$6:$A$2205,0)),"MISSING ID")</x:f>
        <x:v>Preserver icon token</x:v>
      </x:c>
      <x:c r="G1077" s="4" t="str">
        <x:f>IFERROR(INDEX('Material routes'!$F$6:$F$2205,MATCH(V1077,'Material routes'!$A$6:$A$2205,0)),"MISSING ID")</x:f>
        <x:v>Not applicable</x:v>
      </x:c>
      <x:c r="H1077" s="4" t="str">
        <x:f>IFERROR(INDEX('Material routes'!$H$6:$H$2205,MATCH(V1077,'Material routes'!$A$6:$A$2205,0)),"MISSING ID")</x:f>
        <x:v>Cultural object</x:v>
      </x:c>
      <x:c r="I1077" s="4" t="str">
        <x:f>IFERROR(INDEX('Material routes'!$G$6:$G$2205,MATCH(V1077,'Material routes'!$A$6:$A$2205,0)),"MISSING ID")</x:f>
        <x:v>Salvage</x:v>
      </x:c>
      <x:c r="J1077" s="4" t="str">
        <x:f>IFERROR(INDEX('Material routes'!$B$6:$B$2205,MATCH(U1077,'Material routes'!$A$6:$A$2205,0)),"MISSING ID")</x:f>
        <x:v>design.audit.proposal_culture_icon</x:v>
      </x:c>
      <x:c r="K1077" s="4" t="str">
        <x:f>IFERROR(INDEX('Crafting recipes'!$C$6:$C$1005,MATCH(J1077,'Crafting recipes'!$A$6:$A$1005,0)),"MISSING ID")</x:f>
        <x:v>Finished-item crafting</x:v>
      </x:c>
      <x:c r="L1077" s="4" t="str">
        <x:f>IFERROR(INDEX('Material routes'!$K$6:$K$2205,MATCH(U1077,'Material routes'!$A$6:$A$2205,0)),"MISSING ID")</x:f>
        <x:v>Proposal</x:v>
      </x:c>
      <x:c r="M1077" s="4" t="str">
        <x:f>IFERROR(INDEX('Material routes'!$M$6:$M$2205,MATCH(U1077,'Material routes'!$A$6:$A$2205,0)),"MISSING ID")</x:f>
        <x:v>Partial proposal</x:v>
      </x:c>
      <x:c r="N1077" s="4"/>
      <x:c r="O1077" s="4" t="str">
        <x:f>IFERROR(INDEX('Material routes'!$J$6:$J$2205,MATCH(U1077,'Material routes'!$A$6:$A$2205,0)),"MISSING ID")</x:f>
        <x:v>Unspecified</x:v>
      </x:c>
      <x:c r="P1077" s="4"/>
      <x:c r="Q1077" s="4" t="str">
        <x:f>IFERROR(INDEX('Material routes'!$J$6:$J$2205,MATCH(V1077,'Material routes'!$A$6:$A$2205,0)),"MISSING ID")</x:f>
        <x:v>Unspecified</x:v>
      </x:c>
      <x:c r="R1077" s="4" t="str">
        <x:f>IF(L1077="Withheld","Withheld premise",IF(E1077="Tool candidate","Reusable prerequisite",IF(K1077="Raw entry preparation","Entry-resource preparation",IF(G1077="Not applicable",IF(IFERROR(INDEX('Items'!$AI$6:$AI$1005,MATCH(T1077,'Items'!$A$6:$A$1005,0)),"MISSING ID")="Finished item","Finished endpoint",IF(IFERROR(INDEX('Items'!$AI$6:$AI$1005,MATCH(T1077,'Items'!$A$6:$A$1005,0)),"MISSING ID")="Currency","Currency / no refinement tier","Recovered output / tier not applicable")),IF(OR(IFERROR(INDEX('Crafting recipes'!$H$6:$H$1005,MATCH(J1077,'Crafting recipes'!$A$6:$A$1005,0)),"MISSING ID")="Unassigned",G1077="Unassigned"),"Tier unresolved",IF(IFERROR(VALUE(RIGHT(G1077,1))-VALUE(RIGHT(IFERROR(INDEX('Crafting recipes'!$H$6:$H$1005,MATCH(J1077,'Crafting recipes'!$A$6:$A$1005,0)),"MISSING ID"),1)),0)=1,IF(B1077=IFERROR(INDEX('Crafting recipes'!$H$6:$H$1005,MATCH(J1077,'Crafting recipes'!$A$6:$A$1005,0)),"MISSING ID"),"Advances one material tier","Lower-tier ingredient; route advances one tier"),"Needs tier review"))))))</x:f>
        <x:v>Finished endpoint</x:v>
      </x:c>
      <x:c r="S1077" s="4" t="str">
        <x:f>IFERROR(INDEX('Material routes'!$D$6:$D$2205,MATCH(U1077,'Material routes'!$A$6:$A$2205,0)),"MISSING ID")</x:f>
        <x:v>proposal.t1.pigment_powder</x:v>
      </x:c>
      <x:c r="T1077" s="4" t="str">
        <x:f>IFERROR(INDEX('Material routes'!$D$6:$D$2205,MATCH(V1077,'Material routes'!$A$6:$A$2205,0)),"MISSING ID")</x:f>
        <x:v>proposal.culture.icon</x:v>
      </x:c>
      <x:c r="U1077" s="4" t="str">
        <x:v>design.audit.proposal_culture_icon.audit.in.3</x:v>
      </x:c>
      <x:c r="V1077" s="4" t="str">
        <x:v>design.audit.proposal_culture_icon.audit.out</x:v>
      </x:c>
    </x:row>
    <x:row r="1078" ht="64" customHeight="1">
      <x:c r="A1078" s="4" t="str">
        <x:f>IFERROR(INDEX('Material routes'!$E$6:$E$2205,MATCH(U1078,'Material routes'!$A$6:$A$2205,0)),"MISSING ID")</x:f>
        <x:v>Shaped fauna hard-part blanks</x:v>
      </x:c>
      <x:c r="B1078" s="4" t="str">
        <x:f>IFERROR(INDEX('Material routes'!$F$6:$F$2205,MATCH(U1078,'Material routes'!$A$6:$A$2205,0)),"MISSING ID")</x:f>
        <x:v>T1</x:v>
      </x:c>
      <x:c r="C1078" s="4" t="str">
        <x:f>IFERROR(INDEX('Material routes'!$H$6:$H$2205,MATCH(U1078,'Material routes'!$A$6:$A$2205,0)),"MISSING ID")</x:f>
        <x:v>Processed material</x:v>
      </x:c>
      <x:c r="D1078" s="4" t="str">
        <x:f>IFERROR(INDEX('Material routes'!$G$6:$G$2205,MATCH(U1078,'Material routes'!$A$6:$A$2205,0)),"MISSING ID")</x:f>
        <x:v>Manufactured stock</x:v>
      </x:c>
      <x:c r="E1078" s="4" t="str">
        <x:f>IFERROR(INDEX('Material routes'!$C$6:$C$2205,MATCH(U1078,'Material routes'!$A$6:$A$2205,0)),"MISSING ID")</x:f>
        <x:v>Ingredient candidate</x:v>
      </x:c>
      <x:c r="F1078" s="4" t="str">
        <x:f>IFERROR(INDEX('Material routes'!$E$6:$E$2205,MATCH(V1078,'Material routes'!$A$6:$A$2205,0)),"MISSING ID")</x:f>
        <x:v>Household shrine plaque</x:v>
      </x:c>
      <x:c r="G1078" s="4" t="str">
        <x:f>IFERROR(INDEX('Material routes'!$F$6:$F$2205,MATCH(V1078,'Material routes'!$A$6:$A$2205,0)),"MISSING ID")</x:f>
        <x:v>Not applicable</x:v>
      </x:c>
      <x:c r="H1078" s="4" t="str">
        <x:f>IFERROR(INDEX('Material routes'!$H$6:$H$2205,MATCH(V1078,'Material routes'!$A$6:$A$2205,0)),"MISSING ID")</x:f>
        <x:v>Cultural object</x:v>
      </x:c>
      <x:c r="I1078" s="4" t="str">
        <x:f>IFERROR(INDEX('Material routes'!$G$6:$G$2205,MATCH(V1078,'Material routes'!$A$6:$A$2205,0)),"MISSING ID")</x:f>
        <x:v>Salvage</x:v>
      </x:c>
      <x:c r="J1078" s="4" t="str">
        <x:f>IFERROR(INDEX('Material routes'!$B$6:$B$2205,MATCH(U1078,'Material routes'!$A$6:$A$2205,0)),"MISSING ID")</x:f>
        <x:v>design.audit.proposal_culture_shrine</x:v>
      </x:c>
      <x:c r="K1078" s="4" t="str">
        <x:f>IFERROR(INDEX('Crafting recipes'!$C$6:$C$1005,MATCH(J1078,'Crafting recipes'!$A$6:$A$1005,0)),"MISSING ID")</x:f>
        <x:v>Finished-item crafting</x:v>
      </x:c>
      <x:c r="L1078" s="4" t="str">
        <x:f>IFERROR(INDEX('Material routes'!$K$6:$K$2205,MATCH(U1078,'Material routes'!$A$6:$A$2205,0)),"MISSING ID")</x:f>
        <x:v>Proposal</x:v>
      </x:c>
      <x:c r="M1078" s="4" t="str">
        <x:f>IFERROR(INDEX('Material routes'!$M$6:$M$2205,MATCH(U1078,'Material routes'!$A$6:$A$2205,0)),"MISSING ID")</x:f>
        <x:v>Partial proposal</x:v>
      </x:c>
      <x:c r="N1078" s="4"/>
      <x:c r="O1078" s="4" t="str">
        <x:f>IFERROR(INDEX('Material routes'!$J$6:$J$2205,MATCH(U1078,'Material routes'!$A$6:$A$2205,0)),"MISSING ID")</x:f>
        <x:v>Unspecified</x:v>
      </x:c>
      <x:c r="P1078" s="4"/>
      <x:c r="Q1078" s="4" t="str">
        <x:f>IFERROR(INDEX('Material routes'!$J$6:$J$2205,MATCH(V1078,'Material routes'!$A$6:$A$2205,0)),"MISSING ID")</x:f>
        <x:v>Unspecified</x:v>
      </x:c>
      <x:c r="R1078" s="4" t="str">
        <x:f>IF(L1078="Withheld","Withheld premise",IF(E1078="Tool candidate","Reusable prerequisite",IF(K1078="Raw entry preparation","Entry-resource preparation",IF(G1078="Not applicable",IF(IFERROR(INDEX('Items'!$AI$6:$AI$1005,MATCH(T1078,'Items'!$A$6:$A$1005,0)),"MISSING ID")="Finished item","Finished endpoint",IF(IFERROR(INDEX('Items'!$AI$6:$AI$1005,MATCH(T1078,'Items'!$A$6:$A$1005,0)),"MISSING ID")="Currency","Currency / no refinement tier","Recovered output / tier not applicable")),IF(OR(IFERROR(INDEX('Crafting recipes'!$H$6:$H$1005,MATCH(J1078,'Crafting recipes'!$A$6:$A$1005,0)),"MISSING ID")="Unassigned",G1078="Unassigned"),"Tier unresolved",IF(IFERROR(VALUE(RIGHT(G1078,1))-VALUE(RIGHT(IFERROR(INDEX('Crafting recipes'!$H$6:$H$1005,MATCH(J1078,'Crafting recipes'!$A$6:$A$1005,0)),"MISSING ID"),1)),0)=1,IF(B1078=IFERROR(INDEX('Crafting recipes'!$H$6:$H$1005,MATCH(J1078,'Crafting recipes'!$A$6:$A$1005,0)),"MISSING ID"),"Advances one material tier","Lower-tier ingredient; route advances one tier"),"Needs tier review"))))))</x:f>
        <x:v>Finished endpoint</x:v>
      </x:c>
      <x:c r="S1078" s="4" t="str">
        <x:f>IFERROR(INDEX('Material routes'!$D$6:$D$2205,MATCH(U1078,'Material routes'!$A$6:$A$2205,0)),"MISSING ID")</x:f>
        <x:v>proposal.t1.hardpart_blank</x:v>
      </x:c>
      <x:c r="T1078" s="4" t="str">
        <x:f>IFERROR(INDEX('Material routes'!$D$6:$D$2205,MATCH(V1078,'Material routes'!$A$6:$A$2205,0)),"MISSING ID")</x:f>
        <x:v>proposal.culture.shrine</x:v>
      </x:c>
      <x:c r="U1078" s="4" t="str">
        <x:v>design.audit.proposal_culture_shrine.audit.in.1</x:v>
      </x:c>
      <x:c r="V1078" s="4" t="str">
        <x:v>design.audit.proposal_culture_shrine.audit.out</x:v>
      </x:c>
    </x:row>
    <x:row r="1079" ht="64" customHeight="1">
      <x:c r="A1079" s="4" t="str">
        <x:f>IFERROR(INDEX('Material routes'!$E$6:$E$2205,MATCH(U1079,'Material routes'!$A$6:$A$2205,0)),"MISSING ID")</x:f>
        <x:v>Drawn bronze strip stock</x:v>
      </x:c>
      <x:c r="B1079" s="4" t="str">
        <x:f>IFERROR(INDEX('Material routes'!$F$6:$F$2205,MATCH(U1079,'Material routes'!$A$6:$A$2205,0)),"MISSING ID")</x:f>
        <x:v>T2</x:v>
      </x:c>
      <x:c r="C1079" s="4" t="str">
        <x:f>IFERROR(INDEX('Material routes'!$H$6:$H$2205,MATCH(U1079,'Material routes'!$A$6:$A$2205,0)),"MISSING ID")</x:f>
        <x:v>Processed material</x:v>
      </x:c>
      <x:c r="D1079" s="4" t="str">
        <x:f>IFERROR(INDEX('Material routes'!$G$6:$G$2205,MATCH(U1079,'Material routes'!$A$6:$A$2205,0)),"MISSING ID")</x:f>
        <x:v>Manufactured stock</x:v>
      </x:c>
      <x:c r="E1079" s="4" t="str">
        <x:f>IFERROR(INDEX('Material routes'!$C$6:$C$2205,MATCH(U1079,'Material routes'!$A$6:$A$2205,0)),"MISSING ID")</x:f>
        <x:v>Ingredient candidate</x:v>
      </x:c>
      <x:c r="F1079" s="4" t="str">
        <x:f>IFERROR(INDEX('Material routes'!$E$6:$E$2205,MATCH(V1079,'Material routes'!$A$6:$A$2205,0)),"MISSING ID")</x:f>
        <x:v>Household shrine plaque</x:v>
      </x:c>
      <x:c r="G1079" s="4" t="str">
        <x:f>IFERROR(INDEX('Material routes'!$F$6:$F$2205,MATCH(V1079,'Material routes'!$A$6:$A$2205,0)),"MISSING ID")</x:f>
        <x:v>Not applicable</x:v>
      </x:c>
      <x:c r="H1079" s="4" t="str">
        <x:f>IFERROR(INDEX('Material routes'!$H$6:$H$2205,MATCH(V1079,'Material routes'!$A$6:$A$2205,0)),"MISSING ID")</x:f>
        <x:v>Cultural object</x:v>
      </x:c>
      <x:c r="I1079" s="4" t="str">
        <x:f>IFERROR(INDEX('Material routes'!$G$6:$G$2205,MATCH(V1079,'Material routes'!$A$6:$A$2205,0)),"MISSING ID")</x:f>
        <x:v>Salvage</x:v>
      </x:c>
      <x:c r="J1079" s="4" t="str">
        <x:f>IFERROR(INDEX('Material routes'!$B$6:$B$2205,MATCH(U1079,'Material routes'!$A$6:$A$2205,0)),"MISSING ID")</x:f>
        <x:v>design.audit.proposal_culture_shrine</x:v>
      </x:c>
      <x:c r="K1079" s="4" t="str">
        <x:f>IFERROR(INDEX('Crafting recipes'!$C$6:$C$1005,MATCH(J1079,'Crafting recipes'!$A$6:$A$1005,0)),"MISSING ID")</x:f>
        <x:v>Finished-item crafting</x:v>
      </x:c>
      <x:c r="L1079" s="4" t="str">
        <x:f>IFERROR(INDEX('Material routes'!$K$6:$K$2205,MATCH(U1079,'Material routes'!$A$6:$A$2205,0)),"MISSING ID")</x:f>
        <x:v>Proposal</x:v>
      </x:c>
      <x:c r="M1079" s="4" t="str">
        <x:f>IFERROR(INDEX('Material routes'!$M$6:$M$2205,MATCH(U1079,'Material routes'!$A$6:$A$2205,0)),"MISSING ID")</x:f>
        <x:v>Partial proposal</x:v>
      </x:c>
      <x:c r="N1079" s="4"/>
      <x:c r="O1079" s="4" t="str">
        <x:f>IFERROR(INDEX('Material routes'!$J$6:$J$2205,MATCH(U1079,'Material routes'!$A$6:$A$2205,0)),"MISSING ID")</x:f>
        <x:v>Unspecified</x:v>
      </x:c>
      <x:c r="P1079" s="4"/>
      <x:c r="Q1079" s="4" t="str">
        <x:f>IFERROR(INDEX('Material routes'!$J$6:$J$2205,MATCH(V1079,'Material routes'!$A$6:$A$2205,0)),"MISSING ID")</x:f>
        <x:v>Unspecified</x:v>
      </x:c>
      <x:c r="R1079" s="4" t="str">
        <x:f>IF(L1079="Withheld","Withheld premise",IF(E1079="Tool candidate","Reusable prerequisite",IF(K1079="Raw entry preparation","Entry-resource preparation",IF(G1079="Not applicable",IF(IFERROR(INDEX('Items'!$AI$6:$AI$1005,MATCH(T1079,'Items'!$A$6:$A$1005,0)),"MISSING ID")="Finished item","Finished endpoint",IF(IFERROR(INDEX('Items'!$AI$6:$AI$1005,MATCH(T1079,'Items'!$A$6:$A$1005,0)),"MISSING ID")="Currency","Currency / no refinement tier","Recovered output / tier not applicable")),IF(OR(IFERROR(INDEX('Crafting recipes'!$H$6:$H$1005,MATCH(J1079,'Crafting recipes'!$A$6:$A$1005,0)),"MISSING ID")="Unassigned",G1079="Unassigned"),"Tier unresolved",IF(IFERROR(VALUE(RIGHT(G1079,1))-VALUE(RIGHT(IFERROR(INDEX('Crafting recipes'!$H$6:$H$1005,MATCH(J1079,'Crafting recipes'!$A$6:$A$1005,0)),"MISSING ID"),1)),0)=1,IF(B1079=IFERROR(INDEX('Crafting recipes'!$H$6:$H$1005,MATCH(J1079,'Crafting recipes'!$A$6:$A$1005,0)),"MISSING ID"),"Advances one material tier","Lower-tier ingredient; route advances one tier"),"Needs tier review"))))))</x:f>
        <x:v>Finished endpoint</x:v>
      </x:c>
      <x:c r="S1079" s="4" t="str">
        <x:f>IFERROR(INDEX('Material routes'!$D$6:$D$2205,MATCH(U1079,'Material routes'!$A$6:$A$2205,0)),"MISSING ID")</x:f>
        <x:v>proposal.collection.drawn_bronze_strip_stock</x:v>
      </x:c>
      <x:c r="T1079" s="4" t="str">
        <x:f>IFERROR(INDEX('Material routes'!$D$6:$D$2205,MATCH(V1079,'Material routes'!$A$6:$A$2205,0)),"MISSING ID")</x:f>
        <x:v>proposal.culture.shrine</x:v>
      </x:c>
      <x:c r="U1079" s="4" t="str">
        <x:v>design.audit.proposal_culture_shrine.audit.in.2</x:v>
      </x:c>
      <x:c r="V1079" s="4" t="str">
        <x:v>design.audit.proposal_culture_shrine.audit.out</x:v>
      </x:c>
    </x:row>
    <x:row r="1080" ht="64" customHeight="1">
      <x:c r="A1080" s="4" t="str">
        <x:f>IFERROR(INDEX('Material routes'!$E$6:$E$2205,MATCH(U1080,'Material routes'!$A$6:$A$2205,0)),"MISSING ID")</x:f>
        <x:v>Prepared mineral pigment powder</x:v>
      </x:c>
      <x:c r="B1080" s="4" t="str">
        <x:f>IFERROR(INDEX('Material routes'!$F$6:$F$2205,MATCH(U1080,'Material routes'!$A$6:$A$2205,0)),"MISSING ID")</x:f>
        <x:v>T1</x:v>
      </x:c>
      <x:c r="C1080" s="4" t="str">
        <x:f>IFERROR(INDEX('Material routes'!$H$6:$H$2205,MATCH(U1080,'Material routes'!$A$6:$A$2205,0)),"MISSING ID")</x:f>
        <x:v>Processed material</x:v>
      </x:c>
      <x:c r="D1080" s="4" t="str">
        <x:f>IFERROR(INDEX('Material routes'!$G$6:$G$2205,MATCH(U1080,'Material routes'!$A$6:$A$2205,0)),"MISSING ID")</x:f>
        <x:v>Manufactured stock</x:v>
      </x:c>
      <x:c r="E1080" s="4" t="str">
        <x:f>IFERROR(INDEX('Material routes'!$C$6:$C$2205,MATCH(U1080,'Material routes'!$A$6:$A$2205,0)),"MISSING ID")</x:f>
        <x:v>Ingredient candidate</x:v>
      </x:c>
      <x:c r="F1080" s="4" t="str">
        <x:f>IFERROR(INDEX('Material routes'!$E$6:$E$2205,MATCH(V1080,'Material routes'!$A$6:$A$2205,0)),"MISSING ID")</x:f>
        <x:v>Household shrine plaque</x:v>
      </x:c>
      <x:c r="G1080" s="4" t="str">
        <x:f>IFERROR(INDEX('Material routes'!$F$6:$F$2205,MATCH(V1080,'Material routes'!$A$6:$A$2205,0)),"MISSING ID")</x:f>
        <x:v>Not applicable</x:v>
      </x:c>
      <x:c r="H1080" s="4" t="str">
        <x:f>IFERROR(INDEX('Material routes'!$H$6:$H$2205,MATCH(V1080,'Material routes'!$A$6:$A$2205,0)),"MISSING ID")</x:f>
        <x:v>Cultural object</x:v>
      </x:c>
      <x:c r="I1080" s="4" t="str">
        <x:f>IFERROR(INDEX('Material routes'!$G$6:$G$2205,MATCH(V1080,'Material routes'!$A$6:$A$2205,0)),"MISSING ID")</x:f>
        <x:v>Salvage</x:v>
      </x:c>
      <x:c r="J1080" s="4" t="str">
        <x:f>IFERROR(INDEX('Material routes'!$B$6:$B$2205,MATCH(U1080,'Material routes'!$A$6:$A$2205,0)),"MISSING ID")</x:f>
        <x:v>design.audit.proposal_culture_shrine</x:v>
      </x:c>
      <x:c r="K1080" s="4" t="str">
        <x:f>IFERROR(INDEX('Crafting recipes'!$C$6:$C$1005,MATCH(J1080,'Crafting recipes'!$A$6:$A$1005,0)),"MISSING ID")</x:f>
        <x:v>Finished-item crafting</x:v>
      </x:c>
      <x:c r="L1080" s="4" t="str">
        <x:f>IFERROR(INDEX('Material routes'!$K$6:$K$2205,MATCH(U1080,'Material routes'!$A$6:$A$2205,0)),"MISSING ID")</x:f>
        <x:v>Proposal</x:v>
      </x:c>
      <x:c r="M1080" s="4" t="str">
        <x:f>IFERROR(INDEX('Material routes'!$M$6:$M$2205,MATCH(U1080,'Material routes'!$A$6:$A$2205,0)),"MISSING ID")</x:f>
        <x:v>Partial proposal</x:v>
      </x:c>
      <x:c r="N1080" s="4"/>
      <x:c r="O1080" s="4" t="str">
        <x:f>IFERROR(INDEX('Material routes'!$J$6:$J$2205,MATCH(U1080,'Material routes'!$A$6:$A$2205,0)),"MISSING ID")</x:f>
        <x:v>Unspecified</x:v>
      </x:c>
      <x:c r="P1080" s="4"/>
      <x:c r="Q1080" s="4" t="str">
        <x:f>IFERROR(INDEX('Material routes'!$J$6:$J$2205,MATCH(V1080,'Material routes'!$A$6:$A$2205,0)),"MISSING ID")</x:f>
        <x:v>Unspecified</x:v>
      </x:c>
      <x:c r="R1080" s="4" t="str">
        <x:f>IF(L1080="Withheld","Withheld premise",IF(E1080="Tool candidate","Reusable prerequisite",IF(K1080="Raw entry preparation","Entry-resource preparation",IF(G1080="Not applicable",IF(IFERROR(INDEX('Items'!$AI$6:$AI$1005,MATCH(T1080,'Items'!$A$6:$A$1005,0)),"MISSING ID")="Finished item","Finished endpoint",IF(IFERROR(INDEX('Items'!$AI$6:$AI$1005,MATCH(T1080,'Items'!$A$6:$A$1005,0)),"MISSING ID")="Currency","Currency / no refinement tier","Recovered output / tier not applicable")),IF(OR(IFERROR(INDEX('Crafting recipes'!$H$6:$H$1005,MATCH(J1080,'Crafting recipes'!$A$6:$A$1005,0)),"MISSING ID")="Unassigned",G1080="Unassigned"),"Tier unresolved",IF(IFERROR(VALUE(RIGHT(G1080,1))-VALUE(RIGHT(IFERROR(INDEX('Crafting recipes'!$H$6:$H$1005,MATCH(J1080,'Crafting recipes'!$A$6:$A$1005,0)),"MISSING ID"),1)),0)=1,IF(B1080=IFERROR(INDEX('Crafting recipes'!$H$6:$H$1005,MATCH(J1080,'Crafting recipes'!$A$6:$A$1005,0)),"MISSING ID"),"Advances one material tier","Lower-tier ingredient; route advances one tier"),"Needs tier review"))))))</x:f>
        <x:v>Finished endpoint</x:v>
      </x:c>
      <x:c r="S1080" s="4" t="str">
        <x:f>IFERROR(INDEX('Material routes'!$D$6:$D$2205,MATCH(U1080,'Material routes'!$A$6:$A$2205,0)),"MISSING ID")</x:f>
        <x:v>proposal.t1.pigment_powder</x:v>
      </x:c>
      <x:c r="T1080" s="4" t="str">
        <x:f>IFERROR(INDEX('Material routes'!$D$6:$D$2205,MATCH(V1080,'Material routes'!$A$6:$A$2205,0)),"MISSING ID")</x:f>
        <x:v>proposal.culture.shrine</x:v>
      </x:c>
      <x:c r="U1080" s="4" t="str">
        <x:v>design.audit.proposal_culture_shrine.audit.in.3</x:v>
      </x:c>
      <x:c r="V1080" s="4" t="str">
        <x:v>design.audit.proposal_culture_shrine.audit.out</x:v>
      </x:c>
    </x:row>
    <x:row r="1081" ht="64" customHeight="1">
      <x:c r="A1081" s="4"/>
      <x:c r="B1081" s="4"/>
      <x:c r="C1081" s="4"/>
      <x:c r="D1081" s="4"/>
      <x:c r="E1081" s="4"/>
      <x:c r="F1081" s="4"/>
      <x:c r="G1081" s="4"/>
      <x:c r="H1081" s="4"/>
      <x:c r="I1081" s="4"/>
      <x:c r="J1081" s="4"/>
      <x:c r="K1081" s="4"/>
      <x:c r="L1081" s="4"/>
      <x:c r="M1081" s="4"/>
      <x:c r="N1081" s="4"/>
      <x:c r="P1081" s="4"/>
      <x:c r="R1081" s="4"/>
      <x:c r="S1081" s="4"/>
      <x:c r="T1081" s="4"/>
      <x:c r="U1081" s="4"/>
      <x:c r="V1081" s="4"/>
    </x:row>
    <x:row r="1082" ht="64" customHeight="1">
      <x:c r="A1082" s="4"/>
      <x:c r="B1082" s="4"/>
      <x:c r="C1082" s="4"/>
      <x:c r="D1082" s="4"/>
      <x:c r="E1082" s="4"/>
      <x:c r="F1082" s="4"/>
      <x:c r="G1082" s="4"/>
      <x:c r="H1082" s="4"/>
      <x:c r="I1082" s="4"/>
      <x:c r="J1082" s="4"/>
      <x:c r="K1082" s="4"/>
      <x:c r="L1082" s="4"/>
      <x:c r="M1082" s="4"/>
      <x:c r="N1082" s="4"/>
      <x:c r="P1082" s="4"/>
      <x:c r="R1082" s="4"/>
      <x:c r="S1082" s="4"/>
      <x:c r="T1082" s="4"/>
      <x:c r="U1082" s="4"/>
      <x:c r="V1082" s="4"/>
    </x:row>
    <x:row r="1083" ht="64" customHeight="1">
      <x:c r="A1083" s="4"/>
      <x:c r="B1083" s="4"/>
      <x:c r="C1083" s="4"/>
      <x:c r="D1083" s="4"/>
      <x:c r="E1083" s="4"/>
      <x:c r="F1083" s="4"/>
      <x:c r="G1083" s="4"/>
      <x:c r="H1083" s="4"/>
      <x:c r="I1083" s="4"/>
      <x:c r="J1083" s="4"/>
      <x:c r="K1083" s="4"/>
      <x:c r="L1083" s="4"/>
      <x:c r="M1083" s="4"/>
      <x:c r="N1083" s="4"/>
      <x:c r="P1083" s="4"/>
      <x:c r="R1083" s="4"/>
      <x:c r="S1083" s="4"/>
      <x:c r="T1083" s="4"/>
      <x:c r="U1083" s="4"/>
      <x:c r="V1083" s="4"/>
    </x:row>
    <x:row r="1084" ht="64" customHeight="1">
      <x:c r="A1084" s="4" t="str">
        <x:f>IFERROR(INDEX('Material routes'!$E$6:$E$2205,MATCH(U1084,'Material routes'!$A$6:$A$2205,0)),"MISSING ID")</x:f>
        <x:v>Layered husk composite stock</x:v>
      </x:c>
      <x:c r="B1084" s="4" t="str">
        <x:f>IFERROR(INDEX('Material routes'!$F$6:$F$2205,MATCH(U1084,'Material routes'!$A$6:$A$2205,0)),"MISSING ID")</x:f>
        <x:v>T3</x:v>
      </x:c>
      <x:c r="C1084" s="4" t="str">
        <x:f>IFERROR(INDEX('Material routes'!$H$6:$H$2205,MATCH(U1084,'Material routes'!$A$6:$A$2205,0)),"MISSING ID")</x:f>
        <x:v>Processed material</x:v>
      </x:c>
      <x:c r="D1084" s="4" t="str">
        <x:f>IFERROR(INDEX('Material routes'!$G$6:$G$2205,MATCH(U1084,'Material routes'!$A$6:$A$2205,0)),"MISSING ID")</x:f>
        <x:v>Manufactured stock</x:v>
      </x:c>
      <x:c r="E1084" s="4" t="str">
        <x:f>IFERROR(INDEX('Material routes'!$C$6:$C$2205,MATCH(U1084,'Material routes'!$A$6:$A$2205,0)),"MISSING ID")</x:f>
        <x:v>Ingredient candidate</x:v>
      </x:c>
      <x:c r="F1084" s="4" t="str">
        <x:f>IFERROR(INDEX('Material routes'!$E$6:$E$2205,MATCH(V1084,'Material routes'!$A$6:$A$2205,0)),"MISSING ID")</x:f>
        <x:v>Relic case</x:v>
      </x:c>
      <x:c r="G1084" s="4" t="str">
        <x:f>IFERROR(INDEX('Material routes'!$F$6:$F$2205,MATCH(V1084,'Material routes'!$A$6:$A$2205,0)),"MISSING ID")</x:f>
        <x:v>Not applicable</x:v>
      </x:c>
      <x:c r="H1084" s="4" t="str">
        <x:f>IFERROR(INDEX('Material routes'!$H$6:$H$2205,MATCH(V1084,'Material routes'!$A$6:$A$2205,0)),"MISSING ID")</x:f>
        <x:v>Container</x:v>
      </x:c>
      <x:c r="I1084" s="4" t="str">
        <x:f>IFERROR(INDEX('Material routes'!$G$6:$G$2205,MATCH(V1084,'Material routes'!$A$6:$A$2205,0)),"MISSING ID")</x:f>
        <x:v>Salvage</x:v>
      </x:c>
      <x:c r="J1084" s="4" t="str">
        <x:f>IFERROR(INDEX('Material routes'!$B$6:$B$2205,MATCH(U1084,'Material routes'!$A$6:$A$2205,0)),"MISSING ID")</x:f>
        <x:v>design.audit.proposal_culture_reliquary</x:v>
      </x:c>
      <x:c r="K1084" s="4" t="str">
        <x:f>IFERROR(INDEX('Crafting recipes'!$C$6:$C$1005,MATCH(J1084,'Crafting recipes'!$A$6:$A$1005,0)),"MISSING ID")</x:f>
        <x:v>Finished-item crafting</x:v>
      </x:c>
      <x:c r="L1084" s="4" t="str">
        <x:f>IFERROR(INDEX('Material routes'!$K$6:$K$2205,MATCH(U1084,'Material routes'!$A$6:$A$2205,0)),"MISSING ID")</x:f>
        <x:v>Proposal</x:v>
      </x:c>
      <x:c r="M1084" s="4" t="str">
        <x:f>IFERROR(INDEX('Material routes'!$M$6:$M$2205,MATCH(U1084,'Material routes'!$A$6:$A$2205,0)),"MISSING ID")</x:f>
        <x:v>Partial proposal</x:v>
      </x:c>
      <x:c r="N1084" s="4"/>
      <x:c r="O1084" s="4" t="str">
        <x:f>IFERROR(INDEX('Material routes'!$J$6:$J$2205,MATCH(U1084,'Material routes'!$A$6:$A$2205,0)),"MISSING ID")</x:f>
        <x:v>Unspecified</x:v>
      </x:c>
      <x:c r="P1084" s="4"/>
      <x:c r="Q1084" s="4" t="str">
        <x:f>IFERROR(INDEX('Material routes'!$J$6:$J$2205,MATCH(V1084,'Material routes'!$A$6:$A$2205,0)),"MISSING ID")</x:f>
        <x:v>Unspecified</x:v>
      </x:c>
      <x:c r="R1084" s="4" t="str">
        <x:f>IF(L1084="Withheld","Withheld premise",IF(E1084="Tool candidate","Reusable prerequisite",IF(K1084="Raw entry preparation","Entry-resource preparation",IF(G1084="Not applicable",IF(IFERROR(INDEX('Items'!$AI$6:$AI$1005,MATCH(T1084,'Items'!$A$6:$A$1005,0)),"MISSING ID")="Finished item","Finished endpoint",IF(IFERROR(INDEX('Items'!$AI$6:$AI$1005,MATCH(T1084,'Items'!$A$6:$A$1005,0)),"MISSING ID")="Currency","Currency / no refinement tier","Recovered output / tier not applicable")),IF(OR(IFERROR(INDEX('Crafting recipes'!$H$6:$H$1005,MATCH(J1084,'Crafting recipes'!$A$6:$A$1005,0)),"MISSING ID")="Unassigned",G1084="Unassigned"),"Tier unresolved",IF(IFERROR(VALUE(RIGHT(G1084,1))-VALUE(RIGHT(IFERROR(INDEX('Crafting recipes'!$H$6:$H$1005,MATCH(J1084,'Crafting recipes'!$A$6:$A$1005,0)),"MISSING ID"),1)),0)=1,IF(B1084=IFERROR(INDEX('Crafting recipes'!$H$6:$H$1005,MATCH(J1084,'Crafting recipes'!$A$6:$A$1005,0)),"MISSING ID"),"Advances one material tier","Lower-tier ingredient; route advances one tier"),"Needs tier review"))))))</x:f>
        <x:v>Finished endpoint</x:v>
      </x:c>
      <x:c r="S1084" s="4" t="str">
        <x:f>IFERROR(INDEX('Material routes'!$D$6:$D$2205,MATCH(U1084,'Material routes'!$A$6:$A$2205,0)),"MISSING ID")</x:f>
        <x:v>proposal.branch.husk_composite</x:v>
      </x:c>
      <x:c r="T1084" s="4" t="str">
        <x:f>IFERROR(INDEX('Material routes'!$D$6:$D$2205,MATCH(V1084,'Material routes'!$A$6:$A$2205,0)),"MISSING ID")</x:f>
        <x:v>proposal.culture.reliquary</x:v>
      </x:c>
      <x:c r="U1084" s="4" t="str">
        <x:v>design.audit.proposal_culture_reliquary.audit.in.1</x:v>
      </x:c>
      <x:c r="V1084" s="4" t="str">
        <x:v>design.audit.proposal_culture_reliquary.audit.out</x:v>
      </x:c>
    </x:row>
    <x:row r="1085" ht="64" customHeight="1">
      <x:c r="A1085" s="4" t="str">
        <x:f>IFERROR(INDEX('Material routes'!$E$6:$E$2205,MATCH(U1085,'Material routes'!$A$6:$A$2205,0)),"MISSING ID")</x:f>
        <x:v>Small metal hinge pair</x:v>
      </x:c>
      <x:c r="B1085" s="4" t="str">
        <x:f>IFERROR(INDEX('Material routes'!$F$6:$F$2205,MATCH(U1085,'Material routes'!$A$6:$A$2205,0)),"MISSING ID")</x:f>
        <x:v>T3</x:v>
      </x:c>
      <x:c r="C1085" s="4" t="str">
        <x:f>IFERROR(INDEX('Material routes'!$H$6:$H$2205,MATCH(U1085,'Material routes'!$A$6:$A$2205,0)),"MISSING ID")</x:f>
        <x:v>Crafting component</x:v>
      </x:c>
      <x:c r="D1085" s="4" t="str">
        <x:f>IFERROR(INDEX('Material routes'!$G$6:$G$2205,MATCH(U1085,'Material routes'!$A$6:$A$2205,0)),"MISSING ID")</x:f>
        <x:v>Crafting components</x:v>
      </x:c>
      <x:c r="E1085" s="4" t="str">
        <x:f>IFERROR(INDEX('Material routes'!$C$6:$C$2205,MATCH(U1085,'Material routes'!$A$6:$A$2205,0)),"MISSING ID")</x:f>
        <x:v>Ingredient candidate</x:v>
      </x:c>
      <x:c r="F1085" s="4" t="str">
        <x:f>IFERROR(INDEX('Material routes'!$E$6:$E$2205,MATCH(V1085,'Material routes'!$A$6:$A$2205,0)),"MISSING ID")</x:f>
        <x:v>Relic case</x:v>
      </x:c>
      <x:c r="G1085" s="4" t="str">
        <x:f>IFERROR(INDEX('Material routes'!$F$6:$F$2205,MATCH(V1085,'Material routes'!$A$6:$A$2205,0)),"MISSING ID")</x:f>
        <x:v>Not applicable</x:v>
      </x:c>
      <x:c r="H1085" s="4" t="str">
        <x:f>IFERROR(INDEX('Material routes'!$H$6:$H$2205,MATCH(V1085,'Material routes'!$A$6:$A$2205,0)),"MISSING ID")</x:f>
        <x:v>Container</x:v>
      </x:c>
      <x:c r="I1085" s="4" t="str">
        <x:f>IFERROR(INDEX('Material routes'!$G$6:$G$2205,MATCH(V1085,'Material routes'!$A$6:$A$2205,0)),"MISSING ID")</x:f>
        <x:v>Salvage</x:v>
      </x:c>
      <x:c r="J1085" s="4" t="str">
        <x:f>IFERROR(INDEX('Material routes'!$B$6:$B$2205,MATCH(U1085,'Material routes'!$A$6:$A$2205,0)),"MISSING ID")</x:f>
        <x:v>design.audit.proposal_culture_reliquary</x:v>
      </x:c>
      <x:c r="K1085" s="4" t="str">
        <x:f>IFERROR(INDEX('Crafting recipes'!$C$6:$C$1005,MATCH(J1085,'Crafting recipes'!$A$6:$A$1005,0)),"MISSING ID")</x:f>
        <x:v>Finished-item crafting</x:v>
      </x:c>
      <x:c r="L1085" s="4" t="str">
        <x:f>IFERROR(INDEX('Material routes'!$K$6:$K$2205,MATCH(U1085,'Material routes'!$A$6:$A$2205,0)),"MISSING ID")</x:f>
        <x:v>Proposal</x:v>
      </x:c>
      <x:c r="M1085" s="4" t="str">
        <x:f>IFERROR(INDEX('Material routes'!$M$6:$M$2205,MATCH(U1085,'Material routes'!$A$6:$A$2205,0)),"MISSING ID")</x:f>
        <x:v>Partial proposal</x:v>
      </x:c>
      <x:c r="N1085" s="4"/>
      <x:c r="O1085" s="4" t="str">
        <x:f>IFERROR(INDEX('Material routes'!$J$6:$J$2205,MATCH(U1085,'Material routes'!$A$6:$A$2205,0)),"MISSING ID")</x:f>
        <x:v>Unspecified</x:v>
      </x:c>
      <x:c r="P1085" s="4"/>
      <x:c r="Q1085" s="4" t="str">
        <x:f>IFERROR(INDEX('Material routes'!$J$6:$J$2205,MATCH(V1085,'Material routes'!$A$6:$A$2205,0)),"MISSING ID")</x:f>
        <x:v>Unspecified</x:v>
      </x:c>
      <x:c r="R1085" s="4" t="str">
        <x:f>IF(L1085="Withheld","Withheld premise",IF(E1085="Tool candidate","Reusable prerequisite",IF(K1085="Raw entry preparation","Entry-resource preparation",IF(G1085="Not applicable",IF(IFERROR(INDEX('Items'!$AI$6:$AI$1005,MATCH(T1085,'Items'!$A$6:$A$1005,0)),"MISSING ID")="Finished item","Finished endpoint",IF(IFERROR(INDEX('Items'!$AI$6:$AI$1005,MATCH(T1085,'Items'!$A$6:$A$1005,0)),"MISSING ID")="Currency","Currency / no refinement tier","Recovered output / tier not applicable")),IF(OR(IFERROR(INDEX('Crafting recipes'!$H$6:$H$1005,MATCH(J1085,'Crafting recipes'!$A$6:$A$1005,0)),"MISSING ID")="Unassigned",G1085="Unassigned"),"Tier unresolved",IF(IFERROR(VALUE(RIGHT(G1085,1))-VALUE(RIGHT(IFERROR(INDEX('Crafting recipes'!$H$6:$H$1005,MATCH(J1085,'Crafting recipes'!$A$6:$A$1005,0)),"MISSING ID"),1)),0)=1,IF(B1085=IFERROR(INDEX('Crafting recipes'!$H$6:$H$1005,MATCH(J1085,'Crafting recipes'!$A$6:$A$1005,0)),"MISSING ID"),"Advances one material tier","Lower-tier ingredient; route advances one tier"),"Needs tier review"))))))</x:f>
        <x:v>Finished endpoint</x:v>
      </x:c>
      <x:c r="S1085" s="4" t="str">
        <x:f>IFERROR(INDEX('Material routes'!$D$6:$D$2205,MATCH(U1085,'Material routes'!$A$6:$A$2205,0)),"MISSING ID")</x:f>
        <x:v>proposal.audit.small_metal_hinge_pair</x:v>
      </x:c>
      <x:c r="T1085" s="4" t="str">
        <x:f>IFERROR(INDEX('Material routes'!$D$6:$D$2205,MATCH(V1085,'Material routes'!$A$6:$A$2205,0)),"MISSING ID")</x:f>
        <x:v>proposal.culture.reliquary</x:v>
      </x:c>
      <x:c r="U1085" s="4" t="str">
        <x:v>design.audit.proposal_culture_reliquary.audit.in.2</x:v>
      </x:c>
      <x:c r="V1085" s="4" t="str">
        <x:v>design.audit.proposal_culture_reliquary.audit.out</x:v>
      </x:c>
    </x:row>
    <x:row r="1086" ht="64" customHeight="1">
      <x:c r="A1086" s="4" t="str">
        <x:f>IFERROR(INDEX('Material routes'!$E$6:$E$2205,MATCH(U1086,'Material routes'!$A$6:$A$2205,0)),"MISSING ID")</x:f>
        <x:v>Husk-reinforced packing stock</x:v>
      </x:c>
      <x:c r="B1086" s="4" t="str">
        <x:f>IFERROR(INDEX('Material routes'!$F$6:$F$2205,MATCH(U1086,'Material routes'!$A$6:$A$2205,0)),"MISSING ID")</x:f>
        <x:v>T3</x:v>
      </x:c>
      <x:c r="C1086" s="4" t="str">
        <x:f>IFERROR(INDEX('Material routes'!$H$6:$H$2205,MATCH(U1086,'Material routes'!$A$6:$A$2205,0)),"MISSING ID")</x:f>
        <x:v>Processed material</x:v>
      </x:c>
      <x:c r="D1086" s="4" t="str">
        <x:f>IFERROR(INDEX('Material routes'!$G$6:$G$2205,MATCH(U1086,'Material routes'!$A$6:$A$2205,0)),"MISSING ID")</x:f>
        <x:v>Manufactured stock</x:v>
      </x:c>
      <x:c r="E1086" s="4" t="str">
        <x:f>IFERROR(INDEX('Material routes'!$C$6:$C$2205,MATCH(U1086,'Material routes'!$A$6:$A$2205,0)),"MISSING ID")</x:f>
        <x:v>Ingredient candidate</x:v>
      </x:c>
      <x:c r="F1086" s="4" t="str">
        <x:f>IFERROR(INDEX('Material routes'!$E$6:$E$2205,MATCH(V1086,'Material routes'!$A$6:$A$2205,0)),"MISSING ID")</x:f>
        <x:v>Relic case</x:v>
      </x:c>
      <x:c r="G1086" s="4" t="str">
        <x:f>IFERROR(INDEX('Material routes'!$F$6:$F$2205,MATCH(V1086,'Material routes'!$A$6:$A$2205,0)),"MISSING ID")</x:f>
        <x:v>Not applicable</x:v>
      </x:c>
      <x:c r="H1086" s="4" t="str">
        <x:f>IFERROR(INDEX('Material routes'!$H$6:$H$2205,MATCH(V1086,'Material routes'!$A$6:$A$2205,0)),"MISSING ID")</x:f>
        <x:v>Container</x:v>
      </x:c>
      <x:c r="I1086" s="4" t="str">
        <x:f>IFERROR(INDEX('Material routes'!$G$6:$G$2205,MATCH(V1086,'Material routes'!$A$6:$A$2205,0)),"MISSING ID")</x:f>
        <x:v>Salvage</x:v>
      </x:c>
      <x:c r="J1086" s="4" t="str">
        <x:f>IFERROR(INDEX('Material routes'!$B$6:$B$2205,MATCH(U1086,'Material routes'!$A$6:$A$2205,0)),"MISSING ID")</x:f>
        <x:v>design.audit.proposal_culture_reliquary</x:v>
      </x:c>
      <x:c r="K1086" s="4" t="str">
        <x:f>IFERROR(INDEX('Crafting recipes'!$C$6:$C$1005,MATCH(J1086,'Crafting recipes'!$A$6:$A$1005,0)),"MISSING ID")</x:f>
        <x:v>Finished-item crafting</x:v>
      </x:c>
      <x:c r="L1086" s="4" t="str">
        <x:f>IFERROR(INDEX('Material routes'!$K$6:$K$2205,MATCH(U1086,'Material routes'!$A$6:$A$2205,0)),"MISSING ID")</x:f>
        <x:v>Proposal</x:v>
      </x:c>
      <x:c r="M1086" s="4" t="str">
        <x:f>IFERROR(INDEX('Material routes'!$M$6:$M$2205,MATCH(U1086,'Material routes'!$A$6:$A$2205,0)),"MISSING ID")</x:f>
        <x:v>Partial proposal</x:v>
      </x:c>
      <x:c r="N1086" s="4"/>
      <x:c r="O1086" s="4" t="str">
        <x:f>IFERROR(INDEX('Material routes'!$J$6:$J$2205,MATCH(U1086,'Material routes'!$A$6:$A$2205,0)),"MISSING ID")</x:f>
        <x:v>Unspecified</x:v>
      </x:c>
      <x:c r="P1086" s="4"/>
      <x:c r="Q1086" s="4" t="str">
        <x:f>IFERROR(INDEX('Material routes'!$J$6:$J$2205,MATCH(V1086,'Material routes'!$A$6:$A$2205,0)),"MISSING ID")</x:f>
        <x:v>Unspecified</x:v>
      </x:c>
      <x:c r="R1086" s="4" t="str">
        <x:f>IF(L1086="Withheld","Withheld premise",IF(E1086="Tool candidate","Reusable prerequisite",IF(K1086="Raw entry preparation","Entry-resource preparation",IF(G1086="Not applicable",IF(IFERROR(INDEX('Items'!$AI$6:$AI$1005,MATCH(T1086,'Items'!$A$6:$A$1005,0)),"MISSING ID")="Finished item","Finished endpoint",IF(IFERROR(INDEX('Items'!$AI$6:$AI$1005,MATCH(T1086,'Items'!$A$6:$A$1005,0)),"MISSING ID")="Currency","Currency / no refinement tier","Recovered output / tier not applicable")),IF(OR(IFERROR(INDEX('Crafting recipes'!$H$6:$H$1005,MATCH(J1086,'Crafting recipes'!$A$6:$A$1005,0)),"MISSING ID")="Unassigned",G1086="Unassigned"),"Tier unresolved",IF(IFERROR(VALUE(RIGHT(G1086,1))-VALUE(RIGHT(IFERROR(INDEX('Crafting recipes'!$H$6:$H$1005,MATCH(J1086,'Crafting recipes'!$A$6:$A$1005,0)),"MISSING ID"),1)),0)=1,IF(B1086=IFERROR(INDEX('Crafting recipes'!$H$6:$H$1005,MATCH(J1086,'Crafting recipes'!$A$6:$A$1005,0)),"MISSING ID"),"Advances one material tier","Lower-tier ingredient; route advances one tier"),"Needs tier review"))))))</x:f>
        <x:v>Finished endpoint</x:v>
      </x:c>
      <x:c r="S1086" s="4" t="str">
        <x:f>IFERROR(INDEX('Material routes'!$D$6:$D$2205,MATCH(U1086,'Material routes'!$A$6:$A$2205,0)),"MISSING ID")</x:f>
        <x:v>proposal.t3.packing_stock</x:v>
      </x:c>
      <x:c r="T1086" s="4" t="str">
        <x:f>IFERROR(INDEX('Material routes'!$D$6:$D$2205,MATCH(V1086,'Material routes'!$A$6:$A$2205,0)),"MISSING ID")</x:f>
        <x:v>proposal.culture.reliquary</x:v>
      </x:c>
      <x:c r="U1086" s="4" t="str">
        <x:v>design.audit.proposal_culture_reliquary.audit.in.3</x:v>
      </x:c>
      <x:c r="V1086" s="4" t="str">
        <x:v>design.audit.proposal_culture_reliquary.audit.out</x:v>
      </x:c>
    </x:row>
    <x:row r="1087" ht="64" customHeight="1">
      <x:c r="A1087" s="4" t="str">
        <x:f>IFERROR(INDEX('Material routes'!$E$6:$E$2205,MATCH(U1087,'Material routes'!$A$6:$A$2205,0)),"MISSING ID")</x:f>
        <x:v>Shaped fauna hard-part blanks</x:v>
      </x:c>
      <x:c r="B1087" s="4" t="str">
        <x:f>IFERROR(INDEX('Material routes'!$F$6:$F$2205,MATCH(U1087,'Material routes'!$A$6:$A$2205,0)),"MISSING ID")</x:f>
        <x:v>T1</x:v>
      </x:c>
      <x:c r="C1087" s="4" t="str">
        <x:f>IFERROR(INDEX('Material routes'!$H$6:$H$2205,MATCH(U1087,'Material routes'!$A$6:$A$2205,0)),"MISSING ID")</x:f>
        <x:v>Processed material</x:v>
      </x:c>
      <x:c r="D1087" s="4" t="str">
        <x:f>IFERROR(INDEX('Material routes'!$G$6:$G$2205,MATCH(U1087,'Material routes'!$A$6:$A$2205,0)),"MISSING ID")</x:f>
        <x:v>Manufactured stock</x:v>
      </x:c>
      <x:c r="E1087" s="4" t="str">
        <x:f>IFERROR(INDEX('Material routes'!$C$6:$C$2205,MATCH(U1087,'Material routes'!$A$6:$A$2205,0)),"MISSING ID")</x:f>
        <x:v>Ingredient candidate</x:v>
      </x:c>
      <x:c r="F1087" s="4" t="str">
        <x:f>IFERROR(INDEX('Material routes'!$E$6:$E$2205,MATCH(V1087,'Material routes'!$A$6:$A$2205,0)),"MISSING ID")</x:f>
        <x:v>Votive shell token</x:v>
      </x:c>
      <x:c r="G1087" s="4" t="str">
        <x:f>IFERROR(INDEX('Material routes'!$F$6:$F$2205,MATCH(V1087,'Material routes'!$A$6:$A$2205,0)),"MISSING ID")</x:f>
        <x:v>Not applicable</x:v>
      </x:c>
      <x:c r="H1087" s="4" t="str">
        <x:f>IFERROR(INDEX('Material routes'!$H$6:$H$2205,MATCH(V1087,'Material routes'!$A$6:$A$2205,0)),"MISSING ID")</x:f>
        <x:v>Cultural object</x:v>
      </x:c>
      <x:c r="I1087" s="4" t="str">
        <x:f>IFERROR(INDEX('Material routes'!$G$6:$G$2205,MATCH(V1087,'Material routes'!$A$6:$A$2205,0)),"MISSING ID")</x:f>
        <x:v>Salvage</x:v>
      </x:c>
      <x:c r="J1087" s="4" t="str">
        <x:f>IFERROR(INDEX('Material routes'!$B$6:$B$2205,MATCH(U1087,'Material routes'!$A$6:$A$2205,0)),"MISSING ID")</x:f>
        <x:v>design.audit.proposal_culture_offering</x:v>
      </x:c>
      <x:c r="K1087" s="4" t="str">
        <x:f>IFERROR(INDEX('Crafting recipes'!$C$6:$C$1005,MATCH(J1087,'Crafting recipes'!$A$6:$A$1005,0)),"MISSING ID")</x:f>
        <x:v>Finished-item crafting</x:v>
      </x:c>
      <x:c r="L1087" s="4" t="str">
        <x:f>IFERROR(INDEX('Material routes'!$K$6:$K$2205,MATCH(U1087,'Material routes'!$A$6:$A$2205,0)),"MISSING ID")</x:f>
        <x:v>Proposal</x:v>
      </x:c>
      <x:c r="M1087" s="4" t="str">
        <x:f>IFERROR(INDEX('Material routes'!$M$6:$M$2205,MATCH(U1087,'Material routes'!$A$6:$A$2205,0)),"MISSING ID")</x:f>
        <x:v>Partial proposal</x:v>
      </x:c>
      <x:c r="N1087" s="4"/>
      <x:c r="O1087" s="4" t="str">
        <x:f>IFERROR(INDEX('Material routes'!$J$6:$J$2205,MATCH(U1087,'Material routes'!$A$6:$A$2205,0)),"MISSING ID")</x:f>
        <x:v>Unspecified</x:v>
      </x:c>
      <x:c r="P1087" s="4"/>
      <x:c r="Q1087" s="4" t="str">
        <x:f>IFERROR(INDEX('Material routes'!$J$6:$J$2205,MATCH(V1087,'Material routes'!$A$6:$A$2205,0)),"MISSING ID")</x:f>
        <x:v>Unspecified</x:v>
      </x:c>
      <x:c r="R1087" s="4" t="str">
        <x:f>IF(L1087="Withheld","Withheld premise",IF(E1087="Tool candidate","Reusable prerequisite",IF(K1087="Raw entry preparation","Entry-resource preparation",IF(G1087="Not applicable",IF(IFERROR(INDEX('Items'!$AI$6:$AI$1005,MATCH(T1087,'Items'!$A$6:$A$1005,0)),"MISSING ID")="Finished item","Finished endpoint",IF(IFERROR(INDEX('Items'!$AI$6:$AI$1005,MATCH(T1087,'Items'!$A$6:$A$1005,0)),"MISSING ID")="Currency","Currency / no refinement tier","Recovered output / tier not applicable")),IF(OR(IFERROR(INDEX('Crafting recipes'!$H$6:$H$1005,MATCH(J1087,'Crafting recipes'!$A$6:$A$1005,0)),"MISSING ID")="Unassigned",G1087="Unassigned"),"Tier unresolved",IF(IFERROR(VALUE(RIGHT(G1087,1))-VALUE(RIGHT(IFERROR(INDEX('Crafting recipes'!$H$6:$H$1005,MATCH(J1087,'Crafting recipes'!$A$6:$A$1005,0)),"MISSING ID"),1)),0)=1,IF(B1087=IFERROR(INDEX('Crafting recipes'!$H$6:$H$1005,MATCH(J1087,'Crafting recipes'!$A$6:$A$1005,0)),"MISSING ID"),"Advances one material tier","Lower-tier ingredient; route advances one tier"),"Needs tier review"))))))</x:f>
        <x:v>Finished endpoint</x:v>
      </x:c>
      <x:c r="S1087" s="4" t="str">
        <x:f>IFERROR(INDEX('Material routes'!$D$6:$D$2205,MATCH(U1087,'Material routes'!$A$6:$A$2205,0)),"MISSING ID")</x:f>
        <x:v>proposal.t1.hardpart_blank</x:v>
      </x:c>
      <x:c r="T1087" s="4" t="str">
        <x:f>IFERROR(INDEX('Material routes'!$D$6:$D$2205,MATCH(V1087,'Material routes'!$A$6:$A$2205,0)),"MISSING ID")</x:f>
        <x:v>proposal.culture.offering</x:v>
      </x:c>
      <x:c r="U1087" s="4" t="str">
        <x:v>design.audit.proposal_culture_offering.audit.in.1</x:v>
      </x:c>
      <x:c r="V1087" s="4" t="str">
        <x:v>design.audit.proposal_culture_offering.audit.out</x:v>
      </x:c>
    </x:row>
    <x:row r="1088" ht="64" customHeight="1">
      <x:c r="A1088" s="4" t="str">
        <x:f>IFERROR(INDEX('Material routes'!$E$6:$E$2205,MATCH(U1088,'Material routes'!$A$6:$A$2205,0)),"MISSING ID")</x:f>
        <x:v>Drawn bronze strip stock</x:v>
      </x:c>
      <x:c r="B1088" s="4" t="str">
        <x:f>IFERROR(INDEX('Material routes'!$F$6:$F$2205,MATCH(U1088,'Material routes'!$A$6:$A$2205,0)),"MISSING ID")</x:f>
        <x:v>T2</x:v>
      </x:c>
      <x:c r="C1088" s="4" t="str">
        <x:f>IFERROR(INDEX('Material routes'!$H$6:$H$2205,MATCH(U1088,'Material routes'!$A$6:$A$2205,0)),"MISSING ID")</x:f>
        <x:v>Processed material</x:v>
      </x:c>
      <x:c r="D1088" s="4" t="str">
        <x:f>IFERROR(INDEX('Material routes'!$G$6:$G$2205,MATCH(U1088,'Material routes'!$A$6:$A$2205,0)),"MISSING ID")</x:f>
        <x:v>Manufactured stock</x:v>
      </x:c>
      <x:c r="E1088" s="4" t="str">
        <x:f>IFERROR(INDEX('Material routes'!$C$6:$C$2205,MATCH(U1088,'Material routes'!$A$6:$A$2205,0)),"MISSING ID")</x:f>
        <x:v>Ingredient candidate</x:v>
      </x:c>
      <x:c r="F1088" s="4" t="str">
        <x:f>IFERROR(INDEX('Material routes'!$E$6:$E$2205,MATCH(V1088,'Material routes'!$A$6:$A$2205,0)),"MISSING ID")</x:f>
        <x:v>Votive shell token</x:v>
      </x:c>
      <x:c r="G1088" s="4" t="str">
        <x:f>IFERROR(INDEX('Material routes'!$F$6:$F$2205,MATCH(V1088,'Material routes'!$A$6:$A$2205,0)),"MISSING ID")</x:f>
        <x:v>Not applicable</x:v>
      </x:c>
      <x:c r="H1088" s="4" t="str">
        <x:f>IFERROR(INDEX('Material routes'!$H$6:$H$2205,MATCH(V1088,'Material routes'!$A$6:$A$2205,0)),"MISSING ID")</x:f>
        <x:v>Cultural object</x:v>
      </x:c>
      <x:c r="I1088" s="4" t="str">
        <x:f>IFERROR(INDEX('Material routes'!$G$6:$G$2205,MATCH(V1088,'Material routes'!$A$6:$A$2205,0)),"MISSING ID")</x:f>
        <x:v>Salvage</x:v>
      </x:c>
      <x:c r="J1088" s="4" t="str">
        <x:f>IFERROR(INDEX('Material routes'!$B$6:$B$2205,MATCH(U1088,'Material routes'!$A$6:$A$2205,0)),"MISSING ID")</x:f>
        <x:v>design.audit.proposal_culture_offering</x:v>
      </x:c>
      <x:c r="K1088" s="4" t="str">
        <x:f>IFERROR(INDEX('Crafting recipes'!$C$6:$C$1005,MATCH(J1088,'Crafting recipes'!$A$6:$A$1005,0)),"MISSING ID")</x:f>
        <x:v>Finished-item crafting</x:v>
      </x:c>
      <x:c r="L1088" s="4" t="str">
        <x:f>IFERROR(INDEX('Material routes'!$K$6:$K$2205,MATCH(U1088,'Material routes'!$A$6:$A$2205,0)),"MISSING ID")</x:f>
        <x:v>Proposal</x:v>
      </x:c>
      <x:c r="M1088" s="4" t="str">
        <x:f>IFERROR(INDEX('Material routes'!$M$6:$M$2205,MATCH(U1088,'Material routes'!$A$6:$A$2205,0)),"MISSING ID")</x:f>
        <x:v>Partial proposal</x:v>
      </x:c>
      <x:c r="N1088" s="4"/>
      <x:c r="O1088" s="4" t="str">
        <x:f>IFERROR(INDEX('Material routes'!$J$6:$J$2205,MATCH(U1088,'Material routes'!$A$6:$A$2205,0)),"MISSING ID")</x:f>
        <x:v>Unspecified</x:v>
      </x:c>
      <x:c r="P1088" s="4"/>
      <x:c r="Q1088" s="4" t="str">
        <x:f>IFERROR(INDEX('Material routes'!$J$6:$J$2205,MATCH(V1088,'Material routes'!$A$6:$A$2205,0)),"MISSING ID")</x:f>
        <x:v>Unspecified</x:v>
      </x:c>
      <x:c r="R1088" s="4" t="str">
        <x:f>IF(L1088="Withheld","Withheld premise",IF(E1088="Tool candidate","Reusable prerequisite",IF(K1088="Raw entry preparation","Entry-resource preparation",IF(G1088="Not applicable",IF(IFERROR(INDEX('Items'!$AI$6:$AI$1005,MATCH(T1088,'Items'!$A$6:$A$1005,0)),"MISSING ID")="Finished item","Finished endpoint",IF(IFERROR(INDEX('Items'!$AI$6:$AI$1005,MATCH(T1088,'Items'!$A$6:$A$1005,0)),"MISSING ID")="Currency","Currency / no refinement tier","Recovered output / tier not applicable")),IF(OR(IFERROR(INDEX('Crafting recipes'!$H$6:$H$1005,MATCH(J1088,'Crafting recipes'!$A$6:$A$1005,0)),"MISSING ID")="Unassigned",G1088="Unassigned"),"Tier unresolved",IF(IFERROR(VALUE(RIGHT(G1088,1))-VALUE(RIGHT(IFERROR(INDEX('Crafting recipes'!$H$6:$H$1005,MATCH(J1088,'Crafting recipes'!$A$6:$A$1005,0)),"MISSING ID"),1)),0)=1,IF(B1088=IFERROR(INDEX('Crafting recipes'!$H$6:$H$1005,MATCH(J1088,'Crafting recipes'!$A$6:$A$1005,0)),"MISSING ID"),"Advances one material tier","Lower-tier ingredient; route advances one tier"),"Needs tier review"))))))</x:f>
        <x:v>Finished endpoint</x:v>
      </x:c>
      <x:c r="S1088" s="4" t="str">
        <x:f>IFERROR(INDEX('Material routes'!$D$6:$D$2205,MATCH(U1088,'Material routes'!$A$6:$A$2205,0)),"MISSING ID")</x:f>
        <x:v>proposal.collection.drawn_bronze_strip_stock</x:v>
      </x:c>
      <x:c r="T1088" s="4" t="str">
        <x:f>IFERROR(INDEX('Material routes'!$D$6:$D$2205,MATCH(V1088,'Material routes'!$A$6:$A$2205,0)),"MISSING ID")</x:f>
        <x:v>proposal.culture.offering</x:v>
      </x:c>
      <x:c r="U1088" s="4" t="str">
        <x:v>design.audit.proposal_culture_offering.audit.in.2</x:v>
      </x:c>
      <x:c r="V1088" s="4" t="str">
        <x:v>design.audit.proposal_culture_offering.audit.out</x:v>
      </x:c>
    </x:row>
    <x:row r="1089" ht="64" customHeight="1">
      <x:c r="A1089" s="4" t="str">
        <x:f>IFERROR(INDEX('Material routes'!$E$6:$E$2205,MATCH(U1089,'Material routes'!$A$6:$A$2205,0)),"MISSING ID")</x:f>
        <x:v>Prepared mineral pigment powder</x:v>
      </x:c>
      <x:c r="B1089" s="4" t="str">
        <x:f>IFERROR(INDEX('Material routes'!$F$6:$F$2205,MATCH(U1089,'Material routes'!$A$6:$A$2205,0)),"MISSING ID")</x:f>
        <x:v>T1</x:v>
      </x:c>
      <x:c r="C1089" s="4" t="str">
        <x:f>IFERROR(INDEX('Material routes'!$H$6:$H$2205,MATCH(U1089,'Material routes'!$A$6:$A$2205,0)),"MISSING ID")</x:f>
        <x:v>Processed material</x:v>
      </x:c>
      <x:c r="D1089" s="4" t="str">
        <x:f>IFERROR(INDEX('Material routes'!$G$6:$G$2205,MATCH(U1089,'Material routes'!$A$6:$A$2205,0)),"MISSING ID")</x:f>
        <x:v>Manufactured stock</x:v>
      </x:c>
      <x:c r="E1089" s="4" t="str">
        <x:f>IFERROR(INDEX('Material routes'!$C$6:$C$2205,MATCH(U1089,'Material routes'!$A$6:$A$2205,0)),"MISSING ID")</x:f>
        <x:v>Ingredient candidate</x:v>
      </x:c>
      <x:c r="F1089" s="4" t="str">
        <x:f>IFERROR(INDEX('Material routes'!$E$6:$E$2205,MATCH(V1089,'Material routes'!$A$6:$A$2205,0)),"MISSING ID")</x:f>
        <x:v>Votive shell token</x:v>
      </x:c>
      <x:c r="G1089" s="4" t="str">
        <x:f>IFERROR(INDEX('Material routes'!$F$6:$F$2205,MATCH(V1089,'Material routes'!$A$6:$A$2205,0)),"MISSING ID")</x:f>
        <x:v>Not applicable</x:v>
      </x:c>
      <x:c r="H1089" s="4" t="str">
        <x:f>IFERROR(INDEX('Material routes'!$H$6:$H$2205,MATCH(V1089,'Material routes'!$A$6:$A$2205,0)),"MISSING ID")</x:f>
        <x:v>Cultural object</x:v>
      </x:c>
      <x:c r="I1089" s="4" t="str">
        <x:f>IFERROR(INDEX('Material routes'!$G$6:$G$2205,MATCH(V1089,'Material routes'!$A$6:$A$2205,0)),"MISSING ID")</x:f>
        <x:v>Salvage</x:v>
      </x:c>
      <x:c r="J1089" s="4" t="str">
        <x:f>IFERROR(INDEX('Material routes'!$B$6:$B$2205,MATCH(U1089,'Material routes'!$A$6:$A$2205,0)),"MISSING ID")</x:f>
        <x:v>design.audit.proposal_culture_offering</x:v>
      </x:c>
      <x:c r="K1089" s="4" t="str">
        <x:f>IFERROR(INDEX('Crafting recipes'!$C$6:$C$1005,MATCH(J1089,'Crafting recipes'!$A$6:$A$1005,0)),"MISSING ID")</x:f>
        <x:v>Finished-item crafting</x:v>
      </x:c>
      <x:c r="L1089" s="4" t="str">
        <x:f>IFERROR(INDEX('Material routes'!$K$6:$K$2205,MATCH(U1089,'Material routes'!$A$6:$A$2205,0)),"MISSING ID")</x:f>
        <x:v>Proposal</x:v>
      </x:c>
      <x:c r="M1089" s="4" t="str">
        <x:f>IFERROR(INDEX('Material routes'!$M$6:$M$2205,MATCH(U1089,'Material routes'!$A$6:$A$2205,0)),"MISSING ID")</x:f>
        <x:v>Partial proposal</x:v>
      </x:c>
      <x:c r="N1089" s="4"/>
      <x:c r="O1089" s="4" t="str">
        <x:f>IFERROR(INDEX('Material routes'!$J$6:$J$2205,MATCH(U1089,'Material routes'!$A$6:$A$2205,0)),"MISSING ID")</x:f>
        <x:v>Unspecified</x:v>
      </x:c>
      <x:c r="P1089" s="4"/>
      <x:c r="Q1089" s="4" t="str">
        <x:f>IFERROR(INDEX('Material routes'!$J$6:$J$2205,MATCH(V1089,'Material routes'!$A$6:$A$2205,0)),"MISSING ID")</x:f>
        <x:v>Unspecified</x:v>
      </x:c>
      <x:c r="R1089" s="4" t="str">
        <x:f>IF(L1089="Withheld","Withheld premise",IF(E1089="Tool candidate","Reusable prerequisite",IF(K1089="Raw entry preparation","Entry-resource preparation",IF(G1089="Not applicable",IF(IFERROR(INDEX('Items'!$AI$6:$AI$1005,MATCH(T1089,'Items'!$A$6:$A$1005,0)),"MISSING ID")="Finished item","Finished endpoint",IF(IFERROR(INDEX('Items'!$AI$6:$AI$1005,MATCH(T1089,'Items'!$A$6:$A$1005,0)),"MISSING ID")="Currency","Currency / no refinement tier","Recovered output / tier not applicable")),IF(OR(IFERROR(INDEX('Crafting recipes'!$H$6:$H$1005,MATCH(J1089,'Crafting recipes'!$A$6:$A$1005,0)),"MISSING ID")="Unassigned",G1089="Unassigned"),"Tier unresolved",IF(IFERROR(VALUE(RIGHT(G1089,1))-VALUE(RIGHT(IFERROR(INDEX('Crafting recipes'!$H$6:$H$1005,MATCH(J1089,'Crafting recipes'!$A$6:$A$1005,0)),"MISSING ID"),1)),0)=1,IF(B1089=IFERROR(INDEX('Crafting recipes'!$H$6:$H$1005,MATCH(J1089,'Crafting recipes'!$A$6:$A$1005,0)),"MISSING ID"),"Advances one material tier","Lower-tier ingredient; route advances one tier"),"Needs tier review"))))))</x:f>
        <x:v>Finished endpoint</x:v>
      </x:c>
      <x:c r="S1089" s="4" t="str">
        <x:f>IFERROR(INDEX('Material routes'!$D$6:$D$2205,MATCH(U1089,'Material routes'!$A$6:$A$2205,0)),"MISSING ID")</x:f>
        <x:v>proposal.t1.pigment_powder</x:v>
      </x:c>
      <x:c r="T1089" s="4" t="str">
        <x:f>IFERROR(INDEX('Material routes'!$D$6:$D$2205,MATCH(V1089,'Material routes'!$A$6:$A$2205,0)),"MISSING ID")</x:f>
        <x:v>proposal.culture.offering</x:v>
      </x:c>
      <x:c r="U1089" s="4" t="str">
        <x:v>design.audit.proposal_culture_offering.audit.in.3</x:v>
      </x:c>
      <x:c r="V1089" s="4" t="str">
        <x:v>design.audit.proposal_culture_offering.audit.out</x:v>
      </x:c>
    </x:row>
    <x:row r="1090" ht="64" customHeight="1">
      <x:c r="A1090" s="4" t="str">
        <x:f>IFERROR(INDEX('Material routes'!$E$6:$E$2205,MATCH(U1090,'Material routes'!$A$6:$A$2205,0)),"MISSING ID")</x:f>
        <x:v>Shaped fauna hard-part blanks</x:v>
      </x:c>
      <x:c r="B1090" s="4" t="str">
        <x:f>IFERROR(INDEX('Material routes'!$F$6:$F$2205,MATCH(U1090,'Material routes'!$A$6:$A$2205,0)),"MISSING ID")</x:f>
        <x:v>T1</x:v>
      </x:c>
      <x:c r="C1090" s="4" t="str">
        <x:f>IFERROR(INDEX('Material routes'!$H$6:$H$2205,MATCH(U1090,'Material routes'!$A$6:$A$2205,0)),"MISSING ID")</x:f>
        <x:v>Processed material</x:v>
      </x:c>
      <x:c r="D1090" s="4" t="str">
        <x:f>IFERROR(INDEX('Material routes'!$G$6:$G$2205,MATCH(U1090,'Material routes'!$A$6:$A$2205,0)),"MISSING ID")</x:f>
        <x:v>Manufactured stock</x:v>
      </x:c>
      <x:c r="E1090" s="4" t="str">
        <x:f>IFERROR(INDEX('Material routes'!$C$6:$C$2205,MATCH(U1090,'Material routes'!$A$6:$A$2205,0)),"MISSING ID")</x:f>
        <x:v>Ingredient candidate</x:v>
      </x:c>
      <x:c r="F1090" s="4" t="str">
        <x:f>IFERROR(INDEX('Material routes'!$E$6:$E$2205,MATCH(V1090,'Material routes'!$A$6:$A$2205,0)),"MISSING ID")</x:f>
        <x:v>Civic office badge</x:v>
      </x:c>
      <x:c r="G1090" s="4" t="str">
        <x:f>IFERROR(INDEX('Material routes'!$F$6:$F$2205,MATCH(V1090,'Material routes'!$A$6:$A$2205,0)),"MISSING ID")</x:f>
        <x:v>Not applicable</x:v>
      </x:c>
      <x:c r="H1090" s="4" t="str">
        <x:f>IFERROR(INDEX('Material routes'!$H$6:$H$2205,MATCH(V1090,'Material routes'!$A$6:$A$2205,0)),"MISSING ID")</x:f>
        <x:v>Cultural object</x:v>
      </x:c>
      <x:c r="I1090" s="4" t="str">
        <x:f>IFERROR(INDEX('Material routes'!$G$6:$G$2205,MATCH(V1090,'Material routes'!$A$6:$A$2205,0)),"MISSING ID")</x:f>
        <x:v>Salvage</x:v>
      </x:c>
      <x:c r="J1090" s="4" t="str">
        <x:f>IFERROR(INDEX('Material routes'!$B$6:$B$2205,MATCH(U1090,'Material routes'!$A$6:$A$2205,0)),"MISSING ID")</x:f>
        <x:v>design.audit.proposal_culture_badge</x:v>
      </x:c>
      <x:c r="K1090" s="4" t="str">
        <x:f>IFERROR(INDEX('Crafting recipes'!$C$6:$C$1005,MATCH(J1090,'Crafting recipes'!$A$6:$A$1005,0)),"MISSING ID")</x:f>
        <x:v>Finished-item crafting</x:v>
      </x:c>
      <x:c r="L1090" s="4" t="str">
        <x:f>IFERROR(INDEX('Material routes'!$K$6:$K$2205,MATCH(U1090,'Material routes'!$A$6:$A$2205,0)),"MISSING ID")</x:f>
        <x:v>Proposal</x:v>
      </x:c>
      <x:c r="M1090" s="4" t="str">
        <x:f>IFERROR(INDEX('Material routes'!$M$6:$M$2205,MATCH(U1090,'Material routes'!$A$6:$A$2205,0)),"MISSING ID")</x:f>
        <x:v>Partial proposal</x:v>
      </x:c>
      <x:c r="N1090" s="4"/>
      <x:c r="O1090" s="4" t="str">
        <x:f>IFERROR(INDEX('Material routes'!$J$6:$J$2205,MATCH(U1090,'Material routes'!$A$6:$A$2205,0)),"MISSING ID")</x:f>
        <x:v>Unspecified</x:v>
      </x:c>
      <x:c r="P1090" s="4"/>
      <x:c r="Q1090" s="4" t="str">
        <x:f>IFERROR(INDEX('Material routes'!$J$6:$J$2205,MATCH(V1090,'Material routes'!$A$6:$A$2205,0)),"MISSING ID")</x:f>
        <x:v>Unspecified</x:v>
      </x:c>
      <x:c r="R1090" s="4" t="str">
        <x:f>IF(L1090="Withheld","Withheld premise",IF(E1090="Tool candidate","Reusable prerequisite",IF(K1090="Raw entry preparation","Entry-resource preparation",IF(G1090="Not applicable",IF(IFERROR(INDEX('Items'!$AI$6:$AI$1005,MATCH(T1090,'Items'!$A$6:$A$1005,0)),"MISSING ID")="Finished item","Finished endpoint",IF(IFERROR(INDEX('Items'!$AI$6:$AI$1005,MATCH(T1090,'Items'!$A$6:$A$1005,0)),"MISSING ID")="Currency","Currency / no refinement tier","Recovered output / tier not applicable")),IF(OR(IFERROR(INDEX('Crafting recipes'!$H$6:$H$1005,MATCH(J1090,'Crafting recipes'!$A$6:$A$1005,0)),"MISSING ID")="Unassigned",G1090="Unassigned"),"Tier unresolved",IF(IFERROR(VALUE(RIGHT(G1090,1))-VALUE(RIGHT(IFERROR(INDEX('Crafting recipes'!$H$6:$H$1005,MATCH(J1090,'Crafting recipes'!$A$6:$A$1005,0)),"MISSING ID"),1)),0)=1,IF(B1090=IFERROR(INDEX('Crafting recipes'!$H$6:$H$1005,MATCH(J1090,'Crafting recipes'!$A$6:$A$1005,0)),"MISSING ID"),"Advances one material tier","Lower-tier ingredient; route advances one tier"),"Needs tier review"))))))</x:f>
        <x:v>Finished endpoint</x:v>
      </x:c>
      <x:c r="S1090" s="4" t="str">
        <x:f>IFERROR(INDEX('Material routes'!$D$6:$D$2205,MATCH(U1090,'Material routes'!$A$6:$A$2205,0)),"MISSING ID")</x:f>
        <x:v>proposal.t1.hardpart_blank</x:v>
      </x:c>
      <x:c r="T1090" s="4" t="str">
        <x:f>IFERROR(INDEX('Material routes'!$D$6:$D$2205,MATCH(V1090,'Material routes'!$A$6:$A$2205,0)),"MISSING ID")</x:f>
        <x:v>proposal.culture.badge</x:v>
      </x:c>
      <x:c r="U1090" s="4" t="str">
        <x:v>design.audit.proposal_culture_badge.audit.in.1</x:v>
      </x:c>
      <x:c r="V1090" s="4" t="str">
        <x:v>design.audit.proposal_culture_badge.audit.out</x:v>
      </x:c>
    </x:row>
    <x:row r="1091" ht="64" customHeight="1">
      <x:c r="A1091" s="4" t="str">
        <x:f>IFERROR(INDEX('Material routes'!$E$6:$E$2205,MATCH(U1091,'Material routes'!$A$6:$A$2205,0)),"MISSING ID")</x:f>
        <x:v>Drawn bronze strip stock</x:v>
      </x:c>
      <x:c r="B1091" s="4" t="str">
        <x:f>IFERROR(INDEX('Material routes'!$F$6:$F$2205,MATCH(U1091,'Material routes'!$A$6:$A$2205,0)),"MISSING ID")</x:f>
        <x:v>T2</x:v>
      </x:c>
      <x:c r="C1091" s="4" t="str">
        <x:f>IFERROR(INDEX('Material routes'!$H$6:$H$2205,MATCH(U1091,'Material routes'!$A$6:$A$2205,0)),"MISSING ID")</x:f>
        <x:v>Processed material</x:v>
      </x:c>
      <x:c r="D1091" s="4" t="str">
        <x:f>IFERROR(INDEX('Material routes'!$G$6:$G$2205,MATCH(U1091,'Material routes'!$A$6:$A$2205,0)),"MISSING ID")</x:f>
        <x:v>Manufactured stock</x:v>
      </x:c>
      <x:c r="E1091" s="4" t="str">
        <x:f>IFERROR(INDEX('Material routes'!$C$6:$C$2205,MATCH(U1091,'Material routes'!$A$6:$A$2205,0)),"MISSING ID")</x:f>
        <x:v>Ingredient candidate</x:v>
      </x:c>
      <x:c r="F1091" s="4" t="str">
        <x:f>IFERROR(INDEX('Material routes'!$E$6:$E$2205,MATCH(V1091,'Material routes'!$A$6:$A$2205,0)),"MISSING ID")</x:f>
        <x:v>Civic office badge</x:v>
      </x:c>
      <x:c r="G1091" s="4" t="str">
        <x:f>IFERROR(INDEX('Material routes'!$F$6:$F$2205,MATCH(V1091,'Material routes'!$A$6:$A$2205,0)),"MISSING ID")</x:f>
        <x:v>Not applicable</x:v>
      </x:c>
      <x:c r="H1091" s="4" t="str">
        <x:f>IFERROR(INDEX('Material routes'!$H$6:$H$2205,MATCH(V1091,'Material routes'!$A$6:$A$2205,0)),"MISSING ID")</x:f>
        <x:v>Cultural object</x:v>
      </x:c>
      <x:c r="I1091" s="4" t="str">
        <x:f>IFERROR(INDEX('Material routes'!$G$6:$G$2205,MATCH(V1091,'Material routes'!$A$6:$A$2205,0)),"MISSING ID")</x:f>
        <x:v>Salvage</x:v>
      </x:c>
      <x:c r="J1091" s="4" t="str">
        <x:f>IFERROR(INDEX('Material routes'!$B$6:$B$2205,MATCH(U1091,'Material routes'!$A$6:$A$2205,0)),"MISSING ID")</x:f>
        <x:v>design.audit.proposal_culture_badge</x:v>
      </x:c>
      <x:c r="K1091" s="4" t="str">
        <x:f>IFERROR(INDEX('Crafting recipes'!$C$6:$C$1005,MATCH(J1091,'Crafting recipes'!$A$6:$A$1005,0)),"MISSING ID")</x:f>
        <x:v>Finished-item crafting</x:v>
      </x:c>
      <x:c r="L1091" s="4" t="str">
        <x:f>IFERROR(INDEX('Material routes'!$K$6:$K$2205,MATCH(U1091,'Material routes'!$A$6:$A$2205,0)),"MISSING ID")</x:f>
        <x:v>Proposal</x:v>
      </x:c>
      <x:c r="M1091" s="4" t="str">
        <x:f>IFERROR(INDEX('Material routes'!$M$6:$M$2205,MATCH(U1091,'Material routes'!$A$6:$A$2205,0)),"MISSING ID")</x:f>
        <x:v>Partial proposal</x:v>
      </x:c>
      <x:c r="N1091" s="4"/>
      <x:c r="O1091" s="4" t="str">
        <x:f>IFERROR(INDEX('Material routes'!$J$6:$J$2205,MATCH(U1091,'Material routes'!$A$6:$A$2205,0)),"MISSING ID")</x:f>
        <x:v>Unspecified</x:v>
      </x:c>
      <x:c r="P1091" s="4"/>
      <x:c r="Q1091" s="4" t="str">
        <x:f>IFERROR(INDEX('Material routes'!$J$6:$J$2205,MATCH(V1091,'Material routes'!$A$6:$A$2205,0)),"MISSING ID")</x:f>
        <x:v>Unspecified</x:v>
      </x:c>
      <x:c r="R1091" s="4" t="str">
        <x:f>IF(L1091="Withheld","Withheld premise",IF(E1091="Tool candidate","Reusable prerequisite",IF(K1091="Raw entry preparation","Entry-resource preparation",IF(G1091="Not applicable",IF(IFERROR(INDEX('Items'!$AI$6:$AI$1005,MATCH(T1091,'Items'!$A$6:$A$1005,0)),"MISSING ID")="Finished item","Finished endpoint",IF(IFERROR(INDEX('Items'!$AI$6:$AI$1005,MATCH(T1091,'Items'!$A$6:$A$1005,0)),"MISSING ID")="Currency","Currency / no refinement tier","Recovered output / tier not applicable")),IF(OR(IFERROR(INDEX('Crafting recipes'!$H$6:$H$1005,MATCH(J1091,'Crafting recipes'!$A$6:$A$1005,0)),"MISSING ID")="Unassigned",G1091="Unassigned"),"Tier unresolved",IF(IFERROR(VALUE(RIGHT(G1091,1))-VALUE(RIGHT(IFERROR(INDEX('Crafting recipes'!$H$6:$H$1005,MATCH(J1091,'Crafting recipes'!$A$6:$A$1005,0)),"MISSING ID"),1)),0)=1,IF(B1091=IFERROR(INDEX('Crafting recipes'!$H$6:$H$1005,MATCH(J1091,'Crafting recipes'!$A$6:$A$1005,0)),"MISSING ID"),"Advances one material tier","Lower-tier ingredient; route advances one tier"),"Needs tier review"))))))</x:f>
        <x:v>Finished endpoint</x:v>
      </x:c>
      <x:c r="S1091" s="4" t="str">
        <x:f>IFERROR(INDEX('Material routes'!$D$6:$D$2205,MATCH(U1091,'Material routes'!$A$6:$A$2205,0)),"MISSING ID")</x:f>
        <x:v>proposal.collection.drawn_bronze_strip_stock</x:v>
      </x:c>
      <x:c r="T1091" s="4" t="str">
        <x:f>IFERROR(INDEX('Material routes'!$D$6:$D$2205,MATCH(V1091,'Material routes'!$A$6:$A$2205,0)),"MISSING ID")</x:f>
        <x:v>proposal.culture.badge</x:v>
      </x:c>
      <x:c r="U1091" s="4" t="str">
        <x:v>design.audit.proposal_culture_badge.audit.in.2</x:v>
      </x:c>
      <x:c r="V1091" s="4" t="str">
        <x:v>design.audit.proposal_culture_badge.audit.out</x:v>
      </x:c>
    </x:row>
    <x:row r="1092" ht="64" customHeight="1">
      <x:c r="A1092" s="4" t="str">
        <x:f>IFERROR(INDEX('Material routes'!$E$6:$E$2205,MATCH(U1092,'Material routes'!$A$6:$A$2205,0)),"MISSING ID")</x:f>
        <x:v>Prepared mineral pigment powder</x:v>
      </x:c>
      <x:c r="B1092" s="4" t="str">
        <x:f>IFERROR(INDEX('Material routes'!$F$6:$F$2205,MATCH(U1092,'Material routes'!$A$6:$A$2205,0)),"MISSING ID")</x:f>
        <x:v>T1</x:v>
      </x:c>
      <x:c r="C1092" s="4" t="str">
        <x:f>IFERROR(INDEX('Material routes'!$H$6:$H$2205,MATCH(U1092,'Material routes'!$A$6:$A$2205,0)),"MISSING ID")</x:f>
        <x:v>Processed material</x:v>
      </x:c>
      <x:c r="D1092" s="4" t="str">
        <x:f>IFERROR(INDEX('Material routes'!$G$6:$G$2205,MATCH(U1092,'Material routes'!$A$6:$A$2205,0)),"MISSING ID")</x:f>
        <x:v>Manufactured stock</x:v>
      </x:c>
      <x:c r="E1092" s="4" t="str">
        <x:f>IFERROR(INDEX('Material routes'!$C$6:$C$2205,MATCH(U1092,'Material routes'!$A$6:$A$2205,0)),"MISSING ID")</x:f>
        <x:v>Ingredient candidate</x:v>
      </x:c>
      <x:c r="F1092" s="4" t="str">
        <x:f>IFERROR(INDEX('Material routes'!$E$6:$E$2205,MATCH(V1092,'Material routes'!$A$6:$A$2205,0)),"MISSING ID")</x:f>
        <x:v>Civic office badge</x:v>
      </x:c>
      <x:c r="G1092" s="4" t="str">
        <x:f>IFERROR(INDEX('Material routes'!$F$6:$F$2205,MATCH(V1092,'Material routes'!$A$6:$A$2205,0)),"MISSING ID")</x:f>
        <x:v>Not applicable</x:v>
      </x:c>
      <x:c r="H1092" s="4" t="str">
        <x:f>IFERROR(INDEX('Material routes'!$H$6:$H$2205,MATCH(V1092,'Material routes'!$A$6:$A$2205,0)),"MISSING ID")</x:f>
        <x:v>Cultural object</x:v>
      </x:c>
      <x:c r="I1092" s="4" t="str">
        <x:f>IFERROR(INDEX('Material routes'!$G$6:$G$2205,MATCH(V1092,'Material routes'!$A$6:$A$2205,0)),"MISSING ID")</x:f>
        <x:v>Salvage</x:v>
      </x:c>
      <x:c r="J1092" s="4" t="str">
        <x:f>IFERROR(INDEX('Material routes'!$B$6:$B$2205,MATCH(U1092,'Material routes'!$A$6:$A$2205,0)),"MISSING ID")</x:f>
        <x:v>design.audit.proposal_culture_badge</x:v>
      </x:c>
      <x:c r="K1092" s="4" t="str">
        <x:f>IFERROR(INDEX('Crafting recipes'!$C$6:$C$1005,MATCH(J1092,'Crafting recipes'!$A$6:$A$1005,0)),"MISSING ID")</x:f>
        <x:v>Finished-item crafting</x:v>
      </x:c>
      <x:c r="L1092" s="4" t="str">
        <x:f>IFERROR(INDEX('Material routes'!$K$6:$K$2205,MATCH(U1092,'Material routes'!$A$6:$A$2205,0)),"MISSING ID")</x:f>
        <x:v>Proposal</x:v>
      </x:c>
      <x:c r="M1092" s="4" t="str">
        <x:f>IFERROR(INDEX('Material routes'!$M$6:$M$2205,MATCH(U1092,'Material routes'!$A$6:$A$2205,0)),"MISSING ID")</x:f>
        <x:v>Partial proposal</x:v>
      </x:c>
      <x:c r="N1092" s="4"/>
      <x:c r="O1092" s="4" t="str">
        <x:f>IFERROR(INDEX('Material routes'!$J$6:$J$2205,MATCH(U1092,'Material routes'!$A$6:$A$2205,0)),"MISSING ID")</x:f>
        <x:v>Unspecified</x:v>
      </x:c>
      <x:c r="P1092" s="4"/>
      <x:c r="Q1092" s="4" t="str">
        <x:f>IFERROR(INDEX('Material routes'!$J$6:$J$2205,MATCH(V1092,'Material routes'!$A$6:$A$2205,0)),"MISSING ID")</x:f>
        <x:v>Unspecified</x:v>
      </x:c>
      <x:c r="R1092" s="4" t="str">
        <x:f>IF(L1092="Withheld","Withheld premise",IF(E1092="Tool candidate","Reusable prerequisite",IF(K1092="Raw entry preparation","Entry-resource preparation",IF(G1092="Not applicable",IF(IFERROR(INDEX('Items'!$AI$6:$AI$1005,MATCH(T1092,'Items'!$A$6:$A$1005,0)),"MISSING ID")="Finished item","Finished endpoint",IF(IFERROR(INDEX('Items'!$AI$6:$AI$1005,MATCH(T1092,'Items'!$A$6:$A$1005,0)),"MISSING ID")="Currency","Currency / no refinement tier","Recovered output / tier not applicable")),IF(OR(IFERROR(INDEX('Crafting recipes'!$H$6:$H$1005,MATCH(J1092,'Crafting recipes'!$A$6:$A$1005,0)),"MISSING ID")="Unassigned",G1092="Unassigned"),"Tier unresolved",IF(IFERROR(VALUE(RIGHT(G1092,1))-VALUE(RIGHT(IFERROR(INDEX('Crafting recipes'!$H$6:$H$1005,MATCH(J1092,'Crafting recipes'!$A$6:$A$1005,0)),"MISSING ID"),1)),0)=1,IF(B1092=IFERROR(INDEX('Crafting recipes'!$H$6:$H$1005,MATCH(J1092,'Crafting recipes'!$A$6:$A$1005,0)),"MISSING ID"),"Advances one material tier","Lower-tier ingredient; route advances one tier"),"Needs tier review"))))))</x:f>
        <x:v>Finished endpoint</x:v>
      </x:c>
      <x:c r="S1092" s="4" t="str">
        <x:f>IFERROR(INDEX('Material routes'!$D$6:$D$2205,MATCH(U1092,'Material routes'!$A$6:$A$2205,0)),"MISSING ID")</x:f>
        <x:v>proposal.t1.pigment_powder</x:v>
      </x:c>
      <x:c r="T1092" s="4" t="str">
        <x:f>IFERROR(INDEX('Material routes'!$D$6:$D$2205,MATCH(V1092,'Material routes'!$A$6:$A$2205,0)),"MISSING ID")</x:f>
        <x:v>proposal.culture.badge</x:v>
      </x:c>
      <x:c r="U1092" s="4" t="str">
        <x:v>design.audit.proposal_culture_badge.audit.in.3</x:v>
      </x:c>
      <x:c r="V1092" s="4" t="str">
        <x:v>design.audit.proposal_culture_badge.audit.out</x:v>
      </x:c>
    </x:row>
    <x:row r="1093" ht="64" customHeight="1">
      <x:c r="A1093" s="4" t="str">
        <x:f>IFERROR(INDEX('Material routes'!$E$6:$E$2205,MATCH(U1093,'Material routes'!$A$6:$A$2205,0)),"MISSING ID")</x:f>
        <x:v>Steel stock</x:v>
      </x:c>
      <x:c r="B1093" s="4" t="str">
        <x:f>IFERROR(INDEX('Material routes'!$F$6:$F$2205,MATCH(U1093,'Material routes'!$A$6:$A$2205,0)),"MISSING ID")</x:f>
        <x:v>T2</x:v>
      </x:c>
      <x:c r="C1093" s="4" t="str">
        <x:f>IFERROR(INDEX('Material routes'!$H$6:$H$2205,MATCH(U1093,'Material routes'!$A$6:$A$2205,0)),"MISSING ID")</x:f>
        <x:v>Processed material</x:v>
      </x:c>
      <x:c r="D1093" s="4" t="str">
        <x:f>IFERROR(INDEX('Material routes'!$G$6:$G$2205,MATCH(U1093,'Material routes'!$A$6:$A$2205,0)),"MISSING ID")</x:f>
        <x:v>Manufactured stock</x:v>
      </x:c>
      <x:c r="E1093" s="4" t="str">
        <x:f>IFERROR(INDEX('Material routes'!$C$6:$C$2205,MATCH(U1093,'Material routes'!$A$6:$A$2205,0)),"MISSING ID")</x:f>
        <x:v>Ingredient candidate</x:v>
      </x:c>
      <x:c r="F1093" s="4" t="str">
        <x:f>IFERROR(INDEX('Material routes'!$E$6:$E$2205,MATCH(V1093,'Material routes'!$A$6:$A$2205,0)),"MISSING ID")</x:f>
        <x:v>Official seal stamp</x:v>
      </x:c>
      <x:c r="G1093" s="4" t="str">
        <x:f>IFERROR(INDEX('Material routes'!$F$6:$F$2205,MATCH(V1093,'Material routes'!$A$6:$A$2205,0)),"MISSING ID")</x:f>
        <x:v>Not applicable</x:v>
      </x:c>
      <x:c r="H1093" s="4" t="str">
        <x:f>IFERROR(INDEX('Material routes'!$H$6:$H$2205,MATCH(V1093,'Material routes'!$A$6:$A$2205,0)),"MISSING ID")</x:f>
        <x:v>Tool</x:v>
      </x:c>
      <x:c r="I1093" s="4" t="str">
        <x:f>IFERROR(INDEX('Material routes'!$G$6:$G$2205,MATCH(V1093,'Material routes'!$A$6:$A$2205,0)),"MISSING ID")</x:f>
        <x:v>Salvage</x:v>
      </x:c>
      <x:c r="J1093" s="4" t="str">
        <x:f>IFERROR(INDEX('Material routes'!$B$6:$B$2205,MATCH(U1093,'Material routes'!$A$6:$A$2205,0)),"MISSING ID")</x:f>
        <x:v>design.audit.proposal_culture_stamp</x:v>
      </x:c>
      <x:c r="K1093" s="4" t="str">
        <x:f>IFERROR(INDEX('Crafting recipes'!$C$6:$C$1005,MATCH(J1093,'Crafting recipes'!$A$6:$A$1005,0)),"MISSING ID")</x:f>
        <x:v>Finished-item crafting</x:v>
      </x:c>
      <x:c r="L1093" s="4" t="str">
        <x:f>IFERROR(INDEX('Material routes'!$K$6:$K$2205,MATCH(U1093,'Material routes'!$A$6:$A$2205,0)),"MISSING ID")</x:f>
        <x:v>Proposal</x:v>
      </x:c>
      <x:c r="M1093" s="4" t="str">
        <x:f>IFERROR(INDEX('Material routes'!$M$6:$M$2205,MATCH(U1093,'Material routes'!$A$6:$A$2205,0)),"MISSING ID")</x:f>
        <x:v>Partial proposal</x:v>
      </x:c>
      <x:c r="N1093" s="4"/>
      <x:c r="O1093" s="4" t="str">
        <x:f>IFERROR(INDEX('Material routes'!$J$6:$J$2205,MATCH(U1093,'Material routes'!$A$6:$A$2205,0)),"MISSING ID")</x:f>
        <x:v>Unspecified</x:v>
      </x:c>
      <x:c r="P1093" s="4"/>
      <x:c r="Q1093" s="4" t="str">
        <x:f>IFERROR(INDEX('Material routes'!$J$6:$J$2205,MATCH(V1093,'Material routes'!$A$6:$A$2205,0)),"MISSING ID")</x:f>
        <x:v>Unspecified</x:v>
      </x:c>
      <x:c r="R1093" s="4" t="str">
        <x:f>IF(L1093="Withheld","Withheld premise",IF(E1093="Tool candidate","Reusable prerequisite",IF(K1093="Raw entry preparation","Entry-resource preparation",IF(G1093="Not applicable",IF(IFERROR(INDEX('Items'!$AI$6:$AI$1005,MATCH(T1093,'Items'!$A$6:$A$1005,0)),"MISSING ID")="Finished item","Finished endpoint",IF(IFERROR(INDEX('Items'!$AI$6:$AI$1005,MATCH(T1093,'Items'!$A$6:$A$1005,0)),"MISSING ID")="Currency","Currency / no refinement tier","Recovered output / tier not applicable")),IF(OR(IFERROR(INDEX('Crafting recipes'!$H$6:$H$1005,MATCH(J1093,'Crafting recipes'!$A$6:$A$1005,0)),"MISSING ID")="Unassigned",G1093="Unassigned"),"Tier unresolved",IF(IFERROR(VALUE(RIGHT(G1093,1))-VALUE(RIGHT(IFERROR(INDEX('Crafting recipes'!$H$6:$H$1005,MATCH(J1093,'Crafting recipes'!$A$6:$A$1005,0)),"MISSING ID"),1)),0)=1,IF(B1093=IFERROR(INDEX('Crafting recipes'!$H$6:$H$1005,MATCH(J1093,'Crafting recipes'!$A$6:$A$1005,0)),"MISSING ID"),"Advances one material tier","Lower-tier ingredient; route advances one tier"),"Needs tier review"))))))</x:f>
        <x:v>Finished endpoint</x:v>
      </x:c>
      <x:c r="S1093" s="4" t="str">
        <x:f>IFERROR(INDEX('Material routes'!$D$6:$D$2205,MATCH(U1093,'Material routes'!$A$6:$A$2205,0)),"MISSING ID")</x:f>
        <x:v>author.metallurgy.steel_stock</x:v>
      </x:c>
      <x:c r="T1093" s="4" t="str">
        <x:f>IFERROR(INDEX('Material routes'!$D$6:$D$2205,MATCH(V1093,'Material routes'!$A$6:$A$2205,0)),"MISSING ID")</x:f>
        <x:v>proposal.culture.stamp</x:v>
      </x:c>
      <x:c r="U1093" s="4" t="str">
        <x:v>design.audit.proposal_culture_stamp.audit.in.1</x:v>
      </x:c>
      <x:c r="V1093" s="4" t="str">
        <x:v>design.audit.proposal_culture_stamp.audit.out</x:v>
      </x:c>
    </x:row>
    <x:row r="1094" ht="64" customHeight="1">
      <x:c r="A1094" s="4" t="str">
        <x:f>IFERROR(INDEX('Material routes'!$E$6:$E$2205,MATCH(U1094,'Material routes'!$A$6:$A$2205,0)),"MISSING ID")</x:f>
        <x:v>Shaped metal grip blank</x:v>
      </x:c>
      <x:c r="B1094" s="4" t="str">
        <x:f>IFERROR(INDEX('Material routes'!$F$6:$F$2205,MATCH(U1094,'Material routes'!$A$6:$A$2205,0)),"MISSING ID")</x:f>
        <x:v>T3</x:v>
      </x:c>
      <x:c r="C1094" s="4" t="str">
        <x:f>IFERROR(INDEX('Material routes'!$H$6:$H$2205,MATCH(U1094,'Material routes'!$A$6:$A$2205,0)),"MISSING ID")</x:f>
        <x:v>Crafting component</x:v>
      </x:c>
      <x:c r="D1094" s="4" t="str">
        <x:f>IFERROR(INDEX('Material routes'!$G$6:$G$2205,MATCH(U1094,'Material routes'!$A$6:$A$2205,0)),"MISSING ID")</x:f>
        <x:v>Crafting components</x:v>
      </x:c>
      <x:c r="E1094" s="4" t="str">
        <x:f>IFERROR(INDEX('Material routes'!$C$6:$C$2205,MATCH(U1094,'Material routes'!$A$6:$A$2205,0)),"MISSING ID")</x:f>
        <x:v>Ingredient candidate</x:v>
      </x:c>
      <x:c r="F1094" s="4" t="str">
        <x:f>IFERROR(INDEX('Material routes'!$E$6:$E$2205,MATCH(V1094,'Material routes'!$A$6:$A$2205,0)),"MISSING ID")</x:f>
        <x:v>Official seal stamp</x:v>
      </x:c>
      <x:c r="G1094" s="4" t="str">
        <x:f>IFERROR(INDEX('Material routes'!$F$6:$F$2205,MATCH(V1094,'Material routes'!$A$6:$A$2205,0)),"MISSING ID")</x:f>
        <x:v>Not applicable</x:v>
      </x:c>
      <x:c r="H1094" s="4" t="str">
        <x:f>IFERROR(INDEX('Material routes'!$H$6:$H$2205,MATCH(V1094,'Material routes'!$A$6:$A$2205,0)),"MISSING ID")</x:f>
        <x:v>Tool</x:v>
      </x:c>
      <x:c r="I1094" s="4" t="str">
        <x:f>IFERROR(INDEX('Material routes'!$G$6:$G$2205,MATCH(V1094,'Material routes'!$A$6:$A$2205,0)),"MISSING ID")</x:f>
        <x:v>Salvage</x:v>
      </x:c>
      <x:c r="J1094" s="4" t="str">
        <x:f>IFERROR(INDEX('Material routes'!$B$6:$B$2205,MATCH(U1094,'Material routes'!$A$6:$A$2205,0)),"MISSING ID")</x:f>
        <x:v>design.audit.proposal_culture_stamp</x:v>
      </x:c>
      <x:c r="K1094" s="4" t="str">
        <x:f>IFERROR(INDEX('Crafting recipes'!$C$6:$C$1005,MATCH(J1094,'Crafting recipes'!$A$6:$A$1005,0)),"MISSING ID")</x:f>
        <x:v>Finished-item crafting</x:v>
      </x:c>
      <x:c r="L1094" s="4" t="str">
        <x:f>IFERROR(INDEX('Material routes'!$K$6:$K$2205,MATCH(U1094,'Material routes'!$A$6:$A$2205,0)),"MISSING ID")</x:f>
        <x:v>Proposal</x:v>
      </x:c>
      <x:c r="M1094" s="4" t="str">
        <x:f>IFERROR(INDEX('Material routes'!$M$6:$M$2205,MATCH(U1094,'Material routes'!$A$6:$A$2205,0)),"MISSING ID")</x:f>
        <x:v>Partial proposal</x:v>
      </x:c>
      <x:c r="N1094" s="4"/>
      <x:c r="O1094" s="4" t="str">
        <x:f>IFERROR(INDEX('Material routes'!$J$6:$J$2205,MATCH(U1094,'Material routes'!$A$6:$A$2205,0)),"MISSING ID")</x:f>
        <x:v>Unspecified</x:v>
      </x:c>
      <x:c r="P1094" s="4"/>
      <x:c r="Q1094" s="4" t="str">
        <x:f>IFERROR(INDEX('Material routes'!$J$6:$J$2205,MATCH(V1094,'Material routes'!$A$6:$A$2205,0)),"MISSING ID")</x:f>
        <x:v>Unspecified</x:v>
      </x:c>
      <x:c r="R1094" s="4" t="str">
        <x:f>IF(L1094="Withheld","Withheld premise",IF(E1094="Tool candidate","Reusable prerequisite",IF(K1094="Raw entry preparation","Entry-resource preparation",IF(G1094="Not applicable",IF(IFERROR(INDEX('Items'!$AI$6:$AI$1005,MATCH(T1094,'Items'!$A$6:$A$1005,0)),"MISSING ID")="Finished item","Finished endpoint",IF(IFERROR(INDEX('Items'!$AI$6:$AI$1005,MATCH(T1094,'Items'!$A$6:$A$1005,0)),"MISSING ID")="Currency","Currency / no refinement tier","Recovered output / tier not applicable")),IF(OR(IFERROR(INDEX('Crafting recipes'!$H$6:$H$1005,MATCH(J1094,'Crafting recipes'!$A$6:$A$1005,0)),"MISSING ID")="Unassigned",G1094="Unassigned"),"Tier unresolved",IF(IFERROR(VALUE(RIGHT(G1094,1))-VALUE(RIGHT(IFERROR(INDEX('Crafting recipes'!$H$6:$H$1005,MATCH(J1094,'Crafting recipes'!$A$6:$A$1005,0)),"MISSING ID"),1)),0)=1,IF(B1094=IFERROR(INDEX('Crafting recipes'!$H$6:$H$1005,MATCH(J1094,'Crafting recipes'!$A$6:$A$1005,0)),"MISSING ID"),"Advances one material tier","Lower-tier ingredient; route advances one tier"),"Needs tier review"))))))</x:f>
        <x:v>Finished endpoint</x:v>
      </x:c>
      <x:c r="S1094" s="4" t="str">
        <x:f>IFERROR(INDEX('Material routes'!$D$6:$D$2205,MATCH(U1094,'Material routes'!$A$6:$A$2205,0)),"MISSING ID")</x:f>
        <x:v>proposal.audit.shaped_metal_grip_blank</x:v>
      </x:c>
      <x:c r="T1094" s="4" t="str">
        <x:f>IFERROR(INDEX('Material routes'!$D$6:$D$2205,MATCH(V1094,'Material routes'!$A$6:$A$2205,0)),"MISSING ID")</x:f>
        <x:v>proposal.culture.stamp</x:v>
      </x:c>
      <x:c r="U1094" s="4" t="str">
        <x:v>design.audit.proposal_culture_stamp.audit.in.2</x:v>
      </x:c>
      <x:c r="V1094" s="4" t="str">
        <x:v>design.audit.proposal_culture_stamp.audit.out</x:v>
      </x:c>
    </x:row>
    <x:row r="1095" ht="64" customHeight="1">
      <x:c r="A1095" s="4"/>
      <x:c r="B1095" s="4"/>
      <x:c r="C1095" s="4"/>
      <x:c r="D1095" s="4"/>
      <x:c r="E1095" s="4"/>
      <x:c r="F1095" s="4"/>
      <x:c r="G1095" s="4"/>
      <x:c r="H1095" s="4"/>
      <x:c r="I1095" s="4"/>
      <x:c r="J1095" s="4"/>
      <x:c r="K1095" s="4"/>
      <x:c r="L1095" s="4"/>
      <x:c r="M1095" s="4"/>
      <x:c r="N1095" s="4"/>
      <x:c r="O1095" s="4"/>
      <x:c r="P1095" s="4"/>
      <x:c r="Q1095" s="4"/>
      <x:c r="R1095" s="4"/>
      <x:c r="S1095" s="4"/>
      <x:c r="T1095" s="4"/>
      <x:c r="U1095" s="4"/>
      <x:c r="V1095" s="4"/>
    </x:row>
    <x:row r="1096" ht="64" customHeight="1">
      <x:c r="A1096" s="4"/>
      <x:c r="B1096" s="4"/>
      <x:c r="C1096" s="4"/>
      <x:c r="D1096" s="4"/>
      <x:c r="E1096" s="4"/>
      <x:c r="F1096" s="4"/>
      <x:c r="G1096" s="4"/>
      <x:c r="H1096" s="4"/>
      <x:c r="I1096" s="4"/>
      <x:c r="J1096" s="4"/>
      <x:c r="K1096" s="4"/>
      <x:c r="L1096" s="4"/>
      <x:c r="M1096" s="4"/>
      <x:c r="N1096" s="4"/>
      <x:c r="O1096" s="4"/>
      <x:c r="P1096" s="4"/>
      <x:c r="Q1096" s="4"/>
      <x:c r="R1096" s="4"/>
      <x:c r="S1096" s="4"/>
      <x:c r="T1096" s="4"/>
      <x:c r="U1096" s="4"/>
      <x:c r="V1096" s="4"/>
    </x:row>
    <x:row r="1097" ht="64" customHeight="1">
      <x:c r="A1097" s="4"/>
      <x:c r="B1097" s="4"/>
      <x:c r="C1097" s="4"/>
      <x:c r="D1097" s="4"/>
      <x:c r="E1097" s="4"/>
      <x:c r="F1097" s="4"/>
      <x:c r="G1097" s="4"/>
      <x:c r="H1097" s="4"/>
      <x:c r="I1097" s="4"/>
      <x:c r="J1097" s="4"/>
      <x:c r="K1097" s="4"/>
      <x:c r="L1097" s="4"/>
      <x:c r="M1097" s="4"/>
      <x:c r="N1097" s="4"/>
      <x:c r="O1097" s="4"/>
      <x:c r="P1097" s="4"/>
      <x:c r="Q1097" s="4"/>
      <x:c r="R1097" s="4"/>
      <x:c r="S1097" s="4"/>
      <x:c r="T1097" s="4"/>
      <x:c r="U1097" s="4"/>
      <x:c r="V1097" s="4"/>
    </x:row>
    <x:row r="1098" ht="64" customHeight="1">
      <x:c r="A1098" s="4"/>
      <x:c r="B1098" s="4"/>
      <x:c r="C1098" s="4"/>
      <x:c r="D1098" s="4"/>
      <x:c r="E1098" s="4"/>
      <x:c r="F1098" s="4"/>
      <x:c r="G1098" s="4"/>
      <x:c r="H1098" s="4"/>
      <x:c r="I1098" s="4"/>
      <x:c r="J1098" s="4"/>
      <x:c r="K1098" s="4"/>
      <x:c r="L1098" s="4"/>
      <x:c r="M1098" s="4"/>
      <x:c r="N1098" s="4"/>
      <x:c r="O1098" s="4"/>
      <x:c r="P1098" s="4"/>
      <x:c r="Q1098" s="4"/>
      <x:c r="R1098" s="4"/>
      <x:c r="S1098" s="4"/>
      <x:c r="T1098" s="4"/>
      <x:c r="U1098" s="4"/>
      <x:c r="V1098" s="4"/>
    </x:row>
    <x:row r="1099" ht="64" customHeight="1">
      <x:c r="A1099" s="4"/>
      <x:c r="B1099" s="4"/>
      <x:c r="C1099" s="4"/>
      <x:c r="D1099" s="4"/>
      <x:c r="E1099" s="4"/>
      <x:c r="F1099" s="4"/>
      <x:c r="G1099" s="4"/>
      <x:c r="H1099" s="4"/>
      <x:c r="I1099" s="4"/>
      <x:c r="J1099" s="4"/>
      <x:c r="K1099" s="4"/>
      <x:c r="L1099" s="4"/>
      <x:c r="M1099" s="4"/>
      <x:c r="N1099" s="4"/>
      <x:c r="O1099" s="4"/>
      <x:c r="P1099" s="4"/>
      <x:c r="Q1099" s="4"/>
      <x:c r="R1099" s="4"/>
      <x:c r="S1099" s="4"/>
      <x:c r="T1099" s="4"/>
      <x:c r="U1099" s="4"/>
      <x:c r="V1099" s="4"/>
    </x:row>
    <x:row r="1100" ht="64" customHeight="1">
      <x:c r="A1100" s="4"/>
      <x:c r="B1100" s="4"/>
      <x:c r="C1100" s="4"/>
      <x:c r="D1100" s="4"/>
      <x:c r="E1100" s="4"/>
      <x:c r="F1100" s="4"/>
      <x:c r="G1100" s="4"/>
      <x:c r="H1100" s="4"/>
      <x:c r="I1100" s="4"/>
      <x:c r="J1100" s="4"/>
      <x:c r="K1100" s="4"/>
      <x:c r="L1100" s="4"/>
      <x:c r="M1100" s="4"/>
      <x:c r="N1100" s="4"/>
      <x:c r="O1100" s="4"/>
      <x:c r="P1100" s="4"/>
      <x:c r="Q1100" s="4"/>
      <x:c r="R1100" s="4"/>
      <x:c r="S1100" s="4"/>
      <x:c r="T1100" s="4"/>
      <x:c r="U1100" s="4"/>
      <x:c r="V1100" s="4"/>
    </x:row>
    <x:row r="1101" ht="64" customHeight="1">
      <x:c r="A1101" s="4"/>
      <x:c r="B1101" s="4"/>
      <x:c r="C1101" s="4"/>
      <x:c r="D1101" s="4"/>
      <x:c r="E1101" s="4"/>
      <x:c r="F1101" s="4"/>
      <x:c r="G1101" s="4"/>
      <x:c r="H1101" s="4"/>
      <x:c r="I1101" s="4"/>
      <x:c r="J1101" s="4"/>
      <x:c r="K1101" s="4"/>
      <x:c r="L1101" s="4"/>
      <x:c r="M1101" s="4"/>
      <x:c r="N1101" s="4"/>
      <x:c r="O1101" s="4"/>
      <x:c r="P1101" s="4"/>
      <x:c r="Q1101" s="4"/>
      <x:c r="R1101" s="4"/>
      <x:c r="S1101" s="4"/>
      <x:c r="T1101" s="4"/>
      <x:c r="U1101" s="4"/>
      <x:c r="V1101" s="4"/>
    </x:row>
    <x:row r="1102" ht="64" customHeight="1">
      <x:c r="A1102" s="4"/>
      <x:c r="B1102" s="4"/>
      <x:c r="C1102" s="4"/>
      <x:c r="D1102" s="4"/>
      <x:c r="E1102" s="4"/>
      <x:c r="F1102" s="4"/>
      <x:c r="G1102" s="4"/>
      <x:c r="H1102" s="4"/>
      <x:c r="I1102" s="4"/>
      <x:c r="J1102" s="4"/>
      <x:c r="K1102" s="4"/>
      <x:c r="L1102" s="4"/>
      <x:c r="M1102" s="4"/>
      <x:c r="N1102" s="4"/>
      <x:c r="O1102" s="4"/>
      <x:c r="P1102" s="4"/>
      <x:c r="Q1102" s="4"/>
      <x:c r="R1102" s="4"/>
      <x:c r="S1102" s="4"/>
      <x:c r="T1102" s="4"/>
      <x:c r="U1102" s="4"/>
      <x:c r="V1102" s="4"/>
    </x:row>
    <x:row r="1103" ht="64" customHeight="1">
      <x:c r="A1103" s="4"/>
      <x:c r="B1103" s="4"/>
      <x:c r="C1103" s="4"/>
      <x:c r="D1103" s="4"/>
      <x:c r="E1103" s="4"/>
      <x:c r="F1103" s="4"/>
      <x:c r="G1103" s="4"/>
      <x:c r="H1103" s="4"/>
      <x:c r="I1103" s="4"/>
      <x:c r="J1103" s="4"/>
      <x:c r="K1103" s="4"/>
      <x:c r="L1103" s="4"/>
      <x:c r="M1103" s="4"/>
      <x:c r="N1103" s="4"/>
      <x:c r="O1103" s="4"/>
      <x:c r="P1103" s="4"/>
      <x:c r="Q1103" s="4"/>
      <x:c r="R1103" s="4"/>
      <x:c r="S1103" s="4"/>
      <x:c r="T1103" s="4"/>
      <x:c r="U1103" s="4"/>
      <x:c r="V1103" s="4"/>
    </x:row>
    <x:row r="1104" ht="64" customHeight="1">
      <x:c r="A1104" s="4" t="str">
        <x:f>IFERROR(INDEX('Material routes'!$E$6:$E$2205,MATCH(U1104,'Material routes'!$A$6:$A$2205,0)),"MISSING ID")</x:f>
        <x:v>Steel stock</x:v>
      </x:c>
      <x:c r="B1104" s="4" t="str">
        <x:f>IFERROR(INDEX('Material routes'!$F$6:$F$2205,MATCH(U1104,'Material routes'!$A$6:$A$2205,0)),"MISSING ID")</x:f>
        <x:v>T2</x:v>
      </x:c>
      <x:c r="C1104" s="4" t="str">
        <x:f>IFERROR(INDEX('Material routes'!$H$6:$H$2205,MATCH(U1104,'Material routes'!$A$6:$A$2205,0)),"MISSING ID")</x:f>
        <x:v>Processed material</x:v>
      </x:c>
      <x:c r="D1104" s="4" t="str">
        <x:f>IFERROR(INDEX('Material routes'!$G$6:$G$2205,MATCH(U1104,'Material routes'!$A$6:$A$2205,0)),"MISSING ID")</x:f>
        <x:v>Manufactured stock</x:v>
      </x:c>
      <x:c r="E1104" s="4" t="str">
        <x:f>IFERROR(INDEX('Material routes'!$C$6:$C$2205,MATCH(U1104,'Material routes'!$A$6:$A$2205,0)),"MISSING ID")</x:f>
        <x:v>Ingredient candidate</x:v>
      </x:c>
      <x:c r="F1104" s="4" t="str">
        <x:f>IFERROR(INDEX('Material routes'!$E$6:$E$2205,MATCH(V1104,'Material routes'!$A$6:$A$2205,0)),"MISSING ID")</x:f>
        <x:v>Pilgrimage marking die</x:v>
      </x:c>
      <x:c r="G1104" s="4" t="str">
        <x:f>IFERROR(INDEX('Material routes'!$F$6:$F$2205,MATCH(V1104,'Material routes'!$A$6:$A$2205,0)),"MISSING ID")</x:f>
        <x:v>Not applicable</x:v>
      </x:c>
      <x:c r="H1104" s="4" t="str">
        <x:f>IFERROR(INDEX('Material routes'!$H$6:$H$2205,MATCH(V1104,'Material routes'!$A$6:$A$2205,0)),"MISSING ID")</x:f>
        <x:v>Tool</x:v>
      </x:c>
      <x:c r="I1104" s="4" t="str">
        <x:f>IFERROR(INDEX('Material routes'!$G$6:$G$2205,MATCH(V1104,'Material routes'!$A$6:$A$2205,0)),"MISSING ID")</x:f>
        <x:v>Salvage</x:v>
      </x:c>
      <x:c r="J1104" s="4" t="str">
        <x:f>IFERROR(INDEX('Material routes'!$B$6:$B$2205,MATCH(U1104,'Material routes'!$A$6:$A$2205,0)),"MISSING ID")</x:f>
        <x:v>design.audit.proposal_culture_pilgrim_die</x:v>
      </x:c>
      <x:c r="K1104" s="4" t="str">
        <x:f>IFERROR(INDEX('Crafting recipes'!$C$6:$C$1005,MATCH(J1104,'Crafting recipes'!$A$6:$A$1005,0)),"MISSING ID")</x:f>
        <x:v>Finished-item crafting</x:v>
      </x:c>
      <x:c r="L1104" s="4" t="str">
        <x:f>IFERROR(INDEX('Material routes'!$K$6:$K$2205,MATCH(U1104,'Material routes'!$A$6:$A$2205,0)),"MISSING ID")</x:f>
        <x:v>Proposal</x:v>
      </x:c>
      <x:c r="M1104" s="4" t="str">
        <x:f>IFERROR(INDEX('Material routes'!$M$6:$M$2205,MATCH(U1104,'Material routes'!$A$6:$A$2205,0)),"MISSING ID")</x:f>
        <x:v>Partial proposal</x:v>
      </x:c>
      <x:c r="N1104" s="4"/>
      <x:c r="O1104" s="4" t="str">
        <x:f>IFERROR(INDEX('Material routes'!$J$6:$J$2205,MATCH(U1104,'Material routes'!$A$6:$A$2205,0)),"MISSING ID")</x:f>
        <x:v>Unspecified</x:v>
      </x:c>
      <x:c r="P1104" s="4"/>
      <x:c r="Q1104" s="4" t="str">
        <x:f>IFERROR(INDEX('Material routes'!$J$6:$J$2205,MATCH(V1104,'Material routes'!$A$6:$A$2205,0)),"MISSING ID")</x:f>
        <x:v>Unspecified</x:v>
      </x:c>
      <x:c r="R1104" s="4" t="str">
        <x:f>IF(L1104="Withheld","Withheld premise",IF(E1104="Tool candidate","Reusable prerequisite",IF(K1104="Raw entry preparation","Entry-resource preparation",IF(G1104="Not applicable",IF(IFERROR(INDEX('Items'!$AI$6:$AI$1005,MATCH(T1104,'Items'!$A$6:$A$1005,0)),"MISSING ID")="Finished item","Finished endpoint",IF(IFERROR(INDEX('Items'!$AI$6:$AI$1005,MATCH(T1104,'Items'!$A$6:$A$1005,0)),"MISSING ID")="Currency","Currency / no refinement tier","Recovered output / tier not applicable")),IF(OR(IFERROR(INDEX('Crafting recipes'!$H$6:$H$1005,MATCH(J1104,'Crafting recipes'!$A$6:$A$1005,0)),"MISSING ID")="Unassigned",G1104="Unassigned"),"Tier unresolved",IF(IFERROR(VALUE(RIGHT(G1104,1))-VALUE(RIGHT(IFERROR(INDEX('Crafting recipes'!$H$6:$H$1005,MATCH(J1104,'Crafting recipes'!$A$6:$A$1005,0)),"MISSING ID"),1)),0)=1,IF(B1104=IFERROR(INDEX('Crafting recipes'!$H$6:$H$1005,MATCH(J1104,'Crafting recipes'!$A$6:$A$1005,0)),"MISSING ID"),"Advances one material tier","Lower-tier ingredient; route advances one tier"),"Needs tier review"))))))</x:f>
        <x:v>Finished endpoint</x:v>
      </x:c>
      <x:c r="S1104" s="4" t="str">
        <x:f>IFERROR(INDEX('Material routes'!$D$6:$D$2205,MATCH(U1104,'Material routes'!$A$6:$A$2205,0)),"MISSING ID")</x:f>
        <x:v>author.metallurgy.steel_stock</x:v>
      </x:c>
      <x:c r="T1104" s="4" t="str">
        <x:f>IFERROR(INDEX('Material routes'!$D$6:$D$2205,MATCH(V1104,'Material routes'!$A$6:$A$2205,0)),"MISSING ID")</x:f>
        <x:v>proposal.culture.pilgrim_die</x:v>
      </x:c>
      <x:c r="U1104" s="4" t="str">
        <x:v>design.audit.proposal_culture_pilgrim_die.audit.in.1</x:v>
      </x:c>
      <x:c r="V1104" s="4" t="str">
        <x:v>design.audit.proposal_culture_pilgrim_die.audit.out</x:v>
      </x:c>
    </x:row>
    <x:row r="1105" ht="64" customHeight="1">
      <x:c r="A1105" s="4" t="str">
        <x:f>IFERROR(INDEX('Material routes'!$E$6:$E$2205,MATCH(U1105,'Material routes'!$A$6:$A$2205,0)),"MISSING ID")</x:f>
        <x:v>Shaped fauna hard-part blanks</x:v>
      </x:c>
      <x:c r="B1105" s="4" t="str">
        <x:f>IFERROR(INDEX('Material routes'!$F$6:$F$2205,MATCH(U1105,'Material routes'!$A$6:$A$2205,0)),"MISSING ID")</x:f>
        <x:v>T1</x:v>
      </x:c>
      <x:c r="C1105" s="4" t="str">
        <x:f>IFERROR(INDEX('Material routes'!$H$6:$H$2205,MATCH(U1105,'Material routes'!$A$6:$A$2205,0)),"MISSING ID")</x:f>
        <x:v>Processed material</x:v>
      </x:c>
      <x:c r="D1105" s="4" t="str">
        <x:f>IFERROR(INDEX('Material routes'!$G$6:$G$2205,MATCH(U1105,'Material routes'!$A$6:$A$2205,0)),"MISSING ID")</x:f>
        <x:v>Manufactured stock</x:v>
      </x:c>
      <x:c r="E1105" s="4" t="str">
        <x:f>IFERROR(INDEX('Material routes'!$C$6:$C$2205,MATCH(U1105,'Material routes'!$A$6:$A$2205,0)),"MISSING ID")</x:f>
        <x:v>Ingredient candidate</x:v>
      </x:c>
      <x:c r="F1105" s="4" t="str">
        <x:f>IFERROR(INDEX('Material routes'!$E$6:$E$2205,MATCH(V1105,'Material routes'!$A$6:$A$2205,0)),"MISSING ID")</x:f>
        <x:v>Memorial name plate</x:v>
      </x:c>
      <x:c r="G1105" s="4" t="str">
        <x:f>IFERROR(INDEX('Material routes'!$F$6:$F$2205,MATCH(V1105,'Material routes'!$A$6:$A$2205,0)),"MISSING ID")</x:f>
        <x:v>Not applicable</x:v>
      </x:c>
      <x:c r="H1105" s="4" t="str">
        <x:f>IFERROR(INDEX('Material routes'!$H$6:$H$2205,MATCH(V1105,'Material routes'!$A$6:$A$2205,0)),"MISSING ID")</x:f>
        <x:v>Cultural object</x:v>
      </x:c>
      <x:c r="I1105" s="4" t="str">
        <x:f>IFERROR(INDEX('Material routes'!$G$6:$G$2205,MATCH(V1105,'Material routes'!$A$6:$A$2205,0)),"MISSING ID")</x:f>
        <x:v>Salvage</x:v>
      </x:c>
      <x:c r="J1105" s="4" t="str">
        <x:f>IFERROR(INDEX('Material routes'!$B$6:$B$2205,MATCH(U1105,'Material routes'!$A$6:$A$2205,0)),"MISSING ID")</x:f>
        <x:v>design.audit.proposal_culture_memorial</x:v>
      </x:c>
      <x:c r="K1105" s="4" t="str">
        <x:f>IFERROR(INDEX('Crafting recipes'!$C$6:$C$1005,MATCH(J1105,'Crafting recipes'!$A$6:$A$1005,0)),"MISSING ID")</x:f>
        <x:v>Finished-item crafting</x:v>
      </x:c>
      <x:c r="L1105" s="4" t="str">
        <x:f>IFERROR(INDEX('Material routes'!$K$6:$K$2205,MATCH(U1105,'Material routes'!$A$6:$A$2205,0)),"MISSING ID")</x:f>
        <x:v>Proposal</x:v>
      </x:c>
      <x:c r="M1105" s="4" t="str">
        <x:f>IFERROR(INDEX('Material routes'!$M$6:$M$2205,MATCH(U1105,'Material routes'!$A$6:$A$2205,0)),"MISSING ID")</x:f>
        <x:v>Partial proposal</x:v>
      </x:c>
      <x:c r="N1105" s="4"/>
      <x:c r="O1105" s="4" t="str">
        <x:f>IFERROR(INDEX('Material routes'!$J$6:$J$2205,MATCH(U1105,'Material routes'!$A$6:$A$2205,0)),"MISSING ID")</x:f>
        <x:v>Unspecified</x:v>
      </x:c>
      <x:c r="P1105" s="4"/>
      <x:c r="Q1105" s="4" t="str">
        <x:f>IFERROR(INDEX('Material routes'!$J$6:$J$2205,MATCH(V1105,'Material routes'!$A$6:$A$2205,0)),"MISSING ID")</x:f>
        <x:v>Unspecified</x:v>
      </x:c>
      <x:c r="R1105" s="4" t="str">
        <x:f>IF(L1105="Withheld","Withheld premise",IF(E1105="Tool candidate","Reusable prerequisite",IF(K1105="Raw entry preparation","Entry-resource preparation",IF(G1105="Not applicable",IF(IFERROR(INDEX('Items'!$AI$6:$AI$1005,MATCH(T1105,'Items'!$A$6:$A$1005,0)),"MISSING ID")="Finished item","Finished endpoint",IF(IFERROR(INDEX('Items'!$AI$6:$AI$1005,MATCH(T1105,'Items'!$A$6:$A$1005,0)),"MISSING ID")="Currency","Currency / no refinement tier","Recovered output / tier not applicable")),IF(OR(IFERROR(INDEX('Crafting recipes'!$H$6:$H$1005,MATCH(J1105,'Crafting recipes'!$A$6:$A$1005,0)),"MISSING ID")="Unassigned",G1105="Unassigned"),"Tier unresolved",IF(IFERROR(VALUE(RIGHT(G1105,1))-VALUE(RIGHT(IFERROR(INDEX('Crafting recipes'!$H$6:$H$1005,MATCH(J1105,'Crafting recipes'!$A$6:$A$1005,0)),"MISSING ID"),1)),0)=1,IF(B1105=IFERROR(INDEX('Crafting recipes'!$H$6:$H$1005,MATCH(J1105,'Crafting recipes'!$A$6:$A$1005,0)),"MISSING ID"),"Advances one material tier","Lower-tier ingredient; route advances one tier"),"Needs tier review"))))))</x:f>
        <x:v>Finished endpoint</x:v>
      </x:c>
      <x:c r="S1105" s="4" t="str">
        <x:f>IFERROR(INDEX('Material routes'!$D$6:$D$2205,MATCH(U1105,'Material routes'!$A$6:$A$2205,0)),"MISSING ID")</x:f>
        <x:v>proposal.t1.hardpart_blank</x:v>
      </x:c>
      <x:c r="T1105" s="4" t="str">
        <x:f>IFERROR(INDEX('Material routes'!$D$6:$D$2205,MATCH(V1105,'Material routes'!$A$6:$A$2205,0)),"MISSING ID")</x:f>
        <x:v>proposal.culture.memorial</x:v>
      </x:c>
      <x:c r="U1105" s="4" t="str">
        <x:v>design.audit.proposal_culture_memorial.audit.in.1</x:v>
      </x:c>
      <x:c r="V1105" s="4" t="str">
        <x:v>design.audit.proposal_culture_memorial.audit.out</x:v>
      </x:c>
    </x:row>
    <x:row r="1106" ht="64" customHeight="1">
      <x:c r="A1106" s="4" t="str">
        <x:f>IFERROR(INDEX('Material routes'!$E$6:$E$2205,MATCH(U1106,'Material routes'!$A$6:$A$2205,0)),"MISSING ID")</x:f>
        <x:v>Drawn bronze strip stock</x:v>
      </x:c>
      <x:c r="B1106" s="4" t="str">
        <x:f>IFERROR(INDEX('Material routes'!$F$6:$F$2205,MATCH(U1106,'Material routes'!$A$6:$A$2205,0)),"MISSING ID")</x:f>
        <x:v>T2</x:v>
      </x:c>
      <x:c r="C1106" s="4" t="str">
        <x:f>IFERROR(INDEX('Material routes'!$H$6:$H$2205,MATCH(U1106,'Material routes'!$A$6:$A$2205,0)),"MISSING ID")</x:f>
        <x:v>Processed material</x:v>
      </x:c>
      <x:c r="D1106" s="4" t="str">
        <x:f>IFERROR(INDEX('Material routes'!$G$6:$G$2205,MATCH(U1106,'Material routes'!$A$6:$A$2205,0)),"MISSING ID")</x:f>
        <x:v>Manufactured stock</x:v>
      </x:c>
      <x:c r="E1106" s="4" t="str">
        <x:f>IFERROR(INDEX('Material routes'!$C$6:$C$2205,MATCH(U1106,'Material routes'!$A$6:$A$2205,0)),"MISSING ID")</x:f>
        <x:v>Ingredient candidate</x:v>
      </x:c>
      <x:c r="F1106" s="4" t="str">
        <x:f>IFERROR(INDEX('Material routes'!$E$6:$E$2205,MATCH(V1106,'Material routes'!$A$6:$A$2205,0)),"MISSING ID")</x:f>
        <x:v>Memorial name plate</x:v>
      </x:c>
      <x:c r="G1106" s="4" t="str">
        <x:f>IFERROR(INDEX('Material routes'!$F$6:$F$2205,MATCH(V1106,'Material routes'!$A$6:$A$2205,0)),"MISSING ID")</x:f>
        <x:v>Not applicable</x:v>
      </x:c>
      <x:c r="H1106" s="4" t="str">
        <x:f>IFERROR(INDEX('Material routes'!$H$6:$H$2205,MATCH(V1106,'Material routes'!$A$6:$A$2205,0)),"MISSING ID")</x:f>
        <x:v>Cultural object</x:v>
      </x:c>
      <x:c r="I1106" s="4" t="str">
        <x:f>IFERROR(INDEX('Material routes'!$G$6:$G$2205,MATCH(V1106,'Material routes'!$A$6:$A$2205,0)),"MISSING ID")</x:f>
        <x:v>Salvage</x:v>
      </x:c>
      <x:c r="J1106" s="4" t="str">
        <x:f>IFERROR(INDEX('Material routes'!$B$6:$B$2205,MATCH(U1106,'Material routes'!$A$6:$A$2205,0)),"MISSING ID")</x:f>
        <x:v>design.audit.proposal_culture_memorial</x:v>
      </x:c>
      <x:c r="K1106" s="4" t="str">
        <x:f>IFERROR(INDEX('Crafting recipes'!$C$6:$C$1005,MATCH(J1106,'Crafting recipes'!$A$6:$A$1005,0)),"MISSING ID")</x:f>
        <x:v>Finished-item crafting</x:v>
      </x:c>
      <x:c r="L1106" s="4" t="str">
        <x:f>IFERROR(INDEX('Material routes'!$K$6:$K$2205,MATCH(U1106,'Material routes'!$A$6:$A$2205,0)),"MISSING ID")</x:f>
        <x:v>Proposal</x:v>
      </x:c>
      <x:c r="M1106" s="4" t="str">
        <x:f>IFERROR(INDEX('Material routes'!$M$6:$M$2205,MATCH(U1106,'Material routes'!$A$6:$A$2205,0)),"MISSING ID")</x:f>
        <x:v>Partial proposal</x:v>
      </x:c>
      <x:c r="N1106" s="4"/>
      <x:c r="O1106" s="4" t="str">
        <x:f>IFERROR(INDEX('Material routes'!$J$6:$J$2205,MATCH(U1106,'Material routes'!$A$6:$A$2205,0)),"MISSING ID")</x:f>
        <x:v>Unspecified</x:v>
      </x:c>
      <x:c r="P1106" s="4"/>
      <x:c r="Q1106" s="4" t="str">
        <x:f>IFERROR(INDEX('Material routes'!$J$6:$J$2205,MATCH(V1106,'Material routes'!$A$6:$A$2205,0)),"MISSING ID")</x:f>
        <x:v>Unspecified</x:v>
      </x:c>
      <x:c r="R1106" s="4" t="str">
        <x:f>IF(L1106="Withheld","Withheld premise",IF(E1106="Tool candidate","Reusable prerequisite",IF(K1106="Raw entry preparation","Entry-resource preparation",IF(G1106="Not applicable",IF(IFERROR(INDEX('Items'!$AI$6:$AI$1005,MATCH(T1106,'Items'!$A$6:$A$1005,0)),"MISSING ID")="Finished item","Finished endpoint",IF(IFERROR(INDEX('Items'!$AI$6:$AI$1005,MATCH(T1106,'Items'!$A$6:$A$1005,0)),"MISSING ID")="Currency","Currency / no refinement tier","Recovered output / tier not applicable")),IF(OR(IFERROR(INDEX('Crafting recipes'!$H$6:$H$1005,MATCH(J1106,'Crafting recipes'!$A$6:$A$1005,0)),"MISSING ID")="Unassigned",G1106="Unassigned"),"Tier unresolved",IF(IFERROR(VALUE(RIGHT(G1106,1))-VALUE(RIGHT(IFERROR(INDEX('Crafting recipes'!$H$6:$H$1005,MATCH(J1106,'Crafting recipes'!$A$6:$A$1005,0)),"MISSING ID"),1)),0)=1,IF(B1106=IFERROR(INDEX('Crafting recipes'!$H$6:$H$1005,MATCH(J1106,'Crafting recipes'!$A$6:$A$1005,0)),"MISSING ID"),"Advances one material tier","Lower-tier ingredient; route advances one tier"),"Needs tier review"))))))</x:f>
        <x:v>Finished endpoint</x:v>
      </x:c>
      <x:c r="S1106" s="4" t="str">
        <x:f>IFERROR(INDEX('Material routes'!$D$6:$D$2205,MATCH(U1106,'Material routes'!$A$6:$A$2205,0)),"MISSING ID")</x:f>
        <x:v>proposal.collection.drawn_bronze_strip_stock</x:v>
      </x:c>
      <x:c r="T1106" s="4" t="str">
        <x:f>IFERROR(INDEX('Material routes'!$D$6:$D$2205,MATCH(V1106,'Material routes'!$A$6:$A$2205,0)),"MISSING ID")</x:f>
        <x:v>proposal.culture.memorial</x:v>
      </x:c>
      <x:c r="U1106" s="4" t="str">
        <x:v>design.audit.proposal_culture_memorial.audit.in.2</x:v>
      </x:c>
      <x:c r="V1106" s="4" t="str">
        <x:v>design.audit.proposal_culture_memorial.audit.out</x:v>
      </x:c>
    </x:row>
    <x:row r="1107" ht="64" customHeight="1">
      <x:c r="A1107" s="4" t="str">
        <x:f>IFERROR(INDEX('Material routes'!$E$6:$E$2205,MATCH(U1107,'Material routes'!$A$6:$A$2205,0)),"MISSING ID")</x:f>
        <x:v>Prepared mineral pigment powder</x:v>
      </x:c>
      <x:c r="B1107" s="4" t="str">
        <x:f>IFERROR(INDEX('Material routes'!$F$6:$F$2205,MATCH(U1107,'Material routes'!$A$6:$A$2205,0)),"MISSING ID")</x:f>
        <x:v>T1</x:v>
      </x:c>
      <x:c r="C1107" s="4" t="str">
        <x:f>IFERROR(INDEX('Material routes'!$H$6:$H$2205,MATCH(U1107,'Material routes'!$A$6:$A$2205,0)),"MISSING ID")</x:f>
        <x:v>Processed material</x:v>
      </x:c>
      <x:c r="D1107" s="4" t="str">
        <x:f>IFERROR(INDEX('Material routes'!$G$6:$G$2205,MATCH(U1107,'Material routes'!$A$6:$A$2205,0)),"MISSING ID")</x:f>
        <x:v>Manufactured stock</x:v>
      </x:c>
      <x:c r="E1107" s="4" t="str">
        <x:f>IFERROR(INDEX('Material routes'!$C$6:$C$2205,MATCH(U1107,'Material routes'!$A$6:$A$2205,0)),"MISSING ID")</x:f>
        <x:v>Ingredient candidate</x:v>
      </x:c>
      <x:c r="F1107" s="4" t="str">
        <x:f>IFERROR(INDEX('Material routes'!$E$6:$E$2205,MATCH(V1107,'Material routes'!$A$6:$A$2205,0)),"MISSING ID")</x:f>
        <x:v>Memorial name plate</x:v>
      </x:c>
      <x:c r="G1107" s="4" t="str">
        <x:f>IFERROR(INDEX('Material routes'!$F$6:$F$2205,MATCH(V1107,'Material routes'!$A$6:$A$2205,0)),"MISSING ID")</x:f>
        <x:v>Not applicable</x:v>
      </x:c>
      <x:c r="H1107" s="4" t="str">
        <x:f>IFERROR(INDEX('Material routes'!$H$6:$H$2205,MATCH(V1107,'Material routes'!$A$6:$A$2205,0)),"MISSING ID")</x:f>
        <x:v>Cultural object</x:v>
      </x:c>
      <x:c r="I1107" s="4" t="str">
        <x:f>IFERROR(INDEX('Material routes'!$G$6:$G$2205,MATCH(V1107,'Material routes'!$A$6:$A$2205,0)),"MISSING ID")</x:f>
        <x:v>Salvage</x:v>
      </x:c>
      <x:c r="J1107" s="4" t="str">
        <x:f>IFERROR(INDEX('Material routes'!$B$6:$B$2205,MATCH(U1107,'Material routes'!$A$6:$A$2205,0)),"MISSING ID")</x:f>
        <x:v>design.audit.proposal_culture_memorial</x:v>
      </x:c>
      <x:c r="K1107" s="4" t="str">
        <x:f>IFERROR(INDEX('Crafting recipes'!$C$6:$C$1005,MATCH(J1107,'Crafting recipes'!$A$6:$A$1005,0)),"MISSING ID")</x:f>
        <x:v>Finished-item crafting</x:v>
      </x:c>
      <x:c r="L1107" s="4" t="str">
        <x:f>IFERROR(INDEX('Material routes'!$K$6:$K$2205,MATCH(U1107,'Material routes'!$A$6:$A$2205,0)),"MISSING ID")</x:f>
        <x:v>Proposal</x:v>
      </x:c>
      <x:c r="M1107" s="4" t="str">
        <x:f>IFERROR(INDEX('Material routes'!$M$6:$M$2205,MATCH(U1107,'Material routes'!$A$6:$A$2205,0)),"MISSING ID")</x:f>
        <x:v>Partial proposal</x:v>
      </x:c>
      <x:c r="N1107" s="4"/>
      <x:c r="O1107" s="4" t="str">
        <x:f>IFERROR(INDEX('Material routes'!$J$6:$J$2205,MATCH(U1107,'Material routes'!$A$6:$A$2205,0)),"MISSING ID")</x:f>
        <x:v>Unspecified</x:v>
      </x:c>
      <x:c r="P1107" s="4"/>
      <x:c r="Q1107" s="4" t="str">
        <x:f>IFERROR(INDEX('Material routes'!$J$6:$J$2205,MATCH(V1107,'Material routes'!$A$6:$A$2205,0)),"MISSING ID")</x:f>
        <x:v>Unspecified</x:v>
      </x:c>
      <x:c r="R1107" s="4" t="str">
        <x:f>IF(L1107="Withheld","Withheld premise",IF(E1107="Tool candidate","Reusable prerequisite",IF(K1107="Raw entry preparation","Entry-resource preparation",IF(G1107="Not applicable",IF(IFERROR(INDEX('Items'!$AI$6:$AI$1005,MATCH(T1107,'Items'!$A$6:$A$1005,0)),"MISSING ID")="Finished item","Finished endpoint",IF(IFERROR(INDEX('Items'!$AI$6:$AI$1005,MATCH(T1107,'Items'!$A$6:$A$1005,0)),"MISSING ID")="Currency","Currency / no refinement tier","Recovered output / tier not applicable")),IF(OR(IFERROR(INDEX('Crafting recipes'!$H$6:$H$1005,MATCH(J1107,'Crafting recipes'!$A$6:$A$1005,0)),"MISSING ID")="Unassigned",G1107="Unassigned"),"Tier unresolved",IF(IFERROR(VALUE(RIGHT(G1107,1))-VALUE(RIGHT(IFERROR(INDEX('Crafting recipes'!$H$6:$H$1005,MATCH(J1107,'Crafting recipes'!$A$6:$A$1005,0)),"MISSING ID"),1)),0)=1,IF(B1107=IFERROR(INDEX('Crafting recipes'!$H$6:$H$1005,MATCH(J1107,'Crafting recipes'!$A$6:$A$1005,0)),"MISSING ID"),"Advances one material tier","Lower-tier ingredient; route advances one tier"),"Needs tier review"))))))</x:f>
        <x:v>Finished endpoint</x:v>
      </x:c>
      <x:c r="S1107" s="4" t="str">
        <x:f>IFERROR(INDEX('Material routes'!$D$6:$D$2205,MATCH(U1107,'Material routes'!$A$6:$A$2205,0)),"MISSING ID")</x:f>
        <x:v>proposal.t1.pigment_powder</x:v>
      </x:c>
      <x:c r="T1107" s="4" t="str">
        <x:f>IFERROR(INDEX('Material routes'!$D$6:$D$2205,MATCH(V1107,'Material routes'!$A$6:$A$2205,0)),"MISSING ID")</x:f>
        <x:v>proposal.culture.memorial</x:v>
      </x:c>
      <x:c r="U1107" s="4" t="str">
        <x:v>design.audit.proposal_culture_memorial.audit.in.3</x:v>
      </x:c>
      <x:c r="V1107" s="4" t="str">
        <x:v>design.audit.proposal_culture_memorial.audit.out</x:v>
      </x:c>
    </x:row>
    <x:row r="1108" ht="64" customHeight="1">
      <x:c r="A1108" s="4" t="str">
        <x:f>IFERROR(INDEX('Material routes'!$E$6:$E$2205,MATCH(U1108,'Material routes'!$A$6:$A$2205,0)),"MISSING ID")</x:f>
        <x:v>Shaped fauna hard-part blanks</x:v>
      </x:c>
      <x:c r="B1108" s="4" t="str">
        <x:f>IFERROR(INDEX('Material routes'!$F$6:$F$2205,MATCH(U1108,'Material routes'!$A$6:$A$2205,0)),"MISSING ID")</x:f>
        <x:v>T1</x:v>
      </x:c>
      <x:c r="C1108" s="4" t="str">
        <x:f>IFERROR(INDEX('Material routes'!$H$6:$H$2205,MATCH(U1108,'Material routes'!$A$6:$A$2205,0)),"MISSING ID")</x:f>
        <x:v>Processed material</x:v>
      </x:c>
      <x:c r="D1108" s="4" t="str">
        <x:f>IFERROR(INDEX('Material routes'!$G$6:$G$2205,MATCH(U1108,'Material routes'!$A$6:$A$2205,0)),"MISSING ID")</x:f>
        <x:v>Manufactured stock</x:v>
      </x:c>
      <x:c r="E1108" s="4" t="str">
        <x:f>IFERROR(INDEX('Material routes'!$C$6:$C$2205,MATCH(U1108,'Material routes'!$A$6:$A$2205,0)),"MISSING ID")</x:f>
        <x:v>Ingredient candidate</x:v>
      </x:c>
      <x:c r="F1108" s="4" t="str">
        <x:f>IFERROR(INDEX('Material routes'!$E$6:$E$2205,MATCH(V1108,'Material routes'!$A$6:$A$2205,0)),"MISSING ID")</x:f>
        <x:v>Oath exchange ring</x:v>
      </x:c>
      <x:c r="G1108" s="4" t="str">
        <x:f>IFERROR(INDEX('Material routes'!$F$6:$F$2205,MATCH(V1108,'Material routes'!$A$6:$A$2205,0)),"MISSING ID")</x:f>
        <x:v>Not applicable</x:v>
      </x:c>
      <x:c r="H1108" s="4" t="str">
        <x:f>IFERROR(INDEX('Material routes'!$H$6:$H$2205,MATCH(V1108,'Material routes'!$A$6:$A$2205,0)),"MISSING ID")</x:f>
        <x:v>Cultural object</x:v>
      </x:c>
      <x:c r="I1108" s="4" t="str">
        <x:f>IFERROR(INDEX('Material routes'!$G$6:$G$2205,MATCH(V1108,'Material routes'!$A$6:$A$2205,0)),"MISSING ID")</x:f>
        <x:v>Salvage</x:v>
      </x:c>
      <x:c r="J1108" s="4" t="str">
        <x:f>IFERROR(INDEX('Material routes'!$B$6:$B$2205,MATCH(U1108,'Material routes'!$A$6:$A$2205,0)),"MISSING ID")</x:f>
        <x:v>design.audit.proposal_culture_oath_ring</x:v>
      </x:c>
      <x:c r="K1108" s="4" t="str">
        <x:f>IFERROR(INDEX('Crafting recipes'!$C$6:$C$1005,MATCH(J1108,'Crafting recipes'!$A$6:$A$1005,0)),"MISSING ID")</x:f>
        <x:v>Finished-item crafting</x:v>
      </x:c>
      <x:c r="L1108" s="4" t="str">
        <x:f>IFERROR(INDEX('Material routes'!$K$6:$K$2205,MATCH(U1108,'Material routes'!$A$6:$A$2205,0)),"MISSING ID")</x:f>
        <x:v>Proposal</x:v>
      </x:c>
      <x:c r="M1108" s="4" t="str">
        <x:f>IFERROR(INDEX('Material routes'!$M$6:$M$2205,MATCH(U1108,'Material routes'!$A$6:$A$2205,0)),"MISSING ID")</x:f>
        <x:v>Partial proposal</x:v>
      </x:c>
      <x:c r="N1108" s="4"/>
      <x:c r="O1108" s="4" t="str">
        <x:f>IFERROR(INDEX('Material routes'!$J$6:$J$2205,MATCH(U1108,'Material routes'!$A$6:$A$2205,0)),"MISSING ID")</x:f>
        <x:v>Unspecified</x:v>
      </x:c>
      <x:c r="P1108" s="4"/>
      <x:c r="Q1108" s="4" t="str">
        <x:f>IFERROR(INDEX('Material routes'!$J$6:$J$2205,MATCH(V1108,'Material routes'!$A$6:$A$2205,0)),"MISSING ID")</x:f>
        <x:v>Unspecified</x:v>
      </x:c>
      <x:c r="R1108" s="4" t="str">
        <x:f>IF(L1108="Withheld","Withheld premise",IF(E1108="Tool candidate","Reusable prerequisite",IF(K1108="Raw entry preparation","Entry-resource preparation",IF(G1108="Not applicable",IF(IFERROR(INDEX('Items'!$AI$6:$AI$1005,MATCH(T1108,'Items'!$A$6:$A$1005,0)),"MISSING ID")="Finished item","Finished endpoint",IF(IFERROR(INDEX('Items'!$AI$6:$AI$1005,MATCH(T1108,'Items'!$A$6:$A$1005,0)),"MISSING ID")="Currency","Currency / no refinement tier","Recovered output / tier not applicable")),IF(OR(IFERROR(INDEX('Crafting recipes'!$H$6:$H$1005,MATCH(J1108,'Crafting recipes'!$A$6:$A$1005,0)),"MISSING ID")="Unassigned",G1108="Unassigned"),"Tier unresolved",IF(IFERROR(VALUE(RIGHT(G1108,1))-VALUE(RIGHT(IFERROR(INDEX('Crafting recipes'!$H$6:$H$1005,MATCH(J1108,'Crafting recipes'!$A$6:$A$1005,0)),"MISSING ID"),1)),0)=1,IF(B1108=IFERROR(INDEX('Crafting recipes'!$H$6:$H$1005,MATCH(J1108,'Crafting recipes'!$A$6:$A$1005,0)),"MISSING ID"),"Advances one material tier","Lower-tier ingredient; route advances one tier"),"Needs tier review"))))))</x:f>
        <x:v>Finished endpoint</x:v>
      </x:c>
      <x:c r="S1108" s="4" t="str">
        <x:f>IFERROR(INDEX('Material routes'!$D$6:$D$2205,MATCH(U1108,'Material routes'!$A$6:$A$2205,0)),"MISSING ID")</x:f>
        <x:v>proposal.t1.hardpart_blank</x:v>
      </x:c>
      <x:c r="T1108" s="4" t="str">
        <x:f>IFERROR(INDEX('Material routes'!$D$6:$D$2205,MATCH(V1108,'Material routes'!$A$6:$A$2205,0)),"MISSING ID")</x:f>
        <x:v>proposal.culture.oath_ring</x:v>
      </x:c>
      <x:c r="U1108" s="4" t="str">
        <x:v>design.audit.proposal_culture_oath_ring.audit.in.1</x:v>
      </x:c>
      <x:c r="V1108" s="4" t="str">
        <x:v>design.audit.proposal_culture_oath_ring.audit.out</x:v>
      </x:c>
    </x:row>
    <x:row r="1109" ht="64" customHeight="1">
      <x:c r="A1109" s="4" t="str">
        <x:f>IFERROR(INDEX('Material routes'!$E$6:$E$2205,MATCH(U1109,'Material routes'!$A$6:$A$2205,0)),"MISSING ID")</x:f>
        <x:v>Drawn bronze strip stock</x:v>
      </x:c>
      <x:c r="B1109" s="4" t="str">
        <x:f>IFERROR(INDEX('Material routes'!$F$6:$F$2205,MATCH(U1109,'Material routes'!$A$6:$A$2205,0)),"MISSING ID")</x:f>
        <x:v>T2</x:v>
      </x:c>
      <x:c r="C1109" s="4" t="str">
        <x:f>IFERROR(INDEX('Material routes'!$H$6:$H$2205,MATCH(U1109,'Material routes'!$A$6:$A$2205,0)),"MISSING ID")</x:f>
        <x:v>Processed material</x:v>
      </x:c>
      <x:c r="D1109" s="4" t="str">
        <x:f>IFERROR(INDEX('Material routes'!$G$6:$G$2205,MATCH(U1109,'Material routes'!$A$6:$A$2205,0)),"MISSING ID")</x:f>
        <x:v>Manufactured stock</x:v>
      </x:c>
      <x:c r="E1109" s="4" t="str">
        <x:f>IFERROR(INDEX('Material routes'!$C$6:$C$2205,MATCH(U1109,'Material routes'!$A$6:$A$2205,0)),"MISSING ID")</x:f>
        <x:v>Ingredient candidate</x:v>
      </x:c>
      <x:c r="F1109" s="4" t="str">
        <x:f>IFERROR(INDEX('Material routes'!$E$6:$E$2205,MATCH(V1109,'Material routes'!$A$6:$A$2205,0)),"MISSING ID")</x:f>
        <x:v>Oath exchange ring</x:v>
      </x:c>
      <x:c r="G1109" s="4" t="str">
        <x:f>IFERROR(INDEX('Material routes'!$F$6:$F$2205,MATCH(V1109,'Material routes'!$A$6:$A$2205,0)),"MISSING ID")</x:f>
        <x:v>Not applicable</x:v>
      </x:c>
      <x:c r="H1109" s="4" t="str">
        <x:f>IFERROR(INDEX('Material routes'!$H$6:$H$2205,MATCH(V1109,'Material routes'!$A$6:$A$2205,0)),"MISSING ID")</x:f>
        <x:v>Cultural object</x:v>
      </x:c>
      <x:c r="I1109" s="4" t="str">
        <x:f>IFERROR(INDEX('Material routes'!$G$6:$G$2205,MATCH(V1109,'Material routes'!$A$6:$A$2205,0)),"MISSING ID")</x:f>
        <x:v>Salvage</x:v>
      </x:c>
      <x:c r="J1109" s="4" t="str">
        <x:f>IFERROR(INDEX('Material routes'!$B$6:$B$2205,MATCH(U1109,'Material routes'!$A$6:$A$2205,0)),"MISSING ID")</x:f>
        <x:v>design.audit.proposal_culture_oath_ring</x:v>
      </x:c>
      <x:c r="K1109" s="4" t="str">
        <x:f>IFERROR(INDEX('Crafting recipes'!$C$6:$C$1005,MATCH(J1109,'Crafting recipes'!$A$6:$A$1005,0)),"MISSING ID")</x:f>
        <x:v>Finished-item crafting</x:v>
      </x:c>
      <x:c r="L1109" s="4" t="str">
        <x:f>IFERROR(INDEX('Material routes'!$K$6:$K$2205,MATCH(U1109,'Material routes'!$A$6:$A$2205,0)),"MISSING ID")</x:f>
        <x:v>Proposal</x:v>
      </x:c>
      <x:c r="M1109" s="4" t="str">
        <x:f>IFERROR(INDEX('Material routes'!$M$6:$M$2205,MATCH(U1109,'Material routes'!$A$6:$A$2205,0)),"MISSING ID")</x:f>
        <x:v>Partial proposal</x:v>
      </x:c>
      <x:c r="N1109" s="4"/>
      <x:c r="O1109" s="4" t="str">
        <x:f>IFERROR(INDEX('Material routes'!$J$6:$J$2205,MATCH(U1109,'Material routes'!$A$6:$A$2205,0)),"MISSING ID")</x:f>
        <x:v>Unspecified</x:v>
      </x:c>
      <x:c r="P1109" s="4"/>
      <x:c r="Q1109" s="4" t="str">
        <x:f>IFERROR(INDEX('Material routes'!$J$6:$J$2205,MATCH(V1109,'Material routes'!$A$6:$A$2205,0)),"MISSING ID")</x:f>
        <x:v>Unspecified</x:v>
      </x:c>
      <x:c r="R1109" s="4" t="str">
        <x:f>IF(L1109="Withheld","Withheld premise",IF(E1109="Tool candidate","Reusable prerequisite",IF(K1109="Raw entry preparation","Entry-resource preparation",IF(G1109="Not applicable",IF(IFERROR(INDEX('Items'!$AI$6:$AI$1005,MATCH(T1109,'Items'!$A$6:$A$1005,0)),"MISSING ID")="Finished item","Finished endpoint",IF(IFERROR(INDEX('Items'!$AI$6:$AI$1005,MATCH(T1109,'Items'!$A$6:$A$1005,0)),"MISSING ID")="Currency","Currency / no refinement tier","Recovered output / tier not applicable")),IF(OR(IFERROR(INDEX('Crafting recipes'!$H$6:$H$1005,MATCH(J1109,'Crafting recipes'!$A$6:$A$1005,0)),"MISSING ID")="Unassigned",G1109="Unassigned"),"Tier unresolved",IF(IFERROR(VALUE(RIGHT(G1109,1))-VALUE(RIGHT(IFERROR(INDEX('Crafting recipes'!$H$6:$H$1005,MATCH(J1109,'Crafting recipes'!$A$6:$A$1005,0)),"MISSING ID"),1)),0)=1,IF(B1109=IFERROR(INDEX('Crafting recipes'!$H$6:$H$1005,MATCH(J1109,'Crafting recipes'!$A$6:$A$1005,0)),"MISSING ID"),"Advances one material tier","Lower-tier ingredient; route advances one tier"),"Needs tier review"))))))</x:f>
        <x:v>Finished endpoint</x:v>
      </x:c>
      <x:c r="S1109" s="4" t="str">
        <x:f>IFERROR(INDEX('Material routes'!$D$6:$D$2205,MATCH(U1109,'Material routes'!$A$6:$A$2205,0)),"MISSING ID")</x:f>
        <x:v>proposal.collection.drawn_bronze_strip_stock</x:v>
      </x:c>
      <x:c r="T1109" s="4" t="str">
        <x:f>IFERROR(INDEX('Material routes'!$D$6:$D$2205,MATCH(V1109,'Material routes'!$A$6:$A$2205,0)),"MISSING ID")</x:f>
        <x:v>proposal.culture.oath_ring</x:v>
      </x:c>
      <x:c r="U1109" s="4" t="str">
        <x:v>design.audit.proposal_culture_oath_ring.audit.in.2</x:v>
      </x:c>
      <x:c r="V1109" s="4" t="str">
        <x:v>design.audit.proposal_culture_oath_ring.audit.out</x:v>
      </x:c>
    </x:row>
    <x:row r="1110" ht="64" customHeight="1">
      <x:c r="A1110" s="4" t="str">
        <x:f>IFERROR(INDEX('Material routes'!$E$6:$E$2205,MATCH(U1110,'Material routes'!$A$6:$A$2205,0)),"MISSING ID")</x:f>
        <x:v>Prepared mineral pigment powder</x:v>
      </x:c>
      <x:c r="B1110" s="4" t="str">
        <x:f>IFERROR(INDEX('Material routes'!$F$6:$F$2205,MATCH(U1110,'Material routes'!$A$6:$A$2205,0)),"MISSING ID")</x:f>
        <x:v>T1</x:v>
      </x:c>
      <x:c r="C1110" s="4" t="str">
        <x:f>IFERROR(INDEX('Material routes'!$H$6:$H$2205,MATCH(U1110,'Material routes'!$A$6:$A$2205,0)),"MISSING ID")</x:f>
        <x:v>Processed material</x:v>
      </x:c>
      <x:c r="D1110" s="4" t="str">
        <x:f>IFERROR(INDEX('Material routes'!$G$6:$G$2205,MATCH(U1110,'Material routes'!$A$6:$A$2205,0)),"MISSING ID")</x:f>
        <x:v>Manufactured stock</x:v>
      </x:c>
      <x:c r="E1110" s="4" t="str">
        <x:f>IFERROR(INDEX('Material routes'!$C$6:$C$2205,MATCH(U1110,'Material routes'!$A$6:$A$2205,0)),"MISSING ID")</x:f>
        <x:v>Ingredient candidate</x:v>
      </x:c>
      <x:c r="F1110" s="4" t="str">
        <x:f>IFERROR(INDEX('Material routes'!$E$6:$E$2205,MATCH(V1110,'Material routes'!$A$6:$A$2205,0)),"MISSING ID")</x:f>
        <x:v>Oath exchange ring</x:v>
      </x:c>
      <x:c r="G1110" s="4" t="str">
        <x:f>IFERROR(INDEX('Material routes'!$F$6:$F$2205,MATCH(V1110,'Material routes'!$A$6:$A$2205,0)),"MISSING ID")</x:f>
        <x:v>Not applicable</x:v>
      </x:c>
      <x:c r="H1110" s="4" t="str">
        <x:f>IFERROR(INDEX('Material routes'!$H$6:$H$2205,MATCH(V1110,'Material routes'!$A$6:$A$2205,0)),"MISSING ID")</x:f>
        <x:v>Cultural object</x:v>
      </x:c>
      <x:c r="I1110" s="4" t="str">
        <x:f>IFERROR(INDEX('Material routes'!$G$6:$G$2205,MATCH(V1110,'Material routes'!$A$6:$A$2205,0)),"MISSING ID")</x:f>
        <x:v>Salvage</x:v>
      </x:c>
      <x:c r="J1110" s="4" t="str">
        <x:f>IFERROR(INDEX('Material routes'!$B$6:$B$2205,MATCH(U1110,'Material routes'!$A$6:$A$2205,0)),"MISSING ID")</x:f>
        <x:v>design.audit.proposal_culture_oath_ring</x:v>
      </x:c>
      <x:c r="K1110" s="4" t="str">
        <x:f>IFERROR(INDEX('Crafting recipes'!$C$6:$C$1005,MATCH(J1110,'Crafting recipes'!$A$6:$A$1005,0)),"MISSING ID")</x:f>
        <x:v>Finished-item crafting</x:v>
      </x:c>
      <x:c r="L1110" s="4" t="str">
        <x:f>IFERROR(INDEX('Material routes'!$K$6:$K$2205,MATCH(U1110,'Material routes'!$A$6:$A$2205,0)),"MISSING ID")</x:f>
        <x:v>Proposal</x:v>
      </x:c>
      <x:c r="M1110" s="4" t="str">
        <x:f>IFERROR(INDEX('Material routes'!$M$6:$M$2205,MATCH(U1110,'Material routes'!$A$6:$A$2205,0)),"MISSING ID")</x:f>
        <x:v>Partial proposal</x:v>
      </x:c>
      <x:c r="N1110" s="4"/>
      <x:c r="O1110" s="4" t="str">
        <x:f>IFERROR(INDEX('Material routes'!$J$6:$J$2205,MATCH(U1110,'Material routes'!$A$6:$A$2205,0)),"MISSING ID")</x:f>
        <x:v>Unspecified</x:v>
      </x:c>
      <x:c r="P1110" s="4"/>
      <x:c r="Q1110" s="4" t="str">
        <x:f>IFERROR(INDEX('Material routes'!$J$6:$J$2205,MATCH(V1110,'Material routes'!$A$6:$A$2205,0)),"MISSING ID")</x:f>
        <x:v>Unspecified</x:v>
      </x:c>
      <x:c r="R1110" s="4" t="str">
        <x:f>IF(L1110="Withheld","Withheld premise",IF(E1110="Tool candidate","Reusable prerequisite",IF(K1110="Raw entry preparation","Entry-resource preparation",IF(G1110="Not applicable",IF(IFERROR(INDEX('Items'!$AI$6:$AI$1005,MATCH(T1110,'Items'!$A$6:$A$1005,0)),"MISSING ID")="Finished item","Finished endpoint",IF(IFERROR(INDEX('Items'!$AI$6:$AI$1005,MATCH(T1110,'Items'!$A$6:$A$1005,0)),"MISSING ID")="Currency","Currency / no refinement tier","Recovered output / tier not applicable")),IF(OR(IFERROR(INDEX('Crafting recipes'!$H$6:$H$1005,MATCH(J1110,'Crafting recipes'!$A$6:$A$1005,0)),"MISSING ID")="Unassigned",G1110="Unassigned"),"Tier unresolved",IF(IFERROR(VALUE(RIGHT(G1110,1))-VALUE(RIGHT(IFERROR(INDEX('Crafting recipes'!$H$6:$H$1005,MATCH(J1110,'Crafting recipes'!$A$6:$A$1005,0)),"MISSING ID"),1)),0)=1,IF(B1110=IFERROR(INDEX('Crafting recipes'!$H$6:$H$1005,MATCH(J1110,'Crafting recipes'!$A$6:$A$1005,0)),"MISSING ID"),"Advances one material tier","Lower-tier ingredient; route advances one tier"),"Needs tier review"))))))</x:f>
        <x:v>Finished endpoint</x:v>
      </x:c>
      <x:c r="S1110" s="4" t="str">
        <x:f>IFERROR(INDEX('Material routes'!$D$6:$D$2205,MATCH(U1110,'Material routes'!$A$6:$A$2205,0)),"MISSING ID")</x:f>
        <x:v>proposal.t1.pigment_powder</x:v>
      </x:c>
      <x:c r="T1110" s="4" t="str">
        <x:f>IFERROR(INDEX('Material routes'!$D$6:$D$2205,MATCH(V1110,'Material routes'!$A$6:$A$2205,0)),"MISSING ID")</x:f>
        <x:v>proposal.culture.oath_ring</x:v>
      </x:c>
      <x:c r="U1110" s="4" t="str">
        <x:v>design.audit.proposal_culture_oath_ring.audit.in.3</x:v>
      </x:c>
      <x:c r="V1110" s="4" t="str">
        <x:v>design.audit.proposal_culture_oath_ring.audit.out</x:v>
      </x:c>
    </x:row>
    <x:row r="1111" ht="64" customHeight="1">
      <x:c r="A1111" s="4" t="str">
        <x:f>IFERROR(INDEX('Material routes'!$E$6:$E$2205,MATCH(U1111,'Material routes'!$A$6:$A$2205,0)),"MISSING ID")</x:f>
        <x:v>Shaped fauna hard-part blanks</x:v>
      </x:c>
      <x:c r="B1111" s="4" t="str">
        <x:f>IFERROR(INDEX('Material routes'!$F$6:$F$2205,MATCH(U1111,'Material routes'!$A$6:$A$2205,0)),"MISSING ID")</x:f>
        <x:v>T1</x:v>
      </x:c>
      <x:c r="C1111" s="4" t="str">
        <x:f>IFERROR(INDEX('Material routes'!$H$6:$H$2205,MATCH(U1111,'Material routes'!$A$6:$A$2205,0)),"MISSING ID")</x:f>
        <x:v>Processed material</x:v>
      </x:c>
      <x:c r="D1111" s="4" t="str">
        <x:f>IFERROR(INDEX('Material routes'!$G$6:$G$2205,MATCH(U1111,'Material routes'!$A$6:$A$2205,0)),"MISSING ID")</x:f>
        <x:v>Manufactured stock</x:v>
      </x:c>
      <x:c r="E1111" s="4" t="str">
        <x:f>IFERROR(INDEX('Material routes'!$C$6:$C$2205,MATCH(U1111,'Material routes'!$A$6:$A$2205,0)),"MISSING ID")</x:f>
        <x:v>Ingredient candidate</x:v>
      </x:c>
      <x:c r="F1111" s="4" t="str">
        <x:f>IFERROR(INDEX('Material routes'!$E$6:$E$2205,MATCH(V1111,'Material routes'!$A$6:$A$2205,0)),"MISSING ID")</x:f>
        <x:v>Life-event charm</x:v>
      </x:c>
      <x:c r="G1111" s="4" t="str">
        <x:f>IFERROR(INDEX('Material routes'!$F$6:$F$2205,MATCH(V1111,'Material routes'!$A$6:$A$2205,0)),"MISSING ID")</x:f>
        <x:v>Not applicable</x:v>
      </x:c>
      <x:c r="H1111" s="4" t="str">
        <x:f>IFERROR(INDEX('Material routes'!$H$6:$H$2205,MATCH(V1111,'Material routes'!$A$6:$A$2205,0)),"MISSING ID")</x:f>
        <x:v>Cultural object</x:v>
      </x:c>
      <x:c r="I1111" s="4" t="str">
        <x:f>IFERROR(INDEX('Material routes'!$G$6:$G$2205,MATCH(V1111,'Material routes'!$A$6:$A$2205,0)),"MISSING ID")</x:f>
        <x:v>Salvage</x:v>
      </x:c>
      <x:c r="J1111" s="4" t="str">
        <x:f>IFERROR(INDEX('Material routes'!$B$6:$B$2205,MATCH(U1111,'Material routes'!$A$6:$A$2205,0)),"MISSING ID")</x:f>
        <x:v>design.audit.proposal_culture_milestone</x:v>
      </x:c>
      <x:c r="K1111" s="4" t="str">
        <x:f>IFERROR(INDEX('Crafting recipes'!$C$6:$C$1005,MATCH(J1111,'Crafting recipes'!$A$6:$A$1005,0)),"MISSING ID")</x:f>
        <x:v>Finished-item crafting</x:v>
      </x:c>
      <x:c r="L1111" s="4" t="str">
        <x:f>IFERROR(INDEX('Material routes'!$K$6:$K$2205,MATCH(U1111,'Material routes'!$A$6:$A$2205,0)),"MISSING ID")</x:f>
        <x:v>Proposal</x:v>
      </x:c>
      <x:c r="M1111" s="4" t="str">
        <x:f>IFERROR(INDEX('Material routes'!$M$6:$M$2205,MATCH(U1111,'Material routes'!$A$6:$A$2205,0)),"MISSING ID")</x:f>
        <x:v>Partial proposal</x:v>
      </x:c>
      <x:c r="N1111" s="4"/>
      <x:c r="O1111" s="4" t="str">
        <x:f>IFERROR(INDEX('Material routes'!$J$6:$J$2205,MATCH(U1111,'Material routes'!$A$6:$A$2205,0)),"MISSING ID")</x:f>
        <x:v>Unspecified</x:v>
      </x:c>
      <x:c r="P1111" s="4"/>
      <x:c r="Q1111" s="4" t="str">
        <x:f>IFERROR(INDEX('Material routes'!$J$6:$J$2205,MATCH(V1111,'Material routes'!$A$6:$A$2205,0)),"MISSING ID")</x:f>
        <x:v>Unspecified</x:v>
      </x:c>
      <x:c r="R1111" s="4" t="str">
        <x:f>IF(L1111="Withheld","Withheld premise",IF(E1111="Tool candidate","Reusable prerequisite",IF(K1111="Raw entry preparation","Entry-resource preparation",IF(G1111="Not applicable",IF(IFERROR(INDEX('Items'!$AI$6:$AI$1005,MATCH(T1111,'Items'!$A$6:$A$1005,0)),"MISSING ID")="Finished item","Finished endpoint",IF(IFERROR(INDEX('Items'!$AI$6:$AI$1005,MATCH(T1111,'Items'!$A$6:$A$1005,0)),"MISSING ID")="Currency","Currency / no refinement tier","Recovered output / tier not applicable")),IF(OR(IFERROR(INDEX('Crafting recipes'!$H$6:$H$1005,MATCH(J1111,'Crafting recipes'!$A$6:$A$1005,0)),"MISSING ID")="Unassigned",G1111="Unassigned"),"Tier unresolved",IF(IFERROR(VALUE(RIGHT(G1111,1))-VALUE(RIGHT(IFERROR(INDEX('Crafting recipes'!$H$6:$H$1005,MATCH(J1111,'Crafting recipes'!$A$6:$A$1005,0)),"MISSING ID"),1)),0)=1,IF(B1111=IFERROR(INDEX('Crafting recipes'!$H$6:$H$1005,MATCH(J1111,'Crafting recipes'!$A$6:$A$1005,0)),"MISSING ID"),"Advances one material tier","Lower-tier ingredient; route advances one tier"),"Needs tier review"))))))</x:f>
        <x:v>Finished endpoint</x:v>
      </x:c>
      <x:c r="S1111" s="4" t="str">
        <x:f>IFERROR(INDEX('Material routes'!$D$6:$D$2205,MATCH(U1111,'Material routes'!$A$6:$A$2205,0)),"MISSING ID")</x:f>
        <x:v>proposal.t1.hardpart_blank</x:v>
      </x:c>
      <x:c r="T1111" s="4" t="str">
        <x:f>IFERROR(INDEX('Material routes'!$D$6:$D$2205,MATCH(V1111,'Material routes'!$A$6:$A$2205,0)),"MISSING ID")</x:f>
        <x:v>proposal.culture.milestone</x:v>
      </x:c>
      <x:c r="U1111" s="4" t="str">
        <x:v>design.audit.proposal_culture_milestone.audit.in.1</x:v>
      </x:c>
      <x:c r="V1111" s="4" t="str">
        <x:v>design.audit.proposal_culture_milestone.audit.out</x:v>
      </x:c>
    </x:row>
    <x:row r="1112" ht="64" customHeight="1">
      <x:c r="A1112" s="4" t="str">
        <x:f>IFERROR(INDEX('Material routes'!$E$6:$E$2205,MATCH(U1112,'Material routes'!$A$6:$A$2205,0)),"MISSING ID")</x:f>
        <x:v>Drawn bronze strip stock</x:v>
      </x:c>
      <x:c r="B1112" s="4" t="str">
        <x:f>IFERROR(INDEX('Material routes'!$F$6:$F$2205,MATCH(U1112,'Material routes'!$A$6:$A$2205,0)),"MISSING ID")</x:f>
        <x:v>T2</x:v>
      </x:c>
      <x:c r="C1112" s="4" t="str">
        <x:f>IFERROR(INDEX('Material routes'!$H$6:$H$2205,MATCH(U1112,'Material routes'!$A$6:$A$2205,0)),"MISSING ID")</x:f>
        <x:v>Processed material</x:v>
      </x:c>
      <x:c r="D1112" s="4" t="str">
        <x:f>IFERROR(INDEX('Material routes'!$G$6:$G$2205,MATCH(U1112,'Material routes'!$A$6:$A$2205,0)),"MISSING ID")</x:f>
        <x:v>Manufactured stock</x:v>
      </x:c>
      <x:c r="E1112" s="4" t="str">
        <x:f>IFERROR(INDEX('Material routes'!$C$6:$C$2205,MATCH(U1112,'Material routes'!$A$6:$A$2205,0)),"MISSING ID")</x:f>
        <x:v>Ingredient candidate</x:v>
      </x:c>
      <x:c r="F1112" s="4" t="str">
        <x:f>IFERROR(INDEX('Material routes'!$E$6:$E$2205,MATCH(V1112,'Material routes'!$A$6:$A$2205,0)),"MISSING ID")</x:f>
        <x:v>Life-event charm</x:v>
      </x:c>
      <x:c r="G1112" s="4" t="str">
        <x:f>IFERROR(INDEX('Material routes'!$F$6:$F$2205,MATCH(V1112,'Material routes'!$A$6:$A$2205,0)),"MISSING ID")</x:f>
        <x:v>Not applicable</x:v>
      </x:c>
      <x:c r="H1112" s="4" t="str">
        <x:f>IFERROR(INDEX('Material routes'!$H$6:$H$2205,MATCH(V1112,'Material routes'!$A$6:$A$2205,0)),"MISSING ID")</x:f>
        <x:v>Cultural object</x:v>
      </x:c>
      <x:c r="I1112" s="4" t="str">
        <x:f>IFERROR(INDEX('Material routes'!$G$6:$G$2205,MATCH(V1112,'Material routes'!$A$6:$A$2205,0)),"MISSING ID")</x:f>
        <x:v>Salvage</x:v>
      </x:c>
      <x:c r="J1112" s="4" t="str">
        <x:f>IFERROR(INDEX('Material routes'!$B$6:$B$2205,MATCH(U1112,'Material routes'!$A$6:$A$2205,0)),"MISSING ID")</x:f>
        <x:v>design.audit.proposal_culture_milestone</x:v>
      </x:c>
      <x:c r="K1112" s="4" t="str">
        <x:f>IFERROR(INDEX('Crafting recipes'!$C$6:$C$1005,MATCH(J1112,'Crafting recipes'!$A$6:$A$1005,0)),"MISSING ID")</x:f>
        <x:v>Finished-item crafting</x:v>
      </x:c>
      <x:c r="L1112" s="4" t="str">
        <x:f>IFERROR(INDEX('Material routes'!$K$6:$K$2205,MATCH(U1112,'Material routes'!$A$6:$A$2205,0)),"MISSING ID")</x:f>
        <x:v>Proposal</x:v>
      </x:c>
      <x:c r="M1112" s="4" t="str">
        <x:f>IFERROR(INDEX('Material routes'!$M$6:$M$2205,MATCH(U1112,'Material routes'!$A$6:$A$2205,0)),"MISSING ID")</x:f>
        <x:v>Partial proposal</x:v>
      </x:c>
      <x:c r="N1112" s="4"/>
      <x:c r="O1112" s="4" t="str">
        <x:f>IFERROR(INDEX('Material routes'!$J$6:$J$2205,MATCH(U1112,'Material routes'!$A$6:$A$2205,0)),"MISSING ID")</x:f>
        <x:v>Unspecified</x:v>
      </x:c>
      <x:c r="P1112" s="4"/>
      <x:c r="Q1112" s="4" t="str">
        <x:f>IFERROR(INDEX('Material routes'!$J$6:$J$2205,MATCH(V1112,'Material routes'!$A$6:$A$2205,0)),"MISSING ID")</x:f>
        <x:v>Unspecified</x:v>
      </x:c>
      <x:c r="R1112" s="4" t="str">
        <x:f>IF(L1112="Withheld","Withheld premise",IF(E1112="Tool candidate","Reusable prerequisite",IF(K1112="Raw entry preparation","Entry-resource preparation",IF(G1112="Not applicable",IF(IFERROR(INDEX('Items'!$AI$6:$AI$1005,MATCH(T1112,'Items'!$A$6:$A$1005,0)),"MISSING ID")="Finished item","Finished endpoint",IF(IFERROR(INDEX('Items'!$AI$6:$AI$1005,MATCH(T1112,'Items'!$A$6:$A$1005,0)),"MISSING ID")="Currency","Currency / no refinement tier","Recovered output / tier not applicable")),IF(OR(IFERROR(INDEX('Crafting recipes'!$H$6:$H$1005,MATCH(J1112,'Crafting recipes'!$A$6:$A$1005,0)),"MISSING ID")="Unassigned",G1112="Unassigned"),"Tier unresolved",IF(IFERROR(VALUE(RIGHT(G1112,1))-VALUE(RIGHT(IFERROR(INDEX('Crafting recipes'!$H$6:$H$1005,MATCH(J1112,'Crafting recipes'!$A$6:$A$1005,0)),"MISSING ID"),1)),0)=1,IF(B1112=IFERROR(INDEX('Crafting recipes'!$H$6:$H$1005,MATCH(J1112,'Crafting recipes'!$A$6:$A$1005,0)),"MISSING ID"),"Advances one material tier","Lower-tier ingredient; route advances one tier"),"Needs tier review"))))))</x:f>
        <x:v>Finished endpoint</x:v>
      </x:c>
      <x:c r="S1112" s="4" t="str">
        <x:f>IFERROR(INDEX('Material routes'!$D$6:$D$2205,MATCH(U1112,'Material routes'!$A$6:$A$2205,0)),"MISSING ID")</x:f>
        <x:v>proposal.collection.drawn_bronze_strip_stock</x:v>
      </x:c>
      <x:c r="T1112" s="4" t="str">
        <x:f>IFERROR(INDEX('Material routes'!$D$6:$D$2205,MATCH(V1112,'Material routes'!$A$6:$A$2205,0)),"MISSING ID")</x:f>
        <x:v>proposal.culture.milestone</x:v>
      </x:c>
      <x:c r="U1112" s="4" t="str">
        <x:v>design.audit.proposal_culture_milestone.audit.in.2</x:v>
      </x:c>
      <x:c r="V1112" s="4" t="str">
        <x:v>design.audit.proposal_culture_milestone.audit.out</x:v>
      </x:c>
    </x:row>
    <x:row r="1113" ht="64" customHeight="1">
      <x:c r="A1113" s="4" t="str">
        <x:f>IFERROR(INDEX('Material routes'!$E$6:$E$2205,MATCH(U1113,'Material routes'!$A$6:$A$2205,0)),"MISSING ID")</x:f>
        <x:v>Prepared mineral pigment powder</x:v>
      </x:c>
      <x:c r="B1113" s="4" t="str">
        <x:f>IFERROR(INDEX('Material routes'!$F$6:$F$2205,MATCH(U1113,'Material routes'!$A$6:$A$2205,0)),"MISSING ID")</x:f>
        <x:v>T1</x:v>
      </x:c>
      <x:c r="C1113" s="4" t="str">
        <x:f>IFERROR(INDEX('Material routes'!$H$6:$H$2205,MATCH(U1113,'Material routes'!$A$6:$A$2205,0)),"MISSING ID")</x:f>
        <x:v>Processed material</x:v>
      </x:c>
      <x:c r="D1113" s="4" t="str">
        <x:f>IFERROR(INDEX('Material routes'!$G$6:$G$2205,MATCH(U1113,'Material routes'!$A$6:$A$2205,0)),"MISSING ID")</x:f>
        <x:v>Manufactured stock</x:v>
      </x:c>
      <x:c r="E1113" s="4" t="str">
        <x:f>IFERROR(INDEX('Material routes'!$C$6:$C$2205,MATCH(U1113,'Material routes'!$A$6:$A$2205,0)),"MISSING ID")</x:f>
        <x:v>Ingredient candidate</x:v>
      </x:c>
      <x:c r="F1113" s="4" t="str">
        <x:f>IFERROR(INDEX('Material routes'!$E$6:$E$2205,MATCH(V1113,'Material routes'!$A$6:$A$2205,0)),"MISSING ID")</x:f>
        <x:v>Life-event charm</x:v>
      </x:c>
      <x:c r="G1113" s="4" t="str">
        <x:f>IFERROR(INDEX('Material routes'!$F$6:$F$2205,MATCH(V1113,'Material routes'!$A$6:$A$2205,0)),"MISSING ID")</x:f>
        <x:v>Not applicable</x:v>
      </x:c>
      <x:c r="H1113" s="4" t="str">
        <x:f>IFERROR(INDEX('Material routes'!$H$6:$H$2205,MATCH(V1113,'Material routes'!$A$6:$A$2205,0)),"MISSING ID")</x:f>
        <x:v>Cultural object</x:v>
      </x:c>
      <x:c r="I1113" s="4" t="str">
        <x:f>IFERROR(INDEX('Material routes'!$G$6:$G$2205,MATCH(V1113,'Material routes'!$A$6:$A$2205,0)),"MISSING ID")</x:f>
        <x:v>Salvage</x:v>
      </x:c>
      <x:c r="J1113" s="4" t="str">
        <x:f>IFERROR(INDEX('Material routes'!$B$6:$B$2205,MATCH(U1113,'Material routes'!$A$6:$A$2205,0)),"MISSING ID")</x:f>
        <x:v>design.audit.proposal_culture_milestone</x:v>
      </x:c>
      <x:c r="K1113" s="4" t="str">
        <x:f>IFERROR(INDEX('Crafting recipes'!$C$6:$C$1005,MATCH(J1113,'Crafting recipes'!$A$6:$A$1005,0)),"MISSING ID")</x:f>
        <x:v>Finished-item crafting</x:v>
      </x:c>
      <x:c r="L1113" s="4" t="str">
        <x:f>IFERROR(INDEX('Material routes'!$K$6:$K$2205,MATCH(U1113,'Material routes'!$A$6:$A$2205,0)),"MISSING ID")</x:f>
        <x:v>Proposal</x:v>
      </x:c>
      <x:c r="M1113" s="4" t="str">
        <x:f>IFERROR(INDEX('Material routes'!$M$6:$M$2205,MATCH(U1113,'Material routes'!$A$6:$A$2205,0)),"MISSING ID")</x:f>
        <x:v>Partial proposal</x:v>
      </x:c>
      <x:c r="N1113" s="4"/>
      <x:c r="O1113" s="4" t="str">
        <x:f>IFERROR(INDEX('Material routes'!$J$6:$J$2205,MATCH(U1113,'Material routes'!$A$6:$A$2205,0)),"MISSING ID")</x:f>
        <x:v>Unspecified</x:v>
      </x:c>
      <x:c r="P1113" s="4"/>
      <x:c r="Q1113" s="4" t="str">
        <x:f>IFERROR(INDEX('Material routes'!$J$6:$J$2205,MATCH(V1113,'Material routes'!$A$6:$A$2205,0)),"MISSING ID")</x:f>
        <x:v>Unspecified</x:v>
      </x:c>
      <x:c r="R1113" s="4" t="str">
        <x:f>IF(L1113="Withheld","Withheld premise",IF(E1113="Tool candidate","Reusable prerequisite",IF(K1113="Raw entry preparation","Entry-resource preparation",IF(G1113="Not applicable",IF(IFERROR(INDEX('Items'!$AI$6:$AI$1005,MATCH(T1113,'Items'!$A$6:$A$1005,0)),"MISSING ID")="Finished item","Finished endpoint",IF(IFERROR(INDEX('Items'!$AI$6:$AI$1005,MATCH(T1113,'Items'!$A$6:$A$1005,0)),"MISSING ID")="Currency","Currency / no refinement tier","Recovered output / tier not applicable")),IF(OR(IFERROR(INDEX('Crafting recipes'!$H$6:$H$1005,MATCH(J1113,'Crafting recipes'!$A$6:$A$1005,0)),"MISSING ID")="Unassigned",G1113="Unassigned"),"Tier unresolved",IF(IFERROR(VALUE(RIGHT(G1113,1))-VALUE(RIGHT(IFERROR(INDEX('Crafting recipes'!$H$6:$H$1005,MATCH(J1113,'Crafting recipes'!$A$6:$A$1005,0)),"MISSING ID"),1)),0)=1,IF(B1113=IFERROR(INDEX('Crafting recipes'!$H$6:$H$1005,MATCH(J1113,'Crafting recipes'!$A$6:$A$1005,0)),"MISSING ID"),"Advances one material tier","Lower-tier ingredient; route advances one tier"),"Needs tier review"))))))</x:f>
        <x:v>Finished endpoint</x:v>
      </x:c>
      <x:c r="S1113" s="4" t="str">
        <x:f>IFERROR(INDEX('Material routes'!$D$6:$D$2205,MATCH(U1113,'Material routes'!$A$6:$A$2205,0)),"MISSING ID")</x:f>
        <x:v>proposal.t1.pigment_powder</x:v>
      </x:c>
      <x:c r="T1113" s="4" t="str">
        <x:f>IFERROR(INDEX('Material routes'!$D$6:$D$2205,MATCH(V1113,'Material routes'!$A$6:$A$2205,0)),"MISSING ID")</x:f>
        <x:v>proposal.culture.milestone</x:v>
      </x:c>
      <x:c r="U1113" s="4" t="str">
        <x:v>design.audit.proposal_culture_milestone.audit.in.3</x:v>
      </x:c>
      <x:c r="V1113" s="4" t="str">
        <x:v>design.audit.proposal_culture_milestone.audit.out</x:v>
      </x:c>
    </x:row>
    <x:row r="1114" ht="64" customHeight="1">
      <x:c r="A1114" s="4" t="str">
        <x:f>IFERROR(INDEX('Material routes'!$E$6:$E$2205,MATCH(U1114,'Material routes'!$A$6:$A$2205,0)),"MISSING ID")</x:f>
        <x:v>Empty brood casings</x:v>
      </x:c>
      <x:c r="B1114" s="4" t="str">
        <x:f>IFERROR(INDEX('Material routes'!$F$6:$F$2205,MATCH(U1114,'Material routes'!$A$6:$A$2205,0)),"MISSING ID")</x:f>
        <x:v>T0</x:v>
      </x:c>
      <x:c r="C1114" s="4" t="str">
        <x:f>IFERROR(INDEX('Material routes'!$H$6:$H$2205,MATCH(U1114,'Material routes'!$A$6:$A$2205,0)),"MISSING ID")</x:f>
        <x:v>Raw material</x:v>
      </x:c>
      <x:c r="D1114" s="4" t="str">
        <x:f>IFERROR(INDEX('Material routes'!$G$6:$G$2205,MATCH(U1114,'Material routes'!$A$6:$A$2205,0)),"MISSING ID")</x:f>
        <x:v>Biological resources</x:v>
      </x:c>
      <x:c r="E1114" s="4" t="str">
        <x:f>IFERROR(INDEX('Material routes'!$C$6:$C$2205,MATCH(U1114,'Material routes'!$A$6:$A$2205,0)),"MISSING ID")</x:f>
        <x:v>Ingredient candidate</x:v>
      </x:c>
      <x:c r="F1114" s="4" t="str">
        <x:f>IFERROR(INDEX('Material routes'!$E$6:$E$2205,MATCH(V1114,'Material routes'!$A$6:$A$2205,0)),"MISSING ID")</x:f>
        <x:v>Ceremonial shell rattle</x:v>
      </x:c>
      <x:c r="G1114" s="4" t="str">
        <x:f>IFERROR(INDEX('Material routes'!$F$6:$F$2205,MATCH(V1114,'Material routes'!$A$6:$A$2205,0)),"MISSING ID")</x:f>
        <x:v>Not applicable</x:v>
      </x:c>
      <x:c r="H1114" s="4" t="str">
        <x:f>IFERROR(INDEX('Material routes'!$H$6:$H$2205,MATCH(V1114,'Material routes'!$A$6:$A$2205,0)),"MISSING ID")</x:f>
        <x:v>Musical instrument</x:v>
      </x:c>
      <x:c r="I1114" s="4" t="str">
        <x:f>IFERROR(INDEX('Material routes'!$G$6:$G$2205,MATCH(V1114,'Material routes'!$A$6:$A$2205,0)),"MISSING ID")</x:f>
        <x:v>Salvage</x:v>
      </x:c>
      <x:c r="J1114" s="4" t="str">
        <x:f>IFERROR(INDEX('Material routes'!$B$6:$B$2205,MATCH(U1114,'Material routes'!$A$6:$A$2205,0)),"MISSING ID")</x:f>
        <x:v>design.audit.proposal_culture_rattle</x:v>
      </x:c>
      <x:c r="K1114" s="4" t="str">
        <x:f>IFERROR(INDEX('Crafting recipes'!$C$6:$C$1005,MATCH(J1114,'Crafting recipes'!$A$6:$A$1005,0)),"MISSING ID")</x:f>
        <x:v>Finished-item crafting</x:v>
      </x:c>
      <x:c r="L1114" s="4" t="str">
        <x:f>IFERROR(INDEX('Material routes'!$K$6:$K$2205,MATCH(U1114,'Material routes'!$A$6:$A$2205,0)),"MISSING ID")</x:f>
        <x:v>Proposal</x:v>
      </x:c>
      <x:c r="M1114" s="4" t="str">
        <x:f>IFERROR(INDEX('Material routes'!$M$6:$M$2205,MATCH(U1114,'Material routes'!$A$6:$A$2205,0)),"MISSING ID")</x:f>
        <x:v>Partial proposal</x:v>
      </x:c>
      <x:c r="N1114" s="4"/>
      <x:c r="O1114" s="4" t="str">
        <x:f>IFERROR(INDEX('Material routes'!$J$6:$J$2205,MATCH(U1114,'Material routes'!$A$6:$A$2205,0)),"MISSING ID")</x:f>
        <x:v>Unspecified</x:v>
      </x:c>
      <x:c r="P1114" s="4"/>
      <x:c r="Q1114" s="4" t="str">
        <x:f>IFERROR(INDEX('Material routes'!$J$6:$J$2205,MATCH(V1114,'Material routes'!$A$6:$A$2205,0)),"MISSING ID")</x:f>
        <x:v>Unspecified</x:v>
      </x:c>
      <x:c r="R1114" s="4" t="str">
        <x:f>IF(L1114="Withheld","Withheld premise",IF(E1114="Tool candidate","Reusable prerequisite",IF(K1114="Raw entry preparation","Entry-resource preparation",IF(G1114="Not applicable",IF(IFERROR(INDEX('Items'!$AI$6:$AI$1005,MATCH(T1114,'Items'!$A$6:$A$1005,0)),"MISSING ID")="Finished item","Finished endpoint",IF(IFERROR(INDEX('Items'!$AI$6:$AI$1005,MATCH(T1114,'Items'!$A$6:$A$1005,0)),"MISSING ID")="Currency","Currency / no refinement tier","Recovered output / tier not applicable")),IF(OR(IFERROR(INDEX('Crafting recipes'!$H$6:$H$1005,MATCH(J1114,'Crafting recipes'!$A$6:$A$1005,0)),"MISSING ID")="Unassigned",G1114="Unassigned"),"Tier unresolved",IF(IFERROR(VALUE(RIGHT(G1114,1))-VALUE(RIGHT(IFERROR(INDEX('Crafting recipes'!$H$6:$H$1005,MATCH(J1114,'Crafting recipes'!$A$6:$A$1005,0)),"MISSING ID"),1)),0)=1,IF(B1114=IFERROR(INDEX('Crafting recipes'!$H$6:$H$1005,MATCH(J1114,'Crafting recipes'!$A$6:$A$1005,0)),"MISSING ID"),"Advances one material tier","Lower-tier ingredient; route advances one tier"),"Needs tier review"))))))</x:f>
        <x:v>Finished endpoint</x:v>
      </x:c>
      <x:c r="S1114" s="4" t="str">
        <x:f>IFERROR(INDEX('Material routes'!$D$6:$D$2205,MATCH(U1114,'Material routes'!$A$6:$A$2205,0)),"MISSING ID")</x:f>
        <x:v>proposal.raw.brood_casing</x:v>
      </x:c>
      <x:c r="T1114" s="4" t="str">
        <x:f>IFERROR(INDEX('Material routes'!$D$6:$D$2205,MATCH(V1114,'Material routes'!$A$6:$A$2205,0)),"MISSING ID")</x:f>
        <x:v>proposal.culture.rattle</x:v>
      </x:c>
      <x:c r="U1114" s="4" t="str">
        <x:v>design.audit.proposal_culture_rattle.audit.in.1</x:v>
      </x:c>
      <x:c r="V1114" s="4" t="str">
        <x:v>design.audit.proposal_culture_rattle.audit.out</x:v>
      </x:c>
    </x:row>
    <x:row r="1115" ht="64" customHeight="1">
      <x:c r="A1115" s="4" t="str">
        <x:f>IFERROR(INDEX('Material routes'!$E$6:$E$2205,MATCH(U1115,'Material routes'!$A$6:$A$2205,0)),"MISSING ID")</x:f>
        <x:v>Graded stone inlay chips</x:v>
      </x:c>
      <x:c r="B1115" s="4" t="str">
        <x:f>IFERROR(INDEX('Material routes'!$F$6:$F$2205,MATCH(U1115,'Material routes'!$A$6:$A$2205,0)),"MISSING ID")</x:f>
        <x:v>T1</x:v>
      </x:c>
      <x:c r="C1115" s="4" t="str">
        <x:f>IFERROR(INDEX('Material routes'!$H$6:$H$2205,MATCH(U1115,'Material routes'!$A$6:$A$2205,0)),"MISSING ID")</x:f>
        <x:v>Processed material</x:v>
      </x:c>
      <x:c r="D1115" s="4" t="str">
        <x:f>IFERROR(INDEX('Material routes'!$G$6:$G$2205,MATCH(U1115,'Material routes'!$A$6:$A$2205,0)),"MISSING ID")</x:f>
        <x:v>Manufactured stock</x:v>
      </x:c>
      <x:c r="E1115" s="4" t="str">
        <x:f>IFERROR(INDEX('Material routes'!$C$6:$C$2205,MATCH(U1115,'Material routes'!$A$6:$A$2205,0)),"MISSING ID")</x:f>
        <x:v>Ingredient candidate</x:v>
      </x:c>
      <x:c r="F1115" s="4" t="str">
        <x:f>IFERROR(INDEX('Material routes'!$E$6:$E$2205,MATCH(V1115,'Material routes'!$A$6:$A$2205,0)),"MISSING ID")</x:f>
        <x:v>Ceremonial shell rattle</x:v>
      </x:c>
      <x:c r="G1115" s="4" t="str">
        <x:f>IFERROR(INDEX('Material routes'!$F$6:$F$2205,MATCH(V1115,'Material routes'!$A$6:$A$2205,0)),"MISSING ID")</x:f>
        <x:v>Not applicable</x:v>
      </x:c>
      <x:c r="H1115" s="4" t="str">
        <x:f>IFERROR(INDEX('Material routes'!$H$6:$H$2205,MATCH(V1115,'Material routes'!$A$6:$A$2205,0)),"MISSING ID")</x:f>
        <x:v>Musical instrument</x:v>
      </x:c>
      <x:c r="I1115" s="4" t="str">
        <x:f>IFERROR(INDEX('Material routes'!$G$6:$G$2205,MATCH(V1115,'Material routes'!$A$6:$A$2205,0)),"MISSING ID")</x:f>
        <x:v>Salvage</x:v>
      </x:c>
      <x:c r="J1115" s="4" t="str">
        <x:f>IFERROR(INDEX('Material routes'!$B$6:$B$2205,MATCH(U1115,'Material routes'!$A$6:$A$2205,0)),"MISSING ID")</x:f>
        <x:v>design.audit.proposal_culture_rattle</x:v>
      </x:c>
      <x:c r="K1115" s="4" t="str">
        <x:f>IFERROR(INDEX('Crafting recipes'!$C$6:$C$1005,MATCH(J1115,'Crafting recipes'!$A$6:$A$1005,0)),"MISSING ID")</x:f>
        <x:v>Finished-item crafting</x:v>
      </x:c>
      <x:c r="L1115" s="4" t="str">
        <x:f>IFERROR(INDEX('Material routes'!$K$6:$K$2205,MATCH(U1115,'Material routes'!$A$6:$A$2205,0)),"MISSING ID")</x:f>
        <x:v>Proposal</x:v>
      </x:c>
      <x:c r="M1115" s="4" t="str">
        <x:f>IFERROR(INDEX('Material routes'!$M$6:$M$2205,MATCH(U1115,'Material routes'!$A$6:$A$2205,0)),"MISSING ID")</x:f>
        <x:v>Partial proposal</x:v>
      </x:c>
      <x:c r="N1115" s="4"/>
      <x:c r="O1115" s="4" t="str">
        <x:f>IFERROR(INDEX('Material routes'!$J$6:$J$2205,MATCH(U1115,'Material routes'!$A$6:$A$2205,0)),"MISSING ID")</x:f>
        <x:v>Unspecified</x:v>
      </x:c>
      <x:c r="P1115" s="4"/>
      <x:c r="Q1115" s="4" t="str">
        <x:f>IFERROR(INDEX('Material routes'!$J$6:$J$2205,MATCH(V1115,'Material routes'!$A$6:$A$2205,0)),"MISSING ID")</x:f>
        <x:v>Unspecified</x:v>
      </x:c>
      <x:c r="R1115" s="4" t="str">
        <x:f>IF(L1115="Withheld","Withheld premise",IF(E1115="Tool candidate","Reusable prerequisite",IF(K1115="Raw entry preparation","Entry-resource preparation",IF(G1115="Not applicable",IF(IFERROR(INDEX('Items'!$AI$6:$AI$1005,MATCH(T1115,'Items'!$A$6:$A$1005,0)),"MISSING ID")="Finished item","Finished endpoint",IF(IFERROR(INDEX('Items'!$AI$6:$AI$1005,MATCH(T1115,'Items'!$A$6:$A$1005,0)),"MISSING ID")="Currency","Currency / no refinement tier","Recovered output / tier not applicable")),IF(OR(IFERROR(INDEX('Crafting recipes'!$H$6:$H$1005,MATCH(J1115,'Crafting recipes'!$A$6:$A$1005,0)),"MISSING ID")="Unassigned",G1115="Unassigned"),"Tier unresolved",IF(IFERROR(VALUE(RIGHT(G1115,1))-VALUE(RIGHT(IFERROR(INDEX('Crafting recipes'!$H$6:$H$1005,MATCH(J1115,'Crafting recipes'!$A$6:$A$1005,0)),"MISSING ID"),1)),0)=1,IF(B1115=IFERROR(INDEX('Crafting recipes'!$H$6:$H$1005,MATCH(J1115,'Crafting recipes'!$A$6:$A$1005,0)),"MISSING ID"),"Advances one material tier","Lower-tier ingredient; route advances one tier"),"Needs tier review"))))))</x:f>
        <x:v>Finished endpoint</x:v>
      </x:c>
      <x:c r="S1115" s="4" t="str">
        <x:f>IFERROR(INDEX('Material routes'!$D$6:$D$2205,MATCH(U1115,'Material routes'!$A$6:$A$2205,0)),"MISSING ID")</x:f>
        <x:v>proposal.t1.gem_chips</x:v>
      </x:c>
      <x:c r="T1115" s="4" t="str">
        <x:f>IFERROR(INDEX('Material routes'!$D$6:$D$2205,MATCH(V1115,'Material routes'!$A$6:$A$2205,0)),"MISSING ID")</x:f>
        <x:v>proposal.culture.rattle</x:v>
      </x:c>
      <x:c r="U1115" s="4" t="str">
        <x:v>design.audit.proposal_culture_rattle.audit.in.2</x:v>
      </x:c>
      <x:c r="V1115" s="4" t="str">
        <x:v>design.audit.proposal_culture_rattle.audit.out</x:v>
      </x:c>
    </x:row>
    <x:row r="1116" ht="64" customHeight="1">
      <x:c r="A1116" s="4" t="str">
        <x:f>IFERROR(INDEX('Material routes'!$E$6:$E$2205,MATCH(U1116,'Material routes'!$A$6:$A$2205,0)),"MISSING ID")</x:f>
        <x:v>Tendon cord</x:v>
      </x:c>
      <x:c r="B1116" s="4" t="str">
        <x:f>IFERROR(INDEX('Material routes'!$F$6:$F$2205,MATCH(U1116,'Material routes'!$A$6:$A$2205,0)),"MISSING ID")</x:f>
        <x:v>T1</x:v>
      </x:c>
      <x:c r="C1116" s="4" t="str">
        <x:f>IFERROR(INDEX('Material routes'!$H$6:$H$2205,MATCH(U1116,'Material routes'!$A$6:$A$2205,0)),"MISSING ID")</x:f>
        <x:v>Crafting component</x:v>
      </x:c>
      <x:c r="D1116" s="4" t="str">
        <x:f>IFERROR(INDEX('Material routes'!$G$6:$G$2205,MATCH(U1116,'Material routes'!$A$6:$A$2205,0)),"MISSING ID")</x:f>
        <x:v>Crafting components</x:v>
      </x:c>
      <x:c r="E1116" s="4" t="str">
        <x:f>IFERROR(INDEX('Material routes'!$C$6:$C$2205,MATCH(U1116,'Material routes'!$A$6:$A$2205,0)),"MISSING ID")</x:f>
        <x:v>Ingredient candidate</x:v>
      </x:c>
      <x:c r="F1116" s="4" t="str">
        <x:f>IFERROR(INDEX('Material routes'!$E$6:$E$2205,MATCH(V1116,'Material routes'!$A$6:$A$2205,0)),"MISSING ID")</x:f>
        <x:v>Ceremonial shell rattle</x:v>
      </x:c>
      <x:c r="G1116" s="4" t="str">
        <x:f>IFERROR(INDEX('Material routes'!$F$6:$F$2205,MATCH(V1116,'Material routes'!$A$6:$A$2205,0)),"MISSING ID")</x:f>
        <x:v>Not applicable</x:v>
      </x:c>
      <x:c r="H1116" s="4" t="str">
        <x:f>IFERROR(INDEX('Material routes'!$H$6:$H$2205,MATCH(V1116,'Material routes'!$A$6:$A$2205,0)),"MISSING ID")</x:f>
        <x:v>Musical instrument</x:v>
      </x:c>
      <x:c r="I1116" s="4" t="str">
        <x:f>IFERROR(INDEX('Material routes'!$G$6:$G$2205,MATCH(V1116,'Material routes'!$A$6:$A$2205,0)),"MISSING ID")</x:f>
        <x:v>Salvage</x:v>
      </x:c>
      <x:c r="J1116" s="4" t="str">
        <x:f>IFERROR(INDEX('Material routes'!$B$6:$B$2205,MATCH(U1116,'Material routes'!$A$6:$A$2205,0)),"MISSING ID")</x:f>
        <x:v>design.audit.proposal_culture_rattle</x:v>
      </x:c>
      <x:c r="K1116" s="4" t="str">
        <x:f>IFERROR(INDEX('Crafting recipes'!$C$6:$C$1005,MATCH(J1116,'Crafting recipes'!$A$6:$A$1005,0)),"MISSING ID")</x:f>
        <x:v>Finished-item crafting</x:v>
      </x:c>
      <x:c r="L1116" s="4" t="str">
        <x:f>IFERROR(INDEX('Material routes'!$K$6:$K$2205,MATCH(U1116,'Material routes'!$A$6:$A$2205,0)),"MISSING ID")</x:f>
        <x:v>Proposal</x:v>
      </x:c>
      <x:c r="M1116" s="4" t="str">
        <x:f>IFERROR(INDEX('Material routes'!$M$6:$M$2205,MATCH(U1116,'Material routes'!$A$6:$A$2205,0)),"MISSING ID")</x:f>
        <x:v>Partial proposal</x:v>
      </x:c>
      <x:c r="N1116" s="4"/>
      <x:c r="O1116" s="4" t="str">
        <x:f>IFERROR(INDEX('Material routes'!$J$6:$J$2205,MATCH(U1116,'Material routes'!$A$6:$A$2205,0)),"MISSING ID")</x:f>
        <x:v>Unspecified</x:v>
      </x:c>
      <x:c r="P1116" s="4"/>
      <x:c r="Q1116" s="4" t="str">
        <x:f>IFERROR(INDEX('Material routes'!$J$6:$J$2205,MATCH(V1116,'Material routes'!$A$6:$A$2205,0)),"MISSING ID")</x:f>
        <x:v>Unspecified</x:v>
      </x:c>
      <x:c r="R1116" s="4" t="str">
        <x:f>IF(L1116="Withheld","Withheld premise",IF(E1116="Tool candidate","Reusable prerequisite",IF(K1116="Raw entry preparation","Entry-resource preparation",IF(G1116="Not applicable",IF(IFERROR(INDEX('Items'!$AI$6:$AI$1005,MATCH(T1116,'Items'!$A$6:$A$1005,0)),"MISSING ID")="Finished item","Finished endpoint",IF(IFERROR(INDEX('Items'!$AI$6:$AI$1005,MATCH(T1116,'Items'!$A$6:$A$1005,0)),"MISSING ID")="Currency","Currency / no refinement tier","Recovered output / tier not applicable")),IF(OR(IFERROR(INDEX('Crafting recipes'!$H$6:$H$1005,MATCH(J1116,'Crafting recipes'!$A$6:$A$1005,0)),"MISSING ID")="Unassigned",G1116="Unassigned"),"Tier unresolved",IF(IFERROR(VALUE(RIGHT(G1116,1))-VALUE(RIGHT(IFERROR(INDEX('Crafting recipes'!$H$6:$H$1005,MATCH(J1116,'Crafting recipes'!$A$6:$A$1005,0)),"MISSING ID"),1)),0)=1,IF(B1116=IFERROR(INDEX('Crafting recipes'!$H$6:$H$1005,MATCH(J1116,'Crafting recipes'!$A$6:$A$1005,0)),"MISSING ID"),"Advances one material tier","Lower-tier ingredient; route advances one tier"),"Needs tier review"))))))</x:f>
        <x:v>Finished endpoint</x:v>
      </x:c>
      <x:c r="S1116" s="4" t="str">
        <x:f>IFERROR(INDEX('Material routes'!$D$6:$D$2205,MATCH(U1116,'Material routes'!$A$6:$A$2205,0)),"MISSING ID")</x:f>
        <x:v>proposal.bio.cord</x:v>
      </x:c>
      <x:c r="T1116" s="4" t="str">
        <x:f>IFERROR(INDEX('Material routes'!$D$6:$D$2205,MATCH(V1116,'Material routes'!$A$6:$A$2205,0)),"MISSING ID")</x:f>
        <x:v>proposal.culture.rattle</x:v>
      </x:c>
      <x:c r="U1116" s="4" t="str">
        <x:v>design.audit.proposal_culture_rattle.audit.in.3</x:v>
      </x:c>
      <x:c r="V1116" s="4" t="str">
        <x:v>design.audit.proposal_culture_rattle.audit.out</x:v>
      </x:c>
    </x:row>
    <x:row r="1117" ht="64" customHeight="1">
      <x:c r="A1117" s="4" t="str">
        <x:f>IFERROR(INDEX('Material routes'!$E$6:$E$2205,MATCH(U1117,'Material routes'!$A$6:$A$2205,0)),"MISSING ID")</x:f>
        <x:v>Finished decorative husk stock</x:v>
      </x:c>
      <x:c r="B1117" s="4" t="str">
        <x:f>IFERROR(INDEX('Material routes'!$F$6:$F$2205,MATCH(U1117,'Material routes'!$A$6:$A$2205,0)),"MISSING ID")</x:f>
        <x:v>T3</x:v>
      </x:c>
      <x:c r="C1117" s="4" t="str">
        <x:f>IFERROR(INDEX('Material routes'!$H$6:$H$2205,MATCH(U1117,'Material routes'!$A$6:$A$2205,0)),"MISSING ID")</x:f>
        <x:v>Processed material</x:v>
      </x:c>
      <x:c r="D1117" s="4" t="str">
        <x:f>IFERROR(INDEX('Material routes'!$G$6:$G$2205,MATCH(U1117,'Material routes'!$A$6:$A$2205,0)),"MISSING ID")</x:f>
        <x:v>Manufactured stock</x:v>
      </x:c>
      <x:c r="E1117" s="4" t="str">
        <x:f>IFERROR(INDEX('Material routes'!$C$6:$C$2205,MATCH(U1117,'Material routes'!$A$6:$A$2205,0)),"MISSING ID")</x:f>
        <x:v>Ingredient candidate</x:v>
      </x:c>
      <x:c r="F1117" s="4" t="str">
        <x:f>IFERROR(INDEX('Material routes'!$E$6:$E$2205,MATCH(V1117,'Material routes'!$A$6:$A$2205,0)),"MISSING ID")</x:f>
        <x:v>Ceremonial gift case</x:v>
      </x:c>
      <x:c r="G1117" s="4" t="str">
        <x:f>IFERROR(INDEX('Material routes'!$F$6:$F$2205,MATCH(V1117,'Material routes'!$A$6:$A$2205,0)),"MISSING ID")</x:f>
        <x:v>Not applicable</x:v>
      </x:c>
      <x:c r="H1117" s="4" t="str">
        <x:f>IFERROR(INDEX('Material routes'!$H$6:$H$2205,MATCH(V1117,'Material routes'!$A$6:$A$2205,0)),"MISSING ID")</x:f>
        <x:v>Container</x:v>
      </x:c>
      <x:c r="I1117" s="4" t="str">
        <x:f>IFERROR(INDEX('Material routes'!$G$6:$G$2205,MATCH(V1117,'Material routes'!$A$6:$A$2205,0)),"MISSING ID")</x:f>
        <x:v>Salvage</x:v>
      </x:c>
      <x:c r="J1117" s="4" t="str">
        <x:f>IFERROR(INDEX('Material routes'!$B$6:$B$2205,MATCH(U1117,'Material routes'!$A$6:$A$2205,0)),"MISSING ID")</x:f>
        <x:v>design.audit.proposal_culture_gift_case</x:v>
      </x:c>
      <x:c r="K1117" s="4" t="str">
        <x:f>IFERROR(INDEX('Crafting recipes'!$C$6:$C$1005,MATCH(J1117,'Crafting recipes'!$A$6:$A$1005,0)),"MISSING ID")</x:f>
        <x:v>Finished-item crafting</x:v>
      </x:c>
      <x:c r="L1117" s="4" t="str">
        <x:f>IFERROR(INDEX('Material routes'!$K$6:$K$2205,MATCH(U1117,'Material routes'!$A$6:$A$2205,0)),"MISSING ID")</x:f>
        <x:v>Proposal</x:v>
      </x:c>
      <x:c r="M1117" s="4" t="str">
        <x:f>IFERROR(INDEX('Material routes'!$M$6:$M$2205,MATCH(U1117,'Material routes'!$A$6:$A$2205,0)),"MISSING ID")</x:f>
        <x:v>Partial proposal</x:v>
      </x:c>
      <x:c r="N1117" s="4"/>
      <x:c r="O1117" s="4" t="str">
        <x:f>IFERROR(INDEX('Material routes'!$J$6:$J$2205,MATCH(U1117,'Material routes'!$A$6:$A$2205,0)),"MISSING ID")</x:f>
        <x:v>Unspecified</x:v>
      </x:c>
      <x:c r="P1117" s="4"/>
      <x:c r="Q1117" s="4" t="str">
        <x:f>IFERROR(INDEX('Material routes'!$J$6:$J$2205,MATCH(V1117,'Material routes'!$A$6:$A$2205,0)),"MISSING ID")</x:f>
        <x:v>Unspecified</x:v>
      </x:c>
      <x:c r="R1117" s="4" t="str">
        <x:f>IF(L1117="Withheld","Withheld premise",IF(E1117="Tool candidate","Reusable prerequisite",IF(K1117="Raw entry preparation","Entry-resource preparation",IF(G1117="Not applicable",IF(IFERROR(INDEX('Items'!$AI$6:$AI$1005,MATCH(T1117,'Items'!$A$6:$A$1005,0)),"MISSING ID")="Finished item","Finished endpoint",IF(IFERROR(INDEX('Items'!$AI$6:$AI$1005,MATCH(T1117,'Items'!$A$6:$A$1005,0)),"MISSING ID")="Currency","Currency / no refinement tier","Recovered output / tier not applicable")),IF(OR(IFERROR(INDEX('Crafting recipes'!$H$6:$H$1005,MATCH(J1117,'Crafting recipes'!$A$6:$A$1005,0)),"MISSING ID")="Unassigned",G1117="Unassigned"),"Tier unresolved",IF(IFERROR(VALUE(RIGHT(G1117,1))-VALUE(RIGHT(IFERROR(INDEX('Crafting recipes'!$H$6:$H$1005,MATCH(J1117,'Crafting recipes'!$A$6:$A$1005,0)),"MISSING ID"),1)),0)=1,IF(B1117=IFERROR(INDEX('Crafting recipes'!$H$6:$H$1005,MATCH(J1117,'Crafting recipes'!$A$6:$A$1005,0)),"MISSING ID"),"Advances one material tier","Lower-tier ingredient; route advances one tier"),"Needs tier review"))))))</x:f>
        <x:v>Finished endpoint</x:v>
      </x:c>
      <x:c r="S1117" s="4" t="str">
        <x:f>IFERROR(INDEX('Material routes'!$D$6:$D$2205,MATCH(U1117,'Material routes'!$A$6:$A$2205,0)),"MISSING ID")</x:f>
        <x:v>proposal.branch.decorative_husk</x:v>
      </x:c>
      <x:c r="T1117" s="4" t="str">
        <x:f>IFERROR(INDEX('Material routes'!$D$6:$D$2205,MATCH(V1117,'Material routes'!$A$6:$A$2205,0)),"MISSING ID")</x:f>
        <x:v>proposal.culture.gift_case</x:v>
      </x:c>
      <x:c r="U1117" s="4" t="str">
        <x:v>design.audit.proposal_culture_gift_case.audit.in.1</x:v>
      </x:c>
      <x:c r="V1117" s="4" t="str">
        <x:v>design.audit.proposal_culture_gift_case.audit.out</x:v>
      </x:c>
    </x:row>
    <x:row r="1118" ht="64" customHeight="1">
      <x:c r="A1118" s="4" t="str">
        <x:f>IFERROR(INDEX('Material routes'!$E$6:$E$2205,MATCH(U1118,'Material routes'!$A$6:$A$2205,0)),"MISSING ID")</x:f>
        <x:v>Burnished shell inlay scales</x:v>
      </x:c>
      <x:c r="B1118" s="4" t="str">
        <x:f>IFERROR(INDEX('Material routes'!$F$6:$F$2205,MATCH(U1118,'Material routes'!$A$6:$A$2205,0)),"MISSING ID")</x:f>
        <x:v>T1</x:v>
      </x:c>
      <x:c r="C1118" s="4" t="str">
        <x:f>IFERROR(INDEX('Material routes'!$H$6:$H$2205,MATCH(U1118,'Material routes'!$A$6:$A$2205,0)),"MISSING ID")</x:f>
        <x:v>Processed material</x:v>
      </x:c>
      <x:c r="D1118" s="4" t="str">
        <x:f>IFERROR(INDEX('Material routes'!$G$6:$G$2205,MATCH(U1118,'Material routes'!$A$6:$A$2205,0)),"MISSING ID")</x:f>
        <x:v>Manufactured stock</x:v>
      </x:c>
      <x:c r="E1118" s="4" t="str">
        <x:f>IFERROR(INDEX('Material routes'!$C$6:$C$2205,MATCH(U1118,'Material routes'!$A$6:$A$2205,0)),"MISSING ID")</x:f>
        <x:v>Ingredient candidate</x:v>
      </x:c>
      <x:c r="F1118" s="4" t="str">
        <x:f>IFERROR(INDEX('Material routes'!$E$6:$E$2205,MATCH(V1118,'Material routes'!$A$6:$A$2205,0)),"MISSING ID")</x:f>
        <x:v>Ceremonial gift case</x:v>
      </x:c>
      <x:c r="G1118" s="4" t="str">
        <x:f>IFERROR(INDEX('Material routes'!$F$6:$F$2205,MATCH(V1118,'Material routes'!$A$6:$A$2205,0)),"MISSING ID")</x:f>
        <x:v>Not applicable</x:v>
      </x:c>
      <x:c r="H1118" s="4" t="str">
        <x:f>IFERROR(INDEX('Material routes'!$H$6:$H$2205,MATCH(V1118,'Material routes'!$A$6:$A$2205,0)),"MISSING ID")</x:f>
        <x:v>Container</x:v>
      </x:c>
      <x:c r="I1118" s="4" t="str">
        <x:f>IFERROR(INDEX('Material routes'!$G$6:$G$2205,MATCH(V1118,'Material routes'!$A$6:$A$2205,0)),"MISSING ID")</x:f>
        <x:v>Salvage</x:v>
      </x:c>
      <x:c r="J1118" s="4" t="str">
        <x:f>IFERROR(INDEX('Material routes'!$B$6:$B$2205,MATCH(U1118,'Material routes'!$A$6:$A$2205,0)),"MISSING ID")</x:f>
        <x:v>design.audit.proposal_culture_gift_case</x:v>
      </x:c>
      <x:c r="K1118" s="4" t="str">
        <x:f>IFERROR(INDEX('Crafting recipes'!$C$6:$C$1005,MATCH(J1118,'Crafting recipes'!$A$6:$A$1005,0)),"MISSING ID")</x:f>
        <x:v>Finished-item crafting</x:v>
      </x:c>
      <x:c r="L1118" s="4" t="str">
        <x:f>IFERROR(INDEX('Material routes'!$K$6:$K$2205,MATCH(U1118,'Material routes'!$A$6:$A$2205,0)),"MISSING ID")</x:f>
        <x:v>Proposal</x:v>
      </x:c>
      <x:c r="M1118" s="4" t="str">
        <x:f>IFERROR(INDEX('Material routes'!$M$6:$M$2205,MATCH(U1118,'Material routes'!$A$6:$A$2205,0)),"MISSING ID")</x:f>
        <x:v>Partial proposal</x:v>
      </x:c>
      <x:c r="N1118" s="4"/>
      <x:c r="O1118" s="4" t="str">
        <x:f>IFERROR(INDEX('Material routes'!$J$6:$J$2205,MATCH(U1118,'Material routes'!$A$6:$A$2205,0)),"MISSING ID")</x:f>
        <x:v>Unspecified</x:v>
      </x:c>
      <x:c r="P1118" s="4"/>
      <x:c r="Q1118" s="4" t="str">
        <x:f>IFERROR(INDEX('Material routes'!$J$6:$J$2205,MATCH(V1118,'Material routes'!$A$6:$A$2205,0)),"MISSING ID")</x:f>
        <x:v>Unspecified</x:v>
      </x:c>
      <x:c r="R1118" s="4" t="str">
        <x:f>IF(L1118="Withheld","Withheld premise",IF(E1118="Tool candidate","Reusable prerequisite",IF(K1118="Raw entry preparation","Entry-resource preparation",IF(G1118="Not applicable",IF(IFERROR(INDEX('Items'!$AI$6:$AI$1005,MATCH(T1118,'Items'!$A$6:$A$1005,0)),"MISSING ID")="Finished item","Finished endpoint",IF(IFERROR(INDEX('Items'!$AI$6:$AI$1005,MATCH(T1118,'Items'!$A$6:$A$1005,0)),"MISSING ID")="Currency","Currency / no refinement tier","Recovered output / tier not applicable")),IF(OR(IFERROR(INDEX('Crafting recipes'!$H$6:$H$1005,MATCH(J1118,'Crafting recipes'!$A$6:$A$1005,0)),"MISSING ID")="Unassigned",G1118="Unassigned"),"Tier unresolved",IF(IFERROR(VALUE(RIGHT(G1118,1))-VALUE(RIGHT(IFERROR(INDEX('Crafting recipes'!$H$6:$H$1005,MATCH(J1118,'Crafting recipes'!$A$6:$A$1005,0)),"MISSING ID"),1)),0)=1,IF(B1118=IFERROR(INDEX('Crafting recipes'!$H$6:$H$1005,MATCH(J1118,'Crafting recipes'!$A$6:$A$1005,0)),"MISSING ID"),"Advances one material tier","Lower-tier ingredient; route advances one tier"),"Needs tier review"))))))</x:f>
        <x:v>Finished endpoint</x:v>
      </x:c>
      <x:c r="S1118" s="4" t="str">
        <x:f>IFERROR(INDEX('Material routes'!$D$6:$D$2205,MATCH(U1118,'Material routes'!$A$6:$A$2205,0)),"MISSING ID")</x:f>
        <x:v>proposal.t1.shell_inlay</x:v>
      </x:c>
      <x:c r="T1118" s="4" t="str">
        <x:f>IFERROR(INDEX('Material routes'!$D$6:$D$2205,MATCH(V1118,'Material routes'!$A$6:$A$2205,0)),"MISSING ID")</x:f>
        <x:v>proposal.culture.gift_case</x:v>
      </x:c>
      <x:c r="U1118" s="4" t="str">
        <x:v>design.audit.proposal_culture_gift_case.audit.in.2</x:v>
      </x:c>
      <x:c r="V1118" s="4" t="str">
        <x:v>design.audit.proposal_culture_gift_case.audit.out</x:v>
      </x:c>
    </x:row>
    <x:row r="1119" ht="64" customHeight="1">
      <x:c r="A1119" s="4" t="str">
        <x:f>IFERROR(INDEX('Material routes'!$E$6:$E$2205,MATCH(U1119,'Material routes'!$A$6:$A$2205,0)),"MISSING ID")</x:f>
        <x:v>Ceramic toggle fastener</x:v>
      </x:c>
      <x:c r="B1119" s="4" t="str">
        <x:f>IFERROR(INDEX('Material routes'!$F$6:$F$2205,MATCH(U1119,'Material routes'!$A$6:$A$2205,0)),"MISSING ID")</x:f>
        <x:v>T3</x:v>
      </x:c>
      <x:c r="C1119" s="4" t="str">
        <x:f>IFERROR(INDEX('Material routes'!$H$6:$H$2205,MATCH(U1119,'Material routes'!$A$6:$A$2205,0)),"MISSING ID")</x:f>
        <x:v>Crafting component</x:v>
      </x:c>
      <x:c r="D1119" s="4" t="str">
        <x:f>IFERROR(INDEX('Material routes'!$G$6:$G$2205,MATCH(U1119,'Material routes'!$A$6:$A$2205,0)),"MISSING ID")</x:f>
        <x:v>Crafting components</x:v>
      </x:c>
      <x:c r="E1119" s="4" t="str">
        <x:f>IFERROR(INDEX('Material routes'!$C$6:$C$2205,MATCH(U1119,'Material routes'!$A$6:$A$2205,0)),"MISSING ID")</x:f>
        <x:v>Ingredient candidate</x:v>
      </x:c>
      <x:c r="F1119" s="4" t="str">
        <x:f>IFERROR(INDEX('Material routes'!$E$6:$E$2205,MATCH(V1119,'Material routes'!$A$6:$A$2205,0)),"MISSING ID")</x:f>
        <x:v>Ceremonial gift case</x:v>
      </x:c>
      <x:c r="G1119" s="4" t="str">
        <x:f>IFERROR(INDEX('Material routes'!$F$6:$F$2205,MATCH(V1119,'Material routes'!$A$6:$A$2205,0)),"MISSING ID")</x:f>
        <x:v>Not applicable</x:v>
      </x:c>
      <x:c r="H1119" s="4" t="str">
        <x:f>IFERROR(INDEX('Material routes'!$H$6:$H$2205,MATCH(V1119,'Material routes'!$A$6:$A$2205,0)),"MISSING ID")</x:f>
        <x:v>Container</x:v>
      </x:c>
      <x:c r="I1119" s="4" t="str">
        <x:f>IFERROR(INDEX('Material routes'!$G$6:$G$2205,MATCH(V1119,'Material routes'!$A$6:$A$2205,0)),"MISSING ID")</x:f>
        <x:v>Salvage</x:v>
      </x:c>
      <x:c r="J1119" s="4" t="str">
        <x:f>IFERROR(INDEX('Material routes'!$B$6:$B$2205,MATCH(U1119,'Material routes'!$A$6:$A$2205,0)),"MISSING ID")</x:f>
        <x:v>design.audit.proposal_culture_gift_case</x:v>
      </x:c>
      <x:c r="K1119" s="4" t="str">
        <x:f>IFERROR(INDEX('Crafting recipes'!$C$6:$C$1005,MATCH(J1119,'Crafting recipes'!$A$6:$A$1005,0)),"MISSING ID")</x:f>
        <x:v>Finished-item crafting</x:v>
      </x:c>
      <x:c r="L1119" s="4" t="str">
        <x:f>IFERROR(INDEX('Material routes'!$K$6:$K$2205,MATCH(U1119,'Material routes'!$A$6:$A$2205,0)),"MISSING ID")</x:f>
        <x:v>Proposal</x:v>
      </x:c>
      <x:c r="M1119" s="4" t="str">
        <x:f>IFERROR(INDEX('Material routes'!$M$6:$M$2205,MATCH(U1119,'Material routes'!$A$6:$A$2205,0)),"MISSING ID")</x:f>
        <x:v>Partial proposal</x:v>
      </x:c>
      <x:c r="N1119" s="4"/>
      <x:c r="O1119" s="4" t="str">
        <x:f>IFERROR(INDEX('Material routes'!$J$6:$J$2205,MATCH(U1119,'Material routes'!$A$6:$A$2205,0)),"MISSING ID")</x:f>
        <x:v>Unspecified</x:v>
      </x:c>
      <x:c r="P1119" s="4"/>
      <x:c r="Q1119" s="4" t="str">
        <x:f>IFERROR(INDEX('Material routes'!$J$6:$J$2205,MATCH(V1119,'Material routes'!$A$6:$A$2205,0)),"MISSING ID")</x:f>
        <x:v>Unspecified</x:v>
      </x:c>
      <x:c r="R1119" s="4" t="str">
        <x:f>IF(L1119="Withheld","Withheld premise",IF(E1119="Tool candidate","Reusable prerequisite",IF(K1119="Raw entry preparation","Entry-resource preparation",IF(G1119="Not applicable",IF(IFERROR(INDEX('Items'!$AI$6:$AI$1005,MATCH(T1119,'Items'!$A$6:$A$1005,0)),"MISSING ID")="Finished item","Finished endpoint",IF(IFERROR(INDEX('Items'!$AI$6:$AI$1005,MATCH(T1119,'Items'!$A$6:$A$1005,0)),"MISSING ID")="Currency","Currency / no refinement tier","Recovered output / tier not applicable")),IF(OR(IFERROR(INDEX('Crafting recipes'!$H$6:$H$1005,MATCH(J1119,'Crafting recipes'!$A$6:$A$1005,0)),"MISSING ID")="Unassigned",G1119="Unassigned"),"Tier unresolved",IF(IFERROR(VALUE(RIGHT(G1119,1))-VALUE(RIGHT(IFERROR(INDEX('Crafting recipes'!$H$6:$H$1005,MATCH(J1119,'Crafting recipes'!$A$6:$A$1005,0)),"MISSING ID"),1)),0)=1,IF(B1119=IFERROR(INDEX('Crafting recipes'!$H$6:$H$1005,MATCH(J1119,'Crafting recipes'!$A$6:$A$1005,0)),"MISSING ID"),"Advances one material tier","Lower-tier ingredient; route advances one tier"),"Needs tier review"))))))</x:f>
        <x:v>Finished endpoint</x:v>
      </x:c>
      <x:c r="S1119" s="4" t="str">
        <x:f>IFERROR(INDEX('Material routes'!$D$6:$D$2205,MATCH(U1119,'Material routes'!$A$6:$A$2205,0)),"MISSING ID")</x:f>
        <x:v>proposal.ceramic.fastener</x:v>
      </x:c>
      <x:c r="T1119" s="4" t="str">
        <x:f>IFERROR(INDEX('Material routes'!$D$6:$D$2205,MATCH(V1119,'Material routes'!$A$6:$A$2205,0)),"MISSING ID")</x:f>
        <x:v>proposal.culture.gift_case</x:v>
      </x:c>
      <x:c r="U1119" s="4" t="str">
        <x:v>design.audit.proposal_culture_gift_case.audit.in.3</x:v>
      </x:c>
      <x:c r="V1119" s="4" t="str">
        <x:v>design.audit.proposal_culture_gift_case.audit.out</x:v>
      </x:c>
    </x:row>
    <x:row r="1120" ht="64" customHeight="1">
      <x:c r="A1120" s="4" t="str">
        <x:f>IFERROR(INDEX('Material routes'!$E$6:$E$2205,MATCH(U1120,'Material routes'!$A$6:$A$2205,0)),"MISSING ID")</x:f>
        <x:v>Shaped fauna hard-part blanks</x:v>
      </x:c>
      <x:c r="B1120" s="4" t="str">
        <x:f>IFERROR(INDEX('Material routes'!$F$6:$F$2205,MATCH(U1120,'Material routes'!$A$6:$A$2205,0)),"MISSING ID")</x:f>
        <x:v>T1</x:v>
      </x:c>
      <x:c r="C1120" s="4" t="str">
        <x:f>IFERROR(INDEX('Material routes'!$H$6:$H$2205,MATCH(U1120,'Material routes'!$A$6:$A$2205,0)),"MISSING ID")</x:f>
        <x:v>Processed material</x:v>
      </x:c>
      <x:c r="D1120" s="4" t="str">
        <x:f>IFERROR(INDEX('Material routes'!$G$6:$G$2205,MATCH(U1120,'Material routes'!$A$6:$A$2205,0)),"MISSING ID")</x:f>
        <x:v>Manufactured stock</x:v>
      </x:c>
      <x:c r="E1120" s="4" t="str">
        <x:f>IFERROR(INDEX('Material routes'!$C$6:$C$2205,MATCH(U1120,'Material routes'!$A$6:$A$2205,0)),"MISSING ID")</x:f>
        <x:v>Ingredient candidate</x:v>
      </x:c>
      <x:c r="F1120" s="4" t="str">
        <x:f>IFERROR(INDEX('Material routes'!$E$6:$E$2205,MATCH(V1120,'Material routes'!$A$6:$A$2205,0)),"MISSING ID")</x:f>
        <x:v>Everyday shell bowl</x:v>
      </x:c>
      <x:c r="G1120" s="4" t="str">
        <x:f>IFERROR(INDEX('Material routes'!$F$6:$F$2205,MATCH(V1120,'Material routes'!$A$6:$A$2205,0)),"MISSING ID")</x:f>
        <x:v>Not applicable</x:v>
      </x:c>
      <x:c r="H1120" s="4" t="str">
        <x:f>IFERROR(INDEX('Material routes'!$H$6:$H$2205,MATCH(V1120,'Material routes'!$A$6:$A$2205,0)),"MISSING ID")</x:f>
        <x:v>Household utensil</x:v>
      </x:c>
      <x:c r="I1120" s="4" t="str">
        <x:f>IFERROR(INDEX('Material routes'!$G$6:$G$2205,MATCH(V1120,'Material routes'!$A$6:$A$2205,0)),"MISSING ID")</x:f>
        <x:v>Salvage</x:v>
      </x:c>
      <x:c r="J1120" s="4" t="str">
        <x:f>IFERROR(INDEX('Material routes'!$B$6:$B$2205,MATCH(U1120,'Material routes'!$A$6:$A$2205,0)),"MISSING ID")</x:f>
        <x:v>design.audit.proposal_culture_bowl</x:v>
      </x:c>
      <x:c r="K1120" s="4" t="str">
        <x:f>IFERROR(INDEX('Crafting recipes'!$C$6:$C$1005,MATCH(J1120,'Crafting recipes'!$A$6:$A$1005,0)),"MISSING ID")</x:f>
        <x:v>Finished-item crafting</x:v>
      </x:c>
      <x:c r="L1120" s="4" t="str">
        <x:f>IFERROR(INDEX('Material routes'!$K$6:$K$2205,MATCH(U1120,'Material routes'!$A$6:$A$2205,0)),"MISSING ID")</x:f>
        <x:v>Proposal</x:v>
      </x:c>
      <x:c r="M1120" s="4" t="str">
        <x:f>IFERROR(INDEX('Material routes'!$M$6:$M$2205,MATCH(U1120,'Material routes'!$A$6:$A$2205,0)),"MISSING ID")</x:f>
        <x:v>Partial proposal</x:v>
      </x:c>
      <x:c r="N1120" s="4"/>
      <x:c r="O1120" s="4" t="str">
        <x:f>IFERROR(INDEX('Material routes'!$J$6:$J$2205,MATCH(U1120,'Material routes'!$A$6:$A$2205,0)),"MISSING ID")</x:f>
        <x:v>Unspecified</x:v>
      </x:c>
      <x:c r="P1120" s="4"/>
      <x:c r="Q1120" s="4" t="str">
        <x:f>IFERROR(INDEX('Material routes'!$J$6:$J$2205,MATCH(V1120,'Material routes'!$A$6:$A$2205,0)),"MISSING ID")</x:f>
        <x:v>Unspecified</x:v>
      </x:c>
      <x:c r="R1120" s="4" t="str">
        <x:f>IF(L1120="Withheld","Withheld premise",IF(E1120="Tool candidate","Reusable prerequisite",IF(K1120="Raw entry preparation","Entry-resource preparation",IF(G1120="Not applicable",IF(IFERROR(INDEX('Items'!$AI$6:$AI$1005,MATCH(T1120,'Items'!$A$6:$A$1005,0)),"MISSING ID")="Finished item","Finished endpoint",IF(IFERROR(INDEX('Items'!$AI$6:$AI$1005,MATCH(T1120,'Items'!$A$6:$A$1005,0)),"MISSING ID")="Currency","Currency / no refinement tier","Recovered output / tier not applicable")),IF(OR(IFERROR(INDEX('Crafting recipes'!$H$6:$H$1005,MATCH(J1120,'Crafting recipes'!$A$6:$A$1005,0)),"MISSING ID")="Unassigned",G1120="Unassigned"),"Tier unresolved",IF(IFERROR(VALUE(RIGHT(G1120,1))-VALUE(RIGHT(IFERROR(INDEX('Crafting recipes'!$H$6:$H$1005,MATCH(J1120,'Crafting recipes'!$A$6:$A$1005,0)),"MISSING ID"),1)),0)=1,IF(B1120=IFERROR(INDEX('Crafting recipes'!$H$6:$H$1005,MATCH(J1120,'Crafting recipes'!$A$6:$A$1005,0)),"MISSING ID"),"Advances one material tier","Lower-tier ingredient; route advances one tier"),"Needs tier review"))))))</x:f>
        <x:v>Finished endpoint</x:v>
      </x:c>
      <x:c r="S1120" s="4" t="str">
        <x:f>IFERROR(INDEX('Material routes'!$D$6:$D$2205,MATCH(U1120,'Material routes'!$A$6:$A$2205,0)),"MISSING ID")</x:f>
        <x:v>proposal.t1.hardpart_blank</x:v>
      </x:c>
      <x:c r="T1120" s="4" t="str">
        <x:f>IFERROR(INDEX('Material routes'!$D$6:$D$2205,MATCH(V1120,'Material routes'!$A$6:$A$2205,0)),"MISSING ID")</x:f>
        <x:v>proposal.culture.bowl</x:v>
      </x:c>
      <x:c r="U1120" s="4" t="str">
        <x:v>design.audit.proposal_culture_bowl.audit.in.1</x:v>
      </x:c>
      <x:c r="V1120" s="4" t="str">
        <x:v>design.audit.proposal_culture_bowl.audit.out</x:v>
      </x:c>
    </x:row>
    <x:row r="1121" ht="64" customHeight="1">
      <x:c r="A1121" s="4" t="str">
        <x:f>IFERROR(INDEX('Material routes'!$E$6:$E$2205,MATCH(U1121,'Material routes'!$A$6:$A$2205,0)),"MISSING ID")</x:f>
        <x:v>Shaped fauna hard-part blanks</x:v>
      </x:c>
      <x:c r="B1121" s="4" t="str">
        <x:f>IFERROR(INDEX('Material routes'!$F$6:$F$2205,MATCH(U1121,'Material routes'!$A$6:$A$2205,0)),"MISSING ID")</x:f>
        <x:v>T1</x:v>
      </x:c>
      <x:c r="C1121" s="4" t="str">
        <x:f>IFERROR(INDEX('Material routes'!$H$6:$H$2205,MATCH(U1121,'Material routes'!$A$6:$A$2205,0)),"MISSING ID")</x:f>
        <x:v>Processed material</x:v>
      </x:c>
      <x:c r="D1121" s="4" t="str">
        <x:f>IFERROR(INDEX('Material routes'!$G$6:$G$2205,MATCH(U1121,'Material routes'!$A$6:$A$2205,0)),"MISSING ID")</x:f>
        <x:v>Manufactured stock</x:v>
      </x:c>
      <x:c r="E1121" s="4" t="str">
        <x:f>IFERROR(INDEX('Material routes'!$C$6:$C$2205,MATCH(U1121,'Material routes'!$A$6:$A$2205,0)),"MISSING ID")</x:f>
        <x:v>Ingredient candidate</x:v>
      </x:c>
      <x:c r="F1121" s="4" t="str">
        <x:f>IFERROR(INDEX('Material routes'!$E$6:$E$2205,MATCH(V1121,'Material routes'!$A$6:$A$2205,0)),"MISSING ID")</x:f>
        <x:v>Algae spoon / scraper</x:v>
      </x:c>
      <x:c r="G1121" s="4" t="str">
        <x:f>IFERROR(INDEX('Material routes'!$F$6:$F$2205,MATCH(V1121,'Material routes'!$A$6:$A$2205,0)),"MISSING ID")</x:f>
        <x:v>Not applicable</x:v>
      </x:c>
      <x:c r="H1121" s="4" t="str">
        <x:f>IFERROR(INDEX('Material routes'!$H$6:$H$2205,MATCH(V1121,'Material routes'!$A$6:$A$2205,0)),"MISSING ID")</x:f>
        <x:v>Household utensil</x:v>
      </x:c>
      <x:c r="I1121" s="4" t="str">
        <x:f>IFERROR(INDEX('Material routes'!$G$6:$G$2205,MATCH(V1121,'Material routes'!$A$6:$A$2205,0)),"MISSING ID")</x:f>
        <x:v>Salvage</x:v>
      </x:c>
      <x:c r="J1121" s="4" t="str">
        <x:f>IFERROR(INDEX('Material routes'!$B$6:$B$2205,MATCH(U1121,'Material routes'!$A$6:$A$2205,0)),"MISSING ID")</x:f>
        <x:v>design.audit.proposal_culture_spoon</x:v>
      </x:c>
      <x:c r="K1121" s="4" t="str">
        <x:f>IFERROR(INDEX('Crafting recipes'!$C$6:$C$1005,MATCH(J1121,'Crafting recipes'!$A$6:$A$1005,0)),"MISSING ID")</x:f>
        <x:v>Finished-item crafting</x:v>
      </x:c>
      <x:c r="L1121" s="4" t="str">
        <x:f>IFERROR(INDEX('Material routes'!$K$6:$K$2205,MATCH(U1121,'Material routes'!$A$6:$A$2205,0)),"MISSING ID")</x:f>
        <x:v>Proposal</x:v>
      </x:c>
      <x:c r="M1121" s="4" t="str">
        <x:f>IFERROR(INDEX('Material routes'!$M$6:$M$2205,MATCH(U1121,'Material routes'!$A$6:$A$2205,0)),"MISSING ID")</x:f>
        <x:v>Partial proposal</x:v>
      </x:c>
      <x:c r="N1121" s="4"/>
      <x:c r="O1121" s="4" t="str">
        <x:f>IFERROR(INDEX('Material routes'!$J$6:$J$2205,MATCH(U1121,'Material routes'!$A$6:$A$2205,0)),"MISSING ID")</x:f>
        <x:v>Unspecified</x:v>
      </x:c>
      <x:c r="P1121" s="4"/>
      <x:c r="Q1121" s="4" t="str">
        <x:f>IFERROR(INDEX('Material routes'!$J$6:$J$2205,MATCH(V1121,'Material routes'!$A$6:$A$2205,0)),"MISSING ID")</x:f>
        <x:v>Unspecified</x:v>
      </x:c>
      <x:c r="R1121" s="4" t="str">
        <x:f>IF(L1121="Withheld","Withheld premise",IF(E1121="Tool candidate","Reusable prerequisite",IF(K1121="Raw entry preparation","Entry-resource preparation",IF(G1121="Not applicable",IF(IFERROR(INDEX('Items'!$AI$6:$AI$1005,MATCH(T1121,'Items'!$A$6:$A$1005,0)),"MISSING ID")="Finished item","Finished endpoint",IF(IFERROR(INDEX('Items'!$AI$6:$AI$1005,MATCH(T1121,'Items'!$A$6:$A$1005,0)),"MISSING ID")="Currency","Currency / no refinement tier","Recovered output / tier not applicable")),IF(OR(IFERROR(INDEX('Crafting recipes'!$H$6:$H$1005,MATCH(J1121,'Crafting recipes'!$A$6:$A$1005,0)),"MISSING ID")="Unassigned",G1121="Unassigned"),"Tier unresolved",IF(IFERROR(VALUE(RIGHT(G1121,1))-VALUE(RIGHT(IFERROR(INDEX('Crafting recipes'!$H$6:$H$1005,MATCH(J1121,'Crafting recipes'!$A$6:$A$1005,0)),"MISSING ID"),1)),0)=1,IF(B1121=IFERROR(INDEX('Crafting recipes'!$H$6:$H$1005,MATCH(J1121,'Crafting recipes'!$A$6:$A$1005,0)),"MISSING ID"),"Advances one material tier","Lower-tier ingredient; route advances one tier"),"Needs tier review"))))))</x:f>
        <x:v>Finished endpoint</x:v>
      </x:c>
      <x:c r="S1121" s="4" t="str">
        <x:f>IFERROR(INDEX('Material routes'!$D$6:$D$2205,MATCH(U1121,'Material routes'!$A$6:$A$2205,0)),"MISSING ID")</x:f>
        <x:v>proposal.t1.hardpart_blank</x:v>
      </x:c>
      <x:c r="T1121" s="4" t="str">
        <x:f>IFERROR(INDEX('Material routes'!$D$6:$D$2205,MATCH(V1121,'Material routes'!$A$6:$A$2205,0)),"MISSING ID")</x:f>
        <x:v>proposal.culture.spoon</x:v>
      </x:c>
      <x:c r="U1121" s="4" t="str">
        <x:v>design.audit.proposal_culture_spoon.audit.in.1</x:v>
      </x:c>
      <x:c r="V1121" s="4" t="str">
        <x:v>design.audit.proposal_culture_spoon.audit.out</x:v>
      </x:c>
    </x:row>
    <x:row r="1122" ht="64" customHeight="1">
      <x:c r="A1122" s="4" t="str">
        <x:f>IFERROR(INDEX('Material routes'!$E$6:$E$2205,MATCH(U1122,'Material routes'!$A$6:$A$2205,0)),"MISSING ID")</x:f>
        <x:v>Bristle brush strips</x:v>
      </x:c>
      <x:c r="B1122" s="4" t="str">
        <x:f>IFERROR(INDEX('Material routes'!$F$6:$F$2205,MATCH(U1122,'Material routes'!$A$6:$A$2205,0)),"MISSING ID")</x:f>
        <x:v>T2</x:v>
      </x:c>
      <x:c r="C1122" s="4" t="str">
        <x:f>IFERROR(INDEX('Material routes'!$H$6:$H$2205,MATCH(U1122,'Material routes'!$A$6:$A$2205,0)),"MISSING ID")</x:f>
        <x:v>Crafting component</x:v>
      </x:c>
      <x:c r="D1122" s="4" t="str">
        <x:f>IFERROR(INDEX('Material routes'!$G$6:$G$2205,MATCH(U1122,'Material routes'!$A$6:$A$2205,0)),"MISSING ID")</x:f>
        <x:v>Crafting components</x:v>
      </x:c>
      <x:c r="E1122" s="4" t="str">
        <x:f>IFERROR(INDEX('Material routes'!$C$6:$C$2205,MATCH(U1122,'Material routes'!$A$6:$A$2205,0)),"MISSING ID")</x:f>
        <x:v>Ingredient candidate</x:v>
      </x:c>
      <x:c r="F1122" s="4" t="str">
        <x:f>IFERROR(INDEX('Material routes'!$E$6:$E$2205,MATCH(V1122,'Material routes'!$A$6:$A$2205,0)),"MISSING ID")</x:f>
        <x:v>Dust brush</x:v>
      </x:c>
      <x:c r="G1122" s="4" t="str">
        <x:f>IFERROR(INDEX('Material routes'!$F$6:$F$2205,MATCH(V1122,'Material routes'!$A$6:$A$2205,0)),"MISSING ID")</x:f>
        <x:v>Not applicable</x:v>
      </x:c>
      <x:c r="H1122" s="4" t="str">
        <x:f>IFERROR(INDEX('Material routes'!$H$6:$H$2205,MATCH(V1122,'Material routes'!$A$6:$A$2205,0)),"MISSING ID")</x:f>
        <x:v>Tool</x:v>
      </x:c>
      <x:c r="I1122" s="4" t="str">
        <x:f>IFERROR(INDEX('Material routes'!$G$6:$G$2205,MATCH(V1122,'Material routes'!$A$6:$A$2205,0)),"MISSING ID")</x:f>
        <x:v>Salvage</x:v>
      </x:c>
      <x:c r="J1122" s="4" t="str">
        <x:f>IFERROR(INDEX('Material routes'!$B$6:$B$2205,MATCH(U1122,'Material routes'!$A$6:$A$2205,0)),"MISSING ID")</x:f>
        <x:v>design.audit.proposal_culture_brush</x:v>
      </x:c>
      <x:c r="K1122" s="4" t="str">
        <x:f>IFERROR(INDEX('Crafting recipes'!$C$6:$C$1005,MATCH(J1122,'Crafting recipes'!$A$6:$A$1005,0)),"MISSING ID")</x:f>
        <x:v>Finished-item crafting</x:v>
      </x:c>
      <x:c r="L1122" s="4" t="str">
        <x:f>IFERROR(INDEX('Material routes'!$K$6:$K$2205,MATCH(U1122,'Material routes'!$A$6:$A$2205,0)),"MISSING ID")</x:f>
        <x:v>Proposal</x:v>
      </x:c>
      <x:c r="M1122" s="4" t="str">
        <x:f>IFERROR(INDEX('Material routes'!$M$6:$M$2205,MATCH(U1122,'Material routes'!$A$6:$A$2205,0)),"MISSING ID")</x:f>
        <x:v>Partial proposal</x:v>
      </x:c>
      <x:c r="N1122" s="4"/>
      <x:c r="O1122" s="4" t="str">
        <x:f>IFERROR(INDEX('Material routes'!$J$6:$J$2205,MATCH(U1122,'Material routes'!$A$6:$A$2205,0)),"MISSING ID")</x:f>
        <x:v>Unspecified</x:v>
      </x:c>
      <x:c r="P1122" s="4"/>
      <x:c r="Q1122" s="4" t="str">
        <x:f>IFERROR(INDEX('Material routes'!$J$6:$J$2205,MATCH(V1122,'Material routes'!$A$6:$A$2205,0)),"MISSING ID")</x:f>
        <x:v>Unspecified</x:v>
      </x:c>
      <x:c r="R1122" s="4" t="str">
        <x:f>IF(L1122="Withheld","Withheld premise",IF(E1122="Tool candidate","Reusable prerequisite",IF(K1122="Raw entry preparation","Entry-resource preparation",IF(G1122="Not applicable",IF(IFERROR(INDEX('Items'!$AI$6:$AI$1005,MATCH(T1122,'Items'!$A$6:$A$1005,0)),"MISSING ID")="Finished item","Finished endpoint",IF(IFERROR(INDEX('Items'!$AI$6:$AI$1005,MATCH(T1122,'Items'!$A$6:$A$1005,0)),"MISSING ID")="Currency","Currency / no refinement tier","Recovered output / tier not applicable")),IF(OR(IFERROR(INDEX('Crafting recipes'!$H$6:$H$1005,MATCH(J1122,'Crafting recipes'!$A$6:$A$1005,0)),"MISSING ID")="Unassigned",G1122="Unassigned"),"Tier unresolved",IF(IFERROR(VALUE(RIGHT(G1122,1))-VALUE(RIGHT(IFERROR(INDEX('Crafting recipes'!$H$6:$H$1005,MATCH(J1122,'Crafting recipes'!$A$6:$A$1005,0)),"MISSING ID"),1)),0)=1,IF(B1122=IFERROR(INDEX('Crafting recipes'!$H$6:$H$1005,MATCH(J1122,'Crafting recipes'!$A$6:$A$1005,0)),"MISSING ID"),"Advances one material tier","Lower-tier ingredient; route advances one tier"),"Needs tier review"))))))</x:f>
        <x:v>Finished endpoint</x:v>
      </x:c>
      <x:c r="S1122" s="4" t="str">
        <x:f>IFERROR(INDEX('Material routes'!$D$6:$D$2205,MATCH(U1122,'Material routes'!$A$6:$A$2205,0)),"MISSING ID")</x:f>
        <x:v>proposal.bio.brush</x:v>
      </x:c>
      <x:c r="T1122" s="4" t="str">
        <x:f>IFERROR(INDEX('Material routes'!$D$6:$D$2205,MATCH(V1122,'Material routes'!$A$6:$A$2205,0)),"MISSING ID")</x:f>
        <x:v>proposal.culture.brush</x:v>
      </x:c>
      <x:c r="U1122" s="4" t="str">
        <x:v>design.audit.proposal_culture_brush.audit.in.1</x:v>
      </x:c>
      <x:c r="V1122" s="4" t="str">
        <x:v>design.audit.proposal_culture_brush.audit.out</x:v>
      </x:c>
    </x:row>
    <x:row r="1123" ht="64" customHeight="1">
      <x:c r="A1123" s="4" t="str">
        <x:f>IFERROR(INDEX('Material routes'!$E$6:$E$2205,MATCH(U1123,'Material routes'!$A$6:$A$2205,0)),"MISSING ID")</x:f>
        <x:v>Shaped metal grip blank</x:v>
      </x:c>
      <x:c r="B1123" s="4" t="str">
        <x:f>IFERROR(INDEX('Material routes'!$F$6:$F$2205,MATCH(U1123,'Material routes'!$A$6:$A$2205,0)),"MISSING ID")</x:f>
        <x:v>T3</x:v>
      </x:c>
      <x:c r="C1123" s="4" t="str">
        <x:f>IFERROR(INDEX('Material routes'!$H$6:$H$2205,MATCH(U1123,'Material routes'!$A$6:$A$2205,0)),"MISSING ID")</x:f>
        <x:v>Crafting component</x:v>
      </x:c>
      <x:c r="D1123" s="4" t="str">
        <x:f>IFERROR(INDEX('Material routes'!$G$6:$G$2205,MATCH(U1123,'Material routes'!$A$6:$A$2205,0)),"MISSING ID")</x:f>
        <x:v>Crafting components</x:v>
      </x:c>
      <x:c r="E1123" s="4" t="str">
        <x:f>IFERROR(INDEX('Material routes'!$C$6:$C$2205,MATCH(U1123,'Material routes'!$A$6:$A$2205,0)),"MISSING ID")</x:f>
        <x:v>Ingredient candidate</x:v>
      </x:c>
      <x:c r="F1123" s="4" t="str">
        <x:f>IFERROR(INDEX('Material routes'!$E$6:$E$2205,MATCH(V1123,'Material routes'!$A$6:$A$2205,0)),"MISSING ID")</x:f>
        <x:v>Dust brush</x:v>
      </x:c>
      <x:c r="G1123" s="4" t="str">
        <x:f>IFERROR(INDEX('Material routes'!$F$6:$F$2205,MATCH(V1123,'Material routes'!$A$6:$A$2205,0)),"MISSING ID")</x:f>
        <x:v>Not applicable</x:v>
      </x:c>
      <x:c r="H1123" s="4" t="str">
        <x:f>IFERROR(INDEX('Material routes'!$H$6:$H$2205,MATCH(V1123,'Material routes'!$A$6:$A$2205,0)),"MISSING ID")</x:f>
        <x:v>Tool</x:v>
      </x:c>
      <x:c r="I1123" s="4" t="str">
        <x:f>IFERROR(INDEX('Material routes'!$G$6:$G$2205,MATCH(V1123,'Material routes'!$A$6:$A$2205,0)),"MISSING ID")</x:f>
        <x:v>Salvage</x:v>
      </x:c>
      <x:c r="J1123" s="4" t="str">
        <x:f>IFERROR(INDEX('Material routes'!$B$6:$B$2205,MATCH(U1123,'Material routes'!$A$6:$A$2205,0)),"MISSING ID")</x:f>
        <x:v>design.audit.proposal_culture_brush</x:v>
      </x:c>
      <x:c r="K1123" s="4" t="str">
        <x:f>IFERROR(INDEX('Crafting recipes'!$C$6:$C$1005,MATCH(J1123,'Crafting recipes'!$A$6:$A$1005,0)),"MISSING ID")</x:f>
        <x:v>Finished-item crafting</x:v>
      </x:c>
      <x:c r="L1123" s="4" t="str">
        <x:f>IFERROR(INDEX('Material routes'!$K$6:$K$2205,MATCH(U1123,'Material routes'!$A$6:$A$2205,0)),"MISSING ID")</x:f>
        <x:v>Proposal</x:v>
      </x:c>
      <x:c r="M1123" s="4" t="str">
        <x:f>IFERROR(INDEX('Material routes'!$M$6:$M$2205,MATCH(U1123,'Material routes'!$A$6:$A$2205,0)),"MISSING ID")</x:f>
        <x:v>Partial proposal</x:v>
      </x:c>
      <x:c r="N1123" s="4"/>
      <x:c r="O1123" s="4" t="str">
        <x:f>IFERROR(INDEX('Material routes'!$J$6:$J$2205,MATCH(U1123,'Material routes'!$A$6:$A$2205,0)),"MISSING ID")</x:f>
        <x:v>Unspecified</x:v>
      </x:c>
      <x:c r="P1123" s="4"/>
      <x:c r="Q1123" s="4" t="str">
        <x:f>IFERROR(INDEX('Material routes'!$J$6:$J$2205,MATCH(V1123,'Material routes'!$A$6:$A$2205,0)),"MISSING ID")</x:f>
        <x:v>Unspecified</x:v>
      </x:c>
      <x:c r="R1123" s="4" t="str">
        <x:f>IF(L1123="Withheld","Withheld premise",IF(E1123="Tool candidate","Reusable prerequisite",IF(K1123="Raw entry preparation","Entry-resource preparation",IF(G1123="Not applicable",IF(IFERROR(INDEX('Items'!$AI$6:$AI$1005,MATCH(T1123,'Items'!$A$6:$A$1005,0)),"MISSING ID")="Finished item","Finished endpoint",IF(IFERROR(INDEX('Items'!$AI$6:$AI$1005,MATCH(T1123,'Items'!$A$6:$A$1005,0)),"MISSING ID")="Currency","Currency / no refinement tier","Recovered output / tier not applicable")),IF(OR(IFERROR(INDEX('Crafting recipes'!$H$6:$H$1005,MATCH(J1123,'Crafting recipes'!$A$6:$A$1005,0)),"MISSING ID")="Unassigned",G1123="Unassigned"),"Tier unresolved",IF(IFERROR(VALUE(RIGHT(G1123,1))-VALUE(RIGHT(IFERROR(INDEX('Crafting recipes'!$H$6:$H$1005,MATCH(J1123,'Crafting recipes'!$A$6:$A$1005,0)),"MISSING ID"),1)),0)=1,IF(B1123=IFERROR(INDEX('Crafting recipes'!$H$6:$H$1005,MATCH(J1123,'Crafting recipes'!$A$6:$A$1005,0)),"MISSING ID"),"Advances one material tier","Lower-tier ingredient; route advances one tier"),"Needs tier review"))))))</x:f>
        <x:v>Finished endpoint</x:v>
      </x:c>
      <x:c r="S1123" s="4" t="str">
        <x:f>IFERROR(INDEX('Material routes'!$D$6:$D$2205,MATCH(U1123,'Material routes'!$A$6:$A$2205,0)),"MISSING ID")</x:f>
        <x:v>proposal.audit.shaped_metal_grip_blank</x:v>
      </x:c>
      <x:c r="T1123" s="4" t="str">
        <x:f>IFERROR(INDEX('Material routes'!$D$6:$D$2205,MATCH(V1123,'Material routes'!$A$6:$A$2205,0)),"MISSING ID")</x:f>
        <x:v>proposal.culture.brush</x:v>
      </x:c>
      <x:c r="U1123" s="4" t="str">
        <x:v>design.audit.proposal_culture_brush.audit.in.2</x:v>
      </x:c>
      <x:c r="V1123" s="4" t="str">
        <x:v>design.audit.proposal_culture_brush.audit.out</x:v>
      </x:c>
    </x:row>
    <x:row r="1124" ht="64" customHeight="1">
      <x:c r="A1124" s="4" t="str">
        <x:f>IFERROR(INDEX('Material routes'!$E$6:$E$2205,MATCH(U1124,'Material routes'!$A$6:$A$2205,0)),"MISSING ID")</x:f>
        <x:v>Shaped fauna hard-part blanks</x:v>
      </x:c>
      <x:c r="B1124" s="4" t="str">
        <x:f>IFERROR(INDEX('Material routes'!$F$6:$F$2205,MATCH(U1124,'Material routes'!$A$6:$A$2205,0)),"MISSING ID")</x:f>
        <x:v>T1</x:v>
      </x:c>
      <x:c r="C1124" s="4" t="str">
        <x:f>IFERROR(INDEX('Material routes'!$H$6:$H$2205,MATCH(U1124,'Material routes'!$A$6:$A$2205,0)),"MISSING ID")</x:f>
        <x:v>Processed material</x:v>
      </x:c>
      <x:c r="D1124" s="4" t="str">
        <x:f>IFERROR(INDEX('Material routes'!$G$6:$G$2205,MATCH(U1124,'Material routes'!$A$6:$A$2205,0)),"MISSING ID")</x:f>
        <x:v>Manufactured stock</x:v>
      </x:c>
      <x:c r="E1124" s="4" t="str">
        <x:f>IFERROR(INDEX('Material routes'!$C$6:$C$2205,MATCH(U1124,'Material routes'!$A$6:$A$2205,0)),"MISSING ID")</x:f>
        <x:v>Ingredient candidate</x:v>
      </x:c>
      <x:c r="F1124" s="4" t="str">
        <x:f>IFERROR(INDEX('Material routes'!$E$6:$E$2205,MATCH(V1124,'Material routes'!$A$6:$A$2205,0)),"MISSING ID")</x:f>
        <x:v>Shell comb</x:v>
      </x:c>
      <x:c r="G1124" s="4" t="str">
        <x:f>IFERROR(INDEX('Material routes'!$F$6:$F$2205,MATCH(V1124,'Material routes'!$A$6:$A$2205,0)),"MISSING ID")</x:f>
        <x:v>Not applicable</x:v>
      </x:c>
      <x:c r="H1124" s="4" t="str">
        <x:f>IFERROR(INDEX('Material routes'!$H$6:$H$2205,MATCH(V1124,'Material routes'!$A$6:$A$2205,0)),"MISSING ID")</x:f>
        <x:v>Household utensil</x:v>
      </x:c>
      <x:c r="I1124" s="4" t="str">
        <x:f>IFERROR(INDEX('Material routes'!$G$6:$G$2205,MATCH(V1124,'Material routes'!$A$6:$A$2205,0)),"MISSING ID")</x:f>
        <x:v>Salvage</x:v>
      </x:c>
      <x:c r="J1124" s="4" t="str">
        <x:f>IFERROR(INDEX('Material routes'!$B$6:$B$2205,MATCH(U1124,'Material routes'!$A$6:$A$2205,0)),"MISSING ID")</x:f>
        <x:v>design.audit.proposal_culture_comb</x:v>
      </x:c>
      <x:c r="K1124" s="4" t="str">
        <x:f>IFERROR(INDEX('Crafting recipes'!$C$6:$C$1005,MATCH(J1124,'Crafting recipes'!$A$6:$A$1005,0)),"MISSING ID")</x:f>
        <x:v>Finished-item crafting</x:v>
      </x:c>
      <x:c r="L1124" s="4" t="str">
        <x:f>IFERROR(INDEX('Material routes'!$K$6:$K$2205,MATCH(U1124,'Material routes'!$A$6:$A$2205,0)),"MISSING ID")</x:f>
        <x:v>Proposal</x:v>
      </x:c>
      <x:c r="M1124" s="4" t="str">
        <x:f>IFERROR(INDEX('Material routes'!$M$6:$M$2205,MATCH(U1124,'Material routes'!$A$6:$A$2205,0)),"MISSING ID")</x:f>
        <x:v>Partial proposal</x:v>
      </x:c>
      <x:c r="N1124" s="4"/>
      <x:c r="O1124" s="4" t="str">
        <x:f>IFERROR(INDEX('Material routes'!$J$6:$J$2205,MATCH(U1124,'Material routes'!$A$6:$A$2205,0)),"MISSING ID")</x:f>
        <x:v>Unspecified</x:v>
      </x:c>
      <x:c r="P1124" s="4"/>
      <x:c r="Q1124" s="4" t="str">
        <x:f>IFERROR(INDEX('Material routes'!$J$6:$J$2205,MATCH(V1124,'Material routes'!$A$6:$A$2205,0)),"MISSING ID")</x:f>
        <x:v>Unspecified</x:v>
      </x:c>
      <x:c r="R1124" s="4" t="str">
        <x:f>IF(L1124="Withheld","Withheld premise",IF(E1124="Tool candidate","Reusable prerequisite",IF(K1124="Raw entry preparation","Entry-resource preparation",IF(G1124="Not applicable",IF(IFERROR(INDEX('Items'!$AI$6:$AI$1005,MATCH(T1124,'Items'!$A$6:$A$1005,0)),"MISSING ID")="Finished item","Finished endpoint",IF(IFERROR(INDEX('Items'!$AI$6:$AI$1005,MATCH(T1124,'Items'!$A$6:$A$1005,0)),"MISSING ID")="Currency","Currency / no refinement tier","Recovered output / tier not applicable")),IF(OR(IFERROR(INDEX('Crafting recipes'!$H$6:$H$1005,MATCH(J1124,'Crafting recipes'!$A$6:$A$1005,0)),"MISSING ID")="Unassigned",G1124="Unassigned"),"Tier unresolved",IF(IFERROR(VALUE(RIGHT(G1124,1))-VALUE(RIGHT(IFERROR(INDEX('Crafting recipes'!$H$6:$H$1005,MATCH(J1124,'Crafting recipes'!$A$6:$A$1005,0)),"MISSING ID"),1)),0)=1,IF(B1124=IFERROR(INDEX('Crafting recipes'!$H$6:$H$1005,MATCH(J1124,'Crafting recipes'!$A$6:$A$1005,0)),"MISSING ID"),"Advances one material tier","Lower-tier ingredient; route advances one tier"),"Needs tier review"))))))</x:f>
        <x:v>Finished endpoint</x:v>
      </x:c>
      <x:c r="S1124" s="4" t="str">
        <x:f>IFERROR(INDEX('Material routes'!$D$6:$D$2205,MATCH(U1124,'Material routes'!$A$6:$A$2205,0)),"MISSING ID")</x:f>
        <x:v>proposal.t1.hardpart_blank</x:v>
      </x:c>
      <x:c r="T1124" s="4" t="str">
        <x:f>IFERROR(INDEX('Material routes'!$D$6:$D$2205,MATCH(V1124,'Material routes'!$A$6:$A$2205,0)),"MISSING ID")</x:f>
        <x:v>proposal.culture.comb</x:v>
      </x:c>
      <x:c r="U1124" s="4" t="str">
        <x:v>design.audit.proposal_culture_comb.audit.in.1</x:v>
      </x:c>
      <x:c r="V1124" s="4" t="str">
        <x:v>design.audit.proposal_culture_comb.audit.out</x:v>
      </x:c>
    </x:row>
    <x:row r="1125" ht="64" customHeight="1">
      <x:c r="A1125" s="4"/>
      <x:c r="B1125" s="4"/>
      <x:c r="C1125" s="4"/>
      <x:c r="D1125" s="4"/>
      <x:c r="E1125" s="4"/>
      <x:c r="F1125" s="4"/>
      <x:c r="G1125" s="4"/>
      <x:c r="H1125" s="4"/>
      <x:c r="I1125" s="4"/>
      <x:c r="J1125" s="4"/>
      <x:c r="K1125" s="4"/>
      <x:c r="L1125" s="4"/>
      <x:c r="M1125" s="4"/>
      <x:c r="N1125" s="4"/>
      <x:c r="O1125" s="4"/>
      <x:c r="P1125" s="4"/>
      <x:c r="Q1125" s="4"/>
      <x:c r="R1125" s="4"/>
      <x:c r="S1125" s="4"/>
      <x:c r="T1125" s="4"/>
      <x:c r="U1125" s="4"/>
      <x:c r="V1125" s="4"/>
    </x:row>
    <x:row r="1126" ht="64" customHeight="1">
      <x:c r="A1126" s="4" t="str">
        <x:f>IFERROR(INDEX('Material routes'!$E$6:$E$2205,MATCH(U1126,'Material routes'!$A$6:$A$2205,0)),"MISSING ID")</x:f>
        <x:v>Steel stock</x:v>
      </x:c>
      <x:c r="B1126" s="4" t="str">
        <x:f>IFERROR(INDEX('Material routes'!$F$6:$F$2205,MATCH(U1126,'Material routes'!$A$6:$A$2205,0)),"MISSING ID")</x:f>
        <x:v>T2</x:v>
      </x:c>
      <x:c r="C1126" s="4" t="str">
        <x:f>IFERROR(INDEX('Material routes'!$H$6:$H$2205,MATCH(U1126,'Material routes'!$A$6:$A$2205,0)),"MISSING ID")</x:f>
        <x:v>Processed material</x:v>
      </x:c>
      <x:c r="D1126" s="4" t="str">
        <x:f>IFERROR(INDEX('Material routes'!$G$6:$G$2205,MATCH(U1126,'Material routes'!$A$6:$A$2205,0)),"MISSING ID")</x:f>
        <x:v>Manufactured stock</x:v>
      </x:c>
      <x:c r="E1126" s="4" t="str">
        <x:f>IFERROR(INDEX('Material routes'!$C$6:$C$2205,MATCH(U1126,'Material routes'!$A$6:$A$2205,0)),"MISSING ID")</x:f>
        <x:v>Ingredient candidate</x:v>
      </x:c>
      <x:c r="F1126" s="4" t="str">
        <x:f>IFERROR(INDEX('Material routes'!$E$6:$E$2205,MATCH(V1126,'Material routes'!$A$6:$A$2205,0)),"MISSING ID")</x:f>
        <x:v>Marking stylus</x:v>
      </x:c>
      <x:c r="G1126" s="4" t="str">
        <x:f>IFERROR(INDEX('Material routes'!$F$6:$F$2205,MATCH(V1126,'Material routes'!$A$6:$A$2205,0)),"MISSING ID")</x:f>
        <x:v>Not applicable</x:v>
      </x:c>
      <x:c r="H1126" s="4" t="str">
        <x:f>IFERROR(INDEX('Material routes'!$H$6:$H$2205,MATCH(V1126,'Material routes'!$A$6:$A$2205,0)),"MISSING ID")</x:f>
        <x:v>Tool</x:v>
      </x:c>
      <x:c r="I1126" s="4" t="str">
        <x:f>IFERROR(INDEX('Material routes'!$G$6:$G$2205,MATCH(V1126,'Material routes'!$A$6:$A$2205,0)),"MISSING ID")</x:f>
        <x:v>Salvage</x:v>
      </x:c>
      <x:c r="J1126" s="4" t="str">
        <x:f>IFERROR(INDEX('Material routes'!$B$6:$B$2205,MATCH(U1126,'Material routes'!$A$6:$A$2205,0)),"MISSING ID")</x:f>
        <x:v>design.audit.proposal_culture_stylus</x:v>
      </x:c>
      <x:c r="K1126" s="4" t="str">
        <x:f>IFERROR(INDEX('Crafting recipes'!$C$6:$C$1005,MATCH(J1126,'Crafting recipes'!$A$6:$A$1005,0)),"MISSING ID")</x:f>
        <x:v>Finished-item crafting</x:v>
      </x:c>
      <x:c r="L1126" s="4" t="str">
        <x:f>IFERROR(INDEX('Material routes'!$K$6:$K$2205,MATCH(U1126,'Material routes'!$A$6:$A$2205,0)),"MISSING ID")</x:f>
        <x:v>Proposal</x:v>
      </x:c>
      <x:c r="M1126" s="4" t="str">
        <x:f>IFERROR(INDEX('Material routes'!$M$6:$M$2205,MATCH(U1126,'Material routes'!$A$6:$A$2205,0)),"MISSING ID")</x:f>
        <x:v>Partial proposal</x:v>
      </x:c>
      <x:c r="N1126" s="4"/>
      <x:c r="O1126" s="4" t="str">
        <x:f>IFERROR(INDEX('Material routes'!$J$6:$J$2205,MATCH(U1126,'Material routes'!$A$6:$A$2205,0)),"MISSING ID")</x:f>
        <x:v>Unspecified</x:v>
      </x:c>
      <x:c r="P1126" s="4"/>
      <x:c r="Q1126" s="4" t="str">
        <x:f>IFERROR(INDEX('Material routes'!$J$6:$J$2205,MATCH(V1126,'Material routes'!$A$6:$A$2205,0)),"MISSING ID")</x:f>
        <x:v>Unspecified</x:v>
      </x:c>
      <x:c r="R1126" s="4" t="str">
        <x:f>IF(L1126="Withheld","Withheld premise",IF(E1126="Tool candidate","Reusable prerequisite",IF(K1126="Raw entry preparation","Entry-resource preparation",IF(G1126="Not applicable",IF(IFERROR(INDEX('Items'!$AI$6:$AI$1005,MATCH(T1126,'Items'!$A$6:$A$1005,0)),"MISSING ID")="Finished item","Finished endpoint",IF(IFERROR(INDEX('Items'!$AI$6:$AI$1005,MATCH(T1126,'Items'!$A$6:$A$1005,0)),"MISSING ID")="Currency","Currency / no refinement tier","Recovered output / tier not applicable")),IF(OR(IFERROR(INDEX('Crafting recipes'!$H$6:$H$1005,MATCH(J1126,'Crafting recipes'!$A$6:$A$1005,0)),"MISSING ID")="Unassigned",G1126="Unassigned"),"Tier unresolved",IF(IFERROR(VALUE(RIGHT(G1126,1))-VALUE(RIGHT(IFERROR(INDEX('Crafting recipes'!$H$6:$H$1005,MATCH(J1126,'Crafting recipes'!$A$6:$A$1005,0)),"MISSING ID"),1)),0)=1,IF(B1126=IFERROR(INDEX('Crafting recipes'!$H$6:$H$1005,MATCH(J1126,'Crafting recipes'!$A$6:$A$1005,0)),"MISSING ID"),"Advances one material tier","Lower-tier ingredient; route advances one tier"),"Needs tier review"))))))</x:f>
        <x:v>Finished endpoint</x:v>
      </x:c>
      <x:c r="S1126" s="4" t="str">
        <x:f>IFERROR(INDEX('Material routes'!$D$6:$D$2205,MATCH(U1126,'Material routes'!$A$6:$A$2205,0)),"MISSING ID")</x:f>
        <x:v>author.metallurgy.steel_stock</x:v>
      </x:c>
      <x:c r="T1126" s="4" t="str">
        <x:f>IFERROR(INDEX('Material routes'!$D$6:$D$2205,MATCH(V1126,'Material routes'!$A$6:$A$2205,0)),"MISSING ID")</x:f>
        <x:v>proposal.culture.stylus</x:v>
      </x:c>
      <x:c r="U1126" s="4" t="str">
        <x:v>design.audit.proposal_culture_stylus.audit.in.1</x:v>
      </x:c>
      <x:c r="V1126" s="4" t="str">
        <x:v>design.audit.proposal_culture_stylus.audit.out</x:v>
      </x:c>
    </x:row>
    <x:row r="1127" ht="64" customHeight="1">
      <x:c r="A1127" s="4" t="str">
        <x:f>IFERROR(INDEX('Material routes'!$E$6:$E$2205,MATCH(U1127,'Material routes'!$A$6:$A$2205,0)),"MISSING ID")</x:f>
        <x:v>Prepared ceramic body feed</x:v>
      </x:c>
      <x:c r="B1127" s="4" t="str">
        <x:f>IFERROR(INDEX('Material routes'!$F$6:$F$2205,MATCH(U1127,'Material routes'!$A$6:$A$2205,0)),"MISSING ID")</x:f>
        <x:v>T1</x:v>
      </x:c>
      <x:c r="C1127" s="4" t="str">
        <x:f>IFERROR(INDEX('Material routes'!$H$6:$H$2205,MATCH(U1127,'Material routes'!$A$6:$A$2205,0)),"MISSING ID")</x:f>
        <x:v>Processed material</x:v>
      </x:c>
      <x:c r="D1127" s="4" t="str">
        <x:f>IFERROR(INDEX('Material routes'!$G$6:$G$2205,MATCH(U1127,'Material routes'!$A$6:$A$2205,0)),"MISSING ID")</x:f>
        <x:v>Manufactured stock</x:v>
      </x:c>
      <x:c r="E1127" s="4" t="str">
        <x:f>IFERROR(INDEX('Material routes'!$C$6:$C$2205,MATCH(U1127,'Material routes'!$A$6:$A$2205,0)),"MISSING ID")</x:f>
        <x:v>Ingredient candidate</x:v>
      </x:c>
      <x:c r="F1127" s="4" t="str">
        <x:f>IFERROR(INDEX('Material routes'!$E$6:$E$2205,MATCH(V1127,'Material routes'!$A$6:$A$2205,0)),"MISSING ID")</x:f>
        <x:v>Small ceramic cup</x:v>
      </x:c>
      <x:c r="G1127" s="4" t="str">
        <x:f>IFERROR(INDEX('Material routes'!$F$6:$F$2205,MATCH(V1127,'Material routes'!$A$6:$A$2205,0)),"MISSING ID")</x:f>
        <x:v>Not applicable</x:v>
      </x:c>
      <x:c r="H1127" s="4" t="str">
        <x:f>IFERROR(INDEX('Material routes'!$H$6:$H$2205,MATCH(V1127,'Material routes'!$A$6:$A$2205,0)),"MISSING ID")</x:f>
        <x:v>Household utensil</x:v>
      </x:c>
      <x:c r="I1127" s="4" t="str">
        <x:f>IFERROR(INDEX('Material routes'!$G$6:$G$2205,MATCH(V1127,'Material routes'!$A$6:$A$2205,0)),"MISSING ID")</x:f>
        <x:v>Salvage</x:v>
      </x:c>
      <x:c r="J1127" s="4" t="str">
        <x:f>IFERROR(INDEX('Material routes'!$B$6:$B$2205,MATCH(U1127,'Material routes'!$A$6:$A$2205,0)),"MISSING ID")</x:f>
        <x:v>design.audit.proposal_ceramic_cup</x:v>
      </x:c>
      <x:c r="K1127" s="4" t="str">
        <x:f>IFERROR(INDEX('Crafting recipes'!$C$6:$C$1005,MATCH(J1127,'Crafting recipes'!$A$6:$A$1005,0)),"MISSING ID")</x:f>
        <x:v>Finished-item crafting</x:v>
      </x:c>
      <x:c r="L1127" s="4" t="str">
        <x:f>IFERROR(INDEX('Material routes'!$K$6:$K$2205,MATCH(U1127,'Material routes'!$A$6:$A$2205,0)),"MISSING ID")</x:f>
        <x:v>Proposal</x:v>
      </x:c>
      <x:c r="M1127" s="4" t="str">
        <x:f>IFERROR(INDEX('Material routes'!$M$6:$M$2205,MATCH(U1127,'Material routes'!$A$6:$A$2205,0)),"MISSING ID")</x:f>
        <x:v>Partial proposal</x:v>
      </x:c>
      <x:c r="N1127" s="4"/>
      <x:c r="O1127" s="4" t="str">
        <x:f>IFERROR(INDEX('Material routes'!$J$6:$J$2205,MATCH(U1127,'Material routes'!$A$6:$A$2205,0)),"MISSING ID")</x:f>
        <x:v>Unspecified</x:v>
      </x:c>
      <x:c r="P1127" s="4"/>
      <x:c r="Q1127" s="4" t="str">
        <x:f>IFERROR(INDEX('Material routes'!$J$6:$J$2205,MATCH(V1127,'Material routes'!$A$6:$A$2205,0)),"MISSING ID")</x:f>
        <x:v>Unspecified</x:v>
      </x:c>
      <x:c r="R1127" s="4" t="str">
        <x:f>IF(L1127="Withheld","Withheld premise",IF(E1127="Tool candidate","Reusable prerequisite",IF(K1127="Raw entry preparation","Entry-resource preparation",IF(G1127="Not applicable",IF(IFERROR(INDEX('Items'!$AI$6:$AI$1005,MATCH(T1127,'Items'!$A$6:$A$1005,0)),"MISSING ID")="Finished item","Finished endpoint",IF(IFERROR(INDEX('Items'!$AI$6:$AI$1005,MATCH(T1127,'Items'!$A$6:$A$1005,0)),"MISSING ID")="Currency","Currency / no refinement tier","Recovered output / tier not applicable")),IF(OR(IFERROR(INDEX('Crafting recipes'!$H$6:$H$1005,MATCH(J1127,'Crafting recipes'!$A$6:$A$1005,0)),"MISSING ID")="Unassigned",G1127="Unassigned"),"Tier unresolved",IF(IFERROR(VALUE(RIGHT(G1127,1))-VALUE(RIGHT(IFERROR(INDEX('Crafting recipes'!$H$6:$H$1005,MATCH(J1127,'Crafting recipes'!$A$6:$A$1005,0)),"MISSING ID"),1)),0)=1,IF(B1127=IFERROR(INDEX('Crafting recipes'!$H$6:$H$1005,MATCH(J1127,'Crafting recipes'!$A$6:$A$1005,0)),"MISSING ID"),"Advances one material tier","Lower-tier ingredient; route advances one tier"),"Needs tier review"))))))</x:f>
        <x:v>Finished endpoint</x:v>
      </x:c>
      <x:c r="S1127" s="4" t="str">
        <x:f>IFERROR(INDEX('Material routes'!$D$6:$D$2205,MATCH(U1127,'Material routes'!$A$6:$A$2205,0)),"MISSING ID")</x:f>
        <x:v>proposal.ceramic.body_feed</x:v>
      </x:c>
      <x:c r="T1127" s="4" t="str">
        <x:f>IFERROR(INDEX('Material routes'!$D$6:$D$2205,MATCH(V1127,'Material routes'!$A$6:$A$2205,0)),"MISSING ID")</x:f>
        <x:v>proposal.ceramic.cup</x:v>
      </x:c>
      <x:c r="U1127" s="4" t="str">
        <x:v>design.audit.proposal_ceramic_cup.audit.in.1</x:v>
      </x:c>
      <x:c r="V1127" s="4" t="str">
        <x:v>design.audit.proposal_ceramic_cup.audit.out</x:v>
      </x:c>
    </x:row>
    <x:row r="1128" ht="64" customHeight="1">
      <x:c r="A1128" s="4" t="str">
        <x:f>IFERROR(INDEX('Material routes'!$E$6:$E$2205,MATCH(U1128,'Material routes'!$A$6:$A$2205,0)),"MISSING ID")</x:f>
        <x:v>Prepared mineral pigment powder</x:v>
      </x:c>
      <x:c r="B1128" s="4" t="str">
        <x:f>IFERROR(INDEX('Material routes'!$F$6:$F$2205,MATCH(U1128,'Material routes'!$A$6:$A$2205,0)),"MISSING ID")</x:f>
        <x:v>T1</x:v>
      </x:c>
      <x:c r="C1128" s="4" t="str">
        <x:f>IFERROR(INDEX('Material routes'!$H$6:$H$2205,MATCH(U1128,'Material routes'!$A$6:$A$2205,0)),"MISSING ID")</x:f>
        <x:v>Processed material</x:v>
      </x:c>
      <x:c r="D1128" s="4" t="str">
        <x:f>IFERROR(INDEX('Material routes'!$G$6:$G$2205,MATCH(U1128,'Material routes'!$A$6:$A$2205,0)),"MISSING ID")</x:f>
        <x:v>Manufactured stock</x:v>
      </x:c>
      <x:c r="E1128" s="4" t="str">
        <x:f>IFERROR(INDEX('Material routes'!$C$6:$C$2205,MATCH(U1128,'Material routes'!$A$6:$A$2205,0)),"MISSING ID")</x:f>
        <x:v>Ingredient candidate</x:v>
      </x:c>
      <x:c r="F1128" s="4" t="str">
        <x:f>IFERROR(INDEX('Material routes'!$E$6:$E$2205,MATCH(V1128,'Material routes'!$A$6:$A$2205,0)),"MISSING ID")</x:f>
        <x:v>Small ceramic cup</x:v>
      </x:c>
      <x:c r="G1128" s="4" t="str">
        <x:f>IFERROR(INDEX('Material routes'!$F$6:$F$2205,MATCH(V1128,'Material routes'!$A$6:$A$2205,0)),"MISSING ID")</x:f>
        <x:v>Not applicable</x:v>
      </x:c>
      <x:c r="H1128" s="4" t="str">
        <x:f>IFERROR(INDEX('Material routes'!$H$6:$H$2205,MATCH(V1128,'Material routes'!$A$6:$A$2205,0)),"MISSING ID")</x:f>
        <x:v>Household utensil</x:v>
      </x:c>
      <x:c r="I1128" s="4" t="str">
        <x:f>IFERROR(INDEX('Material routes'!$G$6:$G$2205,MATCH(V1128,'Material routes'!$A$6:$A$2205,0)),"MISSING ID")</x:f>
        <x:v>Salvage</x:v>
      </x:c>
      <x:c r="J1128" s="4" t="str">
        <x:f>IFERROR(INDEX('Material routes'!$B$6:$B$2205,MATCH(U1128,'Material routes'!$A$6:$A$2205,0)),"MISSING ID")</x:f>
        <x:v>design.audit.proposal_ceramic_cup</x:v>
      </x:c>
      <x:c r="K1128" s="4" t="str">
        <x:f>IFERROR(INDEX('Crafting recipes'!$C$6:$C$1005,MATCH(J1128,'Crafting recipes'!$A$6:$A$1005,0)),"MISSING ID")</x:f>
        <x:v>Finished-item crafting</x:v>
      </x:c>
      <x:c r="L1128" s="4" t="str">
        <x:f>IFERROR(INDEX('Material routes'!$K$6:$K$2205,MATCH(U1128,'Material routes'!$A$6:$A$2205,0)),"MISSING ID")</x:f>
        <x:v>Proposal</x:v>
      </x:c>
      <x:c r="M1128" s="4" t="str">
        <x:f>IFERROR(INDEX('Material routes'!$M$6:$M$2205,MATCH(U1128,'Material routes'!$A$6:$A$2205,0)),"MISSING ID")</x:f>
        <x:v>Partial proposal</x:v>
      </x:c>
      <x:c r="N1128" s="4"/>
      <x:c r="O1128" s="4" t="str">
        <x:f>IFERROR(INDEX('Material routes'!$J$6:$J$2205,MATCH(U1128,'Material routes'!$A$6:$A$2205,0)),"MISSING ID")</x:f>
        <x:v>Unspecified</x:v>
      </x:c>
      <x:c r="P1128" s="4"/>
      <x:c r="Q1128" s="4" t="str">
        <x:f>IFERROR(INDEX('Material routes'!$J$6:$J$2205,MATCH(V1128,'Material routes'!$A$6:$A$2205,0)),"MISSING ID")</x:f>
        <x:v>Unspecified</x:v>
      </x:c>
      <x:c r="R1128" s="4" t="str">
        <x:f>IF(L1128="Withheld","Withheld premise",IF(E1128="Tool candidate","Reusable prerequisite",IF(K1128="Raw entry preparation","Entry-resource preparation",IF(G1128="Not applicable",IF(IFERROR(INDEX('Items'!$AI$6:$AI$1005,MATCH(T1128,'Items'!$A$6:$A$1005,0)),"MISSING ID")="Finished item","Finished endpoint",IF(IFERROR(INDEX('Items'!$AI$6:$AI$1005,MATCH(T1128,'Items'!$A$6:$A$1005,0)),"MISSING ID")="Currency","Currency / no refinement tier","Recovered output / tier not applicable")),IF(OR(IFERROR(INDEX('Crafting recipes'!$H$6:$H$1005,MATCH(J1128,'Crafting recipes'!$A$6:$A$1005,0)),"MISSING ID")="Unassigned",G1128="Unassigned"),"Tier unresolved",IF(IFERROR(VALUE(RIGHT(G1128,1))-VALUE(RIGHT(IFERROR(INDEX('Crafting recipes'!$H$6:$H$1005,MATCH(J1128,'Crafting recipes'!$A$6:$A$1005,0)),"MISSING ID"),1)),0)=1,IF(B1128=IFERROR(INDEX('Crafting recipes'!$H$6:$H$1005,MATCH(J1128,'Crafting recipes'!$A$6:$A$1005,0)),"MISSING ID"),"Advances one material tier","Lower-tier ingredient; route advances one tier"),"Needs tier review"))))))</x:f>
        <x:v>Finished endpoint</x:v>
      </x:c>
      <x:c r="S1128" s="4" t="str">
        <x:f>IFERROR(INDEX('Material routes'!$D$6:$D$2205,MATCH(U1128,'Material routes'!$A$6:$A$2205,0)),"MISSING ID")</x:f>
        <x:v>proposal.t1.pigment_powder</x:v>
      </x:c>
      <x:c r="T1128" s="4" t="str">
        <x:f>IFERROR(INDEX('Material routes'!$D$6:$D$2205,MATCH(V1128,'Material routes'!$A$6:$A$2205,0)),"MISSING ID")</x:f>
        <x:v>proposal.ceramic.cup</x:v>
      </x:c>
      <x:c r="U1128" s="4" t="str">
        <x:v>design.audit.proposal_ceramic_cup.audit.in.2</x:v>
      </x:c>
      <x:c r="V1128" s="4" t="str">
        <x:v>design.audit.proposal_ceramic_cup.audit.out</x:v>
      </x:c>
    </x:row>
    <x:row r="1129" ht="64" customHeight="1">
      <x:c r="A1129" s="4" t="str">
        <x:f>IFERROR(INDEX('Material routes'!$E$6:$E$2205,MATCH(U1129,'Material routes'!$A$6:$A$2205,0)),"MISSING ID")</x:f>
        <x:v>Prepared ceramic body feed</x:v>
      </x:c>
      <x:c r="B1129" s="4" t="str">
        <x:f>IFERROR(INDEX('Material routes'!$F$6:$F$2205,MATCH(U1129,'Material routes'!$A$6:$A$2205,0)),"MISSING ID")</x:f>
        <x:v>T1</x:v>
      </x:c>
      <x:c r="C1129" s="4" t="str">
        <x:f>IFERROR(INDEX('Material routes'!$H$6:$H$2205,MATCH(U1129,'Material routes'!$A$6:$A$2205,0)),"MISSING ID")</x:f>
        <x:v>Processed material</x:v>
      </x:c>
      <x:c r="D1129" s="4" t="str">
        <x:f>IFERROR(INDEX('Material routes'!$G$6:$G$2205,MATCH(U1129,'Material routes'!$A$6:$A$2205,0)),"MISSING ID")</x:f>
        <x:v>Manufactured stock</x:v>
      </x:c>
      <x:c r="E1129" s="4" t="str">
        <x:f>IFERROR(INDEX('Material routes'!$C$6:$C$2205,MATCH(U1129,'Material routes'!$A$6:$A$2205,0)),"MISSING ID")</x:f>
        <x:v>Ingredient candidate</x:v>
      </x:c>
      <x:c r="F1129" s="4" t="str">
        <x:f>IFERROR(INDEX('Material routes'!$E$6:$E$2205,MATCH(V1129,'Material routes'!$A$6:$A$2205,0)),"MISSING ID")</x:f>
        <x:v>Ceramic serving plate</x:v>
      </x:c>
      <x:c r="G1129" s="4" t="str">
        <x:f>IFERROR(INDEX('Material routes'!$F$6:$F$2205,MATCH(V1129,'Material routes'!$A$6:$A$2205,0)),"MISSING ID")</x:f>
        <x:v>Not applicable</x:v>
      </x:c>
      <x:c r="H1129" s="4" t="str">
        <x:f>IFERROR(INDEX('Material routes'!$H$6:$H$2205,MATCH(V1129,'Material routes'!$A$6:$A$2205,0)),"MISSING ID")</x:f>
        <x:v>Household utensil</x:v>
      </x:c>
      <x:c r="I1129" s="4" t="str">
        <x:f>IFERROR(INDEX('Material routes'!$G$6:$G$2205,MATCH(V1129,'Material routes'!$A$6:$A$2205,0)),"MISSING ID")</x:f>
        <x:v>Salvage</x:v>
      </x:c>
      <x:c r="J1129" s="4" t="str">
        <x:f>IFERROR(INDEX('Material routes'!$B$6:$B$2205,MATCH(U1129,'Material routes'!$A$6:$A$2205,0)),"MISSING ID")</x:f>
        <x:v>design.audit.proposal_ceramic_plate</x:v>
      </x:c>
      <x:c r="K1129" s="4" t="str">
        <x:f>IFERROR(INDEX('Crafting recipes'!$C$6:$C$1005,MATCH(J1129,'Crafting recipes'!$A$6:$A$1005,0)),"MISSING ID")</x:f>
        <x:v>Finished-item crafting</x:v>
      </x:c>
      <x:c r="L1129" s="4" t="str">
        <x:f>IFERROR(INDEX('Material routes'!$K$6:$K$2205,MATCH(U1129,'Material routes'!$A$6:$A$2205,0)),"MISSING ID")</x:f>
        <x:v>Proposal</x:v>
      </x:c>
      <x:c r="M1129" s="4" t="str">
        <x:f>IFERROR(INDEX('Material routes'!$M$6:$M$2205,MATCH(U1129,'Material routes'!$A$6:$A$2205,0)),"MISSING ID")</x:f>
        <x:v>Partial proposal</x:v>
      </x:c>
      <x:c r="N1129" s="4"/>
      <x:c r="O1129" s="4" t="str">
        <x:f>IFERROR(INDEX('Material routes'!$J$6:$J$2205,MATCH(U1129,'Material routes'!$A$6:$A$2205,0)),"MISSING ID")</x:f>
        <x:v>Unspecified</x:v>
      </x:c>
      <x:c r="P1129" s="4"/>
      <x:c r="Q1129" s="4" t="str">
        <x:f>IFERROR(INDEX('Material routes'!$J$6:$J$2205,MATCH(V1129,'Material routes'!$A$6:$A$2205,0)),"MISSING ID")</x:f>
        <x:v>Unspecified</x:v>
      </x:c>
      <x:c r="R1129" s="4" t="str">
        <x:f>IF(L1129="Withheld","Withheld premise",IF(E1129="Tool candidate","Reusable prerequisite",IF(K1129="Raw entry preparation","Entry-resource preparation",IF(G1129="Not applicable",IF(IFERROR(INDEX('Items'!$AI$6:$AI$1005,MATCH(T1129,'Items'!$A$6:$A$1005,0)),"MISSING ID")="Finished item","Finished endpoint",IF(IFERROR(INDEX('Items'!$AI$6:$AI$1005,MATCH(T1129,'Items'!$A$6:$A$1005,0)),"MISSING ID")="Currency","Currency / no refinement tier","Recovered output / tier not applicable")),IF(OR(IFERROR(INDEX('Crafting recipes'!$H$6:$H$1005,MATCH(J1129,'Crafting recipes'!$A$6:$A$1005,0)),"MISSING ID")="Unassigned",G1129="Unassigned"),"Tier unresolved",IF(IFERROR(VALUE(RIGHT(G1129,1))-VALUE(RIGHT(IFERROR(INDEX('Crafting recipes'!$H$6:$H$1005,MATCH(J1129,'Crafting recipes'!$A$6:$A$1005,0)),"MISSING ID"),1)),0)=1,IF(B1129=IFERROR(INDEX('Crafting recipes'!$H$6:$H$1005,MATCH(J1129,'Crafting recipes'!$A$6:$A$1005,0)),"MISSING ID"),"Advances one material tier","Lower-tier ingredient; route advances one tier"),"Needs tier review"))))))</x:f>
        <x:v>Finished endpoint</x:v>
      </x:c>
      <x:c r="S1129" s="4" t="str">
        <x:f>IFERROR(INDEX('Material routes'!$D$6:$D$2205,MATCH(U1129,'Material routes'!$A$6:$A$2205,0)),"MISSING ID")</x:f>
        <x:v>proposal.ceramic.body_feed</x:v>
      </x:c>
      <x:c r="T1129" s="4" t="str">
        <x:f>IFERROR(INDEX('Material routes'!$D$6:$D$2205,MATCH(V1129,'Material routes'!$A$6:$A$2205,0)),"MISSING ID")</x:f>
        <x:v>proposal.ceramic.plate</x:v>
      </x:c>
      <x:c r="U1129" s="4" t="str">
        <x:v>design.audit.proposal_ceramic_plate.audit.in.1</x:v>
      </x:c>
      <x:c r="V1129" s="4" t="str">
        <x:v>design.audit.proposal_ceramic_plate.audit.out</x:v>
      </x:c>
    </x:row>
    <x:row r="1130" ht="64" customHeight="1">
      <x:c r="A1130" s="4" t="str">
        <x:f>IFERROR(INDEX('Material routes'!$E$6:$E$2205,MATCH(U1130,'Material routes'!$A$6:$A$2205,0)),"MISSING ID")</x:f>
        <x:v>Prepared mineral pigment powder</x:v>
      </x:c>
      <x:c r="B1130" s="4" t="str">
        <x:f>IFERROR(INDEX('Material routes'!$F$6:$F$2205,MATCH(U1130,'Material routes'!$A$6:$A$2205,0)),"MISSING ID")</x:f>
        <x:v>T1</x:v>
      </x:c>
      <x:c r="C1130" s="4" t="str">
        <x:f>IFERROR(INDEX('Material routes'!$H$6:$H$2205,MATCH(U1130,'Material routes'!$A$6:$A$2205,0)),"MISSING ID")</x:f>
        <x:v>Processed material</x:v>
      </x:c>
      <x:c r="D1130" s="4" t="str">
        <x:f>IFERROR(INDEX('Material routes'!$G$6:$G$2205,MATCH(U1130,'Material routes'!$A$6:$A$2205,0)),"MISSING ID")</x:f>
        <x:v>Manufactured stock</x:v>
      </x:c>
      <x:c r="E1130" s="4" t="str">
        <x:f>IFERROR(INDEX('Material routes'!$C$6:$C$2205,MATCH(U1130,'Material routes'!$A$6:$A$2205,0)),"MISSING ID")</x:f>
        <x:v>Ingredient candidate</x:v>
      </x:c>
      <x:c r="F1130" s="4" t="str">
        <x:f>IFERROR(INDEX('Material routes'!$E$6:$E$2205,MATCH(V1130,'Material routes'!$A$6:$A$2205,0)),"MISSING ID")</x:f>
        <x:v>Ceramic serving plate</x:v>
      </x:c>
      <x:c r="G1130" s="4" t="str">
        <x:f>IFERROR(INDEX('Material routes'!$F$6:$F$2205,MATCH(V1130,'Material routes'!$A$6:$A$2205,0)),"MISSING ID")</x:f>
        <x:v>Not applicable</x:v>
      </x:c>
      <x:c r="H1130" s="4" t="str">
        <x:f>IFERROR(INDEX('Material routes'!$H$6:$H$2205,MATCH(V1130,'Material routes'!$A$6:$A$2205,0)),"MISSING ID")</x:f>
        <x:v>Household utensil</x:v>
      </x:c>
      <x:c r="I1130" s="4" t="str">
        <x:f>IFERROR(INDEX('Material routes'!$G$6:$G$2205,MATCH(V1130,'Material routes'!$A$6:$A$2205,0)),"MISSING ID")</x:f>
        <x:v>Salvage</x:v>
      </x:c>
      <x:c r="J1130" s="4" t="str">
        <x:f>IFERROR(INDEX('Material routes'!$B$6:$B$2205,MATCH(U1130,'Material routes'!$A$6:$A$2205,0)),"MISSING ID")</x:f>
        <x:v>design.audit.proposal_ceramic_plate</x:v>
      </x:c>
      <x:c r="K1130" s="4" t="str">
        <x:f>IFERROR(INDEX('Crafting recipes'!$C$6:$C$1005,MATCH(J1130,'Crafting recipes'!$A$6:$A$1005,0)),"MISSING ID")</x:f>
        <x:v>Finished-item crafting</x:v>
      </x:c>
      <x:c r="L1130" s="4" t="str">
        <x:f>IFERROR(INDEX('Material routes'!$K$6:$K$2205,MATCH(U1130,'Material routes'!$A$6:$A$2205,0)),"MISSING ID")</x:f>
        <x:v>Proposal</x:v>
      </x:c>
      <x:c r="M1130" s="4" t="str">
        <x:f>IFERROR(INDEX('Material routes'!$M$6:$M$2205,MATCH(U1130,'Material routes'!$A$6:$A$2205,0)),"MISSING ID")</x:f>
        <x:v>Partial proposal</x:v>
      </x:c>
      <x:c r="N1130" s="4"/>
      <x:c r="O1130" s="4" t="str">
        <x:f>IFERROR(INDEX('Material routes'!$J$6:$J$2205,MATCH(U1130,'Material routes'!$A$6:$A$2205,0)),"MISSING ID")</x:f>
        <x:v>Unspecified</x:v>
      </x:c>
      <x:c r="P1130" s="4"/>
      <x:c r="Q1130" s="4" t="str">
        <x:f>IFERROR(INDEX('Material routes'!$J$6:$J$2205,MATCH(V1130,'Material routes'!$A$6:$A$2205,0)),"MISSING ID")</x:f>
        <x:v>Unspecified</x:v>
      </x:c>
      <x:c r="R1130" s="4" t="str">
        <x:f>IF(L1130="Withheld","Withheld premise",IF(E1130="Tool candidate","Reusable prerequisite",IF(K1130="Raw entry preparation","Entry-resource preparation",IF(G1130="Not applicable",IF(IFERROR(INDEX('Items'!$AI$6:$AI$1005,MATCH(T1130,'Items'!$A$6:$A$1005,0)),"MISSING ID")="Finished item","Finished endpoint",IF(IFERROR(INDEX('Items'!$AI$6:$AI$1005,MATCH(T1130,'Items'!$A$6:$A$1005,0)),"MISSING ID")="Currency","Currency / no refinement tier","Recovered output / tier not applicable")),IF(OR(IFERROR(INDEX('Crafting recipes'!$H$6:$H$1005,MATCH(J1130,'Crafting recipes'!$A$6:$A$1005,0)),"MISSING ID")="Unassigned",G1130="Unassigned"),"Tier unresolved",IF(IFERROR(VALUE(RIGHT(G1130,1))-VALUE(RIGHT(IFERROR(INDEX('Crafting recipes'!$H$6:$H$1005,MATCH(J1130,'Crafting recipes'!$A$6:$A$1005,0)),"MISSING ID"),1)),0)=1,IF(B1130=IFERROR(INDEX('Crafting recipes'!$H$6:$H$1005,MATCH(J1130,'Crafting recipes'!$A$6:$A$1005,0)),"MISSING ID"),"Advances one material tier","Lower-tier ingredient; route advances one tier"),"Needs tier review"))))))</x:f>
        <x:v>Finished endpoint</x:v>
      </x:c>
      <x:c r="S1130" s="4" t="str">
        <x:f>IFERROR(INDEX('Material routes'!$D$6:$D$2205,MATCH(U1130,'Material routes'!$A$6:$A$2205,0)),"MISSING ID")</x:f>
        <x:v>proposal.t1.pigment_powder</x:v>
      </x:c>
      <x:c r="T1130" s="4" t="str">
        <x:f>IFERROR(INDEX('Material routes'!$D$6:$D$2205,MATCH(V1130,'Material routes'!$A$6:$A$2205,0)),"MISSING ID")</x:f>
        <x:v>proposal.ceramic.plate</x:v>
      </x:c>
      <x:c r="U1130" s="4" t="str">
        <x:v>design.audit.proposal_ceramic_plate.audit.in.2</x:v>
      </x:c>
      <x:c r="V1130" s="4" t="str">
        <x:v>design.audit.proposal_ceramic_plate.audit.out</x:v>
      </x:c>
    </x:row>
    <x:row r="1131" ht="64" customHeight="1">
      <x:c r="A1131" s="4" t="str">
        <x:f>IFERROR(INDEX('Material routes'!$E$6:$E$2205,MATCH(U1131,'Material routes'!$A$6:$A$2205,0)),"MISSING ID")</x:f>
        <x:v>Fired ceramic vessel blank</x:v>
      </x:c>
      <x:c r="B1131" s="4" t="str">
        <x:f>IFERROR(INDEX('Material routes'!$F$6:$F$2205,MATCH(U1131,'Material routes'!$A$6:$A$2205,0)),"MISSING ID")</x:f>
        <x:v>T2</x:v>
      </x:c>
      <x:c r="C1131" s="4" t="str">
        <x:f>IFERROR(INDEX('Material routes'!$H$6:$H$2205,MATCH(U1131,'Material routes'!$A$6:$A$2205,0)),"MISSING ID")</x:f>
        <x:v>Crafting component</x:v>
      </x:c>
      <x:c r="D1131" s="4" t="str">
        <x:f>IFERROR(INDEX('Material routes'!$G$6:$G$2205,MATCH(U1131,'Material routes'!$A$6:$A$2205,0)),"MISSING ID")</x:f>
        <x:v>Crafting components</x:v>
      </x:c>
      <x:c r="E1131" s="4" t="str">
        <x:f>IFERROR(INDEX('Material routes'!$C$6:$C$2205,MATCH(U1131,'Material routes'!$A$6:$A$2205,0)),"MISSING ID")</x:f>
        <x:v>Ingredient candidate</x:v>
      </x:c>
      <x:c r="F1131" s="4" t="str">
        <x:f>IFERROR(INDEX('Material routes'!$E$6:$E$2205,MATCH(V1131,'Material routes'!$A$6:$A$2205,0)),"MISSING ID")</x:f>
        <x:v>Ceramic dry-storage crock</x:v>
      </x:c>
      <x:c r="G1131" s="4" t="str">
        <x:f>IFERROR(INDEX('Material routes'!$F$6:$F$2205,MATCH(V1131,'Material routes'!$A$6:$A$2205,0)),"MISSING ID")</x:f>
        <x:v>Not applicable</x:v>
      </x:c>
      <x:c r="H1131" s="4" t="str">
        <x:f>IFERROR(INDEX('Material routes'!$H$6:$H$2205,MATCH(V1131,'Material routes'!$A$6:$A$2205,0)),"MISSING ID")</x:f>
        <x:v>Container</x:v>
      </x:c>
      <x:c r="I1131" s="4" t="str">
        <x:f>IFERROR(INDEX('Material routes'!$G$6:$G$2205,MATCH(V1131,'Material routes'!$A$6:$A$2205,0)),"MISSING ID")</x:f>
        <x:v>Salvage</x:v>
      </x:c>
      <x:c r="J1131" s="4" t="str">
        <x:f>IFERROR(INDEX('Material routes'!$B$6:$B$2205,MATCH(U1131,'Material routes'!$A$6:$A$2205,0)),"MISSING ID")</x:f>
        <x:v>design.audit.proposal_ceramic_storage_crock</x:v>
      </x:c>
      <x:c r="K1131" s="4" t="str">
        <x:f>IFERROR(INDEX('Crafting recipes'!$C$6:$C$1005,MATCH(J1131,'Crafting recipes'!$A$6:$A$1005,0)),"MISSING ID")</x:f>
        <x:v>Finished-item crafting</x:v>
      </x:c>
      <x:c r="L1131" s="4" t="str">
        <x:f>IFERROR(INDEX('Material routes'!$K$6:$K$2205,MATCH(U1131,'Material routes'!$A$6:$A$2205,0)),"MISSING ID")</x:f>
        <x:v>Proposal</x:v>
      </x:c>
      <x:c r="M1131" s="4" t="str">
        <x:f>IFERROR(INDEX('Material routes'!$M$6:$M$2205,MATCH(U1131,'Material routes'!$A$6:$A$2205,0)),"MISSING ID")</x:f>
        <x:v>Partial proposal</x:v>
      </x:c>
      <x:c r="N1131" s="4"/>
      <x:c r="O1131" s="4" t="str">
        <x:f>IFERROR(INDEX('Material routes'!$J$6:$J$2205,MATCH(U1131,'Material routes'!$A$6:$A$2205,0)),"MISSING ID")</x:f>
        <x:v>Unspecified</x:v>
      </x:c>
      <x:c r="P1131" s="4"/>
      <x:c r="Q1131" s="4" t="str">
        <x:f>IFERROR(INDEX('Material routes'!$J$6:$J$2205,MATCH(V1131,'Material routes'!$A$6:$A$2205,0)),"MISSING ID")</x:f>
        <x:v>Unspecified</x:v>
      </x:c>
      <x:c r="R1131" s="4" t="str">
        <x:f>IF(L1131="Withheld","Withheld premise",IF(E1131="Tool candidate","Reusable prerequisite",IF(K1131="Raw entry preparation","Entry-resource preparation",IF(G1131="Not applicable",IF(IFERROR(INDEX('Items'!$AI$6:$AI$1005,MATCH(T1131,'Items'!$A$6:$A$1005,0)),"MISSING ID")="Finished item","Finished endpoint",IF(IFERROR(INDEX('Items'!$AI$6:$AI$1005,MATCH(T1131,'Items'!$A$6:$A$1005,0)),"MISSING ID")="Currency","Currency / no refinement tier","Recovered output / tier not applicable")),IF(OR(IFERROR(INDEX('Crafting recipes'!$H$6:$H$1005,MATCH(J1131,'Crafting recipes'!$A$6:$A$1005,0)),"MISSING ID")="Unassigned",G1131="Unassigned"),"Tier unresolved",IF(IFERROR(VALUE(RIGHT(G1131,1))-VALUE(RIGHT(IFERROR(INDEX('Crafting recipes'!$H$6:$H$1005,MATCH(J1131,'Crafting recipes'!$A$6:$A$1005,0)),"MISSING ID"),1)),0)=1,IF(B1131=IFERROR(INDEX('Crafting recipes'!$H$6:$H$1005,MATCH(J1131,'Crafting recipes'!$A$6:$A$1005,0)),"MISSING ID"),"Advances one material tier","Lower-tier ingredient; route advances one tier"),"Needs tier review"))))))</x:f>
        <x:v>Finished endpoint</x:v>
      </x:c>
      <x:c r="S1131" s="4" t="str">
        <x:f>IFERROR(INDEX('Material routes'!$D$6:$D$2205,MATCH(U1131,'Material routes'!$A$6:$A$2205,0)),"MISSING ID")</x:f>
        <x:v>proposal.audit.fired_ceramic_vessel_blank</x:v>
      </x:c>
      <x:c r="T1131" s="4" t="str">
        <x:f>IFERROR(INDEX('Material routes'!$D$6:$D$2205,MATCH(V1131,'Material routes'!$A$6:$A$2205,0)),"MISSING ID")</x:f>
        <x:v>proposal.ceramic.storage_crock</x:v>
      </x:c>
      <x:c r="U1131" s="4" t="str">
        <x:v>design.audit.proposal_ceramic_storage_crock.audit.in.1</x:v>
      </x:c>
      <x:c r="V1131" s="4" t="str">
        <x:v>design.audit.proposal_ceramic_storage_crock.audit.out</x:v>
      </x:c>
    </x:row>
    <x:row r="1132" ht="64" customHeight="1">
      <x:c r="A1132" s="4" t="str">
        <x:f>IFERROR(INDEX('Material routes'!$E$6:$E$2205,MATCH(U1132,'Material routes'!$A$6:$A$2205,0)),"MISSING ID")</x:f>
        <x:v>Ceramic vessel lid</x:v>
      </x:c>
      <x:c r="B1132" s="4" t="str">
        <x:f>IFERROR(INDEX('Material routes'!$F$6:$F$2205,MATCH(U1132,'Material routes'!$A$6:$A$2205,0)),"MISSING ID")</x:f>
        <x:v>T3</x:v>
      </x:c>
      <x:c r="C1132" s="4" t="str">
        <x:f>IFERROR(INDEX('Material routes'!$H$6:$H$2205,MATCH(U1132,'Material routes'!$A$6:$A$2205,0)),"MISSING ID")</x:f>
        <x:v>Container part</x:v>
      </x:c>
      <x:c r="D1132" s="4" t="str">
        <x:f>IFERROR(INDEX('Material routes'!$G$6:$G$2205,MATCH(U1132,'Material routes'!$A$6:$A$2205,0)),"MISSING ID")</x:f>
        <x:v>Crafting components</x:v>
      </x:c>
      <x:c r="E1132" s="4" t="str">
        <x:f>IFERROR(INDEX('Material routes'!$C$6:$C$2205,MATCH(U1132,'Material routes'!$A$6:$A$2205,0)),"MISSING ID")</x:f>
        <x:v>Ingredient candidate</x:v>
      </x:c>
      <x:c r="F1132" s="4" t="str">
        <x:f>IFERROR(INDEX('Material routes'!$E$6:$E$2205,MATCH(V1132,'Material routes'!$A$6:$A$2205,0)),"MISSING ID")</x:f>
        <x:v>Ceramic dry-storage crock</x:v>
      </x:c>
      <x:c r="G1132" s="4" t="str">
        <x:f>IFERROR(INDEX('Material routes'!$F$6:$F$2205,MATCH(V1132,'Material routes'!$A$6:$A$2205,0)),"MISSING ID")</x:f>
        <x:v>Not applicable</x:v>
      </x:c>
      <x:c r="H1132" s="4" t="str">
        <x:f>IFERROR(INDEX('Material routes'!$H$6:$H$2205,MATCH(V1132,'Material routes'!$A$6:$A$2205,0)),"MISSING ID")</x:f>
        <x:v>Container</x:v>
      </x:c>
      <x:c r="I1132" s="4" t="str">
        <x:f>IFERROR(INDEX('Material routes'!$G$6:$G$2205,MATCH(V1132,'Material routes'!$A$6:$A$2205,0)),"MISSING ID")</x:f>
        <x:v>Salvage</x:v>
      </x:c>
      <x:c r="J1132" s="4" t="str">
        <x:f>IFERROR(INDEX('Material routes'!$B$6:$B$2205,MATCH(U1132,'Material routes'!$A$6:$A$2205,0)),"MISSING ID")</x:f>
        <x:v>design.audit.proposal_ceramic_storage_crock</x:v>
      </x:c>
      <x:c r="K1132" s="4" t="str">
        <x:f>IFERROR(INDEX('Crafting recipes'!$C$6:$C$1005,MATCH(J1132,'Crafting recipes'!$A$6:$A$1005,0)),"MISSING ID")</x:f>
        <x:v>Finished-item crafting</x:v>
      </x:c>
      <x:c r="L1132" s="4" t="str">
        <x:f>IFERROR(INDEX('Material routes'!$K$6:$K$2205,MATCH(U1132,'Material routes'!$A$6:$A$2205,0)),"MISSING ID")</x:f>
        <x:v>Proposal</x:v>
      </x:c>
      <x:c r="M1132" s="4" t="str">
        <x:f>IFERROR(INDEX('Material routes'!$M$6:$M$2205,MATCH(U1132,'Material routes'!$A$6:$A$2205,0)),"MISSING ID")</x:f>
        <x:v>Partial proposal</x:v>
      </x:c>
      <x:c r="N1132" s="4"/>
      <x:c r="O1132" s="4" t="str">
        <x:f>IFERROR(INDEX('Material routes'!$J$6:$J$2205,MATCH(U1132,'Material routes'!$A$6:$A$2205,0)),"MISSING ID")</x:f>
        <x:v>Unspecified</x:v>
      </x:c>
      <x:c r="P1132" s="4"/>
      <x:c r="Q1132" s="4" t="str">
        <x:f>IFERROR(INDEX('Material routes'!$J$6:$J$2205,MATCH(V1132,'Material routes'!$A$6:$A$2205,0)),"MISSING ID")</x:f>
        <x:v>Unspecified</x:v>
      </x:c>
      <x:c r="R1132" s="4" t="str">
        <x:f>IF(L1132="Withheld","Withheld premise",IF(E1132="Tool candidate","Reusable prerequisite",IF(K1132="Raw entry preparation","Entry-resource preparation",IF(G1132="Not applicable",IF(IFERROR(INDEX('Items'!$AI$6:$AI$1005,MATCH(T1132,'Items'!$A$6:$A$1005,0)),"MISSING ID")="Finished item","Finished endpoint",IF(IFERROR(INDEX('Items'!$AI$6:$AI$1005,MATCH(T1132,'Items'!$A$6:$A$1005,0)),"MISSING ID")="Currency","Currency / no refinement tier","Recovered output / tier not applicable")),IF(OR(IFERROR(INDEX('Crafting recipes'!$H$6:$H$1005,MATCH(J1132,'Crafting recipes'!$A$6:$A$1005,0)),"MISSING ID")="Unassigned",G1132="Unassigned"),"Tier unresolved",IF(IFERROR(VALUE(RIGHT(G1132,1))-VALUE(RIGHT(IFERROR(INDEX('Crafting recipes'!$H$6:$H$1005,MATCH(J1132,'Crafting recipes'!$A$6:$A$1005,0)),"MISSING ID"),1)),0)=1,IF(B1132=IFERROR(INDEX('Crafting recipes'!$H$6:$H$1005,MATCH(J1132,'Crafting recipes'!$A$6:$A$1005,0)),"MISSING ID"),"Advances one material tier","Lower-tier ingredient; route advances one tier"),"Needs tier review"))))))</x:f>
        <x:v>Finished endpoint</x:v>
      </x:c>
      <x:c r="S1132" s="4" t="str">
        <x:f>IFERROR(INDEX('Material routes'!$D$6:$D$2205,MATCH(U1132,'Material routes'!$A$6:$A$2205,0)),"MISSING ID")</x:f>
        <x:v>proposal.ceramic.lid</x:v>
      </x:c>
      <x:c r="T1132" s="4" t="str">
        <x:f>IFERROR(INDEX('Material routes'!$D$6:$D$2205,MATCH(V1132,'Material routes'!$A$6:$A$2205,0)),"MISSING ID")</x:f>
        <x:v>proposal.ceramic.storage_crock</x:v>
      </x:c>
      <x:c r="U1132" s="4" t="str">
        <x:v>design.audit.proposal_ceramic_storage_crock.audit.in.2</x:v>
      </x:c>
      <x:c r="V1132" s="4" t="str">
        <x:v>design.audit.proposal_ceramic_storage_crock.audit.out</x:v>
      </x:c>
    </x:row>
    <x:row r="1133" ht="64" customHeight="1">
      <x:c r="A1133" s="4" t="str">
        <x:f>IFERROR(INDEX('Material routes'!$E$6:$E$2205,MATCH(U1133,'Material routes'!$A$6:$A$2205,0)),"MISSING ID")</x:f>
        <x:v>Prepared ceramic body feed</x:v>
      </x:c>
      <x:c r="B1133" s="4" t="str">
        <x:f>IFERROR(INDEX('Material routes'!$F$6:$F$2205,MATCH(U1133,'Material routes'!$A$6:$A$2205,0)),"MISSING ID")</x:f>
        <x:v>T1</x:v>
      </x:c>
      <x:c r="C1133" s="4" t="str">
        <x:f>IFERROR(INDEX('Material routes'!$H$6:$H$2205,MATCH(U1133,'Material routes'!$A$6:$A$2205,0)),"MISSING ID")</x:f>
        <x:v>Processed material</x:v>
      </x:c>
      <x:c r="D1133" s="4" t="str">
        <x:f>IFERROR(INDEX('Material routes'!$G$6:$G$2205,MATCH(U1133,'Material routes'!$A$6:$A$2205,0)),"MISSING ID")</x:f>
        <x:v>Manufactured stock</x:v>
      </x:c>
      <x:c r="E1133" s="4" t="str">
        <x:f>IFERROR(INDEX('Material routes'!$C$6:$C$2205,MATCH(U1133,'Material routes'!$A$6:$A$2205,0)),"MISSING ID")</x:f>
        <x:v>Ingredient candidate</x:v>
      </x:c>
      <x:c r="F1133" s="4" t="str">
        <x:f>IFERROR(INDEX('Material routes'!$E$6:$E$2205,MATCH(V1133,'Material routes'!$A$6:$A$2205,0)),"MISSING ID")</x:f>
        <x:v>Ceramic casting mold</x:v>
      </x:c>
      <x:c r="G1133" s="4" t="str">
        <x:f>IFERROR(INDEX('Material routes'!$F$6:$F$2205,MATCH(V1133,'Material routes'!$A$6:$A$2205,0)),"MISSING ID")</x:f>
        <x:v>Not applicable</x:v>
      </x:c>
      <x:c r="H1133" s="4" t="str">
        <x:f>IFERROR(INDEX('Material routes'!$H$6:$H$2205,MATCH(V1133,'Material routes'!$A$6:$A$2205,0)),"MISSING ID")</x:f>
        <x:v>Tool</x:v>
      </x:c>
      <x:c r="I1133" s="4" t="str">
        <x:f>IFERROR(INDEX('Material routes'!$G$6:$G$2205,MATCH(V1133,'Material routes'!$A$6:$A$2205,0)),"MISSING ID")</x:f>
        <x:v>Salvage</x:v>
      </x:c>
      <x:c r="J1133" s="4" t="str">
        <x:f>IFERROR(INDEX('Material routes'!$B$6:$B$2205,MATCH(U1133,'Material routes'!$A$6:$A$2205,0)),"MISSING ID")</x:f>
        <x:v>design.audit.proposal_ceramic_casting_mold</x:v>
      </x:c>
      <x:c r="K1133" s="4" t="str">
        <x:f>IFERROR(INDEX('Crafting recipes'!$C$6:$C$1005,MATCH(J1133,'Crafting recipes'!$A$6:$A$1005,0)),"MISSING ID")</x:f>
        <x:v>Finished-item crafting</x:v>
      </x:c>
      <x:c r="L1133" s="4" t="str">
        <x:f>IFERROR(INDEX('Material routes'!$K$6:$K$2205,MATCH(U1133,'Material routes'!$A$6:$A$2205,0)),"MISSING ID")</x:f>
        <x:v>Proposal</x:v>
      </x:c>
      <x:c r="M1133" s="4" t="str">
        <x:f>IFERROR(INDEX('Material routes'!$M$6:$M$2205,MATCH(U1133,'Material routes'!$A$6:$A$2205,0)),"MISSING ID")</x:f>
        <x:v>Partial proposal</x:v>
      </x:c>
      <x:c r="N1133" s="4"/>
      <x:c r="O1133" s="4" t="str">
        <x:f>IFERROR(INDEX('Material routes'!$J$6:$J$2205,MATCH(U1133,'Material routes'!$A$6:$A$2205,0)),"MISSING ID")</x:f>
        <x:v>Unspecified</x:v>
      </x:c>
      <x:c r="P1133" s="4"/>
      <x:c r="Q1133" s="4" t="str">
        <x:f>IFERROR(INDEX('Material routes'!$J$6:$J$2205,MATCH(V1133,'Material routes'!$A$6:$A$2205,0)),"MISSING ID")</x:f>
        <x:v>Unspecified</x:v>
      </x:c>
      <x:c r="R1133" s="4" t="str">
        <x:f>IF(L1133="Withheld","Withheld premise",IF(E1133="Tool candidate","Reusable prerequisite",IF(K1133="Raw entry preparation","Entry-resource preparation",IF(G1133="Not applicable",IF(IFERROR(INDEX('Items'!$AI$6:$AI$1005,MATCH(T1133,'Items'!$A$6:$A$1005,0)),"MISSING ID")="Finished item","Finished endpoint",IF(IFERROR(INDEX('Items'!$AI$6:$AI$1005,MATCH(T1133,'Items'!$A$6:$A$1005,0)),"MISSING ID")="Currency","Currency / no refinement tier","Recovered output / tier not applicable")),IF(OR(IFERROR(INDEX('Crafting recipes'!$H$6:$H$1005,MATCH(J1133,'Crafting recipes'!$A$6:$A$1005,0)),"MISSING ID")="Unassigned",G1133="Unassigned"),"Tier unresolved",IF(IFERROR(VALUE(RIGHT(G1133,1))-VALUE(RIGHT(IFERROR(INDEX('Crafting recipes'!$H$6:$H$1005,MATCH(J1133,'Crafting recipes'!$A$6:$A$1005,0)),"MISSING ID"),1)),0)=1,IF(B1133=IFERROR(INDEX('Crafting recipes'!$H$6:$H$1005,MATCH(J1133,'Crafting recipes'!$A$6:$A$1005,0)),"MISSING ID"),"Advances one material tier","Lower-tier ingredient; route advances one tier"),"Needs tier review"))))))</x:f>
        <x:v>Finished endpoint</x:v>
      </x:c>
      <x:c r="S1133" s="4" t="str">
        <x:f>IFERROR(INDEX('Material routes'!$D$6:$D$2205,MATCH(U1133,'Material routes'!$A$6:$A$2205,0)),"MISSING ID")</x:f>
        <x:v>proposal.ceramic.body_feed</x:v>
      </x:c>
      <x:c r="T1133" s="4" t="str">
        <x:f>IFERROR(INDEX('Material routes'!$D$6:$D$2205,MATCH(V1133,'Material routes'!$A$6:$A$2205,0)),"MISSING ID")</x:f>
        <x:v>proposal.ceramic.casting_mold</x:v>
      </x:c>
      <x:c r="U1133" s="4" t="str">
        <x:v>design.audit.proposal_ceramic_casting_mold.audit.in.1</x:v>
      </x:c>
      <x:c r="V1133" s="4" t="str">
        <x:v>design.audit.proposal_ceramic_casting_mold.audit.out</x:v>
      </x:c>
    </x:row>
    <x:row r="1134" ht="64" customHeight="1">
      <x:c r="A1134" s="4" t="str">
        <x:f>IFERROR(INDEX('Material routes'!$E$6:$E$2205,MATCH(U1134,'Material routes'!$A$6:$A$2205,0)),"MISSING ID")</x:f>
        <x:v>Prepared mineral pigment powder</x:v>
      </x:c>
      <x:c r="B1134" s="4" t="str">
        <x:f>IFERROR(INDEX('Material routes'!$F$6:$F$2205,MATCH(U1134,'Material routes'!$A$6:$A$2205,0)),"MISSING ID")</x:f>
        <x:v>T1</x:v>
      </x:c>
      <x:c r="C1134" s="4" t="str">
        <x:f>IFERROR(INDEX('Material routes'!$H$6:$H$2205,MATCH(U1134,'Material routes'!$A$6:$A$2205,0)),"MISSING ID")</x:f>
        <x:v>Processed material</x:v>
      </x:c>
      <x:c r="D1134" s="4" t="str">
        <x:f>IFERROR(INDEX('Material routes'!$G$6:$G$2205,MATCH(U1134,'Material routes'!$A$6:$A$2205,0)),"MISSING ID")</x:f>
        <x:v>Manufactured stock</x:v>
      </x:c>
      <x:c r="E1134" s="4" t="str">
        <x:f>IFERROR(INDEX('Material routes'!$C$6:$C$2205,MATCH(U1134,'Material routes'!$A$6:$A$2205,0)),"MISSING ID")</x:f>
        <x:v>Ingredient candidate</x:v>
      </x:c>
      <x:c r="F1134" s="4" t="str">
        <x:f>IFERROR(INDEX('Material routes'!$E$6:$E$2205,MATCH(V1134,'Material routes'!$A$6:$A$2205,0)),"MISSING ID")</x:f>
        <x:v>Ceramic casting mold</x:v>
      </x:c>
      <x:c r="G1134" s="4" t="str">
        <x:f>IFERROR(INDEX('Material routes'!$F$6:$F$2205,MATCH(V1134,'Material routes'!$A$6:$A$2205,0)),"MISSING ID")</x:f>
        <x:v>Not applicable</x:v>
      </x:c>
      <x:c r="H1134" s="4" t="str">
        <x:f>IFERROR(INDEX('Material routes'!$H$6:$H$2205,MATCH(V1134,'Material routes'!$A$6:$A$2205,0)),"MISSING ID")</x:f>
        <x:v>Tool</x:v>
      </x:c>
      <x:c r="I1134" s="4" t="str">
        <x:f>IFERROR(INDEX('Material routes'!$G$6:$G$2205,MATCH(V1134,'Material routes'!$A$6:$A$2205,0)),"MISSING ID")</x:f>
        <x:v>Salvage</x:v>
      </x:c>
      <x:c r="J1134" s="4" t="str">
        <x:f>IFERROR(INDEX('Material routes'!$B$6:$B$2205,MATCH(U1134,'Material routes'!$A$6:$A$2205,0)),"MISSING ID")</x:f>
        <x:v>design.audit.proposal_ceramic_casting_mold</x:v>
      </x:c>
      <x:c r="K1134" s="4" t="str">
        <x:f>IFERROR(INDEX('Crafting recipes'!$C$6:$C$1005,MATCH(J1134,'Crafting recipes'!$A$6:$A$1005,0)),"MISSING ID")</x:f>
        <x:v>Finished-item crafting</x:v>
      </x:c>
      <x:c r="L1134" s="4" t="str">
        <x:f>IFERROR(INDEX('Material routes'!$K$6:$K$2205,MATCH(U1134,'Material routes'!$A$6:$A$2205,0)),"MISSING ID")</x:f>
        <x:v>Proposal</x:v>
      </x:c>
      <x:c r="M1134" s="4" t="str">
        <x:f>IFERROR(INDEX('Material routes'!$M$6:$M$2205,MATCH(U1134,'Material routes'!$A$6:$A$2205,0)),"MISSING ID")</x:f>
        <x:v>Partial proposal</x:v>
      </x:c>
      <x:c r="N1134" s="4"/>
      <x:c r="O1134" s="4" t="str">
        <x:f>IFERROR(INDEX('Material routes'!$J$6:$J$2205,MATCH(U1134,'Material routes'!$A$6:$A$2205,0)),"MISSING ID")</x:f>
        <x:v>Unspecified</x:v>
      </x:c>
      <x:c r="P1134" s="4"/>
      <x:c r="Q1134" s="4" t="str">
        <x:f>IFERROR(INDEX('Material routes'!$J$6:$J$2205,MATCH(V1134,'Material routes'!$A$6:$A$2205,0)),"MISSING ID")</x:f>
        <x:v>Unspecified</x:v>
      </x:c>
      <x:c r="R1134" s="4" t="str">
        <x:f>IF(L1134="Withheld","Withheld premise",IF(E1134="Tool candidate","Reusable prerequisite",IF(K1134="Raw entry preparation","Entry-resource preparation",IF(G1134="Not applicable",IF(IFERROR(INDEX('Items'!$AI$6:$AI$1005,MATCH(T1134,'Items'!$A$6:$A$1005,0)),"MISSING ID")="Finished item","Finished endpoint",IF(IFERROR(INDEX('Items'!$AI$6:$AI$1005,MATCH(T1134,'Items'!$A$6:$A$1005,0)),"MISSING ID")="Currency","Currency / no refinement tier","Recovered output / tier not applicable")),IF(OR(IFERROR(INDEX('Crafting recipes'!$H$6:$H$1005,MATCH(J1134,'Crafting recipes'!$A$6:$A$1005,0)),"MISSING ID")="Unassigned",G1134="Unassigned"),"Tier unresolved",IF(IFERROR(VALUE(RIGHT(G1134,1))-VALUE(RIGHT(IFERROR(INDEX('Crafting recipes'!$H$6:$H$1005,MATCH(J1134,'Crafting recipes'!$A$6:$A$1005,0)),"MISSING ID"),1)),0)=1,IF(B1134=IFERROR(INDEX('Crafting recipes'!$H$6:$H$1005,MATCH(J1134,'Crafting recipes'!$A$6:$A$1005,0)),"MISSING ID"),"Advances one material tier","Lower-tier ingredient; route advances one tier"),"Needs tier review"))))))</x:f>
        <x:v>Finished endpoint</x:v>
      </x:c>
      <x:c r="S1134" s="4" t="str">
        <x:f>IFERROR(INDEX('Material routes'!$D$6:$D$2205,MATCH(U1134,'Material routes'!$A$6:$A$2205,0)),"MISSING ID")</x:f>
        <x:v>proposal.t1.pigment_powder</x:v>
      </x:c>
      <x:c r="T1134" s="4" t="str">
        <x:f>IFERROR(INDEX('Material routes'!$D$6:$D$2205,MATCH(V1134,'Material routes'!$A$6:$A$2205,0)),"MISSING ID")</x:f>
        <x:v>proposal.ceramic.casting_mold</x:v>
      </x:c>
      <x:c r="U1134" s="4" t="str">
        <x:v>design.audit.proposal_ceramic_casting_mold.audit.in.2</x:v>
      </x:c>
      <x:c r="V1134" s="4" t="str">
        <x:v>design.audit.proposal_ceramic_casting_mold.audit.out</x:v>
      </x:c>
    </x:row>
    <x:row r="1135" ht="64" customHeight="1">
      <x:c r="A1135" s="4" t="str">
        <x:f>IFERROR(INDEX('Material routes'!$E$6:$E$2205,MATCH(U1135,'Material routes'!$A$6:$A$2205,0)),"MISSING ID")</x:f>
        <x:v>Prepared ceramic body feed</x:v>
      </x:c>
      <x:c r="B1135" s="4" t="str">
        <x:f>IFERROR(INDEX('Material routes'!$F$6:$F$2205,MATCH(U1135,'Material routes'!$A$6:$A$2205,0)),"MISSING ID")</x:f>
        <x:v>T1</x:v>
      </x:c>
      <x:c r="C1135" s="4" t="str">
        <x:f>IFERROR(INDEX('Material routes'!$H$6:$H$2205,MATCH(U1135,'Material routes'!$A$6:$A$2205,0)),"MISSING ID")</x:f>
        <x:v>Processed material</x:v>
      </x:c>
      <x:c r="D1135" s="4" t="str">
        <x:f>IFERROR(INDEX('Material routes'!$G$6:$G$2205,MATCH(U1135,'Material routes'!$A$6:$A$2205,0)),"MISSING ID")</x:f>
        <x:v>Manufactured stock</x:v>
      </x:c>
      <x:c r="E1135" s="4" t="str">
        <x:f>IFERROR(INDEX('Material routes'!$C$6:$C$2205,MATCH(U1135,'Material routes'!$A$6:$A$2205,0)),"MISSING ID")</x:f>
        <x:v>Ingredient candidate</x:v>
      </x:c>
      <x:c r="F1135" s="4" t="str">
        <x:f>IFERROR(INDEX('Material routes'!$E$6:$E$2205,MATCH(V1135,'Material routes'!$A$6:$A$2205,0)),"MISSING ID")</x:f>
        <x:v>Ceramic grinding mortar</x:v>
      </x:c>
      <x:c r="G1135" s="4" t="str">
        <x:f>IFERROR(INDEX('Material routes'!$F$6:$F$2205,MATCH(V1135,'Material routes'!$A$6:$A$2205,0)),"MISSING ID")</x:f>
        <x:v>Not applicable</x:v>
      </x:c>
      <x:c r="H1135" s="4" t="str">
        <x:f>IFERROR(INDEX('Material routes'!$H$6:$H$2205,MATCH(V1135,'Material routes'!$A$6:$A$2205,0)),"MISSING ID")</x:f>
        <x:v>Tool</x:v>
      </x:c>
      <x:c r="I1135" s="4" t="str">
        <x:f>IFERROR(INDEX('Material routes'!$G$6:$G$2205,MATCH(V1135,'Material routes'!$A$6:$A$2205,0)),"MISSING ID")</x:f>
        <x:v>Salvage</x:v>
      </x:c>
      <x:c r="J1135" s="4" t="str">
        <x:f>IFERROR(INDEX('Material routes'!$B$6:$B$2205,MATCH(U1135,'Material routes'!$A$6:$A$2205,0)),"MISSING ID")</x:f>
        <x:v>design.audit.proposal_ceramic_mortar</x:v>
      </x:c>
      <x:c r="K1135" s="4" t="str">
        <x:f>IFERROR(INDEX('Crafting recipes'!$C$6:$C$1005,MATCH(J1135,'Crafting recipes'!$A$6:$A$1005,0)),"MISSING ID")</x:f>
        <x:v>Finished-item crafting</x:v>
      </x:c>
      <x:c r="L1135" s="4" t="str">
        <x:f>IFERROR(INDEX('Material routes'!$K$6:$K$2205,MATCH(U1135,'Material routes'!$A$6:$A$2205,0)),"MISSING ID")</x:f>
        <x:v>Proposal</x:v>
      </x:c>
      <x:c r="M1135" s="4" t="str">
        <x:f>IFERROR(INDEX('Material routes'!$M$6:$M$2205,MATCH(U1135,'Material routes'!$A$6:$A$2205,0)),"MISSING ID")</x:f>
        <x:v>Partial proposal</x:v>
      </x:c>
      <x:c r="N1135" s="4"/>
      <x:c r="O1135" s="4" t="str">
        <x:f>IFERROR(INDEX('Material routes'!$J$6:$J$2205,MATCH(U1135,'Material routes'!$A$6:$A$2205,0)),"MISSING ID")</x:f>
        <x:v>Unspecified</x:v>
      </x:c>
      <x:c r="P1135" s="4"/>
      <x:c r="Q1135" s="4" t="str">
        <x:f>IFERROR(INDEX('Material routes'!$J$6:$J$2205,MATCH(V1135,'Material routes'!$A$6:$A$2205,0)),"MISSING ID")</x:f>
        <x:v>Unspecified</x:v>
      </x:c>
      <x:c r="R1135" s="4" t="str">
        <x:f>IF(L1135="Withheld","Withheld premise",IF(E1135="Tool candidate","Reusable prerequisite",IF(K1135="Raw entry preparation","Entry-resource preparation",IF(G1135="Not applicable",IF(IFERROR(INDEX('Items'!$AI$6:$AI$1005,MATCH(T1135,'Items'!$A$6:$A$1005,0)),"MISSING ID")="Finished item","Finished endpoint",IF(IFERROR(INDEX('Items'!$AI$6:$AI$1005,MATCH(T1135,'Items'!$A$6:$A$1005,0)),"MISSING ID")="Currency","Currency / no refinement tier","Recovered output / tier not applicable")),IF(OR(IFERROR(INDEX('Crafting recipes'!$H$6:$H$1005,MATCH(J1135,'Crafting recipes'!$A$6:$A$1005,0)),"MISSING ID")="Unassigned",G1135="Unassigned"),"Tier unresolved",IF(IFERROR(VALUE(RIGHT(G1135,1))-VALUE(RIGHT(IFERROR(INDEX('Crafting recipes'!$H$6:$H$1005,MATCH(J1135,'Crafting recipes'!$A$6:$A$1005,0)),"MISSING ID"),1)),0)=1,IF(B1135=IFERROR(INDEX('Crafting recipes'!$H$6:$H$1005,MATCH(J1135,'Crafting recipes'!$A$6:$A$1005,0)),"MISSING ID"),"Advances one material tier","Lower-tier ingredient; route advances one tier"),"Needs tier review"))))))</x:f>
        <x:v>Finished endpoint</x:v>
      </x:c>
      <x:c r="S1135" s="4" t="str">
        <x:f>IFERROR(INDEX('Material routes'!$D$6:$D$2205,MATCH(U1135,'Material routes'!$A$6:$A$2205,0)),"MISSING ID")</x:f>
        <x:v>proposal.ceramic.body_feed</x:v>
      </x:c>
      <x:c r="T1135" s="4" t="str">
        <x:f>IFERROR(INDEX('Material routes'!$D$6:$D$2205,MATCH(V1135,'Material routes'!$A$6:$A$2205,0)),"MISSING ID")</x:f>
        <x:v>proposal.ceramic.mortar</x:v>
      </x:c>
      <x:c r="U1135" s="4" t="str">
        <x:v>design.audit.proposal_ceramic_mortar.audit.in.1</x:v>
      </x:c>
      <x:c r="V1135" s="4" t="str">
        <x:v>design.audit.proposal_ceramic_mortar.audit.out</x:v>
      </x:c>
    </x:row>
    <x:row r="1136" ht="64" customHeight="1">
      <x:c r="A1136" s="4" t="str">
        <x:f>IFERROR(INDEX('Material routes'!$E$6:$E$2205,MATCH(U1136,'Material routes'!$A$6:$A$2205,0)),"MISSING ID")</x:f>
        <x:v>Prepared mineral pigment powder</x:v>
      </x:c>
      <x:c r="B1136" s="4" t="str">
        <x:f>IFERROR(INDEX('Material routes'!$F$6:$F$2205,MATCH(U1136,'Material routes'!$A$6:$A$2205,0)),"MISSING ID")</x:f>
        <x:v>T1</x:v>
      </x:c>
      <x:c r="C1136" s="4" t="str">
        <x:f>IFERROR(INDEX('Material routes'!$H$6:$H$2205,MATCH(U1136,'Material routes'!$A$6:$A$2205,0)),"MISSING ID")</x:f>
        <x:v>Processed material</x:v>
      </x:c>
      <x:c r="D1136" s="4" t="str">
        <x:f>IFERROR(INDEX('Material routes'!$G$6:$G$2205,MATCH(U1136,'Material routes'!$A$6:$A$2205,0)),"MISSING ID")</x:f>
        <x:v>Manufactured stock</x:v>
      </x:c>
      <x:c r="E1136" s="4" t="str">
        <x:f>IFERROR(INDEX('Material routes'!$C$6:$C$2205,MATCH(U1136,'Material routes'!$A$6:$A$2205,0)),"MISSING ID")</x:f>
        <x:v>Ingredient candidate</x:v>
      </x:c>
      <x:c r="F1136" s="4" t="str">
        <x:f>IFERROR(INDEX('Material routes'!$E$6:$E$2205,MATCH(V1136,'Material routes'!$A$6:$A$2205,0)),"MISSING ID")</x:f>
        <x:v>Ceramic grinding mortar</x:v>
      </x:c>
      <x:c r="G1136" s="4" t="str">
        <x:f>IFERROR(INDEX('Material routes'!$F$6:$F$2205,MATCH(V1136,'Material routes'!$A$6:$A$2205,0)),"MISSING ID")</x:f>
        <x:v>Not applicable</x:v>
      </x:c>
      <x:c r="H1136" s="4" t="str">
        <x:f>IFERROR(INDEX('Material routes'!$H$6:$H$2205,MATCH(V1136,'Material routes'!$A$6:$A$2205,0)),"MISSING ID")</x:f>
        <x:v>Tool</x:v>
      </x:c>
      <x:c r="I1136" s="4" t="str">
        <x:f>IFERROR(INDEX('Material routes'!$G$6:$G$2205,MATCH(V1136,'Material routes'!$A$6:$A$2205,0)),"MISSING ID")</x:f>
        <x:v>Salvage</x:v>
      </x:c>
      <x:c r="J1136" s="4" t="str">
        <x:f>IFERROR(INDEX('Material routes'!$B$6:$B$2205,MATCH(U1136,'Material routes'!$A$6:$A$2205,0)),"MISSING ID")</x:f>
        <x:v>design.audit.proposal_ceramic_mortar</x:v>
      </x:c>
      <x:c r="K1136" s="4" t="str">
        <x:f>IFERROR(INDEX('Crafting recipes'!$C$6:$C$1005,MATCH(J1136,'Crafting recipes'!$A$6:$A$1005,0)),"MISSING ID")</x:f>
        <x:v>Finished-item crafting</x:v>
      </x:c>
      <x:c r="L1136" s="4" t="str">
        <x:f>IFERROR(INDEX('Material routes'!$K$6:$K$2205,MATCH(U1136,'Material routes'!$A$6:$A$2205,0)),"MISSING ID")</x:f>
        <x:v>Proposal</x:v>
      </x:c>
      <x:c r="M1136" s="4" t="str">
        <x:f>IFERROR(INDEX('Material routes'!$M$6:$M$2205,MATCH(U1136,'Material routes'!$A$6:$A$2205,0)),"MISSING ID")</x:f>
        <x:v>Partial proposal</x:v>
      </x:c>
      <x:c r="N1136" s="4"/>
      <x:c r="O1136" s="4" t="str">
        <x:f>IFERROR(INDEX('Material routes'!$J$6:$J$2205,MATCH(U1136,'Material routes'!$A$6:$A$2205,0)),"MISSING ID")</x:f>
        <x:v>Unspecified</x:v>
      </x:c>
      <x:c r="P1136" s="4"/>
      <x:c r="Q1136" s="4" t="str">
        <x:f>IFERROR(INDEX('Material routes'!$J$6:$J$2205,MATCH(V1136,'Material routes'!$A$6:$A$2205,0)),"MISSING ID")</x:f>
        <x:v>Unspecified</x:v>
      </x:c>
      <x:c r="R1136" s="4" t="str">
        <x:f>IF(L1136="Withheld","Withheld premise",IF(E1136="Tool candidate","Reusable prerequisite",IF(K1136="Raw entry preparation","Entry-resource preparation",IF(G1136="Not applicable",IF(IFERROR(INDEX('Items'!$AI$6:$AI$1005,MATCH(T1136,'Items'!$A$6:$A$1005,0)),"MISSING ID")="Finished item","Finished endpoint",IF(IFERROR(INDEX('Items'!$AI$6:$AI$1005,MATCH(T1136,'Items'!$A$6:$A$1005,0)),"MISSING ID")="Currency","Currency / no refinement tier","Recovered output / tier not applicable")),IF(OR(IFERROR(INDEX('Crafting recipes'!$H$6:$H$1005,MATCH(J1136,'Crafting recipes'!$A$6:$A$1005,0)),"MISSING ID")="Unassigned",G1136="Unassigned"),"Tier unresolved",IF(IFERROR(VALUE(RIGHT(G1136,1))-VALUE(RIGHT(IFERROR(INDEX('Crafting recipes'!$H$6:$H$1005,MATCH(J1136,'Crafting recipes'!$A$6:$A$1005,0)),"MISSING ID"),1)),0)=1,IF(B1136=IFERROR(INDEX('Crafting recipes'!$H$6:$H$1005,MATCH(J1136,'Crafting recipes'!$A$6:$A$1005,0)),"MISSING ID"),"Advances one material tier","Lower-tier ingredient; route advances one tier"),"Needs tier review"))))))</x:f>
        <x:v>Finished endpoint</x:v>
      </x:c>
      <x:c r="S1136" s="4" t="str">
        <x:f>IFERROR(INDEX('Material routes'!$D$6:$D$2205,MATCH(U1136,'Material routes'!$A$6:$A$2205,0)),"MISSING ID")</x:f>
        <x:v>proposal.t1.pigment_powder</x:v>
      </x:c>
      <x:c r="T1136" s="4" t="str">
        <x:f>IFERROR(INDEX('Material routes'!$D$6:$D$2205,MATCH(V1136,'Material routes'!$A$6:$A$2205,0)),"MISSING ID")</x:f>
        <x:v>proposal.ceramic.mortar</x:v>
      </x:c>
      <x:c r="U1136" s="4" t="str">
        <x:v>design.audit.proposal_ceramic_mortar.audit.in.2</x:v>
      </x:c>
      <x:c r="V1136" s="4" t="str">
        <x:v>design.audit.proposal_ceramic_mortar.audit.out</x:v>
      </x:c>
    </x:row>
    <x:row r="1137" ht="64" customHeight="1">
      <x:c r="A1137" s="4" t="str">
        <x:f>IFERROR(INDEX('Material routes'!$E$6:$E$2205,MATCH(U1137,'Material routes'!$A$6:$A$2205,0)),"MISSING ID")</x:f>
        <x:v>Prepared ceramic body feed</x:v>
      </x:c>
      <x:c r="B1137" s="4" t="str">
        <x:f>IFERROR(INDEX('Material routes'!$F$6:$F$2205,MATCH(U1137,'Material routes'!$A$6:$A$2205,0)),"MISSING ID")</x:f>
        <x:v>T1</x:v>
      </x:c>
      <x:c r="C1137" s="4" t="str">
        <x:f>IFERROR(INDEX('Material routes'!$H$6:$H$2205,MATCH(U1137,'Material routes'!$A$6:$A$2205,0)),"MISSING ID")</x:f>
        <x:v>Processed material</x:v>
      </x:c>
      <x:c r="D1137" s="4" t="str">
        <x:f>IFERROR(INDEX('Material routes'!$G$6:$G$2205,MATCH(U1137,'Material routes'!$A$6:$A$2205,0)),"MISSING ID")</x:f>
        <x:v>Manufactured stock</x:v>
      </x:c>
      <x:c r="E1137" s="4" t="str">
        <x:f>IFERROR(INDEX('Material routes'!$C$6:$C$2205,MATCH(U1137,'Material routes'!$A$6:$A$2205,0)),"MISSING ID")</x:f>
        <x:v>Ingredient candidate</x:v>
      </x:c>
      <x:c r="F1137" s="4" t="str">
        <x:f>IFERROR(INDEX('Material routes'!$E$6:$E$2205,MATCH(V1137,'Material routes'!$A$6:$A$2205,0)),"MISSING ID")</x:f>
        <x:v>Ceramic pestle</x:v>
      </x:c>
      <x:c r="G1137" s="4" t="str">
        <x:f>IFERROR(INDEX('Material routes'!$F$6:$F$2205,MATCH(V1137,'Material routes'!$A$6:$A$2205,0)),"MISSING ID")</x:f>
        <x:v>Not applicable</x:v>
      </x:c>
      <x:c r="H1137" s="4" t="str">
        <x:f>IFERROR(INDEX('Material routes'!$H$6:$H$2205,MATCH(V1137,'Material routes'!$A$6:$A$2205,0)),"MISSING ID")</x:f>
        <x:v>Tool</x:v>
      </x:c>
      <x:c r="I1137" s="4" t="str">
        <x:f>IFERROR(INDEX('Material routes'!$G$6:$G$2205,MATCH(V1137,'Material routes'!$A$6:$A$2205,0)),"MISSING ID")</x:f>
        <x:v>Salvage</x:v>
      </x:c>
      <x:c r="J1137" s="4" t="str">
        <x:f>IFERROR(INDEX('Material routes'!$B$6:$B$2205,MATCH(U1137,'Material routes'!$A$6:$A$2205,0)),"MISSING ID")</x:f>
        <x:v>design.audit.proposal_ceramic_pestle</x:v>
      </x:c>
      <x:c r="K1137" s="4" t="str">
        <x:f>IFERROR(INDEX('Crafting recipes'!$C$6:$C$1005,MATCH(J1137,'Crafting recipes'!$A$6:$A$1005,0)),"MISSING ID")</x:f>
        <x:v>Finished-item crafting</x:v>
      </x:c>
      <x:c r="L1137" s="4" t="str">
        <x:f>IFERROR(INDEX('Material routes'!$K$6:$K$2205,MATCH(U1137,'Material routes'!$A$6:$A$2205,0)),"MISSING ID")</x:f>
        <x:v>Proposal</x:v>
      </x:c>
      <x:c r="M1137" s="4" t="str">
        <x:f>IFERROR(INDEX('Material routes'!$M$6:$M$2205,MATCH(U1137,'Material routes'!$A$6:$A$2205,0)),"MISSING ID")</x:f>
        <x:v>Partial proposal</x:v>
      </x:c>
      <x:c r="N1137" s="4"/>
      <x:c r="O1137" s="4" t="str">
        <x:f>IFERROR(INDEX('Material routes'!$J$6:$J$2205,MATCH(U1137,'Material routes'!$A$6:$A$2205,0)),"MISSING ID")</x:f>
        <x:v>Unspecified</x:v>
      </x:c>
      <x:c r="P1137" s="4"/>
      <x:c r="Q1137" s="4" t="str">
        <x:f>IFERROR(INDEX('Material routes'!$J$6:$J$2205,MATCH(V1137,'Material routes'!$A$6:$A$2205,0)),"MISSING ID")</x:f>
        <x:v>Unspecified</x:v>
      </x:c>
      <x:c r="R1137" s="4" t="str">
        <x:f>IF(L1137="Withheld","Withheld premise",IF(E1137="Tool candidate","Reusable prerequisite",IF(K1137="Raw entry preparation","Entry-resource preparation",IF(G1137="Not applicable",IF(IFERROR(INDEX('Items'!$AI$6:$AI$1005,MATCH(T1137,'Items'!$A$6:$A$1005,0)),"MISSING ID")="Finished item","Finished endpoint",IF(IFERROR(INDEX('Items'!$AI$6:$AI$1005,MATCH(T1137,'Items'!$A$6:$A$1005,0)),"MISSING ID")="Currency","Currency / no refinement tier","Recovered output / tier not applicable")),IF(OR(IFERROR(INDEX('Crafting recipes'!$H$6:$H$1005,MATCH(J1137,'Crafting recipes'!$A$6:$A$1005,0)),"MISSING ID")="Unassigned",G1137="Unassigned"),"Tier unresolved",IF(IFERROR(VALUE(RIGHT(G1137,1))-VALUE(RIGHT(IFERROR(INDEX('Crafting recipes'!$H$6:$H$1005,MATCH(J1137,'Crafting recipes'!$A$6:$A$1005,0)),"MISSING ID"),1)),0)=1,IF(B1137=IFERROR(INDEX('Crafting recipes'!$H$6:$H$1005,MATCH(J1137,'Crafting recipes'!$A$6:$A$1005,0)),"MISSING ID"),"Advances one material tier","Lower-tier ingredient; route advances one tier"),"Needs tier review"))))))</x:f>
        <x:v>Finished endpoint</x:v>
      </x:c>
      <x:c r="S1137" s="4" t="str">
        <x:f>IFERROR(INDEX('Material routes'!$D$6:$D$2205,MATCH(U1137,'Material routes'!$A$6:$A$2205,0)),"MISSING ID")</x:f>
        <x:v>proposal.ceramic.body_feed</x:v>
      </x:c>
      <x:c r="T1137" s="4" t="str">
        <x:f>IFERROR(INDEX('Material routes'!$D$6:$D$2205,MATCH(V1137,'Material routes'!$A$6:$A$2205,0)),"MISSING ID")</x:f>
        <x:v>proposal.ceramic.pestle</x:v>
      </x:c>
      <x:c r="U1137" s="4" t="str">
        <x:v>design.audit.proposal_ceramic_pestle.audit.in.1</x:v>
      </x:c>
      <x:c r="V1137" s="4" t="str">
        <x:v>design.audit.proposal_ceramic_pestle.audit.out</x:v>
      </x:c>
    </x:row>
    <x:row r="1138" ht="64" customHeight="1">
      <x:c r="A1138" s="4" t="str">
        <x:f>IFERROR(INDEX('Material routes'!$E$6:$E$2205,MATCH(U1138,'Material routes'!$A$6:$A$2205,0)),"MISSING ID")</x:f>
        <x:v>Prepared mineral pigment powder</x:v>
      </x:c>
      <x:c r="B1138" s="4" t="str">
        <x:f>IFERROR(INDEX('Material routes'!$F$6:$F$2205,MATCH(U1138,'Material routes'!$A$6:$A$2205,0)),"MISSING ID")</x:f>
        <x:v>T1</x:v>
      </x:c>
      <x:c r="C1138" s="4" t="str">
        <x:f>IFERROR(INDEX('Material routes'!$H$6:$H$2205,MATCH(U1138,'Material routes'!$A$6:$A$2205,0)),"MISSING ID")</x:f>
        <x:v>Processed material</x:v>
      </x:c>
      <x:c r="D1138" s="4" t="str">
        <x:f>IFERROR(INDEX('Material routes'!$G$6:$G$2205,MATCH(U1138,'Material routes'!$A$6:$A$2205,0)),"MISSING ID")</x:f>
        <x:v>Manufactured stock</x:v>
      </x:c>
      <x:c r="E1138" s="4" t="str">
        <x:f>IFERROR(INDEX('Material routes'!$C$6:$C$2205,MATCH(U1138,'Material routes'!$A$6:$A$2205,0)),"MISSING ID")</x:f>
        <x:v>Ingredient candidate</x:v>
      </x:c>
      <x:c r="F1138" s="4" t="str">
        <x:f>IFERROR(INDEX('Material routes'!$E$6:$E$2205,MATCH(V1138,'Material routes'!$A$6:$A$2205,0)),"MISSING ID")</x:f>
        <x:v>Ceramic pestle</x:v>
      </x:c>
      <x:c r="G1138" s="4" t="str">
        <x:f>IFERROR(INDEX('Material routes'!$F$6:$F$2205,MATCH(V1138,'Material routes'!$A$6:$A$2205,0)),"MISSING ID")</x:f>
        <x:v>Not applicable</x:v>
      </x:c>
      <x:c r="H1138" s="4" t="str">
        <x:f>IFERROR(INDEX('Material routes'!$H$6:$H$2205,MATCH(V1138,'Material routes'!$A$6:$A$2205,0)),"MISSING ID")</x:f>
        <x:v>Tool</x:v>
      </x:c>
      <x:c r="I1138" s="4" t="str">
        <x:f>IFERROR(INDEX('Material routes'!$G$6:$G$2205,MATCH(V1138,'Material routes'!$A$6:$A$2205,0)),"MISSING ID")</x:f>
        <x:v>Salvage</x:v>
      </x:c>
      <x:c r="J1138" s="4" t="str">
        <x:f>IFERROR(INDEX('Material routes'!$B$6:$B$2205,MATCH(U1138,'Material routes'!$A$6:$A$2205,0)),"MISSING ID")</x:f>
        <x:v>design.audit.proposal_ceramic_pestle</x:v>
      </x:c>
      <x:c r="K1138" s="4" t="str">
        <x:f>IFERROR(INDEX('Crafting recipes'!$C$6:$C$1005,MATCH(J1138,'Crafting recipes'!$A$6:$A$1005,0)),"MISSING ID")</x:f>
        <x:v>Finished-item crafting</x:v>
      </x:c>
      <x:c r="L1138" s="4" t="str">
        <x:f>IFERROR(INDEX('Material routes'!$K$6:$K$2205,MATCH(U1138,'Material routes'!$A$6:$A$2205,0)),"MISSING ID")</x:f>
        <x:v>Proposal</x:v>
      </x:c>
      <x:c r="M1138" s="4" t="str">
        <x:f>IFERROR(INDEX('Material routes'!$M$6:$M$2205,MATCH(U1138,'Material routes'!$A$6:$A$2205,0)),"MISSING ID")</x:f>
        <x:v>Partial proposal</x:v>
      </x:c>
      <x:c r="N1138" s="4"/>
      <x:c r="O1138" s="4" t="str">
        <x:f>IFERROR(INDEX('Material routes'!$J$6:$J$2205,MATCH(U1138,'Material routes'!$A$6:$A$2205,0)),"MISSING ID")</x:f>
        <x:v>Unspecified</x:v>
      </x:c>
      <x:c r="P1138" s="4"/>
      <x:c r="Q1138" s="4" t="str">
        <x:f>IFERROR(INDEX('Material routes'!$J$6:$J$2205,MATCH(V1138,'Material routes'!$A$6:$A$2205,0)),"MISSING ID")</x:f>
        <x:v>Unspecified</x:v>
      </x:c>
      <x:c r="R1138" s="4" t="str">
        <x:f>IF(L1138="Withheld","Withheld premise",IF(E1138="Tool candidate","Reusable prerequisite",IF(K1138="Raw entry preparation","Entry-resource preparation",IF(G1138="Not applicable",IF(IFERROR(INDEX('Items'!$AI$6:$AI$1005,MATCH(T1138,'Items'!$A$6:$A$1005,0)),"MISSING ID")="Finished item","Finished endpoint",IF(IFERROR(INDEX('Items'!$AI$6:$AI$1005,MATCH(T1138,'Items'!$A$6:$A$1005,0)),"MISSING ID")="Currency","Currency / no refinement tier","Recovered output / tier not applicable")),IF(OR(IFERROR(INDEX('Crafting recipes'!$H$6:$H$1005,MATCH(J1138,'Crafting recipes'!$A$6:$A$1005,0)),"MISSING ID")="Unassigned",G1138="Unassigned"),"Tier unresolved",IF(IFERROR(VALUE(RIGHT(G1138,1))-VALUE(RIGHT(IFERROR(INDEX('Crafting recipes'!$H$6:$H$1005,MATCH(J1138,'Crafting recipes'!$A$6:$A$1005,0)),"MISSING ID"),1)),0)=1,IF(B1138=IFERROR(INDEX('Crafting recipes'!$H$6:$H$1005,MATCH(J1138,'Crafting recipes'!$A$6:$A$1005,0)),"MISSING ID"),"Advances one material tier","Lower-tier ingredient; route advances one tier"),"Needs tier review"))))))</x:f>
        <x:v>Finished endpoint</x:v>
      </x:c>
      <x:c r="S1138" s="4" t="str">
        <x:f>IFERROR(INDEX('Material routes'!$D$6:$D$2205,MATCH(U1138,'Material routes'!$A$6:$A$2205,0)),"MISSING ID")</x:f>
        <x:v>proposal.t1.pigment_powder</x:v>
      </x:c>
      <x:c r="T1138" s="4" t="str">
        <x:f>IFERROR(INDEX('Material routes'!$D$6:$D$2205,MATCH(V1138,'Material routes'!$A$6:$A$2205,0)),"MISSING ID")</x:f>
        <x:v>proposal.ceramic.pestle</x:v>
      </x:c>
      <x:c r="U1138" s="4" t="str">
        <x:v>design.audit.proposal_ceramic_pestle.audit.in.2</x:v>
      </x:c>
      <x:c r="V1138" s="4" t="str">
        <x:v>design.audit.proposal_ceramic_pestle.audit.out</x:v>
      </x:c>
    </x:row>
    <x:row r="1139" ht="64" customHeight="1">
      <x:c r="A1139" s="4" t="str">
        <x:f>IFERROR(INDEX('Material routes'!$E$6:$E$2205,MATCH(U1139,'Material routes'!$A$6:$A$2205,0)),"MISSING ID")</x:f>
        <x:v>Prepared ceramic body feed</x:v>
      </x:c>
      <x:c r="B1139" s="4" t="str">
        <x:f>IFERROR(INDEX('Material routes'!$F$6:$F$2205,MATCH(U1139,'Material routes'!$A$6:$A$2205,0)),"MISSING ID")</x:f>
        <x:v>T1</x:v>
      </x:c>
      <x:c r="C1139" s="4" t="str">
        <x:f>IFERROR(INDEX('Material routes'!$H$6:$H$2205,MATCH(U1139,'Material routes'!$A$6:$A$2205,0)),"MISSING ID")</x:f>
        <x:v>Processed material</x:v>
      </x:c>
      <x:c r="D1139" s="4" t="str">
        <x:f>IFERROR(INDEX('Material routes'!$G$6:$G$2205,MATCH(U1139,'Material routes'!$A$6:$A$2205,0)),"MISSING ID")</x:f>
        <x:v>Manufactured stock</x:v>
      </x:c>
      <x:c r="E1139" s="4" t="str">
        <x:f>IFERROR(INDEX('Material routes'!$C$6:$C$2205,MATCH(U1139,'Material routes'!$A$6:$A$2205,0)),"MISSING ID")</x:f>
        <x:v>Ingredient candidate</x:v>
      </x:c>
      <x:c r="F1139" s="4" t="str">
        <x:f>IFERROR(INDEX('Material routes'!$E$6:$E$2205,MATCH(V1139,'Material routes'!$A$6:$A$2205,0)),"MISSING ID")</x:f>
        <x:v>Ceramic firing tray</x:v>
      </x:c>
      <x:c r="G1139" s="4" t="str">
        <x:f>IFERROR(INDEX('Material routes'!$F$6:$F$2205,MATCH(V1139,'Material routes'!$A$6:$A$2205,0)),"MISSING ID")</x:f>
        <x:v>Not applicable</x:v>
      </x:c>
      <x:c r="H1139" s="4" t="str">
        <x:f>IFERROR(INDEX('Material routes'!$H$6:$H$2205,MATCH(V1139,'Material routes'!$A$6:$A$2205,0)),"MISSING ID")</x:f>
        <x:v>Tool</x:v>
      </x:c>
      <x:c r="I1139" s="4" t="str">
        <x:f>IFERROR(INDEX('Material routes'!$G$6:$G$2205,MATCH(V1139,'Material routes'!$A$6:$A$2205,0)),"MISSING ID")</x:f>
        <x:v>Salvage</x:v>
      </x:c>
      <x:c r="J1139" s="4" t="str">
        <x:f>IFERROR(INDEX('Material routes'!$B$6:$B$2205,MATCH(U1139,'Material routes'!$A$6:$A$2205,0)),"MISSING ID")</x:f>
        <x:v>design.audit.proposal_ceramic_firing_tray</x:v>
      </x:c>
      <x:c r="K1139" s="4" t="str">
        <x:f>IFERROR(INDEX('Crafting recipes'!$C$6:$C$1005,MATCH(J1139,'Crafting recipes'!$A$6:$A$1005,0)),"MISSING ID")</x:f>
        <x:v>Finished-item crafting</x:v>
      </x:c>
      <x:c r="L1139" s="4" t="str">
        <x:f>IFERROR(INDEX('Material routes'!$K$6:$K$2205,MATCH(U1139,'Material routes'!$A$6:$A$2205,0)),"MISSING ID")</x:f>
        <x:v>Proposal</x:v>
      </x:c>
      <x:c r="M1139" s="4" t="str">
        <x:f>IFERROR(INDEX('Material routes'!$M$6:$M$2205,MATCH(U1139,'Material routes'!$A$6:$A$2205,0)),"MISSING ID")</x:f>
        <x:v>Partial proposal</x:v>
      </x:c>
      <x:c r="N1139" s="4"/>
      <x:c r="O1139" s="4" t="str">
        <x:f>IFERROR(INDEX('Material routes'!$J$6:$J$2205,MATCH(U1139,'Material routes'!$A$6:$A$2205,0)),"MISSING ID")</x:f>
        <x:v>Unspecified</x:v>
      </x:c>
      <x:c r="P1139" s="4"/>
      <x:c r="Q1139" s="4" t="str">
        <x:f>IFERROR(INDEX('Material routes'!$J$6:$J$2205,MATCH(V1139,'Material routes'!$A$6:$A$2205,0)),"MISSING ID")</x:f>
        <x:v>Unspecified</x:v>
      </x:c>
      <x:c r="R1139" s="4" t="str">
        <x:f>IF(L1139="Withheld","Withheld premise",IF(E1139="Tool candidate","Reusable prerequisite",IF(K1139="Raw entry preparation","Entry-resource preparation",IF(G1139="Not applicable",IF(IFERROR(INDEX('Items'!$AI$6:$AI$1005,MATCH(T1139,'Items'!$A$6:$A$1005,0)),"MISSING ID")="Finished item","Finished endpoint",IF(IFERROR(INDEX('Items'!$AI$6:$AI$1005,MATCH(T1139,'Items'!$A$6:$A$1005,0)),"MISSING ID")="Currency","Currency / no refinement tier","Recovered output / tier not applicable")),IF(OR(IFERROR(INDEX('Crafting recipes'!$H$6:$H$1005,MATCH(J1139,'Crafting recipes'!$A$6:$A$1005,0)),"MISSING ID")="Unassigned",G1139="Unassigned"),"Tier unresolved",IF(IFERROR(VALUE(RIGHT(G1139,1))-VALUE(RIGHT(IFERROR(INDEX('Crafting recipes'!$H$6:$H$1005,MATCH(J1139,'Crafting recipes'!$A$6:$A$1005,0)),"MISSING ID"),1)),0)=1,IF(B1139=IFERROR(INDEX('Crafting recipes'!$H$6:$H$1005,MATCH(J1139,'Crafting recipes'!$A$6:$A$1005,0)),"MISSING ID"),"Advances one material tier","Lower-tier ingredient; route advances one tier"),"Needs tier review"))))))</x:f>
        <x:v>Finished endpoint</x:v>
      </x:c>
      <x:c r="S1139" s="4" t="str">
        <x:f>IFERROR(INDEX('Material routes'!$D$6:$D$2205,MATCH(U1139,'Material routes'!$A$6:$A$2205,0)),"MISSING ID")</x:f>
        <x:v>proposal.ceramic.body_feed</x:v>
      </x:c>
      <x:c r="T1139" s="4" t="str">
        <x:f>IFERROR(INDEX('Material routes'!$D$6:$D$2205,MATCH(V1139,'Material routes'!$A$6:$A$2205,0)),"MISSING ID")</x:f>
        <x:v>proposal.ceramic.firing_tray</x:v>
      </x:c>
      <x:c r="U1139" s="4" t="str">
        <x:v>design.audit.proposal_ceramic_firing_tray.audit.in.1</x:v>
      </x:c>
      <x:c r="V1139" s="4" t="str">
        <x:v>design.audit.proposal_ceramic_firing_tray.audit.out</x:v>
      </x:c>
    </x:row>
    <x:row r="1140" ht="64" customHeight="1">
      <x:c r="A1140" s="4" t="str">
        <x:f>IFERROR(INDEX('Material routes'!$E$6:$E$2205,MATCH(U1140,'Material routes'!$A$6:$A$2205,0)),"MISSING ID")</x:f>
        <x:v>Prepared mineral pigment powder</x:v>
      </x:c>
      <x:c r="B1140" s="4" t="str">
        <x:f>IFERROR(INDEX('Material routes'!$F$6:$F$2205,MATCH(U1140,'Material routes'!$A$6:$A$2205,0)),"MISSING ID")</x:f>
        <x:v>T1</x:v>
      </x:c>
      <x:c r="C1140" s="4" t="str">
        <x:f>IFERROR(INDEX('Material routes'!$H$6:$H$2205,MATCH(U1140,'Material routes'!$A$6:$A$2205,0)),"MISSING ID")</x:f>
        <x:v>Processed material</x:v>
      </x:c>
      <x:c r="D1140" s="4" t="str">
        <x:f>IFERROR(INDEX('Material routes'!$G$6:$G$2205,MATCH(U1140,'Material routes'!$A$6:$A$2205,0)),"MISSING ID")</x:f>
        <x:v>Manufactured stock</x:v>
      </x:c>
      <x:c r="E1140" s="4" t="str">
        <x:f>IFERROR(INDEX('Material routes'!$C$6:$C$2205,MATCH(U1140,'Material routes'!$A$6:$A$2205,0)),"MISSING ID")</x:f>
        <x:v>Ingredient candidate</x:v>
      </x:c>
      <x:c r="F1140" s="4" t="str">
        <x:f>IFERROR(INDEX('Material routes'!$E$6:$E$2205,MATCH(V1140,'Material routes'!$A$6:$A$2205,0)),"MISSING ID")</x:f>
        <x:v>Ceramic firing tray</x:v>
      </x:c>
      <x:c r="G1140" s="4" t="str">
        <x:f>IFERROR(INDEX('Material routes'!$F$6:$F$2205,MATCH(V1140,'Material routes'!$A$6:$A$2205,0)),"MISSING ID")</x:f>
        <x:v>Not applicable</x:v>
      </x:c>
      <x:c r="H1140" s="4" t="str">
        <x:f>IFERROR(INDEX('Material routes'!$H$6:$H$2205,MATCH(V1140,'Material routes'!$A$6:$A$2205,0)),"MISSING ID")</x:f>
        <x:v>Tool</x:v>
      </x:c>
      <x:c r="I1140" s="4" t="str">
        <x:f>IFERROR(INDEX('Material routes'!$G$6:$G$2205,MATCH(V1140,'Material routes'!$A$6:$A$2205,0)),"MISSING ID")</x:f>
        <x:v>Salvage</x:v>
      </x:c>
      <x:c r="J1140" s="4" t="str">
        <x:f>IFERROR(INDEX('Material routes'!$B$6:$B$2205,MATCH(U1140,'Material routes'!$A$6:$A$2205,0)),"MISSING ID")</x:f>
        <x:v>design.audit.proposal_ceramic_firing_tray</x:v>
      </x:c>
      <x:c r="K1140" s="4" t="str">
        <x:f>IFERROR(INDEX('Crafting recipes'!$C$6:$C$1005,MATCH(J1140,'Crafting recipes'!$A$6:$A$1005,0)),"MISSING ID")</x:f>
        <x:v>Finished-item crafting</x:v>
      </x:c>
      <x:c r="L1140" s="4" t="str">
        <x:f>IFERROR(INDEX('Material routes'!$K$6:$K$2205,MATCH(U1140,'Material routes'!$A$6:$A$2205,0)),"MISSING ID")</x:f>
        <x:v>Proposal</x:v>
      </x:c>
      <x:c r="M1140" s="4" t="str">
        <x:f>IFERROR(INDEX('Material routes'!$M$6:$M$2205,MATCH(U1140,'Material routes'!$A$6:$A$2205,0)),"MISSING ID")</x:f>
        <x:v>Partial proposal</x:v>
      </x:c>
      <x:c r="N1140" s="4"/>
      <x:c r="O1140" s="4" t="str">
        <x:f>IFERROR(INDEX('Material routes'!$J$6:$J$2205,MATCH(U1140,'Material routes'!$A$6:$A$2205,0)),"MISSING ID")</x:f>
        <x:v>Unspecified</x:v>
      </x:c>
      <x:c r="P1140" s="4"/>
      <x:c r="Q1140" s="4" t="str">
        <x:f>IFERROR(INDEX('Material routes'!$J$6:$J$2205,MATCH(V1140,'Material routes'!$A$6:$A$2205,0)),"MISSING ID")</x:f>
        <x:v>Unspecified</x:v>
      </x:c>
      <x:c r="R1140" s="4" t="str">
        <x:f>IF(L1140="Withheld","Withheld premise",IF(E1140="Tool candidate","Reusable prerequisite",IF(K1140="Raw entry preparation","Entry-resource preparation",IF(G1140="Not applicable",IF(IFERROR(INDEX('Items'!$AI$6:$AI$1005,MATCH(T1140,'Items'!$A$6:$A$1005,0)),"MISSING ID")="Finished item","Finished endpoint",IF(IFERROR(INDEX('Items'!$AI$6:$AI$1005,MATCH(T1140,'Items'!$A$6:$A$1005,0)),"MISSING ID")="Currency","Currency / no refinement tier","Recovered output / tier not applicable")),IF(OR(IFERROR(INDEX('Crafting recipes'!$H$6:$H$1005,MATCH(J1140,'Crafting recipes'!$A$6:$A$1005,0)),"MISSING ID")="Unassigned",G1140="Unassigned"),"Tier unresolved",IF(IFERROR(VALUE(RIGHT(G1140,1))-VALUE(RIGHT(IFERROR(INDEX('Crafting recipes'!$H$6:$H$1005,MATCH(J1140,'Crafting recipes'!$A$6:$A$1005,0)),"MISSING ID"),1)),0)=1,IF(B1140=IFERROR(INDEX('Crafting recipes'!$H$6:$H$1005,MATCH(J1140,'Crafting recipes'!$A$6:$A$1005,0)),"MISSING ID"),"Advances one material tier","Lower-tier ingredient; route advances one tier"),"Needs tier review"))))))</x:f>
        <x:v>Finished endpoint</x:v>
      </x:c>
      <x:c r="S1140" s="4" t="str">
        <x:f>IFERROR(INDEX('Material routes'!$D$6:$D$2205,MATCH(U1140,'Material routes'!$A$6:$A$2205,0)),"MISSING ID")</x:f>
        <x:v>proposal.t1.pigment_powder</x:v>
      </x:c>
      <x:c r="T1140" s="4" t="str">
        <x:f>IFERROR(INDEX('Material routes'!$D$6:$D$2205,MATCH(V1140,'Material routes'!$A$6:$A$2205,0)),"MISSING ID")</x:f>
        <x:v>proposal.ceramic.firing_tray</x:v>
      </x:c>
      <x:c r="U1140" s="4" t="str">
        <x:v>design.audit.proposal_ceramic_firing_tray.audit.in.2</x:v>
      </x:c>
      <x:c r="V1140" s="4" t="str">
        <x:v>design.audit.proposal_ceramic_firing_tray.audit.out</x:v>
      </x:c>
    </x:row>
    <x:row r="1141" ht="64" customHeight="1">
      <x:c r="A1141" s="4" t="str">
        <x:f>IFERROR(INDEX('Material routes'!$E$6:$E$2205,MATCH(U1141,'Material routes'!$A$6:$A$2205,0)),"MISSING ID")</x:f>
        <x:v>Prepared ceramic body feed</x:v>
      </x:c>
      <x:c r="B1141" s="4" t="str">
        <x:f>IFERROR(INDEX('Material routes'!$F$6:$F$2205,MATCH(U1141,'Material routes'!$A$6:$A$2205,0)),"MISSING ID")</x:f>
        <x:v>T1</x:v>
      </x:c>
      <x:c r="C1141" s="4" t="str">
        <x:f>IFERROR(INDEX('Material routes'!$H$6:$H$2205,MATCH(U1141,'Material routes'!$A$6:$A$2205,0)),"MISSING ID")</x:f>
        <x:v>Processed material</x:v>
      </x:c>
      <x:c r="D1141" s="4" t="str">
        <x:f>IFERROR(INDEX('Material routes'!$G$6:$G$2205,MATCH(U1141,'Material routes'!$A$6:$A$2205,0)),"MISSING ID")</x:f>
        <x:v>Manufactured stock</x:v>
      </x:c>
      <x:c r="E1141" s="4" t="str">
        <x:f>IFERROR(INDEX('Material routes'!$C$6:$C$2205,MATCH(U1141,'Material routes'!$A$6:$A$2205,0)),"MISSING ID")</x:f>
        <x:v>Ingredient candidate</x:v>
      </x:c>
      <x:c r="F1141" s="4" t="str">
        <x:f>IFERROR(INDEX('Material routes'!$E$6:$E$2205,MATCH(V1141,'Material routes'!$A$6:$A$2205,0)),"MISSING ID")</x:f>
        <x:v>Ceramic votive plaque</x:v>
      </x:c>
      <x:c r="G1141" s="4" t="str">
        <x:f>IFERROR(INDEX('Material routes'!$F$6:$F$2205,MATCH(V1141,'Material routes'!$A$6:$A$2205,0)),"MISSING ID")</x:f>
        <x:v>Not applicable</x:v>
      </x:c>
      <x:c r="H1141" s="4" t="str">
        <x:f>IFERROR(INDEX('Material routes'!$H$6:$H$2205,MATCH(V1141,'Material routes'!$A$6:$A$2205,0)),"MISSING ID")</x:f>
        <x:v>Cultural object</x:v>
      </x:c>
      <x:c r="I1141" s="4" t="str">
        <x:f>IFERROR(INDEX('Material routes'!$G$6:$G$2205,MATCH(V1141,'Material routes'!$A$6:$A$2205,0)),"MISSING ID")</x:f>
        <x:v>Salvage</x:v>
      </x:c>
      <x:c r="J1141" s="4" t="str">
        <x:f>IFERROR(INDEX('Material routes'!$B$6:$B$2205,MATCH(U1141,'Material routes'!$A$6:$A$2205,0)),"MISSING ID")</x:f>
        <x:v>design.audit.proposal_ceramic_votive_plaque</x:v>
      </x:c>
      <x:c r="K1141" s="4" t="str">
        <x:f>IFERROR(INDEX('Crafting recipes'!$C$6:$C$1005,MATCH(J1141,'Crafting recipes'!$A$6:$A$1005,0)),"MISSING ID")</x:f>
        <x:v>Finished-item crafting</x:v>
      </x:c>
      <x:c r="L1141" s="4" t="str">
        <x:f>IFERROR(INDEX('Material routes'!$K$6:$K$2205,MATCH(U1141,'Material routes'!$A$6:$A$2205,0)),"MISSING ID")</x:f>
        <x:v>Proposal</x:v>
      </x:c>
      <x:c r="M1141" s="4" t="str">
        <x:f>IFERROR(INDEX('Material routes'!$M$6:$M$2205,MATCH(U1141,'Material routes'!$A$6:$A$2205,0)),"MISSING ID")</x:f>
        <x:v>Partial proposal</x:v>
      </x:c>
      <x:c r="N1141" s="4"/>
      <x:c r="O1141" s="4" t="str">
        <x:f>IFERROR(INDEX('Material routes'!$J$6:$J$2205,MATCH(U1141,'Material routes'!$A$6:$A$2205,0)),"MISSING ID")</x:f>
        <x:v>Unspecified</x:v>
      </x:c>
      <x:c r="P1141" s="4"/>
      <x:c r="Q1141" s="4" t="str">
        <x:f>IFERROR(INDEX('Material routes'!$J$6:$J$2205,MATCH(V1141,'Material routes'!$A$6:$A$2205,0)),"MISSING ID")</x:f>
        <x:v>Unspecified</x:v>
      </x:c>
      <x:c r="R1141" s="4" t="str">
        <x:f>IF(L1141="Withheld","Withheld premise",IF(E1141="Tool candidate","Reusable prerequisite",IF(K1141="Raw entry preparation","Entry-resource preparation",IF(G1141="Not applicable",IF(IFERROR(INDEX('Items'!$AI$6:$AI$1005,MATCH(T1141,'Items'!$A$6:$A$1005,0)),"MISSING ID")="Finished item","Finished endpoint",IF(IFERROR(INDEX('Items'!$AI$6:$AI$1005,MATCH(T1141,'Items'!$A$6:$A$1005,0)),"MISSING ID")="Currency","Currency / no refinement tier","Recovered output / tier not applicable")),IF(OR(IFERROR(INDEX('Crafting recipes'!$H$6:$H$1005,MATCH(J1141,'Crafting recipes'!$A$6:$A$1005,0)),"MISSING ID")="Unassigned",G1141="Unassigned"),"Tier unresolved",IF(IFERROR(VALUE(RIGHT(G1141,1))-VALUE(RIGHT(IFERROR(INDEX('Crafting recipes'!$H$6:$H$1005,MATCH(J1141,'Crafting recipes'!$A$6:$A$1005,0)),"MISSING ID"),1)),0)=1,IF(B1141=IFERROR(INDEX('Crafting recipes'!$H$6:$H$1005,MATCH(J1141,'Crafting recipes'!$A$6:$A$1005,0)),"MISSING ID"),"Advances one material tier","Lower-tier ingredient; route advances one tier"),"Needs tier review"))))))</x:f>
        <x:v>Finished endpoint</x:v>
      </x:c>
      <x:c r="S1141" s="4" t="str">
        <x:f>IFERROR(INDEX('Material routes'!$D$6:$D$2205,MATCH(U1141,'Material routes'!$A$6:$A$2205,0)),"MISSING ID")</x:f>
        <x:v>proposal.ceramic.body_feed</x:v>
      </x:c>
      <x:c r="T1141" s="4" t="str">
        <x:f>IFERROR(INDEX('Material routes'!$D$6:$D$2205,MATCH(V1141,'Material routes'!$A$6:$A$2205,0)),"MISSING ID")</x:f>
        <x:v>proposal.ceramic.votive_plaque</x:v>
      </x:c>
      <x:c r="U1141" s="4" t="str">
        <x:v>design.audit.proposal_ceramic_votive_plaque.audit.in.1</x:v>
      </x:c>
      <x:c r="V1141" s="4" t="str">
        <x:v>design.audit.proposal_ceramic_votive_plaque.audit.out</x:v>
      </x:c>
    </x:row>
    <x:row r="1142" ht="64" customHeight="1">
      <x:c r="A1142" s="4" t="str">
        <x:f>IFERROR(INDEX('Material routes'!$E$6:$E$2205,MATCH(U1142,'Material routes'!$A$6:$A$2205,0)),"MISSING ID")</x:f>
        <x:v>Prepared mineral pigment powder</x:v>
      </x:c>
      <x:c r="B1142" s="4" t="str">
        <x:f>IFERROR(INDEX('Material routes'!$F$6:$F$2205,MATCH(U1142,'Material routes'!$A$6:$A$2205,0)),"MISSING ID")</x:f>
        <x:v>T1</x:v>
      </x:c>
      <x:c r="C1142" s="4" t="str">
        <x:f>IFERROR(INDEX('Material routes'!$H$6:$H$2205,MATCH(U1142,'Material routes'!$A$6:$A$2205,0)),"MISSING ID")</x:f>
        <x:v>Processed material</x:v>
      </x:c>
      <x:c r="D1142" s="4" t="str">
        <x:f>IFERROR(INDEX('Material routes'!$G$6:$G$2205,MATCH(U1142,'Material routes'!$A$6:$A$2205,0)),"MISSING ID")</x:f>
        <x:v>Manufactured stock</x:v>
      </x:c>
      <x:c r="E1142" s="4" t="str">
        <x:f>IFERROR(INDEX('Material routes'!$C$6:$C$2205,MATCH(U1142,'Material routes'!$A$6:$A$2205,0)),"MISSING ID")</x:f>
        <x:v>Ingredient candidate</x:v>
      </x:c>
      <x:c r="F1142" s="4" t="str">
        <x:f>IFERROR(INDEX('Material routes'!$E$6:$E$2205,MATCH(V1142,'Material routes'!$A$6:$A$2205,0)),"MISSING ID")</x:f>
        <x:v>Ceramic votive plaque</x:v>
      </x:c>
      <x:c r="G1142" s="4" t="str">
        <x:f>IFERROR(INDEX('Material routes'!$F$6:$F$2205,MATCH(V1142,'Material routes'!$A$6:$A$2205,0)),"MISSING ID")</x:f>
        <x:v>Not applicable</x:v>
      </x:c>
      <x:c r="H1142" s="4" t="str">
        <x:f>IFERROR(INDEX('Material routes'!$H$6:$H$2205,MATCH(V1142,'Material routes'!$A$6:$A$2205,0)),"MISSING ID")</x:f>
        <x:v>Cultural object</x:v>
      </x:c>
      <x:c r="I1142" s="4" t="str">
        <x:f>IFERROR(INDEX('Material routes'!$G$6:$G$2205,MATCH(V1142,'Material routes'!$A$6:$A$2205,0)),"MISSING ID")</x:f>
        <x:v>Salvage</x:v>
      </x:c>
      <x:c r="J1142" s="4" t="str">
        <x:f>IFERROR(INDEX('Material routes'!$B$6:$B$2205,MATCH(U1142,'Material routes'!$A$6:$A$2205,0)),"MISSING ID")</x:f>
        <x:v>design.audit.proposal_ceramic_votive_plaque</x:v>
      </x:c>
      <x:c r="K1142" s="4" t="str">
        <x:f>IFERROR(INDEX('Crafting recipes'!$C$6:$C$1005,MATCH(J1142,'Crafting recipes'!$A$6:$A$1005,0)),"MISSING ID")</x:f>
        <x:v>Finished-item crafting</x:v>
      </x:c>
      <x:c r="L1142" s="4" t="str">
        <x:f>IFERROR(INDEX('Material routes'!$K$6:$K$2205,MATCH(U1142,'Material routes'!$A$6:$A$2205,0)),"MISSING ID")</x:f>
        <x:v>Proposal</x:v>
      </x:c>
      <x:c r="M1142" s="4" t="str">
        <x:f>IFERROR(INDEX('Material routes'!$M$6:$M$2205,MATCH(U1142,'Material routes'!$A$6:$A$2205,0)),"MISSING ID")</x:f>
        <x:v>Partial proposal</x:v>
      </x:c>
      <x:c r="N1142" s="4"/>
      <x:c r="O1142" s="4" t="str">
        <x:f>IFERROR(INDEX('Material routes'!$J$6:$J$2205,MATCH(U1142,'Material routes'!$A$6:$A$2205,0)),"MISSING ID")</x:f>
        <x:v>Unspecified</x:v>
      </x:c>
      <x:c r="P1142" s="4"/>
      <x:c r="Q1142" s="4" t="str">
        <x:f>IFERROR(INDEX('Material routes'!$J$6:$J$2205,MATCH(V1142,'Material routes'!$A$6:$A$2205,0)),"MISSING ID")</x:f>
        <x:v>Unspecified</x:v>
      </x:c>
      <x:c r="R1142" s="4" t="str">
        <x:f>IF(L1142="Withheld","Withheld premise",IF(E1142="Tool candidate","Reusable prerequisite",IF(K1142="Raw entry preparation","Entry-resource preparation",IF(G1142="Not applicable",IF(IFERROR(INDEX('Items'!$AI$6:$AI$1005,MATCH(T1142,'Items'!$A$6:$A$1005,0)),"MISSING ID")="Finished item","Finished endpoint",IF(IFERROR(INDEX('Items'!$AI$6:$AI$1005,MATCH(T1142,'Items'!$A$6:$A$1005,0)),"MISSING ID")="Currency","Currency / no refinement tier","Recovered output / tier not applicable")),IF(OR(IFERROR(INDEX('Crafting recipes'!$H$6:$H$1005,MATCH(J1142,'Crafting recipes'!$A$6:$A$1005,0)),"MISSING ID")="Unassigned",G1142="Unassigned"),"Tier unresolved",IF(IFERROR(VALUE(RIGHT(G1142,1))-VALUE(RIGHT(IFERROR(INDEX('Crafting recipes'!$H$6:$H$1005,MATCH(J1142,'Crafting recipes'!$A$6:$A$1005,0)),"MISSING ID"),1)),0)=1,IF(B1142=IFERROR(INDEX('Crafting recipes'!$H$6:$H$1005,MATCH(J1142,'Crafting recipes'!$A$6:$A$1005,0)),"MISSING ID"),"Advances one material tier","Lower-tier ingredient; route advances one tier"),"Needs tier review"))))))</x:f>
        <x:v>Finished endpoint</x:v>
      </x:c>
      <x:c r="S1142" s="4" t="str">
        <x:f>IFERROR(INDEX('Material routes'!$D$6:$D$2205,MATCH(U1142,'Material routes'!$A$6:$A$2205,0)),"MISSING ID")</x:f>
        <x:v>proposal.t1.pigment_powder</x:v>
      </x:c>
      <x:c r="T1142" s="4" t="str">
        <x:f>IFERROR(INDEX('Material routes'!$D$6:$D$2205,MATCH(V1142,'Material routes'!$A$6:$A$2205,0)),"MISSING ID")</x:f>
        <x:v>proposal.ceramic.votive_plaque</x:v>
      </x:c>
      <x:c r="U1142" s="4" t="str">
        <x:v>design.audit.proposal_ceramic_votive_plaque.audit.in.2</x:v>
      </x:c>
      <x:c r="V1142" s="4" t="str">
        <x:v>design.audit.proposal_ceramic_votive_plaque.audit.out</x:v>
      </x:c>
    </x:row>
    <x:row r="1143" ht="64" customHeight="1">
      <x:c r="A1143" s="4" t="str">
        <x:f>IFERROR(INDEX('Material routes'!$E$6:$E$2205,MATCH(U1143,'Material routes'!$A$6:$A$2205,0)),"MISSING ID")</x:f>
        <x:v>Prepared ceramic body feed</x:v>
      </x:c>
      <x:c r="B1143" s="4" t="str">
        <x:f>IFERROR(INDEX('Material routes'!$F$6:$F$2205,MATCH(U1143,'Material routes'!$A$6:$A$2205,0)),"MISSING ID")</x:f>
        <x:v>T1</x:v>
      </x:c>
      <x:c r="C1143" s="4" t="str">
        <x:f>IFERROR(INDEX('Material routes'!$H$6:$H$2205,MATCH(U1143,'Material routes'!$A$6:$A$2205,0)),"MISSING ID")</x:f>
        <x:v>Processed material</x:v>
      </x:c>
      <x:c r="D1143" s="4" t="str">
        <x:f>IFERROR(INDEX('Material routes'!$G$6:$G$2205,MATCH(U1143,'Material routes'!$A$6:$A$2205,0)),"MISSING ID")</x:f>
        <x:v>Manufactured stock</x:v>
      </x:c>
      <x:c r="E1143" s="4" t="str">
        <x:f>IFERROR(INDEX('Material routes'!$C$6:$C$2205,MATCH(U1143,'Material routes'!$A$6:$A$2205,0)),"MISSING ID")</x:f>
        <x:v>Ingredient candidate</x:v>
      </x:c>
      <x:c r="F1143" s="4" t="str">
        <x:f>IFERROR(INDEX('Material routes'!$E$6:$E$2205,MATCH(V1143,'Material routes'!$A$6:$A$2205,0)),"MISSING ID")</x:f>
        <x:v>Ceramic commemorative figurine</x:v>
      </x:c>
      <x:c r="G1143" s="4" t="str">
        <x:f>IFERROR(INDEX('Material routes'!$F$6:$F$2205,MATCH(V1143,'Material routes'!$A$6:$A$2205,0)),"MISSING ID")</x:f>
        <x:v>Not applicable</x:v>
      </x:c>
      <x:c r="H1143" s="4" t="str">
        <x:f>IFERROR(INDEX('Material routes'!$H$6:$H$2205,MATCH(V1143,'Material routes'!$A$6:$A$2205,0)),"MISSING ID")</x:f>
        <x:v>Cultural object</x:v>
      </x:c>
      <x:c r="I1143" s="4" t="str">
        <x:f>IFERROR(INDEX('Material routes'!$G$6:$G$2205,MATCH(V1143,'Material routes'!$A$6:$A$2205,0)),"MISSING ID")</x:f>
        <x:v>Salvage</x:v>
      </x:c>
      <x:c r="J1143" s="4" t="str">
        <x:f>IFERROR(INDEX('Material routes'!$B$6:$B$2205,MATCH(U1143,'Material routes'!$A$6:$A$2205,0)),"MISSING ID")</x:f>
        <x:v>design.audit.proposal_ceramic_figurine</x:v>
      </x:c>
      <x:c r="K1143" s="4" t="str">
        <x:f>IFERROR(INDEX('Crafting recipes'!$C$6:$C$1005,MATCH(J1143,'Crafting recipes'!$A$6:$A$1005,0)),"MISSING ID")</x:f>
        <x:v>Finished-item crafting</x:v>
      </x:c>
      <x:c r="L1143" s="4" t="str">
        <x:f>IFERROR(INDEX('Material routes'!$K$6:$K$2205,MATCH(U1143,'Material routes'!$A$6:$A$2205,0)),"MISSING ID")</x:f>
        <x:v>Proposal</x:v>
      </x:c>
      <x:c r="M1143" s="4" t="str">
        <x:f>IFERROR(INDEX('Material routes'!$M$6:$M$2205,MATCH(U1143,'Material routes'!$A$6:$A$2205,0)),"MISSING ID")</x:f>
        <x:v>Partial proposal</x:v>
      </x:c>
      <x:c r="N1143" s="4"/>
      <x:c r="O1143" s="4" t="str">
        <x:f>IFERROR(INDEX('Material routes'!$J$6:$J$2205,MATCH(U1143,'Material routes'!$A$6:$A$2205,0)),"MISSING ID")</x:f>
        <x:v>Unspecified</x:v>
      </x:c>
      <x:c r="P1143" s="4"/>
      <x:c r="Q1143" s="4" t="str">
        <x:f>IFERROR(INDEX('Material routes'!$J$6:$J$2205,MATCH(V1143,'Material routes'!$A$6:$A$2205,0)),"MISSING ID")</x:f>
        <x:v>Unspecified</x:v>
      </x:c>
      <x:c r="R1143" s="4" t="str">
        <x:f>IF(L1143="Withheld","Withheld premise",IF(E1143="Tool candidate","Reusable prerequisite",IF(K1143="Raw entry preparation","Entry-resource preparation",IF(G1143="Not applicable",IF(IFERROR(INDEX('Items'!$AI$6:$AI$1005,MATCH(T1143,'Items'!$A$6:$A$1005,0)),"MISSING ID")="Finished item","Finished endpoint",IF(IFERROR(INDEX('Items'!$AI$6:$AI$1005,MATCH(T1143,'Items'!$A$6:$A$1005,0)),"MISSING ID")="Currency","Currency / no refinement tier","Recovered output / tier not applicable")),IF(OR(IFERROR(INDEX('Crafting recipes'!$H$6:$H$1005,MATCH(J1143,'Crafting recipes'!$A$6:$A$1005,0)),"MISSING ID")="Unassigned",G1143="Unassigned"),"Tier unresolved",IF(IFERROR(VALUE(RIGHT(G1143,1))-VALUE(RIGHT(IFERROR(INDEX('Crafting recipes'!$H$6:$H$1005,MATCH(J1143,'Crafting recipes'!$A$6:$A$1005,0)),"MISSING ID"),1)),0)=1,IF(B1143=IFERROR(INDEX('Crafting recipes'!$H$6:$H$1005,MATCH(J1143,'Crafting recipes'!$A$6:$A$1005,0)),"MISSING ID"),"Advances one material tier","Lower-tier ingredient; route advances one tier"),"Needs tier review"))))))</x:f>
        <x:v>Finished endpoint</x:v>
      </x:c>
      <x:c r="S1143" s="4" t="str">
        <x:f>IFERROR(INDEX('Material routes'!$D$6:$D$2205,MATCH(U1143,'Material routes'!$A$6:$A$2205,0)),"MISSING ID")</x:f>
        <x:v>proposal.ceramic.body_feed</x:v>
      </x:c>
      <x:c r="T1143" s="4" t="str">
        <x:f>IFERROR(INDEX('Material routes'!$D$6:$D$2205,MATCH(V1143,'Material routes'!$A$6:$A$2205,0)),"MISSING ID")</x:f>
        <x:v>proposal.ceramic.figurine</x:v>
      </x:c>
      <x:c r="U1143" s="4" t="str">
        <x:v>design.audit.proposal_ceramic_figurine.audit.in.1</x:v>
      </x:c>
      <x:c r="V1143" s="4" t="str">
        <x:v>design.audit.proposal_ceramic_figurine.audit.out</x:v>
      </x:c>
    </x:row>
    <x:row r="1144" ht="64" customHeight="1">
      <x:c r="A1144" s="4" t="str">
        <x:f>IFERROR(INDEX('Material routes'!$E$6:$E$2205,MATCH(U1144,'Material routes'!$A$6:$A$2205,0)),"MISSING ID")</x:f>
        <x:v>Prepared mineral pigment powder</x:v>
      </x:c>
      <x:c r="B1144" s="4" t="str">
        <x:f>IFERROR(INDEX('Material routes'!$F$6:$F$2205,MATCH(U1144,'Material routes'!$A$6:$A$2205,0)),"MISSING ID")</x:f>
        <x:v>T1</x:v>
      </x:c>
      <x:c r="C1144" s="4" t="str">
        <x:f>IFERROR(INDEX('Material routes'!$H$6:$H$2205,MATCH(U1144,'Material routes'!$A$6:$A$2205,0)),"MISSING ID")</x:f>
        <x:v>Processed material</x:v>
      </x:c>
      <x:c r="D1144" s="4" t="str">
        <x:f>IFERROR(INDEX('Material routes'!$G$6:$G$2205,MATCH(U1144,'Material routes'!$A$6:$A$2205,0)),"MISSING ID")</x:f>
        <x:v>Manufactured stock</x:v>
      </x:c>
      <x:c r="E1144" s="4" t="str">
        <x:f>IFERROR(INDEX('Material routes'!$C$6:$C$2205,MATCH(U1144,'Material routes'!$A$6:$A$2205,0)),"MISSING ID")</x:f>
        <x:v>Ingredient candidate</x:v>
      </x:c>
      <x:c r="F1144" s="4" t="str">
        <x:f>IFERROR(INDEX('Material routes'!$E$6:$E$2205,MATCH(V1144,'Material routes'!$A$6:$A$2205,0)),"MISSING ID")</x:f>
        <x:v>Ceramic commemorative figurine</x:v>
      </x:c>
      <x:c r="G1144" s="4" t="str">
        <x:f>IFERROR(INDEX('Material routes'!$F$6:$F$2205,MATCH(V1144,'Material routes'!$A$6:$A$2205,0)),"MISSING ID")</x:f>
        <x:v>Not applicable</x:v>
      </x:c>
      <x:c r="H1144" s="4" t="str">
        <x:f>IFERROR(INDEX('Material routes'!$H$6:$H$2205,MATCH(V1144,'Material routes'!$A$6:$A$2205,0)),"MISSING ID")</x:f>
        <x:v>Cultural object</x:v>
      </x:c>
      <x:c r="I1144" s="4" t="str">
        <x:f>IFERROR(INDEX('Material routes'!$G$6:$G$2205,MATCH(V1144,'Material routes'!$A$6:$A$2205,0)),"MISSING ID")</x:f>
        <x:v>Salvage</x:v>
      </x:c>
      <x:c r="J1144" s="4" t="str">
        <x:f>IFERROR(INDEX('Material routes'!$B$6:$B$2205,MATCH(U1144,'Material routes'!$A$6:$A$2205,0)),"MISSING ID")</x:f>
        <x:v>design.audit.proposal_ceramic_figurine</x:v>
      </x:c>
      <x:c r="K1144" s="4" t="str">
        <x:f>IFERROR(INDEX('Crafting recipes'!$C$6:$C$1005,MATCH(J1144,'Crafting recipes'!$A$6:$A$1005,0)),"MISSING ID")</x:f>
        <x:v>Finished-item crafting</x:v>
      </x:c>
      <x:c r="L1144" s="4" t="str">
        <x:f>IFERROR(INDEX('Material routes'!$K$6:$K$2205,MATCH(U1144,'Material routes'!$A$6:$A$2205,0)),"MISSING ID")</x:f>
        <x:v>Proposal</x:v>
      </x:c>
      <x:c r="M1144" s="4" t="str">
        <x:f>IFERROR(INDEX('Material routes'!$M$6:$M$2205,MATCH(U1144,'Material routes'!$A$6:$A$2205,0)),"MISSING ID")</x:f>
        <x:v>Partial proposal</x:v>
      </x:c>
      <x:c r="N1144" s="4"/>
      <x:c r="O1144" s="4" t="str">
        <x:f>IFERROR(INDEX('Material routes'!$J$6:$J$2205,MATCH(U1144,'Material routes'!$A$6:$A$2205,0)),"MISSING ID")</x:f>
        <x:v>Unspecified</x:v>
      </x:c>
      <x:c r="P1144" s="4"/>
      <x:c r="Q1144" s="4" t="str">
        <x:f>IFERROR(INDEX('Material routes'!$J$6:$J$2205,MATCH(V1144,'Material routes'!$A$6:$A$2205,0)),"MISSING ID")</x:f>
        <x:v>Unspecified</x:v>
      </x:c>
      <x:c r="R1144" s="4" t="str">
        <x:f>IF(L1144="Withheld","Withheld premise",IF(E1144="Tool candidate","Reusable prerequisite",IF(K1144="Raw entry preparation","Entry-resource preparation",IF(G1144="Not applicable",IF(IFERROR(INDEX('Items'!$AI$6:$AI$1005,MATCH(T1144,'Items'!$A$6:$A$1005,0)),"MISSING ID")="Finished item","Finished endpoint",IF(IFERROR(INDEX('Items'!$AI$6:$AI$1005,MATCH(T1144,'Items'!$A$6:$A$1005,0)),"MISSING ID")="Currency","Currency / no refinement tier","Recovered output / tier not applicable")),IF(OR(IFERROR(INDEX('Crafting recipes'!$H$6:$H$1005,MATCH(J1144,'Crafting recipes'!$A$6:$A$1005,0)),"MISSING ID")="Unassigned",G1144="Unassigned"),"Tier unresolved",IF(IFERROR(VALUE(RIGHT(G1144,1))-VALUE(RIGHT(IFERROR(INDEX('Crafting recipes'!$H$6:$H$1005,MATCH(J1144,'Crafting recipes'!$A$6:$A$1005,0)),"MISSING ID"),1)),0)=1,IF(B1144=IFERROR(INDEX('Crafting recipes'!$H$6:$H$1005,MATCH(J1144,'Crafting recipes'!$A$6:$A$1005,0)),"MISSING ID"),"Advances one material tier","Lower-tier ingredient; route advances one tier"),"Needs tier review"))))))</x:f>
        <x:v>Finished endpoint</x:v>
      </x:c>
      <x:c r="S1144" s="4" t="str">
        <x:f>IFERROR(INDEX('Material routes'!$D$6:$D$2205,MATCH(U1144,'Material routes'!$A$6:$A$2205,0)),"MISSING ID")</x:f>
        <x:v>proposal.t1.pigment_powder</x:v>
      </x:c>
      <x:c r="T1144" s="4" t="str">
        <x:f>IFERROR(INDEX('Material routes'!$D$6:$D$2205,MATCH(V1144,'Material routes'!$A$6:$A$2205,0)),"MISSING ID")</x:f>
        <x:v>proposal.ceramic.figurine</x:v>
      </x:c>
      <x:c r="U1144" s="4" t="str">
        <x:v>design.audit.proposal_ceramic_figurine.audit.in.2</x:v>
      </x:c>
      <x:c r="V1144" s="4" t="str">
        <x:v>design.audit.proposal_ceramic_figurine.audit.out</x:v>
      </x:c>
    </x:row>
    <x:row r="1145" ht="64" customHeight="1">
      <x:c r="A1145" s="4" t="str">
        <x:f>IFERROR(INDEX('Material routes'!$E$6:$E$2205,MATCH(U1145,'Material routes'!$A$6:$A$2205,0)),"MISSING ID")</x:f>
        <x:v>Prepared ceramic body feed</x:v>
      </x:c>
      <x:c r="B1145" s="4" t="str">
        <x:f>IFERROR(INDEX('Material routes'!$F$6:$F$2205,MATCH(U1145,'Material routes'!$A$6:$A$2205,0)),"MISSING ID")</x:f>
        <x:v>T1</x:v>
      </x:c>
      <x:c r="C1145" s="4" t="str">
        <x:f>IFERROR(INDEX('Material routes'!$H$6:$H$2205,MATCH(U1145,'Material routes'!$A$6:$A$2205,0)),"MISSING ID")</x:f>
        <x:v>Processed material</x:v>
      </x:c>
      <x:c r="D1145" s="4" t="str">
        <x:f>IFERROR(INDEX('Material routes'!$G$6:$G$2205,MATCH(U1145,'Material routes'!$A$6:$A$2205,0)),"MISSING ID")</x:f>
        <x:v>Manufactured stock</x:v>
      </x:c>
      <x:c r="E1145" s="4" t="str">
        <x:f>IFERROR(INDEX('Material routes'!$C$6:$C$2205,MATCH(U1145,'Material routes'!$A$6:$A$2205,0)),"MISSING ID")</x:f>
        <x:v>Ingredient candidate</x:v>
      </x:c>
      <x:c r="F1145" s="4" t="str">
        <x:f>IFERROR(INDEX('Material routes'!$E$6:$E$2205,MATCH(V1145,'Material routes'!$A$6:$A$2205,0)),"MISSING ID")</x:f>
        <x:v>Ceremonial ceramic bowl</x:v>
      </x:c>
      <x:c r="G1145" s="4" t="str">
        <x:f>IFERROR(INDEX('Material routes'!$F$6:$F$2205,MATCH(V1145,'Material routes'!$A$6:$A$2205,0)),"MISSING ID")</x:f>
        <x:v>Not applicable</x:v>
      </x:c>
      <x:c r="H1145" s="4" t="str">
        <x:f>IFERROR(INDEX('Material routes'!$H$6:$H$2205,MATCH(V1145,'Material routes'!$A$6:$A$2205,0)),"MISSING ID")</x:f>
        <x:v>Cultural object</x:v>
      </x:c>
      <x:c r="I1145" s="4" t="str">
        <x:f>IFERROR(INDEX('Material routes'!$G$6:$G$2205,MATCH(V1145,'Material routes'!$A$6:$A$2205,0)),"MISSING ID")</x:f>
        <x:v>Salvage</x:v>
      </x:c>
      <x:c r="J1145" s="4" t="str">
        <x:f>IFERROR(INDEX('Material routes'!$B$6:$B$2205,MATCH(U1145,'Material routes'!$A$6:$A$2205,0)),"MISSING ID")</x:f>
        <x:v>design.audit.proposal_ceramic_ceremony_bowl</x:v>
      </x:c>
      <x:c r="K1145" s="4" t="str">
        <x:f>IFERROR(INDEX('Crafting recipes'!$C$6:$C$1005,MATCH(J1145,'Crafting recipes'!$A$6:$A$1005,0)),"MISSING ID")</x:f>
        <x:v>Finished-item crafting</x:v>
      </x:c>
      <x:c r="L1145" s="4" t="str">
        <x:f>IFERROR(INDEX('Material routes'!$K$6:$K$2205,MATCH(U1145,'Material routes'!$A$6:$A$2205,0)),"MISSING ID")</x:f>
        <x:v>Proposal</x:v>
      </x:c>
      <x:c r="M1145" s="4" t="str">
        <x:f>IFERROR(INDEX('Material routes'!$M$6:$M$2205,MATCH(U1145,'Material routes'!$A$6:$A$2205,0)),"MISSING ID")</x:f>
        <x:v>Partial proposal</x:v>
      </x:c>
      <x:c r="N1145" s="4"/>
      <x:c r="O1145" s="4" t="str">
        <x:f>IFERROR(INDEX('Material routes'!$J$6:$J$2205,MATCH(U1145,'Material routes'!$A$6:$A$2205,0)),"MISSING ID")</x:f>
        <x:v>Unspecified</x:v>
      </x:c>
      <x:c r="P1145" s="4"/>
      <x:c r="Q1145" s="4" t="str">
        <x:f>IFERROR(INDEX('Material routes'!$J$6:$J$2205,MATCH(V1145,'Material routes'!$A$6:$A$2205,0)),"MISSING ID")</x:f>
        <x:v>Unspecified</x:v>
      </x:c>
      <x:c r="R1145" s="4" t="str">
        <x:f>IF(L1145="Withheld","Withheld premise",IF(E1145="Tool candidate","Reusable prerequisite",IF(K1145="Raw entry preparation","Entry-resource preparation",IF(G1145="Not applicable",IF(IFERROR(INDEX('Items'!$AI$6:$AI$1005,MATCH(T1145,'Items'!$A$6:$A$1005,0)),"MISSING ID")="Finished item","Finished endpoint",IF(IFERROR(INDEX('Items'!$AI$6:$AI$1005,MATCH(T1145,'Items'!$A$6:$A$1005,0)),"MISSING ID")="Currency","Currency / no refinement tier","Recovered output / tier not applicable")),IF(OR(IFERROR(INDEX('Crafting recipes'!$H$6:$H$1005,MATCH(J1145,'Crafting recipes'!$A$6:$A$1005,0)),"MISSING ID")="Unassigned",G1145="Unassigned"),"Tier unresolved",IF(IFERROR(VALUE(RIGHT(G1145,1))-VALUE(RIGHT(IFERROR(INDEX('Crafting recipes'!$H$6:$H$1005,MATCH(J1145,'Crafting recipes'!$A$6:$A$1005,0)),"MISSING ID"),1)),0)=1,IF(B1145=IFERROR(INDEX('Crafting recipes'!$H$6:$H$1005,MATCH(J1145,'Crafting recipes'!$A$6:$A$1005,0)),"MISSING ID"),"Advances one material tier","Lower-tier ingredient; route advances one tier"),"Needs tier review"))))))</x:f>
        <x:v>Finished endpoint</x:v>
      </x:c>
      <x:c r="S1145" s="4" t="str">
        <x:f>IFERROR(INDEX('Material routes'!$D$6:$D$2205,MATCH(U1145,'Material routes'!$A$6:$A$2205,0)),"MISSING ID")</x:f>
        <x:v>proposal.ceramic.body_feed</x:v>
      </x:c>
      <x:c r="T1145" s="4" t="str">
        <x:f>IFERROR(INDEX('Material routes'!$D$6:$D$2205,MATCH(V1145,'Material routes'!$A$6:$A$2205,0)),"MISSING ID")</x:f>
        <x:v>proposal.ceramic.ceremony_bowl</x:v>
      </x:c>
      <x:c r="U1145" s="4" t="str">
        <x:v>design.audit.proposal_ceramic_ceremony_bowl.audit.in.1</x:v>
      </x:c>
      <x:c r="V1145" s="4" t="str">
        <x:v>design.audit.proposal_ceramic_ceremony_bowl.audit.out</x:v>
      </x:c>
    </x:row>
    <x:row r="1146" ht="64" customHeight="1">
      <x:c r="A1146" s="4" t="str">
        <x:f>IFERROR(INDEX('Material routes'!$E$6:$E$2205,MATCH(U1146,'Material routes'!$A$6:$A$2205,0)),"MISSING ID")</x:f>
        <x:v>Prepared mineral pigment powder</x:v>
      </x:c>
      <x:c r="B1146" s="4" t="str">
        <x:f>IFERROR(INDEX('Material routes'!$F$6:$F$2205,MATCH(U1146,'Material routes'!$A$6:$A$2205,0)),"MISSING ID")</x:f>
        <x:v>T1</x:v>
      </x:c>
      <x:c r="C1146" s="4" t="str">
        <x:f>IFERROR(INDEX('Material routes'!$H$6:$H$2205,MATCH(U1146,'Material routes'!$A$6:$A$2205,0)),"MISSING ID")</x:f>
        <x:v>Processed material</x:v>
      </x:c>
      <x:c r="D1146" s="4" t="str">
        <x:f>IFERROR(INDEX('Material routes'!$G$6:$G$2205,MATCH(U1146,'Material routes'!$A$6:$A$2205,0)),"MISSING ID")</x:f>
        <x:v>Manufactured stock</x:v>
      </x:c>
      <x:c r="E1146" s="4" t="str">
        <x:f>IFERROR(INDEX('Material routes'!$C$6:$C$2205,MATCH(U1146,'Material routes'!$A$6:$A$2205,0)),"MISSING ID")</x:f>
        <x:v>Ingredient candidate</x:v>
      </x:c>
      <x:c r="F1146" s="4" t="str">
        <x:f>IFERROR(INDEX('Material routes'!$E$6:$E$2205,MATCH(V1146,'Material routes'!$A$6:$A$2205,0)),"MISSING ID")</x:f>
        <x:v>Ceremonial ceramic bowl</x:v>
      </x:c>
      <x:c r="G1146" s="4" t="str">
        <x:f>IFERROR(INDEX('Material routes'!$F$6:$F$2205,MATCH(V1146,'Material routes'!$A$6:$A$2205,0)),"MISSING ID")</x:f>
        <x:v>Not applicable</x:v>
      </x:c>
      <x:c r="H1146" s="4" t="str">
        <x:f>IFERROR(INDEX('Material routes'!$H$6:$H$2205,MATCH(V1146,'Material routes'!$A$6:$A$2205,0)),"MISSING ID")</x:f>
        <x:v>Cultural object</x:v>
      </x:c>
      <x:c r="I1146" s="4" t="str">
        <x:f>IFERROR(INDEX('Material routes'!$G$6:$G$2205,MATCH(V1146,'Material routes'!$A$6:$A$2205,0)),"MISSING ID")</x:f>
        <x:v>Salvage</x:v>
      </x:c>
      <x:c r="J1146" s="4" t="str">
        <x:f>IFERROR(INDEX('Material routes'!$B$6:$B$2205,MATCH(U1146,'Material routes'!$A$6:$A$2205,0)),"MISSING ID")</x:f>
        <x:v>design.audit.proposal_ceramic_ceremony_bowl</x:v>
      </x:c>
      <x:c r="K1146" s="4" t="str">
        <x:f>IFERROR(INDEX('Crafting recipes'!$C$6:$C$1005,MATCH(J1146,'Crafting recipes'!$A$6:$A$1005,0)),"MISSING ID")</x:f>
        <x:v>Finished-item crafting</x:v>
      </x:c>
      <x:c r="L1146" s="4" t="str">
        <x:f>IFERROR(INDEX('Material routes'!$K$6:$K$2205,MATCH(U1146,'Material routes'!$A$6:$A$2205,0)),"MISSING ID")</x:f>
        <x:v>Proposal</x:v>
      </x:c>
      <x:c r="M1146" s="4" t="str">
        <x:f>IFERROR(INDEX('Material routes'!$M$6:$M$2205,MATCH(U1146,'Material routes'!$A$6:$A$2205,0)),"MISSING ID")</x:f>
        <x:v>Partial proposal</x:v>
      </x:c>
      <x:c r="N1146" s="4"/>
      <x:c r="O1146" s="4" t="str">
        <x:f>IFERROR(INDEX('Material routes'!$J$6:$J$2205,MATCH(U1146,'Material routes'!$A$6:$A$2205,0)),"MISSING ID")</x:f>
        <x:v>Unspecified</x:v>
      </x:c>
      <x:c r="P1146" s="4"/>
      <x:c r="Q1146" s="4" t="str">
        <x:f>IFERROR(INDEX('Material routes'!$J$6:$J$2205,MATCH(V1146,'Material routes'!$A$6:$A$2205,0)),"MISSING ID")</x:f>
        <x:v>Unspecified</x:v>
      </x:c>
      <x:c r="R1146" s="4" t="str">
        <x:f>IF(L1146="Withheld","Withheld premise",IF(E1146="Tool candidate","Reusable prerequisite",IF(K1146="Raw entry preparation","Entry-resource preparation",IF(G1146="Not applicable",IF(IFERROR(INDEX('Items'!$AI$6:$AI$1005,MATCH(T1146,'Items'!$A$6:$A$1005,0)),"MISSING ID")="Finished item","Finished endpoint",IF(IFERROR(INDEX('Items'!$AI$6:$AI$1005,MATCH(T1146,'Items'!$A$6:$A$1005,0)),"MISSING ID")="Currency","Currency / no refinement tier","Recovered output / tier not applicable")),IF(OR(IFERROR(INDEX('Crafting recipes'!$H$6:$H$1005,MATCH(J1146,'Crafting recipes'!$A$6:$A$1005,0)),"MISSING ID")="Unassigned",G1146="Unassigned"),"Tier unresolved",IF(IFERROR(VALUE(RIGHT(G1146,1))-VALUE(RIGHT(IFERROR(INDEX('Crafting recipes'!$H$6:$H$1005,MATCH(J1146,'Crafting recipes'!$A$6:$A$1005,0)),"MISSING ID"),1)),0)=1,IF(B1146=IFERROR(INDEX('Crafting recipes'!$H$6:$H$1005,MATCH(J1146,'Crafting recipes'!$A$6:$A$1005,0)),"MISSING ID"),"Advances one material tier","Lower-tier ingredient; route advances one tier"),"Needs tier review"))))))</x:f>
        <x:v>Finished endpoint</x:v>
      </x:c>
      <x:c r="S1146" s="4" t="str">
        <x:f>IFERROR(INDEX('Material routes'!$D$6:$D$2205,MATCH(U1146,'Material routes'!$A$6:$A$2205,0)),"MISSING ID")</x:f>
        <x:v>proposal.t1.pigment_powder</x:v>
      </x:c>
      <x:c r="T1146" s="4" t="str">
        <x:f>IFERROR(INDEX('Material routes'!$D$6:$D$2205,MATCH(V1146,'Material routes'!$A$6:$A$2205,0)),"MISSING ID")</x:f>
        <x:v>proposal.ceramic.ceremony_bowl</x:v>
      </x:c>
      <x:c r="U1146" s="4" t="str">
        <x:v>design.audit.proposal_ceramic_ceremony_bowl.audit.in.2</x:v>
      </x:c>
      <x:c r="V1146" s="4" t="str">
        <x:v>design.audit.proposal_ceramic_ceremony_bowl.audit.out</x:v>
      </x:c>
    </x:row>
    <x:row r="1147" ht="64" customHeight="1">
      <x:c r="A1147" s="4" t="str">
        <x:f>IFERROR(INDEX('Material routes'!$E$6:$E$2205,MATCH(U1147,'Material routes'!$A$6:$A$2205,0)),"MISSING ID")</x:f>
        <x:v>Bonded ceramic-shell composite</x:v>
      </x:c>
      <x:c r="B1147" s="4" t="str">
        <x:f>IFERROR(INDEX('Material routes'!$F$6:$F$2205,MATCH(U1147,'Material routes'!$A$6:$A$2205,0)),"MISSING ID")</x:f>
        <x:v>T3</x:v>
      </x:c>
      <x:c r="C1147" s="4" t="str">
        <x:f>IFERROR(INDEX('Material routes'!$H$6:$H$2205,MATCH(U1147,'Material routes'!$A$6:$A$2205,0)),"MISSING ID")</x:f>
        <x:v>Processed material</x:v>
      </x:c>
      <x:c r="D1147" s="4" t="str">
        <x:f>IFERROR(INDEX('Material routes'!$G$6:$G$2205,MATCH(U1147,'Material routes'!$A$6:$A$2205,0)),"MISSING ID")</x:f>
        <x:v>Manufactured stock</x:v>
      </x:c>
      <x:c r="E1147" s="4" t="str">
        <x:f>IFERROR(INDEX('Material routes'!$C$6:$C$2205,MATCH(U1147,'Material routes'!$A$6:$A$2205,0)),"MISSING ID")</x:f>
        <x:v>Ingredient candidate</x:v>
      </x:c>
      <x:c r="F1147" s="4" t="str">
        <x:f>IFERROR(INDEX('Material routes'!$E$6:$E$2205,MATCH(V1147,'Material routes'!$A$6:$A$2205,0)),"MISSING ID")</x:f>
        <x:v>Specialist ceramic armor insert</x:v>
      </x:c>
      <x:c r="G1147" s="4" t="str">
        <x:f>IFERROR(INDEX('Material routes'!$F$6:$F$2205,MATCH(V1147,'Material routes'!$A$6:$A$2205,0)),"MISSING ID")</x:f>
        <x:v>Not applicable</x:v>
      </x:c>
      <x:c r="H1147" s="4" t="str">
        <x:f>IFERROR(INDEX('Material routes'!$H$6:$H$2205,MATCH(V1147,'Material routes'!$A$6:$A$2205,0)),"MISSING ID")</x:f>
        <x:v>Armor</x:v>
      </x:c>
      <x:c r="I1147" s="4" t="str">
        <x:f>IFERROR(INDEX('Material routes'!$G$6:$G$2205,MATCH(V1147,'Material routes'!$A$6:$A$2205,0)),"MISSING ID")</x:f>
        <x:v>Armor</x:v>
      </x:c>
      <x:c r="J1147" s="4" t="str">
        <x:f>IFERROR(INDEX('Material routes'!$B$6:$B$2205,MATCH(U1147,'Material routes'!$A$6:$A$2205,0)),"MISSING ID")</x:f>
        <x:v>design.audit.proposal_ceramic_armor_insert</x:v>
      </x:c>
      <x:c r="K1147" s="4" t="str">
        <x:f>IFERROR(INDEX('Crafting recipes'!$C$6:$C$1005,MATCH(J1147,'Crafting recipes'!$A$6:$A$1005,0)),"MISSING ID")</x:f>
        <x:v>Finished-item crafting</x:v>
      </x:c>
      <x:c r="L1147" s="4" t="str">
        <x:f>IFERROR(INDEX('Material routes'!$K$6:$K$2205,MATCH(U1147,'Material routes'!$A$6:$A$2205,0)),"MISSING ID")</x:f>
        <x:v>Proposal</x:v>
      </x:c>
      <x:c r="M1147" s="4" t="str">
        <x:f>IFERROR(INDEX('Material routes'!$M$6:$M$2205,MATCH(U1147,'Material routes'!$A$6:$A$2205,0)),"MISSING ID")</x:f>
        <x:v>Partial proposal</x:v>
      </x:c>
      <x:c r="N1147" s="4"/>
      <x:c r="O1147" s="4" t="str">
        <x:f>IFERROR(INDEX('Material routes'!$J$6:$J$2205,MATCH(U1147,'Material routes'!$A$6:$A$2205,0)),"MISSING ID")</x:f>
        <x:v>Unspecified</x:v>
      </x:c>
      <x:c r="P1147" s="4"/>
      <x:c r="Q1147" s="4" t="str">
        <x:f>IFERROR(INDEX('Material routes'!$J$6:$J$2205,MATCH(V1147,'Material routes'!$A$6:$A$2205,0)),"MISSING ID")</x:f>
        <x:v>Unspecified</x:v>
      </x:c>
      <x:c r="R1147" s="4" t="str">
        <x:f>IF(L1147="Withheld","Withheld premise",IF(E1147="Tool candidate","Reusable prerequisite",IF(K1147="Raw entry preparation","Entry-resource preparation",IF(G1147="Not applicable",IF(IFERROR(INDEX('Items'!$AI$6:$AI$1005,MATCH(T1147,'Items'!$A$6:$A$1005,0)),"MISSING ID")="Finished item","Finished endpoint",IF(IFERROR(INDEX('Items'!$AI$6:$AI$1005,MATCH(T1147,'Items'!$A$6:$A$1005,0)),"MISSING ID")="Currency","Currency / no refinement tier","Recovered output / tier not applicable")),IF(OR(IFERROR(INDEX('Crafting recipes'!$H$6:$H$1005,MATCH(J1147,'Crafting recipes'!$A$6:$A$1005,0)),"MISSING ID")="Unassigned",G1147="Unassigned"),"Tier unresolved",IF(IFERROR(VALUE(RIGHT(G1147,1))-VALUE(RIGHT(IFERROR(INDEX('Crafting recipes'!$H$6:$H$1005,MATCH(J1147,'Crafting recipes'!$A$6:$A$1005,0)),"MISSING ID"),1)),0)=1,IF(B1147=IFERROR(INDEX('Crafting recipes'!$H$6:$H$1005,MATCH(J1147,'Crafting recipes'!$A$6:$A$1005,0)),"MISSING ID"),"Advances one material tier","Lower-tier ingredient; route advances one tier"),"Needs tier review"))))))</x:f>
        <x:v>Finished endpoint</x:v>
      </x:c>
      <x:c r="S1147" s="4" t="str">
        <x:f>IFERROR(INDEX('Material routes'!$D$6:$D$2205,MATCH(U1147,'Material routes'!$A$6:$A$2205,0)),"MISSING ID")</x:f>
        <x:v>proposal.branch.ceramic_shell</x:v>
      </x:c>
      <x:c r="T1147" s="4" t="str">
        <x:f>IFERROR(INDEX('Material routes'!$D$6:$D$2205,MATCH(V1147,'Material routes'!$A$6:$A$2205,0)),"MISSING ID")</x:f>
        <x:v>proposal.ceramic.armor_insert</x:v>
      </x:c>
      <x:c r="U1147" s="4" t="str">
        <x:v>design.audit.proposal_ceramic_armor_insert.audit.in.1</x:v>
      </x:c>
      <x:c r="V1147" s="4" t="str">
        <x:v>design.audit.proposal_ceramic_armor_insert.audit.out</x:v>
      </x:c>
    </x:row>
    <x:row r="1148" ht="64" customHeight="1">
      <x:c r="A1148" s="4" t="str">
        <x:f>IFERROR(INDEX('Material routes'!$E$6:$E$2205,MATCH(U1148,'Material routes'!$A$6:$A$2205,0)),"MISSING ID")</x:f>
        <x:v>Matched metal fastener set</x:v>
      </x:c>
      <x:c r="B1148" s="4" t="str">
        <x:f>IFERROR(INDEX('Material routes'!$F$6:$F$2205,MATCH(U1148,'Material routes'!$A$6:$A$2205,0)),"MISSING ID")</x:f>
        <x:v>T3</x:v>
      </x:c>
      <x:c r="C1148" s="4" t="str">
        <x:f>IFERROR(INDEX('Material routes'!$H$6:$H$2205,MATCH(U1148,'Material routes'!$A$6:$A$2205,0)),"MISSING ID")</x:f>
        <x:v>Crafting component</x:v>
      </x:c>
      <x:c r="D1148" s="4" t="str">
        <x:f>IFERROR(INDEX('Material routes'!$G$6:$G$2205,MATCH(U1148,'Material routes'!$A$6:$A$2205,0)),"MISSING ID")</x:f>
        <x:v>Crafting components</x:v>
      </x:c>
      <x:c r="E1148" s="4" t="str">
        <x:f>IFERROR(INDEX('Material routes'!$C$6:$C$2205,MATCH(U1148,'Material routes'!$A$6:$A$2205,0)),"MISSING ID")</x:f>
        <x:v>Ingredient candidate</x:v>
      </x:c>
      <x:c r="F1148" s="4" t="str">
        <x:f>IFERROR(INDEX('Material routes'!$E$6:$E$2205,MATCH(V1148,'Material routes'!$A$6:$A$2205,0)),"MISSING ID")</x:f>
        <x:v>Specialist ceramic armor insert</x:v>
      </x:c>
      <x:c r="G1148" s="4" t="str">
        <x:f>IFERROR(INDEX('Material routes'!$F$6:$F$2205,MATCH(V1148,'Material routes'!$A$6:$A$2205,0)),"MISSING ID")</x:f>
        <x:v>Not applicable</x:v>
      </x:c>
      <x:c r="H1148" s="4" t="str">
        <x:f>IFERROR(INDEX('Material routes'!$H$6:$H$2205,MATCH(V1148,'Material routes'!$A$6:$A$2205,0)),"MISSING ID")</x:f>
        <x:v>Armor</x:v>
      </x:c>
      <x:c r="I1148" s="4" t="str">
        <x:f>IFERROR(INDEX('Material routes'!$G$6:$G$2205,MATCH(V1148,'Material routes'!$A$6:$A$2205,0)),"MISSING ID")</x:f>
        <x:v>Armor</x:v>
      </x:c>
      <x:c r="J1148" s="4" t="str">
        <x:f>IFERROR(INDEX('Material routes'!$B$6:$B$2205,MATCH(U1148,'Material routes'!$A$6:$A$2205,0)),"MISSING ID")</x:f>
        <x:v>design.audit.proposal_ceramic_armor_insert</x:v>
      </x:c>
      <x:c r="K1148" s="4" t="str">
        <x:f>IFERROR(INDEX('Crafting recipes'!$C$6:$C$1005,MATCH(J1148,'Crafting recipes'!$A$6:$A$1005,0)),"MISSING ID")</x:f>
        <x:v>Finished-item crafting</x:v>
      </x:c>
      <x:c r="L1148" s="4" t="str">
        <x:f>IFERROR(INDEX('Material routes'!$K$6:$K$2205,MATCH(U1148,'Material routes'!$A$6:$A$2205,0)),"MISSING ID")</x:f>
        <x:v>Proposal</x:v>
      </x:c>
      <x:c r="M1148" s="4" t="str">
        <x:f>IFERROR(INDEX('Material routes'!$M$6:$M$2205,MATCH(U1148,'Material routes'!$A$6:$A$2205,0)),"MISSING ID")</x:f>
        <x:v>Partial proposal</x:v>
      </x:c>
      <x:c r="N1148" s="4"/>
      <x:c r="O1148" s="4" t="str">
        <x:f>IFERROR(INDEX('Material routes'!$J$6:$J$2205,MATCH(U1148,'Material routes'!$A$6:$A$2205,0)),"MISSING ID")</x:f>
        <x:v>Unspecified</x:v>
      </x:c>
      <x:c r="P1148" s="4"/>
      <x:c r="Q1148" s="4" t="str">
        <x:f>IFERROR(INDEX('Material routes'!$J$6:$J$2205,MATCH(V1148,'Material routes'!$A$6:$A$2205,0)),"MISSING ID")</x:f>
        <x:v>Unspecified</x:v>
      </x:c>
      <x:c r="R1148" s="4" t="str">
        <x:f>IF(L1148="Withheld","Withheld premise",IF(E1148="Tool candidate","Reusable prerequisite",IF(K1148="Raw entry preparation","Entry-resource preparation",IF(G1148="Not applicable",IF(IFERROR(INDEX('Items'!$AI$6:$AI$1005,MATCH(T1148,'Items'!$A$6:$A$1005,0)),"MISSING ID")="Finished item","Finished endpoint",IF(IFERROR(INDEX('Items'!$AI$6:$AI$1005,MATCH(T1148,'Items'!$A$6:$A$1005,0)),"MISSING ID")="Currency","Currency / no refinement tier","Recovered output / tier not applicable")),IF(OR(IFERROR(INDEX('Crafting recipes'!$H$6:$H$1005,MATCH(J1148,'Crafting recipes'!$A$6:$A$1005,0)),"MISSING ID")="Unassigned",G1148="Unassigned"),"Tier unresolved",IF(IFERROR(VALUE(RIGHT(G1148,1))-VALUE(RIGHT(IFERROR(INDEX('Crafting recipes'!$H$6:$H$1005,MATCH(J1148,'Crafting recipes'!$A$6:$A$1005,0)),"MISSING ID"),1)),0)=1,IF(B1148=IFERROR(INDEX('Crafting recipes'!$H$6:$H$1005,MATCH(J1148,'Crafting recipes'!$A$6:$A$1005,0)),"MISSING ID"),"Advances one material tier","Lower-tier ingredient; route advances one tier"),"Needs tier review"))))))</x:f>
        <x:v>Finished endpoint</x:v>
      </x:c>
      <x:c r="S1148" s="4" t="str">
        <x:f>IFERROR(INDEX('Material routes'!$D$6:$D$2205,MATCH(U1148,'Material routes'!$A$6:$A$2205,0)),"MISSING ID")</x:f>
        <x:v>proposal.lore.fastener_set</x:v>
      </x:c>
      <x:c r="T1148" s="4" t="str">
        <x:f>IFERROR(INDEX('Material routes'!$D$6:$D$2205,MATCH(V1148,'Material routes'!$A$6:$A$2205,0)),"MISSING ID")</x:f>
        <x:v>proposal.ceramic.armor_insert</x:v>
      </x:c>
      <x:c r="U1148" s="4" t="str">
        <x:v>design.audit.proposal_ceramic_armor_insert.audit.in.2</x:v>
      </x:c>
      <x:c r="V1148" s="4" t="str">
        <x:v>design.audit.proposal_ceramic_armor_insert.audit.out</x:v>
      </x:c>
    </x:row>
    <x:row r="1149" ht="64" customHeight="1">
      <x:c r="A1149" s="4" t="str">
        <x:f>IFERROR(INDEX('Material routes'!$E$6:$E$2205,MATCH(U1149,'Material routes'!$A$6:$A$2205,0)),"MISSING ID")</x:f>
        <x:v>Refractory ceramic stock</x:v>
      </x:c>
      <x:c r="B1149" s="4" t="str">
        <x:f>IFERROR(INDEX('Material routes'!$F$6:$F$2205,MATCH(U1149,'Material routes'!$A$6:$A$2205,0)),"MISSING ID")</x:f>
        <x:v>T2</x:v>
      </x:c>
      <x:c r="C1149" s="4" t="str">
        <x:f>IFERROR(INDEX('Material routes'!$H$6:$H$2205,MATCH(U1149,'Material routes'!$A$6:$A$2205,0)),"MISSING ID")</x:f>
        <x:v>Processed material</x:v>
      </x:c>
      <x:c r="D1149" s="4" t="str">
        <x:f>IFERROR(INDEX('Material routes'!$G$6:$G$2205,MATCH(U1149,'Material routes'!$A$6:$A$2205,0)),"MISSING ID")</x:f>
        <x:v>Manufactured stock</x:v>
      </x:c>
      <x:c r="E1149" s="4" t="str">
        <x:f>IFERROR(INDEX('Material routes'!$C$6:$C$2205,MATCH(U1149,'Material routes'!$A$6:$A$2205,0)),"MISSING ID")</x:f>
        <x:v>Ingredient candidate</x:v>
      </x:c>
      <x:c r="F1149" s="4" t="str">
        <x:f>IFERROR(INDEX('Material routes'!$E$6:$E$2205,MATCH(V1149,'Material routes'!$A$6:$A$2205,0)),"MISSING ID")</x:f>
        <x:v>Ceramic abrasive disc</x:v>
      </x:c>
      <x:c r="G1149" s="4" t="str">
        <x:f>IFERROR(INDEX('Material routes'!$F$6:$F$2205,MATCH(V1149,'Material routes'!$A$6:$A$2205,0)),"MISSING ID")</x:f>
        <x:v>Not applicable</x:v>
      </x:c>
      <x:c r="H1149" s="4" t="str">
        <x:f>IFERROR(INDEX('Material routes'!$H$6:$H$2205,MATCH(V1149,'Material routes'!$A$6:$A$2205,0)),"MISSING ID")</x:f>
        <x:v>Tool</x:v>
      </x:c>
      <x:c r="I1149" s="4" t="str">
        <x:f>IFERROR(INDEX('Material routes'!$G$6:$G$2205,MATCH(V1149,'Material routes'!$A$6:$A$2205,0)),"MISSING ID")</x:f>
        <x:v>Workshop upgrades</x:v>
      </x:c>
      <x:c r="J1149" s="4" t="str">
        <x:f>IFERROR(INDEX('Material routes'!$B$6:$B$2205,MATCH(U1149,'Material routes'!$A$6:$A$2205,0)),"MISSING ID")</x:f>
        <x:v>design.audit.proposal_ceramic_grinding_disc</x:v>
      </x:c>
      <x:c r="K1149" s="4" t="str">
        <x:f>IFERROR(INDEX('Crafting recipes'!$C$6:$C$1005,MATCH(J1149,'Crafting recipes'!$A$6:$A$1005,0)),"MISSING ID")</x:f>
        <x:v>Finished-item crafting</x:v>
      </x:c>
      <x:c r="L1149" s="4" t="str">
        <x:f>IFERROR(INDEX('Material routes'!$K$6:$K$2205,MATCH(U1149,'Material routes'!$A$6:$A$2205,0)),"MISSING ID")</x:f>
        <x:v>Proposal</x:v>
      </x:c>
      <x:c r="M1149" s="4" t="str">
        <x:f>IFERROR(INDEX('Material routes'!$M$6:$M$2205,MATCH(U1149,'Material routes'!$A$6:$A$2205,0)),"MISSING ID")</x:f>
        <x:v>Partial proposal</x:v>
      </x:c>
      <x:c r="N1149" s="4"/>
      <x:c r="O1149" s="4" t="str">
        <x:f>IFERROR(INDEX('Material routes'!$J$6:$J$2205,MATCH(U1149,'Material routes'!$A$6:$A$2205,0)),"MISSING ID")</x:f>
        <x:v>Unspecified</x:v>
      </x:c>
      <x:c r="P1149" s="4"/>
      <x:c r="Q1149" s="4" t="str">
        <x:f>IFERROR(INDEX('Material routes'!$J$6:$J$2205,MATCH(V1149,'Material routes'!$A$6:$A$2205,0)),"MISSING ID")</x:f>
        <x:v>Unspecified</x:v>
      </x:c>
      <x:c r="R1149" s="4" t="str">
        <x:f>IF(L1149="Withheld","Withheld premise",IF(E1149="Tool candidate","Reusable prerequisite",IF(K1149="Raw entry preparation","Entry-resource preparation",IF(G1149="Not applicable",IF(IFERROR(INDEX('Items'!$AI$6:$AI$1005,MATCH(T1149,'Items'!$A$6:$A$1005,0)),"MISSING ID")="Finished item","Finished endpoint",IF(IFERROR(INDEX('Items'!$AI$6:$AI$1005,MATCH(T1149,'Items'!$A$6:$A$1005,0)),"MISSING ID")="Currency","Currency / no refinement tier","Recovered output / tier not applicable")),IF(OR(IFERROR(INDEX('Crafting recipes'!$H$6:$H$1005,MATCH(J1149,'Crafting recipes'!$A$6:$A$1005,0)),"MISSING ID")="Unassigned",G1149="Unassigned"),"Tier unresolved",IF(IFERROR(VALUE(RIGHT(G1149,1))-VALUE(RIGHT(IFERROR(INDEX('Crafting recipes'!$H$6:$H$1005,MATCH(J1149,'Crafting recipes'!$A$6:$A$1005,0)),"MISSING ID"),1)),0)=1,IF(B1149=IFERROR(INDEX('Crafting recipes'!$H$6:$H$1005,MATCH(J1149,'Crafting recipes'!$A$6:$A$1005,0)),"MISSING ID"),"Advances one material tier","Lower-tier ingredient; route advances one tier"),"Needs tier review"))))))</x:f>
        <x:v>Finished endpoint</x:v>
      </x:c>
      <x:c r="S1149" s="4" t="str">
        <x:f>IFERROR(INDEX('Material routes'!$D$6:$D$2205,MATCH(U1149,'Material routes'!$A$6:$A$2205,0)),"MISSING ID")</x:f>
        <x:v>proposal.branch.refractory_ceramic</x:v>
      </x:c>
      <x:c r="T1149" s="4" t="str">
        <x:f>IFERROR(INDEX('Material routes'!$D$6:$D$2205,MATCH(V1149,'Material routes'!$A$6:$A$2205,0)),"MISSING ID")</x:f>
        <x:v>proposal.ceramic.grinding_disc</x:v>
      </x:c>
      <x:c r="U1149" s="4" t="str">
        <x:v>design.audit.proposal_ceramic_grinding_disc.audit.in.1</x:v>
      </x:c>
      <x:c r="V1149" s="4" t="str">
        <x:v>design.audit.proposal_ceramic_grinding_disc.audit.out</x:v>
      </x:c>
    </x:row>
    <x:row r="1150" ht="64" customHeight="1">
      <x:c r="A1150" s="4" t="str">
        <x:f>IFERROR(INDEX('Material routes'!$E$6:$E$2205,MATCH(U1150,'Material routes'!$A$6:$A$2205,0)),"MISSING ID")</x:f>
        <x:v>Graded abrasive grit</x:v>
      </x:c>
      <x:c r="B1150" s="4" t="str">
        <x:f>IFERROR(INDEX('Material routes'!$F$6:$F$2205,MATCH(U1150,'Material routes'!$A$6:$A$2205,0)),"MISSING ID")</x:f>
        <x:v>T1</x:v>
      </x:c>
      <x:c r="C1150" s="4" t="str">
        <x:f>IFERROR(INDEX('Material routes'!$H$6:$H$2205,MATCH(U1150,'Material routes'!$A$6:$A$2205,0)),"MISSING ID")</x:f>
        <x:v>Processed material</x:v>
      </x:c>
      <x:c r="D1150" s="4" t="str">
        <x:f>IFERROR(INDEX('Material routes'!$G$6:$G$2205,MATCH(U1150,'Material routes'!$A$6:$A$2205,0)),"MISSING ID")</x:f>
        <x:v>Manufactured stock</x:v>
      </x:c>
      <x:c r="E1150" s="4" t="str">
        <x:f>IFERROR(INDEX('Material routes'!$C$6:$C$2205,MATCH(U1150,'Material routes'!$A$6:$A$2205,0)),"MISSING ID")</x:f>
        <x:v>Ingredient candidate</x:v>
      </x:c>
      <x:c r="F1150" s="4" t="str">
        <x:f>IFERROR(INDEX('Material routes'!$E$6:$E$2205,MATCH(V1150,'Material routes'!$A$6:$A$2205,0)),"MISSING ID")</x:f>
        <x:v>Ceramic abrasive disc</x:v>
      </x:c>
      <x:c r="G1150" s="4" t="str">
        <x:f>IFERROR(INDEX('Material routes'!$F$6:$F$2205,MATCH(V1150,'Material routes'!$A$6:$A$2205,0)),"MISSING ID")</x:f>
        <x:v>Not applicable</x:v>
      </x:c>
      <x:c r="H1150" s="4" t="str">
        <x:f>IFERROR(INDEX('Material routes'!$H$6:$H$2205,MATCH(V1150,'Material routes'!$A$6:$A$2205,0)),"MISSING ID")</x:f>
        <x:v>Tool</x:v>
      </x:c>
      <x:c r="I1150" s="4" t="str">
        <x:f>IFERROR(INDEX('Material routes'!$G$6:$G$2205,MATCH(V1150,'Material routes'!$A$6:$A$2205,0)),"MISSING ID")</x:f>
        <x:v>Workshop upgrades</x:v>
      </x:c>
      <x:c r="J1150" s="4" t="str">
        <x:f>IFERROR(INDEX('Material routes'!$B$6:$B$2205,MATCH(U1150,'Material routes'!$A$6:$A$2205,0)),"MISSING ID")</x:f>
        <x:v>design.audit.proposal_ceramic_grinding_disc</x:v>
      </x:c>
      <x:c r="K1150" s="4" t="str">
        <x:f>IFERROR(INDEX('Crafting recipes'!$C$6:$C$1005,MATCH(J1150,'Crafting recipes'!$A$6:$A$1005,0)),"MISSING ID")</x:f>
        <x:v>Finished-item crafting</x:v>
      </x:c>
      <x:c r="L1150" s="4" t="str">
        <x:f>IFERROR(INDEX('Material routes'!$K$6:$K$2205,MATCH(U1150,'Material routes'!$A$6:$A$2205,0)),"MISSING ID")</x:f>
        <x:v>Proposal</x:v>
      </x:c>
      <x:c r="M1150" s="4" t="str">
        <x:f>IFERROR(INDEX('Material routes'!$M$6:$M$2205,MATCH(U1150,'Material routes'!$A$6:$A$2205,0)),"MISSING ID")</x:f>
        <x:v>Partial proposal</x:v>
      </x:c>
      <x:c r="N1150" s="4"/>
      <x:c r="O1150" s="4" t="str">
        <x:f>IFERROR(INDEX('Material routes'!$J$6:$J$2205,MATCH(U1150,'Material routes'!$A$6:$A$2205,0)),"MISSING ID")</x:f>
        <x:v>Unspecified</x:v>
      </x:c>
      <x:c r="P1150" s="4"/>
      <x:c r="Q1150" s="4" t="str">
        <x:f>IFERROR(INDEX('Material routes'!$J$6:$J$2205,MATCH(V1150,'Material routes'!$A$6:$A$2205,0)),"MISSING ID")</x:f>
        <x:v>Unspecified</x:v>
      </x:c>
      <x:c r="R1150" s="4" t="str">
        <x:f>IF(L1150="Withheld","Withheld premise",IF(E1150="Tool candidate","Reusable prerequisite",IF(K1150="Raw entry preparation","Entry-resource preparation",IF(G1150="Not applicable",IF(IFERROR(INDEX('Items'!$AI$6:$AI$1005,MATCH(T1150,'Items'!$A$6:$A$1005,0)),"MISSING ID")="Finished item","Finished endpoint",IF(IFERROR(INDEX('Items'!$AI$6:$AI$1005,MATCH(T1150,'Items'!$A$6:$A$1005,0)),"MISSING ID")="Currency","Currency / no refinement tier","Recovered output / tier not applicable")),IF(OR(IFERROR(INDEX('Crafting recipes'!$H$6:$H$1005,MATCH(J1150,'Crafting recipes'!$A$6:$A$1005,0)),"MISSING ID")="Unassigned",G1150="Unassigned"),"Tier unresolved",IF(IFERROR(VALUE(RIGHT(G1150,1))-VALUE(RIGHT(IFERROR(INDEX('Crafting recipes'!$H$6:$H$1005,MATCH(J1150,'Crafting recipes'!$A$6:$A$1005,0)),"MISSING ID"),1)),0)=1,IF(B1150=IFERROR(INDEX('Crafting recipes'!$H$6:$H$1005,MATCH(J1150,'Crafting recipes'!$A$6:$A$1005,0)),"MISSING ID"),"Advances one material tier","Lower-tier ingredient; route advances one tier"),"Needs tier review"))))))</x:f>
        <x:v>Finished endpoint</x:v>
      </x:c>
      <x:c r="S1150" s="4" t="str">
        <x:f>IFERROR(INDEX('Material routes'!$D$6:$D$2205,MATCH(U1150,'Material routes'!$A$6:$A$2205,0)),"MISSING ID")</x:f>
        <x:v>proposal.natural.abrasive</x:v>
      </x:c>
      <x:c r="T1150" s="4" t="str">
        <x:f>IFERROR(INDEX('Material routes'!$D$6:$D$2205,MATCH(V1150,'Material routes'!$A$6:$A$2205,0)),"MISSING ID")</x:f>
        <x:v>proposal.ceramic.grinding_disc</x:v>
      </x:c>
      <x:c r="U1150" s="4" t="str">
        <x:v>design.audit.proposal_ceramic_grinding_disc.audit.in.2</x:v>
      </x:c>
      <x:c r="V1150" s="4" t="str">
        <x:v>design.audit.proposal_ceramic_grinding_disc.audit.out</x:v>
      </x:c>
    </x:row>
    <x:row r="1151" ht="64" customHeight="1">
      <x:c r="A1151" s="4" t="str">
        <x:f>IFERROR(INDEX('Material routes'!$E$6:$E$2205,MATCH(U1151,'Material routes'!$A$6:$A$2205,0)),"MISSING ID")</x:f>
        <x:v>Flint stone</x:v>
      </x:c>
      <x:c r="B1151" s="4" t="str">
        <x:f>IFERROR(INDEX('Material routes'!$F$6:$F$2205,MATCH(U1151,'Material routes'!$A$6:$A$2205,0)),"MISSING ID")</x:f>
        <x:v>T0</x:v>
      </x:c>
      <x:c r="C1151" s="4" t="str">
        <x:f>IFERROR(INDEX('Material routes'!$H$6:$H$2205,MATCH(U1151,'Material routes'!$A$6:$A$2205,0)),"MISSING ID")</x:f>
        <x:v>Raw material</x:v>
      </x:c>
      <x:c r="D1151" s="4" t="str">
        <x:f>IFERROR(INDEX('Material routes'!$G$6:$G$2205,MATCH(U1151,'Material routes'!$A$6:$A$2205,0)),"MISSING ID")</x:f>
        <x:v>Mineral resources</x:v>
      </x:c>
      <x:c r="E1151" s="4" t="str">
        <x:f>IFERROR(INDEX('Material routes'!$C$6:$C$2205,MATCH(U1151,'Material routes'!$A$6:$A$2205,0)),"MISSING ID")</x:f>
        <x:v>Ingredient candidate</x:v>
      </x:c>
      <x:c r="F1151" s="4" t="str">
        <x:f>IFERROR(INDEX('Material routes'!$E$6:$E$2205,MATCH(V1151,'Material routes'!$A$6:$A$2205,0)),"MISSING ID")</x:f>
        <x:v>Flint striking tool</x:v>
      </x:c>
      <x:c r="G1151" s="4" t="str">
        <x:f>IFERROR(INDEX('Material routes'!$F$6:$F$2205,MATCH(V1151,'Material routes'!$A$6:$A$2205,0)),"MISSING ID")</x:f>
        <x:v>Not applicable</x:v>
      </x:c>
      <x:c r="H1151" s="4" t="str">
        <x:f>IFERROR(INDEX('Material routes'!$H$6:$H$2205,MATCH(V1151,'Material routes'!$A$6:$A$2205,0)),"MISSING ID")</x:f>
        <x:v>Tool</x:v>
      </x:c>
      <x:c r="I1151" s="4" t="str">
        <x:f>IFERROR(INDEX('Material routes'!$G$6:$G$2205,MATCH(V1151,'Material routes'!$A$6:$A$2205,0)),"MISSING ID")</x:f>
        <x:v>Salvage</x:v>
      </x:c>
      <x:c r="J1151" s="4" t="str">
        <x:f>IFERROR(INDEX('Material routes'!$B$6:$B$2205,MATCH(U1151,'Material routes'!$A$6:$A$2205,0)),"MISSING ID")</x:f>
        <x:v>design.audit.proposal_fire_striker</x:v>
      </x:c>
      <x:c r="K1151" s="4" t="str">
        <x:f>IFERROR(INDEX('Crafting recipes'!$C$6:$C$1005,MATCH(J1151,'Crafting recipes'!$A$6:$A$1005,0)),"MISSING ID")</x:f>
        <x:v>Finished-item crafting</x:v>
      </x:c>
      <x:c r="L1151" s="4" t="str">
        <x:f>IFERROR(INDEX('Material routes'!$K$6:$K$2205,MATCH(U1151,'Material routes'!$A$6:$A$2205,0)),"MISSING ID")</x:f>
        <x:v>Proposal</x:v>
      </x:c>
      <x:c r="M1151" s="4" t="str">
        <x:f>IFERROR(INDEX('Material routes'!$M$6:$M$2205,MATCH(U1151,'Material routes'!$A$6:$A$2205,0)),"MISSING ID")</x:f>
        <x:v>Partial proposal</x:v>
      </x:c>
      <x:c r="N1151" s="4"/>
      <x:c r="O1151" s="4" t="str">
        <x:f>IFERROR(INDEX('Material routes'!$J$6:$J$2205,MATCH(U1151,'Material routes'!$A$6:$A$2205,0)),"MISSING ID")</x:f>
        <x:v>Unspecified</x:v>
      </x:c>
      <x:c r="P1151" s="4"/>
      <x:c r="Q1151" s="4" t="str">
        <x:f>IFERROR(INDEX('Material routes'!$J$6:$J$2205,MATCH(V1151,'Material routes'!$A$6:$A$2205,0)),"MISSING ID")</x:f>
        <x:v>Unspecified</x:v>
      </x:c>
      <x:c r="R1151" s="4" t="str">
        <x:f>IF(L1151="Withheld","Withheld premise",IF(E1151="Tool candidate","Reusable prerequisite",IF(K1151="Raw entry preparation","Entry-resource preparation",IF(G1151="Not applicable",IF(IFERROR(INDEX('Items'!$AI$6:$AI$1005,MATCH(T1151,'Items'!$A$6:$A$1005,0)),"MISSING ID")="Finished item","Finished endpoint",IF(IFERROR(INDEX('Items'!$AI$6:$AI$1005,MATCH(T1151,'Items'!$A$6:$A$1005,0)),"MISSING ID")="Currency","Currency / no refinement tier","Recovered output / tier not applicable")),IF(OR(IFERROR(INDEX('Crafting recipes'!$H$6:$H$1005,MATCH(J1151,'Crafting recipes'!$A$6:$A$1005,0)),"MISSING ID")="Unassigned",G1151="Unassigned"),"Tier unresolved",IF(IFERROR(VALUE(RIGHT(G1151,1))-VALUE(RIGHT(IFERROR(INDEX('Crafting recipes'!$H$6:$H$1005,MATCH(J1151,'Crafting recipes'!$A$6:$A$1005,0)),"MISSING ID"),1)),0)=1,IF(B1151=IFERROR(INDEX('Crafting recipes'!$H$6:$H$1005,MATCH(J1151,'Crafting recipes'!$A$6:$A$1005,0)),"MISSING ID"),"Advances one material tier","Lower-tier ingredient; route advances one tier"),"Needs tier review"))))))</x:f>
        <x:v>Finished endpoint</x:v>
      </x:c>
      <x:c r="S1151" s="4" t="str">
        <x:f>IFERROR(INDEX('Material routes'!$D$6:$D$2205,MATCH(U1151,'Material routes'!$A$6:$A$2205,0)),"MISSING ID")</x:f>
        <x:v>proposal.fire.flint</x:v>
      </x:c>
      <x:c r="T1151" s="4" t="str">
        <x:f>IFERROR(INDEX('Material routes'!$D$6:$D$2205,MATCH(V1151,'Material routes'!$A$6:$A$2205,0)),"MISSING ID")</x:f>
        <x:v>proposal.fire.striker</x:v>
      </x:c>
      <x:c r="U1151" s="4" t="str">
        <x:v>design.audit.proposal_fire_striker.audit.in.1</x:v>
      </x:c>
      <x:c r="V1151" s="4" t="str">
        <x:v>design.audit.proposal_fire_striker.audit.out</x:v>
      </x:c>
    </x:row>
    <x:row r="1152" ht="64" customHeight="1">
      <x:c r="A1152" s="4" t="str">
        <x:f>IFERROR(INDEX('Material routes'!$E$6:$E$2205,MATCH(U1152,'Material routes'!$A$6:$A$2205,0)),"MISSING ID")</x:f>
        <x:v>Steel stock</x:v>
      </x:c>
      <x:c r="B1152" s="4" t="str">
        <x:f>IFERROR(INDEX('Material routes'!$F$6:$F$2205,MATCH(U1152,'Material routes'!$A$6:$A$2205,0)),"MISSING ID")</x:f>
        <x:v>T2</x:v>
      </x:c>
      <x:c r="C1152" s="4" t="str">
        <x:f>IFERROR(INDEX('Material routes'!$H$6:$H$2205,MATCH(U1152,'Material routes'!$A$6:$A$2205,0)),"MISSING ID")</x:f>
        <x:v>Processed material</x:v>
      </x:c>
      <x:c r="D1152" s="4" t="str">
        <x:f>IFERROR(INDEX('Material routes'!$G$6:$G$2205,MATCH(U1152,'Material routes'!$A$6:$A$2205,0)),"MISSING ID")</x:f>
        <x:v>Manufactured stock</x:v>
      </x:c>
      <x:c r="E1152" s="4" t="str">
        <x:f>IFERROR(INDEX('Material routes'!$C$6:$C$2205,MATCH(U1152,'Material routes'!$A$6:$A$2205,0)),"MISSING ID")</x:f>
        <x:v>Ingredient candidate</x:v>
      </x:c>
      <x:c r="F1152" s="4" t="str">
        <x:f>IFERROR(INDEX('Material routes'!$E$6:$E$2205,MATCH(V1152,'Material routes'!$A$6:$A$2205,0)),"MISSING ID")</x:f>
        <x:v>Flint striking tool</x:v>
      </x:c>
      <x:c r="G1152" s="4" t="str">
        <x:f>IFERROR(INDEX('Material routes'!$F$6:$F$2205,MATCH(V1152,'Material routes'!$A$6:$A$2205,0)),"MISSING ID")</x:f>
        <x:v>Not applicable</x:v>
      </x:c>
      <x:c r="H1152" s="4" t="str">
        <x:f>IFERROR(INDEX('Material routes'!$H$6:$H$2205,MATCH(V1152,'Material routes'!$A$6:$A$2205,0)),"MISSING ID")</x:f>
        <x:v>Tool</x:v>
      </x:c>
      <x:c r="I1152" s="4" t="str">
        <x:f>IFERROR(INDEX('Material routes'!$G$6:$G$2205,MATCH(V1152,'Material routes'!$A$6:$A$2205,0)),"MISSING ID")</x:f>
        <x:v>Salvage</x:v>
      </x:c>
      <x:c r="J1152" s="4" t="str">
        <x:f>IFERROR(INDEX('Material routes'!$B$6:$B$2205,MATCH(U1152,'Material routes'!$A$6:$A$2205,0)),"MISSING ID")</x:f>
        <x:v>design.audit.proposal_fire_striker</x:v>
      </x:c>
      <x:c r="K1152" s="4" t="str">
        <x:f>IFERROR(INDEX('Crafting recipes'!$C$6:$C$1005,MATCH(J1152,'Crafting recipes'!$A$6:$A$1005,0)),"MISSING ID")</x:f>
        <x:v>Finished-item crafting</x:v>
      </x:c>
      <x:c r="L1152" s="4" t="str">
        <x:f>IFERROR(INDEX('Material routes'!$K$6:$K$2205,MATCH(U1152,'Material routes'!$A$6:$A$2205,0)),"MISSING ID")</x:f>
        <x:v>Proposal</x:v>
      </x:c>
      <x:c r="M1152" s="4" t="str">
        <x:f>IFERROR(INDEX('Material routes'!$M$6:$M$2205,MATCH(U1152,'Material routes'!$A$6:$A$2205,0)),"MISSING ID")</x:f>
        <x:v>Partial proposal</x:v>
      </x:c>
      <x:c r="N1152" s="4"/>
      <x:c r="O1152" s="4" t="str">
        <x:f>IFERROR(INDEX('Material routes'!$J$6:$J$2205,MATCH(U1152,'Material routes'!$A$6:$A$2205,0)),"MISSING ID")</x:f>
        <x:v>Unspecified</x:v>
      </x:c>
      <x:c r="P1152" s="4"/>
      <x:c r="Q1152" s="4" t="str">
        <x:f>IFERROR(INDEX('Material routes'!$J$6:$J$2205,MATCH(V1152,'Material routes'!$A$6:$A$2205,0)),"MISSING ID")</x:f>
        <x:v>Unspecified</x:v>
      </x:c>
      <x:c r="R1152" s="4" t="str">
        <x:f>IF(L1152="Withheld","Withheld premise",IF(E1152="Tool candidate","Reusable prerequisite",IF(K1152="Raw entry preparation","Entry-resource preparation",IF(G1152="Not applicable",IF(IFERROR(INDEX('Items'!$AI$6:$AI$1005,MATCH(T1152,'Items'!$A$6:$A$1005,0)),"MISSING ID")="Finished item","Finished endpoint",IF(IFERROR(INDEX('Items'!$AI$6:$AI$1005,MATCH(T1152,'Items'!$A$6:$A$1005,0)),"MISSING ID")="Currency","Currency / no refinement tier","Recovered output / tier not applicable")),IF(OR(IFERROR(INDEX('Crafting recipes'!$H$6:$H$1005,MATCH(J1152,'Crafting recipes'!$A$6:$A$1005,0)),"MISSING ID")="Unassigned",G1152="Unassigned"),"Tier unresolved",IF(IFERROR(VALUE(RIGHT(G1152,1))-VALUE(RIGHT(IFERROR(INDEX('Crafting recipes'!$H$6:$H$1005,MATCH(J1152,'Crafting recipes'!$A$6:$A$1005,0)),"MISSING ID"),1)),0)=1,IF(B1152=IFERROR(INDEX('Crafting recipes'!$H$6:$H$1005,MATCH(J1152,'Crafting recipes'!$A$6:$A$1005,0)),"MISSING ID"),"Advances one material tier","Lower-tier ingredient; route advances one tier"),"Needs tier review"))))))</x:f>
        <x:v>Finished endpoint</x:v>
      </x:c>
      <x:c r="S1152" s="4" t="str">
        <x:f>IFERROR(INDEX('Material routes'!$D$6:$D$2205,MATCH(U1152,'Material routes'!$A$6:$A$2205,0)),"MISSING ID")</x:f>
        <x:v>author.metallurgy.steel_stock</x:v>
      </x:c>
      <x:c r="T1152" s="4" t="str">
        <x:f>IFERROR(INDEX('Material routes'!$D$6:$D$2205,MATCH(V1152,'Material routes'!$A$6:$A$2205,0)),"MISSING ID")</x:f>
        <x:v>proposal.fire.striker</x:v>
      </x:c>
      <x:c r="U1152" s="4" t="str">
        <x:v>design.audit.proposal_fire_striker.audit.in.2</x:v>
      </x:c>
      <x:c r="V1152" s="4" t="str">
        <x:v>design.audit.proposal_fire_striker.audit.out</x:v>
      </x:c>
    </x:row>
    <x:row r="1153" ht="64" customHeight="1">
      <x:c r="A1153" s="4" t="str">
        <x:f>IFERROR(INDEX('Material routes'!$E$6:$E$2205,MATCH(U1153,'Material routes'!$A$6:$A$2205,0)),"MISSING ID")</x:f>
        <x:v>Prepared ceramic body feed</x:v>
      </x:c>
      <x:c r="B1153" s="4" t="str">
        <x:f>IFERROR(INDEX('Material routes'!$F$6:$F$2205,MATCH(U1153,'Material routes'!$A$6:$A$2205,0)),"MISSING ID")</x:f>
        <x:v>T1</x:v>
      </x:c>
      <x:c r="C1153" s="4" t="str">
        <x:f>IFERROR(INDEX('Material routes'!$H$6:$H$2205,MATCH(U1153,'Material routes'!$A$6:$A$2205,0)),"MISSING ID")</x:f>
        <x:v>Processed material</x:v>
      </x:c>
      <x:c r="D1153" s="4" t="str">
        <x:f>IFERROR(INDEX('Material routes'!$G$6:$G$2205,MATCH(U1153,'Material routes'!$A$6:$A$2205,0)),"MISSING ID")</x:f>
        <x:v>Manufactured stock</x:v>
      </x:c>
      <x:c r="E1153" s="4" t="str">
        <x:f>IFERROR(INDEX('Material routes'!$C$6:$C$2205,MATCH(U1153,'Material routes'!$A$6:$A$2205,0)),"MISSING ID")</x:f>
        <x:v>Ingredient candidate</x:v>
      </x:c>
      <x:c r="F1153" s="4" t="str">
        <x:f>IFERROR(INDEX('Material routes'!$E$6:$E$2205,MATCH(V1153,'Material routes'!$A$6:$A$2205,0)),"MISSING ID")</x:f>
        <x:v>Ceramic cooking pot</x:v>
      </x:c>
      <x:c r="G1153" s="4" t="str">
        <x:f>IFERROR(INDEX('Material routes'!$F$6:$F$2205,MATCH(V1153,'Material routes'!$A$6:$A$2205,0)),"MISSING ID")</x:f>
        <x:v>Not applicable</x:v>
      </x:c>
      <x:c r="H1153" s="4" t="str">
        <x:f>IFERROR(INDEX('Material routes'!$H$6:$H$2205,MATCH(V1153,'Material routes'!$A$6:$A$2205,0)),"MISSING ID")</x:f>
        <x:v>Tool</x:v>
      </x:c>
      <x:c r="I1153" s="4" t="str">
        <x:f>IFERROR(INDEX('Material routes'!$G$6:$G$2205,MATCH(V1153,'Material routes'!$A$6:$A$2205,0)),"MISSING ID")</x:f>
        <x:v>Salvage</x:v>
      </x:c>
      <x:c r="J1153" s="4" t="str">
        <x:f>IFERROR(INDEX('Material routes'!$B$6:$B$2205,MATCH(U1153,'Material routes'!$A$6:$A$2205,0)),"MISSING ID")</x:f>
        <x:v>design.audit.proposal_fire_cooking_pot</x:v>
      </x:c>
      <x:c r="K1153" s="4" t="str">
        <x:f>IFERROR(INDEX('Crafting recipes'!$C$6:$C$1005,MATCH(J1153,'Crafting recipes'!$A$6:$A$1005,0)),"MISSING ID")</x:f>
        <x:v>Finished-item crafting</x:v>
      </x:c>
      <x:c r="L1153" s="4" t="str">
        <x:f>IFERROR(INDEX('Material routes'!$K$6:$K$2205,MATCH(U1153,'Material routes'!$A$6:$A$2205,0)),"MISSING ID")</x:f>
        <x:v>Proposal</x:v>
      </x:c>
      <x:c r="M1153" s="4" t="str">
        <x:f>IFERROR(INDEX('Material routes'!$M$6:$M$2205,MATCH(U1153,'Material routes'!$A$6:$A$2205,0)),"MISSING ID")</x:f>
        <x:v>Partial proposal</x:v>
      </x:c>
      <x:c r="N1153" s="4"/>
      <x:c r="O1153" s="4" t="str">
        <x:f>IFERROR(INDEX('Material routes'!$J$6:$J$2205,MATCH(U1153,'Material routes'!$A$6:$A$2205,0)),"MISSING ID")</x:f>
        <x:v>Unspecified</x:v>
      </x:c>
      <x:c r="P1153" s="4"/>
      <x:c r="Q1153" s="4" t="str">
        <x:f>IFERROR(INDEX('Material routes'!$J$6:$J$2205,MATCH(V1153,'Material routes'!$A$6:$A$2205,0)),"MISSING ID")</x:f>
        <x:v>Unspecified</x:v>
      </x:c>
      <x:c r="R1153" s="4" t="str">
        <x:f>IF(L1153="Withheld","Withheld premise",IF(E1153="Tool candidate","Reusable prerequisite",IF(K1153="Raw entry preparation","Entry-resource preparation",IF(G1153="Not applicable",IF(IFERROR(INDEX('Items'!$AI$6:$AI$1005,MATCH(T1153,'Items'!$A$6:$A$1005,0)),"MISSING ID")="Finished item","Finished endpoint",IF(IFERROR(INDEX('Items'!$AI$6:$AI$1005,MATCH(T1153,'Items'!$A$6:$A$1005,0)),"MISSING ID")="Currency","Currency / no refinement tier","Recovered output / tier not applicable")),IF(OR(IFERROR(INDEX('Crafting recipes'!$H$6:$H$1005,MATCH(J1153,'Crafting recipes'!$A$6:$A$1005,0)),"MISSING ID")="Unassigned",G1153="Unassigned"),"Tier unresolved",IF(IFERROR(VALUE(RIGHT(G1153,1))-VALUE(RIGHT(IFERROR(INDEX('Crafting recipes'!$H$6:$H$1005,MATCH(J1153,'Crafting recipes'!$A$6:$A$1005,0)),"MISSING ID"),1)),0)=1,IF(B1153=IFERROR(INDEX('Crafting recipes'!$H$6:$H$1005,MATCH(J1153,'Crafting recipes'!$A$6:$A$1005,0)),"MISSING ID"),"Advances one material tier","Lower-tier ingredient; route advances one tier"),"Needs tier review"))))))</x:f>
        <x:v>Finished endpoint</x:v>
      </x:c>
      <x:c r="S1153" s="4" t="str">
        <x:f>IFERROR(INDEX('Material routes'!$D$6:$D$2205,MATCH(U1153,'Material routes'!$A$6:$A$2205,0)),"MISSING ID")</x:f>
        <x:v>proposal.ceramic.body_feed</x:v>
      </x:c>
      <x:c r="T1153" s="4" t="str">
        <x:f>IFERROR(INDEX('Material routes'!$D$6:$D$2205,MATCH(V1153,'Material routes'!$A$6:$A$2205,0)),"MISSING ID")</x:f>
        <x:v>proposal.fire.cooking_pot</x:v>
      </x:c>
      <x:c r="U1153" s="4" t="str">
        <x:v>design.audit.proposal_fire_cooking_pot.audit.in.1</x:v>
      </x:c>
      <x:c r="V1153" s="4" t="str">
        <x:v>design.audit.proposal_fire_cooking_pot.audit.out</x:v>
      </x:c>
    </x:row>
    <x:row r="1154" ht="64" customHeight="1">
      <x:c r="A1154" s="4" t="str">
        <x:f>IFERROR(INDEX('Material routes'!$E$6:$E$2205,MATCH(U1154,'Material routes'!$A$6:$A$2205,0)),"MISSING ID")</x:f>
        <x:v>Prepared mineral pigment powder</x:v>
      </x:c>
      <x:c r="B1154" s="4" t="str">
        <x:f>IFERROR(INDEX('Material routes'!$F$6:$F$2205,MATCH(U1154,'Material routes'!$A$6:$A$2205,0)),"MISSING ID")</x:f>
        <x:v>T1</x:v>
      </x:c>
      <x:c r="C1154" s="4" t="str">
        <x:f>IFERROR(INDEX('Material routes'!$H$6:$H$2205,MATCH(U1154,'Material routes'!$A$6:$A$2205,0)),"MISSING ID")</x:f>
        <x:v>Processed material</x:v>
      </x:c>
      <x:c r="D1154" s="4" t="str">
        <x:f>IFERROR(INDEX('Material routes'!$G$6:$G$2205,MATCH(U1154,'Material routes'!$A$6:$A$2205,0)),"MISSING ID")</x:f>
        <x:v>Manufactured stock</x:v>
      </x:c>
      <x:c r="E1154" s="4" t="str">
        <x:f>IFERROR(INDEX('Material routes'!$C$6:$C$2205,MATCH(U1154,'Material routes'!$A$6:$A$2205,0)),"MISSING ID")</x:f>
        <x:v>Ingredient candidate</x:v>
      </x:c>
      <x:c r="F1154" s="4" t="str">
        <x:f>IFERROR(INDEX('Material routes'!$E$6:$E$2205,MATCH(V1154,'Material routes'!$A$6:$A$2205,0)),"MISSING ID")</x:f>
        <x:v>Ceramic cooking pot</x:v>
      </x:c>
      <x:c r="G1154" s="4" t="str">
        <x:f>IFERROR(INDEX('Material routes'!$F$6:$F$2205,MATCH(V1154,'Material routes'!$A$6:$A$2205,0)),"MISSING ID")</x:f>
        <x:v>Not applicable</x:v>
      </x:c>
      <x:c r="H1154" s="4" t="str">
        <x:f>IFERROR(INDEX('Material routes'!$H$6:$H$2205,MATCH(V1154,'Material routes'!$A$6:$A$2205,0)),"MISSING ID")</x:f>
        <x:v>Tool</x:v>
      </x:c>
      <x:c r="I1154" s="4" t="str">
        <x:f>IFERROR(INDEX('Material routes'!$G$6:$G$2205,MATCH(V1154,'Material routes'!$A$6:$A$2205,0)),"MISSING ID")</x:f>
        <x:v>Salvage</x:v>
      </x:c>
      <x:c r="J1154" s="4" t="str">
        <x:f>IFERROR(INDEX('Material routes'!$B$6:$B$2205,MATCH(U1154,'Material routes'!$A$6:$A$2205,0)),"MISSING ID")</x:f>
        <x:v>design.audit.proposal_fire_cooking_pot</x:v>
      </x:c>
      <x:c r="K1154" s="4" t="str">
        <x:f>IFERROR(INDEX('Crafting recipes'!$C$6:$C$1005,MATCH(J1154,'Crafting recipes'!$A$6:$A$1005,0)),"MISSING ID")</x:f>
        <x:v>Finished-item crafting</x:v>
      </x:c>
      <x:c r="L1154" s="4" t="str">
        <x:f>IFERROR(INDEX('Material routes'!$K$6:$K$2205,MATCH(U1154,'Material routes'!$A$6:$A$2205,0)),"MISSING ID")</x:f>
        <x:v>Proposal</x:v>
      </x:c>
      <x:c r="M1154" s="4" t="str">
        <x:f>IFERROR(INDEX('Material routes'!$M$6:$M$2205,MATCH(U1154,'Material routes'!$A$6:$A$2205,0)),"MISSING ID")</x:f>
        <x:v>Partial proposal</x:v>
      </x:c>
      <x:c r="N1154" s="4"/>
      <x:c r="O1154" s="4" t="str">
        <x:f>IFERROR(INDEX('Material routes'!$J$6:$J$2205,MATCH(U1154,'Material routes'!$A$6:$A$2205,0)),"MISSING ID")</x:f>
        <x:v>Unspecified</x:v>
      </x:c>
      <x:c r="P1154" s="4"/>
      <x:c r="Q1154" s="4" t="str">
        <x:f>IFERROR(INDEX('Material routes'!$J$6:$J$2205,MATCH(V1154,'Material routes'!$A$6:$A$2205,0)),"MISSING ID")</x:f>
        <x:v>Unspecified</x:v>
      </x:c>
      <x:c r="R1154" s="4" t="str">
        <x:f>IF(L1154="Withheld","Withheld premise",IF(E1154="Tool candidate","Reusable prerequisite",IF(K1154="Raw entry preparation","Entry-resource preparation",IF(G1154="Not applicable",IF(IFERROR(INDEX('Items'!$AI$6:$AI$1005,MATCH(T1154,'Items'!$A$6:$A$1005,0)),"MISSING ID")="Finished item","Finished endpoint",IF(IFERROR(INDEX('Items'!$AI$6:$AI$1005,MATCH(T1154,'Items'!$A$6:$A$1005,0)),"MISSING ID")="Currency","Currency / no refinement tier","Recovered output / tier not applicable")),IF(OR(IFERROR(INDEX('Crafting recipes'!$H$6:$H$1005,MATCH(J1154,'Crafting recipes'!$A$6:$A$1005,0)),"MISSING ID")="Unassigned",G1154="Unassigned"),"Tier unresolved",IF(IFERROR(VALUE(RIGHT(G1154,1))-VALUE(RIGHT(IFERROR(INDEX('Crafting recipes'!$H$6:$H$1005,MATCH(J1154,'Crafting recipes'!$A$6:$A$1005,0)),"MISSING ID"),1)),0)=1,IF(B1154=IFERROR(INDEX('Crafting recipes'!$H$6:$H$1005,MATCH(J1154,'Crafting recipes'!$A$6:$A$1005,0)),"MISSING ID"),"Advances one material tier","Lower-tier ingredient; route advances one tier"),"Needs tier review"))))))</x:f>
        <x:v>Finished endpoint</x:v>
      </x:c>
      <x:c r="S1154" s="4" t="str">
        <x:f>IFERROR(INDEX('Material routes'!$D$6:$D$2205,MATCH(U1154,'Material routes'!$A$6:$A$2205,0)),"MISSING ID")</x:f>
        <x:v>proposal.t1.pigment_powder</x:v>
      </x:c>
      <x:c r="T1154" s="4" t="str">
        <x:f>IFERROR(INDEX('Material routes'!$D$6:$D$2205,MATCH(V1154,'Material routes'!$A$6:$A$2205,0)),"MISSING ID")</x:f>
        <x:v>proposal.fire.cooking_pot</x:v>
      </x:c>
      <x:c r="U1154" s="4" t="str">
        <x:v>design.audit.proposal_fire_cooking_pot.audit.in.2</x:v>
      </x:c>
      <x:c r="V1154" s="4" t="str">
        <x:v>design.audit.proposal_fire_cooking_pot.audit.out</x:v>
      </x:c>
    </x:row>
    <x:row r="1155" ht="64" customHeight="1">
      <x:c r="A1155" s="4"/>
      <x:c r="B1155" s="4"/>
      <x:c r="C1155" s="4"/>
      <x:c r="D1155" s="4"/>
      <x:c r="E1155" s="4"/>
      <x:c r="F1155" s="4"/>
      <x:c r="G1155" s="4"/>
      <x:c r="H1155" s="4"/>
      <x:c r="I1155" s="4"/>
      <x:c r="J1155" s="4"/>
      <x:c r="K1155" s="4"/>
      <x:c r="L1155" s="4"/>
      <x:c r="M1155" s="4"/>
      <x:c r="N1155" s="4"/>
      <x:c r="P1155" s="4"/>
      <x:c r="R1155" s="4"/>
      <x:c r="S1155" s="4"/>
      <x:c r="T1155" s="4"/>
      <x:c r="U1155" s="4"/>
      <x:c r="V1155" s="4"/>
    </x:row>
    <x:row r="1156" ht="64" customHeight="1">
      <x:c r="A1156" s="4" t="str">
        <x:f>IFERROR(INDEX('Material routes'!$E$6:$E$2205,MATCH(U1156,'Material routes'!$A$6:$A$2205,0)),"MISSING ID")</x:f>
        <x:v>Annealed iron sheet stock</x:v>
      </x:c>
      <x:c r="B1156" s="4" t="str">
        <x:f>IFERROR(INDEX('Material routes'!$F$6:$F$2205,MATCH(U1156,'Material routes'!$A$6:$A$2205,0)),"MISSING ID")</x:f>
        <x:v>T3</x:v>
      </x:c>
      <x:c r="C1156" s="4" t="str">
        <x:f>IFERROR(INDEX('Material routes'!$H$6:$H$2205,MATCH(U1156,'Material routes'!$A$6:$A$2205,0)),"MISSING ID")</x:f>
        <x:v>Processed material</x:v>
      </x:c>
      <x:c r="D1156" s="4" t="str">
        <x:f>IFERROR(INDEX('Material routes'!$G$6:$G$2205,MATCH(U1156,'Material routes'!$A$6:$A$2205,0)),"MISSING ID")</x:f>
        <x:v>Manufactured stock</x:v>
      </x:c>
      <x:c r="E1156" s="4" t="str">
        <x:f>IFERROR(INDEX('Material routes'!$C$6:$C$2205,MATCH(U1156,'Material routes'!$A$6:$A$2205,0)),"MISSING ID")</x:f>
        <x:v>Ingredient candidate</x:v>
      </x:c>
      <x:c r="F1156" s="4" t="str">
        <x:f>IFERROR(INDEX('Material routes'!$E$6:$E$2205,MATCH(V1156,'Material routes'!$A$6:$A$2205,0)),"MISSING ID")</x:f>
        <x:v>Lidded cooking pan</x:v>
      </x:c>
      <x:c r="G1156" s="4" t="str">
        <x:f>IFERROR(INDEX('Material routes'!$F$6:$F$2205,MATCH(V1156,'Material routes'!$A$6:$A$2205,0)),"MISSING ID")</x:f>
        <x:v>Not applicable</x:v>
      </x:c>
      <x:c r="H1156" s="4" t="str">
        <x:f>IFERROR(INDEX('Material routes'!$H$6:$H$2205,MATCH(V1156,'Material routes'!$A$6:$A$2205,0)),"MISSING ID")</x:f>
        <x:v>Tool</x:v>
      </x:c>
      <x:c r="I1156" s="4" t="str">
        <x:f>IFERROR(INDEX('Material routes'!$G$6:$G$2205,MATCH(V1156,'Material routes'!$A$6:$A$2205,0)),"MISSING ID")</x:f>
        <x:v>Salvage</x:v>
      </x:c>
      <x:c r="J1156" s="4" t="str">
        <x:f>IFERROR(INDEX('Material routes'!$B$6:$B$2205,MATCH(U1156,'Material routes'!$A$6:$A$2205,0)),"MISSING ID")</x:f>
        <x:v>design.audit.proposal_fire_lidded_pan</x:v>
      </x:c>
      <x:c r="K1156" s="4" t="str">
        <x:f>IFERROR(INDEX('Crafting recipes'!$C$6:$C$1005,MATCH(J1156,'Crafting recipes'!$A$6:$A$1005,0)),"MISSING ID")</x:f>
        <x:v>Finished-item crafting</x:v>
      </x:c>
      <x:c r="L1156" s="4" t="str">
        <x:f>IFERROR(INDEX('Material routes'!$K$6:$K$2205,MATCH(U1156,'Material routes'!$A$6:$A$2205,0)),"MISSING ID")</x:f>
        <x:v>Proposal</x:v>
      </x:c>
      <x:c r="M1156" s="4" t="str">
        <x:f>IFERROR(INDEX('Material routes'!$M$6:$M$2205,MATCH(U1156,'Material routes'!$A$6:$A$2205,0)),"MISSING ID")</x:f>
        <x:v>Partial proposal</x:v>
      </x:c>
      <x:c r="N1156" s="4"/>
      <x:c r="O1156" s="4" t="str">
        <x:f>IFERROR(INDEX('Material routes'!$J$6:$J$2205,MATCH(U1156,'Material routes'!$A$6:$A$2205,0)),"MISSING ID")</x:f>
        <x:v>Unspecified</x:v>
      </x:c>
      <x:c r="P1156" s="4"/>
      <x:c r="Q1156" s="4" t="str">
        <x:f>IFERROR(INDEX('Material routes'!$J$6:$J$2205,MATCH(V1156,'Material routes'!$A$6:$A$2205,0)),"MISSING ID")</x:f>
        <x:v>Unspecified</x:v>
      </x:c>
      <x:c r="R1156" s="4" t="str">
        <x:f>IF(L1156="Withheld","Withheld premise",IF(E1156="Tool candidate","Reusable prerequisite",IF(K1156="Raw entry preparation","Entry-resource preparation",IF(G1156="Not applicable",IF(IFERROR(INDEX('Items'!$AI$6:$AI$1005,MATCH(T1156,'Items'!$A$6:$A$1005,0)),"MISSING ID")="Finished item","Finished endpoint",IF(IFERROR(INDEX('Items'!$AI$6:$AI$1005,MATCH(T1156,'Items'!$A$6:$A$1005,0)),"MISSING ID")="Currency","Currency / no refinement tier","Recovered output / tier not applicable")),IF(OR(IFERROR(INDEX('Crafting recipes'!$H$6:$H$1005,MATCH(J1156,'Crafting recipes'!$A$6:$A$1005,0)),"MISSING ID")="Unassigned",G1156="Unassigned"),"Tier unresolved",IF(IFERROR(VALUE(RIGHT(G1156,1))-VALUE(RIGHT(IFERROR(INDEX('Crafting recipes'!$H$6:$H$1005,MATCH(J1156,'Crafting recipes'!$A$6:$A$1005,0)),"MISSING ID"),1)),0)=1,IF(B1156=IFERROR(INDEX('Crafting recipes'!$H$6:$H$1005,MATCH(J1156,'Crafting recipes'!$A$6:$A$1005,0)),"MISSING ID"),"Advances one material tier","Lower-tier ingredient; route advances one tier"),"Needs tier review"))))))</x:f>
        <x:v>Finished endpoint</x:v>
      </x:c>
      <x:c r="S1156" s="4" t="str">
        <x:f>IFERROR(INDEX('Material routes'!$D$6:$D$2205,MATCH(U1156,'Material routes'!$A$6:$A$2205,0)),"MISSING ID")</x:f>
        <x:v>proposal.collection.annealed_iron_sheet_stock</x:v>
      </x:c>
      <x:c r="T1156" s="4" t="str">
        <x:f>IFERROR(INDEX('Material routes'!$D$6:$D$2205,MATCH(V1156,'Material routes'!$A$6:$A$2205,0)),"MISSING ID")</x:f>
        <x:v>proposal.fire.lidded_pan</x:v>
      </x:c>
      <x:c r="U1156" s="4" t="str">
        <x:v>design.audit.proposal_fire_lidded_pan.audit.in.1</x:v>
      </x:c>
      <x:c r="V1156" s="4" t="str">
        <x:v>design.audit.proposal_fire_lidded_pan.audit.out</x:v>
      </x:c>
    </x:row>
    <x:row r="1157" ht="64" customHeight="1">
      <x:c r="A1157" s="4" t="str">
        <x:f>IFERROR(INDEX('Material routes'!$E$6:$E$2205,MATCH(U1157,'Material routes'!$A$6:$A$2205,0)),"MISSING ID")</x:f>
        <x:v>Shaped metal grip blank</x:v>
      </x:c>
      <x:c r="B1157" s="4" t="str">
        <x:f>IFERROR(INDEX('Material routes'!$F$6:$F$2205,MATCH(U1157,'Material routes'!$A$6:$A$2205,0)),"MISSING ID")</x:f>
        <x:v>T3</x:v>
      </x:c>
      <x:c r="C1157" s="4" t="str">
        <x:f>IFERROR(INDEX('Material routes'!$H$6:$H$2205,MATCH(U1157,'Material routes'!$A$6:$A$2205,0)),"MISSING ID")</x:f>
        <x:v>Crafting component</x:v>
      </x:c>
      <x:c r="D1157" s="4" t="str">
        <x:f>IFERROR(INDEX('Material routes'!$G$6:$G$2205,MATCH(U1157,'Material routes'!$A$6:$A$2205,0)),"MISSING ID")</x:f>
        <x:v>Crafting components</x:v>
      </x:c>
      <x:c r="E1157" s="4" t="str">
        <x:f>IFERROR(INDEX('Material routes'!$C$6:$C$2205,MATCH(U1157,'Material routes'!$A$6:$A$2205,0)),"MISSING ID")</x:f>
        <x:v>Ingredient candidate</x:v>
      </x:c>
      <x:c r="F1157" s="4" t="str">
        <x:f>IFERROR(INDEX('Material routes'!$E$6:$E$2205,MATCH(V1157,'Material routes'!$A$6:$A$2205,0)),"MISSING ID")</x:f>
        <x:v>Lidded cooking pan</x:v>
      </x:c>
      <x:c r="G1157" s="4" t="str">
        <x:f>IFERROR(INDEX('Material routes'!$F$6:$F$2205,MATCH(V1157,'Material routes'!$A$6:$A$2205,0)),"MISSING ID")</x:f>
        <x:v>Not applicable</x:v>
      </x:c>
      <x:c r="H1157" s="4" t="str">
        <x:f>IFERROR(INDEX('Material routes'!$H$6:$H$2205,MATCH(V1157,'Material routes'!$A$6:$A$2205,0)),"MISSING ID")</x:f>
        <x:v>Tool</x:v>
      </x:c>
      <x:c r="I1157" s="4" t="str">
        <x:f>IFERROR(INDEX('Material routes'!$G$6:$G$2205,MATCH(V1157,'Material routes'!$A$6:$A$2205,0)),"MISSING ID")</x:f>
        <x:v>Salvage</x:v>
      </x:c>
      <x:c r="J1157" s="4" t="str">
        <x:f>IFERROR(INDEX('Material routes'!$B$6:$B$2205,MATCH(U1157,'Material routes'!$A$6:$A$2205,0)),"MISSING ID")</x:f>
        <x:v>design.audit.proposal_fire_lidded_pan</x:v>
      </x:c>
      <x:c r="K1157" s="4" t="str">
        <x:f>IFERROR(INDEX('Crafting recipes'!$C$6:$C$1005,MATCH(J1157,'Crafting recipes'!$A$6:$A$1005,0)),"MISSING ID")</x:f>
        <x:v>Finished-item crafting</x:v>
      </x:c>
      <x:c r="L1157" s="4" t="str">
        <x:f>IFERROR(INDEX('Material routes'!$K$6:$K$2205,MATCH(U1157,'Material routes'!$A$6:$A$2205,0)),"MISSING ID")</x:f>
        <x:v>Proposal</x:v>
      </x:c>
      <x:c r="M1157" s="4" t="str">
        <x:f>IFERROR(INDEX('Material routes'!$M$6:$M$2205,MATCH(U1157,'Material routes'!$A$6:$A$2205,0)),"MISSING ID")</x:f>
        <x:v>Partial proposal</x:v>
      </x:c>
      <x:c r="N1157" s="4"/>
      <x:c r="O1157" s="4" t="str">
        <x:f>IFERROR(INDEX('Material routes'!$J$6:$J$2205,MATCH(U1157,'Material routes'!$A$6:$A$2205,0)),"MISSING ID")</x:f>
        <x:v>Unspecified</x:v>
      </x:c>
      <x:c r="P1157" s="4"/>
      <x:c r="Q1157" s="4" t="str">
        <x:f>IFERROR(INDEX('Material routes'!$J$6:$J$2205,MATCH(V1157,'Material routes'!$A$6:$A$2205,0)),"MISSING ID")</x:f>
        <x:v>Unspecified</x:v>
      </x:c>
      <x:c r="R1157" s="4" t="str">
        <x:f>IF(L1157="Withheld","Withheld premise",IF(E1157="Tool candidate","Reusable prerequisite",IF(K1157="Raw entry preparation","Entry-resource preparation",IF(G1157="Not applicable",IF(IFERROR(INDEX('Items'!$AI$6:$AI$1005,MATCH(T1157,'Items'!$A$6:$A$1005,0)),"MISSING ID")="Finished item","Finished endpoint",IF(IFERROR(INDEX('Items'!$AI$6:$AI$1005,MATCH(T1157,'Items'!$A$6:$A$1005,0)),"MISSING ID")="Currency","Currency / no refinement tier","Recovered output / tier not applicable")),IF(OR(IFERROR(INDEX('Crafting recipes'!$H$6:$H$1005,MATCH(J1157,'Crafting recipes'!$A$6:$A$1005,0)),"MISSING ID")="Unassigned",G1157="Unassigned"),"Tier unresolved",IF(IFERROR(VALUE(RIGHT(G1157,1))-VALUE(RIGHT(IFERROR(INDEX('Crafting recipes'!$H$6:$H$1005,MATCH(J1157,'Crafting recipes'!$A$6:$A$1005,0)),"MISSING ID"),1)),0)=1,IF(B1157=IFERROR(INDEX('Crafting recipes'!$H$6:$H$1005,MATCH(J1157,'Crafting recipes'!$A$6:$A$1005,0)),"MISSING ID"),"Advances one material tier","Lower-tier ingredient; route advances one tier"),"Needs tier review"))))))</x:f>
        <x:v>Finished endpoint</x:v>
      </x:c>
      <x:c r="S1157" s="4" t="str">
        <x:f>IFERROR(INDEX('Material routes'!$D$6:$D$2205,MATCH(U1157,'Material routes'!$A$6:$A$2205,0)),"MISSING ID")</x:f>
        <x:v>proposal.audit.shaped_metal_grip_blank</x:v>
      </x:c>
      <x:c r="T1157" s="4" t="str">
        <x:f>IFERROR(INDEX('Material routes'!$D$6:$D$2205,MATCH(V1157,'Material routes'!$A$6:$A$2205,0)),"MISSING ID")</x:f>
        <x:v>proposal.fire.lidded_pan</x:v>
      </x:c>
      <x:c r="U1157" s="4" t="str">
        <x:v>design.audit.proposal_fire_lidded_pan.audit.in.2</x:v>
      </x:c>
      <x:c r="V1157" s="4" t="str">
        <x:v>design.audit.proposal_fire_lidded_pan.audit.out</x:v>
      </x:c>
    </x:row>
    <x:row r="1158" ht="64" customHeight="1">
      <x:c r="A1158" s="4" t="str">
        <x:f>IFERROR(INDEX('Material routes'!$E$6:$E$2205,MATCH(U1158,'Material routes'!$A$6:$A$2205,0)),"MISSING ID")</x:f>
        <x:v>Ceramic vessel lid</x:v>
      </x:c>
      <x:c r="B1158" s="4" t="str">
        <x:f>IFERROR(INDEX('Material routes'!$F$6:$F$2205,MATCH(U1158,'Material routes'!$A$6:$A$2205,0)),"MISSING ID")</x:f>
        <x:v>T3</x:v>
      </x:c>
      <x:c r="C1158" s="4" t="str">
        <x:f>IFERROR(INDEX('Material routes'!$H$6:$H$2205,MATCH(U1158,'Material routes'!$A$6:$A$2205,0)),"MISSING ID")</x:f>
        <x:v>Container part</x:v>
      </x:c>
      <x:c r="D1158" s="4" t="str">
        <x:f>IFERROR(INDEX('Material routes'!$G$6:$G$2205,MATCH(U1158,'Material routes'!$A$6:$A$2205,0)),"MISSING ID")</x:f>
        <x:v>Crafting components</x:v>
      </x:c>
      <x:c r="E1158" s="4" t="str">
        <x:f>IFERROR(INDEX('Material routes'!$C$6:$C$2205,MATCH(U1158,'Material routes'!$A$6:$A$2205,0)),"MISSING ID")</x:f>
        <x:v>Ingredient candidate</x:v>
      </x:c>
      <x:c r="F1158" s="4" t="str">
        <x:f>IFERROR(INDEX('Material routes'!$E$6:$E$2205,MATCH(V1158,'Material routes'!$A$6:$A$2205,0)),"MISSING ID")</x:f>
        <x:v>Lidded cooking pan</x:v>
      </x:c>
      <x:c r="G1158" s="4" t="str">
        <x:f>IFERROR(INDEX('Material routes'!$F$6:$F$2205,MATCH(V1158,'Material routes'!$A$6:$A$2205,0)),"MISSING ID")</x:f>
        <x:v>Not applicable</x:v>
      </x:c>
      <x:c r="H1158" s="4" t="str">
        <x:f>IFERROR(INDEX('Material routes'!$H$6:$H$2205,MATCH(V1158,'Material routes'!$A$6:$A$2205,0)),"MISSING ID")</x:f>
        <x:v>Tool</x:v>
      </x:c>
      <x:c r="I1158" s="4" t="str">
        <x:f>IFERROR(INDEX('Material routes'!$G$6:$G$2205,MATCH(V1158,'Material routes'!$A$6:$A$2205,0)),"MISSING ID")</x:f>
        <x:v>Salvage</x:v>
      </x:c>
      <x:c r="J1158" s="4" t="str">
        <x:f>IFERROR(INDEX('Material routes'!$B$6:$B$2205,MATCH(U1158,'Material routes'!$A$6:$A$2205,0)),"MISSING ID")</x:f>
        <x:v>design.audit.proposal_fire_lidded_pan</x:v>
      </x:c>
      <x:c r="K1158" s="4" t="str">
        <x:f>IFERROR(INDEX('Crafting recipes'!$C$6:$C$1005,MATCH(J1158,'Crafting recipes'!$A$6:$A$1005,0)),"MISSING ID")</x:f>
        <x:v>Finished-item crafting</x:v>
      </x:c>
      <x:c r="L1158" s="4" t="str">
        <x:f>IFERROR(INDEX('Material routes'!$K$6:$K$2205,MATCH(U1158,'Material routes'!$A$6:$A$2205,0)),"MISSING ID")</x:f>
        <x:v>Proposal</x:v>
      </x:c>
      <x:c r="M1158" s="4" t="str">
        <x:f>IFERROR(INDEX('Material routes'!$M$6:$M$2205,MATCH(U1158,'Material routes'!$A$6:$A$2205,0)),"MISSING ID")</x:f>
        <x:v>Partial proposal</x:v>
      </x:c>
      <x:c r="N1158" s="4"/>
      <x:c r="O1158" s="4" t="str">
        <x:f>IFERROR(INDEX('Material routes'!$J$6:$J$2205,MATCH(U1158,'Material routes'!$A$6:$A$2205,0)),"MISSING ID")</x:f>
        <x:v>Unspecified</x:v>
      </x:c>
      <x:c r="P1158" s="4"/>
      <x:c r="Q1158" s="4" t="str">
        <x:f>IFERROR(INDEX('Material routes'!$J$6:$J$2205,MATCH(V1158,'Material routes'!$A$6:$A$2205,0)),"MISSING ID")</x:f>
        <x:v>Unspecified</x:v>
      </x:c>
      <x:c r="R1158" s="4" t="str">
        <x:f>IF(L1158="Withheld","Withheld premise",IF(E1158="Tool candidate","Reusable prerequisite",IF(K1158="Raw entry preparation","Entry-resource preparation",IF(G1158="Not applicable",IF(IFERROR(INDEX('Items'!$AI$6:$AI$1005,MATCH(T1158,'Items'!$A$6:$A$1005,0)),"MISSING ID")="Finished item","Finished endpoint",IF(IFERROR(INDEX('Items'!$AI$6:$AI$1005,MATCH(T1158,'Items'!$A$6:$A$1005,0)),"MISSING ID")="Currency","Currency / no refinement tier","Recovered output / tier not applicable")),IF(OR(IFERROR(INDEX('Crafting recipes'!$H$6:$H$1005,MATCH(J1158,'Crafting recipes'!$A$6:$A$1005,0)),"MISSING ID")="Unassigned",G1158="Unassigned"),"Tier unresolved",IF(IFERROR(VALUE(RIGHT(G1158,1))-VALUE(RIGHT(IFERROR(INDEX('Crafting recipes'!$H$6:$H$1005,MATCH(J1158,'Crafting recipes'!$A$6:$A$1005,0)),"MISSING ID"),1)),0)=1,IF(B1158=IFERROR(INDEX('Crafting recipes'!$H$6:$H$1005,MATCH(J1158,'Crafting recipes'!$A$6:$A$1005,0)),"MISSING ID"),"Advances one material tier","Lower-tier ingredient; route advances one tier"),"Needs tier review"))))))</x:f>
        <x:v>Finished endpoint</x:v>
      </x:c>
      <x:c r="S1158" s="4" t="str">
        <x:f>IFERROR(INDEX('Material routes'!$D$6:$D$2205,MATCH(U1158,'Material routes'!$A$6:$A$2205,0)),"MISSING ID")</x:f>
        <x:v>proposal.ceramic.lid</x:v>
      </x:c>
      <x:c r="T1158" s="4" t="str">
        <x:f>IFERROR(INDEX('Material routes'!$D$6:$D$2205,MATCH(V1158,'Material routes'!$A$6:$A$2205,0)),"MISSING ID")</x:f>
        <x:v>proposal.fire.lidded_pan</x:v>
      </x:c>
      <x:c r="U1158" s="4" t="str">
        <x:v>design.audit.proposal_fire_lidded_pan.audit.in.3</x:v>
      </x:c>
      <x:c r="V1158" s="4" t="str">
        <x:v>design.audit.proposal_fire_lidded_pan.audit.out</x:v>
      </x:c>
    </x:row>
    <x:row r="1159" ht="64" customHeight="1">
      <x:c r="A1159" s="4" t="str">
        <x:f>IFERROR(INDEX('Material routes'!$E$6:$E$2205,MATCH(U1159,'Material routes'!$A$6:$A$2205,0)),"MISSING ID")</x:f>
        <x:v>Steel stock</x:v>
      </x:c>
      <x:c r="B1159" s="4" t="str">
        <x:f>IFERROR(INDEX('Material routes'!$F$6:$F$2205,MATCH(U1159,'Material routes'!$A$6:$A$2205,0)),"MISSING ID")</x:f>
        <x:v>T2</x:v>
      </x:c>
      <x:c r="C1159" s="4" t="str">
        <x:f>IFERROR(INDEX('Material routes'!$H$6:$H$2205,MATCH(U1159,'Material routes'!$A$6:$A$2205,0)),"MISSING ID")</x:f>
        <x:v>Processed material</x:v>
      </x:c>
      <x:c r="D1159" s="4" t="str">
        <x:f>IFERROR(INDEX('Material routes'!$G$6:$G$2205,MATCH(U1159,'Material routes'!$A$6:$A$2205,0)),"MISSING ID")</x:f>
        <x:v>Manufactured stock</x:v>
      </x:c>
      <x:c r="E1159" s="4" t="str">
        <x:f>IFERROR(INDEX('Material routes'!$C$6:$C$2205,MATCH(U1159,'Material routes'!$A$6:$A$2205,0)),"MISSING ID")</x:f>
        <x:v>Ingredient candidate</x:v>
      </x:c>
      <x:c r="F1159" s="4" t="str">
        <x:f>IFERROR(INDEX('Material routes'!$E$6:$E$2205,MATCH(V1159,'Material routes'!$A$6:$A$2205,0)),"MISSING ID")</x:f>
        <x:v>Cooking rack</x:v>
      </x:c>
      <x:c r="G1159" s="4" t="str">
        <x:f>IFERROR(INDEX('Material routes'!$F$6:$F$2205,MATCH(V1159,'Material routes'!$A$6:$A$2205,0)),"MISSING ID")</x:f>
        <x:v>Not applicable</x:v>
      </x:c>
      <x:c r="H1159" s="4" t="str">
        <x:f>IFERROR(INDEX('Material routes'!$H$6:$H$2205,MATCH(V1159,'Material routes'!$A$6:$A$2205,0)),"MISSING ID")</x:f>
        <x:v>Tool</x:v>
      </x:c>
      <x:c r="I1159" s="4" t="str">
        <x:f>IFERROR(INDEX('Material routes'!$G$6:$G$2205,MATCH(V1159,'Material routes'!$A$6:$A$2205,0)),"MISSING ID")</x:f>
        <x:v>Salvage</x:v>
      </x:c>
      <x:c r="J1159" s="4" t="str">
        <x:f>IFERROR(INDEX('Material routes'!$B$6:$B$2205,MATCH(U1159,'Material routes'!$A$6:$A$2205,0)),"MISSING ID")</x:f>
        <x:v>design.audit.proposal_fire_rack</x:v>
      </x:c>
      <x:c r="K1159" s="4" t="str">
        <x:f>IFERROR(INDEX('Crafting recipes'!$C$6:$C$1005,MATCH(J1159,'Crafting recipes'!$A$6:$A$1005,0)),"MISSING ID")</x:f>
        <x:v>Finished-item crafting</x:v>
      </x:c>
      <x:c r="L1159" s="4" t="str">
        <x:f>IFERROR(INDEX('Material routes'!$K$6:$K$2205,MATCH(U1159,'Material routes'!$A$6:$A$2205,0)),"MISSING ID")</x:f>
        <x:v>Proposal</x:v>
      </x:c>
      <x:c r="M1159" s="4" t="str">
        <x:f>IFERROR(INDEX('Material routes'!$M$6:$M$2205,MATCH(U1159,'Material routes'!$A$6:$A$2205,0)),"MISSING ID")</x:f>
        <x:v>Partial proposal</x:v>
      </x:c>
      <x:c r="N1159" s="4"/>
      <x:c r="O1159" s="4" t="str">
        <x:f>IFERROR(INDEX('Material routes'!$J$6:$J$2205,MATCH(U1159,'Material routes'!$A$6:$A$2205,0)),"MISSING ID")</x:f>
        <x:v>Unspecified</x:v>
      </x:c>
      <x:c r="P1159" s="4"/>
      <x:c r="Q1159" s="4" t="str">
        <x:f>IFERROR(INDEX('Material routes'!$J$6:$J$2205,MATCH(V1159,'Material routes'!$A$6:$A$2205,0)),"MISSING ID")</x:f>
        <x:v>Unspecified</x:v>
      </x:c>
      <x:c r="R1159" s="4" t="str">
        <x:f>IF(L1159="Withheld","Withheld premise",IF(E1159="Tool candidate","Reusable prerequisite",IF(K1159="Raw entry preparation","Entry-resource preparation",IF(G1159="Not applicable",IF(IFERROR(INDEX('Items'!$AI$6:$AI$1005,MATCH(T1159,'Items'!$A$6:$A$1005,0)),"MISSING ID")="Finished item","Finished endpoint",IF(IFERROR(INDEX('Items'!$AI$6:$AI$1005,MATCH(T1159,'Items'!$A$6:$A$1005,0)),"MISSING ID")="Currency","Currency / no refinement tier","Recovered output / tier not applicable")),IF(OR(IFERROR(INDEX('Crafting recipes'!$H$6:$H$1005,MATCH(J1159,'Crafting recipes'!$A$6:$A$1005,0)),"MISSING ID")="Unassigned",G1159="Unassigned"),"Tier unresolved",IF(IFERROR(VALUE(RIGHT(G1159,1))-VALUE(RIGHT(IFERROR(INDEX('Crafting recipes'!$H$6:$H$1005,MATCH(J1159,'Crafting recipes'!$A$6:$A$1005,0)),"MISSING ID"),1)),0)=1,IF(B1159=IFERROR(INDEX('Crafting recipes'!$H$6:$H$1005,MATCH(J1159,'Crafting recipes'!$A$6:$A$1005,0)),"MISSING ID"),"Advances one material tier","Lower-tier ingredient; route advances one tier"),"Needs tier review"))))))</x:f>
        <x:v>Finished endpoint</x:v>
      </x:c>
      <x:c r="S1159" s="4" t="str">
        <x:f>IFERROR(INDEX('Material routes'!$D$6:$D$2205,MATCH(U1159,'Material routes'!$A$6:$A$2205,0)),"MISSING ID")</x:f>
        <x:v>author.metallurgy.steel_stock</x:v>
      </x:c>
      <x:c r="T1159" s="4" t="str">
        <x:f>IFERROR(INDEX('Material routes'!$D$6:$D$2205,MATCH(V1159,'Material routes'!$A$6:$A$2205,0)),"MISSING ID")</x:f>
        <x:v>proposal.fire.rack</x:v>
      </x:c>
      <x:c r="U1159" s="4" t="str">
        <x:v>design.audit.proposal_fire_rack.audit.in.1</x:v>
      </x:c>
      <x:c r="V1159" s="4" t="str">
        <x:v>design.audit.proposal_fire_rack.audit.out</x:v>
      </x:c>
    </x:row>
    <x:row r="1160" ht="64" customHeight="1">
      <x:c r="A1160" s="4" t="str">
        <x:f>IFERROR(INDEX('Material routes'!$E$6:$E$2205,MATCH(U1160,'Material routes'!$A$6:$A$2205,0)),"MISSING ID")</x:f>
        <x:v>Worked iron stock</x:v>
      </x:c>
      <x:c r="B1160" s="4" t="str">
        <x:f>IFERROR(INDEX('Material routes'!$F$6:$F$2205,MATCH(U1160,'Material routes'!$A$6:$A$2205,0)),"MISSING ID")</x:f>
        <x:v>T2</x:v>
      </x:c>
      <x:c r="C1160" s="4" t="str">
        <x:f>IFERROR(INDEX('Material routes'!$H$6:$H$2205,MATCH(U1160,'Material routes'!$A$6:$A$2205,0)),"MISSING ID")</x:f>
        <x:v>Processed material</x:v>
      </x:c>
      <x:c r="D1160" s="4" t="str">
        <x:f>IFERROR(INDEX('Material routes'!$G$6:$G$2205,MATCH(U1160,'Material routes'!$A$6:$A$2205,0)),"MISSING ID")</x:f>
        <x:v>Manufactured stock</x:v>
      </x:c>
      <x:c r="E1160" s="4" t="str">
        <x:f>IFERROR(INDEX('Material routes'!$C$6:$C$2205,MATCH(U1160,'Material routes'!$A$6:$A$2205,0)),"MISSING ID")</x:f>
        <x:v>Ingredient candidate</x:v>
      </x:c>
      <x:c r="F1160" s="4" t="str">
        <x:f>IFERROR(INDEX('Material routes'!$E$6:$E$2205,MATCH(V1160,'Material routes'!$A$6:$A$2205,0)),"MISSING ID")</x:f>
        <x:v>Cooking pot stand</x:v>
      </x:c>
      <x:c r="G1160" s="4" t="str">
        <x:f>IFERROR(INDEX('Material routes'!$F$6:$F$2205,MATCH(V1160,'Material routes'!$A$6:$A$2205,0)),"MISSING ID")</x:f>
        <x:v>Not applicable</x:v>
      </x:c>
      <x:c r="H1160" s="4" t="str">
        <x:f>IFERROR(INDEX('Material routes'!$H$6:$H$2205,MATCH(V1160,'Material routes'!$A$6:$A$2205,0)),"MISSING ID")</x:f>
        <x:v>Tool</x:v>
      </x:c>
      <x:c r="I1160" s="4" t="str">
        <x:f>IFERROR(INDEX('Material routes'!$G$6:$G$2205,MATCH(V1160,'Material routes'!$A$6:$A$2205,0)),"MISSING ID")</x:f>
        <x:v>Salvage</x:v>
      </x:c>
      <x:c r="J1160" s="4" t="str">
        <x:f>IFERROR(INDEX('Material routes'!$B$6:$B$2205,MATCH(U1160,'Material routes'!$A$6:$A$2205,0)),"MISSING ID")</x:f>
        <x:v>design.audit.proposal_fire_pot_stand</x:v>
      </x:c>
      <x:c r="K1160" s="4" t="str">
        <x:f>IFERROR(INDEX('Crafting recipes'!$C$6:$C$1005,MATCH(J1160,'Crafting recipes'!$A$6:$A$1005,0)),"MISSING ID")</x:f>
        <x:v>Finished-item crafting</x:v>
      </x:c>
      <x:c r="L1160" s="4" t="str">
        <x:f>IFERROR(INDEX('Material routes'!$K$6:$K$2205,MATCH(U1160,'Material routes'!$A$6:$A$2205,0)),"MISSING ID")</x:f>
        <x:v>Proposal</x:v>
      </x:c>
      <x:c r="M1160" s="4" t="str">
        <x:f>IFERROR(INDEX('Material routes'!$M$6:$M$2205,MATCH(U1160,'Material routes'!$A$6:$A$2205,0)),"MISSING ID")</x:f>
        <x:v>Partial proposal</x:v>
      </x:c>
      <x:c r="N1160" s="4"/>
      <x:c r="O1160" s="4" t="str">
        <x:f>IFERROR(INDEX('Material routes'!$J$6:$J$2205,MATCH(U1160,'Material routes'!$A$6:$A$2205,0)),"MISSING ID")</x:f>
        <x:v>Unspecified</x:v>
      </x:c>
      <x:c r="P1160" s="4"/>
      <x:c r="Q1160" s="4" t="str">
        <x:f>IFERROR(INDEX('Material routes'!$J$6:$J$2205,MATCH(V1160,'Material routes'!$A$6:$A$2205,0)),"MISSING ID")</x:f>
        <x:v>Unspecified</x:v>
      </x:c>
      <x:c r="R1160" s="4" t="str">
        <x:f>IF(L1160="Withheld","Withheld premise",IF(E1160="Tool candidate","Reusable prerequisite",IF(K1160="Raw entry preparation","Entry-resource preparation",IF(G1160="Not applicable",IF(IFERROR(INDEX('Items'!$AI$6:$AI$1005,MATCH(T1160,'Items'!$A$6:$A$1005,0)),"MISSING ID")="Finished item","Finished endpoint",IF(IFERROR(INDEX('Items'!$AI$6:$AI$1005,MATCH(T1160,'Items'!$A$6:$A$1005,0)),"MISSING ID")="Currency","Currency / no refinement tier","Recovered output / tier not applicable")),IF(OR(IFERROR(INDEX('Crafting recipes'!$H$6:$H$1005,MATCH(J1160,'Crafting recipes'!$A$6:$A$1005,0)),"MISSING ID")="Unassigned",G1160="Unassigned"),"Tier unresolved",IF(IFERROR(VALUE(RIGHT(G1160,1))-VALUE(RIGHT(IFERROR(INDEX('Crafting recipes'!$H$6:$H$1005,MATCH(J1160,'Crafting recipes'!$A$6:$A$1005,0)),"MISSING ID"),1)),0)=1,IF(B1160=IFERROR(INDEX('Crafting recipes'!$H$6:$H$1005,MATCH(J1160,'Crafting recipes'!$A$6:$A$1005,0)),"MISSING ID"),"Advances one material tier","Lower-tier ingredient; route advances one tier"),"Needs tier review"))))))</x:f>
        <x:v>Finished endpoint</x:v>
      </x:c>
      <x:c r="S1160" s="4" t="str">
        <x:f>IFERROR(INDEX('Material routes'!$D$6:$D$2205,MATCH(U1160,'Material routes'!$A$6:$A$2205,0)),"MISSING ID")</x:f>
        <x:v>proposal.natural.iron_stock</x:v>
      </x:c>
      <x:c r="T1160" s="4" t="str">
        <x:f>IFERROR(INDEX('Material routes'!$D$6:$D$2205,MATCH(V1160,'Material routes'!$A$6:$A$2205,0)),"MISSING ID")</x:f>
        <x:v>proposal.fire.pot_stand</x:v>
      </x:c>
      <x:c r="U1160" s="4" t="str">
        <x:v>design.audit.proposal_fire_pot_stand.audit.in.1</x:v>
      </x:c>
      <x:c r="V1160" s="4" t="str">
        <x:v>design.audit.proposal_fire_pot_stand.audit.out</x:v>
      </x:c>
    </x:row>
    <x:row r="1161" ht="64" customHeight="1">
      <x:c r="A1161" s="4" t="str">
        <x:f>IFERROR(INDEX('Material routes'!$E$6:$E$2205,MATCH(U1161,'Material routes'!$A$6:$A$2205,0)),"MISSING ID")</x:f>
        <x:v>Steel stock</x:v>
      </x:c>
      <x:c r="B1161" s="4" t="str">
        <x:f>IFERROR(INDEX('Material routes'!$F$6:$F$2205,MATCH(U1161,'Material routes'!$A$6:$A$2205,0)),"MISSING ID")</x:f>
        <x:v>T2</x:v>
      </x:c>
      <x:c r="C1161" s="4" t="str">
        <x:f>IFERROR(INDEX('Material routes'!$H$6:$H$2205,MATCH(U1161,'Material routes'!$A$6:$A$2205,0)),"MISSING ID")</x:f>
        <x:v>Processed material</x:v>
      </x:c>
      <x:c r="D1161" s="4" t="str">
        <x:f>IFERROR(INDEX('Material routes'!$G$6:$G$2205,MATCH(U1161,'Material routes'!$A$6:$A$2205,0)),"MISSING ID")</x:f>
        <x:v>Manufactured stock</x:v>
      </x:c>
      <x:c r="E1161" s="4" t="str">
        <x:f>IFERROR(INDEX('Material routes'!$C$6:$C$2205,MATCH(U1161,'Material routes'!$A$6:$A$2205,0)),"MISSING ID")</x:f>
        <x:v>Ingredient candidate</x:v>
      </x:c>
      <x:c r="F1161" s="4" t="str">
        <x:f>IFERROR(INDEX('Material routes'!$E$6:$E$2205,MATCH(V1161,'Material routes'!$A$6:$A$2205,0)),"MISSING ID")</x:f>
        <x:v>Cooking tongs</x:v>
      </x:c>
      <x:c r="G1161" s="4" t="str">
        <x:f>IFERROR(INDEX('Material routes'!$F$6:$F$2205,MATCH(V1161,'Material routes'!$A$6:$A$2205,0)),"MISSING ID")</x:f>
        <x:v>Not applicable</x:v>
      </x:c>
      <x:c r="H1161" s="4" t="str">
        <x:f>IFERROR(INDEX('Material routes'!$H$6:$H$2205,MATCH(V1161,'Material routes'!$A$6:$A$2205,0)),"MISSING ID")</x:f>
        <x:v>Tool</x:v>
      </x:c>
      <x:c r="I1161" s="4" t="str">
        <x:f>IFERROR(INDEX('Material routes'!$G$6:$G$2205,MATCH(V1161,'Material routes'!$A$6:$A$2205,0)),"MISSING ID")</x:f>
        <x:v>Salvage</x:v>
      </x:c>
      <x:c r="J1161" s="4" t="str">
        <x:f>IFERROR(INDEX('Material routes'!$B$6:$B$2205,MATCH(U1161,'Material routes'!$A$6:$A$2205,0)),"MISSING ID")</x:f>
        <x:v>design.audit.proposal_fire_tongs</x:v>
      </x:c>
      <x:c r="K1161" s="4" t="str">
        <x:f>IFERROR(INDEX('Crafting recipes'!$C$6:$C$1005,MATCH(J1161,'Crafting recipes'!$A$6:$A$1005,0)),"MISSING ID")</x:f>
        <x:v>Finished-item crafting</x:v>
      </x:c>
      <x:c r="L1161" s="4" t="str">
        <x:f>IFERROR(INDEX('Material routes'!$K$6:$K$2205,MATCH(U1161,'Material routes'!$A$6:$A$2205,0)),"MISSING ID")</x:f>
        <x:v>Proposal</x:v>
      </x:c>
      <x:c r="M1161" s="4" t="str">
        <x:f>IFERROR(INDEX('Material routes'!$M$6:$M$2205,MATCH(U1161,'Material routes'!$A$6:$A$2205,0)),"MISSING ID")</x:f>
        <x:v>Partial proposal</x:v>
      </x:c>
      <x:c r="N1161" s="4"/>
      <x:c r="O1161" s="4" t="str">
        <x:f>IFERROR(INDEX('Material routes'!$J$6:$J$2205,MATCH(U1161,'Material routes'!$A$6:$A$2205,0)),"MISSING ID")</x:f>
        <x:v>Unspecified</x:v>
      </x:c>
      <x:c r="P1161" s="4"/>
      <x:c r="Q1161" s="4" t="str">
        <x:f>IFERROR(INDEX('Material routes'!$J$6:$J$2205,MATCH(V1161,'Material routes'!$A$6:$A$2205,0)),"MISSING ID")</x:f>
        <x:v>Unspecified</x:v>
      </x:c>
      <x:c r="R1161" s="4" t="str">
        <x:f>IF(L1161="Withheld","Withheld premise",IF(E1161="Tool candidate","Reusable prerequisite",IF(K1161="Raw entry preparation","Entry-resource preparation",IF(G1161="Not applicable",IF(IFERROR(INDEX('Items'!$AI$6:$AI$1005,MATCH(T1161,'Items'!$A$6:$A$1005,0)),"MISSING ID")="Finished item","Finished endpoint",IF(IFERROR(INDEX('Items'!$AI$6:$AI$1005,MATCH(T1161,'Items'!$A$6:$A$1005,0)),"MISSING ID")="Currency","Currency / no refinement tier","Recovered output / tier not applicable")),IF(OR(IFERROR(INDEX('Crafting recipes'!$H$6:$H$1005,MATCH(J1161,'Crafting recipes'!$A$6:$A$1005,0)),"MISSING ID")="Unassigned",G1161="Unassigned"),"Tier unresolved",IF(IFERROR(VALUE(RIGHT(G1161,1))-VALUE(RIGHT(IFERROR(INDEX('Crafting recipes'!$H$6:$H$1005,MATCH(J1161,'Crafting recipes'!$A$6:$A$1005,0)),"MISSING ID"),1)),0)=1,IF(B1161=IFERROR(INDEX('Crafting recipes'!$H$6:$H$1005,MATCH(J1161,'Crafting recipes'!$A$6:$A$1005,0)),"MISSING ID"),"Advances one material tier","Lower-tier ingredient; route advances one tier"),"Needs tier review"))))))</x:f>
        <x:v>Finished endpoint</x:v>
      </x:c>
      <x:c r="S1161" s="4" t="str">
        <x:f>IFERROR(INDEX('Material routes'!$D$6:$D$2205,MATCH(U1161,'Material routes'!$A$6:$A$2205,0)),"MISSING ID")</x:f>
        <x:v>author.metallurgy.steel_stock</x:v>
      </x:c>
      <x:c r="T1161" s="4" t="str">
        <x:f>IFERROR(INDEX('Material routes'!$D$6:$D$2205,MATCH(V1161,'Material routes'!$A$6:$A$2205,0)),"MISSING ID")</x:f>
        <x:v>proposal.fire.tongs</x:v>
      </x:c>
      <x:c r="U1161" s="4" t="str">
        <x:v>design.audit.proposal_fire_tongs.audit.in.1</x:v>
      </x:c>
      <x:c r="V1161" s="4" t="str">
        <x:v>design.audit.proposal_fire_tongs.audit.out</x:v>
      </x:c>
    </x:row>
    <x:row r="1162" ht="64" customHeight="1">
      <x:c r="A1162" s="4" t="str">
        <x:f>IFERROR(INDEX('Material routes'!$E$6:$E$2205,MATCH(U1162,'Material routes'!$A$6:$A$2205,0)),"MISSING ID")</x:f>
        <x:v>Replaceable joint pin</x:v>
      </x:c>
      <x:c r="B1162" s="4" t="str">
        <x:f>IFERROR(INDEX('Material routes'!$F$6:$F$2205,MATCH(U1162,'Material routes'!$A$6:$A$2205,0)),"MISSING ID")</x:f>
        <x:v>T3</x:v>
      </x:c>
      <x:c r="C1162" s="4" t="str">
        <x:f>IFERROR(INDEX('Material routes'!$H$6:$H$2205,MATCH(U1162,'Material routes'!$A$6:$A$2205,0)),"MISSING ID")</x:f>
        <x:v>Crafting component</x:v>
      </x:c>
      <x:c r="D1162" s="4" t="str">
        <x:f>IFERROR(INDEX('Material routes'!$G$6:$G$2205,MATCH(U1162,'Material routes'!$A$6:$A$2205,0)),"MISSING ID")</x:f>
        <x:v>Crafting components</x:v>
      </x:c>
      <x:c r="E1162" s="4" t="str">
        <x:f>IFERROR(INDEX('Material routes'!$C$6:$C$2205,MATCH(U1162,'Material routes'!$A$6:$A$2205,0)),"MISSING ID")</x:f>
        <x:v>Ingredient candidate</x:v>
      </x:c>
      <x:c r="F1162" s="4" t="str">
        <x:f>IFERROR(INDEX('Material routes'!$E$6:$E$2205,MATCH(V1162,'Material routes'!$A$6:$A$2205,0)),"MISSING ID")</x:f>
        <x:v>Cooking tongs</x:v>
      </x:c>
      <x:c r="G1162" s="4" t="str">
        <x:f>IFERROR(INDEX('Material routes'!$F$6:$F$2205,MATCH(V1162,'Material routes'!$A$6:$A$2205,0)),"MISSING ID")</x:f>
        <x:v>Not applicable</x:v>
      </x:c>
      <x:c r="H1162" s="4" t="str">
        <x:f>IFERROR(INDEX('Material routes'!$H$6:$H$2205,MATCH(V1162,'Material routes'!$A$6:$A$2205,0)),"MISSING ID")</x:f>
        <x:v>Tool</x:v>
      </x:c>
      <x:c r="I1162" s="4" t="str">
        <x:f>IFERROR(INDEX('Material routes'!$G$6:$G$2205,MATCH(V1162,'Material routes'!$A$6:$A$2205,0)),"MISSING ID")</x:f>
        <x:v>Salvage</x:v>
      </x:c>
      <x:c r="J1162" s="4" t="str">
        <x:f>IFERROR(INDEX('Material routes'!$B$6:$B$2205,MATCH(U1162,'Material routes'!$A$6:$A$2205,0)),"MISSING ID")</x:f>
        <x:v>design.audit.proposal_fire_tongs</x:v>
      </x:c>
      <x:c r="K1162" s="4" t="str">
        <x:f>IFERROR(INDEX('Crafting recipes'!$C$6:$C$1005,MATCH(J1162,'Crafting recipes'!$A$6:$A$1005,0)),"MISSING ID")</x:f>
        <x:v>Finished-item crafting</x:v>
      </x:c>
      <x:c r="L1162" s="4" t="str">
        <x:f>IFERROR(INDEX('Material routes'!$K$6:$K$2205,MATCH(U1162,'Material routes'!$A$6:$A$2205,0)),"MISSING ID")</x:f>
        <x:v>Proposal</x:v>
      </x:c>
      <x:c r="M1162" s="4" t="str">
        <x:f>IFERROR(INDEX('Material routes'!$M$6:$M$2205,MATCH(U1162,'Material routes'!$A$6:$A$2205,0)),"MISSING ID")</x:f>
        <x:v>Partial proposal</x:v>
      </x:c>
      <x:c r="N1162" s="4"/>
      <x:c r="O1162" s="4" t="str">
        <x:f>IFERROR(INDEX('Material routes'!$J$6:$J$2205,MATCH(U1162,'Material routes'!$A$6:$A$2205,0)),"MISSING ID")</x:f>
        <x:v>Unspecified</x:v>
      </x:c>
      <x:c r="P1162" s="4"/>
      <x:c r="Q1162" s="4" t="str">
        <x:f>IFERROR(INDEX('Material routes'!$J$6:$J$2205,MATCH(V1162,'Material routes'!$A$6:$A$2205,0)),"MISSING ID")</x:f>
        <x:v>Unspecified</x:v>
      </x:c>
      <x:c r="R1162" s="4" t="str">
        <x:f>IF(L1162="Withheld","Withheld premise",IF(E1162="Tool candidate","Reusable prerequisite",IF(K1162="Raw entry preparation","Entry-resource preparation",IF(G1162="Not applicable",IF(IFERROR(INDEX('Items'!$AI$6:$AI$1005,MATCH(T1162,'Items'!$A$6:$A$1005,0)),"MISSING ID")="Finished item","Finished endpoint",IF(IFERROR(INDEX('Items'!$AI$6:$AI$1005,MATCH(T1162,'Items'!$A$6:$A$1005,0)),"MISSING ID")="Currency","Currency / no refinement tier","Recovered output / tier not applicable")),IF(OR(IFERROR(INDEX('Crafting recipes'!$H$6:$H$1005,MATCH(J1162,'Crafting recipes'!$A$6:$A$1005,0)),"MISSING ID")="Unassigned",G1162="Unassigned"),"Tier unresolved",IF(IFERROR(VALUE(RIGHT(G1162,1))-VALUE(RIGHT(IFERROR(INDEX('Crafting recipes'!$H$6:$H$1005,MATCH(J1162,'Crafting recipes'!$A$6:$A$1005,0)),"MISSING ID"),1)),0)=1,IF(B1162=IFERROR(INDEX('Crafting recipes'!$H$6:$H$1005,MATCH(J1162,'Crafting recipes'!$A$6:$A$1005,0)),"MISSING ID"),"Advances one material tier","Lower-tier ingredient; route advances one tier"),"Needs tier review"))))))</x:f>
        <x:v>Finished endpoint</x:v>
      </x:c>
      <x:c r="S1162" s="4" t="str">
        <x:f>IFERROR(INDEX('Material routes'!$D$6:$D$2205,MATCH(U1162,'Material routes'!$A$6:$A$2205,0)),"MISSING ID")</x:f>
        <x:v>proposal.legger.joint_pin</x:v>
      </x:c>
      <x:c r="T1162" s="4" t="str">
        <x:f>IFERROR(INDEX('Material routes'!$D$6:$D$2205,MATCH(V1162,'Material routes'!$A$6:$A$2205,0)),"MISSING ID")</x:f>
        <x:v>proposal.fire.tongs</x:v>
      </x:c>
      <x:c r="U1162" s="4" t="str">
        <x:v>design.audit.proposal_fire_tongs.audit.in.2</x:v>
      </x:c>
      <x:c r="V1162" s="4" t="str">
        <x:v>design.audit.proposal_fire_tongs.audit.out</x:v>
      </x:c>
    </x:row>
    <x:row r="1163" ht="64" customHeight="1">
      <x:c r="A1163" s="4"/>
      <x:c r="B1163" s="4"/>
      <x:c r="C1163" s="4"/>
      <x:c r="D1163" s="4"/>
      <x:c r="E1163" s="4"/>
      <x:c r="F1163" s="4"/>
      <x:c r="G1163" s="4"/>
      <x:c r="H1163" s="4"/>
      <x:c r="I1163" s="4"/>
      <x:c r="J1163" s="4"/>
      <x:c r="K1163" s="4"/>
      <x:c r="L1163" s="4"/>
      <x:c r="M1163" s="4"/>
      <x:c r="N1163" s="4"/>
      <x:c r="P1163" s="4"/>
      <x:c r="R1163" s="4"/>
      <x:c r="S1163" s="4"/>
      <x:c r="T1163" s="4"/>
      <x:c r="U1163" s="4"/>
      <x:c r="V1163" s="4"/>
    </x:row>
    <x:row r="1164" ht="64" customHeight="1">
      <x:c r="A1164" s="4"/>
      <x:c r="B1164" s="4"/>
      <x:c r="C1164" s="4"/>
      <x:c r="D1164" s="4"/>
      <x:c r="E1164" s="4"/>
      <x:c r="F1164" s="4"/>
      <x:c r="G1164" s="4"/>
      <x:c r="H1164" s="4"/>
      <x:c r="I1164" s="4"/>
      <x:c r="J1164" s="4"/>
      <x:c r="K1164" s="4"/>
      <x:c r="L1164" s="4"/>
      <x:c r="M1164" s="4"/>
      <x:c r="N1164" s="4"/>
      <x:c r="P1164" s="4"/>
      <x:c r="R1164" s="4"/>
      <x:c r="S1164" s="4"/>
      <x:c r="T1164" s="4"/>
      <x:c r="U1164" s="4"/>
      <x:c r="V1164" s="4"/>
    </x:row>
    <x:row r="1165" ht="64" customHeight="1">
      <x:c r="A1165" s="4"/>
      <x:c r="B1165" s="4"/>
      <x:c r="C1165" s="4"/>
      <x:c r="D1165" s="4"/>
      <x:c r="E1165" s="4"/>
      <x:c r="F1165" s="4"/>
      <x:c r="G1165" s="4"/>
      <x:c r="H1165" s="4"/>
      <x:c r="I1165" s="4"/>
      <x:c r="J1165" s="4"/>
      <x:c r="K1165" s="4"/>
      <x:c r="L1165" s="4"/>
      <x:c r="M1165" s="4"/>
      <x:c r="N1165" s="4"/>
      <x:c r="P1165" s="4"/>
      <x:c r="R1165" s="4"/>
      <x:c r="S1165" s="4"/>
      <x:c r="T1165" s="4"/>
      <x:c r="U1165" s="4"/>
      <x:c r="V1165" s="4"/>
    </x:row>
    <x:row r="1166" ht="64" customHeight="1">
      <x:c r="A1166" s="4"/>
      <x:c r="B1166" s="4"/>
      <x:c r="C1166" s="4"/>
      <x:c r="D1166" s="4"/>
      <x:c r="E1166" s="4"/>
      <x:c r="F1166" s="4"/>
      <x:c r="G1166" s="4"/>
      <x:c r="H1166" s="4"/>
      <x:c r="I1166" s="4"/>
      <x:c r="J1166" s="4"/>
      <x:c r="K1166" s="4"/>
      <x:c r="L1166" s="4"/>
      <x:c r="M1166" s="4"/>
      <x:c r="N1166" s="4"/>
      <x:c r="P1166" s="4"/>
      <x:c r="R1166" s="4"/>
      <x:c r="S1166" s="4"/>
      <x:c r="T1166" s="4"/>
      <x:c r="U1166" s="4"/>
      <x:c r="V1166" s="4"/>
    </x:row>
    <x:row r="1167" ht="64" customHeight="1">
      <x:c r="A1167" s="4" t="str">
        <x:f>IFERROR(INDEX('Material routes'!$E$6:$E$2205,MATCH(U1167,'Material routes'!$A$6:$A$2205,0)),"MISSING ID")</x:f>
        <x:v>Glowing stone</x:v>
      </x:c>
      <x:c r="B1167" s="4" t="str">
        <x:f>IFERROR(INDEX('Material routes'!$F$6:$F$2205,MATCH(U1167,'Material routes'!$A$6:$A$2205,0)),"MISSING ID")</x:f>
        <x:v>T0</x:v>
      </x:c>
      <x:c r="C1167" s="4" t="str">
        <x:f>IFERROR(INDEX('Material routes'!$H$6:$H$2205,MATCH(U1167,'Material routes'!$A$6:$A$2205,0)),"MISSING ID")</x:f>
        <x:v>Raw material</x:v>
      </x:c>
      <x:c r="D1167" s="4" t="str">
        <x:f>IFERROR(INDEX('Material routes'!$G$6:$G$2205,MATCH(U1167,'Material routes'!$A$6:$A$2205,0)),"MISSING ID")</x:f>
        <x:v>Mineral resources</x:v>
      </x:c>
      <x:c r="E1167" s="4" t="str">
        <x:f>IFERROR(INDEX('Material routes'!$C$6:$C$2205,MATCH(U1167,'Material routes'!$A$6:$A$2205,0)),"MISSING ID")</x:f>
        <x:v>Ingredient candidate</x:v>
      </x:c>
      <x:c r="F1167" s="4" t="str">
        <x:f>IFERROR(INDEX('Material routes'!$E$6:$E$2205,MATCH(V1167,'Material routes'!$A$6:$A$2205,0)),"MISSING ID")</x:f>
        <x:v>Shuttered glow-stone holder</x:v>
      </x:c>
      <x:c r="G1167" s="4" t="str">
        <x:f>IFERROR(INDEX('Material routes'!$F$6:$F$2205,MATCH(V1167,'Material routes'!$A$6:$A$2205,0)),"MISSING ID")</x:f>
        <x:v>Not applicable</x:v>
      </x:c>
      <x:c r="H1167" s="4" t="str">
        <x:f>IFERROR(INDEX('Material routes'!$H$6:$H$2205,MATCH(V1167,'Material routes'!$A$6:$A$2205,0)),"MISSING ID")</x:f>
        <x:v>Tool</x:v>
      </x:c>
      <x:c r="I1167" s="4" t="str">
        <x:f>IFERROR(INDEX('Material routes'!$G$6:$G$2205,MATCH(V1167,'Material routes'!$A$6:$A$2205,0)),"MISSING ID")</x:f>
        <x:v>Salvage</x:v>
      </x:c>
      <x:c r="J1167" s="4" t="str">
        <x:f>IFERROR(INDEX('Material routes'!$B$6:$B$2205,MATCH(U1167,'Material routes'!$A$6:$A$2205,0)),"MISSING ID")</x:f>
        <x:v>design.audit.proposal_fire_glow_holder</x:v>
      </x:c>
      <x:c r="K1167" s="4" t="str">
        <x:f>IFERROR(INDEX('Crafting recipes'!$C$6:$C$1005,MATCH(J1167,'Crafting recipes'!$A$6:$A$1005,0)),"MISSING ID")</x:f>
        <x:v>Finished-item crafting</x:v>
      </x:c>
      <x:c r="L1167" s="4" t="str">
        <x:f>IFERROR(INDEX('Material routes'!$K$6:$K$2205,MATCH(U1167,'Material routes'!$A$6:$A$2205,0)),"MISSING ID")</x:f>
        <x:v>Proposal</x:v>
      </x:c>
      <x:c r="M1167" s="4" t="str">
        <x:f>IFERROR(INDEX('Material routes'!$M$6:$M$2205,MATCH(U1167,'Material routes'!$A$6:$A$2205,0)),"MISSING ID")</x:f>
        <x:v>Partial proposal</x:v>
      </x:c>
      <x:c r="N1167" s="4"/>
      <x:c r="O1167" s="4" t="str">
        <x:f>IFERROR(INDEX('Material routes'!$J$6:$J$2205,MATCH(U1167,'Material routes'!$A$6:$A$2205,0)),"MISSING ID")</x:f>
        <x:v>Unspecified</x:v>
      </x:c>
      <x:c r="P1167" s="4"/>
      <x:c r="Q1167" s="4" t="str">
        <x:f>IFERROR(INDEX('Material routes'!$J$6:$J$2205,MATCH(V1167,'Material routes'!$A$6:$A$2205,0)),"MISSING ID")</x:f>
        <x:v>Unspecified</x:v>
      </x:c>
      <x:c r="R1167" s="4" t="str">
        <x:f>IF(L1167="Withheld","Withheld premise",IF(E1167="Tool candidate","Reusable prerequisite",IF(K1167="Raw entry preparation","Entry-resource preparation",IF(G1167="Not applicable",IF(IFERROR(INDEX('Items'!$AI$6:$AI$1005,MATCH(T1167,'Items'!$A$6:$A$1005,0)),"MISSING ID")="Finished item","Finished endpoint",IF(IFERROR(INDEX('Items'!$AI$6:$AI$1005,MATCH(T1167,'Items'!$A$6:$A$1005,0)),"MISSING ID")="Currency","Currency / no refinement tier","Recovered output / tier not applicable")),IF(OR(IFERROR(INDEX('Crafting recipes'!$H$6:$H$1005,MATCH(J1167,'Crafting recipes'!$A$6:$A$1005,0)),"MISSING ID")="Unassigned",G1167="Unassigned"),"Tier unresolved",IF(IFERROR(VALUE(RIGHT(G1167,1))-VALUE(RIGHT(IFERROR(INDEX('Crafting recipes'!$H$6:$H$1005,MATCH(J1167,'Crafting recipes'!$A$6:$A$1005,0)),"MISSING ID"),1)),0)=1,IF(B1167=IFERROR(INDEX('Crafting recipes'!$H$6:$H$1005,MATCH(J1167,'Crafting recipes'!$A$6:$A$1005,0)),"MISSING ID"),"Advances one material tier","Lower-tier ingredient; route advances one tier"),"Needs tier review"))))))</x:f>
        <x:v>Finished endpoint</x:v>
      </x:c>
      <x:c r="S1167" s="4" t="str">
        <x:f>IFERROR(INDEX('Material routes'!$D$6:$D$2205,MATCH(U1167,'Material routes'!$A$6:$A$2205,0)),"MISSING ID")</x:f>
        <x:v>proposal.fire.glow_stone</x:v>
      </x:c>
      <x:c r="T1167" s="4" t="str">
        <x:f>IFERROR(INDEX('Material routes'!$D$6:$D$2205,MATCH(V1167,'Material routes'!$A$6:$A$2205,0)),"MISSING ID")</x:f>
        <x:v>proposal.fire.glow_holder</x:v>
      </x:c>
      <x:c r="U1167" s="4" t="str">
        <x:v>design.audit.proposal_fire_glow_holder.audit.in.1</x:v>
      </x:c>
      <x:c r="V1167" s="4" t="str">
        <x:v>design.audit.proposal_fire_glow_holder.audit.out</x:v>
      </x:c>
    </x:row>
    <x:row r="1168" ht="64" customHeight="1">
      <x:c r="A1168" s="4" t="str">
        <x:f>IFERROR(INDEX('Material routes'!$E$6:$E$2205,MATCH(U1168,'Material routes'!$A$6:$A$2205,0)),"MISSING ID")</x:f>
        <x:v>Fitted machine casing</x:v>
      </x:c>
      <x:c r="B1168" s="4" t="str">
        <x:f>IFERROR(INDEX('Material routes'!$F$6:$F$2205,MATCH(U1168,'Material routes'!$A$6:$A$2205,0)),"MISSING ID")</x:f>
        <x:v>T3</x:v>
      </x:c>
      <x:c r="C1168" s="4" t="str">
        <x:f>IFERROR(INDEX('Material routes'!$H$6:$H$2205,MATCH(U1168,'Material routes'!$A$6:$A$2205,0)),"MISSING ID")</x:f>
        <x:v>Crafting component</x:v>
      </x:c>
      <x:c r="D1168" s="4" t="str">
        <x:f>IFERROR(INDEX('Material routes'!$G$6:$G$2205,MATCH(U1168,'Material routes'!$A$6:$A$2205,0)),"MISSING ID")</x:f>
        <x:v>Crafting components</x:v>
      </x:c>
      <x:c r="E1168" s="4" t="str">
        <x:f>IFERROR(INDEX('Material routes'!$C$6:$C$2205,MATCH(U1168,'Material routes'!$A$6:$A$2205,0)),"MISSING ID")</x:f>
        <x:v>Ingredient candidate</x:v>
      </x:c>
      <x:c r="F1168" s="4" t="str">
        <x:f>IFERROR(INDEX('Material routes'!$E$6:$E$2205,MATCH(V1168,'Material routes'!$A$6:$A$2205,0)),"MISSING ID")</x:f>
        <x:v>Shuttered glow-stone holder</x:v>
      </x:c>
      <x:c r="G1168" s="4" t="str">
        <x:f>IFERROR(INDEX('Material routes'!$F$6:$F$2205,MATCH(V1168,'Material routes'!$A$6:$A$2205,0)),"MISSING ID")</x:f>
        <x:v>Not applicable</x:v>
      </x:c>
      <x:c r="H1168" s="4" t="str">
        <x:f>IFERROR(INDEX('Material routes'!$H$6:$H$2205,MATCH(V1168,'Material routes'!$A$6:$A$2205,0)),"MISSING ID")</x:f>
        <x:v>Tool</x:v>
      </x:c>
      <x:c r="I1168" s="4" t="str">
        <x:f>IFERROR(INDEX('Material routes'!$G$6:$G$2205,MATCH(V1168,'Material routes'!$A$6:$A$2205,0)),"MISSING ID")</x:f>
        <x:v>Salvage</x:v>
      </x:c>
      <x:c r="J1168" s="4" t="str">
        <x:f>IFERROR(INDEX('Material routes'!$B$6:$B$2205,MATCH(U1168,'Material routes'!$A$6:$A$2205,0)),"MISSING ID")</x:f>
        <x:v>design.audit.proposal_fire_glow_holder</x:v>
      </x:c>
      <x:c r="K1168" s="4" t="str">
        <x:f>IFERROR(INDEX('Crafting recipes'!$C$6:$C$1005,MATCH(J1168,'Crafting recipes'!$A$6:$A$1005,0)),"MISSING ID")</x:f>
        <x:v>Finished-item crafting</x:v>
      </x:c>
      <x:c r="L1168" s="4" t="str">
        <x:f>IFERROR(INDEX('Material routes'!$K$6:$K$2205,MATCH(U1168,'Material routes'!$A$6:$A$2205,0)),"MISSING ID")</x:f>
        <x:v>Proposal</x:v>
      </x:c>
      <x:c r="M1168" s="4" t="str">
        <x:f>IFERROR(INDEX('Material routes'!$M$6:$M$2205,MATCH(U1168,'Material routes'!$A$6:$A$2205,0)),"MISSING ID")</x:f>
        <x:v>Partial proposal</x:v>
      </x:c>
      <x:c r="N1168" s="4"/>
      <x:c r="O1168" s="4" t="str">
        <x:f>IFERROR(INDEX('Material routes'!$J$6:$J$2205,MATCH(U1168,'Material routes'!$A$6:$A$2205,0)),"MISSING ID")</x:f>
        <x:v>Unspecified</x:v>
      </x:c>
      <x:c r="P1168" s="4"/>
      <x:c r="Q1168" s="4" t="str">
        <x:f>IFERROR(INDEX('Material routes'!$J$6:$J$2205,MATCH(V1168,'Material routes'!$A$6:$A$2205,0)),"MISSING ID")</x:f>
        <x:v>Unspecified</x:v>
      </x:c>
      <x:c r="R1168" s="4" t="str">
        <x:f>IF(L1168="Withheld","Withheld premise",IF(E1168="Tool candidate","Reusable prerequisite",IF(K1168="Raw entry preparation","Entry-resource preparation",IF(G1168="Not applicable",IF(IFERROR(INDEX('Items'!$AI$6:$AI$1005,MATCH(T1168,'Items'!$A$6:$A$1005,0)),"MISSING ID")="Finished item","Finished endpoint",IF(IFERROR(INDEX('Items'!$AI$6:$AI$1005,MATCH(T1168,'Items'!$A$6:$A$1005,0)),"MISSING ID")="Currency","Currency / no refinement tier","Recovered output / tier not applicable")),IF(OR(IFERROR(INDEX('Crafting recipes'!$H$6:$H$1005,MATCH(J1168,'Crafting recipes'!$A$6:$A$1005,0)),"MISSING ID")="Unassigned",G1168="Unassigned"),"Tier unresolved",IF(IFERROR(VALUE(RIGHT(G1168,1))-VALUE(RIGHT(IFERROR(INDEX('Crafting recipes'!$H$6:$H$1005,MATCH(J1168,'Crafting recipes'!$A$6:$A$1005,0)),"MISSING ID"),1)),0)=1,IF(B1168=IFERROR(INDEX('Crafting recipes'!$H$6:$H$1005,MATCH(J1168,'Crafting recipes'!$A$6:$A$1005,0)),"MISSING ID"),"Advances one material tier","Lower-tier ingredient; route advances one tier"),"Needs tier review"))))))</x:f>
        <x:v>Finished endpoint</x:v>
      </x:c>
      <x:c r="S1168" s="4" t="str">
        <x:f>IFERROR(INDEX('Material routes'!$D$6:$D$2205,MATCH(U1168,'Material routes'!$A$6:$A$2205,0)),"MISSING ID")</x:f>
        <x:v>proposal.audit.fitted_machine_casing</x:v>
      </x:c>
      <x:c r="T1168" s="4" t="str">
        <x:f>IFERROR(INDEX('Material routes'!$D$6:$D$2205,MATCH(V1168,'Material routes'!$A$6:$A$2205,0)),"MISSING ID")</x:f>
        <x:v>proposal.fire.glow_holder</x:v>
      </x:c>
      <x:c r="U1168" s="4" t="str">
        <x:v>design.audit.proposal_fire_glow_holder.audit.in.2</x:v>
      </x:c>
      <x:c r="V1168" s="4" t="str">
        <x:v>design.audit.proposal_fire_glow_holder.audit.out</x:v>
      </x:c>
    </x:row>
    <x:row r="1169" ht="64" customHeight="1">
      <x:c r="A1169" s="4" t="str">
        <x:f>IFERROR(INDEX('Material routes'!$E$6:$E$2205,MATCH(U1169,'Material routes'!$A$6:$A$2205,0)),"MISSING ID")</x:f>
        <x:v>Small metal hinge pair</x:v>
      </x:c>
      <x:c r="B1169" s="4" t="str">
        <x:f>IFERROR(INDEX('Material routes'!$F$6:$F$2205,MATCH(U1169,'Material routes'!$A$6:$A$2205,0)),"MISSING ID")</x:f>
        <x:v>T3</x:v>
      </x:c>
      <x:c r="C1169" s="4" t="str">
        <x:f>IFERROR(INDEX('Material routes'!$H$6:$H$2205,MATCH(U1169,'Material routes'!$A$6:$A$2205,0)),"MISSING ID")</x:f>
        <x:v>Crafting component</x:v>
      </x:c>
      <x:c r="D1169" s="4" t="str">
        <x:f>IFERROR(INDEX('Material routes'!$G$6:$G$2205,MATCH(U1169,'Material routes'!$A$6:$A$2205,0)),"MISSING ID")</x:f>
        <x:v>Crafting components</x:v>
      </x:c>
      <x:c r="E1169" s="4" t="str">
        <x:f>IFERROR(INDEX('Material routes'!$C$6:$C$2205,MATCH(U1169,'Material routes'!$A$6:$A$2205,0)),"MISSING ID")</x:f>
        <x:v>Ingredient candidate</x:v>
      </x:c>
      <x:c r="F1169" s="4" t="str">
        <x:f>IFERROR(INDEX('Material routes'!$E$6:$E$2205,MATCH(V1169,'Material routes'!$A$6:$A$2205,0)),"MISSING ID")</x:f>
        <x:v>Shuttered glow-stone holder</x:v>
      </x:c>
      <x:c r="G1169" s="4" t="str">
        <x:f>IFERROR(INDEX('Material routes'!$F$6:$F$2205,MATCH(V1169,'Material routes'!$A$6:$A$2205,0)),"MISSING ID")</x:f>
        <x:v>Not applicable</x:v>
      </x:c>
      <x:c r="H1169" s="4" t="str">
        <x:f>IFERROR(INDEX('Material routes'!$H$6:$H$2205,MATCH(V1169,'Material routes'!$A$6:$A$2205,0)),"MISSING ID")</x:f>
        <x:v>Tool</x:v>
      </x:c>
      <x:c r="I1169" s="4" t="str">
        <x:f>IFERROR(INDEX('Material routes'!$G$6:$G$2205,MATCH(V1169,'Material routes'!$A$6:$A$2205,0)),"MISSING ID")</x:f>
        <x:v>Salvage</x:v>
      </x:c>
      <x:c r="J1169" s="4" t="str">
        <x:f>IFERROR(INDEX('Material routes'!$B$6:$B$2205,MATCH(U1169,'Material routes'!$A$6:$A$2205,0)),"MISSING ID")</x:f>
        <x:v>design.audit.proposal_fire_glow_holder</x:v>
      </x:c>
      <x:c r="K1169" s="4" t="str">
        <x:f>IFERROR(INDEX('Crafting recipes'!$C$6:$C$1005,MATCH(J1169,'Crafting recipes'!$A$6:$A$1005,0)),"MISSING ID")</x:f>
        <x:v>Finished-item crafting</x:v>
      </x:c>
      <x:c r="L1169" s="4" t="str">
        <x:f>IFERROR(INDEX('Material routes'!$K$6:$K$2205,MATCH(U1169,'Material routes'!$A$6:$A$2205,0)),"MISSING ID")</x:f>
        <x:v>Proposal</x:v>
      </x:c>
      <x:c r="M1169" s="4" t="str">
        <x:f>IFERROR(INDEX('Material routes'!$M$6:$M$2205,MATCH(U1169,'Material routes'!$A$6:$A$2205,0)),"MISSING ID")</x:f>
        <x:v>Partial proposal</x:v>
      </x:c>
      <x:c r="N1169" s="4"/>
      <x:c r="O1169" s="4" t="str">
        <x:f>IFERROR(INDEX('Material routes'!$J$6:$J$2205,MATCH(U1169,'Material routes'!$A$6:$A$2205,0)),"MISSING ID")</x:f>
        <x:v>Unspecified</x:v>
      </x:c>
      <x:c r="P1169" s="4"/>
      <x:c r="Q1169" s="4" t="str">
        <x:f>IFERROR(INDEX('Material routes'!$J$6:$J$2205,MATCH(V1169,'Material routes'!$A$6:$A$2205,0)),"MISSING ID")</x:f>
        <x:v>Unspecified</x:v>
      </x:c>
      <x:c r="R1169" s="4" t="str">
        <x:f>IF(L1169="Withheld","Withheld premise",IF(E1169="Tool candidate","Reusable prerequisite",IF(K1169="Raw entry preparation","Entry-resource preparation",IF(G1169="Not applicable",IF(IFERROR(INDEX('Items'!$AI$6:$AI$1005,MATCH(T1169,'Items'!$A$6:$A$1005,0)),"MISSING ID")="Finished item","Finished endpoint",IF(IFERROR(INDEX('Items'!$AI$6:$AI$1005,MATCH(T1169,'Items'!$A$6:$A$1005,0)),"MISSING ID")="Currency","Currency / no refinement tier","Recovered output / tier not applicable")),IF(OR(IFERROR(INDEX('Crafting recipes'!$H$6:$H$1005,MATCH(J1169,'Crafting recipes'!$A$6:$A$1005,0)),"MISSING ID")="Unassigned",G1169="Unassigned"),"Tier unresolved",IF(IFERROR(VALUE(RIGHT(G1169,1))-VALUE(RIGHT(IFERROR(INDEX('Crafting recipes'!$H$6:$H$1005,MATCH(J1169,'Crafting recipes'!$A$6:$A$1005,0)),"MISSING ID"),1)),0)=1,IF(B1169=IFERROR(INDEX('Crafting recipes'!$H$6:$H$1005,MATCH(J1169,'Crafting recipes'!$A$6:$A$1005,0)),"MISSING ID"),"Advances one material tier","Lower-tier ingredient; route advances one tier"),"Needs tier review"))))))</x:f>
        <x:v>Finished endpoint</x:v>
      </x:c>
      <x:c r="S1169" s="4" t="str">
        <x:f>IFERROR(INDEX('Material routes'!$D$6:$D$2205,MATCH(U1169,'Material routes'!$A$6:$A$2205,0)),"MISSING ID")</x:f>
        <x:v>proposal.audit.small_metal_hinge_pair</x:v>
      </x:c>
      <x:c r="T1169" s="4" t="str">
        <x:f>IFERROR(INDEX('Material routes'!$D$6:$D$2205,MATCH(V1169,'Material routes'!$A$6:$A$2205,0)),"MISSING ID")</x:f>
        <x:v>proposal.fire.glow_holder</x:v>
      </x:c>
      <x:c r="U1169" s="4" t="str">
        <x:v>design.audit.proposal_fire_glow_holder.audit.in.3</x:v>
      </x:c>
      <x:c r="V1169" s="4" t="str">
        <x:v>design.audit.proposal_fire_glow_holder.audit.out</x:v>
      </x:c>
    </x:row>
    <x:row r="1170" ht="64" customHeight="1">
      <x:c r="A1170" s="4" t="str">
        <x:f>IFERROR(INDEX('Material routes'!$E$6:$E$2205,MATCH(U1170,'Material routes'!$A$6:$A$2205,0)),"MISSING ID")</x:f>
        <x:v>Collapsible sail frame</x:v>
      </x:c>
      <x:c r="B1170" s="4" t="str">
        <x:f>IFERROR(INDEX('Material routes'!$F$6:$F$2205,MATCH(U1170,'Material routes'!$A$6:$A$2205,0)),"MISSING ID")</x:f>
        <x:v>T4</x:v>
      </x:c>
      <x:c r="C1170" s="4" t="str">
        <x:f>IFERROR(INDEX('Material routes'!$H$6:$H$2205,MATCH(U1170,'Material routes'!$A$6:$A$2205,0)),"MISSING ID")</x:f>
        <x:v>Crafting component</x:v>
      </x:c>
      <x:c r="D1170" s="4" t="str">
        <x:f>IFERROR(INDEX('Material routes'!$G$6:$G$2205,MATCH(U1170,'Material routes'!$A$6:$A$2205,0)),"MISSING ID")</x:f>
        <x:v>Salvage</x:v>
      </x:c>
      <x:c r="E1170" s="4" t="str">
        <x:f>IFERROR(INDEX('Material routes'!$C$6:$C$2205,MATCH(U1170,'Material routes'!$A$6:$A$2205,0)),"MISSING ID")</x:f>
        <x:v>Ingredient candidate</x:v>
      </x:c>
      <x:c r="F1170" s="4" t="str">
        <x:f>IFERROR(INDEX('Material routes'!$E$6:$E$2205,MATCH(V1170,'Material routes'!$A$6:$A$2205,0)),"MISSING ID")</x:f>
        <x:v>Collapsible handheld wind sail</x:v>
      </x:c>
      <x:c r="G1170" s="4" t="str">
        <x:f>IFERROR(INDEX('Material routes'!$F$6:$F$2205,MATCH(V1170,'Material routes'!$A$6:$A$2205,0)),"MISSING ID")</x:f>
        <x:v>Not applicable</x:v>
      </x:c>
      <x:c r="H1170" s="4" t="str">
        <x:f>IFERROR(INDEX('Material routes'!$H$6:$H$2205,MATCH(V1170,'Material routes'!$A$6:$A$2205,0)),"MISSING ID")</x:f>
        <x:v>Traversal device</x:v>
      </x:c>
      <x:c r="I1170" s="4" t="str">
        <x:f>IFERROR(INDEX('Material routes'!$G$6:$G$2205,MATCH(V1170,'Material routes'!$A$6:$A$2205,0)),"MISSING ID")</x:f>
        <x:v>Tools</x:v>
      </x:c>
      <x:c r="J1170" s="4" t="str">
        <x:f>IFERROR(INDEX('Material routes'!$B$6:$B$2205,MATCH(U1170,'Material routes'!$A$6:$A$2205,0)),"MISSING ID")</x:f>
        <x:v>design.audit.proposal_wind_hand_sail</x:v>
      </x:c>
      <x:c r="K1170" s="4" t="str">
        <x:f>IFERROR(INDEX('Crafting recipes'!$C$6:$C$1005,MATCH(J1170,'Crafting recipes'!$A$6:$A$1005,0)),"MISSING ID")</x:f>
        <x:v>Finished-item crafting</x:v>
      </x:c>
      <x:c r="L1170" s="4" t="str">
        <x:f>IFERROR(INDEX('Material routes'!$K$6:$K$2205,MATCH(U1170,'Material routes'!$A$6:$A$2205,0)),"MISSING ID")</x:f>
        <x:v>Proposal</x:v>
      </x:c>
      <x:c r="M1170" s="4" t="str">
        <x:f>IFERROR(INDEX('Material routes'!$M$6:$M$2205,MATCH(U1170,'Material routes'!$A$6:$A$2205,0)),"MISSING ID")</x:f>
        <x:v>Partial proposal</x:v>
      </x:c>
      <x:c r="N1170" s="4"/>
      <x:c r="O1170" s="4" t="str">
        <x:f>IFERROR(INDEX('Material routes'!$J$6:$J$2205,MATCH(U1170,'Material routes'!$A$6:$A$2205,0)),"MISSING ID")</x:f>
        <x:v>Unspecified</x:v>
      </x:c>
      <x:c r="P1170" s="4"/>
      <x:c r="Q1170" s="4" t="str">
        <x:f>IFERROR(INDEX('Material routes'!$J$6:$J$2205,MATCH(V1170,'Material routes'!$A$6:$A$2205,0)),"MISSING ID")</x:f>
        <x:v>Unspecified</x:v>
      </x:c>
      <x:c r="R1170" s="4" t="str">
        <x:f>IF(L1170="Withheld","Withheld premise",IF(E1170="Tool candidate","Reusable prerequisite",IF(K1170="Raw entry preparation","Entry-resource preparation",IF(G1170="Not applicable",IF(IFERROR(INDEX('Items'!$AI$6:$AI$1005,MATCH(T1170,'Items'!$A$6:$A$1005,0)),"MISSING ID")="Finished item","Finished endpoint",IF(IFERROR(INDEX('Items'!$AI$6:$AI$1005,MATCH(T1170,'Items'!$A$6:$A$1005,0)),"MISSING ID")="Currency","Currency / no refinement tier","Recovered output / tier not applicable")),IF(OR(IFERROR(INDEX('Crafting recipes'!$H$6:$H$1005,MATCH(J1170,'Crafting recipes'!$A$6:$A$1005,0)),"MISSING ID")="Unassigned",G1170="Unassigned"),"Tier unresolved",IF(IFERROR(VALUE(RIGHT(G1170,1))-VALUE(RIGHT(IFERROR(INDEX('Crafting recipes'!$H$6:$H$1005,MATCH(J1170,'Crafting recipes'!$A$6:$A$1005,0)),"MISSING ID"),1)),0)=1,IF(B1170=IFERROR(INDEX('Crafting recipes'!$H$6:$H$1005,MATCH(J1170,'Crafting recipes'!$A$6:$A$1005,0)),"MISSING ID"),"Advances one material tier","Lower-tier ingredient; route advances one tier"),"Needs tier review"))))))</x:f>
        <x:v>Finished endpoint</x:v>
      </x:c>
      <x:c r="S1170" s="4" t="str">
        <x:f>IFERROR(INDEX('Material routes'!$D$6:$D$2205,MATCH(U1170,'Material routes'!$A$6:$A$2205,0)),"MISSING ID")</x:f>
        <x:v>proposal.wind.folding_frame</x:v>
      </x:c>
      <x:c r="T1170" s="4" t="str">
        <x:f>IFERROR(INDEX('Material routes'!$D$6:$D$2205,MATCH(V1170,'Material routes'!$A$6:$A$2205,0)),"MISSING ID")</x:f>
        <x:v>proposal.wind.hand_sail</x:v>
      </x:c>
      <x:c r="U1170" s="4" t="str">
        <x:v>design.audit.proposal_wind_hand_sail.audit.in.1</x:v>
      </x:c>
      <x:c r="V1170" s="4" t="str">
        <x:v>design.audit.proposal_wind_hand_sail.audit.out</x:v>
      </x:c>
    </x:row>
    <x:row r="1171" ht="64" customHeight="1">
      <x:c r="A1171" s="4" t="str">
        <x:f>IFERROR(INDEX('Material routes'!$E$6:$E$2205,MATCH(U1171,'Material routes'!$A$6:$A$2205,0)),"MISSING ID")</x:f>
        <x:v>Joined folding wing-panel assembly</x:v>
      </x:c>
      <x:c r="B1171" s="4" t="str">
        <x:f>IFERROR(INDEX('Material routes'!$F$6:$F$2205,MATCH(U1171,'Material routes'!$A$6:$A$2205,0)),"MISSING ID")</x:f>
        <x:v>T4</x:v>
      </x:c>
      <x:c r="C1171" s="4" t="str">
        <x:f>IFERROR(INDEX('Material routes'!$H$6:$H$2205,MATCH(U1171,'Material routes'!$A$6:$A$2205,0)),"MISSING ID")</x:f>
        <x:v>Crafting component</x:v>
      </x:c>
      <x:c r="D1171" s="4" t="str">
        <x:f>IFERROR(INDEX('Material routes'!$G$6:$G$2205,MATCH(U1171,'Material routes'!$A$6:$A$2205,0)),"MISSING ID")</x:f>
        <x:v>Crafting components</x:v>
      </x:c>
      <x:c r="E1171" s="4" t="str">
        <x:f>IFERROR(INDEX('Material routes'!$C$6:$C$2205,MATCH(U1171,'Material routes'!$A$6:$A$2205,0)),"MISSING ID")</x:f>
        <x:v>Ingredient candidate</x:v>
      </x:c>
      <x:c r="F1171" s="4" t="str">
        <x:f>IFERROR(INDEX('Material routes'!$E$6:$E$2205,MATCH(V1171,'Material routes'!$A$6:$A$2205,0)),"MISSING ID")</x:f>
        <x:v>Collapsible handheld wind sail</x:v>
      </x:c>
      <x:c r="G1171" s="4" t="str">
        <x:f>IFERROR(INDEX('Material routes'!$F$6:$F$2205,MATCH(V1171,'Material routes'!$A$6:$A$2205,0)),"MISSING ID")</x:f>
        <x:v>Not applicable</x:v>
      </x:c>
      <x:c r="H1171" s="4" t="str">
        <x:f>IFERROR(INDEX('Material routes'!$H$6:$H$2205,MATCH(V1171,'Material routes'!$A$6:$A$2205,0)),"MISSING ID")</x:f>
        <x:v>Traversal device</x:v>
      </x:c>
      <x:c r="I1171" s="4" t="str">
        <x:f>IFERROR(INDEX('Material routes'!$G$6:$G$2205,MATCH(V1171,'Material routes'!$A$6:$A$2205,0)),"MISSING ID")</x:f>
        <x:v>Tools</x:v>
      </x:c>
      <x:c r="J1171" s="4" t="str">
        <x:f>IFERROR(INDEX('Material routes'!$B$6:$B$2205,MATCH(U1171,'Material routes'!$A$6:$A$2205,0)),"MISSING ID")</x:f>
        <x:v>design.audit.proposal_wind_hand_sail</x:v>
      </x:c>
      <x:c r="K1171" s="4" t="str">
        <x:f>IFERROR(INDEX('Crafting recipes'!$C$6:$C$1005,MATCH(J1171,'Crafting recipes'!$A$6:$A$1005,0)),"MISSING ID")</x:f>
        <x:v>Finished-item crafting</x:v>
      </x:c>
      <x:c r="L1171" s="4" t="str">
        <x:f>IFERROR(INDEX('Material routes'!$K$6:$K$2205,MATCH(U1171,'Material routes'!$A$6:$A$2205,0)),"MISSING ID")</x:f>
        <x:v>Proposal</x:v>
      </x:c>
      <x:c r="M1171" s="4" t="str">
        <x:f>IFERROR(INDEX('Material routes'!$M$6:$M$2205,MATCH(U1171,'Material routes'!$A$6:$A$2205,0)),"MISSING ID")</x:f>
        <x:v>Partial proposal</x:v>
      </x:c>
      <x:c r="N1171" s="4"/>
      <x:c r="O1171" s="4" t="str">
        <x:f>IFERROR(INDEX('Material routes'!$J$6:$J$2205,MATCH(U1171,'Material routes'!$A$6:$A$2205,0)),"MISSING ID")</x:f>
        <x:v>Unspecified</x:v>
      </x:c>
      <x:c r="P1171" s="4"/>
      <x:c r="Q1171" s="4" t="str">
        <x:f>IFERROR(INDEX('Material routes'!$J$6:$J$2205,MATCH(V1171,'Material routes'!$A$6:$A$2205,0)),"MISSING ID")</x:f>
        <x:v>Unspecified</x:v>
      </x:c>
      <x:c r="R1171" s="4" t="str">
        <x:f>IF(L1171="Withheld","Withheld premise",IF(E1171="Tool candidate","Reusable prerequisite",IF(K1171="Raw entry preparation","Entry-resource preparation",IF(G1171="Not applicable",IF(IFERROR(INDEX('Items'!$AI$6:$AI$1005,MATCH(T1171,'Items'!$A$6:$A$1005,0)),"MISSING ID")="Finished item","Finished endpoint",IF(IFERROR(INDEX('Items'!$AI$6:$AI$1005,MATCH(T1171,'Items'!$A$6:$A$1005,0)),"MISSING ID")="Currency","Currency / no refinement tier","Recovered output / tier not applicable")),IF(OR(IFERROR(INDEX('Crafting recipes'!$H$6:$H$1005,MATCH(J1171,'Crafting recipes'!$A$6:$A$1005,0)),"MISSING ID")="Unassigned",G1171="Unassigned"),"Tier unresolved",IF(IFERROR(VALUE(RIGHT(G1171,1))-VALUE(RIGHT(IFERROR(INDEX('Crafting recipes'!$H$6:$H$1005,MATCH(J1171,'Crafting recipes'!$A$6:$A$1005,0)),"MISSING ID"),1)),0)=1,IF(B1171=IFERROR(INDEX('Crafting recipes'!$H$6:$H$1005,MATCH(J1171,'Crafting recipes'!$A$6:$A$1005,0)),"MISSING ID"),"Advances one material tier","Lower-tier ingredient; route advances one tier"),"Needs tier review"))))))</x:f>
        <x:v>Finished endpoint</x:v>
      </x:c>
      <x:c r="S1171" s="4" t="str">
        <x:f>IFERROR(INDEX('Material routes'!$D$6:$D$2205,MATCH(U1171,'Material routes'!$A$6:$A$2205,0)),"MISSING ID")</x:f>
        <x:v>proposal.t4.joined_wing_panels</x:v>
      </x:c>
      <x:c r="T1171" s="4" t="str">
        <x:f>IFERROR(INDEX('Material routes'!$D$6:$D$2205,MATCH(V1171,'Material routes'!$A$6:$A$2205,0)),"MISSING ID")</x:f>
        <x:v>proposal.wind.hand_sail</x:v>
      </x:c>
      <x:c r="U1171" s="4" t="str">
        <x:v>design.audit.proposal_wind_hand_sail.audit.in.2</x:v>
      </x:c>
      <x:c r="V1171" s="4" t="str">
        <x:v>design.audit.proposal_wind_hand_sail.audit.out</x:v>
      </x:c>
    </x:row>
    <x:row r="1172" ht="64" customHeight="1">
      <x:c r="A1172" s="4" t="str">
        <x:f>IFERROR(INDEX('Material routes'!$E$6:$E$2205,MATCH(U1172,'Material routes'!$A$6:$A$2205,0)),"MISSING ID")</x:f>
        <x:v>Hand-sail grip assembly</x:v>
      </x:c>
      <x:c r="B1172" s="4" t="str">
        <x:f>IFERROR(INDEX('Material routes'!$F$6:$F$2205,MATCH(U1172,'Material routes'!$A$6:$A$2205,0)),"MISSING ID")</x:f>
        <x:v>T3</x:v>
      </x:c>
      <x:c r="C1172" s="4" t="str">
        <x:f>IFERROR(INDEX('Material routes'!$H$6:$H$2205,MATCH(U1172,'Material routes'!$A$6:$A$2205,0)),"MISSING ID")</x:f>
        <x:v>Crafting component</x:v>
      </x:c>
      <x:c r="D1172" s="4" t="str">
        <x:f>IFERROR(INDEX('Material routes'!$G$6:$G$2205,MATCH(U1172,'Material routes'!$A$6:$A$2205,0)),"MISSING ID")</x:f>
        <x:v>Salvage</x:v>
      </x:c>
      <x:c r="E1172" s="4" t="str">
        <x:f>IFERROR(INDEX('Material routes'!$C$6:$C$2205,MATCH(U1172,'Material routes'!$A$6:$A$2205,0)),"MISSING ID")</x:f>
        <x:v>Ingredient candidate</x:v>
      </x:c>
      <x:c r="F1172" s="4" t="str">
        <x:f>IFERROR(INDEX('Material routes'!$E$6:$E$2205,MATCH(V1172,'Material routes'!$A$6:$A$2205,0)),"MISSING ID")</x:f>
        <x:v>Collapsible handheld wind sail</x:v>
      </x:c>
      <x:c r="G1172" s="4" t="str">
        <x:f>IFERROR(INDEX('Material routes'!$F$6:$F$2205,MATCH(V1172,'Material routes'!$A$6:$A$2205,0)),"MISSING ID")</x:f>
        <x:v>Not applicable</x:v>
      </x:c>
      <x:c r="H1172" s="4" t="str">
        <x:f>IFERROR(INDEX('Material routes'!$H$6:$H$2205,MATCH(V1172,'Material routes'!$A$6:$A$2205,0)),"MISSING ID")</x:f>
        <x:v>Traversal device</x:v>
      </x:c>
      <x:c r="I1172" s="4" t="str">
        <x:f>IFERROR(INDEX('Material routes'!$G$6:$G$2205,MATCH(V1172,'Material routes'!$A$6:$A$2205,0)),"MISSING ID")</x:f>
        <x:v>Tools</x:v>
      </x:c>
      <x:c r="J1172" s="4" t="str">
        <x:f>IFERROR(INDEX('Material routes'!$B$6:$B$2205,MATCH(U1172,'Material routes'!$A$6:$A$2205,0)),"MISSING ID")</x:f>
        <x:v>design.audit.proposal_wind_hand_sail</x:v>
      </x:c>
      <x:c r="K1172" s="4" t="str">
        <x:f>IFERROR(INDEX('Crafting recipes'!$C$6:$C$1005,MATCH(J1172,'Crafting recipes'!$A$6:$A$1005,0)),"MISSING ID")</x:f>
        <x:v>Finished-item crafting</x:v>
      </x:c>
      <x:c r="L1172" s="4" t="str">
        <x:f>IFERROR(INDEX('Material routes'!$K$6:$K$2205,MATCH(U1172,'Material routes'!$A$6:$A$2205,0)),"MISSING ID")</x:f>
        <x:v>Proposal</x:v>
      </x:c>
      <x:c r="M1172" s="4" t="str">
        <x:f>IFERROR(INDEX('Material routes'!$M$6:$M$2205,MATCH(U1172,'Material routes'!$A$6:$A$2205,0)),"MISSING ID")</x:f>
        <x:v>Partial proposal</x:v>
      </x:c>
      <x:c r="N1172" s="4"/>
      <x:c r="O1172" s="4" t="str">
        <x:f>IFERROR(INDEX('Material routes'!$J$6:$J$2205,MATCH(U1172,'Material routes'!$A$6:$A$2205,0)),"MISSING ID")</x:f>
        <x:v>Unspecified</x:v>
      </x:c>
      <x:c r="P1172" s="4"/>
      <x:c r="Q1172" s="4" t="str">
        <x:f>IFERROR(INDEX('Material routes'!$J$6:$J$2205,MATCH(V1172,'Material routes'!$A$6:$A$2205,0)),"MISSING ID")</x:f>
        <x:v>Unspecified</x:v>
      </x:c>
      <x:c r="R1172" s="4" t="str">
        <x:f>IF(L1172="Withheld","Withheld premise",IF(E1172="Tool candidate","Reusable prerequisite",IF(K1172="Raw entry preparation","Entry-resource preparation",IF(G1172="Not applicable",IF(IFERROR(INDEX('Items'!$AI$6:$AI$1005,MATCH(T1172,'Items'!$A$6:$A$1005,0)),"MISSING ID")="Finished item","Finished endpoint",IF(IFERROR(INDEX('Items'!$AI$6:$AI$1005,MATCH(T1172,'Items'!$A$6:$A$1005,0)),"MISSING ID")="Currency","Currency / no refinement tier","Recovered output / tier not applicable")),IF(OR(IFERROR(INDEX('Crafting recipes'!$H$6:$H$1005,MATCH(J1172,'Crafting recipes'!$A$6:$A$1005,0)),"MISSING ID")="Unassigned",G1172="Unassigned"),"Tier unresolved",IF(IFERROR(VALUE(RIGHT(G1172,1))-VALUE(RIGHT(IFERROR(INDEX('Crafting recipes'!$H$6:$H$1005,MATCH(J1172,'Crafting recipes'!$A$6:$A$1005,0)),"MISSING ID"),1)),0)=1,IF(B1172=IFERROR(INDEX('Crafting recipes'!$H$6:$H$1005,MATCH(J1172,'Crafting recipes'!$A$6:$A$1005,0)),"MISSING ID"),"Advances one material tier","Lower-tier ingredient; route advances one tier"),"Needs tier review"))))))</x:f>
        <x:v>Finished endpoint</x:v>
      </x:c>
      <x:c r="S1172" s="4" t="str">
        <x:f>IFERROR(INDEX('Material routes'!$D$6:$D$2205,MATCH(U1172,'Material routes'!$A$6:$A$2205,0)),"MISSING ID")</x:f>
        <x:v>proposal.wind.sail_grip</x:v>
      </x:c>
      <x:c r="T1172" s="4" t="str">
        <x:f>IFERROR(INDEX('Material routes'!$D$6:$D$2205,MATCH(V1172,'Material routes'!$A$6:$A$2205,0)),"MISSING ID")</x:f>
        <x:v>proposal.wind.hand_sail</x:v>
      </x:c>
      <x:c r="U1172" s="4" t="str">
        <x:v>design.audit.proposal_wind_hand_sail.audit.in.3</x:v>
      </x:c>
      <x:c r="V1172" s="4" t="str">
        <x:v>design.audit.proposal_wind_hand_sail.audit.out</x:v>
      </x:c>
    </x:row>
    <x:row r="1173" ht="64" customHeight="1">
      <x:c r="A1173" s="4" t="str">
        <x:f>IFERROR(INDEX('Material routes'!$E$6:$E$2205,MATCH(U1173,'Material routes'!$A$6:$A$2205,0)),"MISSING ID")</x:f>
        <x:v>Dirtboard wheel assembly</x:v>
      </x:c>
      <x:c r="B1173" s="4" t="str">
        <x:f>IFERROR(INDEX('Material routes'!$F$6:$F$2205,MATCH(U1173,'Material routes'!$A$6:$A$2205,0)),"MISSING ID")</x:f>
        <x:v>T4</x:v>
      </x:c>
      <x:c r="C1173" s="4" t="str">
        <x:f>IFERROR(INDEX('Material routes'!$H$6:$H$2205,MATCH(U1173,'Material routes'!$A$6:$A$2205,0)),"MISSING ID")</x:f>
        <x:v>Crafting component</x:v>
      </x:c>
      <x:c r="D1173" s="4" t="str">
        <x:f>IFERROR(INDEX('Material routes'!$G$6:$G$2205,MATCH(U1173,'Material routes'!$A$6:$A$2205,0)),"MISSING ID")</x:f>
        <x:v>Salvage</x:v>
      </x:c>
      <x:c r="E1173" s="4" t="str">
        <x:f>IFERROR(INDEX('Material routes'!$C$6:$C$2205,MATCH(U1173,'Material routes'!$A$6:$A$2205,0)),"MISSING ID")</x:f>
        <x:v>Ingredient candidate</x:v>
      </x:c>
      <x:c r="F1173" s="4" t="str">
        <x:f>IFERROR(INDEX('Material routes'!$E$6:$E$2205,MATCH(V1173,'Material routes'!$A$6:$A$2205,0)),"MISSING ID")</x:f>
        <x:v>Four-wheel all-terrain dirtboard</x:v>
      </x:c>
      <x:c r="G1173" s="4" t="str">
        <x:f>IFERROR(INDEX('Material routes'!$F$6:$F$2205,MATCH(V1173,'Material routes'!$A$6:$A$2205,0)),"MISSING ID")</x:f>
        <x:v>Not applicable</x:v>
      </x:c>
      <x:c r="H1173" s="4" t="str">
        <x:f>IFERROR(INDEX('Material routes'!$H$6:$H$2205,MATCH(V1173,'Material routes'!$A$6:$A$2205,0)),"MISSING ID")</x:f>
        <x:v>Traversal device</x:v>
      </x:c>
      <x:c r="I1173" s="4" t="str">
        <x:f>IFERROR(INDEX('Material routes'!$G$6:$G$2205,MATCH(V1173,'Material routes'!$A$6:$A$2205,0)),"MISSING ID")</x:f>
        <x:v>Tools</x:v>
      </x:c>
      <x:c r="J1173" s="4" t="str">
        <x:f>IFERROR(INDEX('Material routes'!$B$6:$B$2205,MATCH(U1173,'Material routes'!$A$6:$A$2205,0)),"MISSING ID")</x:f>
        <x:v>design.audit.proposal_wind_dirtboard</x:v>
      </x:c>
      <x:c r="K1173" s="4" t="str">
        <x:f>IFERROR(INDEX('Crafting recipes'!$C$6:$C$1005,MATCH(J1173,'Crafting recipes'!$A$6:$A$1005,0)),"MISSING ID")</x:f>
        <x:v>Finished-item crafting</x:v>
      </x:c>
      <x:c r="L1173" s="4" t="str">
        <x:f>IFERROR(INDEX('Material routes'!$K$6:$K$2205,MATCH(U1173,'Material routes'!$A$6:$A$2205,0)),"MISSING ID")</x:f>
        <x:v>Proposal</x:v>
      </x:c>
      <x:c r="M1173" s="4" t="str">
        <x:f>IFERROR(INDEX('Material routes'!$M$6:$M$2205,MATCH(U1173,'Material routes'!$A$6:$A$2205,0)),"MISSING ID")</x:f>
        <x:v>Partial proposal</x:v>
      </x:c>
      <x:c r="N1173" s="4"/>
      <x:c r="O1173" s="4" t="str">
        <x:f>IFERROR(INDEX('Material routes'!$J$6:$J$2205,MATCH(U1173,'Material routes'!$A$6:$A$2205,0)),"MISSING ID")</x:f>
        <x:v>Unspecified</x:v>
      </x:c>
      <x:c r="P1173" s="4"/>
      <x:c r="Q1173" s="4" t="str">
        <x:f>IFERROR(INDEX('Material routes'!$J$6:$J$2205,MATCH(V1173,'Material routes'!$A$6:$A$2205,0)),"MISSING ID")</x:f>
        <x:v>Unspecified</x:v>
      </x:c>
      <x:c r="R1173" s="4" t="str">
        <x:f>IF(L1173="Withheld","Withheld premise",IF(E1173="Tool candidate","Reusable prerequisite",IF(K1173="Raw entry preparation","Entry-resource preparation",IF(G1173="Not applicable",IF(IFERROR(INDEX('Items'!$AI$6:$AI$1005,MATCH(T1173,'Items'!$A$6:$A$1005,0)),"MISSING ID")="Finished item","Finished endpoint",IF(IFERROR(INDEX('Items'!$AI$6:$AI$1005,MATCH(T1173,'Items'!$A$6:$A$1005,0)),"MISSING ID")="Currency","Currency / no refinement tier","Recovered output / tier not applicable")),IF(OR(IFERROR(INDEX('Crafting recipes'!$H$6:$H$1005,MATCH(J1173,'Crafting recipes'!$A$6:$A$1005,0)),"MISSING ID")="Unassigned",G1173="Unassigned"),"Tier unresolved",IF(IFERROR(VALUE(RIGHT(G1173,1))-VALUE(RIGHT(IFERROR(INDEX('Crafting recipes'!$H$6:$H$1005,MATCH(J1173,'Crafting recipes'!$A$6:$A$1005,0)),"MISSING ID"),1)),0)=1,IF(B1173=IFERROR(INDEX('Crafting recipes'!$H$6:$H$1005,MATCH(J1173,'Crafting recipes'!$A$6:$A$1005,0)),"MISSING ID"),"Advances one material tier","Lower-tier ingredient; route advances one tier"),"Needs tier review"))))))</x:f>
        <x:v>Finished endpoint</x:v>
      </x:c>
      <x:c r="S1173" s="4" t="str">
        <x:f>IFERROR(INDEX('Material routes'!$D$6:$D$2205,MATCH(U1173,'Material routes'!$A$6:$A$2205,0)),"MISSING ID")</x:f>
        <x:v>proposal.wind.wheel</x:v>
      </x:c>
      <x:c r="T1173" s="4" t="str">
        <x:f>IFERROR(INDEX('Material routes'!$D$6:$D$2205,MATCH(V1173,'Material routes'!$A$6:$A$2205,0)),"MISSING ID")</x:f>
        <x:v>proposal.wind.dirtboard</x:v>
      </x:c>
      <x:c r="U1173" s="4" t="str">
        <x:v>design.audit.proposal_wind_dirtboard.audit.in.1</x:v>
      </x:c>
      <x:c r="V1173" s="4" t="str">
        <x:v>design.audit.proposal_wind_dirtboard.audit.out</x:v>
      </x:c>
    </x:row>
    <x:row r="1174" ht="64" customHeight="1">
      <x:c r="A1174" s="4" t="str">
        <x:f>IFERROR(INDEX('Material routes'!$E$6:$E$2205,MATCH(U1174,'Material routes'!$A$6:$A$2205,0)),"MISSING ID")</x:f>
        <x:v>Dirtboard axle / steering assembly</x:v>
      </x:c>
      <x:c r="B1174" s="4" t="str">
        <x:f>IFERROR(INDEX('Material routes'!$F$6:$F$2205,MATCH(U1174,'Material routes'!$A$6:$A$2205,0)),"MISSING ID")</x:f>
        <x:v>T4</x:v>
      </x:c>
      <x:c r="C1174" s="4" t="str">
        <x:f>IFERROR(INDEX('Material routes'!$H$6:$H$2205,MATCH(U1174,'Material routes'!$A$6:$A$2205,0)),"MISSING ID")</x:f>
        <x:v>Crafting component</x:v>
      </x:c>
      <x:c r="D1174" s="4" t="str">
        <x:f>IFERROR(INDEX('Material routes'!$G$6:$G$2205,MATCH(U1174,'Material routes'!$A$6:$A$2205,0)),"MISSING ID")</x:f>
        <x:v>Salvage</x:v>
      </x:c>
      <x:c r="E1174" s="4" t="str">
        <x:f>IFERROR(INDEX('Material routes'!$C$6:$C$2205,MATCH(U1174,'Material routes'!$A$6:$A$2205,0)),"MISSING ID")</x:f>
        <x:v>Ingredient candidate</x:v>
      </x:c>
      <x:c r="F1174" s="4" t="str">
        <x:f>IFERROR(INDEX('Material routes'!$E$6:$E$2205,MATCH(V1174,'Material routes'!$A$6:$A$2205,0)),"MISSING ID")</x:f>
        <x:v>Four-wheel all-terrain dirtboard</x:v>
      </x:c>
      <x:c r="G1174" s="4" t="str">
        <x:f>IFERROR(INDEX('Material routes'!$F$6:$F$2205,MATCH(V1174,'Material routes'!$A$6:$A$2205,0)),"MISSING ID")</x:f>
        <x:v>Not applicable</x:v>
      </x:c>
      <x:c r="H1174" s="4" t="str">
        <x:f>IFERROR(INDEX('Material routes'!$H$6:$H$2205,MATCH(V1174,'Material routes'!$A$6:$A$2205,0)),"MISSING ID")</x:f>
        <x:v>Traversal device</x:v>
      </x:c>
      <x:c r="I1174" s="4" t="str">
        <x:f>IFERROR(INDEX('Material routes'!$G$6:$G$2205,MATCH(V1174,'Material routes'!$A$6:$A$2205,0)),"MISSING ID")</x:f>
        <x:v>Tools</x:v>
      </x:c>
      <x:c r="J1174" s="4" t="str">
        <x:f>IFERROR(INDEX('Material routes'!$B$6:$B$2205,MATCH(U1174,'Material routes'!$A$6:$A$2205,0)),"MISSING ID")</x:f>
        <x:v>design.audit.proposal_wind_dirtboard</x:v>
      </x:c>
      <x:c r="K1174" s="4" t="str">
        <x:f>IFERROR(INDEX('Crafting recipes'!$C$6:$C$1005,MATCH(J1174,'Crafting recipes'!$A$6:$A$1005,0)),"MISSING ID")</x:f>
        <x:v>Finished-item crafting</x:v>
      </x:c>
      <x:c r="L1174" s="4" t="str">
        <x:f>IFERROR(INDEX('Material routes'!$K$6:$K$2205,MATCH(U1174,'Material routes'!$A$6:$A$2205,0)),"MISSING ID")</x:f>
        <x:v>Proposal</x:v>
      </x:c>
      <x:c r="M1174" s="4" t="str">
        <x:f>IFERROR(INDEX('Material routes'!$M$6:$M$2205,MATCH(U1174,'Material routes'!$A$6:$A$2205,0)),"MISSING ID")</x:f>
        <x:v>Partial proposal</x:v>
      </x:c>
      <x:c r="N1174" s="4"/>
      <x:c r="O1174" s="4" t="str">
        <x:f>IFERROR(INDEX('Material routes'!$J$6:$J$2205,MATCH(U1174,'Material routes'!$A$6:$A$2205,0)),"MISSING ID")</x:f>
        <x:v>Unspecified</x:v>
      </x:c>
      <x:c r="P1174" s="4"/>
      <x:c r="Q1174" s="4" t="str">
        <x:f>IFERROR(INDEX('Material routes'!$J$6:$J$2205,MATCH(V1174,'Material routes'!$A$6:$A$2205,0)),"MISSING ID")</x:f>
        <x:v>Unspecified</x:v>
      </x:c>
      <x:c r="R1174" s="4" t="str">
        <x:f>IF(L1174="Withheld","Withheld premise",IF(E1174="Tool candidate","Reusable prerequisite",IF(K1174="Raw entry preparation","Entry-resource preparation",IF(G1174="Not applicable",IF(IFERROR(INDEX('Items'!$AI$6:$AI$1005,MATCH(T1174,'Items'!$A$6:$A$1005,0)),"MISSING ID")="Finished item","Finished endpoint",IF(IFERROR(INDEX('Items'!$AI$6:$AI$1005,MATCH(T1174,'Items'!$A$6:$A$1005,0)),"MISSING ID")="Currency","Currency / no refinement tier","Recovered output / tier not applicable")),IF(OR(IFERROR(INDEX('Crafting recipes'!$H$6:$H$1005,MATCH(J1174,'Crafting recipes'!$A$6:$A$1005,0)),"MISSING ID")="Unassigned",G1174="Unassigned"),"Tier unresolved",IF(IFERROR(VALUE(RIGHT(G1174,1))-VALUE(RIGHT(IFERROR(INDEX('Crafting recipes'!$H$6:$H$1005,MATCH(J1174,'Crafting recipes'!$A$6:$A$1005,0)),"MISSING ID"),1)),0)=1,IF(B1174=IFERROR(INDEX('Crafting recipes'!$H$6:$H$1005,MATCH(J1174,'Crafting recipes'!$A$6:$A$1005,0)),"MISSING ID"),"Advances one material tier","Lower-tier ingredient; route advances one tier"),"Needs tier review"))))))</x:f>
        <x:v>Finished endpoint</x:v>
      </x:c>
      <x:c r="S1174" s="4" t="str">
        <x:f>IFERROR(INDEX('Material routes'!$D$6:$D$2205,MATCH(U1174,'Material routes'!$A$6:$A$2205,0)),"MISSING ID")</x:f>
        <x:v>proposal.wind.truck</x:v>
      </x:c>
      <x:c r="T1174" s="4" t="str">
        <x:f>IFERROR(INDEX('Material routes'!$D$6:$D$2205,MATCH(V1174,'Material routes'!$A$6:$A$2205,0)),"MISSING ID")</x:f>
        <x:v>proposal.wind.dirtboard</x:v>
      </x:c>
      <x:c r="U1174" s="4" t="str">
        <x:v>design.audit.proposal_wind_dirtboard.audit.in.2</x:v>
      </x:c>
      <x:c r="V1174" s="4" t="str">
        <x:v>design.audit.proposal_wind_dirtboard.audit.out</x:v>
      </x:c>
    </x:row>
    <x:row r="1175" ht="64" customHeight="1">
      <x:c r="A1175" s="4" t="str">
        <x:f>IFERROR(INDEX('Material routes'!$E$6:$E$2205,MATCH(U1175,'Material routes'!$A$6:$A$2205,0)),"MISSING ID")</x:f>
        <x:v>Layered protective composite stock</x:v>
      </x:c>
      <x:c r="B1175" s="4" t="str">
        <x:f>IFERROR(INDEX('Material routes'!$F$6:$F$2205,MATCH(U1175,'Material routes'!$A$6:$A$2205,0)),"MISSING ID")</x:f>
        <x:v>T4</x:v>
      </x:c>
      <x:c r="C1175" s="4" t="str">
        <x:f>IFERROR(INDEX('Material routes'!$H$6:$H$2205,MATCH(U1175,'Material routes'!$A$6:$A$2205,0)),"MISSING ID")</x:f>
        <x:v>Processed material</x:v>
      </x:c>
      <x:c r="D1175" s="4" t="str">
        <x:f>IFERROR(INDEX('Material routes'!$G$6:$G$2205,MATCH(U1175,'Material routes'!$A$6:$A$2205,0)),"MISSING ID")</x:f>
        <x:v>Manufactured stock</x:v>
      </x:c>
      <x:c r="E1175" s="4" t="str">
        <x:f>IFERROR(INDEX('Material routes'!$C$6:$C$2205,MATCH(U1175,'Material routes'!$A$6:$A$2205,0)),"MISSING ID")</x:f>
        <x:v>Ingredient candidate</x:v>
      </x:c>
      <x:c r="F1175" s="4" t="str">
        <x:f>IFERROR(INDEX('Material routes'!$E$6:$E$2205,MATCH(V1175,'Material routes'!$A$6:$A$2205,0)),"MISSING ID")</x:f>
        <x:v>Four-wheel all-terrain dirtboard</x:v>
      </x:c>
      <x:c r="G1175" s="4" t="str">
        <x:f>IFERROR(INDEX('Material routes'!$F$6:$F$2205,MATCH(V1175,'Material routes'!$A$6:$A$2205,0)),"MISSING ID")</x:f>
        <x:v>Not applicable</x:v>
      </x:c>
      <x:c r="H1175" s="4" t="str">
        <x:f>IFERROR(INDEX('Material routes'!$H$6:$H$2205,MATCH(V1175,'Material routes'!$A$6:$A$2205,0)),"MISSING ID")</x:f>
        <x:v>Traversal device</x:v>
      </x:c>
      <x:c r="I1175" s="4" t="str">
        <x:f>IFERROR(INDEX('Material routes'!$G$6:$G$2205,MATCH(V1175,'Material routes'!$A$6:$A$2205,0)),"MISSING ID")</x:f>
        <x:v>Tools</x:v>
      </x:c>
      <x:c r="J1175" s="4" t="str">
        <x:f>IFERROR(INDEX('Material routes'!$B$6:$B$2205,MATCH(U1175,'Material routes'!$A$6:$A$2205,0)),"MISSING ID")</x:f>
        <x:v>design.audit.proposal_wind_dirtboard</x:v>
      </x:c>
      <x:c r="K1175" s="4" t="str">
        <x:f>IFERROR(INDEX('Crafting recipes'!$C$6:$C$1005,MATCH(J1175,'Crafting recipes'!$A$6:$A$1005,0)),"MISSING ID")</x:f>
        <x:v>Finished-item crafting</x:v>
      </x:c>
      <x:c r="L1175" s="4" t="str">
        <x:f>IFERROR(INDEX('Material routes'!$K$6:$K$2205,MATCH(U1175,'Material routes'!$A$6:$A$2205,0)),"MISSING ID")</x:f>
        <x:v>Proposal</x:v>
      </x:c>
      <x:c r="M1175" s="4" t="str">
        <x:f>IFERROR(INDEX('Material routes'!$M$6:$M$2205,MATCH(U1175,'Material routes'!$A$6:$A$2205,0)),"MISSING ID")</x:f>
        <x:v>Partial proposal</x:v>
      </x:c>
      <x:c r="N1175" s="4"/>
      <x:c r="O1175" s="4" t="str">
        <x:f>IFERROR(INDEX('Material routes'!$J$6:$J$2205,MATCH(U1175,'Material routes'!$A$6:$A$2205,0)),"MISSING ID")</x:f>
        <x:v>Unspecified</x:v>
      </x:c>
      <x:c r="P1175" s="4"/>
      <x:c r="Q1175" s="4" t="str">
        <x:f>IFERROR(INDEX('Material routes'!$J$6:$J$2205,MATCH(V1175,'Material routes'!$A$6:$A$2205,0)),"MISSING ID")</x:f>
        <x:v>Unspecified</x:v>
      </x:c>
      <x:c r="R1175" s="4" t="str">
        <x:f>IF(L1175="Withheld","Withheld premise",IF(E1175="Tool candidate","Reusable prerequisite",IF(K1175="Raw entry preparation","Entry-resource preparation",IF(G1175="Not applicable",IF(IFERROR(INDEX('Items'!$AI$6:$AI$1005,MATCH(T1175,'Items'!$A$6:$A$1005,0)),"MISSING ID")="Finished item","Finished endpoint",IF(IFERROR(INDEX('Items'!$AI$6:$AI$1005,MATCH(T1175,'Items'!$A$6:$A$1005,0)),"MISSING ID")="Currency","Currency / no refinement tier","Recovered output / tier not applicable")),IF(OR(IFERROR(INDEX('Crafting recipes'!$H$6:$H$1005,MATCH(J1175,'Crafting recipes'!$A$6:$A$1005,0)),"MISSING ID")="Unassigned",G1175="Unassigned"),"Tier unresolved",IF(IFERROR(VALUE(RIGHT(G1175,1))-VALUE(RIGHT(IFERROR(INDEX('Crafting recipes'!$H$6:$H$1005,MATCH(J1175,'Crafting recipes'!$A$6:$A$1005,0)),"MISSING ID"),1)),0)=1,IF(B1175=IFERROR(INDEX('Crafting recipes'!$H$6:$H$1005,MATCH(J1175,'Crafting recipes'!$A$6:$A$1005,0)),"MISSING ID"),"Advances one material tier","Lower-tier ingredient; route advances one tier"),"Needs tier review"))))))</x:f>
        <x:v>Finished endpoint</x:v>
      </x:c>
      <x:c r="S1175" s="4" t="str">
        <x:f>IFERROR(INDEX('Material routes'!$D$6:$D$2205,MATCH(U1175,'Material routes'!$A$6:$A$2205,0)),"MISSING ID")</x:f>
        <x:v>proposal.branch.protective_stock</x:v>
      </x:c>
      <x:c r="T1175" s="4" t="str">
        <x:f>IFERROR(INDEX('Material routes'!$D$6:$D$2205,MATCH(V1175,'Material routes'!$A$6:$A$2205,0)),"MISSING ID")</x:f>
        <x:v>proposal.wind.dirtboard</x:v>
      </x:c>
      <x:c r="U1175" s="4" t="str">
        <x:v>design.audit.proposal_wind_dirtboard.audit.in.3</x:v>
      </x:c>
      <x:c r="V1175" s="4" t="str">
        <x:v>design.audit.proposal_wind_dirtboard.audit.out</x:v>
      </x:c>
    </x:row>
    <x:row r="1176" ht="64" customHeight="1">
      <x:c r="A1176" s="4" t="str">
        <x:f>IFERROR(INDEX('Material routes'!$E$6:$E$2205,MATCH(U1176,'Material routes'!$A$6:$A$2205,0)),"MISSING ID")</x:f>
        <x:v>Brake lining shoe</x:v>
      </x:c>
      <x:c r="B1176" s="4" t="str">
        <x:f>IFERROR(INDEX('Material routes'!$F$6:$F$2205,MATCH(U1176,'Material routes'!$A$6:$A$2205,0)),"MISSING ID")</x:f>
        <x:v>T3</x:v>
      </x:c>
      <x:c r="C1176" s="4" t="str">
        <x:f>IFERROR(INDEX('Material routes'!$H$6:$H$2205,MATCH(U1176,'Material routes'!$A$6:$A$2205,0)),"MISSING ID")</x:f>
        <x:v>Machine part</x:v>
      </x:c>
      <x:c r="D1176" s="4" t="str">
        <x:f>IFERROR(INDEX('Material routes'!$G$6:$G$2205,MATCH(U1176,'Material routes'!$A$6:$A$2205,0)),"MISSING ID")</x:f>
        <x:v>Crafting components</x:v>
      </x:c>
      <x:c r="E1176" s="4" t="str">
        <x:f>IFERROR(INDEX('Material routes'!$C$6:$C$2205,MATCH(U1176,'Material routes'!$A$6:$A$2205,0)),"MISSING ID")</x:f>
        <x:v>Ingredient candidate</x:v>
      </x:c>
      <x:c r="F1176" s="4" t="str">
        <x:f>IFERROR(INDEX('Material routes'!$E$6:$E$2205,MATCH(V1176,'Material routes'!$A$6:$A$2205,0)),"MISSING ID")</x:f>
        <x:v>Four-wheel all-terrain dirtboard</x:v>
      </x:c>
      <x:c r="G1176" s="4" t="str">
        <x:f>IFERROR(INDEX('Material routes'!$F$6:$F$2205,MATCH(V1176,'Material routes'!$A$6:$A$2205,0)),"MISSING ID")</x:f>
        <x:v>Not applicable</x:v>
      </x:c>
      <x:c r="H1176" s="4" t="str">
        <x:f>IFERROR(INDEX('Material routes'!$H$6:$H$2205,MATCH(V1176,'Material routes'!$A$6:$A$2205,0)),"MISSING ID")</x:f>
        <x:v>Traversal device</x:v>
      </x:c>
      <x:c r="I1176" s="4" t="str">
        <x:f>IFERROR(INDEX('Material routes'!$G$6:$G$2205,MATCH(V1176,'Material routes'!$A$6:$A$2205,0)),"MISSING ID")</x:f>
        <x:v>Tools</x:v>
      </x:c>
      <x:c r="J1176" s="4" t="str">
        <x:f>IFERROR(INDEX('Material routes'!$B$6:$B$2205,MATCH(U1176,'Material routes'!$A$6:$A$2205,0)),"MISSING ID")</x:f>
        <x:v>design.audit.proposal_wind_dirtboard</x:v>
      </x:c>
      <x:c r="K1176" s="4" t="str">
        <x:f>IFERROR(INDEX('Crafting recipes'!$C$6:$C$1005,MATCH(J1176,'Crafting recipes'!$A$6:$A$1005,0)),"MISSING ID")</x:f>
        <x:v>Finished-item crafting</x:v>
      </x:c>
      <x:c r="L1176" s="4" t="str">
        <x:f>IFERROR(INDEX('Material routes'!$K$6:$K$2205,MATCH(U1176,'Material routes'!$A$6:$A$2205,0)),"MISSING ID")</x:f>
        <x:v>Proposal</x:v>
      </x:c>
      <x:c r="M1176" s="4" t="str">
        <x:f>IFERROR(INDEX('Material routes'!$M$6:$M$2205,MATCH(U1176,'Material routes'!$A$6:$A$2205,0)),"MISSING ID")</x:f>
        <x:v>Partial proposal</x:v>
      </x:c>
      <x:c r="N1176" s="4"/>
      <x:c r="O1176" s="4" t="str">
        <x:f>IFERROR(INDEX('Material routes'!$J$6:$J$2205,MATCH(U1176,'Material routes'!$A$6:$A$2205,0)),"MISSING ID")</x:f>
        <x:v>Unspecified</x:v>
      </x:c>
      <x:c r="P1176" s="4"/>
      <x:c r="Q1176" s="4" t="str">
        <x:f>IFERROR(INDEX('Material routes'!$J$6:$J$2205,MATCH(V1176,'Material routes'!$A$6:$A$2205,0)),"MISSING ID")</x:f>
        <x:v>Unspecified</x:v>
      </x:c>
      <x:c r="R1176" s="4" t="str">
        <x:f>IF(L1176="Withheld","Withheld premise",IF(E1176="Tool candidate","Reusable prerequisite",IF(K1176="Raw entry preparation","Entry-resource preparation",IF(G1176="Not applicable",IF(IFERROR(INDEX('Items'!$AI$6:$AI$1005,MATCH(T1176,'Items'!$A$6:$A$1005,0)),"MISSING ID")="Finished item","Finished endpoint",IF(IFERROR(INDEX('Items'!$AI$6:$AI$1005,MATCH(T1176,'Items'!$A$6:$A$1005,0)),"MISSING ID")="Currency","Currency / no refinement tier","Recovered output / tier not applicable")),IF(OR(IFERROR(INDEX('Crafting recipes'!$H$6:$H$1005,MATCH(J1176,'Crafting recipes'!$A$6:$A$1005,0)),"MISSING ID")="Unassigned",G1176="Unassigned"),"Tier unresolved",IF(IFERROR(VALUE(RIGHT(G1176,1))-VALUE(RIGHT(IFERROR(INDEX('Crafting recipes'!$H$6:$H$1005,MATCH(J1176,'Crafting recipes'!$A$6:$A$1005,0)),"MISSING ID"),1)),0)=1,IF(B1176=IFERROR(INDEX('Crafting recipes'!$H$6:$H$1005,MATCH(J1176,'Crafting recipes'!$A$6:$A$1005,0)),"MISSING ID"),"Advances one material tier","Lower-tier ingredient; route advances one tier"),"Needs tier review"))))))</x:f>
        <x:v>Finished endpoint</x:v>
      </x:c>
      <x:c r="S1176" s="4" t="str">
        <x:f>IFERROR(INDEX('Material routes'!$D$6:$D$2205,MATCH(U1176,'Material routes'!$A$6:$A$2205,0)),"MISSING ID")</x:f>
        <x:v>proposal.collection.brake_lining_shoe</x:v>
      </x:c>
      <x:c r="T1176" s="4" t="str">
        <x:f>IFERROR(INDEX('Material routes'!$D$6:$D$2205,MATCH(V1176,'Material routes'!$A$6:$A$2205,0)),"MISSING ID")</x:f>
        <x:v>proposal.wind.dirtboard</x:v>
      </x:c>
      <x:c r="U1176" s="4" t="str">
        <x:v>design.audit.proposal_wind_dirtboard.audit.in.4</x:v>
      </x:c>
      <x:c r="V1176" s="4" t="str">
        <x:v>design.audit.proposal_wind_dirtboard.audit.out</x:v>
      </x:c>
    </x:row>
    <x:row r="1177" ht="64" customHeight="1">
      <x:c r="A1177" s="4" t="str">
        <x:f>IFERROR(INDEX('Material routes'!$E$6:$E$2205,MATCH(U1177,'Material routes'!$A$6:$A$2205,0)),"MISSING ID")</x:f>
        <x:v>Shaped metal grip blank</x:v>
      </x:c>
      <x:c r="B1177" s="4" t="str">
        <x:f>IFERROR(INDEX('Material routes'!$F$6:$F$2205,MATCH(U1177,'Material routes'!$A$6:$A$2205,0)),"MISSING ID")</x:f>
        <x:v>T3</x:v>
      </x:c>
      <x:c r="C1177" s="4" t="str">
        <x:f>IFERROR(INDEX('Material routes'!$H$6:$H$2205,MATCH(U1177,'Material routes'!$A$6:$A$2205,0)),"MISSING ID")</x:f>
        <x:v>Crafting component</x:v>
      </x:c>
      <x:c r="D1177" s="4" t="str">
        <x:f>IFERROR(INDEX('Material routes'!$G$6:$G$2205,MATCH(U1177,'Material routes'!$A$6:$A$2205,0)),"MISSING ID")</x:f>
        <x:v>Crafting components</x:v>
      </x:c>
      <x:c r="E1177" s="4" t="str">
        <x:f>IFERROR(INDEX('Material routes'!$C$6:$C$2205,MATCH(U1177,'Material routes'!$A$6:$A$2205,0)),"MISSING ID")</x:f>
        <x:v>Ingredient candidate</x:v>
      </x:c>
      <x:c r="F1177" s="4" t="str">
        <x:f>IFERROR(INDEX('Material routes'!$E$6:$E$2205,MATCH(V1177,'Material routes'!$A$6:$A$2205,0)),"MISSING ID")</x:f>
        <x:v>Four-wheel all-terrain dirtboard</x:v>
      </x:c>
      <x:c r="G1177" s="4" t="str">
        <x:f>IFERROR(INDEX('Material routes'!$F$6:$F$2205,MATCH(V1177,'Material routes'!$A$6:$A$2205,0)),"MISSING ID")</x:f>
        <x:v>Not applicable</x:v>
      </x:c>
      <x:c r="H1177" s="4" t="str">
        <x:f>IFERROR(INDEX('Material routes'!$H$6:$H$2205,MATCH(V1177,'Material routes'!$A$6:$A$2205,0)),"MISSING ID")</x:f>
        <x:v>Traversal device</x:v>
      </x:c>
      <x:c r="I1177" s="4" t="str">
        <x:f>IFERROR(INDEX('Material routes'!$G$6:$G$2205,MATCH(V1177,'Material routes'!$A$6:$A$2205,0)),"MISSING ID")</x:f>
        <x:v>Tools</x:v>
      </x:c>
      <x:c r="J1177" s="4" t="str">
        <x:f>IFERROR(INDEX('Material routes'!$B$6:$B$2205,MATCH(U1177,'Material routes'!$A$6:$A$2205,0)),"MISSING ID")</x:f>
        <x:v>design.audit.proposal_wind_dirtboard</x:v>
      </x:c>
      <x:c r="K1177" s="4" t="str">
        <x:f>IFERROR(INDEX('Crafting recipes'!$C$6:$C$1005,MATCH(J1177,'Crafting recipes'!$A$6:$A$1005,0)),"MISSING ID")</x:f>
        <x:v>Finished-item crafting</x:v>
      </x:c>
      <x:c r="L1177" s="4" t="str">
        <x:f>IFERROR(INDEX('Material routes'!$K$6:$K$2205,MATCH(U1177,'Material routes'!$A$6:$A$2205,0)),"MISSING ID")</x:f>
        <x:v>Proposal</x:v>
      </x:c>
      <x:c r="M1177" s="4" t="str">
        <x:f>IFERROR(INDEX('Material routes'!$M$6:$M$2205,MATCH(U1177,'Material routes'!$A$6:$A$2205,0)),"MISSING ID")</x:f>
        <x:v>Partial proposal</x:v>
      </x:c>
      <x:c r="N1177" s="4"/>
      <x:c r="O1177" s="4" t="str">
        <x:f>IFERROR(INDEX('Material routes'!$J$6:$J$2205,MATCH(U1177,'Material routes'!$A$6:$A$2205,0)),"MISSING ID")</x:f>
        <x:v>Unspecified</x:v>
      </x:c>
      <x:c r="P1177" s="4"/>
      <x:c r="Q1177" s="4" t="str">
        <x:f>IFERROR(INDEX('Material routes'!$J$6:$J$2205,MATCH(V1177,'Material routes'!$A$6:$A$2205,0)),"MISSING ID")</x:f>
        <x:v>Unspecified</x:v>
      </x:c>
      <x:c r="R1177" s="4" t="str">
        <x:f>IF(L1177="Withheld","Withheld premise",IF(E1177="Tool candidate","Reusable prerequisite",IF(K1177="Raw entry preparation","Entry-resource preparation",IF(G1177="Not applicable",IF(IFERROR(INDEX('Items'!$AI$6:$AI$1005,MATCH(T1177,'Items'!$A$6:$A$1005,0)),"MISSING ID")="Finished item","Finished endpoint",IF(IFERROR(INDEX('Items'!$AI$6:$AI$1005,MATCH(T1177,'Items'!$A$6:$A$1005,0)),"MISSING ID")="Currency","Currency / no refinement tier","Recovered output / tier not applicable")),IF(OR(IFERROR(INDEX('Crafting recipes'!$H$6:$H$1005,MATCH(J1177,'Crafting recipes'!$A$6:$A$1005,0)),"MISSING ID")="Unassigned",G1177="Unassigned"),"Tier unresolved",IF(IFERROR(VALUE(RIGHT(G1177,1))-VALUE(RIGHT(IFERROR(INDEX('Crafting recipes'!$H$6:$H$1005,MATCH(J1177,'Crafting recipes'!$A$6:$A$1005,0)),"MISSING ID"),1)),0)=1,IF(B1177=IFERROR(INDEX('Crafting recipes'!$H$6:$H$1005,MATCH(J1177,'Crafting recipes'!$A$6:$A$1005,0)),"MISSING ID"),"Advances one material tier","Lower-tier ingredient; route advances one tier"),"Needs tier review"))))))</x:f>
        <x:v>Finished endpoint</x:v>
      </x:c>
      <x:c r="S1177" s="4" t="str">
        <x:f>IFERROR(INDEX('Material routes'!$D$6:$D$2205,MATCH(U1177,'Material routes'!$A$6:$A$2205,0)),"MISSING ID")</x:f>
        <x:v>proposal.audit.shaped_metal_grip_blank</x:v>
      </x:c>
      <x:c r="T1177" s="4" t="str">
        <x:f>IFERROR(INDEX('Material routes'!$D$6:$D$2205,MATCH(V1177,'Material routes'!$A$6:$A$2205,0)),"MISSING ID")</x:f>
        <x:v>proposal.wind.dirtboard</x:v>
      </x:c>
      <x:c r="U1177" s="4" t="str">
        <x:v>design.audit.proposal_wind_dirtboard.audit.in.5</x:v>
      </x:c>
      <x:c r="V1177" s="4" t="str">
        <x:v>design.audit.proposal_wind_dirtboard.audit.out</x:v>
      </x:c>
    </x:row>
    <x:row r="1178" ht="64" customHeight="1">
      <x:c r="A1178" s="4" t="str">
        <x:f>IFERROR(INDEX('Material routes'!$E$6:$E$2205,MATCH(U1178,'Material routes'!$A$6:$A$2205,0)),"MISSING ID")</x:f>
        <x:v>Tendon cord</x:v>
      </x:c>
      <x:c r="B1178" s="4" t="str">
        <x:f>IFERROR(INDEX('Material routes'!$F$6:$F$2205,MATCH(U1178,'Material routes'!$A$6:$A$2205,0)),"MISSING ID")</x:f>
        <x:v>T1</x:v>
      </x:c>
      <x:c r="C1178" s="4" t="str">
        <x:f>IFERROR(INDEX('Material routes'!$H$6:$H$2205,MATCH(U1178,'Material routes'!$A$6:$A$2205,0)),"MISSING ID")</x:f>
        <x:v>Crafting component</x:v>
      </x:c>
      <x:c r="D1178" s="4" t="str">
        <x:f>IFERROR(INDEX('Material routes'!$G$6:$G$2205,MATCH(U1178,'Material routes'!$A$6:$A$2205,0)),"MISSING ID")</x:f>
        <x:v>Crafting components</x:v>
      </x:c>
      <x:c r="E1178" s="4" t="str">
        <x:f>IFERROR(INDEX('Material routes'!$C$6:$C$2205,MATCH(U1178,'Material routes'!$A$6:$A$2205,0)),"MISSING ID")</x:f>
        <x:v>Ingredient candidate</x:v>
      </x:c>
      <x:c r="F1178" s="4" t="str">
        <x:f>IFERROR(INDEX('Material routes'!$E$6:$E$2205,MATCH(V1178,'Material routes'!$A$6:$A$2205,0)),"MISSING ID")</x:f>
        <x:v>Legger cargo sling</x:v>
      </x:c>
      <x:c r="G1178" s="4" t="str">
        <x:f>IFERROR(INDEX('Material routes'!$F$6:$F$2205,MATCH(V1178,'Material routes'!$A$6:$A$2205,0)),"MISSING ID")</x:f>
        <x:v>Not applicable</x:v>
      </x:c>
      <x:c r="H1178" s="4" t="str">
        <x:f>IFERROR(INDEX('Material routes'!$H$6:$H$2205,MATCH(V1178,'Material routes'!$A$6:$A$2205,0)),"MISSING ID")</x:f>
        <x:v>Carrier</x:v>
      </x:c>
      <x:c r="I1178" s="4" t="str">
        <x:f>IFERROR(INDEX('Material routes'!$G$6:$G$2205,MATCH(V1178,'Material routes'!$A$6:$A$2205,0)),"MISSING ID")</x:f>
        <x:v>Legger attachments</x:v>
      </x:c>
      <x:c r="J1178" s="4" t="str">
        <x:f>IFERROR(INDEX('Material routes'!$B$6:$B$2205,MATCH(U1178,'Material routes'!$A$6:$A$2205,0)),"MISSING ID")</x:f>
        <x:v>design.audit.proposal_legger_sling</x:v>
      </x:c>
      <x:c r="K1178" s="4" t="str">
        <x:f>IFERROR(INDEX('Crafting recipes'!$C$6:$C$1005,MATCH(J1178,'Crafting recipes'!$A$6:$A$1005,0)),"MISSING ID")</x:f>
        <x:v>Finished-item crafting</x:v>
      </x:c>
      <x:c r="L1178" s="4" t="str">
        <x:f>IFERROR(INDEX('Material routes'!$K$6:$K$2205,MATCH(U1178,'Material routes'!$A$6:$A$2205,0)),"MISSING ID")</x:f>
        <x:v>Proposal</x:v>
      </x:c>
      <x:c r="M1178" s="4" t="str">
        <x:f>IFERROR(INDEX('Material routes'!$M$6:$M$2205,MATCH(U1178,'Material routes'!$A$6:$A$2205,0)),"MISSING ID")</x:f>
        <x:v>Partial proposal</x:v>
      </x:c>
      <x:c r="N1178" s="4"/>
      <x:c r="O1178" s="4" t="str">
        <x:f>IFERROR(INDEX('Material routes'!$J$6:$J$2205,MATCH(U1178,'Material routes'!$A$6:$A$2205,0)),"MISSING ID")</x:f>
        <x:v>Unspecified</x:v>
      </x:c>
      <x:c r="P1178" s="4"/>
      <x:c r="Q1178" s="4" t="str">
        <x:f>IFERROR(INDEX('Material routes'!$J$6:$J$2205,MATCH(V1178,'Material routes'!$A$6:$A$2205,0)),"MISSING ID")</x:f>
        <x:v>Unspecified</x:v>
      </x:c>
      <x:c r="R1178" s="4" t="str">
        <x:f>IF(L1178="Withheld","Withheld premise",IF(E1178="Tool candidate","Reusable prerequisite",IF(K1178="Raw entry preparation","Entry-resource preparation",IF(G1178="Not applicable",IF(IFERROR(INDEX('Items'!$AI$6:$AI$1005,MATCH(T1178,'Items'!$A$6:$A$1005,0)),"MISSING ID")="Finished item","Finished endpoint",IF(IFERROR(INDEX('Items'!$AI$6:$AI$1005,MATCH(T1178,'Items'!$A$6:$A$1005,0)),"MISSING ID")="Currency","Currency / no refinement tier","Recovered output / tier not applicable")),IF(OR(IFERROR(INDEX('Crafting recipes'!$H$6:$H$1005,MATCH(J1178,'Crafting recipes'!$A$6:$A$1005,0)),"MISSING ID")="Unassigned",G1178="Unassigned"),"Tier unresolved",IF(IFERROR(VALUE(RIGHT(G1178,1))-VALUE(RIGHT(IFERROR(INDEX('Crafting recipes'!$H$6:$H$1005,MATCH(J1178,'Crafting recipes'!$A$6:$A$1005,0)),"MISSING ID"),1)),0)=1,IF(B1178=IFERROR(INDEX('Crafting recipes'!$H$6:$H$1005,MATCH(J1178,'Crafting recipes'!$A$6:$A$1005,0)),"MISSING ID"),"Advances one material tier","Lower-tier ingredient; route advances one tier"),"Needs tier review"))))))</x:f>
        <x:v>Finished endpoint</x:v>
      </x:c>
      <x:c r="S1178" s="4" t="str">
        <x:f>IFERROR(INDEX('Material routes'!$D$6:$D$2205,MATCH(U1178,'Material routes'!$A$6:$A$2205,0)),"MISSING ID")</x:f>
        <x:v>proposal.bio.cord</x:v>
      </x:c>
      <x:c r="T1178" s="4" t="str">
        <x:f>IFERROR(INDEX('Material routes'!$D$6:$D$2205,MATCH(V1178,'Material routes'!$A$6:$A$2205,0)),"MISSING ID")</x:f>
        <x:v>proposal.legger.sling</x:v>
      </x:c>
      <x:c r="U1178" s="4" t="str">
        <x:v>design.audit.proposal_legger_sling.audit.in.1</x:v>
      </x:c>
      <x:c r="V1178" s="4" t="str">
        <x:v>design.audit.proposal_legger_sling.audit.out</x:v>
      </x:c>
    </x:row>
    <x:row r="1179" ht="64" customHeight="1">
      <x:c r="A1179" s="4" t="str">
        <x:f>IFERROR(INDEX('Material routes'!$E$6:$E$2205,MATCH(U1179,'Material routes'!$A$6:$A$2205,0)),"MISSING ID")</x:f>
        <x:v>Pressed hide fastening strips</x:v>
      </x:c>
      <x:c r="B1179" s="4" t="str">
        <x:f>IFERROR(INDEX('Material routes'!$F$6:$F$2205,MATCH(U1179,'Material routes'!$A$6:$A$2205,0)),"MISSING ID")</x:f>
        <x:v>T2</x:v>
      </x:c>
      <x:c r="C1179" s="4" t="str">
        <x:f>IFERROR(INDEX('Material routes'!$H$6:$H$2205,MATCH(U1179,'Material routes'!$A$6:$A$2205,0)),"MISSING ID")</x:f>
        <x:v>Processed material</x:v>
      </x:c>
      <x:c r="D1179" s="4" t="str">
        <x:f>IFERROR(INDEX('Material routes'!$G$6:$G$2205,MATCH(U1179,'Material routes'!$A$6:$A$2205,0)),"MISSING ID")</x:f>
        <x:v>Manufactured stock</x:v>
      </x:c>
      <x:c r="E1179" s="4" t="str">
        <x:f>IFERROR(INDEX('Material routes'!$C$6:$C$2205,MATCH(U1179,'Material routes'!$A$6:$A$2205,0)),"MISSING ID")</x:f>
        <x:v>Ingredient candidate</x:v>
      </x:c>
      <x:c r="F1179" s="4" t="str">
        <x:f>IFERROR(INDEX('Material routes'!$E$6:$E$2205,MATCH(V1179,'Material routes'!$A$6:$A$2205,0)),"MISSING ID")</x:f>
        <x:v>Legger cargo sling</x:v>
      </x:c>
      <x:c r="G1179" s="4" t="str">
        <x:f>IFERROR(INDEX('Material routes'!$F$6:$F$2205,MATCH(V1179,'Material routes'!$A$6:$A$2205,0)),"MISSING ID")</x:f>
        <x:v>Not applicable</x:v>
      </x:c>
      <x:c r="H1179" s="4" t="str">
        <x:f>IFERROR(INDEX('Material routes'!$H$6:$H$2205,MATCH(V1179,'Material routes'!$A$6:$A$2205,0)),"MISSING ID")</x:f>
        <x:v>Carrier</x:v>
      </x:c>
      <x:c r="I1179" s="4" t="str">
        <x:f>IFERROR(INDEX('Material routes'!$G$6:$G$2205,MATCH(V1179,'Material routes'!$A$6:$A$2205,0)),"MISSING ID")</x:f>
        <x:v>Legger attachments</x:v>
      </x:c>
      <x:c r="J1179" s="4" t="str">
        <x:f>IFERROR(INDEX('Material routes'!$B$6:$B$2205,MATCH(U1179,'Material routes'!$A$6:$A$2205,0)),"MISSING ID")</x:f>
        <x:v>design.audit.proposal_legger_sling</x:v>
      </x:c>
      <x:c r="K1179" s="4" t="str">
        <x:f>IFERROR(INDEX('Crafting recipes'!$C$6:$C$1005,MATCH(J1179,'Crafting recipes'!$A$6:$A$1005,0)),"MISSING ID")</x:f>
        <x:v>Finished-item crafting</x:v>
      </x:c>
      <x:c r="L1179" s="4" t="str">
        <x:f>IFERROR(INDEX('Material routes'!$K$6:$K$2205,MATCH(U1179,'Material routes'!$A$6:$A$2205,0)),"MISSING ID")</x:f>
        <x:v>Proposal</x:v>
      </x:c>
      <x:c r="M1179" s="4" t="str">
        <x:f>IFERROR(INDEX('Material routes'!$M$6:$M$2205,MATCH(U1179,'Material routes'!$A$6:$A$2205,0)),"MISSING ID")</x:f>
        <x:v>Partial proposal</x:v>
      </x:c>
      <x:c r="N1179" s="4"/>
      <x:c r="O1179" s="4" t="str">
        <x:f>IFERROR(INDEX('Material routes'!$J$6:$J$2205,MATCH(U1179,'Material routes'!$A$6:$A$2205,0)),"MISSING ID")</x:f>
        <x:v>Unspecified</x:v>
      </x:c>
      <x:c r="P1179" s="4"/>
      <x:c r="Q1179" s="4" t="str">
        <x:f>IFERROR(INDEX('Material routes'!$J$6:$J$2205,MATCH(V1179,'Material routes'!$A$6:$A$2205,0)),"MISSING ID")</x:f>
        <x:v>Unspecified</x:v>
      </x:c>
      <x:c r="R1179" s="4" t="str">
        <x:f>IF(L1179="Withheld","Withheld premise",IF(E1179="Tool candidate","Reusable prerequisite",IF(K1179="Raw entry preparation","Entry-resource preparation",IF(G1179="Not applicable",IF(IFERROR(INDEX('Items'!$AI$6:$AI$1005,MATCH(T1179,'Items'!$A$6:$A$1005,0)),"MISSING ID")="Finished item","Finished endpoint",IF(IFERROR(INDEX('Items'!$AI$6:$AI$1005,MATCH(T1179,'Items'!$A$6:$A$1005,0)),"MISSING ID")="Currency","Currency / no refinement tier","Recovered output / tier not applicable")),IF(OR(IFERROR(INDEX('Crafting recipes'!$H$6:$H$1005,MATCH(J1179,'Crafting recipes'!$A$6:$A$1005,0)),"MISSING ID")="Unassigned",G1179="Unassigned"),"Tier unresolved",IF(IFERROR(VALUE(RIGHT(G1179,1))-VALUE(RIGHT(IFERROR(INDEX('Crafting recipes'!$H$6:$H$1005,MATCH(J1179,'Crafting recipes'!$A$6:$A$1005,0)),"MISSING ID"),1)),0)=1,IF(B1179=IFERROR(INDEX('Crafting recipes'!$H$6:$H$1005,MATCH(J1179,'Crafting recipes'!$A$6:$A$1005,0)),"MISSING ID"),"Advances one material tier","Lower-tier ingredient; route advances one tier"),"Needs tier review"))))))</x:f>
        <x:v>Finished endpoint</x:v>
      </x:c>
      <x:c r="S1179" s="4" t="str">
        <x:f>IFERROR(INDEX('Material routes'!$D$6:$D$2205,MATCH(U1179,'Material routes'!$A$6:$A$2205,0)),"MISSING ID")</x:f>
        <x:v>proposal.audit.pressed_hide_fastening_strips</x:v>
      </x:c>
      <x:c r="T1179" s="4" t="str">
        <x:f>IFERROR(INDEX('Material routes'!$D$6:$D$2205,MATCH(V1179,'Material routes'!$A$6:$A$2205,0)),"MISSING ID")</x:f>
        <x:v>proposal.legger.sling</x:v>
      </x:c>
      <x:c r="U1179" s="4" t="str">
        <x:v>design.audit.proposal_legger_sling.audit.in.2</x:v>
      </x:c>
      <x:c r="V1179" s="4" t="str">
        <x:v>design.audit.proposal_legger_sling.audit.out</x:v>
      </x:c>
    </x:row>
    <x:row r="1180" ht="64" customHeight="1">
      <x:c r="A1180" s="4" t="str">
        <x:f>IFERROR(INDEX('Material routes'!$E$6:$E$2205,MATCH(U1180,'Material routes'!$A$6:$A$2205,0)),"MISSING ID")</x:f>
        <x:v>Legger lashing-anchor set</x:v>
      </x:c>
      <x:c r="B1180" s="4" t="str">
        <x:f>IFERROR(INDEX('Material routes'!$F$6:$F$2205,MATCH(U1180,'Material routes'!$A$6:$A$2205,0)),"MISSING ID")</x:f>
        <x:v>T3</x:v>
      </x:c>
      <x:c r="C1180" s="4" t="str">
        <x:f>IFERROR(INDEX('Material routes'!$H$6:$H$2205,MATCH(U1180,'Material routes'!$A$6:$A$2205,0)),"MISSING ID")</x:f>
        <x:v>Crafting component</x:v>
      </x:c>
      <x:c r="D1180" s="4" t="str">
        <x:f>IFERROR(INDEX('Material routes'!$G$6:$G$2205,MATCH(U1180,'Material routes'!$A$6:$A$2205,0)),"MISSING ID")</x:f>
        <x:v>Crafting components</x:v>
      </x:c>
      <x:c r="E1180" s="4" t="str">
        <x:f>IFERROR(INDEX('Material routes'!$C$6:$C$2205,MATCH(U1180,'Material routes'!$A$6:$A$2205,0)),"MISSING ID")</x:f>
        <x:v>Ingredient candidate</x:v>
      </x:c>
      <x:c r="F1180" s="4" t="str">
        <x:f>IFERROR(INDEX('Material routes'!$E$6:$E$2205,MATCH(V1180,'Material routes'!$A$6:$A$2205,0)),"MISSING ID")</x:f>
        <x:v>Legger cargo sling</x:v>
      </x:c>
      <x:c r="G1180" s="4" t="str">
        <x:f>IFERROR(INDEX('Material routes'!$F$6:$F$2205,MATCH(V1180,'Material routes'!$A$6:$A$2205,0)),"MISSING ID")</x:f>
        <x:v>Not applicable</x:v>
      </x:c>
      <x:c r="H1180" s="4" t="str">
        <x:f>IFERROR(INDEX('Material routes'!$H$6:$H$2205,MATCH(V1180,'Material routes'!$A$6:$A$2205,0)),"MISSING ID")</x:f>
        <x:v>Carrier</x:v>
      </x:c>
      <x:c r="I1180" s="4" t="str">
        <x:f>IFERROR(INDEX('Material routes'!$G$6:$G$2205,MATCH(V1180,'Material routes'!$A$6:$A$2205,0)),"MISSING ID")</x:f>
        <x:v>Legger attachments</x:v>
      </x:c>
      <x:c r="J1180" s="4" t="str">
        <x:f>IFERROR(INDEX('Material routes'!$B$6:$B$2205,MATCH(U1180,'Material routes'!$A$6:$A$2205,0)),"MISSING ID")</x:f>
        <x:v>design.audit.proposal_legger_sling</x:v>
      </x:c>
      <x:c r="K1180" s="4" t="str">
        <x:f>IFERROR(INDEX('Crafting recipes'!$C$6:$C$1005,MATCH(J1180,'Crafting recipes'!$A$6:$A$1005,0)),"MISSING ID")</x:f>
        <x:v>Finished-item crafting</x:v>
      </x:c>
      <x:c r="L1180" s="4" t="str">
        <x:f>IFERROR(INDEX('Material routes'!$K$6:$K$2205,MATCH(U1180,'Material routes'!$A$6:$A$2205,0)),"MISSING ID")</x:f>
        <x:v>Proposal</x:v>
      </x:c>
      <x:c r="M1180" s="4" t="str">
        <x:f>IFERROR(INDEX('Material routes'!$M$6:$M$2205,MATCH(U1180,'Material routes'!$A$6:$A$2205,0)),"MISSING ID")</x:f>
        <x:v>Partial proposal</x:v>
      </x:c>
      <x:c r="N1180" s="4"/>
      <x:c r="O1180" s="4" t="str">
        <x:f>IFERROR(INDEX('Material routes'!$J$6:$J$2205,MATCH(U1180,'Material routes'!$A$6:$A$2205,0)),"MISSING ID")</x:f>
        <x:v>Unspecified</x:v>
      </x:c>
      <x:c r="P1180" s="4"/>
      <x:c r="Q1180" s="4" t="str">
        <x:f>IFERROR(INDEX('Material routes'!$J$6:$J$2205,MATCH(V1180,'Material routes'!$A$6:$A$2205,0)),"MISSING ID")</x:f>
        <x:v>Unspecified</x:v>
      </x:c>
      <x:c r="R1180" s="4" t="str">
        <x:f>IF(L1180="Withheld","Withheld premise",IF(E1180="Tool candidate","Reusable prerequisite",IF(K1180="Raw entry preparation","Entry-resource preparation",IF(G1180="Not applicable",IF(IFERROR(INDEX('Items'!$AI$6:$AI$1005,MATCH(T1180,'Items'!$A$6:$A$1005,0)),"MISSING ID")="Finished item","Finished endpoint",IF(IFERROR(INDEX('Items'!$AI$6:$AI$1005,MATCH(T1180,'Items'!$A$6:$A$1005,0)),"MISSING ID")="Currency","Currency / no refinement tier","Recovered output / tier not applicable")),IF(OR(IFERROR(INDEX('Crafting recipes'!$H$6:$H$1005,MATCH(J1180,'Crafting recipes'!$A$6:$A$1005,0)),"MISSING ID")="Unassigned",G1180="Unassigned"),"Tier unresolved",IF(IFERROR(VALUE(RIGHT(G1180,1))-VALUE(RIGHT(IFERROR(INDEX('Crafting recipes'!$H$6:$H$1005,MATCH(J1180,'Crafting recipes'!$A$6:$A$1005,0)),"MISSING ID"),1)),0)=1,IF(B1180=IFERROR(INDEX('Crafting recipes'!$H$6:$H$1005,MATCH(J1180,'Crafting recipes'!$A$6:$A$1005,0)),"MISSING ID"),"Advances one material tier","Lower-tier ingredient; route advances one tier"),"Needs tier review"))))))</x:f>
        <x:v>Finished endpoint</x:v>
      </x:c>
      <x:c r="S1180" s="4" t="str">
        <x:f>IFERROR(INDEX('Material routes'!$D$6:$D$2205,MATCH(U1180,'Material routes'!$A$6:$A$2205,0)),"MISSING ID")</x:f>
        <x:v>proposal.legger.anchors</x:v>
      </x:c>
      <x:c r="T1180" s="4" t="str">
        <x:f>IFERROR(INDEX('Material routes'!$D$6:$D$2205,MATCH(V1180,'Material routes'!$A$6:$A$2205,0)),"MISSING ID")</x:f>
        <x:v>proposal.legger.sling</x:v>
      </x:c>
      <x:c r="U1180" s="4" t="str">
        <x:v>design.audit.proposal_legger_sling.audit.in.3</x:v>
      </x:c>
      <x:c r="V1180" s="4" t="str">
        <x:v>design.audit.proposal_legger_sling.audit.out</x:v>
      </x:c>
    </x:row>
    <x:row r="1181" ht="64" customHeight="1">
      <x:c r="A1181" s="4" t="str">
        <x:f>IFERROR(INDEX('Material routes'!$E$6:$E$2205,MATCH(U1181,'Material routes'!$A$6:$A$2205,0)),"MISSING ID")</x:f>
        <x:v>Iron chassis replacement rib</x:v>
      </x:c>
      <x:c r="B1181" s="4" t="str">
        <x:f>IFERROR(INDEX('Material routes'!$F$6:$F$2205,MATCH(U1181,'Material routes'!$A$6:$A$2205,0)),"MISSING ID")</x:f>
        <x:v>T3</x:v>
      </x:c>
      <x:c r="C1181" s="4" t="str">
        <x:f>IFERROR(INDEX('Material routes'!$H$6:$H$2205,MATCH(U1181,'Material routes'!$A$6:$A$2205,0)),"MISSING ID")</x:f>
        <x:v>Crafting component</x:v>
      </x:c>
      <x:c r="D1181" s="4" t="str">
        <x:f>IFERROR(INDEX('Material routes'!$G$6:$G$2205,MATCH(U1181,'Material routes'!$A$6:$A$2205,0)),"MISSING ID")</x:f>
        <x:v>Crafting components</x:v>
      </x:c>
      <x:c r="E1181" s="4" t="str">
        <x:f>IFERROR(INDEX('Material routes'!$C$6:$C$2205,MATCH(U1181,'Material routes'!$A$6:$A$2205,0)),"MISSING ID")</x:f>
        <x:v>Ingredient candidate</x:v>
      </x:c>
      <x:c r="F1181" s="4" t="str">
        <x:f>IFERROR(INDEX('Material routes'!$E$6:$E$2205,MATCH(V1181,'Material routes'!$A$6:$A$2205,0)),"MISSING ID")</x:f>
        <x:v>Legger rigid cargo cradle</x:v>
      </x:c>
      <x:c r="G1181" s="4" t="str">
        <x:f>IFERROR(INDEX('Material routes'!$F$6:$F$2205,MATCH(V1181,'Material routes'!$A$6:$A$2205,0)),"MISSING ID")</x:f>
        <x:v>Not applicable</x:v>
      </x:c>
      <x:c r="H1181" s="4" t="str">
        <x:f>IFERROR(INDEX('Material routes'!$H$6:$H$2205,MATCH(V1181,'Material routes'!$A$6:$A$2205,0)),"MISSING ID")</x:f>
        <x:v>Carrier</x:v>
      </x:c>
      <x:c r="I1181" s="4" t="str">
        <x:f>IFERROR(INDEX('Material routes'!$G$6:$G$2205,MATCH(V1181,'Material routes'!$A$6:$A$2205,0)),"MISSING ID")</x:f>
        <x:v>Legger attachments</x:v>
      </x:c>
      <x:c r="J1181" s="4" t="str">
        <x:f>IFERROR(INDEX('Material routes'!$B$6:$B$2205,MATCH(U1181,'Material routes'!$A$6:$A$2205,0)),"MISSING ID")</x:f>
        <x:v>design.audit.proposal_legger_cradle</x:v>
      </x:c>
      <x:c r="K1181" s="4" t="str">
        <x:f>IFERROR(INDEX('Crafting recipes'!$C$6:$C$1005,MATCH(J1181,'Crafting recipes'!$A$6:$A$1005,0)),"MISSING ID")</x:f>
        <x:v>Finished-item crafting</x:v>
      </x:c>
      <x:c r="L1181" s="4" t="str">
        <x:f>IFERROR(INDEX('Material routes'!$K$6:$K$2205,MATCH(U1181,'Material routes'!$A$6:$A$2205,0)),"MISSING ID")</x:f>
        <x:v>Proposal</x:v>
      </x:c>
      <x:c r="M1181" s="4" t="str">
        <x:f>IFERROR(INDEX('Material routes'!$M$6:$M$2205,MATCH(U1181,'Material routes'!$A$6:$A$2205,0)),"MISSING ID")</x:f>
        <x:v>Partial proposal</x:v>
      </x:c>
      <x:c r="N1181" s="4"/>
      <x:c r="O1181" s="4" t="str">
        <x:f>IFERROR(INDEX('Material routes'!$J$6:$J$2205,MATCH(U1181,'Material routes'!$A$6:$A$2205,0)),"MISSING ID")</x:f>
        <x:v>Unspecified</x:v>
      </x:c>
      <x:c r="P1181" s="4"/>
      <x:c r="Q1181" s="4" t="str">
        <x:f>IFERROR(INDEX('Material routes'!$J$6:$J$2205,MATCH(V1181,'Material routes'!$A$6:$A$2205,0)),"MISSING ID")</x:f>
        <x:v>Unspecified</x:v>
      </x:c>
      <x:c r="R1181" s="4" t="str">
        <x:f>IF(L1181="Withheld","Withheld premise",IF(E1181="Tool candidate","Reusable prerequisite",IF(K1181="Raw entry preparation","Entry-resource preparation",IF(G1181="Not applicable",IF(IFERROR(INDEX('Items'!$AI$6:$AI$1005,MATCH(T1181,'Items'!$A$6:$A$1005,0)),"MISSING ID")="Finished item","Finished endpoint",IF(IFERROR(INDEX('Items'!$AI$6:$AI$1005,MATCH(T1181,'Items'!$A$6:$A$1005,0)),"MISSING ID")="Currency","Currency / no refinement tier","Recovered output / tier not applicable")),IF(OR(IFERROR(INDEX('Crafting recipes'!$H$6:$H$1005,MATCH(J1181,'Crafting recipes'!$A$6:$A$1005,0)),"MISSING ID")="Unassigned",G1181="Unassigned"),"Tier unresolved",IF(IFERROR(VALUE(RIGHT(G1181,1))-VALUE(RIGHT(IFERROR(INDEX('Crafting recipes'!$H$6:$H$1005,MATCH(J1181,'Crafting recipes'!$A$6:$A$1005,0)),"MISSING ID"),1)),0)=1,IF(B1181=IFERROR(INDEX('Crafting recipes'!$H$6:$H$1005,MATCH(J1181,'Crafting recipes'!$A$6:$A$1005,0)),"MISSING ID"),"Advances one material tier","Lower-tier ingredient; route advances one tier"),"Needs tier review"))))))</x:f>
        <x:v>Finished endpoint</x:v>
      </x:c>
      <x:c r="S1181" s="4" t="str">
        <x:f>IFERROR(INDEX('Material routes'!$D$6:$D$2205,MATCH(U1181,'Material routes'!$A$6:$A$2205,0)),"MISSING ID")</x:f>
        <x:v>proposal.legger.iron_rib</x:v>
      </x:c>
      <x:c r="T1181" s="4" t="str">
        <x:f>IFERROR(INDEX('Material routes'!$D$6:$D$2205,MATCH(V1181,'Material routes'!$A$6:$A$2205,0)),"MISSING ID")</x:f>
        <x:v>proposal.legger.cradle</x:v>
      </x:c>
      <x:c r="U1181" s="4" t="str">
        <x:v>design.audit.proposal_legger_cradle.audit.in.1</x:v>
      </x:c>
      <x:c r="V1181" s="4" t="str">
        <x:v>design.audit.proposal_legger_cradle.audit.out</x:v>
      </x:c>
    </x:row>
    <x:row r="1182" ht="64" customHeight="1">
      <x:c r="A1182" s="4" t="str">
        <x:f>IFERROR(INDEX('Material routes'!$E$6:$E$2205,MATCH(U1182,'Material routes'!$A$6:$A$2205,0)),"MISSING ID")</x:f>
        <x:v>Chassis crossbrace</x:v>
      </x:c>
      <x:c r="B1182" s="4" t="str">
        <x:f>IFERROR(INDEX('Material routes'!$F$6:$F$2205,MATCH(U1182,'Material routes'!$A$6:$A$2205,0)),"MISSING ID")</x:f>
        <x:v>T3</x:v>
      </x:c>
      <x:c r="C1182" s="4" t="str">
        <x:f>IFERROR(INDEX('Material routes'!$H$6:$H$2205,MATCH(U1182,'Material routes'!$A$6:$A$2205,0)),"MISSING ID")</x:f>
        <x:v>Crafting component</x:v>
      </x:c>
      <x:c r="D1182" s="4" t="str">
        <x:f>IFERROR(INDEX('Material routes'!$G$6:$G$2205,MATCH(U1182,'Material routes'!$A$6:$A$2205,0)),"MISSING ID")</x:f>
        <x:v>Crafting components</x:v>
      </x:c>
      <x:c r="E1182" s="4" t="str">
        <x:f>IFERROR(INDEX('Material routes'!$C$6:$C$2205,MATCH(U1182,'Material routes'!$A$6:$A$2205,0)),"MISSING ID")</x:f>
        <x:v>Ingredient candidate</x:v>
      </x:c>
      <x:c r="F1182" s="4" t="str">
        <x:f>IFERROR(INDEX('Material routes'!$E$6:$E$2205,MATCH(V1182,'Material routes'!$A$6:$A$2205,0)),"MISSING ID")</x:f>
        <x:v>Legger rigid cargo cradle</x:v>
      </x:c>
      <x:c r="G1182" s="4" t="str">
        <x:f>IFERROR(INDEX('Material routes'!$F$6:$F$2205,MATCH(V1182,'Material routes'!$A$6:$A$2205,0)),"MISSING ID")</x:f>
        <x:v>Not applicable</x:v>
      </x:c>
      <x:c r="H1182" s="4" t="str">
        <x:f>IFERROR(INDEX('Material routes'!$H$6:$H$2205,MATCH(V1182,'Material routes'!$A$6:$A$2205,0)),"MISSING ID")</x:f>
        <x:v>Carrier</x:v>
      </x:c>
      <x:c r="I1182" s="4" t="str">
        <x:f>IFERROR(INDEX('Material routes'!$G$6:$G$2205,MATCH(V1182,'Material routes'!$A$6:$A$2205,0)),"MISSING ID")</x:f>
        <x:v>Legger attachments</x:v>
      </x:c>
      <x:c r="J1182" s="4" t="str">
        <x:f>IFERROR(INDEX('Material routes'!$B$6:$B$2205,MATCH(U1182,'Material routes'!$A$6:$A$2205,0)),"MISSING ID")</x:f>
        <x:v>design.audit.proposal_legger_cradle</x:v>
      </x:c>
      <x:c r="K1182" s="4" t="str">
        <x:f>IFERROR(INDEX('Crafting recipes'!$C$6:$C$1005,MATCH(J1182,'Crafting recipes'!$A$6:$A$1005,0)),"MISSING ID")</x:f>
        <x:v>Finished-item crafting</x:v>
      </x:c>
      <x:c r="L1182" s="4" t="str">
        <x:f>IFERROR(INDEX('Material routes'!$K$6:$K$2205,MATCH(U1182,'Material routes'!$A$6:$A$2205,0)),"MISSING ID")</x:f>
        <x:v>Proposal</x:v>
      </x:c>
      <x:c r="M1182" s="4" t="str">
        <x:f>IFERROR(INDEX('Material routes'!$M$6:$M$2205,MATCH(U1182,'Material routes'!$A$6:$A$2205,0)),"MISSING ID")</x:f>
        <x:v>Partial proposal</x:v>
      </x:c>
      <x:c r="N1182" s="4"/>
      <x:c r="O1182" s="4" t="str">
        <x:f>IFERROR(INDEX('Material routes'!$J$6:$J$2205,MATCH(U1182,'Material routes'!$A$6:$A$2205,0)),"MISSING ID")</x:f>
        <x:v>Unspecified</x:v>
      </x:c>
      <x:c r="P1182" s="4"/>
      <x:c r="Q1182" s="4" t="str">
        <x:f>IFERROR(INDEX('Material routes'!$J$6:$J$2205,MATCH(V1182,'Material routes'!$A$6:$A$2205,0)),"MISSING ID")</x:f>
        <x:v>Unspecified</x:v>
      </x:c>
      <x:c r="R1182" s="4" t="str">
        <x:f>IF(L1182="Withheld","Withheld premise",IF(E1182="Tool candidate","Reusable prerequisite",IF(K1182="Raw entry preparation","Entry-resource preparation",IF(G1182="Not applicable",IF(IFERROR(INDEX('Items'!$AI$6:$AI$1005,MATCH(T1182,'Items'!$A$6:$A$1005,0)),"MISSING ID")="Finished item","Finished endpoint",IF(IFERROR(INDEX('Items'!$AI$6:$AI$1005,MATCH(T1182,'Items'!$A$6:$A$1005,0)),"MISSING ID")="Currency","Currency / no refinement tier","Recovered output / tier not applicable")),IF(OR(IFERROR(INDEX('Crafting recipes'!$H$6:$H$1005,MATCH(J1182,'Crafting recipes'!$A$6:$A$1005,0)),"MISSING ID")="Unassigned",G1182="Unassigned"),"Tier unresolved",IF(IFERROR(VALUE(RIGHT(G1182,1))-VALUE(RIGHT(IFERROR(INDEX('Crafting recipes'!$H$6:$H$1005,MATCH(J1182,'Crafting recipes'!$A$6:$A$1005,0)),"MISSING ID"),1)),0)=1,IF(B1182=IFERROR(INDEX('Crafting recipes'!$H$6:$H$1005,MATCH(J1182,'Crafting recipes'!$A$6:$A$1005,0)),"MISSING ID"),"Advances one material tier","Lower-tier ingredient; route advances one tier"),"Needs tier review"))))))</x:f>
        <x:v>Finished endpoint</x:v>
      </x:c>
      <x:c r="S1182" s="4" t="str">
        <x:f>IFERROR(INDEX('Material routes'!$D$6:$D$2205,MATCH(U1182,'Material routes'!$A$6:$A$2205,0)),"MISSING ID")</x:f>
        <x:v>proposal.legger.crossbrace</x:v>
      </x:c>
      <x:c r="T1182" s="4" t="str">
        <x:f>IFERROR(INDEX('Material routes'!$D$6:$D$2205,MATCH(V1182,'Material routes'!$A$6:$A$2205,0)),"MISSING ID")</x:f>
        <x:v>proposal.legger.cradle</x:v>
      </x:c>
      <x:c r="U1182" s="4" t="str">
        <x:v>design.audit.proposal_legger_cradle.audit.in.2</x:v>
      </x:c>
      <x:c r="V1182" s="4" t="str">
        <x:v>design.audit.proposal_legger_cradle.audit.out</x:v>
      </x:c>
    </x:row>
    <x:row r="1183" ht="64" customHeight="1">
      <x:c r="A1183" s="4" t="str">
        <x:f>IFERROR(INDEX('Material routes'!$E$6:$E$2205,MATCH(U1183,'Material routes'!$A$6:$A$2205,0)),"MISSING ID")</x:f>
        <x:v>Legger attachment rail</x:v>
      </x:c>
      <x:c r="B1183" s="4" t="str">
        <x:f>IFERROR(INDEX('Material routes'!$F$6:$F$2205,MATCH(U1183,'Material routes'!$A$6:$A$2205,0)),"MISSING ID")</x:f>
        <x:v>T3</x:v>
      </x:c>
      <x:c r="C1183" s="4" t="str">
        <x:f>IFERROR(INDEX('Material routes'!$H$6:$H$2205,MATCH(U1183,'Material routes'!$A$6:$A$2205,0)),"MISSING ID")</x:f>
        <x:v>Crafting component</x:v>
      </x:c>
      <x:c r="D1183" s="4" t="str">
        <x:f>IFERROR(INDEX('Material routes'!$G$6:$G$2205,MATCH(U1183,'Material routes'!$A$6:$A$2205,0)),"MISSING ID")</x:f>
        <x:v>Crafting components</x:v>
      </x:c>
      <x:c r="E1183" s="4" t="str">
        <x:f>IFERROR(INDEX('Material routes'!$C$6:$C$2205,MATCH(U1183,'Material routes'!$A$6:$A$2205,0)),"MISSING ID")</x:f>
        <x:v>Ingredient candidate</x:v>
      </x:c>
      <x:c r="F1183" s="4" t="str">
        <x:f>IFERROR(INDEX('Material routes'!$E$6:$E$2205,MATCH(V1183,'Material routes'!$A$6:$A$2205,0)),"MISSING ID")</x:f>
        <x:v>Legger rigid cargo cradle</x:v>
      </x:c>
      <x:c r="G1183" s="4" t="str">
        <x:f>IFERROR(INDEX('Material routes'!$F$6:$F$2205,MATCH(V1183,'Material routes'!$A$6:$A$2205,0)),"MISSING ID")</x:f>
        <x:v>Not applicable</x:v>
      </x:c>
      <x:c r="H1183" s="4" t="str">
        <x:f>IFERROR(INDEX('Material routes'!$H$6:$H$2205,MATCH(V1183,'Material routes'!$A$6:$A$2205,0)),"MISSING ID")</x:f>
        <x:v>Carrier</x:v>
      </x:c>
      <x:c r="I1183" s="4" t="str">
        <x:f>IFERROR(INDEX('Material routes'!$G$6:$G$2205,MATCH(V1183,'Material routes'!$A$6:$A$2205,0)),"MISSING ID")</x:f>
        <x:v>Legger attachments</x:v>
      </x:c>
      <x:c r="J1183" s="4" t="str">
        <x:f>IFERROR(INDEX('Material routes'!$B$6:$B$2205,MATCH(U1183,'Material routes'!$A$6:$A$2205,0)),"MISSING ID")</x:f>
        <x:v>design.audit.proposal_legger_cradle</x:v>
      </x:c>
      <x:c r="K1183" s="4" t="str">
        <x:f>IFERROR(INDEX('Crafting recipes'!$C$6:$C$1005,MATCH(J1183,'Crafting recipes'!$A$6:$A$1005,0)),"MISSING ID")</x:f>
        <x:v>Finished-item crafting</x:v>
      </x:c>
      <x:c r="L1183" s="4" t="str">
        <x:f>IFERROR(INDEX('Material routes'!$K$6:$K$2205,MATCH(U1183,'Material routes'!$A$6:$A$2205,0)),"MISSING ID")</x:f>
        <x:v>Proposal</x:v>
      </x:c>
      <x:c r="M1183" s="4" t="str">
        <x:f>IFERROR(INDEX('Material routes'!$M$6:$M$2205,MATCH(U1183,'Material routes'!$A$6:$A$2205,0)),"MISSING ID")</x:f>
        <x:v>Partial proposal</x:v>
      </x:c>
      <x:c r="N1183" s="4"/>
      <x:c r="O1183" s="4" t="str">
        <x:f>IFERROR(INDEX('Material routes'!$J$6:$J$2205,MATCH(U1183,'Material routes'!$A$6:$A$2205,0)),"MISSING ID")</x:f>
        <x:v>Unspecified</x:v>
      </x:c>
      <x:c r="P1183" s="4"/>
      <x:c r="Q1183" s="4" t="str">
        <x:f>IFERROR(INDEX('Material routes'!$J$6:$J$2205,MATCH(V1183,'Material routes'!$A$6:$A$2205,0)),"MISSING ID")</x:f>
        <x:v>Unspecified</x:v>
      </x:c>
      <x:c r="R1183" s="4" t="str">
        <x:f>IF(L1183="Withheld","Withheld premise",IF(E1183="Tool candidate","Reusable prerequisite",IF(K1183="Raw entry preparation","Entry-resource preparation",IF(G1183="Not applicable",IF(IFERROR(INDEX('Items'!$AI$6:$AI$1005,MATCH(T1183,'Items'!$A$6:$A$1005,0)),"MISSING ID")="Finished item","Finished endpoint",IF(IFERROR(INDEX('Items'!$AI$6:$AI$1005,MATCH(T1183,'Items'!$A$6:$A$1005,0)),"MISSING ID")="Currency","Currency / no refinement tier","Recovered output / tier not applicable")),IF(OR(IFERROR(INDEX('Crafting recipes'!$H$6:$H$1005,MATCH(J1183,'Crafting recipes'!$A$6:$A$1005,0)),"MISSING ID")="Unassigned",G1183="Unassigned"),"Tier unresolved",IF(IFERROR(VALUE(RIGHT(G1183,1))-VALUE(RIGHT(IFERROR(INDEX('Crafting recipes'!$H$6:$H$1005,MATCH(J1183,'Crafting recipes'!$A$6:$A$1005,0)),"MISSING ID"),1)),0)=1,IF(B1183=IFERROR(INDEX('Crafting recipes'!$H$6:$H$1005,MATCH(J1183,'Crafting recipes'!$A$6:$A$1005,0)),"MISSING ID"),"Advances one material tier","Lower-tier ingredient; route advances one tier"),"Needs tier review"))))))</x:f>
        <x:v>Finished endpoint</x:v>
      </x:c>
      <x:c r="S1183" s="4" t="str">
        <x:f>IFERROR(INDEX('Material routes'!$D$6:$D$2205,MATCH(U1183,'Material routes'!$A$6:$A$2205,0)),"MISSING ID")</x:f>
        <x:v>proposal.legger.mount_rail</x:v>
      </x:c>
      <x:c r="T1183" s="4" t="str">
        <x:f>IFERROR(INDEX('Material routes'!$D$6:$D$2205,MATCH(V1183,'Material routes'!$A$6:$A$2205,0)),"MISSING ID")</x:f>
        <x:v>proposal.legger.cradle</x:v>
      </x:c>
      <x:c r="U1183" s="4" t="str">
        <x:v>design.audit.proposal_legger_cradle.audit.in.3</x:v>
      </x:c>
      <x:c r="V1183" s="4" t="str">
        <x:v>design.audit.proposal_legger_cradle.audit.out</x:v>
      </x:c>
    </x:row>
    <x:row r="1184" ht="64" customHeight="1">
      <x:c r="A1184" s="4" t="str">
        <x:f>IFERROR(INDEX('Material routes'!$E$6:$E$2205,MATCH(U1184,'Material routes'!$A$6:$A$2205,0)),"MISSING ID")</x:f>
        <x:v>Steel stock</x:v>
      </x:c>
      <x:c r="B1184" s="4" t="str">
        <x:f>IFERROR(INDEX('Material routes'!$F$6:$F$2205,MATCH(U1184,'Material routes'!$A$6:$A$2205,0)),"MISSING ID")</x:f>
        <x:v>T2</x:v>
      </x:c>
      <x:c r="C1184" s="4" t="str">
        <x:f>IFERROR(INDEX('Material routes'!$H$6:$H$2205,MATCH(U1184,'Material routes'!$A$6:$A$2205,0)),"MISSING ID")</x:f>
        <x:v>Processed material</x:v>
      </x:c>
      <x:c r="D1184" s="4" t="str">
        <x:f>IFERROR(INDEX('Material routes'!$G$6:$G$2205,MATCH(U1184,'Material routes'!$A$6:$A$2205,0)),"MISSING ID")</x:f>
        <x:v>Manufactured stock</x:v>
      </x:c>
      <x:c r="E1184" s="4" t="str">
        <x:f>IFERROR(INDEX('Material routes'!$C$6:$C$2205,MATCH(U1184,'Material routes'!$A$6:$A$2205,0)),"MISSING ID")</x:f>
        <x:v>Ingredient candidate</x:v>
      </x:c>
      <x:c r="F1184" s="4" t="str">
        <x:f>IFERROR(INDEX('Material routes'!$E$6:$E$2205,MATCH(V1184,'Material routes'!$A$6:$A$2205,0)),"MISSING ID")</x:f>
        <x:v>Legger chassis belly pan</x:v>
      </x:c>
      <x:c r="G1184" s="4" t="str">
        <x:f>IFERROR(INDEX('Material routes'!$F$6:$F$2205,MATCH(V1184,'Material routes'!$A$6:$A$2205,0)),"MISSING ID")</x:f>
        <x:v>Not applicable</x:v>
      </x:c>
      <x:c r="H1184" s="4" t="str">
        <x:f>IFERROR(INDEX('Material routes'!$H$6:$H$2205,MATCH(V1184,'Material routes'!$A$6:$A$2205,0)),"MISSING ID")</x:f>
        <x:v>Armor</x:v>
      </x:c>
      <x:c r="I1184" s="4" t="str">
        <x:f>IFERROR(INDEX('Material routes'!$G$6:$G$2205,MATCH(V1184,'Material routes'!$A$6:$A$2205,0)),"MISSING ID")</x:f>
        <x:v>Legger armor</x:v>
      </x:c>
      <x:c r="J1184" s="4" t="str">
        <x:f>IFERROR(INDEX('Material routes'!$B$6:$B$2205,MATCH(U1184,'Material routes'!$A$6:$A$2205,0)),"MISSING ID")</x:f>
        <x:v>design.audit.proposal_legger_belly_pan</x:v>
      </x:c>
      <x:c r="K1184" s="4" t="str">
        <x:f>IFERROR(INDEX('Crafting recipes'!$C$6:$C$1005,MATCH(J1184,'Crafting recipes'!$A$6:$A$1005,0)),"MISSING ID")</x:f>
        <x:v>Finished-item crafting</x:v>
      </x:c>
      <x:c r="L1184" s="4" t="str">
        <x:f>IFERROR(INDEX('Material routes'!$K$6:$K$2205,MATCH(U1184,'Material routes'!$A$6:$A$2205,0)),"MISSING ID")</x:f>
        <x:v>Proposal</x:v>
      </x:c>
      <x:c r="M1184" s="4" t="str">
        <x:f>IFERROR(INDEX('Material routes'!$M$6:$M$2205,MATCH(U1184,'Material routes'!$A$6:$A$2205,0)),"MISSING ID")</x:f>
        <x:v>Partial proposal</x:v>
      </x:c>
      <x:c r="N1184" s="4"/>
      <x:c r="O1184" s="4" t="str">
        <x:f>IFERROR(INDEX('Material routes'!$J$6:$J$2205,MATCH(U1184,'Material routes'!$A$6:$A$2205,0)),"MISSING ID")</x:f>
        <x:v>Unspecified</x:v>
      </x:c>
      <x:c r="P1184" s="4"/>
      <x:c r="Q1184" s="4" t="str">
        <x:f>IFERROR(INDEX('Material routes'!$J$6:$J$2205,MATCH(V1184,'Material routes'!$A$6:$A$2205,0)),"MISSING ID")</x:f>
        <x:v>Unspecified</x:v>
      </x:c>
      <x:c r="R1184" s="4" t="str">
        <x:f>IF(L1184="Withheld","Withheld premise",IF(E1184="Tool candidate","Reusable prerequisite",IF(K1184="Raw entry preparation","Entry-resource preparation",IF(G1184="Not applicable",IF(IFERROR(INDEX('Items'!$AI$6:$AI$1005,MATCH(T1184,'Items'!$A$6:$A$1005,0)),"MISSING ID")="Finished item","Finished endpoint",IF(IFERROR(INDEX('Items'!$AI$6:$AI$1005,MATCH(T1184,'Items'!$A$6:$A$1005,0)),"MISSING ID")="Currency","Currency / no refinement tier","Recovered output / tier not applicable")),IF(OR(IFERROR(INDEX('Crafting recipes'!$H$6:$H$1005,MATCH(J1184,'Crafting recipes'!$A$6:$A$1005,0)),"MISSING ID")="Unassigned",G1184="Unassigned"),"Tier unresolved",IF(IFERROR(VALUE(RIGHT(G1184,1))-VALUE(RIGHT(IFERROR(INDEX('Crafting recipes'!$H$6:$H$1005,MATCH(J1184,'Crafting recipes'!$A$6:$A$1005,0)),"MISSING ID"),1)),0)=1,IF(B1184=IFERROR(INDEX('Crafting recipes'!$H$6:$H$1005,MATCH(J1184,'Crafting recipes'!$A$6:$A$1005,0)),"MISSING ID"),"Advances one material tier","Lower-tier ingredient; route advances one tier"),"Needs tier review"))))))</x:f>
        <x:v>Finished endpoint</x:v>
      </x:c>
      <x:c r="S1184" s="4" t="str">
        <x:f>IFERROR(INDEX('Material routes'!$D$6:$D$2205,MATCH(U1184,'Material routes'!$A$6:$A$2205,0)),"MISSING ID")</x:f>
        <x:v>author.metallurgy.steel_stock</x:v>
      </x:c>
      <x:c r="T1184" s="4" t="str">
        <x:f>IFERROR(INDEX('Material routes'!$D$6:$D$2205,MATCH(V1184,'Material routes'!$A$6:$A$2205,0)),"MISSING ID")</x:f>
        <x:v>proposal.legger.belly_pan</x:v>
      </x:c>
      <x:c r="U1184" s="4" t="str">
        <x:v>design.audit.proposal_legger_belly_pan.audit.in.1</x:v>
      </x:c>
      <x:c r="V1184" s="4" t="str">
        <x:v>design.audit.proposal_legger_belly_pan.audit.out</x:v>
      </x:c>
    </x:row>
    <x:row r="1185" ht="64" customHeight="1">
      <x:c r="A1185" s="4" t="str">
        <x:f>IFERROR(INDEX('Material routes'!$E$6:$E$2205,MATCH(U1185,'Material routes'!$A$6:$A$2205,0)),"MISSING ID")</x:f>
        <x:v>Matched metal fastener set</x:v>
      </x:c>
      <x:c r="B1185" s="4" t="str">
        <x:f>IFERROR(INDEX('Material routes'!$F$6:$F$2205,MATCH(U1185,'Material routes'!$A$6:$A$2205,0)),"MISSING ID")</x:f>
        <x:v>T3</x:v>
      </x:c>
      <x:c r="C1185" s="4" t="str">
        <x:f>IFERROR(INDEX('Material routes'!$H$6:$H$2205,MATCH(U1185,'Material routes'!$A$6:$A$2205,0)),"MISSING ID")</x:f>
        <x:v>Crafting component</x:v>
      </x:c>
      <x:c r="D1185" s="4" t="str">
        <x:f>IFERROR(INDEX('Material routes'!$G$6:$G$2205,MATCH(U1185,'Material routes'!$A$6:$A$2205,0)),"MISSING ID")</x:f>
        <x:v>Crafting components</x:v>
      </x:c>
      <x:c r="E1185" s="4" t="str">
        <x:f>IFERROR(INDEX('Material routes'!$C$6:$C$2205,MATCH(U1185,'Material routes'!$A$6:$A$2205,0)),"MISSING ID")</x:f>
        <x:v>Ingredient candidate</x:v>
      </x:c>
      <x:c r="F1185" s="4" t="str">
        <x:f>IFERROR(INDEX('Material routes'!$E$6:$E$2205,MATCH(V1185,'Material routes'!$A$6:$A$2205,0)),"MISSING ID")</x:f>
        <x:v>Legger chassis belly pan</x:v>
      </x:c>
      <x:c r="G1185" s="4" t="str">
        <x:f>IFERROR(INDEX('Material routes'!$F$6:$F$2205,MATCH(V1185,'Material routes'!$A$6:$A$2205,0)),"MISSING ID")</x:f>
        <x:v>Not applicable</x:v>
      </x:c>
      <x:c r="H1185" s="4" t="str">
        <x:f>IFERROR(INDEX('Material routes'!$H$6:$H$2205,MATCH(V1185,'Material routes'!$A$6:$A$2205,0)),"MISSING ID")</x:f>
        <x:v>Armor</x:v>
      </x:c>
      <x:c r="I1185" s="4" t="str">
        <x:f>IFERROR(INDEX('Material routes'!$G$6:$G$2205,MATCH(V1185,'Material routes'!$A$6:$A$2205,0)),"MISSING ID")</x:f>
        <x:v>Legger armor</x:v>
      </x:c>
      <x:c r="J1185" s="4" t="str">
        <x:f>IFERROR(INDEX('Material routes'!$B$6:$B$2205,MATCH(U1185,'Material routes'!$A$6:$A$2205,0)),"MISSING ID")</x:f>
        <x:v>design.audit.proposal_legger_belly_pan</x:v>
      </x:c>
      <x:c r="K1185" s="4" t="str">
        <x:f>IFERROR(INDEX('Crafting recipes'!$C$6:$C$1005,MATCH(J1185,'Crafting recipes'!$A$6:$A$1005,0)),"MISSING ID")</x:f>
        <x:v>Finished-item crafting</x:v>
      </x:c>
      <x:c r="L1185" s="4" t="str">
        <x:f>IFERROR(INDEX('Material routes'!$K$6:$K$2205,MATCH(U1185,'Material routes'!$A$6:$A$2205,0)),"MISSING ID")</x:f>
        <x:v>Proposal</x:v>
      </x:c>
      <x:c r="M1185" s="4" t="str">
        <x:f>IFERROR(INDEX('Material routes'!$M$6:$M$2205,MATCH(U1185,'Material routes'!$A$6:$A$2205,0)),"MISSING ID")</x:f>
        <x:v>Partial proposal</x:v>
      </x:c>
      <x:c r="N1185" s="4"/>
      <x:c r="O1185" s="4" t="str">
        <x:f>IFERROR(INDEX('Material routes'!$J$6:$J$2205,MATCH(U1185,'Material routes'!$A$6:$A$2205,0)),"MISSING ID")</x:f>
        <x:v>Unspecified</x:v>
      </x:c>
      <x:c r="P1185" s="4"/>
      <x:c r="Q1185" s="4" t="str">
        <x:f>IFERROR(INDEX('Material routes'!$J$6:$J$2205,MATCH(V1185,'Material routes'!$A$6:$A$2205,0)),"MISSING ID")</x:f>
        <x:v>Unspecified</x:v>
      </x:c>
      <x:c r="R1185" s="4" t="str">
        <x:f>IF(L1185="Withheld","Withheld premise",IF(E1185="Tool candidate","Reusable prerequisite",IF(K1185="Raw entry preparation","Entry-resource preparation",IF(G1185="Not applicable",IF(IFERROR(INDEX('Items'!$AI$6:$AI$1005,MATCH(T1185,'Items'!$A$6:$A$1005,0)),"MISSING ID")="Finished item","Finished endpoint",IF(IFERROR(INDEX('Items'!$AI$6:$AI$1005,MATCH(T1185,'Items'!$A$6:$A$1005,0)),"MISSING ID")="Currency","Currency / no refinement tier","Recovered output / tier not applicable")),IF(OR(IFERROR(INDEX('Crafting recipes'!$H$6:$H$1005,MATCH(J1185,'Crafting recipes'!$A$6:$A$1005,0)),"MISSING ID")="Unassigned",G1185="Unassigned"),"Tier unresolved",IF(IFERROR(VALUE(RIGHT(G1185,1))-VALUE(RIGHT(IFERROR(INDEX('Crafting recipes'!$H$6:$H$1005,MATCH(J1185,'Crafting recipes'!$A$6:$A$1005,0)),"MISSING ID"),1)),0)=1,IF(B1185=IFERROR(INDEX('Crafting recipes'!$H$6:$H$1005,MATCH(J1185,'Crafting recipes'!$A$6:$A$1005,0)),"MISSING ID"),"Advances one material tier","Lower-tier ingredient; route advances one tier"),"Needs tier review"))))))</x:f>
        <x:v>Finished endpoint</x:v>
      </x:c>
      <x:c r="S1185" s="4" t="str">
        <x:f>IFERROR(INDEX('Material routes'!$D$6:$D$2205,MATCH(U1185,'Material routes'!$A$6:$A$2205,0)),"MISSING ID")</x:f>
        <x:v>proposal.lore.fastener_set</x:v>
      </x:c>
      <x:c r="T1185" s="4" t="str">
        <x:f>IFERROR(INDEX('Material routes'!$D$6:$D$2205,MATCH(V1185,'Material routes'!$A$6:$A$2205,0)),"MISSING ID")</x:f>
        <x:v>proposal.legger.belly_pan</x:v>
      </x:c>
      <x:c r="U1185" s="4" t="str">
        <x:v>design.audit.proposal_legger_belly_pan.audit.in.2</x:v>
      </x:c>
      <x:c r="V1185" s="4" t="str">
        <x:v>design.audit.proposal_legger_belly_pan.audit.out</x:v>
      </x:c>
    </x:row>
    <x:row r="1186" ht="64" customHeight="1">
      <x:c r="A1186" s="4" t="str">
        <x:f>IFERROR(INDEX('Material routes'!$E$6:$E$2205,MATCH(U1186,'Material routes'!$A$6:$A$2205,0)),"MISSING ID")</x:f>
        <x:v>Husk-reinforced packing stock</x:v>
      </x:c>
      <x:c r="B1186" s="4" t="str">
        <x:f>IFERROR(INDEX('Material routes'!$F$6:$F$2205,MATCH(U1186,'Material routes'!$A$6:$A$2205,0)),"MISSING ID")</x:f>
        <x:v>T3</x:v>
      </x:c>
      <x:c r="C1186" s="4" t="str">
        <x:f>IFERROR(INDEX('Material routes'!$H$6:$H$2205,MATCH(U1186,'Material routes'!$A$6:$A$2205,0)),"MISSING ID")</x:f>
        <x:v>Processed material</x:v>
      </x:c>
      <x:c r="D1186" s="4" t="str">
        <x:f>IFERROR(INDEX('Material routes'!$G$6:$G$2205,MATCH(U1186,'Material routes'!$A$6:$A$2205,0)),"MISSING ID")</x:f>
        <x:v>Manufactured stock</x:v>
      </x:c>
      <x:c r="E1186" s="4" t="str">
        <x:f>IFERROR(INDEX('Material routes'!$C$6:$C$2205,MATCH(U1186,'Material routes'!$A$6:$A$2205,0)),"MISSING ID")</x:f>
        <x:v>Ingredient candidate</x:v>
      </x:c>
      <x:c r="F1186" s="4" t="str">
        <x:f>IFERROR(INDEX('Material routes'!$E$6:$E$2205,MATCH(V1186,'Material routes'!$A$6:$A$2205,0)),"MISSING ID")</x:f>
        <x:v>Legger chassis belly pan</x:v>
      </x:c>
      <x:c r="G1186" s="4" t="str">
        <x:f>IFERROR(INDEX('Material routes'!$F$6:$F$2205,MATCH(V1186,'Material routes'!$A$6:$A$2205,0)),"MISSING ID")</x:f>
        <x:v>Not applicable</x:v>
      </x:c>
      <x:c r="H1186" s="4" t="str">
        <x:f>IFERROR(INDEX('Material routes'!$H$6:$H$2205,MATCH(V1186,'Material routes'!$A$6:$A$2205,0)),"MISSING ID")</x:f>
        <x:v>Armor</x:v>
      </x:c>
      <x:c r="I1186" s="4" t="str">
        <x:f>IFERROR(INDEX('Material routes'!$G$6:$G$2205,MATCH(V1186,'Material routes'!$A$6:$A$2205,0)),"MISSING ID")</x:f>
        <x:v>Legger armor</x:v>
      </x:c>
      <x:c r="J1186" s="4" t="str">
        <x:f>IFERROR(INDEX('Material routes'!$B$6:$B$2205,MATCH(U1186,'Material routes'!$A$6:$A$2205,0)),"MISSING ID")</x:f>
        <x:v>design.audit.proposal_legger_belly_pan</x:v>
      </x:c>
      <x:c r="K1186" s="4" t="str">
        <x:f>IFERROR(INDEX('Crafting recipes'!$C$6:$C$1005,MATCH(J1186,'Crafting recipes'!$A$6:$A$1005,0)),"MISSING ID")</x:f>
        <x:v>Finished-item crafting</x:v>
      </x:c>
      <x:c r="L1186" s="4" t="str">
        <x:f>IFERROR(INDEX('Material routes'!$K$6:$K$2205,MATCH(U1186,'Material routes'!$A$6:$A$2205,0)),"MISSING ID")</x:f>
        <x:v>Proposal</x:v>
      </x:c>
      <x:c r="M1186" s="4" t="str">
        <x:f>IFERROR(INDEX('Material routes'!$M$6:$M$2205,MATCH(U1186,'Material routes'!$A$6:$A$2205,0)),"MISSING ID")</x:f>
        <x:v>Partial proposal</x:v>
      </x:c>
      <x:c r="N1186" s="4"/>
      <x:c r="O1186" s="4" t="str">
        <x:f>IFERROR(INDEX('Material routes'!$J$6:$J$2205,MATCH(U1186,'Material routes'!$A$6:$A$2205,0)),"MISSING ID")</x:f>
        <x:v>Unspecified</x:v>
      </x:c>
      <x:c r="P1186" s="4"/>
      <x:c r="Q1186" s="4" t="str">
        <x:f>IFERROR(INDEX('Material routes'!$J$6:$J$2205,MATCH(V1186,'Material routes'!$A$6:$A$2205,0)),"MISSING ID")</x:f>
        <x:v>Unspecified</x:v>
      </x:c>
      <x:c r="R1186" s="4" t="str">
        <x:f>IF(L1186="Withheld","Withheld premise",IF(E1186="Tool candidate","Reusable prerequisite",IF(K1186="Raw entry preparation","Entry-resource preparation",IF(G1186="Not applicable",IF(IFERROR(INDEX('Items'!$AI$6:$AI$1005,MATCH(T1186,'Items'!$A$6:$A$1005,0)),"MISSING ID")="Finished item","Finished endpoint",IF(IFERROR(INDEX('Items'!$AI$6:$AI$1005,MATCH(T1186,'Items'!$A$6:$A$1005,0)),"MISSING ID")="Currency","Currency / no refinement tier","Recovered output / tier not applicable")),IF(OR(IFERROR(INDEX('Crafting recipes'!$H$6:$H$1005,MATCH(J1186,'Crafting recipes'!$A$6:$A$1005,0)),"MISSING ID")="Unassigned",G1186="Unassigned"),"Tier unresolved",IF(IFERROR(VALUE(RIGHT(G1186,1))-VALUE(RIGHT(IFERROR(INDEX('Crafting recipes'!$H$6:$H$1005,MATCH(J1186,'Crafting recipes'!$A$6:$A$1005,0)),"MISSING ID"),1)),0)=1,IF(B1186=IFERROR(INDEX('Crafting recipes'!$H$6:$H$1005,MATCH(J1186,'Crafting recipes'!$A$6:$A$1005,0)),"MISSING ID"),"Advances one material tier","Lower-tier ingredient; route advances one tier"),"Needs tier review"))))))</x:f>
        <x:v>Finished endpoint</x:v>
      </x:c>
      <x:c r="S1186" s="4" t="str">
        <x:f>IFERROR(INDEX('Material routes'!$D$6:$D$2205,MATCH(U1186,'Material routes'!$A$6:$A$2205,0)),"MISSING ID")</x:f>
        <x:v>proposal.t3.packing_stock</x:v>
      </x:c>
      <x:c r="T1186" s="4" t="str">
        <x:f>IFERROR(INDEX('Material routes'!$D$6:$D$2205,MATCH(V1186,'Material routes'!$A$6:$A$2205,0)),"MISSING ID")</x:f>
        <x:v>proposal.legger.belly_pan</x:v>
      </x:c>
      <x:c r="U1186" s="4" t="str">
        <x:v>design.audit.proposal_legger_belly_pan.audit.in.3</x:v>
      </x:c>
      <x:c r="V1186" s="4" t="str">
        <x:v>design.audit.proposal_legger_belly_pan.audit.out</x:v>
      </x:c>
    </x:row>
    <x:row r="1187" ht="64" customHeight="1">
      <x:c r="A1187" s="4" t="str">
        <x:f>IFERROR(INDEX('Material routes'!$E$6:$E$2205,MATCH(U1187,'Material routes'!$A$6:$A$2205,0)),"MISSING ID")</x:f>
        <x:v>Bonded ceramic-shell composite</x:v>
      </x:c>
      <x:c r="B1187" s="4" t="str">
        <x:f>IFERROR(INDEX('Material routes'!$F$6:$F$2205,MATCH(U1187,'Material routes'!$A$6:$A$2205,0)),"MISSING ID")</x:f>
        <x:v>T3</x:v>
      </x:c>
      <x:c r="C1187" s="4" t="str">
        <x:f>IFERROR(INDEX('Material routes'!$H$6:$H$2205,MATCH(U1187,'Material routes'!$A$6:$A$2205,0)),"MISSING ID")</x:f>
        <x:v>Processed material</x:v>
      </x:c>
      <x:c r="D1187" s="4" t="str">
        <x:f>IFERROR(INDEX('Material routes'!$G$6:$G$2205,MATCH(U1187,'Material routes'!$A$6:$A$2205,0)),"MISSING ID")</x:f>
        <x:v>Manufactured stock</x:v>
      </x:c>
      <x:c r="E1187" s="4" t="str">
        <x:f>IFERROR(INDEX('Material routes'!$C$6:$C$2205,MATCH(U1187,'Material routes'!$A$6:$A$2205,0)),"MISSING ID")</x:f>
        <x:v>Ingredient candidate</x:v>
      </x:c>
      <x:c r="F1187" s="4" t="str">
        <x:f>IFERROR(INDEX('Material routes'!$E$6:$E$2205,MATCH(V1187,'Material routes'!$A$6:$A$2205,0)),"MISSING ID")</x:f>
        <x:v>Chitin chassis guard</x:v>
      </x:c>
      <x:c r="G1187" s="4" t="str">
        <x:f>IFERROR(INDEX('Material routes'!$F$6:$F$2205,MATCH(V1187,'Material routes'!$A$6:$A$2205,0)),"MISSING ID")</x:f>
        <x:v>Not applicable</x:v>
      </x:c>
      <x:c r="H1187" s="4" t="str">
        <x:f>IFERROR(INDEX('Material routes'!$H$6:$H$2205,MATCH(V1187,'Material routes'!$A$6:$A$2205,0)),"MISSING ID")</x:f>
        <x:v>Armor</x:v>
      </x:c>
      <x:c r="I1187" s="4" t="str">
        <x:f>IFERROR(INDEX('Material routes'!$G$6:$G$2205,MATCH(V1187,'Material routes'!$A$6:$A$2205,0)),"MISSING ID")</x:f>
        <x:v>Legger armor</x:v>
      </x:c>
      <x:c r="J1187" s="4" t="str">
        <x:f>IFERROR(INDEX('Material routes'!$B$6:$B$2205,MATCH(U1187,'Material routes'!$A$6:$A$2205,0)),"MISSING ID")</x:f>
        <x:v>design.audit.proposal_legger_shell_guard</x:v>
      </x:c>
      <x:c r="K1187" s="4" t="str">
        <x:f>IFERROR(INDEX('Crafting recipes'!$C$6:$C$1005,MATCH(J1187,'Crafting recipes'!$A$6:$A$1005,0)),"MISSING ID")</x:f>
        <x:v>Finished-item crafting</x:v>
      </x:c>
      <x:c r="L1187" s="4" t="str">
        <x:f>IFERROR(INDEX('Material routes'!$K$6:$K$2205,MATCH(U1187,'Material routes'!$A$6:$A$2205,0)),"MISSING ID")</x:f>
        <x:v>Proposal</x:v>
      </x:c>
      <x:c r="M1187" s="4" t="str">
        <x:f>IFERROR(INDEX('Material routes'!$M$6:$M$2205,MATCH(U1187,'Material routes'!$A$6:$A$2205,0)),"MISSING ID")</x:f>
        <x:v>Partial proposal</x:v>
      </x:c>
      <x:c r="N1187" s="4"/>
      <x:c r="O1187" s="4" t="str">
        <x:f>IFERROR(INDEX('Material routes'!$J$6:$J$2205,MATCH(U1187,'Material routes'!$A$6:$A$2205,0)),"MISSING ID")</x:f>
        <x:v>Unspecified</x:v>
      </x:c>
      <x:c r="P1187" s="4"/>
      <x:c r="Q1187" s="4" t="str">
        <x:f>IFERROR(INDEX('Material routes'!$J$6:$J$2205,MATCH(V1187,'Material routes'!$A$6:$A$2205,0)),"MISSING ID")</x:f>
        <x:v>Unspecified</x:v>
      </x:c>
      <x:c r="R1187" s="4" t="str">
        <x:f>IF(L1187="Withheld","Withheld premise",IF(E1187="Tool candidate","Reusable prerequisite",IF(K1187="Raw entry preparation","Entry-resource preparation",IF(G1187="Not applicable",IF(IFERROR(INDEX('Items'!$AI$6:$AI$1005,MATCH(T1187,'Items'!$A$6:$A$1005,0)),"MISSING ID")="Finished item","Finished endpoint",IF(IFERROR(INDEX('Items'!$AI$6:$AI$1005,MATCH(T1187,'Items'!$A$6:$A$1005,0)),"MISSING ID")="Currency","Currency / no refinement tier","Recovered output / tier not applicable")),IF(OR(IFERROR(INDEX('Crafting recipes'!$H$6:$H$1005,MATCH(J1187,'Crafting recipes'!$A$6:$A$1005,0)),"MISSING ID")="Unassigned",G1187="Unassigned"),"Tier unresolved",IF(IFERROR(VALUE(RIGHT(G1187,1))-VALUE(RIGHT(IFERROR(INDEX('Crafting recipes'!$H$6:$H$1005,MATCH(J1187,'Crafting recipes'!$A$6:$A$1005,0)),"MISSING ID"),1)),0)=1,IF(B1187=IFERROR(INDEX('Crafting recipes'!$H$6:$H$1005,MATCH(J1187,'Crafting recipes'!$A$6:$A$1005,0)),"MISSING ID"),"Advances one material tier","Lower-tier ingredient; route advances one tier"),"Needs tier review"))))))</x:f>
        <x:v>Finished endpoint</x:v>
      </x:c>
      <x:c r="S1187" s="4" t="str">
        <x:f>IFERROR(INDEX('Material routes'!$D$6:$D$2205,MATCH(U1187,'Material routes'!$A$6:$A$2205,0)),"MISSING ID")</x:f>
        <x:v>proposal.branch.ceramic_shell</x:v>
      </x:c>
      <x:c r="T1187" s="4" t="str">
        <x:f>IFERROR(INDEX('Material routes'!$D$6:$D$2205,MATCH(V1187,'Material routes'!$A$6:$A$2205,0)),"MISSING ID")</x:f>
        <x:v>proposal.legger.shell_guard</x:v>
      </x:c>
      <x:c r="U1187" s="4" t="str">
        <x:v>design.audit.proposal_legger_shell_guard.audit.in.1</x:v>
      </x:c>
      <x:c r="V1187" s="4" t="str">
        <x:v>design.audit.proposal_legger_shell_guard.audit.out</x:v>
      </x:c>
    </x:row>
    <x:row r="1188" ht="64" customHeight="1">
      <x:c r="A1188" s="4" t="str">
        <x:f>IFERROR(INDEX('Material routes'!$E$6:$E$2205,MATCH(U1188,'Material routes'!$A$6:$A$2205,0)),"MISSING ID")</x:f>
        <x:v>Matched metal fastener set</x:v>
      </x:c>
      <x:c r="B1188" s="4" t="str">
        <x:f>IFERROR(INDEX('Material routes'!$F$6:$F$2205,MATCH(U1188,'Material routes'!$A$6:$A$2205,0)),"MISSING ID")</x:f>
        <x:v>T3</x:v>
      </x:c>
      <x:c r="C1188" s="4" t="str">
        <x:f>IFERROR(INDEX('Material routes'!$H$6:$H$2205,MATCH(U1188,'Material routes'!$A$6:$A$2205,0)),"MISSING ID")</x:f>
        <x:v>Crafting component</x:v>
      </x:c>
      <x:c r="D1188" s="4" t="str">
        <x:f>IFERROR(INDEX('Material routes'!$G$6:$G$2205,MATCH(U1188,'Material routes'!$A$6:$A$2205,0)),"MISSING ID")</x:f>
        <x:v>Crafting components</x:v>
      </x:c>
      <x:c r="E1188" s="4" t="str">
        <x:f>IFERROR(INDEX('Material routes'!$C$6:$C$2205,MATCH(U1188,'Material routes'!$A$6:$A$2205,0)),"MISSING ID")</x:f>
        <x:v>Ingredient candidate</x:v>
      </x:c>
      <x:c r="F1188" s="4" t="str">
        <x:f>IFERROR(INDEX('Material routes'!$E$6:$E$2205,MATCH(V1188,'Material routes'!$A$6:$A$2205,0)),"MISSING ID")</x:f>
        <x:v>Chitin chassis guard</x:v>
      </x:c>
      <x:c r="G1188" s="4" t="str">
        <x:f>IFERROR(INDEX('Material routes'!$F$6:$F$2205,MATCH(V1188,'Material routes'!$A$6:$A$2205,0)),"MISSING ID")</x:f>
        <x:v>Not applicable</x:v>
      </x:c>
      <x:c r="H1188" s="4" t="str">
        <x:f>IFERROR(INDEX('Material routes'!$H$6:$H$2205,MATCH(V1188,'Material routes'!$A$6:$A$2205,0)),"MISSING ID")</x:f>
        <x:v>Armor</x:v>
      </x:c>
      <x:c r="I1188" s="4" t="str">
        <x:f>IFERROR(INDEX('Material routes'!$G$6:$G$2205,MATCH(V1188,'Material routes'!$A$6:$A$2205,0)),"MISSING ID")</x:f>
        <x:v>Legger armor</x:v>
      </x:c>
      <x:c r="J1188" s="4" t="str">
        <x:f>IFERROR(INDEX('Material routes'!$B$6:$B$2205,MATCH(U1188,'Material routes'!$A$6:$A$2205,0)),"MISSING ID")</x:f>
        <x:v>design.audit.proposal_legger_shell_guard</x:v>
      </x:c>
      <x:c r="K1188" s="4" t="str">
        <x:f>IFERROR(INDEX('Crafting recipes'!$C$6:$C$1005,MATCH(J1188,'Crafting recipes'!$A$6:$A$1005,0)),"MISSING ID")</x:f>
        <x:v>Finished-item crafting</x:v>
      </x:c>
      <x:c r="L1188" s="4" t="str">
        <x:f>IFERROR(INDEX('Material routes'!$K$6:$K$2205,MATCH(U1188,'Material routes'!$A$6:$A$2205,0)),"MISSING ID")</x:f>
        <x:v>Proposal</x:v>
      </x:c>
      <x:c r="M1188" s="4" t="str">
        <x:f>IFERROR(INDEX('Material routes'!$M$6:$M$2205,MATCH(U1188,'Material routes'!$A$6:$A$2205,0)),"MISSING ID")</x:f>
        <x:v>Partial proposal</x:v>
      </x:c>
      <x:c r="N1188" s="4"/>
      <x:c r="O1188" s="4" t="str">
        <x:f>IFERROR(INDEX('Material routes'!$J$6:$J$2205,MATCH(U1188,'Material routes'!$A$6:$A$2205,0)),"MISSING ID")</x:f>
        <x:v>Unspecified</x:v>
      </x:c>
      <x:c r="P1188" s="4"/>
      <x:c r="Q1188" s="4" t="str">
        <x:f>IFERROR(INDEX('Material routes'!$J$6:$J$2205,MATCH(V1188,'Material routes'!$A$6:$A$2205,0)),"MISSING ID")</x:f>
        <x:v>Unspecified</x:v>
      </x:c>
      <x:c r="R1188" s="4" t="str">
        <x:f>IF(L1188="Withheld","Withheld premise",IF(E1188="Tool candidate","Reusable prerequisite",IF(K1188="Raw entry preparation","Entry-resource preparation",IF(G1188="Not applicable",IF(IFERROR(INDEX('Items'!$AI$6:$AI$1005,MATCH(T1188,'Items'!$A$6:$A$1005,0)),"MISSING ID")="Finished item","Finished endpoint",IF(IFERROR(INDEX('Items'!$AI$6:$AI$1005,MATCH(T1188,'Items'!$A$6:$A$1005,0)),"MISSING ID")="Currency","Currency / no refinement tier","Recovered output / tier not applicable")),IF(OR(IFERROR(INDEX('Crafting recipes'!$H$6:$H$1005,MATCH(J1188,'Crafting recipes'!$A$6:$A$1005,0)),"MISSING ID")="Unassigned",G1188="Unassigned"),"Tier unresolved",IF(IFERROR(VALUE(RIGHT(G1188,1))-VALUE(RIGHT(IFERROR(INDEX('Crafting recipes'!$H$6:$H$1005,MATCH(J1188,'Crafting recipes'!$A$6:$A$1005,0)),"MISSING ID"),1)),0)=1,IF(B1188=IFERROR(INDEX('Crafting recipes'!$H$6:$H$1005,MATCH(J1188,'Crafting recipes'!$A$6:$A$1005,0)),"MISSING ID"),"Advances one material tier","Lower-tier ingredient; route advances one tier"),"Needs tier review"))))))</x:f>
        <x:v>Finished endpoint</x:v>
      </x:c>
      <x:c r="S1188" s="4" t="str">
        <x:f>IFERROR(INDEX('Material routes'!$D$6:$D$2205,MATCH(U1188,'Material routes'!$A$6:$A$2205,0)),"MISSING ID")</x:f>
        <x:v>proposal.lore.fastener_set</x:v>
      </x:c>
      <x:c r="T1188" s="4" t="str">
        <x:f>IFERROR(INDEX('Material routes'!$D$6:$D$2205,MATCH(V1188,'Material routes'!$A$6:$A$2205,0)),"MISSING ID")</x:f>
        <x:v>proposal.legger.shell_guard</x:v>
      </x:c>
      <x:c r="U1188" s="4" t="str">
        <x:v>design.audit.proposal_legger_shell_guard.audit.in.2</x:v>
      </x:c>
      <x:c r="V1188" s="4" t="str">
        <x:v>design.audit.proposal_legger_shell_guard.audit.out</x:v>
      </x:c>
    </x:row>
    <x:row r="1189" ht="64" customHeight="1">
      <x:c r="A1189" s="4" t="str">
        <x:f>IFERROR(INDEX('Material routes'!$E$6:$E$2205,MATCH(U1189,'Material routes'!$A$6:$A$2205,0)),"MISSING ID")</x:f>
        <x:v>Steel stock</x:v>
      </x:c>
      <x:c r="B1189" s="4" t="str">
        <x:f>IFERROR(INDEX('Material routes'!$F$6:$F$2205,MATCH(U1189,'Material routes'!$A$6:$A$2205,0)),"MISSING ID")</x:f>
        <x:v>T2</x:v>
      </x:c>
      <x:c r="C1189" s="4" t="str">
        <x:f>IFERROR(INDEX('Material routes'!$H$6:$H$2205,MATCH(U1189,'Material routes'!$A$6:$A$2205,0)),"MISSING ID")</x:f>
        <x:v>Processed material</x:v>
      </x:c>
      <x:c r="D1189" s="4" t="str">
        <x:f>IFERROR(INDEX('Material routes'!$G$6:$G$2205,MATCH(U1189,'Material routes'!$A$6:$A$2205,0)),"MISSING ID")</x:f>
        <x:v>Manufactured stock</x:v>
      </x:c>
      <x:c r="E1189" s="4" t="str">
        <x:f>IFERROR(INDEX('Material routes'!$C$6:$C$2205,MATCH(U1189,'Material routes'!$A$6:$A$2205,0)),"MISSING ID")</x:f>
        <x:v>Ingredient candidate</x:v>
      </x:c>
      <x:c r="F1189" s="4" t="str">
        <x:f>IFERROR(INDEX('Material routes'!$E$6:$E$2205,MATCH(V1189,'Material routes'!$A$6:$A$2205,0)),"MISSING ID")</x:f>
        <x:v>Iron chassis guard</x:v>
      </x:c>
      <x:c r="G1189" s="4" t="str">
        <x:f>IFERROR(INDEX('Material routes'!$F$6:$F$2205,MATCH(V1189,'Material routes'!$A$6:$A$2205,0)),"MISSING ID")</x:f>
        <x:v>Not applicable</x:v>
      </x:c>
      <x:c r="H1189" s="4" t="str">
        <x:f>IFERROR(INDEX('Material routes'!$H$6:$H$2205,MATCH(V1189,'Material routes'!$A$6:$A$2205,0)),"MISSING ID")</x:f>
        <x:v>Armor</x:v>
      </x:c>
      <x:c r="I1189" s="4" t="str">
        <x:f>IFERROR(INDEX('Material routes'!$G$6:$G$2205,MATCH(V1189,'Material routes'!$A$6:$A$2205,0)),"MISSING ID")</x:f>
        <x:v>Legger armor</x:v>
      </x:c>
      <x:c r="J1189" s="4" t="str">
        <x:f>IFERROR(INDEX('Material routes'!$B$6:$B$2205,MATCH(U1189,'Material routes'!$A$6:$A$2205,0)),"MISSING ID")</x:f>
        <x:v>design.audit.proposal_legger_iron_guard</x:v>
      </x:c>
      <x:c r="K1189" s="4" t="str">
        <x:f>IFERROR(INDEX('Crafting recipes'!$C$6:$C$1005,MATCH(J1189,'Crafting recipes'!$A$6:$A$1005,0)),"MISSING ID")</x:f>
        <x:v>Finished-item crafting</x:v>
      </x:c>
      <x:c r="L1189" s="4" t="str">
        <x:f>IFERROR(INDEX('Material routes'!$K$6:$K$2205,MATCH(U1189,'Material routes'!$A$6:$A$2205,0)),"MISSING ID")</x:f>
        <x:v>Proposal</x:v>
      </x:c>
      <x:c r="M1189" s="4" t="str">
        <x:f>IFERROR(INDEX('Material routes'!$M$6:$M$2205,MATCH(U1189,'Material routes'!$A$6:$A$2205,0)),"MISSING ID")</x:f>
        <x:v>Partial proposal</x:v>
      </x:c>
      <x:c r="N1189" s="4"/>
      <x:c r="O1189" s="4" t="str">
        <x:f>IFERROR(INDEX('Material routes'!$J$6:$J$2205,MATCH(U1189,'Material routes'!$A$6:$A$2205,0)),"MISSING ID")</x:f>
        <x:v>Unspecified</x:v>
      </x:c>
      <x:c r="P1189" s="4"/>
      <x:c r="Q1189" s="4" t="str">
        <x:f>IFERROR(INDEX('Material routes'!$J$6:$J$2205,MATCH(V1189,'Material routes'!$A$6:$A$2205,0)),"MISSING ID")</x:f>
        <x:v>Unspecified</x:v>
      </x:c>
      <x:c r="R1189" s="4" t="str">
        <x:f>IF(L1189="Withheld","Withheld premise",IF(E1189="Tool candidate","Reusable prerequisite",IF(K1189="Raw entry preparation","Entry-resource preparation",IF(G1189="Not applicable",IF(IFERROR(INDEX('Items'!$AI$6:$AI$1005,MATCH(T1189,'Items'!$A$6:$A$1005,0)),"MISSING ID")="Finished item","Finished endpoint",IF(IFERROR(INDEX('Items'!$AI$6:$AI$1005,MATCH(T1189,'Items'!$A$6:$A$1005,0)),"MISSING ID")="Currency","Currency / no refinement tier","Recovered output / tier not applicable")),IF(OR(IFERROR(INDEX('Crafting recipes'!$H$6:$H$1005,MATCH(J1189,'Crafting recipes'!$A$6:$A$1005,0)),"MISSING ID")="Unassigned",G1189="Unassigned"),"Tier unresolved",IF(IFERROR(VALUE(RIGHT(G1189,1))-VALUE(RIGHT(IFERROR(INDEX('Crafting recipes'!$H$6:$H$1005,MATCH(J1189,'Crafting recipes'!$A$6:$A$1005,0)),"MISSING ID"),1)),0)=1,IF(B1189=IFERROR(INDEX('Crafting recipes'!$H$6:$H$1005,MATCH(J1189,'Crafting recipes'!$A$6:$A$1005,0)),"MISSING ID"),"Advances one material tier","Lower-tier ingredient; route advances one tier"),"Needs tier review"))))))</x:f>
        <x:v>Finished endpoint</x:v>
      </x:c>
      <x:c r="S1189" s="4" t="str">
        <x:f>IFERROR(INDEX('Material routes'!$D$6:$D$2205,MATCH(U1189,'Material routes'!$A$6:$A$2205,0)),"MISSING ID")</x:f>
        <x:v>author.metallurgy.steel_stock</x:v>
      </x:c>
      <x:c r="T1189" s="4" t="str">
        <x:f>IFERROR(INDEX('Material routes'!$D$6:$D$2205,MATCH(V1189,'Material routes'!$A$6:$A$2205,0)),"MISSING ID")</x:f>
        <x:v>proposal.legger.iron_guard</x:v>
      </x:c>
      <x:c r="U1189" s="4" t="str">
        <x:v>design.audit.proposal_legger_iron_guard.audit.in.1</x:v>
      </x:c>
      <x:c r="V1189" s="4" t="str">
        <x:v>design.audit.proposal_legger_iron_guard.audit.out</x:v>
      </x:c>
    </x:row>
    <x:row r="1190" ht="64" customHeight="1">
      <x:c r="A1190" s="4" t="str">
        <x:f>IFERROR(INDEX('Material routes'!$E$6:$E$2205,MATCH(U1190,'Material routes'!$A$6:$A$2205,0)),"MISSING ID")</x:f>
        <x:v>Matched metal fastener set</x:v>
      </x:c>
      <x:c r="B1190" s="4" t="str">
        <x:f>IFERROR(INDEX('Material routes'!$F$6:$F$2205,MATCH(U1190,'Material routes'!$A$6:$A$2205,0)),"MISSING ID")</x:f>
        <x:v>T3</x:v>
      </x:c>
      <x:c r="C1190" s="4" t="str">
        <x:f>IFERROR(INDEX('Material routes'!$H$6:$H$2205,MATCH(U1190,'Material routes'!$A$6:$A$2205,0)),"MISSING ID")</x:f>
        <x:v>Crafting component</x:v>
      </x:c>
      <x:c r="D1190" s="4" t="str">
        <x:f>IFERROR(INDEX('Material routes'!$G$6:$G$2205,MATCH(U1190,'Material routes'!$A$6:$A$2205,0)),"MISSING ID")</x:f>
        <x:v>Crafting components</x:v>
      </x:c>
      <x:c r="E1190" s="4" t="str">
        <x:f>IFERROR(INDEX('Material routes'!$C$6:$C$2205,MATCH(U1190,'Material routes'!$A$6:$A$2205,0)),"MISSING ID")</x:f>
        <x:v>Ingredient candidate</x:v>
      </x:c>
      <x:c r="F1190" s="4" t="str">
        <x:f>IFERROR(INDEX('Material routes'!$E$6:$E$2205,MATCH(V1190,'Material routes'!$A$6:$A$2205,0)),"MISSING ID")</x:f>
        <x:v>Iron chassis guard</x:v>
      </x:c>
      <x:c r="G1190" s="4" t="str">
        <x:f>IFERROR(INDEX('Material routes'!$F$6:$F$2205,MATCH(V1190,'Material routes'!$A$6:$A$2205,0)),"MISSING ID")</x:f>
        <x:v>Not applicable</x:v>
      </x:c>
      <x:c r="H1190" s="4" t="str">
        <x:f>IFERROR(INDEX('Material routes'!$H$6:$H$2205,MATCH(V1190,'Material routes'!$A$6:$A$2205,0)),"MISSING ID")</x:f>
        <x:v>Armor</x:v>
      </x:c>
      <x:c r="I1190" s="4" t="str">
        <x:f>IFERROR(INDEX('Material routes'!$G$6:$G$2205,MATCH(V1190,'Material routes'!$A$6:$A$2205,0)),"MISSING ID")</x:f>
        <x:v>Legger armor</x:v>
      </x:c>
      <x:c r="J1190" s="4" t="str">
        <x:f>IFERROR(INDEX('Material routes'!$B$6:$B$2205,MATCH(U1190,'Material routes'!$A$6:$A$2205,0)),"MISSING ID")</x:f>
        <x:v>design.audit.proposal_legger_iron_guard</x:v>
      </x:c>
      <x:c r="K1190" s="4" t="str">
        <x:f>IFERROR(INDEX('Crafting recipes'!$C$6:$C$1005,MATCH(J1190,'Crafting recipes'!$A$6:$A$1005,0)),"MISSING ID")</x:f>
        <x:v>Finished-item crafting</x:v>
      </x:c>
      <x:c r="L1190" s="4" t="str">
        <x:f>IFERROR(INDEX('Material routes'!$K$6:$K$2205,MATCH(U1190,'Material routes'!$A$6:$A$2205,0)),"MISSING ID")</x:f>
        <x:v>Proposal</x:v>
      </x:c>
      <x:c r="M1190" s="4" t="str">
        <x:f>IFERROR(INDEX('Material routes'!$M$6:$M$2205,MATCH(U1190,'Material routes'!$A$6:$A$2205,0)),"MISSING ID")</x:f>
        <x:v>Partial proposal</x:v>
      </x:c>
      <x:c r="N1190" s="4"/>
      <x:c r="O1190" s="4" t="str">
        <x:f>IFERROR(INDEX('Material routes'!$J$6:$J$2205,MATCH(U1190,'Material routes'!$A$6:$A$2205,0)),"MISSING ID")</x:f>
        <x:v>Unspecified</x:v>
      </x:c>
      <x:c r="P1190" s="4"/>
      <x:c r="Q1190" s="4" t="str">
        <x:f>IFERROR(INDEX('Material routes'!$J$6:$J$2205,MATCH(V1190,'Material routes'!$A$6:$A$2205,0)),"MISSING ID")</x:f>
        <x:v>Unspecified</x:v>
      </x:c>
      <x:c r="R1190" s="4" t="str">
        <x:f>IF(L1190="Withheld","Withheld premise",IF(E1190="Tool candidate","Reusable prerequisite",IF(K1190="Raw entry preparation","Entry-resource preparation",IF(G1190="Not applicable",IF(IFERROR(INDEX('Items'!$AI$6:$AI$1005,MATCH(T1190,'Items'!$A$6:$A$1005,0)),"MISSING ID")="Finished item","Finished endpoint",IF(IFERROR(INDEX('Items'!$AI$6:$AI$1005,MATCH(T1190,'Items'!$A$6:$A$1005,0)),"MISSING ID")="Currency","Currency / no refinement tier","Recovered output / tier not applicable")),IF(OR(IFERROR(INDEX('Crafting recipes'!$H$6:$H$1005,MATCH(J1190,'Crafting recipes'!$A$6:$A$1005,0)),"MISSING ID")="Unassigned",G1190="Unassigned"),"Tier unresolved",IF(IFERROR(VALUE(RIGHT(G1190,1))-VALUE(RIGHT(IFERROR(INDEX('Crafting recipes'!$H$6:$H$1005,MATCH(J1190,'Crafting recipes'!$A$6:$A$1005,0)),"MISSING ID"),1)),0)=1,IF(B1190=IFERROR(INDEX('Crafting recipes'!$H$6:$H$1005,MATCH(J1190,'Crafting recipes'!$A$6:$A$1005,0)),"MISSING ID"),"Advances one material tier","Lower-tier ingredient; route advances one tier"),"Needs tier review"))))))</x:f>
        <x:v>Finished endpoint</x:v>
      </x:c>
      <x:c r="S1190" s="4" t="str">
        <x:f>IFERROR(INDEX('Material routes'!$D$6:$D$2205,MATCH(U1190,'Material routes'!$A$6:$A$2205,0)),"MISSING ID")</x:f>
        <x:v>proposal.lore.fastener_set</x:v>
      </x:c>
      <x:c r="T1190" s="4" t="str">
        <x:f>IFERROR(INDEX('Material routes'!$D$6:$D$2205,MATCH(V1190,'Material routes'!$A$6:$A$2205,0)),"MISSING ID")</x:f>
        <x:v>proposal.legger.iron_guard</x:v>
      </x:c>
      <x:c r="U1190" s="4" t="str">
        <x:v>design.audit.proposal_legger_iron_guard.audit.in.2</x:v>
      </x:c>
      <x:c r="V1190" s="4" t="str">
        <x:v>design.audit.proposal_legger_iron_guard.audit.out</x:v>
      </x:c>
    </x:row>
    <x:row r="1191" ht="64" customHeight="1">
      <x:c r="A1191" s="4" t="str">
        <x:f>IFERROR(INDEX('Material routes'!$E$6:$E$2205,MATCH(U1191,'Material routes'!$A$6:$A$2205,0)),"MISSING ID")</x:f>
        <x:v>Husk-reinforced packing stock</x:v>
      </x:c>
      <x:c r="B1191" s="4" t="str">
        <x:f>IFERROR(INDEX('Material routes'!$F$6:$F$2205,MATCH(U1191,'Material routes'!$A$6:$A$2205,0)),"MISSING ID")</x:f>
        <x:v>T3</x:v>
      </x:c>
      <x:c r="C1191" s="4" t="str">
        <x:f>IFERROR(INDEX('Material routes'!$H$6:$H$2205,MATCH(U1191,'Material routes'!$A$6:$A$2205,0)),"MISSING ID")</x:f>
        <x:v>Processed material</x:v>
      </x:c>
      <x:c r="D1191" s="4" t="str">
        <x:f>IFERROR(INDEX('Material routes'!$G$6:$G$2205,MATCH(U1191,'Material routes'!$A$6:$A$2205,0)),"MISSING ID")</x:f>
        <x:v>Manufactured stock</x:v>
      </x:c>
      <x:c r="E1191" s="4" t="str">
        <x:f>IFERROR(INDEX('Material routes'!$C$6:$C$2205,MATCH(U1191,'Material routes'!$A$6:$A$2205,0)),"MISSING ID")</x:f>
        <x:v>Ingredient candidate</x:v>
      </x:c>
      <x:c r="F1191" s="4" t="str">
        <x:f>IFERROR(INDEX('Material routes'!$E$6:$E$2205,MATCH(V1191,'Material routes'!$A$6:$A$2205,0)),"MISSING ID")</x:f>
        <x:v>Iron chassis guard</x:v>
      </x:c>
      <x:c r="G1191" s="4" t="str">
        <x:f>IFERROR(INDEX('Material routes'!$F$6:$F$2205,MATCH(V1191,'Material routes'!$A$6:$A$2205,0)),"MISSING ID")</x:f>
        <x:v>Not applicable</x:v>
      </x:c>
      <x:c r="H1191" s="4" t="str">
        <x:f>IFERROR(INDEX('Material routes'!$H$6:$H$2205,MATCH(V1191,'Material routes'!$A$6:$A$2205,0)),"MISSING ID")</x:f>
        <x:v>Armor</x:v>
      </x:c>
      <x:c r="I1191" s="4" t="str">
        <x:f>IFERROR(INDEX('Material routes'!$G$6:$G$2205,MATCH(V1191,'Material routes'!$A$6:$A$2205,0)),"MISSING ID")</x:f>
        <x:v>Legger armor</x:v>
      </x:c>
      <x:c r="J1191" s="4" t="str">
        <x:f>IFERROR(INDEX('Material routes'!$B$6:$B$2205,MATCH(U1191,'Material routes'!$A$6:$A$2205,0)),"MISSING ID")</x:f>
        <x:v>design.audit.proposal_legger_iron_guard</x:v>
      </x:c>
      <x:c r="K1191" s="4" t="str">
        <x:f>IFERROR(INDEX('Crafting recipes'!$C$6:$C$1005,MATCH(J1191,'Crafting recipes'!$A$6:$A$1005,0)),"MISSING ID")</x:f>
        <x:v>Finished-item crafting</x:v>
      </x:c>
      <x:c r="L1191" s="4" t="str">
        <x:f>IFERROR(INDEX('Material routes'!$K$6:$K$2205,MATCH(U1191,'Material routes'!$A$6:$A$2205,0)),"MISSING ID")</x:f>
        <x:v>Proposal</x:v>
      </x:c>
      <x:c r="M1191" s="4" t="str">
        <x:f>IFERROR(INDEX('Material routes'!$M$6:$M$2205,MATCH(U1191,'Material routes'!$A$6:$A$2205,0)),"MISSING ID")</x:f>
        <x:v>Partial proposal</x:v>
      </x:c>
      <x:c r="N1191" s="4"/>
      <x:c r="O1191" s="4" t="str">
        <x:f>IFERROR(INDEX('Material routes'!$J$6:$J$2205,MATCH(U1191,'Material routes'!$A$6:$A$2205,0)),"MISSING ID")</x:f>
        <x:v>Unspecified</x:v>
      </x:c>
      <x:c r="P1191" s="4"/>
      <x:c r="Q1191" s="4" t="str">
        <x:f>IFERROR(INDEX('Material routes'!$J$6:$J$2205,MATCH(V1191,'Material routes'!$A$6:$A$2205,0)),"MISSING ID")</x:f>
        <x:v>Unspecified</x:v>
      </x:c>
      <x:c r="R1191" s="4" t="str">
        <x:f>IF(L1191="Withheld","Withheld premise",IF(E1191="Tool candidate","Reusable prerequisite",IF(K1191="Raw entry preparation","Entry-resource preparation",IF(G1191="Not applicable",IF(IFERROR(INDEX('Items'!$AI$6:$AI$1005,MATCH(T1191,'Items'!$A$6:$A$1005,0)),"MISSING ID")="Finished item","Finished endpoint",IF(IFERROR(INDEX('Items'!$AI$6:$AI$1005,MATCH(T1191,'Items'!$A$6:$A$1005,0)),"MISSING ID")="Currency","Currency / no refinement tier","Recovered output / tier not applicable")),IF(OR(IFERROR(INDEX('Crafting recipes'!$H$6:$H$1005,MATCH(J1191,'Crafting recipes'!$A$6:$A$1005,0)),"MISSING ID")="Unassigned",G1191="Unassigned"),"Tier unresolved",IF(IFERROR(VALUE(RIGHT(G1191,1))-VALUE(RIGHT(IFERROR(INDEX('Crafting recipes'!$H$6:$H$1005,MATCH(J1191,'Crafting recipes'!$A$6:$A$1005,0)),"MISSING ID"),1)),0)=1,IF(B1191=IFERROR(INDEX('Crafting recipes'!$H$6:$H$1005,MATCH(J1191,'Crafting recipes'!$A$6:$A$1005,0)),"MISSING ID"),"Advances one material tier","Lower-tier ingredient; route advances one tier"),"Needs tier review"))))))</x:f>
        <x:v>Finished endpoint</x:v>
      </x:c>
      <x:c r="S1191" s="4" t="str">
        <x:f>IFERROR(INDEX('Material routes'!$D$6:$D$2205,MATCH(U1191,'Material routes'!$A$6:$A$2205,0)),"MISSING ID")</x:f>
        <x:v>proposal.t3.packing_stock</x:v>
      </x:c>
      <x:c r="T1191" s="4" t="str">
        <x:f>IFERROR(INDEX('Material routes'!$D$6:$D$2205,MATCH(V1191,'Material routes'!$A$6:$A$2205,0)),"MISSING ID")</x:f>
        <x:v>proposal.legger.iron_guard</x:v>
      </x:c>
      <x:c r="U1191" s="4" t="str">
        <x:v>design.audit.proposal_legger_iron_guard.audit.in.3</x:v>
      </x:c>
      <x:c r="V1191" s="4" t="str">
        <x:v>design.audit.proposal_legger_iron_guard.audit.out</x:v>
      </x:c>
    </x:row>
    <x:row r="1192" ht="64" customHeight="1">
      <x:c r="A1192" s="4"/>
      <x:c r="B1192" s="4"/>
      <x:c r="C1192" s="4"/>
      <x:c r="D1192" s="4"/>
      <x:c r="E1192" s="4"/>
      <x:c r="F1192" s="4"/>
      <x:c r="G1192" s="4"/>
      <x:c r="H1192" s="4"/>
      <x:c r="I1192" s="4"/>
      <x:c r="J1192" s="4"/>
      <x:c r="K1192" s="4"/>
      <x:c r="L1192" s="4"/>
      <x:c r="M1192" s="4"/>
      <x:c r="N1192" s="4"/>
      <x:c r="P1192" s="4"/>
      <x:c r="R1192" s="4"/>
      <x:c r="S1192" s="4"/>
      <x:c r="T1192" s="4"/>
      <x:c r="U1192" s="4"/>
      <x:c r="V1192" s="4"/>
    </x:row>
    <x:row r="1193" ht="64" customHeight="1">
      <x:c r="A1193" s="4"/>
      <x:c r="B1193" s="4"/>
      <x:c r="C1193" s="4"/>
      <x:c r="D1193" s="4"/>
      <x:c r="E1193" s="4"/>
      <x:c r="F1193" s="4"/>
      <x:c r="G1193" s="4"/>
      <x:c r="H1193" s="4"/>
      <x:c r="I1193" s="4"/>
      <x:c r="J1193" s="4"/>
      <x:c r="K1193" s="4"/>
      <x:c r="L1193" s="4"/>
      <x:c r="M1193" s="4"/>
      <x:c r="N1193" s="4"/>
      <x:c r="P1193" s="4"/>
      <x:c r="R1193" s="4"/>
      <x:c r="S1193" s="4"/>
      <x:c r="T1193" s="4"/>
      <x:c r="U1193" s="4"/>
      <x:c r="V1193" s="4"/>
    </x:row>
    <x:row r="1194" ht="64" customHeight="1">
      <x:c r="A1194" s="4"/>
      <x:c r="B1194" s="4"/>
      <x:c r="C1194" s="4"/>
      <x:c r="D1194" s="4"/>
      <x:c r="E1194" s="4"/>
      <x:c r="F1194" s="4"/>
      <x:c r="G1194" s="4"/>
      <x:c r="H1194" s="4"/>
      <x:c r="I1194" s="4"/>
      <x:c r="J1194" s="4"/>
      <x:c r="K1194" s="4"/>
      <x:c r="L1194" s="4"/>
      <x:c r="M1194" s="4"/>
      <x:c r="N1194" s="4"/>
      <x:c r="P1194" s="4"/>
      <x:c r="R1194" s="4"/>
      <x:c r="S1194" s="4"/>
      <x:c r="T1194" s="4"/>
      <x:c r="U1194" s="4"/>
      <x:c r="V1194" s="4"/>
    </x:row>
    <x:row r="1195" ht="64" customHeight="1">
      <x:c r="A1195" s="4" t="str">
        <x:f>IFERROR(INDEX('Material routes'!$E$6:$E$2205,MATCH(U1195,'Material routes'!$A$6:$A$2205,0)),"MISSING ID")</x:f>
        <x:v>Bonded ceramic-shell composite</x:v>
      </x:c>
      <x:c r="B1195" s="4" t="str">
        <x:f>IFERROR(INDEX('Material routes'!$F$6:$F$2205,MATCH(U1195,'Material routes'!$A$6:$A$2205,0)),"MISSING ID")</x:f>
        <x:v>T3</x:v>
      </x:c>
      <x:c r="C1195" s="4" t="str">
        <x:f>IFERROR(INDEX('Material routes'!$H$6:$H$2205,MATCH(U1195,'Material routes'!$A$6:$A$2205,0)),"MISSING ID")</x:f>
        <x:v>Processed material</x:v>
      </x:c>
      <x:c r="D1195" s="4" t="str">
        <x:f>IFERROR(INDEX('Material routes'!$G$6:$G$2205,MATCH(U1195,'Material routes'!$A$6:$A$2205,0)),"MISSING ID")</x:f>
        <x:v>Manufactured stock</x:v>
      </x:c>
      <x:c r="E1195" s="4" t="str">
        <x:f>IFERROR(INDEX('Material routes'!$C$6:$C$2205,MATCH(U1195,'Material routes'!$A$6:$A$2205,0)),"MISSING ID")</x:f>
        <x:v>Ingredient candidate</x:v>
      </x:c>
      <x:c r="F1195" s="4" t="str">
        <x:f>IFERROR(INDEX('Material routes'!$E$6:$E$2205,MATCH(V1195,'Material routes'!$A$6:$A$2205,0)),"MISSING ID")</x:f>
        <x:v>Ceramic armor backing insert</x:v>
      </x:c>
      <x:c r="G1195" s="4" t="str">
        <x:f>IFERROR(INDEX('Material routes'!$F$6:$F$2205,MATCH(V1195,'Material routes'!$A$6:$A$2205,0)),"MISSING ID")</x:f>
        <x:v>Not applicable</x:v>
      </x:c>
      <x:c r="H1195" s="4" t="str">
        <x:f>IFERROR(INDEX('Material routes'!$H$6:$H$2205,MATCH(V1195,'Material routes'!$A$6:$A$2205,0)),"MISSING ID")</x:f>
        <x:v>Armor</x:v>
      </x:c>
      <x:c r="I1195" s="4" t="str">
        <x:f>IFERROR(INDEX('Material routes'!$G$6:$G$2205,MATCH(V1195,'Material routes'!$A$6:$A$2205,0)),"MISSING ID")</x:f>
        <x:v>Legger attachments</x:v>
      </x:c>
      <x:c r="J1195" s="4" t="str">
        <x:f>IFERROR(INDEX('Material routes'!$B$6:$B$2205,MATCH(U1195,'Material routes'!$A$6:$A$2205,0)),"MISSING ID")</x:f>
        <x:v>design.audit.proposal_legger_ceramic_backing</x:v>
      </x:c>
      <x:c r="K1195" s="4" t="str">
        <x:f>IFERROR(INDEX('Crafting recipes'!$C$6:$C$1005,MATCH(J1195,'Crafting recipes'!$A$6:$A$1005,0)),"MISSING ID")</x:f>
        <x:v>Finished-item crafting</x:v>
      </x:c>
      <x:c r="L1195" s="4" t="str">
        <x:f>IFERROR(INDEX('Material routes'!$K$6:$K$2205,MATCH(U1195,'Material routes'!$A$6:$A$2205,0)),"MISSING ID")</x:f>
        <x:v>Proposal</x:v>
      </x:c>
      <x:c r="M1195" s="4" t="str">
        <x:f>IFERROR(INDEX('Material routes'!$M$6:$M$2205,MATCH(U1195,'Material routes'!$A$6:$A$2205,0)),"MISSING ID")</x:f>
        <x:v>Partial proposal</x:v>
      </x:c>
      <x:c r="N1195" s="4"/>
      <x:c r="O1195" s="4" t="str">
        <x:f>IFERROR(INDEX('Material routes'!$J$6:$J$2205,MATCH(U1195,'Material routes'!$A$6:$A$2205,0)),"MISSING ID")</x:f>
        <x:v>Unspecified</x:v>
      </x:c>
      <x:c r="P1195" s="4"/>
      <x:c r="Q1195" s="4" t="str">
        <x:f>IFERROR(INDEX('Material routes'!$J$6:$J$2205,MATCH(V1195,'Material routes'!$A$6:$A$2205,0)),"MISSING ID")</x:f>
        <x:v>Unspecified</x:v>
      </x:c>
      <x:c r="R1195" s="4" t="str">
        <x:f>IF(L1195="Withheld","Withheld premise",IF(E1195="Tool candidate","Reusable prerequisite",IF(K1195="Raw entry preparation","Entry-resource preparation",IF(G1195="Not applicable",IF(IFERROR(INDEX('Items'!$AI$6:$AI$1005,MATCH(T1195,'Items'!$A$6:$A$1005,0)),"MISSING ID")="Finished item","Finished endpoint",IF(IFERROR(INDEX('Items'!$AI$6:$AI$1005,MATCH(T1195,'Items'!$A$6:$A$1005,0)),"MISSING ID")="Currency","Currency / no refinement tier","Recovered output / tier not applicable")),IF(OR(IFERROR(INDEX('Crafting recipes'!$H$6:$H$1005,MATCH(J1195,'Crafting recipes'!$A$6:$A$1005,0)),"MISSING ID")="Unassigned",G1195="Unassigned"),"Tier unresolved",IF(IFERROR(VALUE(RIGHT(G1195,1))-VALUE(RIGHT(IFERROR(INDEX('Crafting recipes'!$H$6:$H$1005,MATCH(J1195,'Crafting recipes'!$A$6:$A$1005,0)),"MISSING ID"),1)),0)=1,IF(B1195=IFERROR(INDEX('Crafting recipes'!$H$6:$H$1005,MATCH(J1195,'Crafting recipes'!$A$6:$A$1005,0)),"MISSING ID"),"Advances one material tier","Lower-tier ingredient; route advances one tier"),"Needs tier review"))))))</x:f>
        <x:v>Finished endpoint</x:v>
      </x:c>
      <x:c r="S1195" s="4" t="str">
        <x:f>IFERROR(INDEX('Material routes'!$D$6:$D$2205,MATCH(U1195,'Material routes'!$A$6:$A$2205,0)),"MISSING ID")</x:f>
        <x:v>proposal.branch.ceramic_shell</x:v>
      </x:c>
      <x:c r="T1195" s="4" t="str">
        <x:f>IFERROR(INDEX('Material routes'!$D$6:$D$2205,MATCH(V1195,'Material routes'!$A$6:$A$2205,0)),"MISSING ID")</x:f>
        <x:v>proposal.legger.ceramic_backing</x:v>
      </x:c>
      <x:c r="U1195" s="4" t="str">
        <x:v>design.audit.proposal_legger_ceramic_backing.audit.in.1</x:v>
      </x:c>
      <x:c r="V1195" s="4" t="str">
        <x:v>design.audit.proposal_legger_ceramic_backing.audit.out</x:v>
      </x:c>
    </x:row>
    <x:row r="1196" ht="64" customHeight="1">
      <x:c r="A1196" s="4" t="str">
        <x:f>IFERROR(INDEX('Material routes'!$E$6:$E$2205,MATCH(U1196,'Material routes'!$A$6:$A$2205,0)),"MISSING ID")</x:f>
        <x:v>Matched metal fastener set</x:v>
      </x:c>
      <x:c r="B1196" s="4" t="str">
        <x:f>IFERROR(INDEX('Material routes'!$F$6:$F$2205,MATCH(U1196,'Material routes'!$A$6:$A$2205,0)),"MISSING ID")</x:f>
        <x:v>T3</x:v>
      </x:c>
      <x:c r="C1196" s="4" t="str">
        <x:f>IFERROR(INDEX('Material routes'!$H$6:$H$2205,MATCH(U1196,'Material routes'!$A$6:$A$2205,0)),"MISSING ID")</x:f>
        <x:v>Crafting component</x:v>
      </x:c>
      <x:c r="D1196" s="4" t="str">
        <x:f>IFERROR(INDEX('Material routes'!$G$6:$G$2205,MATCH(U1196,'Material routes'!$A$6:$A$2205,0)),"MISSING ID")</x:f>
        <x:v>Crafting components</x:v>
      </x:c>
      <x:c r="E1196" s="4" t="str">
        <x:f>IFERROR(INDEX('Material routes'!$C$6:$C$2205,MATCH(U1196,'Material routes'!$A$6:$A$2205,0)),"MISSING ID")</x:f>
        <x:v>Ingredient candidate</x:v>
      </x:c>
      <x:c r="F1196" s="4" t="str">
        <x:f>IFERROR(INDEX('Material routes'!$E$6:$E$2205,MATCH(V1196,'Material routes'!$A$6:$A$2205,0)),"MISSING ID")</x:f>
        <x:v>Ceramic armor backing insert</x:v>
      </x:c>
      <x:c r="G1196" s="4" t="str">
        <x:f>IFERROR(INDEX('Material routes'!$F$6:$F$2205,MATCH(V1196,'Material routes'!$A$6:$A$2205,0)),"MISSING ID")</x:f>
        <x:v>Not applicable</x:v>
      </x:c>
      <x:c r="H1196" s="4" t="str">
        <x:f>IFERROR(INDEX('Material routes'!$H$6:$H$2205,MATCH(V1196,'Material routes'!$A$6:$A$2205,0)),"MISSING ID")</x:f>
        <x:v>Armor</x:v>
      </x:c>
      <x:c r="I1196" s="4" t="str">
        <x:f>IFERROR(INDEX('Material routes'!$G$6:$G$2205,MATCH(V1196,'Material routes'!$A$6:$A$2205,0)),"MISSING ID")</x:f>
        <x:v>Legger attachments</x:v>
      </x:c>
      <x:c r="J1196" s="4" t="str">
        <x:f>IFERROR(INDEX('Material routes'!$B$6:$B$2205,MATCH(U1196,'Material routes'!$A$6:$A$2205,0)),"MISSING ID")</x:f>
        <x:v>design.audit.proposal_legger_ceramic_backing</x:v>
      </x:c>
      <x:c r="K1196" s="4" t="str">
        <x:f>IFERROR(INDEX('Crafting recipes'!$C$6:$C$1005,MATCH(J1196,'Crafting recipes'!$A$6:$A$1005,0)),"MISSING ID")</x:f>
        <x:v>Finished-item crafting</x:v>
      </x:c>
      <x:c r="L1196" s="4" t="str">
        <x:f>IFERROR(INDEX('Material routes'!$K$6:$K$2205,MATCH(U1196,'Material routes'!$A$6:$A$2205,0)),"MISSING ID")</x:f>
        <x:v>Proposal</x:v>
      </x:c>
      <x:c r="M1196" s="4" t="str">
        <x:f>IFERROR(INDEX('Material routes'!$M$6:$M$2205,MATCH(U1196,'Material routes'!$A$6:$A$2205,0)),"MISSING ID")</x:f>
        <x:v>Partial proposal</x:v>
      </x:c>
      <x:c r="N1196" s="4"/>
      <x:c r="O1196" s="4" t="str">
        <x:f>IFERROR(INDEX('Material routes'!$J$6:$J$2205,MATCH(U1196,'Material routes'!$A$6:$A$2205,0)),"MISSING ID")</x:f>
        <x:v>Unspecified</x:v>
      </x:c>
      <x:c r="P1196" s="4"/>
      <x:c r="Q1196" s="4" t="str">
        <x:f>IFERROR(INDEX('Material routes'!$J$6:$J$2205,MATCH(V1196,'Material routes'!$A$6:$A$2205,0)),"MISSING ID")</x:f>
        <x:v>Unspecified</x:v>
      </x:c>
      <x:c r="R1196" s="4" t="str">
        <x:f>IF(L1196="Withheld","Withheld premise",IF(E1196="Tool candidate","Reusable prerequisite",IF(K1196="Raw entry preparation","Entry-resource preparation",IF(G1196="Not applicable",IF(IFERROR(INDEX('Items'!$AI$6:$AI$1005,MATCH(T1196,'Items'!$A$6:$A$1005,0)),"MISSING ID")="Finished item","Finished endpoint",IF(IFERROR(INDEX('Items'!$AI$6:$AI$1005,MATCH(T1196,'Items'!$A$6:$A$1005,0)),"MISSING ID")="Currency","Currency / no refinement tier","Recovered output / tier not applicable")),IF(OR(IFERROR(INDEX('Crafting recipes'!$H$6:$H$1005,MATCH(J1196,'Crafting recipes'!$A$6:$A$1005,0)),"MISSING ID")="Unassigned",G1196="Unassigned"),"Tier unresolved",IF(IFERROR(VALUE(RIGHT(G1196,1))-VALUE(RIGHT(IFERROR(INDEX('Crafting recipes'!$H$6:$H$1005,MATCH(J1196,'Crafting recipes'!$A$6:$A$1005,0)),"MISSING ID"),1)),0)=1,IF(B1196=IFERROR(INDEX('Crafting recipes'!$H$6:$H$1005,MATCH(J1196,'Crafting recipes'!$A$6:$A$1005,0)),"MISSING ID"),"Advances one material tier","Lower-tier ingredient; route advances one tier"),"Needs tier review"))))))</x:f>
        <x:v>Finished endpoint</x:v>
      </x:c>
      <x:c r="S1196" s="4" t="str">
        <x:f>IFERROR(INDEX('Material routes'!$D$6:$D$2205,MATCH(U1196,'Material routes'!$A$6:$A$2205,0)),"MISSING ID")</x:f>
        <x:v>proposal.lore.fastener_set</x:v>
      </x:c>
      <x:c r="T1196" s="4" t="str">
        <x:f>IFERROR(INDEX('Material routes'!$D$6:$D$2205,MATCH(V1196,'Material routes'!$A$6:$A$2205,0)),"MISSING ID")</x:f>
        <x:v>proposal.legger.ceramic_backing</x:v>
      </x:c>
      <x:c r="U1196" s="4" t="str">
        <x:v>design.audit.proposal_legger_ceramic_backing.audit.in.2</x:v>
      </x:c>
      <x:c r="V1196" s="4" t="str">
        <x:v>design.audit.proposal_legger_ceramic_backing.audit.out</x:v>
      </x:c>
    </x:row>
    <x:row r="1197" ht="64" customHeight="1">
      <x:c r="A1197" s="4"/>
      <x:c r="B1197" s="4"/>
      <x:c r="C1197" s="4"/>
      <x:c r="D1197" s="4"/>
      <x:c r="E1197" s="4"/>
      <x:c r="F1197" s="4"/>
      <x:c r="G1197" s="4"/>
      <x:c r="H1197" s="4"/>
      <x:c r="I1197" s="4"/>
      <x:c r="J1197" s="4"/>
      <x:c r="K1197" s="4"/>
      <x:c r="L1197" s="4"/>
      <x:c r="M1197" s="4"/>
      <x:c r="N1197" s="4"/>
      <x:c r="P1197" s="4"/>
      <x:c r="R1197" s="4"/>
      <x:c r="S1197" s="4"/>
      <x:c r="T1197" s="4"/>
      <x:c r="U1197" s="4"/>
      <x:c r="V1197" s="4"/>
    </x:row>
    <x:row r="1198" ht="64" customHeight="1">
      <x:c r="A1198" s="4"/>
      <x:c r="B1198" s="4"/>
      <x:c r="C1198" s="4"/>
      <x:c r="D1198" s="4"/>
      <x:c r="E1198" s="4"/>
      <x:c r="F1198" s="4"/>
      <x:c r="G1198" s="4"/>
      <x:c r="H1198" s="4"/>
      <x:c r="I1198" s="4"/>
      <x:c r="J1198" s="4"/>
      <x:c r="K1198" s="4"/>
      <x:c r="L1198" s="4"/>
      <x:c r="M1198" s="4"/>
      <x:c r="N1198" s="4"/>
      <x:c r="P1198" s="4"/>
      <x:c r="R1198" s="4"/>
      <x:c r="S1198" s="4"/>
      <x:c r="T1198" s="4"/>
      <x:c r="U1198" s="4"/>
      <x:c r="V1198" s="4"/>
    </x:row>
    <x:row r="1199" ht="64" customHeight="1">
      <x:c r="A1199" s="4"/>
      <x:c r="B1199" s="4"/>
      <x:c r="C1199" s="4"/>
      <x:c r="D1199" s="4"/>
      <x:c r="E1199" s="4"/>
      <x:c r="F1199" s="4"/>
      <x:c r="G1199" s="4"/>
      <x:c r="H1199" s="4"/>
      <x:c r="I1199" s="4"/>
      <x:c r="J1199" s="4"/>
      <x:c r="K1199" s="4"/>
      <x:c r="L1199" s="4"/>
      <x:c r="M1199" s="4"/>
      <x:c r="N1199" s="4"/>
      <x:c r="P1199" s="4"/>
      <x:c r="R1199" s="4"/>
      <x:c r="S1199" s="4"/>
      <x:c r="T1199" s="4"/>
      <x:c r="U1199" s="4"/>
      <x:c r="V1199" s="4"/>
    </x:row>
    <x:row r="1200" ht="64" customHeight="1">
      <x:c r="A1200" s="4"/>
      <x:c r="B1200" s="4"/>
      <x:c r="C1200" s="4"/>
      <x:c r="D1200" s="4"/>
      <x:c r="E1200" s="4"/>
      <x:c r="F1200" s="4"/>
      <x:c r="G1200" s="4"/>
      <x:c r="H1200" s="4"/>
      <x:c r="I1200" s="4"/>
      <x:c r="J1200" s="4"/>
      <x:c r="K1200" s="4"/>
      <x:c r="L1200" s="4"/>
      <x:c r="M1200" s="4"/>
      <x:c r="N1200" s="4"/>
      <x:c r="P1200" s="4"/>
      <x:c r="R1200" s="4"/>
      <x:c r="S1200" s="4"/>
      <x:c r="T1200" s="4"/>
      <x:c r="U1200" s="4"/>
      <x:c r="V1200" s="4"/>
    </x:row>
    <x:row r="1201" ht="64" customHeight="1">
      <x:c r="A1201" s="4"/>
      <x:c r="B1201" s="4"/>
      <x:c r="C1201" s="4"/>
      <x:c r="D1201" s="4"/>
      <x:c r="E1201" s="4"/>
      <x:c r="F1201" s="4"/>
      <x:c r="G1201" s="4"/>
      <x:c r="H1201" s="4"/>
      <x:c r="I1201" s="4"/>
      <x:c r="J1201" s="4"/>
      <x:c r="K1201" s="4"/>
      <x:c r="L1201" s="4"/>
      <x:c r="M1201" s="4"/>
      <x:c r="N1201" s="4"/>
      <x:c r="P1201" s="4"/>
      <x:c r="R1201" s="4"/>
      <x:c r="S1201" s="4"/>
      <x:c r="T1201" s="4"/>
      <x:c r="U1201" s="4"/>
      <x:c r="V1201" s="4"/>
    </x:row>
    <x:row r="1202" ht="64" customHeight="1">
      <x:c r="A1202" s="4"/>
      <x:c r="B1202" s="4"/>
      <x:c r="C1202" s="4"/>
      <x:c r="D1202" s="4"/>
      <x:c r="E1202" s="4"/>
      <x:c r="F1202" s="4"/>
      <x:c r="G1202" s="4"/>
      <x:c r="H1202" s="4"/>
      <x:c r="I1202" s="4"/>
      <x:c r="J1202" s="4"/>
      <x:c r="K1202" s="4"/>
      <x:c r="L1202" s="4"/>
      <x:c r="M1202" s="4"/>
      <x:c r="N1202" s="4"/>
      <x:c r="P1202" s="4"/>
      <x:c r="R1202" s="4"/>
      <x:c r="S1202" s="4"/>
      <x:c r="T1202" s="4"/>
      <x:c r="U1202" s="4"/>
      <x:c r="V1202" s="4"/>
    </x:row>
    <x:row r="1203" ht="64" customHeight="1">
      <x:c r="A1203" s="4"/>
      <x:c r="B1203" s="4"/>
      <x:c r="C1203" s="4"/>
      <x:c r="D1203" s="4"/>
      <x:c r="E1203" s="4"/>
      <x:c r="F1203" s="4"/>
      <x:c r="G1203" s="4"/>
      <x:c r="H1203" s="4"/>
      <x:c r="I1203" s="4"/>
      <x:c r="J1203" s="4"/>
      <x:c r="K1203" s="4"/>
      <x:c r="L1203" s="4"/>
      <x:c r="M1203" s="4"/>
      <x:c r="N1203" s="4"/>
      <x:c r="P1203" s="4"/>
      <x:c r="R1203" s="4"/>
      <x:c r="S1203" s="4"/>
      <x:c r="T1203" s="4"/>
      <x:c r="U1203" s="4"/>
      <x:c r="V1203" s="4"/>
    </x:row>
    <x:row r="1204" ht="64" customHeight="1">
      <x:c r="A1204" s="4"/>
      <x:c r="B1204" s="4"/>
      <x:c r="C1204" s="4"/>
      <x:c r="D1204" s="4"/>
      <x:c r="E1204" s="4"/>
      <x:c r="F1204" s="4"/>
      <x:c r="G1204" s="4"/>
      <x:c r="H1204" s="4"/>
      <x:c r="I1204" s="4"/>
      <x:c r="J1204" s="4"/>
      <x:c r="K1204" s="4"/>
      <x:c r="L1204" s="4"/>
      <x:c r="M1204" s="4"/>
      <x:c r="N1204" s="4"/>
      <x:c r="P1204" s="4"/>
      <x:c r="R1204" s="4"/>
      <x:c r="S1204" s="4"/>
      <x:c r="T1204" s="4"/>
      <x:c r="U1204" s="4"/>
      <x:c r="V1204" s="4"/>
    </x:row>
    <x:row r="1205" ht="64" customHeight="1">
      <x:c r="A1205" s="4" t="str">
        <x:f>IFERROR(INDEX('Material routes'!$E$6:$E$2205,MATCH(U1205,'Material routes'!$A$6:$A$2205,0)),"MISSING ID")</x:f>
        <x:v>Legger attachment rail</x:v>
      </x:c>
      <x:c r="B1205" s="4" t="str">
        <x:f>IFERROR(INDEX('Material routes'!$F$6:$F$2205,MATCH(U1205,'Material routes'!$A$6:$A$2205,0)),"MISSING ID")</x:f>
        <x:v>T3</x:v>
      </x:c>
      <x:c r="C1205" s="4" t="str">
        <x:f>IFERROR(INDEX('Material routes'!$H$6:$H$2205,MATCH(U1205,'Material routes'!$A$6:$A$2205,0)),"MISSING ID")</x:f>
        <x:v>Crafting component</x:v>
      </x:c>
      <x:c r="D1205" s="4" t="str">
        <x:f>IFERROR(INDEX('Material routes'!$G$6:$G$2205,MATCH(U1205,'Material routes'!$A$6:$A$2205,0)),"MISSING ID")</x:f>
        <x:v>Crafting components</x:v>
      </x:c>
      <x:c r="E1205" s="4" t="str">
        <x:f>IFERROR(INDEX('Material routes'!$C$6:$C$2205,MATCH(U1205,'Material routes'!$A$6:$A$2205,0)),"MISSING ID")</x:f>
        <x:v>Ingredient candidate</x:v>
      </x:c>
      <x:c r="F1205" s="4" t="str">
        <x:f>IFERROR(INDEX('Material routes'!$E$6:$E$2205,MATCH(V1205,'Material routes'!$A$6:$A$2205,0)),"MISSING ID")</x:f>
        <x:v>Legger dirtboard carrying bracket</x:v>
      </x:c>
      <x:c r="G1205" s="4" t="str">
        <x:f>IFERROR(INDEX('Material routes'!$F$6:$F$2205,MATCH(V1205,'Material routes'!$A$6:$A$2205,0)),"MISSING ID")</x:f>
        <x:v>Not applicable</x:v>
      </x:c>
      <x:c r="H1205" s="4" t="str">
        <x:f>IFERROR(INDEX('Material routes'!$H$6:$H$2205,MATCH(V1205,'Material routes'!$A$6:$A$2205,0)),"MISSING ID")</x:f>
        <x:v>Carrier</x:v>
      </x:c>
      <x:c r="I1205" s="4" t="str">
        <x:f>IFERROR(INDEX('Material routes'!$G$6:$G$2205,MATCH(V1205,'Material routes'!$A$6:$A$2205,0)),"MISSING ID")</x:f>
        <x:v>Salvage</x:v>
      </x:c>
      <x:c r="J1205" s="4" t="str">
        <x:f>IFERROR(INDEX('Material routes'!$B$6:$B$2205,MATCH(U1205,'Material routes'!$A$6:$A$2205,0)),"MISSING ID")</x:f>
        <x:v>design.audit.proposal_legger_board_bracket</x:v>
      </x:c>
      <x:c r="K1205" s="4" t="str">
        <x:f>IFERROR(INDEX('Crafting recipes'!$C$6:$C$1005,MATCH(J1205,'Crafting recipes'!$A$6:$A$1005,0)),"MISSING ID")</x:f>
        <x:v>Finished-item crafting</x:v>
      </x:c>
      <x:c r="L1205" s="4" t="str">
        <x:f>IFERROR(INDEX('Material routes'!$K$6:$K$2205,MATCH(U1205,'Material routes'!$A$6:$A$2205,0)),"MISSING ID")</x:f>
        <x:v>Proposal</x:v>
      </x:c>
      <x:c r="M1205" s="4" t="str">
        <x:f>IFERROR(INDEX('Material routes'!$M$6:$M$2205,MATCH(U1205,'Material routes'!$A$6:$A$2205,0)),"MISSING ID")</x:f>
        <x:v>Partial proposal</x:v>
      </x:c>
      <x:c r="N1205" s="4"/>
      <x:c r="O1205" s="4" t="str">
        <x:f>IFERROR(INDEX('Material routes'!$J$6:$J$2205,MATCH(U1205,'Material routes'!$A$6:$A$2205,0)),"MISSING ID")</x:f>
        <x:v>Unspecified</x:v>
      </x:c>
      <x:c r="P1205" s="4"/>
      <x:c r="Q1205" s="4" t="str">
        <x:f>IFERROR(INDEX('Material routes'!$J$6:$J$2205,MATCH(V1205,'Material routes'!$A$6:$A$2205,0)),"MISSING ID")</x:f>
        <x:v>Unspecified</x:v>
      </x:c>
      <x:c r="R1205" s="4" t="str">
        <x:f>IF(L1205="Withheld","Withheld premise",IF(E1205="Tool candidate","Reusable prerequisite",IF(K1205="Raw entry preparation","Entry-resource preparation",IF(G1205="Not applicable",IF(IFERROR(INDEX('Items'!$AI$6:$AI$1005,MATCH(T1205,'Items'!$A$6:$A$1005,0)),"MISSING ID")="Finished item","Finished endpoint",IF(IFERROR(INDEX('Items'!$AI$6:$AI$1005,MATCH(T1205,'Items'!$A$6:$A$1005,0)),"MISSING ID")="Currency","Currency / no refinement tier","Recovered output / tier not applicable")),IF(OR(IFERROR(INDEX('Crafting recipes'!$H$6:$H$1005,MATCH(J1205,'Crafting recipes'!$A$6:$A$1005,0)),"MISSING ID")="Unassigned",G1205="Unassigned"),"Tier unresolved",IF(IFERROR(VALUE(RIGHT(G1205,1))-VALUE(RIGHT(IFERROR(INDEX('Crafting recipes'!$H$6:$H$1005,MATCH(J1205,'Crafting recipes'!$A$6:$A$1005,0)),"MISSING ID"),1)),0)=1,IF(B1205=IFERROR(INDEX('Crafting recipes'!$H$6:$H$1005,MATCH(J1205,'Crafting recipes'!$A$6:$A$1005,0)),"MISSING ID"),"Advances one material tier","Lower-tier ingredient; route advances one tier"),"Needs tier review"))))))</x:f>
        <x:v>Finished endpoint</x:v>
      </x:c>
      <x:c r="S1205" s="4" t="str">
        <x:f>IFERROR(INDEX('Material routes'!$D$6:$D$2205,MATCH(U1205,'Material routes'!$A$6:$A$2205,0)),"MISSING ID")</x:f>
        <x:v>proposal.legger.mount_rail</x:v>
      </x:c>
      <x:c r="T1205" s="4" t="str">
        <x:f>IFERROR(INDEX('Material routes'!$D$6:$D$2205,MATCH(V1205,'Material routes'!$A$6:$A$2205,0)),"MISSING ID")</x:f>
        <x:v>proposal.legger.board_bracket</x:v>
      </x:c>
      <x:c r="U1205" s="4" t="str">
        <x:v>design.audit.proposal_legger_board_bracket.audit.in.1</x:v>
      </x:c>
      <x:c r="V1205" s="4" t="str">
        <x:v>design.audit.proposal_legger_board_bracket.audit.out</x:v>
      </x:c>
    </x:row>
    <x:row r="1206" ht="64" customHeight="1">
      <x:c r="A1206" s="4" t="str">
        <x:f>IFERROR(INDEX('Material routes'!$E$6:$E$2205,MATCH(U1206,'Material routes'!$A$6:$A$2205,0)),"MISSING ID")</x:f>
        <x:v>Legger long-load clamp</x:v>
      </x:c>
      <x:c r="B1206" s="4" t="str">
        <x:f>IFERROR(INDEX('Material routes'!$F$6:$F$2205,MATCH(U1206,'Material routes'!$A$6:$A$2205,0)),"MISSING ID")</x:f>
        <x:v>T3</x:v>
      </x:c>
      <x:c r="C1206" s="4" t="str">
        <x:f>IFERROR(INDEX('Material routes'!$H$6:$H$2205,MATCH(U1206,'Material routes'!$A$6:$A$2205,0)),"MISSING ID")</x:f>
        <x:v>Crafting component</x:v>
      </x:c>
      <x:c r="D1206" s="4" t="str">
        <x:f>IFERROR(INDEX('Material routes'!$G$6:$G$2205,MATCH(U1206,'Material routes'!$A$6:$A$2205,0)),"MISSING ID")</x:f>
        <x:v>Crafting components</x:v>
      </x:c>
      <x:c r="E1206" s="4" t="str">
        <x:f>IFERROR(INDEX('Material routes'!$C$6:$C$2205,MATCH(U1206,'Material routes'!$A$6:$A$2205,0)),"MISSING ID")</x:f>
        <x:v>Ingredient candidate</x:v>
      </x:c>
      <x:c r="F1206" s="4" t="str">
        <x:f>IFERROR(INDEX('Material routes'!$E$6:$E$2205,MATCH(V1206,'Material routes'!$A$6:$A$2205,0)),"MISSING ID")</x:f>
        <x:v>Legger dirtboard carrying bracket</x:v>
      </x:c>
      <x:c r="G1206" s="4" t="str">
        <x:f>IFERROR(INDEX('Material routes'!$F$6:$F$2205,MATCH(V1206,'Material routes'!$A$6:$A$2205,0)),"MISSING ID")</x:f>
        <x:v>Not applicable</x:v>
      </x:c>
      <x:c r="H1206" s="4" t="str">
        <x:f>IFERROR(INDEX('Material routes'!$H$6:$H$2205,MATCH(V1206,'Material routes'!$A$6:$A$2205,0)),"MISSING ID")</x:f>
        <x:v>Carrier</x:v>
      </x:c>
      <x:c r="I1206" s="4" t="str">
        <x:f>IFERROR(INDEX('Material routes'!$G$6:$G$2205,MATCH(V1206,'Material routes'!$A$6:$A$2205,0)),"MISSING ID")</x:f>
        <x:v>Salvage</x:v>
      </x:c>
      <x:c r="J1206" s="4" t="str">
        <x:f>IFERROR(INDEX('Material routes'!$B$6:$B$2205,MATCH(U1206,'Material routes'!$A$6:$A$2205,0)),"MISSING ID")</x:f>
        <x:v>design.audit.proposal_legger_board_bracket</x:v>
      </x:c>
      <x:c r="K1206" s="4" t="str">
        <x:f>IFERROR(INDEX('Crafting recipes'!$C$6:$C$1005,MATCH(J1206,'Crafting recipes'!$A$6:$A$1005,0)),"MISSING ID")</x:f>
        <x:v>Finished-item crafting</x:v>
      </x:c>
      <x:c r="L1206" s="4" t="str">
        <x:f>IFERROR(INDEX('Material routes'!$K$6:$K$2205,MATCH(U1206,'Material routes'!$A$6:$A$2205,0)),"MISSING ID")</x:f>
        <x:v>Proposal</x:v>
      </x:c>
      <x:c r="M1206" s="4" t="str">
        <x:f>IFERROR(INDEX('Material routes'!$M$6:$M$2205,MATCH(U1206,'Material routes'!$A$6:$A$2205,0)),"MISSING ID")</x:f>
        <x:v>Partial proposal</x:v>
      </x:c>
      <x:c r="N1206" s="4"/>
      <x:c r="O1206" s="4" t="str">
        <x:f>IFERROR(INDEX('Material routes'!$J$6:$J$2205,MATCH(U1206,'Material routes'!$A$6:$A$2205,0)),"MISSING ID")</x:f>
        <x:v>Unspecified</x:v>
      </x:c>
      <x:c r="P1206" s="4"/>
      <x:c r="Q1206" s="4" t="str">
        <x:f>IFERROR(INDEX('Material routes'!$J$6:$J$2205,MATCH(V1206,'Material routes'!$A$6:$A$2205,0)),"MISSING ID")</x:f>
        <x:v>Unspecified</x:v>
      </x:c>
      <x:c r="R1206" s="4" t="str">
        <x:f>IF(L1206="Withheld","Withheld premise",IF(E1206="Tool candidate","Reusable prerequisite",IF(K1206="Raw entry preparation","Entry-resource preparation",IF(G1206="Not applicable",IF(IFERROR(INDEX('Items'!$AI$6:$AI$1005,MATCH(T1206,'Items'!$A$6:$A$1005,0)),"MISSING ID")="Finished item","Finished endpoint",IF(IFERROR(INDEX('Items'!$AI$6:$AI$1005,MATCH(T1206,'Items'!$A$6:$A$1005,0)),"MISSING ID")="Currency","Currency / no refinement tier","Recovered output / tier not applicable")),IF(OR(IFERROR(INDEX('Crafting recipes'!$H$6:$H$1005,MATCH(J1206,'Crafting recipes'!$A$6:$A$1005,0)),"MISSING ID")="Unassigned",G1206="Unassigned"),"Tier unresolved",IF(IFERROR(VALUE(RIGHT(G1206,1))-VALUE(RIGHT(IFERROR(INDEX('Crafting recipes'!$H$6:$H$1005,MATCH(J1206,'Crafting recipes'!$A$6:$A$1005,0)),"MISSING ID"),1)),0)=1,IF(B1206=IFERROR(INDEX('Crafting recipes'!$H$6:$H$1005,MATCH(J1206,'Crafting recipes'!$A$6:$A$1005,0)),"MISSING ID"),"Advances one material tier","Lower-tier ingredient; route advances one tier"),"Needs tier review"))))))</x:f>
        <x:v>Finished endpoint</x:v>
      </x:c>
      <x:c r="S1206" s="4" t="str">
        <x:f>IFERROR(INDEX('Material routes'!$D$6:$D$2205,MATCH(U1206,'Material routes'!$A$6:$A$2205,0)),"MISSING ID")</x:f>
        <x:v>proposal.legger.long_load_clamp</x:v>
      </x:c>
      <x:c r="T1206" s="4" t="str">
        <x:f>IFERROR(INDEX('Material routes'!$D$6:$D$2205,MATCH(V1206,'Material routes'!$A$6:$A$2205,0)),"MISSING ID")</x:f>
        <x:v>proposal.legger.board_bracket</x:v>
      </x:c>
      <x:c r="U1206" s="4" t="str">
        <x:v>design.audit.proposal_legger_board_bracket.audit.in.2</x:v>
      </x:c>
      <x:c r="V1206" s="4" t="str">
        <x:v>design.audit.proposal_legger_board_bracket.audit.out</x:v>
      </x:c>
    </x:row>
    <x:row r="1207" ht="64" customHeight="1">
      <x:c r="A1207" s="4" t="str">
        <x:f>IFERROR(INDEX('Material routes'!$E$6:$E$2205,MATCH(U1207,'Material routes'!$A$6:$A$2205,0)),"MISSING ID")</x:f>
        <x:v>Drawn steel tube stock</x:v>
      </x:c>
      <x:c r="B1207" s="4" t="str">
        <x:f>IFERROR(INDEX('Material routes'!$F$6:$F$2205,MATCH(U1207,'Material routes'!$A$6:$A$2205,0)),"MISSING ID")</x:f>
        <x:v>T3</x:v>
      </x:c>
      <x:c r="C1207" s="4" t="str">
        <x:f>IFERROR(INDEX('Material routes'!$H$6:$H$2205,MATCH(U1207,'Material routes'!$A$6:$A$2205,0)),"MISSING ID")</x:f>
        <x:v>Processed material</x:v>
      </x:c>
      <x:c r="D1207" s="4" t="str">
        <x:f>IFERROR(INDEX('Material routes'!$G$6:$G$2205,MATCH(U1207,'Material routes'!$A$6:$A$2205,0)),"MISSING ID")</x:f>
        <x:v>Manufactured stock</x:v>
      </x:c>
      <x:c r="E1207" s="4" t="str">
        <x:f>IFERROR(INDEX('Material routes'!$C$6:$C$2205,MATCH(U1207,'Material routes'!$A$6:$A$2205,0)),"MISSING ID")</x:f>
        <x:v>Ingredient candidate</x:v>
      </x:c>
      <x:c r="F1207" s="4" t="str">
        <x:f>IFERROR(INDEX('Material routes'!$E$6:$E$2205,MATCH(V1207,'Material routes'!$A$6:$A$2205,0)),"MISSING ID")</x:f>
        <x:v>Joint grease applicator</x:v>
      </x:c>
      <x:c r="G1207" s="4" t="str">
        <x:f>IFERROR(INDEX('Material routes'!$F$6:$F$2205,MATCH(V1207,'Material routes'!$A$6:$A$2205,0)),"MISSING ID")</x:f>
        <x:v>Not applicable</x:v>
      </x:c>
      <x:c r="H1207" s="4" t="str">
        <x:f>IFERROR(INDEX('Material routes'!$H$6:$H$2205,MATCH(V1207,'Material routes'!$A$6:$A$2205,0)),"MISSING ID")</x:f>
        <x:v>Tool</x:v>
      </x:c>
      <x:c r="I1207" s="4" t="str">
        <x:f>IFERROR(INDEX('Material routes'!$G$6:$G$2205,MATCH(V1207,'Material routes'!$A$6:$A$2205,0)),"MISSING ID")</x:f>
        <x:v>Salvage</x:v>
      </x:c>
      <x:c r="J1207" s="4" t="str">
        <x:f>IFERROR(INDEX('Material routes'!$B$6:$B$2205,MATCH(U1207,'Material routes'!$A$6:$A$2205,0)),"MISSING ID")</x:f>
        <x:v>design.audit.proposal_legger_grease_applicator</x:v>
      </x:c>
      <x:c r="K1207" s="4" t="str">
        <x:f>IFERROR(INDEX('Crafting recipes'!$C$6:$C$1005,MATCH(J1207,'Crafting recipes'!$A$6:$A$1005,0)),"MISSING ID")</x:f>
        <x:v>Finished-item crafting</x:v>
      </x:c>
      <x:c r="L1207" s="4" t="str">
        <x:f>IFERROR(INDEX('Material routes'!$K$6:$K$2205,MATCH(U1207,'Material routes'!$A$6:$A$2205,0)),"MISSING ID")</x:f>
        <x:v>Proposal</x:v>
      </x:c>
      <x:c r="M1207" s="4" t="str">
        <x:f>IFERROR(INDEX('Material routes'!$M$6:$M$2205,MATCH(U1207,'Material routes'!$A$6:$A$2205,0)),"MISSING ID")</x:f>
        <x:v>Partial proposal</x:v>
      </x:c>
      <x:c r="N1207" s="4"/>
      <x:c r="O1207" s="4" t="str">
        <x:f>IFERROR(INDEX('Material routes'!$J$6:$J$2205,MATCH(U1207,'Material routes'!$A$6:$A$2205,0)),"MISSING ID")</x:f>
        <x:v>Unspecified</x:v>
      </x:c>
      <x:c r="P1207" s="4"/>
      <x:c r="Q1207" s="4" t="str">
        <x:f>IFERROR(INDEX('Material routes'!$J$6:$J$2205,MATCH(V1207,'Material routes'!$A$6:$A$2205,0)),"MISSING ID")</x:f>
        <x:v>Unspecified</x:v>
      </x:c>
      <x:c r="R1207" s="4" t="str">
        <x:f>IF(L1207="Withheld","Withheld premise",IF(E1207="Tool candidate","Reusable prerequisite",IF(K1207="Raw entry preparation","Entry-resource preparation",IF(G1207="Not applicable",IF(IFERROR(INDEX('Items'!$AI$6:$AI$1005,MATCH(T1207,'Items'!$A$6:$A$1005,0)),"MISSING ID")="Finished item","Finished endpoint",IF(IFERROR(INDEX('Items'!$AI$6:$AI$1005,MATCH(T1207,'Items'!$A$6:$A$1005,0)),"MISSING ID")="Currency","Currency / no refinement tier","Recovered output / tier not applicable")),IF(OR(IFERROR(INDEX('Crafting recipes'!$H$6:$H$1005,MATCH(J1207,'Crafting recipes'!$A$6:$A$1005,0)),"MISSING ID")="Unassigned",G1207="Unassigned"),"Tier unresolved",IF(IFERROR(VALUE(RIGHT(G1207,1))-VALUE(RIGHT(IFERROR(INDEX('Crafting recipes'!$H$6:$H$1005,MATCH(J1207,'Crafting recipes'!$A$6:$A$1005,0)),"MISSING ID"),1)),0)=1,IF(B1207=IFERROR(INDEX('Crafting recipes'!$H$6:$H$1005,MATCH(J1207,'Crafting recipes'!$A$6:$A$1005,0)),"MISSING ID"),"Advances one material tier","Lower-tier ingredient; route advances one tier"),"Needs tier review"))))))</x:f>
        <x:v>Finished endpoint</x:v>
      </x:c>
      <x:c r="S1207" s="4" t="str">
        <x:f>IFERROR(INDEX('Material routes'!$D$6:$D$2205,MATCH(U1207,'Material routes'!$A$6:$A$2205,0)),"MISSING ID")</x:f>
        <x:v>proposal.t3.precision_tube</x:v>
      </x:c>
      <x:c r="T1207" s="4" t="str">
        <x:f>IFERROR(INDEX('Material routes'!$D$6:$D$2205,MATCH(V1207,'Material routes'!$A$6:$A$2205,0)),"MISSING ID")</x:f>
        <x:v>proposal.legger.grease_applicator</x:v>
      </x:c>
      <x:c r="U1207" s="4" t="str">
        <x:v>design.audit.proposal_legger_grease_applicator.audit.in.1</x:v>
      </x:c>
      <x:c r="V1207" s="4" t="str">
        <x:v>design.audit.proposal_legger_grease_applicator.audit.out</x:v>
      </x:c>
    </x:row>
    <x:row r="1208" ht="64" customHeight="1">
      <x:c r="A1208" s="4" t="str">
        <x:f>IFERROR(INDEX('Material routes'!$E$6:$E$2205,MATCH(U1208,'Material routes'!$A$6:$A$2205,0)),"MISSING ID")</x:f>
        <x:v>Lubricant service-port adapter</x:v>
      </x:c>
      <x:c r="B1208" s="4" t="str">
        <x:f>IFERROR(INDEX('Material routes'!$F$6:$F$2205,MATCH(U1208,'Material routes'!$A$6:$A$2205,0)),"MISSING ID")</x:f>
        <x:v>T4</x:v>
      </x:c>
      <x:c r="C1208" s="4" t="str">
        <x:f>IFERROR(INDEX('Material routes'!$H$6:$H$2205,MATCH(U1208,'Material routes'!$A$6:$A$2205,0)),"MISSING ID")</x:f>
        <x:v>Container part</x:v>
      </x:c>
      <x:c r="D1208" s="4" t="str">
        <x:f>IFERROR(INDEX('Material routes'!$G$6:$G$2205,MATCH(U1208,'Material routes'!$A$6:$A$2205,0)),"MISSING ID")</x:f>
        <x:v>Crafting components</x:v>
      </x:c>
      <x:c r="E1208" s="4" t="str">
        <x:f>IFERROR(INDEX('Material routes'!$C$6:$C$2205,MATCH(U1208,'Material routes'!$A$6:$A$2205,0)),"MISSING ID")</x:f>
        <x:v>Ingredient candidate</x:v>
      </x:c>
      <x:c r="F1208" s="4" t="str">
        <x:f>IFERROR(INDEX('Material routes'!$E$6:$E$2205,MATCH(V1208,'Material routes'!$A$6:$A$2205,0)),"MISSING ID")</x:f>
        <x:v>Joint grease applicator</x:v>
      </x:c>
      <x:c r="G1208" s="4" t="str">
        <x:f>IFERROR(INDEX('Material routes'!$F$6:$F$2205,MATCH(V1208,'Material routes'!$A$6:$A$2205,0)),"MISSING ID")</x:f>
        <x:v>Not applicable</x:v>
      </x:c>
      <x:c r="H1208" s="4" t="str">
        <x:f>IFERROR(INDEX('Material routes'!$H$6:$H$2205,MATCH(V1208,'Material routes'!$A$6:$A$2205,0)),"MISSING ID")</x:f>
        <x:v>Tool</x:v>
      </x:c>
      <x:c r="I1208" s="4" t="str">
        <x:f>IFERROR(INDEX('Material routes'!$G$6:$G$2205,MATCH(V1208,'Material routes'!$A$6:$A$2205,0)),"MISSING ID")</x:f>
        <x:v>Salvage</x:v>
      </x:c>
      <x:c r="J1208" s="4" t="str">
        <x:f>IFERROR(INDEX('Material routes'!$B$6:$B$2205,MATCH(U1208,'Material routes'!$A$6:$A$2205,0)),"MISSING ID")</x:f>
        <x:v>design.audit.proposal_legger_grease_applicator</x:v>
      </x:c>
      <x:c r="K1208" s="4" t="str">
        <x:f>IFERROR(INDEX('Crafting recipes'!$C$6:$C$1005,MATCH(J1208,'Crafting recipes'!$A$6:$A$1005,0)),"MISSING ID")</x:f>
        <x:v>Finished-item crafting</x:v>
      </x:c>
      <x:c r="L1208" s="4" t="str">
        <x:f>IFERROR(INDEX('Material routes'!$K$6:$K$2205,MATCH(U1208,'Material routes'!$A$6:$A$2205,0)),"MISSING ID")</x:f>
        <x:v>Proposal</x:v>
      </x:c>
      <x:c r="M1208" s="4" t="str">
        <x:f>IFERROR(INDEX('Material routes'!$M$6:$M$2205,MATCH(U1208,'Material routes'!$A$6:$A$2205,0)),"MISSING ID")</x:f>
        <x:v>Partial proposal</x:v>
      </x:c>
      <x:c r="N1208" s="4"/>
      <x:c r="O1208" s="4" t="str">
        <x:f>IFERROR(INDEX('Material routes'!$J$6:$J$2205,MATCH(U1208,'Material routes'!$A$6:$A$2205,0)),"MISSING ID")</x:f>
        <x:v>Unspecified</x:v>
      </x:c>
      <x:c r="P1208" s="4"/>
      <x:c r="Q1208" s="4" t="str">
        <x:f>IFERROR(INDEX('Material routes'!$J$6:$J$2205,MATCH(V1208,'Material routes'!$A$6:$A$2205,0)),"MISSING ID")</x:f>
        <x:v>Unspecified</x:v>
      </x:c>
      <x:c r="R1208" s="4" t="str">
        <x:f>IF(L1208="Withheld","Withheld premise",IF(E1208="Tool candidate","Reusable prerequisite",IF(K1208="Raw entry preparation","Entry-resource preparation",IF(G1208="Not applicable",IF(IFERROR(INDEX('Items'!$AI$6:$AI$1005,MATCH(T1208,'Items'!$A$6:$A$1005,0)),"MISSING ID")="Finished item","Finished endpoint",IF(IFERROR(INDEX('Items'!$AI$6:$AI$1005,MATCH(T1208,'Items'!$A$6:$A$1005,0)),"MISSING ID")="Currency","Currency / no refinement tier","Recovered output / tier not applicable")),IF(OR(IFERROR(INDEX('Crafting recipes'!$H$6:$H$1005,MATCH(J1208,'Crafting recipes'!$A$6:$A$1005,0)),"MISSING ID")="Unassigned",G1208="Unassigned"),"Tier unresolved",IF(IFERROR(VALUE(RIGHT(G1208,1))-VALUE(RIGHT(IFERROR(INDEX('Crafting recipes'!$H$6:$H$1005,MATCH(J1208,'Crafting recipes'!$A$6:$A$1005,0)),"MISSING ID"),1)),0)=1,IF(B1208=IFERROR(INDEX('Crafting recipes'!$H$6:$H$1005,MATCH(J1208,'Crafting recipes'!$A$6:$A$1005,0)),"MISSING ID"),"Advances one material tier","Lower-tier ingredient; route advances one tier"),"Needs tier review"))))))</x:f>
        <x:v>Finished endpoint</x:v>
      </x:c>
      <x:c r="S1208" s="4" t="str">
        <x:f>IFERROR(INDEX('Material routes'!$D$6:$D$2205,MATCH(U1208,'Material routes'!$A$6:$A$2205,0)),"MISSING ID")</x:f>
        <x:v>proposal.legger.service_adapter</x:v>
      </x:c>
      <x:c r="T1208" s="4" t="str">
        <x:f>IFERROR(INDEX('Material routes'!$D$6:$D$2205,MATCH(V1208,'Material routes'!$A$6:$A$2205,0)),"MISSING ID")</x:f>
        <x:v>proposal.legger.grease_applicator</x:v>
      </x:c>
      <x:c r="U1208" s="4" t="str">
        <x:v>design.audit.proposal_legger_grease_applicator.audit.in.2</x:v>
      </x:c>
      <x:c r="V1208" s="4" t="str">
        <x:v>design.audit.proposal_legger_grease_applicator.audit.out</x:v>
      </x:c>
    </x:row>
    <x:row r="1209" ht="64" customHeight="1">
      <x:c r="A1209" s="4" t="str">
        <x:f>IFERROR(INDEX('Material routes'!$E$6:$E$2205,MATCH(U1209,'Material routes'!$A$6:$A$2205,0)),"MISSING ID")</x:f>
        <x:v>Fitted joint lubricant cup</x:v>
      </x:c>
      <x:c r="B1209" s="4" t="str">
        <x:f>IFERROR(INDEX('Material routes'!$F$6:$F$2205,MATCH(U1209,'Material routes'!$A$6:$A$2205,0)),"MISSING ID")</x:f>
        <x:v>T3</x:v>
      </x:c>
      <x:c r="C1209" s="4" t="str">
        <x:f>IFERROR(INDEX('Material routes'!$H$6:$H$2205,MATCH(U1209,'Material routes'!$A$6:$A$2205,0)),"MISSING ID")</x:f>
        <x:v>Container part</x:v>
      </x:c>
      <x:c r="D1209" s="4" t="str">
        <x:f>IFERROR(INDEX('Material routes'!$G$6:$G$2205,MATCH(U1209,'Material routes'!$A$6:$A$2205,0)),"MISSING ID")</x:f>
        <x:v>Crafting components</x:v>
      </x:c>
      <x:c r="E1209" s="4" t="str">
        <x:f>IFERROR(INDEX('Material routes'!$C$6:$C$2205,MATCH(U1209,'Material routes'!$A$6:$A$2205,0)),"MISSING ID")</x:f>
        <x:v>Ingredient candidate</x:v>
      </x:c>
      <x:c r="F1209" s="4" t="str">
        <x:f>IFERROR(INDEX('Material routes'!$E$6:$E$2205,MATCH(V1209,'Material routes'!$A$6:$A$2205,0)),"MISSING ID")</x:f>
        <x:v>Joint grease applicator</x:v>
      </x:c>
      <x:c r="G1209" s="4" t="str">
        <x:f>IFERROR(INDEX('Material routes'!$F$6:$F$2205,MATCH(V1209,'Material routes'!$A$6:$A$2205,0)),"MISSING ID")</x:f>
        <x:v>Not applicable</x:v>
      </x:c>
      <x:c r="H1209" s="4" t="str">
        <x:f>IFERROR(INDEX('Material routes'!$H$6:$H$2205,MATCH(V1209,'Material routes'!$A$6:$A$2205,0)),"MISSING ID")</x:f>
        <x:v>Tool</x:v>
      </x:c>
      <x:c r="I1209" s="4" t="str">
        <x:f>IFERROR(INDEX('Material routes'!$G$6:$G$2205,MATCH(V1209,'Material routes'!$A$6:$A$2205,0)),"MISSING ID")</x:f>
        <x:v>Salvage</x:v>
      </x:c>
      <x:c r="J1209" s="4" t="str">
        <x:f>IFERROR(INDEX('Material routes'!$B$6:$B$2205,MATCH(U1209,'Material routes'!$A$6:$A$2205,0)),"MISSING ID")</x:f>
        <x:v>design.audit.proposal_legger_grease_applicator</x:v>
      </x:c>
      <x:c r="K1209" s="4" t="str">
        <x:f>IFERROR(INDEX('Crafting recipes'!$C$6:$C$1005,MATCH(J1209,'Crafting recipes'!$A$6:$A$1005,0)),"MISSING ID")</x:f>
        <x:v>Finished-item crafting</x:v>
      </x:c>
      <x:c r="L1209" s="4" t="str">
        <x:f>IFERROR(INDEX('Material routes'!$K$6:$K$2205,MATCH(U1209,'Material routes'!$A$6:$A$2205,0)),"MISSING ID")</x:f>
        <x:v>Proposal</x:v>
      </x:c>
      <x:c r="M1209" s="4" t="str">
        <x:f>IFERROR(INDEX('Material routes'!$M$6:$M$2205,MATCH(U1209,'Material routes'!$A$6:$A$2205,0)),"MISSING ID")</x:f>
        <x:v>Partial proposal</x:v>
      </x:c>
      <x:c r="N1209" s="4"/>
      <x:c r="O1209" s="4" t="str">
        <x:f>IFERROR(INDEX('Material routes'!$J$6:$J$2205,MATCH(U1209,'Material routes'!$A$6:$A$2205,0)),"MISSING ID")</x:f>
        <x:v>Unspecified</x:v>
      </x:c>
      <x:c r="P1209" s="4"/>
      <x:c r="Q1209" s="4" t="str">
        <x:f>IFERROR(INDEX('Material routes'!$J$6:$J$2205,MATCH(V1209,'Material routes'!$A$6:$A$2205,0)),"MISSING ID")</x:f>
        <x:v>Unspecified</x:v>
      </x:c>
      <x:c r="R1209" s="4" t="str">
        <x:f>IF(L1209="Withheld","Withheld premise",IF(E1209="Tool candidate","Reusable prerequisite",IF(K1209="Raw entry preparation","Entry-resource preparation",IF(G1209="Not applicable",IF(IFERROR(INDEX('Items'!$AI$6:$AI$1005,MATCH(T1209,'Items'!$A$6:$A$1005,0)),"MISSING ID")="Finished item","Finished endpoint",IF(IFERROR(INDEX('Items'!$AI$6:$AI$1005,MATCH(T1209,'Items'!$A$6:$A$1005,0)),"MISSING ID")="Currency","Currency / no refinement tier","Recovered output / tier not applicable")),IF(OR(IFERROR(INDEX('Crafting recipes'!$H$6:$H$1005,MATCH(J1209,'Crafting recipes'!$A$6:$A$1005,0)),"MISSING ID")="Unassigned",G1209="Unassigned"),"Tier unresolved",IF(IFERROR(VALUE(RIGHT(G1209,1))-VALUE(RIGHT(IFERROR(INDEX('Crafting recipes'!$H$6:$H$1005,MATCH(J1209,'Crafting recipes'!$A$6:$A$1005,0)),"MISSING ID"),1)),0)=1,IF(B1209=IFERROR(INDEX('Crafting recipes'!$H$6:$H$1005,MATCH(J1209,'Crafting recipes'!$A$6:$A$1005,0)),"MISSING ID"),"Advances one material tier","Lower-tier ingredient; route advances one tier"),"Needs tier review"))))))</x:f>
        <x:v>Finished endpoint</x:v>
      </x:c>
      <x:c r="S1209" s="4" t="str">
        <x:f>IFERROR(INDEX('Material routes'!$D$6:$D$2205,MATCH(U1209,'Material routes'!$A$6:$A$2205,0)),"MISSING ID")</x:f>
        <x:v>proposal.legger.grease_cup</x:v>
      </x:c>
      <x:c r="T1209" s="4" t="str">
        <x:f>IFERROR(INDEX('Material routes'!$D$6:$D$2205,MATCH(V1209,'Material routes'!$A$6:$A$2205,0)),"MISSING ID")</x:f>
        <x:v>proposal.legger.grease_applicator</x:v>
      </x:c>
      <x:c r="U1209" s="4" t="str">
        <x:v>design.audit.proposal_legger_grease_applicator.audit.in.3</x:v>
      </x:c>
      <x:c r="V1209" s="4" t="str">
        <x:v>design.audit.proposal_legger_grease_applicator.audit.out</x:v>
      </x:c>
    </x:row>
    <x:row r="1210" ht="64" customHeight="1">
      <x:c r="A1210" s="4" t="str">
        <x:f>IFERROR(INDEX('Material routes'!$E$6:$E$2205,MATCH(U1210,'Material routes'!$A$6:$A$2205,0)),"MISSING ID")</x:f>
        <x:v>Steel stock</x:v>
      </x:c>
      <x:c r="B1210" s="4" t="str">
        <x:f>IFERROR(INDEX('Material routes'!$F$6:$F$2205,MATCH(U1210,'Material routes'!$A$6:$A$2205,0)),"MISSING ID")</x:f>
        <x:v>T2</x:v>
      </x:c>
      <x:c r="C1210" s="4" t="str">
        <x:f>IFERROR(INDEX('Material routes'!$H$6:$H$2205,MATCH(U1210,'Material routes'!$A$6:$A$2205,0)),"MISSING ID")</x:f>
        <x:v>Processed material</x:v>
      </x:c>
      <x:c r="D1210" s="4" t="str">
        <x:f>IFERROR(INDEX('Material routes'!$G$6:$G$2205,MATCH(U1210,'Material routes'!$A$6:$A$2205,0)),"MISSING ID")</x:f>
        <x:v>Manufactured stock</x:v>
      </x:c>
      <x:c r="E1210" s="4" t="str">
        <x:f>IFERROR(INDEX('Material routes'!$C$6:$C$2205,MATCH(U1210,'Material routes'!$A$6:$A$2205,0)),"MISSING ID")</x:f>
        <x:v>Ingredient candidate</x:v>
      </x:c>
      <x:c r="F1210" s="4" t="str">
        <x:f>IFERROR(INDEX('Material routes'!$E$6:$E$2205,MATCH(V1210,'Material routes'!$A$6:$A$2205,0)),"MISSING ID")</x:f>
        <x:v>Joint-service cleaning pick</x:v>
      </x:c>
      <x:c r="G1210" s="4" t="str">
        <x:f>IFERROR(INDEX('Material routes'!$F$6:$F$2205,MATCH(V1210,'Material routes'!$A$6:$A$2205,0)),"MISSING ID")</x:f>
        <x:v>Not applicable</x:v>
      </x:c>
      <x:c r="H1210" s="4" t="str">
        <x:f>IFERROR(INDEX('Material routes'!$H$6:$H$2205,MATCH(V1210,'Material routes'!$A$6:$A$2205,0)),"MISSING ID")</x:f>
        <x:v>Tool</x:v>
      </x:c>
      <x:c r="I1210" s="4" t="str">
        <x:f>IFERROR(INDEX('Material routes'!$G$6:$G$2205,MATCH(V1210,'Material routes'!$A$6:$A$2205,0)),"MISSING ID")</x:f>
        <x:v>Salvage</x:v>
      </x:c>
      <x:c r="J1210" s="4" t="str">
        <x:f>IFERROR(INDEX('Material routes'!$B$6:$B$2205,MATCH(U1210,'Material routes'!$A$6:$A$2205,0)),"MISSING ID")</x:f>
        <x:v>design.audit.proposal_legger_service_pick</x:v>
      </x:c>
      <x:c r="K1210" s="4" t="str">
        <x:f>IFERROR(INDEX('Crafting recipes'!$C$6:$C$1005,MATCH(J1210,'Crafting recipes'!$A$6:$A$1005,0)),"MISSING ID")</x:f>
        <x:v>Finished-item crafting</x:v>
      </x:c>
      <x:c r="L1210" s="4" t="str">
        <x:f>IFERROR(INDEX('Material routes'!$K$6:$K$2205,MATCH(U1210,'Material routes'!$A$6:$A$2205,0)),"MISSING ID")</x:f>
        <x:v>Proposal</x:v>
      </x:c>
      <x:c r="M1210" s="4" t="str">
        <x:f>IFERROR(INDEX('Material routes'!$M$6:$M$2205,MATCH(U1210,'Material routes'!$A$6:$A$2205,0)),"MISSING ID")</x:f>
        <x:v>Partial proposal</x:v>
      </x:c>
      <x:c r="N1210" s="4"/>
      <x:c r="O1210" s="4" t="str">
        <x:f>IFERROR(INDEX('Material routes'!$J$6:$J$2205,MATCH(U1210,'Material routes'!$A$6:$A$2205,0)),"MISSING ID")</x:f>
        <x:v>Unspecified</x:v>
      </x:c>
      <x:c r="P1210" s="4"/>
      <x:c r="Q1210" s="4" t="str">
        <x:f>IFERROR(INDEX('Material routes'!$J$6:$J$2205,MATCH(V1210,'Material routes'!$A$6:$A$2205,0)),"MISSING ID")</x:f>
        <x:v>Unspecified</x:v>
      </x:c>
      <x:c r="R1210" s="4" t="str">
        <x:f>IF(L1210="Withheld","Withheld premise",IF(E1210="Tool candidate","Reusable prerequisite",IF(K1210="Raw entry preparation","Entry-resource preparation",IF(G1210="Not applicable",IF(IFERROR(INDEX('Items'!$AI$6:$AI$1005,MATCH(T1210,'Items'!$A$6:$A$1005,0)),"MISSING ID")="Finished item","Finished endpoint",IF(IFERROR(INDEX('Items'!$AI$6:$AI$1005,MATCH(T1210,'Items'!$A$6:$A$1005,0)),"MISSING ID")="Currency","Currency / no refinement tier","Recovered output / tier not applicable")),IF(OR(IFERROR(INDEX('Crafting recipes'!$H$6:$H$1005,MATCH(J1210,'Crafting recipes'!$A$6:$A$1005,0)),"MISSING ID")="Unassigned",G1210="Unassigned"),"Tier unresolved",IF(IFERROR(VALUE(RIGHT(G1210,1))-VALUE(RIGHT(IFERROR(INDEX('Crafting recipes'!$H$6:$H$1005,MATCH(J1210,'Crafting recipes'!$A$6:$A$1005,0)),"MISSING ID"),1)),0)=1,IF(B1210=IFERROR(INDEX('Crafting recipes'!$H$6:$H$1005,MATCH(J1210,'Crafting recipes'!$A$6:$A$1005,0)),"MISSING ID"),"Advances one material tier","Lower-tier ingredient; route advances one tier"),"Needs tier review"))))))</x:f>
        <x:v>Finished endpoint</x:v>
      </x:c>
      <x:c r="S1210" s="4" t="str">
        <x:f>IFERROR(INDEX('Material routes'!$D$6:$D$2205,MATCH(U1210,'Material routes'!$A$6:$A$2205,0)),"MISSING ID")</x:f>
        <x:v>author.metallurgy.steel_stock</x:v>
      </x:c>
      <x:c r="T1210" s="4" t="str">
        <x:f>IFERROR(INDEX('Material routes'!$D$6:$D$2205,MATCH(V1210,'Material routes'!$A$6:$A$2205,0)),"MISSING ID")</x:f>
        <x:v>proposal.legger.service_pick</x:v>
      </x:c>
      <x:c r="U1210" s="4" t="str">
        <x:v>design.audit.proposal_legger_service_pick.audit.in.1</x:v>
      </x:c>
      <x:c r="V1210" s="4" t="str">
        <x:v>design.audit.proposal_legger_service_pick.audit.out</x:v>
      </x:c>
    </x:row>
    <x:row r="1211" ht="64" customHeight="1">
      <x:c r="A1211" s="4" t="str">
        <x:f>IFERROR(INDEX('Material routes'!$E$6:$E$2205,MATCH(U1211,'Material routes'!$A$6:$A$2205,0)),"MISSING ID")</x:f>
        <x:v>Shaped metal grip blank</x:v>
      </x:c>
      <x:c r="B1211" s="4" t="str">
        <x:f>IFERROR(INDEX('Material routes'!$F$6:$F$2205,MATCH(U1211,'Material routes'!$A$6:$A$2205,0)),"MISSING ID")</x:f>
        <x:v>T3</x:v>
      </x:c>
      <x:c r="C1211" s="4" t="str">
        <x:f>IFERROR(INDEX('Material routes'!$H$6:$H$2205,MATCH(U1211,'Material routes'!$A$6:$A$2205,0)),"MISSING ID")</x:f>
        <x:v>Crafting component</x:v>
      </x:c>
      <x:c r="D1211" s="4" t="str">
        <x:f>IFERROR(INDEX('Material routes'!$G$6:$G$2205,MATCH(U1211,'Material routes'!$A$6:$A$2205,0)),"MISSING ID")</x:f>
        <x:v>Crafting components</x:v>
      </x:c>
      <x:c r="E1211" s="4" t="str">
        <x:f>IFERROR(INDEX('Material routes'!$C$6:$C$2205,MATCH(U1211,'Material routes'!$A$6:$A$2205,0)),"MISSING ID")</x:f>
        <x:v>Ingredient candidate</x:v>
      </x:c>
      <x:c r="F1211" s="4" t="str">
        <x:f>IFERROR(INDEX('Material routes'!$E$6:$E$2205,MATCH(V1211,'Material routes'!$A$6:$A$2205,0)),"MISSING ID")</x:f>
        <x:v>Joint-service cleaning pick</x:v>
      </x:c>
      <x:c r="G1211" s="4" t="str">
        <x:f>IFERROR(INDEX('Material routes'!$F$6:$F$2205,MATCH(V1211,'Material routes'!$A$6:$A$2205,0)),"MISSING ID")</x:f>
        <x:v>Not applicable</x:v>
      </x:c>
      <x:c r="H1211" s="4" t="str">
        <x:f>IFERROR(INDEX('Material routes'!$H$6:$H$2205,MATCH(V1211,'Material routes'!$A$6:$A$2205,0)),"MISSING ID")</x:f>
        <x:v>Tool</x:v>
      </x:c>
      <x:c r="I1211" s="4" t="str">
        <x:f>IFERROR(INDEX('Material routes'!$G$6:$G$2205,MATCH(V1211,'Material routes'!$A$6:$A$2205,0)),"MISSING ID")</x:f>
        <x:v>Salvage</x:v>
      </x:c>
      <x:c r="J1211" s="4" t="str">
        <x:f>IFERROR(INDEX('Material routes'!$B$6:$B$2205,MATCH(U1211,'Material routes'!$A$6:$A$2205,0)),"MISSING ID")</x:f>
        <x:v>design.audit.proposal_legger_service_pick</x:v>
      </x:c>
      <x:c r="K1211" s="4" t="str">
        <x:f>IFERROR(INDEX('Crafting recipes'!$C$6:$C$1005,MATCH(J1211,'Crafting recipes'!$A$6:$A$1005,0)),"MISSING ID")</x:f>
        <x:v>Finished-item crafting</x:v>
      </x:c>
      <x:c r="L1211" s="4" t="str">
        <x:f>IFERROR(INDEX('Material routes'!$K$6:$K$2205,MATCH(U1211,'Material routes'!$A$6:$A$2205,0)),"MISSING ID")</x:f>
        <x:v>Proposal</x:v>
      </x:c>
      <x:c r="M1211" s="4" t="str">
        <x:f>IFERROR(INDEX('Material routes'!$M$6:$M$2205,MATCH(U1211,'Material routes'!$A$6:$A$2205,0)),"MISSING ID")</x:f>
        <x:v>Partial proposal</x:v>
      </x:c>
      <x:c r="N1211" s="4"/>
      <x:c r="O1211" s="4" t="str">
        <x:f>IFERROR(INDEX('Material routes'!$J$6:$J$2205,MATCH(U1211,'Material routes'!$A$6:$A$2205,0)),"MISSING ID")</x:f>
        <x:v>Unspecified</x:v>
      </x:c>
      <x:c r="P1211" s="4"/>
      <x:c r="Q1211" s="4" t="str">
        <x:f>IFERROR(INDEX('Material routes'!$J$6:$J$2205,MATCH(V1211,'Material routes'!$A$6:$A$2205,0)),"MISSING ID")</x:f>
        <x:v>Unspecified</x:v>
      </x:c>
      <x:c r="R1211" s="4" t="str">
        <x:f>IF(L1211="Withheld","Withheld premise",IF(E1211="Tool candidate","Reusable prerequisite",IF(K1211="Raw entry preparation","Entry-resource preparation",IF(G1211="Not applicable",IF(IFERROR(INDEX('Items'!$AI$6:$AI$1005,MATCH(T1211,'Items'!$A$6:$A$1005,0)),"MISSING ID")="Finished item","Finished endpoint",IF(IFERROR(INDEX('Items'!$AI$6:$AI$1005,MATCH(T1211,'Items'!$A$6:$A$1005,0)),"MISSING ID")="Currency","Currency / no refinement tier","Recovered output / tier not applicable")),IF(OR(IFERROR(INDEX('Crafting recipes'!$H$6:$H$1005,MATCH(J1211,'Crafting recipes'!$A$6:$A$1005,0)),"MISSING ID")="Unassigned",G1211="Unassigned"),"Tier unresolved",IF(IFERROR(VALUE(RIGHT(G1211,1))-VALUE(RIGHT(IFERROR(INDEX('Crafting recipes'!$H$6:$H$1005,MATCH(J1211,'Crafting recipes'!$A$6:$A$1005,0)),"MISSING ID"),1)),0)=1,IF(B1211=IFERROR(INDEX('Crafting recipes'!$H$6:$H$1005,MATCH(J1211,'Crafting recipes'!$A$6:$A$1005,0)),"MISSING ID"),"Advances one material tier","Lower-tier ingredient; route advances one tier"),"Needs tier review"))))))</x:f>
        <x:v>Finished endpoint</x:v>
      </x:c>
      <x:c r="S1211" s="4" t="str">
        <x:f>IFERROR(INDEX('Material routes'!$D$6:$D$2205,MATCH(U1211,'Material routes'!$A$6:$A$2205,0)),"MISSING ID")</x:f>
        <x:v>proposal.audit.shaped_metal_grip_blank</x:v>
      </x:c>
      <x:c r="T1211" s="4" t="str">
        <x:f>IFERROR(INDEX('Material routes'!$D$6:$D$2205,MATCH(V1211,'Material routes'!$A$6:$A$2205,0)),"MISSING ID")</x:f>
        <x:v>proposal.legger.service_pick</x:v>
      </x:c>
      <x:c r="U1211" s="4" t="str">
        <x:v>design.audit.proposal_legger_service_pick.audit.in.2</x:v>
      </x:c>
      <x:c r="V1211" s="4" t="str">
        <x:v>design.audit.proposal_legger_service_pick.audit.out</x:v>
      </x:c>
    </x:row>
    <x:row r="1212" ht="64" customHeight="1">
      <x:c r="A1212" s="4" t="str">
        <x:f>IFERROR(INDEX('Material routes'!$E$6:$E$2205,MATCH(U1212,'Material routes'!$A$6:$A$2205,0)),"MISSING ID")</x:f>
        <x:v>Steel stock</x:v>
      </x:c>
      <x:c r="B1212" s="4" t="str">
        <x:f>IFERROR(INDEX('Material routes'!$F$6:$F$2205,MATCH(U1212,'Material routes'!$A$6:$A$2205,0)),"MISSING ID")</x:f>
        <x:v>T2</x:v>
      </x:c>
      <x:c r="C1212" s="4" t="str">
        <x:f>IFERROR(INDEX('Material routes'!$H$6:$H$2205,MATCH(U1212,'Material routes'!$A$6:$A$2205,0)),"MISSING ID")</x:f>
        <x:v>Processed material</x:v>
      </x:c>
      <x:c r="D1212" s="4" t="str">
        <x:f>IFERROR(INDEX('Material routes'!$G$6:$G$2205,MATCH(U1212,'Material routes'!$A$6:$A$2205,0)),"MISSING ID")</x:f>
        <x:v>Manufactured stock</x:v>
      </x:c>
      <x:c r="E1212" s="4" t="str">
        <x:f>IFERROR(INDEX('Material routes'!$C$6:$C$2205,MATCH(U1212,'Material routes'!$A$6:$A$2205,0)),"MISSING ID")</x:f>
        <x:v>Ingredient candidate</x:v>
      </x:c>
      <x:c r="F1212" s="4" t="str">
        <x:f>IFERROR(INDEX('Material routes'!$E$6:$E$2205,MATCH(V1212,'Material routes'!$A$6:$A$2205,0)),"MISSING ID")</x:f>
        <x:v>Matched bearing-removal tool</x:v>
      </x:c>
      <x:c r="G1212" s="4" t="str">
        <x:f>IFERROR(INDEX('Material routes'!$F$6:$F$2205,MATCH(V1212,'Material routes'!$A$6:$A$2205,0)),"MISSING ID")</x:f>
        <x:v>Not applicable</x:v>
      </x:c>
      <x:c r="H1212" s="4" t="str">
        <x:f>IFERROR(INDEX('Material routes'!$H$6:$H$2205,MATCH(V1212,'Material routes'!$A$6:$A$2205,0)),"MISSING ID")</x:f>
        <x:v>Tool</x:v>
      </x:c>
      <x:c r="I1212" s="4" t="str">
        <x:f>IFERROR(INDEX('Material routes'!$G$6:$G$2205,MATCH(V1212,'Material routes'!$A$6:$A$2205,0)),"MISSING ID")</x:f>
        <x:v>Salvage</x:v>
      </x:c>
      <x:c r="J1212" s="4" t="str">
        <x:f>IFERROR(INDEX('Material routes'!$B$6:$B$2205,MATCH(U1212,'Material routes'!$A$6:$A$2205,0)),"MISSING ID")</x:f>
        <x:v>design.audit.proposal_legger_bearing_puller</x:v>
      </x:c>
      <x:c r="K1212" s="4" t="str">
        <x:f>IFERROR(INDEX('Crafting recipes'!$C$6:$C$1005,MATCH(J1212,'Crafting recipes'!$A$6:$A$1005,0)),"MISSING ID")</x:f>
        <x:v>Finished-item crafting</x:v>
      </x:c>
      <x:c r="L1212" s="4" t="str">
        <x:f>IFERROR(INDEX('Material routes'!$K$6:$K$2205,MATCH(U1212,'Material routes'!$A$6:$A$2205,0)),"MISSING ID")</x:f>
        <x:v>Proposal</x:v>
      </x:c>
      <x:c r="M1212" s="4" t="str">
        <x:f>IFERROR(INDEX('Material routes'!$M$6:$M$2205,MATCH(U1212,'Material routes'!$A$6:$A$2205,0)),"MISSING ID")</x:f>
        <x:v>Partial proposal</x:v>
      </x:c>
      <x:c r="N1212" s="4"/>
      <x:c r="O1212" s="4" t="str">
        <x:f>IFERROR(INDEX('Material routes'!$J$6:$J$2205,MATCH(U1212,'Material routes'!$A$6:$A$2205,0)),"MISSING ID")</x:f>
        <x:v>Unspecified</x:v>
      </x:c>
      <x:c r="P1212" s="4"/>
      <x:c r="Q1212" s="4" t="str">
        <x:f>IFERROR(INDEX('Material routes'!$J$6:$J$2205,MATCH(V1212,'Material routes'!$A$6:$A$2205,0)),"MISSING ID")</x:f>
        <x:v>Unspecified</x:v>
      </x:c>
      <x:c r="R1212" s="4" t="str">
        <x:f>IF(L1212="Withheld","Withheld premise",IF(E1212="Tool candidate","Reusable prerequisite",IF(K1212="Raw entry preparation","Entry-resource preparation",IF(G1212="Not applicable",IF(IFERROR(INDEX('Items'!$AI$6:$AI$1005,MATCH(T1212,'Items'!$A$6:$A$1005,0)),"MISSING ID")="Finished item","Finished endpoint",IF(IFERROR(INDEX('Items'!$AI$6:$AI$1005,MATCH(T1212,'Items'!$A$6:$A$1005,0)),"MISSING ID")="Currency","Currency / no refinement tier","Recovered output / tier not applicable")),IF(OR(IFERROR(INDEX('Crafting recipes'!$H$6:$H$1005,MATCH(J1212,'Crafting recipes'!$A$6:$A$1005,0)),"MISSING ID")="Unassigned",G1212="Unassigned"),"Tier unresolved",IF(IFERROR(VALUE(RIGHT(G1212,1))-VALUE(RIGHT(IFERROR(INDEX('Crafting recipes'!$H$6:$H$1005,MATCH(J1212,'Crafting recipes'!$A$6:$A$1005,0)),"MISSING ID"),1)),0)=1,IF(B1212=IFERROR(INDEX('Crafting recipes'!$H$6:$H$1005,MATCH(J1212,'Crafting recipes'!$A$6:$A$1005,0)),"MISSING ID"),"Advances one material tier","Lower-tier ingredient; route advances one tier"),"Needs tier review"))))))</x:f>
        <x:v>Finished endpoint</x:v>
      </x:c>
      <x:c r="S1212" s="4" t="str">
        <x:f>IFERROR(INDEX('Material routes'!$D$6:$D$2205,MATCH(U1212,'Material routes'!$A$6:$A$2205,0)),"MISSING ID")</x:f>
        <x:v>author.metallurgy.steel_stock</x:v>
      </x:c>
      <x:c r="T1212" s="4" t="str">
        <x:f>IFERROR(INDEX('Material routes'!$D$6:$D$2205,MATCH(V1212,'Material routes'!$A$6:$A$2205,0)),"MISSING ID")</x:f>
        <x:v>proposal.legger.bearing_puller</x:v>
      </x:c>
      <x:c r="U1212" s="4" t="str">
        <x:v>design.audit.proposal_legger_bearing_puller.audit.in.1</x:v>
      </x:c>
      <x:c r="V1212" s="4" t="str">
        <x:v>design.audit.proposal_legger_bearing_puller.audit.out</x:v>
      </x:c>
    </x:row>
    <x:row r="1213" ht="64" customHeight="1">
      <x:c r="A1213" s="4" t="str">
        <x:f>IFERROR(INDEX('Material routes'!$E$6:$E$2205,MATCH(U1213,'Material routes'!$A$6:$A$2205,0)),"MISSING ID")</x:f>
        <x:v>Threaded drive screw</x:v>
      </x:c>
      <x:c r="B1213" s="4" t="str">
        <x:f>IFERROR(INDEX('Material routes'!$F$6:$F$2205,MATCH(U1213,'Material routes'!$A$6:$A$2205,0)),"MISSING ID")</x:f>
        <x:v>T3</x:v>
      </x:c>
      <x:c r="C1213" s="4" t="str">
        <x:f>IFERROR(INDEX('Material routes'!$H$6:$H$2205,MATCH(U1213,'Material routes'!$A$6:$A$2205,0)),"MISSING ID")</x:f>
        <x:v>Machine part</x:v>
      </x:c>
      <x:c r="D1213" s="4" t="str">
        <x:f>IFERROR(INDEX('Material routes'!$G$6:$G$2205,MATCH(U1213,'Material routes'!$A$6:$A$2205,0)),"MISSING ID")</x:f>
        <x:v>Crafting components</x:v>
      </x:c>
      <x:c r="E1213" s="4" t="str">
        <x:f>IFERROR(INDEX('Material routes'!$C$6:$C$2205,MATCH(U1213,'Material routes'!$A$6:$A$2205,0)),"MISSING ID")</x:f>
        <x:v>Ingredient candidate</x:v>
      </x:c>
      <x:c r="F1213" s="4" t="str">
        <x:f>IFERROR(INDEX('Material routes'!$E$6:$E$2205,MATCH(V1213,'Material routes'!$A$6:$A$2205,0)),"MISSING ID")</x:f>
        <x:v>Matched bearing-removal tool</x:v>
      </x:c>
      <x:c r="G1213" s="4" t="str">
        <x:f>IFERROR(INDEX('Material routes'!$F$6:$F$2205,MATCH(V1213,'Material routes'!$A$6:$A$2205,0)),"MISSING ID")</x:f>
        <x:v>Not applicable</x:v>
      </x:c>
      <x:c r="H1213" s="4" t="str">
        <x:f>IFERROR(INDEX('Material routes'!$H$6:$H$2205,MATCH(V1213,'Material routes'!$A$6:$A$2205,0)),"MISSING ID")</x:f>
        <x:v>Tool</x:v>
      </x:c>
      <x:c r="I1213" s="4" t="str">
        <x:f>IFERROR(INDEX('Material routes'!$G$6:$G$2205,MATCH(V1213,'Material routes'!$A$6:$A$2205,0)),"MISSING ID")</x:f>
        <x:v>Salvage</x:v>
      </x:c>
      <x:c r="J1213" s="4" t="str">
        <x:f>IFERROR(INDEX('Material routes'!$B$6:$B$2205,MATCH(U1213,'Material routes'!$A$6:$A$2205,0)),"MISSING ID")</x:f>
        <x:v>design.audit.proposal_legger_bearing_puller</x:v>
      </x:c>
      <x:c r="K1213" s="4" t="str">
        <x:f>IFERROR(INDEX('Crafting recipes'!$C$6:$C$1005,MATCH(J1213,'Crafting recipes'!$A$6:$A$1005,0)),"MISSING ID")</x:f>
        <x:v>Finished-item crafting</x:v>
      </x:c>
      <x:c r="L1213" s="4" t="str">
        <x:f>IFERROR(INDEX('Material routes'!$K$6:$K$2205,MATCH(U1213,'Material routes'!$A$6:$A$2205,0)),"MISSING ID")</x:f>
        <x:v>Proposal</x:v>
      </x:c>
      <x:c r="M1213" s="4" t="str">
        <x:f>IFERROR(INDEX('Material routes'!$M$6:$M$2205,MATCH(U1213,'Material routes'!$A$6:$A$2205,0)),"MISSING ID")</x:f>
        <x:v>Partial proposal</x:v>
      </x:c>
      <x:c r="N1213" s="4"/>
      <x:c r="O1213" s="4" t="str">
        <x:f>IFERROR(INDEX('Material routes'!$J$6:$J$2205,MATCH(U1213,'Material routes'!$A$6:$A$2205,0)),"MISSING ID")</x:f>
        <x:v>Unspecified</x:v>
      </x:c>
      <x:c r="P1213" s="4"/>
      <x:c r="Q1213" s="4" t="str">
        <x:f>IFERROR(INDEX('Material routes'!$J$6:$J$2205,MATCH(V1213,'Material routes'!$A$6:$A$2205,0)),"MISSING ID")</x:f>
        <x:v>Unspecified</x:v>
      </x:c>
      <x:c r="R1213" s="4" t="str">
        <x:f>IF(L1213="Withheld","Withheld premise",IF(E1213="Tool candidate","Reusable prerequisite",IF(K1213="Raw entry preparation","Entry-resource preparation",IF(G1213="Not applicable",IF(IFERROR(INDEX('Items'!$AI$6:$AI$1005,MATCH(T1213,'Items'!$A$6:$A$1005,0)),"MISSING ID")="Finished item","Finished endpoint",IF(IFERROR(INDEX('Items'!$AI$6:$AI$1005,MATCH(T1213,'Items'!$A$6:$A$1005,0)),"MISSING ID")="Currency","Currency / no refinement tier","Recovered output / tier not applicable")),IF(OR(IFERROR(INDEX('Crafting recipes'!$H$6:$H$1005,MATCH(J1213,'Crafting recipes'!$A$6:$A$1005,0)),"MISSING ID")="Unassigned",G1213="Unassigned"),"Tier unresolved",IF(IFERROR(VALUE(RIGHT(G1213,1))-VALUE(RIGHT(IFERROR(INDEX('Crafting recipes'!$H$6:$H$1005,MATCH(J1213,'Crafting recipes'!$A$6:$A$1005,0)),"MISSING ID"),1)),0)=1,IF(B1213=IFERROR(INDEX('Crafting recipes'!$H$6:$H$1005,MATCH(J1213,'Crafting recipes'!$A$6:$A$1005,0)),"MISSING ID"),"Advances one material tier","Lower-tier ingredient; route advances one tier"),"Needs tier review"))))))</x:f>
        <x:v>Finished endpoint</x:v>
      </x:c>
      <x:c r="S1213" s="4" t="str">
        <x:f>IFERROR(INDEX('Material routes'!$D$6:$D$2205,MATCH(U1213,'Material routes'!$A$6:$A$2205,0)),"MISSING ID")</x:f>
        <x:v>proposal.audit.threaded_drive_screw</x:v>
      </x:c>
      <x:c r="T1213" s="4" t="str">
        <x:f>IFERROR(INDEX('Material routes'!$D$6:$D$2205,MATCH(V1213,'Material routes'!$A$6:$A$2205,0)),"MISSING ID")</x:f>
        <x:v>proposal.legger.bearing_puller</x:v>
      </x:c>
      <x:c r="U1213" s="4" t="str">
        <x:v>design.audit.proposal_legger_bearing_puller.audit.in.2</x:v>
      </x:c>
      <x:c r="V1213" s="4" t="str">
        <x:v>design.audit.proposal_legger_bearing_puller.audit.out</x:v>
      </x:c>
    </x:row>
    <x:row r="1214" ht="64" customHeight="1">
      <x:c r="A1214" s="4" t="str">
        <x:f>IFERROR(INDEX('Material routes'!$E$6:$E$2205,MATCH(U1214,'Material routes'!$A$6:$A$2205,0)),"MISSING ID")</x:f>
        <x:v>Steel stock</x:v>
      </x:c>
      <x:c r="B1214" s="4" t="str">
        <x:f>IFERROR(INDEX('Material routes'!$F$6:$F$2205,MATCH(U1214,'Material routes'!$A$6:$A$2205,0)),"MISSING ID")</x:f>
        <x:v>T2</x:v>
      </x:c>
      <x:c r="C1214" s="4" t="str">
        <x:f>IFERROR(INDEX('Material routes'!$H$6:$H$2205,MATCH(U1214,'Material routes'!$A$6:$A$2205,0)),"MISSING ID")</x:f>
        <x:v>Processed material</x:v>
      </x:c>
      <x:c r="D1214" s="4" t="str">
        <x:f>IFERROR(INDEX('Material routes'!$G$6:$G$2205,MATCH(U1214,'Material routes'!$A$6:$A$2205,0)),"MISSING ID")</x:f>
        <x:v>Manufactured stock</x:v>
      </x:c>
      <x:c r="E1214" s="4" t="str">
        <x:f>IFERROR(INDEX('Material routes'!$C$6:$C$2205,MATCH(U1214,'Material routes'!$A$6:$A$2205,0)),"MISSING ID")</x:f>
        <x:v>Ingredient candidate</x:v>
      </x:c>
      <x:c r="F1214" s="4" t="str">
        <x:f>IFERROR(INDEX('Material routes'!$E$6:$E$2205,MATCH(V1214,'Material routes'!$A$6:$A$2205,0)),"MISSING ID")</x:f>
        <x:v>Legger alignment gauge</x:v>
      </x:c>
      <x:c r="G1214" s="4" t="str">
        <x:f>IFERROR(INDEX('Material routes'!$F$6:$F$2205,MATCH(V1214,'Material routes'!$A$6:$A$2205,0)),"MISSING ID")</x:f>
        <x:v>Not applicable</x:v>
      </x:c>
      <x:c r="H1214" s="4" t="str">
        <x:f>IFERROR(INDEX('Material routes'!$H$6:$H$2205,MATCH(V1214,'Material routes'!$A$6:$A$2205,0)),"MISSING ID")</x:f>
        <x:v>Tool</x:v>
      </x:c>
      <x:c r="I1214" s="4" t="str">
        <x:f>IFERROR(INDEX('Material routes'!$G$6:$G$2205,MATCH(V1214,'Material routes'!$A$6:$A$2205,0)),"MISSING ID")</x:f>
        <x:v>Salvage</x:v>
      </x:c>
      <x:c r="J1214" s="4" t="str">
        <x:f>IFERROR(INDEX('Material routes'!$B$6:$B$2205,MATCH(U1214,'Material routes'!$A$6:$A$2205,0)),"MISSING ID")</x:f>
        <x:v>design.audit.proposal_legger_alignment_gauge</x:v>
      </x:c>
      <x:c r="K1214" s="4" t="str">
        <x:f>IFERROR(INDEX('Crafting recipes'!$C$6:$C$1005,MATCH(J1214,'Crafting recipes'!$A$6:$A$1005,0)),"MISSING ID")</x:f>
        <x:v>Finished-item crafting</x:v>
      </x:c>
      <x:c r="L1214" s="4" t="str">
        <x:f>IFERROR(INDEX('Material routes'!$K$6:$K$2205,MATCH(U1214,'Material routes'!$A$6:$A$2205,0)),"MISSING ID")</x:f>
        <x:v>Proposal</x:v>
      </x:c>
      <x:c r="M1214" s="4" t="str">
        <x:f>IFERROR(INDEX('Material routes'!$M$6:$M$2205,MATCH(U1214,'Material routes'!$A$6:$A$2205,0)),"MISSING ID")</x:f>
        <x:v>Partial proposal</x:v>
      </x:c>
      <x:c r="N1214" s="4"/>
      <x:c r="O1214" s="4" t="str">
        <x:f>IFERROR(INDEX('Material routes'!$J$6:$J$2205,MATCH(U1214,'Material routes'!$A$6:$A$2205,0)),"MISSING ID")</x:f>
        <x:v>Unspecified</x:v>
      </x:c>
      <x:c r="P1214" s="4"/>
      <x:c r="Q1214" s="4" t="str">
        <x:f>IFERROR(INDEX('Material routes'!$J$6:$J$2205,MATCH(V1214,'Material routes'!$A$6:$A$2205,0)),"MISSING ID")</x:f>
        <x:v>Unspecified</x:v>
      </x:c>
      <x:c r="R1214" s="4" t="str">
        <x:f>IF(L1214="Withheld","Withheld premise",IF(E1214="Tool candidate","Reusable prerequisite",IF(K1214="Raw entry preparation","Entry-resource preparation",IF(G1214="Not applicable",IF(IFERROR(INDEX('Items'!$AI$6:$AI$1005,MATCH(T1214,'Items'!$A$6:$A$1005,0)),"MISSING ID")="Finished item","Finished endpoint",IF(IFERROR(INDEX('Items'!$AI$6:$AI$1005,MATCH(T1214,'Items'!$A$6:$A$1005,0)),"MISSING ID")="Currency","Currency / no refinement tier","Recovered output / tier not applicable")),IF(OR(IFERROR(INDEX('Crafting recipes'!$H$6:$H$1005,MATCH(J1214,'Crafting recipes'!$A$6:$A$1005,0)),"MISSING ID")="Unassigned",G1214="Unassigned"),"Tier unresolved",IF(IFERROR(VALUE(RIGHT(G1214,1))-VALUE(RIGHT(IFERROR(INDEX('Crafting recipes'!$H$6:$H$1005,MATCH(J1214,'Crafting recipes'!$A$6:$A$1005,0)),"MISSING ID"),1)),0)=1,IF(B1214=IFERROR(INDEX('Crafting recipes'!$H$6:$H$1005,MATCH(J1214,'Crafting recipes'!$A$6:$A$1005,0)),"MISSING ID"),"Advances one material tier","Lower-tier ingredient; route advances one tier"),"Needs tier review"))))))</x:f>
        <x:v>Finished endpoint</x:v>
      </x:c>
      <x:c r="S1214" s="4" t="str">
        <x:f>IFERROR(INDEX('Material routes'!$D$6:$D$2205,MATCH(U1214,'Material routes'!$A$6:$A$2205,0)),"MISSING ID")</x:f>
        <x:v>author.metallurgy.steel_stock</x:v>
      </x:c>
      <x:c r="T1214" s="4" t="str">
        <x:f>IFERROR(INDEX('Material routes'!$D$6:$D$2205,MATCH(V1214,'Material routes'!$A$6:$A$2205,0)),"MISSING ID")</x:f>
        <x:v>proposal.legger.alignment_gauge</x:v>
      </x:c>
      <x:c r="U1214" s="4" t="str">
        <x:v>design.audit.proposal_legger_alignment_gauge.audit.in.1</x:v>
      </x:c>
      <x:c r="V1214" s="4" t="str">
        <x:v>design.audit.proposal_legger_alignment_gauge.audit.out</x:v>
      </x:c>
    </x:row>
    <x:row r="1215" ht="64" customHeight="1">
      <x:c r="A1215" s="4" t="str">
        <x:f>IFERROR(INDEX('Material routes'!$E$6:$E$2205,MATCH(U1215,'Material routes'!$A$6:$A$2205,0)),"MISSING ID")</x:f>
        <x:v>Growth assay reference packet</x:v>
      </x:c>
      <x:c r="B1215" s="4" t="str">
        <x:f>IFERROR(INDEX('Material routes'!$F$6:$F$2205,MATCH(U1215,'Material routes'!$A$6:$A$2205,0)),"MISSING ID")</x:f>
        <x:v>Not applicable</x:v>
      </x:c>
      <x:c r="C1215" s="4" t="str">
        <x:f>IFERROR(INDEX('Material routes'!$H$6:$H$2205,MATCH(U1215,'Material routes'!$A$6:$A$2205,0)),"MISSING ID")</x:f>
        <x:v>Assay sample</x:v>
      </x:c>
      <x:c r="D1215" s="4" t="str">
        <x:f>IFERROR(INDEX('Material routes'!$G$6:$G$2205,MATCH(U1215,'Material routes'!$A$6:$A$2205,0)),"MISSING ID")</x:f>
        <x:v>Crafting components</x:v>
      </x:c>
      <x:c r="E1215" s="4" t="str">
        <x:f>IFERROR(INDEX('Material routes'!$C$6:$C$2205,MATCH(U1215,'Material routes'!$A$6:$A$2205,0)),"MISSING ID")</x:f>
        <x:v>Tool candidate</x:v>
      </x:c>
      <x:c r="F1215" s="4" t="str">
        <x:f>IFERROR(INDEX('Material routes'!$E$6:$E$2205,MATCH(V1215,'Material routes'!$A$6:$A$2205,0)),"MISSING ID")</x:f>
        <x:v>Legger alignment gauge</x:v>
      </x:c>
      <x:c r="G1215" s="4" t="str">
        <x:f>IFERROR(INDEX('Material routes'!$F$6:$F$2205,MATCH(V1215,'Material routes'!$A$6:$A$2205,0)),"MISSING ID")</x:f>
        <x:v>Not applicable</x:v>
      </x:c>
      <x:c r="H1215" s="4" t="str">
        <x:f>IFERROR(INDEX('Material routes'!$H$6:$H$2205,MATCH(V1215,'Material routes'!$A$6:$A$2205,0)),"MISSING ID")</x:f>
        <x:v>Tool</x:v>
      </x:c>
      <x:c r="I1215" s="4" t="str">
        <x:f>IFERROR(INDEX('Material routes'!$G$6:$G$2205,MATCH(V1215,'Material routes'!$A$6:$A$2205,0)),"MISSING ID")</x:f>
        <x:v>Salvage</x:v>
      </x:c>
      <x:c r="J1215" s="4" t="str">
        <x:f>IFERROR(INDEX('Material routes'!$B$6:$B$2205,MATCH(U1215,'Material routes'!$A$6:$A$2205,0)),"MISSING ID")</x:f>
        <x:v>design.audit.proposal_legger_alignment_gauge</x:v>
      </x:c>
      <x:c r="K1215" s="4" t="str">
        <x:f>IFERROR(INDEX('Crafting recipes'!$C$6:$C$1005,MATCH(J1215,'Crafting recipes'!$A$6:$A$1005,0)),"MISSING ID")</x:f>
        <x:v>Finished-item crafting</x:v>
      </x:c>
      <x:c r="L1215" s="4" t="str">
        <x:f>IFERROR(INDEX('Material routes'!$K$6:$K$2205,MATCH(U1215,'Material routes'!$A$6:$A$2205,0)),"MISSING ID")</x:f>
        <x:v>Proposal</x:v>
      </x:c>
      <x:c r="M1215" s="4" t="str">
        <x:f>IFERROR(INDEX('Material routes'!$M$6:$M$2205,MATCH(U1215,'Material routes'!$A$6:$A$2205,0)),"MISSING ID")</x:f>
        <x:v>Partial proposal</x:v>
      </x:c>
      <x:c r="N1215" s="4"/>
      <x:c r="O1215" s="4" t="str">
        <x:f>IFERROR(INDEX('Material routes'!$J$6:$J$2205,MATCH(U1215,'Material routes'!$A$6:$A$2205,0)),"MISSING ID")</x:f>
        <x:v>Unspecified</x:v>
      </x:c>
      <x:c r="P1215" s="4"/>
      <x:c r="Q1215" s="4" t="str">
        <x:f>IFERROR(INDEX('Material routes'!$J$6:$J$2205,MATCH(V1215,'Material routes'!$A$6:$A$2205,0)),"MISSING ID")</x:f>
        <x:v>Unspecified</x:v>
      </x:c>
      <x:c r="R1215" s="4" t="str">
        <x:f>IF(L1215="Withheld","Withheld premise",IF(E1215="Tool candidate","Reusable prerequisite",IF(K1215="Raw entry preparation","Entry-resource preparation",IF(G1215="Not applicable",IF(IFERROR(INDEX('Items'!$AI$6:$AI$1005,MATCH(T1215,'Items'!$A$6:$A$1005,0)),"MISSING ID")="Finished item","Finished endpoint",IF(IFERROR(INDEX('Items'!$AI$6:$AI$1005,MATCH(T1215,'Items'!$A$6:$A$1005,0)),"MISSING ID")="Currency","Currency / no refinement tier","Recovered output / tier not applicable")),IF(OR(IFERROR(INDEX('Crafting recipes'!$H$6:$H$1005,MATCH(J1215,'Crafting recipes'!$A$6:$A$1005,0)),"MISSING ID")="Unassigned",G1215="Unassigned"),"Tier unresolved",IF(IFERROR(VALUE(RIGHT(G1215,1))-VALUE(RIGHT(IFERROR(INDEX('Crafting recipes'!$H$6:$H$1005,MATCH(J1215,'Crafting recipes'!$A$6:$A$1005,0)),"MISSING ID"),1)),0)=1,IF(B1215=IFERROR(INDEX('Crafting recipes'!$H$6:$H$1005,MATCH(J1215,'Crafting recipes'!$A$6:$A$1005,0)),"MISSING ID"),"Advances one material tier","Lower-tier ingredient; route advances one tier"),"Needs tier review"))))))</x:f>
        <x:v>Reusable prerequisite</x:v>
      </x:c>
      <x:c r="S1215" s="4" t="str">
        <x:f>IFERROR(INDEX('Material routes'!$D$6:$D$2205,MATCH(U1215,'Material routes'!$A$6:$A$2205,0)),"MISSING ID")</x:f>
        <x:v>proposal.lore.assay_packet</x:v>
      </x:c>
      <x:c r="T1215" s="4" t="str">
        <x:f>IFERROR(INDEX('Material routes'!$D$6:$D$2205,MATCH(V1215,'Material routes'!$A$6:$A$2205,0)),"MISSING ID")</x:f>
        <x:v>proposal.legger.alignment_gauge</x:v>
      </x:c>
      <x:c r="U1215" s="4" t="str">
        <x:v>design.audit.proposal_legger_alignment_gauge.audit.in.2</x:v>
      </x:c>
      <x:c r="V1215" s="4" t="str">
        <x:v>design.audit.proposal_legger_alignment_gauge.audit.out</x:v>
      </x:c>
    </x:row>
    <x:row r="1216" ht="64" customHeight="1">
      <x:c r="A1216" s="4"/>
      <x:c r="B1216" s="4"/>
      <x:c r="C1216" s="4"/>
      <x:c r="D1216" s="4"/>
      <x:c r="E1216" s="4"/>
      <x:c r="F1216" s="4"/>
      <x:c r="G1216" s="4"/>
      <x:c r="H1216" s="4"/>
      <x:c r="I1216" s="4"/>
      <x:c r="J1216" s="4"/>
      <x:c r="K1216" s="4"/>
      <x:c r="L1216" s="4"/>
      <x:c r="M1216" s="4"/>
      <x:c r="N1216" s="4"/>
      <x:c r="P1216" s="4"/>
      <x:c r="R1216" s="4"/>
      <x:c r="S1216" s="4"/>
      <x:c r="T1216" s="4"/>
      <x:c r="U1216" s="4"/>
      <x:c r="V1216" s="4"/>
    </x:row>
    <x:row r="1217" ht="64" customHeight="1">
      <x:c r="A1217" s="4"/>
      <x:c r="B1217" s="4"/>
      <x:c r="C1217" s="4"/>
      <x:c r="D1217" s="4"/>
      <x:c r="E1217" s="4"/>
      <x:c r="F1217" s="4"/>
      <x:c r="G1217" s="4"/>
      <x:c r="H1217" s="4"/>
      <x:c r="I1217" s="4"/>
      <x:c r="J1217" s="4"/>
      <x:c r="K1217" s="4"/>
      <x:c r="L1217" s="4"/>
      <x:c r="M1217" s="4"/>
      <x:c r="N1217" s="4"/>
      <x:c r="P1217" s="4"/>
      <x:c r="R1217" s="4"/>
      <x:c r="S1217" s="4"/>
      <x:c r="T1217" s="4"/>
      <x:c r="U1217" s="4"/>
      <x:c r="V1217" s="4"/>
    </x:row>
    <x:row r="1218" ht="64" customHeight="1">
      <x:c r="A1218" s="4"/>
      <x:c r="B1218" s="4"/>
      <x:c r="C1218" s="4"/>
      <x:c r="D1218" s="4"/>
      <x:c r="E1218" s="4"/>
      <x:c r="F1218" s="4"/>
      <x:c r="G1218" s="4"/>
      <x:c r="H1218" s="4"/>
      <x:c r="I1218" s="4"/>
      <x:c r="J1218" s="4"/>
      <x:c r="K1218" s="4"/>
      <x:c r="L1218" s="4"/>
      <x:c r="M1218" s="4"/>
      <x:c r="N1218" s="4"/>
      <x:c r="P1218" s="4"/>
      <x:c r="R1218" s="4"/>
      <x:c r="S1218" s="4"/>
      <x:c r="T1218" s="4"/>
      <x:c r="U1218" s="4"/>
      <x:c r="V1218" s="4"/>
    </x:row>
    <x:row r="1219" ht="64" customHeight="1">
      <x:c r="A1219" s="4" t="str">
        <x:f>IFERROR(INDEX('Material routes'!$E$6:$E$2205,MATCH(U1219,'Material routes'!$A$6:$A$2205,0)),"MISSING ID")</x:f>
        <x:v>Steel stock</x:v>
      </x:c>
      <x:c r="B1219" s="4" t="str">
        <x:f>IFERROR(INDEX('Material routes'!$F$6:$F$2205,MATCH(U1219,'Material routes'!$A$6:$A$2205,0)),"MISSING ID")</x:f>
        <x:v>T2</x:v>
      </x:c>
      <x:c r="C1219" s="4" t="str">
        <x:f>IFERROR(INDEX('Material routes'!$H$6:$H$2205,MATCH(U1219,'Material routes'!$A$6:$A$2205,0)),"MISSING ID")</x:f>
        <x:v>Processed material</x:v>
      </x:c>
      <x:c r="D1219" s="4" t="str">
        <x:f>IFERROR(INDEX('Material routes'!$G$6:$G$2205,MATCH(U1219,'Material routes'!$A$6:$A$2205,0)),"MISSING ID")</x:f>
        <x:v>Manufactured stock</x:v>
      </x:c>
      <x:c r="E1219" s="4" t="str">
        <x:f>IFERROR(INDEX('Material routes'!$C$6:$C$2205,MATCH(U1219,'Material routes'!$A$6:$A$2205,0)),"MISSING ID")</x:f>
        <x:v>Ingredient candidate</x:v>
      </x:c>
      <x:c r="F1219" s="4" t="str">
        <x:f>IFERROR(INDEX('Material routes'!$E$6:$E$2205,MATCH(V1219,'Material routes'!$A$6:$A$2205,0)),"MISSING ID")</x:f>
        <x:v>Chassis leading-edge guard</x:v>
      </x:c>
      <x:c r="G1219" s="4" t="str">
        <x:f>IFERROR(INDEX('Material routes'!$F$6:$F$2205,MATCH(V1219,'Material routes'!$A$6:$A$2205,0)),"MISSING ID")</x:f>
        <x:v>Not applicable</x:v>
      </x:c>
      <x:c r="H1219" s="4" t="str">
        <x:f>IFERROR(INDEX('Material routes'!$H$6:$H$2205,MATCH(V1219,'Material routes'!$A$6:$A$2205,0)),"MISSING ID")</x:f>
        <x:v>Armor</x:v>
      </x:c>
      <x:c r="I1219" s="4" t="str">
        <x:f>IFERROR(INDEX('Material routes'!$G$6:$G$2205,MATCH(V1219,'Material routes'!$A$6:$A$2205,0)),"MISSING ID")</x:f>
        <x:v>Legger armor</x:v>
      </x:c>
      <x:c r="J1219" s="4" t="str">
        <x:f>IFERROR(INDEX('Material routes'!$B$6:$B$2205,MATCH(U1219,'Material routes'!$A$6:$A$2205,0)),"MISSING ID")</x:f>
        <x:v>design.audit.proposal_legger_edge_guard</x:v>
      </x:c>
      <x:c r="K1219" s="4" t="str">
        <x:f>IFERROR(INDEX('Crafting recipes'!$C$6:$C$1005,MATCH(J1219,'Crafting recipes'!$A$6:$A$1005,0)),"MISSING ID")</x:f>
        <x:v>Finished-item crafting</x:v>
      </x:c>
      <x:c r="L1219" s="4" t="str">
        <x:f>IFERROR(INDEX('Material routes'!$K$6:$K$2205,MATCH(U1219,'Material routes'!$A$6:$A$2205,0)),"MISSING ID")</x:f>
        <x:v>Proposal</x:v>
      </x:c>
      <x:c r="M1219" s="4" t="str">
        <x:f>IFERROR(INDEX('Material routes'!$M$6:$M$2205,MATCH(U1219,'Material routes'!$A$6:$A$2205,0)),"MISSING ID")</x:f>
        <x:v>Partial proposal</x:v>
      </x:c>
      <x:c r="N1219" s="4"/>
      <x:c r="O1219" s="4" t="str">
        <x:f>IFERROR(INDEX('Material routes'!$J$6:$J$2205,MATCH(U1219,'Material routes'!$A$6:$A$2205,0)),"MISSING ID")</x:f>
        <x:v>Unspecified</x:v>
      </x:c>
      <x:c r="P1219" s="4"/>
      <x:c r="Q1219" s="4" t="str">
        <x:f>IFERROR(INDEX('Material routes'!$J$6:$J$2205,MATCH(V1219,'Material routes'!$A$6:$A$2205,0)),"MISSING ID")</x:f>
        <x:v>Unspecified</x:v>
      </x:c>
      <x:c r="R1219" s="4" t="str">
        <x:f>IF(L1219="Withheld","Withheld premise",IF(E1219="Tool candidate","Reusable prerequisite",IF(K1219="Raw entry preparation","Entry-resource preparation",IF(G1219="Not applicable",IF(IFERROR(INDEX('Items'!$AI$6:$AI$1005,MATCH(T1219,'Items'!$A$6:$A$1005,0)),"MISSING ID")="Finished item","Finished endpoint",IF(IFERROR(INDEX('Items'!$AI$6:$AI$1005,MATCH(T1219,'Items'!$A$6:$A$1005,0)),"MISSING ID")="Currency","Currency / no refinement tier","Recovered output / tier not applicable")),IF(OR(IFERROR(INDEX('Crafting recipes'!$H$6:$H$1005,MATCH(J1219,'Crafting recipes'!$A$6:$A$1005,0)),"MISSING ID")="Unassigned",G1219="Unassigned"),"Tier unresolved",IF(IFERROR(VALUE(RIGHT(G1219,1))-VALUE(RIGHT(IFERROR(INDEX('Crafting recipes'!$H$6:$H$1005,MATCH(J1219,'Crafting recipes'!$A$6:$A$1005,0)),"MISSING ID"),1)),0)=1,IF(B1219=IFERROR(INDEX('Crafting recipes'!$H$6:$H$1005,MATCH(J1219,'Crafting recipes'!$A$6:$A$1005,0)),"MISSING ID"),"Advances one material tier","Lower-tier ingredient; route advances one tier"),"Needs tier review"))))))</x:f>
        <x:v>Finished endpoint</x:v>
      </x:c>
      <x:c r="S1219" s="4" t="str">
        <x:f>IFERROR(INDEX('Material routes'!$D$6:$D$2205,MATCH(U1219,'Material routes'!$A$6:$A$2205,0)),"MISSING ID")</x:f>
        <x:v>author.metallurgy.steel_stock</x:v>
      </x:c>
      <x:c r="T1219" s="4" t="str">
        <x:f>IFERROR(INDEX('Material routes'!$D$6:$D$2205,MATCH(V1219,'Material routes'!$A$6:$A$2205,0)),"MISSING ID")</x:f>
        <x:v>proposal.legger.edge_guard</x:v>
      </x:c>
      <x:c r="U1219" s="4" t="str">
        <x:v>design.audit.proposal_legger_edge_guard.audit.in.1</x:v>
      </x:c>
      <x:c r="V1219" s="4" t="str">
        <x:v>design.audit.proposal_legger_edge_guard.audit.out</x:v>
      </x:c>
    </x:row>
    <x:row r="1220" ht="64" customHeight="1">
      <x:c r="A1220" s="4" t="str">
        <x:f>IFERROR(INDEX('Material routes'!$E$6:$E$2205,MATCH(U1220,'Material routes'!$A$6:$A$2205,0)),"MISSING ID")</x:f>
        <x:v>Matched metal fastener set</x:v>
      </x:c>
      <x:c r="B1220" s="4" t="str">
        <x:f>IFERROR(INDEX('Material routes'!$F$6:$F$2205,MATCH(U1220,'Material routes'!$A$6:$A$2205,0)),"MISSING ID")</x:f>
        <x:v>T3</x:v>
      </x:c>
      <x:c r="C1220" s="4" t="str">
        <x:f>IFERROR(INDEX('Material routes'!$H$6:$H$2205,MATCH(U1220,'Material routes'!$A$6:$A$2205,0)),"MISSING ID")</x:f>
        <x:v>Crafting component</x:v>
      </x:c>
      <x:c r="D1220" s="4" t="str">
        <x:f>IFERROR(INDEX('Material routes'!$G$6:$G$2205,MATCH(U1220,'Material routes'!$A$6:$A$2205,0)),"MISSING ID")</x:f>
        <x:v>Crafting components</x:v>
      </x:c>
      <x:c r="E1220" s="4" t="str">
        <x:f>IFERROR(INDEX('Material routes'!$C$6:$C$2205,MATCH(U1220,'Material routes'!$A$6:$A$2205,0)),"MISSING ID")</x:f>
        <x:v>Ingredient candidate</x:v>
      </x:c>
      <x:c r="F1220" s="4" t="str">
        <x:f>IFERROR(INDEX('Material routes'!$E$6:$E$2205,MATCH(V1220,'Material routes'!$A$6:$A$2205,0)),"MISSING ID")</x:f>
        <x:v>Chassis leading-edge guard</x:v>
      </x:c>
      <x:c r="G1220" s="4" t="str">
        <x:f>IFERROR(INDEX('Material routes'!$F$6:$F$2205,MATCH(V1220,'Material routes'!$A$6:$A$2205,0)),"MISSING ID")</x:f>
        <x:v>Not applicable</x:v>
      </x:c>
      <x:c r="H1220" s="4" t="str">
        <x:f>IFERROR(INDEX('Material routes'!$H$6:$H$2205,MATCH(V1220,'Material routes'!$A$6:$A$2205,0)),"MISSING ID")</x:f>
        <x:v>Armor</x:v>
      </x:c>
      <x:c r="I1220" s="4" t="str">
        <x:f>IFERROR(INDEX('Material routes'!$G$6:$G$2205,MATCH(V1220,'Material routes'!$A$6:$A$2205,0)),"MISSING ID")</x:f>
        <x:v>Legger armor</x:v>
      </x:c>
      <x:c r="J1220" s="4" t="str">
        <x:f>IFERROR(INDEX('Material routes'!$B$6:$B$2205,MATCH(U1220,'Material routes'!$A$6:$A$2205,0)),"MISSING ID")</x:f>
        <x:v>design.audit.proposal_legger_edge_guard</x:v>
      </x:c>
      <x:c r="K1220" s="4" t="str">
        <x:f>IFERROR(INDEX('Crafting recipes'!$C$6:$C$1005,MATCH(J1220,'Crafting recipes'!$A$6:$A$1005,0)),"MISSING ID")</x:f>
        <x:v>Finished-item crafting</x:v>
      </x:c>
      <x:c r="L1220" s="4" t="str">
        <x:f>IFERROR(INDEX('Material routes'!$K$6:$K$2205,MATCH(U1220,'Material routes'!$A$6:$A$2205,0)),"MISSING ID")</x:f>
        <x:v>Proposal</x:v>
      </x:c>
      <x:c r="M1220" s="4" t="str">
        <x:f>IFERROR(INDEX('Material routes'!$M$6:$M$2205,MATCH(U1220,'Material routes'!$A$6:$A$2205,0)),"MISSING ID")</x:f>
        <x:v>Partial proposal</x:v>
      </x:c>
      <x:c r="N1220" s="4"/>
      <x:c r="O1220" s="4" t="str">
        <x:f>IFERROR(INDEX('Material routes'!$J$6:$J$2205,MATCH(U1220,'Material routes'!$A$6:$A$2205,0)),"MISSING ID")</x:f>
        <x:v>Unspecified</x:v>
      </x:c>
      <x:c r="P1220" s="4"/>
      <x:c r="Q1220" s="4" t="str">
        <x:f>IFERROR(INDEX('Material routes'!$J$6:$J$2205,MATCH(V1220,'Material routes'!$A$6:$A$2205,0)),"MISSING ID")</x:f>
        <x:v>Unspecified</x:v>
      </x:c>
      <x:c r="R1220" s="4" t="str">
        <x:f>IF(L1220="Withheld","Withheld premise",IF(E1220="Tool candidate","Reusable prerequisite",IF(K1220="Raw entry preparation","Entry-resource preparation",IF(G1220="Not applicable",IF(IFERROR(INDEX('Items'!$AI$6:$AI$1005,MATCH(T1220,'Items'!$A$6:$A$1005,0)),"MISSING ID")="Finished item","Finished endpoint",IF(IFERROR(INDEX('Items'!$AI$6:$AI$1005,MATCH(T1220,'Items'!$A$6:$A$1005,0)),"MISSING ID")="Currency","Currency / no refinement tier","Recovered output / tier not applicable")),IF(OR(IFERROR(INDEX('Crafting recipes'!$H$6:$H$1005,MATCH(J1220,'Crafting recipes'!$A$6:$A$1005,0)),"MISSING ID")="Unassigned",G1220="Unassigned"),"Tier unresolved",IF(IFERROR(VALUE(RIGHT(G1220,1))-VALUE(RIGHT(IFERROR(INDEX('Crafting recipes'!$H$6:$H$1005,MATCH(J1220,'Crafting recipes'!$A$6:$A$1005,0)),"MISSING ID"),1)),0)=1,IF(B1220=IFERROR(INDEX('Crafting recipes'!$H$6:$H$1005,MATCH(J1220,'Crafting recipes'!$A$6:$A$1005,0)),"MISSING ID"),"Advances one material tier","Lower-tier ingredient; route advances one tier"),"Needs tier review"))))))</x:f>
        <x:v>Finished endpoint</x:v>
      </x:c>
      <x:c r="S1220" s="4" t="str">
        <x:f>IFERROR(INDEX('Material routes'!$D$6:$D$2205,MATCH(U1220,'Material routes'!$A$6:$A$2205,0)),"MISSING ID")</x:f>
        <x:v>proposal.lore.fastener_set</x:v>
      </x:c>
      <x:c r="T1220" s="4" t="str">
        <x:f>IFERROR(INDEX('Material routes'!$D$6:$D$2205,MATCH(V1220,'Material routes'!$A$6:$A$2205,0)),"MISSING ID")</x:f>
        <x:v>proposal.legger.edge_guard</x:v>
      </x:c>
      <x:c r="U1220" s="4" t="str">
        <x:v>design.audit.proposal_legger_edge_guard.audit.in.2</x:v>
      </x:c>
      <x:c r="V1220" s="4" t="str">
        <x:v>design.audit.proposal_legger_edge_guard.audit.out</x:v>
      </x:c>
    </x:row>
    <x:row r="1221" ht="64" customHeight="1">
      <x:c r="A1221" s="4" t="str">
        <x:f>IFERROR(INDEX('Material routes'!$E$6:$E$2205,MATCH(U1221,'Material routes'!$A$6:$A$2205,0)),"MISSING ID")</x:f>
        <x:v>Husk-reinforced packing stock</x:v>
      </x:c>
      <x:c r="B1221" s="4" t="str">
        <x:f>IFERROR(INDEX('Material routes'!$F$6:$F$2205,MATCH(U1221,'Material routes'!$A$6:$A$2205,0)),"MISSING ID")</x:f>
        <x:v>T3</x:v>
      </x:c>
      <x:c r="C1221" s="4" t="str">
        <x:f>IFERROR(INDEX('Material routes'!$H$6:$H$2205,MATCH(U1221,'Material routes'!$A$6:$A$2205,0)),"MISSING ID")</x:f>
        <x:v>Processed material</x:v>
      </x:c>
      <x:c r="D1221" s="4" t="str">
        <x:f>IFERROR(INDEX('Material routes'!$G$6:$G$2205,MATCH(U1221,'Material routes'!$A$6:$A$2205,0)),"MISSING ID")</x:f>
        <x:v>Manufactured stock</x:v>
      </x:c>
      <x:c r="E1221" s="4" t="str">
        <x:f>IFERROR(INDEX('Material routes'!$C$6:$C$2205,MATCH(U1221,'Material routes'!$A$6:$A$2205,0)),"MISSING ID")</x:f>
        <x:v>Ingredient candidate</x:v>
      </x:c>
      <x:c r="F1221" s="4" t="str">
        <x:f>IFERROR(INDEX('Material routes'!$E$6:$E$2205,MATCH(V1221,'Material routes'!$A$6:$A$2205,0)),"MISSING ID")</x:f>
        <x:v>Chassis leading-edge guard</x:v>
      </x:c>
      <x:c r="G1221" s="4" t="str">
        <x:f>IFERROR(INDEX('Material routes'!$F$6:$F$2205,MATCH(V1221,'Material routes'!$A$6:$A$2205,0)),"MISSING ID")</x:f>
        <x:v>Not applicable</x:v>
      </x:c>
      <x:c r="H1221" s="4" t="str">
        <x:f>IFERROR(INDEX('Material routes'!$H$6:$H$2205,MATCH(V1221,'Material routes'!$A$6:$A$2205,0)),"MISSING ID")</x:f>
        <x:v>Armor</x:v>
      </x:c>
      <x:c r="I1221" s="4" t="str">
        <x:f>IFERROR(INDEX('Material routes'!$G$6:$G$2205,MATCH(V1221,'Material routes'!$A$6:$A$2205,0)),"MISSING ID")</x:f>
        <x:v>Legger armor</x:v>
      </x:c>
      <x:c r="J1221" s="4" t="str">
        <x:f>IFERROR(INDEX('Material routes'!$B$6:$B$2205,MATCH(U1221,'Material routes'!$A$6:$A$2205,0)),"MISSING ID")</x:f>
        <x:v>design.audit.proposal_legger_edge_guard</x:v>
      </x:c>
      <x:c r="K1221" s="4" t="str">
        <x:f>IFERROR(INDEX('Crafting recipes'!$C$6:$C$1005,MATCH(J1221,'Crafting recipes'!$A$6:$A$1005,0)),"MISSING ID")</x:f>
        <x:v>Finished-item crafting</x:v>
      </x:c>
      <x:c r="L1221" s="4" t="str">
        <x:f>IFERROR(INDEX('Material routes'!$K$6:$K$2205,MATCH(U1221,'Material routes'!$A$6:$A$2205,0)),"MISSING ID")</x:f>
        <x:v>Proposal</x:v>
      </x:c>
      <x:c r="M1221" s="4" t="str">
        <x:f>IFERROR(INDEX('Material routes'!$M$6:$M$2205,MATCH(U1221,'Material routes'!$A$6:$A$2205,0)),"MISSING ID")</x:f>
        <x:v>Partial proposal</x:v>
      </x:c>
      <x:c r="N1221" s="4"/>
      <x:c r="O1221" s="4" t="str">
        <x:f>IFERROR(INDEX('Material routes'!$J$6:$J$2205,MATCH(U1221,'Material routes'!$A$6:$A$2205,0)),"MISSING ID")</x:f>
        <x:v>Unspecified</x:v>
      </x:c>
      <x:c r="P1221" s="4"/>
      <x:c r="Q1221" s="4" t="str">
        <x:f>IFERROR(INDEX('Material routes'!$J$6:$J$2205,MATCH(V1221,'Material routes'!$A$6:$A$2205,0)),"MISSING ID")</x:f>
        <x:v>Unspecified</x:v>
      </x:c>
      <x:c r="R1221" s="4" t="str">
        <x:f>IF(L1221="Withheld","Withheld premise",IF(E1221="Tool candidate","Reusable prerequisite",IF(K1221="Raw entry preparation","Entry-resource preparation",IF(G1221="Not applicable",IF(IFERROR(INDEX('Items'!$AI$6:$AI$1005,MATCH(T1221,'Items'!$A$6:$A$1005,0)),"MISSING ID")="Finished item","Finished endpoint",IF(IFERROR(INDEX('Items'!$AI$6:$AI$1005,MATCH(T1221,'Items'!$A$6:$A$1005,0)),"MISSING ID")="Currency","Currency / no refinement tier","Recovered output / tier not applicable")),IF(OR(IFERROR(INDEX('Crafting recipes'!$H$6:$H$1005,MATCH(J1221,'Crafting recipes'!$A$6:$A$1005,0)),"MISSING ID")="Unassigned",G1221="Unassigned"),"Tier unresolved",IF(IFERROR(VALUE(RIGHT(G1221,1))-VALUE(RIGHT(IFERROR(INDEX('Crafting recipes'!$H$6:$H$1005,MATCH(J1221,'Crafting recipes'!$A$6:$A$1005,0)),"MISSING ID"),1)),0)=1,IF(B1221=IFERROR(INDEX('Crafting recipes'!$H$6:$H$1005,MATCH(J1221,'Crafting recipes'!$A$6:$A$1005,0)),"MISSING ID"),"Advances one material tier","Lower-tier ingredient; route advances one tier"),"Needs tier review"))))))</x:f>
        <x:v>Finished endpoint</x:v>
      </x:c>
      <x:c r="S1221" s="4" t="str">
        <x:f>IFERROR(INDEX('Material routes'!$D$6:$D$2205,MATCH(U1221,'Material routes'!$A$6:$A$2205,0)),"MISSING ID")</x:f>
        <x:v>proposal.t3.packing_stock</x:v>
      </x:c>
      <x:c r="T1221" s="4" t="str">
        <x:f>IFERROR(INDEX('Material routes'!$D$6:$D$2205,MATCH(V1221,'Material routes'!$A$6:$A$2205,0)),"MISSING ID")</x:f>
        <x:v>proposal.legger.edge_guard</x:v>
      </x:c>
      <x:c r="U1221" s="4" t="str">
        <x:v>design.audit.proposal_legger_edge_guard.audit.in.3</x:v>
      </x:c>
      <x:c r="V1221" s="4" t="str">
        <x:v>design.audit.proposal_legger_edge_guard.audit.out</x:v>
      </x:c>
    </x:row>
    <x:row r="1222" ht="64" customHeight="1">
      <x:c r="A1222" s="4" t="str">
        <x:f>IFERROR(INDEX('Material routes'!$E$6:$E$2205,MATCH(U1222,'Material routes'!$A$6:$A$2205,0)),"MISSING ID")</x:f>
        <x:v>Steel stock</x:v>
      </x:c>
      <x:c r="B1222" s="4" t="str">
        <x:f>IFERROR(INDEX('Material routes'!$F$6:$F$2205,MATCH(U1222,'Material routes'!$A$6:$A$2205,0)),"MISSING ID")</x:f>
        <x:v>T2</x:v>
      </x:c>
      <x:c r="C1222" s="4" t="str">
        <x:f>IFERROR(INDEX('Material routes'!$H$6:$H$2205,MATCH(U1222,'Material routes'!$A$6:$A$2205,0)),"MISSING ID")</x:f>
        <x:v>Processed material</x:v>
      </x:c>
      <x:c r="D1222" s="4" t="str">
        <x:f>IFERROR(INDEX('Material routes'!$G$6:$G$2205,MATCH(U1222,'Material routes'!$A$6:$A$2205,0)),"MISSING ID")</x:f>
        <x:v>Manufactured stock</x:v>
      </x:c>
      <x:c r="E1222" s="4" t="str">
        <x:f>IFERROR(INDEX('Material routes'!$C$6:$C$2205,MATCH(U1222,'Material routes'!$A$6:$A$2205,0)),"MISSING ID")</x:f>
        <x:v>Ingredient candidate</x:v>
      </x:c>
      <x:c r="F1222" s="4" t="str">
        <x:f>IFERROR(INDEX('Material routes'!$E$6:$E$2205,MATCH(V1222,'Material routes'!$A$6:$A$2205,0)),"MISSING ID")</x:f>
        <x:v>Instrument-face guard</x:v>
      </x:c>
      <x:c r="G1222" s="4" t="str">
        <x:f>IFERROR(INDEX('Material routes'!$F$6:$F$2205,MATCH(V1222,'Material routes'!$A$6:$A$2205,0)),"MISSING ID")</x:f>
        <x:v>Not applicable</x:v>
      </x:c>
      <x:c r="H1222" s="4" t="str">
        <x:f>IFERROR(INDEX('Material routes'!$H$6:$H$2205,MATCH(V1222,'Material routes'!$A$6:$A$2205,0)),"MISSING ID")</x:f>
        <x:v>Armor</x:v>
      </x:c>
      <x:c r="I1222" s="4" t="str">
        <x:f>IFERROR(INDEX('Material routes'!$G$6:$G$2205,MATCH(V1222,'Material routes'!$A$6:$A$2205,0)),"MISSING ID")</x:f>
        <x:v>Legger armor</x:v>
      </x:c>
      <x:c r="J1222" s="4" t="str">
        <x:f>IFERROR(INDEX('Material routes'!$B$6:$B$2205,MATCH(U1222,'Material routes'!$A$6:$A$2205,0)),"MISSING ID")</x:f>
        <x:v>design.audit.proposal_legger_instrument_guard</x:v>
      </x:c>
      <x:c r="K1222" s="4" t="str">
        <x:f>IFERROR(INDEX('Crafting recipes'!$C$6:$C$1005,MATCH(J1222,'Crafting recipes'!$A$6:$A$1005,0)),"MISSING ID")</x:f>
        <x:v>Finished-item crafting</x:v>
      </x:c>
      <x:c r="L1222" s="4" t="str">
        <x:f>IFERROR(INDEX('Material routes'!$K$6:$K$2205,MATCH(U1222,'Material routes'!$A$6:$A$2205,0)),"MISSING ID")</x:f>
        <x:v>Proposal</x:v>
      </x:c>
      <x:c r="M1222" s="4" t="str">
        <x:f>IFERROR(INDEX('Material routes'!$M$6:$M$2205,MATCH(U1222,'Material routes'!$A$6:$A$2205,0)),"MISSING ID")</x:f>
        <x:v>Partial proposal</x:v>
      </x:c>
      <x:c r="N1222" s="4"/>
      <x:c r="O1222" s="4" t="str">
        <x:f>IFERROR(INDEX('Material routes'!$J$6:$J$2205,MATCH(U1222,'Material routes'!$A$6:$A$2205,0)),"MISSING ID")</x:f>
        <x:v>Unspecified</x:v>
      </x:c>
      <x:c r="P1222" s="4"/>
      <x:c r="Q1222" s="4" t="str">
        <x:f>IFERROR(INDEX('Material routes'!$J$6:$J$2205,MATCH(V1222,'Material routes'!$A$6:$A$2205,0)),"MISSING ID")</x:f>
        <x:v>Unspecified</x:v>
      </x:c>
      <x:c r="R1222" s="4" t="str">
        <x:f>IF(L1222="Withheld","Withheld premise",IF(E1222="Tool candidate","Reusable prerequisite",IF(K1222="Raw entry preparation","Entry-resource preparation",IF(G1222="Not applicable",IF(IFERROR(INDEX('Items'!$AI$6:$AI$1005,MATCH(T1222,'Items'!$A$6:$A$1005,0)),"MISSING ID")="Finished item","Finished endpoint",IF(IFERROR(INDEX('Items'!$AI$6:$AI$1005,MATCH(T1222,'Items'!$A$6:$A$1005,0)),"MISSING ID")="Currency","Currency / no refinement tier","Recovered output / tier not applicable")),IF(OR(IFERROR(INDEX('Crafting recipes'!$H$6:$H$1005,MATCH(J1222,'Crafting recipes'!$A$6:$A$1005,0)),"MISSING ID")="Unassigned",G1222="Unassigned"),"Tier unresolved",IF(IFERROR(VALUE(RIGHT(G1222,1))-VALUE(RIGHT(IFERROR(INDEX('Crafting recipes'!$H$6:$H$1005,MATCH(J1222,'Crafting recipes'!$A$6:$A$1005,0)),"MISSING ID"),1)),0)=1,IF(B1222=IFERROR(INDEX('Crafting recipes'!$H$6:$H$1005,MATCH(J1222,'Crafting recipes'!$A$6:$A$1005,0)),"MISSING ID"),"Advances one material tier","Lower-tier ingredient; route advances one tier"),"Needs tier review"))))))</x:f>
        <x:v>Finished endpoint</x:v>
      </x:c>
      <x:c r="S1222" s="4" t="str">
        <x:f>IFERROR(INDEX('Material routes'!$D$6:$D$2205,MATCH(U1222,'Material routes'!$A$6:$A$2205,0)),"MISSING ID")</x:f>
        <x:v>author.metallurgy.steel_stock</x:v>
      </x:c>
      <x:c r="T1222" s="4" t="str">
        <x:f>IFERROR(INDEX('Material routes'!$D$6:$D$2205,MATCH(V1222,'Material routes'!$A$6:$A$2205,0)),"MISSING ID")</x:f>
        <x:v>proposal.legger.instrument_guard</x:v>
      </x:c>
      <x:c r="U1222" s="4" t="str">
        <x:v>design.audit.proposal_legger_instrument_guard.audit.in.1</x:v>
      </x:c>
      <x:c r="V1222" s="4" t="str">
        <x:v>design.audit.proposal_legger_instrument_guard.audit.out</x:v>
      </x:c>
    </x:row>
    <x:row r="1223" ht="64" customHeight="1">
      <x:c r="A1223" s="4" t="str">
        <x:f>IFERROR(INDEX('Material routes'!$E$6:$E$2205,MATCH(U1223,'Material routes'!$A$6:$A$2205,0)),"MISSING ID")</x:f>
        <x:v>Matched metal fastener set</x:v>
      </x:c>
      <x:c r="B1223" s="4" t="str">
        <x:f>IFERROR(INDEX('Material routes'!$F$6:$F$2205,MATCH(U1223,'Material routes'!$A$6:$A$2205,0)),"MISSING ID")</x:f>
        <x:v>T3</x:v>
      </x:c>
      <x:c r="C1223" s="4" t="str">
        <x:f>IFERROR(INDEX('Material routes'!$H$6:$H$2205,MATCH(U1223,'Material routes'!$A$6:$A$2205,0)),"MISSING ID")</x:f>
        <x:v>Crafting component</x:v>
      </x:c>
      <x:c r="D1223" s="4" t="str">
        <x:f>IFERROR(INDEX('Material routes'!$G$6:$G$2205,MATCH(U1223,'Material routes'!$A$6:$A$2205,0)),"MISSING ID")</x:f>
        <x:v>Crafting components</x:v>
      </x:c>
      <x:c r="E1223" s="4" t="str">
        <x:f>IFERROR(INDEX('Material routes'!$C$6:$C$2205,MATCH(U1223,'Material routes'!$A$6:$A$2205,0)),"MISSING ID")</x:f>
        <x:v>Ingredient candidate</x:v>
      </x:c>
      <x:c r="F1223" s="4" t="str">
        <x:f>IFERROR(INDEX('Material routes'!$E$6:$E$2205,MATCH(V1223,'Material routes'!$A$6:$A$2205,0)),"MISSING ID")</x:f>
        <x:v>Instrument-face guard</x:v>
      </x:c>
      <x:c r="G1223" s="4" t="str">
        <x:f>IFERROR(INDEX('Material routes'!$F$6:$F$2205,MATCH(V1223,'Material routes'!$A$6:$A$2205,0)),"MISSING ID")</x:f>
        <x:v>Not applicable</x:v>
      </x:c>
      <x:c r="H1223" s="4" t="str">
        <x:f>IFERROR(INDEX('Material routes'!$H$6:$H$2205,MATCH(V1223,'Material routes'!$A$6:$A$2205,0)),"MISSING ID")</x:f>
        <x:v>Armor</x:v>
      </x:c>
      <x:c r="I1223" s="4" t="str">
        <x:f>IFERROR(INDEX('Material routes'!$G$6:$G$2205,MATCH(V1223,'Material routes'!$A$6:$A$2205,0)),"MISSING ID")</x:f>
        <x:v>Legger armor</x:v>
      </x:c>
      <x:c r="J1223" s="4" t="str">
        <x:f>IFERROR(INDEX('Material routes'!$B$6:$B$2205,MATCH(U1223,'Material routes'!$A$6:$A$2205,0)),"MISSING ID")</x:f>
        <x:v>design.audit.proposal_legger_instrument_guard</x:v>
      </x:c>
      <x:c r="K1223" s="4" t="str">
        <x:f>IFERROR(INDEX('Crafting recipes'!$C$6:$C$1005,MATCH(J1223,'Crafting recipes'!$A$6:$A$1005,0)),"MISSING ID")</x:f>
        <x:v>Finished-item crafting</x:v>
      </x:c>
      <x:c r="L1223" s="4" t="str">
        <x:f>IFERROR(INDEX('Material routes'!$K$6:$K$2205,MATCH(U1223,'Material routes'!$A$6:$A$2205,0)),"MISSING ID")</x:f>
        <x:v>Proposal</x:v>
      </x:c>
      <x:c r="M1223" s="4" t="str">
        <x:f>IFERROR(INDEX('Material routes'!$M$6:$M$2205,MATCH(U1223,'Material routes'!$A$6:$A$2205,0)),"MISSING ID")</x:f>
        <x:v>Partial proposal</x:v>
      </x:c>
      <x:c r="N1223" s="4"/>
      <x:c r="O1223" s="4" t="str">
        <x:f>IFERROR(INDEX('Material routes'!$J$6:$J$2205,MATCH(U1223,'Material routes'!$A$6:$A$2205,0)),"MISSING ID")</x:f>
        <x:v>Unspecified</x:v>
      </x:c>
      <x:c r="P1223" s="4"/>
      <x:c r="Q1223" s="4" t="str">
        <x:f>IFERROR(INDEX('Material routes'!$J$6:$J$2205,MATCH(V1223,'Material routes'!$A$6:$A$2205,0)),"MISSING ID")</x:f>
        <x:v>Unspecified</x:v>
      </x:c>
      <x:c r="R1223" s="4" t="str">
        <x:f>IF(L1223="Withheld","Withheld premise",IF(E1223="Tool candidate","Reusable prerequisite",IF(K1223="Raw entry preparation","Entry-resource preparation",IF(G1223="Not applicable",IF(IFERROR(INDEX('Items'!$AI$6:$AI$1005,MATCH(T1223,'Items'!$A$6:$A$1005,0)),"MISSING ID")="Finished item","Finished endpoint",IF(IFERROR(INDEX('Items'!$AI$6:$AI$1005,MATCH(T1223,'Items'!$A$6:$A$1005,0)),"MISSING ID")="Currency","Currency / no refinement tier","Recovered output / tier not applicable")),IF(OR(IFERROR(INDEX('Crafting recipes'!$H$6:$H$1005,MATCH(J1223,'Crafting recipes'!$A$6:$A$1005,0)),"MISSING ID")="Unassigned",G1223="Unassigned"),"Tier unresolved",IF(IFERROR(VALUE(RIGHT(G1223,1))-VALUE(RIGHT(IFERROR(INDEX('Crafting recipes'!$H$6:$H$1005,MATCH(J1223,'Crafting recipes'!$A$6:$A$1005,0)),"MISSING ID"),1)),0)=1,IF(B1223=IFERROR(INDEX('Crafting recipes'!$H$6:$H$1005,MATCH(J1223,'Crafting recipes'!$A$6:$A$1005,0)),"MISSING ID"),"Advances one material tier","Lower-tier ingredient; route advances one tier"),"Needs tier review"))))))</x:f>
        <x:v>Finished endpoint</x:v>
      </x:c>
      <x:c r="S1223" s="4" t="str">
        <x:f>IFERROR(INDEX('Material routes'!$D$6:$D$2205,MATCH(U1223,'Material routes'!$A$6:$A$2205,0)),"MISSING ID")</x:f>
        <x:v>proposal.lore.fastener_set</x:v>
      </x:c>
      <x:c r="T1223" s="4" t="str">
        <x:f>IFERROR(INDEX('Material routes'!$D$6:$D$2205,MATCH(V1223,'Material routes'!$A$6:$A$2205,0)),"MISSING ID")</x:f>
        <x:v>proposal.legger.instrument_guard</x:v>
      </x:c>
      <x:c r="U1223" s="4" t="str">
        <x:v>design.audit.proposal_legger_instrument_guard.audit.in.2</x:v>
      </x:c>
      <x:c r="V1223" s="4" t="str">
        <x:v>design.audit.proposal_legger_instrument_guard.audit.out</x:v>
      </x:c>
    </x:row>
    <x:row r="1224" ht="64" customHeight="1">
      <x:c r="A1224" s="4" t="str">
        <x:f>IFERROR(INDEX('Material routes'!$E$6:$E$2205,MATCH(U1224,'Material routes'!$A$6:$A$2205,0)),"MISSING ID")</x:f>
        <x:v>Husk-reinforced packing stock</x:v>
      </x:c>
      <x:c r="B1224" s="4" t="str">
        <x:f>IFERROR(INDEX('Material routes'!$F$6:$F$2205,MATCH(U1224,'Material routes'!$A$6:$A$2205,0)),"MISSING ID")</x:f>
        <x:v>T3</x:v>
      </x:c>
      <x:c r="C1224" s="4" t="str">
        <x:f>IFERROR(INDEX('Material routes'!$H$6:$H$2205,MATCH(U1224,'Material routes'!$A$6:$A$2205,0)),"MISSING ID")</x:f>
        <x:v>Processed material</x:v>
      </x:c>
      <x:c r="D1224" s="4" t="str">
        <x:f>IFERROR(INDEX('Material routes'!$G$6:$G$2205,MATCH(U1224,'Material routes'!$A$6:$A$2205,0)),"MISSING ID")</x:f>
        <x:v>Manufactured stock</x:v>
      </x:c>
      <x:c r="E1224" s="4" t="str">
        <x:f>IFERROR(INDEX('Material routes'!$C$6:$C$2205,MATCH(U1224,'Material routes'!$A$6:$A$2205,0)),"MISSING ID")</x:f>
        <x:v>Ingredient candidate</x:v>
      </x:c>
      <x:c r="F1224" s="4" t="str">
        <x:f>IFERROR(INDEX('Material routes'!$E$6:$E$2205,MATCH(V1224,'Material routes'!$A$6:$A$2205,0)),"MISSING ID")</x:f>
        <x:v>Instrument-face guard</x:v>
      </x:c>
      <x:c r="G1224" s="4" t="str">
        <x:f>IFERROR(INDEX('Material routes'!$F$6:$F$2205,MATCH(V1224,'Material routes'!$A$6:$A$2205,0)),"MISSING ID")</x:f>
        <x:v>Not applicable</x:v>
      </x:c>
      <x:c r="H1224" s="4" t="str">
        <x:f>IFERROR(INDEX('Material routes'!$H$6:$H$2205,MATCH(V1224,'Material routes'!$A$6:$A$2205,0)),"MISSING ID")</x:f>
        <x:v>Armor</x:v>
      </x:c>
      <x:c r="I1224" s="4" t="str">
        <x:f>IFERROR(INDEX('Material routes'!$G$6:$G$2205,MATCH(V1224,'Material routes'!$A$6:$A$2205,0)),"MISSING ID")</x:f>
        <x:v>Legger armor</x:v>
      </x:c>
      <x:c r="J1224" s="4" t="str">
        <x:f>IFERROR(INDEX('Material routes'!$B$6:$B$2205,MATCH(U1224,'Material routes'!$A$6:$A$2205,0)),"MISSING ID")</x:f>
        <x:v>design.audit.proposal_legger_instrument_guard</x:v>
      </x:c>
      <x:c r="K1224" s="4" t="str">
        <x:f>IFERROR(INDEX('Crafting recipes'!$C$6:$C$1005,MATCH(J1224,'Crafting recipes'!$A$6:$A$1005,0)),"MISSING ID")</x:f>
        <x:v>Finished-item crafting</x:v>
      </x:c>
      <x:c r="L1224" s="4" t="str">
        <x:f>IFERROR(INDEX('Material routes'!$K$6:$K$2205,MATCH(U1224,'Material routes'!$A$6:$A$2205,0)),"MISSING ID")</x:f>
        <x:v>Proposal</x:v>
      </x:c>
      <x:c r="M1224" s="4" t="str">
        <x:f>IFERROR(INDEX('Material routes'!$M$6:$M$2205,MATCH(U1224,'Material routes'!$A$6:$A$2205,0)),"MISSING ID")</x:f>
        <x:v>Partial proposal</x:v>
      </x:c>
      <x:c r="N1224" s="4"/>
      <x:c r="O1224" s="4" t="str">
        <x:f>IFERROR(INDEX('Material routes'!$J$6:$J$2205,MATCH(U1224,'Material routes'!$A$6:$A$2205,0)),"MISSING ID")</x:f>
        <x:v>Unspecified</x:v>
      </x:c>
      <x:c r="P1224" s="4"/>
      <x:c r="Q1224" s="4" t="str">
        <x:f>IFERROR(INDEX('Material routes'!$J$6:$J$2205,MATCH(V1224,'Material routes'!$A$6:$A$2205,0)),"MISSING ID")</x:f>
        <x:v>Unspecified</x:v>
      </x:c>
      <x:c r="R1224" s="4" t="str">
        <x:f>IF(L1224="Withheld","Withheld premise",IF(E1224="Tool candidate","Reusable prerequisite",IF(K1224="Raw entry preparation","Entry-resource preparation",IF(G1224="Not applicable",IF(IFERROR(INDEX('Items'!$AI$6:$AI$1005,MATCH(T1224,'Items'!$A$6:$A$1005,0)),"MISSING ID")="Finished item","Finished endpoint",IF(IFERROR(INDEX('Items'!$AI$6:$AI$1005,MATCH(T1224,'Items'!$A$6:$A$1005,0)),"MISSING ID")="Currency","Currency / no refinement tier","Recovered output / tier not applicable")),IF(OR(IFERROR(INDEX('Crafting recipes'!$H$6:$H$1005,MATCH(J1224,'Crafting recipes'!$A$6:$A$1005,0)),"MISSING ID")="Unassigned",G1224="Unassigned"),"Tier unresolved",IF(IFERROR(VALUE(RIGHT(G1224,1))-VALUE(RIGHT(IFERROR(INDEX('Crafting recipes'!$H$6:$H$1005,MATCH(J1224,'Crafting recipes'!$A$6:$A$1005,0)),"MISSING ID"),1)),0)=1,IF(B1224=IFERROR(INDEX('Crafting recipes'!$H$6:$H$1005,MATCH(J1224,'Crafting recipes'!$A$6:$A$1005,0)),"MISSING ID"),"Advances one material tier","Lower-tier ingredient; route advances one tier"),"Needs tier review"))))))</x:f>
        <x:v>Finished endpoint</x:v>
      </x:c>
      <x:c r="S1224" s="4" t="str">
        <x:f>IFERROR(INDEX('Material routes'!$D$6:$D$2205,MATCH(U1224,'Material routes'!$A$6:$A$2205,0)),"MISSING ID")</x:f>
        <x:v>proposal.t3.packing_stock</x:v>
      </x:c>
      <x:c r="T1224" s="4" t="str">
        <x:f>IFERROR(INDEX('Material routes'!$D$6:$D$2205,MATCH(V1224,'Material routes'!$A$6:$A$2205,0)),"MISSING ID")</x:f>
        <x:v>proposal.legger.instrument_guard</x:v>
      </x:c>
      <x:c r="U1224" s="4" t="str">
        <x:v>design.audit.proposal_legger_instrument_guard.audit.in.3</x:v>
      </x:c>
      <x:c r="V1224" s="4" t="str">
        <x:v>design.audit.proposal_legger_instrument_guard.audit.out</x:v>
      </x:c>
    </x:row>
    <x:row r="1225" ht="64" customHeight="1">
      <x:c r="A1225" s="4" t="str">
        <x:f>IFERROR(INDEX('Material routes'!$E$6:$E$2205,MATCH(U1225,'Material routes'!$A$6:$A$2205,0)),"MISSING ID")</x:f>
        <x:v>Steel stock</x:v>
      </x:c>
      <x:c r="B1225" s="4" t="str">
        <x:f>IFERROR(INDEX('Material routes'!$F$6:$F$2205,MATCH(U1225,'Material routes'!$A$6:$A$2205,0)),"MISSING ID")</x:f>
        <x:v>T2</x:v>
      </x:c>
      <x:c r="C1225" s="4" t="str">
        <x:f>IFERROR(INDEX('Material routes'!$H$6:$H$2205,MATCH(U1225,'Material routes'!$A$6:$A$2205,0)),"MISSING ID")</x:f>
        <x:v>Processed material</x:v>
      </x:c>
      <x:c r="D1225" s="4" t="str">
        <x:f>IFERROR(INDEX('Material routes'!$G$6:$G$2205,MATCH(U1225,'Material routes'!$A$6:$A$2205,0)),"MISSING ID")</x:f>
        <x:v>Manufactured stock</x:v>
      </x:c>
      <x:c r="E1225" s="4" t="str">
        <x:f>IFERROR(INDEX('Material routes'!$C$6:$C$2205,MATCH(U1225,'Material routes'!$A$6:$A$2205,0)),"MISSING ID")</x:f>
        <x:v>Ingredient candidate</x:v>
      </x:c>
      <x:c r="F1225" s="4" t="str">
        <x:f>IFERROR(INDEX('Material routes'!$E$6:$E$2205,MATCH(V1225,'Material routes'!$A$6:$A$2205,0)),"MISSING ID")</x:f>
        <x:v>Armor seam-cover strip</x:v>
      </x:c>
      <x:c r="G1225" s="4" t="str">
        <x:f>IFERROR(INDEX('Material routes'!$F$6:$F$2205,MATCH(V1225,'Material routes'!$A$6:$A$2205,0)),"MISSING ID")</x:f>
        <x:v>Not applicable</x:v>
      </x:c>
      <x:c r="H1225" s="4" t="str">
        <x:f>IFERROR(INDEX('Material routes'!$H$6:$H$2205,MATCH(V1225,'Material routes'!$A$6:$A$2205,0)),"MISSING ID")</x:f>
        <x:v>Armor</x:v>
      </x:c>
      <x:c r="I1225" s="4" t="str">
        <x:f>IFERROR(INDEX('Material routes'!$G$6:$G$2205,MATCH(V1225,'Material routes'!$A$6:$A$2205,0)),"MISSING ID")</x:f>
        <x:v>Legger attachments</x:v>
      </x:c>
      <x:c r="J1225" s="4" t="str">
        <x:f>IFERROR(INDEX('Material routes'!$B$6:$B$2205,MATCH(U1225,'Material routes'!$A$6:$A$2205,0)),"MISSING ID")</x:f>
        <x:v>design.audit.proposal_legger_seam_guard</x:v>
      </x:c>
      <x:c r="K1225" s="4" t="str">
        <x:f>IFERROR(INDEX('Crafting recipes'!$C$6:$C$1005,MATCH(J1225,'Crafting recipes'!$A$6:$A$1005,0)),"MISSING ID")</x:f>
        <x:v>Finished-item crafting</x:v>
      </x:c>
      <x:c r="L1225" s="4" t="str">
        <x:f>IFERROR(INDEX('Material routes'!$K$6:$K$2205,MATCH(U1225,'Material routes'!$A$6:$A$2205,0)),"MISSING ID")</x:f>
        <x:v>Proposal</x:v>
      </x:c>
      <x:c r="M1225" s="4" t="str">
        <x:f>IFERROR(INDEX('Material routes'!$M$6:$M$2205,MATCH(U1225,'Material routes'!$A$6:$A$2205,0)),"MISSING ID")</x:f>
        <x:v>Partial proposal</x:v>
      </x:c>
      <x:c r="N1225" s="4"/>
      <x:c r="O1225" s="4" t="str">
        <x:f>IFERROR(INDEX('Material routes'!$J$6:$J$2205,MATCH(U1225,'Material routes'!$A$6:$A$2205,0)),"MISSING ID")</x:f>
        <x:v>Unspecified</x:v>
      </x:c>
      <x:c r="P1225" s="4"/>
      <x:c r="Q1225" s="4" t="str">
        <x:f>IFERROR(INDEX('Material routes'!$J$6:$J$2205,MATCH(V1225,'Material routes'!$A$6:$A$2205,0)),"MISSING ID")</x:f>
        <x:v>Unspecified</x:v>
      </x:c>
      <x:c r="R1225" s="4" t="str">
        <x:f>IF(L1225="Withheld","Withheld premise",IF(E1225="Tool candidate","Reusable prerequisite",IF(K1225="Raw entry preparation","Entry-resource preparation",IF(G1225="Not applicable",IF(IFERROR(INDEX('Items'!$AI$6:$AI$1005,MATCH(T1225,'Items'!$A$6:$A$1005,0)),"MISSING ID")="Finished item","Finished endpoint",IF(IFERROR(INDEX('Items'!$AI$6:$AI$1005,MATCH(T1225,'Items'!$A$6:$A$1005,0)),"MISSING ID")="Currency","Currency / no refinement tier","Recovered output / tier not applicable")),IF(OR(IFERROR(INDEX('Crafting recipes'!$H$6:$H$1005,MATCH(J1225,'Crafting recipes'!$A$6:$A$1005,0)),"MISSING ID")="Unassigned",G1225="Unassigned"),"Tier unresolved",IF(IFERROR(VALUE(RIGHT(G1225,1))-VALUE(RIGHT(IFERROR(INDEX('Crafting recipes'!$H$6:$H$1005,MATCH(J1225,'Crafting recipes'!$A$6:$A$1005,0)),"MISSING ID"),1)),0)=1,IF(B1225=IFERROR(INDEX('Crafting recipes'!$H$6:$H$1005,MATCH(J1225,'Crafting recipes'!$A$6:$A$1005,0)),"MISSING ID"),"Advances one material tier","Lower-tier ingredient; route advances one tier"),"Needs tier review"))))))</x:f>
        <x:v>Finished endpoint</x:v>
      </x:c>
      <x:c r="S1225" s="4" t="str">
        <x:f>IFERROR(INDEX('Material routes'!$D$6:$D$2205,MATCH(U1225,'Material routes'!$A$6:$A$2205,0)),"MISSING ID")</x:f>
        <x:v>author.metallurgy.steel_stock</x:v>
      </x:c>
      <x:c r="T1225" s="4" t="str">
        <x:f>IFERROR(INDEX('Material routes'!$D$6:$D$2205,MATCH(V1225,'Material routes'!$A$6:$A$2205,0)),"MISSING ID")</x:f>
        <x:v>proposal.legger.seam_guard</x:v>
      </x:c>
      <x:c r="U1225" s="4" t="str">
        <x:v>design.audit.proposal_legger_seam_guard.audit.in.1</x:v>
      </x:c>
      <x:c r="V1225" s="4" t="str">
        <x:v>design.audit.proposal_legger_seam_guard.audit.out</x:v>
      </x:c>
    </x:row>
    <x:row r="1226" ht="64" customHeight="1">
      <x:c r="A1226" s="4" t="str">
        <x:f>IFERROR(INDEX('Material routes'!$E$6:$E$2205,MATCH(U1226,'Material routes'!$A$6:$A$2205,0)),"MISSING ID")</x:f>
        <x:v>Matched metal fastener set</x:v>
      </x:c>
      <x:c r="B1226" s="4" t="str">
        <x:f>IFERROR(INDEX('Material routes'!$F$6:$F$2205,MATCH(U1226,'Material routes'!$A$6:$A$2205,0)),"MISSING ID")</x:f>
        <x:v>T3</x:v>
      </x:c>
      <x:c r="C1226" s="4" t="str">
        <x:f>IFERROR(INDEX('Material routes'!$H$6:$H$2205,MATCH(U1226,'Material routes'!$A$6:$A$2205,0)),"MISSING ID")</x:f>
        <x:v>Crafting component</x:v>
      </x:c>
      <x:c r="D1226" s="4" t="str">
        <x:f>IFERROR(INDEX('Material routes'!$G$6:$G$2205,MATCH(U1226,'Material routes'!$A$6:$A$2205,0)),"MISSING ID")</x:f>
        <x:v>Crafting components</x:v>
      </x:c>
      <x:c r="E1226" s="4" t="str">
        <x:f>IFERROR(INDEX('Material routes'!$C$6:$C$2205,MATCH(U1226,'Material routes'!$A$6:$A$2205,0)),"MISSING ID")</x:f>
        <x:v>Ingredient candidate</x:v>
      </x:c>
      <x:c r="F1226" s="4" t="str">
        <x:f>IFERROR(INDEX('Material routes'!$E$6:$E$2205,MATCH(V1226,'Material routes'!$A$6:$A$2205,0)),"MISSING ID")</x:f>
        <x:v>Armor seam-cover strip</x:v>
      </x:c>
      <x:c r="G1226" s="4" t="str">
        <x:f>IFERROR(INDEX('Material routes'!$F$6:$F$2205,MATCH(V1226,'Material routes'!$A$6:$A$2205,0)),"MISSING ID")</x:f>
        <x:v>Not applicable</x:v>
      </x:c>
      <x:c r="H1226" s="4" t="str">
        <x:f>IFERROR(INDEX('Material routes'!$H$6:$H$2205,MATCH(V1226,'Material routes'!$A$6:$A$2205,0)),"MISSING ID")</x:f>
        <x:v>Armor</x:v>
      </x:c>
      <x:c r="I1226" s="4" t="str">
        <x:f>IFERROR(INDEX('Material routes'!$G$6:$G$2205,MATCH(V1226,'Material routes'!$A$6:$A$2205,0)),"MISSING ID")</x:f>
        <x:v>Legger attachments</x:v>
      </x:c>
      <x:c r="J1226" s="4" t="str">
        <x:f>IFERROR(INDEX('Material routes'!$B$6:$B$2205,MATCH(U1226,'Material routes'!$A$6:$A$2205,0)),"MISSING ID")</x:f>
        <x:v>design.audit.proposal_legger_seam_guard</x:v>
      </x:c>
      <x:c r="K1226" s="4" t="str">
        <x:f>IFERROR(INDEX('Crafting recipes'!$C$6:$C$1005,MATCH(J1226,'Crafting recipes'!$A$6:$A$1005,0)),"MISSING ID")</x:f>
        <x:v>Finished-item crafting</x:v>
      </x:c>
      <x:c r="L1226" s="4" t="str">
        <x:f>IFERROR(INDEX('Material routes'!$K$6:$K$2205,MATCH(U1226,'Material routes'!$A$6:$A$2205,0)),"MISSING ID")</x:f>
        <x:v>Proposal</x:v>
      </x:c>
      <x:c r="M1226" s="4" t="str">
        <x:f>IFERROR(INDEX('Material routes'!$M$6:$M$2205,MATCH(U1226,'Material routes'!$A$6:$A$2205,0)),"MISSING ID")</x:f>
        <x:v>Partial proposal</x:v>
      </x:c>
      <x:c r="N1226" s="4"/>
      <x:c r="O1226" s="4" t="str">
        <x:f>IFERROR(INDEX('Material routes'!$J$6:$J$2205,MATCH(U1226,'Material routes'!$A$6:$A$2205,0)),"MISSING ID")</x:f>
        <x:v>Unspecified</x:v>
      </x:c>
      <x:c r="P1226" s="4"/>
      <x:c r="Q1226" s="4" t="str">
        <x:f>IFERROR(INDEX('Material routes'!$J$6:$J$2205,MATCH(V1226,'Material routes'!$A$6:$A$2205,0)),"MISSING ID")</x:f>
        <x:v>Unspecified</x:v>
      </x:c>
      <x:c r="R1226" s="4" t="str">
        <x:f>IF(L1226="Withheld","Withheld premise",IF(E1226="Tool candidate","Reusable prerequisite",IF(K1226="Raw entry preparation","Entry-resource preparation",IF(G1226="Not applicable",IF(IFERROR(INDEX('Items'!$AI$6:$AI$1005,MATCH(T1226,'Items'!$A$6:$A$1005,0)),"MISSING ID")="Finished item","Finished endpoint",IF(IFERROR(INDEX('Items'!$AI$6:$AI$1005,MATCH(T1226,'Items'!$A$6:$A$1005,0)),"MISSING ID")="Currency","Currency / no refinement tier","Recovered output / tier not applicable")),IF(OR(IFERROR(INDEX('Crafting recipes'!$H$6:$H$1005,MATCH(J1226,'Crafting recipes'!$A$6:$A$1005,0)),"MISSING ID")="Unassigned",G1226="Unassigned"),"Tier unresolved",IF(IFERROR(VALUE(RIGHT(G1226,1))-VALUE(RIGHT(IFERROR(INDEX('Crafting recipes'!$H$6:$H$1005,MATCH(J1226,'Crafting recipes'!$A$6:$A$1005,0)),"MISSING ID"),1)),0)=1,IF(B1226=IFERROR(INDEX('Crafting recipes'!$H$6:$H$1005,MATCH(J1226,'Crafting recipes'!$A$6:$A$1005,0)),"MISSING ID"),"Advances one material tier","Lower-tier ingredient; route advances one tier"),"Needs tier review"))))))</x:f>
        <x:v>Finished endpoint</x:v>
      </x:c>
      <x:c r="S1226" s="4" t="str">
        <x:f>IFERROR(INDEX('Material routes'!$D$6:$D$2205,MATCH(U1226,'Material routes'!$A$6:$A$2205,0)),"MISSING ID")</x:f>
        <x:v>proposal.lore.fastener_set</x:v>
      </x:c>
      <x:c r="T1226" s="4" t="str">
        <x:f>IFERROR(INDEX('Material routes'!$D$6:$D$2205,MATCH(V1226,'Material routes'!$A$6:$A$2205,0)),"MISSING ID")</x:f>
        <x:v>proposal.legger.seam_guard</x:v>
      </x:c>
      <x:c r="U1226" s="4" t="str">
        <x:v>design.audit.proposal_legger_seam_guard.audit.in.2</x:v>
      </x:c>
      <x:c r="V1226" s="4" t="str">
        <x:v>design.audit.proposal_legger_seam_guard.audit.out</x:v>
      </x:c>
    </x:row>
    <x:row r="1227" ht="64" customHeight="1">
      <x:c r="A1227" s="4" t="str">
        <x:f>IFERROR(INDEX('Material routes'!$E$6:$E$2205,MATCH(U1227,'Material routes'!$A$6:$A$2205,0)),"MISSING ID")</x:f>
        <x:v>Husk-reinforced packing stock</x:v>
      </x:c>
      <x:c r="B1227" s="4" t="str">
        <x:f>IFERROR(INDEX('Material routes'!$F$6:$F$2205,MATCH(U1227,'Material routes'!$A$6:$A$2205,0)),"MISSING ID")</x:f>
        <x:v>T3</x:v>
      </x:c>
      <x:c r="C1227" s="4" t="str">
        <x:f>IFERROR(INDEX('Material routes'!$H$6:$H$2205,MATCH(U1227,'Material routes'!$A$6:$A$2205,0)),"MISSING ID")</x:f>
        <x:v>Processed material</x:v>
      </x:c>
      <x:c r="D1227" s="4" t="str">
        <x:f>IFERROR(INDEX('Material routes'!$G$6:$G$2205,MATCH(U1227,'Material routes'!$A$6:$A$2205,0)),"MISSING ID")</x:f>
        <x:v>Manufactured stock</x:v>
      </x:c>
      <x:c r="E1227" s="4" t="str">
        <x:f>IFERROR(INDEX('Material routes'!$C$6:$C$2205,MATCH(U1227,'Material routes'!$A$6:$A$2205,0)),"MISSING ID")</x:f>
        <x:v>Ingredient candidate</x:v>
      </x:c>
      <x:c r="F1227" s="4" t="str">
        <x:f>IFERROR(INDEX('Material routes'!$E$6:$E$2205,MATCH(V1227,'Material routes'!$A$6:$A$2205,0)),"MISSING ID")</x:f>
        <x:v>Armor seam-cover strip</x:v>
      </x:c>
      <x:c r="G1227" s="4" t="str">
        <x:f>IFERROR(INDEX('Material routes'!$F$6:$F$2205,MATCH(V1227,'Material routes'!$A$6:$A$2205,0)),"MISSING ID")</x:f>
        <x:v>Not applicable</x:v>
      </x:c>
      <x:c r="H1227" s="4" t="str">
        <x:f>IFERROR(INDEX('Material routes'!$H$6:$H$2205,MATCH(V1227,'Material routes'!$A$6:$A$2205,0)),"MISSING ID")</x:f>
        <x:v>Armor</x:v>
      </x:c>
      <x:c r="I1227" s="4" t="str">
        <x:f>IFERROR(INDEX('Material routes'!$G$6:$G$2205,MATCH(V1227,'Material routes'!$A$6:$A$2205,0)),"MISSING ID")</x:f>
        <x:v>Legger attachments</x:v>
      </x:c>
      <x:c r="J1227" s="4" t="str">
        <x:f>IFERROR(INDEX('Material routes'!$B$6:$B$2205,MATCH(U1227,'Material routes'!$A$6:$A$2205,0)),"MISSING ID")</x:f>
        <x:v>design.audit.proposal_legger_seam_guard</x:v>
      </x:c>
      <x:c r="K1227" s="4" t="str">
        <x:f>IFERROR(INDEX('Crafting recipes'!$C$6:$C$1005,MATCH(J1227,'Crafting recipes'!$A$6:$A$1005,0)),"MISSING ID")</x:f>
        <x:v>Finished-item crafting</x:v>
      </x:c>
      <x:c r="L1227" s="4" t="str">
        <x:f>IFERROR(INDEX('Material routes'!$K$6:$K$2205,MATCH(U1227,'Material routes'!$A$6:$A$2205,0)),"MISSING ID")</x:f>
        <x:v>Proposal</x:v>
      </x:c>
      <x:c r="M1227" s="4" t="str">
        <x:f>IFERROR(INDEX('Material routes'!$M$6:$M$2205,MATCH(U1227,'Material routes'!$A$6:$A$2205,0)),"MISSING ID")</x:f>
        <x:v>Partial proposal</x:v>
      </x:c>
      <x:c r="N1227" s="4"/>
      <x:c r="O1227" s="4" t="str">
        <x:f>IFERROR(INDEX('Material routes'!$J$6:$J$2205,MATCH(U1227,'Material routes'!$A$6:$A$2205,0)),"MISSING ID")</x:f>
        <x:v>Unspecified</x:v>
      </x:c>
      <x:c r="P1227" s="4"/>
      <x:c r="Q1227" s="4" t="str">
        <x:f>IFERROR(INDEX('Material routes'!$J$6:$J$2205,MATCH(V1227,'Material routes'!$A$6:$A$2205,0)),"MISSING ID")</x:f>
        <x:v>Unspecified</x:v>
      </x:c>
      <x:c r="R1227" s="4" t="str">
        <x:f>IF(L1227="Withheld","Withheld premise",IF(E1227="Tool candidate","Reusable prerequisite",IF(K1227="Raw entry preparation","Entry-resource preparation",IF(G1227="Not applicable",IF(IFERROR(INDEX('Items'!$AI$6:$AI$1005,MATCH(T1227,'Items'!$A$6:$A$1005,0)),"MISSING ID")="Finished item","Finished endpoint",IF(IFERROR(INDEX('Items'!$AI$6:$AI$1005,MATCH(T1227,'Items'!$A$6:$A$1005,0)),"MISSING ID")="Currency","Currency / no refinement tier","Recovered output / tier not applicable")),IF(OR(IFERROR(INDEX('Crafting recipes'!$H$6:$H$1005,MATCH(J1227,'Crafting recipes'!$A$6:$A$1005,0)),"MISSING ID")="Unassigned",G1227="Unassigned"),"Tier unresolved",IF(IFERROR(VALUE(RIGHT(G1227,1))-VALUE(RIGHT(IFERROR(INDEX('Crafting recipes'!$H$6:$H$1005,MATCH(J1227,'Crafting recipes'!$A$6:$A$1005,0)),"MISSING ID"),1)),0)=1,IF(B1227=IFERROR(INDEX('Crafting recipes'!$H$6:$H$1005,MATCH(J1227,'Crafting recipes'!$A$6:$A$1005,0)),"MISSING ID"),"Advances one material tier","Lower-tier ingredient; route advances one tier"),"Needs tier review"))))))</x:f>
        <x:v>Finished endpoint</x:v>
      </x:c>
      <x:c r="S1227" s="4" t="str">
        <x:f>IFERROR(INDEX('Material routes'!$D$6:$D$2205,MATCH(U1227,'Material routes'!$A$6:$A$2205,0)),"MISSING ID")</x:f>
        <x:v>proposal.t3.packing_stock</x:v>
      </x:c>
      <x:c r="T1227" s="4" t="str">
        <x:f>IFERROR(INDEX('Material routes'!$D$6:$D$2205,MATCH(V1227,'Material routes'!$A$6:$A$2205,0)),"MISSING ID")</x:f>
        <x:v>proposal.legger.seam_guard</x:v>
      </x:c>
      <x:c r="U1227" s="4" t="str">
        <x:v>design.audit.proposal_legger_seam_guard.audit.in.3</x:v>
      </x:c>
      <x:c r="V1227" s="4" t="str">
        <x:v>design.audit.proposal_legger_seam_guard.audit.out</x:v>
      </x:c>
    </x:row>
    <x:row r="1228" ht="64" customHeight="1">
      <x:c r="A1228" s="4" t="str">
        <x:f>IFERROR(INDEX('Material routes'!$E$6:$E$2205,MATCH(U1228,'Material routes'!$A$6:$A$2205,0)),"MISSING ID")</x:f>
        <x:v>Steel stock</x:v>
      </x:c>
      <x:c r="B1228" s="4" t="str">
        <x:f>IFERROR(INDEX('Material routes'!$F$6:$F$2205,MATCH(U1228,'Material routes'!$A$6:$A$2205,0)),"MISSING ID")</x:f>
        <x:v>T2</x:v>
      </x:c>
      <x:c r="C1228" s="4" t="str">
        <x:f>IFERROR(INDEX('Material routes'!$H$6:$H$2205,MATCH(U1228,'Material routes'!$A$6:$A$2205,0)),"MISSING ID")</x:f>
        <x:v>Processed material</x:v>
      </x:c>
      <x:c r="D1228" s="4" t="str">
        <x:f>IFERROR(INDEX('Material routes'!$G$6:$G$2205,MATCH(U1228,'Material routes'!$A$6:$A$2205,0)),"MISSING ID")</x:f>
        <x:v>Manufactured stock</x:v>
      </x:c>
      <x:c r="E1228" s="4" t="str">
        <x:f>IFERROR(INDEX('Material routes'!$C$6:$C$2205,MATCH(U1228,'Material routes'!$A$6:$A$2205,0)),"MISSING ID")</x:f>
        <x:v>Ingredient candidate</x:v>
      </x:c>
      <x:c r="F1228" s="4" t="str">
        <x:f>IFERROR(INDEX('Material routes'!$E$6:$E$2205,MATCH(V1228,'Material routes'!$A$6:$A$2205,0)),"MISSING ID")</x:f>
        <x:v>Sacrificial impact cap</x:v>
      </x:c>
      <x:c r="G1228" s="4" t="str">
        <x:f>IFERROR(INDEX('Material routes'!$F$6:$F$2205,MATCH(V1228,'Material routes'!$A$6:$A$2205,0)),"MISSING ID")</x:f>
        <x:v>Not applicable</x:v>
      </x:c>
      <x:c r="H1228" s="4" t="str">
        <x:f>IFERROR(INDEX('Material routes'!$H$6:$H$2205,MATCH(V1228,'Material routes'!$A$6:$A$2205,0)),"MISSING ID")</x:f>
        <x:v>Armor</x:v>
      </x:c>
      <x:c r="I1228" s="4" t="str">
        <x:f>IFERROR(INDEX('Material routes'!$G$6:$G$2205,MATCH(V1228,'Material routes'!$A$6:$A$2205,0)),"MISSING ID")</x:f>
        <x:v>Salvage</x:v>
      </x:c>
      <x:c r="J1228" s="4" t="str">
        <x:f>IFERROR(INDEX('Material routes'!$B$6:$B$2205,MATCH(U1228,'Material routes'!$A$6:$A$2205,0)),"MISSING ID")</x:f>
        <x:v>design.audit.proposal_legger_impact_cap</x:v>
      </x:c>
      <x:c r="K1228" s="4" t="str">
        <x:f>IFERROR(INDEX('Crafting recipes'!$C$6:$C$1005,MATCH(J1228,'Crafting recipes'!$A$6:$A$1005,0)),"MISSING ID")</x:f>
        <x:v>Finished-item crafting</x:v>
      </x:c>
      <x:c r="L1228" s="4" t="str">
        <x:f>IFERROR(INDEX('Material routes'!$K$6:$K$2205,MATCH(U1228,'Material routes'!$A$6:$A$2205,0)),"MISSING ID")</x:f>
        <x:v>Proposal</x:v>
      </x:c>
      <x:c r="M1228" s="4" t="str">
        <x:f>IFERROR(INDEX('Material routes'!$M$6:$M$2205,MATCH(U1228,'Material routes'!$A$6:$A$2205,0)),"MISSING ID")</x:f>
        <x:v>Partial proposal</x:v>
      </x:c>
      <x:c r="N1228" s="4"/>
      <x:c r="O1228" s="4" t="str">
        <x:f>IFERROR(INDEX('Material routes'!$J$6:$J$2205,MATCH(U1228,'Material routes'!$A$6:$A$2205,0)),"MISSING ID")</x:f>
        <x:v>Unspecified</x:v>
      </x:c>
      <x:c r="P1228" s="4"/>
      <x:c r="Q1228" s="4" t="str">
        <x:f>IFERROR(INDEX('Material routes'!$J$6:$J$2205,MATCH(V1228,'Material routes'!$A$6:$A$2205,0)),"MISSING ID")</x:f>
        <x:v>Unspecified</x:v>
      </x:c>
      <x:c r="R1228" s="4" t="str">
        <x:f>IF(L1228="Withheld","Withheld premise",IF(E1228="Tool candidate","Reusable prerequisite",IF(K1228="Raw entry preparation","Entry-resource preparation",IF(G1228="Not applicable",IF(IFERROR(INDEX('Items'!$AI$6:$AI$1005,MATCH(T1228,'Items'!$A$6:$A$1005,0)),"MISSING ID")="Finished item","Finished endpoint",IF(IFERROR(INDEX('Items'!$AI$6:$AI$1005,MATCH(T1228,'Items'!$A$6:$A$1005,0)),"MISSING ID")="Currency","Currency / no refinement tier","Recovered output / tier not applicable")),IF(OR(IFERROR(INDEX('Crafting recipes'!$H$6:$H$1005,MATCH(J1228,'Crafting recipes'!$A$6:$A$1005,0)),"MISSING ID")="Unassigned",G1228="Unassigned"),"Tier unresolved",IF(IFERROR(VALUE(RIGHT(G1228,1))-VALUE(RIGHT(IFERROR(INDEX('Crafting recipes'!$H$6:$H$1005,MATCH(J1228,'Crafting recipes'!$A$6:$A$1005,0)),"MISSING ID"),1)),0)=1,IF(B1228=IFERROR(INDEX('Crafting recipes'!$H$6:$H$1005,MATCH(J1228,'Crafting recipes'!$A$6:$A$1005,0)),"MISSING ID"),"Advances one material tier","Lower-tier ingredient; route advances one tier"),"Needs tier review"))))))</x:f>
        <x:v>Finished endpoint</x:v>
      </x:c>
      <x:c r="S1228" s="4" t="str">
        <x:f>IFERROR(INDEX('Material routes'!$D$6:$D$2205,MATCH(U1228,'Material routes'!$A$6:$A$2205,0)),"MISSING ID")</x:f>
        <x:v>author.metallurgy.steel_stock</x:v>
      </x:c>
      <x:c r="T1228" s="4" t="str">
        <x:f>IFERROR(INDEX('Material routes'!$D$6:$D$2205,MATCH(V1228,'Material routes'!$A$6:$A$2205,0)),"MISSING ID")</x:f>
        <x:v>proposal.legger.impact_cap</x:v>
      </x:c>
      <x:c r="U1228" s="4" t="str">
        <x:v>design.audit.proposal_legger_impact_cap.audit.in.1</x:v>
      </x:c>
      <x:c r="V1228" s="4" t="str">
        <x:v>design.audit.proposal_legger_impact_cap.audit.out</x:v>
      </x:c>
    </x:row>
    <x:row r="1229" ht="64" customHeight="1">
      <x:c r="A1229" s="4" t="str">
        <x:f>IFERROR(INDEX('Material routes'!$E$6:$E$2205,MATCH(U1229,'Material routes'!$A$6:$A$2205,0)),"MISSING ID")</x:f>
        <x:v>Matched metal fastener set</x:v>
      </x:c>
      <x:c r="B1229" s="4" t="str">
        <x:f>IFERROR(INDEX('Material routes'!$F$6:$F$2205,MATCH(U1229,'Material routes'!$A$6:$A$2205,0)),"MISSING ID")</x:f>
        <x:v>T3</x:v>
      </x:c>
      <x:c r="C1229" s="4" t="str">
        <x:f>IFERROR(INDEX('Material routes'!$H$6:$H$2205,MATCH(U1229,'Material routes'!$A$6:$A$2205,0)),"MISSING ID")</x:f>
        <x:v>Crafting component</x:v>
      </x:c>
      <x:c r="D1229" s="4" t="str">
        <x:f>IFERROR(INDEX('Material routes'!$G$6:$G$2205,MATCH(U1229,'Material routes'!$A$6:$A$2205,0)),"MISSING ID")</x:f>
        <x:v>Crafting components</x:v>
      </x:c>
      <x:c r="E1229" s="4" t="str">
        <x:f>IFERROR(INDEX('Material routes'!$C$6:$C$2205,MATCH(U1229,'Material routes'!$A$6:$A$2205,0)),"MISSING ID")</x:f>
        <x:v>Ingredient candidate</x:v>
      </x:c>
      <x:c r="F1229" s="4" t="str">
        <x:f>IFERROR(INDEX('Material routes'!$E$6:$E$2205,MATCH(V1229,'Material routes'!$A$6:$A$2205,0)),"MISSING ID")</x:f>
        <x:v>Sacrificial impact cap</x:v>
      </x:c>
      <x:c r="G1229" s="4" t="str">
        <x:f>IFERROR(INDEX('Material routes'!$F$6:$F$2205,MATCH(V1229,'Material routes'!$A$6:$A$2205,0)),"MISSING ID")</x:f>
        <x:v>Not applicable</x:v>
      </x:c>
      <x:c r="H1229" s="4" t="str">
        <x:f>IFERROR(INDEX('Material routes'!$H$6:$H$2205,MATCH(V1229,'Material routes'!$A$6:$A$2205,0)),"MISSING ID")</x:f>
        <x:v>Armor</x:v>
      </x:c>
      <x:c r="I1229" s="4" t="str">
        <x:f>IFERROR(INDEX('Material routes'!$G$6:$G$2205,MATCH(V1229,'Material routes'!$A$6:$A$2205,0)),"MISSING ID")</x:f>
        <x:v>Salvage</x:v>
      </x:c>
      <x:c r="J1229" s="4" t="str">
        <x:f>IFERROR(INDEX('Material routes'!$B$6:$B$2205,MATCH(U1229,'Material routes'!$A$6:$A$2205,0)),"MISSING ID")</x:f>
        <x:v>design.audit.proposal_legger_impact_cap</x:v>
      </x:c>
      <x:c r="K1229" s="4" t="str">
        <x:f>IFERROR(INDEX('Crafting recipes'!$C$6:$C$1005,MATCH(J1229,'Crafting recipes'!$A$6:$A$1005,0)),"MISSING ID")</x:f>
        <x:v>Finished-item crafting</x:v>
      </x:c>
      <x:c r="L1229" s="4" t="str">
        <x:f>IFERROR(INDEX('Material routes'!$K$6:$K$2205,MATCH(U1229,'Material routes'!$A$6:$A$2205,0)),"MISSING ID")</x:f>
        <x:v>Proposal</x:v>
      </x:c>
      <x:c r="M1229" s="4" t="str">
        <x:f>IFERROR(INDEX('Material routes'!$M$6:$M$2205,MATCH(U1229,'Material routes'!$A$6:$A$2205,0)),"MISSING ID")</x:f>
        <x:v>Partial proposal</x:v>
      </x:c>
      <x:c r="N1229" s="4"/>
      <x:c r="O1229" s="4" t="str">
        <x:f>IFERROR(INDEX('Material routes'!$J$6:$J$2205,MATCH(U1229,'Material routes'!$A$6:$A$2205,0)),"MISSING ID")</x:f>
        <x:v>Unspecified</x:v>
      </x:c>
      <x:c r="P1229" s="4"/>
      <x:c r="Q1229" s="4" t="str">
        <x:f>IFERROR(INDEX('Material routes'!$J$6:$J$2205,MATCH(V1229,'Material routes'!$A$6:$A$2205,0)),"MISSING ID")</x:f>
        <x:v>Unspecified</x:v>
      </x:c>
      <x:c r="R1229" s="4" t="str">
        <x:f>IF(L1229="Withheld","Withheld premise",IF(E1229="Tool candidate","Reusable prerequisite",IF(K1229="Raw entry preparation","Entry-resource preparation",IF(G1229="Not applicable",IF(IFERROR(INDEX('Items'!$AI$6:$AI$1005,MATCH(T1229,'Items'!$A$6:$A$1005,0)),"MISSING ID")="Finished item","Finished endpoint",IF(IFERROR(INDEX('Items'!$AI$6:$AI$1005,MATCH(T1229,'Items'!$A$6:$A$1005,0)),"MISSING ID")="Currency","Currency / no refinement tier","Recovered output / tier not applicable")),IF(OR(IFERROR(INDEX('Crafting recipes'!$H$6:$H$1005,MATCH(J1229,'Crafting recipes'!$A$6:$A$1005,0)),"MISSING ID")="Unassigned",G1229="Unassigned"),"Tier unresolved",IF(IFERROR(VALUE(RIGHT(G1229,1))-VALUE(RIGHT(IFERROR(INDEX('Crafting recipes'!$H$6:$H$1005,MATCH(J1229,'Crafting recipes'!$A$6:$A$1005,0)),"MISSING ID"),1)),0)=1,IF(B1229=IFERROR(INDEX('Crafting recipes'!$H$6:$H$1005,MATCH(J1229,'Crafting recipes'!$A$6:$A$1005,0)),"MISSING ID"),"Advances one material tier","Lower-tier ingredient; route advances one tier"),"Needs tier review"))))))</x:f>
        <x:v>Finished endpoint</x:v>
      </x:c>
      <x:c r="S1229" s="4" t="str">
        <x:f>IFERROR(INDEX('Material routes'!$D$6:$D$2205,MATCH(U1229,'Material routes'!$A$6:$A$2205,0)),"MISSING ID")</x:f>
        <x:v>proposal.lore.fastener_set</x:v>
      </x:c>
      <x:c r="T1229" s="4" t="str">
        <x:f>IFERROR(INDEX('Material routes'!$D$6:$D$2205,MATCH(V1229,'Material routes'!$A$6:$A$2205,0)),"MISSING ID")</x:f>
        <x:v>proposal.legger.impact_cap</x:v>
      </x:c>
      <x:c r="U1229" s="4" t="str">
        <x:v>design.audit.proposal_legger_impact_cap.audit.in.2</x:v>
      </x:c>
      <x:c r="V1229" s="4" t="str">
        <x:v>design.audit.proposal_legger_impact_cap.audit.out</x:v>
      </x:c>
    </x:row>
    <x:row r="1230" ht="64" customHeight="1">
      <x:c r="A1230" s="4" t="str">
        <x:f>IFERROR(INDEX('Material routes'!$E$6:$E$2205,MATCH(U1230,'Material routes'!$A$6:$A$2205,0)),"MISSING ID")</x:f>
        <x:v>Husk-reinforced packing stock</x:v>
      </x:c>
      <x:c r="B1230" s="4" t="str">
        <x:f>IFERROR(INDEX('Material routes'!$F$6:$F$2205,MATCH(U1230,'Material routes'!$A$6:$A$2205,0)),"MISSING ID")</x:f>
        <x:v>T3</x:v>
      </x:c>
      <x:c r="C1230" s="4" t="str">
        <x:f>IFERROR(INDEX('Material routes'!$H$6:$H$2205,MATCH(U1230,'Material routes'!$A$6:$A$2205,0)),"MISSING ID")</x:f>
        <x:v>Processed material</x:v>
      </x:c>
      <x:c r="D1230" s="4" t="str">
        <x:f>IFERROR(INDEX('Material routes'!$G$6:$G$2205,MATCH(U1230,'Material routes'!$A$6:$A$2205,0)),"MISSING ID")</x:f>
        <x:v>Manufactured stock</x:v>
      </x:c>
      <x:c r="E1230" s="4" t="str">
        <x:f>IFERROR(INDEX('Material routes'!$C$6:$C$2205,MATCH(U1230,'Material routes'!$A$6:$A$2205,0)),"MISSING ID")</x:f>
        <x:v>Ingredient candidate</x:v>
      </x:c>
      <x:c r="F1230" s="4" t="str">
        <x:f>IFERROR(INDEX('Material routes'!$E$6:$E$2205,MATCH(V1230,'Material routes'!$A$6:$A$2205,0)),"MISSING ID")</x:f>
        <x:v>Sacrificial impact cap</x:v>
      </x:c>
      <x:c r="G1230" s="4" t="str">
        <x:f>IFERROR(INDEX('Material routes'!$F$6:$F$2205,MATCH(V1230,'Material routes'!$A$6:$A$2205,0)),"MISSING ID")</x:f>
        <x:v>Not applicable</x:v>
      </x:c>
      <x:c r="H1230" s="4" t="str">
        <x:f>IFERROR(INDEX('Material routes'!$H$6:$H$2205,MATCH(V1230,'Material routes'!$A$6:$A$2205,0)),"MISSING ID")</x:f>
        <x:v>Armor</x:v>
      </x:c>
      <x:c r="I1230" s="4" t="str">
        <x:f>IFERROR(INDEX('Material routes'!$G$6:$G$2205,MATCH(V1230,'Material routes'!$A$6:$A$2205,0)),"MISSING ID")</x:f>
        <x:v>Salvage</x:v>
      </x:c>
      <x:c r="J1230" s="4" t="str">
        <x:f>IFERROR(INDEX('Material routes'!$B$6:$B$2205,MATCH(U1230,'Material routes'!$A$6:$A$2205,0)),"MISSING ID")</x:f>
        <x:v>design.audit.proposal_legger_impact_cap</x:v>
      </x:c>
      <x:c r="K1230" s="4" t="str">
        <x:f>IFERROR(INDEX('Crafting recipes'!$C$6:$C$1005,MATCH(J1230,'Crafting recipes'!$A$6:$A$1005,0)),"MISSING ID")</x:f>
        <x:v>Finished-item crafting</x:v>
      </x:c>
      <x:c r="L1230" s="4" t="str">
        <x:f>IFERROR(INDEX('Material routes'!$K$6:$K$2205,MATCH(U1230,'Material routes'!$A$6:$A$2205,0)),"MISSING ID")</x:f>
        <x:v>Proposal</x:v>
      </x:c>
      <x:c r="M1230" s="4" t="str">
        <x:f>IFERROR(INDEX('Material routes'!$M$6:$M$2205,MATCH(U1230,'Material routes'!$A$6:$A$2205,0)),"MISSING ID")</x:f>
        <x:v>Partial proposal</x:v>
      </x:c>
      <x:c r="N1230" s="4"/>
      <x:c r="O1230" s="4" t="str">
        <x:f>IFERROR(INDEX('Material routes'!$J$6:$J$2205,MATCH(U1230,'Material routes'!$A$6:$A$2205,0)),"MISSING ID")</x:f>
        <x:v>Unspecified</x:v>
      </x:c>
      <x:c r="P1230" s="4"/>
      <x:c r="Q1230" s="4" t="str">
        <x:f>IFERROR(INDEX('Material routes'!$J$6:$J$2205,MATCH(V1230,'Material routes'!$A$6:$A$2205,0)),"MISSING ID")</x:f>
        <x:v>Unspecified</x:v>
      </x:c>
      <x:c r="R1230" s="4" t="str">
        <x:f>IF(L1230="Withheld","Withheld premise",IF(E1230="Tool candidate","Reusable prerequisite",IF(K1230="Raw entry preparation","Entry-resource preparation",IF(G1230="Not applicable",IF(IFERROR(INDEX('Items'!$AI$6:$AI$1005,MATCH(T1230,'Items'!$A$6:$A$1005,0)),"MISSING ID")="Finished item","Finished endpoint",IF(IFERROR(INDEX('Items'!$AI$6:$AI$1005,MATCH(T1230,'Items'!$A$6:$A$1005,0)),"MISSING ID")="Currency","Currency / no refinement tier","Recovered output / tier not applicable")),IF(OR(IFERROR(INDEX('Crafting recipes'!$H$6:$H$1005,MATCH(J1230,'Crafting recipes'!$A$6:$A$1005,0)),"MISSING ID")="Unassigned",G1230="Unassigned"),"Tier unresolved",IF(IFERROR(VALUE(RIGHT(G1230,1))-VALUE(RIGHT(IFERROR(INDEX('Crafting recipes'!$H$6:$H$1005,MATCH(J1230,'Crafting recipes'!$A$6:$A$1005,0)),"MISSING ID"),1)),0)=1,IF(B1230=IFERROR(INDEX('Crafting recipes'!$H$6:$H$1005,MATCH(J1230,'Crafting recipes'!$A$6:$A$1005,0)),"MISSING ID"),"Advances one material tier","Lower-tier ingredient; route advances one tier"),"Needs tier review"))))))</x:f>
        <x:v>Finished endpoint</x:v>
      </x:c>
      <x:c r="S1230" s="4" t="str">
        <x:f>IFERROR(INDEX('Material routes'!$D$6:$D$2205,MATCH(U1230,'Material routes'!$A$6:$A$2205,0)),"MISSING ID")</x:f>
        <x:v>proposal.t3.packing_stock</x:v>
      </x:c>
      <x:c r="T1230" s="4" t="str">
        <x:f>IFERROR(INDEX('Material routes'!$D$6:$D$2205,MATCH(V1230,'Material routes'!$A$6:$A$2205,0)),"MISSING ID")</x:f>
        <x:v>proposal.legger.impact_cap</x:v>
      </x:c>
      <x:c r="U1230" s="4" t="str">
        <x:v>design.audit.proposal_legger_impact_cap.audit.in.3</x:v>
      </x:c>
      <x:c r="V1230" s="4" t="str">
        <x:v>design.audit.proposal_legger_impact_cap.audit.out</x:v>
      </x:c>
    </x:row>
    <x:row r="1231" ht="64" customHeight="1">
      <x:c r="A1231" s="4" t="str">
        <x:f>IFERROR(INDEX('Material routes'!$E$6:$E$2205,MATCH(U1231,'Material routes'!$A$6:$A$2205,0)),"MISSING ID")</x:f>
        <x:v>Layered husk composite stock</x:v>
      </x:c>
      <x:c r="B1231" s="4" t="str">
        <x:f>IFERROR(INDEX('Material routes'!$F$6:$F$2205,MATCH(U1231,'Material routes'!$A$6:$A$2205,0)),"MISSING ID")</x:f>
        <x:v>T3</x:v>
      </x:c>
      <x:c r="C1231" s="4" t="str">
        <x:f>IFERROR(INDEX('Material routes'!$H$6:$H$2205,MATCH(U1231,'Material routes'!$A$6:$A$2205,0)),"MISSING ID")</x:f>
        <x:v>Processed material</x:v>
      </x:c>
      <x:c r="D1231" s="4" t="str">
        <x:f>IFERROR(INDEX('Material routes'!$G$6:$G$2205,MATCH(U1231,'Material routes'!$A$6:$A$2205,0)),"MISSING ID")</x:f>
        <x:v>Manufactured stock</x:v>
      </x:c>
      <x:c r="E1231" s="4" t="str">
        <x:f>IFERROR(INDEX('Material routes'!$C$6:$C$2205,MATCH(U1231,'Material routes'!$A$6:$A$2205,0)),"MISSING ID")</x:f>
        <x:v>Ingredient candidate</x:v>
      </x:c>
      <x:c r="F1231" s="4" t="str">
        <x:f>IFERROR(INDEX('Material routes'!$E$6:$E$2205,MATCH(V1231,'Material routes'!$A$6:$A$2205,0)),"MISSING ID")</x:f>
        <x:v>Pressed-husk fragment liner</x:v>
      </x:c>
      <x:c r="G1231" s="4" t="str">
        <x:f>IFERROR(INDEX('Material routes'!$F$6:$F$2205,MATCH(V1231,'Material routes'!$A$6:$A$2205,0)),"MISSING ID")</x:f>
        <x:v>Not applicable</x:v>
      </x:c>
      <x:c r="H1231" s="4" t="str">
        <x:f>IFERROR(INDEX('Material routes'!$H$6:$H$2205,MATCH(V1231,'Material routes'!$A$6:$A$2205,0)),"MISSING ID")</x:f>
        <x:v>Armor</x:v>
      </x:c>
      <x:c r="I1231" s="4" t="str">
        <x:f>IFERROR(INDEX('Material routes'!$G$6:$G$2205,MATCH(V1231,'Material routes'!$A$6:$A$2205,0)),"MISSING ID")</x:f>
        <x:v>Legger attachments</x:v>
      </x:c>
      <x:c r="J1231" s="4" t="str">
        <x:f>IFERROR(INDEX('Material routes'!$B$6:$B$2205,MATCH(U1231,'Material routes'!$A$6:$A$2205,0)),"MISSING ID")</x:f>
        <x:v>design.audit.proposal_legger_fragment_liner</x:v>
      </x:c>
      <x:c r="K1231" s="4" t="str">
        <x:f>IFERROR(INDEX('Crafting recipes'!$C$6:$C$1005,MATCH(J1231,'Crafting recipes'!$A$6:$A$1005,0)),"MISSING ID")</x:f>
        <x:v>Finished-item crafting</x:v>
      </x:c>
      <x:c r="L1231" s="4" t="str">
        <x:f>IFERROR(INDEX('Material routes'!$K$6:$K$2205,MATCH(U1231,'Material routes'!$A$6:$A$2205,0)),"MISSING ID")</x:f>
        <x:v>Proposal</x:v>
      </x:c>
      <x:c r="M1231" s="4" t="str">
        <x:f>IFERROR(INDEX('Material routes'!$M$6:$M$2205,MATCH(U1231,'Material routes'!$A$6:$A$2205,0)),"MISSING ID")</x:f>
        <x:v>Partial proposal</x:v>
      </x:c>
      <x:c r="N1231" s="4"/>
      <x:c r="O1231" s="4" t="str">
        <x:f>IFERROR(INDEX('Material routes'!$J$6:$J$2205,MATCH(U1231,'Material routes'!$A$6:$A$2205,0)),"MISSING ID")</x:f>
        <x:v>Unspecified</x:v>
      </x:c>
      <x:c r="P1231" s="4"/>
      <x:c r="Q1231" s="4" t="str">
        <x:f>IFERROR(INDEX('Material routes'!$J$6:$J$2205,MATCH(V1231,'Material routes'!$A$6:$A$2205,0)),"MISSING ID")</x:f>
        <x:v>Unspecified</x:v>
      </x:c>
      <x:c r="R1231" s="4" t="str">
        <x:f>IF(L1231="Withheld","Withheld premise",IF(E1231="Tool candidate","Reusable prerequisite",IF(K1231="Raw entry preparation","Entry-resource preparation",IF(G1231="Not applicable",IF(IFERROR(INDEX('Items'!$AI$6:$AI$1005,MATCH(T1231,'Items'!$A$6:$A$1005,0)),"MISSING ID")="Finished item","Finished endpoint",IF(IFERROR(INDEX('Items'!$AI$6:$AI$1005,MATCH(T1231,'Items'!$A$6:$A$1005,0)),"MISSING ID")="Currency","Currency / no refinement tier","Recovered output / tier not applicable")),IF(OR(IFERROR(INDEX('Crafting recipes'!$H$6:$H$1005,MATCH(J1231,'Crafting recipes'!$A$6:$A$1005,0)),"MISSING ID")="Unassigned",G1231="Unassigned"),"Tier unresolved",IF(IFERROR(VALUE(RIGHT(G1231,1))-VALUE(RIGHT(IFERROR(INDEX('Crafting recipes'!$H$6:$H$1005,MATCH(J1231,'Crafting recipes'!$A$6:$A$1005,0)),"MISSING ID"),1)),0)=1,IF(B1231=IFERROR(INDEX('Crafting recipes'!$H$6:$H$1005,MATCH(J1231,'Crafting recipes'!$A$6:$A$1005,0)),"MISSING ID"),"Advances one material tier","Lower-tier ingredient; route advances one tier"),"Needs tier review"))))))</x:f>
        <x:v>Finished endpoint</x:v>
      </x:c>
      <x:c r="S1231" s="4" t="str">
        <x:f>IFERROR(INDEX('Material routes'!$D$6:$D$2205,MATCH(U1231,'Material routes'!$A$6:$A$2205,0)),"MISSING ID")</x:f>
        <x:v>proposal.branch.husk_composite</x:v>
      </x:c>
      <x:c r="T1231" s="4" t="str">
        <x:f>IFERROR(INDEX('Material routes'!$D$6:$D$2205,MATCH(V1231,'Material routes'!$A$6:$A$2205,0)),"MISSING ID")</x:f>
        <x:v>proposal.legger.fragment_liner</x:v>
      </x:c>
      <x:c r="U1231" s="4" t="str">
        <x:v>design.audit.proposal_legger_fragment_liner.audit.in.1</x:v>
      </x:c>
      <x:c r="V1231" s="4" t="str">
        <x:v>design.audit.proposal_legger_fragment_liner.audit.out</x:v>
      </x:c>
    </x:row>
    <x:row r="1232" ht="64" customHeight="1">
      <x:c r="A1232" s="4" t="str">
        <x:f>IFERROR(INDEX('Material routes'!$E$6:$E$2205,MATCH(U1232,'Material routes'!$A$6:$A$2205,0)),"MISSING ID")</x:f>
        <x:v>Pressed hide fastening strips</x:v>
      </x:c>
      <x:c r="B1232" s="4" t="str">
        <x:f>IFERROR(INDEX('Material routes'!$F$6:$F$2205,MATCH(U1232,'Material routes'!$A$6:$A$2205,0)),"MISSING ID")</x:f>
        <x:v>T2</x:v>
      </x:c>
      <x:c r="C1232" s="4" t="str">
        <x:f>IFERROR(INDEX('Material routes'!$H$6:$H$2205,MATCH(U1232,'Material routes'!$A$6:$A$2205,0)),"MISSING ID")</x:f>
        <x:v>Processed material</x:v>
      </x:c>
      <x:c r="D1232" s="4" t="str">
        <x:f>IFERROR(INDEX('Material routes'!$G$6:$G$2205,MATCH(U1232,'Material routes'!$A$6:$A$2205,0)),"MISSING ID")</x:f>
        <x:v>Manufactured stock</x:v>
      </x:c>
      <x:c r="E1232" s="4" t="str">
        <x:f>IFERROR(INDEX('Material routes'!$C$6:$C$2205,MATCH(U1232,'Material routes'!$A$6:$A$2205,0)),"MISSING ID")</x:f>
        <x:v>Ingredient candidate</x:v>
      </x:c>
      <x:c r="F1232" s="4" t="str">
        <x:f>IFERROR(INDEX('Material routes'!$E$6:$E$2205,MATCH(V1232,'Material routes'!$A$6:$A$2205,0)),"MISSING ID")</x:f>
        <x:v>Pressed-husk fragment liner</x:v>
      </x:c>
      <x:c r="G1232" s="4" t="str">
        <x:f>IFERROR(INDEX('Material routes'!$F$6:$F$2205,MATCH(V1232,'Material routes'!$A$6:$A$2205,0)),"MISSING ID")</x:f>
        <x:v>Not applicable</x:v>
      </x:c>
      <x:c r="H1232" s="4" t="str">
        <x:f>IFERROR(INDEX('Material routes'!$H$6:$H$2205,MATCH(V1232,'Material routes'!$A$6:$A$2205,0)),"MISSING ID")</x:f>
        <x:v>Armor</x:v>
      </x:c>
      <x:c r="I1232" s="4" t="str">
        <x:f>IFERROR(INDEX('Material routes'!$G$6:$G$2205,MATCH(V1232,'Material routes'!$A$6:$A$2205,0)),"MISSING ID")</x:f>
        <x:v>Legger attachments</x:v>
      </x:c>
      <x:c r="J1232" s="4" t="str">
        <x:f>IFERROR(INDEX('Material routes'!$B$6:$B$2205,MATCH(U1232,'Material routes'!$A$6:$A$2205,0)),"MISSING ID")</x:f>
        <x:v>design.audit.proposal_legger_fragment_liner</x:v>
      </x:c>
      <x:c r="K1232" s="4" t="str">
        <x:f>IFERROR(INDEX('Crafting recipes'!$C$6:$C$1005,MATCH(J1232,'Crafting recipes'!$A$6:$A$1005,0)),"MISSING ID")</x:f>
        <x:v>Finished-item crafting</x:v>
      </x:c>
      <x:c r="L1232" s="4" t="str">
        <x:f>IFERROR(INDEX('Material routes'!$K$6:$K$2205,MATCH(U1232,'Material routes'!$A$6:$A$2205,0)),"MISSING ID")</x:f>
        <x:v>Proposal</x:v>
      </x:c>
      <x:c r="M1232" s="4" t="str">
        <x:f>IFERROR(INDEX('Material routes'!$M$6:$M$2205,MATCH(U1232,'Material routes'!$A$6:$A$2205,0)),"MISSING ID")</x:f>
        <x:v>Partial proposal</x:v>
      </x:c>
      <x:c r="N1232" s="4"/>
      <x:c r="O1232" s="4" t="str">
        <x:f>IFERROR(INDEX('Material routes'!$J$6:$J$2205,MATCH(U1232,'Material routes'!$A$6:$A$2205,0)),"MISSING ID")</x:f>
        <x:v>Unspecified</x:v>
      </x:c>
      <x:c r="P1232" s="4"/>
      <x:c r="Q1232" s="4" t="str">
        <x:f>IFERROR(INDEX('Material routes'!$J$6:$J$2205,MATCH(V1232,'Material routes'!$A$6:$A$2205,0)),"MISSING ID")</x:f>
        <x:v>Unspecified</x:v>
      </x:c>
      <x:c r="R1232" s="4" t="str">
        <x:f>IF(L1232="Withheld","Withheld premise",IF(E1232="Tool candidate","Reusable prerequisite",IF(K1232="Raw entry preparation","Entry-resource preparation",IF(G1232="Not applicable",IF(IFERROR(INDEX('Items'!$AI$6:$AI$1005,MATCH(T1232,'Items'!$A$6:$A$1005,0)),"MISSING ID")="Finished item","Finished endpoint",IF(IFERROR(INDEX('Items'!$AI$6:$AI$1005,MATCH(T1232,'Items'!$A$6:$A$1005,0)),"MISSING ID")="Currency","Currency / no refinement tier","Recovered output / tier not applicable")),IF(OR(IFERROR(INDEX('Crafting recipes'!$H$6:$H$1005,MATCH(J1232,'Crafting recipes'!$A$6:$A$1005,0)),"MISSING ID")="Unassigned",G1232="Unassigned"),"Tier unresolved",IF(IFERROR(VALUE(RIGHT(G1232,1))-VALUE(RIGHT(IFERROR(INDEX('Crafting recipes'!$H$6:$H$1005,MATCH(J1232,'Crafting recipes'!$A$6:$A$1005,0)),"MISSING ID"),1)),0)=1,IF(B1232=IFERROR(INDEX('Crafting recipes'!$H$6:$H$1005,MATCH(J1232,'Crafting recipes'!$A$6:$A$1005,0)),"MISSING ID"),"Advances one material tier","Lower-tier ingredient; route advances one tier"),"Needs tier review"))))))</x:f>
        <x:v>Finished endpoint</x:v>
      </x:c>
      <x:c r="S1232" s="4" t="str">
        <x:f>IFERROR(INDEX('Material routes'!$D$6:$D$2205,MATCH(U1232,'Material routes'!$A$6:$A$2205,0)),"MISSING ID")</x:f>
        <x:v>proposal.audit.pressed_hide_fastening_strips</x:v>
      </x:c>
      <x:c r="T1232" s="4" t="str">
        <x:f>IFERROR(INDEX('Material routes'!$D$6:$D$2205,MATCH(V1232,'Material routes'!$A$6:$A$2205,0)),"MISSING ID")</x:f>
        <x:v>proposal.legger.fragment_liner</x:v>
      </x:c>
      <x:c r="U1232" s="4" t="str">
        <x:v>design.audit.proposal_legger_fragment_liner.audit.in.2</x:v>
      </x:c>
      <x:c r="V1232" s="4" t="str">
        <x:v>design.audit.proposal_legger_fragment_liner.audit.out</x:v>
      </x:c>
    </x:row>
    <x:row r="1233" ht="64" customHeight="1">
      <x:c r="A1233" s="4"/>
      <x:c r="B1233" s="4"/>
      <x:c r="C1233" s="4"/>
      <x:c r="D1233" s="4"/>
      <x:c r="E1233" s="4"/>
      <x:c r="F1233" s="4"/>
      <x:c r="G1233" s="4"/>
      <x:c r="H1233" s="4"/>
      <x:c r="I1233" s="4"/>
      <x:c r="J1233" s="4"/>
      <x:c r="K1233" s="4"/>
      <x:c r="L1233" s="4"/>
      <x:c r="M1233" s="4"/>
      <x:c r="N1233" s="4"/>
      <x:c r="P1233" s="4"/>
      <x:c r="R1233" s="4"/>
      <x:c r="S1233" s="4"/>
      <x:c r="T1233" s="4"/>
      <x:c r="U1233" s="4"/>
      <x:c r="V1233" s="4"/>
    </x:row>
    <x:row r="1234" ht="64" customHeight="1">
      <x:c r="A1234" s="4" t="str">
        <x:f>IFERROR(INDEX('Material routes'!$E$6:$E$2205,MATCH(U1234,'Material routes'!$A$6:$A$2205,0)),"MISSING ID")</x:f>
        <x:v>Reduced culinary Phagia concentrate</x:v>
      </x:c>
      <x:c r="B1234" s="4" t="str">
        <x:f>IFERROR(INDEX('Material routes'!$F$6:$F$2205,MATCH(U1234,'Material routes'!$A$6:$A$2205,0)),"MISSING ID")</x:f>
        <x:v>T2</x:v>
      </x:c>
      <x:c r="C1234" s="4" t="str">
        <x:f>IFERROR(INDEX('Material routes'!$H$6:$H$2205,MATCH(U1234,'Material routes'!$A$6:$A$2205,0)),"MISSING ID")</x:f>
        <x:v>Food material</x:v>
      </x:c>
      <x:c r="D1234" s="4" t="str">
        <x:f>IFERROR(INDEX('Material routes'!$G$6:$G$2205,MATCH(U1234,'Material routes'!$A$6:$A$2205,0)),"MISSING ID")</x:f>
        <x:v>Cooking ingredients</x:v>
      </x:c>
      <x:c r="E1234" s="4" t="str">
        <x:f>IFERROR(INDEX('Material routes'!$C$6:$C$2205,MATCH(U1234,'Material routes'!$A$6:$A$2205,0)),"MISSING ID")</x:f>
        <x:v>Ingredient candidate</x:v>
      </x:c>
      <x:c r="F1234" s="4" t="str">
        <x:f>IFERROR(INDEX('Material routes'!$E$6:$E$2205,MATCH(V1234,'Material routes'!$A$6:$A$2205,0)),"MISSING ID")</x:f>
        <x:v>Dense Phagia nutrient drink</x:v>
      </x:c>
      <x:c r="G1234" s="4" t="str">
        <x:f>IFERROR(INDEX('Material routes'!$F$6:$F$2205,MATCH(V1234,'Material routes'!$A$6:$A$2205,0)),"MISSING ID")</x:f>
        <x:v>Not applicable</x:v>
      </x:c>
      <x:c r="H1234" s="4" t="str">
        <x:f>IFERROR(INDEX('Material routes'!$H$6:$H$2205,MATCH(V1234,'Material routes'!$A$6:$A$2205,0)),"MISSING ID")</x:f>
        <x:v>Drink consumable</x:v>
      </x:c>
      <x:c r="I1234" s="4" t="str">
        <x:f>IFERROR(INDEX('Material routes'!$G$6:$G$2205,MATCH(V1234,'Material routes'!$A$6:$A$2205,0)),"MISSING ID")</x:f>
        <x:v>Consumables</x:v>
      </x:c>
      <x:c r="J1234" s="4" t="str">
        <x:f>IFERROR(INDEX('Material routes'!$B$6:$B$2205,MATCH(U1234,'Material routes'!$A$6:$A$2205,0)),"MISSING ID")</x:f>
        <x:v>design.audit.proposal_food_dense_drink</x:v>
      </x:c>
      <x:c r="K1234" s="4" t="str">
        <x:f>IFERROR(INDEX('Crafting recipes'!$C$6:$C$1005,MATCH(J1234,'Crafting recipes'!$A$6:$A$1005,0)),"MISSING ID")</x:f>
        <x:v>Finished-item crafting</x:v>
      </x:c>
      <x:c r="L1234" s="4" t="str">
        <x:f>IFERROR(INDEX('Material routes'!$K$6:$K$2205,MATCH(U1234,'Material routes'!$A$6:$A$2205,0)),"MISSING ID")</x:f>
        <x:v>Proposal</x:v>
      </x:c>
      <x:c r="M1234" s="4" t="str">
        <x:f>IFERROR(INDEX('Material routes'!$M$6:$M$2205,MATCH(U1234,'Material routes'!$A$6:$A$2205,0)),"MISSING ID")</x:f>
        <x:v>Partial proposal</x:v>
      </x:c>
      <x:c r="N1234" s="4"/>
      <x:c r="O1234" s="4" t="str">
        <x:f>IFERROR(INDEX('Material routes'!$J$6:$J$2205,MATCH(U1234,'Material routes'!$A$6:$A$2205,0)),"MISSING ID")</x:f>
        <x:v>Unspecified</x:v>
      </x:c>
      <x:c r="P1234" s="4"/>
      <x:c r="Q1234" s="4" t="str">
        <x:f>IFERROR(INDEX('Material routes'!$J$6:$J$2205,MATCH(V1234,'Material routes'!$A$6:$A$2205,0)),"MISSING ID")</x:f>
        <x:v>Unspecified</x:v>
      </x:c>
      <x:c r="R1234" s="4" t="str">
        <x:f>IF(L1234="Withheld","Withheld premise",IF(E1234="Tool candidate","Reusable prerequisite",IF(K1234="Raw entry preparation","Entry-resource preparation",IF(G1234="Not applicable",IF(IFERROR(INDEX('Items'!$AI$6:$AI$1005,MATCH(T1234,'Items'!$A$6:$A$1005,0)),"MISSING ID")="Finished item","Finished endpoint",IF(IFERROR(INDEX('Items'!$AI$6:$AI$1005,MATCH(T1234,'Items'!$A$6:$A$1005,0)),"MISSING ID")="Currency","Currency / no refinement tier","Recovered output / tier not applicable")),IF(OR(IFERROR(INDEX('Crafting recipes'!$H$6:$H$1005,MATCH(J1234,'Crafting recipes'!$A$6:$A$1005,0)),"MISSING ID")="Unassigned",G1234="Unassigned"),"Tier unresolved",IF(IFERROR(VALUE(RIGHT(G1234,1))-VALUE(RIGHT(IFERROR(INDEX('Crafting recipes'!$H$6:$H$1005,MATCH(J1234,'Crafting recipes'!$A$6:$A$1005,0)),"MISSING ID"),1)),0)=1,IF(B1234=IFERROR(INDEX('Crafting recipes'!$H$6:$H$1005,MATCH(J1234,'Crafting recipes'!$A$6:$A$1005,0)),"MISSING ID"),"Advances one material tier","Lower-tier ingredient; route advances one tier"),"Needs tier review"))))))</x:f>
        <x:v>Finished endpoint</x:v>
      </x:c>
      <x:c r="S1234" s="4" t="str">
        <x:f>IFERROR(INDEX('Material routes'!$D$6:$D$2205,MATCH(U1234,'Material routes'!$A$6:$A$2205,0)),"MISSING ID")</x:f>
        <x:v>proposal.collection.reduced_culinary_phagia_concentrate</x:v>
      </x:c>
      <x:c r="T1234" s="4" t="str">
        <x:f>IFERROR(INDEX('Material routes'!$D$6:$D$2205,MATCH(V1234,'Material routes'!$A$6:$A$2205,0)),"MISSING ID")</x:f>
        <x:v>proposal.food.dense_drink</x:v>
      </x:c>
      <x:c r="U1234" s="4" t="str">
        <x:v>design.audit.proposal_food_dense_drink.audit.in.1</x:v>
      </x:c>
      <x:c r="V1234" s="4" t="str">
        <x:v>design.audit.proposal_food_dense_drink.audit.out</x:v>
      </x:c>
    </x:row>
    <x:row r="1235" ht="64" customHeight="1">
      <x:c r="A1235" s="4" t="str">
        <x:f>IFERROR(INDEX('Material routes'!$E$6:$E$2205,MATCH(U1235,'Material routes'!$A$6:$A$2205,0)),"MISSING ID")</x:f>
        <x:v>Culinary Phagia liquid fraction</x:v>
      </x:c>
      <x:c r="B1235" s="4" t="str">
        <x:f>IFERROR(INDEX('Material routes'!$F$6:$F$2205,MATCH(U1235,'Material routes'!$A$6:$A$2205,0)),"MISSING ID")</x:f>
        <x:v>T1</x:v>
      </x:c>
      <x:c r="C1235" s="4" t="str">
        <x:f>IFERROR(INDEX('Material routes'!$H$6:$H$2205,MATCH(U1235,'Material routes'!$A$6:$A$2205,0)),"MISSING ID")</x:f>
        <x:v>Food material</x:v>
      </x:c>
      <x:c r="D1235" s="4" t="str">
        <x:f>IFERROR(INDEX('Material routes'!$G$6:$G$2205,MATCH(U1235,'Material routes'!$A$6:$A$2205,0)),"MISSING ID")</x:f>
        <x:v>Cooking ingredients</x:v>
      </x:c>
      <x:c r="E1235" s="4" t="str">
        <x:f>IFERROR(INDEX('Material routes'!$C$6:$C$2205,MATCH(U1235,'Material routes'!$A$6:$A$2205,0)),"MISSING ID")</x:f>
        <x:v>Ingredient candidate</x:v>
      </x:c>
      <x:c r="F1235" s="4" t="str">
        <x:f>IFERROR(INDEX('Material routes'!$E$6:$E$2205,MATCH(V1235,'Material routes'!$A$6:$A$2205,0)),"MISSING ID")</x:f>
        <x:v>Dense Phagia nutrient drink</x:v>
      </x:c>
      <x:c r="G1235" s="4" t="str">
        <x:f>IFERROR(INDEX('Material routes'!$F$6:$F$2205,MATCH(V1235,'Material routes'!$A$6:$A$2205,0)),"MISSING ID")</x:f>
        <x:v>Not applicable</x:v>
      </x:c>
      <x:c r="H1235" s="4" t="str">
        <x:f>IFERROR(INDEX('Material routes'!$H$6:$H$2205,MATCH(V1235,'Material routes'!$A$6:$A$2205,0)),"MISSING ID")</x:f>
        <x:v>Drink consumable</x:v>
      </x:c>
      <x:c r="I1235" s="4" t="str">
        <x:f>IFERROR(INDEX('Material routes'!$G$6:$G$2205,MATCH(V1235,'Material routes'!$A$6:$A$2205,0)),"MISSING ID")</x:f>
        <x:v>Consumables</x:v>
      </x:c>
      <x:c r="J1235" s="4" t="str">
        <x:f>IFERROR(INDEX('Material routes'!$B$6:$B$2205,MATCH(U1235,'Material routes'!$A$6:$A$2205,0)),"MISSING ID")</x:f>
        <x:v>design.audit.proposal_food_dense_drink</x:v>
      </x:c>
      <x:c r="K1235" s="4" t="str">
        <x:f>IFERROR(INDEX('Crafting recipes'!$C$6:$C$1005,MATCH(J1235,'Crafting recipes'!$A$6:$A$1005,0)),"MISSING ID")</x:f>
        <x:v>Finished-item crafting</x:v>
      </x:c>
      <x:c r="L1235" s="4" t="str">
        <x:f>IFERROR(INDEX('Material routes'!$K$6:$K$2205,MATCH(U1235,'Material routes'!$A$6:$A$2205,0)),"MISSING ID")</x:f>
        <x:v>Proposal</x:v>
      </x:c>
      <x:c r="M1235" s="4" t="str">
        <x:f>IFERROR(INDEX('Material routes'!$M$6:$M$2205,MATCH(U1235,'Material routes'!$A$6:$A$2205,0)),"MISSING ID")</x:f>
        <x:v>Partial proposal</x:v>
      </x:c>
      <x:c r="N1235" s="4"/>
      <x:c r="O1235" s="4" t="str">
        <x:f>IFERROR(INDEX('Material routes'!$J$6:$J$2205,MATCH(U1235,'Material routes'!$A$6:$A$2205,0)),"MISSING ID")</x:f>
        <x:v>Unspecified</x:v>
      </x:c>
      <x:c r="P1235" s="4"/>
      <x:c r="Q1235" s="4" t="str">
        <x:f>IFERROR(INDEX('Material routes'!$J$6:$J$2205,MATCH(V1235,'Material routes'!$A$6:$A$2205,0)),"MISSING ID")</x:f>
        <x:v>Unspecified</x:v>
      </x:c>
      <x:c r="R1235" s="4" t="str">
        <x:f>IF(L1235="Withheld","Withheld premise",IF(E1235="Tool candidate","Reusable prerequisite",IF(K1235="Raw entry preparation","Entry-resource preparation",IF(G1235="Not applicable",IF(IFERROR(INDEX('Items'!$AI$6:$AI$1005,MATCH(T1235,'Items'!$A$6:$A$1005,0)),"MISSING ID")="Finished item","Finished endpoint",IF(IFERROR(INDEX('Items'!$AI$6:$AI$1005,MATCH(T1235,'Items'!$A$6:$A$1005,0)),"MISSING ID")="Currency","Currency / no refinement tier","Recovered output / tier not applicable")),IF(OR(IFERROR(INDEX('Crafting recipes'!$H$6:$H$1005,MATCH(J1235,'Crafting recipes'!$A$6:$A$1005,0)),"MISSING ID")="Unassigned",G1235="Unassigned"),"Tier unresolved",IF(IFERROR(VALUE(RIGHT(G1235,1))-VALUE(RIGHT(IFERROR(INDEX('Crafting recipes'!$H$6:$H$1005,MATCH(J1235,'Crafting recipes'!$A$6:$A$1005,0)),"MISSING ID"),1)),0)=1,IF(B1235=IFERROR(INDEX('Crafting recipes'!$H$6:$H$1005,MATCH(J1235,'Crafting recipes'!$A$6:$A$1005,0)),"MISSING ID"),"Advances one material tier","Lower-tier ingredient; route advances one tier"),"Needs tier review"))))))</x:f>
        <x:v>Finished endpoint</x:v>
      </x:c>
      <x:c r="S1235" s="4" t="str">
        <x:f>IFERROR(INDEX('Material routes'!$D$6:$D$2205,MATCH(U1235,'Material routes'!$A$6:$A$2205,0)),"MISSING ID")</x:f>
        <x:v>proposal.collection.culinary_phagia_liquid_fraction</x:v>
      </x:c>
      <x:c r="T1235" s="4" t="str">
        <x:f>IFERROR(INDEX('Material routes'!$D$6:$D$2205,MATCH(V1235,'Material routes'!$A$6:$A$2205,0)),"MISSING ID")</x:f>
        <x:v>proposal.food.dense_drink</x:v>
      </x:c>
      <x:c r="U1235" s="4" t="str">
        <x:v>design.audit.proposal_food_dense_drink.audit.in.2</x:v>
      </x:c>
      <x:c r="V1235" s="4" t="str">
        <x:v>design.audit.proposal_food_dense_drink.audit.out</x:v>
      </x:c>
    </x:row>
    <x:row r="1236" ht="64" customHeight="1">
      <x:c r="A1236" s="4" t="str">
        <x:f>IFERROR(INDEX('Material routes'!$E$6:$E$2205,MATCH(U1236,'Material routes'!$A$6:$A$2205,0)),"MISSING ID")</x:f>
        <x:v>Fine culinary Phagia meal</x:v>
      </x:c>
      <x:c r="B1236" s="4" t="str">
        <x:f>IFERROR(INDEX('Material routes'!$F$6:$F$2205,MATCH(U1236,'Material routes'!$A$6:$A$2205,0)),"MISSING ID")</x:f>
        <x:v>T1</x:v>
      </x:c>
      <x:c r="C1236" s="4" t="str">
        <x:f>IFERROR(INDEX('Material routes'!$H$6:$H$2205,MATCH(U1236,'Material routes'!$A$6:$A$2205,0)),"MISSING ID")</x:f>
        <x:v>Food material</x:v>
      </x:c>
      <x:c r="D1236" s="4" t="str">
        <x:f>IFERROR(INDEX('Material routes'!$G$6:$G$2205,MATCH(U1236,'Material routes'!$A$6:$A$2205,0)),"MISSING ID")</x:f>
        <x:v>Cooking ingredients</x:v>
      </x:c>
      <x:c r="E1236" s="4" t="str">
        <x:f>IFERROR(INDEX('Material routes'!$C$6:$C$2205,MATCH(U1236,'Material routes'!$A$6:$A$2205,0)),"MISSING ID")</x:f>
        <x:v>Ingredient candidate</x:v>
      </x:c>
      <x:c r="F1236" s="4" t="str">
        <x:f>IFERROR(INDEX('Material routes'!$E$6:$E$2205,MATCH(V1236,'Material routes'!$A$6:$A$2205,0)),"MISSING ID")</x:f>
        <x:v>Phagia ration bar</x:v>
      </x:c>
      <x:c r="G1236" s="4" t="str">
        <x:f>IFERROR(INDEX('Material routes'!$F$6:$F$2205,MATCH(V1236,'Material routes'!$A$6:$A$2205,0)),"MISSING ID")</x:f>
        <x:v>Not applicable</x:v>
      </x:c>
      <x:c r="H1236" s="4" t="str">
        <x:f>IFERROR(INDEX('Material routes'!$H$6:$H$2205,MATCH(V1236,'Material routes'!$A$6:$A$2205,0)),"MISSING ID")</x:f>
        <x:v>Food consumable</x:v>
      </x:c>
      <x:c r="I1236" s="4" t="str">
        <x:f>IFERROR(INDEX('Material routes'!$G$6:$G$2205,MATCH(V1236,'Material routes'!$A$6:$A$2205,0)),"MISSING ID")</x:f>
        <x:v>Consumables</x:v>
      </x:c>
      <x:c r="J1236" s="4" t="str">
        <x:f>IFERROR(INDEX('Material routes'!$B$6:$B$2205,MATCH(U1236,'Material routes'!$A$6:$A$2205,0)),"MISSING ID")</x:f>
        <x:v>design.audit.proposal_food_ration_bar</x:v>
      </x:c>
      <x:c r="K1236" s="4" t="str">
        <x:f>IFERROR(INDEX('Crafting recipes'!$C$6:$C$1005,MATCH(J1236,'Crafting recipes'!$A$6:$A$1005,0)),"MISSING ID")</x:f>
        <x:v>Finished-item crafting</x:v>
      </x:c>
      <x:c r="L1236" s="4" t="str">
        <x:f>IFERROR(INDEX('Material routes'!$K$6:$K$2205,MATCH(U1236,'Material routes'!$A$6:$A$2205,0)),"MISSING ID")</x:f>
        <x:v>Proposal</x:v>
      </x:c>
      <x:c r="M1236" s="4" t="str">
        <x:f>IFERROR(INDEX('Material routes'!$M$6:$M$2205,MATCH(U1236,'Material routes'!$A$6:$A$2205,0)),"MISSING ID")</x:f>
        <x:v>Partial proposal</x:v>
      </x:c>
      <x:c r="N1236" s="4"/>
      <x:c r="O1236" s="4" t="str">
        <x:f>IFERROR(INDEX('Material routes'!$J$6:$J$2205,MATCH(U1236,'Material routes'!$A$6:$A$2205,0)),"MISSING ID")</x:f>
        <x:v>Unspecified</x:v>
      </x:c>
      <x:c r="P1236" s="4"/>
      <x:c r="Q1236" s="4" t="str">
        <x:f>IFERROR(INDEX('Material routes'!$J$6:$J$2205,MATCH(V1236,'Material routes'!$A$6:$A$2205,0)),"MISSING ID")</x:f>
        <x:v>Unspecified</x:v>
      </x:c>
      <x:c r="R1236" s="4" t="str">
        <x:f>IF(L1236="Withheld","Withheld premise",IF(E1236="Tool candidate","Reusable prerequisite",IF(K1236="Raw entry preparation","Entry-resource preparation",IF(G1236="Not applicable",IF(IFERROR(INDEX('Items'!$AI$6:$AI$1005,MATCH(T1236,'Items'!$A$6:$A$1005,0)),"MISSING ID")="Finished item","Finished endpoint",IF(IFERROR(INDEX('Items'!$AI$6:$AI$1005,MATCH(T1236,'Items'!$A$6:$A$1005,0)),"MISSING ID")="Currency","Currency / no refinement tier","Recovered output / tier not applicable")),IF(OR(IFERROR(INDEX('Crafting recipes'!$H$6:$H$1005,MATCH(J1236,'Crafting recipes'!$A$6:$A$1005,0)),"MISSING ID")="Unassigned",G1236="Unassigned"),"Tier unresolved",IF(IFERROR(VALUE(RIGHT(G1236,1))-VALUE(RIGHT(IFERROR(INDEX('Crafting recipes'!$H$6:$H$1005,MATCH(J1236,'Crafting recipes'!$A$6:$A$1005,0)),"MISSING ID"),1)),0)=1,IF(B1236=IFERROR(INDEX('Crafting recipes'!$H$6:$H$1005,MATCH(J1236,'Crafting recipes'!$A$6:$A$1005,0)),"MISSING ID"),"Advances one material tier","Lower-tier ingredient; route advances one tier"),"Needs tier review"))))))</x:f>
        <x:v>Finished endpoint</x:v>
      </x:c>
      <x:c r="S1236" s="4" t="str">
        <x:f>IFERROR(INDEX('Material routes'!$D$6:$D$2205,MATCH(U1236,'Material routes'!$A$6:$A$2205,0)),"MISSING ID")</x:f>
        <x:v>proposal.collection.fine_culinary_phagia_meal</x:v>
      </x:c>
      <x:c r="T1236" s="4" t="str">
        <x:f>IFERROR(INDEX('Material routes'!$D$6:$D$2205,MATCH(V1236,'Material routes'!$A$6:$A$2205,0)),"MISSING ID")</x:f>
        <x:v>proposal.food.ration_bar</x:v>
      </x:c>
      <x:c r="U1236" s="4" t="str">
        <x:v>design.audit.proposal_food_ration_bar.audit.in.1</x:v>
      </x:c>
      <x:c r="V1236" s="4" t="str">
        <x:v>design.audit.proposal_food_ration_bar.audit.out</x:v>
      </x:c>
    </x:row>
    <x:row r="1237" ht="64" customHeight="1">
      <x:c r="A1237" s="4" t="str">
        <x:f>IFERROR(INDEX('Material routes'!$E$6:$E$2205,MATCH(U1237,'Material routes'!$A$6:$A$2205,0)),"MISSING ID")</x:f>
        <x:v>Culinary Phagia binding paste</x:v>
      </x:c>
      <x:c r="B1237" s="4" t="str">
        <x:f>IFERROR(INDEX('Material routes'!$F$6:$F$2205,MATCH(U1237,'Material routes'!$A$6:$A$2205,0)),"MISSING ID")</x:f>
        <x:v>T1</x:v>
      </x:c>
      <x:c r="C1237" s="4" t="str">
        <x:f>IFERROR(INDEX('Material routes'!$H$6:$H$2205,MATCH(U1237,'Material routes'!$A$6:$A$2205,0)),"MISSING ID")</x:f>
        <x:v>Food material</x:v>
      </x:c>
      <x:c r="D1237" s="4" t="str">
        <x:f>IFERROR(INDEX('Material routes'!$G$6:$G$2205,MATCH(U1237,'Material routes'!$A$6:$A$2205,0)),"MISSING ID")</x:f>
        <x:v>Cooking ingredients</x:v>
      </x:c>
      <x:c r="E1237" s="4" t="str">
        <x:f>IFERROR(INDEX('Material routes'!$C$6:$C$2205,MATCH(U1237,'Material routes'!$A$6:$A$2205,0)),"MISSING ID")</x:f>
        <x:v>Ingredient candidate</x:v>
      </x:c>
      <x:c r="F1237" s="4" t="str">
        <x:f>IFERROR(INDEX('Material routes'!$E$6:$E$2205,MATCH(V1237,'Material routes'!$A$6:$A$2205,0)),"MISSING ID")</x:f>
        <x:v>Phagia ration bar</x:v>
      </x:c>
      <x:c r="G1237" s="4" t="str">
        <x:f>IFERROR(INDEX('Material routes'!$F$6:$F$2205,MATCH(V1237,'Material routes'!$A$6:$A$2205,0)),"MISSING ID")</x:f>
        <x:v>Not applicable</x:v>
      </x:c>
      <x:c r="H1237" s="4" t="str">
        <x:f>IFERROR(INDEX('Material routes'!$H$6:$H$2205,MATCH(V1237,'Material routes'!$A$6:$A$2205,0)),"MISSING ID")</x:f>
        <x:v>Food consumable</x:v>
      </x:c>
      <x:c r="I1237" s="4" t="str">
        <x:f>IFERROR(INDEX('Material routes'!$G$6:$G$2205,MATCH(V1237,'Material routes'!$A$6:$A$2205,0)),"MISSING ID")</x:f>
        <x:v>Consumables</x:v>
      </x:c>
      <x:c r="J1237" s="4" t="str">
        <x:f>IFERROR(INDEX('Material routes'!$B$6:$B$2205,MATCH(U1237,'Material routes'!$A$6:$A$2205,0)),"MISSING ID")</x:f>
        <x:v>design.audit.proposal_food_ration_bar</x:v>
      </x:c>
      <x:c r="K1237" s="4" t="str">
        <x:f>IFERROR(INDEX('Crafting recipes'!$C$6:$C$1005,MATCH(J1237,'Crafting recipes'!$A$6:$A$1005,0)),"MISSING ID")</x:f>
        <x:v>Finished-item crafting</x:v>
      </x:c>
      <x:c r="L1237" s="4" t="str">
        <x:f>IFERROR(INDEX('Material routes'!$K$6:$K$2205,MATCH(U1237,'Material routes'!$A$6:$A$2205,0)),"MISSING ID")</x:f>
        <x:v>Proposal</x:v>
      </x:c>
      <x:c r="M1237" s="4" t="str">
        <x:f>IFERROR(INDEX('Material routes'!$M$6:$M$2205,MATCH(U1237,'Material routes'!$A$6:$A$2205,0)),"MISSING ID")</x:f>
        <x:v>Partial proposal</x:v>
      </x:c>
      <x:c r="N1237" s="4"/>
      <x:c r="O1237" s="4" t="str">
        <x:f>IFERROR(INDEX('Material routes'!$J$6:$J$2205,MATCH(U1237,'Material routes'!$A$6:$A$2205,0)),"MISSING ID")</x:f>
        <x:v>Unspecified</x:v>
      </x:c>
      <x:c r="P1237" s="4"/>
      <x:c r="Q1237" s="4" t="str">
        <x:f>IFERROR(INDEX('Material routes'!$J$6:$J$2205,MATCH(V1237,'Material routes'!$A$6:$A$2205,0)),"MISSING ID")</x:f>
        <x:v>Unspecified</x:v>
      </x:c>
      <x:c r="R1237" s="4" t="str">
        <x:f>IF(L1237="Withheld","Withheld premise",IF(E1237="Tool candidate","Reusable prerequisite",IF(K1237="Raw entry preparation","Entry-resource preparation",IF(G1237="Not applicable",IF(IFERROR(INDEX('Items'!$AI$6:$AI$1005,MATCH(T1237,'Items'!$A$6:$A$1005,0)),"MISSING ID")="Finished item","Finished endpoint",IF(IFERROR(INDEX('Items'!$AI$6:$AI$1005,MATCH(T1237,'Items'!$A$6:$A$1005,0)),"MISSING ID")="Currency","Currency / no refinement tier","Recovered output / tier not applicable")),IF(OR(IFERROR(INDEX('Crafting recipes'!$H$6:$H$1005,MATCH(J1237,'Crafting recipes'!$A$6:$A$1005,0)),"MISSING ID")="Unassigned",G1237="Unassigned"),"Tier unresolved",IF(IFERROR(VALUE(RIGHT(G1237,1))-VALUE(RIGHT(IFERROR(INDEX('Crafting recipes'!$H$6:$H$1005,MATCH(J1237,'Crafting recipes'!$A$6:$A$1005,0)),"MISSING ID"),1)),0)=1,IF(B1237=IFERROR(INDEX('Crafting recipes'!$H$6:$H$1005,MATCH(J1237,'Crafting recipes'!$A$6:$A$1005,0)),"MISSING ID"),"Advances one material tier","Lower-tier ingredient; route advances one tier"),"Needs tier review"))))))</x:f>
        <x:v>Finished endpoint</x:v>
      </x:c>
      <x:c r="S1237" s="4" t="str">
        <x:f>IFERROR(INDEX('Material routes'!$D$6:$D$2205,MATCH(U1237,'Material routes'!$A$6:$A$2205,0)),"MISSING ID")</x:f>
        <x:v>proposal.collection.culinary_phagia_binding_paste</x:v>
      </x:c>
      <x:c r="T1237" s="4" t="str">
        <x:f>IFERROR(INDEX('Material routes'!$D$6:$D$2205,MATCH(V1237,'Material routes'!$A$6:$A$2205,0)),"MISSING ID")</x:f>
        <x:v>proposal.food.ration_bar</x:v>
      </x:c>
      <x:c r="U1237" s="4" t="str">
        <x:v>design.audit.proposal_food_ration_bar.audit.in.2</x:v>
      </x:c>
      <x:c r="V1237" s="4" t="str">
        <x:v>design.audit.proposal_food_ration_bar.audit.out</x:v>
      </x:c>
    </x:row>
    <x:row r="1238" ht="64" customHeight="1">
      <x:c r="A1238" s="4" t="str">
        <x:f>IFERROR(INDEX('Material routes'!$E$6:$E$2205,MATCH(U1238,'Material routes'!$A$6:$A$2205,0)),"MISSING ID")</x:f>
        <x:v>Fine culinary Phagia meal</x:v>
      </x:c>
      <x:c r="B1238" s="4" t="str">
        <x:f>IFERROR(INDEX('Material routes'!$F$6:$F$2205,MATCH(U1238,'Material routes'!$A$6:$A$2205,0)),"MISSING ID")</x:f>
        <x:v>T1</x:v>
      </x:c>
      <x:c r="C1238" s="4" t="str">
        <x:f>IFERROR(INDEX('Material routes'!$H$6:$H$2205,MATCH(U1238,'Material routes'!$A$6:$A$2205,0)),"MISSING ID")</x:f>
        <x:v>Food material</x:v>
      </x:c>
      <x:c r="D1238" s="4" t="str">
        <x:f>IFERROR(INDEX('Material routes'!$G$6:$G$2205,MATCH(U1238,'Material routes'!$A$6:$A$2205,0)),"MISSING ID")</x:f>
        <x:v>Cooking ingredients</x:v>
      </x:c>
      <x:c r="E1238" s="4" t="str">
        <x:f>IFERROR(INDEX('Material routes'!$C$6:$C$2205,MATCH(U1238,'Material routes'!$A$6:$A$2205,0)),"MISSING ID")</x:f>
        <x:v>Ingredient candidate</x:v>
      </x:c>
      <x:c r="F1238" s="4" t="str">
        <x:f>IFERROR(INDEX('Material routes'!$E$6:$E$2205,MATCH(V1238,'Material routes'!$A$6:$A$2205,0)),"MISSING ID")</x:f>
        <x:v>Dried Phagia travel bar</x:v>
      </x:c>
      <x:c r="G1238" s="4" t="str">
        <x:f>IFERROR(INDEX('Material routes'!$F$6:$F$2205,MATCH(V1238,'Material routes'!$A$6:$A$2205,0)),"MISSING ID")</x:f>
        <x:v>Not applicable</x:v>
      </x:c>
      <x:c r="H1238" s="4" t="str">
        <x:f>IFERROR(INDEX('Material routes'!$H$6:$H$2205,MATCH(V1238,'Material routes'!$A$6:$A$2205,0)),"MISSING ID")</x:f>
        <x:v>Food consumable</x:v>
      </x:c>
      <x:c r="I1238" s="4" t="str">
        <x:f>IFERROR(INDEX('Material routes'!$G$6:$G$2205,MATCH(V1238,'Material routes'!$A$6:$A$2205,0)),"MISSING ID")</x:f>
        <x:v>Consumables</x:v>
      </x:c>
      <x:c r="J1238" s="4" t="str">
        <x:f>IFERROR(INDEX('Material routes'!$B$6:$B$2205,MATCH(U1238,'Material routes'!$A$6:$A$2205,0)),"MISSING ID")</x:f>
        <x:v>design.audit.proposal_food_dried_bar</x:v>
      </x:c>
      <x:c r="K1238" s="4" t="str">
        <x:f>IFERROR(INDEX('Crafting recipes'!$C$6:$C$1005,MATCH(J1238,'Crafting recipes'!$A$6:$A$1005,0)),"MISSING ID")</x:f>
        <x:v>Finished-item crafting</x:v>
      </x:c>
      <x:c r="L1238" s="4" t="str">
        <x:f>IFERROR(INDEX('Material routes'!$K$6:$K$2205,MATCH(U1238,'Material routes'!$A$6:$A$2205,0)),"MISSING ID")</x:f>
        <x:v>Proposal</x:v>
      </x:c>
      <x:c r="M1238" s="4" t="str">
        <x:f>IFERROR(INDEX('Material routes'!$M$6:$M$2205,MATCH(U1238,'Material routes'!$A$6:$A$2205,0)),"MISSING ID")</x:f>
        <x:v>Partial proposal</x:v>
      </x:c>
      <x:c r="N1238" s="4"/>
      <x:c r="O1238" s="4" t="str">
        <x:f>IFERROR(INDEX('Material routes'!$J$6:$J$2205,MATCH(U1238,'Material routes'!$A$6:$A$2205,0)),"MISSING ID")</x:f>
        <x:v>Unspecified</x:v>
      </x:c>
      <x:c r="P1238" s="4"/>
      <x:c r="Q1238" s="4" t="str">
        <x:f>IFERROR(INDEX('Material routes'!$J$6:$J$2205,MATCH(V1238,'Material routes'!$A$6:$A$2205,0)),"MISSING ID")</x:f>
        <x:v>Unspecified</x:v>
      </x:c>
      <x:c r="R1238" s="4" t="str">
        <x:f>IF(L1238="Withheld","Withheld premise",IF(E1238="Tool candidate","Reusable prerequisite",IF(K1238="Raw entry preparation","Entry-resource preparation",IF(G1238="Not applicable",IF(IFERROR(INDEX('Items'!$AI$6:$AI$1005,MATCH(T1238,'Items'!$A$6:$A$1005,0)),"MISSING ID")="Finished item","Finished endpoint",IF(IFERROR(INDEX('Items'!$AI$6:$AI$1005,MATCH(T1238,'Items'!$A$6:$A$1005,0)),"MISSING ID")="Currency","Currency / no refinement tier","Recovered output / tier not applicable")),IF(OR(IFERROR(INDEX('Crafting recipes'!$H$6:$H$1005,MATCH(J1238,'Crafting recipes'!$A$6:$A$1005,0)),"MISSING ID")="Unassigned",G1238="Unassigned"),"Tier unresolved",IF(IFERROR(VALUE(RIGHT(G1238,1))-VALUE(RIGHT(IFERROR(INDEX('Crafting recipes'!$H$6:$H$1005,MATCH(J1238,'Crafting recipes'!$A$6:$A$1005,0)),"MISSING ID"),1)),0)=1,IF(B1238=IFERROR(INDEX('Crafting recipes'!$H$6:$H$1005,MATCH(J1238,'Crafting recipes'!$A$6:$A$1005,0)),"MISSING ID"),"Advances one material tier","Lower-tier ingredient; route advances one tier"),"Needs tier review"))))))</x:f>
        <x:v>Finished endpoint</x:v>
      </x:c>
      <x:c r="S1238" s="4" t="str">
        <x:f>IFERROR(INDEX('Material routes'!$D$6:$D$2205,MATCH(U1238,'Material routes'!$A$6:$A$2205,0)),"MISSING ID")</x:f>
        <x:v>proposal.collection.fine_culinary_phagia_meal</x:v>
      </x:c>
      <x:c r="T1238" s="4" t="str">
        <x:f>IFERROR(INDEX('Material routes'!$D$6:$D$2205,MATCH(V1238,'Material routes'!$A$6:$A$2205,0)),"MISSING ID")</x:f>
        <x:v>proposal.food.dried_bar</x:v>
      </x:c>
      <x:c r="U1238" s="4" t="str">
        <x:v>design.audit.proposal_food_dried_bar.audit.in.1</x:v>
      </x:c>
      <x:c r="V1238" s="4" t="str">
        <x:v>design.audit.proposal_food_dried_bar.audit.out</x:v>
      </x:c>
    </x:row>
    <x:row r="1239" ht="64" customHeight="1">
      <x:c r="A1239" s="4" t="str">
        <x:f>IFERROR(INDEX('Material routes'!$E$6:$E$2205,MATCH(U1239,'Material routes'!$A$6:$A$2205,0)),"MISSING ID")</x:f>
        <x:v>Pressed culinary Phagia flakes</x:v>
      </x:c>
      <x:c r="B1239" s="4" t="str">
        <x:f>IFERROR(INDEX('Material routes'!$F$6:$F$2205,MATCH(U1239,'Material routes'!$A$6:$A$2205,0)),"MISSING ID")</x:f>
        <x:v>T1</x:v>
      </x:c>
      <x:c r="C1239" s="4" t="str">
        <x:f>IFERROR(INDEX('Material routes'!$H$6:$H$2205,MATCH(U1239,'Material routes'!$A$6:$A$2205,0)),"MISSING ID")</x:f>
        <x:v>Food material</x:v>
      </x:c>
      <x:c r="D1239" s="4" t="str">
        <x:f>IFERROR(INDEX('Material routes'!$G$6:$G$2205,MATCH(U1239,'Material routes'!$A$6:$A$2205,0)),"MISSING ID")</x:f>
        <x:v>Cooking ingredients</x:v>
      </x:c>
      <x:c r="E1239" s="4" t="str">
        <x:f>IFERROR(INDEX('Material routes'!$C$6:$C$2205,MATCH(U1239,'Material routes'!$A$6:$A$2205,0)),"MISSING ID")</x:f>
        <x:v>Ingredient candidate</x:v>
      </x:c>
      <x:c r="F1239" s="4" t="str">
        <x:f>IFERROR(INDEX('Material routes'!$E$6:$E$2205,MATCH(V1239,'Material routes'!$A$6:$A$2205,0)),"MISSING ID")</x:f>
        <x:v>Dried Phagia travel bar</x:v>
      </x:c>
      <x:c r="G1239" s="4" t="str">
        <x:f>IFERROR(INDEX('Material routes'!$F$6:$F$2205,MATCH(V1239,'Material routes'!$A$6:$A$2205,0)),"MISSING ID")</x:f>
        <x:v>Not applicable</x:v>
      </x:c>
      <x:c r="H1239" s="4" t="str">
        <x:f>IFERROR(INDEX('Material routes'!$H$6:$H$2205,MATCH(V1239,'Material routes'!$A$6:$A$2205,0)),"MISSING ID")</x:f>
        <x:v>Food consumable</x:v>
      </x:c>
      <x:c r="I1239" s="4" t="str">
        <x:f>IFERROR(INDEX('Material routes'!$G$6:$G$2205,MATCH(V1239,'Material routes'!$A$6:$A$2205,0)),"MISSING ID")</x:f>
        <x:v>Consumables</x:v>
      </x:c>
      <x:c r="J1239" s="4" t="str">
        <x:f>IFERROR(INDEX('Material routes'!$B$6:$B$2205,MATCH(U1239,'Material routes'!$A$6:$A$2205,0)),"MISSING ID")</x:f>
        <x:v>design.audit.proposal_food_dried_bar</x:v>
      </x:c>
      <x:c r="K1239" s="4" t="str">
        <x:f>IFERROR(INDEX('Crafting recipes'!$C$6:$C$1005,MATCH(J1239,'Crafting recipes'!$A$6:$A$1005,0)),"MISSING ID")</x:f>
        <x:v>Finished-item crafting</x:v>
      </x:c>
      <x:c r="L1239" s="4" t="str">
        <x:f>IFERROR(INDEX('Material routes'!$K$6:$K$2205,MATCH(U1239,'Material routes'!$A$6:$A$2205,0)),"MISSING ID")</x:f>
        <x:v>Proposal</x:v>
      </x:c>
      <x:c r="M1239" s="4" t="str">
        <x:f>IFERROR(INDEX('Material routes'!$M$6:$M$2205,MATCH(U1239,'Material routes'!$A$6:$A$2205,0)),"MISSING ID")</x:f>
        <x:v>Partial proposal</x:v>
      </x:c>
      <x:c r="N1239" s="4"/>
      <x:c r="O1239" s="4" t="str">
        <x:f>IFERROR(INDEX('Material routes'!$J$6:$J$2205,MATCH(U1239,'Material routes'!$A$6:$A$2205,0)),"MISSING ID")</x:f>
        <x:v>Unspecified</x:v>
      </x:c>
      <x:c r="P1239" s="4"/>
      <x:c r="Q1239" s="4" t="str">
        <x:f>IFERROR(INDEX('Material routes'!$J$6:$J$2205,MATCH(V1239,'Material routes'!$A$6:$A$2205,0)),"MISSING ID")</x:f>
        <x:v>Unspecified</x:v>
      </x:c>
      <x:c r="R1239" s="4" t="str">
        <x:f>IF(L1239="Withheld","Withheld premise",IF(E1239="Tool candidate","Reusable prerequisite",IF(K1239="Raw entry preparation","Entry-resource preparation",IF(G1239="Not applicable",IF(IFERROR(INDEX('Items'!$AI$6:$AI$1005,MATCH(T1239,'Items'!$A$6:$A$1005,0)),"MISSING ID")="Finished item","Finished endpoint",IF(IFERROR(INDEX('Items'!$AI$6:$AI$1005,MATCH(T1239,'Items'!$A$6:$A$1005,0)),"MISSING ID")="Currency","Currency / no refinement tier","Recovered output / tier not applicable")),IF(OR(IFERROR(INDEX('Crafting recipes'!$H$6:$H$1005,MATCH(J1239,'Crafting recipes'!$A$6:$A$1005,0)),"MISSING ID")="Unassigned",G1239="Unassigned"),"Tier unresolved",IF(IFERROR(VALUE(RIGHT(G1239,1))-VALUE(RIGHT(IFERROR(INDEX('Crafting recipes'!$H$6:$H$1005,MATCH(J1239,'Crafting recipes'!$A$6:$A$1005,0)),"MISSING ID"),1)),0)=1,IF(B1239=IFERROR(INDEX('Crafting recipes'!$H$6:$H$1005,MATCH(J1239,'Crafting recipes'!$A$6:$A$1005,0)),"MISSING ID"),"Advances one material tier","Lower-tier ingredient; route advances one tier"),"Needs tier review"))))))</x:f>
        <x:v>Finished endpoint</x:v>
      </x:c>
      <x:c r="S1239" s="4" t="str">
        <x:f>IFERROR(INDEX('Material routes'!$D$6:$D$2205,MATCH(U1239,'Material routes'!$A$6:$A$2205,0)),"MISSING ID")</x:f>
        <x:v>proposal.collection.pressed_culinary_phagia_flakes</x:v>
      </x:c>
      <x:c r="T1239" s="4" t="str">
        <x:f>IFERROR(INDEX('Material routes'!$D$6:$D$2205,MATCH(V1239,'Material routes'!$A$6:$A$2205,0)),"MISSING ID")</x:f>
        <x:v>proposal.food.dried_bar</x:v>
      </x:c>
      <x:c r="U1239" s="4" t="str">
        <x:v>design.audit.proposal_food_dried_bar.audit.in.2</x:v>
      </x:c>
      <x:c r="V1239" s="4" t="str">
        <x:v>design.audit.proposal_food_dried_bar.audit.out</x:v>
      </x:c>
    </x:row>
    <x:row r="1240" ht="64" customHeight="1">
      <x:c r="A1240" s="4" t="str">
        <x:f>IFERROR(INDEX('Material routes'!$E$6:$E$2205,MATCH(U1240,'Material routes'!$A$6:$A$2205,0)),"MISSING ID")</x:f>
        <x:v>Drained culinary Phagia curd</x:v>
      </x:c>
      <x:c r="B1240" s="4" t="str">
        <x:f>IFERROR(INDEX('Material routes'!$F$6:$F$2205,MATCH(U1240,'Material routes'!$A$6:$A$2205,0)),"MISSING ID")</x:f>
        <x:v>T1</x:v>
      </x:c>
      <x:c r="C1240" s="4" t="str">
        <x:f>IFERROR(INDEX('Material routes'!$H$6:$H$2205,MATCH(U1240,'Material routes'!$A$6:$A$2205,0)),"MISSING ID")</x:f>
        <x:v>Food material</x:v>
      </x:c>
      <x:c r="D1240" s="4" t="str">
        <x:f>IFERROR(INDEX('Material routes'!$G$6:$G$2205,MATCH(U1240,'Material routes'!$A$6:$A$2205,0)),"MISSING ID")</x:f>
        <x:v>Cooking ingredients</x:v>
      </x:c>
      <x:c r="E1240" s="4" t="str">
        <x:f>IFERROR(INDEX('Material routes'!$C$6:$C$2205,MATCH(U1240,'Material routes'!$A$6:$A$2205,0)),"MISSING ID")</x:f>
        <x:v>Ingredient candidate</x:v>
      </x:c>
      <x:c r="F1240" s="4" t="str">
        <x:f>IFERROR(INDEX('Material routes'!$E$6:$E$2205,MATCH(V1240,'Material routes'!$A$6:$A$2205,0)),"MISSING ID")</x:f>
        <x:v>Prepared Phagia meal paste</x:v>
      </x:c>
      <x:c r="G1240" s="4" t="str">
        <x:f>IFERROR(INDEX('Material routes'!$F$6:$F$2205,MATCH(V1240,'Material routes'!$A$6:$A$2205,0)),"MISSING ID")</x:f>
        <x:v>Not applicable</x:v>
      </x:c>
      <x:c r="H1240" s="4" t="str">
        <x:f>IFERROR(INDEX('Material routes'!$H$6:$H$2205,MATCH(V1240,'Material routes'!$A$6:$A$2205,0)),"MISSING ID")</x:f>
        <x:v>Food consumable</x:v>
      </x:c>
      <x:c r="I1240" s="4" t="str">
        <x:f>IFERROR(INDEX('Material routes'!$G$6:$G$2205,MATCH(V1240,'Material routes'!$A$6:$A$2205,0)),"MISSING ID")</x:f>
        <x:v>Consumables</x:v>
      </x:c>
      <x:c r="J1240" s="4" t="str">
        <x:f>IFERROR(INDEX('Material routes'!$B$6:$B$2205,MATCH(U1240,'Material routes'!$A$6:$A$2205,0)),"MISSING ID")</x:f>
        <x:v>design.audit.proposal_food_meal_paste</x:v>
      </x:c>
      <x:c r="K1240" s="4" t="str">
        <x:f>IFERROR(INDEX('Crafting recipes'!$C$6:$C$1005,MATCH(J1240,'Crafting recipes'!$A$6:$A$1005,0)),"MISSING ID")</x:f>
        <x:v>Finished-item crafting</x:v>
      </x:c>
      <x:c r="L1240" s="4" t="str">
        <x:f>IFERROR(INDEX('Material routes'!$K$6:$K$2205,MATCH(U1240,'Material routes'!$A$6:$A$2205,0)),"MISSING ID")</x:f>
        <x:v>Proposal</x:v>
      </x:c>
      <x:c r="M1240" s="4" t="str">
        <x:f>IFERROR(INDEX('Material routes'!$M$6:$M$2205,MATCH(U1240,'Material routes'!$A$6:$A$2205,0)),"MISSING ID")</x:f>
        <x:v>Partial proposal</x:v>
      </x:c>
      <x:c r="N1240" s="4"/>
      <x:c r="O1240" s="4" t="str">
        <x:f>IFERROR(INDEX('Material routes'!$J$6:$J$2205,MATCH(U1240,'Material routes'!$A$6:$A$2205,0)),"MISSING ID")</x:f>
        <x:v>Unspecified</x:v>
      </x:c>
      <x:c r="P1240" s="4"/>
      <x:c r="Q1240" s="4" t="str">
        <x:f>IFERROR(INDEX('Material routes'!$J$6:$J$2205,MATCH(V1240,'Material routes'!$A$6:$A$2205,0)),"MISSING ID")</x:f>
        <x:v>Unspecified</x:v>
      </x:c>
      <x:c r="R1240" s="4" t="str">
        <x:f>IF(L1240="Withheld","Withheld premise",IF(E1240="Tool candidate","Reusable prerequisite",IF(K1240="Raw entry preparation","Entry-resource preparation",IF(G1240="Not applicable",IF(IFERROR(INDEX('Items'!$AI$6:$AI$1005,MATCH(T1240,'Items'!$A$6:$A$1005,0)),"MISSING ID")="Finished item","Finished endpoint",IF(IFERROR(INDEX('Items'!$AI$6:$AI$1005,MATCH(T1240,'Items'!$A$6:$A$1005,0)),"MISSING ID")="Currency","Currency / no refinement tier","Recovered output / tier not applicable")),IF(OR(IFERROR(INDEX('Crafting recipes'!$H$6:$H$1005,MATCH(J1240,'Crafting recipes'!$A$6:$A$1005,0)),"MISSING ID")="Unassigned",G1240="Unassigned"),"Tier unresolved",IF(IFERROR(VALUE(RIGHT(G1240,1))-VALUE(RIGHT(IFERROR(INDEX('Crafting recipes'!$H$6:$H$1005,MATCH(J1240,'Crafting recipes'!$A$6:$A$1005,0)),"MISSING ID"),1)),0)=1,IF(B1240=IFERROR(INDEX('Crafting recipes'!$H$6:$H$1005,MATCH(J1240,'Crafting recipes'!$A$6:$A$1005,0)),"MISSING ID"),"Advances one material tier","Lower-tier ingredient; route advances one tier"),"Needs tier review"))))))</x:f>
        <x:v>Finished endpoint</x:v>
      </x:c>
      <x:c r="S1240" s="4" t="str">
        <x:f>IFERROR(INDEX('Material routes'!$D$6:$D$2205,MATCH(U1240,'Material routes'!$A$6:$A$2205,0)),"MISSING ID")</x:f>
        <x:v>proposal.collection.drained_culinary_phagia_curd</x:v>
      </x:c>
      <x:c r="T1240" s="4" t="str">
        <x:f>IFERROR(INDEX('Material routes'!$D$6:$D$2205,MATCH(V1240,'Material routes'!$A$6:$A$2205,0)),"MISSING ID")</x:f>
        <x:v>proposal.food.meal_paste</x:v>
      </x:c>
      <x:c r="U1240" s="4" t="str">
        <x:v>design.audit.proposal_food_meal_paste.audit.in.1</x:v>
      </x:c>
      <x:c r="V1240" s="4" t="str">
        <x:v>design.audit.proposal_food_meal_paste.audit.out</x:v>
      </x:c>
    </x:row>
    <x:row r="1241" ht="64" customHeight="1">
      <x:c r="A1241" s="4" t="str">
        <x:f>IFERROR(INDEX('Material routes'!$E$6:$E$2205,MATCH(U1241,'Material routes'!$A$6:$A$2205,0)),"MISSING ID")</x:f>
        <x:v>Culinary Phagia binding paste</x:v>
      </x:c>
      <x:c r="B1241" s="4" t="str">
        <x:f>IFERROR(INDEX('Material routes'!$F$6:$F$2205,MATCH(U1241,'Material routes'!$A$6:$A$2205,0)),"MISSING ID")</x:f>
        <x:v>T1</x:v>
      </x:c>
      <x:c r="C1241" s="4" t="str">
        <x:f>IFERROR(INDEX('Material routes'!$H$6:$H$2205,MATCH(U1241,'Material routes'!$A$6:$A$2205,0)),"MISSING ID")</x:f>
        <x:v>Food material</x:v>
      </x:c>
      <x:c r="D1241" s="4" t="str">
        <x:f>IFERROR(INDEX('Material routes'!$G$6:$G$2205,MATCH(U1241,'Material routes'!$A$6:$A$2205,0)),"MISSING ID")</x:f>
        <x:v>Cooking ingredients</x:v>
      </x:c>
      <x:c r="E1241" s="4" t="str">
        <x:f>IFERROR(INDEX('Material routes'!$C$6:$C$2205,MATCH(U1241,'Material routes'!$A$6:$A$2205,0)),"MISSING ID")</x:f>
        <x:v>Ingredient candidate</x:v>
      </x:c>
      <x:c r="F1241" s="4" t="str">
        <x:f>IFERROR(INDEX('Material routes'!$E$6:$E$2205,MATCH(V1241,'Material routes'!$A$6:$A$2205,0)),"MISSING ID")</x:f>
        <x:v>Prepared Phagia meal paste</x:v>
      </x:c>
      <x:c r="G1241" s="4" t="str">
        <x:f>IFERROR(INDEX('Material routes'!$F$6:$F$2205,MATCH(V1241,'Material routes'!$A$6:$A$2205,0)),"MISSING ID")</x:f>
        <x:v>Not applicable</x:v>
      </x:c>
      <x:c r="H1241" s="4" t="str">
        <x:f>IFERROR(INDEX('Material routes'!$H$6:$H$2205,MATCH(V1241,'Material routes'!$A$6:$A$2205,0)),"MISSING ID")</x:f>
        <x:v>Food consumable</x:v>
      </x:c>
      <x:c r="I1241" s="4" t="str">
        <x:f>IFERROR(INDEX('Material routes'!$G$6:$G$2205,MATCH(V1241,'Material routes'!$A$6:$A$2205,0)),"MISSING ID")</x:f>
        <x:v>Consumables</x:v>
      </x:c>
      <x:c r="J1241" s="4" t="str">
        <x:f>IFERROR(INDEX('Material routes'!$B$6:$B$2205,MATCH(U1241,'Material routes'!$A$6:$A$2205,0)),"MISSING ID")</x:f>
        <x:v>design.audit.proposal_food_meal_paste</x:v>
      </x:c>
      <x:c r="K1241" s="4" t="str">
        <x:f>IFERROR(INDEX('Crafting recipes'!$C$6:$C$1005,MATCH(J1241,'Crafting recipes'!$A$6:$A$1005,0)),"MISSING ID")</x:f>
        <x:v>Finished-item crafting</x:v>
      </x:c>
      <x:c r="L1241" s="4" t="str">
        <x:f>IFERROR(INDEX('Material routes'!$K$6:$K$2205,MATCH(U1241,'Material routes'!$A$6:$A$2205,0)),"MISSING ID")</x:f>
        <x:v>Proposal</x:v>
      </x:c>
      <x:c r="M1241" s="4" t="str">
        <x:f>IFERROR(INDEX('Material routes'!$M$6:$M$2205,MATCH(U1241,'Material routes'!$A$6:$A$2205,0)),"MISSING ID")</x:f>
        <x:v>Partial proposal</x:v>
      </x:c>
      <x:c r="N1241" s="4"/>
      <x:c r="O1241" s="4" t="str">
        <x:f>IFERROR(INDEX('Material routes'!$J$6:$J$2205,MATCH(U1241,'Material routes'!$A$6:$A$2205,0)),"MISSING ID")</x:f>
        <x:v>Unspecified</x:v>
      </x:c>
      <x:c r="P1241" s="4"/>
      <x:c r="Q1241" s="4" t="str">
        <x:f>IFERROR(INDEX('Material routes'!$J$6:$J$2205,MATCH(V1241,'Material routes'!$A$6:$A$2205,0)),"MISSING ID")</x:f>
        <x:v>Unspecified</x:v>
      </x:c>
      <x:c r="R1241" s="4" t="str">
        <x:f>IF(L1241="Withheld","Withheld premise",IF(E1241="Tool candidate","Reusable prerequisite",IF(K1241="Raw entry preparation","Entry-resource preparation",IF(G1241="Not applicable",IF(IFERROR(INDEX('Items'!$AI$6:$AI$1005,MATCH(T1241,'Items'!$A$6:$A$1005,0)),"MISSING ID")="Finished item","Finished endpoint",IF(IFERROR(INDEX('Items'!$AI$6:$AI$1005,MATCH(T1241,'Items'!$A$6:$A$1005,0)),"MISSING ID")="Currency","Currency / no refinement tier","Recovered output / tier not applicable")),IF(OR(IFERROR(INDEX('Crafting recipes'!$H$6:$H$1005,MATCH(J1241,'Crafting recipes'!$A$6:$A$1005,0)),"MISSING ID")="Unassigned",G1241="Unassigned"),"Tier unresolved",IF(IFERROR(VALUE(RIGHT(G1241,1))-VALUE(RIGHT(IFERROR(INDEX('Crafting recipes'!$H$6:$H$1005,MATCH(J1241,'Crafting recipes'!$A$6:$A$1005,0)),"MISSING ID"),1)),0)=1,IF(B1241=IFERROR(INDEX('Crafting recipes'!$H$6:$H$1005,MATCH(J1241,'Crafting recipes'!$A$6:$A$1005,0)),"MISSING ID"),"Advances one material tier","Lower-tier ingredient; route advances one tier"),"Needs tier review"))))))</x:f>
        <x:v>Finished endpoint</x:v>
      </x:c>
      <x:c r="S1241" s="4" t="str">
        <x:f>IFERROR(INDEX('Material routes'!$D$6:$D$2205,MATCH(U1241,'Material routes'!$A$6:$A$2205,0)),"MISSING ID")</x:f>
        <x:v>proposal.collection.culinary_phagia_binding_paste</x:v>
      </x:c>
      <x:c r="T1241" s="4" t="str">
        <x:f>IFERROR(INDEX('Material routes'!$D$6:$D$2205,MATCH(V1241,'Material routes'!$A$6:$A$2205,0)),"MISSING ID")</x:f>
        <x:v>proposal.food.meal_paste</x:v>
      </x:c>
      <x:c r="U1241" s="4" t="str">
        <x:v>design.audit.proposal_food_meal_paste.audit.in.2</x:v>
      </x:c>
      <x:c r="V1241" s="4" t="str">
        <x:v>design.audit.proposal_food_meal_paste.audit.out</x:v>
      </x:c>
    </x:row>
    <x:row r="1242" ht="64" customHeight="1">
      <x:c r="A1242" s="4"/>
      <x:c r="B1242" s="4"/>
      <x:c r="C1242" s="4"/>
      <x:c r="D1242" s="4"/>
      <x:c r="E1242" s="4"/>
      <x:c r="F1242" s="4"/>
      <x:c r="G1242" s="4"/>
      <x:c r="H1242" s="4"/>
      <x:c r="I1242" s="4"/>
      <x:c r="J1242" s="4"/>
      <x:c r="K1242" s="4"/>
      <x:c r="L1242" s="4"/>
      <x:c r="M1242" s="4"/>
      <x:c r="N1242" s="4"/>
      <x:c r="P1242" s="4"/>
      <x:c r="R1242" s="4"/>
      <x:c r="S1242" s="4"/>
      <x:c r="T1242" s="4"/>
      <x:c r="U1242" s="4"/>
      <x:c r="V1242" s="4"/>
    </x:row>
    <x:row r="1243" ht="64" customHeight="1">
      <x:c r="A1243" s="4"/>
      <x:c r="B1243" s="4"/>
      <x:c r="C1243" s="4"/>
      <x:c r="D1243" s="4"/>
      <x:c r="E1243" s="4"/>
      <x:c r="F1243" s="4"/>
      <x:c r="G1243" s="4"/>
      <x:c r="H1243" s="4"/>
      <x:c r="I1243" s="4"/>
      <x:c r="J1243" s="4"/>
      <x:c r="K1243" s="4"/>
      <x:c r="L1243" s="4"/>
      <x:c r="M1243" s="4"/>
      <x:c r="N1243" s="4"/>
      <x:c r="P1243" s="4"/>
      <x:c r="R1243" s="4"/>
      <x:c r="S1243" s="4"/>
      <x:c r="T1243" s="4"/>
      <x:c r="U1243" s="4"/>
      <x:c r="V1243" s="4"/>
    </x:row>
    <x:row r="1244" ht="64" customHeight="1">
      <x:c r="A1244" s="4" t="str">
        <x:f>IFERROR(INDEX('Material routes'!$E$6:$E$2205,MATCH(U1244,'Material routes'!$A$6:$A$2205,0)),"MISSING ID")</x:f>
        <x:v>Pressed culinary Phagia flakes</x:v>
      </x:c>
      <x:c r="B1244" s="4" t="str">
        <x:f>IFERROR(INDEX('Material routes'!$F$6:$F$2205,MATCH(U1244,'Material routes'!$A$6:$A$2205,0)),"MISSING ID")</x:f>
        <x:v>T1</x:v>
      </x:c>
      <x:c r="C1244" s="4" t="str">
        <x:f>IFERROR(INDEX('Material routes'!$H$6:$H$2205,MATCH(U1244,'Material routes'!$A$6:$A$2205,0)),"MISSING ID")</x:f>
        <x:v>Food material</x:v>
      </x:c>
      <x:c r="D1244" s="4" t="str">
        <x:f>IFERROR(INDEX('Material routes'!$G$6:$G$2205,MATCH(U1244,'Material routes'!$A$6:$A$2205,0)),"MISSING ID")</x:f>
        <x:v>Cooking ingredients</x:v>
      </x:c>
      <x:c r="E1244" s="4" t="str">
        <x:f>IFERROR(INDEX('Material routes'!$C$6:$C$2205,MATCH(U1244,'Material routes'!$A$6:$A$2205,0)),"MISSING ID")</x:f>
        <x:v>Ingredient candidate</x:v>
      </x:c>
      <x:c r="F1244" s="4" t="str">
        <x:f>IFERROR(INDEX('Material routes'!$E$6:$E$2205,MATCH(V1244,'Material routes'!$A$6:$A$2205,0)),"MISSING ID")</x:f>
        <x:v>Phagia and edible-fauna flake delicacy</x:v>
      </x:c>
      <x:c r="G1244" s="4" t="str">
        <x:f>IFERROR(INDEX('Material routes'!$F$6:$F$2205,MATCH(V1244,'Material routes'!$A$6:$A$2205,0)),"MISSING ID")</x:f>
        <x:v>Not applicable</x:v>
      </x:c>
      <x:c r="H1244" s="4" t="str">
        <x:f>IFERROR(INDEX('Material routes'!$H$6:$H$2205,MATCH(V1244,'Material routes'!$A$6:$A$2205,0)),"MISSING ID")</x:f>
        <x:v>Food consumable</x:v>
      </x:c>
      <x:c r="I1244" s="4" t="str">
        <x:f>IFERROR(INDEX('Material routes'!$G$6:$G$2205,MATCH(V1244,'Material routes'!$A$6:$A$2205,0)),"MISSING ID")</x:f>
        <x:v>Consumables</x:v>
      </x:c>
      <x:c r="J1244" s="4" t="str">
        <x:f>IFERROR(INDEX('Material routes'!$B$6:$B$2205,MATCH(U1244,'Material routes'!$A$6:$A$2205,0)),"MISSING ID")</x:f>
        <x:v>design.audit.proposal_food_fauna_flake_dish</x:v>
      </x:c>
      <x:c r="K1244" s="4" t="str">
        <x:f>IFERROR(INDEX('Crafting recipes'!$C$6:$C$1005,MATCH(J1244,'Crafting recipes'!$A$6:$A$1005,0)),"MISSING ID")</x:f>
        <x:v>Finished-item crafting</x:v>
      </x:c>
      <x:c r="L1244" s="4" t="str">
        <x:f>IFERROR(INDEX('Material routes'!$K$6:$K$2205,MATCH(U1244,'Material routes'!$A$6:$A$2205,0)),"MISSING ID")</x:f>
        <x:v>Proposal</x:v>
      </x:c>
      <x:c r="M1244" s="4" t="str">
        <x:f>IFERROR(INDEX('Material routes'!$M$6:$M$2205,MATCH(U1244,'Material routes'!$A$6:$A$2205,0)),"MISSING ID")</x:f>
        <x:v>Partial proposal</x:v>
      </x:c>
      <x:c r="N1244" s="4"/>
      <x:c r="O1244" s="4" t="str">
        <x:f>IFERROR(INDEX('Material routes'!$J$6:$J$2205,MATCH(U1244,'Material routes'!$A$6:$A$2205,0)),"MISSING ID")</x:f>
        <x:v>Unspecified</x:v>
      </x:c>
      <x:c r="P1244" s="4"/>
      <x:c r="Q1244" s="4" t="str">
        <x:f>IFERROR(INDEX('Material routes'!$J$6:$J$2205,MATCH(V1244,'Material routes'!$A$6:$A$2205,0)),"MISSING ID")</x:f>
        <x:v>Unspecified</x:v>
      </x:c>
      <x:c r="R1244" s="4" t="str">
        <x:f>IF(L1244="Withheld","Withheld premise",IF(E1244="Tool candidate","Reusable prerequisite",IF(K1244="Raw entry preparation","Entry-resource preparation",IF(G1244="Not applicable",IF(IFERROR(INDEX('Items'!$AI$6:$AI$1005,MATCH(T1244,'Items'!$A$6:$A$1005,0)),"MISSING ID")="Finished item","Finished endpoint",IF(IFERROR(INDEX('Items'!$AI$6:$AI$1005,MATCH(T1244,'Items'!$A$6:$A$1005,0)),"MISSING ID")="Currency","Currency / no refinement tier","Recovered output / tier not applicable")),IF(OR(IFERROR(INDEX('Crafting recipes'!$H$6:$H$1005,MATCH(J1244,'Crafting recipes'!$A$6:$A$1005,0)),"MISSING ID")="Unassigned",G1244="Unassigned"),"Tier unresolved",IF(IFERROR(VALUE(RIGHT(G1244,1))-VALUE(RIGHT(IFERROR(INDEX('Crafting recipes'!$H$6:$H$1005,MATCH(J1244,'Crafting recipes'!$A$6:$A$1005,0)),"MISSING ID"),1)),0)=1,IF(B1244=IFERROR(INDEX('Crafting recipes'!$H$6:$H$1005,MATCH(J1244,'Crafting recipes'!$A$6:$A$1005,0)),"MISSING ID"),"Advances one material tier","Lower-tier ingredient; route advances one tier"),"Needs tier review"))))))</x:f>
        <x:v>Finished endpoint</x:v>
      </x:c>
      <x:c r="S1244" s="4" t="str">
        <x:f>IFERROR(INDEX('Material routes'!$D$6:$D$2205,MATCH(U1244,'Material routes'!$A$6:$A$2205,0)),"MISSING ID")</x:f>
        <x:v>proposal.collection.pressed_culinary_phagia_flakes</x:v>
      </x:c>
      <x:c r="T1244" s="4" t="str">
        <x:f>IFERROR(INDEX('Material routes'!$D$6:$D$2205,MATCH(V1244,'Material routes'!$A$6:$A$2205,0)),"MISSING ID")</x:f>
        <x:v>proposal.food.fauna_flake_dish</x:v>
      </x:c>
      <x:c r="U1244" s="4" t="str">
        <x:v>design.audit.proposal_food_fauna_flake_dish.audit.in.1</x:v>
      </x:c>
      <x:c r="V1244" s="4" t="str">
        <x:v>design.audit.proposal_food_fauna_flake_dish.audit.out</x:v>
      </x:c>
    </x:row>
    <x:row r="1245" ht="64" customHeight="1">
      <x:c r="A1245" s="4" t="str">
        <x:f>IFERROR(INDEX('Material routes'!$E$6:$E$2205,MATCH(U1245,'Material routes'!$A$6:$A$2205,0)),"MISSING ID")</x:f>
        <x:v>Prepared edible-fauna flakes</x:v>
      </x:c>
      <x:c r="B1245" s="4" t="str">
        <x:f>IFERROR(INDEX('Material routes'!$F$6:$F$2205,MATCH(U1245,'Material routes'!$A$6:$A$2205,0)),"MISSING ID")</x:f>
        <x:v>T1</x:v>
      </x:c>
      <x:c r="C1245" s="4" t="str">
        <x:f>IFERROR(INDEX('Material routes'!$H$6:$H$2205,MATCH(U1245,'Material routes'!$A$6:$A$2205,0)),"MISSING ID")</x:f>
        <x:v>Food material</x:v>
      </x:c>
      <x:c r="D1245" s="4" t="str">
        <x:f>IFERROR(INDEX('Material routes'!$G$6:$G$2205,MATCH(U1245,'Material routes'!$A$6:$A$2205,0)),"MISSING ID")</x:f>
        <x:v>Cooking ingredients</x:v>
      </x:c>
      <x:c r="E1245" s="4" t="str">
        <x:f>IFERROR(INDEX('Material routes'!$C$6:$C$2205,MATCH(U1245,'Material routes'!$A$6:$A$2205,0)),"MISSING ID")</x:f>
        <x:v>Ingredient candidate</x:v>
      </x:c>
      <x:c r="F1245" s="4" t="str">
        <x:f>IFERROR(INDEX('Material routes'!$E$6:$E$2205,MATCH(V1245,'Material routes'!$A$6:$A$2205,0)),"MISSING ID")</x:f>
        <x:v>Phagia and edible-fauna flake delicacy</x:v>
      </x:c>
      <x:c r="G1245" s="4" t="str">
        <x:f>IFERROR(INDEX('Material routes'!$F$6:$F$2205,MATCH(V1245,'Material routes'!$A$6:$A$2205,0)),"MISSING ID")</x:f>
        <x:v>Not applicable</x:v>
      </x:c>
      <x:c r="H1245" s="4" t="str">
        <x:f>IFERROR(INDEX('Material routes'!$H$6:$H$2205,MATCH(V1245,'Material routes'!$A$6:$A$2205,0)),"MISSING ID")</x:f>
        <x:v>Food consumable</x:v>
      </x:c>
      <x:c r="I1245" s="4" t="str">
        <x:f>IFERROR(INDEX('Material routes'!$G$6:$G$2205,MATCH(V1245,'Material routes'!$A$6:$A$2205,0)),"MISSING ID")</x:f>
        <x:v>Consumables</x:v>
      </x:c>
      <x:c r="J1245" s="4" t="str">
        <x:f>IFERROR(INDEX('Material routes'!$B$6:$B$2205,MATCH(U1245,'Material routes'!$A$6:$A$2205,0)),"MISSING ID")</x:f>
        <x:v>design.audit.proposal_food_fauna_flake_dish</x:v>
      </x:c>
      <x:c r="K1245" s="4" t="str">
        <x:f>IFERROR(INDEX('Crafting recipes'!$C$6:$C$1005,MATCH(J1245,'Crafting recipes'!$A$6:$A$1005,0)),"MISSING ID")</x:f>
        <x:v>Finished-item crafting</x:v>
      </x:c>
      <x:c r="L1245" s="4" t="str">
        <x:f>IFERROR(INDEX('Material routes'!$K$6:$K$2205,MATCH(U1245,'Material routes'!$A$6:$A$2205,0)),"MISSING ID")</x:f>
        <x:v>Proposal</x:v>
      </x:c>
      <x:c r="M1245" s="4" t="str">
        <x:f>IFERROR(INDEX('Material routes'!$M$6:$M$2205,MATCH(U1245,'Material routes'!$A$6:$A$2205,0)),"MISSING ID")</x:f>
        <x:v>Partial proposal</x:v>
      </x:c>
      <x:c r="N1245" s="4"/>
      <x:c r="O1245" s="4" t="str">
        <x:f>IFERROR(INDEX('Material routes'!$J$6:$J$2205,MATCH(U1245,'Material routes'!$A$6:$A$2205,0)),"MISSING ID")</x:f>
        <x:v>Unspecified</x:v>
      </x:c>
      <x:c r="P1245" s="4"/>
      <x:c r="Q1245" s="4" t="str">
        <x:f>IFERROR(INDEX('Material routes'!$J$6:$J$2205,MATCH(V1245,'Material routes'!$A$6:$A$2205,0)),"MISSING ID")</x:f>
        <x:v>Unspecified</x:v>
      </x:c>
      <x:c r="R1245" s="4" t="str">
        <x:f>IF(L1245="Withheld","Withheld premise",IF(E1245="Tool candidate","Reusable prerequisite",IF(K1245="Raw entry preparation","Entry-resource preparation",IF(G1245="Not applicable",IF(IFERROR(INDEX('Items'!$AI$6:$AI$1005,MATCH(T1245,'Items'!$A$6:$A$1005,0)),"MISSING ID")="Finished item","Finished endpoint",IF(IFERROR(INDEX('Items'!$AI$6:$AI$1005,MATCH(T1245,'Items'!$A$6:$A$1005,0)),"MISSING ID")="Currency","Currency / no refinement tier","Recovered output / tier not applicable")),IF(OR(IFERROR(INDEX('Crafting recipes'!$H$6:$H$1005,MATCH(J1245,'Crafting recipes'!$A$6:$A$1005,0)),"MISSING ID")="Unassigned",G1245="Unassigned"),"Tier unresolved",IF(IFERROR(VALUE(RIGHT(G1245,1))-VALUE(RIGHT(IFERROR(INDEX('Crafting recipes'!$H$6:$H$1005,MATCH(J1245,'Crafting recipes'!$A$6:$A$1005,0)),"MISSING ID"),1)),0)=1,IF(B1245=IFERROR(INDEX('Crafting recipes'!$H$6:$H$1005,MATCH(J1245,'Crafting recipes'!$A$6:$A$1005,0)),"MISSING ID"),"Advances one material tier","Lower-tier ingredient; route advances one tier"),"Needs tier review"))))))</x:f>
        <x:v>Finished endpoint</x:v>
      </x:c>
      <x:c r="S1245" s="4" t="str">
        <x:f>IFERROR(INDEX('Material routes'!$D$6:$D$2205,MATCH(U1245,'Material routes'!$A$6:$A$2205,0)),"MISSING ID")</x:f>
        <x:v>proposal.food.edible_flakes</x:v>
      </x:c>
      <x:c r="T1245" s="4" t="str">
        <x:f>IFERROR(INDEX('Material routes'!$D$6:$D$2205,MATCH(V1245,'Material routes'!$A$6:$A$2205,0)),"MISSING ID")</x:f>
        <x:v>proposal.food.fauna_flake_dish</x:v>
      </x:c>
      <x:c r="U1245" s="4" t="str">
        <x:v>design.audit.proposal_food_fauna_flake_dish.audit.in.2</x:v>
      </x:c>
      <x:c r="V1245" s="4" t="str">
        <x:v>design.audit.proposal_food_fauna_flake_dish.audit.out</x:v>
      </x:c>
    </x:row>
    <x:row r="1246" ht="64" customHeight="1">
      <x:c r="A1246" s="4" t="str">
        <x:f>IFERROR(INDEX('Material routes'!$E$6:$E$2205,MATCH(U1246,'Material routes'!$A$6:$A$2205,0)),"MISSING ID")</x:f>
        <x:v>Pressed culinary Phagia flakes</x:v>
      </x:c>
      <x:c r="B1246" s="4" t="str">
        <x:f>IFERROR(INDEX('Material routes'!$F$6:$F$2205,MATCH(U1246,'Material routes'!$A$6:$A$2205,0)),"MISSING ID")</x:f>
        <x:v>T1</x:v>
      </x:c>
      <x:c r="C1246" s="4" t="str">
        <x:f>IFERROR(INDEX('Material routes'!$H$6:$H$2205,MATCH(U1246,'Material routes'!$A$6:$A$2205,0)),"MISSING ID")</x:f>
        <x:v>Food material</x:v>
      </x:c>
      <x:c r="D1246" s="4" t="str">
        <x:f>IFERROR(INDEX('Material routes'!$G$6:$G$2205,MATCH(U1246,'Material routes'!$A$6:$A$2205,0)),"MISSING ID")</x:f>
        <x:v>Cooking ingredients</x:v>
      </x:c>
      <x:c r="E1246" s="4" t="str">
        <x:f>IFERROR(INDEX('Material routes'!$C$6:$C$2205,MATCH(U1246,'Material routes'!$A$6:$A$2205,0)),"MISSING ID")</x:f>
        <x:v>Ingredient candidate</x:v>
      </x:c>
      <x:c r="F1246" s="4" t="str">
        <x:f>IFERROR(INDEX('Material routes'!$E$6:$E$2205,MATCH(V1246,'Material routes'!$A$6:$A$2205,0)),"MISSING ID")</x:f>
        <x:v>Layered Phagia-fauna delicacy</x:v>
      </x:c>
      <x:c r="G1246" s="4" t="str">
        <x:f>IFERROR(INDEX('Material routes'!$F$6:$F$2205,MATCH(V1246,'Material routes'!$A$6:$A$2205,0)),"MISSING ID")</x:f>
        <x:v>Not applicable</x:v>
      </x:c>
      <x:c r="H1246" s="4" t="str">
        <x:f>IFERROR(INDEX('Material routes'!$H$6:$H$2205,MATCH(V1246,'Material routes'!$A$6:$A$2205,0)),"MISSING ID")</x:f>
        <x:v>Food consumable</x:v>
      </x:c>
      <x:c r="I1246" s="4" t="str">
        <x:f>IFERROR(INDEX('Material routes'!$G$6:$G$2205,MATCH(V1246,'Material routes'!$A$6:$A$2205,0)),"MISSING ID")</x:f>
        <x:v>Consumables</x:v>
      </x:c>
      <x:c r="J1246" s="4" t="str">
        <x:f>IFERROR(INDEX('Material routes'!$B$6:$B$2205,MATCH(U1246,'Material routes'!$A$6:$A$2205,0)),"MISSING ID")</x:f>
        <x:v>design.audit.proposal_food_layered_delicacy</x:v>
      </x:c>
      <x:c r="K1246" s="4" t="str">
        <x:f>IFERROR(INDEX('Crafting recipes'!$C$6:$C$1005,MATCH(J1246,'Crafting recipes'!$A$6:$A$1005,0)),"MISSING ID")</x:f>
        <x:v>Finished-item crafting</x:v>
      </x:c>
      <x:c r="L1246" s="4" t="str">
        <x:f>IFERROR(INDEX('Material routes'!$K$6:$K$2205,MATCH(U1246,'Material routes'!$A$6:$A$2205,0)),"MISSING ID")</x:f>
        <x:v>Proposal</x:v>
      </x:c>
      <x:c r="M1246" s="4" t="str">
        <x:f>IFERROR(INDEX('Material routes'!$M$6:$M$2205,MATCH(U1246,'Material routes'!$A$6:$A$2205,0)),"MISSING ID")</x:f>
        <x:v>Partial proposal</x:v>
      </x:c>
      <x:c r="N1246" s="4"/>
      <x:c r="O1246" s="4" t="str">
        <x:f>IFERROR(INDEX('Material routes'!$J$6:$J$2205,MATCH(U1246,'Material routes'!$A$6:$A$2205,0)),"MISSING ID")</x:f>
        <x:v>Unspecified</x:v>
      </x:c>
      <x:c r="P1246" s="4"/>
      <x:c r="Q1246" s="4" t="str">
        <x:f>IFERROR(INDEX('Material routes'!$J$6:$J$2205,MATCH(V1246,'Material routes'!$A$6:$A$2205,0)),"MISSING ID")</x:f>
        <x:v>Unspecified</x:v>
      </x:c>
      <x:c r="R1246" s="4" t="str">
        <x:f>IF(L1246="Withheld","Withheld premise",IF(E1246="Tool candidate","Reusable prerequisite",IF(K1246="Raw entry preparation","Entry-resource preparation",IF(G1246="Not applicable",IF(IFERROR(INDEX('Items'!$AI$6:$AI$1005,MATCH(T1246,'Items'!$A$6:$A$1005,0)),"MISSING ID")="Finished item","Finished endpoint",IF(IFERROR(INDEX('Items'!$AI$6:$AI$1005,MATCH(T1246,'Items'!$A$6:$A$1005,0)),"MISSING ID")="Currency","Currency / no refinement tier","Recovered output / tier not applicable")),IF(OR(IFERROR(INDEX('Crafting recipes'!$H$6:$H$1005,MATCH(J1246,'Crafting recipes'!$A$6:$A$1005,0)),"MISSING ID")="Unassigned",G1246="Unassigned"),"Tier unresolved",IF(IFERROR(VALUE(RIGHT(G1246,1))-VALUE(RIGHT(IFERROR(INDEX('Crafting recipes'!$H$6:$H$1005,MATCH(J1246,'Crafting recipes'!$A$6:$A$1005,0)),"MISSING ID"),1)),0)=1,IF(B1246=IFERROR(INDEX('Crafting recipes'!$H$6:$H$1005,MATCH(J1246,'Crafting recipes'!$A$6:$A$1005,0)),"MISSING ID"),"Advances one material tier","Lower-tier ingredient; route advances one tier"),"Needs tier review"))))))</x:f>
        <x:v>Finished endpoint</x:v>
      </x:c>
      <x:c r="S1246" s="4" t="str">
        <x:f>IFERROR(INDEX('Material routes'!$D$6:$D$2205,MATCH(U1246,'Material routes'!$A$6:$A$2205,0)),"MISSING ID")</x:f>
        <x:v>proposal.collection.pressed_culinary_phagia_flakes</x:v>
      </x:c>
      <x:c r="T1246" s="4" t="str">
        <x:f>IFERROR(INDEX('Material routes'!$D$6:$D$2205,MATCH(V1246,'Material routes'!$A$6:$A$2205,0)),"MISSING ID")</x:f>
        <x:v>proposal.food.layered_delicacy</x:v>
      </x:c>
      <x:c r="U1246" s="4" t="str">
        <x:v>design.audit.proposal_food_layered_delicacy.audit.in.1</x:v>
      </x:c>
      <x:c r="V1246" s="4" t="str">
        <x:v>design.audit.proposal_food_layered_delicacy.audit.out</x:v>
      </x:c>
    </x:row>
    <x:row r="1247" ht="64" customHeight="1">
      <x:c r="A1247" s="4" t="str">
        <x:f>IFERROR(INDEX('Material routes'!$E$6:$E$2205,MATCH(U1247,'Material routes'!$A$6:$A$2205,0)),"MISSING ID")</x:f>
        <x:v>Phagia-fauna savory filling</x:v>
      </x:c>
      <x:c r="B1247" s="4" t="str">
        <x:f>IFERROR(INDEX('Material routes'!$F$6:$F$2205,MATCH(U1247,'Material routes'!$A$6:$A$2205,0)),"MISSING ID")</x:f>
        <x:v>T2</x:v>
      </x:c>
      <x:c r="C1247" s="4" t="str">
        <x:f>IFERROR(INDEX('Material routes'!$H$6:$H$2205,MATCH(U1247,'Material routes'!$A$6:$A$2205,0)),"MISSING ID")</x:f>
        <x:v>Food material</x:v>
      </x:c>
      <x:c r="D1247" s="4" t="str">
        <x:f>IFERROR(INDEX('Material routes'!$G$6:$G$2205,MATCH(U1247,'Material routes'!$A$6:$A$2205,0)),"MISSING ID")</x:f>
        <x:v>Cooking ingredients</x:v>
      </x:c>
      <x:c r="E1247" s="4" t="str">
        <x:f>IFERROR(INDEX('Material routes'!$C$6:$C$2205,MATCH(U1247,'Material routes'!$A$6:$A$2205,0)),"MISSING ID")</x:f>
        <x:v>Ingredient candidate</x:v>
      </x:c>
      <x:c r="F1247" s="4" t="str">
        <x:f>IFERROR(INDEX('Material routes'!$E$6:$E$2205,MATCH(V1247,'Material routes'!$A$6:$A$2205,0)),"MISSING ID")</x:f>
        <x:v>Layered Phagia-fauna delicacy</x:v>
      </x:c>
      <x:c r="G1247" s="4" t="str">
        <x:f>IFERROR(INDEX('Material routes'!$F$6:$F$2205,MATCH(V1247,'Material routes'!$A$6:$A$2205,0)),"MISSING ID")</x:f>
        <x:v>Not applicable</x:v>
      </x:c>
      <x:c r="H1247" s="4" t="str">
        <x:f>IFERROR(INDEX('Material routes'!$H$6:$H$2205,MATCH(V1247,'Material routes'!$A$6:$A$2205,0)),"MISSING ID")</x:f>
        <x:v>Food consumable</x:v>
      </x:c>
      <x:c r="I1247" s="4" t="str">
        <x:f>IFERROR(INDEX('Material routes'!$G$6:$G$2205,MATCH(V1247,'Material routes'!$A$6:$A$2205,0)),"MISSING ID")</x:f>
        <x:v>Consumables</x:v>
      </x:c>
      <x:c r="J1247" s="4" t="str">
        <x:f>IFERROR(INDEX('Material routes'!$B$6:$B$2205,MATCH(U1247,'Material routes'!$A$6:$A$2205,0)),"MISSING ID")</x:f>
        <x:v>design.audit.proposal_food_layered_delicacy</x:v>
      </x:c>
      <x:c r="K1247" s="4" t="str">
        <x:f>IFERROR(INDEX('Crafting recipes'!$C$6:$C$1005,MATCH(J1247,'Crafting recipes'!$A$6:$A$1005,0)),"MISSING ID")</x:f>
        <x:v>Finished-item crafting</x:v>
      </x:c>
      <x:c r="L1247" s="4" t="str">
        <x:f>IFERROR(INDEX('Material routes'!$K$6:$K$2205,MATCH(U1247,'Material routes'!$A$6:$A$2205,0)),"MISSING ID")</x:f>
        <x:v>Proposal</x:v>
      </x:c>
      <x:c r="M1247" s="4" t="str">
        <x:f>IFERROR(INDEX('Material routes'!$M$6:$M$2205,MATCH(U1247,'Material routes'!$A$6:$A$2205,0)),"MISSING ID")</x:f>
        <x:v>Partial proposal</x:v>
      </x:c>
      <x:c r="N1247" s="4"/>
      <x:c r="O1247" s="4" t="str">
        <x:f>IFERROR(INDEX('Material routes'!$J$6:$J$2205,MATCH(U1247,'Material routes'!$A$6:$A$2205,0)),"MISSING ID")</x:f>
        <x:v>Unspecified</x:v>
      </x:c>
      <x:c r="P1247" s="4"/>
      <x:c r="Q1247" s="4" t="str">
        <x:f>IFERROR(INDEX('Material routes'!$J$6:$J$2205,MATCH(V1247,'Material routes'!$A$6:$A$2205,0)),"MISSING ID")</x:f>
        <x:v>Unspecified</x:v>
      </x:c>
      <x:c r="R1247" s="4" t="str">
        <x:f>IF(L1247="Withheld","Withheld premise",IF(E1247="Tool candidate","Reusable prerequisite",IF(K1247="Raw entry preparation","Entry-resource preparation",IF(G1247="Not applicable",IF(IFERROR(INDEX('Items'!$AI$6:$AI$1005,MATCH(T1247,'Items'!$A$6:$A$1005,0)),"MISSING ID")="Finished item","Finished endpoint",IF(IFERROR(INDEX('Items'!$AI$6:$AI$1005,MATCH(T1247,'Items'!$A$6:$A$1005,0)),"MISSING ID")="Currency","Currency / no refinement tier","Recovered output / tier not applicable")),IF(OR(IFERROR(INDEX('Crafting recipes'!$H$6:$H$1005,MATCH(J1247,'Crafting recipes'!$A$6:$A$1005,0)),"MISSING ID")="Unassigned",G1247="Unassigned"),"Tier unresolved",IF(IFERROR(VALUE(RIGHT(G1247,1))-VALUE(RIGHT(IFERROR(INDEX('Crafting recipes'!$H$6:$H$1005,MATCH(J1247,'Crafting recipes'!$A$6:$A$1005,0)),"MISSING ID"),1)),0)=1,IF(B1247=IFERROR(INDEX('Crafting recipes'!$H$6:$H$1005,MATCH(J1247,'Crafting recipes'!$A$6:$A$1005,0)),"MISSING ID"),"Advances one material tier","Lower-tier ingredient; route advances one tier"),"Needs tier review"))))))</x:f>
        <x:v>Finished endpoint</x:v>
      </x:c>
      <x:c r="S1247" s="4" t="str">
        <x:f>IFERROR(INDEX('Material routes'!$D$6:$D$2205,MATCH(U1247,'Material routes'!$A$6:$A$2205,0)),"MISSING ID")</x:f>
        <x:v>proposal.collection.phagia_fauna_savory_filling</x:v>
      </x:c>
      <x:c r="T1247" s="4" t="str">
        <x:f>IFERROR(INDEX('Material routes'!$D$6:$D$2205,MATCH(V1247,'Material routes'!$A$6:$A$2205,0)),"MISSING ID")</x:f>
        <x:v>proposal.food.layered_delicacy</x:v>
      </x:c>
      <x:c r="U1247" s="4" t="str">
        <x:v>design.audit.proposal_food_layered_delicacy.audit.in.2</x:v>
      </x:c>
      <x:c r="V1247" s="4" t="str">
        <x:v>design.audit.proposal_food_layered_delicacy.audit.out</x:v>
      </x:c>
    </x:row>
    <x:row r="1248" ht="64" customHeight="1">
      <x:c r="A1248" s="4" t="str">
        <x:f>IFERROR(INDEX('Material routes'!$E$6:$E$2205,MATCH(U1248,'Material routes'!$A$6:$A$2205,0)),"MISSING ID")</x:f>
        <x:v>Fine culinary Phagia meal</x:v>
      </x:c>
      <x:c r="B1248" s="4" t="str">
        <x:f>IFERROR(INDEX('Material routes'!$F$6:$F$2205,MATCH(U1248,'Material routes'!$A$6:$A$2205,0)),"MISSING ID")</x:f>
        <x:v>T1</x:v>
      </x:c>
      <x:c r="C1248" s="4" t="str">
        <x:f>IFERROR(INDEX('Material routes'!$H$6:$H$2205,MATCH(U1248,'Material routes'!$A$6:$A$2205,0)),"MISSING ID")</x:f>
        <x:v>Food material</x:v>
      </x:c>
      <x:c r="D1248" s="4" t="str">
        <x:f>IFERROR(INDEX('Material routes'!$G$6:$G$2205,MATCH(U1248,'Material routes'!$A$6:$A$2205,0)),"MISSING ID")</x:f>
        <x:v>Cooking ingredients</x:v>
      </x:c>
      <x:c r="E1248" s="4" t="str">
        <x:f>IFERROR(INDEX('Material routes'!$C$6:$C$2205,MATCH(U1248,'Material routes'!$A$6:$A$2205,0)),"MISSING ID")</x:f>
        <x:v>Ingredient candidate</x:v>
      </x:c>
      <x:c r="F1248" s="4" t="str">
        <x:f>IFERROR(INDEX('Material routes'!$E$6:$E$2205,MATCH(V1248,'Material routes'!$A$6:$A$2205,0)),"MISSING ID")</x:f>
        <x:v>Crisp Phagia-fauna wafer</x:v>
      </x:c>
      <x:c r="G1248" s="4" t="str">
        <x:f>IFERROR(INDEX('Material routes'!$F$6:$F$2205,MATCH(V1248,'Material routes'!$A$6:$A$2205,0)),"MISSING ID")</x:f>
        <x:v>Not applicable</x:v>
      </x:c>
      <x:c r="H1248" s="4" t="str">
        <x:f>IFERROR(INDEX('Material routes'!$H$6:$H$2205,MATCH(V1248,'Material routes'!$A$6:$A$2205,0)),"MISSING ID")</x:f>
        <x:v>Food consumable</x:v>
      </x:c>
      <x:c r="I1248" s="4" t="str">
        <x:f>IFERROR(INDEX('Material routes'!$G$6:$G$2205,MATCH(V1248,'Material routes'!$A$6:$A$2205,0)),"MISSING ID")</x:f>
        <x:v>Consumables</x:v>
      </x:c>
      <x:c r="J1248" s="4" t="str">
        <x:f>IFERROR(INDEX('Material routes'!$B$6:$B$2205,MATCH(U1248,'Material routes'!$A$6:$A$2205,0)),"MISSING ID")</x:f>
        <x:v>design.audit.proposal_food_crisp_delicacy</x:v>
      </x:c>
      <x:c r="K1248" s="4" t="str">
        <x:f>IFERROR(INDEX('Crafting recipes'!$C$6:$C$1005,MATCH(J1248,'Crafting recipes'!$A$6:$A$1005,0)),"MISSING ID")</x:f>
        <x:v>Finished-item crafting</x:v>
      </x:c>
      <x:c r="L1248" s="4" t="str">
        <x:f>IFERROR(INDEX('Material routes'!$K$6:$K$2205,MATCH(U1248,'Material routes'!$A$6:$A$2205,0)),"MISSING ID")</x:f>
        <x:v>Proposal</x:v>
      </x:c>
      <x:c r="M1248" s="4" t="str">
        <x:f>IFERROR(INDEX('Material routes'!$M$6:$M$2205,MATCH(U1248,'Material routes'!$A$6:$A$2205,0)),"MISSING ID")</x:f>
        <x:v>Partial proposal</x:v>
      </x:c>
      <x:c r="N1248" s="4"/>
      <x:c r="O1248" s="4" t="str">
        <x:f>IFERROR(INDEX('Material routes'!$J$6:$J$2205,MATCH(U1248,'Material routes'!$A$6:$A$2205,0)),"MISSING ID")</x:f>
        <x:v>Unspecified</x:v>
      </x:c>
      <x:c r="P1248" s="4"/>
      <x:c r="Q1248" s="4" t="str">
        <x:f>IFERROR(INDEX('Material routes'!$J$6:$J$2205,MATCH(V1248,'Material routes'!$A$6:$A$2205,0)),"MISSING ID")</x:f>
        <x:v>Unspecified</x:v>
      </x:c>
      <x:c r="R1248" s="4" t="str">
        <x:f>IF(L1248="Withheld","Withheld premise",IF(E1248="Tool candidate","Reusable prerequisite",IF(K1248="Raw entry preparation","Entry-resource preparation",IF(G1248="Not applicable",IF(IFERROR(INDEX('Items'!$AI$6:$AI$1005,MATCH(T1248,'Items'!$A$6:$A$1005,0)),"MISSING ID")="Finished item","Finished endpoint",IF(IFERROR(INDEX('Items'!$AI$6:$AI$1005,MATCH(T1248,'Items'!$A$6:$A$1005,0)),"MISSING ID")="Currency","Currency / no refinement tier","Recovered output / tier not applicable")),IF(OR(IFERROR(INDEX('Crafting recipes'!$H$6:$H$1005,MATCH(J1248,'Crafting recipes'!$A$6:$A$1005,0)),"MISSING ID")="Unassigned",G1248="Unassigned"),"Tier unresolved",IF(IFERROR(VALUE(RIGHT(G1248,1))-VALUE(RIGHT(IFERROR(INDEX('Crafting recipes'!$H$6:$H$1005,MATCH(J1248,'Crafting recipes'!$A$6:$A$1005,0)),"MISSING ID"),1)),0)=1,IF(B1248=IFERROR(INDEX('Crafting recipes'!$H$6:$H$1005,MATCH(J1248,'Crafting recipes'!$A$6:$A$1005,0)),"MISSING ID"),"Advances one material tier","Lower-tier ingredient; route advances one tier"),"Needs tier review"))))))</x:f>
        <x:v>Finished endpoint</x:v>
      </x:c>
      <x:c r="S1248" s="4" t="str">
        <x:f>IFERROR(INDEX('Material routes'!$D$6:$D$2205,MATCH(U1248,'Material routes'!$A$6:$A$2205,0)),"MISSING ID")</x:f>
        <x:v>proposal.collection.fine_culinary_phagia_meal</x:v>
      </x:c>
      <x:c r="T1248" s="4" t="str">
        <x:f>IFERROR(INDEX('Material routes'!$D$6:$D$2205,MATCH(V1248,'Material routes'!$A$6:$A$2205,0)),"MISSING ID")</x:f>
        <x:v>proposal.food.crisp_delicacy</x:v>
      </x:c>
      <x:c r="U1248" s="4" t="str">
        <x:v>design.audit.proposal_food_crisp_delicacy.audit.in.1</x:v>
      </x:c>
      <x:c r="V1248" s="4" t="str">
        <x:v>design.audit.proposal_food_crisp_delicacy.audit.out</x:v>
      </x:c>
    </x:row>
    <x:row r="1249" ht="64" customHeight="1">
      <x:c r="A1249" s="4" t="str">
        <x:f>IFERROR(INDEX('Material routes'!$E$6:$E$2205,MATCH(U1249,'Material routes'!$A$6:$A$2205,0)),"MISSING ID")</x:f>
        <x:v>Dried edible-fauna granules</x:v>
      </x:c>
      <x:c r="B1249" s="4" t="str">
        <x:f>IFERROR(INDEX('Material routes'!$F$6:$F$2205,MATCH(U1249,'Material routes'!$A$6:$A$2205,0)),"MISSING ID")</x:f>
        <x:v>T1</x:v>
      </x:c>
      <x:c r="C1249" s="4" t="str">
        <x:f>IFERROR(INDEX('Material routes'!$H$6:$H$2205,MATCH(U1249,'Material routes'!$A$6:$A$2205,0)),"MISSING ID")</x:f>
        <x:v>Food material</x:v>
      </x:c>
      <x:c r="D1249" s="4" t="str">
        <x:f>IFERROR(INDEX('Material routes'!$G$6:$G$2205,MATCH(U1249,'Material routes'!$A$6:$A$2205,0)),"MISSING ID")</x:f>
        <x:v>Cooking ingredients</x:v>
      </x:c>
      <x:c r="E1249" s="4" t="str">
        <x:f>IFERROR(INDEX('Material routes'!$C$6:$C$2205,MATCH(U1249,'Material routes'!$A$6:$A$2205,0)),"MISSING ID")</x:f>
        <x:v>Ingredient candidate</x:v>
      </x:c>
      <x:c r="F1249" s="4" t="str">
        <x:f>IFERROR(INDEX('Material routes'!$E$6:$E$2205,MATCH(V1249,'Material routes'!$A$6:$A$2205,0)),"MISSING ID")</x:f>
        <x:v>Crisp Phagia-fauna wafer</x:v>
      </x:c>
      <x:c r="G1249" s="4" t="str">
        <x:f>IFERROR(INDEX('Material routes'!$F$6:$F$2205,MATCH(V1249,'Material routes'!$A$6:$A$2205,0)),"MISSING ID")</x:f>
        <x:v>Not applicable</x:v>
      </x:c>
      <x:c r="H1249" s="4" t="str">
        <x:f>IFERROR(INDEX('Material routes'!$H$6:$H$2205,MATCH(V1249,'Material routes'!$A$6:$A$2205,0)),"MISSING ID")</x:f>
        <x:v>Food consumable</x:v>
      </x:c>
      <x:c r="I1249" s="4" t="str">
        <x:f>IFERROR(INDEX('Material routes'!$G$6:$G$2205,MATCH(V1249,'Material routes'!$A$6:$A$2205,0)),"MISSING ID")</x:f>
        <x:v>Consumables</x:v>
      </x:c>
      <x:c r="J1249" s="4" t="str">
        <x:f>IFERROR(INDEX('Material routes'!$B$6:$B$2205,MATCH(U1249,'Material routes'!$A$6:$A$2205,0)),"MISSING ID")</x:f>
        <x:v>design.audit.proposal_food_crisp_delicacy</x:v>
      </x:c>
      <x:c r="K1249" s="4" t="str">
        <x:f>IFERROR(INDEX('Crafting recipes'!$C$6:$C$1005,MATCH(J1249,'Crafting recipes'!$A$6:$A$1005,0)),"MISSING ID")</x:f>
        <x:v>Finished-item crafting</x:v>
      </x:c>
      <x:c r="L1249" s="4" t="str">
        <x:f>IFERROR(INDEX('Material routes'!$K$6:$K$2205,MATCH(U1249,'Material routes'!$A$6:$A$2205,0)),"MISSING ID")</x:f>
        <x:v>Proposal</x:v>
      </x:c>
      <x:c r="M1249" s="4" t="str">
        <x:f>IFERROR(INDEX('Material routes'!$M$6:$M$2205,MATCH(U1249,'Material routes'!$A$6:$A$2205,0)),"MISSING ID")</x:f>
        <x:v>Partial proposal</x:v>
      </x:c>
      <x:c r="N1249" s="4"/>
      <x:c r="O1249" s="4" t="str">
        <x:f>IFERROR(INDEX('Material routes'!$J$6:$J$2205,MATCH(U1249,'Material routes'!$A$6:$A$2205,0)),"MISSING ID")</x:f>
        <x:v>Unspecified</x:v>
      </x:c>
      <x:c r="P1249" s="4"/>
      <x:c r="Q1249" s="4" t="str">
        <x:f>IFERROR(INDEX('Material routes'!$J$6:$J$2205,MATCH(V1249,'Material routes'!$A$6:$A$2205,0)),"MISSING ID")</x:f>
        <x:v>Unspecified</x:v>
      </x:c>
      <x:c r="R1249" s="4" t="str">
        <x:f>IF(L1249="Withheld","Withheld premise",IF(E1249="Tool candidate","Reusable prerequisite",IF(K1249="Raw entry preparation","Entry-resource preparation",IF(G1249="Not applicable",IF(IFERROR(INDEX('Items'!$AI$6:$AI$1005,MATCH(T1249,'Items'!$A$6:$A$1005,0)),"MISSING ID")="Finished item","Finished endpoint",IF(IFERROR(INDEX('Items'!$AI$6:$AI$1005,MATCH(T1249,'Items'!$A$6:$A$1005,0)),"MISSING ID")="Currency","Currency / no refinement tier","Recovered output / tier not applicable")),IF(OR(IFERROR(INDEX('Crafting recipes'!$H$6:$H$1005,MATCH(J1249,'Crafting recipes'!$A$6:$A$1005,0)),"MISSING ID")="Unassigned",G1249="Unassigned"),"Tier unresolved",IF(IFERROR(VALUE(RIGHT(G1249,1))-VALUE(RIGHT(IFERROR(INDEX('Crafting recipes'!$H$6:$H$1005,MATCH(J1249,'Crafting recipes'!$A$6:$A$1005,0)),"MISSING ID"),1)),0)=1,IF(B1249=IFERROR(INDEX('Crafting recipes'!$H$6:$H$1005,MATCH(J1249,'Crafting recipes'!$A$6:$A$1005,0)),"MISSING ID"),"Advances one material tier","Lower-tier ingredient; route advances one tier"),"Needs tier review"))))))</x:f>
        <x:v>Finished endpoint</x:v>
      </x:c>
      <x:c r="S1249" s="4" t="str">
        <x:f>IFERROR(INDEX('Material routes'!$D$6:$D$2205,MATCH(U1249,'Material routes'!$A$6:$A$2205,0)),"MISSING ID")</x:f>
        <x:v>proposal.collection.dried_edible_fauna_granules</x:v>
      </x:c>
      <x:c r="T1249" s="4" t="str">
        <x:f>IFERROR(INDEX('Material routes'!$D$6:$D$2205,MATCH(V1249,'Material routes'!$A$6:$A$2205,0)),"MISSING ID")</x:f>
        <x:v>proposal.food.crisp_delicacy</x:v>
      </x:c>
      <x:c r="U1249" s="4" t="str">
        <x:v>design.audit.proposal_food_crisp_delicacy.audit.in.2</x:v>
      </x:c>
      <x:c r="V1249" s="4" t="str">
        <x:v>design.audit.proposal_food_crisp_delicacy.audit.out</x:v>
      </x:c>
    </x:row>
    <x:row r="1250" ht="64" customHeight="1">
      <x:c r="A1250" s="4" t="str">
        <x:f>IFERROR(INDEX('Material routes'!$E$6:$E$2205,MATCH(U1250,'Material routes'!$A$6:$A$2205,0)),"MISSING ID")</x:f>
        <x:v>Fired ceramic vessel blank</x:v>
      </x:c>
      <x:c r="B1250" s="4" t="str">
        <x:f>IFERROR(INDEX('Material routes'!$F$6:$F$2205,MATCH(U1250,'Material routes'!$A$6:$A$2205,0)),"MISSING ID")</x:f>
        <x:v>T2</x:v>
      </x:c>
      <x:c r="C1250" s="4" t="str">
        <x:f>IFERROR(INDEX('Material routes'!$H$6:$H$2205,MATCH(U1250,'Material routes'!$A$6:$A$2205,0)),"MISSING ID")</x:f>
        <x:v>Crafting component</x:v>
      </x:c>
      <x:c r="D1250" s="4" t="str">
        <x:f>IFERROR(INDEX('Material routes'!$G$6:$G$2205,MATCH(U1250,'Material routes'!$A$6:$A$2205,0)),"MISSING ID")</x:f>
        <x:v>Crafting components</x:v>
      </x:c>
      <x:c r="E1250" s="4" t="str">
        <x:f>IFERROR(INDEX('Material routes'!$C$6:$C$2205,MATCH(U1250,'Material routes'!$A$6:$A$2205,0)),"MISSING ID")</x:f>
        <x:v>Ingredient candidate</x:v>
      </x:c>
      <x:c r="F1250" s="4" t="str">
        <x:f>IFERROR(INDEX('Material routes'!$E$6:$E$2205,MATCH(V1250,'Material routes'!$A$6:$A$2205,0)),"MISSING ID")</x:f>
        <x:v>Reusable Phagia drinking flask</x:v>
      </x:c>
      <x:c r="G1250" s="4" t="str">
        <x:f>IFERROR(INDEX('Material routes'!$F$6:$F$2205,MATCH(V1250,'Material routes'!$A$6:$A$2205,0)),"MISSING ID")</x:f>
        <x:v>Not applicable</x:v>
      </x:c>
      <x:c r="H1250" s="4" t="str">
        <x:f>IFERROR(INDEX('Material routes'!$H$6:$H$2205,MATCH(V1250,'Material routes'!$A$6:$A$2205,0)),"MISSING ID")</x:f>
        <x:v>Container</x:v>
      </x:c>
      <x:c r="I1250" s="4" t="str">
        <x:f>IFERROR(INDEX('Material routes'!$G$6:$G$2205,MATCH(V1250,'Material routes'!$A$6:$A$2205,0)),"MISSING ID")</x:f>
        <x:v>Salvage</x:v>
      </x:c>
      <x:c r="J1250" s="4" t="str">
        <x:f>IFERROR(INDEX('Material routes'!$B$6:$B$2205,MATCH(U1250,'Material routes'!$A$6:$A$2205,0)),"MISSING ID")</x:f>
        <x:v>design.audit.proposal_food_drink_flask</x:v>
      </x:c>
      <x:c r="K1250" s="4" t="str">
        <x:f>IFERROR(INDEX('Crafting recipes'!$C$6:$C$1005,MATCH(J1250,'Crafting recipes'!$A$6:$A$1005,0)),"MISSING ID")</x:f>
        <x:v>Finished-item crafting</x:v>
      </x:c>
      <x:c r="L1250" s="4" t="str">
        <x:f>IFERROR(INDEX('Material routes'!$K$6:$K$2205,MATCH(U1250,'Material routes'!$A$6:$A$2205,0)),"MISSING ID")</x:f>
        <x:v>Proposal</x:v>
      </x:c>
      <x:c r="M1250" s="4" t="str">
        <x:f>IFERROR(INDEX('Material routes'!$M$6:$M$2205,MATCH(U1250,'Material routes'!$A$6:$A$2205,0)),"MISSING ID")</x:f>
        <x:v>Partial proposal</x:v>
      </x:c>
      <x:c r="N1250" s="4"/>
      <x:c r="O1250" s="4" t="str">
        <x:f>IFERROR(INDEX('Material routes'!$J$6:$J$2205,MATCH(U1250,'Material routes'!$A$6:$A$2205,0)),"MISSING ID")</x:f>
        <x:v>Unspecified</x:v>
      </x:c>
      <x:c r="P1250" s="4"/>
      <x:c r="Q1250" s="4" t="str">
        <x:f>IFERROR(INDEX('Material routes'!$J$6:$J$2205,MATCH(V1250,'Material routes'!$A$6:$A$2205,0)),"MISSING ID")</x:f>
        <x:v>Unspecified</x:v>
      </x:c>
      <x:c r="R1250" s="4" t="str">
        <x:f>IF(L1250="Withheld","Withheld premise",IF(E1250="Tool candidate","Reusable prerequisite",IF(K1250="Raw entry preparation","Entry-resource preparation",IF(G1250="Not applicable",IF(IFERROR(INDEX('Items'!$AI$6:$AI$1005,MATCH(T1250,'Items'!$A$6:$A$1005,0)),"MISSING ID")="Finished item","Finished endpoint",IF(IFERROR(INDEX('Items'!$AI$6:$AI$1005,MATCH(T1250,'Items'!$A$6:$A$1005,0)),"MISSING ID")="Currency","Currency / no refinement tier","Recovered output / tier not applicable")),IF(OR(IFERROR(INDEX('Crafting recipes'!$H$6:$H$1005,MATCH(J1250,'Crafting recipes'!$A$6:$A$1005,0)),"MISSING ID")="Unassigned",G1250="Unassigned"),"Tier unresolved",IF(IFERROR(VALUE(RIGHT(G1250,1))-VALUE(RIGHT(IFERROR(INDEX('Crafting recipes'!$H$6:$H$1005,MATCH(J1250,'Crafting recipes'!$A$6:$A$1005,0)),"MISSING ID"),1)),0)=1,IF(B1250=IFERROR(INDEX('Crafting recipes'!$H$6:$H$1005,MATCH(J1250,'Crafting recipes'!$A$6:$A$1005,0)),"MISSING ID"),"Advances one material tier","Lower-tier ingredient; route advances one tier"),"Needs tier review"))))))</x:f>
        <x:v>Finished endpoint</x:v>
      </x:c>
      <x:c r="S1250" s="4" t="str">
        <x:f>IFERROR(INDEX('Material routes'!$D$6:$D$2205,MATCH(U1250,'Material routes'!$A$6:$A$2205,0)),"MISSING ID")</x:f>
        <x:v>proposal.audit.fired_ceramic_vessel_blank</x:v>
      </x:c>
      <x:c r="T1250" s="4" t="str">
        <x:f>IFERROR(INDEX('Material routes'!$D$6:$D$2205,MATCH(V1250,'Material routes'!$A$6:$A$2205,0)),"MISSING ID")</x:f>
        <x:v>proposal.food.drink_flask</x:v>
      </x:c>
      <x:c r="U1250" s="4" t="str">
        <x:v>design.audit.proposal_food_drink_flask.audit.in.1</x:v>
      </x:c>
      <x:c r="V1250" s="4" t="str">
        <x:v>design.audit.proposal_food_drink_flask.audit.out</x:v>
      </x:c>
    </x:row>
    <x:row r="1251" ht="64" customHeight="1">
      <x:c r="A1251" s="4" t="str">
        <x:f>IFERROR(INDEX('Material routes'!$E$6:$E$2205,MATCH(U1251,'Material routes'!$A$6:$A$2205,0)),"MISSING ID")</x:f>
        <x:v>Fitted ceramic stopper</x:v>
      </x:c>
      <x:c r="B1251" s="4" t="str">
        <x:f>IFERROR(INDEX('Material routes'!$F$6:$F$2205,MATCH(U1251,'Material routes'!$A$6:$A$2205,0)),"MISSING ID")</x:f>
        <x:v>T3</x:v>
      </x:c>
      <x:c r="C1251" s="4" t="str">
        <x:f>IFERROR(INDEX('Material routes'!$H$6:$H$2205,MATCH(U1251,'Material routes'!$A$6:$A$2205,0)),"MISSING ID")</x:f>
        <x:v>Container part</x:v>
      </x:c>
      <x:c r="D1251" s="4" t="str">
        <x:f>IFERROR(INDEX('Material routes'!$G$6:$G$2205,MATCH(U1251,'Material routes'!$A$6:$A$2205,0)),"MISSING ID")</x:f>
        <x:v>Crafting components</x:v>
      </x:c>
      <x:c r="E1251" s="4" t="str">
        <x:f>IFERROR(INDEX('Material routes'!$C$6:$C$2205,MATCH(U1251,'Material routes'!$A$6:$A$2205,0)),"MISSING ID")</x:f>
        <x:v>Ingredient candidate</x:v>
      </x:c>
      <x:c r="F1251" s="4" t="str">
        <x:f>IFERROR(INDEX('Material routes'!$E$6:$E$2205,MATCH(V1251,'Material routes'!$A$6:$A$2205,0)),"MISSING ID")</x:f>
        <x:v>Reusable Phagia drinking flask</x:v>
      </x:c>
      <x:c r="G1251" s="4" t="str">
        <x:f>IFERROR(INDEX('Material routes'!$F$6:$F$2205,MATCH(V1251,'Material routes'!$A$6:$A$2205,0)),"MISSING ID")</x:f>
        <x:v>Not applicable</x:v>
      </x:c>
      <x:c r="H1251" s="4" t="str">
        <x:f>IFERROR(INDEX('Material routes'!$H$6:$H$2205,MATCH(V1251,'Material routes'!$A$6:$A$2205,0)),"MISSING ID")</x:f>
        <x:v>Container</x:v>
      </x:c>
      <x:c r="I1251" s="4" t="str">
        <x:f>IFERROR(INDEX('Material routes'!$G$6:$G$2205,MATCH(V1251,'Material routes'!$A$6:$A$2205,0)),"MISSING ID")</x:f>
        <x:v>Salvage</x:v>
      </x:c>
      <x:c r="J1251" s="4" t="str">
        <x:f>IFERROR(INDEX('Material routes'!$B$6:$B$2205,MATCH(U1251,'Material routes'!$A$6:$A$2205,0)),"MISSING ID")</x:f>
        <x:v>design.audit.proposal_food_drink_flask</x:v>
      </x:c>
      <x:c r="K1251" s="4" t="str">
        <x:f>IFERROR(INDEX('Crafting recipes'!$C$6:$C$1005,MATCH(J1251,'Crafting recipes'!$A$6:$A$1005,0)),"MISSING ID")</x:f>
        <x:v>Finished-item crafting</x:v>
      </x:c>
      <x:c r="L1251" s="4" t="str">
        <x:f>IFERROR(INDEX('Material routes'!$K$6:$K$2205,MATCH(U1251,'Material routes'!$A$6:$A$2205,0)),"MISSING ID")</x:f>
        <x:v>Proposal</x:v>
      </x:c>
      <x:c r="M1251" s="4" t="str">
        <x:f>IFERROR(INDEX('Material routes'!$M$6:$M$2205,MATCH(U1251,'Material routes'!$A$6:$A$2205,0)),"MISSING ID")</x:f>
        <x:v>Partial proposal</x:v>
      </x:c>
      <x:c r="N1251" s="4"/>
      <x:c r="O1251" s="4" t="str">
        <x:f>IFERROR(INDEX('Material routes'!$J$6:$J$2205,MATCH(U1251,'Material routes'!$A$6:$A$2205,0)),"MISSING ID")</x:f>
        <x:v>Unspecified</x:v>
      </x:c>
      <x:c r="P1251" s="4"/>
      <x:c r="Q1251" s="4" t="str">
        <x:f>IFERROR(INDEX('Material routes'!$J$6:$J$2205,MATCH(V1251,'Material routes'!$A$6:$A$2205,0)),"MISSING ID")</x:f>
        <x:v>Unspecified</x:v>
      </x:c>
      <x:c r="R1251" s="4" t="str">
        <x:f>IF(L1251="Withheld","Withheld premise",IF(E1251="Tool candidate","Reusable prerequisite",IF(K1251="Raw entry preparation","Entry-resource preparation",IF(G1251="Not applicable",IF(IFERROR(INDEX('Items'!$AI$6:$AI$1005,MATCH(T1251,'Items'!$A$6:$A$1005,0)),"MISSING ID")="Finished item","Finished endpoint",IF(IFERROR(INDEX('Items'!$AI$6:$AI$1005,MATCH(T1251,'Items'!$A$6:$A$1005,0)),"MISSING ID")="Currency","Currency / no refinement tier","Recovered output / tier not applicable")),IF(OR(IFERROR(INDEX('Crafting recipes'!$H$6:$H$1005,MATCH(J1251,'Crafting recipes'!$A$6:$A$1005,0)),"MISSING ID")="Unassigned",G1251="Unassigned"),"Tier unresolved",IF(IFERROR(VALUE(RIGHT(G1251,1))-VALUE(RIGHT(IFERROR(INDEX('Crafting recipes'!$H$6:$H$1005,MATCH(J1251,'Crafting recipes'!$A$6:$A$1005,0)),"MISSING ID"),1)),0)=1,IF(B1251=IFERROR(INDEX('Crafting recipes'!$H$6:$H$1005,MATCH(J1251,'Crafting recipes'!$A$6:$A$1005,0)),"MISSING ID"),"Advances one material tier","Lower-tier ingredient; route advances one tier"),"Needs tier review"))))))</x:f>
        <x:v>Finished endpoint</x:v>
      </x:c>
      <x:c r="S1251" s="4" t="str">
        <x:f>IFERROR(INDEX('Material routes'!$D$6:$D$2205,MATCH(U1251,'Material routes'!$A$6:$A$2205,0)),"MISSING ID")</x:f>
        <x:v>proposal.ceramic.stopper</x:v>
      </x:c>
      <x:c r="T1251" s="4" t="str">
        <x:f>IFERROR(INDEX('Material routes'!$D$6:$D$2205,MATCH(V1251,'Material routes'!$A$6:$A$2205,0)),"MISSING ID")</x:f>
        <x:v>proposal.food.drink_flask</x:v>
      </x:c>
      <x:c r="U1251" s="4" t="str">
        <x:v>design.audit.proposal_food_drink_flask.audit.in.2</x:v>
      </x:c>
      <x:c r="V1251" s="4" t="str">
        <x:v>design.audit.proposal_food_drink_flask.audit.out</x:v>
      </x:c>
    </x:row>
    <x:row r="1252" ht="64" customHeight="1">
      <x:c r="A1252" s="4" t="str">
        <x:f>IFERROR(INDEX('Material routes'!$E$6:$E$2205,MATCH(U1252,'Material routes'!$A$6:$A$2205,0)),"MISSING ID")</x:f>
        <x:v>Prepared glaze feed</x:v>
      </x:c>
      <x:c r="B1252" s="4" t="str">
        <x:f>IFERROR(INDEX('Material routes'!$F$6:$F$2205,MATCH(U1252,'Material routes'!$A$6:$A$2205,0)),"MISSING ID")</x:f>
        <x:v>T1</x:v>
      </x:c>
      <x:c r="C1252" s="4" t="str">
        <x:f>IFERROR(INDEX('Material routes'!$H$6:$H$2205,MATCH(U1252,'Material routes'!$A$6:$A$2205,0)),"MISSING ID")</x:f>
        <x:v>Processed material</x:v>
      </x:c>
      <x:c r="D1252" s="4" t="str">
        <x:f>IFERROR(INDEX('Material routes'!$G$6:$G$2205,MATCH(U1252,'Material routes'!$A$6:$A$2205,0)),"MISSING ID")</x:f>
        <x:v>Manufactured stock</x:v>
      </x:c>
      <x:c r="E1252" s="4" t="str">
        <x:f>IFERROR(INDEX('Material routes'!$C$6:$C$2205,MATCH(U1252,'Material routes'!$A$6:$A$2205,0)),"MISSING ID")</x:f>
        <x:v>Ingredient candidate</x:v>
      </x:c>
      <x:c r="F1252" s="4" t="str">
        <x:f>IFERROR(INDEX('Material routes'!$E$6:$E$2205,MATCH(V1252,'Material routes'!$A$6:$A$2205,0)),"MISSING ID")</x:f>
        <x:v>Reusable Phagia drinking flask</x:v>
      </x:c>
      <x:c r="G1252" s="4" t="str">
        <x:f>IFERROR(INDEX('Material routes'!$F$6:$F$2205,MATCH(V1252,'Material routes'!$A$6:$A$2205,0)),"MISSING ID")</x:f>
        <x:v>Not applicable</x:v>
      </x:c>
      <x:c r="H1252" s="4" t="str">
        <x:f>IFERROR(INDEX('Material routes'!$H$6:$H$2205,MATCH(V1252,'Material routes'!$A$6:$A$2205,0)),"MISSING ID")</x:f>
        <x:v>Container</x:v>
      </x:c>
      <x:c r="I1252" s="4" t="str">
        <x:f>IFERROR(INDEX('Material routes'!$G$6:$G$2205,MATCH(V1252,'Material routes'!$A$6:$A$2205,0)),"MISSING ID")</x:f>
        <x:v>Salvage</x:v>
      </x:c>
      <x:c r="J1252" s="4" t="str">
        <x:f>IFERROR(INDEX('Material routes'!$B$6:$B$2205,MATCH(U1252,'Material routes'!$A$6:$A$2205,0)),"MISSING ID")</x:f>
        <x:v>design.audit.proposal_food_drink_flask</x:v>
      </x:c>
      <x:c r="K1252" s="4" t="str">
        <x:f>IFERROR(INDEX('Crafting recipes'!$C$6:$C$1005,MATCH(J1252,'Crafting recipes'!$A$6:$A$1005,0)),"MISSING ID")</x:f>
        <x:v>Finished-item crafting</x:v>
      </x:c>
      <x:c r="L1252" s="4" t="str">
        <x:f>IFERROR(INDEX('Material routes'!$K$6:$K$2205,MATCH(U1252,'Material routes'!$A$6:$A$2205,0)),"MISSING ID")</x:f>
        <x:v>Proposal</x:v>
      </x:c>
      <x:c r="M1252" s="4" t="str">
        <x:f>IFERROR(INDEX('Material routes'!$M$6:$M$2205,MATCH(U1252,'Material routes'!$A$6:$A$2205,0)),"MISSING ID")</x:f>
        <x:v>Partial proposal</x:v>
      </x:c>
      <x:c r="N1252" s="4"/>
      <x:c r="O1252" s="4" t="str">
        <x:f>IFERROR(INDEX('Material routes'!$J$6:$J$2205,MATCH(U1252,'Material routes'!$A$6:$A$2205,0)),"MISSING ID")</x:f>
        <x:v>Unspecified</x:v>
      </x:c>
      <x:c r="P1252" s="4"/>
      <x:c r="Q1252" s="4" t="str">
        <x:f>IFERROR(INDEX('Material routes'!$J$6:$J$2205,MATCH(V1252,'Material routes'!$A$6:$A$2205,0)),"MISSING ID")</x:f>
        <x:v>Unspecified</x:v>
      </x:c>
      <x:c r="R1252" s="4" t="str">
        <x:f>IF(L1252="Withheld","Withheld premise",IF(E1252="Tool candidate","Reusable prerequisite",IF(K1252="Raw entry preparation","Entry-resource preparation",IF(G1252="Not applicable",IF(IFERROR(INDEX('Items'!$AI$6:$AI$1005,MATCH(T1252,'Items'!$A$6:$A$1005,0)),"MISSING ID")="Finished item","Finished endpoint",IF(IFERROR(INDEX('Items'!$AI$6:$AI$1005,MATCH(T1252,'Items'!$A$6:$A$1005,0)),"MISSING ID")="Currency","Currency / no refinement tier","Recovered output / tier not applicable")),IF(OR(IFERROR(INDEX('Crafting recipes'!$H$6:$H$1005,MATCH(J1252,'Crafting recipes'!$A$6:$A$1005,0)),"MISSING ID")="Unassigned",G1252="Unassigned"),"Tier unresolved",IF(IFERROR(VALUE(RIGHT(G1252,1))-VALUE(RIGHT(IFERROR(INDEX('Crafting recipes'!$H$6:$H$1005,MATCH(J1252,'Crafting recipes'!$A$6:$A$1005,0)),"MISSING ID"),1)),0)=1,IF(B1252=IFERROR(INDEX('Crafting recipes'!$H$6:$H$1005,MATCH(J1252,'Crafting recipes'!$A$6:$A$1005,0)),"MISSING ID"),"Advances one material tier","Lower-tier ingredient; route advances one tier"),"Needs tier review"))))))</x:f>
        <x:v>Finished endpoint</x:v>
      </x:c>
      <x:c r="S1252" s="4" t="str">
        <x:f>IFERROR(INDEX('Material routes'!$D$6:$D$2205,MATCH(U1252,'Material routes'!$A$6:$A$2205,0)),"MISSING ID")</x:f>
        <x:v>proposal.ceramic.glaze_feed</x:v>
      </x:c>
      <x:c r="T1252" s="4" t="str">
        <x:f>IFERROR(INDEX('Material routes'!$D$6:$D$2205,MATCH(V1252,'Material routes'!$A$6:$A$2205,0)),"MISSING ID")</x:f>
        <x:v>proposal.food.drink_flask</x:v>
      </x:c>
      <x:c r="U1252" s="4" t="str">
        <x:v>design.audit.proposal_food_drink_flask.audit.in.3</x:v>
      </x:c>
      <x:c r="V1252" s="4" t="str">
        <x:v>design.audit.proposal_food_drink_flask.audit.out</x:v>
      </x:c>
    </x:row>
    <x:row r="1253" ht="64" customHeight="1">
      <x:c r="A1253" s="4" t="str">
        <x:f>IFERROR(INDEX('Material routes'!$E$6:$E$2205,MATCH(U1253,'Material routes'!$A$6:$A$2205,0)),"MISSING ID")</x:f>
        <x:v>Layered husk composite stock</x:v>
      </x:c>
      <x:c r="B1253" s="4" t="str">
        <x:f>IFERROR(INDEX('Material routes'!$F$6:$F$2205,MATCH(U1253,'Material routes'!$A$6:$A$2205,0)),"MISSING ID")</x:f>
        <x:v>T3</x:v>
      </x:c>
      <x:c r="C1253" s="4" t="str">
        <x:f>IFERROR(INDEX('Material routes'!$H$6:$H$2205,MATCH(U1253,'Material routes'!$A$6:$A$2205,0)),"MISSING ID")</x:f>
        <x:v>Processed material</x:v>
      </x:c>
      <x:c r="D1253" s="4" t="str">
        <x:f>IFERROR(INDEX('Material routes'!$G$6:$G$2205,MATCH(U1253,'Material routes'!$A$6:$A$2205,0)),"MISSING ID")</x:f>
        <x:v>Manufactured stock</x:v>
      </x:c>
      <x:c r="E1253" s="4" t="str">
        <x:f>IFERROR(INDEX('Material routes'!$C$6:$C$2205,MATCH(U1253,'Material routes'!$A$6:$A$2205,0)),"MISSING ID")</x:f>
        <x:v>Ingredient candidate</x:v>
      </x:c>
      <x:c r="F1253" s="4" t="str">
        <x:f>IFERROR(INDEX('Material routes'!$E$6:$E$2205,MATCH(V1253,'Material routes'!$A$6:$A$2205,0)),"MISSING ID")</x:f>
        <x:v>Phagia ration-bar case</x:v>
      </x:c>
      <x:c r="G1253" s="4" t="str">
        <x:f>IFERROR(INDEX('Material routes'!$F$6:$F$2205,MATCH(V1253,'Material routes'!$A$6:$A$2205,0)),"MISSING ID")</x:f>
        <x:v>Not applicable</x:v>
      </x:c>
      <x:c r="H1253" s="4" t="str">
        <x:f>IFERROR(INDEX('Material routes'!$H$6:$H$2205,MATCH(V1253,'Material routes'!$A$6:$A$2205,0)),"MISSING ID")</x:f>
        <x:v>Carrier</x:v>
      </x:c>
      <x:c r="I1253" s="4" t="str">
        <x:f>IFERROR(INDEX('Material routes'!$G$6:$G$2205,MATCH(V1253,'Material routes'!$A$6:$A$2205,0)),"MISSING ID")</x:f>
        <x:v>Salvage</x:v>
      </x:c>
      <x:c r="J1253" s="4" t="str">
        <x:f>IFERROR(INDEX('Material routes'!$B$6:$B$2205,MATCH(U1253,'Material routes'!$A$6:$A$2205,0)),"MISSING ID")</x:f>
        <x:v>design.audit.proposal_food_bar_case</x:v>
      </x:c>
      <x:c r="K1253" s="4" t="str">
        <x:f>IFERROR(INDEX('Crafting recipes'!$C$6:$C$1005,MATCH(J1253,'Crafting recipes'!$A$6:$A$1005,0)),"MISSING ID")</x:f>
        <x:v>Finished-item crafting</x:v>
      </x:c>
      <x:c r="L1253" s="4" t="str">
        <x:f>IFERROR(INDEX('Material routes'!$K$6:$K$2205,MATCH(U1253,'Material routes'!$A$6:$A$2205,0)),"MISSING ID")</x:f>
        <x:v>Proposal</x:v>
      </x:c>
      <x:c r="M1253" s="4" t="str">
        <x:f>IFERROR(INDEX('Material routes'!$M$6:$M$2205,MATCH(U1253,'Material routes'!$A$6:$A$2205,0)),"MISSING ID")</x:f>
        <x:v>Partial proposal</x:v>
      </x:c>
      <x:c r="N1253" s="4"/>
      <x:c r="O1253" s="4" t="str">
        <x:f>IFERROR(INDEX('Material routes'!$J$6:$J$2205,MATCH(U1253,'Material routes'!$A$6:$A$2205,0)),"MISSING ID")</x:f>
        <x:v>Unspecified</x:v>
      </x:c>
      <x:c r="P1253" s="4"/>
      <x:c r="Q1253" s="4" t="str">
        <x:f>IFERROR(INDEX('Material routes'!$J$6:$J$2205,MATCH(V1253,'Material routes'!$A$6:$A$2205,0)),"MISSING ID")</x:f>
        <x:v>Unspecified</x:v>
      </x:c>
      <x:c r="R1253" s="4" t="str">
        <x:f>IF(L1253="Withheld","Withheld premise",IF(E1253="Tool candidate","Reusable prerequisite",IF(K1253="Raw entry preparation","Entry-resource preparation",IF(G1253="Not applicable",IF(IFERROR(INDEX('Items'!$AI$6:$AI$1005,MATCH(T1253,'Items'!$A$6:$A$1005,0)),"MISSING ID")="Finished item","Finished endpoint",IF(IFERROR(INDEX('Items'!$AI$6:$AI$1005,MATCH(T1253,'Items'!$A$6:$A$1005,0)),"MISSING ID")="Currency","Currency / no refinement tier","Recovered output / tier not applicable")),IF(OR(IFERROR(INDEX('Crafting recipes'!$H$6:$H$1005,MATCH(J1253,'Crafting recipes'!$A$6:$A$1005,0)),"MISSING ID")="Unassigned",G1253="Unassigned"),"Tier unresolved",IF(IFERROR(VALUE(RIGHT(G1253,1))-VALUE(RIGHT(IFERROR(INDEX('Crafting recipes'!$H$6:$H$1005,MATCH(J1253,'Crafting recipes'!$A$6:$A$1005,0)),"MISSING ID"),1)),0)=1,IF(B1253=IFERROR(INDEX('Crafting recipes'!$H$6:$H$1005,MATCH(J1253,'Crafting recipes'!$A$6:$A$1005,0)),"MISSING ID"),"Advances one material tier","Lower-tier ingredient; route advances one tier"),"Needs tier review"))))))</x:f>
        <x:v>Finished endpoint</x:v>
      </x:c>
      <x:c r="S1253" s="4" t="str">
        <x:f>IFERROR(INDEX('Material routes'!$D$6:$D$2205,MATCH(U1253,'Material routes'!$A$6:$A$2205,0)),"MISSING ID")</x:f>
        <x:v>proposal.branch.husk_composite</x:v>
      </x:c>
      <x:c r="T1253" s="4" t="str">
        <x:f>IFERROR(INDEX('Material routes'!$D$6:$D$2205,MATCH(V1253,'Material routes'!$A$6:$A$2205,0)),"MISSING ID")</x:f>
        <x:v>proposal.food.bar_case</x:v>
      </x:c>
      <x:c r="U1253" s="4" t="str">
        <x:v>design.audit.proposal_food_bar_case.audit.in.1</x:v>
      </x:c>
      <x:c r="V1253" s="4" t="str">
        <x:v>design.audit.proposal_food_bar_case.audit.out</x:v>
      </x:c>
    </x:row>
    <x:row r="1254" ht="64" customHeight="1">
      <x:c r="A1254" s="4" t="str">
        <x:f>IFERROR(INDEX('Material routes'!$E$6:$E$2205,MATCH(U1254,'Material routes'!$A$6:$A$2205,0)),"MISSING ID")</x:f>
        <x:v>Ceramic toggle fastener</x:v>
      </x:c>
      <x:c r="B1254" s="4" t="str">
        <x:f>IFERROR(INDEX('Material routes'!$F$6:$F$2205,MATCH(U1254,'Material routes'!$A$6:$A$2205,0)),"MISSING ID")</x:f>
        <x:v>T3</x:v>
      </x:c>
      <x:c r="C1254" s="4" t="str">
        <x:f>IFERROR(INDEX('Material routes'!$H$6:$H$2205,MATCH(U1254,'Material routes'!$A$6:$A$2205,0)),"MISSING ID")</x:f>
        <x:v>Crafting component</x:v>
      </x:c>
      <x:c r="D1254" s="4" t="str">
        <x:f>IFERROR(INDEX('Material routes'!$G$6:$G$2205,MATCH(U1254,'Material routes'!$A$6:$A$2205,0)),"MISSING ID")</x:f>
        <x:v>Crafting components</x:v>
      </x:c>
      <x:c r="E1254" s="4" t="str">
        <x:f>IFERROR(INDEX('Material routes'!$C$6:$C$2205,MATCH(U1254,'Material routes'!$A$6:$A$2205,0)),"MISSING ID")</x:f>
        <x:v>Ingredient candidate</x:v>
      </x:c>
      <x:c r="F1254" s="4" t="str">
        <x:f>IFERROR(INDEX('Material routes'!$E$6:$E$2205,MATCH(V1254,'Material routes'!$A$6:$A$2205,0)),"MISSING ID")</x:f>
        <x:v>Phagia ration-bar case</x:v>
      </x:c>
      <x:c r="G1254" s="4" t="str">
        <x:f>IFERROR(INDEX('Material routes'!$F$6:$F$2205,MATCH(V1254,'Material routes'!$A$6:$A$2205,0)),"MISSING ID")</x:f>
        <x:v>Not applicable</x:v>
      </x:c>
      <x:c r="H1254" s="4" t="str">
        <x:f>IFERROR(INDEX('Material routes'!$H$6:$H$2205,MATCH(V1254,'Material routes'!$A$6:$A$2205,0)),"MISSING ID")</x:f>
        <x:v>Carrier</x:v>
      </x:c>
      <x:c r="I1254" s="4" t="str">
        <x:f>IFERROR(INDEX('Material routes'!$G$6:$G$2205,MATCH(V1254,'Material routes'!$A$6:$A$2205,0)),"MISSING ID")</x:f>
        <x:v>Salvage</x:v>
      </x:c>
      <x:c r="J1254" s="4" t="str">
        <x:f>IFERROR(INDEX('Material routes'!$B$6:$B$2205,MATCH(U1254,'Material routes'!$A$6:$A$2205,0)),"MISSING ID")</x:f>
        <x:v>design.audit.proposal_food_bar_case</x:v>
      </x:c>
      <x:c r="K1254" s="4" t="str">
        <x:f>IFERROR(INDEX('Crafting recipes'!$C$6:$C$1005,MATCH(J1254,'Crafting recipes'!$A$6:$A$1005,0)),"MISSING ID")</x:f>
        <x:v>Finished-item crafting</x:v>
      </x:c>
      <x:c r="L1254" s="4" t="str">
        <x:f>IFERROR(INDEX('Material routes'!$K$6:$K$2205,MATCH(U1254,'Material routes'!$A$6:$A$2205,0)),"MISSING ID")</x:f>
        <x:v>Proposal</x:v>
      </x:c>
      <x:c r="M1254" s="4" t="str">
        <x:f>IFERROR(INDEX('Material routes'!$M$6:$M$2205,MATCH(U1254,'Material routes'!$A$6:$A$2205,0)),"MISSING ID")</x:f>
        <x:v>Partial proposal</x:v>
      </x:c>
      <x:c r="N1254" s="4"/>
      <x:c r="O1254" s="4" t="str">
        <x:f>IFERROR(INDEX('Material routes'!$J$6:$J$2205,MATCH(U1254,'Material routes'!$A$6:$A$2205,0)),"MISSING ID")</x:f>
        <x:v>Unspecified</x:v>
      </x:c>
      <x:c r="P1254" s="4"/>
      <x:c r="Q1254" s="4" t="str">
        <x:f>IFERROR(INDEX('Material routes'!$J$6:$J$2205,MATCH(V1254,'Material routes'!$A$6:$A$2205,0)),"MISSING ID")</x:f>
        <x:v>Unspecified</x:v>
      </x:c>
      <x:c r="R1254" s="4" t="str">
        <x:f>IF(L1254="Withheld","Withheld premise",IF(E1254="Tool candidate","Reusable prerequisite",IF(K1254="Raw entry preparation","Entry-resource preparation",IF(G1254="Not applicable",IF(IFERROR(INDEX('Items'!$AI$6:$AI$1005,MATCH(T1254,'Items'!$A$6:$A$1005,0)),"MISSING ID")="Finished item","Finished endpoint",IF(IFERROR(INDEX('Items'!$AI$6:$AI$1005,MATCH(T1254,'Items'!$A$6:$A$1005,0)),"MISSING ID")="Currency","Currency / no refinement tier","Recovered output / tier not applicable")),IF(OR(IFERROR(INDEX('Crafting recipes'!$H$6:$H$1005,MATCH(J1254,'Crafting recipes'!$A$6:$A$1005,0)),"MISSING ID")="Unassigned",G1254="Unassigned"),"Tier unresolved",IF(IFERROR(VALUE(RIGHT(G1254,1))-VALUE(RIGHT(IFERROR(INDEX('Crafting recipes'!$H$6:$H$1005,MATCH(J1254,'Crafting recipes'!$A$6:$A$1005,0)),"MISSING ID"),1)),0)=1,IF(B1254=IFERROR(INDEX('Crafting recipes'!$H$6:$H$1005,MATCH(J1254,'Crafting recipes'!$A$6:$A$1005,0)),"MISSING ID"),"Advances one material tier","Lower-tier ingredient; route advances one tier"),"Needs tier review"))))))</x:f>
        <x:v>Finished endpoint</x:v>
      </x:c>
      <x:c r="S1254" s="4" t="str">
        <x:f>IFERROR(INDEX('Material routes'!$D$6:$D$2205,MATCH(U1254,'Material routes'!$A$6:$A$2205,0)),"MISSING ID")</x:f>
        <x:v>proposal.ceramic.fastener</x:v>
      </x:c>
      <x:c r="T1254" s="4" t="str">
        <x:f>IFERROR(INDEX('Material routes'!$D$6:$D$2205,MATCH(V1254,'Material routes'!$A$6:$A$2205,0)),"MISSING ID")</x:f>
        <x:v>proposal.food.bar_case</x:v>
      </x:c>
      <x:c r="U1254" s="4" t="str">
        <x:v>design.audit.proposal_food_bar_case.audit.in.2</x:v>
      </x:c>
      <x:c r="V1254" s="4" t="str">
        <x:v>design.audit.proposal_food_bar_case.audit.out</x:v>
      </x:c>
    </x:row>
    <x:row r="1255" ht="64" customHeight="1">
      <x:c r="A1255" s="4"/>
      <x:c r="B1255" s="4"/>
      <x:c r="C1255" s="4"/>
      <x:c r="D1255" s="4"/>
      <x:c r="E1255" s="4"/>
      <x:c r="F1255" s="4"/>
      <x:c r="G1255" s="4"/>
      <x:c r="H1255" s="4"/>
      <x:c r="I1255" s="4"/>
      <x:c r="J1255" s="4"/>
      <x:c r="K1255" s="4"/>
      <x:c r="L1255" s="4"/>
      <x:c r="M1255" s="4"/>
      <x:c r="N1255" s="4"/>
      <x:c r="P1255" s="4"/>
      <x:c r="R1255" s="4"/>
      <x:c r="S1255" s="4"/>
      <x:c r="T1255" s="4"/>
      <x:c r="U1255" s="4"/>
      <x:c r="V1255" s="4"/>
    </x:row>
    <x:row r="1256" ht="64" customHeight="1">
      <x:c r="A1256" s="4"/>
      <x:c r="B1256" s="4"/>
      <x:c r="C1256" s="4"/>
      <x:c r="D1256" s="4"/>
      <x:c r="E1256" s="4"/>
      <x:c r="F1256" s="4"/>
      <x:c r="G1256" s="4"/>
      <x:c r="H1256" s="4"/>
      <x:c r="I1256" s="4"/>
      <x:c r="J1256" s="4"/>
      <x:c r="K1256" s="4"/>
      <x:c r="L1256" s="4"/>
      <x:c r="M1256" s="4"/>
      <x:c r="N1256" s="4"/>
      <x:c r="P1256" s="4"/>
      <x:c r="R1256" s="4"/>
      <x:c r="S1256" s="4"/>
      <x:c r="T1256" s="4"/>
      <x:c r="U1256" s="4"/>
      <x:c r="V1256" s="4"/>
    </x:row>
    <x:row r="1257" ht="64" customHeight="1">
      <x:c r="A1257" s="4"/>
      <x:c r="B1257" s="4"/>
      <x:c r="C1257" s="4"/>
      <x:c r="D1257" s="4"/>
      <x:c r="E1257" s="4"/>
      <x:c r="F1257" s="4"/>
      <x:c r="G1257" s="4"/>
      <x:c r="H1257" s="4"/>
      <x:c r="I1257" s="4"/>
      <x:c r="J1257" s="4"/>
      <x:c r="K1257" s="4"/>
      <x:c r="L1257" s="4"/>
      <x:c r="M1257" s="4"/>
      <x:c r="N1257" s="4"/>
      <x:c r="P1257" s="4"/>
      <x:c r="R1257" s="4"/>
      <x:c r="S1257" s="4"/>
      <x:c r="T1257" s="4"/>
      <x:c r="U1257" s="4"/>
      <x:c r="V1257" s="4"/>
    </x:row>
    <x:row r="1258" ht="64" customHeight="1">
      <x:c r="A1258" s="4" t="str">
        <x:f>IFERROR(INDEX('Material routes'!$E$6:$E$2205,MATCH(U1258,'Material routes'!$A$6:$A$2205,0)),"MISSING ID")</x:f>
        <x:v>Screened radio chassis insert</x:v>
      </x:c>
      <x:c r="B1258" s="4" t="str">
        <x:f>IFERROR(INDEX('Material routes'!$F$6:$F$2205,MATCH(U1258,'Material routes'!$A$6:$A$2205,0)),"MISSING ID")</x:f>
        <x:v>T4</x:v>
      </x:c>
      <x:c r="C1258" s="4" t="str">
        <x:f>IFERROR(INDEX('Material routes'!$H$6:$H$2205,MATCH(U1258,'Material routes'!$A$6:$A$2205,0)),"MISSING ID")</x:f>
        <x:v>Crafting component</x:v>
      </x:c>
      <x:c r="D1258" s="4" t="str">
        <x:f>IFERROR(INDEX('Material routes'!$G$6:$G$2205,MATCH(U1258,'Material routes'!$A$6:$A$2205,0)),"MISSING ID")</x:f>
        <x:v>Crafting components</x:v>
      </x:c>
      <x:c r="E1258" s="4" t="str">
        <x:f>IFERROR(INDEX('Material routes'!$C$6:$C$2205,MATCH(U1258,'Material routes'!$A$6:$A$2205,0)),"MISSING ID")</x:f>
        <x:v>Ingredient candidate</x:v>
      </x:c>
      <x:c r="F1258" s="4" t="str">
        <x:f>IFERROR(INDEX('Material routes'!$E$6:$E$2205,MATCH(V1258,'Material routes'!$A$6:$A$2205,0)),"MISSING ID")</x:f>
        <x:v>Crude two-way radio</x:v>
      </x:c>
      <x:c r="G1258" s="4" t="str">
        <x:f>IFERROR(INDEX('Material routes'!$F$6:$F$2205,MATCH(V1258,'Material routes'!$A$6:$A$2205,0)),"MISSING ID")</x:f>
        <x:v>Not applicable</x:v>
      </x:c>
      <x:c r="H1258" s="4" t="str">
        <x:f>IFERROR(INDEX('Material routes'!$H$6:$H$2205,MATCH(V1258,'Material routes'!$A$6:$A$2205,0)),"MISSING ID")</x:f>
        <x:v>Tool</x:v>
      </x:c>
      <x:c r="I1258" s="4" t="str">
        <x:f>IFERROR(INDEX('Material routes'!$G$6:$G$2205,MATCH(V1258,'Material routes'!$A$6:$A$2205,0)),"MISSING ID")</x:f>
        <x:v>Tools</x:v>
      </x:c>
      <x:c r="J1258" s="4" t="str">
        <x:f>IFERROR(INDEX('Material routes'!$B$6:$B$2205,MATCH(U1258,'Material routes'!$A$6:$A$2205,0)),"MISSING ID")</x:f>
        <x:v>design.audit.author_communication_crude_two_way_radio</x:v>
      </x:c>
      <x:c r="K1258" s="4" t="str">
        <x:f>IFERROR(INDEX('Crafting recipes'!$C$6:$C$1005,MATCH(J1258,'Crafting recipes'!$A$6:$A$1005,0)),"MISSING ID")</x:f>
        <x:v>Finished-item crafting</x:v>
      </x:c>
      <x:c r="L1258" s="4" t="str">
        <x:f>IFERROR(INDEX('Material routes'!$K$6:$K$2205,MATCH(U1258,'Material routes'!$A$6:$A$2205,0)),"MISSING ID")</x:f>
        <x:v>Proposal</x:v>
      </x:c>
      <x:c r="M1258" s="4" t="str">
        <x:f>IFERROR(INDEX('Material routes'!$M$6:$M$2205,MATCH(U1258,'Material routes'!$A$6:$A$2205,0)),"MISSING ID")</x:f>
        <x:v>Partial proposal</x:v>
      </x:c>
      <x:c r="N1258" s="4"/>
      <x:c r="O1258" s="4" t="str">
        <x:f>IFERROR(INDEX('Material routes'!$J$6:$J$2205,MATCH(U1258,'Material routes'!$A$6:$A$2205,0)),"MISSING ID")</x:f>
        <x:v>Unspecified</x:v>
      </x:c>
      <x:c r="P1258" s="4"/>
      <x:c r="Q1258" s="4" t="str">
        <x:f>IFERROR(INDEX('Material routes'!$J$6:$J$2205,MATCH(V1258,'Material routes'!$A$6:$A$2205,0)),"MISSING ID")</x:f>
        <x:v>Unspecified</x:v>
      </x:c>
      <x:c r="R1258" s="4" t="str">
        <x:f>IF(L1258="Withheld","Withheld premise",IF(E1258="Tool candidate","Reusable prerequisite",IF(K1258="Raw entry preparation","Entry-resource preparation",IF(G1258="Not applicable",IF(IFERROR(INDEX('Items'!$AI$6:$AI$1005,MATCH(T1258,'Items'!$A$6:$A$1005,0)),"MISSING ID")="Finished item","Finished endpoint",IF(IFERROR(INDEX('Items'!$AI$6:$AI$1005,MATCH(T1258,'Items'!$A$6:$A$1005,0)),"MISSING ID")="Currency","Currency / no refinement tier","Recovered output / tier not applicable")),IF(OR(IFERROR(INDEX('Crafting recipes'!$H$6:$H$1005,MATCH(J1258,'Crafting recipes'!$A$6:$A$1005,0)),"MISSING ID")="Unassigned",G1258="Unassigned"),"Tier unresolved",IF(IFERROR(VALUE(RIGHT(G1258,1))-VALUE(RIGHT(IFERROR(INDEX('Crafting recipes'!$H$6:$H$1005,MATCH(J1258,'Crafting recipes'!$A$6:$A$1005,0)),"MISSING ID"),1)),0)=1,IF(B1258=IFERROR(INDEX('Crafting recipes'!$H$6:$H$1005,MATCH(J1258,'Crafting recipes'!$A$6:$A$1005,0)),"MISSING ID"),"Advances one material tier","Lower-tier ingredient; route advances one tier"),"Needs tier review"))))))</x:f>
        <x:v>Finished endpoint</x:v>
      </x:c>
      <x:c r="S1258" s="4" t="str">
        <x:f>IFERROR(INDEX('Material routes'!$D$6:$D$2205,MATCH(U1258,'Material routes'!$A$6:$A$2205,0)),"MISSING ID")</x:f>
        <x:v>proposal.t4.screened_chassis</x:v>
      </x:c>
      <x:c r="T1258" s="4" t="str">
        <x:f>IFERROR(INDEX('Material routes'!$D$6:$D$2205,MATCH(V1258,'Material routes'!$A$6:$A$2205,0)),"MISSING ID")</x:f>
        <x:v>author.communication.crude_two_way_radio</x:v>
      </x:c>
      <x:c r="U1258" s="4" t="str">
        <x:v>design.audit.author_communication_crude_two_way_radio.audit.in.1</x:v>
      </x:c>
      <x:c r="V1258" s="4" t="str">
        <x:v>design.audit.author_communication_crude_two_way_radio.audit.out</x:v>
      </x:c>
    </x:row>
    <x:row r="1259" ht="64" customHeight="1">
      <x:c r="A1259" s="4" t="str">
        <x:f>IFERROR(INDEX('Material routes'!$E$6:$E$2205,MATCH(U1259,'Material routes'!$A$6:$A$2205,0)),"MISSING ID")</x:f>
        <x:v>Radio tuning support block</x:v>
      </x:c>
      <x:c r="B1259" s="4" t="str">
        <x:f>IFERROR(INDEX('Material routes'!$F$6:$F$2205,MATCH(U1259,'Material routes'!$A$6:$A$2205,0)),"MISSING ID")</x:f>
        <x:v>T4</x:v>
      </x:c>
      <x:c r="C1259" s="4" t="str">
        <x:f>IFERROR(INDEX('Material routes'!$H$6:$H$2205,MATCH(U1259,'Material routes'!$A$6:$A$2205,0)),"MISSING ID")</x:f>
        <x:v>Crafting component</x:v>
      </x:c>
      <x:c r="D1259" s="4" t="str">
        <x:f>IFERROR(INDEX('Material routes'!$G$6:$G$2205,MATCH(U1259,'Material routes'!$A$6:$A$2205,0)),"MISSING ID")</x:f>
        <x:v>Crafting components</x:v>
      </x:c>
      <x:c r="E1259" s="4" t="str">
        <x:f>IFERROR(INDEX('Material routes'!$C$6:$C$2205,MATCH(U1259,'Material routes'!$A$6:$A$2205,0)),"MISSING ID")</x:f>
        <x:v>Ingredient candidate</x:v>
      </x:c>
      <x:c r="F1259" s="4" t="str">
        <x:f>IFERROR(INDEX('Material routes'!$E$6:$E$2205,MATCH(V1259,'Material routes'!$A$6:$A$2205,0)),"MISSING ID")</x:f>
        <x:v>Crude two-way radio</x:v>
      </x:c>
      <x:c r="G1259" s="4" t="str">
        <x:f>IFERROR(INDEX('Material routes'!$F$6:$F$2205,MATCH(V1259,'Material routes'!$A$6:$A$2205,0)),"MISSING ID")</x:f>
        <x:v>Not applicable</x:v>
      </x:c>
      <x:c r="H1259" s="4" t="str">
        <x:f>IFERROR(INDEX('Material routes'!$H$6:$H$2205,MATCH(V1259,'Material routes'!$A$6:$A$2205,0)),"MISSING ID")</x:f>
        <x:v>Tool</x:v>
      </x:c>
      <x:c r="I1259" s="4" t="str">
        <x:f>IFERROR(INDEX('Material routes'!$G$6:$G$2205,MATCH(V1259,'Material routes'!$A$6:$A$2205,0)),"MISSING ID")</x:f>
        <x:v>Tools</x:v>
      </x:c>
      <x:c r="J1259" s="4" t="str">
        <x:f>IFERROR(INDEX('Material routes'!$B$6:$B$2205,MATCH(U1259,'Material routes'!$A$6:$A$2205,0)),"MISSING ID")</x:f>
        <x:v>design.audit.author_communication_crude_two_way_radio</x:v>
      </x:c>
      <x:c r="K1259" s="4" t="str">
        <x:f>IFERROR(INDEX('Crafting recipes'!$C$6:$C$1005,MATCH(J1259,'Crafting recipes'!$A$6:$A$1005,0)),"MISSING ID")</x:f>
        <x:v>Finished-item crafting</x:v>
      </x:c>
      <x:c r="L1259" s="4" t="str">
        <x:f>IFERROR(INDEX('Material routes'!$K$6:$K$2205,MATCH(U1259,'Material routes'!$A$6:$A$2205,0)),"MISSING ID")</x:f>
        <x:v>Proposal</x:v>
      </x:c>
      <x:c r="M1259" s="4" t="str">
        <x:f>IFERROR(INDEX('Material routes'!$M$6:$M$2205,MATCH(U1259,'Material routes'!$A$6:$A$2205,0)),"MISSING ID")</x:f>
        <x:v>Partial proposal</x:v>
      </x:c>
      <x:c r="N1259" s="4"/>
      <x:c r="O1259" s="4" t="str">
        <x:f>IFERROR(INDEX('Material routes'!$J$6:$J$2205,MATCH(U1259,'Material routes'!$A$6:$A$2205,0)),"MISSING ID")</x:f>
        <x:v>Unspecified</x:v>
      </x:c>
      <x:c r="P1259" s="4"/>
      <x:c r="Q1259" s="4" t="str">
        <x:f>IFERROR(INDEX('Material routes'!$J$6:$J$2205,MATCH(V1259,'Material routes'!$A$6:$A$2205,0)),"MISSING ID")</x:f>
        <x:v>Unspecified</x:v>
      </x:c>
      <x:c r="R1259" s="4" t="str">
        <x:f>IF(L1259="Withheld","Withheld premise",IF(E1259="Tool candidate","Reusable prerequisite",IF(K1259="Raw entry preparation","Entry-resource preparation",IF(G1259="Not applicable",IF(IFERROR(INDEX('Items'!$AI$6:$AI$1005,MATCH(T1259,'Items'!$A$6:$A$1005,0)),"MISSING ID")="Finished item","Finished endpoint",IF(IFERROR(INDEX('Items'!$AI$6:$AI$1005,MATCH(T1259,'Items'!$A$6:$A$1005,0)),"MISSING ID")="Currency","Currency / no refinement tier","Recovered output / tier not applicable")),IF(OR(IFERROR(INDEX('Crafting recipes'!$H$6:$H$1005,MATCH(J1259,'Crafting recipes'!$A$6:$A$1005,0)),"MISSING ID")="Unassigned",G1259="Unassigned"),"Tier unresolved",IF(IFERROR(VALUE(RIGHT(G1259,1))-VALUE(RIGHT(IFERROR(INDEX('Crafting recipes'!$H$6:$H$1005,MATCH(J1259,'Crafting recipes'!$A$6:$A$1005,0)),"MISSING ID"),1)),0)=1,IF(B1259=IFERROR(INDEX('Crafting recipes'!$H$6:$H$1005,MATCH(J1259,'Crafting recipes'!$A$6:$A$1005,0)),"MISSING ID"),"Advances one material tier","Lower-tier ingredient; route advances one tier"),"Needs tier review"))))))</x:f>
        <x:v>Finished endpoint</x:v>
      </x:c>
      <x:c r="S1259" s="4" t="str">
        <x:f>IFERROR(INDEX('Material routes'!$D$6:$D$2205,MATCH(U1259,'Material routes'!$A$6:$A$2205,0)),"MISSING ID")</x:f>
        <x:v>proposal.t4.radio_tuning</x:v>
      </x:c>
      <x:c r="T1259" s="4" t="str">
        <x:f>IFERROR(INDEX('Material routes'!$D$6:$D$2205,MATCH(V1259,'Material routes'!$A$6:$A$2205,0)),"MISSING ID")</x:f>
        <x:v>author.communication.crude_two_way_radio</x:v>
      </x:c>
      <x:c r="U1259" s="4" t="str">
        <x:v>design.audit.author_communication_crude_two_way_radio.audit.in.2</x:v>
      </x:c>
      <x:c r="V1259" s="4" t="str">
        <x:v>design.audit.author_communication_crude_two_way_radio.audit.out</x:v>
      </x:c>
    </x:row>
    <x:row r="1260" ht="64" customHeight="1">
      <x:c r="A1260" s="4" t="str">
        <x:f>IFERROR(INDEX('Material routes'!$E$6:$E$2205,MATCH(U1260,'Material routes'!$A$6:$A$2205,0)),"MISSING ID")</x:f>
        <x:v>Recovered radio detector element</x:v>
      </x:c>
      <x:c r="B1260" s="4" t="str">
        <x:f>IFERROR(INDEX('Material routes'!$F$6:$F$2205,MATCH(U1260,'Material routes'!$A$6:$A$2205,0)),"MISSING ID")</x:f>
        <x:v>Not applicable</x:v>
      </x:c>
      <x:c r="C1260" s="4" t="str">
        <x:f>IFERROR(INDEX('Material routes'!$H$6:$H$2205,MATCH(U1260,'Material routes'!$A$6:$A$2205,0)),"MISSING ID")</x:f>
        <x:v>Machine part</x:v>
      </x:c>
      <x:c r="D1260" s="4" t="str">
        <x:f>IFERROR(INDEX('Material routes'!$G$6:$G$2205,MATCH(U1260,'Material routes'!$A$6:$A$2205,0)),"MISSING ID")</x:f>
        <x:v>Salvage</x:v>
      </x:c>
      <x:c r="E1260" s="4" t="str">
        <x:f>IFERROR(INDEX('Material routes'!$C$6:$C$2205,MATCH(U1260,'Material routes'!$A$6:$A$2205,0)),"MISSING ID")</x:f>
        <x:v>Ingredient candidate</x:v>
      </x:c>
      <x:c r="F1260" s="4" t="str">
        <x:f>IFERROR(INDEX('Material routes'!$E$6:$E$2205,MATCH(V1260,'Material routes'!$A$6:$A$2205,0)),"MISSING ID")</x:f>
        <x:v>Crude two-way radio</x:v>
      </x:c>
      <x:c r="G1260" s="4" t="str">
        <x:f>IFERROR(INDEX('Material routes'!$F$6:$F$2205,MATCH(V1260,'Material routes'!$A$6:$A$2205,0)),"MISSING ID")</x:f>
        <x:v>Not applicable</x:v>
      </x:c>
      <x:c r="H1260" s="4" t="str">
        <x:f>IFERROR(INDEX('Material routes'!$H$6:$H$2205,MATCH(V1260,'Material routes'!$A$6:$A$2205,0)),"MISSING ID")</x:f>
        <x:v>Tool</x:v>
      </x:c>
      <x:c r="I1260" s="4" t="str">
        <x:f>IFERROR(INDEX('Material routes'!$G$6:$G$2205,MATCH(V1260,'Material routes'!$A$6:$A$2205,0)),"MISSING ID")</x:f>
        <x:v>Tools</x:v>
      </x:c>
      <x:c r="J1260" s="4" t="str">
        <x:f>IFERROR(INDEX('Material routes'!$B$6:$B$2205,MATCH(U1260,'Material routes'!$A$6:$A$2205,0)),"MISSING ID")</x:f>
        <x:v>design.audit.author_communication_crude_two_way_radio</x:v>
      </x:c>
      <x:c r="K1260" s="4" t="str">
        <x:f>IFERROR(INDEX('Crafting recipes'!$C$6:$C$1005,MATCH(J1260,'Crafting recipes'!$A$6:$A$1005,0)),"MISSING ID")</x:f>
        <x:v>Finished-item crafting</x:v>
      </x:c>
      <x:c r="L1260" s="4" t="str">
        <x:f>IFERROR(INDEX('Material routes'!$K$6:$K$2205,MATCH(U1260,'Material routes'!$A$6:$A$2205,0)),"MISSING ID")</x:f>
        <x:v>Proposal</x:v>
      </x:c>
      <x:c r="M1260" s="4" t="str">
        <x:f>IFERROR(INDEX('Material routes'!$M$6:$M$2205,MATCH(U1260,'Material routes'!$A$6:$A$2205,0)),"MISSING ID")</x:f>
        <x:v>Partial proposal</x:v>
      </x:c>
      <x:c r="N1260" s="4"/>
      <x:c r="O1260" s="4" t="str">
        <x:f>IFERROR(INDEX('Material routes'!$J$6:$J$2205,MATCH(U1260,'Material routes'!$A$6:$A$2205,0)),"MISSING ID")</x:f>
        <x:v>Unspecified</x:v>
      </x:c>
      <x:c r="P1260" s="4"/>
      <x:c r="Q1260" s="4" t="str">
        <x:f>IFERROR(INDEX('Material routes'!$J$6:$J$2205,MATCH(V1260,'Material routes'!$A$6:$A$2205,0)),"MISSING ID")</x:f>
        <x:v>Unspecified</x:v>
      </x:c>
      <x:c r="R1260" s="4" t="str">
        <x:f>IF(L1260="Withheld","Withheld premise",IF(E1260="Tool candidate","Reusable prerequisite",IF(K1260="Raw entry preparation","Entry-resource preparation",IF(G1260="Not applicable",IF(IFERROR(INDEX('Items'!$AI$6:$AI$1005,MATCH(T1260,'Items'!$A$6:$A$1005,0)),"MISSING ID")="Finished item","Finished endpoint",IF(IFERROR(INDEX('Items'!$AI$6:$AI$1005,MATCH(T1260,'Items'!$A$6:$A$1005,0)),"MISSING ID")="Currency","Currency / no refinement tier","Recovered output / tier not applicable")),IF(OR(IFERROR(INDEX('Crafting recipes'!$H$6:$H$1005,MATCH(J1260,'Crafting recipes'!$A$6:$A$1005,0)),"MISSING ID")="Unassigned",G1260="Unassigned"),"Tier unresolved",IF(IFERROR(VALUE(RIGHT(G1260,1))-VALUE(RIGHT(IFERROR(INDEX('Crafting recipes'!$H$6:$H$1005,MATCH(J1260,'Crafting recipes'!$A$6:$A$1005,0)),"MISSING ID"),1)),0)=1,IF(B1260=IFERROR(INDEX('Crafting recipes'!$H$6:$H$1005,MATCH(J1260,'Crafting recipes'!$A$6:$A$1005,0)),"MISSING ID"),"Advances one material tier","Lower-tier ingredient; route advances one tier"),"Needs tier review"))))))</x:f>
        <x:v>Finished endpoint</x:v>
      </x:c>
      <x:c r="S1260" s="4" t="str">
        <x:f>IFERROR(INDEX('Material routes'!$D$6:$D$2205,MATCH(U1260,'Material routes'!$A$6:$A$2205,0)),"MISSING ID")</x:f>
        <x:v>proposal.audit.recovered_radio_detector_element</x:v>
      </x:c>
      <x:c r="T1260" s="4" t="str">
        <x:f>IFERROR(INDEX('Material routes'!$D$6:$D$2205,MATCH(V1260,'Material routes'!$A$6:$A$2205,0)),"MISSING ID")</x:f>
        <x:v>author.communication.crude_two_way_radio</x:v>
      </x:c>
      <x:c r="U1260" s="4" t="str">
        <x:v>design.audit.author_communication_crude_two_way_radio.audit.in.3</x:v>
      </x:c>
      <x:c r="V1260" s="4" t="str">
        <x:v>design.audit.author_communication_crude_two_way_radio.audit.out</x:v>
      </x:c>
    </x:row>
    <x:row r="1261" ht="64" customHeight="1">
      <x:c r="A1261" s="4" t="str">
        <x:f>IFERROR(INDEX('Material routes'!$E$6:$E$2205,MATCH(U1261,'Material routes'!$A$6:$A$2205,0)),"MISSING ID")</x:f>
        <x:v>Recovered acoustic receiver capsule</x:v>
      </x:c>
      <x:c r="B1261" s="4" t="str">
        <x:f>IFERROR(INDEX('Material routes'!$F$6:$F$2205,MATCH(U1261,'Material routes'!$A$6:$A$2205,0)),"MISSING ID")</x:f>
        <x:v>Not applicable</x:v>
      </x:c>
      <x:c r="C1261" s="4" t="str">
        <x:f>IFERROR(INDEX('Material routes'!$H$6:$H$2205,MATCH(U1261,'Material routes'!$A$6:$A$2205,0)),"MISSING ID")</x:f>
        <x:v>Machine part</x:v>
      </x:c>
      <x:c r="D1261" s="4" t="str">
        <x:f>IFERROR(INDEX('Material routes'!$G$6:$G$2205,MATCH(U1261,'Material routes'!$A$6:$A$2205,0)),"MISSING ID")</x:f>
        <x:v>Salvage</x:v>
      </x:c>
      <x:c r="E1261" s="4" t="str">
        <x:f>IFERROR(INDEX('Material routes'!$C$6:$C$2205,MATCH(U1261,'Material routes'!$A$6:$A$2205,0)),"MISSING ID")</x:f>
        <x:v>Ingredient candidate</x:v>
      </x:c>
      <x:c r="F1261" s="4" t="str">
        <x:f>IFERROR(INDEX('Material routes'!$E$6:$E$2205,MATCH(V1261,'Material routes'!$A$6:$A$2205,0)),"MISSING ID")</x:f>
        <x:v>Crude two-way radio</x:v>
      </x:c>
      <x:c r="G1261" s="4" t="str">
        <x:f>IFERROR(INDEX('Material routes'!$F$6:$F$2205,MATCH(V1261,'Material routes'!$A$6:$A$2205,0)),"MISSING ID")</x:f>
        <x:v>Not applicable</x:v>
      </x:c>
      <x:c r="H1261" s="4" t="str">
        <x:f>IFERROR(INDEX('Material routes'!$H$6:$H$2205,MATCH(V1261,'Material routes'!$A$6:$A$2205,0)),"MISSING ID")</x:f>
        <x:v>Tool</x:v>
      </x:c>
      <x:c r="I1261" s="4" t="str">
        <x:f>IFERROR(INDEX('Material routes'!$G$6:$G$2205,MATCH(V1261,'Material routes'!$A$6:$A$2205,0)),"MISSING ID")</x:f>
        <x:v>Tools</x:v>
      </x:c>
      <x:c r="J1261" s="4" t="str">
        <x:f>IFERROR(INDEX('Material routes'!$B$6:$B$2205,MATCH(U1261,'Material routes'!$A$6:$A$2205,0)),"MISSING ID")</x:f>
        <x:v>design.audit.author_communication_crude_two_way_radio</x:v>
      </x:c>
      <x:c r="K1261" s="4" t="str">
        <x:f>IFERROR(INDEX('Crafting recipes'!$C$6:$C$1005,MATCH(J1261,'Crafting recipes'!$A$6:$A$1005,0)),"MISSING ID")</x:f>
        <x:v>Finished-item crafting</x:v>
      </x:c>
      <x:c r="L1261" s="4" t="str">
        <x:f>IFERROR(INDEX('Material routes'!$K$6:$K$2205,MATCH(U1261,'Material routes'!$A$6:$A$2205,0)),"MISSING ID")</x:f>
        <x:v>Proposal</x:v>
      </x:c>
      <x:c r="M1261" s="4" t="str">
        <x:f>IFERROR(INDEX('Material routes'!$M$6:$M$2205,MATCH(U1261,'Material routes'!$A$6:$A$2205,0)),"MISSING ID")</x:f>
        <x:v>Partial proposal</x:v>
      </x:c>
      <x:c r="N1261" s="4"/>
      <x:c r="O1261" s="4" t="str">
        <x:f>IFERROR(INDEX('Material routes'!$J$6:$J$2205,MATCH(U1261,'Material routes'!$A$6:$A$2205,0)),"MISSING ID")</x:f>
        <x:v>Unspecified</x:v>
      </x:c>
      <x:c r="P1261" s="4"/>
      <x:c r="Q1261" s="4" t="str">
        <x:f>IFERROR(INDEX('Material routes'!$J$6:$J$2205,MATCH(V1261,'Material routes'!$A$6:$A$2205,0)),"MISSING ID")</x:f>
        <x:v>Unspecified</x:v>
      </x:c>
      <x:c r="R1261" s="4" t="str">
        <x:f>IF(L1261="Withheld","Withheld premise",IF(E1261="Tool candidate","Reusable prerequisite",IF(K1261="Raw entry preparation","Entry-resource preparation",IF(G1261="Not applicable",IF(IFERROR(INDEX('Items'!$AI$6:$AI$1005,MATCH(T1261,'Items'!$A$6:$A$1005,0)),"MISSING ID")="Finished item","Finished endpoint",IF(IFERROR(INDEX('Items'!$AI$6:$AI$1005,MATCH(T1261,'Items'!$A$6:$A$1005,0)),"MISSING ID")="Currency","Currency / no refinement tier","Recovered output / tier not applicable")),IF(OR(IFERROR(INDEX('Crafting recipes'!$H$6:$H$1005,MATCH(J1261,'Crafting recipes'!$A$6:$A$1005,0)),"MISSING ID")="Unassigned",G1261="Unassigned"),"Tier unresolved",IF(IFERROR(VALUE(RIGHT(G1261,1))-VALUE(RIGHT(IFERROR(INDEX('Crafting recipes'!$H$6:$H$1005,MATCH(J1261,'Crafting recipes'!$A$6:$A$1005,0)),"MISSING ID"),1)),0)=1,IF(B1261=IFERROR(INDEX('Crafting recipes'!$H$6:$H$1005,MATCH(J1261,'Crafting recipes'!$A$6:$A$1005,0)),"MISSING ID"),"Advances one material tier","Lower-tier ingredient; route advances one tier"),"Needs tier review"))))))</x:f>
        <x:v>Finished endpoint</x:v>
      </x:c>
      <x:c r="S1261" s="4" t="str">
        <x:f>IFERROR(INDEX('Material routes'!$D$6:$D$2205,MATCH(U1261,'Material routes'!$A$6:$A$2205,0)),"MISSING ID")</x:f>
        <x:v>proposal.audit.recovered_acoustic_receiver_capsule</x:v>
      </x:c>
      <x:c r="T1261" s="4" t="str">
        <x:f>IFERROR(INDEX('Material routes'!$D$6:$D$2205,MATCH(V1261,'Material routes'!$A$6:$A$2205,0)),"MISSING ID")</x:f>
        <x:v>author.communication.crude_two_way_radio</x:v>
      </x:c>
      <x:c r="U1261" s="4" t="str">
        <x:v>design.audit.author_communication_crude_two_way_radio.audit.in.4</x:v>
      </x:c>
      <x:c r="V1261" s="4" t="str">
        <x:v>design.audit.author_communication_crude_two_way_radio.audit.out</x:v>
      </x:c>
    </x:row>
    <x:row r="1262" ht="64" customHeight="1">
      <x:c r="A1262" s="4" t="str">
        <x:f>IFERROR(INDEX('Material routes'!$E$6:$E$2205,MATCH(U1262,'Material routes'!$A$6:$A$2205,0)),"MISSING ID")</x:f>
        <x:v>Ceramic-backed control switch</x:v>
      </x:c>
      <x:c r="B1262" s="4" t="str">
        <x:f>IFERROR(INDEX('Material routes'!$F$6:$F$2205,MATCH(U1262,'Material routes'!$A$6:$A$2205,0)),"MISSING ID")</x:f>
        <x:v>T4</x:v>
      </x:c>
      <x:c r="C1262" s="4" t="str">
        <x:f>IFERROR(INDEX('Material routes'!$H$6:$H$2205,MATCH(U1262,'Material routes'!$A$6:$A$2205,0)),"MISSING ID")</x:f>
        <x:v>Crafting component</x:v>
      </x:c>
      <x:c r="D1262" s="4" t="str">
        <x:f>IFERROR(INDEX('Material routes'!$G$6:$G$2205,MATCH(U1262,'Material routes'!$A$6:$A$2205,0)),"MISSING ID")</x:f>
        <x:v>Crafting components</x:v>
      </x:c>
      <x:c r="E1262" s="4" t="str">
        <x:f>IFERROR(INDEX('Material routes'!$C$6:$C$2205,MATCH(U1262,'Material routes'!$A$6:$A$2205,0)),"MISSING ID")</x:f>
        <x:v>Ingredient candidate</x:v>
      </x:c>
      <x:c r="F1262" s="4" t="str">
        <x:f>IFERROR(INDEX('Material routes'!$E$6:$E$2205,MATCH(V1262,'Material routes'!$A$6:$A$2205,0)),"MISSING ID")</x:f>
        <x:v>Crude two-way radio</x:v>
      </x:c>
      <x:c r="G1262" s="4" t="str">
        <x:f>IFERROR(INDEX('Material routes'!$F$6:$F$2205,MATCH(V1262,'Material routes'!$A$6:$A$2205,0)),"MISSING ID")</x:f>
        <x:v>Not applicable</x:v>
      </x:c>
      <x:c r="H1262" s="4" t="str">
        <x:f>IFERROR(INDEX('Material routes'!$H$6:$H$2205,MATCH(V1262,'Material routes'!$A$6:$A$2205,0)),"MISSING ID")</x:f>
        <x:v>Tool</x:v>
      </x:c>
      <x:c r="I1262" s="4" t="str">
        <x:f>IFERROR(INDEX('Material routes'!$G$6:$G$2205,MATCH(V1262,'Material routes'!$A$6:$A$2205,0)),"MISSING ID")</x:f>
        <x:v>Tools</x:v>
      </x:c>
      <x:c r="J1262" s="4" t="str">
        <x:f>IFERROR(INDEX('Material routes'!$B$6:$B$2205,MATCH(U1262,'Material routes'!$A$6:$A$2205,0)),"MISSING ID")</x:f>
        <x:v>design.audit.author_communication_crude_two_way_radio</x:v>
      </x:c>
      <x:c r="K1262" s="4" t="str">
        <x:f>IFERROR(INDEX('Crafting recipes'!$C$6:$C$1005,MATCH(J1262,'Crafting recipes'!$A$6:$A$1005,0)),"MISSING ID")</x:f>
        <x:v>Finished-item crafting</x:v>
      </x:c>
      <x:c r="L1262" s="4" t="str">
        <x:f>IFERROR(INDEX('Material routes'!$K$6:$K$2205,MATCH(U1262,'Material routes'!$A$6:$A$2205,0)),"MISSING ID")</x:f>
        <x:v>Proposal</x:v>
      </x:c>
      <x:c r="M1262" s="4" t="str">
        <x:f>IFERROR(INDEX('Material routes'!$M$6:$M$2205,MATCH(U1262,'Material routes'!$A$6:$A$2205,0)),"MISSING ID")</x:f>
        <x:v>Partial proposal</x:v>
      </x:c>
      <x:c r="N1262" s="4"/>
      <x:c r="O1262" s="4" t="str">
        <x:f>IFERROR(INDEX('Material routes'!$J$6:$J$2205,MATCH(U1262,'Material routes'!$A$6:$A$2205,0)),"MISSING ID")</x:f>
        <x:v>Unspecified</x:v>
      </x:c>
      <x:c r="P1262" s="4"/>
      <x:c r="Q1262" s="4" t="str">
        <x:f>IFERROR(INDEX('Material routes'!$J$6:$J$2205,MATCH(V1262,'Material routes'!$A$6:$A$2205,0)),"MISSING ID")</x:f>
        <x:v>Unspecified</x:v>
      </x:c>
      <x:c r="R1262" s="4" t="str">
        <x:f>IF(L1262="Withheld","Withheld premise",IF(E1262="Tool candidate","Reusable prerequisite",IF(K1262="Raw entry preparation","Entry-resource preparation",IF(G1262="Not applicable",IF(IFERROR(INDEX('Items'!$AI$6:$AI$1005,MATCH(T1262,'Items'!$A$6:$A$1005,0)),"MISSING ID")="Finished item","Finished endpoint",IF(IFERROR(INDEX('Items'!$AI$6:$AI$1005,MATCH(T1262,'Items'!$A$6:$A$1005,0)),"MISSING ID")="Currency","Currency / no refinement tier","Recovered output / tier not applicable")),IF(OR(IFERROR(INDEX('Crafting recipes'!$H$6:$H$1005,MATCH(J1262,'Crafting recipes'!$A$6:$A$1005,0)),"MISSING ID")="Unassigned",G1262="Unassigned"),"Tier unresolved",IF(IFERROR(VALUE(RIGHT(G1262,1))-VALUE(RIGHT(IFERROR(INDEX('Crafting recipes'!$H$6:$H$1005,MATCH(J1262,'Crafting recipes'!$A$6:$A$1005,0)),"MISSING ID"),1)),0)=1,IF(B1262=IFERROR(INDEX('Crafting recipes'!$H$6:$H$1005,MATCH(J1262,'Crafting recipes'!$A$6:$A$1005,0)),"MISSING ID"),"Advances one material tier","Lower-tier ingredient; route advances one tier"),"Needs tier review"))))))</x:f>
        <x:v>Finished endpoint</x:v>
      </x:c>
      <x:c r="S1262" s="4" t="str">
        <x:f>IFERROR(INDEX('Material routes'!$D$6:$D$2205,MATCH(U1262,'Material routes'!$A$6:$A$2205,0)),"MISSING ID")</x:f>
        <x:v>proposal.audit.ceramic_backed_control_switch</x:v>
      </x:c>
      <x:c r="T1262" s="4" t="str">
        <x:f>IFERROR(INDEX('Material routes'!$D$6:$D$2205,MATCH(V1262,'Material routes'!$A$6:$A$2205,0)),"MISSING ID")</x:f>
        <x:v>author.communication.crude_two_way_radio</x:v>
      </x:c>
      <x:c r="U1262" s="4" t="str">
        <x:v>design.audit.author_communication_crude_two_way_radio.audit.in.5</x:v>
      </x:c>
      <x:c r="V1262" s="4" t="str">
        <x:v>design.audit.author_communication_crude_two_way_radio.audit.out</x:v>
      </x:c>
    </x:row>
    <x:row r="1263" ht="64" customHeight="1">
      <x:c r="A1263" s="4" t="str">
        <x:f>IFERROR(INDEX('Material routes'!$E$6:$E$2205,MATCH(U1263,'Material routes'!$A$6:$A$2205,0)),"MISSING ID")</x:f>
        <x:v>Flexible copper service jumper</x:v>
      </x:c>
      <x:c r="B1263" s="4" t="str">
        <x:f>IFERROR(INDEX('Material routes'!$F$6:$F$2205,MATCH(U1263,'Material routes'!$A$6:$A$2205,0)),"MISSING ID")</x:f>
        <x:v>T4</x:v>
      </x:c>
      <x:c r="C1263" s="4" t="str">
        <x:f>IFERROR(INDEX('Material routes'!$H$6:$H$2205,MATCH(U1263,'Material routes'!$A$6:$A$2205,0)),"MISSING ID")</x:f>
        <x:v>Machine part</x:v>
      </x:c>
      <x:c r="D1263" s="4" t="str">
        <x:f>IFERROR(INDEX('Material routes'!$G$6:$G$2205,MATCH(U1263,'Material routes'!$A$6:$A$2205,0)),"MISSING ID")</x:f>
        <x:v>Crafting components</x:v>
      </x:c>
      <x:c r="E1263" s="4" t="str">
        <x:f>IFERROR(INDEX('Material routes'!$C$6:$C$2205,MATCH(U1263,'Material routes'!$A$6:$A$2205,0)),"MISSING ID")</x:f>
        <x:v>Ingredient candidate</x:v>
      </x:c>
      <x:c r="F1263" s="4" t="str">
        <x:f>IFERROR(INDEX('Material routes'!$E$6:$E$2205,MATCH(V1263,'Material routes'!$A$6:$A$2205,0)),"MISSING ID")</x:f>
        <x:v>Crude two-way radio</x:v>
      </x:c>
      <x:c r="G1263" s="4" t="str">
        <x:f>IFERROR(INDEX('Material routes'!$F$6:$F$2205,MATCH(V1263,'Material routes'!$A$6:$A$2205,0)),"MISSING ID")</x:f>
        <x:v>Not applicable</x:v>
      </x:c>
      <x:c r="H1263" s="4" t="str">
        <x:f>IFERROR(INDEX('Material routes'!$H$6:$H$2205,MATCH(V1263,'Material routes'!$A$6:$A$2205,0)),"MISSING ID")</x:f>
        <x:v>Tool</x:v>
      </x:c>
      <x:c r="I1263" s="4" t="str">
        <x:f>IFERROR(INDEX('Material routes'!$G$6:$G$2205,MATCH(V1263,'Material routes'!$A$6:$A$2205,0)),"MISSING ID")</x:f>
        <x:v>Tools</x:v>
      </x:c>
      <x:c r="J1263" s="4" t="str">
        <x:f>IFERROR(INDEX('Material routes'!$B$6:$B$2205,MATCH(U1263,'Material routes'!$A$6:$A$2205,0)),"MISSING ID")</x:f>
        <x:v>design.audit.author_communication_crude_two_way_radio</x:v>
      </x:c>
      <x:c r="K1263" s="4" t="str">
        <x:f>IFERROR(INDEX('Crafting recipes'!$C$6:$C$1005,MATCH(J1263,'Crafting recipes'!$A$6:$A$1005,0)),"MISSING ID")</x:f>
        <x:v>Finished-item crafting</x:v>
      </x:c>
      <x:c r="L1263" s="4" t="str">
        <x:f>IFERROR(INDEX('Material routes'!$K$6:$K$2205,MATCH(U1263,'Material routes'!$A$6:$A$2205,0)),"MISSING ID")</x:f>
        <x:v>Proposal</x:v>
      </x:c>
      <x:c r="M1263" s="4" t="str">
        <x:f>IFERROR(INDEX('Material routes'!$M$6:$M$2205,MATCH(U1263,'Material routes'!$A$6:$A$2205,0)),"MISSING ID")</x:f>
        <x:v>Partial proposal</x:v>
      </x:c>
      <x:c r="N1263" s="4"/>
      <x:c r="O1263" s="4" t="str">
        <x:f>IFERROR(INDEX('Material routes'!$J$6:$J$2205,MATCH(U1263,'Material routes'!$A$6:$A$2205,0)),"MISSING ID")</x:f>
        <x:v>Unspecified</x:v>
      </x:c>
      <x:c r="P1263" s="4"/>
      <x:c r="Q1263" s="4" t="str">
        <x:f>IFERROR(INDEX('Material routes'!$J$6:$J$2205,MATCH(V1263,'Material routes'!$A$6:$A$2205,0)),"MISSING ID")</x:f>
        <x:v>Unspecified</x:v>
      </x:c>
      <x:c r="R1263" s="4" t="str">
        <x:f>IF(L1263="Withheld","Withheld premise",IF(E1263="Tool candidate","Reusable prerequisite",IF(K1263="Raw entry preparation","Entry-resource preparation",IF(G1263="Not applicable",IF(IFERROR(INDEX('Items'!$AI$6:$AI$1005,MATCH(T1263,'Items'!$A$6:$A$1005,0)),"MISSING ID")="Finished item","Finished endpoint",IF(IFERROR(INDEX('Items'!$AI$6:$AI$1005,MATCH(T1263,'Items'!$A$6:$A$1005,0)),"MISSING ID")="Currency","Currency / no refinement tier","Recovered output / tier not applicable")),IF(OR(IFERROR(INDEX('Crafting recipes'!$H$6:$H$1005,MATCH(J1263,'Crafting recipes'!$A$6:$A$1005,0)),"MISSING ID")="Unassigned",G1263="Unassigned"),"Tier unresolved",IF(IFERROR(VALUE(RIGHT(G1263,1))-VALUE(RIGHT(IFERROR(INDEX('Crafting recipes'!$H$6:$H$1005,MATCH(J1263,'Crafting recipes'!$A$6:$A$1005,0)),"MISSING ID"),1)),0)=1,IF(B1263=IFERROR(INDEX('Crafting recipes'!$H$6:$H$1005,MATCH(J1263,'Crafting recipes'!$A$6:$A$1005,0)),"MISSING ID"),"Advances one material tier","Lower-tier ingredient; route advances one tier"),"Needs tier review"))))))</x:f>
        <x:v>Finished endpoint</x:v>
      </x:c>
      <x:c r="S1263" s="4" t="str">
        <x:f>IFERROR(INDEX('Material routes'!$D$6:$D$2205,MATCH(U1263,'Material routes'!$A$6:$A$2205,0)),"MISSING ID")</x:f>
        <x:v>proposal.collection.flexible_copper_service_jumper</x:v>
      </x:c>
      <x:c r="T1263" s="4" t="str">
        <x:f>IFERROR(INDEX('Material routes'!$D$6:$D$2205,MATCH(V1263,'Material routes'!$A$6:$A$2205,0)),"MISSING ID")</x:f>
        <x:v>author.communication.crude_two_way_radio</x:v>
      </x:c>
      <x:c r="U1263" s="4" t="str">
        <x:v>design.audit.author_communication_crude_two_way_radio.audit.in.6</x:v>
      </x:c>
      <x:c r="V1263" s="4" t="str">
        <x:v>design.audit.author_communication_crude_two_way_radio.audit.out</x:v>
      </x:c>
    </x:row>
    <x:row r="1264" ht="64" customHeight="1">
      <x:c r="A1264" s="4" t="str">
        <x:f>IFERROR(INDEX('Material routes'!$E$6:$E$2205,MATCH(U1264,'Material routes'!$A$6:$A$2205,0)),"MISSING ID")</x:f>
        <x:v>Ceramic-housed mineral battery</x:v>
      </x:c>
      <x:c r="B1264" s="4" t="str">
        <x:f>IFERROR(INDEX('Material routes'!$F$6:$F$2205,MATCH(U1264,'Material routes'!$A$6:$A$2205,0)),"MISSING ID")</x:f>
        <x:v>Not applicable</x:v>
      </x:c>
      <x:c r="C1264" s="4" t="str">
        <x:f>IFERROR(INDEX('Material routes'!$H$6:$H$2205,MATCH(U1264,'Material routes'!$A$6:$A$2205,0)),"MISSING ID")</x:f>
        <x:v>Energy storage</x:v>
      </x:c>
      <x:c r="D1264" s="4" t="str">
        <x:f>IFERROR(INDEX('Material routes'!$G$6:$G$2205,MATCH(U1264,'Material routes'!$A$6:$A$2205,0)),"MISSING ID")</x:f>
        <x:v>Crafting components</x:v>
      </x:c>
      <x:c r="E1264" s="4" t="str">
        <x:f>IFERROR(INDEX('Material routes'!$C$6:$C$2205,MATCH(U1264,'Material routes'!$A$6:$A$2205,0)),"MISSING ID")</x:f>
        <x:v>Ingredient candidate</x:v>
      </x:c>
      <x:c r="F1264" s="4" t="str">
        <x:f>IFERROR(INDEX('Material routes'!$E$6:$E$2205,MATCH(V1264,'Material routes'!$A$6:$A$2205,0)),"MISSING ID")</x:f>
        <x:v>Crude two-way radio</x:v>
      </x:c>
      <x:c r="G1264" s="4" t="str">
        <x:f>IFERROR(INDEX('Material routes'!$F$6:$F$2205,MATCH(V1264,'Material routes'!$A$6:$A$2205,0)),"MISSING ID")</x:f>
        <x:v>Not applicable</x:v>
      </x:c>
      <x:c r="H1264" s="4" t="str">
        <x:f>IFERROR(INDEX('Material routes'!$H$6:$H$2205,MATCH(V1264,'Material routes'!$A$6:$A$2205,0)),"MISSING ID")</x:f>
        <x:v>Tool</x:v>
      </x:c>
      <x:c r="I1264" s="4" t="str">
        <x:f>IFERROR(INDEX('Material routes'!$G$6:$G$2205,MATCH(V1264,'Material routes'!$A$6:$A$2205,0)),"MISSING ID")</x:f>
        <x:v>Tools</x:v>
      </x:c>
      <x:c r="J1264" s="4" t="str">
        <x:f>IFERROR(INDEX('Material routes'!$B$6:$B$2205,MATCH(U1264,'Material routes'!$A$6:$A$2205,0)),"MISSING ID")</x:f>
        <x:v>design.audit.author_communication_crude_two_way_radio</x:v>
      </x:c>
      <x:c r="K1264" s="4" t="str">
        <x:f>IFERROR(INDEX('Crafting recipes'!$C$6:$C$1005,MATCH(J1264,'Crafting recipes'!$A$6:$A$1005,0)),"MISSING ID")</x:f>
        <x:v>Finished-item crafting</x:v>
      </x:c>
      <x:c r="L1264" s="4" t="str">
        <x:f>IFERROR(INDEX('Material routes'!$K$6:$K$2205,MATCH(U1264,'Material routes'!$A$6:$A$2205,0)),"MISSING ID")</x:f>
        <x:v>Proposal</x:v>
      </x:c>
      <x:c r="M1264" s="4" t="str">
        <x:f>IFERROR(INDEX('Material routes'!$M$6:$M$2205,MATCH(U1264,'Material routes'!$A$6:$A$2205,0)),"MISSING ID")</x:f>
        <x:v>Partial proposal</x:v>
      </x:c>
      <x:c r="N1264" s="4"/>
      <x:c r="O1264" s="4" t="str">
        <x:f>IFERROR(INDEX('Material routes'!$J$6:$J$2205,MATCH(U1264,'Material routes'!$A$6:$A$2205,0)),"MISSING ID")</x:f>
        <x:v>Unspecified</x:v>
      </x:c>
      <x:c r="P1264" s="4"/>
      <x:c r="Q1264" s="4" t="str">
        <x:f>IFERROR(INDEX('Material routes'!$J$6:$J$2205,MATCH(V1264,'Material routes'!$A$6:$A$2205,0)),"MISSING ID")</x:f>
        <x:v>Unspecified</x:v>
      </x:c>
      <x:c r="R1264" s="4" t="str">
        <x:f>IF(L1264="Withheld","Withheld premise",IF(E1264="Tool candidate","Reusable prerequisite",IF(K1264="Raw entry preparation","Entry-resource preparation",IF(G1264="Not applicable",IF(IFERROR(INDEX('Items'!$AI$6:$AI$1005,MATCH(T1264,'Items'!$A$6:$A$1005,0)),"MISSING ID")="Finished item","Finished endpoint",IF(IFERROR(INDEX('Items'!$AI$6:$AI$1005,MATCH(T1264,'Items'!$A$6:$A$1005,0)),"MISSING ID")="Currency","Currency / no refinement tier","Recovered output / tier not applicable")),IF(OR(IFERROR(INDEX('Crafting recipes'!$H$6:$H$1005,MATCH(J1264,'Crafting recipes'!$A$6:$A$1005,0)),"MISSING ID")="Unassigned",G1264="Unassigned"),"Tier unresolved",IF(IFERROR(VALUE(RIGHT(G1264,1))-VALUE(RIGHT(IFERROR(INDEX('Crafting recipes'!$H$6:$H$1005,MATCH(J1264,'Crafting recipes'!$A$6:$A$1005,0)),"MISSING ID"),1)),0)=1,IF(B1264=IFERROR(INDEX('Crafting recipes'!$H$6:$H$1005,MATCH(J1264,'Crafting recipes'!$A$6:$A$1005,0)),"MISSING ID"),"Advances one material tier","Lower-tier ingredient; route advances one tier"),"Needs tier review"))))))</x:f>
        <x:v>Finished endpoint</x:v>
      </x:c>
      <x:c r="S1264" s="4" t="str">
        <x:f>IFERROR(INDEX('Material routes'!$D$6:$D$2205,MATCH(U1264,'Material routes'!$A$6:$A$2205,0)),"MISSING ID")</x:f>
        <x:v>proposal.collection.ceramic_housed_mineral_battery</x:v>
      </x:c>
      <x:c r="T1264" s="4" t="str">
        <x:f>IFERROR(INDEX('Material routes'!$D$6:$D$2205,MATCH(V1264,'Material routes'!$A$6:$A$2205,0)),"MISSING ID")</x:f>
        <x:v>author.communication.crude_two_way_radio</x:v>
      </x:c>
      <x:c r="U1264" s="4" t="str">
        <x:v>design.audit.author_communication_crude_two_way_radio.audit.in.7</x:v>
      </x:c>
      <x:c r="V1264" s="4" t="str">
        <x:v>design.audit.author_communication_crude_two_way_radio.audit.out</x:v>
      </x:c>
    </x:row>
    <x:row r="1265" ht="64" customHeight="1">
      <x:c r="A1265" s="4"/>
      <x:c r="B1265" s="4"/>
      <x:c r="C1265" s="4"/>
      <x:c r="D1265" s="4"/>
      <x:c r="E1265" s="4"/>
      <x:c r="F1265" s="4"/>
      <x:c r="G1265" s="4"/>
      <x:c r="H1265" s="4"/>
      <x:c r="I1265" s="4"/>
      <x:c r="J1265" s="4"/>
      <x:c r="K1265" s="4"/>
      <x:c r="L1265" s="4"/>
      <x:c r="M1265" s="4"/>
      <x:c r="N1265" s="4"/>
      <x:c r="O1265" s="4"/>
      <x:c r="P1265" s="4"/>
      <x:c r="Q1265" s="4"/>
      <x:c r="R1265" s="4"/>
      <x:c r="S1265" s="4"/>
      <x:c r="T1265" s="4"/>
      <x:c r="U1265" s="4"/>
      <x:c r="V1265" s="4"/>
    </x:row>
    <x:row r="1266" ht="64" customHeight="1">
      <x:c r="A1266" s="4"/>
      <x:c r="B1266" s="4"/>
      <x:c r="C1266" s="4"/>
      <x:c r="D1266" s="4"/>
      <x:c r="E1266" s="4"/>
      <x:c r="F1266" s="4"/>
      <x:c r="G1266" s="4"/>
      <x:c r="H1266" s="4"/>
      <x:c r="I1266" s="4"/>
      <x:c r="J1266" s="4"/>
      <x:c r="K1266" s="4"/>
      <x:c r="L1266" s="4"/>
      <x:c r="M1266" s="4"/>
      <x:c r="N1266" s="4"/>
      <x:c r="O1266" s="4"/>
      <x:c r="P1266" s="4"/>
      <x:c r="Q1266" s="4"/>
      <x:c r="R1266" s="4"/>
      <x:c r="S1266" s="4"/>
      <x:c r="T1266" s="4"/>
      <x:c r="U1266" s="4"/>
      <x:c r="V1266" s="4"/>
    </x:row>
    <x:row r="1267" ht="64" customHeight="1">
      <x:c r="A1267" s="4"/>
      <x:c r="B1267" s="4"/>
      <x:c r="C1267" s="4"/>
      <x:c r="D1267" s="4"/>
      <x:c r="E1267" s="4"/>
      <x:c r="F1267" s="4"/>
      <x:c r="G1267" s="4"/>
      <x:c r="H1267" s="4"/>
      <x:c r="I1267" s="4"/>
      <x:c r="J1267" s="4"/>
      <x:c r="K1267" s="4"/>
      <x:c r="L1267" s="4"/>
      <x:c r="M1267" s="4"/>
      <x:c r="N1267" s="4"/>
      <x:c r="O1267" s="4"/>
      <x:c r="P1267" s="4"/>
      <x:c r="Q1267" s="4"/>
      <x:c r="R1267" s="4"/>
      <x:c r="S1267" s="4"/>
      <x:c r="T1267" s="4"/>
      <x:c r="U1267" s="4"/>
      <x:c r="V1267" s="4"/>
    </x:row>
    <x:row r="1268" ht="64" customHeight="1">
      <x:c r="A1268" s="4"/>
      <x:c r="B1268" s="4"/>
      <x:c r="C1268" s="4"/>
      <x:c r="D1268" s="4"/>
      <x:c r="E1268" s="4"/>
      <x:c r="F1268" s="4"/>
      <x:c r="G1268" s="4"/>
      <x:c r="H1268" s="4"/>
      <x:c r="I1268" s="4"/>
      <x:c r="J1268" s="4"/>
      <x:c r="K1268" s="4"/>
      <x:c r="L1268" s="4"/>
      <x:c r="M1268" s="4"/>
      <x:c r="N1268" s="4"/>
      <x:c r="O1268" s="4"/>
      <x:c r="P1268" s="4"/>
      <x:c r="Q1268" s="4"/>
      <x:c r="R1268" s="4"/>
      <x:c r="S1268" s="4"/>
      <x:c r="T1268" s="4"/>
      <x:c r="U1268" s="4"/>
      <x:c r="V1268" s="4"/>
    </x:row>
    <x:row r="1269" ht="64" customHeight="1">
      <x:c r="A1269" s="4"/>
      <x:c r="B1269" s="4"/>
      <x:c r="C1269" s="4"/>
      <x:c r="D1269" s="4"/>
      <x:c r="E1269" s="4"/>
      <x:c r="F1269" s="4"/>
      <x:c r="G1269" s="4"/>
      <x:c r="H1269" s="4"/>
      <x:c r="I1269" s="4"/>
      <x:c r="J1269" s="4"/>
      <x:c r="K1269" s="4"/>
      <x:c r="L1269" s="4"/>
      <x:c r="M1269" s="4"/>
      <x:c r="N1269" s="4"/>
      <x:c r="O1269" s="4"/>
      <x:c r="P1269" s="4"/>
      <x:c r="Q1269" s="4"/>
      <x:c r="R1269" s="4"/>
      <x:c r="S1269" s="4"/>
      <x:c r="T1269" s="4"/>
      <x:c r="U1269" s="4"/>
      <x:c r="V1269" s="4"/>
    </x:row>
    <x:row r="1270" ht="64" customHeight="1">
      <x:c r="A1270" s="4" t="str">
        <x:f>IFERROR(INDEX('Material routes'!$E$6:$E$2205,MATCH(U1270,'Material routes'!$A$6:$A$2205,0)),"MISSING ID")</x:f>
        <x:v>Fitted machine casing</x:v>
      </x:c>
      <x:c r="B1270" s="4" t="str">
        <x:f>IFERROR(INDEX('Material routes'!$F$6:$F$2205,MATCH(U1270,'Material routes'!$A$6:$A$2205,0)),"MISSING ID")</x:f>
        <x:v>T3</x:v>
      </x:c>
      <x:c r="C1270" s="4" t="str">
        <x:f>IFERROR(INDEX('Material routes'!$H$6:$H$2205,MATCH(U1270,'Material routes'!$A$6:$A$2205,0)),"MISSING ID")</x:f>
        <x:v>Crafting component</x:v>
      </x:c>
      <x:c r="D1270" s="4" t="str">
        <x:f>IFERROR(INDEX('Material routes'!$G$6:$G$2205,MATCH(U1270,'Material routes'!$A$6:$A$2205,0)),"MISSING ID")</x:f>
        <x:v>Crafting components</x:v>
      </x:c>
      <x:c r="E1270" s="4" t="str">
        <x:f>IFERROR(INDEX('Material routes'!$C$6:$C$2205,MATCH(U1270,'Material routes'!$A$6:$A$2205,0)),"MISSING ID")</x:f>
        <x:v>Ingredient candidate</x:v>
      </x:c>
      <x:c r="F1270" s="4" t="str">
        <x:f>IFERROR(INDEX('Material routes'!$E$6:$E$2205,MATCH(V1270,'Material routes'!$A$6:$A$2205,0)),"MISSING ID")</x:f>
        <x:v>Magnetic field inhibitor</x:v>
      </x:c>
      <x:c r="G1270" s="4" t="str">
        <x:f>IFERROR(INDEX('Material routes'!$F$6:$F$2205,MATCH(V1270,'Material routes'!$A$6:$A$2205,0)),"MISSING ID")</x:f>
        <x:v>Not applicable</x:v>
      </x:c>
      <x:c r="H1270" s="4" t="str">
        <x:f>IFERROR(INDEX('Material routes'!$H$6:$H$2205,MATCH(V1270,'Material routes'!$A$6:$A$2205,0)),"MISSING ID")</x:f>
        <x:v>Tool</x:v>
      </x:c>
      <x:c r="I1270" s="4" t="str">
        <x:f>IFERROR(INDEX('Material routes'!$G$6:$G$2205,MATCH(V1270,'Material routes'!$A$6:$A$2205,0)),"MISSING ID")</x:f>
        <x:v>Tools</x:v>
      </x:c>
      <x:c r="J1270" s="4" t="str">
        <x:f>IFERROR(INDEX('Material routes'!$B$6:$B$2205,MATCH(U1270,'Material routes'!$A$6:$A$2205,0)),"MISSING ID")</x:f>
        <x:v>design.audit.author_electrical_magnetic_inhibitor</x:v>
      </x:c>
      <x:c r="K1270" s="4" t="str">
        <x:f>IFERROR(INDEX('Crafting recipes'!$C$6:$C$1005,MATCH(J1270,'Crafting recipes'!$A$6:$A$1005,0)),"MISSING ID")</x:f>
        <x:v>Finished-item crafting</x:v>
      </x:c>
      <x:c r="L1270" s="4" t="str">
        <x:f>IFERROR(INDEX('Material routes'!$K$6:$K$2205,MATCH(U1270,'Material routes'!$A$6:$A$2205,0)),"MISSING ID")</x:f>
        <x:v>Proposal</x:v>
      </x:c>
      <x:c r="M1270" s="4" t="str">
        <x:f>IFERROR(INDEX('Material routes'!$M$6:$M$2205,MATCH(U1270,'Material routes'!$A$6:$A$2205,0)),"MISSING ID")</x:f>
        <x:v>Partial proposal</x:v>
      </x:c>
      <x:c r="N1270" s="4"/>
      <x:c r="O1270" s="4" t="str">
        <x:f>IFERROR(INDEX('Material routes'!$J$6:$J$2205,MATCH(U1270,'Material routes'!$A$6:$A$2205,0)),"MISSING ID")</x:f>
        <x:v>Unspecified</x:v>
      </x:c>
      <x:c r="P1270" s="4"/>
      <x:c r="Q1270" s="4" t="str">
        <x:f>IFERROR(INDEX('Material routes'!$J$6:$J$2205,MATCH(V1270,'Material routes'!$A$6:$A$2205,0)),"MISSING ID")</x:f>
        <x:v>Unspecified</x:v>
      </x:c>
      <x:c r="R1270" s="4" t="str">
        <x:f>IF(L1270="Withheld","Withheld premise",IF(E1270="Tool candidate","Reusable prerequisite",IF(K1270="Raw entry preparation","Entry-resource preparation",IF(G1270="Not applicable",IF(IFERROR(INDEX('Items'!$AI$6:$AI$1005,MATCH(T1270,'Items'!$A$6:$A$1005,0)),"MISSING ID")="Finished item","Finished endpoint",IF(IFERROR(INDEX('Items'!$AI$6:$AI$1005,MATCH(T1270,'Items'!$A$6:$A$1005,0)),"MISSING ID")="Currency","Currency / no refinement tier","Recovered output / tier not applicable")),IF(OR(IFERROR(INDEX('Crafting recipes'!$H$6:$H$1005,MATCH(J1270,'Crafting recipes'!$A$6:$A$1005,0)),"MISSING ID")="Unassigned",G1270="Unassigned"),"Tier unresolved",IF(IFERROR(VALUE(RIGHT(G1270,1))-VALUE(RIGHT(IFERROR(INDEX('Crafting recipes'!$H$6:$H$1005,MATCH(J1270,'Crafting recipes'!$A$6:$A$1005,0)),"MISSING ID"),1)),0)=1,IF(B1270=IFERROR(INDEX('Crafting recipes'!$H$6:$H$1005,MATCH(J1270,'Crafting recipes'!$A$6:$A$1005,0)),"MISSING ID"),"Advances one material tier","Lower-tier ingredient; route advances one tier"),"Needs tier review"))))))</x:f>
        <x:v>Finished endpoint</x:v>
      </x:c>
      <x:c r="S1270" s="4" t="str">
        <x:f>IFERROR(INDEX('Material routes'!$D$6:$D$2205,MATCH(U1270,'Material routes'!$A$6:$A$2205,0)),"MISSING ID")</x:f>
        <x:v>proposal.audit.fitted_machine_casing</x:v>
      </x:c>
      <x:c r="T1270" s="4" t="str">
        <x:f>IFERROR(INDEX('Material routes'!$D$6:$D$2205,MATCH(V1270,'Material routes'!$A$6:$A$2205,0)),"MISSING ID")</x:f>
        <x:v>author.electrical.magnetic_inhibitor</x:v>
      </x:c>
      <x:c r="U1270" s="4" t="str">
        <x:v>design.audit.author_electrical_magnetic_inhibitor.audit.in.1</x:v>
      </x:c>
      <x:c r="V1270" s="4" t="str">
        <x:v>design.audit.author_electrical_magnetic_inhibitor.audit.out</x:v>
      </x:c>
    </x:row>
    <x:row r="1271" ht="64" customHeight="1">
      <x:c r="A1271" s="4" t="str">
        <x:f>IFERROR(INDEX('Material routes'!$E$6:$E$2205,MATCH(U1271,'Material routes'!$A$6:$A$2205,0)),"MISSING ID")</x:f>
        <x:v>Insulated winding subassembly</x:v>
      </x:c>
      <x:c r="B1271" s="4" t="str">
        <x:f>IFERROR(INDEX('Material routes'!$F$6:$F$2205,MATCH(U1271,'Material routes'!$A$6:$A$2205,0)),"MISSING ID")</x:f>
        <x:v>T4</x:v>
      </x:c>
      <x:c r="C1271" s="4" t="str">
        <x:f>IFERROR(INDEX('Material routes'!$H$6:$H$2205,MATCH(U1271,'Material routes'!$A$6:$A$2205,0)),"MISSING ID")</x:f>
        <x:v>Crafting component</x:v>
      </x:c>
      <x:c r="D1271" s="4" t="str">
        <x:f>IFERROR(INDEX('Material routes'!$G$6:$G$2205,MATCH(U1271,'Material routes'!$A$6:$A$2205,0)),"MISSING ID")</x:f>
        <x:v>Crafting components</x:v>
      </x:c>
      <x:c r="E1271" s="4" t="str">
        <x:f>IFERROR(INDEX('Material routes'!$C$6:$C$2205,MATCH(U1271,'Material routes'!$A$6:$A$2205,0)),"MISSING ID")</x:f>
        <x:v>Ingredient candidate</x:v>
      </x:c>
      <x:c r="F1271" s="4" t="str">
        <x:f>IFERROR(INDEX('Material routes'!$E$6:$E$2205,MATCH(V1271,'Material routes'!$A$6:$A$2205,0)),"MISSING ID")</x:f>
        <x:v>Magnetic field inhibitor</x:v>
      </x:c>
      <x:c r="G1271" s="4" t="str">
        <x:f>IFERROR(INDEX('Material routes'!$F$6:$F$2205,MATCH(V1271,'Material routes'!$A$6:$A$2205,0)),"MISSING ID")</x:f>
        <x:v>Not applicable</x:v>
      </x:c>
      <x:c r="H1271" s="4" t="str">
        <x:f>IFERROR(INDEX('Material routes'!$H$6:$H$2205,MATCH(V1271,'Material routes'!$A$6:$A$2205,0)),"MISSING ID")</x:f>
        <x:v>Tool</x:v>
      </x:c>
      <x:c r="I1271" s="4" t="str">
        <x:f>IFERROR(INDEX('Material routes'!$G$6:$G$2205,MATCH(V1271,'Material routes'!$A$6:$A$2205,0)),"MISSING ID")</x:f>
        <x:v>Tools</x:v>
      </x:c>
      <x:c r="J1271" s="4" t="str">
        <x:f>IFERROR(INDEX('Material routes'!$B$6:$B$2205,MATCH(U1271,'Material routes'!$A$6:$A$2205,0)),"MISSING ID")</x:f>
        <x:v>design.audit.author_electrical_magnetic_inhibitor</x:v>
      </x:c>
      <x:c r="K1271" s="4" t="str">
        <x:f>IFERROR(INDEX('Crafting recipes'!$C$6:$C$1005,MATCH(J1271,'Crafting recipes'!$A$6:$A$1005,0)),"MISSING ID")</x:f>
        <x:v>Finished-item crafting</x:v>
      </x:c>
      <x:c r="L1271" s="4" t="str">
        <x:f>IFERROR(INDEX('Material routes'!$K$6:$K$2205,MATCH(U1271,'Material routes'!$A$6:$A$2205,0)),"MISSING ID")</x:f>
        <x:v>Proposal</x:v>
      </x:c>
      <x:c r="M1271" s="4" t="str">
        <x:f>IFERROR(INDEX('Material routes'!$M$6:$M$2205,MATCH(U1271,'Material routes'!$A$6:$A$2205,0)),"MISSING ID")</x:f>
        <x:v>Partial proposal</x:v>
      </x:c>
      <x:c r="N1271" s="4"/>
      <x:c r="O1271" s="4" t="str">
        <x:f>IFERROR(INDEX('Material routes'!$J$6:$J$2205,MATCH(U1271,'Material routes'!$A$6:$A$2205,0)),"MISSING ID")</x:f>
        <x:v>Unspecified</x:v>
      </x:c>
      <x:c r="P1271" s="4"/>
      <x:c r="Q1271" s="4" t="str">
        <x:f>IFERROR(INDEX('Material routes'!$J$6:$J$2205,MATCH(V1271,'Material routes'!$A$6:$A$2205,0)),"MISSING ID")</x:f>
        <x:v>Unspecified</x:v>
      </x:c>
      <x:c r="R1271" s="4" t="str">
        <x:f>IF(L1271="Withheld","Withheld premise",IF(E1271="Tool candidate","Reusable prerequisite",IF(K1271="Raw entry preparation","Entry-resource preparation",IF(G1271="Not applicable",IF(IFERROR(INDEX('Items'!$AI$6:$AI$1005,MATCH(T1271,'Items'!$A$6:$A$1005,0)),"MISSING ID")="Finished item","Finished endpoint",IF(IFERROR(INDEX('Items'!$AI$6:$AI$1005,MATCH(T1271,'Items'!$A$6:$A$1005,0)),"MISSING ID")="Currency","Currency / no refinement tier","Recovered output / tier not applicable")),IF(OR(IFERROR(INDEX('Crafting recipes'!$H$6:$H$1005,MATCH(J1271,'Crafting recipes'!$A$6:$A$1005,0)),"MISSING ID")="Unassigned",G1271="Unassigned"),"Tier unresolved",IF(IFERROR(VALUE(RIGHT(G1271,1))-VALUE(RIGHT(IFERROR(INDEX('Crafting recipes'!$H$6:$H$1005,MATCH(J1271,'Crafting recipes'!$A$6:$A$1005,0)),"MISSING ID"),1)),0)=1,IF(B1271=IFERROR(INDEX('Crafting recipes'!$H$6:$H$1005,MATCH(J1271,'Crafting recipes'!$A$6:$A$1005,0)),"MISSING ID"),"Advances one material tier","Lower-tier ingredient; route advances one tier"),"Needs tier review"))))))</x:f>
        <x:v>Finished endpoint</x:v>
      </x:c>
      <x:c r="S1271" s="4" t="str">
        <x:f>IFERROR(INDEX('Material routes'!$D$6:$D$2205,MATCH(U1271,'Material routes'!$A$6:$A$2205,0)),"MISSING ID")</x:f>
        <x:v>proposal.t4.insulated_winding</x:v>
      </x:c>
      <x:c r="T1271" s="4" t="str">
        <x:f>IFERROR(INDEX('Material routes'!$D$6:$D$2205,MATCH(V1271,'Material routes'!$A$6:$A$2205,0)),"MISSING ID")</x:f>
        <x:v>author.electrical.magnetic_inhibitor</x:v>
      </x:c>
      <x:c r="U1271" s="4" t="str">
        <x:v>design.audit.author_electrical_magnetic_inhibitor.audit.in.2</x:v>
      </x:c>
      <x:c r="V1271" s="4" t="str">
        <x:v>design.audit.author_electrical_magnetic_inhibitor.audit.out</x:v>
      </x:c>
    </x:row>
    <x:row r="1272" ht="64" customHeight="1">
      <x:c r="A1272" s="4" t="str">
        <x:f>IFERROR(INDEX('Material routes'!$E$6:$E$2205,MATCH(U1272,'Material routes'!$A$6:$A$2205,0)),"MISSING ID")</x:f>
        <x:v>Field magnets</x:v>
      </x:c>
      <x:c r="B1272" s="4" t="str">
        <x:f>IFERROR(INDEX('Material routes'!$F$6:$F$2205,MATCH(U1272,'Material routes'!$A$6:$A$2205,0)),"MISSING ID")</x:f>
        <x:v>Not applicable</x:v>
      </x:c>
      <x:c r="C1272" s="4" t="str">
        <x:f>IFERROR(INDEX('Material routes'!$H$6:$H$2205,MATCH(U1272,'Material routes'!$A$6:$A$2205,0)),"MISSING ID")</x:f>
        <x:v>Tool</x:v>
      </x:c>
      <x:c r="D1272" s="4" t="str">
        <x:f>IFERROR(INDEX('Material routes'!$G$6:$G$2205,MATCH(U1272,'Material routes'!$A$6:$A$2205,0)),"MISSING ID")</x:f>
        <x:v>Tools</x:v>
      </x:c>
      <x:c r="E1272" s="4" t="str">
        <x:f>IFERROR(INDEX('Material routes'!$C$6:$C$2205,MATCH(U1272,'Material routes'!$A$6:$A$2205,0)),"MISSING ID")</x:f>
        <x:v>Ingredient candidate</x:v>
      </x:c>
      <x:c r="F1272" s="4" t="str">
        <x:f>IFERROR(INDEX('Material routes'!$E$6:$E$2205,MATCH(V1272,'Material routes'!$A$6:$A$2205,0)),"MISSING ID")</x:f>
        <x:v>Magnetic field inhibitor</x:v>
      </x:c>
      <x:c r="G1272" s="4" t="str">
        <x:f>IFERROR(INDEX('Material routes'!$F$6:$F$2205,MATCH(V1272,'Material routes'!$A$6:$A$2205,0)),"MISSING ID")</x:f>
        <x:v>Not applicable</x:v>
      </x:c>
      <x:c r="H1272" s="4" t="str">
        <x:f>IFERROR(INDEX('Material routes'!$H$6:$H$2205,MATCH(V1272,'Material routes'!$A$6:$A$2205,0)),"MISSING ID")</x:f>
        <x:v>Tool</x:v>
      </x:c>
      <x:c r="I1272" s="4" t="str">
        <x:f>IFERROR(INDEX('Material routes'!$G$6:$G$2205,MATCH(V1272,'Material routes'!$A$6:$A$2205,0)),"MISSING ID")</x:f>
        <x:v>Tools</x:v>
      </x:c>
      <x:c r="J1272" s="4" t="str">
        <x:f>IFERROR(INDEX('Material routes'!$B$6:$B$2205,MATCH(U1272,'Material routes'!$A$6:$A$2205,0)),"MISSING ID")</x:f>
        <x:v>design.audit.author_electrical_magnetic_inhibitor</x:v>
      </x:c>
      <x:c r="K1272" s="4" t="str">
        <x:f>IFERROR(INDEX('Crafting recipes'!$C$6:$C$1005,MATCH(J1272,'Crafting recipes'!$A$6:$A$1005,0)),"MISSING ID")</x:f>
        <x:v>Finished-item crafting</x:v>
      </x:c>
      <x:c r="L1272" s="4" t="str">
        <x:f>IFERROR(INDEX('Material routes'!$K$6:$K$2205,MATCH(U1272,'Material routes'!$A$6:$A$2205,0)),"MISSING ID")</x:f>
        <x:v>Proposal</x:v>
      </x:c>
      <x:c r="M1272" s="4" t="str">
        <x:f>IFERROR(INDEX('Material routes'!$M$6:$M$2205,MATCH(U1272,'Material routes'!$A$6:$A$2205,0)),"MISSING ID")</x:f>
        <x:v>Partial proposal</x:v>
      </x:c>
      <x:c r="N1272" s="4"/>
      <x:c r="O1272" s="4" t="str">
        <x:f>IFERROR(INDEX('Material routes'!$J$6:$J$2205,MATCH(U1272,'Material routes'!$A$6:$A$2205,0)),"MISSING ID")</x:f>
        <x:v>Unspecified</x:v>
      </x:c>
      <x:c r="P1272" s="4"/>
      <x:c r="Q1272" s="4" t="str">
        <x:f>IFERROR(INDEX('Material routes'!$J$6:$J$2205,MATCH(V1272,'Material routes'!$A$6:$A$2205,0)),"MISSING ID")</x:f>
        <x:v>Unspecified</x:v>
      </x:c>
      <x:c r="R1272" s="4" t="str">
        <x:f>IF(L1272="Withheld","Withheld premise",IF(E1272="Tool candidate","Reusable prerequisite",IF(K1272="Raw entry preparation","Entry-resource preparation",IF(G1272="Not applicable",IF(IFERROR(INDEX('Items'!$AI$6:$AI$1005,MATCH(T1272,'Items'!$A$6:$A$1005,0)),"MISSING ID")="Finished item","Finished endpoint",IF(IFERROR(INDEX('Items'!$AI$6:$AI$1005,MATCH(T1272,'Items'!$A$6:$A$1005,0)),"MISSING ID")="Currency","Currency / no refinement tier","Recovered output / tier not applicable")),IF(OR(IFERROR(INDEX('Crafting recipes'!$H$6:$H$1005,MATCH(J1272,'Crafting recipes'!$A$6:$A$1005,0)),"MISSING ID")="Unassigned",G1272="Unassigned"),"Tier unresolved",IF(IFERROR(VALUE(RIGHT(G1272,1))-VALUE(RIGHT(IFERROR(INDEX('Crafting recipes'!$H$6:$H$1005,MATCH(J1272,'Crafting recipes'!$A$6:$A$1005,0)),"MISSING ID"),1)),0)=1,IF(B1272=IFERROR(INDEX('Crafting recipes'!$H$6:$H$1005,MATCH(J1272,'Crafting recipes'!$A$6:$A$1005,0)),"MISSING ID"),"Advances one material tier","Lower-tier ingredient; route advances one tier"),"Needs tier review"))))))</x:f>
        <x:v>Finished endpoint</x:v>
      </x:c>
      <x:c r="S1272" s="4" t="str">
        <x:f>IFERROR(INDEX('Material routes'!$D$6:$D$2205,MATCH(U1272,'Material routes'!$A$6:$A$2205,0)),"MISSING ID")</x:f>
        <x:v>proposal.gear.magnets</x:v>
      </x:c>
      <x:c r="T1272" s="4" t="str">
        <x:f>IFERROR(INDEX('Material routes'!$D$6:$D$2205,MATCH(V1272,'Material routes'!$A$6:$A$2205,0)),"MISSING ID")</x:f>
        <x:v>author.electrical.magnetic_inhibitor</x:v>
      </x:c>
      <x:c r="U1272" s="4" t="str">
        <x:v>design.audit.author_electrical_magnetic_inhibitor.audit.in.3</x:v>
      </x:c>
      <x:c r="V1272" s="4" t="str">
        <x:v>design.audit.author_electrical_magnetic_inhibitor.audit.out</x:v>
      </x:c>
    </x:row>
    <x:row r="1273" ht="64" customHeight="1">
      <x:c r="A1273" s="4" t="str">
        <x:f>IFERROR(INDEX('Material routes'!$E$6:$E$2205,MATCH(U1273,'Material routes'!$A$6:$A$2205,0)),"MISSING ID")</x:f>
        <x:v>Ceramic-backed control switch</x:v>
      </x:c>
      <x:c r="B1273" s="4" t="str">
        <x:f>IFERROR(INDEX('Material routes'!$F$6:$F$2205,MATCH(U1273,'Material routes'!$A$6:$A$2205,0)),"MISSING ID")</x:f>
        <x:v>T4</x:v>
      </x:c>
      <x:c r="C1273" s="4" t="str">
        <x:f>IFERROR(INDEX('Material routes'!$H$6:$H$2205,MATCH(U1273,'Material routes'!$A$6:$A$2205,0)),"MISSING ID")</x:f>
        <x:v>Crafting component</x:v>
      </x:c>
      <x:c r="D1273" s="4" t="str">
        <x:f>IFERROR(INDEX('Material routes'!$G$6:$G$2205,MATCH(U1273,'Material routes'!$A$6:$A$2205,0)),"MISSING ID")</x:f>
        <x:v>Crafting components</x:v>
      </x:c>
      <x:c r="E1273" s="4" t="str">
        <x:f>IFERROR(INDEX('Material routes'!$C$6:$C$2205,MATCH(U1273,'Material routes'!$A$6:$A$2205,0)),"MISSING ID")</x:f>
        <x:v>Ingredient candidate</x:v>
      </x:c>
      <x:c r="F1273" s="4" t="str">
        <x:f>IFERROR(INDEX('Material routes'!$E$6:$E$2205,MATCH(V1273,'Material routes'!$A$6:$A$2205,0)),"MISSING ID")</x:f>
        <x:v>Magnetic field inhibitor</x:v>
      </x:c>
      <x:c r="G1273" s="4" t="str">
        <x:f>IFERROR(INDEX('Material routes'!$F$6:$F$2205,MATCH(V1273,'Material routes'!$A$6:$A$2205,0)),"MISSING ID")</x:f>
        <x:v>Not applicable</x:v>
      </x:c>
      <x:c r="H1273" s="4" t="str">
        <x:f>IFERROR(INDEX('Material routes'!$H$6:$H$2205,MATCH(V1273,'Material routes'!$A$6:$A$2205,0)),"MISSING ID")</x:f>
        <x:v>Tool</x:v>
      </x:c>
      <x:c r="I1273" s="4" t="str">
        <x:f>IFERROR(INDEX('Material routes'!$G$6:$G$2205,MATCH(V1273,'Material routes'!$A$6:$A$2205,0)),"MISSING ID")</x:f>
        <x:v>Tools</x:v>
      </x:c>
      <x:c r="J1273" s="4" t="str">
        <x:f>IFERROR(INDEX('Material routes'!$B$6:$B$2205,MATCH(U1273,'Material routes'!$A$6:$A$2205,0)),"MISSING ID")</x:f>
        <x:v>design.audit.author_electrical_magnetic_inhibitor</x:v>
      </x:c>
      <x:c r="K1273" s="4" t="str">
        <x:f>IFERROR(INDEX('Crafting recipes'!$C$6:$C$1005,MATCH(J1273,'Crafting recipes'!$A$6:$A$1005,0)),"MISSING ID")</x:f>
        <x:v>Finished-item crafting</x:v>
      </x:c>
      <x:c r="L1273" s="4" t="str">
        <x:f>IFERROR(INDEX('Material routes'!$K$6:$K$2205,MATCH(U1273,'Material routes'!$A$6:$A$2205,0)),"MISSING ID")</x:f>
        <x:v>Proposal</x:v>
      </x:c>
      <x:c r="M1273" s="4" t="str">
        <x:f>IFERROR(INDEX('Material routes'!$M$6:$M$2205,MATCH(U1273,'Material routes'!$A$6:$A$2205,0)),"MISSING ID")</x:f>
        <x:v>Partial proposal</x:v>
      </x:c>
      <x:c r="N1273" s="4"/>
      <x:c r="O1273" s="4" t="str">
        <x:f>IFERROR(INDEX('Material routes'!$J$6:$J$2205,MATCH(U1273,'Material routes'!$A$6:$A$2205,0)),"MISSING ID")</x:f>
        <x:v>Unspecified</x:v>
      </x:c>
      <x:c r="P1273" s="4"/>
      <x:c r="Q1273" s="4" t="str">
        <x:f>IFERROR(INDEX('Material routes'!$J$6:$J$2205,MATCH(V1273,'Material routes'!$A$6:$A$2205,0)),"MISSING ID")</x:f>
        <x:v>Unspecified</x:v>
      </x:c>
      <x:c r="R1273" s="4" t="str">
        <x:f>IF(L1273="Withheld","Withheld premise",IF(E1273="Tool candidate","Reusable prerequisite",IF(K1273="Raw entry preparation","Entry-resource preparation",IF(G1273="Not applicable",IF(IFERROR(INDEX('Items'!$AI$6:$AI$1005,MATCH(T1273,'Items'!$A$6:$A$1005,0)),"MISSING ID")="Finished item","Finished endpoint",IF(IFERROR(INDEX('Items'!$AI$6:$AI$1005,MATCH(T1273,'Items'!$A$6:$A$1005,0)),"MISSING ID")="Currency","Currency / no refinement tier","Recovered output / tier not applicable")),IF(OR(IFERROR(INDEX('Crafting recipes'!$H$6:$H$1005,MATCH(J1273,'Crafting recipes'!$A$6:$A$1005,0)),"MISSING ID")="Unassigned",G1273="Unassigned"),"Tier unresolved",IF(IFERROR(VALUE(RIGHT(G1273,1))-VALUE(RIGHT(IFERROR(INDEX('Crafting recipes'!$H$6:$H$1005,MATCH(J1273,'Crafting recipes'!$A$6:$A$1005,0)),"MISSING ID"),1)),0)=1,IF(B1273=IFERROR(INDEX('Crafting recipes'!$H$6:$H$1005,MATCH(J1273,'Crafting recipes'!$A$6:$A$1005,0)),"MISSING ID"),"Advances one material tier","Lower-tier ingredient; route advances one tier"),"Needs tier review"))))))</x:f>
        <x:v>Finished endpoint</x:v>
      </x:c>
      <x:c r="S1273" s="4" t="str">
        <x:f>IFERROR(INDEX('Material routes'!$D$6:$D$2205,MATCH(U1273,'Material routes'!$A$6:$A$2205,0)),"MISSING ID")</x:f>
        <x:v>proposal.audit.ceramic_backed_control_switch</x:v>
      </x:c>
      <x:c r="T1273" s="4" t="str">
        <x:f>IFERROR(INDEX('Material routes'!$D$6:$D$2205,MATCH(V1273,'Material routes'!$A$6:$A$2205,0)),"MISSING ID")</x:f>
        <x:v>author.electrical.magnetic_inhibitor</x:v>
      </x:c>
      <x:c r="U1273" s="4" t="str">
        <x:v>design.audit.author_electrical_magnetic_inhibitor.audit.in.4</x:v>
      </x:c>
      <x:c r="V1273" s="4" t="str">
        <x:v>design.audit.author_electrical_magnetic_inhibitor.audit.out</x:v>
      </x:c>
    </x:row>
    <x:row r="1274" ht="64" customHeight="1">
      <x:c r="A1274" s="4" t="str">
        <x:f>IFERROR(INDEX('Material routes'!$E$6:$E$2205,MATCH(U1274,'Material routes'!$A$6:$A$2205,0)),"MISSING ID")</x:f>
        <x:v>Ceramic-dielectric pulse bank</x:v>
      </x:c>
      <x:c r="B1274" s="4" t="str">
        <x:f>IFERROR(INDEX('Material routes'!$F$6:$F$2205,MATCH(U1274,'Material routes'!$A$6:$A$2205,0)),"MISSING ID")</x:f>
        <x:v>Not applicable</x:v>
      </x:c>
      <x:c r="C1274" s="4" t="str">
        <x:f>IFERROR(INDEX('Material routes'!$H$6:$H$2205,MATCH(U1274,'Material routes'!$A$6:$A$2205,0)),"MISSING ID")</x:f>
        <x:v>Energy storage</x:v>
      </x:c>
      <x:c r="D1274" s="4" t="str">
        <x:f>IFERROR(INDEX('Material routes'!$G$6:$G$2205,MATCH(U1274,'Material routes'!$A$6:$A$2205,0)),"MISSING ID")</x:f>
        <x:v>Crafting components</x:v>
      </x:c>
      <x:c r="E1274" s="4" t="str">
        <x:f>IFERROR(INDEX('Material routes'!$C$6:$C$2205,MATCH(U1274,'Material routes'!$A$6:$A$2205,0)),"MISSING ID")</x:f>
        <x:v>Ingredient candidate</x:v>
      </x:c>
      <x:c r="F1274" s="4" t="str">
        <x:f>IFERROR(INDEX('Material routes'!$E$6:$E$2205,MATCH(V1274,'Material routes'!$A$6:$A$2205,0)),"MISSING ID")</x:f>
        <x:v>Magnetic field inhibitor</x:v>
      </x:c>
      <x:c r="G1274" s="4" t="str">
        <x:f>IFERROR(INDEX('Material routes'!$F$6:$F$2205,MATCH(V1274,'Material routes'!$A$6:$A$2205,0)),"MISSING ID")</x:f>
        <x:v>Not applicable</x:v>
      </x:c>
      <x:c r="H1274" s="4" t="str">
        <x:f>IFERROR(INDEX('Material routes'!$H$6:$H$2205,MATCH(V1274,'Material routes'!$A$6:$A$2205,0)),"MISSING ID")</x:f>
        <x:v>Tool</x:v>
      </x:c>
      <x:c r="I1274" s="4" t="str">
        <x:f>IFERROR(INDEX('Material routes'!$G$6:$G$2205,MATCH(V1274,'Material routes'!$A$6:$A$2205,0)),"MISSING ID")</x:f>
        <x:v>Tools</x:v>
      </x:c>
      <x:c r="J1274" s="4" t="str">
        <x:f>IFERROR(INDEX('Material routes'!$B$6:$B$2205,MATCH(U1274,'Material routes'!$A$6:$A$2205,0)),"MISSING ID")</x:f>
        <x:v>design.audit.author_electrical_magnetic_inhibitor</x:v>
      </x:c>
      <x:c r="K1274" s="4" t="str">
        <x:f>IFERROR(INDEX('Crafting recipes'!$C$6:$C$1005,MATCH(J1274,'Crafting recipes'!$A$6:$A$1005,0)),"MISSING ID")</x:f>
        <x:v>Finished-item crafting</x:v>
      </x:c>
      <x:c r="L1274" s="4" t="str">
        <x:f>IFERROR(INDEX('Material routes'!$K$6:$K$2205,MATCH(U1274,'Material routes'!$A$6:$A$2205,0)),"MISSING ID")</x:f>
        <x:v>Proposal</x:v>
      </x:c>
      <x:c r="M1274" s="4" t="str">
        <x:f>IFERROR(INDEX('Material routes'!$M$6:$M$2205,MATCH(U1274,'Material routes'!$A$6:$A$2205,0)),"MISSING ID")</x:f>
        <x:v>Partial proposal</x:v>
      </x:c>
      <x:c r="N1274" s="4"/>
      <x:c r="O1274" s="4" t="str">
        <x:f>IFERROR(INDEX('Material routes'!$J$6:$J$2205,MATCH(U1274,'Material routes'!$A$6:$A$2205,0)),"MISSING ID")</x:f>
        <x:v>Unspecified</x:v>
      </x:c>
      <x:c r="P1274" s="4"/>
      <x:c r="Q1274" s="4" t="str">
        <x:f>IFERROR(INDEX('Material routes'!$J$6:$J$2205,MATCH(V1274,'Material routes'!$A$6:$A$2205,0)),"MISSING ID")</x:f>
        <x:v>Unspecified</x:v>
      </x:c>
      <x:c r="R1274" s="4" t="str">
        <x:f>IF(L1274="Withheld","Withheld premise",IF(E1274="Tool candidate","Reusable prerequisite",IF(K1274="Raw entry preparation","Entry-resource preparation",IF(G1274="Not applicable",IF(IFERROR(INDEX('Items'!$AI$6:$AI$1005,MATCH(T1274,'Items'!$A$6:$A$1005,0)),"MISSING ID")="Finished item","Finished endpoint",IF(IFERROR(INDEX('Items'!$AI$6:$AI$1005,MATCH(T1274,'Items'!$A$6:$A$1005,0)),"MISSING ID")="Currency","Currency / no refinement tier","Recovered output / tier not applicable")),IF(OR(IFERROR(INDEX('Crafting recipes'!$H$6:$H$1005,MATCH(J1274,'Crafting recipes'!$A$6:$A$1005,0)),"MISSING ID")="Unassigned",G1274="Unassigned"),"Tier unresolved",IF(IFERROR(VALUE(RIGHT(G1274,1))-VALUE(RIGHT(IFERROR(INDEX('Crafting recipes'!$H$6:$H$1005,MATCH(J1274,'Crafting recipes'!$A$6:$A$1005,0)),"MISSING ID"),1)),0)=1,IF(B1274=IFERROR(INDEX('Crafting recipes'!$H$6:$H$1005,MATCH(J1274,'Crafting recipes'!$A$6:$A$1005,0)),"MISSING ID"),"Advances one material tier","Lower-tier ingredient; route advances one tier"),"Needs tier review"))))))</x:f>
        <x:v>Finished endpoint</x:v>
      </x:c>
      <x:c r="S1274" s="4" t="str">
        <x:f>IFERROR(INDEX('Material routes'!$D$6:$D$2205,MATCH(U1274,'Material routes'!$A$6:$A$2205,0)),"MISSING ID")</x:f>
        <x:v>proposal.collection.ceramic_dielectric_pulse_bank</x:v>
      </x:c>
      <x:c r="T1274" s="4" t="str">
        <x:f>IFERROR(INDEX('Material routes'!$D$6:$D$2205,MATCH(V1274,'Material routes'!$A$6:$A$2205,0)),"MISSING ID")</x:f>
        <x:v>author.electrical.magnetic_inhibitor</x:v>
      </x:c>
      <x:c r="U1274" s="4" t="str">
        <x:v>design.audit.author_electrical_magnetic_inhibitor.audit.in.5</x:v>
      </x:c>
      <x:c r="V1274" s="4" t="str">
        <x:v>design.audit.author_electrical_magnetic_inhibitor.audit.out</x:v>
      </x:c>
    </x:row>
    <x:row r="1275" ht="64" customHeight="1">
      <x:c r="A1275" s="4" t="str">
        <x:f>IFERROR(INDEX('Material routes'!$E$6:$E$2205,MATCH(U1275,'Material routes'!$A$6:$A$2205,0)),"MISSING ID")</x:f>
        <x:v>Fitted machine casing</x:v>
      </x:c>
      <x:c r="B1275" s="4" t="str">
        <x:f>IFERROR(INDEX('Material routes'!$F$6:$F$2205,MATCH(U1275,'Material routes'!$A$6:$A$2205,0)),"MISSING ID")</x:f>
        <x:v>T3</x:v>
      </x:c>
      <x:c r="C1275" s="4" t="str">
        <x:f>IFERROR(INDEX('Material routes'!$H$6:$H$2205,MATCH(U1275,'Material routes'!$A$6:$A$2205,0)),"MISSING ID")</x:f>
        <x:v>Crafting component</x:v>
      </x:c>
      <x:c r="D1275" s="4" t="str">
        <x:f>IFERROR(INDEX('Material routes'!$G$6:$G$2205,MATCH(U1275,'Material routes'!$A$6:$A$2205,0)),"MISSING ID")</x:f>
        <x:v>Crafting components</x:v>
      </x:c>
      <x:c r="E1275" s="4" t="str">
        <x:f>IFERROR(INDEX('Material routes'!$C$6:$C$2205,MATCH(U1275,'Material routes'!$A$6:$A$2205,0)),"MISSING ID")</x:f>
        <x:v>Ingredient candidate</x:v>
      </x:c>
      <x:c r="F1275" s="4" t="str">
        <x:f>IFERROR(INDEX('Material routes'!$E$6:$E$2205,MATCH(V1275,'Material routes'!$A$6:$A$2205,0)),"MISSING ID")</x:f>
        <x:v>Magnetic field enhancer</x:v>
      </x:c>
      <x:c r="G1275" s="4" t="str">
        <x:f>IFERROR(INDEX('Material routes'!$F$6:$F$2205,MATCH(V1275,'Material routes'!$A$6:$A$2205,0)),"MISSING ID")</x:f>
        <x:v>Not applicable</x:v>
      </x:c>
      <x:c r="H1275" s="4" t="str">
        <x:f>IFERROR(INDEX('Material routes'!$H$6:$H$2205,MATCH(V1275,'Material routes'!$A$6:$A$2205,0)),"MISSING ID")</x:f>
        <x:v>Tool</x:v>
      </x:c>
      <x:c r="I1275" s="4" t="str">
        <x:f>IFERROR(INDEX('Material routes'!$G$6:$G$2205,MATCH(V1275,'Material routes'!$A$6:$A$2205,0)),"MISSING ID")</x:f>
        <x:v>Tools</x:v>
      </x:c>
      <x:c r="J1275" s="4" t="str">
        <x:f>IFERROR(INDEX('Material routes'!$B$6:$B$2205,MATCH(U1275,'Material routes'!$A$6:$A$2205,0)),"MISSING ID")</x:f>
        <x:v>design.audit.author_electrical_magnetic_enhancer</x:v>
      </x:c>
      <x:c r="K1275" s="4" t="str">
        <x:f>IFERROR(INDEX('Crafting recipes'!$C$6:$C$1005,MATCH(J1275,'Crafting recipes'!$A$6:$A$1005,0)),"MISSING ID")</x:f>
        <x:v>Finished-item crafting</x:v>
      </x:c>
      <x:c r="L1275" s="4" t="str">
        <x:f>IFERROR(INDEX('Material routes'!$K$6:$K$2205,MATCH(U1275,'Material routes'!$A$6:$A$2205,0)),"MISSING ID")</x:f>
        <x:v>Proposal</x:v>
      </x:c>
      <x:c r="M1275" s="4" t="str">
        <x:f>IFERROR(INDEX('Material routes'!$M$6:$M$2205,MATCH(U1275,'Material routes'!$A$6:$A$2205,0)),"MISSING ID")</x:f>
        <x:v>Partial proposal</x:v>
      </x:c>
      <x:c r="N1275" s="4"/>
      <x:c r="O1275" s="4" t="str">
        <x:f>IFERROR(INDEX('Material routes'!$J$6:$J$2205,MATCH(U1275,'Material routes'!$A$6:$A$2205,0)),"MISSING ID")</x:f>
        <x:v>Unspecified</x:v>
      </x:c>
      <x:c r="P1275" s="4"/>
      <x:c r="Q1275" s="4" t="str">
        <x:f>IFERROR(INDEX('Material routes'!$J$6:$J$2205,MATCH(V1275,'Material routes'!$A$6:$A$2205,0)),"MISSING ID")</x:f>
        <x:v>Unspecified</x:v>
      </x:c>
      <x:c r="R1275" s="4" t="str">
        <x:f>IF(L1275="Withheld","Withheld premise",IF(E1275="Tool candidate","Reusable prerequisite",IF(K1275="Raw entry preparation","Entry-resource preparation",IF(G1275="Not applicable",IF(IFERROR(INDEX('Items'!$AI$6:$AI$1005,MATCH(T1275,'Items'!$A$6:$A$1005,0)),"MISSING ID")="Finished item","Finished endpoint",IF(IFERROR(INDEX('Items'!$AI$6:$AI$1005,MATCH(T1275,'Items'!$A$6:$A$1005,0)),"MISSING ID")="Currency","Currency / no refinement tier","Recovered output / tier not applicable")),IF(OR(IFERROR(INDEX('Crafting recipes'!$H$6:$H$1005,MATCH(J1275,'Crafting recipes'!$A$6:$A$1005,0)),"MISSING ID")="Unassigned",G1275="Unassigned"),"Tier unresolved",IF(IFERROR(VALUE(RIGHT(G1275,1))-VALUE(RIGHT(IFERROR(INDEX('Crafting recipes'!$H$6:$H$1005,MATCH(J1275,'Crafting recipes'!$A$6:$A$1005,0)),"MISSING ID"),1)),0)=1,IF(B1275=IFERROR(INDEX('Crafting recipes'!$H$6:$H$1005,MATCH(J1275,'Crafting recipes'!$A$6:$A$1005,0)),"MISSING ID"),"Advances one material tier","Lower-tier ingredient; route advances one tier"),"Needs tier review"))))))</x:f>
        <x:v>Finished endpoint</x:v>
      </x:c>
      <x:c r="S1275" s="4" t="str">
        <x:f>IFERROR(INDEX('Material routes'!$D$6:$D$2205,MATCH(U1275,'Material routes'!$A$6:$A$2205,0)),"MISSING ID")</x:f>
        <x:v>proposal.audit.fitted_machine_casing</x:v>
      </x:c>
      <x:c r="T1275" s="4" t="str">
        <x:f>IFERROR(INDEX('Material routes'!$D$6:$D$2205,MATCH(V1275,'Material routes'!$A$6:$A$2205,0)),"MISSING ID")</x:f>
        <x:v>author.electrical.magnetic_enhancer</x:v>
      </x:c>
      <x:c r="U1275" s="4" t="str">
        <x:v>design.audit.author_electrical_magnetic_enhancer.audit.in.1</x:v>
      </x:c>
      <x:c r="V1275" s="4" t="str">
        <x:v>design.audit.author_electrical_magnetic_enhancer.audit.out</x:v>
      </x:c>
    </x:row>
    <x:row r="1276" ht="64" customHeight="1">
      <x:c r="A1276" s="4" t="str">
        <x:f>IFERROR(INDEX('Material routes'!$E$6:$E$2205,MATCH(U1276,'Material routes'!$A$6:$A$2205,0)),"MISSING ID")</x:f>
        <x:v>Insulated winding subassembly</x:v>
      </x:c>
      <x:c r="B1276" s="4" t="str">
        <x:f>IFERROR(INDEX('Material routes'!$F$6:$F$2205,MATCH(U1276,'Material routes'!$A$6:$A$2205,0)),"MISSING ID")</x:f>
        <x:v>T4</x:v>
      </x:c>
      <x:c r="C1276" s="4" t="str">
        <x:f>IFERROR(INDEX('Material routes'!$H$6:$H$2205,MATCH(U1276,'Material routes'!$A$6:$A$2205,0)),"MISSING ID")</x:f>
        <x:v>Crafting component</x:v>
      </x:c>
      <x:c r="D1276" s="4" t="str">
        <x:f>IFERROR(INDEX('Material routes'!$G$6:$G$2205,MATCH(U1276,'Material routes'!$A$6:$A$2205,0)),"MISSING ID")</x:f>
        <x:v>Crafting components</x:v>
      </x:c>
      <x:c r="E1276" s="4" t="str">
        <x:f>IFERROR(INDEX('Material routes'!$C$6:$C$2205,MATCH(U1276,'Material routes'!$A$6:$A$2205,0)),"MISSING ID")</x:f>
        <x:v>Ingredient candidate</x:v>
      </x:c>
      <x:c r="F1276" s="4" t="str">
        <x:f>IFERROR(INDEX('Material routes'!$E$6:$E$2205,MATCH(V1276,'Material routes'!$A$6:$A$2205,0)),"MISSING ID")</x:f>
        <x:v>Magnetic field enhancer</x:v>
      </x:c>
      <x:c r="G1276" s="4" t="str">
        <x:f>IFERROR(INDEX('Material routes'!$F$6:$F$2205,MATCH(V1276,'Material routes'!$A$6:$A$2205,0)),"MISSING ID")</x:f>
        <x:v>Not applicable</x:v>
      </x:c>
      <x:c r="H1276" s="4" t="str">
        <x:f>IFERROR(INDEX('Material routes'!$H$6:$H$2205,MATCH(V1276,'Material routes'!$A$6:$A$2205,0)),"MISSING ID")</x:f>
        <x:v>Tool</x:v>
      </x:c>
      <x:c r="I1276" s="4" t="str">
        <x:f>IFERROR(INDEX('Material routes'!$G$6:$G$2205,MATCH(V1276,'Material routes'!$A$6:$A$2205,0)),"MISSING ID")</x:f>
        <x:v>Tools</x:v>
      </x:c>
      <x:c r="J1276" s="4" t="str">
        <x:f>IFERROR(INDEX('Material routes'!$B$6:$B$2205,MATCH(U1276,'Material routes'!$A$6:$A$2205,0)),"MISSING ID")</x:f>
        <x:v>design.audit.author_electrical_magnetic_enhancer</x:v>
      </x:c>
      <x:c r="K1276" s="4" t="str">
        <x:f>IFERROR(INDEX('Crafting recipes'!$C$6:$C$1005,MATCH(J1276,'Crafting recipes'!$A$6:$A$1005,0)),"MISSING ID")</x:f>
        <x:v>Finished-item crafting</x:v>
      </x:c>
      <x:c r="L1276" s="4" t="str">
        <x:f>IFERROR(INDEX('Material routes'!$K$6:$K$2205,MATCH(U1276,'Material routes'!$A$6:$A$2205,0)),"MISSING ID")</x:f>
        <x:v>Proposal</x:v>
      </x:c>
      <x:c r="M1276" s="4" t="str">
        <x:f>IFERROR(INDEX('Material routes'!$M$6:$M$2205,MATCH(U1276,'Material routes'!$A$6:$A$2205,0)),"MISSING ID")</x:f>
        <x:v>Partial proposal</x:v>
      </x:c>
      <x:c r="N1276" s="4"/>
      <x:c r="O1276" s="4" t="str">
        <x:f>IFERROR(INDEX('Material routes'!$J$6:$J$2205,MATCH(U1276,'Material routes'!$A$6:$A$2205,0)),"MISSING ID")</x:f>
        <x:v>Unspecified</x:v>
      </x:c>
      <x:c r="P1276" s="4"/>
      <x:c r="Q1276" s="4" t="str">
        <x:f>IFERROR(INDEX('Material routes'!$J$6:$J$2205,MATCH(V1276,'Material routes'!$A$6:$A$2205,0)),"MISSING ID")</x:f>
        <x:v>Unspecified</x:v>
      </x:c>
      <x:c r="R1276" s="4" t="str">
        <x:f>IF(L1276="Withheld","Withheld premise",IF(E1276="Tool candidate","Reusable prerequisite",IF(K1276="Raw entry preparation","Entry-resource preparation",IF(G1276="Not applicable",IF(IFERROR(INDEX('Items'!$AI$6:$AI$1005,MATCH(T1276,'Items'!$A$6:$A$1005,0)),"MISSING ID")="Finished item","Finished endpoint",IF(IFERROR(INDEX('Items'!$AI$6:$AI$1005,MATCH(T1276,'Items'!$A$6:$A$1005,0)),"MISSING ID")="Currency","Currency / no refinement tier","Recovered output / tier not applicable")),IF(OR(IFERROR(INDEX('Crafting recipes'!$H$6:$H$1005,MATCH(J1276,'Crafting recipes'!$A$6:$A$1005,0)),"MISSING ID")="Unassigned",G1276="Unassigned"),"Tier unresolved",IF(IFERROR(VALUE(RIGHT(G1276,1))-VALUE(RIGHT(IFERROR(INDEX('Crafting recipes'!$H$6:$H$1005,MATCH(J1276,'Crafting recipes'!$A$6:$A$1005,0)),"MISSING ID"),1)),0)=1,IF(B1276=IFERROR(INDEX('Crafting recipes'!$H$6:$H$1005,MATCH(J1276,'Crafting recipes'!$A$6:$A$1005,0)),"MISSING ID"),"Advances one material tier","Lower-tier ingredient; route advances one tier"),"Needs tier review"))))))</x:f>
        <x:v>Finished endpoint</x:v>
      </x:c>
      <x:c r="S1276" s="4" t="str">
        <x:f>IFERROR(INDEX('Material routes'!$D$6:$D$2205,MATCH(U1276,'Material routes'!$A$6:$A$2205,0)),"MISSING ID")</x:f>
        <x:v>proposal.t4.insulated_winding</x:v>
      </x:c>
      <x:c r="T1276" s="4" t="str">
        <x:f>IFERROR(INDEX('Material routes'!$D$6:$D$2205,MATCH(V1276,'Material routes'!$A$6:$A$2205,0)),"MISSING ID")</x:f>
        <x:v>author.electrical.magnetic_enhancer</x:v>
      </x:c>
      <x:c r="U1276" s="4" t="str">
        <x:v>design.audit.author_electrical_magnetic_enhancer.audit.in.2</x:v>
      </x:c>
      <x:c r="V1276" s="4" t="str">
        <x:v>design.audit.author_electrical_magnetic_enhancer.audit.out</x:v>
      </x:c>
    </x:row>
    <x:row r="1277" ht="64" customHeight="1">
      <x:c r="A1277" s="4" t="str">
        <x:f>IFERROR(INDEX('Material routes'!$E$6:$E$2205,MATCH(U1277,'Material routes'!$A$6:$A$2205,0)),"MISSING ID")</x:f>
        <x:v>Field magnets</x:v>
      </x:c>
      <x:c r="B1277" s="4" t="str">
        <x:f>IFERROR(INDEX('Material routes'!$F$6:$F$2205,MATCH(U1277,'Material routes'!$A$6:$A$2205,0)),"MISSING ID")</x:f>
        <x:v>Not applicable</x:v>
      </x:c>
      <x:c r="C1277" s="4" t="str">
        <x:f>IFERROR(INDEX('Material routes'!$H$6:$H$2205,MATCH(U1277,'Material routes'!$A$6:$A$2205,0)),"MISSING ID")</x:f>
        <x:v>Tool</x:v>
      </x:c>
      <x:c r="D1277" s="4" t="str">
        <x:f>IFERROR(INDEX('Material routes'!$G$6:$G$2205,MATCH(U1277,'Material routes'!$A$6:$A$2205,0)),"MISSING ID")</x:f>
        <x:v>Tools</x:v>
      </x:c>
      <x:c r="E1277" s="4" t="str">
        <x:f>IFERROR(INDEX('Material routes'!$C$6:$C$2205,MATCH(U1277,'Material routes'!$A$6:$A$2205,0)),"MISSING ID")</x:f>
        <x:v>Ingredient candidate</x:v>
      </x:c>
      <x:c r="F1277" s="4" t="str">
        <x:f>IFERROR(INDEX('Material routes'!$E$6:$E$2205,MATCH(V1277,'Material routes'!$A$6:$A$2205,0)),"MISSING ID")</x:f>
        <x:v>Magnetic field enhancer</x:v>
      </x:c>
      <x:c r="G1277" s="4" t="str">
        <x:f>IFERROR(INDEX('Material routes'!$F$6:$F$2205,MATCH(V1277,'Material routes'!$A$6:$A$2205,0)),"MISSING ID")</x:f>
        <x:v>Not applicable</x:v>
      </x:c>
      <x:c r="H1277" s="4" t="str">
        <x:f>IFERROR(INDEX('Material routes'!$H$6:$H$2205,MATCH(V1277,'Material routes'!$A$6:$A$2205,0)),"MISSING ID")</x:f>
        <x:v>Tool</x:v>
      </x:c>
      <x:c r="I1277" s="4" t="str">
        <x:f>IFERROR(INDEX('Material routes'!$G$6:$G$2205,MATCH(V1277,'Material routes'!$A$6:$A$2205,0)),"MISSING ID")</x:f>
        <x:v>Tools</x:v>
      </x:c>
      <x:c r="J1277" s="4" t="str">
        <x:f>IFERROR(INDEX('Material routes'!$B$6:$B$2205,MATCH(U1277,'Material routes'!$A$6:$A$2205,0)),"MISSING ID")</x:f>
        <x:v>design.audit.author_electrical_magnetic_enhancer</x:v>
      </x:c>
      <x:c r="K1277" s="4" t="str">
        <x:f>IFERROR(INDEX('Crafting recipes'!$C$6:$C$1005,MATCH(J1277,'Crafting recipes'!$A$6:$A$1005,0)),"MISSING ID")</x:f>
        <x:v>Finished-item crafting</x:v>
      </x:c>
      <x:c r="L1277" s="4" t="str">
        <x:f>IFERROR(INDEX('Material routes'!$K$6:$K$2205,MATCH(U1277,'Material routes'!$A$6:$A$2205,0)),"MISSING ID")</x:f>
        <x:v>Proposal</x:v>
      </x:c>
      <x:c r="M1277" s="4" t="str">
        <x:f>IFERROR(INDEX('Material routes'!$M$6:$M$2205,MATCH(U1277,'Material routes'!$A$6:$A$2205,0)),"MISSING ID")</x:f>
        <x:v>Partial proposal</x:v>
      </x:c>
      <x:c r="N1277" s="4"/>
      <x:c r="O1277" s="4" t="str">
        <x:f>IFERROR(INDEX('Material routes'!$J$6:$J$2205,MATCH(U1277,'Material routes'!$A$6:$A$2205,0)),"MISSING ID")</x:f>
        <x:v>Unspecified</x:v>
      </x:c>
      <x:c r="P1277" s="4"/>
      <x:c r="Q1277" s="4" t="str">
        <x:f>IFERROR(INDEX('Material routes'!$J$6:$J$2205,MATCH(V1277,'Material routes'!$A$6:$A$2205,0)),"MISSING ID")</x:f>
        <x:v>Unspecified</x:v>
      </x:c>
      <x:c r="R1277" s="4" t="str">
        <x:f>IF(L1277="Withheld","Withheld premise",IF(E1277="Tool candidate","Reusable prerequisite",IF(K1277="Raw entry preparation","Entry-resource preparation",IF(G1277="Not applicable",IF(IFERROR(INDEX('Items'!$AI$6:$AI$1005,MATCH(T1277,'Items'!$A$6:$A$1005,0)),"MISSING ID")="Finished item","Finished endpoint",IF(IFERROR(INDEX('Items'!$AI$6:$AI$1005,MATCH(T1277,'Items'!$A$6:$A$1005,0)),"MISSING ID")="Currency","Currency / no refinement tier","Recovered output / tier not applicable")),IF(OR(IFERROR(INDEX('Crafting recipes'!$H$6:$H$1005,MATCH(J1277,'Crafting recipes'!$A$6:$A$1005,0)),"MISSING ID")="Unassigned",G1277="Unassigned"),"Tier unresolved",IF(IFERROR(VALUE(RIGHT(G1277,1))-VALUE(RIGHT(IFERROR(INDEX('Crafting recipes'!$H$6:$H$1005,MATCH(J1277,'Crafting recipes'!$A$6:$A$1005,0)),"MISSING ID"),1)),0)=1,IF(B1277=IFERROR(INDEX('Crafting recipes'!$H$6:$H$1005,MATCH(J1277,'Crafting recipes'!$A$6:$A$1005,0)),"MISSING ID"),"Advances one material tier","Lower-tier ingredient; route advances one tier"),"Needs tier review"))))))</x:f>
        <x:v>Finished endpoint</x:v>
      </x:c>
      <x:c r="S1277" s="4" t="str">
        <x:f>IFERROR(INDEX('Material routes'!$D$6:$D$2205,MATCH(U1277,'Material routes'!$A$6:$A$2205,0)),"MISSING ID")</x:f>
        <x:v>proposal.gear.magnets</x:v>
      </x:c>
      <x:c r="T1277" s="4" t="str">
        <x:f>IFERROR(INDEX('Material routes'!$D$6:$D$2205,MATCH(V1277,'Material routes'!$A$6:$A$2205,0)),"MISSING ID")</x:f>
        <x:v>author.electrical.magnetic_enhancer</x:v>
      </x:c>
      <x:c r="U1277" s="4" t="str">
        <x:v>design.audit.author_electrical_magnetic_enhancer.audit.in.3</x:v>
      </x:c>
      <x:c r="V1277" s="4" t="str">
        <x:v>design.audit.author_electrical_magnetic_enhancer.audit.out</x:v>
      </x:c>
    </x:row>
    <x:row r="1278" ht="64" customHeight="1">
      <x:c r="A1278" s="4" t="str">
        <x:f>IFERROR(INDEX('Material routes'!$E$6:$E$2205,MATCH(U1278,'Material routes'!$A$6:$A$2205,0)),"MISSING ID")</x:f>
        <x:v>Ceramic-backed control switch</x:v>
      </x:c>
      <x:c r="B1278" s="4" t="str">
        <x:f>IFERROR(INDEX('Material routes'!$F$6:$F$2205,MATCH(U1278,'Material routes'!$A$6:$A$2205,0)),"MISSING ID")</x:f>
        <x:v>T4</x:v>
      </x:c>
      <x:c r="C1278" s="4" t="str">
        <x:f>IFERROR(INDEX('Material routes'!$H$6:$H$2205,MATCH(U1278,'Material routes'!$A$6:$A$2205,0)),"MISSING ID")</x:f>
        <x:v>Crafting component</x:v>
      </x:c>
      <x:c r="D1278" s="4" t="str">
        <x:f>IFERROR(INDEX('Material routes'!$G$6:$G$2205,MATCH(U1278,'Material routes'!$A$6:$A$2205,0)),"MISSING ID")</x:f>
        <x:v>Crafting components</x:v>
      </x:c>
      <x:c r="E1278" s="4" t="str">
        <x:f>IFERROR(INDEX('Material routes'!$C$6:$C$2205,MATCH(U1278,'Material routes'!$A$6:$A$2205,0)),"MISSING ID")</x:f>
        <x:v>Ingredient candidate</x:v>
      </x:c>
      <x:c r="F1278" s="4" t="str">
        <x:f>IFERROR(INDEX('Material routes'!$E$6:$E$2205,MATCH(V1278,'Material routes'!$A$6:$A$2205,0)),"MISSING ID")</x:f>
        <x:v>Magnetic field enhancer</x:v>
      </x:c>
      <x:c r="G1278" s="4" t="str">
        <x:f>IFERROR(INDEX('Material routes'!$F$6:$F$2205,MATCH(V1278,'Material routes'!$A$6:$A$2205,0)),"MISSING ID")</x:f>
        <x:v>Not applicable</x:v>
      </x:c>
      <x:c r="H1278" s="4" t="str">
        <x:f>IFERROR(INDEX('Material routes'!$H$6:$H$2205,MATCH(V1278,'Material routes'!$A$6:$A$2205,0)),"MISSING ID")</x:f>
        <x:v>Tool</x:v>
      </x:c>
      <x:c r="I1278" s="4" t="str">
        <x:f>IFERROR(INDEX('Material routes'!$G$6:$G$2205,MATCH(V1278,'Material routes'!$A$6:$A$2205,0)),"MISSING ID")</x:f>
        <x:v>Tools</x:v>
      </x:c>
      <x:c r="J1278" s="4" t="str">
        <x:f>IFERROR(INDEX('Material routes'!$B$6:$B$2205,MATCH(U1278,'Material routes'!$A$6:$A$2205,0)),"MISSING ID")</x:f>
        <x:v>design.audit.author_electrical_magnetic_enhancer</x:v>
      </x:c>
      <x:c r="K1278" s="4" t="str">
        <x:f>IFERROR(INDEX('Crafting recipes'!$C$6:$C$1005,MATCH(J1278,'Crafting recipes'!$A$6:$A$1005,0)),"MISSING ID")</x:f>
        <x:v>Finished-item crafting</x:v>
      </x:c>
      <x:c r="L1278" s="4" t="str">
        <x:f>IFERROR(INDEX('Material routes'!$K$6:$K$2205,MATCH(U1278,'Material routes'!$A$6:$A$2205,0)),"MISSING ID")</x:f>
        <x:v>Proposal</x:v>
      </x:c>
      <x:c r="M1278" s="4" t="str">
        <x:f>IFERROR(INDEX('Material routes'!$M$6:$M$2205,MATCH(U1278,'Material routes'!$A$6:$A$2205,0)),"MISSING ID")</x:f>
        <x:v>Partial proposal</x:v>
      </x:c>
      <x:c r="N1278" s="4"/>
      <x:c r="O1278" s="4" t="str">
        <x:f>IFERROR(INDEX('Material routes'!$J$6:$J$2205,MATCH(U1278,'Material routes'!$A$6:$A$2205,0)),"MISSING ID")</x:f>
        <x:v>Unspecified</x:v>
      </x:c>
      <x:c r="P1278" s="4"/>
      <x:c r="Q1278" s="4" t="str">
        <x:f>IFERROR(INDEX('Material routes'!$J$6:$J$2205,MATCH(V1278,'Material routes'!$A$6:$A$2205,0)),"MISSING ID")</x:f>
        <x:v>Unspecified</x:v>
      </x:c>
      <x:c r="R1278" s="4" t="str">
        <x:f>IF(L1278="Withheld","Withheld premise",IF(E1278="Tool candidate","Reusable prerequisite",IF(K1278="Raw entry preparation","Entry-resource preparation",IF(G1278="Not applicable",IF(IFERROR(INDEX('Items'!$AI$6:$AI$1005,MATCH(T1278,'Items'!$A$6:$A$1005,0)),"MISSING ID")="Finished item","Finished endpoint",IF(IFERROR(INDEX('Items'!$AI$6:$AI$1005,MATCH(T1278,'Items'!$A$6:$A$1005,0)),"MISSING ID")="Currency","Currency / no refinement tier","Recovered output / tier not applicable")),IF(OR(IFERROR(INDEX('Crafting recipes'!$H$6:$H$1005,MATCH(J1278,'Crafting recipes'!$A$6:$A$1005,0)),"MISSING ID")="Unassigned",G1278="Unassigned"),"Tier unresolved",IF(IFERROR(VALUE(RIGHT(G1278,1))-VALUE(RIGHT(IFERROR(INDEX('Crafting recipes'!$H$6:$H$1005,MATCH(J1278,'Crafting recipes'!$A$6:$A$1005,0)),"MISSING ID"),1)),0)=1,IF(B1278=IFERROR(INDEX('Crafting recipes'!$H$6:$H$1005,MATCH(J1278,'Crafting recipes'!$A$6:$A$1005,0)),"MISSING ID"),"Advances one material tier","Lower-tier ingredient; route advances one tier"),"Needs tier review"))))))</x:f>
        <x:v>Finished endpoint</x:v>
      </x:c>
      <x:c r="S1278" s="4" t="str">
        <x:f>IFERROR(INDEX('Material routes'!$D$6:$D$2205,MATCH(U1278,'Material routes'!$A$6:$A$2205,0)),"MISSING ID")</x:f>
        <x:v>proposal.audit.ceramic_backed_control_switch</x:v>
      </x:c>
      <x:c r="T1278" s="4" t="str">
        <x:f>IFERROR(INDEX('Material routes'!$D$6:$D$2205,MATCH(V1278,'Material routes'!$A$6:$A$2205,0)),"MISSING ID")</x:f>
        <x:v>author.electrical.magnetic_enhancer</x:v>
      </x:c>
      <x:c r="U1278" s="4" t="str">
        <x:v>design.audit.author_electrical_magnetic_enhancer.audit.in.4</x:v>
      </x:c>
      <x:c r="V1278" s="4" t="str">
        <x:v>design.audit.author_electrical_magnetic_enhancer.audit.out</x:v>
      </x:c>
    </x:row>
    <x:row r="1279" ht="64" customHeight="1">
      <x:c r="A1279" s="4" t="str">
        <x:f>IFERROR(INDEX('Material routes'!$E$6:$E$2205,MATCH(U1279,'Material routes'!$A$6:$A$2205,0)),"MISSING ID")</x:f>
        <x:v>Ceramic-dielectric pulse bank</x:v>
      </x:c>
      <x:c r="B1279" s="4" t="str">
        <x:f>IFERROR(INDEX('Material routes'!$F$6:$F$2205,MATCH(U1279,'Material routes'!$A$6:$A$2205,0)),"MISSING ID")</x:f>
        <x:v>Not applicable</x:v>
      </x:c>
      <x:c r="C1279" s="4" t="str">
        <x:f>IFERROR(INDEX('Material routes'!$H$6:$H$2205,MATCH(U1279,'Material routes'!$A$6:$A$2205,0)),"MISSING ID")</x:f>
        <x:v>Energy storage</x:v>
      </x:c>
      <x:c r="D1279" s="4" t="str">
        <x:f>IFERROR(INDEX('Material routes'!$G$6:$G$2205,MATCH(U1279,'Material routes'!$A$6:$A$2205,0)),"MISSING ID")</x:f>
        <x:v>Crafting components</x:v>
      </x:c>
      <x:c r="E1279" s="4" t="str">
        <x:f>IFERROR(INDEX('Material routes'!$C$6:$C$2205,MATCH(U1279,'Material routes'!$A$6:$A$2205,0)),"MISSING ID")</x:f>
        <x:v>Ingredient candidate</x:v>
      </x:c>
      <x:c r="F1279" s="4" t="str">
        <x:f>IFERROR(INDEX('Material routes'!$E$6:$E$2205,MATCH(V1279,'Material routes'!$A$6:$A$2205,0)),"MISSING ID")</x:f>
        <x:v>Magnetic field enhancer</x:v>
      </x:c>
      <x:c r="G1279" s="4" t="str">
        <x:f>IFERROR(INDEX('Material routes'!$F$6:$F$2205,MATCH(V1279,'Material routes'!$A$6:$A$2205,0)),"MISSING ID")</x:f>
        <x:v>Not applicable</x:v>
      </x:c>
      <x:c r="H1279" s="4" t="str">
        <x:f>IFERROR(INDEX('Material routes'!$H$6:$H$2205,MATCH(V1279,'Material routes'!$A$6:$A$2205,0)),"MISSING ID")</x:f>
        <x:v>Tool</x:v>
      </x:c>
      <x:c r="I1279" s="4" t="str">
        <x:f>IFERROR(INDEX('Material routes'!$G$6:$G$2205,MATCH(V1279,'Material routes'!$A$6:$A$2205,0)),"MISSING ID")</x:f>
        <x:v>Tools</x:v>
      </x:c>
      <x:c r="J1279" s="4" t="str">
        <x:f>IFERROR(INDEX('Material routes'!$B$6:$B$2205,MATCH(U1279,'Material routes'!$A$6:$A$2205,0)),"MISSING ID")</x:f>
        <x:v>design.audit.author_electrical_magnetic_enhancer</x:v>
      </x:c>
      <x:c r="K1279" s="4" t="str">
        <x:f>IFERROR(INDEX('Crafting recipes'!$C$6:$C$1005,MATCH(J1279,'Crafting recipes'!$A$6:$A$1005,0)),"MISSING ID")</x:f>
        <x:v>Finished-item crafting</x:v>
      </x:c>
      <x:c r="L1279" s="4" t="str">
        <x:f>IFERROR(INDEX('Material routes'!$K$6:$K$2205,MATCH(U1279,'Material routes'!$A$6:$A$2205,0)),"MISSING ID")</x:f>
        <x:v>Proposal</x:v>
      </x:c>
      <x:c r="M1279" s="4" t="str">
        <x:f>IFERROR(INDEX('Material routes'!$M$6:$M$2205,MATCH(U1279,'Material routes'!$A$6:$A$2205,0)),"MISSING ID")</x:f>
        <x:v>Partial proposal</x:v>
      </x:c>
      <x:c r="N1279" s="4"/>
      <x:c r="O1279" s="4" t="str">
        <x:f>IFERROR(INDEX('Material routes'!$J$6:$J$2205,MATCH(U1279,'Material routes'!$A$6:$A$2205,0)),"MISSING ID")</x:f>
        <x:v>Unspecified</x:v>
      </x:c>
      <x:c r="P1279" s="4"/>
      <x:c r="Q1279" s="4" t="str">
        <x:f>IFERROR(INDEX('Material routes'!$J$6:$J$2205,MATCH(V1279,'Material routes'!$A$6:$A$2205,0)),"MISSING ID")</x:f>
        <x:v>Unspecified</x:v>
      </x:c>
      <x:c r="R1279" s="4" t="str">
        <x:f>IF(L1279="Withheld","Withheld premise",IF(E1279="Tool candidate","Reusable prerequisite",IF(K1279="Raw entry preparation","Entry-resource preparation",IF(G1279="Not applicable",IF(IFERROR(INDEX('Items'!$AI$6:$AI$1005,MATCH(T1279,'Items'!$A$6:$A$1005,0)),"MISSING ID")="Finished item","Finished endpoint",IF(IFERROR(INDEX('Items'!$AI$6:$AI$1005,MATCH(T1279,'Items'!$A$6:$A$1005,0)),"MISSING ID")="Currency","Currency / no refinement tier","Recovered output / tier not applicable")),IF(OR(IFERROR(INDEX('Crafting recipes'!$H$6:$H$1005,MATCH(J1279,'Crafting recipes'!$A$6:$A$1005,0)),"MISSING ID")="Unassigned",G1279="Unassigned"),"Tier unresolved",IF(IFERROR(VALUE(RIGHT(G1279,1))-VALUE(RIGHT(IFERROR(INDEX('Crafting recipes'!$H$6:$H$1005,MATCH(J1279,'Crafting recipes'!$A$6:$A$1005,0)),"MISSING ID"),1)),0)=1,IF(B1279=IFERROR(INDEX('Crafting recipes'!$H$6:$H$1005,MATCH(J1279,'Crafting recipes'!$A$6:$A$1005,0)),"MISSING ID"),"Advances one material tier","Lower-tier ingredient; route advances one tier"),"Needs tier review"))))))</x:f>
        <x:v>Finished endpoint</x:v>
      </x:c>
      <x:c r="S1279" s="4" t="str">
        <x:f>IFERROR(INDEX('Material routes'!$D$6:$D$2205,MATCH(U1279,'Material routes'!$A$6:$A$2205,0)),"MISSING ID")</x:f>
        <x:v>proposal.collection.ceramic_dielectric_pulse_bank</x:v>
      </x:c>
      <x:c r="T1279" s="4" t="str">
        <x:f>IFERROR(INDEX('Material routes'!$D$6:$D$2205,MATCH(V1279,'Material routes'!$A$6:$A$2205,0)),"MISSING ID")</x:f>
        <x:v>author.electrical.magnetic_enhancer</x:v>
      </x:c>
      <x:c r="U1279" s="4" t="str">
        <x:v>design.audit.author_electrical_magnetic_enhancer.audit.in.5</x:v>
      </x:c>
      <x:c r="V1279" s="4" t="str">
        <x:v>design.audit.author_electrical_magnetic_enhancer.audit.out</x:v>
      </x:c>
    </x:row>
    <x:row r="1280" ht="64" customHeight="1">
      <x:c r="A1280" s="4" t="str">
        <x:f>IFERROR(INDEX('Material routes'!$E$6:$E$2205,MATCH(U1280,'Material routes'!$A$6:$A$2205,0)),"MISSING ID")</x:f>
        <x:v>Fitted machine casing</x:v>
      </x:c>
      <x:c r="B1280" s="4" t="str">
        <x:f>IFERROR(INDEX('Material routes'!$F$6:$F$2205,MATCH(U1280,'Material routes'!$A$6:$A$2205,0)),"MISSING ID")</x:f>
        <x:v>T3</x:v>
      </x:c>
      <x:c r="C1280" s="4" t="str">
        <x:f>IFERROR(INDEX('Material routes'!$H$6:$H$2205,MATCH(U1280,'Material routes'!$A$6:$A$2205,0)),"MISSING ID")</x:f>
        <x:v>Crafting component</x:v>
      </x:c>
      <x:c r="D1280" s="4" t="str">
        <x:f>IFERROR(INDEX('Material routes'!$G$6:$G$2205,MATCH(U1280,'Material routes'!$A$6:$A$2205,0)),"MISSING ID")</x:f>
        <x:v>Crafting components</x:v>
      </x:c>
      <x:c r="E1280" s="4" t="str">
        <x:f>IFERROR(INDEX('Material routes'!$C$6:$C$2205,MATCH(U1280,'Material routes'!$A$6:$A$2205,0)),"MISSING ID")</x:f>
        <x:v>Ingredient candidate</x:v>
      </x:c>
      <x:c r="F1280" s="4" t="str">
        <x:f>IFERROR(INDEX('Material routes'!$E$6:$E$2205,MATCH(V1280,'Material routes'!$A$6:$A$2205,0)),"MISSING ID")</x:f>
        <x:v>Static-electricity field enhancer</x:v>
      </x:c>
      <x:c r="G1280" s="4" t="str">
        <x:f>IFERROR(INDEX('Material routes'!$F$6:$F$2205,MATCH(V1280,'Material routes'!$A$6:$A$2205,0)),"MISSING ID")</x:f>
        <x:v>Not applicable</x:v>
      </x:c>
      <x:c r="H1280" s="4" t="str">
        <x:f>IFERROR(INDEX('Material routes'!$H$6:$H$2205,MATCH(V1280,'Material routes'!$A$6:$A$2205,0)),"MISSING ID")</x:f>
        <x:v>Tool</x:v>
      </x:c>
      <x:c r="I1280" s="4" t="str">
        <x:f>IFERROR(INDEX('Material routes'!$G$6:$G$2205,MATCH(V1280,'Material routes'!$A$6:$A$2205,0)),"MISSING ID")</x:f>
        <x:v>Tools</x:v>
      </x:c>
      <x:c r="J1280" s="4" t="str">
        <x:f>IFERROR(INDEX('Material routes'!$B$6:$B$2205,MATCH(U1280,'Material routes'!$A$6:$A$2205,0)),"MISSING ID")</x:f>
        <x:v>design.audit.author_electrical_static_enhancer</x:v>
      </x:c>
      <x:c r="K1280" s="4" t="str">
        <x:f>IFERROR(INDEX('Crafting recipes'!$C$6:$C$1005,MATCH(J1280,'Crafting recipes'!$A$6:$A$1005,0)),"MISSING ID")</x:f>
        <x:v>Finished-item crafting</x:v>
      </x:c>
      <x:c r="L1280" s="4" t="str">
        <x:f>IFERROR(INDEX('Material routes'!$K$6:$K$2205,MATCH(U1280,'Material routes'!$A$6:$A$2205,0)),"MISSING ID")</x:f>
        <x:v>Proposal</x:v>
      </x:c>
      <x:c r="M1280" s="4" t="str">
        <x:f>IFERROR(INDEX('Material routes'!$M$6:$M$2205,MATCH(U1280,'Material routes'!$A$6:$A$2205,0)),"MISSING ID")</x:f>
        <x:v>Partial proposal</x:v>
      </x:c>
      <x:c r="N1280" s="4"/>
      <x:c r="O1280" s="4" t="str">
        <x:f>IFERROR(INDEX('Material routes'!$J$6:$J$2205,MATCH(U1280,'Material routes'!$A$6:$A$2205,0)),"MISSING ID")</x:f>
        <x:v>Unspecified</x:v>
      </x:c>
      <x:c r="P1280" s="4"/>
      <x:c r="Q1280" s="4" t="str">
        <x:f>IFERROR(INDEX('Material routes'!$J$6:$J$2205,MATCH(V1280,'Material routes'!$A$6:$A$2205,0)),"MISSING ID")</x:f>
        <x:v>Unspecified</x:v>
      </x:c>
      <x:c r="R1280" s="4" t="str">
        <x:f>IF(L1280="Withheld","Withheld premise",IF(E1280="Tool candidate","Reusable prerequisite",IF(K1280="Raw entry preparation","Entry-resource preparation",IF(G1280="Not applicable",IF(IFERROR(INDEX('Items'!$AI$6:$AI$1005,MATCH(T1280,'Items'!$A$6:$A$1005,0)),"MISSING ID")="Finished item","Finished endpoint",IF(IFERROR(INDEX('Items'!$AI$6:$AI$1005,MATCH(T1280,'Items'!$A$6:$A$1005,0)),"MISSING ID")="Currency","Currency / no refinement tier","Recovered output / tier not applicable")),IF(OR(IFERROR(INDEX('Crafting recipes'!$H$6:$H$1005,MATCH(J1280,'Crafting recipes'!$A$6:$A$1005,0)),"MISSING ID")="Unassigned",G1280="Unassigned"),"Tier unresolved",IF(IFERROR(VALUE(RIGHT(G1280,1))-VALUE(RIGHT(IFERROR(INDEX('Crafting recipes'!$H$6:$H$1005,MATCH(J1280,'Crafting recipes'!$A$6:$A$1005,0)),"MISSING ID"),1)),0)=1,IF(B1280=IFERROR(INDEX('Crafting recipes'!$H$6:$H$1005,MATCH(J1280,'Crafting recipes'!$A$6:$A$1005,0)),"MISSING ID"),"Advances one material tier","Lower-tier ingredient; route advances one tier"),"Needs tier review"))))))</x:f>
        <x:v>Finished endpoint</x:v>
      </x:c>
      <x:c r="S1280" s="4" t="str">
        <x:f>IFERROR(INDEX('Material routes'!$D$6:$D$2205,MATCH(U1280,'Material routes'!$A$6:$A$2205,0)),"MISSING ID")</x:f>
        <x:v>proposal.audit.fitted_machine_casing</x:v>
      </x:c>
      <x:c r="T1280" s="4" t="str">
        <x:f>IFERROR(INDEX('Material routes'!$D$6:$D$2205,MATCH(V1280,'Material routes'!$A$6:$A$2205,0)),"MISSING ID")</x:f>
        <x:v>author.electrical.static_enhancer</x:v>
      </x:c>
      <x:c r="U1280" s="4" t="str">
        <x:v>design.audit.author_electrical_static_enhancer.audit.in.1</x:v>
      </x:c>
      <x:c r="V1280" s="4" t="str">
        <x:v>design.audit.author_electrical_static_enhancer.audit.out</x:v>
      </x:c>
    </x:row>
    <x:row r="1281" ht="64" customHeight="1">
      <x:c r="A1281" s="4" t="str">
        <x:f>IFERROR(INDEX('Material routes'!$E$6:$E$2205,MATCH(U1281,'Material routes'!$A$6:$A$2205,0)),"MISSING ID")</x:f>
        <x:v>Serviceable insulated contact block</x:v>
      </x:c>
      <x:c r="B1281" s="4" t="str">
        <x:f>IFERROR(INDEX('Material routes'!$F$6:$F$2205,MATCH(U1281,'Material routes'!$A$6:$A$2205,0)),"MISSING ID")</x:f>
        <x:v>T4</x:v>
      </x:c>
      <x:c r="C1281" s="4" t="str">
        <x:f>IFERROR(INDEX('Material routes'!$H$6:$H$2205,MATCH(U1281,'Material routes'!$A$6:$A$2205,0)),"MISSING ID")</x:f>
        <x:v>Crafting component</x:v>
      </x:c>
      <x:c r="D1281" s="4" t="str">
        <x:f>IFERROR(INDEX('Material routes'!$G$6:$G$2205,MATCH(U1281,'Material routes'!$A$6:$A$2205,0)),"MISSING ID")</x:f>
        <x:v>Crafting components</x:v>
      </x:c>
      <x:c r="E1281" s="4" t="str">
        <x:f>IFERROR(INDEX('Material routes'!$C$6:$C$2205,MATCH(U1281,'Material routes'!$A$6:$A$2205,0)),"MISSING ID")</x:f>
        <x:v>Ingredient candidate</x:v>
      </x:c>
      <x:c r="F1281" s="4" t="str">
        <x:f>IFERROR(INDEX('Material routes'!$E$6:$E$2205,MATCH(V1281,'Material routes'!$A$6:$A$2205,0)),"MISSING ID")</x:f>
        <x:v>Static-electricity field enhancer</x:v>
      </x:c>
      <x:c r="G1281" s="4" t="str">
        <x:f>IFERROR(INDEX('Material routes'!$F$6:$F$2205,MATCH(V1281,'Material routes'!$A$6:$A$2205,0)),"MISSING ID")</x:f>
        <x:v>Not applicable</x:v>
      </x:c>
      <x:c r="H1281" s="4" t="str">
        <x:f>IFERROR(INDEX('Material routes'!$H$6:$H$2205,MATCH(V1281,'Material routes'!$A$6:$A$2205,0)),"MISSING ID")</x:f>
        <x:v>Tool</x:v>
      </x:c>
      <x:c r="I1281" s="4" t="str">
        <x:f>IFERROR(INDEX('Material routes'!$G$6:$G$2205,MATCH(V1281,'Material routes'!$A$6:$A$2205,0)),"MISSING ID")</x:f>
        <x:v>Tools</x:v>
      </x:c>
      <x:c r="J1281" s="4" t="str">
        <x:f>IFERROR(INDEX('Material routes'!$B$6:$B$2205,MATCH(U1281,'Material routes'!$A$6:$A$2205,0)),"MISSING ID")</x:f>
        <x:v>design.audit.author_electrical_static_enhancer</x:v>
      </x:c>
      <x:c r="K1281" s="4" t="str">
        <x:f>IFERROR(INDEX('Crafting recipes'!$C$6:$C$1005,MATCH(J1281,'Crafting recipes'!$A$6:$A$1005,0)),"MISSING ID")</x:f>
        <x:v>Finished-item crafting</x:v>
      </x:c>
      <x:c r="L1281" s="4" t="str">
        <x:f>IFERROR(INDEX('Material routes'!$K$6:$K$2205,MATCH(U1281,'Material routes'!$A$6:$A$2205,0)),"MISSING ID")</x:f>
        <x:v>Proposal</x:v>
      </x:c>
      <x:c r="M1281" s="4" t="str">
        <x:f>IFERROR(INDEX('Material routes'!$M$6:$M$2205,MATCH(U1281,'Material routes'!$A$6:$A$2205,0)),"MISSING ID")</x:f>
        <x:v>Partial proposal</x:v>
      </x:c>
      <x:c r="N1281" s="4"/>
      <x:c r="O1281" s="4" t="str">
        <x:f>IFERROR(INDEX('Material routes'!$J$6:$J$2205,MATCH(U1281,'Material routes'!$A$6:$A$2205,0)),"MISSING ID")</x:f>
        <x:v>Unspecified</x:v>
      </x:c>
      <x:c r="P1281" s="4"/>
      <x:c r="Q1281" s="4" t="str">
        <x:f>IFERROR(INDEX('Material routes'!$J$6:$J$2205,MATCH(V1281,'Material routes'!$A$6:$A$2205,0)),"MISSING ID")</x:f>
        <x:v>Unspecified</x:v>
      </x:c>
      <x:c r="R1281" s="4" t="str">
        <x:f>IF(L1281="Withheld","Withheld premise",IF(E1281="Tool candidate","Reusable prerequisite",IF(K1281="Raw entry preparation","Entry-resource preparation",IF(G1281="Not applicable",IF(IFERROR(INDEX('Items'!$AI$6:$AI$1005,MATCH(T1281,'Items'!$A$6:$A$1005,0)),"MISSING ID")="Finished item","Finished endpoint",IF(IFERROR(INDEX('Items'!$AI$6:$AI$1005,MATCH(T1281,'Items'!$A$6:$A$1005,0)),"MISSING ID")="Currency","Currency / no refinement tier","Recovered output / tier not applicable")),IF(OR(IFERROR(INDEX('Crafting recipes'!$H$6:$H$1005,MATCH(J1281,'Crafting recipes'!$A$6:$A$1005,0)),"MISSING ID")="Unassigned",G1281="Unassigned"),"Tier unresolved",IF(IFERROR(VALUE(RIGHT(G1281,1))-VALUE(RIGHT(IFERROR(INDEX('Crafting recipes'!$H$6:$H$1005,MATCH(J1281,'Crafting recipes'!$A$6:$A$1005,0)),"MISSING ID"),1)),0)=1,IF(B1281=IFERROR(INDEX('Crafting recipes'!$H$6:$H$1005,MATCH(J1281,'Crafting recipes'!$A$6:$A$1005,0)),"MISSING ID"),"Advances one material tier","Lower-tier ingredient; route advances one tier"),"Needs tier review"))))))</x:f>
        <x:v>Finished endpoint</x:v>
      </x:c>
      <x:c r="S1281" s="4" t="str">
        <x:f>IFERROR(INDEX('Material routes'!$D$6:$D$2205,MATCH(U1281,'Material routes'!$A$6:$A$2205,0)),"MISSING ID")</x:f>
        <x:v>proposal.t4.contact_block</x:v>
      </x:c>
      <x:c r="T1281" s="4" t="str">
        <x:f>IFERROR(INDEX('Material routes'!$D$6:$D$2205,MATCH(V1281,'Material routes'!$A$6:$A$2205,0)),"MISSING ID")</x:f>
        <x:v>author.electrical.static_enhancer</x:v>
      </x:c>
      <x:c r="U1281" s="4" t="str">
        <x:v>design.audit.author_electrical_static_enhancer.audit.in.2</x:v>
      </x:c>
      <x:c r="V1281" s="4" t="str">
        <x:v>design.audit.author_electrical_static_enhancer.audit.out</x:v>
      </x:c>
    </x:row>
    <x:row r="1282" ht="64" customHeight="1">
      <x:c r="A1282" s="4" t="str">
        <x:f>IFERROR(INDEX('Material routes'!$E$6:$E$2205,MATCH(U1282,'Material routes'!$A$6:$A$2205,0)),"MISSING ID")</x:f>
        <x:v>Ceramic-backed control switch</x:v>
      </x:c>
      <x:c r="B1282" s="4" t="str">
        <x:f>IFERROR(INDEX('Material routes'!$F$6:$F$2205,MATCH(U1282,'Material routes'!$A$6:$A$2205,0)),"MISSING ID")</x:f>
        <x:v>T4</x:v>
      </x:c>
      <x:c r="C1282" s="4" t="str">
        <x:f>IFERROR(INDEX('Material routes'!$H$6:$H$2205,MATCH(U1282,'Material routes'!$A$6:$A$2205,0)),"MISSING ID")</x:f>
        <x:v>Crafting component</x:v>
      </x:c>
      <x:c r="D1282" s="4" t="str">
        <x:f>IFERROR(INDEX('Material routes'!$G$6:$G$2205,MATCH(U1282,'Material routes'!$A$6:$A$2205,0)),"MISSING ID")</x:f>
        <x:v>Crafting components</x:v>
      </x:c>
      <x:c r="E1282" s="4" t="str">
        <x:f>IFERROR(INDEX('Material routes'!$C$6:$C$2205,MATCH(U1282,'Material routes'!$A$6:$A$2205,0)),"MISSING ID")</x:f>
        <x:v>Ingredient candidate</x:v>
      </x:c>
      <x:c r="F1282" s="4" t="str">
        <x:f>IFERROR(INDEX('Material routes'!$E$6:$E$2205,MATCH(V1282,'Material routes'!$A$6:$A$2205,0)),"MISSING ID")</x:f>
        <x:v>Static-electricity field enhancer</x:v>
      </x:c>
      <x:c r="G1282" s="4" t="str">
        <x:f>IFERROR(INDEX('Material routes'!$F$6:$F$2205,MATCH(V1282,'Material routes'!$A$6:$A$2205,0)),"MISSING ID")</x:f>
        <x:v>Not applicable</x:v>
      </x:c>
      <x:c r="H1282" s="4" t="str">
        <x:f>IFERROR(INDEX('Material routes'!$H$6:$H$2205,MATCH(V1282,'Material routes'!$A$6:$A$2205,0)),"MISSING ID")</x:f>
        <x:v>Tool</x:v>
      </x:c>
      <x:c r="I1282" s="4" t="str">
        <x:f>IFERROR(INDEX('Material routes'!$G$6:$G$2205,MATCH(V1282,'Material routes'!$A$6:$A$2205,0)),"MISSING ID")</x:f>
        <x:v>Tools</x:v>
      </x:c>
      <x:c r="J1282" s="4" t="str">
        <x:f>IFERROR(INDEX('Material routes'!$B$6:$B$2205,MATCH(U1282,'Material routes'!$A$6:$A$2205,0)),"MISSING ID")</x:f>
        <x:v>design.audit.author_electrical_static_enhancer</x:v>
      </x:c>
      <x:c r="K1282" s="4" t="str">
        <x:f>IFERROR(INDEX('Crafting recipes'!$C$6:$C$1005,MATCH(J1282,'Crafting recipes'!$A$6:$A$1005,0)),"MISSING ID")</x:f>
        <x:v>Finished-item crafting</x:v>
      </x:c>
      <x:c r="L1282" s="4" t="str">
        <x:f>IFERROR(INDEX('Material routes'!$K$6:$K$2205,MATCH(U1282,'Material routes'!$A$6:$A$2205,0)),"MISSING ID")</x:f>
        <x:v>Proposal</x:v>
      </x:c>
      <x:c r="M1282" s="4" t="str">
        <x:f>IFERROR(INDEX('Material routes'!$M$6:$M$2205,MATCH(U1282,'Material routes'!$A$6:$A$2205,0)),"MISSING ID")</x:f>
        <x:v>Partial proposal</x:v>
      </x:c>
      <x:c r="N1282" s="4"/>
      <x:c r="O1282" s="4" t="str">
        <x:f>IFERROR(INDEX('Material routes'!$J$6:$J$2205,MATCH(U1282,'Material routes'!$A$6:$A$2205,0)),"MISSING ID")</x:f>
        <x:v>Unspecified</x:v>
      </x:c>
      <x:c r="P1282" s="4"/>
      <x:c r="Q1282" s="4" t="str">
        <x:f>IFERROR(INDEX('Material routes'!$J$6:$J$2205,MATCH(V1282,'Material routes'!$A$6:$A$2205,0)),"MISSING ID")</x:f>
        <x:v>Unspecified</x:v>
      </x:c>
      <x:c r="R1282" s="4" t="str">
        <x:f>IF(L1282="Withheld","Withheld premise",IF(E1282="Tool candidate","Reusable prerequisite",IF(K1282="Raw entry preparation","Entry-resource preparation",IF(G1282="Not applicable",IF(IFERROR(INDEX('Items'!$AI$6:$AI$1005,MATCH(T1282,'Items'!$A$6:$A$1005,0)),"MISSING ID")="Finished item","Finished endpoint",IF(IFERROR(INDEX('Items'!$AI$6:$AI$1005,MATCH(T1282,'Items'!$A$6:$A$1005,0)),"MISSING ID")="Currency","Currency / no refinement tier","Recovered output / tier not applicable")),IF(OR(IFERROR(INDEX('Crafting recipes'!$H$6:$H$1005,MATCH(J1282,'Crafting recipes'!$A$6:$A$1005,0)),"MISSING ID")="Unassigned",G1282="Unassigned"),"Tier unresolved",IF(IFERROR(VALUE(RIGHT(G1282,1))-VALUE(RIGHT(IFERROR(INDEX('Crafting recipes'!$H$6:$H$1005,MATCH(J1282,'Crafting recipes'!$A$6:$A$1005,0)),"MISSING ID"),1)),0)=1,IF(B1282=IFERROR(INDEX('Crafting recipes'!$H$6:$H$1005,MATCH(J1282,'Crafting recipes'!$A$6:$A$1005,0)),"MISSING ID"),"Advances one material tier","Lower-tier ingredient; route advances one tier"),"Needs tier review"))))))</x:f>
        <x:v>Finished endpoint</x:v>
      </x:c>
      <x:c r="S1282" s="4" t="str">
        <x:f>IFERROR(INDEX('Material routes'!$D$6:$D$2205,MATCH(U1282,'Material routes'!$A$6:$A$2205,0)),"MISSING ID")</x:f>
        <x:v>proposal.audit.ceramic_backed_control_switch</x:v>
      </x:c>
      <x:c r="T1282" s="4" t="str">
        <x:f>IFERROR(INDEX('Material routes'!$D$6:$D$2205,MATCH(V1282,'Material routes'!$A$6:$A$2205,0)),"MISSING ID")</x:f>
        <x:v>author.electrical.static_enhancer</x:v>
      </x:c>
      <x:c r="U1282" s="4" t="str">
        <x:v>design.audit.author_electrical_static_enhancer.audit.in.3</x:v>
      </x:c>
      <x:c r="V1282" s="4" t="str">
        <x:v>design.audit.author_electrical_static_enhancer.audit.out</x:v>
      </x:c>
    </x:row>
    <x:row r="1283" ht="64" customHeight="1">
      <x:c r="A1283" s="4" t="str">
        <x:f>IFERROR(INDEX('Material routes'!$E$6:$E$2205,MATCH(U1283,'Material routes'!$A$6:$A$2205,0)),"MISSING ID")</x:f>
        <x:v>Ceramic-dielectric pulse bank</x:v>
      </x:c>
      <x:c r="B1283" s="4" t="str">
        <x:f>IFERROR(INDEX('Material routes'!$F$6:$F$2205,MATCH(U1283,'Material routes'!$A$6:$A$2205,0)),"MISSING ID")</x:f>
        <x:v>Not applicable</x:v>
      </x:c>
      <x:c r="C1283" s="4" t="str">
        <x:f>IFERROR(INDEX('Material routes'!$H$6:$H$2205,MATCH(U1283,'Material routes'!$A$6:$A$2205,0)),"MISSING ID")</x:f>
        <x:v>Energy storage</x:v>
      </x:c>
      <x:c r="D1283" s="4" t="str">
        <x:f>IFERROR(INDEX('Material routes'!$G$6:$G$2205,MATCH(U1283,'Material routes'!$A$6:$A$2205,0)),"MISSING ID")</x:f>
        <x:v>Crafting components</x:v>
      </x:c>
      <x:c r="E1283" s="4" t="str">
        <x:f>IFERROR(INDEX('Material routes'!$C$6:$C$2205,MATCH(U1283,'Material routes'!$A$6:$A$2205,0)),"MISSING ID")</x:f>
        <x:v>Ingredient candidate</x:v>
      </x:c>
      <x:c r="F1283" s="4" t="str">
        <x:f>IFERROR(INDEX('Material routes'!$E$6:$E$2205,MATCH(V1283,'Material routes'!$A$6:$A$2205,0)),"MISSING ID")</x:f>
        <x:v>Static-electricity field enhancer</x:v>
      </x:c>
      <x:c r="G1283" s="4" t="str">
        <x:f>IFERROR(INDEX('Material routes'!$F$6:$F$2205,MATCH(V1283,'Material routes'!$A$6:$A$2205,0)),"MISSING ID")</x:f>
        <x:v>Not applicable</x:v>
      </x:c>
      <x:c r="H1283" s="4" t="str">
        <x:f>IFERROR(INDEX('Material routes'!$H$6:$H$2205,MATCH(V1283,'Material routes'!$A$6:$A$2205,0)),"MISSING ID")</x:f>
        <x:v>Tool</x:v>
      </x:c>
      <x:c r="I1283" s="4" t="str">
        <x:f>IFERROR(INDEX('Material routes'!$G$6:$G$2205,MATCH(V1283,'Material routes'!$A$6:$A$2205,0)),"MISSING ID")</x:f>
        <x:v>Tools</x:v>
      </x:c>
      <x:c r="J1283" s="4" t="str">
        <x:f>IFERROR(INDEX('Material routes'!$B$6:$B$2205,MATCH(U1283,'Material routes'!$A$6:$A$2205,0)),"MISSING ID")</x:f>
        <x:v>design.audit.author_electrical_static_enhancer</x:v>
      </x:c>
      <x:c r="K1283" s="4" t="str">
        <x:f>IFERROR(INDEX('Crafting recipes'!$C$6:$C$1005,MATCH(J1283,'Crafting recipes'!$A$6:$A$1005,0)),"MISSING ID")</x:f>
        <x:v>Finished-item crafting</x:v>
      </x:c>
      <x:c r="L1283" s="4" t="str">
        <x:f>IFERROR(INDEX('Material routes'!$K$6:$K$2205,MATCH(U1283,'Material routes'!$A$6:$A$2205,0)),"MISSING ID")</x:f>
        <x:v>Proposal</x:v>
      </x:c>
      <x:c r="M1283" s="4" t="str">
        <x:f>IFERROR(INDEX('Material routes'!$M$6:$M$2205,MATCH(U1283,'Material routes'!$A$6:$A$2205,0)),"MISSING ID")</x:f>
        <x:v>Partial proposal</x:v>
      </x:c>
      <x:c r="N1283" s="4"/>
      <x:c r="O1283" s="4" t="str">
        <x:f>IFERROR(INDEX('Material routes'!$J$6:$J$2205,MATCH(U1283,'Material routes'!$A$6:$A$2205,0)),"MISSING ID")</x:f>
        <x:v>Unspecified</x:v>
      </x:c>
      <x:c r="P1283" s="4"/>
      <x:c r="Q1283" s="4" t="str">
        <x:f>IFERROR(INDEX('Material routes'!$J$6:$J$2205,MATCH(V1283,'Material routes'!$A$6:$A$2205,0)),"MISSING ID")</x:f>
        <x:v>Unspecified</x:v>
      </x:c>
      <x:c r="R1283" s="4" t="str">
        <x:f>IF(L1283="Withheld","Withheld premise",IF(E1283="Tool candidate","Reusable prerequisite",IF(K1283="Raw entry preparation","Entry-resource preparation",IF(G1283="Not applicable",IF(IFERROR(INDEX('Items'!$AI$6:$AI$1005,MATCH(T1283,'Items'!$A$6:$A$1005,0)),"MISSING ID")="Finished item","Finished endpoint",IF(IFERROR(INDEX('Items'!$AI$6:$AI$1005,MATCH(T1283,'Items'!$A$6:$A$1005,0)),"MISSING ID")="Currency","Currency / no refinement tier","Recovered output / tier not applicable")),IF(OR(IFERROR(INDEX('Crafting recipes'!$H$6:$H$1005,MATCH(J1283,'Crafting recipes'!$A$6:$A$1005,0)),"MISSING ID")="Unassigned",G1283="Unassigned"),"Tier unresolved",IF(IFERROR(VALUE(RIGHT(G1283,1))-VALUE(RIGHT(IFERROR(INDEX('Crafting recipes'!$H$6:$H$1005,MATCH(J1283,'Crafting recipes'!$A$6:$A$1005,0)),"MISSING ID"),1)),0)=1,IF(B1283=IFERROR(INDEX('Crafting recipes'!$H$6:$H$1005,MATCH(J1283,'Crafting recipes'!$A$6:$A$1005,0)),"MISSING ID"),"Advances one material tier","Lower-tier ingredient; route advances one tier"),"Needs tier review"))))))</x:f>
        <x:v>Finished endpoint</x:v>
      </x:c>
      <x:c r="S1283" s="4" t="str">
        <x:f>IFERROR(INDEX('Material routes'!$D$6:$D$2205,MATCH(U1283,'Material routes'!$A$6:$A$2205,0)),"MISSING ID")</x:f>
        <x:v>proposal.collection.ceramic_dielectric_pulse_bank</x:v>
      </x:c>
      <x:c r="T1283" s="4" t="str">
        <x:f>IFERROR(INDEX('Material routes'!$D$6:$D$2205,MATCH(V1283,'Material routes'!$A$6:$A$2205,0)),"MISSING ID")</x:f>
        <x:v>author.electrical.static_enhancer</x:v>
      </x:c>
      <x:c r="U1283" s="4" t="str">
        <x:v>design.audit.author_electrical_static_enhancer.audit.in.4</x:v>
      </x:c>
      <x:c r="V1283" s="4" t="str">
        <x:v>design.audit.author_electrical_static_enhancer.audit.out</x:v>
      </x:c>
    </x:row>
    <x:row r="1284" ht="64" customHeight="1">
      <x:c r="A1284" s="4" t="str">
        <x:f>IFERROR(INDEX('Material routes'!$E$6:$E$2205,MATCH(U1284,'Material routes'!$A$6:$A$2205,0)),"MISSING ID")</x:f>
        <x:v>Terminated grounding harness</x:v>
      </x:c>
      <x:c r="B1284" s="4" t="str">
        <x:f>IFERROR(INDEX('Material routes'!$F$6:$F$2205,MATCH(U1284,'Material routes'!$A$6:$A$2205,0)),"MISSING ID")</x:f>
        <x:v>T4</x:v>
      </x:c>
      <x:c r="C1284" s="4" t="str">
        <x:f>IFERROR(INDEX('Material routes'!$H$6:$H$2205,MATCH(U1284,'Material routes'!$A$6:$A$2205,0)),"MISSING ID")</x:f>
        <x:v>Crafting component</x:v>
      </x:c>
      <x:c r="D1284" s="4" t="str">
        <x:f>IFERROR(INDEX('Material routes'!$G$6:$G$2205,MATCH(U1284,'Material routes'!$A$6:$A$2205,0)),"MISSING ID")</x:f>
        <x:v>Crafting components</x:v>
      </x:c>
      <x:c r="E1284" s="4" t="str">
        <x:f>IFERROR(INDEX('Material routes'!$C$6:$C$2205,MATCH(U1284,'Material routes'!$A$6:$A$2205,0)),"MISSING ID")</x:f>
        <x:v>Ingredient candidate</x:v>
      </x:c>
      <x:c r="F1284" s="4" t="str">
        <x:f>IFERROR(INDEX('Material routes'!$E$6:$E$2205,MATCH(V1284,'Material routes'!$A$6:$A$2205,0)),"MISSING ID")</x:f>
        <x:v>Static-electricity field enhancer</x:v>
      </x:c>
      <x:c r="G1284" s="4" t="str">
        <x:f>IFERROR(INDEX('Material routes'!$F$6:$F$2205,MATCH(V1284,'Material routes'!$A$6:$A$2205,0)),"MISSING ID")</x:f>
        <x:v>Not applicable</x:v>
      </x:c>
      <x:c r="H1284" s="4" t="str">
        <x:f>IFERROR(INDEX('Material routes'!$H$6:$H$2205,MATCH(V1284,'Material routes'!$A$6:$A$2205,0)),"MISSING ID")</x:f>
        <x:v>Tool</x:v>
      </x:c>
      <x:c r="I1284" s="4" t="str">
        <x:f>IFERROR(INDEX('Material routes'!$G$6:$G$2205,MATCH(V1284,'Material routes'!$A$6:$A$2205,0)),"MISSING ID")</x:f>
        <x:v>Tools</x:v>
      </x:c>
      <x:c r="J1284" s="4" t="str">
        <x:f>IFERROR(INDEX('Material routes'!$B$6:$B$2205,MATCH(U1284,'Material routes'!$A$6:$A$2205,0)),"MISSING ID")</x:f>
        <x:v>design.audit.author_electrical_static_enhancer</x:v>
      </x:c>
      <x:c r="K1284" s="4" t="str">
        <x:f>IFERROR(INDEX('Crafting recipes'!$C$6:$C$1005,MATCH(J1284,'Crafting recipes'!$A$6:$A$1005,0)),"MISSING ID")</x:f>
        <x:v>Finished-item crafting</x:v>
      </x:c>
      <x:c r="L1284" s="4" t="str">
        <x:f>IFERROR(INDEX('Material routes'!$K$6:$K$2205,MATCH(U1284,'Material routes'!$A$6:$A$2205,0)),"MISSING ID")</x:f>
        <x:v>Proposal</x:v>
      </x:c>
      <x:c r="M1284" s="4" t="str">
        <x:f>IFERROR(INDEX('Material routes'!$M$6:$M$2205,MATCH(U1284,'Material routes'!$A$6:$A$2205,0)),"MISSING ID")</x:f>
        <x:v>Partial proposal</x:v>
      </x:c>
      <x:c r="N1284" s="4"/>
      <x:c r="O1284" s="4" t="str">
        <x:f>IFERROR(INDEX('Material routes'!$J$6:$J$2205,MATCH(U1284,'Material routes'!$A$6:$A$2205,0)),"MISSING ID")</x:f>
        <x:v>Unspecified</x:v>
      </x:c>
      <x:c r="P1284" s="4"/>
      <x:c r="Q1284" s="4" t="str">
        <x:f>IFERROR(INDEX('Material routes'!$J$6:$J$2205,MATCH(V1284,'Material routes'!$A$6:$A$2205,0)),"MISSING ID")</x:f>
        <x:v>Unspecified</x:v>
      </x:c>
      <x:c r="R1284" s="4" t="str">
        <x:f>IF(L1284="Withheld","Withheld premise",IF(E1284="Tool candidate","Reusable prerequisite",IF(K1284="Raw entry preparation","Entry-resource preparation",IF(G1284="Not applicable",IF(IFERROR(INDEX('Items'!$AI$6:$AI$1005,MATCH(T1284,'Items'!$A$6:$A$1005,0)),"MISSING ID")="Finished item","Finished endpoint",IF(IFERROR(INDEX('Items'!$AI$6:$AI$1005,MATCH(T1284,'Items'!$A$6:$A$1005,0)),"MISSING ID")="Currency","Currency / no refinement tier","Recovered output / tier not applicable")),IF(OR(IFERROR(INDEX('Crafting recipes'!$H$6:$H$1005,MATCH(J1284,'Crafting recipes'!$A$6:$A$1005,0)),"MISSING ID")="Unassigned",G1284="Unassigned"),"Tier unresolved",IF(IFERROR(VALUE(RIGHT(G1284,1))-VALUE(RIGHT(IFERROR(INDEX('Crafting recipes'!$H$6:$H$1005,MATCH(J1284,'Crafting recipes'!$A$6:$A$1005,0)),"MISSING ID"),1)),0)=1,IF(B1284=IFERROR(INDEX('Crafting recipes'!$H$6:$H$1005,MATCH(J1284,'Crafting recipes'!$A$6:$A$1005,0)),"MISSING ID"),"Advances one material tier","Lower-tier ingredient; route advances one tier"),"Needs tier review"))))))</x:f>
        <x:v>Finished endpoint</x:v>
      </x:c>
      <x:c r="S1284" s="4" t="str">
        <x:f>IFERROR(INDEX('Material routes'!$D$6:$D$2205,MATCH(U1284,'Material routes'!$A$6:$A$2205,0)),"MISSING ID")</x:f>
        <x:v>proposal.t4.grounding_harness</x:v>
      </x:c>
      <x:c r="T1284" s="4" t="str">
        <x:f>IFERROR(INDEX('Material routes'!$D$6:$D$2205,MATCH(V1284,'Material routes'!$A$6:$A$2205,0)),"MISSING ID")</x:f>
        <x:v>author.electrical.static_enhancer</x:v>
      </x:c>
      <x:c r="U1284" s="4" t="str">
        <x:v>design.audit.author_electrical_static_enhancer.audit.in.5</x:v>
      </x:c>
      <x:c r="V1284" s="4" t="str">
        <x:v>design.audit.author_electrical_static_enhancer.audit.out</x:v>
      </x:c>
    </x:row>
    <x:row r="1285" ht="64" customHeight="1">
      <x:c r="A1285" s="4" t="str">
        <x:f>IFERROR(INDEX('Material routes'!$E$6:$E$2205,MATCH(U1285,'Material routes'!$A$6:$A$2205,0)),"MISSING ID")</x:f>
        <x:v>Fitted machine casing</x:v>
      </x:c>
      <x:c r="B1285" s="4" t="str">
        <x:f>IFERROR(INDEX('Material routes'!$F$6:$F$2205,MATCH(U1285,'Material routes'!$A$6:$A$2205,0)),"MISSING ID")</x:f>
        <x:v>T3</x:v>
      </x:c>
      <x:c r="C1285" s="4" t="str">
        <x:f>IFERROR(INDEX('Material routes'!$H$6:$H$2205,MATCH(U1285,'Material routes'!$A$6:$A$2205,0)),"MISSING ID")</x:f>
        <x:v>Crafting component</x:v>
      </x:c>
      <x:c r="D1285" s="4" t="str">
        <x:f>IFERROR(INDEX('Material routes'!$G$6:$G$2205,MATCH(U1285,'Material routes'!$A$6:$A$2205,0)),"MISSING ID")</x:f>
        <x:v>Crafting components</x:v>
      </x:c>
      <x:c r="E1285" s="4" t="str">
        <x:f>IFERROR(INDEX('Material routes'!$C$6:$C$2205,MATCH(U1285,'Material routes'!$A$6:$A$2205,0)),"MISSING ID")</x:f>
        <x:v>Ingredient candidate</x:v>
      </x:c>
      <x:c r="F1285" s="4" t="str">
        <x:f>IFERROR(INDEX('Material routes'!$E$6:$E$2205,MATCH(V1285,'Material routes'!$A$6:$A$2205,0)),"MISSING ID")</x:f>
        <x:v>Static-electricity field disruptor</x:v>
      </x:c>
      <x:c r="G1285" s="4" t="str">
        <x:f>IFERROR(INDEX('Material routes'!$F$6:$F$2205,MATCH(V1285,'Material routes'!$A$6:$A$2205,0)),"MISSING ID")</x:f>
        <x:v>Not applicable</x:v>
      </x:c>
      <x:c r="H1285" s="4" t="str">
        <x:f>IFERROR(INDEX('Material routes'!$H$6:$H$2205,MATCH(V1285,'Material routes'!$A$6:$A$2205,0)),"MISSING ID")</x:f>
        <x:v>Tool</x:v>
      </x:c>
      <x:c r="I1285" s="4" t="str">
        <x:f>IFERROR(INDEX('Material routes'!$G$6:$G$2205,MATCH(V1285,'Material routes'!$A$6:$A$2205,0)),"MISSING ID")</x:f>
        <x:v>Tools</x:v>
      </x:c>
      <x:c r="J1285" s="4" t="str">
        <x:f>IFERROR(INDEX('Material routes'!$B$6:$B$2205,MATCH(U1285,'Material routes'!$A$6:$A$2205,0)),"MISSING ID")</x:f>
        <x:v>design.audit.author_electrical_static_disruptor</x:v>
      </x:c>
      <x:c r="K1285" s="4" t="str">
        <x:f>IFERROR(INDEX('Crafting recipes'!$C$6:$C$1005,MATCH(J1285,'Crafting recipes'!$A$6:$A$1005,0)),"MISSING ID")</x:f>
        <x:v>Finished-item crafting</x:v>
      </x:c>
      <x:c r="L1285" s="4" t="str">
        <x:f>IFERROR(INDEX('Material routes'!$K$6:$K$2205,MATCH(U1285,'Material routes'!$A$6:$A$2205,0)),"MISSING ID")</x:f>
        <x:v>Proposal</x:v>
      </x:c>
      <x:c r="M1285" s="4" t="str">
        <x:f>IFERROR(INDEX('Material routes'!$M$6:$M$2205,MATCH(U1285,'Material routes'!$A$6:$A$2205,0)),"MISSING ID")</x:f>
        <x:v>Partial proposal</x:v>
      </x:c>
      <x:c r="N1285" s="4"/>
      <x:c r="O1285" s="4" t="str">
        <x:f>IFERROR(INDEX('Material routes'!$J$6:$J$2205,MATCH(U1285,'Material routes'!$A$6:$A$2205,0)),"MISSING ID")</x:f>
        <x:v>Unspecified</x:v>
      </x:c>
      <x:c r="P1285" s="4"/>
      <x:c r="Q1285" s="4" t="str">
        <x:f>IFERROR(INDEX('Material routes'!$J$6:$J$2205,MATCH(V1285,'Material routes'!$A$6:$A$2205,0)),"MISSING ID")</x:f>
        <x:v>Unspecified</x:v>
      </x:c>
      <x:c r="R1285" s="4" t="str">
        <x:f>IF(L1285="Withheld","Withheld premise",IF(E1285="Tool candidate","Reusable prerequisite",IF(K1285="Raw entry preparation","Entry-resource preparation",IF(G1285="Not applicable",IF(IFERROR(INDEX('Items'!$AI$6:$AI$1005,MATCH(T1285,'Items'!$A$6:$A$1005,0)),"MISSING ID")="Finished item","Finished endpoint",IF(IFERROR(INDEX('Items'!$AI$6:$AI$1005,MATCH(T1285,'Items'!$A$6:$A$1005,0)),"MISSING ID")="Currency","Currency / no refinement tier","Recovered output / tier not applicable")),IF(OR(IFERROR(INDEX('Crafting recipes'!$H$6:$H$1005,MATCH(J1285,'Crafting recipes'!$A$6:$A$1005,0)),"MISSING ID")="Unassigned",G1285="Unassigned"),"Tier unresolved",IF(IFERROR(VALUE(RIGHT(G1285,1))-VALUE(RIGHT(IFERROR(INDEX('Crafting recipes'!$H$6:$H$1005,MATCH(J1285,'Crafting recipes'!$A$6:$A$1005,0)),"MISSING ID"),1)),0)=1,IF(B1285=IFERROR(INDEX('Crafting recipes'!$H$6:$H$1005,MATCH(J1285,'Crafting recipes'!$A$6:$A$1005,0)),"MISSING ID"),"Advances one material tier","Lower-tier ingredient; route advances one tier"),"Needs tier review"))))))</x:f>
        <x:v>Finished endpoint</x:v>
      </x:c>
      <x:c r="S1285" s="4" t="str">
        <x:f>IFERROR(INDEX('Material routes'!$D$6:$D$2205,MATCH(U1285,'Material routes'!$A$6:$A$2205,0)),"MISSING ID")</x:f>
        <x:v>proposal.audit.fitted_machine_casing</x:v>
      </x:c>
      <x:c r="T1285" s="4" t="str">
        <x:f>IFERROR(INDEX('Material routes'!$D$6:$D$2205,MATCH(V1285,'Material routes'!$A$6:$A$2205,0)),"MISSING ID")</x:f>
        <x:v>author.electrical.static_disruptor</x:v>
      </x:c>
      <x:c r="U1285" s="4" t="str">
        <x:v>design.audit.author_electrical_static_disruptor.audit.in.1</x:v>
      </x:c>
      <x:c r="V1285" s="4" t="str">
        <x:v>design.audit.author_electrical_static_disruptor.audit.out</x:v>
      </x:c>
    </x:row>
    <x:row r="1286" ht="64" customHeight="1">
      <x:c r="A1286" s="4" t="str">
        <x:f>IFERROR(INDEX('Material routes'!$E$6:$E$2205,MATCH(U1286,'Material routes'!$A$6:$A$2205,0)),"MISSING ID")</x:f>
        <x:v>Serviceable insulated contact block</x:v>
      </x:c>
      <x:c r="B1286" s="4" t="str">
        <x:f>IFERROR(INDEX('Material routes'!$F$6:$F$2205,MATCH(U1286,'Material routes'!$A$6:$A$2205,0)),"MISSING ID")</x:f>
        <x:v>T4</x:v>
      </x:c>
      <x:c r="C1286" s="4" t="str">
        <x:f>IFERROR(INDEX('Material routes'!$H$6:$H$2205,MATCH(U1286,'Material routes'!$A$6:$A$2205,0)),"MISSING ID")</x:f>
        <x:v>Crafting component</x:v>
      </x:c>
      <x:c r="D1286" s="4" t="str">
        <x:f>IFERROR(INDEX('Material routes'!$G$6:$G$2205,MATCH(U1286,'Material routes'!$A$6:$A$2205,0)),"MISSING ID")</x:f>
        <x:v>Crafting components</x:v>
      </x:c>
      <x:c r="E1286" s="4" t="str">
        <x:f>IFERROR(INDEX('Material routes'!$C$6:$C$2205,MATCH(U1286,'Material routes'!$A$6:$A$2205,0)),"MISSING ID")</x:f>
        <x:v>Ingredient candidate</x:v>
      </x:c>
      <x:c r="F1286" s="4" t="str">
        <x:f>IFERROR(INDEX('Material routes'!$E$6:$E$2205,MATCH(V1286,'Material routes'!$A$6:$A$2205,0)),"MISSING ID")</x:f>
        <x:v>Static-electricity field disruptor</x:v>
      </x:c>
      <x:c r="G1286" s="4" t="str">
        <x:f>IFERROR(INDEX('Material routes'!$F$6:$F$2205,MATCH(V1286,'Material routes'!$A$6:$A$2205,0)),"MISSING ID")</x:f>
        <x:v>Not applicable</x:v>
      </x:c>
      <x:c r="H1286" s="4" t="str">
        <x:f>IFERROR(INDEX('Material routes'!$H$6:$H$2205,MATCH(V1286,'Material routes'!$A$6:$A$2205,0)),"MISSING ID")</x:f>
        <x:v>Tool</x:v>
      </x:c>
      <x:c r="I1286" s="4" t="str">
        <x:f>IFERROR(INDEX('Material routes'!$G$6:$G$2205,MATCH(V1286,'Material routes'!$A$6:$A$2205,0)),"MISSING ID")</x:f>
        <x:v>Tools</x:v>
      </x:c>
      <x:c r="J1286" s="4" t="str">
        <x:f>IFERROR(INDEX('Material routes'!$B$6:$B$2205,MATCH(U1286,'Material routes'!$A$6:$A$2205,0)),"MISSING ID")</x:f>
        <x:v>design.audit.author_electrical_static_disruptor</x:v>
      </x:c>
      <x:c r="K1286" s="4" t="str">
        <x:f>IFERROR(INDEX('Crafting recipes'!$C$6:$C$1005,MATCH(J1286,'Crafting recipes'!$A$6:$A$1005,0)),"MISSING ID")</x:f>
        <x:v>Finished-item crafting</x:v>
      </x:c>
      <x:c r="L1286" s="4" t="str">
        <x:f>IFERROR(INDEX('Material routes'!$K$6:$K$2205,MATCH(U1286,'Material routes'!$A$6:$A$2205,0)),"MISSING ID")</x:f>
        <x:v>Proposal</x:v>
      </x:c>
      <x:c r="M1286" s="4" t="str">
        <x:f>IFERROR(INDEX('Material routes'!$M$6:$M$2205,MATCH(U1286,'Material routes'!$A$6:$A$2205,0)),"MISSING ID")</x:f>
        <x:v>Partial proposal</x:v>
      </x:c>
      <x:c r="N1286" s="4"/>
      <x:c r="O1286" s="4" t="str">
        <x:f>IFERROR(INDEX('Material routes'!$J$6:$J$2205,MATCH(U1286,'Material routes'!$A$6:$A$2205,0)),"MISSING ID")</x:f>
        <x:v>Unspecified</x:v>
      </x:c>
      <x:c r="P1286" s="4"/>
      <x:c r="Q1286" s="4" t="str">
        <x:f>IFERROR(INDEX('Material routes'!$J$6:$J$2205,MATCH(V1286,'Material routes'!$A$6:$A$2205,0)),"MISSING ID")</x:f>
        <x:v>Unspecified</x:v>
      </x:c>
      <x:c r="R1286" s="4" t="str">
        <x:f>IF(L1286="Withheld","Withheld premise",IF(E1286="Tool candidate","Reusable prerequisite",IF(K1286="Raw entry preparation","Entry-resource preparation",IF(G1286="Not applicable",IF(IFERROR(INDEX('Items'!$AI$6:$AI$1005,MATCH(T1286,'Items'!$A$6:$A$1005,0)),"MISSING ID")="Finished item","Finished endpoint",IF(IFERROR(INDEX('Items'!$AI$6:$AI$1005,MATCH(T1286,'Items'!$A$6:$A$1005,0)),"MISSING ID")="Currency","Currency / no refinement tier","Recovered output / tier not applicable")),IF(OR(IFERROR(INDEX('Crafting recipes'!$H$6:$H$1005,MATCH(J1286,'Crafting recipes'!$A$6:$A$1005,0)),"MISSING ID")="Unassigned",G1286="Unassigned"),"Tier unresolved",IF(IFERROR(VALUE(RIGHT(G1286,1))-VALUE(RIGHT(IFERROR(INDEX('Crafting recipes'!$H$6:$H$1005,MATCH(J1286,'Crafting recipes'!$A$6:$A$1005,0)),"MISSING ID"),1)),0)=1,IF(B1286=IFERROR(INDEX('Crafting recipes'!$H$6:$H$1005,MATCH(J1286,'Crafting recipes'!$A$6:$A$1005,0)),"MISSING ID"),"Advances one material tier","Lower-tier ingredient; route advances one tier"),"Needs tier review"))))))</x:f>
        <x:v>Finished endpoint</x:v>
      </x:c>
      <x:c r="S1286" s="4" t="str">
        <x:f>IFERROR(INDEX('Material routes'!$D$6:$D$2205,MATCH(U1286,'Material routes'!$A$6:$A$2205,0)),"MISSING ID")</x:f>
        <x:v>proposal.t4.contact_block</x:v>
      </x:c>
      <x:c r="T1286" s="4" t="str">
        <x:f>IFERROR(INDEX('Material routes'!$D$6:$D$2205,MATCH(V1286,'Material routes'!$A$6:$A$2205,0)),"MISSING ID")</x:f>
        <x:v>author.electrical.static_disruptor</x:v>
      </x:c>
      <x:c r="U1286" s="4" t="str">
        <x:v>design.audit.author_electrical_static_disruptor.audit.in.2</x:v>
      </x:c>
      <x:c r="V1286" s="4" t="str">
        <x:v>design.audit.author_electrical_static_disruptor.audit.out</x:v>
      </x:c>
    </x:row>
    <x:row r="1287" ht="64" customHeight="1">
      <x:c r="A1287" s="4" t="str">
        <x:f>IFERROR(INDEX('Material routes'!$E$6:$E$2205,MATCH(U1287,'Material routes'!$A$6:$A$2205,0)),"MISSING ID")</x:f>
        <x:v>Ceramic-backed control switch</x:v>
      </x:c>
      <x:c r="B1287" s="4" t="str">
        <x:f>IFERROR(INDEX('Material routes'!$F$6:$F$2205,MATCH(U1287,'Material routes'!$A$6:$A$2205,0)),"MISSING ID")</x:f>
        <x:v>T4</x:v>
      </x:c>
      <x:c r="C1287" s="4" t="str">
        <x:f>IFERROR(INDEX('Material routes'!$H$6:$H$2205,MATCH(U1287,'Material routes'!$A$6:$A$2205,0)),"MISSING ID")</x:f>
        <x:v>Crafting component</x:v>
      </x:c>
      <x:c r="D1287" s="4" t="str">
        <x:f>IFERROR(INDEX('Material routes'!$G$6:$G$2205,MATCH(U1287,'Material routes'!$A$6:$A$2205,0)),"MISSING ID")</x:f>
        <x:v>Crafting components</x:v>
      </x:c>
      <x:c r="E1287" s="4" t="str">
        <x:f>IFERROR(INDEX('Material routes'!$C$6:$C$2205,MATCH(U1287,'Material routes'!$A$6:$A$2205,0)),"MISSING ID")</x:f>
        <x:v>Ingredient candidate</x:v>
      </x:c>
      <x:c r="F1287" s="4" t="str">
        <x:f>IFERROR(INDEX('Material routes'!$E$6:$E$2205,MATCH(V1287,'Material routes'!$A$6:$A$2205,0)),"MISSING ID")</x:f>
        <x:v>Static-electricity field disruptor</x:v>
      </x:c>
      <x:c r="G1287" s="4" t="str">
        <x:f>IFERROR(INDEX('Material routes'!$F$6:$F$2205,MATCH(V1287,'Material routes'!$A$6:$A$2205,0)),"MISSING ID")</x:f>
        <x:v>Not applicable</x:v>
      </x:c>
      <x:c r="H1287" s="4" t="str">
        <x:f>IFERROR(INDEX('Material routes'!$H$6:$H$2205,MATCH(V1287,'Material routes'!$A$6:$A$2205,0)),"MISSING ID")</x:f>
        <x:v>Tool</x:v>
      </x:c>
      <x:c r="I1287" s="4" t="str">
        <x:f>IFERROR(INDEX('Material routes'!$G$6:$G$2205,MATCH(V1287,'Material routes'!$A$6:$A$2205,0)),"MISSING ID")</x:f>
        <x:v>Tools</x:v>
      </x:c>
      <x:c r="J1287" s="4" t="str">
        <x:f>IFERROR(INDEX('Material routes'!$B$6:$B$2205,MATCH(U1287,'Material routes'!$A$6:$A$2205,0)),"MISSING ID")</x:f>
        <x:v>design.audit.author_electrical_static_disruptor</x:v>
      </x:c>
      <x:c r="K1287" s="4" t="str">
        <x:f>IFERROR(INDEX('Crafting recipes'!$C$6:$C$1005,MATCH(J1287,'Crafting recipes'!$A$6:$A$1005,0)),"MISSING ID")</x:f>
        <x:v>Finished-item crafting</x:v>
      </x:c>
      <x:c r="L1287" s="4" t="str">
        <x:f>IFERROR(INDEX('Material routes'!$K$6:$K$2205,MATCH(U1287,'Material routes'!$A$6:$A$2205,0)),"MISSING ID")</x:f>
        <x:v>Proposal</x:v>
      </x:c>
      <x:c r="M1287" s="4" t="str">
        <x:f>IFERROR(INDEX('Material routes'!$M$6:$M$2205,MATCH(U1287,'Material routes'!$A$6:$A$2205,0)),"MISSING ID")</x:f>
        <x:v>Partial proposal</x:v>
      </x:c>
      <x:c r="N1287" s="4"/>
      <x:c r="O1287" s="4" t="str">
        <x:f>IFERROR(INDEX('Material routes'!$J$6:$J$2205,MATCH(U1287,'Material routes'!$A$6:$A$2205,0)),"MISSING ID")</x:f>
        <x:v>Unspecified</x:v>
      </x:c>
      <x:c r="P1287" s="4"/>
      <x:c r="Q1287" s="4" t="str">
        <x:f>IFERROR(INDEX('Material routes'!$J$6:$J$2205,MATCH(V1287,'Material routes'!$A$6:$A$2205,0)),"MISSING ID")</x:f>
        <x:v>Unspecified</x:v>
      </x:c>
      <x:c r="R1287" s="4" t="str">
        <x:f>IF(L1287="Withheld","Withheld premise",IF(E1287="Tool candidate","Reusable prerequisite",IF(K1287="Raw entry preparation","Entry-resource preparation",IF(G1287="Not applicable",IF(IFERROR(INDEX('Items'!$AI$6:$AI$1005,MATCH(T1287,'Items'!$A$6:$A$1005,0)),"MISSING ID")="Finished item","Finished endpoint",IF(IFERROR(INDEX('Items'!$AI$6:$AI$1005,MATCH(T1287,'Items'!$A$6:$A$1005,0)),"MISSING ID")="Currency","Currency / no refinement tier","Recovered output / tier not applicable")),IF(OR(IFERROR(INDEX('Crafting recipes'!$H$6:$H$1005,MATCH(J1287,'Crafting recipes'!$A$6:$A$1005,0)),"MISSING ID")="Unassigned",G1287="Unassigned"),"Tier unresolved",IF(IFERROR(VALUE(RIGHT(G1287,1))-VALUE(RIGHT(IFERROR(INDEX('Crafting recipes'!$H$6:$H$1005,MATCH(J1287,'Crafting recipes'!$A$6:$A$1005,0)),"MISSING ID"),1)),0)=1,IF(B1287=IFERROR(INDEX('Crafting recipes'!$H$6:$H$1005,MATCH(J1287,'Crafting recipes'!$A$6:$A$1005,0)),"MISSING ID"),"Advances one material tier","Lower-tier ingredient; route advances one tier"),"Needs tier review"))))))</x:f>
        <x:v>Finished endpoint</x:v>
      </x:c>
      <x:c r="S1287" s="4" t="str">
        <x:f>IFERROR(INDEX('Material routes'!$D$6:$D$2205,MATCH(U1287,'Material routes'!$A$6:$A$2205,0)),"MISSING ID")</x:f>
        <x:v>proposal.audit.ceramic_backed_control_switch</x:v>
      </x:c>
      <x:c r="T1287" s="4" t="str">
        <x:f>IFERROR(INDEX('Material routes'!$D$6:$D$2205,MATCH(V1287,'Material routes'!$A$6:$A$2205,0)),"MISSING ID")</x:f>
        <x:v>author.electrical.static_disruptor</x:v>
      </x:c>
      <x:c r="U1287" s="4" t="str">
        <x:v>design.audit.author_electrical_static_disruptor.audit.in.3</x:v>
      </x:c>
      <x:c r="V1287" s="4" t="str">
        <x:v>design.audit.author_electrical_static_disruptor.audit.out</x:v>
      </x:c>
    </x:row>
    <x:row r="1288" ht="64" customHeight="1">
      <x:c r="A1288" s="4" t="str">
        <x:f>IFERROR(INDEX('Material routes'!$E$6:$E$2205,MATCH(U1288,'Material routes'!$A$6:$A$2205,0)),"MISSING ID")</x:f>
        <x:v>Ceramic-dielectric pulse bank</x:v>
      </x:c>
      <x:c r="B1288" s="4" t="str">
        <x:f>IFERROR(INDEX('Material routes'!$F$6:$F$2205,MATCH(U1288,'Material routes'!$A$6:$A$2205,0)),"MISSING ID")</x:f>
        <x:v>Not applicable</x:v>
      </x:c>
      <x:c r="C1288" s="4" t="str">
        <x:f>IFERROR(INDEX('Material routes'!$H$6:$H$2205,MATCH(U1288,'Material routes'!$A$6:$A$2205,0)),"MISSING ID")</x:f>
        <x:v>Energy storage</x:v>
      </x:c>
      <x:c r="D1288" s="4" t="str">
        <x:f>IFERROR(INDEX('Material routes'!$G$6:$G$2205,MATCH(U1288,'Material routes'!$A$6:$A$2205,0)),"MISSING ID")</x:f>
        <x:v>Crafting components</x:v>
      </x:c>
      <x:c r="E1288" s="4" t="str">
        <x:f>IFERROR(INDEX('Material routes'!$C$6:$C$2205,MATCH(U1288,'Material routes'!$A$6:$A$2205,0)),"MISSING ID")</x:f>
        <x:v>Ingredient candidate</x:v>
      </x:c>
      <x:c r="F1288" s="4" t="str">
        <x:f>IFERROR(INDEX('Material routes'!$E$6:$E$2205,MATCH(V1288,'Material routes'!$A$6:$A$2205,0)),"MISSING ID")</x:f>
        <x:v>Static-electricity field disruptor</x:v>
      </x:c>
      <x:c r="G1288" s="4" t="str">
        <x:f>IFERROR(INDEX('Material routes'!$F$6:$F$2205,MATCH(V1288,'Material routes'!$A$6:$A$2205,0)),"MISSING ID")</x:f>
        <x:v>Not applicable</x:v>
      </x:c>
      <x:c r="H1288" s="4" t="str">
        <x:f>IFERROR(INDEX('Material routes'!$H$6:$H$2205,MATCH(V1288,'Material routes'!$A$6:$A$2205,0)),"MISSING ID")</x:f>
        <x:v>Tool</x:v>
      </x:c>
      <x:c r="I1288" s="4" t="str">
        <x:f>IFERROR(INDEX('Material routes'!$G$6:$G$2205,MATCH(V1288,'Material routes'!$A$6:$A$2205,0)),"MISSING ID")</x:f>
        <x:v>Tools</x:v>
      </x:c>
      <x:c r="J1288" s="4" t="str">
        <x:f>IFERROR(INDEX('Material routes'!$B$6:$B$2205,MATCH(U1288,'Material routes'!$A$6:$A$2205,0)),"MISSING ID")</x:f>
        <x:v>design.audit.author_electrical_static_disruptor</x:v>
      </x:c>
      <x:c r="K1288" s="4" t="str">
        <x:f>IFERROR(INDEX('Crafting recipes'!$C$6:$C$1005,MATCH(J1288,'Crafting recipes'!$A$6:$A$1005,0)),"MISSING ID")</x:f>
        <x:v>Finished-item crafting</x:v>
      </x:c>
      <x:c r="L1288" s="4" t="str">
        <x:f>IFERROR(INDEX('Material routes'!$K$6:$K$2205,MATCH(U1288,'Material routes'!$A$6:$A$2205,0)),"MISSING ID")</x:f>
        <x:v>Proposal</x:v>
      </x:c>
      <x:c r="M1288" s="4" t="str">
        <x:f>IFERROR(INDEX('Material routes'!$M$6:$M$2205,MATCH(U1288,'Material routes'!$A$6:$A$2205,0)),"MISSING ID")</x:f>
        <x:v>Partial proposal</x:v>
      </x:c>
      <x:c r="N1288" s="4"/>
      <x:c r="O1288" s="4" t="str">
        <x:f>IFERROR(INDEX('Material routes'!$J$6:$J$2205,MATCH(U1288,'Material routes'!$A$6:$A$2205,0)),"MISSING ID")</x:f>
        <x:v>Unspecified</x:v>
      </x:c>
      <x:c r="P1288" s="4"/>
      <x:c r="Q1288" s="4" t="str">
        <x:f>IFERROR(INDEX('Material routes'!$J$6:$J$2205,MATCH(V1288,'Material routes'!$A$6:$A$2205,0)),"MISSING ID")</x:f>
        <x:v>Unspecified</x:v>
      </x:c>
      <x:c r="R1288" s="4" t="str">
        <x:f>IF(L1288="Withheld","Withheld premise",IF(E1288="Tool candidate","Reusable prerequisite",IF(K1288="Raw entry preparation","Entry-resource preparation",IF(G1288="Not applicable",IF(IFERROR(INDEX('Items'!$AI$6:$AI$1005,MATCH(T1288,'Items'!$A$6:$A$1005,0)),"MISSING ID")="Finished item","Finished endpoint",IF(IFERROR(INDEX('Items'!$AI$6:$AI$1005,MATCH(T1288,'Items'!$A$6:$A$1005,0)),"MISSING ID")="Currency","Currency / no refinement tier","Recovered output / tier not applicable")),IF(OR(IFERROR(INDEX('Crafting recipes'!$H$6:$H$1005,MATCH(J1288,'Crafting recipes'!$A$6:$A$1005,0)),"MISSING ID")="Unassigned",G1288="Unassigned"),"Tier unresolved",IF(IFERROR(VALUE(RIGHT(G1288,1))-VALUE(RIGHT(IFERROR(INDEX('Crafting recipes'!$H$6:$H$1005,MATCH(J1288,'Crafting recipes'!$A$6:$A$1005,0)),"MISSING ID"),1)),0)=1,IF(B1288=IFERROR(INDEX('Crafting recipes'!$H$6:$H$1005,MATCH(J1288,'Crafting recipes'!$A$6:$A$1005,0)),"MISSING ID"),"Advances one material tier","Lower-tier ingredient; route advances one tier"),"Needs tier review"))))))</x:f>
        <x:v>Finished endpoint</x:v>
      </x:c>
      <x:c r="S1288" s="4" t="str">
        <x:f>IFERROR(INDEX('Material routes'!$D$6:$D$2205,MATCH(U1288,'Material routes'!$A$6:$A$2205,0)),"MISSING ID")</x:f>
        <x:v>proposal.collection.ceramic_dielectric_pulse_bank</x:v>
      </x:c>
      <x:c r="T1288" s="4" t="str">
        <x:f>IFERROR(INDEX('Material routes'!$D$6:$D$2205,MATCH(V1288,'Material routes'!$A$6:$A$2205,0)),"MISSING ID")</x:f>
        <x:v>author.electrical.static_disruptor</x:v>
      </x:c>
      <x:c r="U1288" s="4" t="str">
        <x:v>design.audit.author_electrical_static_disruptor.audit.in.4</x:v>
      </x:c>
      <x:c r="V1288" s="4" t="str">
        <x:v>design.audit.author_electrical_static_disruptor.audit.out</x:v>
      </x:c>
    </x:row>
    <x:row r="1289" ht="64" customHeight="1">
      <x:c r="A1289" s="4" t="str">
        <x:f>IFERROR(INDEX('Material routes'!$E$6:$E$2205,MATCH(U1289,'Material routes'!$A$6:$A$2205,0)),"MISSING ID")</x:f>
        <x:v>Terminated grounding harness</x:v>
      </x:c>
      <x:c r="B1289" s="4" t="str">
        <x:f>IFERROR(INDEX('Material routes'!$F$6:$F$2205,MATCH(U1289,'Material routes'!$A$6:$A$2205,0)),"MISSING ID")</x:f>
        <x:v>T4</x:v>
      </x:c>
      <x:c r="C1289" s="4" t="str">
        <x:f>IFERROR(INDEX('Material routes'!$H$6:$H$2205,MATCH(U1289,'Material routes'!$A$6:$A$2205,0)),"MISSING ID")</x:f>
        <x:v>Crafting component</x:v>
      </x:c>
      <x:c r="D1289" s="4" t="str">
        <x:f>IFERROR(INDEX('Material routes'!$G$6:$G$2205,MATCH(U1289,'Material routes'!$A$6:$A$2205,0)),"MISSING ID")</x:f>
        <x:v>Crafting components</x:v>
      </x:c>
      <x:c r="E1289" s="4" t="str">
        <x:f>IFERROR(INDEX('Material routes'!$C$6:$C$2205,MATCH(U1289,'Material routes'!$A$6:$A$2205,0)),"MISSING ID")</x:f>
        <x:v>Ingredient candidate</x:v>
      </x:c>
      <x:c r="F1289" s="4" t="str">
        <x:f>IFERROR(INDEX('Material routes'!$E$6:$E$2205,MATCH(V1289,'Material routes'!$A$6:$A$2205,0)),"MISSING ID")</x:f>
        <x:v>Static-electricity field disruptor</x:v>
      </x:c>
      <x:c r="G1289" s="4" t="str">
        <x:f>IFERROR(INDEX('Material routes'!$F$6:$F$2205,MATCH(V1289,'Material routes'!$A$6:$A$2205,0)),"MISSING ID")</x:f>
        <x:v>Not applicable</x:v>
      </x:c>
      <x:c r="H1289" s="4" t="str">
        <x:f>IFERROR(INDEX('Material routes'!$H$6:$H$2205,MATCH(V1289,'Material routes'!$A$6:$A$2205,0)),"MISSING ID")</x:f>
        <x:v>Tool</x:v>
      </x:c>
      <x:c r="I1289" s="4" t="str">
        <x:f>IFERROR(INDEX('Material routes'!$G$6:$G$2205,MATCH(V1289,'Material routes'!$A$6:$A$2205,0)),"MISSING ID")</x:f>
        <x:v>Tools</x:v>
      </x:c>
      <x:c r="J1289" s="4" t="str">
        <x:f>IFERROR(INDEX('Material routes'!$B$6:$B$2205,MATCH(U1289,'Material routes'!$A$6:$A$2205,0)),"MISSING ID")</x:f>
        <x:v>design.audit.author_electrical_static_disruptor</x:v>
      </x:c>
      <x:c r="K1289" s="4" t="str">
        <x:f>IFERROR(INDEX('Crafting recipes'!$C$6:$C$1005,MATCH(J1289,'Crafting recipes'!$A$6:$A$1005,0)),"MISSING ID")</x:f>
        <x:v>Finished-item crafting</x:v>
      </x:c>
      <x:c r="L1289" s="4" t="str">
        <x:f>IFERROR(INDEX('Material routes'!$K$6:$K$2205,MATCH(U1289,'Material routes'!$A$6:$A$2205,0)),"MISSING ID")</x:f>
        <x:v>Proposal</x:v>
      </x:c>
      <x:c r="M1289" s="4" t="str">
        <x:f>IFERROR(INDEX('Material routes'!$M$6:$M$2205,MATCH(U1289,'Material routes'!$A$6:$A$2205,0)),"MISSING ID")</x:f>
        <x:v>Partial proposal</x:v>
      </x:c>
      <x:c r="N1289" s="4"/>
      <x:c r="O1289" s="4" t="str">
        <x:f>IFERROR(INDEX('Material routes'!$J$6:$J$2205,MATCH(U1289,'Material routes'!$A$6:$A$2205,0)),"MISSING ID")</x:f>
        <x:v>Unspecified</x:v>
      </x:c>
      <x:c r="P1289" s="4"/>
      <x:c r="Q1289" s="4" t="str">
        <x:f>IFERROR(INDEX('Material routes'!$J$6:$J$2205,MATCH(V1289,'Material routes'!$A$6:$A$2205,0)),"MISSING ID")</x:f>
        <x:v>Unspecified</x:v>
      </x:c>
      <x:c r="R1289" s="4" t="str">
        <x:f>IF(L1289="Withheld","Withheld premise",IF(E1289="Tool candidate","Reusable prerequisite",IF(K1289="Raw entry preparation","Entry-resource preparation",IF(G1289="Not applicable",IF(IFERROR(INDEX('Items'!$AI$6:$AI$1005,MATCH(T1289,'Items'!$A$6:$A$1005,0)),"MISSING ID")="Finished item","Finished endpoint",IF(IFERROR(INDEX('Items'!$AI$6:$AI$1005,MATCH(T1289,'Items'!$A$6:$A$1005,0)),"MISSING ID")="Currency","Currency / no refinement tier","Recovered output / tier not applicable")),IF(OR(IFERROR(INDEX('Crafting recipes'!$H$6:$H$1005,MATCH(J1289,'Crafting recipes'!$A$6:$A$1005,0)),"MISSING ID")="Unassigned",G1289="Unassigned"),"Tier unresolved",IF(IFERROR(VALUE(RIGHT(G1289,1))-VALUE(RIGHT(IFERROR(INDEX('Crafting recipes'!$H$6:$H$1005,MATCH(J1289,'Crafting recipes'!$A$6:$A$1005,0)),"MISSING ID"),1)),0)=1,IF(B1289=IFERROR(INDEX('Crafting recipes'!$H$6:$H$1005,MATCH(J1289,'Crafting recipes'!$A$6:$A$1005,0)),"MISSING ID"),"Advances one material tier","Lower-tier ingredient; route advances one tier"),"Needs tier review"))))))</x:f>
        <x:v>Finished endpoint</x:v>
      </x:c>
      <x:c r="S1289" s="4" t="str">
        <x:f>IFERROR(INDEX('Material routes'!$D$6:$D$2205,MATCH(U1289,'Material routes'!$A$6:$A$2205,0)),"MISSING ID")</x:f>
        <x:v>proposal.t4.grounding_harness</x:v>
      </x:c>
      <x:c r="T1289" s="4" t="str">
        <x:f>IFERROR(INDEX('Material routes'!$D$6:$D$2205,MATCH(V1289,'Material routes'!$A$6:$A$2205,0)),"MISSING ID")</x:f>
        <x:v>author.electrical.static_disruptor</x:v>
      </x:c>
      <x:c r="U1289" s="4" t="str">
        <x:v>design.audit.author_electrical_static_disruptor.audit.in.5</x:v>
      </x:c>
      <x:c r="V1289" s="4" t="str">
        <x:v>design.audit.author_electrical_static_disruptor.audit.out</x:v>
      </x:c>
    </x:row>
    <x:row r="1290" ht="64" customHeight="1">
      <x:c r="A1290" s="4" t="str">
        <x:f>IFERROR(INDEX('Material routes'!$E$6:$E$2205,MATCH(U1290,'Material routes'!$A$6:$A$2205,0)),"MISSING ID")</x:f>
        <x:v>Fitted machine casing</x:v>
      </x:c>
      <x:c r="B1290" s="4" t="str">
        <x:f>IFERROR(INDEX('Material routes'!$F$6:$F$2205,MATCH(U1290,'Material routes'!$A$6:$A$2205,0)),"MISSING ID")</x:f>
        <x:v>T3</x:v>
      </x:c>
      <x:c r="C1290" s="4" t="str">
        <x:f>IFERROR(INDEX('Material routes'!$H$6:$H$2205,MATCH(U1290,'Material routes'!$A$6:$A$2205,0)),"MISSING ID")</x:f>
        <x:v>Crafting component</x:v>
      </x:c>
      <x:c r="D1290" s="4" t="str">
        <x:f>IFERROR(INDEX('Material routes'!$G$6:$G$2205,MATCH(U1290,'Material routes'!$A$6:$A$2205,0)),"MISSING ID")</x:f>
        <x:v>Crafting components</x:v>
      </x:c>
      <x:c r="E1290" s="4" t="str">
        <x:f>IFERROR(INDEX('Material routes'!$C$6:$C$2205,MATCH(U1290,'Material routes'!$A$6:$A$2205,0)),"MISSING ID")</x:f>
        <x:v>Ingredient candidate</x:v>
      </x:c>
      <x:c r="F1290" s="4" t="str">
        <x:f>IFERROR(INDEX('Material routes'!$E$6:$E$2205,MATCH(V1290,'Material routes'!$A$6:$A$2205,0)),"MISSING ID")</x:f>
        <x:v>Arc ray gun</x:v>
      </x:c>
      <x:c r="G1290" s="4" t="str">
        <x:f>IFERROR(INDEX('Material routes'!$F$6:$F$2205,MATCH(V1290,'Material routes'!$A$6:$A$2205,0)),"MISSING ID")</x:f>
        <x:v>Not applicable</x:v>
      </x:c>
      <x:c r="H1290" s="4" t="str">
        <x:f>IFERROR(INDEX('Material routes'!$H$6:$H$2205,MATCH(V1290,'Material routes'!$A$6:$A$2205,0)),"MISSING ID")</x:f>
        <x:v>Weapon</x:v>
      </x:c>
      <x:c r="I1290" s="4" t="str">
        <x:f>IFERROR(INDEX('Material routes'!$G$6:$G$2205,MATCH(V1290,'Material routes'!$A$6:$A$2205,0)),"MISSING ID")</x:f>
        <x:v>Weapons</x:v>
      </x:c>
      <x:c r="J1290" s="4" t="str">
        <x:f>IFERROR(INDEX('Material routes'!$B$6:$B$2205,MATCH(U1290,'Material routes'!$A$6:$A$2205,0)),"MISSING ID")</x:f>
        <x:v>design.audit.author_electrical_arc_ray_gun</x:v>
      </x:c>
      <x:c r="K1290" s="4" t="str">
        <x:f>IFERROR(INDEX('Crafting recipes'!$C$6:$C$1005,MATCH(J1290,'Crafting recipes'!$A$6:$A$1005,0)),"MISSING ID")</x:f>
        <x:v>Finished-item crafting</x:v>
      </x:c>
      <x:c r="L1290" s="4" t="str">
        <x:f>IFERROR(INDEX('Material routes'!$K$6:$K$2205,MATCH(U1290,'Material routes'!$A$6:$A$2205,0)),"MISSING ID")</x:f>
        <x:v>Proposal</x:v>
      </x:c>
      <x:c r="M1290" s="4" t="str">
        <x:f>IFERROR(INDEX('Material routes'!$M$6:$M$2205,MATCH(U1290,'Material routes'!$A$6:$A$2205,0)),"MISSING ID")</x:f>
        <x:v>Partial proposal</x:v>
      </x:c>
      <x:c r="N1290" s="4"/>
      <x:c r="O1290" s="4" t="str">
        <x:f>IFERROR(INDEX('Material routes'!$J$6:$J$2205,MATCH(U1290,'Material routes'!$A$6:$A$2205,0)),"MISSING ID")</x:f>
        <x:v>Unspecified</x:v>
      </x:c>
      <x:c r="P1290" s="4"/>
      <x:c r="Q1290" s="4" t="str">
        <x:f>IFERROR(INDEX('Material routes'!$J$6:$J$2205,MATCH(V1290,'Material routes'!$A$6:$A$2205,0)),"MISSING ID")</x:f>
        <x:v>Unspecified</x:v>
      </x:c>
      <x:c r="R1290" s="4" t="str">
        <x:f>IF(L1290="Withheld","Withheld premise",IF(E1290="Tool candidate","Reusable prerequisite",IF(K1290="Raw entry preparation","Entry-resource preparation",IF(G1290="Not applicable",IF(IFERROR(INDEX('Items'!$AI$6:$AI$1005,MATCH(T1290,'Items'!$A$6:$A$1005,0)),"MISSING ID")="Finished item","Finished endpoint",IF(IFERROR(INDEX('Items'!$AI$6:$AI$1005,MATCH(T1290,'Items'!$A$6:$A$1005,0)),"MISSING ID")="Currency","Currency / no refinement tier","Recovered output / tier not applicable")),IF(OR(IFERROR(INDEX('Crafting recipes'!$H$6:$H$1005,MATCH(J1290,'Crafting recipes'!$A$6:$A$1005,0)),"MISSING ID")="Unassigned",G1290="Unassigned"),"Tier unresolved",IF(IFERROR(VALUE(RIGHT(G1290,1))-VALUE(RIGHT(IFERROR(INDEX('Crafting recipes'!$H$6:$H$1005,MATCH(J1290,'Crafting recipes'!$A$6:$A$1005,0)),"MISSING ID"),1)),0)=1,IF(B1290=IFERROR(INDEX('Crafting recipes'!$H$6:$H$1005,MATCH(J1290,'Crafting recipes'!$A$6:$A$1005,0)),"MISSING ID"),"Advances one material tier","Lower-tier ingredient; route advances one tier"),"Needs tier review"))))))</x:f>
        <x:v>Finished endpoint</x:v>
      </x:c>
      <x:c r="S1290" s="4" t="str">
        <x:f>IFERROR(INDEX('Material routes'!$D$6:$D$2205,MATCH(U1290,'Material routes'!$A$6:$A$2205,0)),"MISSING ID")</x:f>
        <x:v>proposal.audit.fitted_machine_casing</x:v>
      </x:c>
      <x:c r="T1290" s="4" t="str">
        <x:f>IFERROR(INDEX('Material routes'!$D$6:$D$2205,MATCH(V1290,'Material routes'!$A$6:$A$2205,0)),"MISSING ID")</x:f>
        <x:v>author.electrical.arc_ray_gun</x:v>
      </x:c>
      <x:c r="U1290" s="4" t="str">
        <x:v>design.audit.author_electrical_arc_ray_gun.audit.in.1</x:v>
      </x:c>
      <x:c r="V1290" s="4" t="str">
        <x:v>design.audit.author_electrical_arc_ray_gun.audit.out</x:v>
      </x:c>
    </x:row>
    <x:row r="1291" ht="64" customHeight="1">
      <x:c r="A1291" s="4" t="str">
        <x:f>IFERROR(INDEX('Material routes'!$E$6:$E$2205,MATCH(U1291,'Material routes'!$A$6:$A$2205,0)),"MISSING ID")</x:f>
        <x:v>Insulated winding subassembly</x:v>
      </x:c>
      <x:c r="B1291" s="4" t="str">
        <x:f>IFERROR(INDEX('Material routes'!$F$6:$F$2205,MATCH(U1291,'Material routes'!$A$6:$A$2205,0)),"MISSING ID")</x:f>
        <x:v>T4</x:v>
      </x:c>
      <x:c r="C1291" s="4" t="str">
        <x:f>IFERROR(INDEX('Material routes'!$H$6:$H$2205,MATCH(U1291,'Material routes'!$A$6:$A$2205,0)),"MISSING ID")</x:f>
        <x:v>Crafting component</x:v>
      </x:c>
      <x:c r="D1291" s="4" t="str">
        <x:f>IFERROR(INDEX('Material routes'!$G$6:$G$2205,MATCH(U1291,'Material routes'!$A$6:$A$2205,0)),"MISSING ID")</x:f>
        <x:v>Crafting components</x:v>
      </x:c>
      <x:c r="E1291" s="4" t="str">
        <x:f>IFERROR(INDEX('Material routes'!$C$6:$C$2205,MATCH(U1291,'Material routes'!$A$6:$A$2205,0)),"MISSING ID")</x:f>
        <x:v>Ingredient candidate</x:v>
      </x:c>
      <x:c r="F1291" s="4" t="str">
        <x:f>IFERROR(INDEX('Material routes'!$E$6:$E$2205,MATCH(V1291,'Material routes'!$A$6:$A$2205,0)),"MISSING ID")</x:f>
        <x:v>Arc ray gun</x:v>
      </x:c>
      <x:c r="G1291" s="4" t="str">
        <x:f>IFERROR(INDEX('Material routes'!$F$6:$F$2205,MATCH(V1291,'Material routes'!$A$6:$A$2205,0)),"MISSING ID")</x:f>
        <x:v>Not applicable</x:v>
      </x:c>
      <x:c r="H1291" s="4" t="str">
        <x:f>IFERROR(INDEX('Material routes'!$H$6:$H$2205,MATCH(V1291,'Material routes'!$A$6:$A$2205,0)),"MISSING ID")</x:f>
        <x:v>Weapon</x:v>
      </x:c>
      <x:c r="I1291" s="4" t="str">
        <x:f>IFERROR(INDEX('Material routes'!$G$6:$G$2205,MATCH(V1291,'Material routes'!$A$6:$A$2205,0)),"MISSING ID")</x:f>
        <x:v>Weapons</x:v>
      </x:c>
      <x:c r="J1291" s="4" t="str">
        <x:f>IFERROR(INDEX('Material routes'!$B$6:$B$2205,MATCH(U1291,'Material routes'!$A$6:$A$2205,0)),"MISSING ID")</x:f>
        <x:v>design.audit.author_electrical_arc_ray_gun</x:v>
      </x:c>
      <x:c r="K1291" s="4" t="str">
        <x:f>IFERROR(INDEX('Crafting recipes'!$C$6:$C$1005,MATCH(J1291,'Crafting recipes'!$A$6:$A$1005,0)),"MISSING ID")</x:f>
        <x:v>Finished-item crafting</x:v>
      </x:c>
      <x:c r="L1291" s="4" t="str">
        <x:f>IFERROR(INDEX('Material routes'!$K$6:$K$2205,MATCH(U1291,'Material routes'!$A$6:$A$2205,0)),"MISSING ID")</x:f>
        <x:v>Proposal</x:v>
      </x:c>
      <x:c r="M1291" s="4" t="str">
        <x:f>IFERROR(INDEX('Material routes'!$M$6:$M$2205,MATCH(U1291,'Material routes'!$A$6:$A$2205,0)),"MISSING ID")</x:f>
        <x:v>Partial proposal</x:v>
      </x:c>
      <x:c r="N1291" s="4"/>
      <x:c r="O1291" s="4" t="str">
        <x:f>IFERROR(INDEX('Material routes'!$J$6:$J$2205,MATCH(U1291,'Material routes'!$A$6:$A$2205,0)),"MISSING ID")</x:f>
        <x:v>Unspecified</x:v>
      </x:c>
      <x:c r="P1291" s="4"/>
      <x:c r="Q1291" s="4" t="str">
        <x:f>IFERROR(INDEX('Material routes'!$J$6:$J$2205,MATCH(V1291,'Material routes'!$A$6:$A$2205,0)),"MISSING ID")</x:f>
        <x:v>Unspecified</x:v>
      </x:c>
      <x:c r="R1291" s="4" t="str">
        <x:f>IF(L1291="Withheld","Withheld premise",IF(E1291="Tool candidate","Reusable prerequisite",IF(K1291="Raw entry preparation","Entry-resource preparation",IF(G1291="Not applicable",IF(IFERROR(INDEX('Items'!$AI$6:$AI$1005,MATCH(T1291,'Items'!$A$6:$A$1005,0)),"MISSING ID")="Finished item","Finished endpoint",IF(IFERROR(INDEX('Items'!$AI$6:$AI$1005,MATCH(T1291,'Items'!$A$6:$A$1005,0)),"MISSING ID")="Currency","Currency / no refinement tier","Recovered output / tier not applicable")),IF(OR(IFERROR(INDEX('Crafting recipes'!$H$6:$H$1005,MATCH(J1291,'Crafting recipes'!$A$6:$A$1005,0)),"MISSING ID")="Unassigned",G1291="Unassigned"),"Tier unresolved",IF(IFERROR(VALUE(RIGHT(G1291,1))-VALUE(RIGHT(IFERROR(INDEX('Crafting recipes'!$H$6:$H$1005,MATCH(J1291,'Crafting recipes'!$A$6:$A$1005,0)),"MISSING ID"),1)),0)=1,IF(B1291=IFERROR(INDEX('Crafting recipes'!$H$6:$H$1005,MATCH(J1291,'Crafting recipes'!$A$6:$A$1005,0)),"MISSING ID"),"Advances one material tier","Lower-tier ingredient; route advances one tier"),"Needs tier review"))))))</x:f>
        <x:v>Finished endpoint</x:v>
      </x:c>
      <x:c r="S1291" s="4" t="str">
        <x:f>IFERROR(INDEX('Material routes'!$D$6:$D$2205,MATCH(U1291,'Material routes'!$A$6:$A$2205,0)),"MISSING ID")</x:f>
        <x:v>proposal.t4.insulated_winding</x:v>
      </x:c>
      <x:c r="T1291" s="4" t="str">
        <x:f>IFERROR(INDEX('Material routes'!$D$6:$D$2205,MATCH(V1291,'Material routes'!$A$6:$A$2205,0)),"MISSING ID")</x:f>
        <x:v>author.electrical.arc_ray_gun</x:v>
      </x:c>
      <x:c r="U1291" s="4" t="str">
        <x:v>design.audit.author_electrical_arc_ray_gun.audit.in.2</x:v>
      </x:c>
      <x:c r="V1291" s="4" t="str">
        <x:v>design.audit.author_electrical_arc_ray_gun.audit.out</x:v>
      </x:c>
    </x:row>
    <x:row r="1292" ht="64" customHeight="1">
      <x:c r="A1292" s="4" t="str">
        <x:f>IFERROR(INDEX('Material routes'!$E$6:$E$2205,MATCH(U1292,'Material routes'!$A$6:$A$2205,0)),"MISSING ID")</x:f>
        <x:v>Serviceable insulated contact block</x:v>
      </x:c>
      <x:c r="B1292" s="4" t="str">
        <x:f>IFERROR(INDEX('Material routes'!$F$6:$F$2205,MATCH(U1292,'Material routes'!$A$6:$A$2205,0)),"MISSING ID")</x:f>
        <x:v>T4</x:v>
      </x:c>
      <x:c r="C1292" s="4" t="str">
        <x:f>IFERROR(INDEX('Material routes'!$H$6:$H$2205,MATCH(U1292,'Material routes'!$A$6:$A$2205,0)),"MISSING ID")</x:f>
        <x:v>Crafting component</x:v>
      </x:c>
      <x:c r="D1292" s="4" t="str">
        <x:f>IFERROR(INDEX('Material routes'!$G$6:$G$2205,MATCH(U1292,'Material routes'!$A$6:$A$2205,0)),"MISSING ID")</x:f>
        <x:v>Crafting components</x:v>
      </x:c>
      <x:c r="E1292" s="4" t="str">
        <x:f>IFERROR(INDEX('Material routes'!$C$6:$C$2205,MATCH(U1292,'Material routes'!$A$6:$A$2205,0)),"MISSING ID")</x:f>
        <x:v>Ingredient candidate</x:v>
      </x:c>
      <x:c r="F1292" s="4" t="str">
        <x:f>IFERROR(INDEX('Material routes'!$E$6:$E$2205,MATCH(V1292,'Material routes'!$A$6:$A$2205,0)),"MISSING ID")</x:f>
        <x:v>Arc ray gun</x:v>
      </x:c>
      <x:c r="G1292" s="4" t="str">
        <x:f>IFERROR(INDEX('Material routes'!$F$6:$F$2205,MATCH(V1292,'Material routes'!$A$6:$A$2205,0)),"MISSING ID")</x:f>
        <x:v>Not applicable</x:v>
      </x:c>
      <x:c r="H1292" s="4" t="str">
        <x:f>IFERROR(INDEX('Material routes'!$H$6:$H$2205,MATCH(V1292,'Material routes'!$A$6:$A$2205,0)),"MISSING ID")</x:f>
        <x:v>Weapon</x:v>
      </x:c>
      <x:c r="I1292" s="4" t="str">
        <x:f>IFERROR(INDEX('Material routes'!$G$6:$G$2205,MATCH(V1292,'Material routes'!$A$6:$A$2205,0)),"MISSING ID")</x:f>
        <x:v>Weapons</x:v>
      </x:c>
      <x:c r="J1292" s="4" t="str">
        <x:f>IFERROR(INDEX('Material routes'!$B$6:$B$2205,MATCH(U1292,'Material routes'!$A$6:$A$2205,0)),"MISSING ID")</x:f>
        <x:v>design.audit.author_electrical_arc_ray_gun</x:v>
      </x:c>
      <x:c r="K1292" s="4" t="str">
        <x:f>IFERROR(INDEX('Crafting recipes'!$C$6:$C$1005,MATCH(J1292,'Crafting recipes'!$A$6:$A$1005,0)),"MISSING ID")</x:f>
        <x:v>Finished-item crafting</x:v>
      </x:c>
      <x:c r="L1292" s="4" t="str">
        <x:f>IFERROR(INDEX('Material routes'!$K$6:$K$2205,MATCH(U1292,'Material routes'!$A$6:$A$2205,0)),"MISSING ID")</x:f>
        <x:v>Proposal</x:v>
      </x:c>
      <x:c r="M1292" s="4" t="str">
        <x:f>IFERROR(INDEX('Material routes'!$M$6:$M$2205,MATCH(U1292,'Material routes'!$A$6:$A$2205,0)),"MISSING ID")</x:f>
        <x:v>Partial proposal</x:v>
      </x:c>
      <x:c r="N1292" s="4"/>
      <x:c r="O1292" s="4" t="str">
        <x:f>IFERROR(INDEX('Material routes'!$J$6:$J$2205,MATCH(U1292,'Material routes'!$A$6:$A$2205,0)),"MISSING ID")</x:f>
        <x:v>Unspecified</x:v>
      </x:c>
      <x:c r="P1292" s="4"/>
      <x:c r="Q1292" s="4" t="str">
        <x:f>IFERROR(INDEX('Material routes'!$J$6:$J$2205,MATCH(V1292,'Material routes'!$A$6:$A$2205,0)),"MISSING ID")</x:f>
        <x:v>Unspecified</x:v>
      </x:c>
      <x:c r="R1292" s="4" t="str">
        <x:f>IF(L1292="Withheld","Withheld premise",IF(E1292="Tool candidate","Reusable prerequisite",IF(K1292="Raw entry preparation","Entry-resource preparation",IF(G1292="Not applicable",IF(IFERROR(INDEX('Items'!$AI$6:$AI$1005,MATCH(T1292,'Items'!$A$6:$A$1005,0)),"MISSING ID")="Finished item","Finished endpoint",IF(IFERROR(INDEX('Items'!$AI$6:$AI$1005,MATCH(T1292,'Items'!$A$6:$A$1005,0)),"MISSING ID")="Currency","Currency / no refinement tier","Recovered output / tier not applicable")),IF(OR(IFERROR(INDEX('Crafting recipes'!$H$6:$H$1005,MATCH(J1292,'Crafting recipes'!$A$6:$A$1005,0)),"MISSING ID")="Unassigned",G1292="Unassigned"),"Tier unresolved",IF(IFERROR(VALUE(RIGHT(G1292,1))-VALUE(RIGHT(IFERROR(INDEX('Crafting recipes'!$H$6:$H$1005,MATCH(J1292,'Crafting recipes'!$A$6:$A$1005,0)),"MISSING ID"),1)),0)=1,IF(B1292=IFERROR(INDEX('Crafting recipes'!$H$6:$H$1005,MATCH(J1292,'Crafting recipes'!$A$6:$A$1005,0)),"MISSING ID"),"Advances one material tier","Lower-tier ingredient; route advances one tier"),"Needs tier review"))))))</x:f>
        <x:v>Finished endpoint</x:v>
      </x:c>
      <x:c r="S1292" s="4" t="str">
        <x:f>IFERROR(INDEX('Material routes'!$D$6:$D$2205,MATCH(U1292,'Material routes'!$A$6:$A$2205,0)),"MISSING ID")</x:f>
        <x:v>proposal.t4.contact_block</x:v>
      </x:c>
      <x:c r="T1292" s="4" t="str">
        <x:f>IFERROR(INDEX('Material routes'!$D$6:$D$2205,MATCH(V1292,'Material routes'!$A$6:$A$2205,0)),"MISSING ID")</x:f>
        <x:v>author.electrical.arc_ray_gun</x:v>
      </x:c>
      <x:c r="U1292" s="4" t="str">
        <x:v>design.audit.author_electrical_arc_ray_gun.audit.in.3</x:v>
      </x:c>
      <x:c r="V1292" s="4" t="str">
        <x:v>design.audit.author_electrical_arc_ray_gun.audit.out</x:v>
      </x:c>
    </x:row>
    <x:row r="1293" ht="64" customHeight="1">
      <x:c r="A1293" s="4" t="str">
        <x:f>IFERROR(INDEX('Material routes'!$E$6:$E$2205,MATCH(U1293,'Material routes'!$A$6:$A$2205,0)),"MISSING ID")</x:f>
        <x:v>Ceramic-backed control switch</x:v>
      </x:c>
      <x:c r="B1293" s="4" t="str">
        <x:f>IFERROR(INDEX('Material routes'!$F$6:$F$2205,MATCH(U1293,'Material routes'!$A$6:$A$2205,0)),"MISSING ID")</x:f>
        <x:v>T4</x:v>
      </x:c>
      <x:c r="C1293" s="4" t="str">
        <x:f>IFERROR(INDEX('Material routes'!$H$6:$H$2205,MATCH(U1293,'Material routes'!$A$6:$A$2205,0)),"MISSING ID")</x:f>
        <x:v>Crafting component</x:v>
      </x:c>
      <x:c r="D1293" s="4" t="str">
        <x:f>IFERROR(INDEX('Material routes'!$G$6:$G$2205,MATCH(U1293,'Material routes'!$A$6:$A$2205,0)),"MISSING ID")</x:f>
        <x:v>Crafting components</x:v>
      </x:c>
      <x:c r="E1293" s="4" t="str">
        <x:f>IFERROR(INDEX('Material routes'!$C$6:$C$2205,MATCH(U1293,'Material routes'!$A$6:$A$2205,0)),"MISSING ID")</x:f>
        <x:v>Ingredient candidate</x:v>
      </x:c>
      <x:c r="F1293" s="4" t="str">
        <x:f>IFERROR(INDEX('Material routes'!$E$6:$E$2205,MATCH(V1293,'Material routes'!$A$6:$A$2205,0)),"MISSING ID")</x:f>
        <x:v>Arc ray gun</x:v>
      </x:c>
      <x:c r="G1293" s="4" t="str">
        <x:f>IFERROR(INDEX('Material routes'!$F$6:$F$2205,MATCH(V1293,'Material routes'!$A$6:$A$2205,0)),"MISSING ID")</x:f>
        <x:v>Not applicable</x:v>
      </x:c>
      <x:c r="H1293" s="4" t="str">
        <x:f>IFERROR(INDEX('Material routes'!$H$6:$H$2205,MATCH(V1293,'Material routes'!$A$6:$A$2205,0)),"MISSING ID")</x:f>
        <x:v>Weapon</x:v>
      </x:c>
      <x:c r="I1293" s="4" t="str">
        <x:f>IFERROR(INDEX('Material routes'!$G$6:$G$2205,MATCH(V1293,'Material routes'!$A$6:$A$2205,0)),"MISSING ID")</x:f>
        <x:v>Weapons</x:v>
      </x:c>
      <x:c r="J1293" s="4" t="str">
        <x:f>IFERROR(INDEX('Material routes'!$B$6:$B$2205,MATCH(U1293,'Material routes'!$A$6:$A$2205,0)),"MISSING ID")</x:f>
        <x:v>design.audit.author_electrical_arc_ray_gun</x:v>
      </x:c>
      <x:c r="K1293" s="4" t="str">
        <x:f>IFERROR(INDEX('Crafting recipes'!$C$6:$C$1005,MATCH(J1293,'Crafting recipes'!$A$6:$A$1005,0)),"MISSING ID")</x:f>
        <x:v>Finished-item crafting</x:v>
      </x:c>
      <x:c r="L1293" s="4" t="str">
        <x:f>IFERROR(INDEX('Material routes'!$K$6:$K$2205,MATCH(U1293,'Material routes'!$A$6:$A$2205,0)),"MISSING ID")</x:f>
        <x:v>Proposal</x:v>
      </x:c>
      <x:c r="M1293" s="4" t="str">
        <x:f>IFERROR(INDEX('Material routes'!$M$6:$M$2205,MATCH(U1293,'Material routes'!$A$6:$A$2205,0)),"MISSING ID")</x:f>
        <x:v>Partial proposal</x:v>
      </x:c>
      <x:c r="N1293" s="4"/>
      <x:c r="O1293" s="4" t="str">
        <x:f>IFERROR(INDEX('Material routes'!$J$6:$J$2205,MATCH(U1293,'Material routes'!$A$6:$A$2205,0)),"MISSING ID")</x:f>
        <x:v>Unspecified</x:v>
      </x:c>
      <x:c r="P1293" s="4"/>
      <x:c r="Q1293" s="4" t="str">
        <x:f>IFERROR(INDEX('Material routes'!$J$6:$J$2205,MATCH(V1293,'Material routes'!$A$6:$A$2205,0)),"MISSING ID")</x:f>
        <x:v>Unspecified</x:v>
      </x:c>
      <x:c r="R1293" s="4" t="str">
        <x:f>IF(L1293="Withheld","Withheld premise",IF(E1293="Tool candidate","Reusable prerequisite",IF(K1293="Raw entry preparation","Entry-resource preparation",IF(G1293="Not applicable",IF(IFERROR(INDEX('Items'!$AI$6:$AI$1005,MATCH(T1293,'Items'!$A$6:$A$1005,0)),"MISSING ID")="Finished item","Finished endpoint",IF(IFERROR(INDEX('Items'!$AI$6:$AI$1005,MATCH(T1293,'Items'!$A$6:$A$1005,0)),"MISSING ID")="Currency","Currency / no refinement tier","Recovered output / tier not applicable")),IF(OR(IFERROR(INDEX('Crafting recipes'!$H$6:$H$1005,MATCH(J1293,'Crafting recipes'!$A$6:$A$1005,0)),"MISSING ID")="Unassigned",G1293="Unassigned"),"Tier unresolved",IF(IFERROR(VALUE(RIGHT(G1293,1))-VALUE(RIGHT(IFERROR(INDEX('Crafting recipes'!$H$6:$H$1005,MATCH(J1293,'Crafting recipes'!$A$6:$A$1005,0)),"MISSING ID"),1)),0)=1,IF(B1293=IFERROR(INDEX('Crafting recipes'!$H$6:$H$1005,MATCH(J1293,'Crafting recipes'!$A$6:$A$1005,0)),"MISSING ID"),"Advances one material tier","Lower-tier ingredient; route advances one tier"),"Needs tier review"))))))</x:f>
        <x:v>Finished endpoint</x:v>
      </x:c>
      <x:c r="S1293" s="4" t="str">
        <x:f>IFERROR(INDEX('Material routes'!$D$6:$D$2205,MATCH(U1293,'Material routes'!$A$6:$A$2205,0)),"MISSING ID")</x:f>
        <x:v>proposal.audit.ceramic_backed_control_switch</x:v>
      </x:c>
      <x:c r="T1293" s="4" t="str">
        <x:f>IFERROR(INDEX('Material routes'!$D$6:$D$2205,MATCH(V1293,'Material routes'!$A$6:$A$2205,0)),"MISSING ID")</x:f>
        <x:v>author.electrical.arc_ray_gun</x:v>
      </x:c>
      <x:c r="U1293" s="4" t="str">
        <x:v>design.audit.author_electrical_arc_ray_gun.audit.in.4</x:v>
      </x:c>
      <x:c r="V1293" s="4" t="str">
        <x:v>design.audit.author_electrical_arc_ray_gun.audit.out</x:v>
      </x:c>
    </x:row>
    <x:row r="1294" ht="64" customHeight="1">
      <x:c r="A1294" s="4" t="str">
        <x:f>IFERROR(INDEX('Material routes'!$E$6:$E$2205,MATCH(U1294,'Material routes'!$A$6:$A$2205,0)),"MISSING ID")</x:f>
        <x:v>Arc-gun discharge cartridge</x:v>
      </x:c>
      <x:c r="B1294" s="4" t="str">
        <x:f>IFERROR(INDEX('Material routes'!$F$6:$F$2205,MATCH(U1294,'Material routes'!$A$6:$A$2205,0)),"MISSING ID")</x:f>
        <x:v>Not applicable</x:v>
      </x:c>
      <x:c r="C1294" s="4" t="str">
        <x:f>IFERROR(INDEX('Material routes'!$H$6:$H$2205,MATCH(U1294,'Material routes'!$A$6:$A$2205,0)),"MISSING ID")</x:f>
        <x:v>Ammunition</x:v>
      </x:c>
      <x:c r="D1294" s="4" t="str">
        <x:f>IFERROR(INDEX('Material routes'!$G$6:$G$2205,MATCH(U1294,'Material routes'!$A$6:$A$2205,0)),"MISSING ID")</x:f>
        <x:v>Ammunition</x:v>
      </x:c>
      <x:c r="E1294" s="4" t="str">
        <x:f>IFERROR(INDEX('Material routes'!$C$6:$C$2205,MATCH(U1294,'Material routes'!$A$6:$A$2205,0)),"MISSING ID")</x:f>
        <x:v>Ingredient candidate</x:v>
      </x:c>
      <x:c r="F1294" s="4" t="str">
        <x:f>IFERROR(INDEX('Material routes'!$E$6:$E$2205,MATCH(V1294,'Material routes'!$A$6:$A$2205,0)),"MISSING ID")</x:f>
        <x:v>Arc ray gun</x:v>
      </x:c>
      <x:c r="G1294" s="4" t="str">
        <x:f>IFERROR(INDEX('Material routes'!$F$6:$F$2205,MATCH(V1294,'Material routes'!$A$6:$A$2205,0)),"MISSING ID")</x:f>
        <x:v>Not applicable</x:v>
      </x:c>
      <x:c r="H1294" s="4" t="str">
        <x:f>IFERROR(INDEX('Material routes'!$H$6:$H$2205,MATCH(V1294,'Material routes'!$A$6:$A$2205,0)),"MISSING ID")</x:f>
        <x:v>Weapon</x:v>
      </x:c>
      <x:c r="I1294" s="4" t="str">
        <x:f>IFERROR(INDEX('Material routes'!$G$6:$G$2205,MATCH(V1294,'Material routes'!$A$6:$A$2205,0)),"MISSING ID")</x:f>
        <x:v>Weapons</x:v>
      </x:c>
      <x:c r="J1294" s="4" t="str">
        <x:f>IFERROR(INDEX('Material routes'!$B$6:$B$2205,MATCH(U1294,'Material routes'!$A$6:$A$2205,0)),"MISSING ID")</x:f>
        <x:v>design.audit.author_electrical_arc_ray_gun</x:v>
      </x:c>
      <x:c r="K1294" s="4" t="str">
        <x:f>IFERROR(INDEX('Crafting recipes'!$C$6:$C$1005,MATCH(J1294,'Crafting recipes'!$A$6:$A$1005,0)),"MISSING ID")</x:f>
        <x:v>Finished-item crafting</x:v>
      </x:c>
      <x:c r="L1294" s="4" t="str">
        <x:f>IFERROR(INDEX('Material routes'!$K$6:$K$2205,MATCH(U1294,'Material routes'!$A$6:$A$2205,0)),"MISSING ID")</x:f>
        <x:v>Proposal</x:v>
      </x:c>
      <x:c r="M1294" s="4" t="str">
        <x:f>IFERROR(INDEX('Material routes'!$M$6:$M$2205,MATCH(U1294,'Material routes'!$A$6:$A$2205,0)),"MISSING ID")</x:f>
        <x:v>Partial proposal</x:v>
      </x:c>
      <x:c r="N1294" s="4"/>
      <x:c r="O1294" s="4" t="str">
        <x:f>IFERROR(INDEX('Material routes'!$J$6:$J$2205,MATCH(U1294,'Material routes'!$A$6:$A$2205,0)),"MISSING ID")</x:f>
        <x:v>Unspecified</x:v>
      </x:c>
      <x:c r="P1294" s="4"/>
      <x:c r="Q1294" s="4" t="str">
        <x:f>IFERROR(INDEX('Material routes'!$J$6:$J$2205,MATCH(V1294,'Material routes'!$A$6:$A$2205,0)),"MISSING ID")</x:f>
        <x:v>Unspecified</x:v>
      </x:c>
      <x:c r="R1294" s="4" t="str">
        <x:f>IF(L1294="Withheld","Withheld premise",IF(E1294="Tool candidate","Reusable prerequisite",IF(K1294="Raw entry preparation","Entry-resource preparation",IF(G1294="Not applicable",IF(IFERROR(INDEX('Items'!$AI$6:$AI$1005,MATCH(T1294,'Items'!$A$6:$A$1005,0)),"MISSING ID")="Finished item","Finished endpoint",IF(IFERROR(INDEX('Items'!$AI$6:$AI$1005,MATCH(T1294,'Items'!$A$6:$A$1005,0)),"MISSING ID")="Currency","Currency / no refinement tier","Recovered output / tier not applicable")),IF(OR(IFERROR(INDEX('Crafting recipes'!$H$6:$H$1005,MATCH(J1294,'Crafting recipes'!$A$6:$A$1005,0)),"MISSING ID")="Unassigned",G1294="Unassigned"),"Tier unresolved",IF(IFERROR(VALUE(RIGHT(G1294,1))-VALUE(RIGHT(IFERROR(INDEX('Crafting recipes'!$H$6:$H$1005,MATCH(J1294,'Crafting recipes'!$A$6:$A$1005,0)),"MISSING ID"),1)),0)=1,IF(B1294=IFERROR(INDEX('Crafting recipes'!$H$6:$H$1005,MATCH(J1294,'Crafting recipes'!$A$6:$A$1005,0)),"MISSING ID"),"Advances one material tier","Lower-tier ingredient; route advances one tier"),"Needs tier review"))))))</x:f>
        <x:v>Finished endpoint</x:v>
      </x:c>
      <x:c r="S1294" s="4" t="str">
        <x:f>IFERROR(INDEX('Material routes'!$D$6:$D$2205,MATCH(U1294,'Material routes'!$A$6:$A$2205,0)),"MISSING ID")</x:f>
        <x:v>proposal.collection.arc_gun_discharge_cartridge</x:v>
      </x:c>
      <x:c r="T1294" s="4" t="str">
        <x:f>IFERROR(INDEX('Material routes'!$D$6:$D$2205,MATCH(V1294,'Material routes'!$A$6:$A$2205,0)),"MISSING ID")</x:f>
        <x:v>author.electrical.arc_ray_gun</x:v>
      </x:c>
      <x:c r="U1294" s="4" t="str">
        <x:v>design.audit.author_electrical_arc_ray_gun.audit.in.5</x:v>
      </x:c>
      <x:c r="V1294" s="4" t="str">
        <x:v>design.audit.author_electrical_arc_ray_gun.audit.out</x:v>
      </x:c>
    </x:row>
    <x:row r="1295" ht="64" customHeight="1">
      <x:c r="A1295" s="4" t="str">
        <x:f>IFERROR(INDEX('Material routes'!$E$6:$E$2205,MATCH(U1295,'Material routes'!$A$6:$A$2205,0)),"MISSING ID")</x:f>
        <x:v>Prepared electrical insulation stock</x:v>
      </x:c>
      <x:c r="B1295" s="4" t="str">
        <x:f>IFERROR(INDEX('Material routes'!$F$6:$F$2205,MATCH(U1295,'Material routes'!$A$6:$A$2205,0)),"MISSING ID")</x:f>
        <x:v>T3</x:v>
      </x:c>
      <x:c r="C1295" s="4" t="str">
        <x:f>IFERROR(INDEX('Material routes'!$H$6:$H$2205,MATCH(U1295,'Material routes'!$A$6:$A$2205,0)),"MISSING ID")</x:f>
        <x:v>Processed material</x:v>
      </x:c>
      <x:c r="D1295" s="4" t="str">
        <x:f>IFERROR(INDEX('Material routes'!$G$6:$G$2205,MATCH(U1295,'Material routes'!$A$6:$A$2205,0)),"MISSING ID")</x:f>
        <x:v>Manufactured stock</x:v>
      </x:c>
      <x:c r="E1295" s="4" t="str">
        <x:f>IFERROR(INDEX('Material routes'!$C$6:$C$2205,MATCH(U1295,'Material routes'!$A$6:$A$2205,0)),"MISSING ID")</x:f>
        <x:v>Ingredient candidate</x:v>
      </x:c>
      <x:c r="F1295" s="4" t="str">
        <x:f>IFERROR(INDEX('Material routes'!$E$6:$E$2205,MATCH(V1295,'Material routes'!$A$6:$A$2205,0)),"MISSING ID")</x:f>
        <x:v>Electrical insulating suit</x:v>
      </x:c>
      <x:c r="G1295" s="4" t="str">
        <x:f>IFERROR(INDEX('Material routes'!$F$6:$F$2205,MATCH(V1295,'Material routes'!$A$6:$A$2205,0)),"MISSING ID")</x:f>
        <x:v>Not applicable</x:v>
      </x:c>
      <x:c r="H1295" s="4" t="str">
        <x:f>IFERROR(INDEX('Material routes'!$H$6:$H$2205,MATCH(V1295,'Material routes'!$A$6:$A$2205,0)),"MISSING ID")</x:f>
        <x:v>Wearable</x:v>
      </x:c>
      <x:c r="I1295" s="4" t="str">
        <x:f>IFERROR(INDEX('Material routes'!$G$6:$G$2205,MATCH(V1295,'Material routes'!$A$6:$A$2205,0)),"MISSING ID")</x:f>
        <x:v>Clothing</x:v>
      </x:c>
      <x:c r="J1295" s="4" t="str">
        <x:f>IFERROR(INDEX('Material routes'!$B$6:$B$2205,MATCH(U1295,'Material routes'!$A$6:$A$2205,0)),"MISSING ID")</x:f>
        <x:v>design.audit.author_electrical_insulated_suit</x:v>
      </x:c>
      <x:c r="K1295" s="4" t="str">
        <x:f>IFERROR(INDEX('Crafting recipes'!$C$6:$C$1005,MATCH(J1295,'Crafting recipes'!$A$6:$A$1005,0)),"MISSING ID")</x:f>
        <x:v>Finished-item crafting</x:v>
      </x:c>
      <x:c r="L1295" s="4" t="str">
        <x:f>IFERROR(INDEX('Material routes'!$K$6:$K$2205,MATCH(U1295,'Material routes'!$A$6:$A$2205,0)),"MISSING ID")</x:f>
        <x:v>Proposal</x:v>
      </x:c>
      <x:c r="M1295" s="4" t="str">
        <x:f>IFERROR(INDEX('Material routes'!$M$6:$M$2205,MATCH(U1295,'Material routes'!$A$6:$A$2205,0)),"MISSING ID")</x:f>
        <x:v>Partial proposal</x:v>
      </x:c>
      <x:c r="N1295" s="4"/>
      <x:c r="O1295" s="4" t="str">
        <x:f>IFERROR(INDEX('Material routes'!$J$6:$J$2205,MATCH(U1295,'Material routes'!$A$6:$A$2205,0)),"MISSING ID")</x:f>
        <x:v>Unspecified</x:v>
      </x:c>
      <x:c r="P1295" s="4"/>
      <x:c r="Q1295" s="4" t="str">
        <x:f>IFERROR(INDEX('Material routes'!$J$6:$J$2205,MATCH(V1295,'Material routes'!$A$6:$A$2205,0)),"MISSING ID")</x:f>
        <x:v>Unspecified</x:v>
      </x:c>
      <x:c r="R1295" s="4" t="str">
        <x:f>IF(L1295="Withheld","Withheld premise",IF(E1295="Tool candidate","Reusable prerequisite",IF(K1295="Raw entry preparation","Entry-resource preparation",IF(G1295="Not applicable",IF(IFERROR(INDEX('Items'!$AI$6:$AI$1005,MATCH(T1295,'Items'!$A$6:$A$1005,0)),"MISSING ID")="Finished item","Finished endpoint",IF(IFERROR(INDEX('Items'!$AI$6:$AI$1005,MATCH(T1295,'Items'!$A$6:$A$1005,0)),"MISSING ID")="Currency","Currency / no refinement tier","Recovered output / tier not applicable")),IF(OR(IFERROR(INDEX('Crafting recipes'!$H$6:$H$1005,MATCH(J1295,'Crafting recipes'!$A$6:$A$1005,0)),"MISSING ID")="Unassigned",G1295="Unassigned"),"Tier unresolved",IF(IFERROR(VALUE(RIGHT(G1295,1))-VALUE(RIGHT(IFERROR(INDEX('Crafting recipes'!$H$6:$H$1005,MATCH(J1295,'Crafting recipes'!$A$6:$A$1005,0)),"MISSING ID"),1)),0)=1,IF(B1295=IFERROR(INDEX('Crafting recipes'!$H$6:$H$1005,MATCH(J1295,'Crafting recipes'!$A$6:$A$1005,0)),"MISSING ID"),"Advances one material tier","Lower-tier ingredient; route advances one tier"),"Needs tier review"))))))</x:f>
        <x:v>Finished endpoint</x:v>
      </x:c>
      <x:c r="S1295" s="4" t="str">
        <x:f>IFERROR(INDEX('Material routes'!$D$6:$D$2205,MATCH(U1295,'Material routes'!$A$6:$A$2205,0)),"MISSING ID")</x:f>
        <x:v>author.electrical.insulation_stock</x:v>
      </x:c>
      <x:c r="T1295" s="4" t="str">
        <x:f>IFERROR(INDEX('Material routes'!$D$6:$D$2205,MATCH(V1295,'Material routes'!$A$6:$A$2205,0)),"MISSING ID")</x:f>
        <x:v>author.electrical.insulated_suit</x:v>
      </x:c>
      <x:c r="U1295" s="4" t="str">
        <x:v>design.audit.author_electrical_insulated_suit.audit.in.1</x:v>
      </x:c>
      <x:c r="V1295" s="4" t="str">
        <x:v>design.audit.author_electrical_insulated_suit.audit.out</x:v>
      </x:c>
    </x:row>
    <x:row r="1296" ht="64" customHeight="1">
      <x:c r="A1296" s="4" t="str">
        <x:f>IFERROR(INDEX('Material routes'!$E$6:$E$2205,MATCH(U1296,'Material routes'!$A$6:$A$2205,0)),"MISSING ID")</x:f>
        <x:v>Layered husk composite stock</x:v>
      </x:c>
      <x:c r="B1296" s="4" t="str">
        <x:f>IFERROR(INDEX('Material routes'!$F$6:$F$2205,MATCH(U1296,'Material routes'!$A$6:$A$2205,0)),"MISSING ID")</x:f>
        <x:v>T3</x:v>
      </x:c>
      <x:c r="C1296" s="4" t="str">
        <x:f>IFERROR(INDEX('Material routes'!$H$6:$H$2205,MATCH(U1296,'Material routes'!$A$6:$A$2205,0)),"MISSING ID")</x:f>
        <x:v>Processed material</x:v>
      </x:c>
      <x:c r="D1296" s="4" t="str">
        <x:f>IFERROR(INDEX('Material routes'!$G$6:$G$2205,MATCH(U1296,'Material routes'!$A$6:$A$2205,0)),"MISSING ID")</x:f>
        <x:v>Manufactured stock</x:v>
      </x:c>
      <x:c r="E1296" s="4" t="str">
        <x:f>IFERROR(INDEX('Material routes'!$C$6:$C$2205,MATCH(U1296,'Material routes'!$A$6:$A$2205,0)),"MISSING ID")</x:f>
        <x:v>Ingredient candidate</x:v>
      </x:c>
      <x:c r="F1296" s="4" t="str">
        <x:f>IFERROR(INDEX('Material routes'!$E$6:$E$2205,MATCH(V1296,'Material routes'!$A$6:$A$2205,0)),"MISSING ID")</x:f>
        <x:v>Electrical insulating suit</x:v>
      </x:c>
      <x:c r="G1296" s="4" t="str">
        <x:f>IFERROR(INDEX('Material routes'!$F$6:$F$2205,MATCH(V1296,'Material routes'!$A$6:$A$2205,0)),"MISSING ID")</x:f>
        <x:v>Not applicable</x:v>
      </x:c>
      <x:c r="H1296" s="4" t="str">
        <x:f>IFERROR(INDEX('Material routes'!$H$6:$H$2205,MATCH(V1296,'Material routes'!$A$6:$A$2205,0)),"MISSING ID")</x:f>
        <x:v>Wearable</x:v>
      </x:c>
      <x:c r="I1296" s="4" t="str">
        <x:f>IFERROR(INDEX('Material routes'!$G$6:$G$2205,MATCH(V1296,'Material routes'!$A$6:$A$2205,0)),"MISSING ID")</x:f>
        <x:v>Clothing</x:v>
      </x:c>
      <x:c r="J1296" s="4" t="str">
        <x:f>IFERROR(INDEX('Material routes'!$B$6:$B$2205,MATCH(U1296,'Material routes'!$A$6:$A$2205,0)),"MISSING ID")</x:f>
        <x:v>design.audit.author_electrical_insulated_suit</x:v>
      </x:c>
      <x:c r="K1296" s="4" t="str">
        <x:f>IFERROR(INDEX('Crafting recipes'!$C$6:$C$1005,MATCH(J1296,'Crafting recipes'!$A$6:$A$1005,0)),"MISSING ID")</x:f>
        <x:v>Finished-item crafting</x:v>
      </x:c>
      <x:c r="L1296" s="4" t="str">
        <x:f>IFERROR(INDEX('Material routes'!$K$6:$K$2205,MATCH(U1296,'Material routes'!$A$6:$A$2205,0)),"MISSING ID")</x:f>
        <x:v>Proposal</x:v>
      </x:c>
      <x:c r="M1296" s="4" t="str">
        <x:f>IFERROR(INDEX('Material routes'!$M$6:$M$2205,MATCH(U1296,'Material routes'!$A$6:$A$2205,0)),"MISSING ID")</x:f>
        <x:v>Partial proposal</x:v>
      </x:c>
      <x:c r="N1296" s="4"/>
      <x:c r="O1296" s="4" t="str">
        <x:f>IFERROR(INDEX('Material routes'!$J$6:$J$2205,MATCH(U1296,'Material routes'!$A$6:$A$2205,0)),"MISSING ID")</x:f>
        <x:v>Unspecified</x:v>
      </x:c>
      <x:c r="P1296" s="4"/>
      <x:c r="Q1296" s="4" t="str">
        <x:f>IFERROR(INDEX('Material routes'!$J$6:$J$2205,MATCH(V1296,'Material routes'!$A$6:$A$2205,0)),"MISSING ID")</x:f>
        <x:v>Unspecified</x:v>
      </x:c>
      <x:c r="R1296" s="4" t="str">
        <x:f>IF(L1296="Withheld","Withheld premise",IF(E1296="Tool candidate","Reusable prerequisite",IF(K1296="Raw entry preparation","Entry-resource preparation",IF(G1296="Not applicable",IF(IFERROR(INDEX('Items'!$AI$6:$AI$1005,MATCH(T1296,'Items'!$A$6:$A$1005,0)),"MISSING ID")="Finished item","Finished endpoint",IF(IFERROR(INDEX('Items'!$AI$6:$AI$1005,MATCH(T1296,'Items'!$A$6:$A$1005,0)),"MISSING ID")="Currency","Currency / no refinement tier","Recovered output / tier not applicable")),IF(OR(IFERROR(INDEX('Crafting recipes'!$H$6:$H$1005,MATCH(J1296,'Crafting recipes'!$A$6:$A$1005,0)),"MISSING ID")="Unassigned",G1296="Unassigned"),"Tier unresolved",IF(IFERROR(VALUE(RIGHT(G1296,1))-VALUE(RIGHT(IFERROR(INDEX('Crafting recipes'!$H$6:$H$1005,MATCH(J1296,'Crafting recipes'!$A$6:$A$1005,0)),"MISSING ID"),1)),0)=1,IF(B1296=IFERROR(INDEX('Crafting recipes'!$H$6:$H$1005,MATCH(J1296,'Crafting recipes'!$A$6:$A$1005,0)),"MISSING ID"),"Advances one material tier","Lower-tier ingredient; route advances one tier"),"Needs tier review"))))))</x:f>
        <x:v>Finished endpoint</x:v>
      </x:c>
      <x:c r="S1296" s="4" t="str">
        <x:f>IFERROR(INDEX('Material routes'!$D$6:$D$2205,MATCH(U1296,'Material routes'!$A$6:$A$2205,0)),"MISSING ID")</x:f>
        <x:v>proposal.branch.husk_composite</x:v>
      </x:c>
      <x:c r="T1296" s="4" t="str">
        <x:f>IFERROR(INDEX('Material routes'!$D$6:$D$2205,MATCH(V1296,'Material routes'!$A$6:$A$2205,0)),"MISSING ID")</x:f>
        <x:v>author.electrical.insulated_suit</x:v>
      </x:c>
      <x:c r="U1296" s="4" t="str">
        <x:v>design.audit.author_electrical_insulated_suit.audit.in.2</x:v>
      </x:c>
      <x:c r="V1296" s="4" t="str">
        <x:v>design.audit.author_electrical_insulated_suit.audit.out</x:v>
      </x:c>
    </x:row>
    <x:row r="1297" ht="64" customHeight="1">
      <x:c r="A1297" s="4" t="str">
        <x:f>IFERROR(INDEX('Material routes'!$E$6:$E$2205,MATCH(U1297,'Material routes'!$A$6:$A$2205,0)),"MISSING ID")</x:f>
        <x:v>Pressed hide fastening strips</x:v>
      </x:c>
      <x:c r="B1297" s="4" t="str">
        <x:f>IFERROR(INDEX('Material routes'!$F$6:$F$2205,MATCH(U1297,'Material routes'!$A$6:$A$2205,0)),"MISSING ID")</x:f>
        <x:v>T2</x:v>
      </x:c>
      <x:c r="C1297" s="4" t="str">
        <x:f>IFERROR(INDEX('Material routes'!$H$6:$H$2205,MATCH(U1297,'Material routes'!$A$6:$A$2205,0)),"MISSING ID")</x:f>
        <x:v>Processed material</x:v>
      </x:c>
      <x:c r="D1297" s="4" t="str">
        <x:f>IFERROR(INDEX('Material routes'!$G$6:$G$2205,MATCH(U1297,'Material routes'!$A$6:$A$2205,0)),"MISSING ID")</x:f>
        <x:v>Manufactured stock</x:v>
      </x:c>
      <x:c r="E1297" s="4" t="str">
        <x:f>IFERROR(INDEX('Material routes'!$C$6:$C$2205,MATCH(U1297,'Material routes'!$A$6:$A$2205,0)),"MISSING ID")</x:f>
        <x:v>Ingredient candidate</x:v>
      </x:c>
      <x:c r="F1297" s="4" t="str">
        <x:f>IFERROR(INDEX('Material routes'!$E$6:$E$2205,MATCH(V1297,'Material routes'!$A$6:$A$2205,0)),"MISSING ID")</x:f>
        <x:v>Electrical insulating suit</x:v>
      </x:c>
      <x:c r="G1297" s="4" t="str">
        <x:f>IFERROR(INDEX('Material routes'!$F$6:$F$2205,MATCH(V1297,'Material routes'!$A$6:$A$2205,0)),"MISSING ID")</x:f>
        <x:v>Not applicable</x:v>
      </x:c>
      <x:c r="H1297" s="4" t="str">
        <x:f>IFERROR(INDEX('Material routes'!$H$6:$H$2205,MATCH(V1297,'Material routes'!$A$6:$A$2205,0)),"MISSING ID")</x:f>
        <x:v>Wearable</x:v>
      </x:c>
      <x:c r="I1297" s="4" t="str">
        <x:f>IFERROR(INDEX('Material routes'!$G$6:$G$2205,MATCH(V1297,'Material routes'!$A$6:$A$2205,0)),"MISSING ID")</x:f>
        <x:v>Clothing</x:v>
      </x:c>
      <x:c r="J1297" s="4" t="str">
        <x:f>IFERROR(INDEX('Material routes'!$B$6:$B$2205,MATCH(U1297,'Material routes'!$A$6:$A$2205,0)),"MISSING ID")</x:f>
        <x:v>design.audit.author_electrical_insulated_suit</x:v>
      </x:c>
      <x:c r="K1297" s="4" t="str">
        <x:f>IFERROR(INDEX('Crafting recipes'!$C$6:$C$1005,MATCH(J1297,'Crafting recipes'!$A$6:$A$1005,0)),"MISSING ID")</x:f>
        <x:v>Finished-item crafting</x:v>
      </x:c>
      <x:c r="L1297" s="4" t="str">
        <x:f>IFERROR(INDEX('Material routes'!$K$6:$K$2205,MATCH(U1297,'Material routes'!$A$6:$A$2205,0)),"MISSING ID")</x:f>
        <x:v>Proposal</x:v>
      </x:c>
      <x:c r="M1297" s="4" t="str">
        <x:f>IFERROR(INDEX('Material routes'!$M$6:$M$2205,MATCH(U1297,'Material routes'!$A$6:$A$2205,0)),"MISSING ID")</x:f>
        <x:v>Partial proposal</x:v>
      </x:c>
      <x:c r="N1297" s="4"/>
      <x:c r="O1297" s="4" t="str">
        <x:f>IFERROR(INDEX('Material routes'!$J$6:$J$2205,MATCH(U1297,'Material routes'!$A$6:$A$2205,0)),"MISSING ID")</x:f>
        <x:v>Unspecified</x:v>
      </x:c>
      <x:c r="P1297" s="4"/>
      <x:c r="Q1297" s="4" t="str">
        <x:f>IFERROR(INDEX('Material routes'!$J$6:$J$2205,MATCH(V1297,'Material routes'!$A$6:$A$2205,0)),"MISSING ID")</x:f>
        <x:v>Unspecified</x:v>
      </x:c>
      <x:c r="R1297" s="4" t="str">
        <x:f>IF(L1297="Withheld","Withheld premise",IF(E1297="Tool candidate","Reusable prerequisite",IF(K1297="Raw entry preparation","Entry-resource preparation",IF(G1297="Not applicable",IF(IFERROR(INDEX('Items'!$AI$6:$AI$1005,MATCH(T1297,'Items'!$A$6:$A$1005,0)),"MISSING ID")="Finished item","Finished endpoint",IF(IFERROR(INDEX('Items'!$AI$6:$AI$1005,MATCH(T1297,'Items'!$A$6:$A$1005,0)),"MISSING ID")="Currency","Currency / no refinement tier","Recovered output / tier not applicable")),IF(OR(IFERROR(INDEX('Crafting recipes'!$H$6:$H$1005,MATCH(J1297,'Crafting recipes'!$A$6:$A$1005,0)),"MISSING ID")="Unassigned",G1297="Unassigned"),"Tier unresolved",IF(IFERROR(VALUE(RIGHT(G1297,1))-VALUE(RIGHT(IFERROR(INDEX('Crafting recipes'!$H$6:$H$1005,MATCH(J1297,'Crafting recipes'!$A$6:$A$1005,0)),"MISSING ID"),1)),0)=1,IF(B1297=IFERROR(INDEX('Crafting recipes'!$H$6:$H$1005,MATCH(J1297,'Crafting recipes'!$A$6:$A$1005,0)),"MISSING ID"),"Advances one material tier","Lower-tier ingredient; route advances one tier"),"Needs tier review"))))))</x:f>
        <x:v>Finished endpoint</x:v>
      </x:c>
      <x:c r="S1297" s="4" t="str">
        <x:f>IFERROR(INDEX('Material routes'!$D$6:$D$2205,MATCH(U1297,'Material routes'!$A$6:$A$2205,0)),"MISSING ID")</x:f>
        <x:v>proposal.audit.pressed_hide_fastening_strips</x:v>
      </x:c>
      <x:c r="T1297" s="4" t="str">
        <x:f>IFERROR(INDEX('Material routes'!$D$6:$D$2205,MATCH(V1297,'Material routes'!$A$6:$A$2205,0)),"MISSING ID")</x:f>
        <x:v>author.electrical.insulated_suit</x:v>
      </x:c>
      <x:c r="U1297" s="4" t="str">
        <x:v>design.audit.author_electrical_insulated_suit.audit.in.3</x:v>
      </x:c>
      <x:c r="V1297" s="4" t="str">
        <x:v>design.audit.author_electrical_insulated_suit.audit.out</x:v>
      </x:c>
    </x:row>
    <x:row r="1298" ht="64" customHeight="1">
      <x:c r="A1298" s="4" t="str">
        <x:f>IFERROR(INDEX('Material routes'!$E$6:$E$2205,MATCH(U1298,'Material routes'!$A$6:$A$2205,0)),"MISSING ID")</x:f>
        <x:v>Ceramic toggle fastener</x:v>
      </x:c>
      <x:c r="B1298" s="4" t="str">
        <x:f>IFERROR(INDEX('Material routes'!$F$6:$F$2205,MATCH(U1298,'Material routes'!$A$6:$A$2205,0)),"MISSING ID")</x:f>
        <x:v>T3</x:v>
      </x:c>
      <x:c r="C1298" s="4" t="str">
        <x:f>IFERROR(INDEX('Material routes'!$H$6:$H$2205,MATCH(U1298,'Material routes'!$A$6:$A$2205,0)),"MISSING ID")</x:f>
        <x:v>Crafting component</x:v>
      </x:c>
      <x:c r="D1298" s="4" t="str">
        <x:f>IFERROR(INDEX('Material routes'!$G$6:$G$2205,MATCH(U1298,'Material routes'!$A$6:$A$2205,0)),"MISSING ID")</x:f>
        <x:v>Crafting components</x:v>
      </x:c>
      <x:c r="E1298" s="4" t="str">
        <x:f>IFERROR(INDEX('Material routes'!$C$6:$C$2205,MATCH(U1298,'Material routes'!$A$6:$A$2205,0)),"MISSING ID")</x:f>
        <x:v>Ingredient candidate</x:v>
      </x:c>
      <x:c r="F1298" s="4" t="str">
        <x:f>IFERROR(INDEX('Material routes'!$E$6:$E$2205,MATCH(V1298,'Material routes'!$A$6:$A$2205,0)),"MISSING ID")</x:f>
        <x:v>Electrical insulating suit</x:v>
      </x:c>
      <x:c r="G1298" s="4" t="str">
        <x:f>IFERROR(INDEX('Material routes'!$F$6:$F$2205,MATCH(V1298,'Material routes'!$A$6:$A$2205,0)),"MISSING ID")</x:f>
        <x:v>Not applicable</x:v>
      </x:c>
      <x:c r="H1298" s="4" t="str">
        <x:f>IFERROR(INDEX('Material routes'!$H$6:$H$2205,MATCH(V1298,'Material routes'!$A$6:$A$2205,0)),"MISSING ID")</x:f>
        <x:v>Wearable</x:v>
      </x:c>
      <x:c r="I1298" s="4" t="str">
        <x:f>IFERROR(INDEX('Material routes'!$G$6:$G$2205,MATCH(V1298,'Material routes'!$A$6:$A$2205,0)),"MISSING ID")</x:f>
        <x:v>Clothing</x:v>
      </x:c>
      <x:c r="J1298" s="4" t="str">
        <x:f>IFERROR(INDEX('Material routes'!$B$6:$B$2205,MATCH(U1298,'Material routes'!$A$6:$A$2205,0)),"MISSING ID")</x:f>
        <x:v>design.audit.author_electrical_insulated_suit</x:v>
      </x:c>
      <x:c r="K1298" s="4" t="str">
        <x:f>IFERROR(INDEX('Crafting recipes'!$C$6:$C$1005,MATCH(J1298,'Crafting recipes'!$A$6:$A$1005,0)),"MISSING ID")</x:f>
        <x:v>Finished-item crafting</x:v>
      </x:c>
      <x:c r="L1298" s="4" t="str">
        <x:f>IFERROR(INDEX('Material routes'!$K$6:$K$2205,MATCH(U1298,'Material routes'!$A$6:$A$2205,0)),"MISSING ID")</x:f>
        <x:v>Proposal</x:v>
      </x:c>
      <x:c r="M1298" s="4" t="str">
        <x:f>IFERROR(INDEX('Material routes'!$M$6:$M$2205,MATCH(U1298,'Material routes'!$A$6:$A$2205,0)),"MISSING ID")</x:f>
        <x:v>Partial proposal</x:v>
      </x:c>
      <x:c r="N1298" s="4"/>
      <x:c r="O1298" s="4" t="str">
        <x:f>IFERROR(INDEX('Material routes'!$J$6:$J$2205,MATCH(U1298,'Material routes'!$A$6:$A$2205,0)),"MISSING ID")</x:f>
        <x:v>Unspecified</x:v>
      </x:c>
      <x:c r="P1298" s="4"/>
      <x:c r="Q1298" s="4" t="str">
        <x:f>IFERROR(INDEX('Material routes'!$J$6:$J$2205,MATCH(V1298,'Material routes'!$A$6:$A$2205,0)),"MISSING ID")</x:f>
        <x:v>Unspecified</x:v>
      </x:c>
      <x:c r="R1298" s="4" t="str">
        <x:f>IF(L1298="Withheld","Withheld premise",IF(E1298="Tool candidate","Reusable prerequisite",IF(K1298="Raw entry preparation","Entry-resource preparation",IF(G1298="Not applicable",IF(IFERROR(INDEX('Items'!$AI$6:$AI$1005,MATCH(T1298,'Items'!$A$6:$A$1005,0)),"MISSING ID")="Finished item","Finished endpoint",IF(IFERROR(INDEX('Items'!$AI$6:$AI$1005,MATCH(T1298,'Items'!$A$6:$A$1005,0)),"MISSING ID")="Currency","Currency / no refinement tier","Recovered output / tier not applicable")),IF(OR(IFERROR(INDEX('Crafting recipes'!$H$6:$H$1005,MATCH(J1298,'Crafting recipes'!$A$6:$A$1005,0)),"MISSING ID")="Unassigned",G1298="Unassigned"),"Tier unresolved",IF(IFERROR(VALUE(RIGHT(G1298,1))-VALUE(RIGHT(IFERROR(INDEX('Crafting recipes'!$H$6:$H$1005,MATCH(J1298,'Crafting recipes'!$A$6:$A$1005,0)),"MISSING ID"),1)),0)=1,IF(B1298=IFERROR(INDEX('Crafting recipes'!$H$6:$H$1005,MATCH(J1298,'Crafting recipes'!$A$6:$A$1005,0)),"MISSING ID"),"Advances one material tier","Lower-tier ingredient; route advances one tier"),"Needs tier review"))))))</x:f>
        <x:v>Finished endpoint</x:v>
      </x:c>
      <x:c r="S1298" s="4" t="str">
        <x:f>IFERROR(INDEX('Material routes'!$D$6:$D$2205,MATCH(U1298,'Material routes'!$A$6:$A$2205,0)),"MISSING ID")</x:f>
        <x:v>proposal.ceramic.fastener</x:v>
      </x:c>
      <x:c r="T1298" s="4" t="str">
        <x:f>IFERROR(INDEX('Material routes'!$D$6:$D$2205,MATCH(V1298,'Material routes'!$A$6:$A$2205,0)),"MISSING ID")</x:f>
        <x:v>author.electrical.insulated_suit</x:v>
      </x:c>
      <x:c r="U1298" s="4" t="str">
        <x:v>design.audit.author_electrical_insulated_suit.audit.in.4</x:v>
      </x:c>
      <x:c r="V1298" s="4" t="str">
        <x:v>design.audit.author_electrical_insulated_suit.audit.out</x:v>
      </x:c>
    </x:row>
    <x:row r="1299" ht="64" customHeight="1">
      <x:c r="A1299" s="4" t="str">
        <x:f>IFERROR(INDEX('Material routes'!$E$6:$E$2205,MATCH(U1299,'Material routes'!$A$6:$A$2205,0)),"MISSING ID")</x:f>
        <x:v>Prepared electrical insulation stock</x:v>
      </x:c>
      <x:c r="B1299" s="4" t="str">
        <x:f>IFERROR(INDEX('Material routes'!$F$6:$F$2205,MATCH(U1299,'Material routes'!$A$6:$A$2205,0)),"MISSING ID")</x:f>
        <x:v>T3</x:v>
      </x:c>
      <x:c r="C1299" s="4" t="str">
        <x:f>IFERROR(INDEX('Material routes'!$H$6:$H$2205,MATCH(U1299,'Material routes'!$A$6:$A$2205,0)),"MISSING ID")</x:f>
        <x:v>Processed material</x:v>
      </x:c>
      <x:c r="D1299" s="4" t="str">
        <x:f>IFERROR(INDEX('Material routes'!$G$6:$G$2205,MATCH(U1299,'Material routes'!$A$6:$A$2205,0)),"MISSING ID")</x:f>
        <x:v>Manufactured stock</x:v>
      </x:c>
      <x:c r="E1299" s="4" t="str">
        <x:f>IFERROR(INDEX('Material routes'!$C$6:$C$2205,MATCH(U1299,'Material routes'!$A$6:$A$2205,0)),"MISSING ID")</x:f>
        <x:v>Ingredient candidate</x:v>
      </x:c>
      <x:c r="F1299" s="4" t="str">
        <x:f>IFERROR(INDEX('Material routes'!$E$6:$E$2205,MATCH(V1299,'Material routes'!$A$6:$A$2205,0)),"MISSING ID")</x:f>
        <x:v>Electrical insulating boots</x:v>
      </x:c>
      <x:c r="G1299" s="4" t="str">
        <x:f>IFERROR(INDEX('Material routes'!$F$6:$F$2205,MATCH(V1299,'Material routes'!$A$6:$A$2205,0)),"MISSING ID")</x:f>
        <x:v>Not applicable</x:v>
      </x:c>
      <x:c r="H1299" s="4" t="str">
        <x:f>IFERROR(INDEX('Material routes'!$H$6:$H$2205,MATCH(V1299,'Material routes'!$A$6:$A$2205,0)),"MISSING ID")</x:f>
        <x:v>Wearable</x:v>
      </x:c>
      <x:c r="I1299" s="4" t="str">
        <x:f>IFERROR(INDEX('Material routes'!$G$6:$G$2205,MATCH(V1299,'Material routes'!$A$6:$A$2205,0)),"MISSING ID")</x:f>
        <x:v>Clothing</x:v>
      </x:c>
      <x:c r="J1299" s="4" t="str">
        <x:f>IFERROR(INDEX('Material routes'!$B$6:$B$2205,MATCH(U1299,'Material routes'!$A$6:$A$2205,0)),"MISSING ID")</x:f>
        <x:v>design.audit.author_electrical_insulated_boots</x:v>
      </x:c>
      <x:c r="K1299" s="4" t="str">
        <x:f>IFERROR(INDEX('Crafting recipes'!$C$6:$C$1005,MATCH(J1299,'Crafting recipes'!$A$6:$A$1005,0)),"MISSING ID")</x:f>
        <x:v>Finished-item crafting</x:v>
      </x:c>
      <x:c r="L1299" s="4" t="str">
        <x:f>IFERROR(INDEX('Material routes'!$K$6:$K$2205,MATCH(U1299,'Material routes'!$A$6:$A$2205,0)),"MISSING ID")</x:f>
        <x:v>Proposal</x:v>
      </x:c>
      <x:c r="M1299" s="4" t="str">
        <x:f>IFERROR(INDEX('Material routes'!$M$6:$M$2205,MATCH(U1299,'Material routes'!$A$6:$A$2205,0)),"MISSING ID")</x:f>
        <x:v>Partial proposal</x:v>
      </x:c>
      <x:c r="N1299" s="4"/>
      <x:c r="O1299" s="4" t="str">
        <x:f>IFERROR(INDEX('Material routes'!$J$6:$J$2205,MATCH(U1299,'Material routes'!$A$6:$A$2205,0)),"MISSING ID")</x:f>
        <x:v>Unspecified</x:v>
      </x:c>
      <x:c r="P1299" s="4"/>
      <x:c r="Q1299" s="4" t="str">
        <x:f>IFERROR(INDEX('Material routes'!$J$6:$J$2205,MATCH(V1299,'Material routes'!$A$6:$A$2205,0)),"MISSING ID")</x:f>
        <x:v>Unspecified</x:v>
      </x:c>
      <x:c r="R1299" s="4" t="str">
        <x:f>IF(L1299="Withheld","Withheld premise",IF(E1299="Tool candidate","Reusable prerequisite",IF(K1299="Raw entry preparation","Entry-resource preparation",IF(G1299="Not applicable",IF(IFERROR(INDEX('Items'!$AI$6:$AI$1005,MATCH(T1299,'Items'!$A$6:$A$1005,0)),"MISSING ID")="Finished item","Finished endpoint",IF(IFERROR(INDEX('Items'!$AI$6:$AI$1005,MATCH(T1299,'Items'!$A$6:$A$1005,0)),"MISSING ID")="Currency","Currency / no refinement tier","Recovered output / tier not applicable")),IF(OR(IFERROR(INDEX('Crafting recipes'!$H$6:$H$1005,MATCH(J1299,'Crafting recipes'!$A$6:$A$1005,0)),"MISSING ID")="Unassigned",G1299="Unassigned"),"Tier unresolved",IF(IFERROR(VALUE(RIGHT(G1299,1))-VALUE(RIGHT(IFERROR(INDEX('Crafting recipes'!$H$6:$H$1005,MATCH(J1299,'Crafting recipes'!$A$6:$A$1005,0)),"MISSING ID"),1)),0)=1,IF(B1299=IFERROR(INDEX('Crafting recipes'!$H$6:$H$1005,MATCH(J1299,'Crafting recipes'!$A$6:$A$1005,0)),"MISSING ID"),"Advances one material tier","Lower-tier ingredient; route advances one tier"),"Needs tier review"))))))</x:f>
        <x:v>Finished endpoint</x:v>
      </x:c>
      <x:c r="S1299" s="4" t="str">
        <x:f>IFERROR(INDEX('Material routes'!$D$6:$D$2205,MATCH(U1299,'Material routes'!$A$6:$A$2205,0)),"MISSING ID")</x:f>
        <x:v>author.electrical.insulation_stock</x:v>
      </x:c>
      <x:c r="T1299" s="4" t="str">
        <x:f>IFERROR(INDEX('Material routes'!$D$6:$D$2205,MATCH(V1299,'Material routes'!$A$6:$A$2205,0)),"MISSING ID")</x:f>
        <x:v>author.electrical.insulated_boots</x:v>
      </x:c>
      <x:c r="U1299" s="4" t="str">
        <x:v>design.audit.author_electrical_insulated_boots.audit.in.1</x:v>
      </x:c>
      <x:c r="V1299" s="4" t="str">
        <x:v>design.audit.author_electrical_insulated_boots.audit.out</x:v>
      </x:c>
    </x:row>
    <x:row r="1300" ht="64" customHeight="1">
      <x:c r="A1300" s="4" t="str">
        <x:f>IFERROR(INDEX('Material routes'!$E$6:$E$2205,MATCH(U1300,'Material routes'!$A$6:$A$2205,0)),"MISSING ID")</x:f>
        <x:v>Processed hide material</x:v>
      </x:c>
      <x:c r="B1300" s="4" t="str">
        <x:f>IFERROR(INDEX('Material routes'!$F$6:$F$2205,MATCH(U1300,'Material routes'!$A$6:$A$2205,0)),"MISSING ID")</x:f>
        <x:v>T1</x:v>
      </x:c>
      <x:c r="C1300" s="4" t="str">
        <x:f>IFERROR(INDEX('Material routes'!$H$6:$H$2205,MATCH(U1300,'Material routes'!$A$6:$A$2205,0)),"MISSING ID")</x:f>
        <x:v>Processed material</x:v>
      </x:c>
      <x:c r="D1300" s="4" t="str">
        <x:f>IFERROR(INDEX('Material routes'!$G$6:$G$2205,MATCH(U1300,'Material routes'!$A$6:$A$2205,0)),"MISSING ID")</x:f>
        <x:v>Crafting components</x:v>
      </x:c>
      <x:c r="E1300" s="4" t="str">
        <x:f>IFERROR(INDEX('Material routes'!$C$6:$C$2205,MATCH(U1300,'Material routes'!$A$6:$A$2205,0)),"MISSING ID")</x:f>
        <x:v>Ingredient candidate</x:v>
      </x:c>
      <x:c r="F1300" s="4" t="str">
        <x:f>IFERROR(INDEX('Material routes'!$E$6:$E$2205,MATCH(V1300,'Material routes'!$A$6:$A$2205,0)),"MISSING ID")</x:f>
        <x:v>Electrical insulating boots</x:v>
      </x:c>
      <x:c r="G1300" s="4" t="str">
        <x:f>IFERROR(INDEX('Material routes'!$F$6:$F$2205,MATCH(V1300,'Material routes'!$A$6:$A$2205,0)),"MISSING ID")</x:f>
        <x:v>Not applicable</x:v>
      </x:c>
      <x:c r="H1300" s="4" t="str">
        <x:f>IFERROR(INDEX('Material routes'!$H$6:$H$2205,MATCH(V1300,'Material routes'!$A$6:$A$2205,0)),"MISSING ID")</x:f>
        <x:v>Wearable</x:v>
      </x:c>
      <x:c r="I1300" s="4" t="str">
        <x:f>IFERROR(INDEX('Material routes'!$G$6:$G$2205,MATCH(V1300,'Material routes'!$A$6:$A$2205,0)),"MISSING ID")</x:f>
        <x:v>Clothing</x:v>
      </x:c>
      <x:c r="J1300" s="4" t="str">
        <x:f>IFERROR(INDEX('Material routes'!$B$6:$B$2205,MATCH(U1300,'Material routes'!$A$6:$A$2205,0)),"MISSING ID")</x:f>
        <x:v>design.audit.author_electrical_insulated_boots</x:v>
      </x:c>
      <x:c r="K1300" s="4" t="str">
        <x:f>IFERROR(INDEX('Crafting recipes'!$C$6:$C$1005,MATCH(J1300,'Crafting recipes'!$A$6:$A$1005,0)),"MISSING ID")</x:f>
        <x:v>Finished-item crafting</x:v>
      </x:c>
      <x:c r="L1300" s="4" t="str">
        <x:f>IFERROR(INDEX('Material routes'!$K$6:$K$2205,MATCH(U1300,'Material routes'!$A$6:$A$2205,0)),"MISSING ID")</x:f>
        <x:v>Proposal</x:v>
      </x:c>
      <x:c r="M1300" s="4" t="str">
        <x:f>IFERROR(INDEX('Material routes'!$M$6:$M$2205,MATCH(U1300,'Material routes'!$A$6:$A$2205,0)),"MISSING ID")</x:f>
        <x:v>Partial proposal</x:v>
      </x:c>
      <x:c r="N1300" s="4"/>
      <x:c r="O1300" s="4" t="str">
        <x:f>IFERROR(INDEX('Material routes'!$J$6:$J$2205,MATCH(U1300,'Material routes'!$A$6:$A$2205,0)),"MISSING ID")</x:f>
        <x:v>Unspecified</x:v>
      </x:c>
      <x:c r="P1300" s="4"/>
      <x:c r="Q1300" s="4" t="str">
        <x:f>IFERROR(INDEX('Material routes'!$J$6:$J$2205,MATCH(V1300,'Material routes'!$A$6:$A$2205,0)),"MISSING ID")</x:f>
        <x:v>Unspecified</x:v>
      </x:c>
      <x:c r="R1300" s="4" t="str">
        <x:f>IF(L1300="Withheld","Withheld premise",IF(E1300="Tool candidate","Reusable prerequisite",IF(K1300="Raw entry preparation","Entry-resource preparation",IF(G1300="Not applicable",IF(IFERROR(INDEX('Items'!$AI$6:$AI$1005,MATCH(T1300,'Items'!$A$6:$A$1005,0)),"MISSING ID")="Finished item","Finished endpoint",IF(IFERROR(INDEX('Items'!$AI$6:$AI$1005,MATCH(T1300,'Items'!$A$6:$A$1005,0)),"MISSING ID")="Currency","Currency / no refinement tier","Recovered output / tier not applicable")),IF(OR(IFERROR(INDEX('Crafting recipes'!$H$6:$H$1005,MATCH(J1300,'Crafting recipes'!$A$6:$A$1005,0)),"MISSING ID")="Unassigned",G1300="Unassigned"),"Tier unresolved",IF(IFERROR(VALUE(RIGHT(G1300,1))-VALUE(RIGHT(IFERROR(INDEX('Crafting recipes'!$H$6:$H$1005,MATCH(J1300,'Crafting recipes'!$A$6:$A$1005,0)),"MISSING ID"),1)),0)=1,IF(B1300=IFERROR(INDEX('Crafting recipes'!$H$6:$H$1005,MATCH(J1300,'Crafting recipes'!$A$6:$A$1005,0)),"MISSING ID"),"Advances one material tier","Lower-tier ingredient; route advances one tier"),"Needs tier review"))))))</x:f>
        <x:v>Finished endpoint</x:v>
      </x:c>
      <x:c r="S1300" s="4" t="str">
        <x:f>IFERROR(INDEX('Material routes'!$D$6:$D$2205,MATCH(U1300,'Material routes'!$A$6:$A$2205,0)),"MISSING ID")</x:f>
        <x:v>proposal.bio.hide_material</x:v>
      </x:c>
      <x:c r="T1300" s="4" t="str">
        <x:f>IFERROR(INDEX('Material routes'!$D$6:$D$2205,MATCH(V1300,'Material routes'!$A$6:$A$2205,0)),"MISSING ID")</x:f>
        <x:v>author.electrical.insulated_boots</x:v>
      </x:c>
      <x:c r="U1300" s="4" t="str">
        <x:v>design.audit.author_electrical_insulated_boots.audit.in.2</x:v>
      </x:c>
      <x:c r="V1300" s="4" t="str">
        <x:v>design.audit.author_electrical_insulated_boots.audit.out</x:v>
      </x:c>
    </x:row>
    <x:row r="1301" ht="64" customHeight="1">
      <x:c r="A1301" s="4" t="str">
        <x:f>IFERROR(INDEX('Material routes'!$E$6:$E$2205,MATCH(U1301,'Material routes'!$A$6:$A$2205,0)),"MISSING ID")</x:f>
        <x:v>Bonded ceramic-shell composite</x:v>
      </x:c>
      <x:c r="B1301" s="4" t="str">
        <x:f>IFERROR(INDEX('Material routes'!$F$6:$F$2205,MATCH(U1301,'Material routes'!$A$6:$A$2205,0)),"MISSING ID")</x:f>
        <x:v>T3</x:v>
      </x:c>
      <x:c r="C1301" s="4" t="str">
        <x:f>IFERROR(INDEX('Material routes'!$H$6:$H$2205,MATCH(U1301,'Material routes'!$A$6:$A$2205,0)),"MISSING ID")</x:f>
        <x:v>Processed material</x:v>
      </x:c>
      <x:c r="D1301" s="4" t="str">
        <x:f>IFERROR(INDEX('Material routes'!$G$6:$G$2205,MATCH(U1301,'Material routes'!$A$6:$A$2205,0)),"MISSING ID")</x:f>
        <x:v>Manufactured stock</x:v>
      </x:c>
      <x:c r="E1301" s="4" t="str">
        <x:f>IFERROR(INDEX('Material routes'!$C$6:$C$2205,MATCH(U1301,'Material routes'!$A$6:$A$2205,0)),"MISSING ID")</x:f>
        <x:v>Ingredient candidate</x:v>
      </x:c>
      <x:c r="F1301" s="4" t="str">
        <x:f>IFERROR(INDEX('Material routes'!$E$6:$E$2205,MATCH(V1301,'Material routes'!$A$6:$A$2205,0)),"MISSING ID")</x:f>
        <x:v>Electrical insulating boots</x:v>
      </x:c>
      <x:c r="G1301" s="4" t="str">
        <x:f>IFERROR(INDEX('Material routes'!$F$6:$F$2205,MATCH(V1301,'Material routes'!$A$6:$A$2205,0)),"MISSING ID")</x:f>
        <x:v>Not applicable</x:v>
      </x:c>
      <x:c r="H1301" s="4" t="str">
        <x:f>IFERROR(INDEX('Material routes'!$H$6:$H$2205,MATCH(V1301,'Material routes'!$A$6:$A$2205,0)),"MISSING ID")</x:f>
        <x:v>Wearable</x:v>
      </x:c>
      <x:c r="I1301" s="4" t="str">
        <x:f>IFERROR(INDEX('Material routes'!$G$6:$G$2205,MATCH(V1301,'Material routes'!$A$6:$A$2205,0)),"MISSING ID")</x:f>
        <x:v>Clothing</x:v>
      </x:c>
      <x:c r="J1301" s="4" t="str">
        <x:f>IFERROR(INDEX('Material routes'!$B$6:$B$2205,MATCH(U1301,'Material routes'!$A$6:$A$2205,0)),"MISSING ID")</x:f>
        <x:v>design.audit.author_electrical_insulated_boots</x:v>
      </x:c>
      <x:c r="K1301" s="4" t="str">
        <x:f>IFERROR(INDEX('Crafting recipes'!$C$6:$C$1005,MATCH(J1301,'Crafting recipes'!$A$6:$A$1005,0)),"MISSING ID")</x:f>
        <x:v>Finished-item crafting</x:v>
      </x:c>
      <x:c r="L1301" s="4" t="str">
        <x:f>IFERROR(INDEX('Material routes'!$K$6:$K$2205,MATCH(U1301,'Material routes'!$A$6:$A$2205,0)),"MISSING ID")</x:f>
        <x:v>Proposal</x:v>
      </x:c>
      <x:c r="M1301" s="4" t="str">
        <x:f>IFERROR(INDEX('Material routes'!$M$6:$M$2205,MATCH(U1301,'Material routes'!$A$6:$A$2205,0)),"MISSING ID")</x:f>
        <x:v>Partial proposal</x:v>
      </x:c>
      <x:c r="N1301" s="4"/>
      <x:c r="O1301" s="4" t="str">
        <x:f>IFERROR(INDEX('Material routes'!$J$6:$J$2205,MATCH(U1301,'Material routes'!$A$6:$A$2205,0)),"MISSING ID")</x:f>
        <x:v>Unspecified</x:v>
      </x:c>
      <x:c r="P1301" s="4"/>
      <x:c r="Q1301" s="4" t="str">
        <x:f>IFERROR(INDEX('Material routes'!$J$6:$J$2205,MATCH(V1301,'Material routes'!$A$6:$A$2205,0)),"MISSING ID")</x:f>
        <x:v>Unspecified</x:v>
      </x:c>
      <x:c r="R1301" s="4" t="str">
        <x:f>IF(L1301="Withheld","Withheld premise",IF(E1301="Tool candidate","Reusable prerequisite",IF(K1301="Raw entry preparation","Entry-resource preparation",IF(G1301="Not applicable",IF(IFERROR(INDEX('Items'!$AI$6:$AI$1005,MATCH(T1301,'Items'!$A$6:$A$1005,0)),"MISSING ID")="Finished item","Finished endpoint",IF(IFERROR(INDEX('Items'!$AI$6:$AI$1005,MATCH(T1301,'Items'!$A$6:$A$1005,0)),"MISSING ID")="Currency","Currency / no refinement tier","Recovered output / tier not applicable")),IF(OR(IFERROR(INDEX('Crafting recipes'!$H$6:$H$1005,MATCH(J1301,'Crafting recipes'!$A$6:$A$1005,0)),"MISSING ID")="Unassigned",G1301="Unassigned"),"Tier unresolved",IF(IFERROR(VALUE(RIGHT(G1301,1))-VALUE(RIGHT(IFERROR(INDEX('Crafting recipes'!$H$6:$H$1005,MATCH(J1301,'Crafting recipes'!$A$6:$A$1005,0)),"MISSING ID"),1)),0)=1,IF(B1301=IFERROR(INDEX('Crafting recipes'!$H$6:$H$1005,MATCH(J1301,'Crafting recipes'!$A$6:$A$1005,0)),"MISSING ID"),"Advances one material tier","Lower-tier ingredient; route advances one tier"),"Needs tier review"))))))</x:f>
        <x:v>Finished endpoint</x:v>
      </x:c>
      <x:c r="S1301" s="4" t="str">
        <x:f>IFERROR(INDEX('Material routes'!$D$6:$D$2205,MATCH(U1301,'Material routes'!$A$6:$A$2205,0)),"MISSING ID")</x:f>
        <x:v>proposal.branch.ceramic_shell</x:v>
      </x:c>
      <x:c r="T1301" s="4" t="str">
        <x:f>IFERROR(INDEX('Material routes'!$D$6:$D$2205,MATCH(V1301,'Material routes'!$A$6:$A$2205,0)),"MISSING ID")</x:f>
        <x:v>author.electrical.insulated_boots</x:v>
      </x:c>
      <x:c r="U1301" s="4" t="str">
        <x:v>design.audit.author_electrical_insulated_boots.audit.in.3</x:v>
      </x:c>
      <x:c r="V1301" s="4" t="str">
        <x:v>design.audit.author_electrical_insulated_boots.audit.out</x:v>
      </x:c>
    </x:row>
    <x:row r="1302" ht="64" customHeight="1">
      <x:c r="A1302" s="4"/>
      <x:c r="B1302" s="4"/>
      <x:c r="C1302" s="4"/>
      <x:c r="D1302" s="4"/>
      <x:c r="E1302" s="4"/>
      <x:c r="F1302" s="4"/>
      <x:c r="G1302" s="4"/>
      <x:c r="H1302" s="4"/>
      <x:c r="I1302" s="4"/>
      <x:c r="J1302" s="4"/>
      <x:c r="K1302" s="4"/>
      <x:c r="L1302" s="4"/>
      <x:c r="M1302" s="4"/>
      <x:c r="N1302" s="4"/>
      <x:c r="P1302" s="4"/>
      <x:c r="R1302" s="4"/>
      <x:c r="S1302" s="4"/>
      <x:c r="T1302" s="4"/>
      <x:c r="U1302" s="4"/>
      <x:c r="V1302" s="4"/>
    </x:row>
    <x:row r="1303" ht="64" customHeight="1">
      <x:c r="A1303" s="4"/>
      <x:c r="B1303" s="4"/>
      <x:c r="C1303" s="4"/>
      <x:c r="D1303" s="4"/>
      <x:c r="E1303" s="4"/>
      <x:c r="F1303" s="4"/>
      <x:c r="G1303" s="4"/>
      <x:c r="H1303" s="4"/>
      <x:c r="I1303" s="4"/>
      <x:c r="J1303" s="4"/>
      <x:c r="K1303" s="4"/>
      <x:c r="L1303" s="4"/>
      <x:c r="M1303" s="4"/>
      <x:c r="N1303" s="4"/>
      <x:c r="P1303" s="4"/>
      <x:c r="R1303" s="4"/>
      <x:c r="S1303" s="4"/>
      <x:c r="T1303" s="4"/>
      <x:c r="U1303" s="4"/>
      <x:c r="V1303" s="4"/>
    </x:row>
    <x:row r="1304" ht="64" customHeight="1">
      <x:c r="A1304" s="4" t="str">
        <x:f>IFERROR(INDEX('Material routes'!$E$6:$E$2205,MATCH(U1304,'Material routes'!$A$6:$A$2205,0)),"MISSING ID")</x:f>
        <x:v>Steel stock</x:v>
      </x:c>
      <x:c r="B1304" s="4" t="str">
        <x:f>IFERROR(INDEX('Material routes'!$F$6:$F$2205,MATCH(U1304,'Material routes'!$A$6:$A$2205,0)),"MISSING ID")</x:f>
        <x:v>T2</x:v>
      </x:c>
      <x:c r="C1304" s="4" t="str">
        <x:f>IFERROR(INDEX('Material routes'!$H$6:$H$2205,MATCH(U1304,'Material routes'!$A$6:$A$2205,0)),"MISSING ID")</x:f>
        <x:v>Processed material</x:v>
      </x:c>
      <x:c r="D1304" s="4" t="str">
        <x:f>IFERROR(INDEX('Material routes'!$G$6:$G$2205,MATCH(U1304,'Material routes'!$A$6:$A$2205,0)),"MISSING ID")</x:f>
        <x:v>Manufactured stock</x:v>
      </x:c>
      <x:c r="E1304" s="4" t="str">
        <x:f>IFERROR(INDEX('Material routes'!$C$6:$C$2205,MATCH(U1304,'Material routes'!$A$6:$A$2205,0)),"MISSING ID")</x:f>
        <x:v>Ingredient candidate</x:v>
      </x:c>
      <x:c r="F1304" s="4" t="str">
        <x:f>IFERROR(INDEX('Material routes'!$E$6:$E$2205,MATCH(V1304,'Material routes'!$A$6:$A$2205,0)),"MISSING ID")</x:f>
        <x:v>Smithing tongs</x:v>
      </x:c>
      <x:c r="G1304" s="4" t="str">
        <x:f>IFERROR(INDEX('Material routes'!$F$6:$F$2205,MATCH(V1304,'Material routes'!$A$6:$A$2205,0)),"MISSING ID")</x:f>
        <x:v>Not applicable</x:v>
      </x:c>
      <x:c r="H1304" s="4" t="str">
        <x:f>IFERROR(INDEX('Material routes'!$H$6:$H$2205,MATCH(V1304,'Material routes'!$A$6:$A$2205,0)),"MISSING ID")</x:f>
        <x:v>Tool</x:v>
      </x:c>
      <x:c r="I1304" s="4" t="str">
        <x:f>IFERROR(INDEX('Material routes'!$G$6:$G$2205,MATCH(V1304,'Material routes'!$A$6:$A$2205,0)),"MISSING ID")</x:f>
        <x:v>Salvage</x:v>
      </x:c>
      <x:c r="J1304" s="4" t="str">
        <x:f>IFERROR(INDEX('Material routes'!$B$6:$B$2205,MATCH(U1304,'Material routes'!$A$6:$A$2205,0)),"MISSING ID")</x:f>
        <x:v>design.audit.proposal_forging_tongs</x:v>
      </x:c>
      <x:c r="K1304" s="4" t="str">
        <x:f>IFERROR(INDEX('Crafting recipes'!$C$6:$C$1005,MATCH(J1304,'Crafting recipes'!$A$6:$A$1005,0)),"MISSING ID")</x:f>
        <x:v>Finished-item crafting</x:v>
      </x:c>
      <x:c r="L1304" s="4" t="str">
        <x:f>IFERROR(INDEX('Material routes'!$K$6:$K$2205,MATCH(U1304,'Material routes'!$A$6:$A$2205,0)),"MISSING ID")</x:f>
        <x:v>Proposal</x:v>
      </x:c>
      <x:c r="M1304" s="4" t="str">
        <x:f>IFERROR(INDEX('Material routes'!$M$6:$M$2205,MATCH(U1304,'Material routes'!$A$6:$A$2205,0)),"MISSING ID")</x:f>
        <x:v>Partial proposal</x:v>
      </x:c>
      <x:c r="N1304" s="4"/>
      <x:c r="O1304" s="4" t="str">
        <x:f>IFERROR(INDEX('Material routes'!$J$6:$J$2205,MATCH(U1304,'Material routes'!$A$6:$A$2205,0)),"MISSING ID")</x:f>
        <x:v>Unspecified</x:v>
      </x:c>
      <x:c r="P1304" s="4"/>
      <x:c r="Q1304" s="4" t="str">
        <x:f>IFERROR(INDEX('Material routes'!$J$6:$J$2205,MATCH(V1304,'Material routes'!$A$6:$A$2205,0)),"MISSING ID")</x:f>
        <x:v>Unspecified</x:v>
      </x:c>
      <x:c r="R1304" s="4" t="str">
        <x:f>IF(L1304="Withheld","Withheld premise",IF(E1304="Tool candidate","Reusable prerequisite",IF(K1304="Raw entry preparation","Entry-resource preparation",IF(G1304="Not applicable",IF(IFERROR(INDEX('Items'!$AI$6:$AI$1005,MATCH(T1304,'Items'!$A$6:$A$1005,0)),"MISSING ID")="Finished item","Finished endpoint",IF(IFERROR(INDEX('Items'!$AI$6:$AI$1005,MATCH(T1304,'Items'!$A$6:$A$1005,0)),"MISSING ID")="Currency","Currency / no refinement tier","Recovered output / tier not applicable")),IF(OR(IFERROR(INDEX('Crafting recipes'!$H$6:$H$1005,MATCH(J1304,'Crafting recipes'!$A$6:$A$1005,0)),"MISSING ID")="Unassigned",G1304="Unassigned"),"Tier unresolved",IF(IFERROR(VALUE(RIGHT(G1304,1))-VALUE(RIGHT(IFERROR(INDEX('Crafting recipes'!$H$6:$H$1005,MATCH(J1304,'Crafting recipes'!$A$6:$A$1005,0)),"MISSING ID"),1)),0)=1,IF(B1304=IFERROR(INDEX('Crafting recipes'!$H$6:$H$1005,MATCH(J1304,'Crafting recipes'!$A$6:$A$1005,0)),"MISSING ID"),"Advances one material tier","Lower-tier ingredient; route advances one tier"),"Needs tier review"))))))</x:f>
        <x:v>Finished endpoint</x:v>
      </x:c>
      <x:c r="S1304" s="4" t="str">
        <x:f>IFERROR(INDEX('Material routes'!$D$6:$D$2205,MATCH(U1304,'Material routes'!$A$6:$A$2205,0)),"MISSING ID")</x:f>
        <x:v>author.metallurgy.steel_stock</x:v>
      </x:c>
      <x:c r="T1304" s="4" t="str">
        <x:f>IFERROR(INDEX('Material routes'!$D$6:$D$2205,MATCH(V1304,'Material routes'!$A$6:$A$2205,0)),"MISSING ID")</x:f>
        <x:v>proposal.forging.tongs</x:v>
      </x:c>
      <x:c r="U1304" s="4" t="str">
        <x:v>design.audit.proposal_forging_tongs.audit.in.1</x:v>
      </x:c>
      <x:c r="V1304" s="4" t="str">
        <x:v>design.audit.proposal_forging_tongs.audit.out</x:v>
      </x:c>
    </x:row>
    <x:row r="1305" ht="64" customHeight="1">
      <x:c r="A1305" s="4" t="str">
        <x:f>IFERROR(INDEX('Material routes'!$E$6:$E$2205,MATCH(U1305,'Material routes'!$A$6:$A$2205,0)),"MISSING ID")</x:f>
        <x:v>Replaceable joint pin</x:v>
      </x:c>
      <x:c r="B1305" s="4" t="str">
        <x:f>IFERROR(INDEX('Material routes'!$F$6:$F$2205,MATCH(U1305,'Material routes'!$A$6:$A$2205,0)),"MISSING ID")</x:f>
        <x:v>T3</x:v>
      </x:c>
      <x:c r="C1305" s="4" t="str">
        <x:f>IFERROR(INDEX('Material routes'!$H$6:$H$2205,MATCH(U1305,'Material routes'!$A$6:$A$2205,0)),"MISSING ID")</x:f>
        <x:v>Crafting component</x:v>
      </x:c>
      <x:c r="D1305" s="4" t="str">
        <x:f>IFERROR(INDEX('Material routes'!$G$6:$G$2205,MATCH(U1305,'Material routes'!$A$6:$A$2205,0)),"MISSING ID")</x:f>
        <x:v>Crafting components</x:v>
      </x:c>
      <x:c r="E1305" s="4" t="str">
        <x:f>IFERROR(INDEX('Material routes'!$C$6:$C$2205,MATCH(U1305,'Material routes'!$A$6:$A$2205,0)),"MISSING ID")</x:f>
        <x:v>Ingredient candidate</x:v>
      </x:c>
      <x:c r="F1305" s="4" t="str">
        <x:f>IFERROR(INDEX('Material routes'!$E$6:$E$2205,MATCH(V1305,'Material routes'!$A$6:$A$2205,0)),"MISSING ID")</x:f>
        <x:v>Smithing tongs</x:v>
      </x:c>
      <x:c r="G1305" s="4" t="str">
        <x:f>IFERROR(INDEX('Material routes'!$F$6:$F$2205,MATCH(V1305,'Material routes'!$A$6:$A$2205,0)),"MISSING ID")</x:f>
        <x:v>Not applicable</x:v>
      </x:c>
      <x:c r="H1305" s="4" t="str">
        <x:f>IFERROR(INDEX('Material routes'!$H$6:$H$2205,MATCH(V1305,'Material routes'!$A$6:$A$2205,0)),"MISSING ID")</x:f>
        <x:v>Tool</x:v>
      </x:c>
      <x:c r="I1305" s="4" t="str">
        <x:f>IFERROR(INDEX('Material routes'!$G$6:$G$2205,MATCH(V1305,'Material routes'!$A$6:$A$2205,0)),"MISSING ID")</x:f>
        <x:v>Salvage</x:v>
      </x:c>
      <x:c r="J1305" s="4" t="str">
        <x:f>IFERROR(INDEX('Material routes'!$B$6:$B$2205,MATCH(U1305,'Material routes'!$A$6:$A$2205,0)),"MISSING ID")</x:f>
        <x:v>design.audit.proposal_forging_tongs</x:v>
      </x:c>
      <x:c r="K1305" s="4" t="str">
        <x:f>IFERROR(INDEX('Crafting recipes'!$C$6:$C$1005,MATCH(J1305,'Crafting recipes'!$A$6:$A$1005,0)),"MISSING ID")</x:f>
        <x:v>Finished-item crafting</x:v>
      </x:c>
      <x:c r="L1305" s="4" t="str">
        <x:f>IFERROR(INDEX('Material routes'!$K$6:$K$2205,MATCH(U1305,'Material routes'!$A$6:$A$2205,0)),"MISSING ID")</x:f>
        <x:v>Proposal</x:v>
      </x:c>
      <x:c r="M1305" s="4" t="str">
        <x:f>IFERROR(INDEX('Material routes'!$M$6:$M$2205,MATCH(U1305,'Material routes'!$A$6:$A$2205,0)),"MISSING ID")</x:f>
        <x:v>Partial proposal</x:v>
      </x:c>
      <x:c r="N1305" s="4"/>
      <x:c r="O1305" s="4" t="str">
        <x:f>IFERROR(INDEX('Material routes'!$J$6:$J$2205,MATCH(U1305,'Material routes'!$A$6:$A$2205,0)),"MISSING ID")</x:f>
        <x:v>Unspecified</x:v>
      </x:c>
      <x:c r="P1305" s="4"/>
      <x:c r="Q1305" s="4" t="str">
        <x:f>IFERROR(INDEX('Material routes'!$J$6:$J$2205,MATCH(V1305,'Material routes'!$A$6:$A$2205,0)),"MISSING ID")</x:f>
        <x:v>Unspecified</x:v>
      </x:c>
      <x:c r="R1305" s="4" t="str">
        <x:f>IF(L1305="Withheld","Withheld premise",IF(E1305="Tool candidate","Reusable prerequisite",IF(K1305="Raw entry preparation","Entry-resource preparation",IF(G1305="Not applicable",IF(IFERROR(INDEX('Items'!$AI$6:$AI$1005,MATCH(T1305,'Items'!$A$6:$A$1005,0)),"MISSING ID")="Finished item","Finished endpoint",IF(IFERROR(INDEX('Items'!$AI$6:$AI$1005,MATCH(T1305,'Items'!$A$6:$A$1005,0)),"MISSING ID")="Currency","Currency / no refinement tier","Recovered output / tier not applicable")),IF(OR(IFERROR(INDEX('Crafting recipes'!$H$6:$H$1005,MATCH(J1305,'Crafting recipes'!$A$6:$A$1005,0)),"MISSING ID")="Unassigned",G1305="Unassigned"),"Tier unresolved",IF(IFERROR(VALUE(RIGHT(G1305,1))-VALUE(RIGHT(IFERROR(INDEX('Crafting recipes'!$H$6:$H$1005,MATCH(J1305,'Crafting recipes'!$A$6:$A$1005,0)),"MISSING ID"),1)),0)=1,IF(B1305=IFERROR(INDEX('Crafting recipes'!$H$6:$H$1005,MATCH(J1305,'Crafting recipes'!$A$6:$A$1005,0)),"MISSING ID"),"Advances one material tier","Lower-tier ingredient; route advances one tier"),"Needs tier review"))))))</x:f>
        <x:v>Finished endpoint</x:v>
      </x:c>
      <x:c r="S1305" s="4" t="str">
        <x:f>IFERROR(INDEX('Material routes'!$D$6:$D$2205,MATCH(U1305,'Material routes'!$A$6:$A$2205,0)),"MISSING ID")</x:f>
        <x:v>proposal.legger.joint_pin</x:v>
      </x:c>
      <x:c r="T1305" s="4" t="str">
        <x:f>IFERROR(INDEX('Material routes'!$D$6:$D$2205,MATCH(V1305,'Material routes'!$A$6:$A$2205,0)),"MISSING ID")</x:f>
        <x:v>proposal.forging.tongs</x:v>
      </x:c>
      <x:c r="U1305" s="4" t="str">
        <x:v>design.audit.proposal_forging_tongs.audit.in.2</x:v>
      </x:c>
      <x:c r="V1305" s="4" t="str">
        <x:v>design.audit.proposal_forging_tongs.audit.out</x:v>
      </x:c>
    </x:row>
    <x:row r="1306" ht="64" customHeight="1">
      <x:c r="A1306" s="4" t="str">
        <x:f>IFERROR(INDEX('Material routes'!$E$6:$E$2205,MATCH(U1306,'Material routes'!$A$6:$A$2205,0)),"MISSING ID")</x:f>
        <x:v>Steel stock</x:v>
      </x:c>
      <x:c r="B1306" s="4" t="str">
        <x:f>IFERROR(INDEX('Material routes'!$F$6:$F$2205,MATCH(U1306,'Material routes'!$A$6:$A$2205,0)),"MISSING ID")</x:f>
        <x:v>T2</x:v>
      </x:c>
      <x:c r="C1306" s="4" t="str">
        <x:f>IFERROR(INDEX('Material routes'!$H$6:$H$2205,MATCH(U1306,'Material routes'!$A$6:$A$2205,0)),"MISSING ID")</x:f>
        <x:v>Processed material</x:v>
      </x:c>
      <x:c r="D1306" s="4" t="str">
        <x:f>IFERROR(INDEX('Material routes'!$G$6:$G$2205,MATCH(U1306,'Material routes'!$A$6:$A$2205,0)),"MISSING ID")</x:f>
        <x:v>Manufactured stock</x:v>
      </x:c>
      <x:c r="E1306" s="4" t="str">
        <x:f>IFERROR(INDEX('Material routes'!$C$6:$C$2205,MATCH(U1306,'Material routes'!$A$6:$A$2205,0)),"MISSING ID")</x:f>
        <x:v>Ingredient candidate</x:v>
      </x:c>
      <x:c r="F1306" s="4" t="str">
        <x:f>IFERROR(INDEX('Material routes'!$E$6:$E$2205,MATCH(V1306,'Material routes'!$A$6:$A$2205,0)),"MISSING ID")</x:f>
        <x:v>Forging sledge</x:v>
      </x:c>
      <x:c r="G1306" s="4" t="str">
        <x:f>IFERROR(INDEX('Material routes'!$F$6:$F$2205,MATCH(V1306,'Material routes'!$A$6:$A$2205,0)),"MISSING ID")</x:f>
        <x:v>Not applicable</x:v>
      </x:c>
      <x:c r="H1306" s="4" t="str">
        <x:f>IFERROR(INDEX('Material routes'!$H$6:$H$2205,MATCH(V1306,'Material routes'!$A$6:$A$2205,0)),"MISSING ID")</x:f>
        <x:v>Tool</x:v>
      </x:c>
      <x:c r="I1306" s="4" t="str">
        <x:f>IFERROR(INDEX('Material routes'!$G$6:$G$2205,MATCH(V1306,'Material routes'!$A$6:$A$2205,0)),"MISSING ID")</x:f>
        <x:v>Salvage</x:v>
      </x:c>
      <x:c r="J1306" s="4" t="str">
        <x:f>IFERROR(INDEX('Material routes'!$B$6:$B$2205,MATCH(U1306,'Material routes'!$A$6:$A$2205,0)),"MISSING ID")</x:f>
        <x:v>design.audit.proposal_forging_sledge</x:v>
      </x:c>
      <x:c r="K1306" s="4" t="str">
        <x:f>IFERROR(INDEX('Crafting recipes'!$C$6:$C$1005,MATCH(J1306,'Crafting recipes'!$A$6:$A$1005,0)),"MISSING ID")</x:f>
        <x:v>Finished-item crafting</x:v>
      </x:c>
      <x:c r="L1306" s="4" t="str">
        <x:f>IFERROR(INDEX('Material routes'!$K$6:$K$2205,MATCH(U1306,'Material routes'!$A$6:$A$2205,0)),"MISSING ID")</x:f>
        <x:v>Proposal</x:v>
      </x:c>
      <x:c r="M1306" s="4" t="str">
        <x:f>IFERROR(INDEX('Material routes'!$M$6:$M$2205,MATCH(U1306,'Material routes'!$A$6:$A$2205,0)),"MISSING ID")</x:f>
        <x:v>Partial proposal</x:v>
      </x:c>
      <x:c r="N1306" s="4"/>
      <x:c r="O1306" s="4" t="str">
        <x:f>IFERROR(INDEX('Material routes'!$J$6:$J$2205,MATCH(U1306,'Material routes'!$A$6:$A$2205,0)),"MISSING ID")</x:f>
        <x:v>Unspecified</x:v>
      </x:c>
      <x:c r="P1306" s="4"/>
      <x:c r="Q1306" s="4" t="str">
        <x:f>IFERROR(INDEX('Material routes'!$J$6:$J$2205,MATCH(V1306,'Material routes'!$A$6:$A$2205,0)),"MISSING ID")</x:f>
        <x:v>Unspecified</x:v>
      </x:c>
      <x:c r="R1306" s="4" t="str">
        <x:f>IF(L1306="Withheld","Withheld premise",IF(E1306="Tool candidate","Reusable prerequisite",IF(K1306="Raw entry preparation","Entry-resource preparation",IF(G1306="Not applicable",IF(IFERROR(INDEX('Items'!$AI$6:$AI$1005,MATCH(T1306,'Items'!$A$6:$A$1005,0)),"MISSING ID")="Finished item","Finished endpoint",IF(IFERROR(INDEX('Items'!$AI$6:$AI$1005,MATCH(T1306,'Items'!$A$6:$A$1005,0)),"MISSING ID")="Currency","Currency / no refinement tier","Recovered output / tier not applicable")),IF(OR(IFERROR(INDEX('Crafting recipes'!$H$6:$H$1005,MATCH(J1306,'Crafting recipes'!$A$6:$A$1005,0)),"MISSING ID")="Unassigned",G1306="Unassigned"),"Tier unresolved",IF(IFERROR(VALUE(RIGHT(G1306,1))-VALUE(RIGHT(IFERROR(INDEX('Crafting recipes'!$H$6:$H$1005,MATCH(J1306,'Crafting recipes'!$A$6:$A$1005,0)),"MISSING ID"),1)),0)=1,IF(B1306=IFERROR(INDEX('Crafting recipes'!$H$6:$H$1005,MATCH(J1306,'Crafting recipes'!$A$6:$A$1005,0)),"MISSING ID"),"Advances one material tier","Lower-tier ingredient; route advances one tier"),"Needs tier review"))))))</x:f>
        <x:v>Finished endpoint</x:v>
      </x:c>
      <x:c r="S1306" s="4" t="str">
        <x:f>IFERROR(INDEX('Material routes'!$D$6:$D$2205,MATCH(U1306,'Material routes'!$A$6:$A$2205,0)),"MISSING ID")</x:f>
        <x:v>author.metallurgy.steel_stock</x:v>
      </x:c>
      <x:c r="T1306" s="4" t="str">
        <x:f>IFERROR(INDEX('Material routes'!$D$6:$D$2205,MATCH(V1306,'Material routes'!$A$6:$A$2205,0)),"MISSING ID")</x:f>
        <x:v>proposal.forging.sledge</x:v>
      </x:c>
      <x:c r="U1306" s="4" t="str">
        <x:v>design.audit.proposal_forging_sledge.audit.in.1</x:v>
      </x:c>
      <x:c r="V1306" s="4" t="str">
        <x:v>design.audit.proposal_forging_sledge.audit.out</x:v>
      </x:c>
    </x:row>
    <x:row r="1307" ht="64" customHeight="1">
      <x:c r="A1307" s="4" t="str">
        <x:f>IFERROR(INDEX('Material routes'!$E$6:$E$2205,MATCH(U1307,'Material routes'!$A$6:$A$2205,0)),"MISSING ID")</x:f>
        <x:v>Shaped metal grip blank</x:v>
      </x:c>
      <x:c r="B1307" s="4" t="str">
        <x:f>IFERROR(INDEX('Material routes'!$F$6:$F$2205,MATCH(U1307,'Material routes'!$A$6:$A$2205,0)),"MISSING ID")</x:f>
        <x:v>T3</x:v>
      </x:c>
      <x:c r="C1307" s="4" t="str">
        <x:f>IFERROR(INDEX('Material routes'!$H$6:$H$2205,MATCH(U1307,'Material routes'!$A$6:$A$2205,0)),"MISSING ID")</x:f>
        <x:v>Crafting component</x:v>
      </x:c>
      <x:c r="D1307" s="4" t="str">
        <x:f>IFERROR(INDEX('Material routes'!$G$6:$G$2205,MATCH(U1307,'Material routes'!$A$6:$A$2205,0)),"MISSING ID")</x:f>
        <x:v>Crafting components</x:v>
      </x:c>
      <x:c r="E1307" s="4" t="str">
        <x:f>IFERROR(INDEX('Material routes'!$C$6:$C$2205,MATCH(U1307,'Material routes'!$A$6:$A$2205,0)),"MISSING ID")</x:f>
        <x:v>Ingredient candidate</x:v>
      </x:c>
      <x:c r="F1307" s="4" t="str">
        <x:f>IFERROR(INDEX('Material routes'!$E$6:$E$2205,MATCH(V1307,'Material routes'!$A$6:$A$2205,0)),"MISSING ID")</x:f>
        <x:v>Forging sledge</x:v>
      </x:c>
      <x:c r="G1307" s="4" t="str">
        <x:f>IFERROR(INDEX('Material routes'!$F$6:$F$2205,MATCH(V1307,'Material routes'!$A$6:$A$2205,0)),"MISSING ID")</x:f>
        <x:v>Not applicable</x:v>
      </x:c>
      <x:c r="H1307" s="4" t="str">
        <x:f>IFERROR(INDEX('Material routes'!$H$6:$H$2205,MATCH(V1307,'Material routes'!$A$6:$A$2205,0)),"MISSING ID")</x:f>
        <x:v>Tool</x:v>
      </x:c>
      <x:c r="I1307" s="4" t="str">
        <x:f>IFERROR(INDEX('Material routes'!$G$6:$G$2205,MATCH(V1307,'Material routes'!$A$6:$A$2205,0)),"MISSING ID")</x:f>
        <x:v>Salvage</x:v>
      </x:c>
      <x:c r="J1307" s="4" t="str">
        <x:f>IFERROR(INDEX('Material routes'!$B$6:$B$2205,MATCH(U1307,'Material routes'!$A$6:$A$2205,0)),"MISSING ID")</x:f>
        <x:v>design.audit.proposal_forging_sledge</x:v>
      </x:c>
      <x:c r="K1307" s="4" t="str">
        <x:f>IFERROR(INDEX('Crafting recipes'!$C$6:$C$1005,MATCH(J1307,'Crafting recipes'!$A$6:$A$1005,0)),"MISSING ID")</x:f>
        <x:v>Finished-item crafting</x:v>
      </x:c>
      <x:c r="L1307" s="4" t="str">
        <x:f>IFERROR(INDEX('Material routes'!$K$6:$K$2205,MATCH(U1307,'Material routes'!$A$6:$A$2205,0)),"MISSING ID")</x:f>
        <x:v>Proposal</x:v>
      </x:c>
      <x:c r="M1307" s="4" t="str">
        <x:f>IFERROR(INDEX('Material routes'!$M$6:$M$2205,MATCH(U1307,'Material routes'!$A$6:$A$2205,0)),"MISSING ID")</x:f>
        <x:v>Partial proposal</x:v>
      </x:c>
      <x:c r="N1307" s="4"/>
      <x:c r="O1307" s="4" t="str">
        <x:f>IFERROR(INDEX('Material routes'!$J$6:$J$2205,MATCH(U1307,'Material routes'!$A$6:$A$2205,0)),"MISSING ID")</x:f>
        <x:v>Unspecified</x:v>
      </x:c>
      <x:c r="P1307" s="4"/>
      <x:c r="Q1307" s="4" t="str">
        <x:f>IFERROR(INDEX('Material routes'!$J$6:$J$2205,MATCH(V1307,'Material routes'!$A$6:$A$2205,0)),"MISSING ID")</x:f>
        <x:v>Unspecified</x:v>
      </x:c>
      <x:c r="R1307" s="4" t="str">
        <x:f>IF(L1307="Withheld","Withheld premise",IF(E1307="Tool candidate","Reusable prerequisite",IF(K1307="Raw entry preparation","Entry-resource preparation",IF(G1307="Not applicable",IF(IFERROR(INDEX('Items'!$AI$6:$AI$1005,MATCH(T1307,'Items'!$A$6:$A$1005,0)),"MISSING ID")="Finished item","Finished endpoint",IF(IFERROR(INDEX('Items'!$AI$6:$AI$1005,MATCH(T1307,'Items'!$A$6:$A$1005,0)),"MISSING ID")="Currency","Currency / no refinement tier","Recovered output / tier not applicable")),IF(OR(IFERROR(INDEX('Crafting recipes'!$H$6:$H$1005,MATCH(J1307,'Crafting recipes'!$A$6:$A$1005,0)),"MISSING ID")="Unassigned",G1307="Unassigned"),"Tier unresolved",IF(IFERROR(VALUE(RIGHT(G1307,1))-VALUE(RIGHT(IFERROR(INDEX('Crafting recipes'!$H$6:$H$1005,MATCH(J1307,'Crafting recipes'!$A$6:$A$1005,0)),"MISSING ID"),1)),0)=1,IF(B1307=IFERROR(INDEX('Crafting recipes'!$H$6:$H$1005,MATCH(J1307,'Crafting recipes'!$A$6:$A$1005,0)),"MISSING ID"),"Advances one material tier","Lower-tier ingredient; route advances one tier"),"Needs tier review"))))))</x:f>
        <x:v>Finished endpoint</x:v>
      </x:c>
      <x:c r="S1307" s="4" t="str">
        <x:f>IFERROR(INDEX('Material routes'!$D$6:$D$2205,MATCH(U1307,'Material routes'!$A$6:$A$2205,0)),"MISSING ID")</x:f>
        <x:v>proposal.audit.shaped_metal_grip_blank</x:v>
      </x:c>
      <x:c r="T1307" s="4" t="str">
        <x:f>IFERROR(INDEX('Material routes'!$D$6:$D$2205,MATCH(V1307,'Material routes'!$A$6:$A$2205,0)),"MISSING ID")</x:f>
        <x:v>proposal.forging.sledge</x:v>
      </x:c>
      <x:c r="U1307" s="4" t="str">
        <x:v>design.audit.proposal_forging_sledge.audit.in.2</x:v>
      </x:c>
      <x:c r="V1307" s="4" t="str">
        <x:v>design.audit.proposal_forging_sledge.audit.out</x:v>
      </x:c>
    </x:row>
    <x:row r="1308" ht="64" customHeight="1">
      <x:c r="A1308" s="4" t="str">
        <x:f>IFERROR(INDEX('Material routes'!$E$6:$E$2205,MATCH(U1308,'Material routes'!$A$6:$A$2205,0)),"MISSING ID")</x:f>
        <x:v>Steel stock</x:v>
      </x:c>
      <x:c r="B1308" s="4" t="str">
        <x:f>IFERROR(INDEX('Material routes'!$F$6:$F$2205,MATCH(U1308,'Material routes'!$A$6:$A$2205,0)),"MISSING ID")</x:f>
        <x:v>T2</x:v>
      </x:c>
      <x:c r="C1308" s="4" t="str">
        <x:f>IFERROR(INDEX('Material routes'!$H$6:$H$2205,MATCH(U1308,'Material routes'!$A$6:$A$2205,0)),"MISSING ID")</x:f>
        <x:v>Processed material</x:v>
      </x:c>
      <x:c r="D1308" s="4" t="str">
        <x:f>IFERROR(INDEX('Material routes'!$G$6:$G$2205,MATCH(U1308,'Material routes'!$A$6:$A$2205,0)),"MISSING ID")</x:f>
        <x:v>Manufactured stock</x:v>
      </x:c>
      <x:c r="E1308" s="4" t="str">
        <x:f>IFERROR(INDEX('Material routes'!$C$6:$C$2205,MATCH(U1308,'Material routes'!$A$6:$A$2205,0)),"MISSING ID")</x:f>
        <x:v>Ingredient candidate</x:v>
      </x:c>
      <x:c r="F1308" s="4" t="str">
        <x:f>IFERROR(INDEX('Material routes'!$E$6:$E$2205,MATCH(V1308,'Material routes'!$A$6:$A$2205,0)),"MISSING ID")</x:f>
        <x:v>Hot-cut chisel</x:v>
      </x:c>
      <x:c r="G1308" s="4" t="str">
        <x:f>IFERROR(INDEX('Material routes'!$F$6:$F$2205,MATCH(V1308,'Material routes'!$A$6:$A$2205,0)),"MISSING ID")</x:f>
        <x:v>Not applicable</x:v>
      </x:c>
      <x:c r="H1308" s="4" t="str">
        <x:f>IFERROR(INDEX('Material routes'!$H$6:$H$2205,MATCH(V1308,'Material routes'!$A$6:$A$2205,0)),"MISSING ID")</x:f>
        <x:v>Tool</x:v>
      </x:c>
      <x:c r="I1308" s="4" t="str">
        <x:f>IFERROR(INDEX('Material routes'!$G$6:$G$2205,MATCH(V1308,'Material routes'!$A$6:$A$2205,0)),"MISSING ID")</x:f>
        <x:v>Salvage</x:v>
      </x:c>
      <x:c r="J1308" s="4" t="str">
        <x:f>IFERROR(INDEX('Material routes'!$B$6:$B$2205,MATCH(U1308,'Material routes'!$A$6:$A$2205,0)),"MISSING ID")</x:f>
        <x:v>design.audit.proposal_forging_hot_cut</x:v>
      </x:c>
      <x:c r="K1308" s="4" t="str">
        <x:f>IFERROR(INDEX('Crafting recipes'!$C$6:$C$1005,MATCH(J1308,'Crafting recipes'!$A$6:$A$1005,0)),"MISSING ID")</x:f>
        <x:v>Finished-item crafting</x:v>
      </x:c>
      <x:c r="L1308" s="4" t="str">
        <x:f>IFERROR(INDEX('Material routes'!$K$6:$K$2205,MATCH(U1308,'Material routes'!$A$6:$A$2205,0)),"MISSING ID")</x:f>
        <x:v>Proposal</x:v>
      </x:c>
      <x:c r="M1308" s="4" t="str">
        <x:f>IFERROR(INDEX('Material routes'!$M$6:$M$2205,MATCH(U1308,'Material routes'!$A$6:$A$2205,0)),"MISSING ID")</x:f>
        <x:v>Partial proposal</x:v>
      </x:c>
      <x:c r="N1308" s="4"/>
      <x:c r="O1308" s="4" t="str">
        <x:f>IFERROR(INDEX('Material routes'!$J$6:$J$2205,MATCH(U1308,'Material routes'!$A$6:$A$2205,0)),"MISSING ID")</x:f>
        <x:v>Unspecified</x:v>
      </x:c>
      <x:c r="P1308" s="4"/>
      <x:c r="Q1308" s="4" t="str">
        <x:f>IFERROR(INDEX('Material routes'!$J$6:$J$2205,MATCH(V1308,'Material routes'!$A$6:$A$2205,0)),"MISSING ID")</x:f>
        <x:v>Unspecified</x:v>
      </x:c>
      <x:c r="R1308" s="4" t="str">
        <x:f>IF(L1308="Withheld","Withheld premise",IF(E1308="Tool candidate","Reusable prerequisite",IF(K1308="Raw entry preparation","Entry-resource preparation",IF(G1308="Not applicable",IF(IFERROR(INDEX('Items'!$AI$6:$AI$1005,MATCH(T1308,'Items'!$A$6:$A$1005,0)),"MISSING ID")="Finished item","Finished endpoint",IF(IFERROR(INDEX('Items'!$AI$6:$AI$1005,MATCH(T1308,'Items'!$A$6:$A$1005,0)),"MISSING ID")="Currency","Currency / no refinement tier","Recovered output / tier not applicable")),IF(OR(IFERROR(INDEX('Crafting recipes'!$H$6:$H$1005,MATCH(J1308,'Crafting recipes'!$A$6:$A$1005,0)),"MISSING ID")="Unassigned",G1308="Unassigned"),"Tier unresolved",IF(IFERROR(VALUE(RIGHT(G1308,1))-VALUE(RIGHT(IFERROR(INDEX('Crafting recipes'!$H$6:$H$1005,MATCH(J1308,'Crafting recipes'!$A$6:$A$1005,0)),"MISSING ID"),1)),0)=1,IF(B1308=IFERROR(INDEX('Crafting recipes'!$H$6:$H$1005,MATCH(J1308,'Crafting recipes'!$A$6:$A$1005,0)),"MISSING ID"),"Advances one material tier","Lower-tier ingredient; route advances one tier"),"Needs tier review"))))))</x:f>
        <x:v>Finished endpoint</x:v>
      </x:c>
      <x:c r="S1308" s="4" t="str">
        <x:f>IFERROR(INDEX('Material routes'!$D$6:$D$2205,MATCH(U1308,'Material routes'!$A$6:$A$2205,0)),"MISSING ID")</x:f>
        <x:v>author.metallurgy.steel_stock</x:v>
      </x:c>
      <x:c r="T1308" s="4" t="str">
        <x:f>IFERROR(INDEX('Material routes'!$D$6:$D$2205,MATCH(V1308,'Material routes'!$A$6:$A$2205,0)),"MISSING ID")</x:f>
        <x:v>proposal.forging.hot_cut</x:v>
      </x:c>
      <x:c r="U1308" s="4" t="str">
        <x:v>design.audit.proposal_forging_hot_cut.audit.in.1</x:v>
      </x:c>
      <x:c r="V1308" s="4" t="str">
        <x:v>design.audit.proposal_forging_hot_cut.audit.out</x:v>
      </x:c>
    </x:row>
    <x:row r="1309" ht="64" customHeight="1">
      <x:c r="A1309" s="4" t="str">
        <x:f>IFERROR(INDEX('Material routes'!$E$6:$E$2205,MATCH(U1309,'Material routes'!$A$6:$A$2205,0)),"MISSING ID")</x:f>
        <x:v>Steel stock</x:v>
      </x:c>
      <x:c r="B1309" s="4" t="str">
        <x:f>IFERROR(INDEX('Material routes'!$F$6:$F$2205,MATCH(U1309,'Material routes'!$A$6:$A$2205,0)),"MISSING ID")</x:f>
        <x:v>T2</x:v>
      </x:c>
      <x:c r="C1309" s="4" t="str">
        <x:f>IFERROR(INDEX('Material routes'!$H$6:$H$2205,MATCH(U1309,'Material routes'!$A$6:$A$2205,0)),"MISSING ID")</x:f>
        <x:v>Processed material</x:v>
      </x:c>
      <x:c r="D1309" s="4" t="str">
        <x:f>IFERROR(INDEX('Material routes'!$G$6:$G$2205,MATCH(U1309,'Material routes'!$A$6:$A$2205,0)),"MISSING ID")</x:f>
        <x:v>Manufactured stock</x:v>
      </x:c>
      <x:c r="E1309" s="4" t="str">
        <x:f>IFERROR(INDEX('Material routes'!$C$6:$C$2205,MATCH(U1309,'Material routes'!$A$6:$A$2205,0)),"MISSING ID")</x:f>
        <x:v>Ingredient candidate</x:v>
      </x:c>
      <x:c r="F1309" s="4" t="str">
        <x:f>IFERROR(INDEX('Material routes'!$E$6:$E$2205,MATCH(V1309,'Material routes'!$A$6:$A$2205,0)),"MISSING ID")</x:f>
        <x:v>Forging punch</x:v>
      </x:c>
      <x:c r="G1309" s="4" t="str">
        <x:f>IFERROR(INDEX('Material routes'!$F$6:$F$2205,MATCH(V1309,'Material routes'!$A$6:$A$2205,0)),"MISSING ID")</x:f>
        <x:v>Not applicable</x:v>
      </x:c>
      <x:c r="H1309" s="4" t="str">
        <x:f>IFERROR(INDEX('Material routes'!$H$6:$H$2205,MATCH(V1309,'Material routes'!$A$6:$A$2205,0)),"MISSING ID")</x:f>
        <x:v>Tool</x:v>
      </x:c>
      <x:c r="I1309" s="4" t="str">
        <x:f>IFERROR(INDEX('Material routes'!$G$6:$G$2205,MATCH(V1309,'Material routes'!$A$6:$A$2205,0)),"MISSING ID")</x:f>
        <x:v>Salvage</x:v>
      </x:c>
      <x:c r="J1309" s="4" t="str">
        <x:f>IFERROR(INDEX('Material routes'!$B$6:$B$2205,MATCH(U1309,'Material routes'!$A$6:$A$2205,0)),"MISSING ID")</x:f>
        <x:v>design.audit.proposal_forging_punch</x:v>
      </x:c>
      <x:c r="K1309" s="4" t="str">
        <x:f>IFERROR(INDEX('Crafting recipes'!$C$6:$C$1005,MATCH(J1309,'Crafting recipes'!$A$6:$A$1005,0)),"MISSING ID")</x:f>
        <x:v>Finished-item crafting</x:v>
      </x:c>
      <x:c r="L1309" s="4" t="str">
        <x:f>IFERROR(INDEX('Material routes'!$K$6:$K$2205,MATCH(U1309,'Material routes'!$A$6:$A$2205,0)),"MISSING ID")</x:f>
        <x:v>Proposal</x:v>
      </x:c>
      <x:c r="M1309" s="4" t="str">
        <x:f>IFERROR(INDEX('Material routes'!$M$6:$M$2205,MATCH(U1309,'Material routes'!$A$6:$A$2205,0)),"MISSING ID")</x:f>
        <x:v>Partial proposal</x:v>
      </x:c>
      <x:c r="N1309" s="4"/>
      <x:c r="O1309" s="4" t="str">
        <x:f>IFERROR(INDEX('Material routes'!$J$6:$J$2205,MATCH(U1309,'Material routes'!$A$6:$A$2205,0)),"MISSING ID")</x:f>
        <x:v>Unspecified</x:v>
      </x:c>
      <x:c r="P1309" s="4"/>
      <x:c r="Q1309" s="4" t="str">
        <x:f>IFERROR(INDEX('Material routes'!$J$6:$J$2205,MATCH(V1309,'Material routes'!$A$6:$A$2205,0)),"MISSING ID")</x:f>
        <x:v>Unspecified</x:v>
      </x:c>
      <x:c r="R1309" s="4" t="str">
        <x:f>IF(L1309="Withheld","Withheld premise",IF(E1309="Tool candidate","Reusable prerequisite",IF(K1309="Raw entry preparation","Entry-resource preparation",IF(G1309="Not applicable",IF(IFERROR(INDEX('Items'!$AI$6:$AI$1005,MATCH(T1309,'Items'!$A$6:$A$1005,0)),"MISSING ID")="Finished item","Finished endpoint",IF(IFERROR(INDEX('Items'!$AI$6:$AI$1005,MATCH(T1309,'Items'!$A$6:$A$1005,0)),"MISSING ID")="Currency","Currency / no refinement tier","Recovered output / tier not applicable")),IF(OR(IFERROR(INDEX('Crafting recipes'!$H$6:$H$1005,MATCH(J1309,'Crafting recipes'!$A$6:$A$1005,0)),"MISSING ID")="Unassigned",G1309="Unassigned"),"Tier unresolved",IF(IFERROR(VALUE(RIGHT(G1309,1))-VALUE(RIGHT(IFERROR(INDEX('Crafting recipes'!$H$6:$H$1005,MATCH(J1309,'Crafting recipes'!$A$6:$A$1005,0)),"MISSING ID"),1)),0)=1,IF(B1309=IFERROR(INDEX('Crafting recipes'!$H$6:$H$1005,MATCH(J1309,'Crafting recipes'!$A$6:$A$1005,0)),"MISSING ID"),"Advances one material tier","Lower-tier ingredient; route advances one tier"),"Needs tier review"))))))</x:f>
        <x:v>Finished endpoint</x:v>
      </x:c>
      <x:c r="S1309" s="4" t="str">
        <x:f>IFERROR(INDEX('Material routes'!$D$6:$D$2205,MATCH(U1309,'Material routes'!$A$6:$A$2205,0)),"MISSING ID")</x:f>
        <x:v>author.metallurgy.steel_stock</x:v>
      </x:c>
      <x:c r="T1309" s="4" t="str">
        <x:f>IFERROR(INDEX('Material routes'!$D$6:$D$2205,MATCH(V1309,'Material routes'!$A$6:$A$2205,0)),"MISSING ID")</x:f>
        <x:v>proposal.forging.punch</x:v>
      </x:c>
      <x:c r="U1309" s="4" t="str">
        <x:v>design.audit.proposal_forging_punch.audit.in.1</x:v>
      </x:c>
      <x:c r="V1309" s="4" t="str">
        <x:v>design.audit.proposal_forging_punch.audit.out</x:v>
      </x:c>
    </x:row>
    <x:row r="1310" ht="64" customHeight="1">
      <x:c r="A1310" s="4" t="str">
        <x:f>IFERROR(INDEX('Material routes'!$E$6:$E$2205,MATCH(U1310,'Material routes'!$A$6:$A$2205,0)),"MISSING ID")</x:f>
        <x:v>Steel stock</x:v>
      </x:c>
      <x:c r="B1310" s="4" t="str">
        <x:f>IFERROR(INDEX('Material routes'!$F$6:$F$2205,MATCH(U1310,'Material routes'!$A$6:$A$2205,0)),"MISSING ID")</x:f>
        <x:v>T2</x:v>
      </x:c>
      <x:c r="C1310" s="4" t="str">
        <x:f>IFERROR(INDEX('Material routes'!$H$6:$H$2205,MATCH(U1310,'Material routes'!$A$6:$A$2205,0)),"MISSING ID")</x:f>
        <x:v>Processed material</x:v>
      </x:c>
      <x:c r="D1310" s="4" t="str">
        <x:f>IFERROR(INDEX('Material routes'!$G$6:$G$2205,MATCH(U1310,'Material routes'!$A$6:$A$2205,0)),"MISSING ID")</x:f>
        <x:v>Manufactured stock</x:v>
      </x:c>
      <x:c r="E1310" s="4" t="str">
        <x:f>IFERROR(INDEX('Material routes'!$C$6:$C$2205,MATCH(U1310,'Material routes'!$A$6:$A$2205,0)),"MISSING ID")</x:f>
        <x:v>Ingredient candidate</x:v>
      </x:c>
      <x:c r="F1310" s="4" t="str">
        <x:f>IFERROR(INDEX('Material routes'!$E$6:$E$2205,MATCH(V1310,'Material routes'!$A$6:$A$2205,0)),"MISSING ID")</x:f>
        <x:v>Forming drift</x:v>
      </x:c>
      <x:c r="G1310" s="4" t="str">
        <x:f>IFERROR(INDEX('Material routes'!$F$6:$F$2205,MATCH(V1310,'Material routes'!$A$6:$A$2205,0)),"MISSING ID")</x:f>
        <x:v>Not applicable</x:v>
      </x:c>
      <x:c r="H1310" s="4" t="str">
        <x:f>IFERROR(INDEX('Material routes'!$H$6:$H$2205,MATCH(V1310,'Material routes'!$A$6:$A$2205,0)),"MISSING ID")</x:f>
        <x:v>Tool</x:v>
      </x:c>
      <x:c r="I1310" s="4" t="str">
        <x:f>IFERROR(INDEX('Material routes'!$G$6:$G$2205,MATCH(V1310,'Material routes'!$A$6:$A$2205,0)),"MISSING ID")</x:f>
        <x:v>Salvage</x:v>
      </x:c>
      <x:c r="J1310" s="4" t="str">
        <x:f>IFERROR(INDEX('Material routes'!$B$6:$B$2205,MATCH(U1310,'Material routes'!$A$6:$A$2205,0)),"MISSING ID")</x:f>
        <x:v>design.audit.proposal_forging_drift</x:v>
      </x:c>
      <x:c r="K1310" s="4" t="str">
        <x:f>IFERROR(INDEX('Crafting recipes'!$C$6:$C$1005,MATCH(J1310,'Crafting recipes'!$A$6:$A$1005,0)),"MISSING ID")</x:f>
        <x:v>Finished-item crafting</x:v>
      </x:c>
      <x:c r="L1310" s="4" t="str">
        <x:f>IFERROR(INDEX('Material routes'!$K$6:$K$2205,MATCH(U1310,'Material routes'!$A$6:$A$2205,0)),"MISSING ID")</x:f>
        <x:v>Proposal</x:v>
      </x:c>
      <x:c r="M1310" s="4" t="str">
        <x:f>IFERROR(INDEX('Material routes'!$M$6:$M$2205,MATCH(U1310,'Material routes'!$A$6:$A$2205,0)),"MISSING ID")</x:f>
        <x:v>Partial proposal</x:v>
      </x:c>
      <x:c r="N1310" s="4"/>
      <x:c r="O1310" s="4" t="str">
        <x:f>IFERROR(INDEX('Material routes'!$J$6:$J$2205,MATCH(U1310,'Material routes'!$A$6:$A$2205,0)),"MISSING ID")</x:f>
        <x:v>Unspecified</x:v>
      </x:c>
      <x:c r="P1310" s="4"/>
      <x:c r="Q1310" s="4" t="str">
        <x:f>IFERROR(INDEX('Material routes'!$J$6:$J$2205,MATCH(V1310,'Material routes'!$A$6:$A$2205,0)),"MISSING ID")</x:f>
        <x:v>Unspecified</x:v>
      </x:c>
      <x:c r="R1310" s="4" t="str">
        <x:f>IF(L1310="Withheld","Withheld premise",IF(E1310="Tool candidate","Reusable prerequisite",IF(K1310="Raw entry preparation","Entry-resource preparation",IF(G1310="Not applicable",IF(IFERROR(INDEX('Items'!$AI$6:$AI$1005,MATCH(T1310,'Items'!$A$6:$A$1005,0)),"MISSING ID")="Finished item","Finished endpoint",IF(IFERROR(INDEX('Items'!$AI$6:$AI$1005,MATCH(T1310,'Items'!$A$6:$A$1005,0)),"MISSING ID")="Currency","Currency / no refinement tier","Recovered output / tier not applicable")),IF(OR(IFERROR(INDEX('Crafting recipes'!$H$6:$H$1005,MATCH(J1310,'Crafting recipes'!$A$6:$A$1005,0)),"MISSING ID")="Unassigned",G1310="Unassigned"),"Tier unresolved",IF(IFERROR(VALUE(RIGHT(G1310,1))-VALUE(RIGHT(IFERROR(INDEX('Crafting recipes'!$H$6:$H$1005,MATCH(J1310,'Crafting recipes'!$A$6:$A$1005,0)),"MISSING ID"),1)),0)=1,IF(B1310=IFERROR(INDEX('Crafting recipes'!$H$6:$H$1005,MATCH(J1310,'Crafting recipes'!$A$6:$A$1005,0)),"MISSING ID"),"Advances one material tier","Lower-tier ingredient; route advances one tier"),"Needs tier review"))))))</x:f>
        <x:v>Finished endpoint</x:v>
      </x:c>
      <x:c r="S1310" s="4" t="str">
        <x:f>IFERROR(INDEX('Material routes'!$D$6:$D$2205,MATCH(U1310,'Material routes'!$A$6:$A$2205,0)),"MISSING ID")</x:f>
        <x:v>author.metallurgy.steel_stock</x:v>
      </x:c>
      <x:c r="T1310" s="4" t="str">
        <x:f>IFERROR(INDEX('Material routes'!$D$6:$D$2205,MATCH(V1310,'Material routes'!$A$6:$A$2205,0)),"MISSING ID")</x:f>
        <x:v>proposal.forging.drift</x:v>
      </x:c>
      <x:c r="U1310" s="4" t="str">
        <x:v>design.audit.proposal_forging_drift.audit.in.1</x:v>
      </x:c>
      <x:c r="V1310" s="4" t="str">
        <x:v>design.audit.proposal_forging_drift.audit.out</x:v>
      </x:c>
    </x:row>
    <x:row r="1311" ht="64" customHeight="1">
      <x:c r="A1311" s="4" t="str">
        <x:f>IFERROR(INDEX('Material routes'!$E$6:$E$2205,MATCH(U1311,'Material routes'!$A$6:$A$2205,0)),"MISSING ID")</x:f>
        <x:v>Steel stock</x:v>
      </x:c>
      <x:c r="B1311" s="4" t="str">
        <x:f>IFERROR(INDEX('Material routes'!$F$6:$F$2205,MATCH(U1311,'Material routes'!$A$6:$A$2205,0)),"MISSING ID")</x:f>
        <x:v>T2</x:v>
      </x:c>
      <x:c r="C1311" s="4" t="str">
        <x:f>IFERROR(INDEX('Material routes'!$H$6:$H$2205,MATCH(U1311,'Material routes'!$A$6:$A$2205,0)),"MISSING ID")</x:f>
        <x:v>Processed material</x:v>
      </x:c>
      <x:c r="D1311" s="4" t="str">
        <x:f>IFERROR(INDEX('Material routes'!$G$6:$G$2205,MATCH(U1311,'Material routes'!$A$6:$A$2205,0)),"MISSING ID")</x:f>
        <x:v>Manufactured stock</x:v>
      </x:c>
      <x:c r="E1311" s="4" t="str">
        <x:f>IFERROR(INDEX('Material routes'!$C$6:$C$2205,MATCH(U1311,'Material routes'!$A$6:$A$2205,0)),"MISSING ID")</x:f>
        <x:v>Ingredient candidate</x:v>
      </x:c>
      <x:c r="F1311" s="4" t="str">
        <x:f>IFERROR(INDEX('Material routes'!$E$6:$E$2205,MATCH(V1311,'Material routes'!$A$6:$A$2205,0)),"MISSING ID")</x:f>
        <x:v>Swage block</x:v>
      </x:c>
      <x:c r="G1311" s="4" t="str">
        <x:f>IFERROR(INDEX('Material routes'!$F$6:$F$2205,MATCH(V1311,'Material routes'!$A$6:$A$2205,0)),"MISSING ID")</x:f>
        <x:v>Not applicable</x:v>
      </x:c>
      <x:c r="H1311" s="4" t="str">
        <x:f>IFERROR(INDEX('Material routes'!$H$6:$H$2205,MATCH(V1311,'Material routes'!$A$6:$A$2205,0)),"MISSING ID")</x:f>
        <x:v>Tool</x:v>
      </x:c>
      <x:c r="I1311" s="4" t="str">
        <x:f>IFERROR(INDEX('Material routes'!$G$6:$G$2205,MATCH(V1311,'Material routes'!$A$6:$A$2205,0)),"MISSING ID")</x:f>
        <x:v>Salvage</x:v>
      </x:c>
      <x:c r="J1311" s="4" t="str">
        <x:f>IFERROR(INDEX('Material routes'!$B$6:$B$2205,MATCH(U1311,'Material routes'!$A$6:$A$2205,0)),"MISSING ID")</x:f>
        <x:v>design.audit.proposal_forging_swage_block</x:v>
      </x:c>
      <x:c r="K1311" s="4" t="str">
        <x:f>IFERROR(INDEX('Crafting recipes'!$C$6:$C$1005,MATCH(J1311,'Crafting recipes'!$A$6:$A$1005,0)),"MISSING ID")</x:f>
        <x:v>Finished-item crafting</x:v>
      </x:c>
      <x:c r="L1311" s="4" t="str">
        <x:f>IFERROR(INDEX('Material routes'!$K$6:$K$2205,MATCH(U1311,'Material routes'!$A$6:$A$2205,0)),"MISSING ID")</x:f>
        <x:v>Proposal</x:v>
      </x:c>
      <x:c r="M1311" s="4" t="str">
        <x:f>IFERROR(INDEX('Material routes'!$M$6:$M$2205,MATCH(U1311,'Material routes'!$A$6:$A$2205,0)),"MISSING ID")</x:f>
        <x:v>Partial proposal</x:v>
      </x:c>
      <x:c r="N1311" s="4"/>
      <x:c r="O1311" s="4" t="str">
        <x:f>IFERROR(INDEX('Material routes'!$J$6:$J$2205,MATCH(U1311,'Material routes'!$A$6:$A$2205,0)),"MISSING ID")</x:f>
        <x:v>Unspecified</x:v>
      </x:c>
      <x:c r="P1311" s="4"/>
      <x:c r="Q1311" s="4" t="str">
        <x:f>IFERROR(INDEX('Material routes'!$J$6:$J$2205,MATCH(V1311,'Material routes'!$A$6:$A$2205,0)),"MISSING ID")</x:f>
        <x:v>Unspecified</x:v>
      </x:c>
      <x:c r="R1311" s="4" t="str">
        <x:f>IF(L1311="Withheld","Withheld premise",IF(E1311="Tool candidate","Reusable prerequisite",IF(K1311="Raw entry preparation","Entry-resource preparation",IF(G1311="Not applicable",IF(IFERROR(INDEX('Items'!$AI$6:$AI$1005,MATCH(T1311,'Items'!$A$6:$A$1005,0)),"MISSING ID")="Finished item","Finished endpoint",IF(IFERROR(INDEX('Items'!$AI$6:$AI$1005,MATCH(T1311,'Items'!$A$6:$A$1005,0)),"MISSING ID")="Currency","Currency / no refinement tier","Recovered output / tier not applicable")),IF(OR(IFERROR(INDEX('Crafting recipes'!$H$6:$H$1005,MATCH(J1311,'Crafting recipes'!$A$6:$A$1005,0)),"MISSING ID")="Unassigned",G1311="Unassigned"),"Tier unresolved",IF(IFERROR(VALUE(RIGHT(G1311,1))-VALUE(RIGHT(IFERROR(INDEX('Crafting recipes'!$H$6:$H$1005,MATCH(J1311,'Crafting recipes'!$A$6:$A$1005,0)),"MISSING ID"),1)),0)=1,IF(B1311=IFERROR(INDEX('Crafting recipes'!$H$6:$H$1005,MATCH(J1311,'Crafting recipes'!$A$6:$A$1005,0)),"MISSING ID"),"Advances one material tier","Lower-tier ingredient; route advances one tier"),"Needs tier review"))))))</x:f>
        <x:v>Finished endpoint</x:v>
      </x:c>
      <x:c r="S1311" s="4" t="str">
        <x:f>IFERROR(INDEX('Material routes'!$D$6:$D$2205,MATCH(U1311,'Material routes'!$A$6:$A$2205,0)),"MISSING ID")</x:f>
        <x:v>author.metallurgy.steel_stock</x:v>
      </x:c>
      <x:c r="T1311" s="4" t="str">
        <x:f>IFERROR(INDEX('Material routes'!$D$6:$D$2205,MATCH(V1311,'Material routes'!$A$6:$A$2205,0)),"MISSING ID")</x:f>
        <x:v>proposal.forging.swage_block</x:v>
      </x:c>
      <x:c r="U1311" s="4" t="str">
        <x:v>design.audit.proposal_forging_swage_block.audit.in.1</x:v>
      </x:c>
      <x:c r="V1311" s="4" t="str">
        <x:v>design.audit.proposal_forging_swage_block.audit.out</x:v>
      </x:c>
    </x:row>
    <x:row r="1312" ht="64" customHeight="1">
      <x:c r="A1312" s="4" t="str">
        <x:f>IFERROR(INDEX('Material routes'!$E$6:$E$2205,MATCH(U1312,'Material routes'!$A$6:$A$2205,0)),"MISSING ID")</x:f>
        <x:v>Steel stock</x:v>
      </x:c>
      <x:c r="B1312" s="4" t="str">
        <x:f>IFERROR(INDEX('Material routes'!$F$6:$F$2205,MATCH(U1312,'Material routes'!$A$6:$A$2205,0)),"MISSING ID")</x:f>
        <x:v>T2</x:v>
      </x:c>
      <x:c r="C1312" s="4" t="str">
        <x:f>IFERROR(INDEX('Material routes'!$H$6:$H$2205,MATCH(U1312,'Material routes'!$A$6:$A$2205,0)),"MISSING ID")</x:f>
        <x:v>Processed material</x:v>
      </x:c>
      <x:c r="D1312" s="4" t="str">
        <x:f>IFERROR(INDEX('Material routes'!$G$6:$G$2205,MATCH(U1312,'Material routes'!$A$6:$A$2205,0)),"MISSING ID")</x:f>
        <x:v>Manufactured stock</x:v>
      </x:c>
      <x:c r="E1312" s="4" t="str">
        <x:f>IFERROR(INDEX('Material routes'!$C$6:$C$2205,MATCH(U1312,'Material routes'!$A$6:$A$2205,0)),"MISSING ID")</x:f>
        <x:v>Ingredient candidate</x:v>
      </x:c>
      <x:c r="F1312" s="4" t="str">
        <x:f>IFERROR(INDEX('Material routes'!$E$6:$E$2205,MATCH(V1312,'Material routes'!$A$6:$A$2205,0)),"MISSING ID")</x:f>
        <x:v>Metalworking file</x:v>
      </x:c>
      <x:c r="G1312" s="4" t="str">
        <x:f>IFERROR(INDEX('Material routes'!$F$6:$F$2205,MATCH(V1312,'Material routes'!$A$6:$A$2205,0)),"MISSING ID")</x:f>
        <x:v>Not applicable</x:v>
      </x:c>
      <x:c r="H1312" s="4" t="str">
        <x:f>IFERROR(INDEX('Material routes'!$H$6:$H$2205,MATCH(V1312,'Material routes'!$A$6:$A$2205,0)),"MISSING ID")</x:f>
        <x:v>Tool</x:v>
      </x:c>
      <x:c r="I1312" s="4" t="str">
        <x:f>IFERROR(INDEX('Material routes'!$G$6:$G$2205,MATCH(V1312,'Material routes'!$A$6:$A$2205,0)),"MISSING ID")</x:f>
        <x:v>Salvage</x:v>
      </x:c>
      <x:c r="J1312" s="4" t="str">
        <x:f>IFERROR(INDEX('Material routes'!$B$6:$B$2205,MATCH(U1312,'Material routes'!$A$6:$A$2205,0)),"MISSING ID")</x:f>
        <x:v>design.audit.proposal_forging_file</x:v>
      </x:c>
      <x:c r="K1312" s="4" t="str">
        <x:f>IFERROR(INDEX('Crafting recipes'!$C$6:$C$1005,MATCH(J1312,'Crafting recipes'!$A$6:$A$1005,0)),"MISSING ID")</x:f>
        <x:v>Finished-item crafting</x:v>
      </x:c>
      <x:c r="L1312" s="4" t="str">
        <x:f>IFERROR(INDEX('Material routes'!$K$6:$K$2205,MATCH(U1312,'Material routes'!$A$6:$A$2205,0)),"MISSING ID")</x:f>
        <x:v>Proposal</x:v>
      </x:c>
      <x:c r="M1312" s="4" t="str">
        <x:f>IFERROR(INDEX('Material routes'!$M$6:$M$2205,MATCH(U1312,'Material routes'!$A$6:$A$2205,0)),"MISSING ID")</x:f>
        <x:v>Partial proposal</x:v>
      </x:c>
      <x:c r="N1312" s="4"/>
      <x:c r="O1312" s="4" t="str">
        <x:f>IFERROR(INDEX('Material routes'!$J$6:$J$2205,MATCH(U1312,'Material routes'!$A$6:$A$2205,0)),"MISSING ID")</x:f>
        <x:v>Unspecified</x:v>
      </x:c>
      <x:c r="P1312" s="4"/>
      <x:c r="Q1312" s="4" t="str">
        <x:f>IFERROR(INDEX('Material routes'!$J$6:$J$2205,MATCH(V1312,'Material routes'!$A$6:$A$2205,0)),"MISSING ID")</x:f>
        <x:v>Unspecified</x:v>
      </x:c>
      <x:c r="R1312" s="4" t="str">
        <x:f>IF(L1312="Withheld","Withheld premise",IF(E1312="Tool candidate","Reusable prerequisite",IF(K1312="Raw entry preparation","Entry-resource preparation",IF(G1312="Not applicable",IF(IFERROR(INDEX('Items'!$AI$6:$AI$1005,MATCH(T1312,'Items'!$A$6:$A$1005,0)),"MISSING ID")="Finished item","Finished endpoint",IF(IFERROR(INDEX('Items'!$AI$6:$AI$1005,MATCH(T1312,'Items'!$A$6:$A$1005,0)),"MISSING ID")="Currency","Currency / no refinement tier","Recovered output / tier not applicable")),IF(OR(IFERROR(INDEX('Crafting recipes'!$H$6:$H$1005,MATCH(J1312,'Crafting recipes'!$A$6:$A$1005,0)),"MISSING ID")="Unassigned",G1312="Unassigned"),"Tier unresolved",IF(IFERROR(VALUE(RIGHT(G1312,1))-VALUE(RIGHT(IFERROR(INDEX('Crafting recipes'!$H$6:$H$1005,MATCH(J1312,'Crafting recipes'!$A$6:$A$1005,0)),"MISSING ID"),1)),0)=1,IF(B1312=IFERROR(INDEX('Crafting recipes'!$H$6:$H$1005,MATCH(J1312,'Crafting recipes'!$A$6:$A$1005,0)),"MISSING ID"),"Advances one material tier","Lower-tier ingredient; route advances one tier"),"Needs tier review"))))))</x:f>
        <x:v>Finished endpoint</x:v>
      </x:c>
      <x:c r="S1312" s="4" t="str">
        <x:f>IFERROR(INDEX('Material routes'!$D$6:$D$2205,MATCH(U1312,'Material routes'!$A$6:$A$2205,0)),"MISSING ID")</x:f>
        <x:v>author.metallurgy.steel_stock</x:v>
      </x:c>
      <x:c r="T1312" s="4" t="str">
        <x:f>IFERROR(INDEX('Material routes'!$D$6:$D$2205,MATCH(V1312,'Material routes'!$A$6:$A$2205,0)),"MISSING ID")</x:f>
        <x:v>proposal.forging.file</x:v>
      </x:c>
      <x:c r="U1312" s="4" t="str">
        <x:v>design.audit.proposal_forging_file.audit.in.1</x:v>
      </x:c>
      <x:c r="V1312" s="4" t="str">
        <x:v>design.audit.proposal_forging_file.audit.out</x:v>
      </x:c>
    </x:row>
    <x:row r="1313" ht="64" customHeight="1">
      <x:c r="A1313" s="4" t="str">
        <x:f>IFERROR(INDEX('Material routes'!$E$6:$E$2205,MATCH(U1313,'Material routes'!$A$6:$A$2205,0)),"MISSING ID")</x:f>
        <x:v>Shaped metal grip blank</x:v>
      </x:c>
      <x:c r="B1313" s="4" t="str">
        <x:f>IFERROR(INDEX('Material routes'!$F$6:$F$2205,MATCH(U1313,'Material routes'!$A$6:$A$2205,0)),"MISSING ID")</x:f>
        <x:v>T3</x:v>
      </x:c>
      <x:c r="C1313" s="4" t="str">
        <x:f>IFERROR(INDEX('Material routes'!$H$6:$H$2205,MATCH(U1313,'Material routes'!$A$6:$A$2205,0)),"MISSING ID")</x:f>
        <x:v>Crafting component</x:v>
      </x:c>
      <x:c r="D1313" s="4" t="str">
        <x:f>IFERROR(INDEX('Material routes'!$G$6:$G$2205,MATCH(U1313,'Material routes'!$A$6:$A$2205,0)),"MISSING ID")</x:f>
        <x:v>Crafting components</x:v>
      </x:c>
      <x:c r="E1313" s="4" t="str">
        <x:f>IFERROR(INDEX('Material routes'!$C$6:$C$2205,MATCH(U1313,'Material routes'!$A$6:$A$2205,0)),"MISSING ID")</x:f>
        <x:v>Ingredient candidate</x:v>
      </x:c>
      <x:c r="F1313" s="4" t="str">
        <x:f>IFERROR(INDEX('Material routes'!$E$6:$E$2205,MATCH(V1313,'Material routes'!$A$6:$A$2205,0)),"MISSING ID")</x:f>
        <x:v>Metalworking file</x:v>
      </x:c>
      <x:c r="G1313" s="4" t="str">
        <x:f>IFERROR(INDEX('Material routes'!$F$6:$F$2205,MATCH(V1313,'Material routes'!$A$6:$A$2205,0)),"MISSING ID")</x:f>
        <x:v>Not applicable</x:v>
      </x:c>
      <x:c r="H1313" s="4" t="str">
        <x:f>IFERROR(INDEX('Material routes'!$H$6:$H$2205,MATCH(V1313,'Material routes'!$A$6:$A$2205,0)),"MISSING ID")</x:f>
        <x:v>Tool</x:v>
      </x:c>
      <x:c r="I1313" s="4" t="str">
        <x:f>IFERROR(INDEX('Material routes'!$G$6:$G$2205,MATCH(V1313,'Material routes'!$A$6:$A$2205,0)),"MISSING ID")</x:f>
        <x:v>Salvage</x:v>
      </x:c>
      <x:c r="J1313" s="4" t="str">
        <x:f>IFERROR(INDEX('Material routes'!$B$6:$B$2205,MATCH(U1313,'Material routes'!$A$6:$A$2205,0)),"MISSING ID")</x:f>
        <x:v>design.audit.proposal_forging_file</x:v>
      </x:c>
      <x:c r="K1313" s="4" t="str">
        <x:f>IFERROR(INDEX('Crafting recipes'!$C$6:$C$1005,MATCH(J1313,'Crafting recipes'!$A$6:$A$1005,0)),"MISSING ID")</x:f>
        <x:v>Finished-item crafting</x:v>
      </x:c>
      <x:c r="L1313" s="4" t="str">
        <x:f>IFERROR(INDEX('Material routes'!$K$6:$K$2205,MATCH(U1313,'Material routes'!$A$6:$A$2205,0)),"MISSING ID")</x:f>
        <x:v>Proposal</x:v>
      </x:c>
      <x:c r="M1313" s="4" t="str">
        <x:f>IFERROR(INDEX('Material routes'!$M$6:$M$2205,MATCH(U1313,'Material routes'!$A$6:$A$2205,0)),"MISSING ID")</x:f>
        <x:v>Partial proposal</x:v>
      </x:c>
      <x:c r="N1313" s="4"/>
      <x:c r="O1313" s="4" t="str">
        <x:f>IFERROR(INDEX('Material routes'!$J$6:$J$2205,MATCH(U1313,'Material routes'!$A$6:$A$2205,0)),"MISSING ID")</x:f>
        <x:v>Unspecified</x:v>
      </x:c>
      <x:c r="P1313" s="4"/>
      <x:c r="Q1313" s="4" t="str">
        <x:f>IFERROR(INDEX('Material routes'!$J$6:$J$2205,MATCH(V1313,'Material routes'!$A$6:$A$2205,0)),"MISSING ID")</x:f>
        <x:v>Unspecified</x:v>
      </x:c>
      <x:c r="R1313" s="4" t="str">
        <x:f>IF(L1313="Withheld","Withheld premise",IF(E1313="Tool candidate","Reusable prerequisite",IF(K1313="Raw entry preparation","Entry-resource preparation",IF(G1313="Not applicable",IF(IFERROR(INDEX('Items'!$AI$6:$AI$1005,MATCH(T1313,'Items'!$A$6:$A$1005,0)),"MISSING ID")="Finished item","Finished endpoint",IF(IFERROR(INDEX('Items'!$AI$6:$AI$1005,MATCH(T1313,'Items'!$A$6:$A$1005,0)),"MISSING ID")="Currency","Currency / no refinement tier","Recovered output / tier not applicable")),IF(OR(IFERROR(INDEX('Crafting recipes'!$H$6:$H$1005,MATCH(J1313,'Crafting recipes'!$A$6:$A$1005,0)),"MISSING ID")="Unassigned",G1313="Unassigned"),"Tier unresolved",IF(IFERROR(VALUE(RIGHT(G1313,1))-VALUE(RIGHT(IFERROR(INDEX('Crafting recipes'!$H$6:$H$1005,MATCH(J1313,'Crafting recipes'!$A$6:$A$1005,0)),"MISSING ID"),1)),0)=1,IF(B1313=IFERROR(INDEX('Crafting recipes'!$H$6:$H$1005,MATCH(J1313,'Crafting recipes'!$A$6:$A$1005,0)),"MISSING ID"),"Advances one material tier","Lower-tier ingredient; route advances one tier"),"Needs tier review"))))))</x:f>
        <x:v>Finished endpoint</x:v>
      </x:c>
      <x:c r="S1313" s="4" t="str">
        <x:f>IFERROR(INDEX('Material routes'!$D$6:$D$2205,MATCH(U1313,'Material routes'!$A$6:$A$2205,0)),"MISSING ID")</x:f>
        <x:v>proposal.audit.shaped_metal_grip_blank</x:v>
      </x:c>
      <x:c r="T1313" s="4" t="str">
        <x:f>IFERROR(INDEX('Material routes'!$D$6:$D$2205,MATCH(V1313,'Material routes'!$A$6:$A$2205,0)),"MISSING ID")</x:f>
        <x:v>proposal.forging.file</x:v>
      </x:c>
      <x:c r="U1313" s="4" t="str">
        <x:v>design.audit.proposal_forging_file.audit.in.2</x:v>
      </x:c>
      <x:c r="V1313" s="4" t="str">
        <x:v>design.audit.proposal_forging_file.audit.out</x:v>
      </x:c>
    </x:row>
    <x:row r="1314" ht="64" customHeight="1">
      <x:c r="A1314" s="4"/>
      <x:c r="B1314" s="4"/>
      <x:c r="C1314" s="4"/>
      <x:c r="D1314" s="4"/>
      <x:c r="E1314" s="4"/>
      <x:c r="F1314" s="4"/>
      <x:c r="G1314" s="4"/>
      <x:c r="H1314" s="4"/>
      <x:c r="I1314" s="4"/>
      <x:c r="J1314" s="4"/>
      <x:c r="K1314" s="4"/>
      <x:c r="L1314" s="4"/>
      <x:c r="M1314" s="4"/>
      <x:c r="N1314" s="4"/>
      <x:c r="P1314" s="4"/>
      <x:c r="R1314" s="4"/>
      <x:c r="S1314" s="4"/>
      <x:c r="T1314" s="4"/>
      <x:c r="U1314" s="4"/>
      <x:c r="V1314" s="4"/>
    </x:row>
    <x:row r="1315" ht="64" customHeight="1">
      <x:c r="A1315" s="4"/>
      <x:c r="B1315" s="4"/>
      <x:c r="C1315" s="4"/>
      <x:c r="D1315" s="4"/>
      <x:c r="E1315" s="4"/>
      <x:c r="F1315" s="4"/>
      <x:c r="G1315" s="4"/>
      <x:c r="H1315" s="4"/>
      <x:c r="I1315" s="4"/>
      <x:c r="J1315" s="4"/>
      <x:c r="K1315" s="4"/>
      <x:c r="L1315" s="4"/>
      <x:c r="M1315" s="4"/>
      <x:c r="N1315" s="4"/>
      <x:c r="P1315" s="4"/>
      <x:c r="R1315" s="4"/>
      <x:c r="S1315" s="4"/>
      <x:c r="T1315" s="4"/>
      <x:c r="U1315" s="4"/>
      <x:c r="V1315" s="4"/>
    </x:row>
    <x:row r="1316" ht="64" customHeight="1">
      <x:c r="A1316" s="4"/>
      <x:c r="B1316" s="4"/>
      <x:c r="C1316" s="4"/>
      <x:c r="D1316" s="4"/>
      <x:c r="E1316" s="4"/>
      <x:c r="F1316" s="4"/>
      <x:c r="G1316" s="4"/>
      <x:c r="H1316" s="4"/>
      <x:c r="I1316" s="4"/>
      <x:c r="J1316" s="4"/>
      <x:c r="K1316" s="4"/>
      <x:c r="L1316" s="4"/>
      <x:c r="M1316" s="4"/>
      <x:c r="N1316" s="4"/>
      <x:c r="P1316" s="4"/>
      <x:c r="R1316" s="4"/>
      <x:c r="S1316" s="4"/>
      <x:c r="T1316" s="4"/>
      <x:c r="U1316" s="4"/>
      <x:c r="V1316" s="4"/>
    </x:row>
    <x:row r="1317" ht="64" customHeight="1">
      <x:c r="A1317" s="4"/>
      <x:c r="B1317" s="4"/>
      <x:c r="C1317" s="4"/>
      <x:c r="D1317" s="4"/>
      <x:c r="E1317" s="4"/>
      <x:c r="F1317" s="4"/>
      <x:c r="G1317" s="4"/>
      <x:c r="H1317" s="4"/>
      <x:c r="I1317" s="4"/>
      <x:c r="J1317" s="4"/>
      <x:c r="K1317" s="4"/>
      <x:c r="L1317" s="4"/>
      <x:c r="M1317" s="4"/>
      <x:c r="N1317" s="4"/>
      <x:c r="P1317" s="4"/>
      <x:c r="R1317" s="4"/>
      <x:c r="S1317" s="4"/>
      <x:c r="T1317" s="4"/>
      <x:c r="U1317" s="4"/>
      <x:c r="V1317" s="4"/>
    </x:row>
    <x:row r="1318" ht="64" customHeight="1">
      <x:c r="A1318" s="4"/>
      <x:c r="B1318" s="4"/>
      <x:c r="C1318" s="4"/>
      <x:c r="D1318" s="4"/>
      <x:c r="E1318" s="4"/>
      <x:c r="F1318" s="4"/>
      <x:c r="G1318" s="4"/>
      <x:c r="H1318" s="4"/>
      <x:c r="I1318" s="4"/>
      <x:c r="J1318" s="4"/>
      <x:c r="K1318" s="4"/>
      <x:c r="L1318" s="4"/>
      <x:c r="M1318" s="4"/>
      <x:c r="N1318" s="4"/>
      <x:c r="P1318" s="4"/>
      <x:c r="R1318" s="4"/>
      <x:c r="S1318" s="4"/>
      <x:c r="T1318" s="4"/>
      <x:c r="U1318" s="4"/>
      <x:c r="V1318" s="4"/>
    </x:row>
    <x:row r="1319" ht="64" customHeight="1">
      <x:c r="A1319" s="4"/>
      <x:c r="B1319" s="4"/>
      <x:c r="C1319" s="4"/>
      <x:c r="D1319" s="4"/>
      <x:c r="E1319" s="4"/>
      <x:c r="F1319" s="4"/>
      <x:c r="G1319" s="4"/>
      <x:c r="H1319" s="4"/>
      <x:c r="I1319" s="4"/>
      <x:c r="J1319" s="4"/>
      <x:c r="K1319" s="4"/>
      <x:c r="L1319" s="4"/>
      <x:c r="M1319" s="4"/>
      <x:c r="N1319" s="4"/>
      <x:c r="P1319" s="4"/>
      <x:c r="R1319" s="4"/>
      <x:c r="S1319" s="4"/>
      <x:c r="T1319" s="4"/>
      <x:c r="U1319" s="4"/>
      <x:c r="V1319" s="4"/>
    </x:row>
    <x:row r="1320" ht="64" customHeight="1">
      <x:c r="A1320" s="4"/>
      <x:c r="B1320" s="4"/>
      <x:c r="C1320" s="4"/>
      <x:c r="D1320" s="4"/>
      <x:c r="E1320" s="4"/>
      <x:c r="F1320" s="4"/>
      <x:c r="G1320" s="4"/>
      <x:c r="H1320" s="4"/>
      <x:c r="I1320" s="4"/>
      <x:c r="J1320" s="4"/>
      <x:c r="K1320" s="4"/>
      <x:c r="L1320" s="4"/>
      <x:c r="M1320" s="4"/>
      <x:c r="N1320" s="4"/>
      <x:c r="P1320" s="4"/>
      <x:c r="R1320" s="4"/>
      <x:c r="S1320" s="4"/>
      <x:c r="T1320" s="4"/>
      <x:c r="U1320" s="4"/>
      <x:c r="V1320" s="4"/>
    </x:row>
    <x:row r="1321" ht="64" customHeight="1">
      <x:c r="A1321" s="4"/>
      <x:c r="B1321" s="4"/>
      <x:c r="C1321" s="4"/>
      <x:c r="D1321" s="4"/>
      <x:c r="E1321" s="4"/>
      <x:c r="F1321" s="4"/>
      <x:c r="G1321" s="4"/>
      <x:c r="H1321" s="4"/>
      <x:c r="I1321" s="4"/>
      <x:c r="J1321" s="4"/>
      <x:c r="K1321" s="4"/>
      <x:c r="L1321" s="4"/>
      <x:c r="M1321" s="4"/>
      <x:c r="N1321" s="4"/>
      <x:c r="P1321" s="4"/>
      <x:c r="R1321" s="4"/>
      <x:c r="S1321" s="4"/>
      <x:c r="T1321" s="4"/>
      <x:c r="U1321" s="4"/>
      <x:c r="V1321" s="4"/>
    </x:row>
    <x:row r="1322" ht="64" customHeight="1">
      <x:c r="A1322" s="4"/>
      <x:c r="B1322" s="4"/>
      <x:c r="C1322" s="4"/>
      <x:c r="D1322" s="4"/>
      <x:c r="E1322" s="4"/>
      <x:c r="F1322" s="4"/>
      <x:c r="G1322" s="4"/>
      <x:c r="H1322" s="4"/>
      <x:c r="I1322" s="4"/>
      <x:c r="J1322" s="4"/>
      <x:c r="K1322" s="4"/>
      <x:c r="L1322" s="4"/>
      <x:c r="M1322" s="4"/>
      <x:c r="N1322" s="4"/>
      <x:c r="P1322" s="4"/>
      <x:c r="R1322" s="4"/>
      <x:c r="S1322" s="4"/>
      <x:c r="T1322" s="4"/>
      <x:c r="U1322" s="4"/>
      <x:c r="V1322" s="4"/>
    </x:row>
    <x:row r="1323" ht="64" customHeight="1">
      <x:c r="A1323" s="4"/>
      <x:c r="B1323" s="4"/>
      <x:c r="C1323" s="4"/>
      <x:c r="D1323" s="4"/>
      <x:c r="E1323" s="4"/>
      <x:c r="F1323" s="4"/>
      <x:c r="G1323" s="4"/>
      <x:c r="H1323" s="4"/>
      <x:c r="I1323" s="4"/>
      <x:c r="J1323" s="4"/>
      <x:c r="K1323" s="4"/>
      <x:c r="L1323" s="4"/>
      <x:c r="M1323" s="4"/>
      <x:c r="N1323" s="4"/>
      <x:c r="P1323" s="4"/>
      <x:c r="R1323" s="4"/>
      <x:c r="S1323" s="4"/>
      <x:c r="T1323" s="4"/>
      <x:c r="U1323" s="4"/>
      <x:c r="V1323" s="4"/>
    </x:row>
    <x:row r="1324" ht="64" customHeight="1">
      <x:c r="A1324" s="4"/>
      <x:c r="B1324" s="4"/>
      <x:c r="C1324" s="4"/>
      <x:c r="D1324" s="4"/>
      <x:c r="E1324" s="4"/>
      <x:c r="F1324" s="4"/>
      <x:c r="G1324" s="4"/>
      <x:c r="H1324" s="4"/>
      <x:c r="I1324" s="4"/>
      <x:c r="J1324" s="4"/>
      <x:c r="K1324" s="4"/>
      <x:c r="L1324" s="4"/>
      <x:c r="M1324" s="4"/>
      <x:c r="N1324" s="4"/>
      <x:c r="P1324" s="4"/>
      <x:c r="R1324" s="4"/>
      <x:c r="S1324" s="4"/>
      <x:c r="T1324" s="4"/>
      <x:c r="U1324" s="4"/>
      <x:c r="V1324" s="4"/>
    </x:row>
    <x:row r="1325" ht="64" customHeight="1">
      <x:c r="A1325" s="4"/>
      <x:c r="B1325" s="4"/>
      <x:c r="C1325" s="4"/>
      <x:c r="D1325" s="4"/>
      <x:c r="E1325" s="4"/>
      <x:c r="F1325" s="4"/>
      <x:c r="G1325" s="4"/>
      <x:c r="H1325" s="4"/>
      <x:c r="I1325" s="4"/>
      <x:c r="J1325" s="4"/>
      <x:c r="K1325" s="4"/>
      <x:c r="L1325" s="4"/>
      <x:c r="M1325" s="4"/>
      <x:c r="N1325" s="4"/>
      <x:c r="P1325" s="4"/>
      <x:c r="R1325" s="4"/>
      <x:c r="S1325" s="4"/>
      <x:c r="T1325" s="4"/>
      <x:c r="U1325" s="4"/>
      <x:c r="V1325" s="4"/>
    </x:row>
    <x:row r="1326" ht="64" customHeight="1">
      <x:c r="A1326" s="4"/>
      <x:c r="B1326" s="4"/>
      <x:c r="C1326" s="4"/>
      <x:c r="D1326" s="4"/>
      <x:c r="E1326" s="4"/>
      <x:c r="F1326" s="4"/>
      <x:c r="G1326" s="4"/>
      <x:c r="H1326" s="4"/>
      <x:c r="I1326" s="4"/>
      <x:c r="J1326" s="4"/>
      <x:c r="K1326" s="4"/>
      <x:c r="L1326" s="4"/>
      <x:c r="M1326" s="4"/>
      <x:c r="N1326" s="4"/>
      <x:c r="P1326" s="4"/>
      <x:c r="R1326" s="4"/>
      <x:c r="S1326" s="4"/>
      <x:c r="T1326" s="4"/>
      <x:c r="U1326" s="4"/>
      <x:c r="V1326" s="4"/>
    </x:row>
    <x:row r="1327" ht="64" customHeight="1">
      <x:c r="A1327" s="4"/>
      <x:c r="B1327" s="4"/>
      <x:c r="C1327" s="4"/>
      <x:c r="D1327" s="4"/>
      <x:c r="E1327" s="4"/>
      <x:c r="F1327" s="4"/>
      <x:c r="G1327" s="4"/>
      <x:c r="H1327" s="4"/>
      <x:c r="I1327" s="4"/>
      <x:c r="J1327" s="4"/>
      <x:c r="K1327" s="4"/>
      <x:c r="L1327" s="4"/>
      <x:c r="M1327" s="4"/>
      <x:c r="N1327" s="4"/>
      <x:c r="P1327" s="4"/>
      <x:c r="R1327" s="4"/>
      <x:c r="S1327" s="4"/>
      <x:c r="T1327" s="4"/>
      <x:c r="U1327" s="4"/>
      <x:c r="V1327" s="4"/>
    </x:row>
    <x:row r="1328" ht="64" customHeight="1">
      <x:c r="A1328" s="4"/>
      <x:c r="B1328" s="4"/>
      <x:c r="C1328" s="4"/>
      <x:c r="D1328" s="4"/>
      <x:c r="E1328" s="4"/>
      <x:c r="F1328" s="4"/>
      <x:c r="G1328" s="4"/>
      <x:c r="H1328" s="4"/>
      <x:c r="I1328" s="4"/>
      <x:c r="J1328" s="4"/>
      <x:c r="K1328" s="4"/>
      <x:c r="L1328" s="4"/>
      <x:c r="M1328" s="4"/>
      <x:c r="N1328" s="4"/>
      <x:c r="P1328" s="4"/>
      <x:c r="R1328" s="4"/>
      <x:c r="S1328" s="4"/>
      <x:c r="T1328" s="4"/>
      <x:c r="U1328" s="4"/>
      <x:c r="V1328" s="4"/>
    </x:row>
    <x:row r="1329" ht="64" customHeight="1">
      <x:c r="A1329" s="4"/>
      <x:c r="B1329" s="4"/>
      <x:c r="C1329" s="4"/>
      <x:c r="D1329" s="4"/>
      <x:c r="E1329" s="4"/>
      <x:c r="F1329" s="4"/>
      <x:c r="G1329" s="4"/>
      <x:c r="H1329" s="4"/>
      <x:c r="I1329" s="4"/>
      <x:c r="J1329" s="4"/>
      <x:c r="K1329" s="4"/>
      <x:c r="L1329" s="4"/>
      <x:c r="M1329" s="4"/>
      <x:c r="N1329" s="4"/>
      <x:c r="P1329" s="4"/>
      <x:c r="R1329" s="4"/>
      <x:c r="S1329" s="4"/>
      <x:c r="T1329" s="4"/>
      <x:c r="U1329" s="4"/>
      <x:c r="V1329" s="4"/>
    </x:row>
    <x:row r="1330" ht="64" customHeight="1">
      <x:c r="A1330" s="4" t="str">
        <x:f>IFERROR(INDEX('Material routes'!$E$6:$E$2205,MATCH(U1330,'Material routes'!$A$6:$A$2205,0)),"MISSING ID")</x:f>
        <x:v>Hand-drill spindle</x:v>
      </x:c>
      <x:c r="B1330" s="4" t="str">
        <x:f>IFERROR(INDEX('Material routes'!$F$6:$F$2205,MATCH(U1330,'Material routes'!$A$6:$A$2205,0)),"MISSING ID")</x:f>
        <x:v>T3</x:v>
      </x:c>
      <x:c r="C1330" s="4" t="str">
        <x:f>IFERROR(INDEX('Material routes'!$H$6:$H$2205,MATCH(U1330,'Material routes'!$A$6:$A$2205,0)),"MISSING ID")</x:f>
        <x:v>Machine part</x:v>
      </x:c>
      <x:c r="D1330" s="4" t="str">
        <x:f>IFERROR(INDEX('Material routes'!$G$6:$G$2205,MATCH(U1330,'Material routes'!$A$6:$A$2205,0)),"MISSING ID")</x:f>
        <x:v>Crafting components</x:v>
      </x:c>
      <x:c r="E1330" s="4" t="str">
        <x:f>IFERROR(INDEX('Material routes'!$C$6:$C$2205,MATCH(U1330,'Material routes'!$A$6:$A$2205,0)),"MISSING ID")</x:f>
        <x:v>Ingredient candidate</x:v>
      </x:c>
      <x:c r="F1330" s="4" t="str">
        <x:f>IFERROR(INDEX('Material routes'!$E$6:$E$2205,MATCH(V1330,'Material routes'!$A$6:$A$2205,0)),"MISSING ID")</x:f>
        <x:v>Hand-cranked metal drill</x:v>
      </x:c>
      <x:c r="G1330" s="4" t="str">
        <x:f>IFERROR(INDEX('Material routes'!$F$6:$F$2205,MATCH(V1330,'Material routes'!$A$6:$A$2205,0)),"MISSING ID")</x:f>
        <x:v>Not applicable</x:v>
      </x:c>
      <x:c r="H1330" s="4" t="str">
        <x:f>IFERROR(INDEX('Material routes'!$H$6:$H$2205,MATCH(V1330,'Material routes'!$A$6:$A$2205,0)),"MISSING ID")</x:f>
        <x:v>Tool</x:v>
      </x:c>
      <x:c r="I1330" s="4" t="str">
        <x:f>IFERROR(INDEX('Material routes'!$G$6:$G$2205,MATCH(V1330,'Material routes'!$A$6:$A$2205,0)),"MISSING ID")</x:f>
        <x:v>Salvage</x:v>
      </x:c>
      <x:c r="J1330" s="4" t="str">
        <x:f>IFERROR(INDEX('Material routes'!$B$6:$B$2205,MATCH(U1330,'Material routes'!$A$6:$A$2205,0)),"MISSING ID")</x:f>
        <x:v>design.collection.hand_cranked_metal_drill</x:v>
      </x:c>
      <x:c r="K1330" s="4" t="str">
        <x:f>IFERROR(INDEX('Crafting recipes'!$C$6:$C$1005,MATCH(J1330,'Crafting recipes'!$A$6:$A$1005,0)),"MISSING ID")</x:f>
        <x:v>Finished-item crafting</x:v>
      </x:c>
      <x:c r="L1330" s="4" t="str">
        <x:f>IFERROR(INDEX('Material routes'!$K$6:$K$2205,MATCH(U1330,'Material routes'!$A$6:$A$2205,0)),"MISSING ID")</x:f>
        <x:v>Proposal</x:v>
      </x:c>
      <x:c r="M1330" s="4" t="str">
        <x:f>IFERROR(INDEX('Material routes'!$M$6:$M$2205,MATCH(U1330,'Material routes'!$A$6:$A$2205,0)),"MISSING ID")</x:f>
        <x:v>Partial proposal</x:v>
      </x:c>
      <x:c r="N1330" s="4"/>
      <x:c r="O1330" s="4" t="str">
        <x:f>IFERROR(INDEX('Material routes'!$J$6:$J$2205,MATCH(U1330,'Material routes'!$A$6:$A$2205,0)),"MISSING ID")</x:f>
        <x:v>Unspecified</x:v>
      </x:c>
      <x:c r="P1330" s="4"/>
      <x:c r="Q1330" s="4" t="str">
        <x:f>IFERROR(INDEX('Material routes'!$J$6:$J$2205,MATCH(V1330,'Material routes'!$A$6:$A$2205,0)),"MISSING ID")</x:f>
        <x:v>Unspecified</x:v>
      </x:c>
      <x:c r="R1330" s="4" t="str">
        <x:f>IF(L1330="Withheld","Withheld premise",IF(E1330="Tool candidate","Reusable prerequisite",IF(K1330="Raw entry preparation","Entry-resource preparation",IF(G1330="Not applicable",IF(IFERROR(INDEX('Items'!$AI$6:$AI$1005,MATCH(T1330,'Items'!$A$6:$A$1005,0)),"MISSING ID")="Finished item","Finished endpoint",IF(IFERROR(INDEX('Items'!$AI$6:$AI$1005,MATCH(T1330,'Items'!$A$6:$A$1005,0)),"MISSING ID")="Currency","Currency / no refinement tier","Recovered output / tier not applicable")),IF(OR(IFERROR(INDEX('Crafting recipes'!$H$6:$H$1005,MATCH(J1330,'Crafting recipes'!$A$6:$A$1005,0)),"MISSING ID")="Unassigned",G1330="Unassigned"),"Tier unresolved",IF(IFERROR(VALUE(RIGHT(G1330,1))-VALUE(RIGHT(IFERROR(INDEX('Crafting recipes'!$H$6:$H$1005,MATCH(J1330,'Crafting recipes'!$A$6:$A$1005,0)),"MISSING ID"),1)),0)=1,IF(B1330=IFERROR(INDEX('Crafting recipes'!$H$6:$H$1005,MATCH(J1330,'Crafting recipes'!$A$6:$A$1005,0)),"MISSING ID"),"Advances one material tier","Lower-tier ingredient; route advances one tier"),"Needs tier review"))))))</x:f>
        <x:v>Finished endpoint</x:v>
      </x:c>
      <x:c r="S1330" s="4" t="str">
        <x:f>IFERROR(INDEX('Material routes'!$D$6:$D$2205,MATCH(U1330,'Material routes'!$A$6:$A$2205,0)),"MISSING ID")</x:f>
        <x:v>proposal.audit.hand_drill_spindle</x:v>
      </x:c>
      <x:c r="T1330" s="4" t="str">
        <x:f>IFERROR(INDEX('Material routes'!$D$6:$D$2205,MATCH(V1330,'Material routes'!$A$6:$A$2205,0)),"MISSING ID")</x:f>
        <x:v>proposal.collection.hand_cranked_metal_drill</x:v>
      </x:c>
      <x:c r="U1330" s="4" t="str">
        <x:v>design.collection.hand_cranked_metal_drill.audit.extra.1</x:v>
      </x:c>
      <x:c r="V1330" s="4" t="str">
        <x:v>design.collection.hand_cranked_metal_drill.out</x:v>
      </x:c>
    </x:row>
    <x:row r="1331" ht="64" customHeight="1">
      <x:c r="A1331" s="4" t="str">
        <x:f>IFERROR(INDEX('Material routes'!$E$6:$E$2205,MATCH(U1331,'Material routes'!$A$6:$A$2205,0)),"MISSING ID")</x:f>
        <x:v>Straight-cut spur gear</x:v>
      </x:c>
      <x:c r="B1331" s="4" t="str">
        <x:f>IFERROR(INDEX('Material routes'!$F$6:$F$2205,MATCH(U1331,'Material routes'!$A$6:$A$2205,0)),"MISSING ID")</x:f>
        <x:v>T3</x:v>
      </x:c>
      <x:c r="C1331" s="4" t="str">
        <x:f>IFERROR(INDEX('Material routes'!$H$6:$H$2205,MATCH(U1331,'Material routes'!$A$6:$A$2205,0)),"MISSING ID")</x:f>
        <x:v>Machine part</x:v>
      </x:c>
      <x:c r="D1331" s="4" t="str">
        <x:f>IFERROR(INDEX('Material routes'!$G$6:$G$2205,MATCH(U1331,'Material routes'!$A$6:$A$2205,0)),"MISSING ID")</x:f>
        <x:v>Crafting components</x:v>
      </x:c>
      <x:c r="E1331" s="4" t="str">
        <x:f>IFERROR(INDEX('Material routes'!$C$6:$C$2205,MATCH(U1331,'Material routes'!$A$6:$A$2205,0)),"MISSING ID")</x:f>
        <x:v>Ingredient candidate</x:v>
      </x:c>
      <x:c r="F1331" s="4" t="str">
        <x:f>IFERROR(INDEX('Material routes'!$E$6:$E$2205,MATCH(V1331,'Material routes'!$A$6:$A$2205,0)),"MISSING ID")</x:f>
        <x:v>Hand-cranked metal drill</x:v>
      </x:c>
      <x:c r="G1331" s="4" t="str">
        <x:f>IFERROR(INDEX('Material routes'!$F$6:$F$2205,MATCH(V1331,'Material routes'!$A$6:$A$2205,0)),"MISSING ID")</x:f>
        <x:v>Not applicable</x:v>
      </x:c>
      <x:c r="H1331" s="4" t="str">
        <x:f>IFERROR(INDEX('Material routes'!$H$6:$H$2205,MATCH(V1331,'Material routes'!$A$6:$A$2205,0)),"MISSING ID")</x:f>
        <x:v>Tool</x:v>
      </x:c>
      <x:c r="I1331" s="4" t="str">
        <x:f>IFERROR(INDEX('Material routes'!$G$6:$G$2205,MATCH(V1331,'Material routes'!$A$6:$A$2205,0)),"MISSING ID")</x:f>
        <x:v>Salvage</x:v>
      </x:c>
      <x:c r="J1331" s="4" t="str">
        <x:f>IFERROR(INDEX('Material routes'!$B$6:$B$2205,MATCH(U1331,'Material routes'!$A$6:$A$2205,0)),"MISSING ID")</x:f>
        <x:v>design.collection.hand_cranked_metal_drill</x:v>
      </x:c>
      <x:c r="K1331" s="4" t="str">
        <x:f>IFERROR(INDEX('Crafting recipes'!$C$6:$C$1005,MATCH(J1331,'Crafting recipes'!$A$6:$A$1005,0)),"MISSING ID")</x:f>
        <x:v>Finished-item crafting</x:v>
      </x:c>
      <x:c r="L1331" s="4" t="str">
        <x:f>IFERROR(INDEX('Material routes'!$K$6:$K$2205,MATCH(U1331,'Material routes'!$A$6:$A$2205,0)),"MISSING ID")</x:f>
        <x:v>Proposal</x:v>
      </x:c>
      <x:c r="M1331" s="4" t="str">
        <x:f>IFERROR(INDEX('Material routes'!$M$6:$M$2205,MATCH(U1331,'Material routes'!$A$6:$A$2205,0)),"MISSING ID")</x:f>
        <x:v>Partial proposal</x:v>
      </x:c>
      <x:c r="N1331" s="4"/>
      <x:c r="O1331" s="4" t="str">
        <x:f>IFERROR(INDEX('Material routes'!$J$6:$J$2205,MATCH(U1331,'Material routes'!$A$6:$A$2205,0)),"MISSING ID")</x:f>
        <x:v>Unspecified</x:v>
      </x:c>
      <x:c r="P1331" s="4"/>
      <x:c r="Q1331" s="4" t="str">
        <x:f>IFERROR(INDEX('Material routes'!$J$6:$J$2205,MATCH(V1331,'Material routes'!$A$6:$A$2205,0)),"MISSING ID")</x:f>
        <x:v>Unspecified</x:v>
      </x:c>
      <x:c r="R1331" s="4" t="str">
        <x:f>IF(L1331="Withheld","Withheld premise",IF(E1331="Tool candidate","Reusable prerequisite",IF(K1331="Raw entry preparation","Entry-resource preparation",IF(G1331="Not applicable",IF(IFERROR(INDEX('Items'!$AI$6:$AI$1005,MATCH(T1331,'Items'!$A$6:$A$1005,0)),"MISSING ID")="Finished item","Finished endpoint",IF(IFERROR(INDEX('Items'!$AI$6:$AI$1005,MATCH(T1331,'Items'!$A$6:$A$1005,0)),"MISSING ID")="Currency","Currency / no refinement tier","Recovered output / tier not applicable")),IF(OR(IFERROR(INDEX('Crafting recipes'!$H$6:$H$1005,MATCH(J1331,'Crafting recipes'!$A$6:$A$1005,0)),"MISSING ID")="Unassigned",G1331="Unassigned"),"Tier unresolved",IF(IFERROR(VALUE(RIGHT(G1331,1))-VALUE(RIGHT(IFERROR(INDEX('Crafting recipes'!$H$6:$H$1005,MATCH(J1331,'Crafting recipes'!$A$6:$A$1005,0)),"MISSING ID"),1)),0)=1,IF(B1331=IFERROR(INDEX('Crafting recipes'!$H$6:$H$1005,MATCH(J1331,'Crafting recipes'!$A$6:$A$1005,0)),"MISSING ID"),"Advances one material tier","Lower-tier ingredient; route advances one tier"),"Needs tier review"))))))</x:f>
        <x:v>Finished endpoint</x:v>
      </x:c>
      <x:c r="S1331" s="4" t="str">
        <x:f>IFERROR(INDEX('Material routes'!$D$6:$D$2205,MATCH(U1331,'Material routes'!$A$6:$A$2205,0)),"MISSING ID")</x:f>
        <x:v>proposal.collection.straight_cut_spur_gear</x:v>
      </x:c>
      <x:c r="T1331" s="4" t="str">
        <x:f>IFERROR(INDEX('Material routes'!$D$6:$D$2205,MATCH(V1331,'Material routes'!$A$6:$A$2205,0)),"MISSING ID")</x:f>
        <x:v>proposal.collection.hand_cranked_metal_drill</x:v>
      </x:c>
      <x:c r="U1331" s="4" t="str">
        <x:v>design.collection.hand_cranked_metal_drill.audit.extra.2</x:v>
      </x:c>
      <x:c r="V1331" s="4" t="str">
        <x:v>design.collection.hand_cranked_metal_drill.out</x:v>
      </x:c>
    </x:row>
    <x:row r="1332" ht="64" customHeight="1">
      <x:c r="A1332" s="4" t="str">
        <x:f>IFERROR(INDEX('Material routes'!$E$6:$E$2205,MATCH(U1332,'Material routes'!$A$6:$A$2205,0)),"MISSING ID")</x:f>
        <x:v>Replaceable drill-bit insert</x:v>
      </x:c>
      <x:c r="B1332" s="4" t="str">
        <x:f>IFERROR(INDEX('Material routes'!$F$6:$F$2205,MATCH(U1332,'Material routes'!$A$6:$A$2205,0)),"MISSING ID")</x:f>
        <x:v>T3</x:v>
      </x:c>
      <x:c r="C1332" s="4" t="str">
        <x:f>IFERROR(INDEX('Material routes'!$H$6:$H$2205,MATCH(U1332,'Material routes'!$A$6:$A$2205,0)),"MISSING ID")</x:f>
        <x:v>Machine part</x:v>
      </x:c>
      <x:c r="D1332" s="4" t="str">
        <x:f>IFERROR(INDEX('Material routes'!$G$6:$G$2205,MATCH(U1332,'Material routes'!$A$6:$A$2205,0)),"MISSING ID")</x:f>
        <x:v>Crafting components</x:v>
      </x:c>
      <x:c r="E1332" s="4" t="str">
        <x:f>IFERROR(INDEX('Material routes'!$C$6:$C$2205,MATCH(U1332,'Material routes'!$A$6:$A$2205,0)),"MISSING ID")</x:f>
        <x:v>Ingredient candidate</x:v>
      </x:c>
      <x:c r="F1332" s="4" t="str">
        <x:f>IFERROR(INDEX('Material routes'!$E$6:$E$2205,MATCH(V1332,'Material routes'!$A$6:$A$2205,0)),"MISSING ID")</x:f>
        <x:v>Hand-cranked metal drill</x:v>
      </x:c>
      <x:c r="G1332" s="4" t="str">
        <x:f>IFERROR(INDEX('Material routes'!$F$6:$F$2205,MATCH(V1332,'Material routes'!$A$6:$A$2205,0)),"MISSING ID")</x:f>
        <x:v>Not applicable</x:v>
      </x:c>
      <x:c r="H1332" s="4" t="str">
        <x:f>IFERROR(INDEX('Material routes'!$H$6:$H$2205,MATCH(V1332,'Material routes'!$A$6:$A$2205,0)),"MISSING ID")</x:f>
        <x:v>Tool</x:v>
      </x:c>
      <x:c r="I1332" s="4" t="str">
        <x:f>IFERROR(INDEX('Material routes'!$G$6:$G$2205,MATCH(V1332,'Material routes'!$A$6:$A$2205,0)),"MISSING ID")</x:f>
        <x:v>Salvage</x:v>
      </x:c>
      <x:c r="J1332" s="4" t="str">
        <x:f>IFERROR(INDEX('Material routes'!$B$6:$B$2205,MATCH(U1332,'Material routes'!$A$6:$A$2205,0)),"MISSING ID")</x:f>
        <x:v>design.collection.hand_cranked_metal_drill</x:v>
      </x:c>
      <x:c r="K1332" s="4" t="str">
        <x:f>IFERROR(INDEX('Crafting recipes'!$C$6:$C$1005,MATCH(J1332,'Crafting recipes'!$A$6:$A$1005,0)),"MISSING ID")</x:f>
        <x:v>Finished-item crafting</x:v>
      </x:c>
      <x:c r="L1332" s="4" t="str">
        <x:f>IFERROR(INDEX('Material routes'!$K$6:$K$2205,MATCH(U1332,'Material routes'!$A$6:$A$2205,0)),"MISSING ID")</x:f>
        <x:v>Proposal</x:v>
      </x:c>
      <x:c r="M1332" s="4" t="str">
        <x:f>IFERROR(INDEX('Material routes'!$M$6:$M$2205,MATCH(U1332,'Material routes'!$A$6:$A$2205,0)),"MISSING ID")</x:f>
        <x:v>Partial proposal</x:v>
      </x:c>
      <x:c r="N1332" s="4"/>
      <x:c r="O1332" s="4" t="str">
        <x:f>IFERROR(INDEX('Material routes'!$J$6:$J$2205,MATCH(U1332,'Material routes'!$A$6:$A$2205,0)),"MISSING ID")</x:f>
        <x:v>Unspecified</x:v>
      </x:c>
      <x:c r="P1332" s="4"/>
      <x:c r="Q1332" s="4" t="str">
        <x:f>IFERROR(INDEX('Material routes'!$J$6:$J$2205,MATCH(V1332,'Material routes'!$A$6:$A$2205,0)),"MISSING ID")</x:f>
        <x:v>Unspecified</x:v>
      </x:c>
      <x:c r="R1332" s="4" t="str">
        <x:f>IF(L1332="Withheld","Withheld premise",IF(E1332="Tool candidate","Reusable prerequisite",IF(K1332="Raw entry preparation","Entry-resource preparation",IF(G1332="Not applicable",IF(IFERROR(INDEX('Items'!$AI$6:$AI$1005,MATCH(T1332,'Items'!$A$6:$A$1005,0)),"MISSING ID")="Finished item","Finished endpoint",IF(IFERROR(INDEX('Items'!$AI$6:$AI$1005,MATCH(T1332,'Items'!$A$6:$A$1005,0)),"MISSING ID")="Currency","Currency / no refinement tier","Recovered output / tier not applicable")),IF(OR(IFERROR(INDEX('Crafting recipes'!$H$6:$H$1005,MATCH(J1332,'Crafting recipes'!$A$6:$A$1005,0)),"MISSING ID")="Unassigned",G1332="Unassigned"),"Tier unresolved",IF(IFERROR(VALUE(RIGHT(G1332,1))-VALUE(RIGHT(IFERROR(INDEX('Crafting recipes'!$H$6:$H$1005,MATCH(J1332,'Crafting recipes'!$A$6:$A$1005,0)),"MISSING ID"),1)),0)=1,IF(B1332=IFERROR(INDEX('Crafting recipes'!$H$6:$H$1005,MATCH(J1332,'Crafting recipes'!$A$6:$A$1005,0)),"MISSING ID"),"Advances one material tier","Lower-tier ingredient; route advances one tier"),"Needs tier review"))))))</x:f>
        <x:v>Finished endpoint</x:v>
      </x:c>
      <x:c r="S1332" s="4" t="str">
        <x:f>IFERROR(INDEX('Material routes'!$D$6:$D$2205,MATCH(U1332,'Material routes'!$A$6:$A$2205,0)),"MISSING ID")</x:f>
        <x:v>proposal.audit.replaceable_drill_bit_insert</x:v>
      </x:c>
      <x:c r="T1332" s="4" t="str">
        <x:f>IFERROR(INDEX('Material routes'!$D$6:$D$2205,MATCH(V1332,'Material routes'!$A$6:$A$2205,0)),"MISSING ID")</x:f>
        <x:v>proposal.collection.hand_cranked_metal_drill</x:v>
      </x:c>
      <x:c r="U1332" s="4" t="str">
        <x:v>design.collection.hand_cranked_metal_drill.audit.extra.3</x:v>
      </x:c>
      <x:c r="V1332" s="4" t="str">
        <x:v>design.collection.hand_cranked_metal_drill.out</x:v>
      </x:c>
    </x:row>
    <x:row r="1333" ht="64" customHeight="1">
      <x:c r="A1333" s="4" t="str">
        <x:f>IFERROR(INDEX('Material routes'!$E$6:$E$2205,MATCH(U1333,'Material routes'!$A$6:$A$2205,0)),"MISSING ID")</x:f>
        <x:v>Shaped metal grip blank</x:v>
      </x:c>
      <x:c r="B1333" s="4" t="str">
        <x:f>IFERROR(INDEX('Material routes'!$F$6:$F$2205,MATCH(U1333,'Material routes'!$A$6:$A$2205,0)),"MISSING ID")</x:f>
        <x:v>T3</x:v>
      </x:c>
      <x:c r="C1333" s="4" t="str">
        <x:f>IFERROR(INDEX('Material routes'!$H$6:$H$2205,MATCH(U1333,'Material routes'!$A$6:$A$2205,0)),"MISSING ID")</x:f>
        <x:v>Crafting component</x:v>
      </x:c>
      <x:c r="D1333" s="4" t="str">
        <x:f>IFERROR(INDEX('Material routes'!$G$6:$G$2205,MATCH(U1333,'Material routes'!$A$6:$A$2205,0)),"MISSING ID")</x:f>
        <x:v>Crafting components</x:v>
      </x:c>
      <x:c r="E1333" s="4" t="str">
        <x:f>IFERROR(INDEX('Material routes'!$C$6:$C$2205,MATCH(U1333,'Material routes'!$A$6:$A$2205,0)),"MISSING ID")</x:f>
        <x:v>Ingredient candidate</x:v>
      </x:c>
      <x:c r="F1333" s="4" t="str">
        <x:f>IFERROR(INDEX('Material routes'!$E$6:$E$2205,MATCH(V1333,'Material routes'!$A$6:$A$2205,0)),"MISSING ID")</x:f>
        <x:v>Hand-cranked metal drill</x:v>
      </x:c>
      <x:c r="G1333" s="4" t="str">
        <x:f>IFERROR(INDEX('Material routes'!$F$6:$F$2205,MATCH(V1333,'Material routes'!$A$6:$A$2205,0)),"MISSING ID")</x:f>
        <x:v>Not applicable</x:v>
      </x:c>
      <x:c r="H1333" s="4" t="str">
        <x:f>IFERROR(INDEX('Material routes'!$H$6:$H$2205,MATCH(V1333,'Material routes'!$A$6:$A$2205,0)),"MISSING ID")</x:f>
        <x:v>Tool</x:v>
      </x:c>
      <x:c r="I1333" s="4" t="str">
        <x:f>IFERROR(INDEX('Material routes'!$G$6:$G$2205,MATCH(V1333,'Material routes'!$A$6:$A$2205,0)),"MISSING ID")</x:f>
        <x:v>Salvage</x:v>
      </x:c>
      <x:c r="J1333" s="4" t="str">
        <x:f>IFERROR(INDEX('Material routes'!$B$6:$B$2205,MATCH(U1333,'Material routes'!$A$6:$A$2205,0)),"MISSING ID")</x:f>
        <x:v>design.collection.hand_cranked_metal_drill</x:v>
      </x:c>
      <x:c r="K1333" s="4" t="str">
        <x:f>IFERROR(INDEX('Crafting recipes'!$C$6:$C$1005,MATCH(J1333,'Crafting recipes'!$A$6:$A$1005,0)),"MISSING ID")</x:f>
        <x:v>Finished-item crafting</x:v>
      </x:c>
      <x:c r="L1333" s="4" t="str">
        <x:f>IFERROR(INDEX('Material routes'!$K$6:$K$2205,MATCH(U1333,'Material routes'!$A$6:$A$2205,0)),"MISSING ID")</x:f>
        <x:v>Proposal</x:v>
      </x:c>
      <x:c r="M1333" s="4" t="str">
        <x:f>IFERROR(INDEX('Material routes'!$M$6:$M$2205,MATCH(U1333,'Material routes'!$A$6:$A$2205,0)),"MISSING ID")</x:f>
        <x:v>Partial proposal</x:v>
      </x:c>
      <x:c r="N1333" s="4"/>
      <x:c r="O1333" s="4" t="str">
        <x:f>IFERROR(INDEX('Material routes'!$J$6:$J$2205,MATCH(U1333,'Material routes'!$A$6:$A$2205,0)),"MISSING ID")</x:f>
        <x:v>Unspecified</x:v>
      </x:c>
      <x:c r="P1333" s="4"/>
      <x:c r="Q1333" s="4" t="str">
        <x:f>IFERROR(INDEX('Material routes'!$J$6:$J$2205,MATCH(V1333,'Material routes'!$A$6:$A$2205,0)),"MISSING ID")</x:f>
        <x:v>Unspecified</x:v>
      </x:c>
      <x:c r="R1333" s="4" t="str">
        <x:f>IF(L1333="Withheld","Withheld premise",IF(E1333="Tool candidate","Reusable prerequisite",IF(K1333="Raw entry preparation","Entry-resource preparation",IF(G1333="Not applicable",IF(IFERROR(INDEX('Items'!$AI$6:$AI$1005,MATCH(T1333,'Items'!$A$6:$A$1005,0)),"MISSING ID")="Finished item","Finished endpoint",IF(IFERROR(INDEX('Items'!$AI$6:$AI$1005,MATCH(T1333,'Items'!$A$6:$A$1005,0)),"MISSING ID")="Currency","Currency / no refinement tier","Recovered output / tier not applicable")),IF(OR(IFERROR(INDEX('Crafting recipes'!$H$6:$H$1005,MATCH(J1333,'Crafting recipes'!$A$6:$A$1005,0)),"MISSING ID")="Unassigned",G1333="Unassigned"),"Tier unresolved",IF(IFERROR(VALUE(RIGHT(G1333,1))-VALUE(RIGHT(IFERROR(INDEX('Crafting recipes'!$H$6:$H$1005,MATCH(J1333,'Crafting recipes'!$A$6:$A$1005,0)),"MISSING ID"),1)),0)=1,IF(B1333=IFERROR(INDEX('Crafting recipes'!$H$6:$H$1005,MATCH(J1333,'Crafting recipes'!$A$6:$A$1005,0)),"MISSING ID"),"Advances one material tier","Lower-tier ingredient; route advances one tier"),"Needs tier review"))))))</x:f>
        <x:v>Finished endpoint</x:v>
      </x:c>
      <x:c r="S1333" s="4" t="str">
        <x:f>IFERROR(INDEX('Material routes'!$D$6:$D$2205,MATCH(U1333,'Material routes'!$A$6:$A$2205,0)),"MISSING ID")</x:f>
        <x:v>proposal.audit.shaped_metal_grip_blank</x:v>
      </x:c>
      <x:c r="T1333" s="4" t="str">
        <x:f>IFERROR(INDEX('Material routes'!$D$6:$D$2205,MATCH(V1333,'Material routes'!$A$6:$A$2205,0)),"MISSING ID")</x:f>
        <x:v>proposal.collection.hand_cranked_metal_drill</x:v>
      </x:c>
      <x:c r="U1333" s="4" t="str">
        <x:v>design.collection.hand_cranked_metal_drill.audit.extra.4</x:v>
      </x:c>
      <x:c r="V1333" s="4" t="str">
        <x:v>design.collection.hand_cranked_metal_drill.out</x:v>
      </x:c>
    </x:row>
    <x:row r="1334" ht="64" customHeight="1">
      <x:c r="A1334" s="4"/>
      <x:c r="B1334" s="4"/>
      <x:c r="C1334" s="4"/>
      <x:c r="D1334" s="4"/>
      <x:c r="E1334" s="4"/>
      <x:c r="F1334" s="4"/>
      <x:c r="G1334" s="4"/>
      <x:c r="H1334" s="4"/>
      <x:c r="I1334" s="4"/>
      <x:c r="J1334" s="4"/>
      <x:c r="K1334" s="4"/>
      <x:c r="L1334" s="4"/>
      <x:c r="M1334" s="4"/>
      <x:c r="N1334" s="4"/>
      <x:c r="P1334" s="4"/>
      <x:c r="R1334" s="4"/>
      <x:c r="S1334" s="4"/>
      <x:c r="T1334" s="4"/>
      <x:c r="U1334" s="4"/>
      <x:c r="V1334" s="4"/>
    </x:row>
    <x:row r="1335" ht="64" customHeight="1">
      <x:c r="A1335" s="4"/>
      <x:c r="B1335" s="4"/>
      <x:c r="C1335" s="4"/>
      <x:c r="D1335" s="4"/>
      <x:c r="E1335" s="4"/>
      <x:c r="F1335" s="4"/>
      <x:c r="G1335" s="4"/>
      <x:c r="H1335" s="4"/>
      <x:c r="I1335" s="4"/>
      <x:c r="J1335" s="4"/>
      <x:c r="K1335" s="4"/>
      <x:c r="L1335" s="4"/>
      <x:c r="M1335" s="4"/>
      <x:c r="N1335" s="4"/>
      <x:c r="P1335" s="4"/>
      <x:c r="R1335" s="4"/>
      <x:c r="S1335" s="4"/>
      <x:c r="T1335" s="4"/>
      <x:c r="U1335" s="4"/>
      <x:c r="V1335" s="4"/>
    </x:row>
    <x:row r="1336" ht="64" customHeight="1">
      <x:c r="A1336" s="4" t="str">
        <x:f>IFERROR(INDEX('Material routes'!$E$6:$E$2205,MATCH(U1336,'Material routes'!$A$6:$A$2205,0)),"MISSING ID")</x:f>
        <x:v>Shaped metal grip blank</x:v>
      </x:c>
      <x:c r="B1336" s="4" t="str">
        <x:f>IFERROR(INDEX('Material routes'!$F$6:$F$2205,MATCH(U1336,'Material routes'!$A$6:$A$2205,0)),"MISSING ID")</x:f>
        <x:v>T3</x:v>
      </x:c>
      <x:c r="C1336" s="4" t="str">
        <x:f>IFERROR(INDEX('Material routes'!$H$6:$H$2205,MATCH(U1336,'Material routes'!$A$6:$A$2205,0)),"MISSING ID")</x:f>
        <x:v>Crafting component</x:v>
      </x:c>
      <x:c r="D1336" s="4" t="str">
        <x:f>IFERROR(INDEX('Material routes'!$G$6:$G$2205,MATCH(U1336,'Material routes'!$A$6:$A$2205,0)),"MISSING ID")</x:f>
        <x:v>Crafting components</x:v>
      </x:c>
      <x:c r="E1336" s="4" t="str">
        <x:f>IFERROR(INDEX('Material routes'!$C$6:$C$2205,MATCH(U1336,'Material routes'!$A$6:$A$2205,0)),"MISSING ID")</x:f>
        <x:v>Ingredient candidate</x:v>
      </x:c>
      <x:c r="F1336" s="4" t="str">
        <x:f>IFERROR(INDEX('Material routes'!$E$6:$E$2205,MATCH(V1336,'Material routes'!$A$6:$A$2205,0)),"MISSING ID")</x:f>
        <x:v>Husk-sheet cutting shears</x:v>
      </x:c>
      <x:c r="G1336" s="4" t="str">
        <x:f>IFERROR(INDEX('Material routes'!$F$6:$F$2205,MATCH(V1336,'Material routes'!$A$6:$A$2205,0)),"MISSING ID")</x:f>
        <x:v>Not applicable</x:v>
      </x:c>
      <x:c r="H1336" s="4" t="str">
        <x:f>IFERROR(INDEX('Material routes'!$H$6:$H$2205,MATCH(V1336,'Material routes'!$A$6:$A$2205,0)),"MISSING ID")</x:f>
        <x:v>Tool</x:v>
      </x:c>
      <x:c r="I1336" s="4" t="str">
        <x:f>IFERROR(INDEX('Material routes'!$G$6:$G$2205,MATCH(V1336,'Material routes'!$A$6:$A$2205,0)),"MISSING ID")</x:f>
        <x:v>Salvage</x:v>
      </x:c>
      <x:c r="J1336" s="4" t="str">
        <x:f>IFERROR(INDEX('Material routes'!$B$6:$B$2205,MATCH(U1336,'Material routes'!$A$6:$A$2205,0)),"MISSING ID")</x:f>
        <x:v>design.collection.husk_sheet_cutting_shears</x:v>
      </x:c>
      <x:c r="K1336" s="4" t="str">
        <x:f>IFERROR(INDEX('Crafting recipes'!$C$6:$C$1005,MATCH(J1336,'Crafting recipes'!$A$6:$A$1005,0)),"MISSING ID")</x:f>
        <x:v>Finished-item crafting</x:v>
      </x:c>
      <x:c r="L1336" s="4" t="str">
        <x:f>IFERROR(INDEX('Material routes'!$K$6:$K$2205,MATCH(U1336,'Material routes'!$A$6:$A$2205,0)),"MISSING ID")</x:f>
        <x:v>Proposal</x:v>
      </x:c>
      <x:c r="M1336" s="4" t="str">
        <x:f>IFERROR(INDEX('Material routes'!$M$6:$M$2205,MATCH(U1336,'Material routes'!$A$6:$A$2205,0)),"MISSING ID")</x:f>
        <x:v>Partial proposal</x:v>
      </x:c>
      <x:c r="N1336" s="4"/>
      <x:c r="O1336" s="4" t="str">
        <x:f>IFERROR(INDEX('Material routes'!$J$6:$J$2205,MATCH(U1336,'Material routes'!$A$6:$A$2205,0)),"MISSING ID")</x:f>
        <x:v>Unspecified</x:v>
      </x:c>
      <x:c r="P1336" s="4"/>
      <x:c r="Q1336" s="4" t="str">
        <x:f>IFERROR(INDEX('Material routes'!$J$6:$J$2205,MATCH(V1336,'Material routes'!$A$6:$A$2205,0)),"MISSING ID")</x:f>
        <x:v>Unspecified</x:v>
      </x:c>
      <x:c r="R1336" s="4" t="str">
        <x:f>IF(L1336="Withheld","Withheld premise",IF(E1336="Tool candidate","Reusable prerequisite",IF(K1336="Raw entry preparation","Entry-resource preparation",IF(G1336="Not applicable",IF(IFERROR(INDEX('Items'!$AI$6:$AI$1005,MATCH(T1336,'Items'!$A$6:$A$1005,0)),"MISSING ID")="Finished item","Finished endpoint",IF(IFERROR(INDEX('Items'!$AI$6:$AI$1005,MATCH(T1336,'Items'!$A$6:$A$1005,0)),"MISSING ID")="Currency","Currency / no refinement tier","Recovered output / tier not applicable")),IF(OR(IFERROR(INDEX('Crafting recipes'!$H$6:$H$1005,MATCH(J1336,'Crafting recipes'!$A$6:$A$1005,0)),"MISSING ID")="Unassigned",G1336="Unassigned"),"Tier unresolved",IF(IFERROR(VALUE(RIGHT(G1336,1))-VALUE(RIGHT(IFERROR(INDEX('Crafting recipes'!$H$6:$H$1005,MATCH(J1336,'Crafting recipes'!$A$6:$A$1005,0)),"MISSING ID"),1)),0)=1,IF(B1336=IFERROR(INDEX('Crafting recipes'!$H$6:$H$1005,MATCH(J1336,'Crafting recipes'!$A$6:$A$1005,0)),"MISSING ID"),"Advances one material tier","Lower-tier ingredient; route advances one tier"),"Needs tier review"))))))</x:f>
        <x:v>Finished endpoint</x:v>
      </x:c>
      <x:c r="S1336" s="4" t="str">
        <x:f>IFERROR(INDEX('Material routes'!$D$6:$D$2205,MATCH(U1336,'Material routes'!$A$6:$A$2205,0)),"MISSING ID")</x:f>
        <x:v>proposal.audit.shaped_metal_grip_blank</x:v>
      </x:c>
      <x:c r="T1336" s="4" t="str">
        <x:f>IFERROR(INDEX('Material routes'!$D$6:$D$2205,MATCH(V1336,'Material routes'!$A$6:$A$2205,0)),"MISSING ID")</x:f>
        <x:v>proposal.collection.husk_sheet_cutting_shears</x:v>
      </x:c>
      <x:c r="U1336" s="4" t="str">
        <x:v>design.collection.husk_sheet_cutting_shears.audit.extra.7</x:v>
      </x:c>
      <x:c r="V1336" s="4" t="str">
        <x:v>design.collection.husk_sheet_cutting_shears.out</x:v>
      </x:c>
    </x:row>
    <x:row r="1337" ht="64" customHeight="1">
      <x:c r="A1337" s="4" t="str">
        <x:f>IFERROR(INDEX('Material routes'!$E$6:$E$2205,MATCH(U1337,'Material routes'!$A$6:$A$2205,0)),"MISSING ID")</x:f>
        <x:v>Compact latch and trigger pack</x:v>
      </x:c>
      <x:c r="B1337" s="4" t="str">
        <x:f>IFERROR(INDEX('Material routes'!$F$6:$F$2205,MATCH(U1337,'Material routes'!$A$6:$A$2205,0)),"MISSING ID")</x:f>
        <x:v>T4</x:v>
      </x:c>
      <x:c r="C1337" s="4" t="str">
        <x:f>IFERROR(INDEX('Material routes'!$H$6:$H$2205,MATCH(U1337,'Material routes'!$A$6:$A$2205,0)),"MISSING ID")</x:f>
        <x:v>Crafting component</x:v>
      </x:c>
      <x:c r="D1337" s="4" t="str">
        <x:f>IFERROR(INDEX('Material routes'!$G$6:$G$2205,MATCH(U1337,'Material routes'!$A$6:$A$2205,0)),"MISSING ID")</x:f>
        <x:v>Crafting components</x:v>
      </x:c>
      <x:c r="E1337" s="4" t="str">
        <x:f>IFERROR(INDEX('Material routes'!$C$6:$C$2205,MATCH(U1337,'Material routes'!$A$6:$A$2205,0)),"MISSING ID")</x:f>
        <x:v>Ingredient candidate</x:v>
      </x:c>
      <x:c r="F1337" s="4" t="str">
        <x:f>IFERROR(INDEX('Material routes'!$E$6:$E$2205,MATCH(V1337,'Material routes'!$A$6:$A$2205,0)),"MISSING ID")</x:f>
        <x:v>Steel-limbed crossbow</x:v>
      </x:c>
      <x:c r="G1337" s="4" t="str">
        <x:f>IFERROR(INDEX('Material routes'!$F$6:$F$2205,MATCH(V1337,'Material routes'!$A$6:$A$2205,0)),"MISSING ID")</x:f>
        <x:v>Not applicable</x:v>
      </x:c>
      <x:c r="H1337" s="4" t="str">
        <x:f>IFERROR(INDEX('Material routes'!$H$6:$H$2205,MATCH(V1337,'Material routes'!$A$6:$A$2205,0)),"MISSING ID")</x:f>
        <x:v>Weapon</x:v>
      </x:c>
      <x:c r="I1337" s="4" t="str">
        <x:f>IFERROR(INDEX('Material routes'!$G$6:$G$2205,MATCH(V1337,'Material routes'!$A$6:$A$2205,0)),"MISSING ID")</x:f>
        <x:v>Weapons</x:v>
      </x:c>
      <x:c r="J1337" s="4" t="str">
        <x:f>IFERROR(INDEX('Material routes'!$B$6:$B$2205,MATCH(U1337,'Material routes'!$A$6:$A$2205,0)),"MISSING ID")</x:f>
        <x:v>design.collection.steel_limbed_crossbow</x:v>
      </x:c>
      <x:c r="K1337" s="4" t="str">
        <x:f>IFERROR(INDEX('Crafting recipes'!$C$6:$C$1005,MATCH(J1337,'Crafting recipes'!$A$6:$A$1005,0)),"MISSING ID")</x:f>
        <x:v>Finished-item crafting</x:v>
      </x:c>
      <x:c r="L1337" s="4" t="str">
        <x:f>IFERROR(INDEX('Material routes'!$K$6:$K$2205,MATCH(U1337,'Material routes'!$A$6:$A$2205,0)),"MISSING ID")</x:f>
        <x:v>Proposal</x:v>
      </x:c>
      <x:c r="M1337" s="4" t="str">
        <x:f>IFERROR(INDEX('Material routes'!$M$6:$M$2205,MATCH(U1337,'Material routes'!$A$6:$A$2205,0)),"MISSING ID")</x:f>
        <x:v>Partial proposal</x:v>
      </x:c>
      <x:c r="N1337" s="4"/>
      <x:c r="O1337" s="4" t="str">
        <x:f>IFERROR(INDEX('Material routes'!$J$6:$J$2205,MATCH(U1337,'Material routes'!$A$6:$A$2205,0)),"MISSING ID")</x:f>
        <x:v>Unspecified</x:v>
      </x:c>
      <x:c r="P1337" s="4"/>
      <x:c r="Q1337" s="4" t="str">
        <x:f>IFERROR(INDEX('Material routes'!$J$6:$J$2205,MATCH(V1337,'Material routes'!$A$6:$A$2205,0)),"MISSING ID")</x:f>
        <x:v>Unspecified</x:v>
      </x:c>
      <x:c r="R1337" s="4" t="str">
        <x:f>IF(L1337="Withheld","Withheld premise",IF(E1337="Tool candidate","Reusable prerequisite",IF(K1337="Raw entry preparation","Entry-resource preparation",IF(G1337="Not applicable",IF(IFERROR(INDEX('Items'!$AI$6:$AI$1005,MATCH(T1337,'Items'!$A$6:$A$1005,0)),"MISSING ID")="Finished item","Finished endpoint",IF(IFERROR(INDEX('Items'!$AI$6:$AI$1005,MATCH(T1337,'Items'!$A$6:$A$1005,0)),"MISSING ID")="Currency","Currency / no refinement tier","Recovered output / tier not applicable")),IF(OR(IFERROR(INDEX('Crafting recipes'!$H$6:$H$1005,MATCH(J1337,'Crafting recipes'!$A$6:$A$1005,0)),"MISSING ID")="Unassigned",G1337="Unassigned"),"Tier unresolved",IF(IFERROR(VALUE(RIGHT(G1337,1))-VALUE(RIGHT(IFERROR(INDEX('Crafting recipes'!$H$6:$H$1005,MATCH(J1337,'Crafting recipes'!$A$6:$A$1005,0)),"MISSING ID"),1)),0)=1,IF(B1337=IFERROR(INDEX('Crafting recipes'!$H$6:$H$1005,MATCH(J1337,'Crafting recipes'!$A$6:$A$1005,0)),"MISSING ID"),"Advances one material tier","Lower-tier ingredient; route advances one tier"),"Needs tier review"))))))</x:f>
        <x:v>Finished endpoint</x:v>
      </x:c>
      <x:c r="S1337" s="4" t="str">
        <x:f>IFERROR(INDEX('Material routes'!$D$6:$D$2205,MATCH(U1337,'Material routes'!$A$6:$A$2205,0)),"MISSING ID")</x:f>
        <x:v>proposal.audit.compact_latch_and_trigger_pack</x:v>
      </x:c>
      <x:c r="T1337" s="4" t="str">
        <x:f>IFERROR(INDEX('Material routes'!$D$6:$D$2205,MATCH(V1337,'Material routes'!$A$6:$A$2205,0)),"MISSING ID")</x:f>
        <x:v>proposal.collection.steel_limbed_crossbow</x:v>
      </x:c>
      <x:c r="U1337" s="4" t="str">
        <x:v>design.collection.steel_limbed_crossbow.audit.extra.8</x:v>
      </x:c>
      <x:c r="V1337" s="4" t="str">
        <x:v>design.collection.steel_limbed_crossbow.out</x:v>
      </x:c>
    </x:row>
    <x:row r="1338" ht="64" customHeight="1">
      <x:c r="A1338" s="4" t="str">
        <x:f>IFERROR(INDEX('Material routes'!$E$6:$E$2205,MATCH(U1338,'Material routes'!$A$6:$A$2205,0)),"MISSING ID")</x:f>
        <x:v>Shaped metal grip blank</x:v>
      </x:c>
      <x:c r="B1338" s="4" t="str">
        <x:f>IFERROR(INDEX('Material routes'!$F$6:$F$2205,MATCH(U1338,'Material routes'!$A$6:$A$2205,0)),"MISSING ID")</x:f>
        <x:v>T3</x:v>
      </x:c>
      <x:c r="C1338" s="4" t="str">
        <x:f>IFERROR(INDEX('Material routes'!$H$6:$H$2205,MATCH(U1338,'Material routes'!$A$6:$A$2205,0)),"MISSING ID")</x:f>
        <x:v>Crafting component</x:v>
      </x:c>
      <x:c r="D1338" s="4" t="str">
        <x:f>IFERROR(INDEX('Material routes'!$G$6:$G$2205,MATCH(U1338,'Material routes'!$A$6:$A$2205,0)),"MISSING ID")</x:f>
        <x:v>Crafting components</x:v>
      </x:c>
      <x:c r="E1338" s="4" t="str">
        <x:f>IFERROR(INDEX('Material routes'!$C$6:$C$2205,MATCH(U1338,'Material routes'!$A$6:$A$2205,0)),"MISSING ID")</x:f>
        <x:v>Ingredient candidate</x:v>
      </x:c>
      <x:c r="F1338" s="4" t="str">
        <x:f>IFERROR(INDEX('Material routes'!$E$6:$E$2205,MATCH(V1338,'Material routes'!$A$6:$A$2205,0)),"MISSING ID")</x:f>
        <x:v>Steel-limbed crossbow</x:v>
      </x:c>
      <x:c r="G1338" s="4" t="str">
        <x:f>IFERROR(INDEX('Material routes'!$F$6:$F$2205,MATCH(V1338,'Material routes'!$A$6:$A$2205,0)),"MISSING ID")</x:f>
        <x:v>Not applicable</x:v>
      </x:c>
      <x:c r="H1338" s="4" t="str">
        <x:f>IFERROR(INDEX('Material routes'!$H$6:$H$2205,MATCH(V1338,'Material routes'!$A$6:$A$2205,0)),"MISSING ID")</x:f>
        <x:v>Weapon</x:v>
      </x:c>
      <x:c r="I1338" s="4" t="str">
        <x:f>IFERROR(INDEX('Material routes'!$G$6:$G$2205,MATCH(V1338,'Material routes'!$A$6:$A$2205,0)),"MISSING ID")</x:f>
        <x:v>Weapons</x:v>
      </x:c>
      <x:c r="J1338" s="4" t="str">
        <x:f>IFERROR(INDEX('Material routes'!$B$6:$B$2205,MATCH(U1338,'Material routes'!$A$6:$A$2205,0)),"MISSING ID")</x:f>
        <x:v>design.collection.steel_limbed_crossbow</x:v>
      </x:c>
      <x:c r="K1338" s="4" t="str">
        <x:f>IFERROR(INDEX('Crafting recipes'!$C$6:$C$1005,MATCH(J1338,'Crafting recipes'!$A$6:$A$1005,0)),"MISSING ID")</x:f>
        <x:v>Finished-item crafting</x:v>
      </x:c>
      <x:c r="L1338" s="4" t="str">
        <x:f>IFERROR(INDEX('Material routes'!$K$6:$K$2205,MATCH(U1338,'Material routes'!$A$6:$A$2205,0)),"MISSING ID")</x:f>
        <x:v>Proposal</x:v>
      </x:c>
      <x:c r="M1338" s="4" t="str">
        <x:f>IFERROR(INDEX('Material routes'!$M$6:$M$2205,MATCH(U1338,'Material routes'!$A$6:$A$2205,0)),"MISSING ID")</x:f>
        <x:v>Partial proposal</x:v>
      </x:c>
      <x:c r="N1338" s="4"/>
      <x:c r="O1338" s="4" t="str">
        <x:f>IFERROR(INDEX('Material routes'!$J$6:$J$2205,MATCH(U1338,'Material routes'!$A$6:$A$2205,0)),"MISSING ID")</x:f>
        <x:v>Unspecified</x:v>
      </x:c>
      <x:c r="P1338" s="4"/>
      <x:c r="Q1338" s="4" t="str">
        <x:f>IFERROR(INDEX('Material routes'!$J$6:$J$2205,MATCH(V1338,'Material routes'!$A$6:$A$2205,0)),"MISSING ID")</x:f>
        <x:v>Unspecified</x:v>
      </x:c>
      <x:c r="R1338" s="4" t="str">
        <x:f>IF(L1338="Withheld","Withheld premise",IF(E1338="Tool candidate","Reusable prerequisite",IF(K1338="Raw entry preparation","Entry-resource preparation",IF(G1338="Not applicable",IF(IFERROR(INDEX('Items'!$AI$6:$AI$1005,MATCH(T1338,'Items'!$A$6:$A$1005,0)),"MISSING ID")="Finished item","Finished endpoint",IF(IFERROR(INDEX('Items'!$AI$6:$AI$1005,MATCH(T1338,'Items'!$A$6:$A$1005,0)),"MISSING ID")="Currency","Currency / no refinement tier","Recovered output / tier not applicable")),IF(OR(IFERROR(INDEX('Crafting recipes'!$H$6:$H$1005,MATCH(J1338,'Crafting recipes'!$A$6:$A$1005,0)),"MISSING ID")="Unassigned",G1338="Unassigned"),"Tier unresolved",IF(IFERROR(VALUE(RIGHT(G1338,1))-VALUE(RIGHT(IFERROR(INDEX('Crafting recipes'!$H$6:$H$1005,MATCH(J1338,'Crafting recipes'!$A$6:$A$1005,0)),"MISSING ID"),1)),0)=1,IF(B1338=IFERROR(INDEX('Crafting recipes'!$H$6:$H$1005,MATCH(J1338,'Crafting recipes'!$A$6:$A$1005,0)),"MISSING ID"),"Advances one material tier","Lower-tier ingredient; route advances one tier"),"Needs tier review"))))))</x:f>
        <x:v>Finished endpoint</x:v>
      </x:c>
      <x:c r="S1338" s="4" t="str">
        <x:f>IFERROR(INDEX('Material routes'!$D$6:$D$2205,MATCH(U1338,'Material routes'!$A$6:$A$2205,0)),"MISSING ID")</x:f>
        <x:v>proposal.audit.shaped_metal_grip_blank</x:v>
      </x:c>
      <x:c r="T1338" s="4" t="str">
        <x:f>IFERROR(INDEX('Material routes'!$D$6:$D$2205,MATCH(V1338,'Material routes'!$A$6:$A$2205,0)),"MISSING ID")</x:f>
        <x:v>proposal.collection.steel_limbed_crossbow</x:v>
      </x:c>
      <x:c r="U1338" s="4" t="str">
        <x:v>design.collection.steel_limbed_crossbow.audit.extra.9</x:v>
      </x:c>
      <x:c r="V1338" s="4" t="str">
        <x:v>design.collection.steel_limbed_crossbow.out</x:v>
      </x:c>
    </x:row>
    <x:row r="1339" ht="64" customHeight="1">
      <x:c r="A1339" s="4" t="str">
        <x:f>IFERROR(INDEX('Material routes'!$E$6:$E$2205,MATCH(U1339,'Material routes'!$A$6:$A$2205,0)),"MISSING ID")</x:f>
        <x:v>Compact latch and trigger pack</x:v>
      </x:c>
      <x:c r="B1339" s="4" t="str">
        <x:f>IFERROR(INDEX('Material routes'!$F$6:$F$2205,MATCH(U1339,'Material routes'!$A$6:$A$2205,0)),"MISSING ID")</x:f>
        <x:v>T4</x:v>
      </x:c>
      <x:c r="C1339" s="4" t="str">
        <x:f>IFERROR(INDEX('Material routes'!$H$6:$H$2205,MATCH(U1339,'Material routes'!$A$6:$A$2205,0)),"MISSING ID")</x:f>
        <x:v>Crafting component</x:v>
      </x:c>
      <x:c r="D1339" s="4" t="str">
        <x:f>IFERROR(INDEX('Material routes'!$G$6:$G$2205,MATCH(U1339,'Material routes'!$A$6:$A$2205,0)),"MISSING ID")</x:f>
        <x:v>Crafting components</x:v>
      </x:c>
      <x:c r="E1339" s="4" t="str">
        <x:f>IFERROR(INDEX('Material routes'!$C$6:$C$2205,MATCH(U1339,'Material routes'!$A$6:$A$2205,0)),"MISSING ID")</x:f>
        <x:v>Ingredient candidate</x:v>
      </x:c>
      <x:c r="F1339" s="4" t="str">
        <x:f>IFERROR(INDEX('Material routes'!$E$6:$E$2205,MATCH(V1339,'Material routes'!$A$6:$A$2205,0)),"MISSING ID")</x:f>
        <x:v>Crank-wound siege bow</x:v>
      </x:c>
      <x:c r="G1339" s="4" t="str">
        <x:f>IFERROR(INDEX('Material routes'!$F$6:$F$2205,MATCH(V1339,'Material routes'!$A$6:$A$2205,0)),"MISSING ID")</x:f>
        <x:v>Not applicable</x:v>
      </x:c>
      <x:c r="H1339" s="4" t="str">
        <x:f>IFERROR(INDEX('Material routes'!$H$6:$H$2205,MATCH(V1339,'Material routes'!$A$6:$A$2205,0)),"MISSING ID")</x:f>
        <x:v>Weapon</x:v>
      </x:c>
      <x:c r="I1339" s="4" t="str">
        <x:f>IFERROR(INDEX('Material routes'!$G$6:$G$2205,MATCH(V1339,'Material routes'!$A$6:$A$2205,0)),"MISSING ID")</x:f>
        <x:v>Weapons</x:v>
      </x:c>
      <x:c r="J1339" s="4" t="str">
        <x:f>IFERROR(INDEX('Material routes'!$B$6:$B$2205,MATCH(U1339,'Material routes'!$A$6:$A$2205,0)),"MISSING ID")</x:f>
        <x:v>design.collection.crank_wound_siege_bow</x:v>
      </x:c>
      <x:c r="K1339" s="4" t="str">
        <x:f>IFERROR(INDEX('Crafting recipes'!$C$6:$C$1005,MATCH(J1339,'Crafting recipes'!$A$6:$A$1005,0)),"MISSING ID")</x:f>
        <x:v>Finished-item crafting</x:v>
      </x:c>
      <x:c r="L1339" s="4" t="str">
        <x:f>IFERROR(INDEX('Material routes'!$K$6:$K$2205,MATCH(U1339,'Material routes'!$A$6:$A$2205,0)),"MISSING ID")</x:f>
        <x:v>Proposal</x:v>
      </x:c>
      <x:c r="M1339" s="4" t="str">
        <x:f>IFERROR(INDEX('Material routes'!$M$6:$M$2205,MATCH(U1339,'Material routes'!$A$6:$A$2205,0)),"MISSING ID")</x:f>
        <x:v>Partial proposal</x:v>
      </x:c>
      <x:c r="N1339" s="4"/>
      <x:c r="O1339" s="4" t="str">
        <x:f>IFERROR(INDEX('Material routes'!$J$6:$J$2205,MATCH(U1339,'Material routes'!$A$6:$A$2205,0)),"MISSING ID")</x:f>
        <x:v>Unspecified</x:v>
      </x:c>
      <x:c r="P1339" s="4"/>
      <x:c r="Q1339" s="4" t="str">
        <x:f>IFERROR(INDEX('Material routes'!$J$6:$J$2205,MATCH(V1339,'Material routes'!$A$6:$A$2205,0)),"MISSING ID")</x:f>
        <x:v>Unspecified</x:v>
      </x:c>
      <x:c r="R1339" s="4" t="str">
        <x:f>IF(L1339="Withheld","Withheld premise",IF(E1339="Tool candidate","Reusable prerequisite",IF(K1339="Raw entry preparation","Entry-resource preparation",IF(G1339="Not applicable",IF(IFERROR(INDEX('Items'!$AI$6:$AI$1005,MATCH(T1339,'Items'!$A$6:$A$1005,0)),"MISSING ID")="Finished item","Finished endpoint",IF(IFERROR(INDEX('Items'!$AI$6:$AI$1005,MATCH(T1339,'Items'!$A$6:$A$1005,0)),"MISSING ID")="Currency","Currency / no refinement tier","Recovered output / tier not applicable")),IF(OR(IFERROR(INDEX('Crafting recipes'!$H$6:$H$1005,MATCH(J1339,'Crafting recipes'!$A$6:$A$1005,0)),"MISSING ID")="Unassigned",G1339="Unassigned"),"Tier unresolved",IF(IFERROR(VALUE(RIGHT(G1339,1))-VALUE(RIGHT(IFERROR(INDEX('Crafting recipes'!$H$6:$H$1005,MATCH(J1339,'Crafting recipes'!$A$6:$A$1005,0)),"MISSING ID"),1)),0)=1,IF(B1339=IFERROR(INDEX('Crafting recipes'!$H$6:$H$1005,MATCH(J1339,'Crafting recipes'!$A$6:$A$1005,0)),"MISSING ID"),"Advances one material tier","Lower-tier ingredient; route advances one tier"),"Needs tier review"))))))</x:f>
        <x:v>Finished endpoint</x:v>
      </x:c>
      <x:c r="S1339" s="4" t="str">
        <x:f>IFERROR(INDEX('Material routes'!$D$6:$D$2205,MATCH(U1339,'Material routes'!$A$6:$A$2205,0)),"MISSING ID")</x:f>
        <x:v>proposal.audit.compact_latch_and_trigger_pack</x:v>
      </x:c>
      <x:c r="T1339" s="4" t="str">
        <x:f>IFERROR(INDEX('Material routes'!$D$6:$D$2205,MATCH(V1339,'Material routes'!$A$6:$A$2205,0)),"MISSING ID")</x:f>
        <x:v>proposal.collection.crank_wound_siege_bow</x:v>
      </x:c>
      <x:c r="U1339" s="4" t="str">
        <x:v>design.collection.crank_wound_siege_bow.audit.extra.10</x:v>
      </x:c>
      <x:c r="V1339" s="4" t="str">
        <x:v>design.collection.crank_wound_siege_bow.out</x:v>
      </x:c>
    </x:row>
    <x:row r="1340" ht="64" customHeight="1">
      <x:c r="A1340" s="4" t="str">
        <x:f>IFERROR(INDEX('Material routes'!$E$6:$E$2205,MATCH(U1340,'Material routes'!$A$6:$A$2205,0)),"MISSING ID")</x:f>
        <x:v>Ratchet wheel</x:v>
      </x:c>
      <x:c r="B1340" s="4" t="str">
        <x:f>IFERROR(INDEX('Material routes'!$F$6:$F$2205,MATCH(U1340,'Material routes'!$A$6:$A$2205,0)),"MISSING ID")</x:f>
        <x:v>T3</x:v>
      </x:c>
      <x:c r="C1340" s="4" t="str">
        <x:f>IFERROR(INDEX('Material routes'!$H$6:$H$2205,MATCH(U1340,'Material routes'!$A$6:$A$2205,0)),"MISSING ID")</x:f>
        <x:v>Machine part</x:v>
      </x:c>
      <x:c r="D1340" s="4" t="str">
        <x:f>IFERROR(INDEX('Material routes'!$G$6:$G$2205,MATCH(U1340,'Material routes'!$A$6:$A$2205,0)),"MISSING ID")</x:f>
        <x:v>Crafting components</x:v>
      </x:c>
      <x:c r="E1340" s="4" t="str">
        <x:f>IFERROR(INDEX('Material routes'!$C$6:$C$2205,MATCH(U1340,'Material routes'!$A$6:$A$2205,0)),"MISSING ID")</x:f>
        <x:v>Ingredient candidate</x:v>
      </x:c>
      <x:c r="F1340" s="4" t="str">
        <x:f>IFERROR(INDEX('Material routes'!$E$6:$E$2205,MATCH(V1340,'Material routes'!$A$6:$A$2205,0)),"MISSING ID")</x:f>
        <x:v>Crank-wound siege bow</x:v>
      </x:c>
      <x:c r="G1340" s="4" t="str">
        <x:f>IFERROR(INDEX('Material routes'!$F$6:$F$2205,MATCH(V1340,'Material routes'!$A$6:$A$2205,0)),"MISSING ID")</x:f>
        <x:v>Not applicable</x:v>
      </x:c>
      <x:c r="H1340" s="4" t="str">
        <x:f>IFERROR(INDEX('Material routes'!$H$6:$H$2205,MATCH(V1340,'Material routes'!$A$6:$A$2205,0)),"MISSING ID")</x:f>
        <x:v>Weapon</x:v>
      </x:c>
      <x:c r="I1340" s="4" t="str">
        <x:f>IFERROR(INDEX('Material routes'!$G$6:$G$2205,MATCH(V1340,'Material routes'!$A$6:$A$2205,0)),"MISSING ID")</x:f>
        <x:v>Weapons</x:v>
      </x:c>
      <x:c r="J1340" s="4" t="str">
        <x:f>IFERROR(INDEX('Material routes'!$B$6:$B$2205,MATCH(U1340,'Material routes'!$A$6:$A$2205,0)),"MISSING ID")</x:f>
        <x:v>design.collection.crank_wound_siege_bow</x:v>
      </x:c>
      <x:c r="K1340" s="4" t="str">
        <x:f>IFERROR(INDEX('Crafting recipes'!$C$6:$C$1005,MATCH(J1340,'Crafting recipes'!$A$6:$A$1005,0)),"MISSING ID")</x:f>
        <x:v>Finished-item crafting</x:v>
      </x:c>
      <x:c r="L1340" s="4" t="str">
        <x:f>IFERROR(INDEX('Material routes'!$K$6:$K$2205,MATCH(U1340,'Material routes'!$A$6:$A$2205,0)),"MISSING ID")</x:f>
        <x:v>Proposal</x:v>
      </x:c>
      <x:c r="M1340" s="4" t="str">
        <x:f>IFERROR(INDEX('Material routes'!$M$6:$M$2205,MATCH(U1340,'Material routes'!$A$6:$A$2205,0)),"MISSING ID")</x:f>
        <x:v>Partial proposal</x:v>
      </x:c>
      <x:c r="N1340" s="4"/>
      <x:c r="O1340" s="4" t="str">
        <x:f>IFERROR(INDEX('Material routes'!$J$6:$J$2205,MATCH(U1340,'Material routes'!$A$6:$A$2205,0)),"MISSING ID")</x:f>
        <x:v>Unspecified</x:v>
      </x:c>
      <x:c r="P1340" s="4"/>
      <x:c r="Q1340" s="4" t="str">
        <x:f>IFERROR(INDEX('Material routes'!$J$6:$J$2205,MATCH(V1340,'Material routes'!$A$6:$A$2205,0)),"MISSING ID")</x:f>
        <x:v>Unspecified</x:v>
      </x:c>
      <x:c r="R1340" s="4" t="str">
        <x:f>IF(L1340="Withheld","Withheld premise",IF(E1340="Tool candidate","Reusable prerequisite",IF(K1340="Raw entry preparation","Entry-resource preparation",IF(G1340="Not applicable",IF(IFERROR(INDEX('Items'!$AI$6:$AI$1005,MATCH(T1340,'Items'!$A$6:$A$1005,0)),"MISSING ID")="Finished item","Finished endpoint",IF(IFERROR(INDEX('Items'!$AI$6:$AI$1005,MATCH(T1340,'Items'!$A$6:$A$1005,0)),"MISSING ID")="Currency","Currency / no refinement tier","Recovered output / tier not applicable")),IF(OR(IFERROR(INDEX('Crafting recipes'!$H$6:$H$1005,MATCH(J1340,'Crafting recipes'!$A$6:$A$1005,0)),"MISSING ID")="Unassigned",G1340="Unassigned"),"Tier unresolved",IF(IFERROR(VALUE(RIGHT(G1340,1))-VALUE(RIGHT(IFERROR(INDEX('Crafting recipes'!$H$6:$H$1005,MATCH(J1340,'Crafting recipes'!$A$6:$A$1005,0)),"MISSING ID"),1)),0)=1,IF(B1340=IFERROR(INDEX('Crafting recipes'!$H$6:$H$1005,MATCH(J1340,'Crafting recipes'!$A$6:$A$1005,0)),"MISSING ID"),"Advances one material tier","Lower-tier ingredient; route advances one tier"),"Needs tier review"))))))</x:f>
        <x:v>Finished endpoint</x:v>
      </x:c>
      <x:c r="S1340" s="4" t="str">
        <x:f>IFERROR(INDEX('Material routes'!$D$6:$D$2205,MATCH(U1340,'Material routes'!$A$6:$A$2205,0)),"MISSING ID")</x:f>
        <x:v>proposal.collection.ratchet_wheel</x:v>
      </x:c>
      <x:c r="T1340" s="4" t="str">
        <x:f>IFERROR(INDEX('Material routes'!$D$6:$D$2205,MATCH(V1340,'Material routes'!$A$6:$A$2205,0)),"MISSING ID")</x:f>
        <x:v>proposal.collection.crank_wound_siege_bow</x:v>
      </x:c>
      <x:c r="U1340" s="4" t="str">
        <x:v>design.collection.crank_wound_siege_bow.audit.extra.11</x:v>
      </x:c>
      <x:c r="V1340" s="4" t="str">
        <x:v>design.collection.crank_wound_siege_bow.out</x:v>
      </x:c>
    </x:row>
    <x:row r="1341" ht="64" customHeight="1">
      <x:c r="A1341" s="4" t="str">
        <x:f>IFERROR(INDEX('Material routes'!$E$6:$E$2205,MATCH(U1341,'Material routes'!$A$6:$A$2205,0)),"MISSING ID")</x:f>
        <x:v>Ratchet pawl</x:v>
      </x:c>
      <x:c r="B1341" s="4" t="str">
        <x:f>IFERROR(INDEX('Material routes'!$F$6:$F$2205,MATCH(U1341,'Material routes'!$A$6:$A$2205,0)),"MISSING ID")</x:f>
        <x:v>T4</x:v>
      </x:c>
      <x:c r="C1341" s="4" t="str">
        <x:f>IFERROR(INDEX('Material routes'!$H$6:$H$2205,MATCH(U1341,'Material routes'!$A$6:$A$2205,0)),"MISSING ID")</x:f>
        <x:v>Machine part</x:v>
      </x:c>
      <x:c r="D1341" s="4" t="str">
        <x:f>IFERROR(INDEX('Material routes'!$G$6:$G$2205,MATCH(U1341,'Material routes'!$A$6:$A$2205,0)),"MISSING ID")</x:f>
        <x:v>Crafting components</x:v>
      </x:c>
      <x:c r="E1341" s="4" t="str">
        <x:f>IFERROR(INDEX('Material routes'!$C$6:$C$2205,MATCH(U1341,'Material routes'!$A$6:$A$2205,0)),"MISSING ID")</x:f>
        <x:v>Ingredient candidate</x:v>
      </x:c>
      <x:c r="F1341" s="4" t="str">
        <x:f>IFERROR(INDEX('Material routes'!$E$6:$E$2205,MATCH(V1341,'Material routes'!$A$6:$A$2205,0)),"MISSING ID")</x:f>
        <x:v>Crank-wound siege bow</x:v>
      </x:c>
      <x:c r="G1341" s="4" t="str">
        <x:f>IFERROR(INDEX('Material routes'!$F$6:$F$2205,MATCH(V1341,'Material routes'!$A$6:$A$2205,0)),"MISSING ID")</x:f>
        <x:v>Not applicable</x:v>
      </x:c>
      <x:c r="H1341" s="4" t="str">
        <x:f>IFERROR(INDEX('Material routes'!$H$6:$H$2205,MATCH(V1341,'Material routes'!$A$6:$A$2205,0)),"MISSING ID")</x:f>
        <x:v>Weapon</x:v>
      </x:c>
      <x:c r="I1341" s="4" t="str">
        <x:f>IFERROR(INDEX('Material routes'!$G$6:$G$2205,MATCH(V1341,'Material routes'!$A$6:$A$2205,0)),"MISSING ID")</x:f>
        <x:v>Weapons</x:v>
      </x:c>
      <x:c r="J1341" s="4" t="str">
        <x:f>IFERROR(INDEX('Material routes'!$B$6:$B$2205,MATCH(U1341,'Material routes'!$A$6:$A$2205,0)),"MISSING ID")</x:f>
        <x:v>design.collection.crank_wound_siege_bow</x:v>
      </x:c>
      <x:c r="K1341" s="4" t="str">
        <x:f>IFERROR(INDEX('Crafting recipes'!$C$6:$C$1005,MATCH(J1341,'Crafting recipes'!$A$6:$A$1005,0)),"MISSING ID")</x:f>
        <x:v>Finished-item crafting</x:v>
      </x:c>
      <x:c r="L1341" s="4" t="str">
        <x:f>IFERROR(INDEX('Material routes'!$K$6:$K$2205,MATCH(U1341,'Material routes'!$A$6:$A$2205,0)),"MISSING ID")</x:f>
        <x:v>Proposal</x:v>
      </x:c>
      <x:c r="M1341" s="4" t="str">
        <x:f>IFERROR(INDEX('Material routes'!$M$6:$M$2205,MATCH(U1341,'Material routes'!$A$6:$A$2205,0)),"MISSING ID")</x:f>
        <x:v>Partial proposal</x:v>
      </x:c>
      <x:c r="N1341" s="4"/>
      <x:c r="O1341" s="4" t="str">
        <x:f>IFERROR(INDEX('Material routes'!$J$6:$J$2205,MATCH(U1341,'Material routes'!$A$6:$A$2205,0)),"MISSING ID")</x:f>
        <x:v>Unspecified</x:v>
      </x:c>
      <x:c r="P1341" s="4"/>
      <x:c r="Q1341" s="4" t="str">
        <x:f>IFERROR(INDEX('Material routes'!$J$6:$J$2205,MATCH(V1341,'Material routes'!$A$6:$A$2205,0)),"MISSING ID")</x:f>
        <x:v>Unspecified</x:v>
      </x:c>
      <x:c r="R1341" s="4" t="str">
        <x:f>IF(L1341="Withheld","Withheld premise",IF(E1341="Tool candidate","Reusable prerequisite",IF(K1341="Raw entry preparation","Entry-resource preparation",IF(G1341="Not applicable",IF(IFERROR(INDEX('Items'!$AI$6:$AI$1005,MATCH(T1341,'Items'!$A$6:$A$1005,0)),"MISSING ID")="Finished item","Finished endpoint",IF(IFERROR(INDEX('Items'!$AI$6:$AI$1005,MATCH(T1341,'Items'!$A$6:$A$1005,0)),"MISSING ID")="Currency","Currency / no refinement tier","Recovered output / tier not applicable")),IF(OR(IFERROR(INDEX('Crafting recipes'!$H$6:$H$1005,MATCH(J1341,'Crafting recipes'!$A$6:$A$1005,0)),"MISSING ID")="Unassigned",G1341="Unassigned"),"Tier unresolved",IF(IFERROR(VALUE(RIGHT(G1341,1))-VALUE(RIGHT(IFERROR(INDEX('Crafting recipes'!$H$6:$H$1005,MATCH(J1341,'Crafting recipes'!$A$6:$A$1005,0)),"MISSING ID"),1)),0)=1,IF(B1341=IFERROR(INDEX('Crafting recipes'!$H$6:$H$1005,MATCH(J1341,'Crafting recipes'!$A$6:$A$1005,0)),"MISSING ID"),"Advances one material tier","Lower-tier ingredient; route advances one tier"),"Needs tier review"))))))</x:f>
        <x:v>Finished endpoint</x:v>
      </x:c>
      <x:c r="S1341" s="4" t="str">
        <x:f>IFERROR(INDEX('Material routes'!$D$6:$D$2205,MATCH(U1341,'Material routes'!$A$6:$A$2205,0)),"MISSING ID")</x:f>
        <x:v>proposal.collection.ratchet_pawl</x:v>
      </x:c>
      <x:c r="T1341" s="4" t="str">
        <x:f>IFERROR(INDEX('Material routes'!$D$6:$D$2205,MATCH(V1341,'Material routes'!$A$6:$A$2205,0)),"MISSING ID")</x:f>
        <x:v>proposal.collection.crank_wound_siege_bow</x:v>
      </x:c>
      <x:c r="U1341" s="4" t="str">
        <x:v>design.collection.crank_wound_siege_bow.audit.extra.12</x:v>
      </x:c>
      <x:c r="V1341" s="4" t="str">
        <x:v>design.collection.crank_wound_siege_bow.out</x:v>
      </x:c>
    </x:row>
    <x:row r="1342" ht="64" customHeight="1">
      <x:c r="A1342" s="4" t="str">
        <x:f>IFERROR(INDEX('Material routes'!$E$6:$E$2205,MATCH(U1342,'Material routes'!$A$6:$A$2205,0)),"MISSING ID")</x:f>
        <x:v>Grooved lift pulley</x:v>
      </x:c>
      <x:c r="B1342" s="4" t="str">
        <x:f>IFERROR(INDEX('Material routes'!$F$6:$F$2205,MATCH(U1342,'Material routes'!$A$6:$A$2205,0)),"MISSING ID")</x:f>
        <x:v>T3</x:v>
      </x:c>
      <x:c r="C1342" s="4" t="str">
        <x:f>IFERROR(INDEX('Material routes'!$H$6:$H$2205,MATCH(U1342,'Material routes'!$A$6:$A$2205,0)),"MISSING ID")</x:f>
        <x:v>Machine part</x:v>
      </x:c>
      <x:c r="D1342" s="4" t="str">
        <x:f>IFERROR(INDEX('Material routes'!$G$6:$G$2205,MATCH(U1342,'Material routes'!$A$6:$A$2205,0)),"MISSING ID")</x:f>
        <x:v>Crafting components</x:v>
      </x:c>
      <x:c r="E1342" s="4" t="str">
        <x:f>IFERROR(INDEX('Material routes'!$C$6:$C$2205,MATCH(U1342,'Material routes'!$A$6:$A$2205,0)),"MISSING ID")</x:f>
        <x:v>Ingredient candidate</x:v>
      </x:c>
      <x:c r="F1342" s="4" t="str">
        <x:f>IFERROR(INDEX('Material routes'!$E$6:$E$2205,MATCH(V1342,'Material routes'!$A$6:$A$2205,0)),"MISSING ID")</x:f>
        <x:v>Crank-wound siege bow</x:v>
      </x:c>
      <x:c r="G1342" s="4" t="str">
        <x:f>IFERROR(INDEX('Material routes'!$F$6:$F$2205,MATCH(V1342,'Material routes'!$A$6:$A$2205,0)),"MISSING ID")</x:f>
        <x:v>Not applicable</x:v>
      </x:c>
      <x:c r="H1342" s="4" t="str">
        <x:f>IFERROR(INDEX('Material routes'!$H$6:$H$2205,MATCH(V1342,'Material routes'!$A$6:$A$2205,0)),"MISSING ID")</x:f>
        <x:v>Weapon</x:v>
      </x:c>
      <x:c r="I1342" s="4" t="str">
        <x:f>IFERROR(INDEX('Material routes'!$G$6:$G$2205,MATCH(V1342,'Material routes'!$A$6:$A$2205,0)),"MISSING ID")</x:f>
        <x:v>Weapons</x:v>
      </x:c>
      <x:c r="J1342" s="4" t="str">
        <x:f>IFERROR(INDEX('Material routes'!$B$6:$B$2205,MATCH(U1342,'Material routes'!$A$6:$A$2205,0)),"MISSING ID")</x:f>
        <x:v>design.collection.crank_wound_siege_bow</x:v>
      </x:c>
      <x:c r="K1342" s="4" t="str">
        <x:f>IFERROR(INDEX('Crafting recipes'!$C$6:$C$1005,MATCH(J1342,'Crafting recipes'!$A$6:$A$1005,0)),"MISSING ID")</x:f>
        <x:v>Finished-item crafting</x:v>
      </x:c>
      <x:c r="L1342" s="4" t="str">
        <x:f>IFERROR(INDEX('Material routes'!$K$6:$K$2205,MATCH(U1342,'Material routes'!$A$6:$A$2205,0)),"MISSING ID")</x:f>
        <x:v>Proposal</x:v>
      </x:c>
      <x:c r="M1342" s="4" t="str">
        <x:f>IFERROR(INDEX('Material routes'!$M$6:$M$2205,MATCH(U1342,'Material routes'!$A$6:$A$2205,0)),"MISSING ID")</x:f>
        <x:v>Partial proposal</x:v>
      </x:c>
      <x:c r="N1342" s="4"/>
      <x:c r="O1342" s="4" t="str">
        <x:f>IFERROR(INDEX('Material routes'!$J$6:$J$2205,MATCH(U1342,'Material routes'!$A$6:$A$2205,0)),"MISSING ID")</x:f>
        <x:v>Unspecified</x:v>
      </x:c>
      <x:c r="P1342" s="4"/>
      <x:c r="Q1342" s="4" t="str">
        <x:f>IFERROR(INDEX('Material routes'!$J$6:$J$2205,MATCH(V1342,'Material routes'!$A$6:$A$2205,0)),"MISSING ID")</x:f>
        <x:v>Unspecified</x:v>
      </x:c>
      <x:c r="R1342" s="4" t="str">
        <x:f>IF(L1342="Withheld","Withheld premise",IF(E1342="Tool candidate","Reusable prerequisite",IF(K1342="Raw entry preparation","Entry-resource preparation",IF(G1342="Not applicable",IF(IFERROR(INDEX('Items'!$AI$6:$AI$1005,MATCH(T1342,'Items'!$A$6:$A$1005,0)),"MISSING ID")="Finished item","Finished endpoint",IF(IFERROR(INDEX('Items'!$AI$6:$AI$1005,MATCH(T1342,'Items'!$A$6:$A$1005,0)),"MISSING ID")="Currency","Currency / no refinement tier","Recovered output / tier not applicable")),IF(OR(IFERROR(INDEX('Crafting recipes'!$H$6:$H$1005,MATCH(J1342,'Crafting recipes'!$A$6:$A$1005,0)),"MISSING ID")="Unassigned",G1342="Unassigned"),"Tier unresolved",IF(IFERROR(VALUE(RIGHT(G1342,1))-VALUE(RIGHT(IFERROR(INDEX('Crafting recipes'!$H$6:$H$1005,MATCH(J1342,'Crafting recipes'!$A$6:$A$1005,0)),"MISSING ID"),1)),0)=1,IF(B1342=IFERROR(INDEX('Crafting recipes'!$H$6:$H$1005,MATCH(J1342,'Crafting recipes'!$A$6:$A$1005,0)),"MISSING ID"),"Advances one material tier","Lower-tier ingredient; route advances one tier"),"Needs tier review"))))))</x:f>
        <x:v>Finished endpoint</x:v>
      </x:c>
      <x:c r="S1342" s="4" t="str">
        <x:f>IFERROR(INDEX('Material routes'!$D$6:$D$2205,MATCH(U1342,'Material routes'!$A$6:$A$2205,0)),"MISSING ID")</x:f>
        <x:v>proposal.collection.grooved_lift_pulley</x:v>
      </x:c>
      <x:c r="T1342" s="4" t="str">
        <x:f>IFERROR(INDEX('Material routes'!$D$6:$D$2205,MATCH(V1342,'Material routes'!$A$6:$A$2205,0)),"MISSING ID")</x:f>
        <x:v>proposal.collection.crank_wound_siege_bow</x:v>
      </x:c>
      <x:c r="U1342" s="4" t="str">
        <x:v>design.collection.crank_wound_siege_bow.audit.extra.13</x:v>
      </x:c>
      <x:c r="V1342" s="4" t="str">
        <x:v>design.collection.crank_wound_siege_bow.out</x:v>
      </x:c>
    </x:row>
    <x:row r="1343" ht="64" customHeight="1">
      <x:c r="A1343" s="4" t="str">
        <x:f>IFERROR(INDEX('Material routes'!$E$6:$E$2205,MATCH(U1343,'Material routes'!$A$6:$A$2205,0)),"MISSING ID")</x:f>
        <x:v>Tendon cord</x:v>
      </x:c>
      <x:c r="B1343" s="4" t="str">
        <x:f>IFERROR(INDEX('Material routes'!$F$6:$F$2205,MATCH(U1343,'Material routes'!$A$6:$A$2205,0)),"MISSING ID")</x:f>
        <x:v>T1</x:v>
      </x:c>
      <x:c r="C1343" s="4" t="str">
        <x:f>IFERROR(INDEX('Material routes'!$H$6:$H$2205,MATCH(U1343,'Material routes'!$A$6:$A$2205,0)),"MISSING ID")</x:f>
        <x:v>Crafting component</x:v>
      </x:c>
      <x:c r="D1343" s="4" t="str">
        <x:f>IFERROR(INDEX('Material routes'!$G$6:$G$2205,MATCH(U1343,'Material routes'!$A$6:$A$2205,0)),"MISSING ID")</x:f>
        <x:v>Crafting components</x:v>
      </x:c>
      <x:c r="E1343" s="4" t="str">
        <x:f>IFERROR(INDEX('Material routes'!$C$6:$C$2205,MATCH(U1343,'Material routes'!$A$6:$A$2205,0)),"MISSING ID")</x:f>
        <x:v>Ingredient candidate</x:v>
      </x:c>
      <x:c r="F1343" s="4" t="str">
        <x:f>IFERROR(INDEX('Material routes'!$E$6:$E$2205,MATCH(V1343,'Material routes'!$A$6:$A$2205,0)),"MISSING ID")</x:f>
        <x:v>Crank-wound siege bow</x:v>
      </x:c>
      <x:c r="G1343" s="4" t="str">
        <x:f>IFERROR(INDEX('Material routes'!$F$6:$F$2205,MATCH(V1343,'Material routes'!$A$6:$A$2205,0)),"MISSING ID")</x:f>
        <x:v>Not applicable</x:v>
      </x:c>
      <x:c r="H1343" s="4" t="str">
        <x:f>IFERROR(INDEX('Material routes'!$H$6:$H$2205,MATCH(V1343,'Material routes'!$A$6:$A$2205,0)),"MISSING ID")</x:f>
        <x:v>Weapon</x:v>
      </x:c>
      <x:c r="I1343" s="4" t="str">
        <x:f>IFERROR(INDEX('Material routes'!$G$6:$G$2205,MATCH(V1343,'Material routes'!$A$6:$A$2205,0)),"MISSING ID")</x:f>
        <x:v>Weapons</x:v>
      </x:c>
      <x:c r="J1343" s="4" t="str">
        <x:f>IFERROR(INDEX('Material routes'!$B$6:$B$2205,MATCH(U1343,'Material routes'!$A$6:$A$2205,0)),"MISSING ID")</x:f>
        <x:v>design.collection.crank_wound_siege_bow</x:v>
      </x:c>
      <x:c r="K1343" s="4" t="str">
        <x:f>IFERROR(INDEX('Crafting recipes'!$C$6:$C$1005,MATCH(J1343,'Crafting recipes'!$A$6:$A$1005,0)),"MISSING ID")</x:f>
        <x:v>Finished-item crafting</x:v>
      </x:c>
      <x:c r="L1343" s="4" t="str">
        <x:f>IFERROR(INDEX('Material routes'!$K$6:$K$2205,MATCH(U1343,'Material routes'!$A$6:$A$2205,0)),"MISSING ID")</x:f>
        <x:v>Proposal</x:v>
      </x:c>
      <x:c r="M1343" s="4" t="str">
        <x:f>IFERROR(INDEX('Material routes'!$M$6:$M$2205,MATCH(U1343,'Material routes'!$A$6:$A$2205,0)),"MISSING ID")</x:f>
        <x:v>Partial proposal</x:v>
      </x:c>
      <x:c r="N1343" s="4"/>
      <x:c r="O1343" s="4" t="str">
        <x:f>IFERROR(INDEX('Material routes'!$J$6:$J$2205,MATCH(U1343,'Material routes'!$A$6:$A$2205,0)),"MISSING ID")</x:f>
        <x:v>Unspecified</x:v>
      </x:c>
      <x:c r="P1343" s="4"/>
      <x:c r="Q1343" s="4" t="str">
        <x:f>IFERROR(INDEX('Material routes'!$J$6:$J$2205,MATCH(V1343,'Material routes'!$A$6:$A$2205,0)),"MISSING ID")</x:f>
        <x:v>Unspecified</x:v>
      </x:c>
      <x:c r="R1343" s="4" t="str">
        <x:f>IF(L1343="Withheld","Withheld premise",IF(E1343="Tool candidate","Reusable prerequisite",IF(K1343="Raw entry preparation","Entry-resource preparation",IF(G1343="Not applicable",IF(IFERROR(INDEX('Items'!$AI$6:$AI$1005,MATCH(T1343,'Items'!$A$6:$A$1005,0)),"MISSING ID")="Finished item","Finished endpoint",IF(IFERROR(INDEX('Items'!$AI$6:$AI$1005,MATCH(T1343,'Items'!$A$6:$A$1005,0)),"MISSING ID")="Currency","Currency / no refinement tier","Recovered output / tier not applicable")),IF(OR(IFERROR(INDEX('Crafting recipes'!$H$6:$H$1005,MATCH(J1343,'Crafting recipes'!$A$6:$A$1005,0)),"MISSING ID")="Unassigned",G1343="Unassigned"),"Tier unresolved",IF(IFERROR(VALUE(RIGHT(G1343,1))-VALUE(RIGHT(IFERROR(INDEX('Crafting recipes'!$H$6:$H$1005,MATCH(J1343,'Crafting recipes'!$A$6:$A$1005,0)),"MISSING ID"),1)),0)=1,IF(B1343=IFERROR(INDEX('Crafting recipes'!$H$6:$H$1005,MATCH(J1343,'Crafting recipes'!$A$6:$A$1005,0)),"MISSING ID"),"Advances one material tier","Lower-tier ingredient; route advances one tier"),"Needs tier review"))))))</x:f>
        <x:v>Finished endpoint</x:v>
      </x:c>
      <x:c r="S1343" s="4" t="str">
        <x:f>IFERROR(INDEX('Material routes'!$D$6:$D$2205,MATCH(U1343,'Material routes'!$A$6:$A$2205,0)),"MISSING ID")</x:f>
        <x:v>proposal.bio.cord</x:v>
      </x:c>
      <x:c r="T1343" s="4" t="str">
        <x:f>IFERROR(INDEX('Material routes'!$D$6:$D$2205,MATCH(V1343,'Material routes'!$A$6:$A$2205,0)),"MISSING ID")</x:f>
        <x:v>proposal.collection.crank_wound_siege_bow</x:v>
      </x:c>
      <x:c r="U1343" s="4" t="str">
        <x:v>design.collection.crank_wound_siege_bow.audit.extra.14</x:v>
      </x:c>
      <x:c r="V1343" s="4" t="str">
        <x:v>design.collection.crank_wound_siege_bow.out</x:v>
      </x:c>
    </x:row>
    <x:row r="1344" ht="64" customHeight="1">
      <x:c r="A1344" s="4"/>
      <x:c r="B1344" s="4"/>
      <x:c r="C1344" s="4"/>
      <x:c r="D1344" s="4"/>
      <x:c r="E1344" s="4"/>
      <x:c r="F1344" s="4"/>
      <x:c r="G1344" s="4"/>
      <x:c r="H1344" s="4"/>
      <x:c r="I1344" s="4"/>
      <x:c r="J1344" s="4"/>
      <x:c r="K1344" s="4"/>
      <x:c r="L1344" s="4"/>
      <x:c r="M1344" s="4"/>
      <x:c r="N1344" s="4"/>
      <x:c r="P1344" s="4"/>
      <x:c r="R1344" s="4"/>
      <x:c r="S1344" s="4"/>
      <x:c r="T1344" s="4"/>
      <x:c r="U1344" s="4"/>
      <x:c r="V1344" s="4"/>
    </x:row>
    <x:row r="1345" ht="64" customHeight="1">
      <x:c r="A1345" s="4"/>
      <x:c r="B1345" s="4"/>
      <x:c r="C1345" s="4"/>
      <x:c r="D1345" s="4"/>
      <x:c r="E1345" s="4"/>
      <x:c r="F1345" s="4"/>
      <x:c r="G1345" s="4"/>
      <x:c r="H1345" s="4"/>
      <x:c r="I1345" s="4"/>
      <x:c r="J1345" s="4"/>
      <x:c r="K1345" s="4"/>
      <x:c r="L1345" s="4"/>
      <x:c r="M1345" s="4"/>
      <x:c r="N1345" s="4"/>
      <x:c r="P1345" s="4"/>
      <x:c r="R1345" s="4"/>
      <x:c r="S1345" s="4"/>
      <x:c r="T1345" s="4"/>
      <x:c r="U1345" s="4"/>
      <x:c r="V1345" s="4"/>
    </x:row>
    <x:row r="1346" ht="64" customHeight="1">
      <x:c r="A1346" s="4" t="str">
        <x:f>IFERROR(INDEX('Material routes'!$E$6:$E$2205,MATCH(U1346,'Material routes'!$A$6:$A$2205,0)),"MISSING ID")</x:f>
        <x:v>Fitted pressure-barrel module</x:v>
      </x:c>
      <x:c r="B1346" s="4" t="str">
        <x:f>IFERROR(INDEX('Material routes'!$F$6:$F$2205,MATCH(U1346,'Material routes'!$A$6:$A$2205,0)),"MISSING ID")</x:f>
        <x:v>T4</x:v>
      </x:c>
      <x:c r="C1346" s="4" t="str">
        <x:f>IFERROR(INDEX('Material routes'!$H$6:$H$2205,MATCH(U1346,'Material routes'!$A$6:$A$2205,0)),"MISSING ID")</x:f>
        <x:v>Crafting component</x:v>
      </x:c>
      <x:c r="D1346" s="4" t="str">
        <x:f>IFERROR(INDEX('Material routes'!$G$6:$G$2205,MATCH(U1346,'Material routes'!$A$6:$A$2205,0)),"MISSING ID")</x:f>
        <x:v>Crafting components</x:v>
      </x:c>
      <x:c r="E1346" s="4" t="str">
        <x:f>IFERROR(INDEX('Material routes'!$C$6:$C$2205,MATCH(U1346,'Material routes'!$A$6:$A$2205,0)),"MISSING ID")</x:f>
        <x:v>Ingredient candidate</x:v>
      </x:c>
      <x:c r="F1346" s="4" t="str">
        <x:f>IFERROR(INDEX('Material routes'!$E$6:$E$2205,MATCH(V1346,'Material routes'!$A$6:$A$2205,0)),"MISSING ID")</x:f>
        <x:v>Pressure rivet launcher</x:v>
      </x:c>
      <x:c r="G1346" s="4" t="str">
        <x:f>IFERROR(INDEX('Material routes'!$F$6:$F$2205,MATCH(V1346,'Material routes'!$A$6:$A$2205,0)),"MISSING ID")</x:f>
        <x:v>Not applicable</x:v>
      </x:c>
      <x:c r="H1346" s="4" t="str">
        <x:f>IFERROR(INDEX('Material routes'!$H$6:$H$2205,MATCH(V1346,'Material routes'!$A$6:$A$2205,0)),"MISSING ID")</x:f>
        <x:v>Weapon</x:v>
      </x:c>
      <x:c r="I1346" s="4" t="str">
        <x:f>IFERROR(INDEX('Material routes'!$G$6:$G$2205,MATCH(V1346,'Material routes'!$A$6:$A$2205,0)),"MISSING ID")</x:f>
        <x:v>Weapons</x:v>
      </x:c>
      <x:c r="J1346" s="4" t="str">
        <x:f>IFERROR(INDEX('Material routes'!$B$6:$B$2205,MATCH(U1346,'Material routes'!$A$6:$A$2205,0)),"MISSING ID")</x:f>
        <x:v>design.collection.pressure_rivet_launcher</x:v>
      </x:c>
      <x:c r="K1346" s="4" t="str">
        <x:f>IFERROR(INDEX('Crafting recipes'!$C$6:$C$1005,MATCH(J1346,'Crafting recipes'!$A$6:$A$1005,0)),"MISSING ID")</x:f>
        <x:v>Finished-item crafting</x:v>
      </x:c>
      <x:c r="L1346" s="4" t="str">
        <x:f>IFERROR(INDEX('Material routes'!$K$6:$K$2205,MATCH(U1346,'Material routes'!$A$6:$A$2205,0)),"MISSING ID")</x:f>
        <x:v>Proposal</x:v>
      </x:c>
      <x:c r="M1346" s="4" t="str">
        <x:f>IFERROR(INDEX('Material routes'!$M$6:$M$2205,MATCH(U1346,'Material routes'!$A$6:$A$2205,0)),"MISSING ID")</x:f>
        <x:v>Partial proposal</x:v>
      </x:c>
      <x:c r="N1346" s="4"/>
      <x:c r="O1346" s="4" t="str">
        <x:f>IFERROR(INDEX('Material routes'!$J$6:$J$2205,MATCH(U1346,'Material routes'!$A$6:$A$2205,0)),"MISSING ID")</x:f>
        <x:v>Unspecified</x:v>
      </x:c>
      <x:c r="P1346" s="4"/>
      <x:c r="Q1346" s="4" t="str">
        <x:f>IFERROR(INDEX('Material routes'!$J$6:$J$2205,MATCH(V1346,'Material routes'!$A$6:$A$2205,0)),"MISSING ID")</x:f>
        <x:v>Unspecified</x:v>
      </x:c>
      <x:c r="R1346" s="4" t="str">
        <x:f>IF(L1346="Withheld","Withheld premise",IF(E1346="Tool candidate","Reusable prerequisite",IF(K1346="Raw entry preparation","Entry-resource preparation",IF(G1346="Not applicable",IF(IFERROR(INDEX('Items'!$AI$6:$AI$1005,MATCH(T1346,'Items'!$A$6:$A$1005,0)),"MISSING ID")="Finished item","Finished endpoint",IF(IFERROR(INDEX('Items'!$AI$6:$AI$1005,MATCH(T1346,'Items'!$A$6:$A$1005,0)),"MISSING ID")="Currency","Currency / no refinement tier","Recovered output / tier not applicable")),IF(OR(IFERROR(INDEX('Crafting recipes'!$H$6:$H$1005,MATCH(J1346,'Crafting recipes'!$A$6:$A$1005,0)),"MISSING ID")="Unassigned",G1346="Unassigned"),"Tier unresolved",IF(IFERROR(VALUE(RIGHT(G1346,1))-VALUE(RIGHT(IFERROR(INDEX('Crafting recipes'!$H$6:$H$1005,MATCH(J1346,'Crafting recipes'!$A$6:$A$1005,0)),"MISSING ID"),1)),0)=1,IF(B1346=IFERROR(INDEX('Crafting recipes'!$H$6:$H$1005,MATCH(J1346,'Crafting recipes'!$A$6:$A$1005,0)),"MISSING ID"),"Advances one material tier","Lower-tier ingredient; route advances one tier"),"Needs tier review"))))))</x:f>
        <x:v>Finished endpoint</x:v>
      </x:c>
      <x:c r="S1346" s="4" t="str">
        <x:f>IFERROR(INDEX('Material routes'!$D$6:$D$2205,MATCH(U1346,'Material routes'!$A$6:$A$2205,0)),"MISSING ID")</x:f>
        <x:v>proposal.audit.fitted_pressure_barrel_module</x:v>
      </x:c>
      <x:c r="T1346" s="4" t="str">
        <x:f>IFERROR(INDEX('Material routes'!$D$6:$D$2205,MATCH(V1346,'Material routes'!$A$6:$A$2205,0)),"MISSING ID")</x:f>
        <x:v>proposal.collection.pressure_rivet_launcher</x:v>
      </x:c>
      <x:c r="U1346" s="4" t="str">
        <x:v>design.collection.pressure_rivet_launcher.audit.extra.17</x:v>
      </x:c>
      <x:c r="V1346" s="4" t="str">
        <x:v>design.collection.pressure_rivet_launcher.out</x:v>
      </x:c>
    </x:row>
    <x:row r="1347" ht="64" customHeight="1">
      <x:c r="A1347" s="4" t="str">
        <x:f>IFERROR(INDEX('Material routes'!$E$6:$E$2205,MATCH(U1347,'Material routes'!$A$6:$A$2205,0)),"MISSING ID")</x:f>
        <x:v>Spring-seated check valve</x:v>
      </x:c>
      <x:c r="B1347" s="4" t="str">
        <x:f>IFERROR(INDEX('Material routes'!$F$6:$F$2205,MATCH(U1347,'Material routes'!$A$6:$A$2205,0)),"MISSING ID")</x:f>
        <x:v>T4</x:v>
      </x:c>
      <x:c r="C1347" s="4" t="str">
        <x:f>IFERROR(INDEX('Material routes'!$H$6:$H$2205,MATCH(U1347,'Material routes'!$A$6:$A$2205,0)),"MISSING ID")</x:f>
        <x:v>Machine part</x:v>
      </x:c>
      <x:c r="D1347" s="4" t="str">
        <x:f>IFERROR(INDEX('Material routes'!$G$6:$G$2205,MATCH(U1347,'Material routes'!$A$6:$A$2205,0)),"MISSING ID")</x:f>
        <x:v>Crafting components</x:v>
      </x:c>
      <x:c r="E1347" s="4" t="str">
        <x:f>IFERROR(INDEX('Material routes'!$C$6:$C$2205,MATCH(U1347,'Material routes'!$A$6:$A$2205,0)),"MISSING ID")</x:f>
        <x:v>Ingredient candidate</x:v>
      </x:c>
      <x:c r="F1347" s="4" t="str">
        <x:f>IFERROR(INDEX('Material routes'!$E$6:$E$2205,MATCH(V1347,'Material routes'!$A$6:$A$2205,0)),"MISSING ID")</x:f>
        <x:v>Pressure rivet launcher</x:v>
      </x:c>
      <x:c r="G1347" s="4" t="str">
        <x:f>IFERROR(INDEX('Material routes'!$F$6:$F$2205,MATCH(V1347,'Material routes'!$A$6:$A$2205,0)),"MISSING ID")</x:f>
        <x:v>Not applicable</x:v>
      </x:c>
      <x:c r="H1347" s="4" t="str">
        <x:f>IFERROR(INDEX('Material routes'!$H$6:$H$2205,MATCH(V1347,'Material routes'!$A$6:$A$2205,0)),"MISSING ID")</x:f>
        <x:v>Weapon</x:v>
      </x:c>
      <x:c r="I1347" s="4" t="str">
        <x:f>IFERROR(INDEX('Material routes'!$G$6:$G$2205,MATCH(V1347,'Material routes'!$A$6:$A$2205,0)),"MISSING ID")</x:f>
        <x:v>Weapons</x:v>
      </x:c>
      <x:c r="J1347" s="4" t="str">
        <x:f>IFERROR(INDEX('Material routes'!$B$6:$B$2205,MATCH(U1347,'Material routes'!$A$6:$A$2205,0)),"MISSING ID")</x:f>
        <x:v>design.collection.pressure_rivet_launcher</x:v>
      </x:c>
      <x:c r="K1347" s="4" t="str">
        <x:f>IFERROR(INDEX('Crafting recipes'!$C$6:$C$1005,MATCH(J1347,'Crafting recipes'!$A$6:$A$1005,0)),"MISSING ID")</x:f>
        <x:v>Finished-item crafting</x:v>
      </x:c>
      <x:c r="L1347" s="4" t="str">
        <x:f>IFERROR(INDEX('Material routes'!$K$6:$K$2205,MATCH(U1347,'Material routes'!$A$6:$A$2205,0)),"MISSING ID")</x:f>
        <x:v>Proposal</x:v>
      </x:c>
      <x:c r="M1347" s="4" t="str">
        <x:f>IFERROR(INDEX('Material routes'!$M$6:$M$2205,MATCH(U1347,'Material routes'!$A$6:$A$2205,0)),"MISSING ID")</x:f>
        <x:v>Partial proposal</x:v>
      </x:c>
      <x:c r="N1347" s="4"/>
      <x:c r="O1347" s="4" t="str">
        <x:f>IFERROR(INDEX('Material routes'!$J$6:$J$2205,MATCH(U1347,'Material routes'!$A$6:$A$2205,0)),"MISSING ID")</x:f>
        <x:v>Unspecified</x:v>
      </x:c>
      <x:c r="P1347" s="4"/>
      <x:c r="Q1347" s="4" t="str">
        <x:f>IFERROR(INDEX('Material routes'!$J$6:$J$2205,MATCH(V1347,'Material routes'!$A$6:$A$2205,0)),"MISSING ID")</x:f>
        <x:v>Unspecified</x:v>
      </x:c>
      <x:c r="R1347" s="4" t="str">
        <x:f>IF(L1347="Withheld","Withheld premise",IF(E1347="Tool candidate","Reusable prerequisite",IF(K1347="Raw entry preparation","Entry-resource preparation",IF(G1347="Not applicable",IF(IFERROR(INDEX('Items'!$AI$6:$AI$1005,MATCH(T1347,'Items'!$A$6:$A$1005,0)),"MISSING ID")="Finished item","Finished endpoint",IF(IFERROR(INDEX('Items'!$AI$6:$AI$1005,MATCH(T1347,'Items'!$A$6:$A$1005,0)),"MISSING ID")="Currency","Currency / no refinement tier","Recovered output / tier not applicable")),IF(OR(IFERROR(INDEX('Crafting recipes'!$H$6:$H$1005,MATCH(J1347,'Crafting recipes'!$A$6:$A$1005,0)),"MISSING ID")="Unassigned",G1347="Unassigned"),"Tier unresolved",IF(IFERROR(VALUE(RIGHT(G1347,1))-VALUE(RIGHT(IFERROR(INDEX('Crafting recipes'!$H$6:$H$1005,MATCH(J1347,'Crafting recipes'!$A$6:$A$1005,0)),"MISSING ID"),1)),0)=1,IF(B1347=IFERROR(INDEX('Crafting recipes'!$H$6:$H$1005,MATCH(J1347,'Crafting recipes'!$A$6:$A$1005,0)),"MISSING ID"),"Advances one material tier","Lower-tier ingredient; route advances one tier"),"Needs tier review"))))))</x:f>
        <x:v>Finished endpoint</x:v>
      </x:c>
      <x:c r="S1347" s="4" t="str">
        <x:f>IFERROR(INDEX('Material routes'!$D$6:$D$2205,MATCH(U1347,'Material routes'!$A$6:$A$2205,0)),"MISSING ID")</x:f>
        <x:v>proposal.collection.spring_seated_check_valve</x:v>
      </x:c>
      <x:c r="T1347" s="4" t="str">
        <x:f>IFERROR(INDEX('Material routes'!$D$6:$D$2205,MATCH(V1347,'Material routes'!$A$6:$A$2205,0)),"MISSING ID")</x:f>
        <x:v>proposal.collection.pressure_rivet_launcher</x:v>
      </x:c>
      <x:c r="U1347" s="4" t="str">
        <x:v>design.collection.pressure_rivet_launcher.audit.extra.18</x:v>
      </x:c>
      <x:c r="V1347" s="4" t="str">
        <x:v>design.collection.pressure_rivet_launcher.out</x:v>
      </x:c>
    </x:row>
    <x:row r="1348" ht="64" customHeight="1">
      <x:c r="A1348" s="4" t="str">
        <x:f>IFERROR(INDEX('Material routes'!$E$6:$E$2205,MATCH(U1348,'Material routes'!$A$6:$A$2205,0)),"MISSING ID")</x:f>
        <x:v>Compact latch and trigger pack</x:v>
      </x:c>
      <x:c r="B1348" s="4" t="str">
        <x:f>IFERROR(INDEX('Material routes'!$F$6:$F$2205,MATCH(U1348,'Material routes'!$A$6:$A$2205,0)),"MISSING ID")</x:f>
        <x:v>T4</x:v>
      </x:c>
      <x:c r="C1348" s="4" t="str">
        <x:f>IFERROR(INDEX('Material routes'!$H$6:$H$2205,MATCH(U1348,'Material routes'!$A$6:$A$2205,0)),"MISSING ID")</x:f>
        <x:v>Crafting component</x:v>
      </x:c>
      <x:c r="D1348" s="4" t="str">
        <x:f>IFERROR(INDEX('Material routes'!$G$6:$G$2205,MATCH(U1348,'Material routes'!$A$6:$A$2205,0)),"MISSING ID")</x:f>
        <x:v>Crafting components</x:v>
      </x:c>
      <x:c r="E1348" s="4" t="str">
        <x:f>IFERROR(INDEX('Material routes'!$C$6:$C$2205,MATCH(U1348,'Material routes'!$A$6:$A$2205,0)),"MISSING ID")</x:f>
        <x:v>Ingredient candidate</x:v>
      </x:c>
      <x:c r="F1348" s="4" t="str">
        <x:f>IFERROR(INDEX('Material routes'!$E$6:$E$2205,MATCH(V1348,'Material routes'!$A$6:$A$2205,0)),"MISSING ID")</x:f>
        <x:v>Pressure rivet launcher</x:v>
      </x:c>
      <x:c r="G1348" s="4" t="str">
        <x:f>IFERROR(INDEX('Material routes'!$F$6:$F$2205,MATCH(V1348,'Material routes'!$A$6:$A$2205,0)),"MISSING ID")</x:f>
        <x:v>Not applicable</x:v>
      </x:c>
      <x:c r="H1348" s="4" t="str">
        <x:f>IFERROR(INDEX('Material routes'!$H$6:$H$2205,MATCH(V1348,'Material routes'!$A$6:$A$2205,0)),"MISSING ID")</x:f>
        <x:v>Weapon</x:v>
      </x:c>
      <x:c r="I1348" s="4" t="str">
        <x:f>IFERROR(INDEX('Material routes'!$G$6:$G$2205,MATCH(V1348,'Material routes'!$A$6:$A$2205,0)),"MISSING ID")</x:f>
        <x:v>Weapons</x:v>
      </x:c>
      <x:c r="J1348" s="4" t="str">
        <x:f>IFERROR(INDEX('Material routes'!$B$6:$B$2205,MATCH(U1348,'Material routes'!$A$6:$A$2205,0)),"MISSING ID")</x:f>
        <x:v>design.collection.pressure_rivet_launcher</x:v>
      </x:c>
      <x:c r="K1348" s="4" t="str">
        <x:f>IFERROR(INDEX('Crafting recipes'!$C$6:$C$1005,MATCH(J1348,'Crafting recipes'!$A$6:$A$1005,0)),"MISSING ID")</x:f>
        <x:v>Finished-item crafting</x:v>
      </x:c>
      <x:c r="L1348" s="4" t="str">
        <x:f>IFERROR(INDEX('Material routes'!$K$6:$K$2205,MATCH(U1348,'Material routes'!$A$6:$A$2205,0)),"MISSING ID")</x:f>
        <x:v>Proposal</x:v>
      </x:c>
      <x:c r="M1348" s="4" t="str">
        <x:f>IFERROR(INDEX('Material routes'!$M$6:$M$2205,MATCH(U1348,'Material routes'!$A$6:$A$2205,0)),"MISSING ID")</x:f>
        <x:v>Partial proposal</x:v>
      </x:c>
      <x:c r="N1348" s="4"/>
      <x:c r="O1348" s="4" t="str">
        <x:f>IFERROR(INDEX('Material routes'!$J$6:$J$2205,MATCH(U1348,'Material routes'!$A$6:$A$2205,0)),"MISSING ID")</x:f>
        <x:v>Unspecified</x:v>
      </x:c>
      <x:c r="P1348" s="4"/>
      <x:c r="Q1348" s="4" t="str">
        <x:f>IFERROR(INDEX('Material routes'!$J$6:$J$2205,MATCH(V1348,'Material routes'!$A$6:$A$2205,0)),"MISSING ID")</x:f>
        <x:v>Unspecified</x:v>
      </x:c>
      <x:c r="R1348" s="4" t="str">
        <x:f>IF(L1348="Withheld","Withheld premise",IF(E1348="Tool candidate","Reusable prerequisite",IF(K1348="Raw entry preparation","Entry-resource preparation",IF(G1348="Not applicable",IF(IFERROR(INDEX('Items'!$AI$6:$AI$1005,MATCH(T1348,'Items'!$A$6:$A$1005,0)),"MISSING ID")="Finished item","Finished endpoint",IF(IFERROR(INDEX('Items'!$AI$6:$AI$1005,MATCH(T1348,'Items'!$A$6:$A$1005,0)),"MISSING ID")="Currency","Currency / no refinement tier","Recovered output / tier not applicable")),IF(OR(IFERROR(INDEX('Crafting recipes'!$H$6:$H$1005,MATCH(J1348,'Crafting recipes'!$A$6:$A$1005,0)),"MISSING ID")="Unassigned",G1348="Unassigned"),"Tier unresolved",IF(IFERROR(VALUE(RIGHT(G1348,1))-VALUE(RIGHT(IFERROR(INDEX('Crafting recipes'!$H$6:$H$1005,MATCH(J1348,'Crafting recipes'!$A$6:$A$1005,0)),"MISSING ID"),1)),0)=1,IF(B1348=IFERROR(INDEX('Crafting recipes'!$H$6:$H$1005,MATCH(J1348,'Crafting recipes'!$A$6:$A$1005,0)),"MISSING ID"),"Advances one material tier","Lower-tier ingredient; route advances one tier"),"Needs tier review"))))))</x:f>
        <x:v>Finished endpoint</x:v>
      </x:c>
      <x:c r="S1348" s="4" t="str">
        <x:f>IFERROR(INDEX('Material routes'!$D$6:$D$2205,MATCH(U1348,'Material routes'!$A$6:$A$2205,0)),"MISSING ID")</x:f>
        <x:v>proposal.audit.compact_latch_and_trigger_pack</x:v>
      </x:c>
      <x:c r="T1348" s="4" t="str">
        <x:f>IFERROR(INDEX('Material routes'!$D$6:$D$2205,MATCH(V1348,'Material routes'!$A$6:$A$2205,0)),"MISSING ID")</x:f>
        <x:v>proposal.collection.pressure_rivet_launcher</x:v>
      </x:c>
      <x:c r="U1348" s="4" t="str">
        <x:v>design.collection.pressure_rivet_launcher.audit.extra.19</x:v>
      </x:c>
      <x:c r="V1348" s="4" t="str">
        <x:v>design.collection.pressure_rivet_launcher.out</x:v>
      </x:c>
    </x:row>
    <x:row r="1349" ht="64" customHeight="1">
      <x:c r="A1349" s="4" t="str">
        <x:f>IFERROR(INDEX('Material routes'!$E$6:$E$2205,MATCH(U1349,'Material routes'!$A$6:$A$2205,0)),"MISSING ID")</x:f>
        <x:v>Sealed pressure accumulator</x:v>
      </x:c>
      <x:c r="B1349" s="4" t="str">
        <x:f>IFERROR(INDEX('Material routes'!$F$6:$F$2205,MATCH(U1349,'Material routes'!$A$6:$A$2205,0)),"MISSING ID")</x:f>
        <x:v>Not applicable</x:v>
      </x:c>
      <x:c r="C1349" s="4" t="str">
        <x:f>IFERROR(INDEX('Material routes'!$H$6:$H$2205,MATCH(U1349,'Material routes'!$A$6:$A$2205,0)),"MISSING ID")</x:f>
        <x:v>Energy storage</x:v>
      </x:c>
      <x:c r="D1349" s="4" t="str">
        <x:f>IFERROR(INDEX('Material routes'!$G$6:$G$2205,MATCH(U1349,'Material routes'!$A$6:$A$2205,0)),"MISSING ID")</x:f>
        <x:v>Crafting components</x:v>
      </x:c>
      <x:c r="E1349" s="4" t="str">
        <x:f>IFERROR(INDEX('Material routes'!$C$6:$C$2205,MATCH(U1349,'Material routes'!$A$6:$A$2205,0)),"MISSING ID")</x:f>
        <x:v>Ingredient candidate</x:v>
      </x:c>
      <x:c r="F1349" s="4" t="str">
        <x:f>IFERROR(INDEX('Material routes'!$E$6:$E$2205,MATCH(V1349,'Material routes'!$A$6:$A$2205,0)),"MISSING ID")</x:f>
        <x:v>Pressure rivet launcher</x:v>
      </x:c>
      <x:c r="G1349" s="4" t="str">
        <x:f>IFERROR(INDEX('Material routes'!$F$6:$F$2205,MATCH(V1349,'Material routes'!$A$6:$A$2205,0)),"MISSING ID")</x:f>
        <x:v>Not applicable</x:v>
      </x:c>
      <x:c r="H1349" s="4" t="str">
        <x:f>IFERROR(INDEX('Material routes'!$H$6:$H$2205,MATCH(V1349,'Material routes'!$A$6:$A$2205,0)),"MISSING ID")</x:f>
        <x:v>Weapon</x:v>
      </x:c>
      <x:c r="I1349" s="4" t="str">
        <x:f>IFERROR(INDEX('Material routes'!$G$6:$G$2205,MATCH(V1349,'Material routes'!$A$6:$A$2205,0)),"MISSING ID")</x:f>
        <x:v>Weapons</x:v>
      </x:c>
      <x:c r="J1349" s="4" t="str">
        <x:f>IFERROR(INDEX('Material routes'!$B$6:$B$2205,MATCH(U1349,'Material routes'!$A$6:$A$2205,0)),"MISSING ID")</x:f>
        <x:v>design.collection.pressure_rivet_launcher</x:v>
      </x:c>
      <x:c r="K1349" s="4" t="str">
        <x:f>IFERROR(INDEX('Crafting recipes'!$C$6:$C$1005,MATCH(J1349,'Crafting recipes'!$A$6:$A$1005,0)),"MISSING ID")</x:f>
        <x:v>Finished-item crafting</x:v>
      </x:c>
      <x:c r="L1349" s="4" t="str">
        <x:f>IFERROR(INDEX('Material routes'!$K$6:$K$2205,MATCH(U1349,'Material routes'!$A$6:$A$2205,0)),"MISSING ID")</x:f>
        <x:v>Proposal</x:v>
      </x:c>
      <x:c r="M1349" s="4" t="str">
        <x:f>IFERROR(INDEX('Material routes'!$M$6:$M$2205,MATCH(U1349,'Material routes'!$A$6:$A$2205,0)),"MISSING ID")</x:f>
        <x:v>Partial proposal</x:v>
      </x:c>
      <x:c r="N1349" s="4"/>
      <x:c r="O1349" s="4" t="str">
        <x:f>IFERROR(INDEX('Material routes'!$J$6:$J$2205,MATCH(U1349,'Material routes'!$A$6:$A$2205,0)),"MISSING ID")</x:f>
        <x:v>Unspecified</x:v>
      </x:c>
      <x:c r="P1349" s="4"/>
      <x:c r="Q1349" s="4" t="str">
        <x:f>IFERROR(INDEX('Material routes'!$J$6:$J$2205,MATCH(V1349,'Material routes'!$A$6:$A$2205,0)),"MISSING ID")</x:f>
        <x:v>Unspecified</x:v>
      </x:c>
      <x:c r="R1349" s="4" t="str">
        <x:f>IF(L1349="Withheld","Withheld premise",IF(E1349="Tool candidate","Reusable prerequisite",IF(K1349="Raw entry preparation","Entry-resource preparation",IF(G1349="Not applicable",IF(IFERROR(INDEX('Items'!$AI$6:$AI$1005,MATCH(T1349,'Items'!$A$6:$A$1005,0)),"MISSING ID")="Finished item","Finished endpoint",IF(IFERROR(INDEX('Items'!$AI$6:$AI$1005,MATCH(T1349,'Items'!$A$6:$A$1005,0)),"MISSING ID")="Currency","Currency / no refinement tier","Recovered output / tier not applicable")),IF(OR(IFERROR(INDEX('Crafting recipes'!$H$6:$H$1005,MATCH(J1349,'Crafting recipes'!$A$6:$A$1005,0)),"MISSING ID")="Unassigned",G1349="Unassigned"),"Tier unresolved",IF(IFERROR(VALUE(RIGHT(G1349,1))-VALUE(RIGHT(IFERROR(INDEX('Crafting recipes'!$H$6:$H$1005,MATCH(J1349,'Crafting recipes'!$A$6:$A$1005,0)),"MISSING ID"),1)),0)=1,IF(B1349=IFERROR(INDEX('Crafting recipes'!$H$6:$H$1005,MATCH(J1349,'Crafting recipes'!$A$6:$A$1005,0)),"MISSING ID"),"Advances one material tier","Lower-tier ingredient; route advances one tier"),"Needs tier review"))))))</x:f>
        <x:v>Finished endpoint</x:v>
      </x:c>
      <x:c r="S1349" s="4" t="str">
        <x:f>IFERROR(INDEX('Material routes'!$D$6:$D$2205,MATCH(U1349,'Material routes'!$A$6:$A$2205,0)),"MISSING ID")</x:f>
        <x:v>proposal.collection.sealed_pressure_accumulator</x:v>
      </x:c>
      <x:c r="T1349" s="4" t="str">
        <x:f>IFERROR(INDEX('Material routes'!$D$6:$D$2205,MATCH(V1349,'Material routes'!$A$6:$A$2205,0)),"MISSING ID")</x:f>
        <x:v>proposal.collection.pressure_rivet_launcher</x:v>
      </x:c>
      <x:c r="U1349" s="4" t="str">
        <x:v>design.collection.pressure_rivet_launcher.audit.extra.20</x:v>
      </x:c>
      <x:c r="V1349" s="4" t="str">
        <x:v>design.collection.pressure_rivet_launcher.out</x:v>
      </x:c>
    </x:row>
    <x:row r="1350" ht="64" customHeight="1">
      <x:c r="A1350" s="4" t="str">
        <x:f>IFERROR(INDEX('Material routes'!$E$6:$E$2205,MATCH(U1350,'Material routes'!$A$6:$A$2205,0)),"MISSING ID")</x:f>
        <x:v>Fitted machine casing</x:v>
      </x:c>
      <x:c r="B1350" s="4" t="str">
        <x:f>IFERROR(INDEX('Material routes'!$F$6:$F$2205,MATCH(U1350,'Material routes'!$A$6:$A$2205,0)),"MISSING ID")</x:f>
        <x:v>T3</x:v>
      </x:c>
      <x:c r="C1350" s="4" t="str">
        <x:f>IFERROR(INDEX('Material routes'!$H$6:$H$2205,MATCH(U1350,'Material routes'!$A$6:$A$2205,0)),"MISSING ID")</x:f>
        <x:v>Crafting component</x:v>
      </x:c>
      <x:c r="D1350" s="4" t="str">
        <x:f>IFERROR(INDEX('Material routes'!$G$6:$G$2205,MATCH(U1350,'Material routes'!$A$6:$A$2205,0)),"MISSING ID")</x:f>
        <x:v>Crafting components</x:v>
      </x:c>
      <x:c r="E1350" s="4" t="str">
        <x:f>IFERROR(INDEX('Material routes'!$C$6:$C$2205,MATCH(U1350,'Material routes'!$A$6:$A$2205,0)),"MISSING ID")</x:f>
        <x:v>Ingredient candidate</x:v>
      </x:c>
      <x:c r="F1350" s="4" t="str">
        <x:f>IFERROR(INDEX('Material routes'!$E$6:$E$2205,MATCH(V1350,'Material routes'!$A$6:$A$2205,0)),"MISSING ID")</x:f>
        <x:v>Magnetic dart projector</x:v>
      </x:c>
      <x:c r="G1350" s="4" t="str">
        <x:f>IFERROR(INDEX('Material routes'!$F$6:$F$2205,MATCH(V1350,'Material routes'!$A$6:$A$2205,0)),"MISSING ID")</x:f>
        <x:v>Not applicable</x:v>
      </x:c>
      <x:c r="H1350" s="4" t="str">
        <x:f>IFERROR(INDEX('Material routes'!$H$6:$H$2205,MATCH(V1350,'Material routes'!$A$6:$A$2205,0)),"MISSING ID")</x:f>
        <x:v>Weapon</x:v>
      </x:c>
      <x:c r="I1350" s="4" t="str">
        <x:f>IFERROR(INDEX('Material routes'!$G$6:$G$2205,MATCH(V1350,'Material routes'!$A$6:$A$2205,0)),"MISSING ID")</x:f>
        <x:v>Weapons</x:v>
      </x:c>
      <x:c r="J1350" s="4" t="str">
        <x:f>IFERROR(INDEX('Material routes'!$B$6:$B$2205,MATCH(U1350,'Material routes'!$A$6:$A$2205,0)),"MISSING ID")</x:f>
        <x:v>design.collection.magnetic_dart_projector</x:v>
      </x:c>
      <x:c r="K1350" s="4" t="str">
        <x:f>IFERROR(INDEX('Crafting recipes'!$C$6:$C$1005,MATCH(J1350,'Crafting recipes'!$A$6:$A$1005,0)),"MISSING ID")</x:f>
        <x:v>Finished-item crafting</x:v>
      </x:c>
      <x:c r="L1350" s="4" t="str">
        <x:f>IFERROR(INDEX('Material routes'!$K$6:$K$2205,MATCH(U1350,'Material routes'!$A$6:$A$2205,0)),"MISSING ID")</x:f>
        <x:v>Proposal</x:v>
      </x:c>
      <x:c r="M1350" s="4" t="str">
        <x:f>IFERROR(INDEX('Material routes'!$M$6:$M$2205,MATCH(U1350,'Material routes'!$A$6:$A$2205,0)),"MISSING ID")</x:f>
        <x:v>Partial proposal</x:v>
      </x:c>
      <x:c r="N1350" s="4"/>
      <x:c r="O1350" s="4" t="str">
        <x:f>IFERROR(INDEX('Material routes'!$J$6:$J$2205,MATCH(U1350,'Material routes'!$A$6:$A$2205,0)),"MISSING ID")</x:f>
        <x:v>Unspecified</x:v>
      </x:c>
      <x:c r="P1350" s="4"/>
      <x:c r="Q1350" s="4" t="str">
        <x:f>IFERROR(INDEX('Material routes'!$J$6:$J$2205,MATCH(V1350,'Material routes'!$A$6:$A$2205,0)),"MISSING ID")</x:f>
        <x:v>Unspecified</x:v>
      </x:c>
      <x:c r="R1350" s="4" t="str">
        <x:f>IF(L1350="Withheld","Withheld premise",IF(E1350="Tool candidate","Reusable prerequisite",IF(K1350="Raw entry preparation","Entry-resource preparation",IF(G1350="Not applicable",IF(IFERROR(INDEX('Items'!$AI$6:$AI$1005,MATCH(T1350,'Items'!$A$6:$A$1005,0)),"MISSING ID")="Finished item","Finished endpoint",IF(IFERROR(INDEX('Items'!$AI$6:$AI$1005,MATCH(T1350,'Items'!$A$6:$A$1005,0)),"MISSING ID")="Currency","Currency / no refinement tier","Recovered output / tier not applicable")),IF(OR(IFERROR(INDEX('Crafting recipes'!$H$6:$H$1005,MATCH(J1350,'Crafting recipes'!$A$6:$A$1005,0)),"MISSING ID")="Unassigned",G1350="Unassigned"),"Tier unresolved",IF(IFERROR(VALUE(RIGHT(G1350,1))-VALUE(RIGHT(IFERROR(INDEX('Crafting recipes'!$H$6:$H$1005,MATCH(J1350,'Crafting recipes'!$A$6:$A$1005,0)),"MISSING ID"),1)),0)=1,IF(B1350=IFERROR(INDEX('Crafting recipes'!$H$6:$H$1005,MATCH(J1350,'Crafting recipes'!$A$6:$A$1005,0)),"MISSING ID"),"Advances one material tier","Lower-tier ingredient; route advances one tier"),"Needs tier review"))))))</x:f>
        <x:v>Finished endpoint</x:v>
      </x:c>
      <x:c r="S1350" s="4" t="str">
        <x:f>IFERROR(INDEX('Material routes'!$D$6:$D$2205,MATCH(U1350,'Material routes'!$A$6:$A$2205,0)),"MISSING ID")</x:f>
        <x:v>proposal.audit.fitted_machine_casing</x:v>
      </x:c>
      <x:c r="T1350" s="4" t="str">
        <x:f>IFERROR(INDEX('Material routes'!$D$6:$D$2205,MATCH(V1350,'Material routes'!$A$6:$A$2205,0)),"MISSING ID")</x:f>
        <x:v>proposal.collection.magnetic_dart_projector</x:v>
      </x:c>
      <x:c r="U1350" s="4" t="str">
        <x:v>design.collection.magnetic_dart_projector.audit.extra.21</x:v>
      </x:c>
      <x:c r="V1350" s="4" t="str">
        <x:v>design.collection.magnetic_dart_projector.out</x:v>
      </x:c>
    </x:row>
    <x:row r="1351" ht="64" customHeight="1">
      <x:c r="A1351" s="4" t="str">
        <x:f>IFERROR(INDEX('Material routes'!$E$6:$E$2205,MATCH(U1351,'Material routes'!$A$6:$A$2205,0)),"MISSING ID")</x:f>
        <x:v>Ceramic-backed control switch</x:v>
      </x:c>
      <x:c r="B1351" s="4" t="str">
        <x:f>IFERROR(INDEX('Material routes'!$F$6:$F$2205,MATCH(U1351,'Material routes'!$A$6:$A$2205,0)),"MISSING ID")</x:f>
        <x:v>T4</x:v>
      </x:c>
      <x:c r="C1351" s="4" t="str">
        <x:f>IFERROR(INDEX('Material routes'!$H$6:$H$2205,MATCH(U1351,'Material routes'!$A$6:$A$2205,0)),"MISSING ID")</x:f>
        <x:v>Crafting component</x:v>
      </x:c>
      <x:c r="D1351" s="4" t="str">
        <x:f>IFERROR(INDEX('Material routes'!$G$6:$G$2205,MATCH(U1351,'Material routes'!$A$6:$A$2205,0)),"MISSING ID")</x:f>
        <x:v>Crafting components</x:v>
      </x:c>
      <x:c r="E1351" s="4" t="str">
        <x:f>IFERROR(INDEX('Material routes'!$C$6:$C$2205,MATCH(U1351,'Material routes'!$A$6:$A$2205,0)),"MISSING ID")</x:f>
        <x:v>Ingredient candidate</x:v>
      </x:c>
      <x:c r="F1351" s="4" t="str">
        <x:f>IFERROR(INDEX('Material routes'!$E$6:$E$2205,MATCH(V1351,'Material routes'!$A$6:$A$2205,0)),"MISSING ID")</x:f>
        <x:v>Magnetic dart projector</x:v>
      </x:c>
      <x:c r="G1351" s="4" t="str">
        <x:f>IFERROR(INDEX('Material routes'!$F$6:$F$2205,MATCH(V1351,'Material routes'!$A$6:$A$2205,0)),"MISSING ID")</x:f>
        <x:v>Not applicable</x:v>
      </x:c>
      <x:c r="H1351" s="4" t="str">
        <x:f>IFERROR(INDEX('Material routes'!$H$6:$H$2205,MATCH(V1351,'Material routes'!$A$6:$A$2205,0)),"MISSING ID")</x:f>
        <x:v>Weapon</x:v>
      </x:c>
      <x:c r="I1351" s="4" t="str">
        <x:f>IFERROR(INDEX('Material routes'!$G$6:$G$2205,MATCH(V1351,'Material routes'!$A$6:$A$2205,0)),"MISSING ID")</x:f>
        <x:v>Weapons</x:v>
      </x:c>
      <x:c r="J1351" s="4" t="str">
        <x:f>IFERROR(INDEX('Material routes'!$B$6:$B$2205,MATCH(U1351,'Material routes'!$A$6:$A$2205,0)),"MISSING ID")</x:f>
        <x:v>design.collection.magnetic_dart_projector</x:v>
      </x:c>
      <x:c r="K1351" s="4" t="str">
        <x:f>IFERROR(INDEX('Crafting recipes'!$C$6:$C$1005,MATCH(J1351,'Crafting recipes'!$A$6:$A$1005,0)),"MISSING ID")</x:f>
        <x:v>Finished-item crafting</x:v>
      </x:c>
      <x:c r="L1351" s="4" t="str">
        <x:f>IFERROR(INDEX('Material routes'!$K$6:$K$2205,MATCH(U1351,'Material routes'!$A$6:$A$2205,0)),"MISSING ID")</x:f>
        <x:v>Proposal</x:v>
      </x:c>
      <x:c r="M1351" s="4" t="str">
        <x:f>IFERROR(INDEX('Material routes'!$M$6:$M$2205,MATCH(U1351,'Material routes'!$A$6:$A$2205,0)),"MISSING ID")</x:f>
        <x:v>Partial proposal</x:v>
      </x:c>
      <x:c r="N1351" s="4"/>
      <x:c r="O1351" s="4" t="str">
        <x:f>IFERROR(INDEX('Material routes'!$J$6:$J$2205,MATCH(U1351,'Material routes'!$A$6:$A$2205,0)),"MISSING ID")</x:f>
        <x:v>Unspecified</x:v>
      </x:c>
      <x:c r="P1351" s="4"/>
      <x:c r="Q1351" s="4" t="str">
        <x:f>IFERROR(INDEX('Material routes'!$J$6:$J$2205,MATCH(V1351,'Material routes'!$A$6:$A$2205,0)),"MISSING ID")</x:f>
        <x:v>Unspecified</x:v>
      </x:c>
      <x:c r="R1351" s="4" t="str">
        <x:f>IF(L1351="Withheld","Withheld premise",IF(E1351="Tool candidate","Reusable prerequisite",IF(K1351="Raw entry preparation","Entry-resource preparation",IF(G1351="Not applicable",IF(IFERROR(INDEX('Items'!$AI$6:$AI$1005,MATCH(T1351,'Items'!$A$6:$A$1005,0)),"MISSING ID")="Finished item","Finished endpoint",IF(IFERROR(INDEX('Items'!$AI$6:$AI$1005,MATCH(T1351,'Items'!$A$6:$A$1005,0)),"MISSING ID")="Currency","Currency / no refinement tier","Recovered output / tier not applicable")),IF(OR(IFERROR(INDEX('Crafting recipes'!$H$6:$H$1005,MATCH(J1351,'Crafting recipes'!$A$6:$A$1005,0)),"MISSING ID")="Unassigned",G1351="Unassigned"),"Tier unresolved",IF(IFERROR(VALUE(RIGHT(G1351,1))-VALUE(RIGHT(IFERROR(INDEX('Crafting recipes'!$H$6:$H$1005,MATCH(J1351,'Crafting recipes'!$A$6:$A$1005,0)),"MISSING ID"),1)),0)=1,IF(B1351=IFERROR(INDEX('Crafting recipes'!$H$6:$H$1005,MATCH(J1351,'Crafting recipes'!$A$6:$A$1005,0)),"MISSING ID"),"Advances one material tier","Lower-tier ingredient; route advances one tier"),"Needs tier review"))))))</x:f>
        <x:v>Finished endpoint</x:v>
      </x:c>
      <x:c r="S1351" s="4" t="str">
        <x:f>IFERROR(INDEX('Material routes'!$D$6:$D$2205,MATCH(U1351,'Material routes'!$A$6:$A$2205,0)),"MISSING ID")</x:f>
        <x:v>proposal.audit.ceramic_backed_control_switch</x:v>
      </x:c>
      <x:c r="T1351" s="4" t="str">
        <x:f>IFERROR(INDEX('Material routes'!$D$6:$D$2205,MATCH(V1351,'Material routes'!$A$6:$A$2205,0)),"MISSING ID")</x:f>
        <x:v>proposal.collection.magnetic_dart_projector</x:v>
      </x:c>
      <x:c r="U1351" s="4" t="str">
        <x:v>design.collection.magnetic_dart_projector.audit.extra.22</x:v>
      </x:c>
      <x:c r="V1351" s="4" t="str">
        <x:v>design.collection.magnetic_dart_projector.out</x:v>
      </x:c>
    </x:row>
    <x:row r="1352" ht="64" customHeight="1">
      <x:c r="A1352" s="4" t="str">
        <x:f>IFERROR(INDEX('Material routes'!$E$6:$E$2205,MATCH(U1352,'Material routes'!$A$6:$A$2205,0)),"MISSING ID")</x:f>
        <x:v>Serviceable insulated contact block</x:v>
      </x:c>
      <x:c r="B1352" s="4" t="str">
        <x:f>IFERROR(INDEX('Material routes'!$F$6:$F$2205,MATCH(U1352,'Material routes'!$A$6:$A$2205,0)),"MISSING ID")</x:f>
        <x:v>T4</x:v>
      </x:c>
      <x:c r="C1352" s="4" t="str">
        <x:f>IFERROR(INDEX('Material routes'!$H$6:$H$2205,MATCH(U1352,'Material routes'!$A$6:$A$2205,0)),"MISSING ID")</x:f>
        <x:v>Crafting component</x:v>
      </x:c>
      <x:c r="D1352" s="4" t="str">
        <x:f>IFERROR(INDEX('Material routes'!$G$6:$G$2205,MATCH(U1352,'Material routes'!$A$6:$A$2205,0)),"MISSING ID")</x:f>
        <x:v>Crafting components</x:v>
      </x:c>
      <x:c r="E1352" s="4" t="str">
        <x:f>IFERROR(INDEX('Material routes'!$C$6:$C$2205,MATCH(U1352,'Material routes'!$A$6:$A$2205,0)),"MISSING ID")</x:f>
        <x:v>Ingredient candidate</x:v>
      </x:c>
      <x:c r="F1352" s="4" t="str">
        <x:f>IFERROR(INDEX('Material routes'!$E$6:$E$2205,MATCH(V1352,'Material routes'!$A$6:$A$2205,0)),"MISSING ID")</x:f>
        <x:v>Magnetic dart projector</x:v>
      </x:c>
      <x:c r="G1352" s="4" t="str">
        <x:f>IFERROR(INDEX('Material routes'!$F$6:$F$2205,MATCH(V1352,'Material routes'!$A$6:$A$2205,0)),"MISSING ID")</x:f>
        <x:v>Not applicable</x:v>
      </x:c>
      <x:c r="H1352" s="4" t="str">
        <x:f>IFERROR(INDEX('Material routes'!$H$6:$H$2205,MATCH(V1352,'Material routes'!$A$6:$A$2205,0)),"MISSING ID")</x:f>
        <x:v>Weapon</x:v>
      </x:c>
      <x:c r="I1352" s="4" t="str">
        <x:f>IFERROR(INDEX('Material routes'!$G$6:$G$2205,MATCH(V1352,'Material routes'!$A$6:$A$2205,0)),"MISSING ID")</x:f>
        <x:v>Weapons</x:v>
      </x:c>
      <x:c r="J1352" s="4" t="str">
        <x:f>IFERROR(INDEX('Material routes'!$B$6:$B$2205,MATCH(U1352,'Material routes'!$A$6:$A$2205,0)),"MISSING ID")</x:f>
        <x:v>design.collection.magnetic_dart_projector</x:v>
      </x:c>
      <x:c r="K1352" s="4" t="str">
        <x:f>IFERROR(INDEX('Crafting recipes'!$C$6:$C$1005,MATCH(J1352,'Crafting recipes'!$A$6:$A$1005,0)),"MISSING ID")</x:f>
        <x:v>Finished-item crafting</x:v>
      </x:c>
      <x:c r="L1352" s="4" t="str">
        <x:f>IFERROR(INDEX('Material routes'!$K$6:$K$2205,MATCH(U1352,'Material routes'!$A$6:$A$2205,0)),"MISSING ID")</x:f>
        <x:v>Proposal</x:v>
      </x:c>
      <x:c r="M1352" s="4" t="str">
        <x:f>IFERROR(INDEX('Material routes'!$M$6:$M$2205,MATCH(U1352,'Material routes'!$A$6:$A$2205,0)),"MISSING ID")</x:f>
        <x:v>Partial proposal</x:v>
      </x:c>
      <x:c r="N1352" s="4"/>
      <x:c r="O1352" s="4" t="str">
        <x:f>IFERROR(INDEX('Material routes'!$J$6:$J$2205,MATCH(U1352,'Material routes'!$A$6:$A$2205,0)),"MISSING ID")</x:f>
        <x:v>Unspecified</x:v>
      </x:c>
      <x:c r="P1352" s="4"/>
      <x:c r="Q1352" s="4" t="str">
        <x:f>IFERROR(INDEX('Material routes'!$J$6:$J$2205,MATCH(V1352,'Material routes'!$A$6:$A$2205,0)),"MISSING ID")</x:f>
        <x:v>Unspecified</x:v>
      </x:c>
      <x:c r="R1352" s="4" t="str">
        <x:f>IF(L1352="Withheld","Withheld premise",IF(E1352="Tool candidate","Reusable prerequisite",IF(K1352="Raw entry preparation","Entry-resource preparation",IF(G1352="Not applicable",IF(IFERROR(INDEX('Items'!$AI$6:$AI$1005,MATCH(T1352,'Items'!$A$6:$A$1005,0)),"MISSING ID")="Finished item","Finished endpoint",IF(IFERROR(INDEX('Items'!$AI$6:$AI$1005,MATCH(T1352,'Items'!$A$6:$A$1005,0)),"MISSING ID")="Currency","Currency / no refinement tier","Recovered output / tier not applicable")),IF(OR(IFERROR(INDEX('Crafting recipes'!$H$6:$H$1005,MATCH(J1352,'Crafting recipes'!$A$6:$A$1005,0)),"MISSING ID")="Unassigned",G1352="Unassigned"),"Tier unresolved",IF(IFERROR(VALUE(RIGHT(G1352,1))-VALUE(RIGHT(IFERROR(INDEX('Crafting recipes'!$H$6:$H$1005,MATCH(J1352,'Crafting recipes'!$A$6:$A$1005,0)),"MISSING ID"),1)),0)=1,IF(B1352=IFERROR(INDEX('Crafting recipes'!$H$6:$H$1005,MATCH(J1352,'Crafting recipes'!$A$6:$A$1005,0)),"MISSING ID"),"Advances one material tier","Lower-tier ingredient; route advances one tier"),"Needs tier review"))))))</x:f>
        <x:v>Finished endpoint</x:v>
      </x:c>
      <x:c r="S1352" s="4" t="str">
        <x:f>IFERROR(INDEX('Material routes'!$D$6:$D$2205,MATCH(U1352,'Material routes'!$A$6:$A$2205,0)),"MISSING ID")</x:f>
        <x:v>proposal.t4.contact_block</x:v>
      </x:c>
      <x:c r="T1352" s="4" t="str">
        <x:f>IFERROR(INDEX('Material routes'!$D$6:$D$2205,MATCH(V1352,'Material routes'!$A$6:$A$2205,0)),"MISSING ID")</x:f>
        <x:v>proposal.collection.magnetic_dart_projector</x:v>
      </x:c>
      <x:c r="U1352" s="4" t="str">
        <x:v>design.collection.magnetic_dart_projector.audit.extra.23</x:v>
      </x:c>
      <x:c r="V1352" s="4" t="str">
        <x:v>design.collection.magnetic_dart_projector.out</x:v>
      </x:c>
    </x:row>
    <x:row r="1353" ht="64" customHeight="1">
      <x:c r="A1353" s="4" t="str">
        <x:f>IFERROR(INDEX('Material routes'!$E$6:$E$2205,MATCH(U1353,'Material routes'!$A$6:$A$2205,0)),"MISSING ID")</x:f>
        <x:v>Ceramic-dielectric pulse bank</x:v>
      </x:c>
      <x:c r="B1353" s="4" t="str">
        <x:f>IFERROR(INDEX('Material routes'!$F$6:$F$2205,MATCH(U1353,'Material routes'!$A$6:$A$2205,0)),"MISSING ID")</x:f>
        <x:v>Not applicable</x:v>
      </x:c>
      <x:c r="C1353" s="4" t="str">
        <x:f>IFERROR(INDEX('Material routes'!$H$6:$H$2205,MATCH(U1353,'Material routes'!$A$6:$A$2205,0)),"MISSING ID")</x:f>
        <x:v>Energy storage</x:v>
      </x:c>
      <x:c r="D1353" s="4" t="str">
        <x:f>IFERROR(INDEX('Material routes'!$G$6:$G$2205,MATCH(U1353,'Material routes'!$A$6:$A$2205,0)),"MISSING ID")</x:f>
        <x:v>Crafting components</x:v>
      </x:c>
      <x:c r="E1353" s="4" t="str">
        <x:f>IFERROR(INDEX('Material routes'!$C$6:$C$2205,MATCH(U1353,'Material routes'!$A$6:$A$2205,0)),"MISSING ID")</x:f>
        <x:v>Ingredient candidate</x:v>
      </x:c>
      <x:c r="F1353" s="4" t="str">
        <x:f>IFERROR(INDEX('Material routes'!$E$6:$E$2205,MATCH(V1353,'Material routes'!$A$6:$A$2205,0)),"MISSING ID")</x:f>
        <x:v>Magnetic dart projector</x:v>
      </x:c>
      <x:c r="G1353" s="4" t="str">
        <x:f>IFERROR(INDEX('Material routes'!$F$6:$F$2205,MATCH(V1353,'Material routes'!$A$6:$A$2205,0)),"MISSING ID")</x:f>
        <x:v>Not applicable</x:v>
      </x:c>
      <x:c r="H1353" s="4" t="str">
        <x:f>IFERROR(INDEX('Material routes'!$H$6:$H$2205,MATCH(V1353,'Material routes'!$A$6:$A$2205,0)),"MISSING ID")</x:f>
        <x:v>Weapon</x:v>
      </x:c>
      <x:c r="I1353" s="4" t="str">
        <x:f>IFERROR(INDEX('Material routes'!$G$6:$G$2205,MATCH(V1353,'Material routes'!$A$6:$A$2205,0)),"MISSING ID")</x:f>
        <x:v>Weapons</x:v>
      </x:c>
      <x:c r="J1353" s="4" t="str">
        <x:f>IFERROR(INDEX('Material routes'!$B$6:$B$2205,MATCH(U1353,'Material routes'!$A$6:$A$2205,0)),"MISSING ID")</x:f>
        <x:v>design.collection.magnetic_dart_projector</x:v>
      </x:c>
      <x:c r="K1353" s="4" t="str">
        <x:f>IFERROR(INDEX('Crafting recipes'!$C$6:$C$1005,MATCH(J1353,'Crafting recipes'!$A$6:$A$1005,0)),"MISSING ID")</x:f>
        <x:v>Finished-item crafting</x:v>
      </x:c>
      <x:c r="L1353" s="4" t="str">
        <x:f>IFERROR(INDEX('Material routes'!$K$6:$K$2205,MATCH(U1353,'Material routes'!$A$6:$A$2205,0)),"MISSING ID")</x:f>
        <x:v>Proposal</x:v>
      </x:c>
      <x:c r="M1353" s="4" t="str">
        <x:f>IFERROR(INDEX('Material routes'!$M$6:$M$2205,MATCH(U1353,'Material routes'!$A$6:$A$2205,0)),"MISSING ID")</x:f>
        <x:v>Partial proposal</x:v>
      </x:c>
      <x:c r="N1353" s="4"/>
      <x:c r="O1353" s="4" t="str">
        <x:f>IFERROR(INDEX('Material routes'!$J$6:$J$2205,MATCH(U1353,'Material routes'!$A$6:$A$2205,0)),"MISSING ID")</x:f>
        <x:v>Unspecified</x:v>
      </x:c>
      <x:c r="P1353" s="4"/>
      <x:c r="Q1353" s="4" t="str">
        <x:f>IFERROR(INDEX('Material routes'!$J$6:$J$2205,MATCH(V1353,'Material routes'!$A$6:$A$2205,0)),"MISSING ID")</x:f>
        <x:v>Unspecified</x:v>
      </x:c>
      <x:c r="R1353" s="4" t="str">
        <x:f>IF(L1353="Withheld","Withheld premise",IF(E1353="Tool candidate","Reusable prerequisite",IF(K1353="Raw entry preparation","Entry-resource preparation",IF(G1353="Not applicable",IF(IFERROR(INDEX('Items'!$AI$6:$AI$1005,MATCH(T1353,'Items'!$A$6:$A$1005,0)),"MISSING ID")="Finished item","Finished endpoint",IF(IFERROR(INDEX('Items'!$AI$6:$AI$1005,MATCH(T1353,'Items'!$A$6:$A$1005,0)),"MISSING ID")="Currency","Currency / no refinement tier","Recovered output / tier not applicable")),IF(OR(IFERROR(INDEX('Crafting recipes'!$H$6:$H$1005,MATCH(J1353,'Crafting recipes'!$A$6:$A$1005,0)),"MISSING ID")="Unassigned",G1353="Unassigned"),"Tier unresolved",IF(IFERROR(VALUE(RIGHT(G1353,1))-VALUE(RIGHT(IFERROR(INDEX('Crafting recipes'!$H$6:$H$1005,MATCH(J1353,'Crafting recipes'!$A$6:$A$1005,0)),"MISSING ID"),1)),0)=1,IF(B1353=IFERROR(INDEX('Crafting recipes'!$H$6:$H$1005,MATCH(J1353,'Crafting recipes'!$A$6:$A$1005,0)),"MISSING ID"),"Advances one material tier","Lower-tier ingredient; route advances one tier"),"Needs tier review"))))))</x:f>
        <x:v>Finished endpoint</x:v>
      </x:c>
      <x:c r="S1353" s="4" t="str">
        <x:f>IFERROR(INDEX('Material routes'!$D$6:$D$2205,MATCH(U1353,'Material routes'!$A$6:$A$2205,0)),"MISSING ID")</x:f>
        <x:v>proposal.collection.ceramic_dielectric_pulse_bank</x:v>
      </x:c>
      <x:c r="T1353" s="4" t="str">
        <x:f>IFERROR(INDEX('Material routes'!$D$6:$D$2205,MATCH(V1353,'Material routes'!$A$6:$A$2205,0)),"MISSING ID")</x:f>
        <x:v>proposal.collection.magnetic_dart_projector</x:v>
      </x:c>
      <x:c r="U1353" s="4" t="str">
        <x:v>design.collection.magnetic_dart_projector.audit.extra.24</x:v>
      </x:c>
      <x:c r="V1353" s="4" t="str">
        <x:v>design.collection.magnetic_dart_projector.out</x:v>
      </x:c>
    </x:row>
    <x:row r="1354" ht="64" customHeight="1">
      <x:c r="A1354" s="4" t="str">
        <x:f>IFERROR(INDEX('Material routes'!$E$6:$E$2205,MATCH(U1354,'Material routes'!$A$6:$A$2205,0)),"MISSING ID")</x:f>
        <x:v>Compact latch and trigger pack</x:v>
      </x:c>
      <x:c r="B1354" s="4" t="str">
        <x:f>IFERROR(INDEX('Material routes'!$F$6:$F$2205,MATCH(U1354,'Material routes'!$A$6:$A$2205,0)),"MISSING ID")</x:f>
        <x:v>T4</x:v>
      </x:c>
      <x:c r="C1354" s="4" t="str">
        <x:f>IFERROR(INDEX('Material routes'!$H$6:$H$2205,MATCH(U1354,'Material routes'!$A$6:$A$2205,0)),"MISSING ID")</x:f>
        <x:v>Crafting component</x:v>
      </x:c>
      <x:c r="D1354" s="4" t="str">
        <x:f>IFERROR(INDEX('Material routes'!$G$6:$G$2205,MATCH(U1354,'Material routes'!$A$6:$A$2205,0)),"MISSING ID")</x:f>
        <x:v>Crafting components</x:v>
      </x:c>
      <x:c r="E1354" s="4" t="str">
        <x:f>IFERROR(INDEX('Material routes'!$C$6:$C$2205,MATCH(U1354,'Material routes'!$A$6:$A$2205,0)),"MISSING ID")</x:f>
        <x:v>Ingredient candidate</x:v>
      </x:c>
      <x:c r="F1354" s="4" t="str">
        <x:f>IFERROR(INDEX('Material routes'!$E$6:$E$2205,MATCH(V1354,'Material routes'!$A$6:$A$2205,0)),"MISSING ID")</x:f>
        <x:v>Magnetic dart projector</x:v>
      </x:c>
      <x:c r="G1354" s="4" t="str">
        <x:f>IFERROR(INDEX('Material routes'!$F$6:$F$2205,MATCH(V1354,'Material routes'!$A$6:$A$2205,0)),"MISSING ID")</x:f>
        <x:v>Not applicable</x:v>
      </x:c>
      <x:c r="H1354" s="4" t="str">
        <x:f>IFERROR(INDEX('Material routes'!$H$6:$H$2205,MATCH(V1354,'Material routes'!$A$6:$A$2205,0)),"MISSING ID")</x:f>
        <x:v>Weapon</x:v>
      </x:c>
      <x:c r="I1354" s="4" t="str">
        <x:f>IFERROR(INDEX('Material routes'!$G$6:$G$2205,MATCH(V1354,'Material routes'!$A$6:$A$2205,0)),"MISSING ID")</x:f>
        <x:v>Weapons</x:v>
      </x:c>
      <x:c r="J1354" s="4" t="str">
        <x:f>IFERROR(INDEX('Material routes'!$B$6:$B$2205,MATCH(U1354,'Material routes'!$A$6:$A$2205,0)),"MISSING ID")</x:f>
        <x:v>design.collection.magnetic_dart_projector</x:v>
      </x:c>
      <x:c r="K1354" s="4" t="str">
        <x:f>IFERROR(INDEX('Crafting recipes'!$C$6:$C$1005,MATCH(J1354,'Crafting recipes'!$A$6:$A$1005,0)),"MISSING ID")</x:f>
        <x:v>Finished-item crafting</x:v>
      </x:c>
      <x:c r="L1354" s="4" t="str">
        <x:f>IFERROR(INDEX('Material routes'!$K$6:$K$2205,MATCH(U1354,'Material routes'!$A$6:$A$2205,0)),"MISSING ID")</x:f>
        <x:v>Proposal</x:v>
      </x:c>
      <x:c r="M1354" s="4" t="str">
        <x:f>IFERROR(INDEX('Material routes'!$M$6:$M$2205,MATCH(U1354,'Material routes'!$A$6:$A$2205,0)),"MISSING ID")</x:f>
        <x:v>Partial proposal</x:v>
      </x:c>
      <x:c r="N1354" s="4"/>
      <x:c r="O1354" s="4" t="str">
        <x:f>IFERROR(INDEX('Material routes'!$J$6:$J$2205,MATCH(U1354,'Material routes'!$A$6:$A$2205,0)),"MISSING ID")</x:f>
        <x:v>Unspecified</x:v>
      </x:c>
      <x:c r="P1354" s="4"/>
      <x:c r="Q1354" s="4" t="str">
        <x:f>IFERROR(INDEX('Material routes'!$J$6:$J$2205,MATCH(V1354,'Material routes'!$A$6:$A$2205,0)),"MISSING ID")</x:f>
        <x:v>Unspecified</x:v>
      </x:c>
      <x:c r="R1354" s="4" t="str">
        <x:f>IF(L1354="Withheld","Withheld premise",IF(E1354="Tool candidate","Reusable prerequisite",IF(K1354="Raw entry preparation","Entry-resource preparation",IF(G1354="Not applicable",IF(IFERROR(INDEX('Items'!$AI$6:$AI$1005,MATCH(T1354,'Items'!$A$6:$A$1005,0)),"MISSING ID")="Finished item","Finished endpoint",IF(IFERROR(INDEX('Items'!$AI$6:$AI$1005,MATCH(T1354,'Items'!$A$6:$A$1005,0)),"MISSING ID")="Currency","Currency / no refinement tier","Recovered output / tier not applicable")),IF(OR(IFERROR(INDEX('Crafting recipes'!$H$6:$H$1005,MATCH(J1354,'Crafting recipes'!$A$6:$A$1005,0)),"MISSING ID")="Unassigned",G1354="Unassigned"),"Tier unresolved",IF(IFERROR(VALUE(RIGHT(G1354,1))-VALUE(RIGHT(IFERROR(INDEX('Crafting recipes'!$H$6:$H$1005,MATCH(J1354,'Crafting recipes'!$A$6:$A$1005,0)),"MISSING ID"),1)),0)=1,IF(B1354=IFERROR(INDEX('Crafting recipes'!$H$6:$H$1005,MATCH(J1354,'Crafting recipes'!$A$6:$A$1005,0)),"MISSING ID"),"Advances one material tier","Lower-tier ingredient; route advances one tier"),"Needs tier review"))))))</x:f>
        <x:v>Finished endpoint</x:v>
      </x:c>
      <x:c r="S1354" s="4" t="str">
        <x:f>IFERROR(INDEX('Material routes'!$D$6:$D$2205,MATCH(U1354,'Material routes'!$A$6:$A$2205,0)),"MISSING ID")</x:f>
        <x:v>proposal.audit.compact_latch_and_trigger_pack</x:v>
      </x:c>
      <x:c r="T1354" s="4" t="str">
        <x:f>IFERROR(INDEX('Material routes'!$D$6:$D$2205,MATCH(V1354,'Material routes'!$A$6:$A$2205,0)),"MISSING ID")</x:f>
        <x:v>proposal.collection.magnetic_dart_projector</x:v>
      </x:c>
      <x:c r="U1354" s="4" t="str">
        <x:v>design.collection.magnetic_dart_projector.audit.extra.25</x:v>
      </x:c>
      <x:c r="V1354" s="4" t="str">
        <x:v>design.collection.magnetic_dart_projector.out</x:v>
      </x:c>
    </x:row>
    <x:row r="1355" ht="64" customHeight="1">
      <x:c r="A1355" s="4" t="str">
        <x:f>IFERROR(INDEX('Material routes'!$E$6:$E$2205,MATCH(U1355,'Material routes'!$A$6:$A$2205,0)),"MISSING ID")</x:f>
        <x:v>Fitted machine casing</x:v>
      </x:c>
      <x:c r="B1355" s="4" t="str">
        <x:f>IFERROR(INDEX('Material routes'!$F$6:$F$2205,MATCH(U1355,'Material routes'!$A$6:$A$2205,0)),"MISSING ID")</x:f>
        <x:v>T3</x:v>
      </x:c>
      <x:c r="C1355" s="4" t="str">
        <x:f>IFERROR(INDEX('Material routes'!$H$6:$H$2205,MATCH(U1355,'Material routes'!$A$6:$A$2205,0)),"MISSING ID")</x:f>
        <x:v>Crafting component</x:v>
      </x:c>
      <x:c r="D1355" s="4" t="str">
        <x:f>IFERROR(INDEX('Material routes'!$G$6:$G$2205,MATCH(U1355,'Material routes'!$A$6:$A$2205,0)),"MISSING ID")</x:f>
        <x:v>Crafting components</x:v>
      </x:c>
      <x:c r="E1355" s="4" t="str">
        <x:f>IFERROR(INDEX('Material routes'!$C$6:$C$2205,MATCH(U1355,'Material routes'!$A$6:$A$2205,0)),"MISSING ID")</x:f>
        <x:v>Ingredient candidate</x:v>
      </x:c>
      <x:c r="F1355" s="4" t="str">
        <x:f>IFERROR(INDEX('Material routes'!$E$6:$E$2205,MATCH(V1355,'Material routes'!$A$6:$A$2205,0)),"MISSING ID")</x:f>
        <x:v>Coil slug carbine</x:v>
      </x:c>
      <x:c r="G1355" s="4" t="str">
        <x:f>IFERROR(INDEX('Material routes'!$F$6:$F$2205,MATCH(V1355,'Material routes'!$A$6:$A$2205,0)),"MISSING ID")</x:f>
        <x:v>Not applicable</x:v>
      </x:c>
      <x:c r="H1355" s="4" t="str">
        <x:f>IFERROR(INDEX('Material routes'!$H$6:$H$2205,MATCH(V1355,'Material routes'!$A$6:$A$2205,0)),"MISSING ID")</x:f>
        <x:v>Weapon</x:v>
      </x:c>
      <x:c r="I1355" s="4" t="str">
        <x:f>IFERROR(INDEX('Material routes'!$G$6:$G$2205,MATCH(V1355,'Material routes'!$A$6:$A$2205,0)),"MISSING ID")</x:f>
        <x:v>Weapons</x:v>
      </x:c>
      <x:c r="J1355" s="4" t="str">
        <x:f>IFERROR(INDEX('Material routes'!$B$6:$B$2205,MATCH(U1355,'Material routes'!$A$6:$A$2205,0)),"MISSING ID")</x:f>
        <x:v>design.collection.coil_slug_carbine</x:v>
      </x:c>
      <x:c r="K1355" s="4" t="str">
        <x:f>IFERROR(INDEX('Crafting recipes'!$C$6:$C$1005,MATCH(J1355,'Crafting recipes'!$A$6:$A$1005,0)),"MISSING ID")</x:f>
        <x:v>Finished-item crafting</x:v>
      </x:c>
      <x:c r="L1355" s="4" t="str">
        <x:f>IFERROR(INDEX('Material routes'!$K$6:$K$2205,MATCH(U1355,'Material routes'!$A$6:$A$2205,0)),"MISSING ID")</x:f>
        <x:v>Proposal</x:v>
      </x:c>
      <x:c r="M1355" s="4" t="str">
        <x:f>IFERROR(INDEX('Material routes'!$M$6:$M$2205,MATCH(U1355,'Material routes'!$A$6:$A$2205,0)),"MISSING ID")</x:f>
        <x:v>Partial proposal</x:v>
      </x:c>
      <x:c r="N1355" s="4"/>
      <x:c r="O1355" s="4" t="str">
        <x:f>IFERROR(INDEX('Material routes'!$J$6:$J$2205,MATCH(U1355,'Material routes'!$A$6:$A$2205,0)),"MISSING ID")</x:f>
        <x:v>Unspecified</x:v>
      </x:c>
      <x:c r="P1355" s="4"/>
      <x:c r="Q1355" s="4" t="str">
        <x:f>IFERROR(INDEX('Material routes'!$J$6:$J$2205,MATCH(V1355,'Material routes'!$A$6:$A$2205,0)),"MISSING ID")</x:f>
        <x:v>Unspecified</x:v>
      </x:c>
      <x:c r="R1355" s="4" t="str">
        <x:f>IF(L1355="Withheld","Withheld premise",IF(E1355="Tool candidate","Reusable prerequisite",IF(K1355="Raw entry preparation","Entry-resource preparation",IF(G1355="Not applicable",IF(IFERROR(INDEX('Items'!$AI$6:$AI$1005,MATCH(T1355,'Items'!$A$6:$A$1005,0)),"MISSING ID")="Finished item","Finished endpoint",IF(IFERROR(INDEX('Items'!$AI$6:$AI$1005,MATCH(T1355,'Items'!$A$6:$A$1005,0)),"MISSING ID")="Currency","Currency / no refinement tier","Recovered output / tier not applicable")),IF(OR(IFERROR(INDEX('Crafting recipes'!$H$6:$H$1005,MATCH(J1355,'Crafting recipes'!$A$6:$A$1005,0)),"MISSING ID")="Unassigned",G1355="Unassigned"),"Tier unresolved",IF(IFERROR(VALUE(RIGHT(G1355,1))-VALUE(RIGHT(IFERROR(INDEX('Crafting recipes'!$H$6:$H$1005,MATCH(J1355,'Crafting recipes'!$A$6:$A$1005,0)),"MISSING ID"),1)),0)=1,IF(B1355=IFERROR(INDEX('Crafting recipes'!$H$6:$H$1005,MATCH(J1355,'Crafting recipes'!$A$6:$A$1005,0)),"MISSING ID"),"Advances one material tier","Lower-tier ingredient; route advances one tier"),"Needs tier review"))))))</x:f>
        <x:v>Finished endpoint</x:v>
      </x:c>
      <x:c r="S1355" s="4" t="str">
        <x:f>IFERROR(INDEX('Material routes'!$D$6:$D$2205,MATCH(U1355,'Material routes'!$A$6:$A$2205,0)),"MISSING ID")</x:f>
        <x:v>proposal.audit.fitted_machine_casing</x:v>
      </x:c>
      <x:c r="T1355" s="4" t="str">
        <x:f>IFERROR(INDEX('Material routes'!$D$6:$D$2205,MATCH(V1355,'Material routes'!$A$6:$A$2205,0)),"MISSING ID")</x:f>
        <x:v>proposal.collection.coil_slug_carbine</x:v>
      </x:c>
      <x:c r="U1355" s="4" t="str">
        <x:v>design.collection.coil_slug_carbine.audit.extra.26</x:v>
      </x:c>
      <x:c r="V1355" s="4" t="str">
        <x:v>design.collection.coil_slug_carbine.out</x:v>
      </x:c>
    </x:row>
    <x:row r="1356" ht="64" customHeight="1">
      <x:c r="A1356" s="4" t="str">
        <x:f>IFERROR(INDEX('Material routes'!$E$6:$E$2205,MATCH(U1356,'Material routes'!$A$6:$A$2205,0)),"MISSING ID")</x:f>
        <x:v>Ceramic-backed control switch</x:v>
      </x:c>
      <x:c r="B1356" s="4" t="str">
        <x:f>IFERROR(INDEX('Material routes'!$F$6:$F$2205,MATCH(U1356,'Material routes'!$A$6:$A$2205,0)),"MISSING ID")</x:f>
        <x:v>T4</x:v>
      </x:c>
      <x:c r="C1356" s="4" t="str">
        <x:f>IFERROR(INDEX('Material routes'!$H$6:$H$2205,MATCH(U1356,'Material routes'!$A$6:$A$2205,0)),"MISSING ID")</x:f>
        <x:v>Crafting component</x:v>
      </x:c>
      <x:c r="D1356" s="4" t="str">
        <x:f>IFERROR(INDEX('Material routes'!$G$6:$G$2205,MATCH(U1356,'Material routes'!$A$6:$A$2205,0)),"MISSING ID")</x:f>
        <x:v>Crafting components</x:v>
      </x:c>
      <x:c r="E1356" s="4" t="str">
        <x:f>IFERROR(INDEX('Material routes'!$C$6:$C$2205,MATCH(U1356,'Material routes'!$A$6:$A$2205,0)),"MISSING ID")</x:f>
        <x:v>Ingredient candidate</x:v>
      </x:c>
      <x:c r="F1356" s="4" t="str">
        <x:f>IFERROR(INDEX('Material routes'!$E$6:$E$2205,MATCH(V1356,'Material routes'!$A$6:$A$2205,0)),"MISSING ID")</x:f>
        <x:v>Coil slug carbine</x:v>
      </x:c>
      <x:c r="G1356" s="4" t="str">
        <x:f>IFERROR(INDEX('Material routes'!$F$6:$F$2205,MATCH(V1356,'Material routes'!$A$6:$A$2205,0)),"MISSING ID")</x:f>
        <x:v>Not applicable</x:v>
      </x:c>
      <x:c r="H1356" s="4" t="str">
        <x:f>IFERROR(INDEX('Material routes'!$H$6:$H$2205,MATCH(V1356,'Material routes'!$A$6:$A$2205,0)),"MISSING ID")</x:f>
        <x:v>Weapon</x:v>
      </x:c>
      <x:c r="I1356" s="4" t="str">
        <x:f>IFERROR(INDEX('Material routes'!$G$6:$G$2205,MATCH(V1356,'Material routes'!$A$6:$A$2205,0)),"MISSING ID")</x:f>
        <x:v>Weapons</x:v>
      </x:c>
      <x:c r="J1356" s="4" t="str">
        <x:f>IFERROR(INDEX('Material routes'!$B$6:$B$2205,MATCH(U1356,'Material routes'!$A$6:$A$2205,0)),"MISSING ID")</x:f>
        <x:v>design.collection.coil_slug_carbine</x:v>
      </x:c>
      <x:c r="K1356" s="4" t="str">
        <x:f>IFERROR(INDEX('Crafting recipes'!$C$6:$C$1005,MATCH(J1356,'Crafting recipes'!$A$6:$A$1005,0)),"MISSING ID")</x:f>
        <x:v>Finished-item crafting</x:v>
      </x:c>
      <x:c r="L1356" s="4" t="str">
        <x:f>IFERROR(INDEX('Material routes'!$K$6:$K$2205,MATCH(U1356,'Material routes'!$A$6:$A$2205,0)),"MISSING ID")</x:f>
        <x:v>Proposal</x:v>
      </x:c>
      <x:c r="M1356" s="4" t="str">
        <x:f>IFERROR(INDEX('Material routes'!$M$6:$M$2205,MATCH(U1356,'Material routes'!$A$6:$A$2205,0)),"MISSING ID")</x:f>
        <x:v>Partial proposal</x:v>
      </x:c>
      <x:c r="N1356" s="4"/>
      <x:c r="O1356" s="4" t="str">
        <x:f>IFERROR(INDEX('Material routes'!$J$6:$J$2205,MATCH(U1356,'Material routes'!$A$6:$A$2205,0)),"MISSING ID")</x:f>
        <x:v>Unspecified</x:v>
      </x:c>
      <x:c r="P1356" s="4"/>
      <x:c r="Q1356" s="4" t="str">
        <x:f>IFERROR(INDEX('Material routes'!$J$6:$J$2205,MATCH(V1356,'Material routes'!$A$6:$A$2205,0)),"MISSING ID")</x:f>
        <x:v>Unspecified</x:v>
      </x:c>
      <x:c r="R1356" s="4" t="str">
        <x:f>IF(L1356="Withheld","Withheld premise",IF(E1356="Tool candidate","Reusable prerequisite",IF(K1356="Raw entry preparation","Entry-resource preparation",IF(G1356="Not applicable",IF(IFERROR(INDEX('Items'!$AI$6:$AI$1005,MATCH(T1356,'Items'!$A$6:$A$1005,0)),"MISSING ID")="Finished item","Finished endpoint",IF(IFERROR(INDEX('Items'!$AI$6:$AI$1005,MATCH(T1356,'Items'!$A$6:$A$1005,0)),"MISSING ID")="Currency","Currency / no refinement tier","Recovered output / tier not applicable")),IF(OR(IFERROR(INDEX('Crafting recipes'!$H$6:$H$1005,MATCH(J1356,'Crafting recipes'!$A$6:$A$1005,0)),"MISSING ID")="Unassigned",G1356="Unassigned"),"Tier unresolved",IF(IFERROR(VALUE(RIGHT(G1356,1))-VALUE(RIGHT(IFERROR(INDEX('Crafting recipes'!$H$6:$H$1005,MATCH(J1356,'Crafting recipes'!$A$6:$A$1005,0)),"MISSING ID"),1)),0)=1,IF(B1356=IFERROR(INDEX('Crafting recipes'!$H$6:$H$1005,MATCH(J1356,'Crafting recipes'!$A$6:$A$1005,0)),"MISSING ID"),"Advances one material tier","Lower-tier ingredient; route advances one tier"),"Needs tier review"))))))</x:f>
        <x:v>Finished endpoint</x:v>
      </x:c>
      <x:c r="S1356" s="4" t="str">
        <x:f>IFERROR(INDEX('Material routes'!$D$6:$D$2205,MATCH(U1356,'Material routes'!$A$6:$A$2205,0)),"MISSING ID")</x:f>
        <x:v>proposal.audit.ceramic_backed_control_switch</x:v>
      </x:c>
      <x:c r="T1356" s="4" t="str">
        <x:f>IFERROR(INDEX('Material routes'!$D$6:$D$2205,MATCH(V1356,'Material routes'!$A$6:$A$2205,0)),"MISSING ID")</x:f>
        <x:v>proposal.collection.coil_slug_carbine</x:v>
      </x:c>
      <x:c r="U1356" s="4" t="str">
        <x:v>design.collection.coil_slug_carbine.audit.extra.27</x:v>
      </x:c>
      <x:c r="V1356" s="4" t="str">
        <x:v>design.collection.coil_slug_carbine.out</x:v>
      </x:c>
    </x:row>
    <x:row r="1357" ht="64" customHeight="1">
      <x:c r="A1357" s="4" t="str">
        <x:f>IFERROR(INDEX('Material routes'!$E$6:$E$2205,MATCH(U1357,'Material routes'!$A$6:$A$2205,0)),"MISSING ID")</x:f>
        <x:v>Serviceable insulated contact block</x:v>
      </x:c>
      <x:c r="B1357" s="4" t="str">
        <x:f>IFERROR(INDEX('Material routes'!$F$6:$F$2205,MATCH(U1357,'Material routes'!$A$6:$A$2205,0)),"MISSING ID")</x:f>
        <x:v>T4</x:v>
      </x:c>
      <x:c r="C1357" s="4" t="str">
        <x:f>IFERROR(INDEX('Material routes'!$H$6:$H$2205,MATCH(U1357,'Material routes'!$A$6:$A$2205,0)),"MISSING ID")</x:f>
        <x:v>Crafting component</x:v>
      </x:c>
      <x:c r="D1357" s="4" t="str">
        <x:f>IFERROR(INDEX('Material routes'!$G$6:$G$2205,MATCH(U1357,'Material routes'!$A$6:$A$2205,0)),"MISSING ID")</x:f>
        <x:v>Crafting components</x:v>
      </x:c>
      <x:c r="E1357" s="4" t="str">
        <x:f>IFERROR(INDEX('Material routes'!$C$6:$C$2205,MATCH(U1357,'Material routes'!$A$6:$A$2205,0)),"MISSING ID")</x:f>
        <x:v>Ingredient candidate</x:v>
      </x:c>
      <x:c r="F1357" s="4" t="str">
        <x:f>IFERROR(INDEX('Material routes'!$E$6:$E$2205,MATCH(V1357,'Material routes'!$A$6:$A$2205,0)),"MISSING ID")</x:f>
        <x:v>Coil slug carbine</x:v>
      </x:c>
      <x:c r="G1357" s="4" t="str">
        <x:f>IFERROR(INDEX('Material routes'!$F$6:$F$2205,MATCH(V1357,'Material routes'!$A$6:$A$2205,0)),"MISSING ID")</x:f>
        <x:v>Not applicable</x:v>
      </x:c>
      <x:c r="H1357" s="4" t="str">
        <x:f>IFERROR(INDEX('Material routes'!$H$6:$H$2205,MATCH(V1357,'Material routes'!$A$6:$A$2205,0)),"MISSING ID")</x:f>
        <x:v>Weapon</x:v>
      </x:c>
      <x:c r="I1357" s="4" t="str">
        <x:f>IFERROR(INDEX('Material routes'!$G$6:$G$2205,MATCH(V1357,'Material routes'!$A$6:$A$2205,0)),"MISSING ID")</x:f>
        <x:v>Weapons</x:v>
      </x:c>
      <x:c r="J1357" s="4" t="str">
        <x:f>IFERROR(INDEX('Material routes'!$B$6:$B$2205,MATCH(U1357,'Material routes'!$A$6:$A$2205,0)),"MISSING ID")</x:f>
        <x:v>design.collection.coil_slug_carbine</x:v>
      </x:c>
      <x:c r="K1357" s="4" t="str">
        <x:f>IFERROR(INDEX('Crafting recipes'!$C$6:$C$1005,MATCH(J1357,'Crafting recipes'!$A$6:$A$1005,0)),"MISSING ID")</x:f>
        <x:v>Finished-item crafting</x:v>
      </x:c>
      <x:c r="L1357" s="4" t="str">
        <x:f>IFERROR(INDEX('Material routes'!$K$6:$K$2205,MATCH(U1357,'Material routes'!$A$6:$A$2205,0)),"MISSING ID")</x:f>
        <x:v>Proposal</x:v>
      </x:c>
      <x:c r="M1357" s="4" t="str">
        <x:f>IFERROR(INDEX('Material routes'!$M$6:$M$2205,MATCH(U1357,'Material routes'!$A$6:$A$2205,0)),"MISSING ID")</x:f>
        <x:v>Partial proposal</x:v>
      </x:c>
      <x:c r="N1357" s="4"/>
      <x:c r="O1357" s="4" t="str">
        <x:f>IFERROR(INDEX('Material routes'!$J$6:$J$2205,MATCH(U1357,'Material routes'!$A$6:$A$2205,0)),"MISSING ID")</x:f>
        <x:v>Unspecified</x:v>
      </x:c>
      <x:c r="P1357" s="4"/>
      <x:c r="Q1357" s="4" t="str">
        <x:f>IFERROR(INDEX('Material routes'!$J$6:$J$2205,MATCH(V1357,'Material routes'!$A$6:$A$2205,0)),"MISSING ID")</x:f>
        <x:v>Unspecified</x:v>
      </x:c>
      <x:c r="R1357" s="4" t="str">
        <x:f>IF(L1357="Withheld","Withheld premise",IF(E1357="Tool candidate","Reusable prerequisite",IF(K1357="Raw entry preparation","Entry-resource preparation",IF(G1357="Not applicable",IF(IFERROR(INDEX('Items'!$AI$6:$AI$1005,MATCH(T1357,'Items'!$A$6:$A$1005,0)),"MISSING ID")="Finished item","Finished endpoint",IF(IFERROR(INDEX('Items'!$AI$6:$AI$1005,MATCH(T1357,'Items'!$A$6:$A$1005,0)),"MISSING ID")="Currency","Currency / no refinement tier","Recovered output / tier not applicable")),IF(OR(IFERROR(INDEX('Crafting recipes'!$H$6:$H$1005,MATCH(J1357,'Crafting recipes'!$A$6:$A$1005,0)),"MISSING ID")="Unassigned",G1357="Unassigned"),"Tier unresolved",IF(IFERROR(VALUE(RIGHT(G1357,1))-VALUE(RIGHT(IFERROR(INDEX('Crafting recipes'!$H$6:$H$1005,MATCH(J1357,'Crafting recipes'!$A$6:$A$1005,0)),"MISSING ID"),1)),0)=1,IF(B1357=IFERROR(INDEX('Crafting recipes'!$H$6:$H$1005,MATCH(J1357,'Crafting recipes'!$A$6:$A$1005,0)),"MISSING ID"),"Advances one material tier","Lower-tier ingredient; route advances one tier"),"Needs tier review"))))))</x:f>
        <x:v>Finished endpoint</x:v>
      </x:c>
      <x:c r="S1357" s="4" t="str">
        <x:f>IFERROR(INDEX('Material routes'!$D$6:$D$2205,MATCH(U1357,'Material routes'!$A$6:$A$2205,0)),"MISSING ID")</x:f>
        <x:v>proposal.t4.contact_block</x:v>
      </x:c>
      <x:c r="T1357" s="4" t="str">
        <x:f>IFERROR(INDEX('Material routes'!$D$6:$D$2205,MATCH(V1357,'Material routes'!$A$6:$A$2205,0)),"MISSING ID")</x:f>
        <x:v>proposal.collection.coil_slug_carbine</x:v>
      </x:c>
      <x:c r="U1357" s="4" t="str">
        <x:v>design.collection.coil_slug_carbine.audit.extra.28</x:v>
      </x:c>
      <x:c r="V1357" s="4" t="str">
        <x:v>design.collection.coil_slug_carbine.out</x:v>
      </x:c>
    </x:row>
    <x:row r="1358" ht="64" customHeight="1">
      <x:c r="A1358" s="4" t="str">
        <x:f>IFERROR(INDEX('Material routes'!$E$6:$E$2205,MATCH(U1358,'Material routes'!$A$6:$A$2205,0)),"MISSING ID")</x:f>
        <x:v>Ceramic-dielectric pulse bank</x:v>
      </x:c>
      <x:c r="B1358" s="4" t="str">
        <x:f>IFERROR(INDEX('Material routes'!$F$6:$F$2205,MATCH(U1358,'Material routes'!$A$6:$A$2205,0)),"MISSING ID")</x:f>
        <x:v>Not applicable</x:v>
      </x:c>
      <x:c r="C1358" s="4" t="str">
        <x:f>IFERROR(INDEX('Material routes'!$H$6:$H$2205,MATCH(U1358,'Material routes'!$A$6:$A$2205,0)),"MISSING ID")</x:f>
        <x:v>Energy storage</x:v>
      </x:c>
      <x:c r="D1358" s="4" t="str">
        <x:f>IFERROR(INDEX('Material routes'!$G$6:$G$2205,MATCH(U1358,'Material routes'!$A$6:$A$2205,0)),"MISSING ID")</x:f>
        <x:v>Crafting components</x:v>
      </x:c>
      <x:c r="E1358" s="4" t="str">
        <x:f>IFERROR(INDEX('Material routes'!$C$6:$C$2205,MATCH(U1358,'Material routes'!$A$6:$A$2205,0)),"MISSING ID")</x:f>
        <x:v>Ingredient candidate</x:v>
      </x:c>
      <x:c r="F1358" s="4" t="str">
        <x:f>IFERROR(INDEX('Material routes'!$E$6:$E$2205,MATCH(V1358,'Material routes'!$A$6:$A$2205,0)),"MISSING ID")</x:f>
        <x:v>Coil slug carbine</x:v>
      </x:c>
      <x:c r="G1358" s="4" t="str">
        <x:f>IFERROR(INDEX('Material routes'!$F$6:$F$2205,MATCH(V1358,'Material routes'!$A$6:$A$2205,0)),"MISSING ID")</x:f>
        <x:v>Not applicable</x:v>
      </x:c>
      <x:c r="H1358" s="4" t="str">
        <x:f>IFERROR(INDEX('Material routes'!$H$6:$H$2205,MATCH(V1358,'Material routes'!$A$6:$A$2205,0)),"MISSING ID")</x:f>
        <x:v>Weapon</x:v>
      </x:c>
      <x:c r="I1358" s="4" t="str">
        <x:f>IFERROR(INDEX('Material routes'!$G$6:$G$2205,MATCH(V1358,'Material routes'!$A$6:$A$2205,0)),"MISSING ID")</x:f>
        <x:v>Weapons</x:v>
      </x:c>
      <x:c r="J1358" s="4" t="str">
        <x:f>IFERROR(INDEX('Material routes'!$B$6:$B$2205,MATCH(U1358,'Material routes'!$A$6:$A$2205,0)),"MISSING ID")</x:f>
        <x:v>design.collection.coil_slug_carbine</x:v>
      </x:c>
      <x:c r="K1358" s="4" t="str">
        <x:f>IFERROR(INDEX('Crafting recipes'!$C$6:$C$1005,MATCH(J1358,'Crafting recipes'!$A$6:$A$1005,0)),"MISSING ID")</x:f>
        <x:v>Finished-item crafting</x:v>
      </x:c>
      <x:c r="L1358" s="4" t="str">
        <x:f>IFERROR(INDEX('Material routes'!$K$6:$K$2205,MATCH(U1358,'Material routes'!$A$6:$A$2205,0)),"MISSING ID")</x:f>
        <x:v>Proposal</x:v>
      </x:c>
      <x:c r="M1358" s="4" t="str">
        <x:f>IFERROR(INDEX('Material routes'!$M$6:$M$2205,MATCH(U1358,'Material routes'!$A$6:$A$2205,0)),"MISSING ID")</x:f>
        <x:v>Partial proposal</x:v>
      </x:c>
      <x:c r="N1358" s="4"/>
      <x:c r="O1358" s="4" t="str">
        <x:f>IFERROR(INDEX('Material routes'!$J$6:$J$2205,MATCH(U1358,'Material routes'!$A$6:$A$2205,0)),"MISSING ID")</x:f>
        <x:v>Unspecified</x:v>
      </x:c>
      <x:c r="P1358" s="4"/>
      <x:c r="Q1358" s="4" t="str">
        <x:f>IFERROR(INDEX('Material routes'!$J$6:$J$2205,MATCH(V1358,'Material routes'!$A$6:$A$2205,0)),"MISSING ID")</x:f>
        <x:v>Unspecified</x:v>
      </x:c>
      <x:c r="R1358" s="4" t="str">
        <x:f>IF(L1358="Withheld","Withheld premise",IF(E1358="Tool candidate","Reusable prerequisite",IF(K1358="Raw entry preparation","Entry-resource preparation",IF(G1358="Not applicable",IF(IFERROR(INDEX('Items'!$AI$6:$AI$1005,MATCH(T1358,'Items'!$A$6:$A$1005,0)),"MISSING ID")="Finished item","Finished endpoint",IF(IFERROR(INDEX('Items'!$AI$6:$AI$1005,MATCH(T1358,'Items'!$A$6:$A$1005,0)),"MISSING ID")="Currency","Currency / no refinement tier","Recovered output / tier not applicable")),IF(OR(IFERROR(INDEX('Crafting recipes'!$H$6:$H$1005,MATCH(J1358,'Crafting recipes'!$A$6:$A$1005,0)),"MISSING ID")="Unassigned",G1358="Unassigned"),"Tier unresolved",IF(IFERROR(VALUE(RIGHT(G1358,1))-VALUE(RIGHT(IFERROR(INDEX('Crafting recipes'!$H$6:$H$1005,MATCH(J1358,'Crafting recipes'!$A$6:$A$1005,0)),"MISSING ID"),1)),0)=1,IF(B1358=IFERROR(INDEX('Crafting recipes'!$H$6:$H$1005,MATCH(J1358,'Crafting recipes'!$A$6:$A$1005,0)),"MISSING ID"),"Advances one material tier","Lower-tier ingredient; route advances one tier"),"Needs tier review"))))))</x:f>
        <x:v>Finished endpoint</x:v>
      </x:c>
      <x:c r="S1358" s="4" t="str">
        <x:f>IFERROR(INDEX('Material routes'!$D$6:$D$2205,MATCH(U1358,'Material routes'!$A$6:$A$2205,0)),"MISSING ID")</x:f>
        <x:v>proposal.collection.ceramic_dielectric_pulse_bank</x:v>
      </x:c>
      <x:c r="T1358" s="4" t="str">
        <x:f>IFERROR(INDEX('Material routes'!$D$6:$D$2205,MATCH(V1358,'Material routes'!$A$6:$A$2205,0)),"MISSING ID")</x:f>
        <x:v>proposal.collection.coil_slug_carbine</x:v>
      </x:c>
      <x:c r="U1358" s="4" t="str">
        <x:v>design.collection.coil_slug_carbine.audit.extra.29</x:v>
      </x:c>
      <x:c r="V1358" s="4" t="str">
        <x:v>design.collection.coil_slug_carbine.out</x:v>
      </x:c>
    </x:row>
    <x:row r="1359" ht="64" customHeight="1">
      <x:c r="A1359" s="4" t="str">
        <x:f>IFERROR(INDEX('Material routes'!$E$6:$E$2205,MATCH(U1359,'Material routes'!$A$6:$A$2205,0)),"MISSING ID")</x:f>
        <x:v>Compact latch and trigger pack</x:v>
      </x:c>
      <x:c r="B1359" s="4" t="str">
        <x:f>IFERROR(INDEX('Material routes'!$F$6:$F$2205,MATCH(U1359,'Material routes'!$A$6:$A$2205,0)),"MISSING ID")</x:f>
        <x:v>T4</x:v>
      </x:c>
      <x:c r="C1359" s="4" t="str">
        <x:f>IFERROR(INDEX('Material routes'!$H$6:$H$2205,MATCH(U1359,'Material routes'!$A$6:$A$2205,0)),"MISSING ID")</x:f>
        <x:v>Crafting component</x:v>
      </x:c>
      <x:c r="D1359" s="4" t="str">
        <x:f>IFERROR(INDEX('Material routes'!$G$6:$G$2205,MATCH(U1359,'Material routes'!$A$6:$A$2205,0)),"MISSING ID")</x:f>
        <x:v>Crafting components</x:v>
      </x:c>
      <x:c r="E1359" s="4" t="str">
        <x:f>IFERROR(INDEX('Material routes'!$C$6:$C$2205,MATCH(U1359,'Material routes'!$A$6:$A$2205,0)),"MISSING ID")</x:f>
        <x:v>Ingredient candidate</x:v>
      </x:c>
      <x:c r="F1359" s="4" t="str">
        <x:f>IFERROR(INDEX('Material routes'!$E$6:$E$2205,MATCH(V1359,'Material routes'!$A$6:$A$2205,0)),"MISSING ID")</x:f>
        <x:v>Coil slug carbine</x:v>
      </x:c>
      <x:c r="G1359" s="4" t="str">
        <x:f>IFERROR(INDEX('Material routes'!$F$6:$F$2205,MATCH(V1359,'Material routes'!$A$6:$A$2205,0)),"MISSING ID")</x:f>
        <x:v>Not applicable</x:v>
      </x:c>
      <x:c r="H1359" s="4" t="str">
        <x:f>IFERROR(INDEX('Material routes'!$H$6:$H$2205,MATCH(V1359,'Material routes'!$A$6:$A$2205,0)),"MISSING ID")</x:f>
        <x:v>Weapon</x:v>
      </x:c>
      <x:c r="I1359" s="4" t="str">
        <x:f>IFERROR(INDEX('Material routes'!$G$6:$G$2205,MATCH(V1359,'Material routes'!$A$6:$A$2205,0)),"MISSING ID")</x:f>
        <x:v>Weapons</x:v>
      </x:c>
      <x:c r="J1359" s="4" t="str">
        <x:f>IFERROR(INDEX('Material routes'!$B$6:$B$2205,MATCH(U1359,'Material routes'!$A$6:$A$2205,0)),"MISSING ID")</x:f>
        <x:v>design.collection.coil_slug_carbine</x:v>
      </x:c>
      <x:c r="K1359" s="4" t="str">
        <x:f>IFERROR(INDEX('Crafting recipes'!$C$6:$C$1005,MATCH(J1359,'Crafting recipes'!$A$6:$A$1005,0)),"MISSING ID")</x:f>
        <x:v>Finished-item crafting</x:v>
      </x:c>
      <x:c r="L1359" s="4" t="str">
        <x:f>IFERROR(INDEX('Material routes'!$K$6:$K$2205,MATCH(U1359,'Material routes'!$A$6:$A$2205,0)),"MISSING ID")</x:f>
        <x:v>Proposal</x:v>
      </x:c>
      <x:c r="M1359" s="4" t="str">
        <x:f>IFERROR(INDEX('Material routes'!$M$6:$M$2205,MATCH(U1359,'Material routes'!$A$6:$A$2205,0)),"MISSING ID")</x:f>
        <x:v>Partial proposal</x:v>
      </x:c>
      <x:c r="N1359" s="4"/>
      <x:c r="O1359" s="4" t="str">
        <x:f>IFERROR(INDEX('Material routes'!$J$6:$J$2205,MATCH(U1359,'Material routes'!$A$6:$A$2205,0)),"MISSING ID")</x:f>
        <x:v>Unspecified</x:v>
      </x:c>
      <x:c r="P1359" s="4"/>
      <x:c r="Q1359" s="4" t="str">
        <x:f>IFERROR(INDEX('Material routes'!$J$6:$J$2205,MATCH(V1359,'Material routes'!$A$6:$A$2205,0)),"MISSING ID")</x:f>
        <x:v>Unspecified</x:v>
      </x:c>
      <x:c r="R1359" s="4" t="str">
        <x:f>IF(L1359="Withheld","Withheld premise",IF(E1359="Tool candidate","Reusable prerequisite",IF(K1359="Raw entry preparation","Entry-resource preparation",IF(G1359="Not applicable",IF(IFERROR(INDEX('Items'!$AI$6:$AI$1005,MATCH(T1359,'Items'!$A$6:$A$1005,0)),"MISSING ID")="Finished item","Finished endpoint",IF(IFERROR(INDEX('Items'!$AI$6:$AI$1005,MATCH(T1359,'Items'!$A$6:$A$1005,0)),"MISSING ID")="Currency","Currency / no refinement tier","Recovered output / tier not applicable")),IF(OR(IFERROR(INDEX('Crafting recipes'!$H$6:$H$1005,MATCH(J1359,'Crafting recipes'!$A$6:$A$1005,0)),"MISSING ID")="Unassigned",G1359="Unassigned"),"Tier unresolved",IF(IFERROR(VALUE(RIGHT(G1359,1))-VALUE(RIGHT(IFERROR(INDEX('Crafting recipes'!$H$6:$H$1005,MATCH(J1359,'Crafting recipes'!$A$6:$A$1005,0)),"MISSING ID"),1)),0)=1,IF(B1359=IFERROR(INDEX('Crafting recipes'!$H$6:$H$1005,MATCH(J1359,'Crafting recipes'!$A$6:$A$1005,0)),"MISSING ID"),"Advances one material tier","Lower-tier ingredient; route advances one tier"),"Needs tier review"))))))</x:f>
        <x:v>Finished endpoint</x:v>
      </x:c>
      <x:c r="S1359" s="4" t="str">
        <x:f>IFERROR(INDEX('Material routes'!$D$6:$D$2205,MATCH(U1359,'Material routes'!$A$6:$A$2205,0)),"MISSING ID")</x:f>
        <x:v>proposal.audit.compact_latch_and_trigger_pack</x:v>
      </x:c>
      <x:c r="T1359" s="4" t="str">
        <x:f>IFERROR(INDEX('Material routes'!$D$6:$D$2205,MATCH(V1359,'Material routes'!$A$6:$A$2205,0)),"MISSING ID")</x:f>
        <x:v>proposal.collection.coil_slug_carbine</x:v>
      </x:c>
      <x:c r="U1359" s="4" t="str">
        <x:v>design.collection.coil_slug_carbine.audit.extra.30</x:v>
      </x:c>
      <x:c r="V1359" s="4" t="str">
        <x:v>design.collection.coil_slug_carbine.out</x:v>
      </x:c>
    </x:row>
    <x:row r="1360" ht="64" customHeight="1">
      <x:c r="A1360" s="4" t="str">
        <x:f>IFERROR(INDEX('Material routes'!$E$6:$E$2205,MATCH(U1360,'Material routes'!$A$6:$A$2205,0)),"MISSING ID")</x:f>
        <x:v>Valve poppet blank</x:v>
      </x:c>
      <x:c r="B1360" s="4" t="str">
        <x:f>IFERROR(INDEX('Material routes'!$F$6:$F$2205,MATCH(U1360,'Material routes'!$A$6:$A$2205,0)),"MISSING ID")</x:f>
        <x:v>T3</x:v>
      </x:c>
      <x:c r="C1360" s="4" t="str">
        <x:f>IFERROR(INDEX('Material routes'!$H$6:$H$2205,MATCH(U1360,'Material routes'!$A$6:$A$2205,0)),"MISSING ID")</x:f>
        <x:v>Machine part</x:v>
      </x:c>
      <x:c r="D1360" s="4" t="str">
        <x:f>IFERROR(INDEX('Material routes'!$G$6:$G$2205,MATCH(U1360,'Material routes'!$A$6:$A$2205,0)),"MISSING ID")</x:f>
        <x:v>Crafting components</x:v>
      </x:c>
      <x:c r="E1360" s="4" t="str">
        <x:f>IFERROR(INDEX('Material routes'!$C$6:$C$2205,MATCH(U1360,'Material routes'!$A$6:$A$2205,0)),"MISSING ID")</x:f>
        <x:v>Ingredient candidate</x:v>
      </x:c>
      <x:c r="F1360" s="4" t="str">
        <x:f>IFERROR(INDEX('Material routes'!$E$6:$E$2205,MATCH(V1360,'Material routes'!$A$6:$A$2205,0)),"MISSING ID")</x:f>
        <x:v>Spring-seated check valve</x:v>
      </x:c>
      <x:c r="G1360" s="4" t="str">
        <x:f>IFERROR(INDEX('Material routes'!$F$6:$F$2205,MATCH(V1360,'Material routes'!$A$6:$A$2205,0)),"MISSING ID")</x:f>
        <x:v>T4</x:v>
      </x:c>
      <x:c r="H1360" s="4" t="str">
        <x:f>IFERROR(INDEX('Material routes'!$H$6:$H$2205,MATCH(V1360,'Material routes'!$A$6:$A$2205,0)),"MISSING ID")</x:f>
        <x:v>Machine part</x:v>
      </x:c>
      <x:c r="I1360" s="4" t="str">
        <x:f>IFERROR(INDEX('Material routes'!$G$6:$G$2205,MATCH(V1360,'Material routes'!$A$6:$A$2205,0)),"MISSING ID")</x:f>
        <x:v>Crafting components</x:v>
      </x:c>
      <x:c r="J1360" s="4" t="str">
        <x:f>IFERROR(INDEX('Material routes'!$B$6:$B$2205,MATCH(U1360,'Material routes'!$A$6:$A$2205,0)),"MISSING ID")</x:f>
        <x:v>design.collection.spring_seated_check_valve</x:v>
      </x:c>
      <x:c r="K1360" s="4" t="str">
        <x:f>IFERROR(INDEX('Crafting recipes'!$C$6:$C$1005,MATCH(J1360,'Crafting recipes'!$A$6:$A$1005,0)),"MISSING ID")</x:f>
        <x:v>Material refinement</x:v>
      </x:c>
      <x:c r="L1360" s="4" t="str">
        <x:f>IFERROR(INDEX('Material routes'!$K$6:$K$2205,MATCH(U1360,'Material routes'!$A$6:$A$2205,0)),"MISSING ID")</x:f>
        <x:v>Proposal</x:v>
      </x:c>
      <x:c r="M1360" s="4" t="str">
        <x:f>IFERROR(INDEX('Material routes'!$M$6:$M$2205,MATCH(U1360,'Material routes'!$A$6:$A$2205,0)),"MISSING ID")</x:f>
        <x:v>Partial proposal</x:v>
      </x:c>
      <x:c r="N1360" s="4"/>
      <x:c r="O1360" s="4" t="str">
        <x:f>IFERROR(INDEX('Material routes'!$J$6:$J$2205,MATCH(U1360,'Material routes'!$A$6:$A$2205,0)),"MISSING ID")</x:f>
        <x:v>Unspecified</x:v>
      </x:c>
      <x:c r="P1360" s="4"/>
      <x:c r="Q1360" s="4" t="str">
        <x:f>IFERROR(INDEX('Material routes'!$J$6:$J$2205,MATCH(V1360,'Material routes'!$A$6:$A$2205,0)),"MISSING ID")</x:f>
        <x:v>Unspecified</x:v>
      </x:c>
      <x:c r="R1360" s="4" t="str">
        <x:f>IF(L1360="Withheld","Withheld premise",IF(E1360="Tool candidate","Reusable prerequisite",IF(K1360="Raw entry preparation","Entry-resource preparation",IF(G1360="Not applicable",IF(IFERROR(INDEX('Items'!$AI$6:$AI$1005,MATCH(T1360,'Items'!$A$6:$A$1005,0)),"MISSING ID")="Finished item","Finished endpoint",IF(IFERROR(INDEX('Items'!$AI$6:$AI$1005,MATCH(T1360,'Items'!$A$6:$A$1005,0)),"MISSING ID")="Currency","Currency / no refinement tier","Recovered output / tier not applicable")),IF(OR(IFERROR(INDEX('Crafting recipes'!$H$6:$H$1005,MATCH(J1360,'Crafting recipes'!$A$6:$A$1005,0)),"MISSING ID")="Unassigned",G1360="Unassigned"),"Tier unresolved",IF(IFERROR(VALUE(RIGHT(G1360,1))-VALUE(RIGHT(IFERROR(INDEX('Crafting recipes'!$H$6:$H$1005,MATCH(J1360,'Crafting recipes'!$A$6:$A$1005,0)),"MISSING ID"),1)),0)=1,IF(B1360=IFERROR(INDEX('Crafting recipes'!$H$6:$H$1005,MATCH(J1360,'Crafting recipes'!$A$6:$A$1005,0)),"MISSING ID"),"Advances one material tier","Lower-tier ingredient; route advances one tier"),"Needs tier review"))))))</x:f>
        <x:v>Advances one material tier</x:v>
      </x:c>
      <x:c r="S1360" s="4" t="str">
        <x:f>IFERROR(INDEX('Material routes'!$D$6:$D$2205,MATCH(U1360,'Material routes'!$A$6:$A$2205,0)),"MISSING ID")</x:f>
        <x:v>proposal.audit.valve_poppet_blank</x:v>
      </x:c>
      <x:c r="T1360" s="4" t="str">
        <x:f>IFERROR(INDEX('Material routes'!$D$6:$D$2205,MATCH(V1360,'Material routes'!$A$6:$A$2205,0)),"MISSING ID")</x:f>
        <x:v>proposal.collection.spring_seated_check_valve</x:v>
      </x:c>
      <x:c r="U1360" s="4" t="str">
        <x:v>design.collection.spring_seated_check_valve.audit.extra.31</x:v>
      </x:c>
      <x:c r="V1360" s="4" t="str">
        <x:v>design.collection.spring_seated_check_valve.out</x:v>
      </x:c>
    </x:row>
    <x:row r="1361" ht="64" customHeight="1">
      <x:c r="A1361" s="4" t="str">
        <x:f>IFERROR(INDEX('Material routes'!$E$6:$E$2205,MATCH(U1361,'Material routes'!$A$6:$A$2205,0)),"MISSING ID")</x:f>
        <x:v>Prepared flexible faunal binder</x:v>
      </x:c>
      <x:c r="B1361" s="4" t="str">
        <x:f>IFERROR(INDEX('Material routes'!$F$6:$F$2205,MATCH(U1361,'Material routes'!$A$6:$A$2205,0)),"MISSING ID")</x:f>
        <x:v>T1</x:v>
      </x:c>
      <x:c r="C1361" s="4" t="str">
        <x:f>IFERROR(INDEX('Material routes'!$H$6:$H$2205,MATCH(U1361,'Material routes'!$A$6:$A$2205,0)),"MISSING ID")</x:f>
        <x:v>Chemical material</x:v>
      </x:c>
      <x:c r="D1361" s="4" t="str">
        <x:f>IFERROR(INDEX('Material routes'!$G$6:$G$2205,MATCH(U1361,'Material routes'!$A$6:$A$2205,0)),"MISSING ID")</x:f>
        <x:v>Crafting components</x:v>
      </x:c>
      <x:c r="E1361" s="4" t="str">
        <x:f>IFERROR(INDEX('Material routes'!$C$6:$C$2205,MATCH(U1361,'Material routes'!$A$6:$A$2205,0)),"MISSING ID")</x:f>
        <x:v>Ingredient candidate</x:v>
      </x:c>
      <x:c r="F1361" s="4" t="str">
        <x:f>IFERROR(INDEX('Material routes'!$E$6:$E$2205,MATCH(V1361,'Material routes'!$A$6:$A$2205,0)),"MISSING ID")</x:f>
        <x:v>Spring-seated check valve</x:v>
      </x:c>
      <x:c r="G1361" s="4" t="str">
        <x:f>IFERROR(INDEX('Material routes'!$F$6:$F$2205,MATCH(V1361,'Material routes'!$A$6:$A$2205,0)),"MISSING ID")</x:f>
        <x:v>T4</x:v>
      </x:c>
      <x:c r="H1361" s="4" t="str">
        <x:f>IFERROR(INDEX('Material routes'!$H$6:$H$2205,MATCH(V1361,'Material routes'!$A$6:$A$2205,0)),"MISSING ID")</x:f>
        <x:v>Machine part</x:v>
      </x:c>
      <x:c r="I1361" s="4" t="str">
        <x:f>IFERROR(INDEX('Material routes'!$G$6:$G$2205,MATCH(V1361,'Material routes'!$A$6:$A$2205,0)),"MISSING ID")</x:f>
        <x:v>Crafting components</x:v>
      </x:c>
      <x:c r="J1361" s="4" t="str">
        <x:f>IFERROR(INDEX('Material routes'!$B$6:$B$2205,MATCH(U1361,'Material routes'!$A$6:$A$2205,0)),"MISSING ID")</x:f>
        <x:v>design.collection.spring_seated_check_valve</x:v>
      </x:c>
      <x:c r="K1361" s="4" t="str">
        <x:f>IFERROR(INDEX('Crafting recipes'!$C$6:$C$1005,MATCH(J1361,'Crafting recipes'!$A$6:$A$1005,0)),"MISSING ID")</x:f>
        <x:v>Material refinement</x:v>
      </x:c>
      <x:c r="L1361" s="4" t="str">
        <x:f>IFERROR(INDEX('Material routes'!$K$6:$K$2205,MATCH(U1361,'Material routes'!$A$6:$A$2205,0)),"MISSING ID")</x:f>
        <x:v>Proposal</x:v>
      </x:c>
      <x:c r="M1361" s="4" t="str">
        <x:f>IFERROR(INDEX('Material routes'!$M$6:$M$2205,MATCH(U1361,'Material routes'!$A$6:$A$2205,0)),"MISSING ID")</x:f>
        <x:v>Partial proposal</x:v>
      </x:c>
      <x:c r="N1361" s="4"/>
      <x:c r="O1361" s="4" t="str">
        <x:f>IFERROR(INDEX('Material routes'!$J$6:$J$2205,MATCH(U1361,'Material routes'!$A$6:$A$2205,0)),"MISSING ID")</x:f>
        <x:v>Unspecified</x:v>
      </x:c>
      <x:c r="P1361" s="4"/>
      <x:c r="Q1361" s="4" t="str">
        <x:f>IFERROR(INDEX('Material routes'!$J$6:$J$2205,MATCH(V1361,'Material routes'!$A$6:$A$2205,0)),"MISSING ID")</x:f>
        <x:v>Unspecified</x:v>
      </x:c>
      <x:c r="R1361" s="4" t="str">
        <x:f>IF(L1361="Withheld","Withheld premise",IF(E1361="Tool candidate","Reusable prerequisite",IF(K1361="Raw entry preparation","Entry-resource preparation",IF(G1361="Not applicable",IF(IFERROR(INDEX('Items'!$AI$6:$AI$1005,MATCH(T1361,'Items'!$A$6:$A$1005,0)),"MISSING ID")="Finished item","Finished endpoint",IF(IFERROR(INDEX('Items'!$AI$6:$AI$1005,MATCH(T1361,'Items'!$A$6:$A$1005,0)),"MISSING ID")="Currency","Currency / no refinement tier","Recovered output / tier not applicable")),IF(OR(IFERROR(INDEX('Crafting recipes'!$H$6:$H$1005,MATCH(J1361,'Crafting recipes'!$A$6:$A$1005,0)),"MISSING ID")="Unassigned",G1361="Unassigned"),"Tier unresolved",IF(IFERROR(VALUE(RIGHT(G1361,1))-VALUE(RIGHT(IFERROR(INDEX('Crafting recipes'!$H$6:$H$1005,MATCH(J1361,'Crafting recipes'!$A$6:$A$1005,0)),"MISSING ID"),1)),0)=1,IF(B1361=IFERROR(INDEX('Crafting recipes'!$H$6:$H$1005,MATCH(J1361,'Crafting recipes'!$A$6:$A$1005,0)),"MISSING ID"),"Advances one material tier","Lower-tier ingredient; route advances one tier"),"Needs tier review"))))))</x:f>
        <x:v>Lower-tier ingredient; route advances one tier</x:v>
      </x:c>
      <x:c r="S1361" s="4" t="str">
        <x:f>IFERROR(INDEX('Material routes'!$D$6:$D$2205,MATCH(U1361,'Material routes'!$A$6:$A$2205,0)),"MISSING ID")</x:f>
        <x:v>proposal.branch.flex_binder</x:v>
      </x:c>
      <x:c r="T1361" s="4" t="str">
        <x:f>IFERROR(INDEX('Material routes'!$D$6:$D$2205,MATCH(V1361,'Material routes'!$A$6:$A$2205,0)),"MISSING ID")</x:f>
        <x:v>proposal.collection.spring_seated_check_valve</x:v>
      </x:c>
      <x:c r="U1361" s="4" t="str">
        <x:v>design.collection.spring_seated_check_valve.audit.extra.32</x:v>
      </x:c>
      <x:c r="V1361" s="4" t="str">
        <x:v>design.collection.spring_seated_check_valve.out</x:v>
      </x:c>
    </x:row>
    <x:row r="1362" ht="64" customHeight="1">
      <x:c r="A1362" s="4" t="str">
        <x:f>IFERROR(INDEX('Material routes'!$E$6:$E$2205,MATCH(U1362,'Material routes'!$A$6:$A$2205,0)),"MISSING ID")</x:f>
        <x:v>Brake lining shoe</x:v>
      </x:c>
      <x:c r="B1362" s="4" t="str">
        <x:f>IFERROR(INDEX('Material routes'!$F$6:$F$2205,MATCH(U1362,'Material routes'!$A$6:$A$2205,0)),"MISSING ID")</x:f>
        <x:v>T3</x:v>
      </x:c>
      <x:c r="C1362" s="4" t="str">
        <x:f>IFERROR(INDEX('Material routes'!$H$6:$H$2205,MATCH(U1362,'Material routes'!$A$6:$A$2205,0)),"MISSING ID")</x:f>
        <x:v>Machine part</x:v>
      </x:c>
      <x:c r="D1362" s="4" t="str">
        <x:f>IFERROR(INDEX('Material routes'!$G$6:$G$2205,MATCH(U1362,'Material routes'!$A$6:$A$2205,0)),"MISSING ID")</x:f>
        <x:v>Crafting components</x:v>
      </x:c>
      <x:c r="E1362" s="4" t="str">
        <x:f>IFERROR(INDEX('Material routes'!$C$6:$C$2205,MATCH(U1362,'Material routes'!$A$6:$A$2205,0)),"MISSING ID")</x:f>
        <x:v>Ingredient candidate</x:v>
      </x:c>
      <x:c r="F1362" s="4" t="str">
        <x:f>IFERROR(INDEX('Material routes'!$E$6:$E$2205,MATCH(V1362,'Material routes'!$A$6:$A$2205,0)),"MISSING ID")</x:f>
        <x:v>Guarded flywheel cartridge</x:v>
      </x:c>
      <x:c r="G1362" s="4" t="str">
        <x:f>IFERROR(INDEX('Material routes'!$F$6:$F$2205,MATCH(V1362,'Material routes'!$A$6:$A$2205,0)),"MISSING ID")</x:f>
        <x:v>Not applicable</x:v>
      </x:c>
      <x:c r="H1362" s="4" t="str">
        <x:f>IFERROR(INDEX('Material routes'!$H$6:$H$2205,MATCH(V1362,'Material routes'!$A$6:$A$2205,0)),"MISSING ID")</x:f>
        <x:v>Energy storage</x:v>
      </x:c>
      <x:c r="I1362" s="4" t="str">
        <x:f>IFERROR(INDEX('Material routes'!$G$6:$G$2205,MATCH(V1362,'Material routes'!$A$6:$A$2205,0)),"MISSING ID")</x:f>
        <x:v>Crafting components</x:v>
      </x:c>
      <x:c r="J1362" s="4" t="str">
        <x:f>IFERROR(INDEX('Material routes'!$B$6:$B$2205,MATCH(U1362,'Material routes'!$A$6:$A$2205,0)),"MISSING ID")</x:f>
        <x:v>design.collection.guarded_flywheel_cartridge</x:v>
      </x:c>
      <x:c r="K1362" s="4" t="str">
        <x:f>IFERROR(INDEX('Crafting recipes'!$C$6:$C$1005,MATCH(J1362,'Crafting recipes'!$A$6:$A$1005,0)),"MISSING ID")</x:f>
        <x:v>Finished-item crafting</x:v>
      </x:c>
      <x:c r="L1362" s="4" t="str">
        <x:f>IFERROR(INDEX('Material routes'!$K$6:$K$2205,MATCH(U1362,'Material routes'!$A$6:$A$2205,0)),"MISSING ID")</x:f>
        <x:v>Proposal</x:v>
      </x:c>
      <x:c r="M1362" s="4" t="str">
        <x:f>IFERROR(INDEX('Material routes'!$M$6:$M$2205,MATCH(U1362,'Material routes'!$A$6:$A$2205,0)),"MISSING ID")</x:f>
        <x:v>Partial proposal</x:v>
      </x:c>
      <x:c r="N1362" s="4"/>
      <x:c r="O1362" s="4" t="str">
        <x:f>IFERROR(INDEX('Material routes'!$J$6:$J$2205,MATCH(U1362,'Material routes'!$A$6:$A$2205,0)),"MISSING ID")</x:f>
        <x:v>Unspecified</x:v>
      </x:c>
      <x:c r="P1362" s="4"/>
      <x:c r="Q1362" s="4" t="str">
        <x:f>IFERROR(INDEX('Material routes'!$J$6:$J$2205,MATCH(V1362,'Material routes'!$A$6:$A$2205,0)),"MISSING ID")</x:f>
        <x:v>Unspecified</x:v>
      </x:c>
      <x:c r="R1362" s="4" t="str">
        <x:f>IF(L1362="Withheld","Withheld premise",IF(E1362="Tool candidate","Reusable prerequisite",IF(K1362="Raw entry preparation","Entry-resource preparation",IF(G1362="Not applicable",IF(IFERROR(INDEX('Items'!$AI$6:$AI$1005,MATCH(T1362,'Items'!$A$6:$A$1005,0)),"MISSING ID")="Finished item","Finished endpoint",IF(IFERROR(INDEX('Items'!$AI$6:$AI$1005,MATCH(T1362,'Items'!$A$6:$A$1005,0)),"MISSING ID")="Currency","Currency / no refinement tier","Recovered output / tier not applicable")),IF(OR(IFERROR(INDEX('Crafting recipes'!$H$6:$H$1005,MATCH(J1362,'Crafting recipes'!$A$6:$A$1005,0)),"MISSING ID")="Unassigned",G1362="Unassigned"),"Tier unresolved",IF(IFERROR(VALUE(RIGHT(G1362,1))-VALUE(RIGHT(IFERROR(INDEX('Crafting recipes'!$H$6:$H$1005,MATCH(J1362,'Crafting recipes'!$A$6:$A$1005,0)),"MISSING ID"),1)),0)=1,IF(B1362=IFERROR(INDEX('Crafting recipes'!$H$6:$H$1005,MATCH(J1362,'Crafting recipes'!$A$6:$A$1005,0)),"MISSING ID"),"Advances one material tier","Lower-tier ingredient; route advances one tier"),"Needs tier review"))))))</x:f>
        <x:v>Finished endpoint</x:v>
      </x:c>
      <x:c r="S1362" s="4" t="str">
        <x:f>IFERROR(INDEX('Material routes'!$D$6:$D$2205,MATCH(U1362,'Material routes'!$A$6:$A$2205,0)),"MISSING ID")</x:f>
        <x:v>proposal.collection.brake_lining_shoe</x:v>
      </x:c>
      <x:c r="T1362" s="4" t="str">
        <x:f>IFERROR(INDEX('Material routes'!$D$6:$D$2205,MATCH(V1362,'Material routes'!$A$6:$A$2205,0)),"MISSING ID")</x:f>
        <x:v>proposal.collection.guarded_flywheel_cartridge</x:v>
      </x:c>
      <x:c r="U1362" s="4" t="str">
        <x:v>design.collection.guarded_flywheel_cartridge.audit.extra.33</x:v>
      </x:c>
      <x:c r="V1362" s="4" t="str">
        <x:v>design.collection.guarded_flywheel_cartridge.out</x:v>
      </x:c>
    </x:row>
    <x:row r="1363" ht="64" customHeight="1">
      <x:c r="A1363" s="4" t="str">
        <x:f>IFERROR(INDEX('Material routes'!$E$6:$E$2205,MATCH(U1363,'Material routes'!$A$6:$A$2205,0)),"MISSING ID")</x:f>
        <x:v>Fitted machine casing</x:v>
      </x:c>
      <x:c r="B1363" s="4" t="str">
        <x:f>IFERROR(INDEX('Material routes'!$F$6:$F$2205,MATCH(U1363,'Material routes'!$A$6:$A$2205,0)),"MISSING ID")</x:f>
        <x:v>T3</x:v>
      </x:c>
      <x:c r="C1363" s="4" t="str">
        <x:f>IFERROR(INDEX('Material routes'!$H$6:$H$2205,MATCH(U1363,'Material routes'!$A$6:$A$2205,0)),"MISSING ID")</x:f>
        <x:v>Crafting component</x:v>
      </x:c>
      <x:c r="D1363" s="4" t="str">
        <x:f>IFERROR(INDEX('Material routes'!$G$6:$G$2205,MATCH(U1363,'Material routes'!$A$6:$A$2205,0)),"MISSING ID")</x:f>
        <x:v>Crafting components</x:v>
      </x:c>
      <x:c r="E1363" s="4" t="str">
        <x:f>IFERROR(INDEX('Material routes'!$C$6:$C$2205,MATCH(U1363,'Material routes'!$A$6:$A$2205,0)),"MISSING ID")</x:f>
        <x:v>Ingredient candidate</x:v>
      </x:c>
      <x:c r="F1363" s="4" t="str">
        <x:f>IFERROR(INDEX('Material routes'!$E$6:$E$2205,MATCH(V1363,'Material routes'!$A$6:$A$2205,0)),"MISSING ID")</x:f>
        <x:v>Guarded flywheel cartridge</x:v>
      </x:c>
      <x:c r="G1363" s="4" t="str">
        <x:f>IFERROR(INDEX('Material routes'!$F$6:$F$2205,MATCH(V1363,'Material routes'!$A$6:$A$2205,0)),"MISSING ID")</x:f>
        <x:v>Not applicable</x:v>
      </x:c>
      <x:c r="H1363" s="4" t="str">
        <x:f>IFERROR(INDEX('Material routes'!$H$6:$H$2205,MATCH(V1363,'Material routes'!$A$6:$A$2205,0)),"MISSING ID")</x:f>
        <x:v>Energy storage</x:v>
      </x:c>
      <x:c r="I1363" s="4" t="str">
        <x:f>IFERROR(INDEX('Material routes'!$G$6:$G$2205,MATCH(V1363,'Material routes'!$A$6:$A$2205,0)),"MISSING ID")</x:f>
        <x:v>Crafting components</x:v>
      </x:c>
      <x:c r="J1363" s="4" t="str">
        <x:f>IFERROR(INDEX('Material routes'!$B$6:$B$2205,MATCH(U1363,'Material routes'!$A$6:$A$2205,0)),"MISSING ID")</x:f>
        <x:v>design.collection.guarded_flywheel_cartridge</x:v>
      </x:c>
      <x:c r="K1363" s="4" t="str">
        <x:f>IFERROR(INDEX('Crafting recipes'!$C$6:$C$1005,MATCH(J1363,'Crafting recipes'!$A$6:$A$1005,0)),"MISSING ID")</x:f>
        <x:v>Finished-item crafting</x:v>
      </x:c>
      <x:c r="L1363" s="4" t="str">
        <x:f>IFERROR(INDEX('Material routes'!$K$6:$K$2205,MATCH(U1363,'Material routes'!$A$6:$A$2205,0)),"MISSING ID")</x:f>
        <x:v>Proposal</x:v>
      </x:c>
      <x:c r="M1363" s="4" t="str">
        <x:f>IFERROR(INDEX('Material routes'!$M$6:$M$2205,MATCH(U1363,'Material routes'!$A$6:$A$2205,0)),"MISSING ID")</x:f>
        <x:v>Partial proposal</x:v>
      </x:c>
      <x:c r="N1363" s="4"/>
      <x:c r="O1363" s="4" t="str">
        <x:f>IFERROR(INDEX('Material routes'!$J$6:$J$2205,MATCH(U1363,'Material routes'!$A$6:$A$2205,0)),"MISSING ID")</x:f>
        <x:v>Unspecified</x:v>
      </x:c>
      <x:c r="P1363" s="4"/>
      <x:c r="Q1363" s="4" t="str">
        <x:f>IFERROR(INDEX('Material routes'!$J$6:$J$2205,MATCH(V1363,'Material routes'!$A$6:$A$2205,0)),"MISSING ID")</x:f>
        <x:v>Unspecified</x:v>
      </x:c>
      <x:c r="R1363" s="4" t="str">
        <x:f>IF(L1363="Withheld","Withheld premise",IF(E1363="Tool candidate","Reusable prerequisite",IF(K1363="Raw entry preparation","Entry-resource preparation",IF(G1363="Not applicable",IF(IFERROR(INDEX('Items'!$AI$6:$AI$1005,MATCH(T1363,'Items'!$A$6:$A$1005,0)),"MISSING ID")="Finished item","Finished endpoint",IF(IFERROR(INDEX('Items'!$AI$6:$AI$1005,MATCH(T1363,'Items'!$A$6:$A$1005,0)),"MISSING ID")="Currency","Currency / no refinement tier","Recovered output / tier not applicable")),IF(OR(IFERROR(INDEX('Crafting recipes'!$H$6:$H$1005,MATCH(J1363,'Crafting recipes'!$A$6:$A$1005,0)),"MISSING ID")="Unassigned",G1363="Unassigned"),"Tier unresolved",IF(IFERROR(VALUE(RIGHT(G1363,1))-VALUE(RIGHT(IFERROR(INDEX('Crafting recipes'!$H$6:$H$1005,MATCH(J1363,'Crafting recipes'!$A$6:$A$1005,0)),"MISSING ID"),1)),0)=1,IF(B1363=IFERROR(INDEX('Crafting recipes'!$H$6:$H$1005,MATCH(J1363,'Crafting recipes'!$A$6:$A$1005,0)),"MISSING ID"),"Advances one material tier","Lower-tier ingredient; route advances one tier"),"Needs tier review"))))))</x:f>
        <x:v>Finished endpoint</x:v>
      </x:c>
      <x:c r="S1363" s="4" t="str">
        <x:f>IFERROR(INDEX('Material routes'!$D$6:$D$2205,MATCH(U1363,'Material routes'!$A$6:$A$2205,0)),"MISSING ID")</x:f>
        <x:v>proposal.audit.fitted_machine_casing</x:v>
      </x:c>
      <x:c r="T1363" s="4" t="str">
        <x:f>IFERROR(INDEX('Material routes'!$D$6:$D$2205,MATCH(V1363,'Material routes'!$A$6:$A$2205,0)),"MISSING ID")</x:f>
        <x:v>proposal.collection.guarded_flywheel_cartridge</x:v>
      </x:c>
      <x:c r="U1363" s="4" t="str">
        <x:v>design.collection.guarded_flywheel_cartridge.audit.extra.34</x:v>
      </x:c>
      <x:c r="V1363" s="4" t="str">
        <x:v>design.collection.guarded_flywheel_cartridge.out</x:v>
      </x:c>
    </x:row>
    <x:row r="1364" ht="64" customHeight="1">
      <x:c r="A1364" s="4" t="str">
        <x:f>IFERROR(INDEX('Material routes'!$E$6:$E$2205,MATCH(U1364,'Material routes'!$A$6:$A$2205,0)),"MISSING ID")</x:f>
        <x:v>Matched metal fastener set</x:v>
      </x:c>
      <x:c r="B1364" s="4" t="str">
        <x:f>IFERROR(INDEX('Material routes'!$F$6:$F$2205,MATCH(U1364,'Material routes'!$A$6:$A$2205,0)),"MISSING ID")</x:f>
        <x:v>T3</x:v>
      </x:c>
      <x:c r="C1364" s="4" t="str">
        <x:f>IFERROR(INDEX('Material routes'!$H$6:$H$2205,MATCH(U1364,'Material routes'!$A$6:$A$2205,0)),"MISSING ID")</x:f>
        <x:v>Crafting component</x:v>
      </x:c>
      <x:c r="D1364" s="4" t="str">
        <x:f>IFERROR(INDEX('Material routes'!$G$6:$G$2205,MATCH(U1364,'Material routes'!$A$6:$A$2205,0)),"MISSING ID")</x:f>
        <x:v>Crafting components</x:v>
      </x:c>
      <x:c r="E1364" s="4" t="str">
        <x:f>IFERROR(INDEX('Material routes'!$C$6:$C$2205,MATCH(U1364,'Material routes'!$A$6:$A$2205,0)),"MISSING ID")</x:f>
        <x:v>Ingredient candidate</x:v>
      </x:c>
      <x:c r="F1364" s="4" t="str">
        <x:f>IFERROR(INDEX('Material routes'!$E$6:$E$2205,MATCH(V1364,'Material routes'!$A$6:$A$2205,0)),"MISSING ID")</x:f>
        <x:v>Guarded flywheel cartridge</x:v>
      </x:c>
      <x:c r="G1364" s="4" t="str">
        <x:f>IFERROR(INDEX('Material routes'!$F$6:$F$2205,MATCH(V1364,'Material routes'!$A$6:$A$2205,0)),"MISSING ID")</x:f>
        <x:v>Not applicable</x:v>
      </x:c>
      <x:c r="H1364" s="4" t="str">
        <x:f>IFERROR(INDEX('Material routes'!$H$6:$H$2205,MATCH(V1364,'Material routes'!$A$6:$A$2205,0)),"MISSING ID")</x:f>
        <x:v>Energy storage</x:v>
      </x:c>
      <x:c r="I1364" s="4" t="str">
        <x:f>IFERROR(INDEX('Material routes'!$G$6:$G$2205,MATCH(V1364,'Material routes'!$A$6:$A$2205,0)),"MISSING ID")</x:f>
        <x:v>Crafting components</x:v>
      </x:c>
      <x:c r="J1364" s="4" t="str">
        <x:f>IFERROR(INDEX('Material routes'!$B$6:$B$2205,MATCH(U1364,'Material routes'!$A$6:$A$2205,0)),"MISSING ID")</x:f>
        <x:v>design.collection.guarded_flywheel_cartridge</x:v>
      </x:c>
      <x:c r="K1364" s="4" t="str">
        <x:f>IFERROR(INDEX('Crafting recipes'!$C$6:$C$1005,MATCH(J1364,'Crafting recipes'!$A$6:$A$1005,0)),"MISSING ID")</x:f>
        <x:v>Finished-item crafting</x:v>
      </x:c>
      <x:c r="L1364" s="4" t="str">
        <x:f>IFERROR(INDEX('Material routes'!$K$6:$K$2205,MATCH(U1364,'Material routes'!$A$6:$A$2205,0)),"MISSING ID")</x:f>
        <x:v>Proposal</x:v>
      </x:c>
      <x:c r="M1364" s="4" t="str">
        <x:f>IFERROR(INDEX('Material routes'!$M$6:$M$2205,MATCH(U1364,'Material routes'!$A$6:$A$2205,0)),"MISSING ID")</x:f>
        <x:v>Partial proposal</x:v>
      </x:c>
      <x:c r="N1364" s="4"/>
      <x:c r="O1364" s="4" t="str">
        <x:f>IFERROR(INDEX('Material routes'!$J$6:$J$2205,MATCH(U1364,'Material routes'!$A$6:$A$2205,0)),"MISSING ID")</x:f>
        <x:v>Unspecified</x:v>
      </x:c>
      <x:c r="P1364" s="4"/>
      <x:c r="Q1364" s="4" t="str">
        <x:f>IFERROR(INDEX('Material routes'!$J$6:$J$2205,MATCH(V1364,'Material routes'!$A$6:$A$2205,0)),"MISSING ID")</x:f>
        <x:v>Unspecified</x:v>
      </x:c>
      <x:c r="R1364" s="4" t="str">
        <x:f>IF(L1364="Withheld","Withheld premise",IF(E1364="Tool candidate","Reusable prerequisite",IF(K1364="Raw entry preparation","Entry-resource preparation",IF(G1364="Not applicable",IF(IFERROR(INDEX('Items'!$AI$6:$AI$1005,MATCH(T1364,'Items'!$A$6:$A$1005,0)),"MISSING ID")="Finished item","Finished endpoint",IF(IFERROR(INDEX('Items'!$AI$6:$AI$1005,MATCH(T1364,'Items'!$A$6:$A$1005,0)),"MISSING ID")="Currency","Currency / no refinement tier","Recovered output / tier not applicable")),IF(OR(IFERROR(INDEX('Crafting recipes'!$H$6:$H$1005,MATCH(J1364,'Crafting recipes'!$A$6:$A$1005,0)),"MISSING ID")="Unassigned",G1364="Unassigned"),"Tier unresolved",IF(IFERROR(VALUE(RIGHT(G1364,1))-VALUE(RIGHT(IFERROR(INDEX('Crafting recipes'!$H$6:$H$1005,MATCH(J1364,'Crafting recipes'!$A$6:$A$1005,0)),"MISSING ID"),1)),0)=1,IF(B1364=IFERROR(INDEX('Crafting recipes'!$H$6:$H$1005,MATCH(J1364,'Crafting recipes'!$A$6:$A$1005,0)),"MISSING ID"),"Advances one material tier","Lower-tier ingredient; route advances one tier"),"Needs tier review"))))))</x:f>
        <x:v>Finished endpoint</x:v>
      </x:c>
      <x:c r="S1364" s="4" t="str">
        <x:f>IFERROR(INDEX('Material routes'!$D$6:$D$2205,MATCH(U1364,'Material routes'!$A$6:$A$2205,0)),"MISSING ID")</x:f>
        <x:v>proposal.lore.fastener_set</x:v>
      </x:c>
      <x:c r="T1364" s="4" t="str">
        <x:f>IFERROR(INDEX('Material routes'!$D$6:$D$2205,MATCH(V1364,'Material routes'!$A$6:$A$2205,0)),"MISSING ID")</x:f>
        <x:v>proposal.collection.guarded_flywheel_cartridge</x:v>
      </x:c>
      <x:c r="U1364" s="4" t="str">
        <x:v>design.collection.guarded_flywheel_cartridge.audit.extra.35</x:v>
      </x:c>
      <x:c r="V1364" s="4" t="str">
        <x:v>design.collection.guarded_flywheel_cartridge.out</x:v>
      </x:c>
    </x:row>
    <x:row r="1365" ht="64" customHeight="1">
      <x:c r="A1365" s="4" t="str">
        <x:f>IFERROR(INDEX('Material routes'!$E$6:$E$2205,MATCH(U1365,'Material routes'!$A$6:$A$2205,0)),"MISSING ID")</x:f>
        <x:v>Ratchet wheel</x:v>
      </x:c>
      <x:c r="B1365" s="4" t="str">
        <x:f>IFERROR(INDEX('Material routes'!$F$6:$F$2205,MATCH(U1365,'Material routes'!$A$6:$A$2205,0)),"MISSING ID")</x:f>
        <x:v>T3</x:v>
      </x:c>
      <x:c r="C1365" s="4" t="str">
        <x:f>IFERROR(INDEX('Material routes'!$H$6:$H$2205,MATCH(U1365,'Material routes'!$A$6:$A$2205,0)),"MISSING ID")</x:f>
        <x:v>Machine part</x:v>
      </x:c>
      <x:c r="D1365" s="4" t="str">
        <x:f>IFERROR(INDEX('Material routes'!$G$6:$G$2205,MATCH(U1365,'Material routes'!$A$6:$A$2205,0)),"MISSING ID")</x:f>
        <x:v>Crafting components</x:v>
      </x:c>
      <x:c r="E1365" s="4" t="str">
        <x:f>IFERROR(INDEX('Material routes'!$C$6:$C$2205,MATCH(U1365,'Material routes'!$A$6:$A$2205,0)),"MISSING ID")</x:f>
        <x:v>Ingredient candidate</x:v>
      </x:c>
      <x:c r="F1365" s="4" t="str">
        <x:f>IFERROR(INDEX('Material routes'!$E$6:$E$2205,MATCH(V1365,'Material routes'!$A$6:$A$2205,0)),"MISSING ID")</x:f>
        <x:v>Wound clock-spring pack</x:v>
      </x:c>
      <x:c r="G1365" s="4" t="str">
        <x:f>IFERROR(INDEX('Material routes'!$F$6:$F$2205,MATCH(V1365,'Material routes'!$A$6:$A$2205,0)),"MISSING ID")</x:f>
        <x:v>Not applicable</x:v>
      </x:c>
      <x:c r="H1365" s="4" t="str">
        <x:f>IFERROR(INDEX('Material routes'!$H$6:$H$2205,MATCH(V1365,'Material routes'!$A$6:$A$2205,0)),"MISSING ID")</x:f>
        <x:v>Energy storage</x:v>
      </x:c>
      <x:c r="I1365" s="4" t="str">
        <x:f>IFERROR(INDEX('Material routes'!$G$6:$G$2205,MATCH(V1365,'Material routes'!$A$6:$A$2205,0)),"MISSING ID")</x:f>
        <x:v>Crafting components</x:v>
      </x:c>
      <x:c r="J1365" s="4" t="str">
        <x:f>IFERROR(INDEX('Material routes'!$B$6:$B$2205,MATCH(U1365,'Material routes'!$A$6:$A$2205,0)),"MISSING ID")</x:f>
        <x:v>design.collection.wound_clock_spring_pack</x:v>
      </x:c>
      <x:c r="K1365" s="4" t="str">
        <x:f>IFERROR(INDEX('Crafting recipes'!$C$6:$C$1005,MATCH(J1365,'Crafting recipes'!$A$6:$A$1005,0)),"MISSING ID")</x:f>
        <x:v>Finished-item crafting</x:v>
      </x:c>
      <x:c r="L1365" s="4" t="str">
        <x:f>IFERROR(INDEX('Material routes'!$K$6:$K$2205,MATCH(U1365,'Material routes'!$A$6:$A$2205,0)),"MISSING ID")</x:f>
        <x:v>Proposal</x:v>
      </x:c>
      <x:c r="M1365" s="4" t="str">
        <x:f>IFERROR(INDEX('Material routes'!$M$6:$M$2205,MATCH(U1365,'Material routes'!$A$6:$A$2205,0)),"MISSING ID")</x:f>
        <x:v>Partial proposal</x:v>
      </x:c>
      <x:c r="N1365" s="4"/>
      <x:c r="O1365" s="4" t="str">
        <x:f>IFERROR(INDEX('Material routes'!$J$6:$J$2205,MATCH(U1365,'Material routes'!$A$6:$A$2205,0)),"MISSING ID")</x:f>
        <x:v>Unspecified</x:v>
      </x:c>
      <x:c r="P1365" s="4"/>
      <x:c r="Q1365" s="4" t="str">
        <x:f>IFERROR(INDEX('Material routes'!$J$6:$J$2205,MATCH(V1365,'Material routes'!$A$6:$A$2205,0)),"MISSING ID")</x:f>
        <x:v>Unspecified</x:v>
      </x:c>
      <x:c r="R1365" s="4" t="str">
        <x:f>IF(L1365="Withheld","Withheld premise",IF(E1365="Tool candidate","Reusable prerequisite",IF(K1365="Raw entry preparation","Entry-resource preparation",IF(G1365="Not applicable",IF(IFERROR(INDEX('Items'!$AI$6:$AI$1005,MATCH(T1365,'Items'!$A$6:$A$1005,0)),"MISSING ID")="Finished item","Finished endpoint",IF(IFERROR(INDEX('Items'!$AI$6:$AI$1005,MATCH(T1365,'Items'!$A$6:$A$1005,0)),"MISSING ID")="Currency","Currency / no refinement tier","Recovered output / tier not applicable")),IF(OR(IFERROR(INDEX('Crafting recipes'!$H$6:$H$1005,MATCH(J1365,'Crafting recipes'!$A$6:$A$1005,0)),"MISSING ID")="Unassigned",G1365="Unassigned"),"Tier unresolved",IF(IFERROR(VALUE(RIGHT(G1365,1))-VALUE(RIGHT(IFERROR(INDEX('Crafting recipes'!$H$6:$H$1005,MATCH(J1365,'Crafting recipes'!$A$6:$A$1005,0)),"MISSING ID"),1)),0)=1,IF(B1365=IFERROR(INDEX('Crafting recipes'!$H$6:$H$1005,MATCH(J1365,'Crafting recipes'!$A$6:$A$1005,0)),"MISSING ID"),"Advances one material tier","Lower-tier ingredient; route advances one tier"),"Needs tier review"))))))</x:f>
        <x:v>Finished endpoint</x:v>
      </x:c>
      <x:c r="S1365" s="4" t="str">
        <x:f>IFERROR(INDEX('Material routes'!$D$6:$D$2205,MATCH(U1365,'Material routes'!$A$6:$A$2205,0)),"MISSING ID")</x:f>
        <x:v>proposal.collection.ratchet_wheel</x:v>
      </x:c>
      <x:c r="T1365" s="4" t="str">
        <x:f>IFERROR(INDEX('Material routes'!$D$6:$D$2205,MATCH(V1365,'Material routes'!$A$6:$A$2205,0)),"MISSING ID")</x:f>
        <x:v>proposal.collection.wound_clock_spring_pack</x:v>
      </x:c>
      <x:c r="U1365" s="4" t="str">
        <x:v>design.collection.wound_clock_spring_pack.audit.extra.36</x:v>
      </x:c>
      <x:c r="V1365" s="4" t="str">
        <x:v>design.collection.wound_clock_spring_pack.out</x:v>
      </x:c>
    </x:row>
    <x:row r="1366" ht="64" customHeight="1">
      <x:c r="A1366" s="4" t="str">
        <x:f>IFERROR(INDEX('Material routes'!$E$6:$E$2205,MATCH(U1366,'Material routes'!$A$6:$A$2205,0)),"MISSING ID")</x:f>
        <x:v>Ratchet pawl</x:v>
      </x:c>
      <x:c r="B1366" s="4" t="str">
        <x:f>IFERROR(INDEX('Material routes'!$F$6:$F$2205,MATCH(U1366,'Material routes'!$A$6:$A$2205,0)),"MISSING ID")</x:f>
        <x:v>T4</x:v>
      </x:c>
      <x:c r="C1366" s="4" t="str">
        <x:f>IFERROR(INDEX('Material routes'!$H$6:$H$2205,MATCH(U1366,'Material routes'!$A$6:$A$2205,0)),"MISSING ID")</x:f>
        <x:v>Machine part</x:v>
      </x:c>
      <x:c r="D1366" s="4" t="str">
        <x:f>IFERROR(INDEX('Material routes'!$G$6:$G$2205,MATCH(U1366,'Material routes'!$A$6:$A$2205,0)),"MISSING ID")</x:f>
        <x:v>Crafting components</x:v>
      </x:c>
      <x:c r="E1366" s="4" t="str">
        <x:f>IFERROR(INDEX('Material routes'!$C$6:$C$2205,MATCH(U1366,'Material routes'!$A$6:$A$2205,0)),"MISSING ID")</x:f>
        <x:v>Ingredient candidate</x:v>
      </x:c>
      <x:c r="F1366" s="4" t="str">
        <x:f>IFERROR(INDEX('Material routes'!$E$6:$E$2205,MATCH(V1366,'Material routes'!$A$6:$A$2205,0)),"MISSING ID")</x:f>
        <x:v>Wound clock-spring pack</x:v>
      </x:c>
      <x:c r="G1366" s="4" t="str">
        <x:f>IFERROR(INDEX('Material routes'!$F$6:$F$2205,MATCH(V1366,'Material routes'!$A$6:$A$2205,0)),"MISSING ID")</x:f>
        <x:v>Not applicable</x:v>
      </x:c>
      <x:c r="H1366" s="4" t="str">
        <x:f>IFERROR(INDEX('Material routes'!$H$6:$H$2205,MATCH(V1366,'Material routes'!$A$6:$A$2205,0)),"MISSING ID")</x:f>
        <x:v>Energy storage</x:v>
      </x:c>
      <x:c r="I1366" s="4" t="str">
        <x:f>IFERROR(INDEX('Material routes'!$G$6:$G$2205,MATCH(V1366,'Material routes'!$A$6:$A$2205,0)),"MISSING ID")</x:f>
        <x:v>Crafting components</x:v>
      </x:c>
      <x:c r="J1366" s="4" t="str">
        <x:f>IFERROR(INDEX('Material routes'!$B$6:$B$2205,MATCH(U1366,'Material routes'!$A$6:$A$2205,0)),"MISSING ID")</x:f>
        <x:v>design.collection.wound_clock_spring_pack</x:v>
      </x:c>
      <x:c r="K1366" s="4" t="str">
        <x:f>IFERROR(INDEX('Crafting recipes'!$C$6:$C$1005,MATCH(J1366,'Crafting recipes'!$A$6:$A$1005,0)),"MISSING ID")</x:f>
        <x:v>Finished-item crafting</x:v>
      </x:c>
      <x:c r="L1366" s="4" t="str">
        <x:f>IFERROR(INDEX('Material routes'!$K$6:$K$2205,MATCH(U1366,'Material routes'!$A$6:$A$2205,0)),"MISSING ID")</x:f>
        <x:v>Proposal</x:v>
      </x:c>
      <x:c r="M1366" s="4" t="str">
        <x:f>IFERROR(INDEX('Material routes'!$M$6:$M$2205,MATCH(U1366,'Material routes'!$A$6:$A$2205,0)),"MISSING ID")</x:f>
        <x:v>Partial proposal</x:v>
      </x:c>
      <x:c r="N1366" s="4"/>
      <x:c r="O1366" s="4" t="str">
        <x:f>IFERROR(INDEX('Material routes'!$J$6:$J$2205,MATCH(U1366,'Material routes'!$A$6:$A$2205,0)),"MISSING ID")</x:f>
        <x:v>Unspecified</x:v>
      </x:c>
      <x:c r="P1366" s="4"/>
      <x:c r="Q1366" s="4" t="str">
        <x:f>IFERROR(INDEX('Material routes'!$J$6:$J$2205,MATCH(V1366,'Material routes'!$A$6:$A$2205,0)),"MISSING ID")</x:f>
        <x:v>Unspecified</x:v>
      </x:c>
      <x:c r="R1366" s="4" t="str">
        <x:f>IF(L1366="Withheld","Withheld premise",IF(E1366="Tool candidate","Reusable prerequisite",IF(K1366="Raw entry preparation","Entry-resource preparation",IF(G1366="Not applicable",IF(IFERROR(INDEX('Items'!$AI$6:$AI$1005,MATCH(T1366,'Items'!$A$6:$A$1005,0)),"MISSING ID")="Finished item","Finished endpoint",IF(IFERROR(INDEX('Items'!$AI$6:$AI$1005,MATCH(T1366,'Items'!$A$6:$A$1005,0)),"MISSING ID")="Currency","Currency / no refinement tier","Recovered output / tier not applicable")),IF(OR(IFERROR(INDEX('Crafting recipes'!$H$6:$H$1005,MATCH(J1366,'Crafting recipes'!$A$6:$A$1005,0)),"MISSING ID")="Unassigned",G1366="Unassigned"),"Tier unresolved",IF(IFERROR(VALUE(RIGHT(G1366,1))-VALUE(RIGHT(IFERROR(INDEX('Crafting recipes'!$H$6:$H$1005,MATCH(J1366,'Crafting recipes'!$A$6:$A$1005,0)),"MISSING ID"),1)),0)=1,IF(B1366=IFERROR(INDEX('Crafting recipes'!$H$6:$H$1005,MATCH(J1366,'Crafting recipes'!$A$6:$A$1005,0)),"MISSING ID"),"Advances one material tier","Lower-tier ingredient; route advances one tier"),"Needs tier review"))))))</x:f>
        <x:v>Finished endpoint</x:v>
      </x:c>
      <x:c r="S1366" s="4" t="str">
        <x:f>IFERROR(INDEX('Material routes'!$D$6:$D$2205,MATCH(U1366,'Material routes'!$A$6:$A$2205,0)),"MISSING ID")</x:f>
        <x:v>proposal.collection.ratchet_pawl</x:v>
      </x:c>
      <x:c r="T1366" s="4" t="str">
        <x:f>IFERROR(INDEX('Material routes'!$D$6:$D$2205,MATCH(V1366,'Material routes'!$A$6:$A$2205,0)),"MISSING ID")</x:f>
        <x:v>proposal.collection.wound_clock_spring_pack</x:v>
      </x:c>
      <x:c r="U1366" s="4" t="str">
        <x:v>design.collection.wound_clock_spring_pack.audit.extra.37</x:v>
      </x:c>
      <x:c r="V1366" s="4" t="str">
        <x:v>design.collection.wound_clock_spring_pack.out</x:v>
      </x:c>
    </x:row>
    <x:row r="1367" ht="64" customHeight="1">
      <x:c r="A1367" s="4" t="str">
        <x:f>IFERROR(INDEX('Material routes'!$E$6:$E$2205,MATCH(U1367,'Material routes'!$A$6:$A$2205,0)),"MISSING ID")</x:f>
        <x:v>Keyed drive shaft</x:v>
      </x:c>
      <x:c r="B1367" s="4" t="str">
        <x:f>IFERROR(INDEX('Material routes'!$F$6:$F$2205,MATCH(U1367,'Material routes'!$A$6:$A$2205,0)),"MISSING ID")</x:f>
        <x:v>T3</x:v>
      </x:c>
      <x:c r="C1367" s="4" t="str">
        <x:f>IFERROR(INDEX('Material routes'!$H$6:$H$2205,MATCH(U1367,'Material routes'!$A$6:$A$2205,0)),"MISSING ID")</x:f>
        <x:v>Machine part</x:v>
      </x:c>
      <x:c r="D1367" s="4" t="str">
        <x:f>IFERROR(INDEX('Material routes'!$G$6:$G$2205,MATCH(U1367,'Material routes'!$A$6:$A$2205,0)),"MISSING ID")</x:f>
        <x:v>Crafting components</x:v>
      </x:c>
      <x:c r="E1367" s="4" t="str">
        <x:f>IFERROR(INDEX('Material routes'!$C$6:$C$2205,MATCH(U1367,'Material routes'!$A$6:$A$2205,0)),"MISSING ID")</x:f>
        <x:v>Ingredient candidate</x:v>
      </x:c>
      <x:c r="F1367" s="4" t="str">
        <x:f>IFERROR(INDEX('Material routes'!$E$6:$E$2205,MATCH(V1367,'Material routes'!$A$6:$A$2205,0)),"MISSING ID")</x:f>
        <x:v>Wound clock-spring pack</x:v>
      </x:c>
      <x:c r="G1367" s="4" t="str">
        <x:f>IFERROR(INDEX('Material routes'!$F$6:$F$2205,MATCH(V1367,'Material routes'!$A$6:$A$2205,0)),"MISSING ID")</x:f>
        <x:v>Not applicable</x:v>
      </x:c>
      <x:c r="H1367" s="4" t="str">
        <x:f>IFERROR(INDEX('Material routes'!$H$6:$H$2205,MATCH(V1367,'Material routes'!$A$6:$A$2205,0)),"MISSING ID")</x:f>
        <x:v>Energy storage</x:v>
      </x:c>
      <x:c r="I1367" s="4" t="str">
        <x:f>IFERROR(INDEX('Material routes'!$G$6:$G$2205,MATCH(V1367,'Material routes'!$A$6:$A$2205,0)),"MISSING ID")</x:f>
        <x:v>Crafting components</x:v>
      </x:c>
      <x:c r="J1367" s="4" t="str">
        <x:f>IFERROR(INDEX('Material routes'!$B$6:$B$2205,MATCH(U1367,'Material routes'!$A$6:$A$2205,0)),"MISSING ID")</x:f>
        <x:v>design.collection.wound_clock_spring_pack</x:v>
      </x:c>
      <x:c r="K1367" s="4" t="str">
        <x:f>IFERROR(INDEX('Crafting recipes'!$C$6:$C$1005,MATCH(J1367,'Crafting recipes'!$A$6:$A$1005,0)),"MISSING ID")</x:f>
        <x:v>Finished-item crafting</x:v>
      </x:c>
      <x:c r="L1367" s="4" t="str">
        <x:f>IFERROR(INDEX('Material routes'!$K$6:$K$2205,MATCH(U1367,'Material routes'!$A$6:$A$2205,0)),"MISSING ID")</x:f>
        <x:v>Proposal</x:v>
      </x:c>
      <x:c r="M1367" s="4" t="str">
        <x:f>IFERROR(INDEX('Material routes'!$M$6:$M$2205,MATCH(U1367,'Material routes'!$A$6:$A$2205,0)),"MISSING ID")</x:f>
        <x:v>Partial proposal</x:v>
      </x:c>
      <x:c r="N1367" s="4"/>
      <x:c r="O1367" s="4" t="str">
        <x:f>IFERROR(INDEX('Material routes'!$J$6:$J$2205,MATCH(U1367,'Material routes'!$A$6:$A$2205,0)),"MISSING ID")</x:f>
        <x:v>Unspecified</x:v>
      </x:c>
      <x:c r="P1367" s="4"/>
      <x:c r="Q1367" s="4" t="str">
        <x:f>IFERROR(INDEX('Material routes'!$J$6:$J$2205,MATCH(V1367,'Material routes'!$A$6:$A$2205,0)),"MISSING ID")</x:f>
        <x:v>Unspecified</x:v>
      </x:c>
      <x:c r="R1367" s="4" t="str">
        <x:f>IF(L1367="Withheld","Withheld premise",IF(E1367="Tool candidate","Reusable prerequisite",IF(K1367="Raw entry preparation","Entry-resource preparation",IF(G1367="Not applicable",IF(IFERROR(INDEX('Items'!$AI$6:$AI$1005,MATCH(T1367,'Items'!$A$6:$A$1005,0)),"MISSING ID")="Finished item","Finished endpoint",IF(IFERROR(INDEX('Items'!$AI$6:$AI$1005,MATCH(T1367,'Items'!$A$6:$A$1005,0)),"MISSING ID")="Currency","Currency / no refinement tier","Recovered output / tier not applicable")),IF(OR(IFERROR(INDEX('Crafting recipes'!$H$6:$H$1005,MATCH(J1367,'Crafting recipes'!$A$6:$A$1005,0)),"MISSING ID")="Unassigned",G1367="Unassigned"),"Tier unresolved",IF(IFERROR(VALUE(RIGHT(G1367,1))-VALUE(RIGHT(IFERROR(INDEX('Crafting recipes'!$H$6:$H$1005,MATCH(J1367,'Crafting recipes'!$A$6:$A$1005,0)),"MISSING ID"),1)),0)=1,IF(B1367=IFERROR(INDEX('Crafting recipes'!$H$6:$H$1005,MATCH(J1367,'Crafting recipes'!$A$6:$A$1005,0)),"MISSING ID"),"Advances one material tier","Lower-tier ingredient; route advances one tier"),"Needs tier review"))))))</x:f>
        <x:v>Finished endpoint</x:v>
      </x:c>
      <x:c r="S1367" s="4" t="str">
        <x:f>IFERROR(INDEX('Material routes'!$D$6:$D$2205,MATCH(U1367,'Material routes'!$A$6:$A$2205,0)),"MISSING ID")</x:f>
        <x:v>proposal.collection.keyed_drive_shaft</x:v>
      </x:c>
      <x:c r="T1367" s="4" t="str">
        <x:f>IFERROR(INDEX('Material routes'!$D$6:$D$2205,MATCH(V1367,'Material routes'!$A$6:$A$2205,0)),"MISSING ID")</x:f>
        <x:v>proposal.collection.wound_clock_spring_pack</x:v>
      </x:c>
      <x:c r="U1367" s="4" t="str">
        <x:v>design.collection.wound_clock_spring_pack.audit.extra.38</x:v>
      </x:c>
      <x:c r="V1367" s="4" t="str">
        <x:v>design.collection.wound_clock_spring_pack.out</x:v>
      </x:c>
    </x:row>
    <x:row r="1368" ht="64" customHeight="1">
      <x:c r="A1368" s="4" t="str">
        <x:f>IFERROR(INDEX('Material routes'!$E$6:$E$2205,MATCH(U1368,'Material routes'!$A$6:$A$2205,0)),"MISSING ID")</x:f>
        <x:v>Fitted machine casing</x:v>
      </x:c>
      <x:c r="B1368" s="4" t="str">
        <x:f>IFERROR(INDEX('Material routes'!$F$6:$F$2205,MATCH(U1368,'Material routes'!$A$6:$A$2205,0)),"MISSING ID")</x:f>
        <x:v>T3</x:v>
      </x:c>
      <x:c r="C1368" s="4" t="str">
        <x:f>IFERROR(INDEX('Material routes'!$H$6:$H$2205,MATCH(U1368,'Material routes'!$A$6:$A$2205,0)),"MISSING ID")</x:f>
        <x:v>Crafting component</x:v>
      </x:c>
      <x:c r="D1368" s="4" t="str">
        <x:f>IFERROR(INDEX('Material routes'!$G$6:$G$2205,MATCH(U1368,'Material routes'!$A$6:$A$2205,0)),"MISSING ID")</x:f>
        <x:v>Crafting components</x:v>
      </x:c>
      <x:c r="E1368" s="4" t="str">
        <x:f>IFERROR(INDEX('Material routes'!$C$6:$C$2205,MATCH(U1368,'Material routes'!$A$6:$A$2205,0)),"MISSING ID")</x:f>
        <x:v>Ingredient candidate</x:v>
      </x:c>
      <x:c r="F1368" s="4" t="str">
        <x:f>IFERROR(INDEX('Material routes'!$E$6:$E$2205,MATCH(V1368,'Material routes'!$A$6:$A$2205,0)),"MISSING ID")</x:f>
        <x:v>Wound clock-spring pack</x:v>
      </x:c>
      <x:c r="G1368" s="4" t="str">
        <x:f>IFERROR(INDEX('Material routes'!$F$6:$F$2205,MATCH(V1368,'Material routes'!$A$6:$A$2205,0)),"MISSING ID")</x:f>
        <x:v>Not applicable</x:v>
      </x:c>
      <x:c r="H1368" s="4" t="str">
        <x:f>IFERROR(INDEX('Material routes'!$H$6:$H$2205,MATCH(V1368,'Material routes'!$A$6:$A$2205,0)),"MISSING ID")</x:f>
        <x:v>Energy storage</x:v>
      </x:c>
      <x:c r="I1368" s="4" t="str">
        <x:f>IFERROR(INDEX('Material routes'!$G$6:$G$2205,MATCH(V1368,'Material routes'!$A$6:$A$2205,0)),"MISSING ID")</x:f>
        <x:v>Crafting components</x:v>
      </x:c>
      <x:c r="J1368" s="4" t="str">
        <x:f>IFERROR(INDEX('Material routes'!$B$6:$B$2205,MATCH(U1368,'Material routes'!$A$6:$A$2205,0)),"MISSING ID")</x:f>
        <x:v>design.collection.wound_clock_spring_pack</x:v>
      </x:c>
      <x:c r="K1368" s="4" t="str">
        <x:f>IFERROR(INDEX('Crafting recipes'!$C$6:$C$1005,MATCH(J1368,'Crafting recipes'!$A$6:$A$1005,0)),"MISSING ID")</x:f>
        <x:v>Finished-item crafting</x:v>
      </x:c>
      <x:c r="L1368" s="4" t="str">
        <x:f>IFERROR(INDEX('Material routes'!$K$6:$K$2205,MATCH(U1368,'Material routes'!$A$6:$A$2205,0)),"MISSING ID")</x:f>
        <x:v>Proposal</x:v>
      </x:c>
      <x:c r="M1368" s="4" t="str">
        <x:f>IFERROR(INDEX('Material routes'!$M$6:$M$2205,MATCH(U1368,'Material routes'!$A$6:$A$2205,0)),"MISSING ID")</x:f>
        <x:v>Partial proposal</x:v>
      </x:c>
      <x:c r="N1368" s="4"/>
      <x:c r="O1368" s="4" t="str">
        <x:f>IFERROR(INDEX('Material routes'!$J$6:$J$2205,MATCH(U1368,'Material routes'!$A$6:$A$2205,0)),"MISSING ID")</x:f>
        <x:v>Unspecified</x:v>
      </x:c>
      <x:c r="P1368" s="4"/>
      <x:c r="Q1368" s="4" t="str">
        <x:f>IFERROR(INDEX('Material routes'!$J$6:$J$2205,MATCH(V1368,'Material routes'!$A$6:$A$2205,0)),"MISSING ID")</x:f>
        <x:v>Unspecified</x:v>
      </x:c>
      <x:c r="R1368" s="4" t="str">
        <x:f>IF(L1368="Withheld","Withheld premise",IF(E1368="Tool candidate","Reusable prerequisite",IF(K1368="Raw entry preparation","Entry-resource preparation",IF(G1368="Not applicable",IF(IFERROR(INDEX('Items'!$AI$6:$AI$1005,MATCH(T1368,'Items'!$A$6:$A$1005,0)),"MISSING ID")="Finished item","Finished endpoint",IF(IFERROR(INDEX('Items'!$AI$6:$AI$1005,MATCH(T1368,'Items'!$A$6:$A$1005,0)),"MISSING ID")="Currency","Currency / no refinement tier","Recovered output / tier not applicable")),IF(OR(IFERROR(INDEX('Crafting recipes'!$H$6:$H$1005,MATCH(J1368,'Crafting recipes'!$A$6:$A$1005,0)),"MISSING ID")="Unassigned",G1368="Unassigned"),"Tier unresolved",IF(IFERROR(VALUE(RIGHT(G1368,1))-VALUE(RIGHT(IFERROR(INDEX('Crafting recipes'!$H$6:$H$1005,MATCH(J1368,'Crafting recipes'!$A$6:$A$1005,0)),"MISSING ID"),1)),0)=1,IF(B1368=IFERROR(INDEX('Crafting recipes'!$H$6:$H$1005,MATCH(J1368,'Crafting recipes'!$A$6:$A$1005,0)),"MISSING ID"),"Advances one material tier","Lower-tier ingredient; route advances one tier"),"Needs tier review"))))))</x:f>
        <x:v>Finished endpoint</x:v>
      </x:c>
      <x:c r="S1368" s="4" t="str">
        <x:f>IFERROR(INDEX('Material routes'!$D$6:$D$2205,MATCH(U1368,'Material routes'!$A$6:$A$2205,0)),"MISSING ID")</x:f>
        <x:v>proposal.audit.fitted_machine_casing</x:v>
      </x:c>
      <x:c r="T1368" s="4" t="str">
        <x:f>IFERROR(INDEX('Material routes'!$D$6:$D$2205,MATCH(V1368,'Material routes'!$A$6:$A$2205,0)),"MISSING ID")</x:f>
        <x:v>proposal.collection.wound_clock_spring_pack</x:v>
      </x:c>
      <x:c r="U1368" s="4" t="str">
        <x:v>design.collection.wound_clock_spring_pack.audit.extra.39</x:v>
      </x:c>
      <x:c r="V1368" s="4" t="str">
        <x:v>design.collection.wound_clock_spring_pack.out</x:v>
      </x:c>
    </x:row>
    <x:row r="1369" ht="64" customHeight="1">
      <x:c r="A1369" s="4" t="str">
        <x:f>IFERROR(INDEX('Material routes'!$E$6:$E$2205,MATCH(U1369,'Material routes'!$A$6:$A$2205,0)),"MISSING ID")</x:f>
        <x:v>Ratchet pawl</x:v>
      </x:c>
      <x:c r="B1369" s="4" t="str">
        <x:f>IFERROR(INDEX('Material routes'!$F$6:$F$2205,MATCH(U1369,'Material routes'!$A$6:$A$2205,0)),"MISSING ID")</x:f>
        <x:v>T4</x:v>
      </x:c>
      <x:c r="C1369" s="4" t="str">
        <x:f>IFERROR(INDEX('Material routes'!$H$6:$H$2205,MATCH(U1369,'Material routes'!$A$6:$A$2205,0)),"MISSING ID")</x:f>
        <x:v>Machine part</x:v>
      </x:c>
      <x:c r="D1369" s="4" t="str">
        <x:f>IFERROR(INDEX('Material routes'!$G$6:$G$2205,MATCH(U1369,'Material routes'!$A$6:$A$2205,0)),"MISSING ID")</x:f>
        <x:v>Crafting components</x:v>
      </x:c>
      <x:c r="E1369" s="4" t="str">
        <x:f>IFERROR(INDEX('Material routes'!$C$6:$C$2205,MATCH(U1369,'Material routes'!$A$6:$A$2205,0)),"MISSING ID")</x:f>
        <x:v>Ingredient candidate</x:v>
      </x:c>
      <x:c r="F1369" s="4" t="str">
        <x:f>IFERROR(INDEX('Material routes'!$E$6:$E$2205,MATCH(V1369,'Material routes'!$A$6:$A$2205,0)),"MISSING ID")</x:f>
        <x:v>Torsion-spring accumulator</x:v>
      </x:c>
      <x:c r="G1369" s="4" t="str">
        <x:f>IFERROR(INDEX('Material routes'!$F$6:$F$2205,MATCH(V1369,'Material routes'!$A$6:$A$2205,0)),"MISSING ID")</x:f>
        <x:v>Not applicable</x:v>
      </x:c>
      <x:c r="H1369" s="4" t="str">
        <x:f>IFERROR(INDEX('Material routes'!$H$6:$H$2205,MATCH(V1369,'Material routes'!$A$6:$A$2205,0)),"MISSING ID")</x:f>
        <x:v>Energy storage</x:v>
      </x:c>
      <x:c r="I1369" s="4" t="str">
        <x:f>IFERROR(INDEX('Material routes'!$G$6:$G$2205,MATCH(V1369,'Material routes'!$A$6:$A$2205,0)),"MISSING ID")</x:f>
        <x:v>Crafting components</x:v>
      </x:c>
      <x:c r="J1369" s="4" t="str">
        <x:f>IFERROR(INDEX('Material routes'!$B$6:$B$2205,MATCH(U1369,'Material routes'!$A$6:$A$2205,0)),"MISSING ID")</x:f>
        <x:v>design.collection.torsion_spring_accumulator</x:v>
      </x:c>
      <x:c r="K1369" s="4" t="str">
        <x:f>IFERROR(INDEX('Crafting recipes'!$C$6:$C$1005,MATCH(J1369,'Crafting recipes'!$A$6:$A$1005,0)),"MISSING ID")</x:f>
        <x:v>Finished-item crafting</x:v>
      </x:c>
      <x:c r="L1369" s="4" t="str">
        <x:f>IFERROR(INDEX('Material routes'!$K$6:$K$2205,MATCH(U1369,'Material routes'!$A$6:$A$2205,0)),"MISSING ID")</x:f>
        <x:v>Proposal</x:v>
      </x:c>
      <x:c r="M1369" s="4" t="str">
        <x:f>IFERROR(INDEX('Material routes'!$M$6:$M$2205,MATCH(U1369,'Material routes'!$A$6:$A$2205,0)),"MISSING ID")</x:f>
        <x:v>Partial proposal</x:v>
      </x:c>
      <x:c r="N1369" s="4"/>
      <x:c r="O1369" s="4" t="str">
        <x:f>IFERROR(INDEX('Material routes'!$J$6:$J$2205,MATCH(U1369,'Material routes'!$A$6:$A$2205,0)),"MISSING ID")</x:f>
        <x:v>Unspecified</x:v>
      </x:c>
      <x:c r="P1369" s="4"/>
      <x:c r="Q1369" s="4" t="str">
        <x:f>IFERROR(INDEX('Material routes'!$J$6:$J$2205,MATCH(V1369,'Material routes'!$A$6:$A$2205,0)),"MISSING ID")</x:f>
        <x:v>Unspecified</x:v>
      </x:c>
      <x:c r="R1369" s="4" t="str">
        <x:f>IF(L1369="Withheld","Withheld premise",IF(E1369="Tool candidate","Reusable prerequisite",IF(K1369="Raw entry preparation","Entry-resource preparation",IF(G1369="Not applicable",IF(IFERROR(INDEX('Items'!$AI$6:$AI$1005,MATCH(T1369,'Items'!$A$6:$A$1005,0)),"MISSING ID")="Finished item","Finished endpoint",IF(IFERROR(INDEX('Items'!$AI$6:$AI$1005,MATCH(T1369,'Items'!$A$6:$A$1005,0)),"MISSING ID")="Currency","Currency / no refinement tier","Recovered output / tier not applicable")),IF(OR(IFERROR(INDEX('Crafting recipes'!$H$6:$H$1005,MATCH(J1369,'Crafting recipes'!$A$6:$A$1005,0)),"MISSING ID")="Unassigned",G1369="Unassigned"),"Tier unresolved",IF(IFERROR(VALUE(RIGHT(G1369,1))-VALUE(RIGHT(IFERROR(INDEX('Crafting recipes'!$H$6:$H$1005,MATCH(J1369,'Crafting recipes'!$A$6:$A$1005,0)),"MISSING ID"),1)),0)=1,IF(B1369=IFERROR(INDEX('Crafting recipes'!$H$6:$H$1005,MATCH(J1369,'Crafting recipes'!$A$6:$A$1005,0)),"MISSING ID"),"Advances one material tier","Lower-tier ingredient; route advances one tier"),"Needs tier review"))))))</x:f>
        <x:v>Finished endpoint</x:v>
      </x:c>
      <x:c r="S1369" s="4" t="str">
        <x:f>IFERROR(INDEX('Material routes'!$D$6:$D$2205,MATCH(U1369,'Material routes'!$A$6:$A$2205,0)),"MISSING ID")</x:f>
        <x:v>proposal.collection.ratchet_pawl</x:v>
      </x:c>
      <x:c r="T1369" s="4" t="str">
        <x:f>IFERROR(INDEX('Material routes'!$D$6:$D$2205,MATCH(V1369,'Material routes'!$A$6:$A$2205,0)),"MISSING ID")</x:f>
        <x:v>proposal.collection.torsion_spring_accumulator</x:v>
      </x:c>
      <x:c r="U1369" s="4" t="str">
        <x:v>design.collection.torsion_spring_accumulator.audit.extra.40</x:v>
      </x:c>
      <x:c r="V1369" s="4" t="str">
        <x:v>design.collection.torsion_spring_accumulator.out</x:v>
      </x:c>
    </x:row>
    <x:row r="1370" ht="64" customHeight="1">
      <x:c r="A1370" s="4" t="str">
        <x:f>IFERROR(INDEX('Material routes'!$E$6:$E$2205,MATCH(U1370,'Material routes'!$A$6:$A$2205,0)),"MISSING ID")</x:f>
        <x:v>Keyed drive shaft</x:v>
      </x:c>
      <x:c r="B1370" s="4" t="str">
        <x:f>IFERROR(INDEX('Material routes'!$F$6:$F$2205,MATCH(U1370,'Material routes'!$A$6:$A$2205,0)),"MISSING ID")</x:f>
        <x:v>T3</x:v>
      </x:c>
      <x:c r="C1370" s="4" t="str">
        <x:f>IFERROR(INDEX('Material routes'!$H$6:$H$2205,MATCH(U1370,'Material routes'!$A$6:$A$2205,0)),"MISSING ID")</x:f>
        <x:v>Machine part</x:v>
      </x:c>
      <x:c r="D1370" s="4" t="str">
        <x:f>IFERROR(INDEX('Material routes'!$G$6:$G$2205,MATCH(U1370,'Material routes'!$A$6:$A$2205,0)),"MISSING ID")</x:f>
        <x:v>Crafting components</x:v>
      </x:c>
      <x:c r="E1370" s="4" t="str">
        <x:f>IFERROR(INDEX('Material routes'!$C$6:$C$2205,MATCH(U1370,'Material routes'!$A$6:$A$2205,0)),"MISSING ID")</x:f>
        <x:v>Ingredient candidate</x:v>
      </x:c>
      <x:c r="F1370" s="4" t="str">
        <x:f>IFERROR(INDEX('Material routes'!$E$6:$E$2205,MATCH(V1370,'Material routes'!$A$6:$A$2205,0)),"MISSING ID")</x:f>
        <x:v>Torsion-spring accumulator</x:v>
      </x:c>
      <x:c r="G1370" s="4" t="str">
        <x:f>IFERROR(INDEX('Material routes'!$F$6:$F$2205,MATCH(V1370,'Material routes'!$A$6:$A$2205,0)),"MISSING ID")</x:f>
        <x:v>Not applicable</x:v>
      </x:c>
      <x:c r="H1370" s="4" t="str">
        <x:f>IFERROR(INDEX('Material routes'!$H$6:$H$2205,MATCH(V1370,'Material routes'!$A$6:$A$2205,0)),"MISSING ID")</x:f>
        <x:v>Energy storage</x:v>
      </x:c>
      <x:c r="I1370" s="4" t="str">
        <x:f>IFERROR(INDEX('Material routes'!$G$6:$G$2205,MATCH(V1370,'Material routes'!$A$6:$A$2205,0)),"MISSING ID")</x:f>
        <x:v>Crafting components</x:v>
      </x:c>
      <x:c r="J1370" s="4" t="str">
        <x:f>IFERROR(INDEX('Material routes'!$B$6:$B$2205,MATCH(U1370,'Material routes'!$A$6:$A$2205,0)),"MISSING ID")</x:f>
        <x:v>design.collection.torsion_spring_accumulator</x:v>
      </x:c>
      <x:c r="K1370" s="4" t="str">
        <x:f>IFERROR(INDEX('Crafting recipes'!$C$6:$C$1005,MATCH(J1370,'Crafting recipes'!$A$6:$A$1005,0)),"MISSING ID")</x:f>
        <x:v>Finished-item crafting</x:v>
      </x:c>
      <x:c r="L1370" s="4" t="str">
        <x:f>IFERROR(INDEX('Material routes'!$K$6:$K$2205,MATCH(U1370,'Material routes'!$A$6:$A$2205,0)),"MISSING ID")</x:f>
        <x:v>Proposal</x:v>
      </x:c>
      <x:c r="M1370" s="4" t="str">
        <x:f>IFERROR(INDEX('Material routes'!$M$6:$M$2205,MATCH(U1370,'Material routes'!$A$6:$A$2205,0)),"MISSING ID")</x:f>
        <x:v>Partial proposal</x:v>
      </x:c>
      <x:c r="N1370" s="4"/>
      <x:c r="O1370" s="4" t="str">
        <x:f>IFERROR(INDEX('Material routes'!$J$6:$J$2205,MATCH(U1370,'Material routes'!$A$6:$A$2205,0)),"MISSING ID")</x:f>
        <x:v>Unspecified</x:v>
      </x:c>
      <x:c r="P1370" s="4"/>
      <x:c r="Q1370" s="4" t="str">
        <x:f>IFERROR(INDEX('Material routes'!$J$6:$J$2205,MATCH(V1370,'Material routes'!$A$6:$A$2205,0)),"MISSING ID")</x:f>
        <x:v>Unspecified</x:v>
      </x:c>
      <x:c r="R1370" s="4" t="str">
        <x:f>IF(L1370="Withheld","Withheld premise",IF(E1370="Tool candidate","Reusable prerequisite",IF(K1370="Raw entry preparation","Entry-resource preparation",IF(G1370="Not applicable",IF(IFERROR(INDEX('Items'!$AI$6:$AI$1005,MATCH(T1370,'Items'!$A$6:$A$1005,0)),"MISSING ID")="Finished item","Finished endpoint",IF(IFERROR(INDEX('Items'!$AI$6:$AI$1005,MATCH(T1370,'Items'!$A$6:$A$1005,0)),"MISSING ID")="Currency","Currency / no refinement tier","Recovered output / tier not applicable")),IF(OR(IFERROR(INDEX('Crafting recipes'!$H$6:$H$1005,MATCH(J1370,'Crafting recipes'!$A$6:$A$1005,0)),"MISSING ID")="Unassigned",G1370="Unassigned"),"Tier unresolved",IF(IFERROR(VALUE(RIGHT(G1370,1))-VALUE(RIGHT(IFERROR(INDEX('Crafting recipes'!$H$6:$H$1005,MATCH(J1370,'Crafting recipes'!$A$6:$A$1005,0)),"MISSING ID"),1)),0)=1,IF(B1370=IFERROR(INDEX('Crafting recipes'!$H$6:$H$1005,MATCH(J1370,'Crafting recipes'!$A$6:$A$1005,0)),"MISSING ID"),"Advances one material tier","Lower-tier ingredient; route advances one tier"),"Needs tier review"))))))</x:f>
        <x:v>Finished endpoint</x:v>
      </x:c>
      <x:c r="S1370" s="4" t="str">
        <x:f>IFERROR(INDEX('Material routes'!$D$6:$D$2205,MATCH(U1370,'Material routes'!$A$6:$A$2205,0)),"MISSING ID")</x:f>
        <x:v>proposal.collection.keyed_drive_shaft</x:v>
      </x:c>
      <x:c r="T1370" s="4" t="str">
        <x:f>IFERROR(INDEX('Material routes'!$D$6:$D$2205,MATCH(V1370,'Material routes'!$A$6:$A$2205,0)),"MISSING ID")</x:f>
        <x:v>proposal.collection.torsion_spring_accumulator</x:v>
      </x:c>
      <x:c r="U1370" s="4" t="str">
        <x:v>design.collection.torsion_spring_accumulator.audit.extra.41</x:v>
      </x:c>
      <x:c r="V1370" s="4" t="str">
        <x:v>design.collection.torsion_spring_accumulator.out</x:v>
      </x:c>
    </x:row>
    <x:row r="1371" ht="64" customHeight="1">
      <x:c r="A1371" s="4" t="str">
        <x:f>IFERROR(INDEX('Material routes'!$E$6:$E$2205,MATCH(U1371,'Material routes'!$A$6:$A$2205,0)),"MISSING ID")</x:f>
        <x:v>Fitted machine casing</x:v>
      </x:c>
      <x:c r="B1371" s="4" t="str">
        <x:f>IFERROR(INDEX('Material routes'!$F$6:$F$2205,MATCH(U1371,'Material routes'!$A$6:$A$2205,0)),"MISSING ID")</x:f>
        <x:v>T3</x:v>
      </x:c>
      <x:c r="C1371" s="4" t="str">
        <x:f>IFERROR(INDEX('Material routes'!$H$6:$H$2205,MATCH(U1371,'Material routes'!$A$6:$A$2205,0)),"MISSING ID")</x:f>
        <x:v>Crafting component</x:v>
      </x:c>
      <x:c r="D1371" s="4" t="str">
        <x:f>IFERROR(INDEX('Material routes'!$G$6:$G$2205,MATCH(U1371,'Material routes'!$A$6:$A$2205,0)),"MISSING ID")</x:f>
        <x:v>Crafting components</x:v>
      </x:c>
      <x:c r="E1371" s="4" t="str">
        <x:f>IFERROR(INDEX('Material routes'!$C$6:$C$2205,MATCH(U1371,'Material routes'!$A$6:$A$2205,0)),"MISSING ID")</x:f>
        <x:v>Ingredient candidate</x:v>
      </x:c>
      <x:c r="F1371" s="4" t="str">
        <x:f>IFERROR(INDEX('Material routes'!$E$6:$E$2205,MATCH(V1371,'Material routes'!$A$6:$A$2205,0)),"MISSING ID")</x:f>
        <x:v>Torsion-spring accumulator</x:v>
      </x:c>
      <x:c r="G1371" s="4" t="str">
        <x:f>IFERROR(INDEX('Material routes'!$F$6:$F$2205,MATCH(V1371,'Material routes'!$A$6:$A$2205,0)),"MISSING ID")</x:f>
        <x:v>Not applicable</x:v>
      </x:c>
      <x:c r="H1371" s="4" t="str">
        <x:f>IFERROR(INDEX('Material routes'!$H$6:$H$2205,MATCH(V1371,'Material routes'!$A$6:$A$2205,0)),"MISSING ID")</x:f>
        <x:v>Energy storage</x:v>
      </x:c>
      <x:c r="I1371" s="4" t="str">
        <x:f>IFERROR(INDEX('Material routes'!$G$6:$G$2205,MATCH(V1371,'Material routes'!$A$6:$A$2205,0)),"MISSING ID")</x:f>
        <x:v>Crafting components</x:v>
      </x:c>
      <x:c r="J1371" s="4" t="str">
        <x:f>IFERROR(INDEX('Material routes'!$B$6:$B$2205,MATCH(U1371,'Material routes'!$A$6:$A$2205,0)),"MISSING ID")</x:f>
        <x:v>design.collection.torsion_spring_accumulator</x:v>
      </x:c>
      <x:c r="K1371" s="4" t="str">
        <x:f>IFERROR(INDEX('Crafting recipes'!$C$6:$C$1005,MATCH(J1371,'Crafting recipes'!$A$6:$A$1005,0)),"MISSING ID")</x:f>
        <x:v>Finished-item crafting</x:v>
      </x:c>
      <x:c r="L1371" s="4" t="str">
        <x:f>IFERROR(INDEX('Material routes'!$K$6:$K$2205,MATCH(U1371,'Material routes'!$A$6:$A$2205,0)),"MISSING ID")</x:f>
        <x:v>Proposal</x:v>
      </x:c>
      <x:c r="M1371" s="4" t="str">
        <x:f>IFERROR(INDEX('Material routes'!$M$6:$M$2205,MATCH(U1371,'Material routes'!$A$6:$A$2205,0)),"MISSING ID")</x:f>
        <x:v>Partial proposal</x:v>
      </x:c>
      <x:c r="N1371" s="4"/>
      <x:c r="O1371" s="4" t="str">
        <x:f>IFERROR(INDEX('Material routes'!$J$6:$J$2205,MATCH(U1371,'Material routes'!$A$6:$A$2205,0)),"MISSING ID")</x:f>
        <x:v>Unspecified</x:v>
      </x:c>
      <x:c r="P1371" s="4"/>
      <x:c r="Q1371" s="4" t="str">
        <x:f>IFERROR(INDEX('Material routes'!$J$6:$J$2205,MATCH(V1371,'Material routes'!$A$6:$A$2205,0)),"MISSING ID")</x:f>
        <x:v>Unspecified</x:v>
      </x:c>
      <x:c r="R1371" s="4" t="str">
        <x:f>IF(L1371="Withheld","Withheld premise",IF(E1371="Tool candidate","Reusable prerequisite",IF(K1371="Raw entry preparation","Entry-resource preparation",IF(G1371="Not applicable",IF(IFERROR(INDEX('Items'!$AI$6:$AI$1005,MATCH(T1371,'Items'!$A$6:$A$1005,0)),"MISSING ID")="Finished item","Finished endpoint",IF(IFERROR(INDEX('Items'!$AI$6:$AI$1005,MATCH(T1371,'Items'!$A$6:$A$1005,0)),"MISSING ID")="Currency","Currency / no refinement tier","Recovered output / tier not applicable")),IF(OR(IFERROR(INDEX('Crafting recipes'!$H$6:$H$1005,MATCH(J1371,'Crafting recipes'!$A$6:$A$1005,0)),"MISSING ID")="Unassigned",G1371="Unassigned"),"Tier unresolved",IF(IFERROR(VALUE(RIGHT(G1371,1))-VALUE(RIGHT(IFERROR(INDEX('Crafting recipes'!$H$6:$H$1005,MATCH(J1371,'Crafting recipes'!$A$6:$A$1005,0)),"MISSING ID"),1)),0)=1,IF(B1371=IFERROR(INDEX('Crafting recipes'!$H$6:$H$1005,MATCH(J1371,'Crafting recipes'!$A$6:$A$1005,0)),"MISSING ID"),"Advances one material tier","Lower-tier ingredient; route advances one tier"),"Needs tier review"))))))</x:f>
        <x:v>Finished endpoint</x:v>
      </x:c>
      <x:c r="S1371" s="4" t="str">
        <x:f>IFERROR(INDEX('Material routes'!$D$6:$D$2205,MATCH(U1371,'Material routes'!$A$6:$A$2205,0)),"MISSING ID")</x:f>
        <x:v>proposal.audit.fitted_machine_casing</x:v>
      </x:c>
      <x:c r="T1371" s="4" t="str">
        <x:f>IFERROR(INDEX('Material routes'!$D$6:$D$2205,MATCH(V1371,'Material routes'!$A$6:$A$2205,0)),"MISSING ID")</x:f>
        <x:v>proposal.collection.torsion_spring_accumulator</x:v>
      </x:c>
      <x:c r="U1371" s="4" t="str">
        <x:v>design.collection.torsion_spring_accumulator.audit.extra.42</x:v>
      </x:c>
      <x:c r="V1371" s="4" t="str">
        <x:v>design.collection.torsion_spring_accumulator.out</x:v>
      </x:c>
    </x:row>
    <x:row r="1372" ht="64" customHeight="1">
      <x:c r="A1372" s="4" t="str">
        <x:f>IFERROR(INDEX('Material routes'!$E$6:$E$2205,MATCH(U1372,'Material routes'!$A$6:$A$2205,0)),"MISSING ID")</x:f>
        <x:v>Brake drum</x:v>
      </x:c>
      <x:c r="B1372" s="4" t="str">
        <x:f>IFERROR(INDEX('Material routes'!$F$6:$F$2205,MATCH(U1372,'Material routes'!$A$6:$A$2205,0)),"MISSING ID")</x:f>
        <x:v>T3</x:v>
      </x:c>
      <x:c r="C1372" s="4" t="str">
        <x:f>IFERROR(INDEX('Material routes'!$H$6:$H$2205,MATCH(U1372,'Material routes'!$A$6:$A$2205,0)),"MISSING ID")</x:f>
        <x:v>Machine part</x:v>
      </x:c>
      <x:c r="D1372" s="4" t="str">
        <x:f>IFERROR(INDEX('Material routes'!$G$6:$G$2205,MATCH(U1372,'Material routes'!$A$6:$A$2205,0)),"MISSING ID")</x:f>
        <x:v>Crafting components</x:v>
      </x:c>
      <x:c r="E1372" s="4" t="str">
        <x:f>IFERROR(INDEX('Material routes'!$C$6:$C$2205,MATCH(U1372,'Material routes'!$A$6:$A$2205,0)),"MISSING ID")</x:f>
        <x:v>Ingredient candidate</x:v>
      </x:c>
      <x:c r="F1372" s="4" t="str">
        <x:f>IFERROR(INDEX('Material routes'!$E$6:$E$2205,MATCH(V1372,'Material routes'!$A$6:$A$2205,0)),"MISSING ID")</x:f>
        <x:v>Lifted counterweight module</x:v>
      </x:c>
      <x:c r="G1372" s="4" t="str">
        <x:f>IFERROR(INDEX('Material routes'!$F$6:$F$2205,MATCH(V1372,'Material routes'!$A$6:$A$2205,0)),"MISSING ID")</x:f>
        <x:v>Not applicable</x:v>
      </x:c>
      <x:c r="H1372" s="4" t="str">
        <x:f>IFERROR(INDEX('Material routes'!$H$6:$H$2205,MATCH(V1372,'Material routes'!$A$6:$A$2205,0)),"MISSING ID")</x:f>
        <x:v>Energy storage</x:v>
      </x:c>
      <x:c r="I1372" s="4" t="str">
        <x:f>IFERROR(INDEX('Material routes'!$G$6:$G$2205,MATCH(V1372,'Material routes'!$A$6:$A$2205,0)),"MISSING ID")</x:f>
        <x:v>Crafting components</x:v>
      </x:c>
      <x:c r="J1372" s="4" t="str">
        <x:f>IFERROR(INDEX('Material routes'!$B$6:$B$2205,MATCH(U1372,'Material routes'!$A$6:$A$2205,0)),"MISSING ID")</x:f>
        <x:v>design.collection.lifted_counterweight_module</x:v>
      </x:c>
      <x:c r="K1372" s="4" t="str">
        <x:f>IFERROR(INDEX('Crafting recipes'!$C$6:$C$1005,MATCH(J1372,'Crafting recipes'!$A$6:$A$1005,0)),"MISSING ID")</x:f>
        <x:v>Finished-item crafting</x:v>
      </x:c>
      <x:c r="L1372" s="4" t="str">
        <x:f>IFERROR(INDEX('Material routes'!$K$6:$K$2205,MATCH(U1372,'Material routes'!$A$6:$A$2205,0)),"MISSING ID")</x:f>
        <x:v>Proposal</x:v>
      </x:c>
      <x:c r="M1372" s="4" t="str">
        <x:f>IFERROR(INDEX('Material routes'!$M$6:$M$2205,MATCH(U1372,'Material routes'!$A$6:$A$2205,0)),"MISSING ID")</x:f>
        <x:v>Partial proposal</x:v>
      </x:c>
      <x:c r="N1372" s="4"/>
      <x:c r="O1372" s="4" t="str">
        <x:f>IFERROR(INDEX('Material routes'!$J$6:$J$2205,MATCH(U1372,'Material routes'!$A$6:$A$2205,0)),"MISSING ID")</x:f>
        <x:v>Unspecified</x:v>
      </x:c>
      <x:c r="P1372" s="4"/>
      <x:c r="Q1372" s="4" t="str">
        <x:f>IFERROR(INDEX('Material routes'!$J$6:$J$2205,MATCH(V1372,'Material routes'!$A$6:$A$2205,0)),"MISSING ID")</x:f>
        <x:v>Unspecified</x:v>
      </x:c>
      <x:c r="R1372" s="4" t="str">
        <x:f>IF(L1372="Withheld","Withheld premise",IF(E1372="Tool candidate","Reusable prerequisite",IF(K1372="Raw entry preparation","Entry-resource preparation",IF(G1372="Not applicable",IF(IFERROR(INDEX('Items'!$AI$6:$AI$1005,MATCH(T1372,'Items'!$A$6:$A$1005,0)),"MISSING ID")="Finished item","Finished endpoint",IF(IFERROR(INDEX('Items'!$AI$6:$AI$1005,MATCH(T1372,'Items'!$A$6:$A$1005,0)),"MISSING ID")="Currency","Currency / no refinement tier","Recovered output / tier not applicable")),IF(OR(IFERROR(INDEX('Crafting recipes'!$H$6:$H$1005,MATCH(J1372,'Crafting recipes'!$A$6:$A$1005,0)),"MISSING ID")="Unassigned",G1372="Unassigned"),"Tier unresolved",IF(IFERROR(VALUE(RIGHT(G1372,1))-VALUE(RIGHT(IFERROR(INDEX('Crafting recipes'!$H$6:$H$1005,MATCH(J1372,'Crafting recipes'!$A$6:$A$1005,0)),"MISSING ID"),1)),0)=1,IF(B1372=IFERROR(INDEX('Crafting recipes'!$H$6:$H$1005,MATCH(J1372,'Crafting recipes'!$A$6:$A$1005,0)),"MISSING ID"),"Advances one material tier","Lower-tier ingredient; route advances one tier"),"Needs tier review"))))))</x:f>
        <x:v>Finished endpoint</x:v>
      </x:c>
      <x:c r="S1372" s="4" t="str">
        <x:f>IFERROR(INDEX('Material routes'!$D$6:$D$2205,MATCH(U1372,'Material routes'!$A$6:$A$2205,0)),"MISSING ID")</x:f>
        <x:v>proposal.collection.brake_drum</x:v>
      </x:c>
      <x:c r="T1372" s="4" t="str">
        <x:f>IFERROR(INDEX('Material routes'!$D$6:$D$2205,MATCH(V1372,'Material routes'!$A$6:$A$2205,0)),"MISSING ID")</x:f>
        <x:v>proposal.collection.lifted_counterweight_module</x:v>
      </x:c>
      <x:c r="U1372" s="4" t="str">
        <x:v>design.collection.lifted_counterweight_module.audit.extra.43</x:v>
      </x:c>
      <x:c r="V1372" s="4" t="str">
        <x:v>design.collection.lifted_counterweight_module.out</x:v>
      </x:c>
    </x:row>
    <x:row r="1373" ht="64" customHeight="1">
      <x:c r="A1373" s="4" t="str">
        <x:f>IFERROR(INDEX('Material routes'!$E$6:$E$2205,MATCH(U1373,'Material routes'!$A$6:$A$2205,0)),"MISSING ID")</x:f>
        <x:v>Brake lining shoe</x:v>
      </x:c>
      <x:c r="B1373" s="4" t="str">
        <x:f>IFERROR(INDEX('Material routes'!$F$6:$F$2205,MATCH(U1373,'Material routes'!$A$6:$A$2205,0)),"MISSING ID")</x:f>
        <x:v>T3</x:v>
      </x:c>
      <x:c r="C1373" s="4" t="str">
        <x:f>IFERROR(INDEX('Material routes'!$H$6:$H$2205,MATCH(U1373,'Material routes'!$A$6:$A$2205,0)),"MISSING ID")</x:f>
        <x:v>Machine part</x:v>
      </x:c>
      <x:c r="D1373" s="4" t="str">
        <x:f>IFERROR(INDEX('Material routes'!$G$6:$G$2205,MATCH(U1373,'Material routes'!$A$6:$A$2205,0)),"MISSING ID")</x:f>
        <x:v>Crafting components</x:v>
      </x:c>
      <x:c r="E1373" s="4" t="str">
        <x:f>IFERROR(INDEX('Material routes'!$C$6:$C$2205,MATCH(U1373,'Material routes'!$A$6:$A$2205,0)),"MISSING ID")</x:f>
        <x:v>Ingredient candidate</x:v>
      </x:c>
      <x:c r="F1373" s="4" t="str">
        <x:f>IFERROR(INDEX('Material routes'!$E$6:$E$2205,MATCH(V1373,'Material routes'!$A$6:$A$2205,0)),"MISSING ID")</x:f>
        <x:v>Lifted counterweight module</x:v>
      </x:c>
      <x:c r="G1373" s="4" t="str">
        <x:f>IFERROR(INDEX('Material routes'!$F$6:$F$2205,MATCH(V1373,'Material routes'!$A$6:$A$2205,0)),"MISSING ID")</x:f>
        <x:v>Not applicable</x:v>
      </x:c>
      <x:c r="H1373" s="4" t="str">
        <x:f>IFERROR(INDEX('Material routes'!$H$6:$H$2205,MATCH(V1373,'Material routes'!$A$6:$A$2205,0)),"MISSING ID")</x:f>
        <x:v>Energy storage</x:v>
      </x:c>
      <x:c r="I1373" s="4" t="str">
        <x:f>IFERROR(INDEX('Material routes'!$G$6:$G$2205,MATCH(V1373,'Material routes'!$A$6:$A$2205,0)),"MISSING ID")</x:f>
        <x:v>Crafting components</x:v>
      </x:c>
      <x:c r="J1373" s="4" t="str">
        <x:f>IFERROR(INDEX('Material routes'!$B$6:$B$2205,MATCH(U1373,'Material routes'!$A$6:$A$2205,0)),"MISSING ID")</x:f>
        <x:v>design.collection.lifted_counterweight_module</x:v>
      </x:c>
      <x:c r="K1373" s="4" t="str">
        <x:f>IFERROR(INDEX('Crafting recipes'!$C$6:$C$1005,MATCH(J1373,'Crafting recipes'!$A$6:$A$1005,0)),"MISSING ID")</x:f>
        <x:v>Finished-item crafting</x:v>
      </x:c>
      <x:c r="L1373" s="4" t="str">
        <x:f>IFERROR(INDEX('Material routes'!$K$6:$K$2205,MATCH(U1373,'Material routes'!$A$6:$A$2205,0)),"MISSING ID")</x:f>
        <x:v>Proposal</x:v>
      </x:c>
      <x:c r="M1373" s="4" t="str">
        <x:f>IFERROR(INDEX('Material routes'!$M$6:$M$2205,MATCH(U1373,'Material routes'!$A$6:$A$2205,0)),"MISSING ID")</x:f>
        <x:v>Partial proposal</x:v>
      </x:c>
      <x:c r="N1373" s="4"/>
      <x:c r="O1373" s="4" t="str">
        <x:f>IFERROR(INDEX('Material routes'!$J$6:$J$2205,MATCH(U1373,'Material routes'!$A$6:$A$2205,0)),"MISSING ID")</x:f>
        <x:v>Unspecified</x:v>
      </x:c>
      <x:c r="P1373" s="4"/>
      <x:c r="Q1373" s="4" t="str">
        <x:f>IFERROR(INDEX('Material routes'!$J$6:$J$2205,MATCH(V1373,'Material routes'!$A$6:$A$2205,0)),"MISSING ID")</x:f>
        <x:v>Unspecified</x:v>
      </x:c>
      <x:c r="R1373" s="4" t="str">
        <x:f>IF(L1373="Withheld","Withheld premise",IF(E1373="Tool candidate","Reusable prerequisite",IF(K1373="Raw entry preparation","Entry-resource preparation",IF(G1373="Not applicable",IF(IFERROR(INDEX('Items'!$AI$6:$AI$1005,MATCH(T1373,'Items'!$A$6:$A$1005,0)),"MISSING ID")="Finished item","Finished endpoint",IF(IFERROR(INDEX('Items'!$AI$6:$AI$1005,MATCH(T1373,'Items'!$A$6:$A$1005,0)),"MISSING ID")="Currency","Currency / no refinement tier","Recovered output / tier not applicable")),IF(OR(IFERROR(INDEX('Crafting recipes'!$H$6:$H$1005,MATCH(J1373,'Crafting recipes'!$A$6:$A$1005,0)),"MISSING ID")="Unassigned",G1373="Unassigned"),"Tier unresolved",IF(IFERROR(VALUE(RIGHT(G1373,1))-VALUE(RIGHT(IFERROR(INDEX('Crafting recipes'!$H$6:$H$1005,MATCH(J1373,'Crafting recipes'!$A$6:$A$1005,0)),"MISSING ID"),1)),0)=1,IF(B1373=IFERROR(INDEX('Crafting recipes'!$H$6:$H$1005,MATCH(J1373,'Crafting recipes'!$A$6:$A$1005,0)),"MISSING ID"),"Advances one material tier","Lower-tier ingredient; route advances one tier"),"Needs tier review"))))))</x:f>
        <x:v>Finished endpoint</x:v>
      </x:c>
      <x:c r="S1373" s="4" t="str">
        <x:f>IFERROR(INDEX('Material routes'!$D$6:$D$2205,MATCH(U1373,'Material routes'!$A$6:$A$2205,0)),"MISSING ID")</x:f>
        <x:v>proposal.collection.brake_lining_shoe</x:v>
      </x:c>
      <x:c r="T1373" s="4" t="str">
        <x:f>IFERROR(INDEX('Material routes'!$D$6:$D$2205,MATCH(V1373,'Material routes'!$A$6:$A$2205,0)),"MISSING ID")</x:f>
        <x:v>proposal.collection.lifted_counterweight_module</x:v>
      </x:c>
      <x:c r="U1373" s="4" t="str">
        <x:v>design.collection.lifted_counterweight_module.audit.extra.44</x:v>
      </x:c>
      <x:c r="V1373" s="4" t="str">
        <x:v>design.collection.lifted_counterweight_module.out</x:v>
      </x:c>
    </x:row>
    <x:row r="1374" ht="64" customHeight="1">
      <x:c r="A1374" s="4" t="str">
        <x:f>IFERROR(INDEX('Material routes'!$E$6:$E$2205,MATCH(U1374,'Material routes'!$A$6:$A$2205,0)),"MISSING ID")</x:f>
        <x:v>Matched metal fastener set</x:v>
      </x:c>
      <x:c r="B1374" s="4" t="str">
        <x:f>IFERROR(INDEX('Material routes'!$F$6:$F$2205,MATCH(U1374,'Material routes'!$A$6:$A$2205,0)),"MISSING ID")</x:f>
        <x:v>T3</x:v>
      </x:c>
      <x:c r="C1374" s="4" t="str">
        <x:f>IFERROR(INDEX('Material routes'!$H$6:$H$2205,MATCH(U1374,'Material routes'!$A$6:$A$2205,0)),"MISSING ID")</x:f>
        <x:v>Crafting component</x:v>
      </x:c>
      <x:c r="D1374" s="4" t="str">
        <x:f>IFERROR(INDEX('Material routes'!$G$6:$G$2205,MATCH(U1374,'Material routes'!$A$6:$A$2205,0)),"MISSING ID")</x:f>
        <x:v>Crafting components</x:v>
      </x:c>
      <x:c r="E1374" s="4" t="str">
        <x:f>IFERROR(INDEX('Material routes'!$C$6:$C$2205,MATCH(U1374,'Material routes'!$A$6:$A$2205,0)),"MISSING ID")</x:f>
        <x:v>Ingredient candidate</x:v>
      </x:c>
      <x:c r="F1374" s="4" t="str">
        <x:f>IFERROR(INDEX('Material routes'!$E$6:$E$2205,MATCH(V1374,'Material routes'!$A$6:$A$2205,0)),"MISSING ID")</x:f>
        <x:v>Lifted counterweight module</x:v>
      </x:c>
      <x:c r="G1374" s="4" t="str">
        <x:f>IFERROR(INDEX('Material routes'!$F$6:$F$2205,MATCH(V1374,'Material routes'!$A$6:$A$2205,0)),"MISSING ID")</x:f>
        <x:v>Not applicable</x:v>
      </x:c>
      <x:c r="H1374" s="4" t="str">
        <x:f>IFERROR(INDEX('Material routes'!$H$6:$H$2205,MATCH(V1374,'Material routes'!$A$6:$A$2205,0)),"MISSING ID")</x:f>
        <x:v>Energy storage</x:v>
      </x:c>
      <x:c r="I1374" s="4" t="str">
        <x:f>IFERROR(INDEX('Material routes'!$G$6:$G$2205,MATCH(V1374,'Material routes'!$A$6:$A$2205,0)),"MISSING ID")</x:f>
        <x:v>Crafting components</x:v>
      </x:c>
      <x:c r="J1374" s="4" t="str">
        <x:f>IFERROR(INDEX('Material routes'!$B$6:$B$2205,MATCH(U1374,'Material routes'!$A$6:$A$2205,0)),"MISSING ID")</x:f>
        <x:v>design.collection.lifted_counterweight_module</x:v>
      </x:c>
      <x:c r="K1374" s="4" t="str">
        <x:f>IFERROR(INDEX('Crafting recipes'!$C$6:$C$1005,MATCH(J1374,'Crafting recipes'!$A$6:$A$1005,0)),"MISSING ID")</x:f>
        <x:v>Finished-item crafting</x:v>
      </x:c>
      <x:c r="L1374" s="4" t="str">
        <x:f>IFERROR(INDEX('Material routes'!$K$6:$K$2205,MATCH(U1374,'Material routes'!$A$6:$A$2205,0)),"MISSING ID")</x:f>
        <x:v>Proposal</x:v>
      </x:c>
      <x:c r="M1374" s="4" t="str">
        <x:f>IFERROR(INDEX('Material routes'!$M$6:$M$2205,MATCH(U1374,'Material routes'!$A$6:$A$2205,0)),"MISSING ID")</x:f>
        <x:v>Partial proposal</x:v>
      </x:c>
      <x:c r="N1374" s="4"/>
      <x:c r="O1374" s="4" t="str">
        <x:f>IFERROR(INDEX('Material routes'!$J$6:$J$2205,MATCH(U1374,'Material routes'!$A$6:$A$2205,0)),"MISSING ID")</x:f>
        <x:v>Unspecified</x:v>
      </x:c>
      <x:c r="P1374" s="4"/>
      <x:c r="Q1374" s="4" t="str">
        <x:f>IFERROR(INDEX('Material routes'!$J$6:$J$2205,MATCH(V1374,'Material routes'!$A$6:$A$2205,0)),"MISSING ID")</x:f>
        <x:v>Unspecified</x:v>
      </x:c>
      <x:c r="R1374" s="4" t="str">
        <x:f>IF(L1374="Withheld","Withheld premise",IF(E1374="Tool candidate","Reusable prerequisite",IF(K1374="Raw entry preparation","Entry-resource preparation",IF(G1374="Not applicable",IF(IFERROR(INDEX('Items'!$AI$6:$AI$1005,MATCH(T1374,'Items'!$A$6:$A$1005,0)),"MISSING ID")="Finished item","Finished endpoint",IF(IFERROR(INDEX('Items'!$AI$6:$AI$1005,MATCH(T1374,'Items'!$A$6:$A$1005,0)),"MISSING ID")="Currency","Currency / no refinement tier","Recovered output / tier not applicable")),IF(OR(IFERROR(INDEX('Crafting recipes'!$H$6:$H$1005,MATCH(J1374,'Crafting recipes'!$A$6:$A$1005,0)),"MISSING ID")="Unassigned",G1374="Unassigned"),"Tier unresolved",IF(IFERROR(VALUE(RIGHT(G1374,1))-VALUE(RIGHT(IFERROR(INDEX('Crafting recipes'!$H$6:$H$1005,MATCH(J1374,'Crafting recipes'!$A$6:$A$1005,0)),"MISSING ID"),1)),0)=1,IF(B1374=IFERROR(INDEX('Crafting recipes'!$H$6:$H$1005,MATCH(J1374,'Crafting recipes'!$A$6:$A$1005,0)),"MISSING ID"),"Advances one material tier","Lower-tier ingredient; route advances one tier"),"Needs tier review"))))))</x:f>
        <x:v>Finished endpoint</x:v>
      </x:c>
      <x:c r="S1374" s="4" t="str">
        <x:f>IFERROR(INDEX('Material routes'!$D$6:$D$2205,MATCH(U1374,'Material routes'!$A$6:$A$2205,0)),"MISSING ID")</x:f>
        <x:v>proposal.lore.fastener_set</x:v>
      </x:c>
      <x:c r="T1374" s="4" t="str">
        <x:f>IFERROR(INDEX('Material routes'!$D$6:$D$2205,MATCH(V1374,'Material routes'!$A$6:$A$2205,0)),"MISSING ID")</x:f>
        <x:v>proposal.collection.lifted_counterweight_module</x:v>
      </x:c>
      <x:c r="U1374" s="4" t="str">
        <x:v>design.collection.lifted_counterweight_module.audit.extra.45</x:v>
      </x:c>
      <x:c r="V1374" s="4" t="str">
        <x:v>design.collection.lifted_counterweight_module.out</x:v>
      </x:c>
    </x:row>
    <x:row r="1375" ht="64" customHeight="1">
      <x:c r="A1375" s="4" t="str">
        <x:f>IFERROR(INDEX('Material routes'!$E$6:$E$2205,MATCH(U1375,'Material routes'!$A$6:$A$2205,0)),"MISSING ID")</x:f>
        <x:v>Grooved lift pulley</x:v>
      </x:c>
      <x:c r="B1375" s="4" t="str">
        <x:f>IFERROR(INDEX('Material routes'!$F$6:$F$2205,MATCH(U1375,'Material routes'!$A$6:$A$2205,0)),"MISSING ID")</x:f>
        <x:v>T3</x:v>
      </x:c>
      <x:c r="C1375" s="4" t="str">
        <x:f>IFERROR(INDEX('Material routes'!$H$6:$H$2205,MATCH(U1375,'Material routes'!$A$6:$A$2205,0)),"MISSING ID")</x:f>
        <x:v>Machine part</x:v>
      </x:c>
      <x:c r="D1375" s="4" t="str">
        <x:f>IFERROR(INDEX('Material routes'!$G$6:$G$2205,MATCH(U1375,'Material routes'!$A$6:$A$2205,0)),"MISSING ID")</x:f>
        <x:v>Crafting components</x:v>
      </x:c>
      <x:c r="E1375" s="4" t="str">
        <x:f>IFERROR(INDEX('Material routes'!$C$6:$C$2205,MATCH(U1375,'Material routes'!$A$6:$A$2205,0)),"MISSING ID")</x:f>
        <x:v>Ingredient candidate</x:v>
      </x:c>
      <x:c r="F1375" s="4" t="str">
        <x:f>IFERROR(INDEX('Material routes'!$E$6:$E$2205,MATCH(V1375,'Material routes'!$A$6:$A$2205,0)),"MISSING ID")</x:f>
        <x:v>Shaft-drop weight train</x:v>
      </x:c>
      <x:c r="G1375" s="4" t="str">
        <x:f>IFERROR(INDEX('Material routes'!$F$6:$F$2205,MATCH(V1375,'Material routes'!$A$6:$A$2205,0)),"MISSING ID")</x:f>
        <x:v>Not applicable</x:v>
      </x:c>
      <x:c r="H1375" s="4" t="str">
        <x:f>IFERROR(INDEX('Material routes'!$H$6:$H$2205,MATCH(V1375,'Material routes'!$A$6:$A$2205,0)),"MISSING ID")</x:f>
        <x:v>Energy storage</x:v>
      </x:c>
      <x:c r="I1375" s="4" t="str">
        <x:f>IFERROR(INDEX('Material routes'!$G$6:$G$2205,MATCH(V1375,'Material routes'!$A$6:$A$2205,0)),"MISSING ID")</x:f>
        <x:v>Salvage</x:v>
      </x:c>
      <x:c r="J1375" s="4" t="str">
        <x:f>IFERROR(INDEX('Material routes'!$B$6:$B$2205,MATCH(U1375,'Material routes'!$A$6:$A$2205,0)),"MISSING ID")</x:f>
        <x:v>design.collection.shaft_drop_weight_train</x:v>
      </x:c>
      <x:c r="K1375" s="4" t="str">
        <x:f>IFERROR(INDEX('Crafting recipes'!$C$6:$C$1005,MATCH(J1375,'Crafting recipes'!$A$6:$A$1005,0)),"MISSING ID")</x:f>
        <x:v>Finished-item crafting</x:v>
      </x:c>
      <x:c r="L1375" s="4" t="str">
        <x:f>IFERROR(INDEX('Material routes'!$K$6:$K$2205,MATCH(U1375,'Material routes'!$A$6:$A$2205,0)),"MISSING ID")</x:f>
        <x:v>Proposal</x:v>
      </x:c>
      <x:c r="M1375" s="4" t="str">
        <x:f>IFERROR(INDEX('Material routes'!$M$6:$M$2205,MATCH(U1375,'Material routes'!$A$6:$A$2205,0)),"MISSING ID")</x:f>
        <x:v>Partial proposal</x:v>
      </x:c>
      <x:c r="N1375" s="4"/>
      <x:c r="O1375" s="4" t="str">
        <x:f>IFERROR(INDEX('Material routes'!$J$6:$J$2205,MATCH(U1375,'Material routes'!$A$6:$A$2205,0)),"MISSING ID")</x:f>
        <x:v>Unspecified</x:v>
      </x:c>
      <x:c r="P1375" s="4"/>
      <x:c r="Q1375" s="4" t="str">
        <x:f>IFERROR(INDEX('Material routes'!$J$6:$J$2205,MATCH(V1375,'Material routes'!$A$6:$A$2205,0)),"MISSING ID")</x:f>
        <x:v>Unspecified</x:v>
      </x:c>
      <x:c r="R1375" s="4" t="str">
        <x:f>IF(L1375="Withheld","Withheld premise",IF(E1375="Tool candidate","Reusable prerequisite",IF(K1375="Raw entry preparation","Entry-resource preparation",IF(G1375="Not applicable",IF(IFERROR(INDEX('Items'!$AI$6:$AI$1005,MATCH(T1375,'Items'!$A$6:$A$1005,0)),"MISSING ID")="Finished item","Finished endpoint",IF(IFERROR(INDEX('Items'!$AI$6:$AI$1005,MATCH(T1375,'Items'!$A$6:$A$1005,0)),"MISSING ID")="Currency","Currency / no refinement tier","Recovered output / tier not applicable")),IF(OR(IFERROR(INDEX('Crafting recipes'!$H$6:$H$1005,MATCH(J1375,'Crafting recipes'!$A$6:$A$1005,0)),"MISSING ID")="Unassigned",G1375="Unassigned"),"Tier unresolved",IF(IFERROR(VALUE(RIGHT(G1375,1))-VALUE(RIGHT(IFERROR(INDEX('Crafting recipes'!$H$6:$H$1005,MATCH(J1375,'Crafting recipes'!$A$6:$A$1005,0)),"MISSING ID"),1)),0)=1,IF(B1375=IFERROR(INDEX('Crafting recipes'!$H$6:$H$1005,MATCH(J1375,'Crafting recipes'!$A$6:$A$1005,0)),"MISSING ID"),"Advances one material tier","Lower-tier ingredient; route advances one tier"),"Needs tier review"))))))</x:f>
        <x:v>Finished endpoint</x:v>
      </x:c>
      <x:c r="S1375" s="4" t="str">
        <x:f>IFERROR(INDEX('Material routes'!$D$6:$D$2205,MATCH(U1375,'Material routes'!$A$6:$A$2205,0)),"MISSING ID")</x:f>
        <x:v>proposal.collection.grooved_lift_pulley</x:v>
      </x:c>
      <x:c r="T1375" s="4" t="str">
        <x:f>IFERROR(INDEX('Material routes'!$D$6:$D$2205,MATCH(V1375,'Material routes'!$A$6:$A$2205,0)),"MISSING ID")</x:f>
        <x:v>proposal.collection.shaft_drop_weight_train</x:v>
      </x:c>
      <x:c r="U1375" s="4" t="str">
        <x:v>design.collection.shaft_drop_weight_train.audit.extra.46</x:v>
      </x:c>
      <x:c r="V1375" s="4" t="str">
        <x:v>design.collection.shaft_drop_weight_train.out</x:v>
      </x:c>
    </x:row>
    <x:row r="1376" ht="64" customHeight="1">
      <x:c r="A1376" s="4" t="str">
        <x:f>IFERROR(INDEX('Material routes'!$E$6:$E$2205,MATCH(U1376,'Material routes'!$A$6:$A$2205,0)),"MISSING ID")</x:f>
        <x:v>Brake drum</x:v>
      </x:c>
      <x:c r="B1376" s="4" t="str">
        <x:f>IFERROR(INDEX('Material routes'!$F$6:$F$2205,MATCH(U1376,'Material routes'!$A$6:$A$2205,0)),"MISSING ID")</x:f>
        <x:v>T3</x:v>
      </x:c>
      <x:c r="C1376" s="4" t="str">
        <x:f>IFERROR(INDEX('Material routes'!$H$6:$H$2205,MATCH(U1376,'Material routes'!$A$6:$A$2205,0)),"MISSING ID")</x:f>
        <x:v>Machine part</x:v>
      </x:c>
      <x:c r="D1376" s="4" t="str">
        <x:f>IFERROR(INDEX('Material routes'!$G$6:$G$2205,MATCH(U1376,'Material routes'!$A$6:$A$2205,0)),"MISSING ID")</x:f>
        <x:v>Crafting components</x:v>
      </x:c>
      <x:c r="E1376" s="4" t="str">
        <x:f>IFERROR(INDEX('Material routes'!$C$6:$C$2205,MATCH(U1376,'Material routes'!$A$6:$A$2205,0)),"MISSING ID")</x:f>
        <x:v>Ingredient candidate</x:v>
      </x:c>
      <x:c r="F1376" s="4" t="str">
        <x:f>IFERROR(INDEX('Material routes'!$E$6:$E$2205,MATCH(V1376,'Material routes'!$A$6:$A$2205,0)),"MISSING ID")</x:f>
        <x:v>Shaft-drop weight train</x:v>
      </x:c>
      <x:c r="G1376" s="4" t="str">
        <x:f>IFERROR(INDEX('Material routes'!$F$6:$F$2205,MATCH(V1376,'Material routes'!$A$6:$A$2205,0)),"MISSING ID")</x:f>
        <x:v>Not applicable</x:v>
      </x:c>
      <x:c r="H1376" s="4" t="str">
        <x:f>IFERROR(INDEX('Material routes'!$H$6:$H$2205,MATCH(V1376,'Material routes'!$A$6:$A$2205,0)),"MISSING ID")</x:f>
        <x:v>Energy storage</x:v>
      </x:c>
      <x:c r="I1376" s="4" t="str">
        <x:f>IFERROR(INDEX('Material routes'!$G$6:$G$2205,MATCH(V1376,'Material routes'!$A$6:$A$2205,0)),"MISSING ID")</x:f>
        <x:v>Salvage</x:v>
      </x:c>
      <x:c r="J1376" s="4" t="str">
        <x:f>IFERROR(INDEX('Material routes'!$B$6:$B$2205,MATCH(U1376,'Material routes'!$A$6:$A$2205,0)),"MISSING ID")</x:f>
        <x:v>design.collection.shaft_drop_weight_train</x:v>
      </x:c>
      <x:c r="K1376" s="4" t="str">
        <x:f>IFERROR(INDEX('Crafting recipes'!$C$6:$C$1005,MATCH(J1376,'Crafting recipes'!$A$6:$A$1005,0)),"MISSING ID")</x:f>
        <x:v>Finished-item crafting</x:v>
      </x:c>
      <x:c r="L1376" s="4" t="str">
        <x:f>IFERROR(INDEX('Material routes'!$K$6:$K$2205,MATCH(U1376,'Material routes'!$A$6:$A$2205,0)),"MISSING ID")</x:f>
        <x:v>Proposal</x:v>
      </x:c>
      <x:c r="M1376" s="4" t="str">
        <x:f>IFERROR(INDEX('Material routes'!$M$6:$M$2205,MATCH(U1376,'Material routes'!$A$6:$A$2205,0)),"MISSING ID")</x:f>
        <x:v>Partial proposal</x:v>
      </x:c>
      <x:c r="N1376" s="4"/>
      <x:c r="O1376" s="4" t="str">
        <x:f>IFERROR(INDEX('Material routes'!$J$6:$J$2205,MATCH(U1376,'Material routes'!$A$6:$A$2205,0)),"MISSING ID")</x:f>
        <x:v>Unspecified</x:v>
      </x:c>
      <x:c r="P1376" s="4"/>
      <x:c r="Q1376" s="4" t="str">
        <x:f>IFERROR(INDEX('Material routes'!$J$6:$J$2205,MATCH(V1376,'Material routes'!$A$6:$A$2205,0)),"MISSING ID")</x:f>
        <x:v>Unspecified</x:v>
      </x:c>
      <x:c r="R1376" s="4" t="str">
        <x:f>IF(L1376="Withheld","Withheld premise",IF(E1376="Tool candidate","Reusable prerequisite",IF(K1376="Raw entry preparation","Entry-resource preparation",IF(G1376="Not applicable",IF(IFERROR(INDEX('Items'!$AI$6:$AI$1005,MATCH(T1376,'Items'!$A$6:$A$1005,0)),"MISSING ID")="Finished item","Finished endpoint",IF(IFERROR(INDEX('Items'!$AI$6:$AI$1005,MATCH(T1376,'Items'!$A$6:$A$1005,0)),"MISSING ID")="Currency","Currency / no refinement tier","Recovered output / tier not applicable")),IF(OR(IFERROR(INDEX('Crafting recipes'!$H$6:$H$1005,MATCH(J1376,'Crafting recipes'!$A$6:$A$1005,0)),"MISSING ID")="Unassigned",G1376="Unassigned"),"Tier unresolved",IF(IFERROR(VALUE(RIGHT(G1376,1))-VALUE(RIGHT(IFERROR(INDEX('Crafting recipes'!$H$6:$H$1005,MATCH(J1376,'Crafting recipes'!$A$6:$A$1005,0)),"MISSING ID"),1)),0)=1,IF(B1376=IFERROR(INDEX('Crafting recipes'!$H$6:$H$1005,MATCH(J1376,'Crafting recipes'!$A$6:$A$1005,0)),"MISSING ID"),"Advances one material tier","Lower-tier ingredient; route advances one tier"),"Needs tier review"))))))</x:f>
        <x:v>Finished endpoint</x:v>
      </x:c>
      <x:c r="S1376" s="4" t="str">
        <x:f>IFERROR(INDEX('Material routes'!$D$6:$D$2205,MATCH(U1376,'Material routes'!$A$6:$A$2205,0)),"MISSING ID")</x:f>
        <x:v>proposal.collection.brake_drum</x:v>
      </x:c>
      <x:c r="T1376" s="4" t="str">
        <x:f>IFERROR(INDEX('Material routes'!$D$6:$D$2205,MATCH(V1376,'Material routes'!$A$6:$A$2205,0)),"MISSING ID")</x:f>
        <x:v>proposal.collection.shaft_drop_weight_train</x:v>
      </x:c>
      <x:c r="U1376" s="4" t="str">
        <x:v>design.collection.shaft_drop_weight_train.audit.extra.47</x:v>
      </x:c>
      <x:c r="V1376" s="4" t="str">
        <x:v>design.collection.shaft_drop_weight_train.out</x:v>
      </x:c>
    </x:row>
    <x:row r="1377" ht="64" customHeight="1">
      <x:c r="A1377" s="4" t="str">
        <x:f>IFERROR(INDEX('Material routes'!$E$6:$E$2205,MATCH(U1377,'Material routes'!$A$6:$A$2205,0)),"MISSING ID")</x:f>
        <x:v>Brake lining shoe</x:v>
      </x:c>
      <x:c r="B1377" s="4" t="str">
        <x:f>IFERROR(INDEX('Material routes'!$F$6:$F$2205,MATCH(U1377,'Material routes'!$A$6:$A$2205,0)),"MISSING ID")</x:f>
        <x:v>T3</x:v>
      </x:c>
      <x:c r="C1377" s="4" t="str">
        <x:f>IFERROR(INDEX('Material routes'!$H$6:$H$2205,MATCH(U1377,'Material routes'!$A$6:$A$2205,0)),"MISSING ID")</x:f>
        <x:v>Machine part</x:v>
      </x:c>
      <x:c r="D1377" s="4" t="str">
        <x:f>IFERROR(INDEX('Material routes'!$G$6:$G$2205,MATCH(U1377,'Material routes'!$A$6:$A$2205,0)),"MISSING ID")</x:f>
        <x:v>Crafting components</x:v>
      </x:c>
      <x:c r="E1377" s="4" t="str">
        <x:f>IFERROR(INDEX('Material routes'!$C$6:$C$2205,MATCH(U1377,'Material routes'!$A$6:$A$2205,0)),"MISSING ID")</x:f>
        <x:v>Ingredient candidate</x:v>
      </x:c>
      <x:c r="F1377" s="4" t="str">
        <x:f>IFERROR(INDEX('Material routes'!$E$6:$E$2205,MATCH(V1377,'Material routes'!$A$6:$A$2205,0)),"MISSING ID")</x:f>
        <x:v>Shaft-drop weight train</x:v>
      </x:c>
      <x:c r="G1377" s="4" t="str">
        <x:f>IFERROR(INDEX('Material routes'!$F$6:$F$2205,MATCH(V1377,'Material routes'!$A$6:$A$2205,0)),"MISSING ID")</x:f>
        <x:v>Not applicable</x:v>
      </x:c>
      <x:c r="H1377" s="4" t="str">
        <x:f>IFERROR(INDEX('Material routes'!$H$6:$H$2205,MATCH(V1377,'Material routes'!$A$6:$A$2205,0)),"MISSING ID")</x:f>
        <x:v>Energy storage</x:v>
      </x:c>
      <x:c r="I1377" s="4" t="str">
        <x:f>IFERROR(INDEX('Material routes'!$G$6:$G$2205,MATCH(V1377,'Material routes'!$A$6:$A$2205,0)),"MISSING ID")</x:f>
        <x:v>Salvage</x:v>
      </x:c>
      <x:c r="J1377" s="4" t="str">
        <x:f>IFERROR(INDEX('Material routes'!$B$6:$B$2205,MATCH(U1377,'Material routes'!$A$6:$A$2205,0)),"MISSING ID")</x:f>
        <x:v>design.collection.shaft_drop_weight_train</x:v>
      </x:c>
      <x:c r="K1377" s="4" t="str">
        <x:f>IFERROR(INDEX('Crafting recipes'!$C$6:$C$1005,MATCH(J1377,'Crafting recipes'!$A$6:$A$1005,0)),"MISSING ID")</x:f>
        <x:v>Finished-item crafting</x:v>
      </x:c>
      <x:c r="L1377" s="4" t="str">
        <x:f>IFERROR(INDEX('Material routes'!$K$6:$K$2205,MATCH(U1377,'Material routes'!$A$6:$A$2205,0)),"MISSING ID")</x:f>
        <x:v>Proposal</x:v>
      </x:c>
      <x:c r="M1377" s="4" t="str">
        <x:f>IFERROR(INDEX('Material routes'!$M$6:$M$2205,MATCH(U1377,'Material routes'!$A$6:$A$2205,0)),"MISSING ID")</x:f>
        <x:v>Partial proposal</x:v>
      </x:c>
      <x:c r="N1377" s="4"/>
      <x:c r="O1377" s="4" t="str">
        <x:f>IFERROR(INDEX('Material routes'!$J$6:$J$2205,MATCH(U1377,'Material routes'!$A$6:$A$2205,0)),"MISSING ID")</x:f>
        <x:v>Unspecified</x:v>
      </x:c>
      <x:c r="P1377" s="4"/>
      <x:c r="Q1377" s="4" t="str">
        <x:f>IFERROR(INDEX('Material routes'!$J$6:$J$2205,MATCH(V1377,'Material routes'!$A$6:$A$2205,0)),"MISSING ID")</x:f>
        <x:v>Unspecified</x:v>
      </x:c>
      <x:c r="R1377" s="4" t="str">
        <x:f>IF(L1377="Withheld","Withheld premise",IF(E1377="Tool candidate","Reusable prerequisite",IF(K1377="Raw entry preparation","Entry-resource preparation",IF(G1377="Not applicable",IF(IFERROR(INDEX('Items'!$AI$6:$AI$1005,MATCH(T1377,'Items'!$A$6:$A$1005,0)),"MISSING ID")="Finished item","Finished endpoint",IF(IFERROR(INDEX('Items'!$AI$6:$AI$1005,MATCH(T1377,'Items'!$A$6:$A$1005,0)),"MISSING ID")="Currency","Currency / no refinement tier","Recovered output / tier not applicable")),IF(OR(IFERROR(INDEX('Crafting recipes'!$H$6:$H$1005,MATCH(J1377,'Crafting recipes'!$A$6:$A$1005,0)),"MISSING ID")="Unassigned",G1377="Unassigned"),"Tier unresolved",IF(IFERROR(VALUE(RIGHT(G1377,1))-VALUE(RIGHT(IFERROR(INDEX('Crafting recipes'!$H$6:$H$1005,MATCH(J1377,'Crafting recipes'!$A$6:$A$1005,0)),"MISSING ID"),1)),0)=1,IF(B1377=IFERROR(INDEX('Crafting recipes'!$H$6:$H$1005,MATCH(J1377,'Crafting recipes'!$A$6:$A$1005,0)),"MISSING ID"),"Advances one material tier","Lower-tier ingredient; route advances one tier"),"Needs tier review"))))))</x:f>
        <x:v>Finished endpoint</x:v>
      </x:c>
      <x:c r="S1377" s="4" t="str">
        <x:f>IFERROR(INDEX('Material routes'!$D$6:$D$2205,MATCH(U1377,'Material routes'!$A$6:$A$2205,0)),"MISSING ID")</x:f>
        <x:v>proposal.collection.brake_lining_shoe</x:v>
      </x:c>
      <x:c r="T1377" s="4" t="str">
        <x:f>IFERROR(INDEX('Material routes'!$D$6:$D$2205,MATCH(V1377,'Material routes'!$A$6:$A$2205,0)),"MISSING ID")</x:f>
        <x:v>proposal.collection.shaft_drop_weight_train</x:v>
      </x:c>
      <x:c r="U1377" s="4" t="str">
        <x:v>design.collection.shaft_drop_weight_train.audit.extra.48</x:v>
      </x:c>
      <x:c r="V1377" s="4" t="str">
        <x:v>design.collection.shaft_drop_weight_train.out</x:v>
      </x:c>
    </x:row>
    <x:row r="1378" ht="64" customHeight="1">
      <x:c r="A1378" s="4" t="str">
        <x:f>IFERROR(INDEX('Material routes'!$E$6:$E$2205,MATCH(U1378,'Material routes'!$A$6:$A$2205,0)),"MISSING ID")</x:f>
        <x:v>Matched metal fastener set</x:v>
      </x:c>
      <x:c r="B1378" s="4" t="str">
        <x:f>IFERROR(INDEX('Material routes'!$F$6:$F$2205,MATCH(U1378,'Material routes'!$A$6:$A$2205,0)),"MISSING ID")</x:f>
        <x:v>T3</x:v>
      </x:c>
      <x:c r="C1378" s="4" t="str">
        <x:f>IFERROR(INDEX('Material routes'!$H$6:$H$2205,MATCH(U1378,'Material routes'!$A$6:$A$2205,0)),"MISSING ID")</x:f>
        <x:v>Crafting component</x:v>
      </x:c>
      <x:c r="D1378" s="4" t="str">
        <x:f>IFERROR(INDEX('Material routes'!$G$6:$G$2205,MATCH(U1378,'Material routes'!$A$6:$A$2205,0)),"MISSING ID")</x:f>
        <x:v>Crafting components</x:v>
      </x:c>
      <x:c r="E1378" s="4" t="str">
        <x:f>IFERROR(INDEX('Material routes'!$C$6:$C$2205,MATCH(U1378,'Material routes'!$A$6:$A$2205,0)),"MISSING ID")</x:f>
        <x:v>Ingredient candidate</x:v>
      </x:c>
      <x:c r="F1378" s="4" t="str">
        <x:f>IFERROR(INDEX('Material routes'!$E$6:$E$2205,MATCH(V1378,'Material routes'!$A$6:$A$2205,0)),"MISSING ID")</x:f>
        <x:v>Shaft-drop weight train</x:v>
      </x:c>
      <x:c r="G1378" s="4" t="str">
        <x:f>IFERROR(INDEX('Material routes'!$F$6:$F$2205,MATCH(V1378,'Material routes'!$A$6:$A$2205,0)),"MISSING ID")</x:f>
        <x:v>Not applicable</x:v>
      </x:c>
      <x:c r="H1378" s="4" t="str">
        <x:f>IFERROR(INDEX('Material routes'!$H$6:$H$2205,MATCH(V1378,'Material routes'!$A$6:$A$2205,0)),"MISSING ID")</x:f>
        <x:v>Energy storage</x:v>
      </x:c>
      <x:c r="I1378" s="4" t="str">
        <x:f>IFERROR(INDEX('Material routes'!$G$6:$G$2205,MATCH(V1378,'Material routes'!$A$6:$A$2205,0)),"MISSING ID")</x:f>
        <x:v>Salvage</x:v>
      </x:c>
      <x:c r="J1378" s="4" t="str">
        <x:f>IFERROR(INDEX('Material routes'!$B$6:$B$2205,MATCH(U1378,'Material routes'!$A$6:$A$2205,0)),"MISSING ID")</x:f>
        <x:v>design.collection.shaft_drop_weight_train</x:v>
      </x:c>
      <x:c r="K1378" s="4" t="str">
        <x:f>IFERROR(INDEX('Crafting recipes'!$C$6:$C$1005,MATCH(J1378,'Crafting recipes'!$A$6:$A$1005,0)),"MISSING ID")</x:f>
        <x:v>Finished-item crafting</x:v>
      </x:c>
      <x:c r="L1378" s="4" t="str">
        <x:f>IFERROR(INDEX('Material routes'!$K$6:$K$2205,MATCH(U1378,'Material routes'!$A$6:$A$2205,0)),"MISSING ID")</x:f>
        <x:v>Proposal</x:v>
      </x:c>
      <x:c r="M1378" s="4" t="str">
        <x:f>IFERROR(INDEX('Material routes'!$M$6:$M$2205,MATCH(U1378,'Material routes'!$A$6:$A$2205,0)),"MISSING ID")</x:f>
        <x:v>Partial proposal</x:v>
      </x:c>
      <x:c r="N1378" s="4"/>
      <x:c r="O1378" s="4" t="str">
        <x:f>IFERROR(INDEX('Material routes'!$J$6:$J$2205,MATCH(U1378,'Material routes'!$A$6:$A$2205,0)),"MISSING ID")</x:f>
        <x:v>Unspecified</x:v>
      </x:c>
      <x:c r="P1378" s="4"/>
      <x:c r="Q1378" s="4" t="str">
        <x:f>IFERROR(INDEX('Material routes'!$J$6:$J$2205,MATCH(V1378,'Material routes'!$A$6:$A$2205,0)),"MISSING ID")</x:f>
        <x:v>Unspecified</x:v>
      </x:c>
      <x:c r="R1378" s="4" t="str">
        <x:f>IF(L1378="Withheld","Withheld premise",IF(E1378="Tool candidate","Reusable prerequisite",IF(K1378="Raw entry preparation","Entry-resource preparation",IF(G1378="Not applicable",IF(IFERROR(INDEX('Items'!$AI$6:$AI$1005,MATCH(T1378,'Items'!$A$6:$A$1005,0)),"MISSING ID")="Finished item","Finished endpoint",IF(IFERROR(INDEX('Items'!$AI$6:$AI$1005,MATCH(T1378,'Items'!$A$6:$A$1005,0)),"MISSING ID")="Currency","Currency / no refinement tier","Recovered output / tier not applicable")),IF(OR(IFERROR(INDEX('Crafting recipes'!$H$6:$H$1005,MATCH(J1378,'Crafting recipes'!$A$6:$A$1005,0)),"MISSING ID")="Unassigned",G1378="Unassigned"),"Tier unresolved",IF(IFERROR(VALUE(RIGHT(G1378,1))-VALUE(RIGHT(IFERROR(INDEX('Crafting recipes'!$H$6:$H$1005,MATCH(J1378,'Crafting recipes'!$A$6:$A$1005,0)),"MISSING ID"),1)),0)=1,IF(B1378=IFERROR(INDEX('Crafting recipes'!$H$6:$H$1005,MATCH(J1378,'Crafting recipes'!$A$6:$A$1005,0)),"MISSING ID"),"Advances one material tier","Lower-tier ingredient; route advances one tier"),"Needs tier review"))))))</x:f>
        <x:v>Finished endpoint</x:v>
      </x:c>
      <x:c r="S1378" s="4" t="str">
        <x:f>IFERROR(INDEX('Material routes'!$D$6:$D$2205,MATCH(U1378,'Material routes'!$A$6:$A$2205,0)),"MISSING ID")</x:f>
        <x:v>proposal.lore.fastener_set</x:v>
      </x:c>
      <x:c r="T1378" s="4" t="str">
        <x:f>IFERROR(INDEX('Material routes'!$D$6:$D$2205,MATCH(V1378,'Material routes'!$A$6:$A$2205,0)),"MISSING ID")</x:f>
        <x:v>proposal.collection.shaft_drop_weight_train</x:v>
      </x:c>
      <x:c r="U1378" s="4" t="str">
        <x:v>design.collection.shaft_drop_weight_train.audit.extra.49</x:v>
      </x:c>
      <x:c r="V1378" s="4" t="str">
        <x:v>design.collection.shaft_drop_weight_train.out</x:v>
      </x:c>
    </x:row>
    <x:row r="1379" ht="64" customHeight="1">
      <x:c r="A1379" s="4" t="str">
        <x:f>IFERROR(INDEX('Material routes'!$E$6:$E$2205,MATCH(U1379,'Material routes'!$A$6:$A$2205,0)),"MISSING ID")</x:f>
        <x:v>Reinforced sealing sheet</x:v>
      </x:c>
      <x:c r="B1379" s="4" t="str">
        <x:f>IFERROR(INDEX('Material routes'!$F$6:$F$2205,MATCH(U1379,'Material routes'!$A$6:$A$2205,0)),"MISSING ID")</x:f>
        <x:v>T3</x:v>
      </x:c>
      <x:c r="C1379" s="4" t="str">
        <x:f>IFERROR(INDEX('Material routes'!$H$6:$H$2205,MATCH(U1379,'Material routes'!$A$6:$A$2205,0)),"MISSING ID")</x:f>
        <x:v>Processed material</x:v>
      </x:c>
      <x:c r="D1379" s="4" t="str">
        <x:f>IFERROR(INDEX('Material routes'!$G$6:$G$2205,MATCH(U1379,'Material routes'!$A$6:$A$2205,0)),"MISSING ID")</x:f>
        <x:v>Manufactured stock</x:v>
      </x:c>
      <x:c r="E1379" s="4" t="str">
        <x:f>IFERROR(INDEX('Material routes'!$C$6:$C$2205,MATCH(U1379,'Material routes'!$A$6:$A$2205,0)),"MISSING ID")</x:f>
        <x:v>Ingredient candidate</x:v>
      </x:c>
      <x:c r="F1379" s="4" t="str">
        <x:f>IFERROR(INDEX('Material routes'!$E$6:$E$2205,MATCH(V1379,'Material routes'!$A$6:$A$2205,0)),"MISSING ID")</x:f>
        <x:v>Sealed pressure accumulator</x:v>
      </x:c>
      <x:c r="G1379" s="4" t="str">
        <x:f>IFERROR(INDEX('Material routes'!$F$6:$F$2205,MATCH(V1379,'Material routes'!$A$6:$A$2205,0)),"MISSING ID")</x:f>
        <x:v>Not applicable</x:v>
      </x:c>
      <x:c r="H1379" s="4" t="str">
        <x:f>IFERROR(INDEX('Material routes'!$H$6:$H$2205,MATCH(V1379,'Material routes'!$A$6:$A$2205,0)),"MISSING ID")</x:f>
        <x:v>Energy storage</x:v>
      </x:c>
      <x:c r="I1379" s="4" t="str">
        <x:f>IFERROR(INDEX('Material routes'!$G$6:$G$2205,MATCH(V1379,'Material routes'!$A$6:$A$2205,0)),"MISSING ID")</x:f>
        <x:v>Crafting components</x:v>
      </x:c>
      <x:c r="J1379" s="4" t="str">
        <x:f>IFERROR(INDEX('Material routes'!$B$6:$B$2205,MATCH(U1379,'Material routes'!$A$6:$A$2205,0)),"MISSING ID")</x:f>
        <x:v>design.collection.sealed_pressure_accumulator</x:v>
      </x:c>
      <x:c r="K1379" s="4" t="str">
        <x:f>IFERROR(INDEX('Crafting recipes'!$C$6:$C$1005,MATCH(J1379,'Crafting recipes'!$A$6:$A$1005,0)),"MISSING ID")</x:f>
        <x:v>Finished-item crafting</x:v>
      </x:c>
      <x:c r="L1379" s="4" t="str">
        <x:f>IFERROR(INDEX('Material routes'!$K$6:$K$2205,MATCH(U1379,'Material routes'!$A$6:$A$2205,0)),"MISSING ID")</x:f>
        <x:v>Proposal</x:v>
      </x:c>
      <x:c r="M1379" s="4" t="str">
        <x:f>IFERROR(INDEX('Material routes'!$M$6:$M$2205,MATCH(U1379,'Material routes'!$A$6:$A$2205,0)),"MISSING ID")</x:f>
        <x:v>Partial proposal</x:v>
      </x:c>
      <x:c r="N1379" s="4"/>
      <x:c r="O1379" s="4" t="str">
        <x:f>IFERROR(INDEX('Material routes'!$J$6:$J$2205,MATCH(U1379,'Material routes'!$A$6:$A$2205,0)),"MISSING ID")</x:f>
        <x:v>Unspecified</x:v>
      </x:c>
      <x:c r="P1379" s="4"/>
      <x:c r="Q1379" s="4" t="str">
        <x:f>IFERROR(INDEX('Material routes'!$J$6:$J$2205,MATCH(V1379,'Material routes'!$A$6:$A$2205,0)),"MISSING ID")</x:f>
        <x:v>Unspecified</x:v>
      </x:c>
      <x:c r="R1379" s="4" t="str">
        <x:f>IF(L1379="Withheld","Withheld premise",IF(E1379="Tool candidate","Reusable prerequisite",IF(K1379="Raw entry preparation","Entry-resource preparation",IF(G1379="Not applicable",IF(IFERROR(INDEX('Items'!$AI$6:$AI$1005,MATCH(T1379,'Items'!$A$6:$A$1005,0)),"MISSING ID")="Finished item","Finished endpoint",IF(IFERROR(INDEX('Items'!$AI$6:$AI$1005,MATCH(T1379,'Items'!$A$6:$A$1005,0)),"MISSING ID")="Currency","Currency / no refinement tier","Recovered output / tier not applicable")),IF(OR(IFERROR(INDEX('Crafting recipes'!$H$6:$H$1005,MATCH(J1379,'Crafting recipes'!$A$6:$A$1005,0)),"MISSING ID")="Unassigned",G1379="Unassigned"),"Tier unresolved",IF(IFERROR(VALUE(RIGHT(G1379,1))-VALUE(RIGHT(IFERROR(INDEX('Crafting recipes'!$H$6:$H$1005,MATCH(J1379,'Crafting recipes'!$A$6:$A$1005,0)),"MISSING ID"),1)),0)=1,IF(B1379=IFERROR(INDEX('Crafting recipes'!$H$6:$H$1005,MATCH(J1379,'Crafting recipes'!$A$6:$A$1005,0)),"MISSING ID"),"Advances one material tier","Lower-tier ingredient; route advances one tier"),"Needs tier review"))))))</x:f>
        <x:v>Finished endpoint</x:v>
      </x:c>
      <x:c r="S1379" s="4" t="str">
        <x:f>IFERROR(INDEX('Material routes'!$D$6:$D$2205,MATCH(U1379,'Material routes'!$A$6:$A$2205,0)),"MISSING ID")</x:f>
        <x:v>proposal.branch.sealing_sheet</x:v>
      </x:c>
      <x:c r="T1379" s="4" t="str">
        <x:f>IFERROR(INDEX('Material routes'!$D$6:$D$2205,MATCH(V1379,'Material routes'!$A$6:$A$2205,0)),"MISSING ID")</x:f>
        <x:v>proposal.collection.sealed_pressure_accumulator</x:v>
      </x:c>
      <x:c r="U1379" s="4" t="str">
        <x:v>design.collection.sealed_pressure_accumulator.audit.extra.50</x:v>
      </x:c>
      <x:c r="V1379" s="4" t="str">
        <x:v>design.collection.sealed_pressure_accumulator.out</x:v>
      </x:c>
    </x:row>
    <x:row r="1380" ht="64" customHeight="1">
      <x:c r="A1380" s="4" t="str">
        <x:f>IFERROR(INDEX('Material routes'!$E$6:$E$2205,MATCH(U1380,'Material routes'!$A$6:$A$2205,0)),"MISSING ID")</x:f>
        <x:v>Contained dry working gas</x:v>
      </x:c>
      <x:c r="B1380" s="4" t="str">
        <x:f>IFERROR(INDEX('Material routes'!$F$6:$F$2205,MATCH(U1380,'Material routes'!$A$6:$A$2205,0)),"MISSING ID")</x:f>
        <x:v>T0</x:v>
      </x:c>
      <x:c r="C1380" s="4" t="str">
        <x:f>IFERROR(INDEX('Material routes'!$H$6:$H$2205,MATCH(U1380,'Material routes'!$A$6:$A$2205,0)),"MISSING ID")</x:f>
        <x:v>Raw material</x:v>
      </x:c>
      <x:c r="D1380" s="4" t="str">
        <x:f>IFERROR(INDEX('Material routes'!$G$6:$G$2205,MATCH(U1380,'Material routes'!$A$6:$A$2205,0)),"MISSING ID")</x:f>
        <x:v>Atmospheric resources</x:v>
      </x:c>
      <x:c r="E1380" s="4" t="str">
        <x:f>IFERROR(INDEX('Material routes'!$C$6:$C$2205,MATCH(U1380,'Material routes'!$A$6:$A$2205,0)),"MISSING ID")</x:f>
        <x:v>Contained input</x:v>
      </x:c>
      <x:c r="F1380" s="4" t="str">
        <x:f>IFERROR(INDEX('Material routes'!$E$6:$E$2205,MATCH(V1380,'Material routes'!$A$6:$A$2205,0)),"MISSING ID")</x:f>
        <x:v>Sealed pressure accumulator</x:v>
      </x:c>
      <x:c r="G1380" s="4" t="str">
        <x:f>IFERROR(INDEX('Material routes'!$F$6:$F$2205,MATCH(V1380,'Material routes'!$A$6:$A$2205,0)),"MISSING ID")</x:f>
        <x:v>Not applicable</x:v>
      </x:c>
      <x:c r="H1380" s="4" t="str">
        <x:f>IFERROR(INDEX('Material routes'!$H$6:$H$2205,MATCH(V1380,'Material routes'!$A$6:$A$2205,0)),"MISSING ID")</x:f>
        <x:v>Energy storage</x:v>
      </x:c>
      <x:c r="I1380" s="4" t="str">
        <x:f>IFERROR(INDEX('Material routes'!$G$6:$G$2205,MATCH(V1380,'Material routes'!$A$6:$A$2205,0)),"MISSING ID")</x:f>
        <x:v>Crafting components</x:v>
      </x:c>
      <x:c r="J1380" s="4" t="str">
        <x:f>IFERROR(INDEX('Material routes'!$B$6:$B$2205,MATCH(U1380,'Material routes'!$A$6:$A$2205,0)),"MISSING ID")</x:f>
        <x:v>design.collection.sealed_pressure_accumulator</x:v>
      </x:c>
      <x:c r="K1380" s="4" t="str">
        <x:f>IFERROR(INDEX('Crafting recipes'!$C$6:$C$1005,MATCH(J1380,'Crafting recipes'!$A$6:$A$1005,0)),"MISSING ID")</x:f>
        <x:v>Finished-item crafting</x:v>
      </x:c>
      <x:c r="L1380" s="4" t="str">
        <x:f>IFERROR(INDEX('Material routes'!$K$6:$K$2205,MATCH(U1380,'Material routes'!$A$6:$A$2205,0)),"MISSING ID")</x:f>
        <x:v>Proposal</x:v>
      </x:c>
      <x:c r="M1380" s="4" t="str">
        <x:f>IFERROR(INDEX('Material routes'!$M$6:$M$2205,MATCH(U1380,'Material routes'!$A$6:$A$2205,0)),"MISSING ID")</x:f>
        <x:v>Partial proposal</x:v>
      </x:c>
      <x:c r="N1380" s="4"/>
      <x:c r="O1380" s="4" t="str">
        <x:f>IFERROR(INDEX('Material routes'!$J$6:$J$2205,MATCH(U1380,'Material routes'!$A$6:$A$2205,0)),"MISSING ID")</x:f>
        <x:v>Unspecified</x:v>
      </x:c>
      <x:c r="P1380" s="4"/>
      <x:c r="Q1380" s="4" t="str">
        <x:f>IFERROR(INDEX('Material routes'!$J$6:$J$2205,MATCH(V1380,'Material routes'!$A$6:$A$2205,0)),"MISSING ID")</x:f>
        <x:v>Unspecified</x:v>
      </x:c>
      <x:c r="R1380" s="4" t="str">
        <x:f>IF(L1380="Withheld","Withheld premise",IF(E1380="Tool candidate","Reusable prerequisite",IF(K1380="Raw entry preparation","Entry-resource preparation",IF(G1380="Not applicable",IF(IFERROR(INDEX('Items'!$AI$6:$AI$1005,MATCH(T1380,'Items'!$A$6:$A$1005,0)),"MISSING ID")="Finished item","Finished endpoint",IF(IFERROR(INDEX('Items'!$AI$6:$AI$1005,MATCH(T1380,'Items'!$A$6:$A$1005,0)),"MISSING ID")="Currency","Currency / no refinement tier","Recovered output / tier not applicable")),IF(OR(IFERROR(INDEX('Crafting recipes'!$H$6:$H$1005,MATCH(J1380,'Crafting recipes'!$A$6:$A$1005,0)),"MISSING ID")="Unassigned",G1380="Unassigned"),"Tier unresolved",IF(IFERROR(VALUE(RIGHT(G1380,1))-VALUE(RIGHT(IFERROR(INDEX('Crafting recipes'!$H$6:$H$1005,MATCH(J1380,'Crafting recipes'!$A$6:$A$1005,0)),"MISSING ID"),1)),0)=1,IF(B1380=IFERROR(INDEX('Crafting recipes'!$H$6:$H$1005,MATCH(J1380,'Crafting recipes'!$A$6:$A$1005,0)),"MISSING ID"),"Advances one material tier","Lower-tier ingredient; route advances one tier"),"Needs tier review"))))))</x:f>
        <x:v>Finished endpoint</x:v>
      </x:c>
      <x:c r="S1380" s="4" t="str">
        <x:f>IFERROR(INDEX('Material routes'!$D$6:$D$2205,MATCH(U1380,'Material routes'!$A$6:$A$2205,0)),"MISSING ID")</x:f>
        <x:v>proposal.audit.contained_dry_working_gas</x:v>
      </x:c>
      <x:c r="T1380" s="4" t="str">
        <x:f>IFERROR(INDEX('Material routes'!$D$6:$D$2205,MATCH(V1380,'Material routes'!$A$6:$A$2205,0)),"MISSING ID")</x:f>
        <x:v>proposal.collection.sealed_pressure_accumulator</x:v>
      </x:c>
      <x:c r="U1380" s="4" t="str">
        <x:v>design.collection.sealed_pressure_accumulator.audit.extra.51</x:v>
      </x:c>
      <x:c r="V1380" s="4" t="str">
        <x:v>design.collection.sealed_pressure_accumulator.out</x:v>
      </x:c>
    </x:row>
    <x:row r="1381" ht="64" customHeight="1">
      <x:c r="A1381" s="4" t="str">
        <x:f>IFERROR(INDEX('Material routes'!$E$6:$E$2205,MATCH(U1381,'Material routes'!$A$6:$A$2205,0)),"MISSING ID")</x:f>
        <x:v>Mineral-cell electrolyte candidate</x:v>
      </x:c>
      <x:c r="B1381" s="4" t="str">
        <x:f>IFERROR(INDEX('Material routes'!$F$6:$F$2205,MATCH(U1381,'Material routes'!$A$6:$A$2205,0)),"MISSING ID")</x:f>
        <x:v>T2</x:v>
      </x:c>
      <x:c r="C1381" s="4" t="str">
        <x:f>IFERROR(INDEX('Material routes'!$H$6:$H$2205,MATCH(U1381,'Material routes'!$A$6:$A$2205,0)),"MISSING ID")</x:f>
        <x:v>Chemical material</x:v>
      </x:c>
      <x:c r="D1381" s="4" t="str">
        <x:f>IFERROR(INDEX('Material routes'!$G$6:$G$2205,MATCH(U1381,'Material routes'!$A$6:$A$2205,0)),"MISSING ID")</x:f>
        <x:v>Crafting components</x:v>
      </x:c>
      <x:c r="E1381" s="4" t="str">
        <x:f>IFERROR(INDEX('Material routes'!$C$6:$C$2205,MATCH(U1381,'Material routes'!$A$6:$A$2205,0)),"MISSING ID")</x:f>
        <x:v>Ingredient candidate</x:v>
      </x:c>
      <x:c r="F1381" s="4" t="str">
        <x:f>IFERROR(INDEX('Material routes'!$E$6:$E$2205,MATCH(V1381,'Material routes'!$A$6:$A$2205,0)),"MISSING ID")</x:f>
        <x:v>Ceramic-housed mineral battery</x:v>
      </x:c>
      <x:c r="G1381" s="4" t="str">
        <x:f>IFERROR(INDEX('Material routes'!$F$6:$F$2205,MATCH(V1381,'Material routes'!$A$6:$A$2205,0)),"MISSING ID")</x:f>
        <x:v>Not applicable</x:v>
      </x:c>
      <x:c r="H1381" s="4" t="str">
        <x:f>IFERROR(INDEX('Material routes'!$H$6:$H$2205,MATCH(V1381,'Material routes'!$A$6:$A$2205,0)),"MISSING ID")</x:f>
        <x:v>Energy storage</x:v>
      </x:c>
      <x:c r="I1381" s="4" t="str">
        <x:f>IFERROR(INDEX('Material routes'!$G$6:$G$2205,MATCH(V1381,'Material routes'!$A$6:$A$2205,0)),"MISSING ID")</x:f>
        <x:v>Crafting components</x:v>
      </x:c>
      <x:c r="J1381" s="4" t="str">
        <x:f>IFERROR(INDEX('Material routes'!$B$6:$B$2205,MATCH(U1381,'Material routes'!$A$6:$A$2205,0)),"MISSING ID")</x:f>
        <x:v>design.collection.ceramic_housed_mineral_battery</x:v>
      </x:c>
      <x:c r="K1381" s="4" t="str">
        <x:f>IFERROR(INDEX('Crafting recipes'!$C$6:$C$1005,MATCH(J1381,'Crafting recipes'!$A$6:$A$1005,0)),"MISSING ID")</x:f>
        <x:v>Finished-item crafting</x:v>
      </x:c>
      <x:c r="L1381" s="4" t="str">
        <x:f>IFERROR(INDEX('Material routes'!$K$6:$K$2205,MATCH(U1381,'Material routes'!$A$6:$A$2205,0)),"MISSING ID")</x:f>
        <x:v>Proposal</x:v>
      </x:c>
      <x:c r="M1381" s="4" t="str">
        <x:f>IFERROR(INDEX('Material routes'!$M$6:$M$2205,MATCH(U1381,'Material routes'!$A$6:$A$2205,0)),"MISSING ID")</x:f>
        <x:v>Partial proposal</x:v>
      </x:c>
      <x:c r="N1381" s="4"/>
      <x:c r="O1381" s="4" t="str">
        <x:f>IFERROR(INDEX('Material routes'!$J$6:$J$2205,MATCH(U1381,'Material routes'!$A$6:$A$2205,0)),"MISSING ID")</x:f>
        <x:v>Unspecified</x:v>
      </x:c>
      <x:c r="P1381" s="4"/>
      <x:c r="Q1381" s="4" t="str">
        <x:f>IFERROR(INDEX('Material routes'!$J$6:$J$2205,MATCH(V1381,'Material routes'!$A$6:$A$2205,0)),"MISSING ID")</x:f>
        <x:v>Unspecified</x:v>
      </x:c>
      <x:c r="R1381" s="4" t="str">
        <x:f>IF(L1381="Withheld","Withheld premise",IF(E1381="Tool candidate","Reusable prerequisite",IF(K1381="Raw entry preparation","Entry-resource preparation",IF(G1381="Not applicable",IF(IFERROR(INDEX('Items'!$AI$6:$AI$1005,MATCH(T1381,'Items'!$A$6:$A$1005,0)),"MISSING ID")="Finished item","Finished endpoint",IF(IFERROR(INDEX('Items'!$AI$6:$AI$1005,MATCH(T1381,'Items'!$A$6:$A$1005,0)),"MISSING ID")="Currency","Currency / no refinement tier","Recovered output / tier not applicable")),IF(OR(IFERROR(INDEX('Crafting recipes'!$H$6:$H$1005,MATCH(J1381,'Crafting recipes'!$A$6:$A$1005,0)),"MISSING ID")="Unassigned",G1381="Unassigned"),"Tier unresolved",IF(IFERROR(VALUE(RIGHT(G1381,1))-VALUE(RIGHT(IFERROR(INDEX('Crafting recipes'!$H$6:$H$1005,MATCH(J1381,'Crafting recipes'!$A$6:$A$1005,0)),"MISSING ID"),1)),0)=1,IF(B1381=IFERROR(INDEX('Crafting recipes'!$H$6:$H$1005,MATCH(J1381,'Crafting recipes'!$A$6:$A$1005,0)),"MISSING ID"),"Advances one material tier","Lower-tier ingredient; route advances one tier"),"Needs tier review"))))))</x:f>
        <x:v>Finished endpoint</x:v>
      </x:c>
      <x:c r="S1381" s="4" t="str">
        <x:f>IFERROR(INDEX('Material routes'!$D$6:$D$2205,MATCH(U1381,'Material routes'!$A$6:$A$2205,0)),"MISSING ID")</x:f>
        <x:v>proposal.audit.mineral_cell_electrolyte_candidate</x:v>
      </x:c>
      <x:c r="T1381" s="4" t="str">
        <x:f>IFERROR(INDEX('Material routes'!$D$6:$D$2205,MATCH(V1381,'Material routes'!$A$6:$A$2205,0)),"MISSING ID")</x:f>
        <x:v>proposal.collection.ceramic_housed_mineral_battery</x:v>
      </x:c>
      <x:c r="U1381" s="4" t="str">
        <x:v>design.collection.ceramic_housed_mineral_battery.audit.extra.52</x:v>
      </x:c>
      <x:c r="V1381" s="4" t="str">
        <x:v>design.collection.ceramic_housed_mineral_battery.out</x:v>
      </x:c>
    </x:row>
    <x:row r="1382" ht="64" customHeight="1">
      <x:c r="A1382" s="4" t="str">
        <x:f>IFERROR(INDEX('Material routes'!$E$6:$E$2205,MATCH(U1382,'Material routes'!$A$6:$A$2205,0)),"MISSING ID")</x:f>
        <x:v>Graphite electrode plate stock</x:v>
      </x:c>
      <x:c r="B1382" s="4" t="str">
        <x:f>IFERROR(INDEX('Material routes'!$F$6:$F$2205,MATCH(U1382,'Material routes'!$A$6:$A$2205,0)),"MISSING ID")</x:f>
        <x:v>T2</x:v>
      </x:c>
      <x:c r="C1382" s="4" t="str">
        <x:f>IFERROR(INDEX('Material routes'!$H$6:$H$2205,MATCH(U1382,'Material routes'!$A$6:$A$2205,0)),"MISSING ID")</x:f>
        <x:v>Processed material</x:v>
      </x:c>
      <x:c r="D1382" s="4" t="str">
        <x:f>IFERROR(INDEX('Material routes'!$G$6:$G$2205,MATCH(U1382,'Material routes'!$A$6:$A$2205,0)),"MISSING ID")</x:f>
        <x:v>Manufactured stock</x:v>
      </x:c>
      <x:c r="E1382" s="4" t="str">
        <x:f>IFERROR(INDEX('Material routes'!$C$6:$C$2205,MATCH(U1382,'Material routes'!$A$6:$A$2205,0)),"MISSING ID")</x:f>
        <x:v>Ingredient candidate</x:v>
      </x:c>
      <x:c r="F1382" s="4" t="str">
        <x:f>IFERROR(INDEX('Material routes'!$E$6:$E$2205,MATCH(V1382,'Material routes'!$A$6:$A$2205,0)),"MISSING ID")</x:f>
        <x:v>Ceramic-housed mineral battery</x:v>
      </x:c>
      <x:c r="G1382" s="4" t="str">
        <x:f>IFERROR(INDEX('Material routes'!$F$6:$F$2205,MATCH(V1382,'Material routes'!$A$6:$A$2205,0)),"MISSING ID")</x:f>
        <x:v>Not applicable</x:v>
      </x:c>
      <x:c r="H1382" s="4" t="str">
        <x:f>IFERROR(INDEX('Material routes'!$H$6:$H$2205,MATCH(V1382,'Material routes'!$A$6:$A$2205,0)),"MISSING ID")</x:f>
        <x:v>Energy storage</x:v>
      </x:c>
      <x:c r="I1382" s="4" t="str">
        <x:f>IFERROR(INDEX('Material routes'!$G$6:$G$2205,MATCH(V1382,'Material routes'!$A$6:$A$2205,0)),"MISSING ID")</x:f>
        <x:v>Crafting components</x:v>
      </x:c>
      <x:c r="J1382" s="4" t="str">
        <x:f>IFERROR(INDEX('Material routes'!$B$6:$B$2205,MATCH(U1382,'Material routes'!$A$6:$A$2205,0)),"MISSING ID")</x:f>
        <x:v>design.collection.ceramic_housed_mineral_battery</x:v>
      </x:c>
      <x:c r="K1382" s="4" t="str">
        <x:f>IFERROR(INDEX('Crafting recipes'!$C$6:$C$1005,MATCH(J1382,'Crafting recipes'!$A$6:$A$1005,0)),"MISSING ID")</x:f>
        <x:v>Finished-item crafting</x:v>
      </x:c>
      <x:c r="L1382" s="4" t="str">
        <x:f>IFERROR(INDEX('Material routes'!$K$6:$K$2205,MATCH(U1382,'Material routes'!$A$6:$A$2205,0)),"MISSING ID")</x:f>
        <x:v>Proposal</x:v>
      </x:c>
      <x:c r="M1382" s="4" t="str">
        <x:f>IFERROR(INDEX('Material routes'!$M$6:$M$2205,MATCH(U1382,'Material routes'!$A$6:$A$2205,0)),"MISSING ID")</x:f>
        <x:v>Partial proposal</x:v>
      </x:c>
      <x:c r="N1382" s="4"/>
      <x:c r="O1382" s="4" t="str">
        <x:f>IFERROR(INDEX('Material routes'!$J$6:$J$2205,MATCH(U1382,'Material routes'!$A$6:$A$2205,0)),"MISSING ID")</x:f>
        <x:v>Unspecified</x:v>
      </x:c>
      <x:c r="P1382" s="4"/>
      <x:c r="Q1382" s="4" t="str">
        <x:f>IFERROR(INDEX('Material routes'!$J$6:$J$2205,MATCH(V1382,'Material routes'!$A$6:$A$2205,0)),"MISSING ID")</x:f>
        <x:v>Unspecified</x:v>
      </x:c>
      <x:c r="R1382" s="4" t="str">
        <x:f>IF(L1382="Withheld","Withheld premise",IF(E1382="Tool candidate","Reusable prerequisite",IF(K1382="Raw entry preparation","Entry-resource preparation",IF(G1382="Not applicable",IF(IFERROR(INDEX('Items'!$AI$6:$AI$1005,MATCH(T1382,'Items'!$A$6:$A$1005,0)),"MISSING ID")="Finished item","Finished endpoint",IF(IFERROR(INDEX('Items'!$AI$6:$AI$1005,MATCH(T1382,'Items'!$A$6:$A$1005,0)),"MISSING ID")="Currency","Currency / no refinement tier","Recovered output / tier not applicable")),IF(OR(IFERROR(INDEX('Crafting recipes'!$H$6:$H$1005,MATCH(J1382,'Crafting recipes'!$A$6:$A$1005,0)),"MISSING ID")="Unassigned",G1382="Unassigned"),"Tier unresolved",IF(IFERROR(VALUE(RIGHT(G1382,1))-VALUE(RIGHT(IFERROR(INDEX('Crafting recipes'!$H$6:$H$1005,MATCH(J1382,'Crafting recipes'!$A$6:$A$1005,0)),"MISSING ID"),1)),0)=1,IF(B1382=IFERROR(INDEX('Crafting recipes'!$H$6:$H$1005,MATCH(J1382,'Crafting recipes'!$A$6:$A$1005,0)),"MISSING ID"),"Advances one material tier","Lower-tier ingredient; route advances one tier"),"Needs tier review"))))))</x:f>
        <x:v>Finished endpoint</x:v>
      </x:c>
      <x:c r="S1382" s="4" t="str">
        <x:f>IFERROR(INDEX('Material routes'!$D$6:$D$2205,MATCH(U1382,'Material routes'!$A$6:$A$2205,0)),"MISSING ID")</x:f>
        <x:v>proposal.audit.graphite_electrode_plate_stock</x:v>
      </x:c>
      <x:c r="T1382" s="4" t="str">
        <x:f>IFERROR(INDEX('Material routes'!$D$6:$D$2205,MATCH(V1382,'Material routes'!$A$6:$A$2205,0)),"MISSING ID")</x:f>
        <x:v>proposal.collection.ceramic_housed_mineral_battery</x:v>
      </x:c>
      <x:c r="U1382" s="4" t="str">
        <x:v>design.collection.ceramic_housed_mineral_battery.audit.extra.53</x:v>
      </x:c>
      <x:c r="V1382" s="4" t="str">
        <x:v>design.collection.ceramic_housed_mineral_battery.out</x:v>
      </x:c>
    </x:row>
    <x:row r="1383" ht="64" customHeight="1">
      <x:c r="A1383" s="4" t="str">
        <x:f>IFERROR(INDEX('Material routes'!$E$6:$E$2205,MATCH(U1383,'Material routes'!$A$6:$A$2205,0)),"MISSING ID")</x:f>
        <x:v>Serviceable insulated contact block</x:v>
      </x:c>
      <x:c r="B1383" s="4" t="str">
        <x:f>IFERROR(INDEX('Material routes'!$F$6:$F$2205,MATCH(U1383,'Material routes'!$A$6:$A$2205,0)),"MISSING ID")</x:f>
        <x:v>T4</x:v>
      </x:c>
      <x:c r="C1383" s="4" t="str">
        <x:f>IFERROR(INDEX('Material routes'!$H$6:$H$2205,MATCH(U1383,'Material routes'!$A$6:$A$2205,0)),"MISSING ID")</x:f>
        <x:v>Crafting component</x:v>
      </x:c>
      <x:c r="D1383" s="4" t="str">
        <x:f>IFERROR(INDEX('Material routes'!$G$6:$G$2205,MATCH(U1383,'Material routes'!$A$6:$A$2205,0)),"MISSING ID")</x:f>
        <x:v>Crafting components</x:v>
      </x:c>
      <x:c r="E1383" s="4" t="str">
        <x:f>IFERROR(INDEX('Material routes'!$C$6:$C$2205,MATCH(U1383,'Material routes'!$A$6:$A$2205,0)),"MISSING ID")</x:f>
        <x:v>Ingredient candidate</x:v>
      </x:c>
      <x:c r="F1383" s="4" t="str">
        <x:f>IFERROR(INDEX('Material routes'!$E$6:$E$2205,MATCH(V1383,'Material routes'!$A$6:$A$2205,0)),"MISSING ID")</x:f>
        <x:v>Ceramic-housed mineral battery</x:v>
      </x:c>
      <x:c r="G1383" s="4" t="str">
        <x:f>IFERROR(INDEX('Material routes'!$F$6:$F$2205,MATCH(V1383,'Material routes'!$A$6:$A$2205,0)),"MISSING ID")</x:f>
        <x:v>Not applicable</x:v>
      </x:c>
      <x:c r="H1383" s="4" t="str">
        <x:f>IFERROR(INDEX('Material routes'!$H$6:$H$2205,MATCH(V1383,'Material routes'!$A$6:$A$2205,0)),"MISSING ID")</x:f>
        <x:v>Energy storage</x:v>
      </x:c>
      <x:c r="I1383" s="4" t="str">
        <x:f>IFERROR(INDEX('Material routes'!$G$6:$G$2205,MATCH(V1383,'Material routes'!$A$6:$A$2205,0)),"MISSING ID")</x:f>
        <x:v>Crafting components</x:v>
      </x:c>
      <x:c r="J1383" s="4" t="str">
        <x:f>IFERROR(INDEX('Material routes'!$B$6:$B$2205,MATCH(U1383,'Material routes'!$A$6:$A$2205,0)),"MISSING ID")</x:f>
        <x:v>design.collection.ceramic_housed_mineral_battery</x:v>
      </x:c>
      <x:c r="K1383" s="4" t="str">
        <x:f>IFERROR(INDEX('Crafting recipes'!$C$6:$C$1005,MATCH(J1383,'Crafting recipes'!$A$6:$A$1005,0)),"MISSING ID")</x:f>
        <x:v>Finished-item crafting</x:v>
      </x:c>
      <x:c r="L1383" s="4" t="str">
        <x:f>IFERROR(INDEX('Material routes'!$K$6:$K$2205,MATCH(U1383,'Material routes'!$A$6:$A$2205,0)),"MISSING ID")</x:f>
        <x:v>Proposal</x:v>
      </x:c>
      <x:c r="M1383" s="4" t="str">
        <x:f>IFERROR(INDEX('Material routes'!$M$6:$M$2205,MATCH(U1383,'Material routes'!$A$6:$A$2205,0)),"MISSING ID")</x:f>
        <x:v>Partial proposal</x:v>
      </x:c>
      <x:c r="N1383" s="4"/>
      <x:c r="O1383" s="4" t="str">
        <x:f>IFERROR(INDEX('Material routes'!$J$6:$J$2205,MATCH(U1383,'Material routes'!$A$6:$A$2205,0)),"MISSING ID")</x:f>
        <x:v>Unspecified</x:v>
      </x:c>
      <x:c r="P1383" s="4"/>
      <x:c r="Q1383" s="4" t="str">
        <x:f>IFERROR(INDEX('Material routes'!$J$6:$J$2205,MATCH(V1383,'Material routes'!$A$6:$A$2205,0)),"MISSING ID")</x:f>
        <x:v>Unspecified</x:v>
      </x:c>
      <x:c r="R1383" s="4" t="str">
        <x:f>IF(L1383="Withheld","Withheld premise",IF(E1383="Tool candidate","Reusable prerequisite",IF(K1383="Raw entry preparation","Entry-resource preparation",IF(G1383="Not applicable",IF(IFERROR(INDEX('Items'!$AI$6:$AI$1005,MATCH(T1383,'Items'!$A$6:$A$1005,0)),"MISSING ID")="Finished item","Finished endpoint",IF(IFERROR(INDEX('Items'!$AI$6:$AI$1005,MATCH(T1383,'Items'!$A$6:$A$1005,0)),"MISSING ID")="Currency","Currency / no refinement tier","Recovered output / tier not applicable")),IF(OR(IFERROR(INDEX('Crafting recipes'!$H$6:$H$1005,MATCH(J1383,'Crafting recipes'!$A$6:$A$1005,0)),"MISSING ID")="Unassigned",G1383="Unassigned"),"Tier unresolved",IF(IFERROR(VALUE(RIGHT(G1383,1))-VALUE(RIGHT(IFERROR(INDEX('Crafting recipes'!$H$6:$H$1005,MATCH(J1383,'Crafting recipes'!$A$6:$A$1005,0)),"MISSING ID"),1)),0)=1,IF(B1383=IFERROR(INDEX('Crafting recipes'!$H$6:$H$1005,MATCH(J1383,'Crafting recipes'!$A$6:$A$1005,0)),"MISSING ID"),"Advances one material tier","Lower-tier ingredient; route advances one tier"),"Needs tier review"))))))</x:f>
        <x:v>Finished endpoint</x:v>
      </x:c>
      <x:c r="S1383" s="4" t="str">
        <x:f>IFERROR(INDEX('Material routes'!$D$6:$D$2205,MATCH(U1383,'Material routes'!$A$6:$A$2205,0)),"MISSING ID")</x:f>
        <x:v>proposal.t4.contact_block</x:v>
      </x:c>
      <x:c r="T1383" s="4" t="str">
        <x:f>IFERROR(INDEX('Material routes'!$D$6:$D$2205,MATCH(V1383,'Material routes'!$A$6:$A$2205,0)),"MISSING ID")</x:f>
        <x:v>proposal.collection.ceramic_housed_mineral_battery</x:v>
      </x:c>
      <x:c r="U1383" s="4" t="str">
        <x:v>design.collection.ceramic_housed_mineral_battery.audit.extra.54</x:v>
      </x:c>
      <x:c r="V1383" s="4" t="str">
        <x:v>design.collection.ceramic_housed_mineral_battery.out</x:v>
      </x:c>
    </x:row>
    <x:row r="1384" ht="64" customHeight="1">
      <x:c r="A1384" s="4" t="str">
        <x:f>IFERROR(INDEX('Material routes'!$E$6:$E$2205,MATCH(U1384,'Material routes'!$A$6:$A$2205,0)),"MISSING ID")</x:f>
        <x:v>Replacement seal ring</x:v>
      </x:c>
      <x:c r="B1384" s="4" t="str">
        <x:f>IFERROR(INDEX('Material routes'!$F$6:$F$2205,MATCH(U1384,'Material routes'!$A$6:$A$2205,0)),"MISSING ID")</x:f>
        <x:v>T3</x:v>
      </x:c>
      <x:c r="C1384" s="4" t="str">
        <x:f>IFERROR(INDEX('Material routes'!$H$6:$H$2205,MATCH(U1384,'Material routes'!$A$6:$A$2205,0)),"MISSING ID")</x:f>
        <x:v>Container part</x:v>
      </x:c>
      <x:c r="D1384" s="4" t="str">
        <x:f>IFERROR(INDEX('Material routes'!$G$6:$G$2205,MATCH(U1384,'Material routes'!$A$6:$A$2205,0)),"MISSING ID")</x:f>
        <x:v>Crafting components</x:v>
      </x:c>
      <x:c r="E1384" s="4" t="str">
        <x:f>IFERROR(INDEX('Material routes'!$C$6:$C$2205,MATCH(U1384,'Material routes'!$A$6:$A$2205,0)),"MISSING ID")</x:f>
        <x:v>Ingredient candidate</x:v>
      </x:c>
      <x:c r="F1384" s="4" t="str">
        <x:f>IFERROR(INDEX('Material routes'!$E$6:$E$2205,MATCH(V1384,'Material routes'!$A$6:$A$2205,0)),"MISSING ID")</x:f>
        <x:v>Ceramic-housed mineral battery</x:v>
      </x:c>
      <x:c r="G1384" s="4" t="str">
        <x:f>IFERROR(INDEX('Material routes'!$F$6:$F$2205,MATCH(V1384,'Material routes'!$A$6:$A$2205,0)),"MISSING ID")</x:f>
        <x:v>Not applicable</x:v>
      </x:c>
      <x:c r="H1384" s="4" t="str">
        <x:f>IFERROR(INDEX('Material routes'!$H$6:$H$2205,MATCH(V1384,'Material routes'!$A$6:$A$2205,0)),"MISSING ID")</x:f>
        <x:v>Energy storage</x:v>
      </x:c>
      <x:c r="I1384" s="4" t="str">
        <x:f>IFERROR(INDEX('Material routes'!$G$6:$G$2205,MATCH(V1384,'Material routes'!$A$6:$A$2205,0)),"MISSING ID")</x:f>
        <x:v>Crafting components</x:v>
      </x:c>
      <x:c r="J1384" s="4" t="str">
        <x:f>IFERROR(INDEX('Material routes'!$B$6:$B$2205,MATCH(U1384,'Material routes'!$A$6:$A$2205,0)),"MISSING ID")</x:f>
        <x:v>design.collection.ceramic_housed_mineral_battery</x:v>
      </x:c>
      <x:c r="K1384" s="4" t="str">
        <x:f>IFERROR(INDEX('Crafting recipes'!$C$6:$C$1005,MATCH(J1384,'Crafting recipes'!$A$6:$A$1005,0)),"MISSING ID")</x:f>
        <x:v>Finished-item crafting</x:v>
      </x:c>
      <x:c r="L1384" s="4" t="str">
        <x:f>IFERROR(INDEX('Material routes'!$K$6:$K$2205,MATCH(U1384,'Material routes'!$A$6:$A$2205,0)),"MISSING ID")</x:f>
        <x:v>Proposal</x:v>
      </x:c>
      <x:c r="M1384" s="4" t="str">
        <x:f>IFERROR(INDEX('Material routes'!$M$6:$M$2205,MATCH(U1384,'Material routes'!$A$6:$A$2205,0)),"MISSING ID")</x:f>
        <x:v>Partial proposal</x:v>
      </x:c>
      <x:c r="N1384" s="4"/>
      <x:c r="O1384" s="4" t="str">
        <x:f>IFERROR(INDEX('Material routes'!$J$6:$J$2205,MATCH(U1384,'Material routes'!$A$6:$A$2205,0)),"MISSING ID")</x:f>
        <x:v>Unspecified</x:v>
      </x:c>
      <x:c r="P1384" s="4"/>
      <x:c r="Q1384" s="4" t="str">
        <x:f>IFERROR(INDEX('Material routes'!$J$6:$J$2205,MATCH(V1384,'Material routes'!$A$6:$A$2205,0)),"MISSING ID")</x:f>
        <x:v>Unspecified</x:v>
      </x:c>
      <x:c r="R1384" s="4" t="str">
        <x:f>IF(L1384="Withheld","Withheld premise",IF(E1384="Tool candidate","Reusable prerequisite",IF(K1384="Raw entry preparation","Entry-resource preparation",IF(G1384="Not applicable",IF(IFERROR(INDEX('Items'!$AI$6:$AI$1005,MATCH(T1384,'Items'!$A$6:$A$1005,0)),"MISSING ID")="Finished item","Finished endpoint",IF(IFERROR(INDEX('Items'!$AI$6:$AI$1005,MATCH(T1384,'Items'!$A$6:$A$1005,0)),"MISSING ID")="Currency","Currency / no refinement tier","Recovered output / tier not applicable")),IF(OR(IFERROR(INDEX('Crafting recipes'!$H$6:$H$1005,MATCH(J1384,'Crafting recipes'!$A$6:$A$1005,0)),"MISSING ID")="Unassigned",G1384="Unassigned"),"Tier unresolved",IF(IFERROR(VALUE(RIGHT(G1384,1))-VALUE(RIGHT(IFERROR(INDEX('Crafting recipes'!$H$6:$H$1005,MATCH(J1384,'Crafting recipes'!$A$6:$A$1005,0)),"MISSING ID"),1)),0)=1,IF(B1384=IFERROR(INDEX('Crafting recipes'!$H$6:$H$1005,MATCH(J1384,'Crafting recipes'!$A$6:$A$1005,0)),"MISSING ID"),"Advances one material tier","Lower-tier ingredient; route advances one tier"),"Needs tier review"))))))</x:f>
        <x:v>Finished endpoint</x:v>
      </x:c>
      <x:c r="S1384" s="4" t="str">
        <x:f>IFERROR(INDEX('Material routes'!$D$6:$D$2205,MATCH(U1384,'Material routes'!$A$6:$A$2205,0)),"MISSING ID")</x:f>
        <x:v>proposal.canister.seal_ring</x:v>
      </x:c>
      <x:c r="T1384" s="4" t="str">
        <x:f>IFERROR(INDEX('Material routes'!$D$6:$D$2205,MATCH(V1384,'Material routes'!$A$6:$A$2205,0)),"MISSING ID")</x:f>
        <x:v>proposal.collection.ceramic_housed_mineral_battery</x:v>
      </x:c>
      <x:c r="U1384" s="4" t="str">
        <x:v>design.collection.ceramic_housed_mineral_battery.audit.extra.55</x:v>
      </x:c>
      <x:c r="V1384" s="4" t="str">
        <x:v>design.collection.ceramic_housed_mineral_battery.out</x:v>
      </x:c>
    </x:row>
    <x:row r="1385" ht="64" customHeight="1">
      <x:c r="A1385" s="4" t="str">
        <x:f>IFERROR(INDEX('Material routes'!$E$6:$E$2205,MATCH(U1385,'Material routes'!$A$6:$A$2205,0)),"MISSING ID")</x:f>
        <x:v>Mineral-cell electrolyte candidate</x:v>
      </x:c>
      <x:c r="B1385" s="4" t="str">
        <x:f>IFERROR(INDEX('Material routes'!$F$6:$F$2205,MATCH(U1385,'Material routes'!$A$6:$A$2205,0)),"MISSING ID")</x:f>
        <x:v>T2</x:v>
      </x:c>
      <x:c r="C1385" s="4" t="str">
        <x:f>IFERROR(INDEX('Material routes'!$H$6:$H$2205,MATCH(U1385,'Material routes'!$A$6:$A$2205,0)),"MISSING ID")</x:f>
        <x:v>Chemical material</x:v>
      </x:c>
      <x:c r="D1385" s="4" t="str">
        <x:f>IFERROR(INDEX('Material routes'!$G$6:$G$2205,MATCH(U1385,'Material routes'!$A$6:$A$2205,0)),"MISSING ID")</x:f>
        <x:v>Crafting components</x:v>
      </x:c>
      <x:c r="E1385" s="4" t="str">
        <x:f>IFERROR(INDEX('Material routes'!$C$6:$C$2205,MATCH(U1385,'Material routes'!$A$6:$A$2205,0)),"MISSING ID")</x:f>
        <x:v>Ingredient candidate</x:v>
      </x:c>
      <x:c r="F1385" s="4" t="str">
        <x:f>IFERROR(INDEX('Material routes'!$E$6:$E$2205,MATCH(V1385,'Material routes'!$A$6:$A$2205,0)),"MISSING ID")</x:f>
        <x:v>Replaceable electrode battery jar</x:v>
      </x:c>
      <x:c r="G1385" s="4" t="str">
        <x:f>IFERROR(INDEX('Material routes'!$F$6:$F$2205,MATCH(V1385,'Material routes'!$A$6:$A$2205,0)),"MISSING ID")</x:f>
        <x:v>Not applicable</x:v>
      </x:c>
      <x:c r="H1385" s="4" t="str">
        <x:f>IFERROR(INDEX('Material routes'!$H$6:$H$2205,MATCH(V1385,'Material routes'!$A$6:$A$2205,0)),"MISSING ID")</x:f>
        <x:v>Energy storage</x:v>
      </x:c>
      <x:c r="I1385" s="4" t="str">
        <x:f>IFERROR(INDEX('Material routes'!$G$6:$G$2205,MATCH(V1385,'Material routes'!$A$6:$A$2205,0)),"MISSING ID")</x:f>
        <x:v>Salvage</x:v>
      </x:c>
      <x:c r="J1385" s="4" t="str">
        <x:f>IFERROR(INDEX('Material routes'!$B$6:$B$2205,MATCH(U1385,'Material routes'!$A$6:$A$2205,0)),"MISSING ID")</x:f>
        <x:v>design.collection.replaceable_electrode_battery_jar</x:v>
      </x:c>
      <x:c r="K1385" s="4" t="str">
        <x:f>IFERROR(INDEX('Crafting recipes'!$C$6:$C$1005,MATCH(J1385,'Crafting recipes'!$A$6:$A$1005,0)),"MISSING ID")</x:f>
        <x:v>Finished-item crafting</x:v>
      </x:c>
      <x:c r="L1385" s="4" t="str">
        <x:f>IFERROR(INDEX('Material routes'!$K$6:$K$2205,MATCH(U1385,'Material routes'!$A$6:$A$2205,0)),"MISSING ID")</x:f>
        <x:v>Proposal</x:v>
      </x:c>
      <x:c r="M1385" s="4" t="str">
        <x:f>IFERROR(INDEX('Material routes'!$M$6:$M$2205,MATCH(U1385,'Material routes'!$A$6:$A$2205,0)),"MISSING ID")</x:f>
        <x:v>Partial proposal</x:v>
      </x:c>
      <x:c r="N1385" s="4"/>
      <x:c r="O1385" s="4" t="str">
        <x:f>IFERROR(INDEX('Material routes'!$J$6:$J$2205,MATCH(U1385,'Material routes'!$A$6:$A$2205,0)),"MISSING ID")</x:f>
        <x:v>Unspecified</x:v>
      </x:c>
      <x:c r="P1385" s="4"/>
      <x:c r="Q1385" s="4" t="str">
        <x:f>IFERROR(INDEX('Material routes'!$J$6:$J$2205,MATCH(V1385,'Material routes'!$A$6:$A$2205,0)),"MISSING ID")</x:f>
        <x:v>Unspecified</x:v>
      </x:c>
      <x:c r="R1385" s="4" t="str">
        <x:f>IF(L1385="Withheld","Withheld premise",IF(E1385="Tool candidate","Reusable prerequisite",IF(K1385="Raw entry preparation","Entry-resource preparation",IF(G1385="Not applicable",IF(IFERROR(INDEX('Items'!$AI$6:$AI$1005,MATCH(T1385,'Items'!$A$6:$A$1005,0)),"MISSING ID")="Finished item","Finished endpoint",IF(IFERROR(INDEX('Items'!$AI$6:$AI$1005,MATCH(T1385,'Items'!$A$6:$A$1005,0)),"MISSING ID")="Currency","Currency / no refinement tier","Recovered output / tier not applicable")),IF(OR(IFERROR(INDEX('Crafting recipes'!$H$6:$H$1005,MATCH(J1385,'Crafting recipes'!$A$6:$A$1005,0)),"MISSING ID")="Unassigned",G1385="Unassigned"),"Tier unresolved",IF(IFERROR(VALUE(RIGHT(G1385,1))-VALUE(RIGHT(IFERROR(INDEX('Crafting recipes'!$H$6:$H$1005,MATCH(J1385,'Crafting recipes'!$A$6:$A$1005,0)),"MISSING ID"),1)),0)=1,IF(B1385=IFERROR(INDEX('Crafting recipes'!$H$6:$H$1005,MATCH(J1385,'Crafting recipes'!$A$6:$A$1005,0)),"MISSING ID"),"Advances one material tier","Lower-tier ingredient; route advances one tier"),"Needs tier review"))))))</x:f>
        <x:v>Finished endpoint</x:v>
      </x:c>
      <x:c r="S1385" s="4" t="str">
        <x:f>IFERROR(INDEX('Material routes'!$D$6:$D$2205,MATCH(U1385,'Material routes'!$A$6:$A$2205,0)),"MISSING ID")</x:f>
        <x:v>proposal.audit.mineral_cell_electrolyte_candidate</x:v>
      </x:c>
      <x:c r="T1385" s="4" t="str">
        <x:f>IFERROR(INDEX('Material routes'!$D$6:$D$2205,MATCH(V1385,'Material routes'!$A$6:$A$2205,0)),"MISSING ID")</x:f>
        <x:v>proposal.collection.replaceable_electrode_battery_jar</x:v>
      </x:c>
      <x:c r="U1385" s="4" t="str">
        <x:v>design.collection.replaceable_electrode_battery_jar.audit.extra.56</x:v>
      </x:c>
      <x:c r="V1385" s="4" t="str">
        <x:v>design.collection.replaceable_electrode_battery_jar.out</x:v>
      </x:c>
    </x:row>
    <x:row r="1386" ht="64" customHeight="1">
      <x:c r="A1386" s="4" t="str">
        <x:f>IFERROR(INDEX('Material routes'!$E$6:$E$2205,MATCH(U1386,'Material routes'!$A$6:$A$2205,0)),"MISSING ID")</x:f>
        <x:v>Graphite electrode plate stock</x:v>
      </x:c>
      <x:c r="B1386" s="4" t="str">
        <x:f>IFERROR(INDEX('Material routes'!$F$6:$F$2205,MATCH(U1386,'Material routes'!$A$6:$A$2205,0)),"MISSING ID")</x:f>
        <x:v>T2</x:v>
      </x:c>
      <x:c r="C1386" s="4" t="str">
        <x:f>IFERROR(INDEX('Material routes'!$H$6:$H$2205,MATCH(U1386,'Material routes'!$A$6:$A$2205,0)),"MISSING ID")</x:f>
        <x:v>Processed material</x:v>
      </x:c>
      <x:c r="D1386" s="4" t="str">
        <x:f>IFERROR(INDEX('Material routes'!$G$6:$G$2205,MATCH(U1386,'Material routes'!$A$6:$A$2205,0)),"MISSING ID")</x:f>
        <x:v>Manufactured stock</x:v>
      </x:c>
      <x:c r="E1386" s="4" t="str">
        <x:f>IFERROR(INDEX('Material routes'!$C$6:$C$2205,MATCH(U1386,'Material routes'!$A$6:$A$2205,0)),"MISSING ID")</x:f>
        <x:v>Ingredient candidate</x:v>
      </x:c>
      <x:c r="F1386" s="4" t="str">
        <x:f>IFERROR(INDEX('Material routes'!$E$6:$E$2205,MATCH(V1386,'Material routes'!$A$6:$A$2205,0)),"MISSING ID")</x:f>
        <x:v>Replaceable electrode battery jar</x:v>
      </x:c>
      <x:c r="G1386" s="4" t="str">
        <x:f>IFERROR(INDEX('Material routes'!$F$6:$F$2205,MATCH(V1386,'Material routes'!$A$6:$A$2205,0)),"MISSING ID")</x:f>
        <x:v>Not applicable</x:v>
      </x:c>
      <x:c r="H1386" s="4" t="str">
        <x:f>IFERROR(INDEX('Material routes'!$H$6:$H$2205,MATCH(V1386,'Material routes'!$A$6:$A$2205,0)),"MISSING ID")</x:f>
        <x:v>Energy storage</x:v>
      </x:c>
      <x:c r="I1386" s="4" t="str">
        <x:f>IFERROR(INDEX('Material routes'!$G$6:$G$2205,MATCH(V1386,'Material routes'!$A$6:$A$2205,0)),"MISSING ID")</x:f>
        <x:v>Salvage</x:v>
      </x:c>
      <x:c r="J1386" s="4" t="str">
        <x:f>IFERROR(INDEX('Material routes'!$B$6:$B$2205,MATCH(U1386,'Material routes'!$A$6:$A$2205,0)),"MISSING ID")</x:f>
        <x:v>design.collection.replaceable_electrode_battery_jar</x:v>
      </x:c>
      <x:c r="K1386" s="4" t="str">
        <x:f>IFERROR(INDEX('Crafting recipes'!$C$6:$C$1005,MATCH(J1386,'Crafting recipes'!$A$6:$A$1005,0)),"MISSING ID")</x:f>
        <x:v>Finished-item crafting</x:v>
      </x:c>
      <x:c r="L1386" s="4" t="str">
        <x:f>IFERROR(INDEX('Material routes'!$K$6:$K$2205,MATCH(U1386,'Material routes'!$A$6:$A$2205,0)),"MISSING ID")</x:f>
        <x:v>Proposal</x:v>
      </x:c>
      <x:c r="M1386" s="4" t="str">
        <x:f>IFERROR(INDEX('Material routes'!$M$6:$M$2205,MATCH(U1386,'Material routes'!$A$6:$A$2205,0)),"MISSING ID")</x:f>
        <x:v>Partial proposal</x:v>
      </x:c>
      <x:c r="N1386" s="4"/>
      <x:c r="O1386" s="4" t="str">
        <x:f>IFERROR(INDEX('Material routes'!$J$6:$J$2205,MATCH(U1386,'Material routes'!$A$6:$A$2205,0)),"MISSING ID")</x:f>
        <x:v>Unspecified</x:v>
      </x:c>
      <x:c r="P1386" s="4"/>
      <x:c r="Q1386" s="4" t="str">
        <x:f>IFERROR(INDEX('Material routes'!$J$6:$J$2205,MATCH(V1386,'Material routes'!$A$6:$A$2205,0)),"MISSING ID")</x:f>
        <x:v>Unspecified</x:v>
      </x:c>
      <x:c r="R1386" s="4" t="str">
        <x:f>IF(L1386="Withheld","Withheld premise",IF(E1386="Tool candidate","Reusable prerequisite",IF(K1386="Raw entry preparation","Entry-resource preparation",IF(G1386="Not applicable",IF(IFERROR(INDEX('Items'!$AI$6:$AI$1005,MATCH(T1386,'Items'!$A$6:$A$1005,0)),"MISSING ID")="Finished item","Finished endpoint",IF(IFERROR(INDEX('Items'!$AI$6:$AI$1005,MATCH(T1386,'Items'!$A$6:$A$1005,0)),"MISSING ID")="Currency","Currency / no refinement tier","Recovered output / tier not applicable")),IF(OR(IFERROR(INDEX('Crafting recipes'!$H$6:$H$1005,MATCH(J1386,'Crafting recipes'!$A$6:$A$1005,0)),"MISSING ID")="Unassigned",G1386="Unassigned"),"Tier unresolved",IF(IFERROR(VALUE(RIGHT(G1386,1))-VALUE(RIGHT(IFERROR(INDEX('Crafting recipes'!$H$6:$H$1005,MATCH(J1386,'Crafting recipes'!$A$6:$A$1005,0)),"MISSING ID"),1)),0)=1,IF(B1386=IFERROR(INDEX('Crafting recipes'!$H$6:$H$1005,MATCH(J1386,'Crafting recipes'!$A$6:$A$1005,0)),"MISSING ID"),"Advances one material tier","Lower-tier ingredient; route advances one tier"),"Needs tier review"))))))</x:f>
        <x:v>Finished endpoint</x:v>
      </x:c>
      <x:c r="S1386" s="4" t="str">
        <x:f>IFERROR(INDEX('Material routes'!$D$6:$D$2205,MATCH(U1386,'Material routes'!$A$6:$A$2205,0)),"MISSING ID")</x:f>
        <x:v>proposal.audit.graphite_electrode_plate_stock</x:v>
      </x:c>
      <x:c r="T1386" s="4" t="str">
        <x:f>IFERROR(INDEX('Material routes'!$D$6:$D$2205,MATCH(V1386,'Material routes'!$A$6:$A$2205,0)),"MISSING ID")</x:f>
        <x:v>proposal.collection.replaceable_electrode_battery_jar</x:v>
      </x:c>
      <x:c r="U1386" s="4" t="str">
        <x:v>design.collection.replaceable_electrode_battery_jar.audit.extra.57</x:v>
      </x:c>
      <x:c r="V1386" s="4" t="str">
        <x:v>design.collection.replaceable_electrode_battery_jar.out</x:v>
      </x:c>
    </x:row>
    <x:row r="1387" ht="64" customHeight="1">
      <x:c r="A1387" s="4" t="str">
        <x:f>IFERROR(INDEX('Material routes'!$E$6:$E$2205,MATCH(U1387,'Material routes'!$A$6:$A$2205,0)),"MISSING ID")</x:f>
        <x:v>Replacement seal ring</x:v>
      </x:c>
      <x:c r="B1387" s="4" t="str">
        <x:f>IFERROR(INDEX('Material routes'!$F$6:$F$2205,MATCH(U1387,'Material routes'!$A$6:$A$2205,0)),"MISSING ID")</x:f>
        <x:v>T3</x:v>
      </x:c>
      <x:c r="C1387" s="4" t="str">
        <x:f>IFERROR(INDEX('Material routes'!$H$6:$H$2205,MATCH(U1387,'Material routes'!$A$6:$A$2205,0)),"MISSING ID")</x:f>
        <x:v>Container part</x:v>
      </x:c>
      <x:c r="D1387" s="4" t="str">
        <x:f>IFERROR(INDEX('Material routes'!$G$6:$G$2205,MATCH(U1387,'Material routes'!$A$6:$A$2205,0)),"MISSING ID")</x:f>
        <x:v>Crafting components</x:v>
      </x:c>
      <x:c r="E1387" s="4" t="str">
        <x:f>IFERROR(INDEX('Material routes'!$C$6:$C$2205,MATCH(U1387,'Material routes'!$A$6:$A$2205,0)),"MISSING ID")</x:f>
        <x:v>Ingredient candidate</x:v>
      </x:c>
      <x:c r="F1387" s="4" t="str">
        <x:f>IFERROR(INDEX('Material routes'!$E$6:$E$2205,MATCH(V1387,'Material routes'!$A$6:$A$2205,0)),"MISSING ID")</x:f>
        <x:v>Replaceable electrode battery jar</x:v>
      </x:c>
      <x:c r="G1387" s="4" t="str">
        <x:f>IFERROR(INDEX('Material routes'!$F$6:$F$2205,MATCH(V1387,'Material routes'!$A$6:$A$2205,0)),"MISSING ID")</x:f>
        <x:v>Not applicable</x:v>
      </x:c>
      <x:c r="H1387" s="4" t="str">
        <x:f>IFERROR(INDEX('Material routes'!$H$6:$H$2205,MATCH(V1387,'Material routes'!$A$6:$A$2205,0)),"MISSING ID")</x:f>
        <x:v>Energy storage</x:v>
      </x:c>
      <x:c r="I1387" s="4" t="str">
        <x:f>IFERROR(INDEX('Material routes'!$G$6:$G$2205,MATCH(V1387,'Material routes'!$A$6:$A$2205,0)),"MISSING ID")</x:f>
        <x:v>Salvage</x:v>
      </x:c>
      <x:c r="J1387" s="4" t="str">
        <x:f>IFERROR(INDEX('Material routes'!$B$6:$B$2205,MATCH(U1387,'Material routes'!$A$6:$A$2205,0)),"MISSING ID")</x:f>
        <x:v>design.collection.replaceable_electrode_battery_jar</x:v>
      </x:c>
      <x:c r="K1387" s="4" t="str">
        <x:f>IFERROR(INDEX('Crafting recipes'!$C$6:$C$1005,MATCH(J1387,'Crafting recipes'!$A$6:$A$1005,0)),"MISSING ID")</x:f>
        <x:v>Finished-item crafting</x:v>
      </x:c>
      <x:c r="L1387" s="4" t="str">
        <x:f>IFERROR(INDEX('Material routes'!$K$6:$K$2205,MATCH(U1387,'Material routes'!$A$6:$A$2205,0)),"MISSING ID")</x:f>
        <x:v>Proposal</x:v>
      </x:c>
      <x:c r="M1387" s="4" t="str">
        <x:f>IFERROR(INDEX('Material routes'!$M$6:$M$2205,MATCH(U1387,'Material routes'!$A$6:$A$2205,0)),"MISSING ID")</x:f>
        <x:v>Partial proposal</x:v>
      </x:c>
      <x:c r="N1387" s="4"/>
      <x:c r="O1387" s="4" t="str">
        <x:f>IFERROR(INDEX('Material routes'!$J$6:$J$2205,MATCH(U1387,'Material routes'!$A$6:$A$2205,0)),"MISSING ID")</x:f>
        <x:v>Unspecified</x:v>
      </x:c>
      <x:c r="P1387" s="4"/>
      <x:c r="Q1387" s="4" t="str">
        <x:f>IFERROR(INDEX('Material routes'!$J$6:$J$2205,MATCH(V1387,'Material routes'!$A$6:$A$2205,0)),"MISSING ID")</x:f>
        <x:v>Unspecified</x:v>
      </x:c>
      <x:c r="R1387" s="4" t="str">
        <x:f>IF(L1387="Withheld","Withheld premise",IF(E1387="Tool candidate","Reusable prerequisite",IF(K1387="Raw entry preparation","Entry-resource preparation",IF(G1387="Not applicable",IF(IFERROR(INDEX('Items'!$AI$6:$AI$1005,MATCH(T1387,'Items'!$A$6:$A$1005,0)),"MISSING ID")="Finished item","Finished endpoint",IF(IFERROR(INDEX('Items'!$AI$6:$AI$1005,MATCH(T1387,'Items'!$A$6:$A$1005,0)),"MISSING ID")="Currency","Currency / no refinement tier","Recovered output / tier not applicable")),IF(OR(IFERROR(INDEX('Crafting recipes'!$H$6:$H$1005,MATCH(J1387,'Crafting recipes'!$A$6:$A$1005,0)),"MISSING ID")="Unassigned",G1387="Unassigned"),"Tier unresolved",IF(IFERROR(VALUE(RIGHT(G1387,1))-VALUE(RIGHT(IFERROR(INDEX('Crafting recipes'!$H$6:$H$1005,MATCH(J1387,'Crafting recipes'!$A$6:$A$1005,0)),"MISSING ID"),1)),0)=1,IF(B1387=IFERROR(INDEX('Crafting recipes'!$H$6:$H$1005,MATCH(J1387,'Crafting recipes'!$A$6:$A$1005,0)),"MISSING ID"),"Advances one material tier","Lower-tier ingredient; route advances one tier"),"Needs tier review"))))))</x:f>
        <x:v>Finished endpoint</x:v>
      </x:c>
      <x:c r="S1387" s="4" t="str">
        <x:f>IFERROR(INDEX('Material routes'!$D$6:$D$2205,MATCH(U1387,'Material routes'!$A$6:$A$2205,0)),"MISSING ID")</x:f>
        <x:v>proposal.canister.seal_ring</x:v>
      </x:c>
      <x:c r="T1387" s="4" t="str">
        <x:f>IFERROR(INDEX('Material routes'!$D$6:$D$2205,MATCH(V1387,'Material routes'!$A$6:$A$2205,0)),"MISSING ID")</x:f>
        <x:v>proposal.collection.replaceable_electrode_battery_jar</x:v>
      </x:c>
      <x:c r="U1387" s="4" t="str">
        <x:v>design.collection.replaceable_electrode_battery_jar.audit.extra.58</x:v>
      </x:c>
      <x:c r="V1387" s="4" t="str">
        <x:v>design.collection.replaceable_electrode_battery_jar.out</x:v>
      </x:c>
    </x:row>
    <x:row r="1388" ht="64" customHeight="1">
      <x:c r="A1388" s="4" t="str">
        <x:f>IFERROR(INDEX('Material routes'!$E$6:$E$2205,MATCH(U1388,'Material routes'!$A$6:$A$2205,0)),"MISSING ID")</x:f>
        <x:v>Mineral-cell electrolyte candidate</x:v>
      </x:c>
      <x:c r="B1388" s="4" t="str">
        <x:f>IFERROR(INDEX('Material routes'!$F$6:$F$2205,MATCH(U1388,'Material routes'!$A$6:$A$2205,0)),"MISSING ID")</x:f>
        <x:v>T2</x:v>
      </x:c>
      <x:c r="C1388" s="4" t="str">
        <x:f>IFERROR(INDEX('Material routes'!$H$6:$H$2205,MATCH(U1388,'Material routes'!$A$6:$A$2205,0)),"MISSING ID")</x:f>
        <x:v>Chemical material</x:v>
      </x:c>
      <x:c r="D1388" s="4" t="str">
        <x:f>IFERROR(INDEX('Material routes'!$G$6:$G$2205,MATCH(U1388,'Material routes'!$A$6:$A$2205,0)),"MISSING ID")</x:f>
        <x:v>Crafting components</x:v>
      </x:c>
      <x:c r="E1388" s="4" t="str">
        <x:f>IFERROR(INDEX('Material routes'!$C$6:$C$2205,MATCH(U1388,'Material routes'!$A$6:$A$2205,0)),"MISSING ID")</x:f>
        <x:v>Ingredient candidate</x:v>
      </x:c>
      <x:c r="F1388" s="4" t="str">
        <x:f>IFERROR(INDEX('Material routes'!$E$6:$E$2205,MATCH(V1388,'Material routes'!$A$6:$A$2205,0)),"MISSING ID")</x:f>
        <x:v>Packed separator battery stack</x:v>
      </x:c>
      <x:c r="G1388" s="4" t="str">
        <x:f>IFERROR(INDEX('Material routes'!$F$6:$F$2205,MATCH(V1388,'Material routes'!$A$6:$A$2205,0)),"MISSING ID")</x:f>
        <x:v>Not applicable</x:v>
      </x:c>
      <x:c r="H1388" s="4" t="str">
        <x:f>IFERROR(INDEX('Material routes'!$H$6:$H$2205,MATCH(V1388,'Material routes'!$A$6:$A$2205,0)),"MISSING ID")</x:f>
        <x:v>Energy storage</x:v>
      </x:c>
      <x:c r="I1388" s="4" t="str">
        <x:f>IFERROR(INDEX('Material routes'!$G$6:$G$2205,MATCH(V1388,'Material routes'!$A$6:$A$2205,0)),"MISSING ID")</x:f>
        <x:v>Crafting components</x:v>
      </x:c>
      <x:c r="J1388" s="4" t="str">
        <x:f>IFERROR(INDEX('Material routes'!$B$6:$B$2205,MATCH(U1388,'Material routes'!$A$6:$A$2205,0)),"MISSING ID")</x:f>
        <x:v>design.collection.packed_separator_battery_stack</x:v>
      </x:c>
      <x:c r="K1388" s="4" t="str">
        <x:f>IFERROR(INDEX('Crafting recipes'!$C$6:$C$1005,MATCH(J1388,'Crafting recipes'!$A$6:$A$1005,0)),"MISSING ID")</x:f>
        <x:v>Finished-item crafting</x:v>
      </x:c>
      <x:c r="L1388" s="4" t="str">
        <x:f>IFERROR(INDEX('Material routes'!$K$6:$K$2205,MATCH(U1388,'Material routes'!$A$6:$A$2205,0)),"MISSING ID")</x:f>
        <x:v>Proposal</x:v>
      </x:c>
      <x:c r="M1388" s="4" t="str">
        <x:f>IFERROR(INDEX('Material routes'!$M$6:$M$2205,MATCH(U1388,'Material routes'!$A$6:$A$2205,0)),"MISSING ID")</x:f>
        <x:v>Partial proposal</x:v>
      </x:c>
      <x:c r="N1388" s="4"/>
      <x:c r="O1388" s="4" t="str">
        <x:f>IFERROR(INDEX('Material routes'!$J$6:$J$2205,MATCH(U1388,'Material routes'!$A$6:$A$2205,0)),"MISSING ID")</x:f>
        <x:v>Unspecified</x:v>
      </x:c>
      <x:c r="P1388" s="4"/>
      <x:c r="Q1388" s="4" t="str">
        <x:f>IFERROR(INDEX('Material routes'!$J$6:$J$2205,MATCH(V1388,'Material routes'!$A$6:$A$2205,0)),"MISSING ID")</x:f>
        <x:v>Unspecified</x:v>
      </x:c>
      <x:c r="R1388" s="4" t="str">
        <x:f>IF(L1388="Withheld","Withheld premise",IF(E1388="Tool candidate","Reusable prerequisite",IF(K1388="Raw entry preparation","Entry-resource preparation",IF(G1388="Not applicable",IF(IFERROR(INDEX('Items'!$AI$6:$AI$1005,MATCH(T1388,'Items'!$A$6:$A$1005,0)),"MISSING ID")="Finished item","Finished endpoint",IF(IFERROR(INDEX('Items'!$AI$6:$AI$1005,MATCH(T1388,'Items'!$A$6:$A$1005,0)),"MISSING ID")="Currency","Currency / no refinement tier","Recovered output / tier not applicable")),IF(OR(IFERROR(INDEX('Crafting recipes'!$H$6:$H$1005,MATCH(J1388,'Crafting recipes'!$A$6:$A$1005,0)),"MISSING ID")="Unassigned",G1388="Unassigned"),"Tier unresolved",IF(IFERROR(VALUE(RIGHT(G1388,1))-VALUE(RIGHT(IFERROR(INDEX('Crafting recipes'!$H$6:$H$1005,MATCH(J1388,'Crafting recipes'!$A$6:$A$1005,0)),"MISSING ID"),1)),0)=1,IF(B1388=IFERROR(INDEX('Crafting recipes'!$H$6:$H$1005,MATCH(J1388,'Crafting recipes'!$A$6:$A$1005,0)),"MISSING ID"),"Advances one material tier","Lower-tier ingredient; route advances one tier"),"Needs tier review"))))))</x:f>
        <x:v>Finished endpoint</x:v>
      </x:c>
      <x:c r="S1388" s="4" t="str">
        <x:f>IFERROR(INDEX('Material routes'!$D$6:$D$2205,MATCH(U1388,'Material routes'!$A$6:$A$2205,0)),"MISSING ID")</x:f>
        <x:v>proposal.audit.mineral_cell_electrolyte_candidate</x:v>
      </x:c>
      <x:c r="T1388" s="4" t="str">
        <x:f>IFERROR(INDEX('Material routes'!$D$6:$D$2205,MATCH(V1388,'Material routes'!$A$6:$A$2205,0)),"MISSING ID")</x:f>
        <x:v>proposal.collection.packed_separator_battery_stack</x:v>
      </x:c>
      <x:c r="U1388" s="4" t="str">
        <x:v>design.collection.packed_separator_battery_stack.audit.extra.59</x:v>
      </x:c>
      <x:c r="V1388" s="4" t="str">
        <x:v>design.collection.packed_separator_battery_stack.out</x:v>
      </x:c>
    </x:row>
    <x:row r="1389" ht="64" customHeight="1">
      <x:c r="A1389" s="4" t="str">
        <x:f>IFERROR(INDEX('Material routes'!$E$6:$E$2205,MATCH(U1389,'Material routes'!$A$6:$A$2205,0)),"MISSING ID")</x:f>
        <x:v>Graphite electrode plate stock</x:v>
      </x:c>
      <x:c r="B1389" s="4" t="str">
        <x:f>IFERROR(INDEX('Material routes'!$F$6:$F$2205,MATCH(U1389,'Material routes'!$A$6:$A$2205,0)),"MISSING ID")</x:f>
        <x:v>T2</x:v>
      </x:c>
      <x:c r="C1389" s="4" t="str">
        <x:f>IFERROR(INDEX('Material routes'!$H$6:$H$2205,MATCH(U1389,'Material routes'!$A$6:$A$2205,0)),"MISSING ID")</x:f>
        <x:v>Processed material</x:v>
      </x:c>
      <x:c r="D1389" s="4" t="str">
        <x:f>IFERROR(INDEX('Material routes'!$G$6:$G$2205,MATCH(U1389,'Material routes'!$A$6:$A$2205,0)),"MISSING ID")</x:f>
        <x:v>Manufactured stock</x:v>
      </x:c>
      <x:c r="E1389" s="4" t="str">
        <x:f>IFERROR(INDEX('Material routes'!$C$6:$C$2205,MATCH(U1389,'Material routes'!$A$6:$A$2205,0)),"MISSING ID")</x:f>
        <x:v>Ingredient candidate</x:v>
      </x:c>
      <x:c r="F1389" s="4" t="str">
        <x:f>IFERROR(INDEX('Material routes'!$E$6:$E$2205,MATCH(V1389,'Material routes'!$A$6:$A$2205,0)),"MISSING ID")</x:f>
        <x:v>Packed separator battery stack</x:v>
      </x:c>
      <x:c r="G1389" s="4" t="str">
        <x:f>IFERROR(INDEX('Material routes'!$F$6:$F$2205,MATCH(V1389,'Material routes'!$A$6:$A$2205,0)),"MISSING ID")</x:f>
        <x:v>Not applicable</x:v>
      </x:c>
      <x:c r="H1389" s="4" t="str">
        <x:f>IFERROR(INDEX('Material routes'!$H$6:$H$2205,MATCH(V1389,'Material routes'!$A$6:$A$2205,0)),"MISSING ID")</x:f>
        <x:v>Energy storage</x:v>
      </x:c>
      <x:c r="I1389" s="4" t="str">
        <x:f>IFERROR(INDEX('Material routes'!$G$6:$G$2205,MATCH(V1389,'Material routes'!$A$6:$A$2205,0)),"MISSING ID")</x:f>
        <x:v>Crafting components</x:v>
      </x:c>
      <x:c r="J1389" s="4" t="str">
        <x:f>IFERROR(INDEX('Material routes'!$B$6:$B$2205,MATCH(U1389,'Material routes'!$A$6:$A$2205,0)),"MISSING ID")</x:f>
        <x:v>design.collection.packed_separator_battery_stack</x:v>
      </x:c>
      <x:c r="K1389" s="4" t="str">
        <x:f>IFERROR(INDEX('Crafting recipes'!$C$6:$C$1005,MATCH(J1389,'Crafting recipes'!$A$6:$A$1005,0)),"MISSING ID")</x:f>
        <x:v>Finished-item crafting</x:v>
      </x:c>
      <x:c r="L1389" s="4" t="str">
        <x:f>IFERROR(INDEX('Material routes'!$K$6:$K$2205,MATCH(U1389,'Material routes'!$A$6:$A$2205,0)),"MISSING ID")</x:f>
        <x:v>Proposal</x:v>
      </x:c>
      <x:c r="M1389" s="4" t="str">
        <x:f>IFERROR(INDEX('Material routes'!$M$6:$M$2205,MATCH(U1389,'Material routes'!$A$6:$A$2205,0)),"MISSING ID")</x:f>
        <x:v>Partial proposal</x:v>
      </x:c>
      <x:c r="N1389" s="4"/>
      <x:c r="O1389" s="4" t="str">
        <x:f>IFERROR(INDEX('Material routes'!$J$6:$J$2205,MATCH(U1389,'Material routes'!$A$6:$A$2205,0)),"MISSING ID")</x:f>
        <x:v>Unspecified</x:v>
      </x:c>
      <x:c r="P1389" s="4"/>
      <x:c r="Q1389" s="4" t="str">
        <x:f>IFERROR(INDEX('Material routes'!$J$6:$J$2205,MATCH(V1389,'Material routes'!$A$6:$A$2205,0)),"MISSING ID")</x:f>
        <x:v>Unspecified</x:v>
      </x:c>
      <x:c r="R1389" s="4" t="str">
        <x:f>IF(L1389="Withheld","Withheld premise",IF(E1389="Tool candidate","Reusable prerequisite",IF(K1389="Raw entry preparation","Entry-resource preparation",IF(G1389="Not applicable",IF(IFERROR(INDEX('Items'!$AI$6:$AI$1005,MATCH(T1389,'Items'!$A$6:$A$1005,0)),"MISSING ID")="Finished item","Finished endpoint",IF(IFERROR(INDEX('Items'!$AI$6:$AI$1005,MATCH(T1389,'Items'!$A$6:$A$1005,0)),"MISSING ID")="Currency","Currency / no refinement tier","Recovered output / tier not applicable")),IF(OR(IFERROR(INDEX('Crafting recipes'!$H$6:$H$1005,MATCH(J1389,'Crafting recipes'!$A$6:$A$1005,0)),"MISSING ID")="Unassigned",G1389="Unassigned"),"Tier unresolved",IF(IFERROR(VALUE(RIGHT(G1389,1))-VALUE(RIGHT(IFERROR(INDEX('Crafting recipes'!$H$6:$H$1005,MATCH(J1389,'Crafting recipes'!$A$6:$A$1005,0)),"MISSING ID"),1)),0)=1,IF(B1389=IFERROR(INDEX('Crafting recipes'!$H$6:$H$1005,MATCH(J1389,'Crafting recipes'!$A$6:$A$1005,0)),"MISSING ID"),"Advances one material tier","Lower-tier ingredient; route advances one tier"),"Needs tier review"))))))</x:f>
        <x:v>Finished endpoint</x:v>
      </x:c>
      <x:c r="S1389" s="4" t="str">
        <x:f>IFERROR(INDEX('Material routes'!$D$6:$D$2205,MATCH(U1389,'Material routes'!$A$6:$A$2205,0)),"MISSING ID")</x:f>
        <x:v>proposal.audit.graphite_electrode_plate_stock</x:v>
      </x:c>
      <x:c r="T1389" s="4" t="str">
        <x:f>IFERROR(INDEX('Material routes'!$D$6:$D$2205,MATCH(V1389,'Material routes'!$A$6:$A$2205,0)),"MISSING ID")</x:f>
        <x:v>proposal.collection.packed_separator_battery_stack</x:v>
      </x:c>
      <x:c r="U1389" s="4" t="str">
        <x:v>design.collection.packed_separator_battery_stack.audit.extra.60</x:v>
      </x:c>
      <x:c r="V1389" s="4" t="str">
        <x:v>design.collection.packed_separator_battery_stack.out</x:v>
      </x:c>
    </x:row>
    <x:row r="1390" ht="64" customHeight="1">
      <x:c r="A1390" s="4" t="str">
        <x:f>IFERROR(INDEX('Material routes'!$E$6:$E$2205,MATCH(U1390,'Material routes'!$A$6:$A$2205,0)),"MISSING ID")</x:f>
        <x:v>Fitted machine casing</x:v>
      </x:c>
      <x:c r="B1390" s="4" t="str">
        <x:f>IFERROR(INDEX('Material routes'!$F$6:$F$2205,MATCH(U1390,'Material routes'!$A$6:$A$2205,0)),"MISSING ID")</x:f>
        <x:v>T3</x:v>
      </x:c>
      <x:c r="C1390" s="4" t="str">
        <x:f>IFERROR(INDEX('Material routes'!$H$6:$H$2205,MATCH(U1390,'Material routes'!$A$6:$A$2205,0)),"MISSING ID")</x:f>
        <x:v>Crafting component</x:v>
      </x:c>
      <x:c r="D1390" s="4" t="str">
        <x:f>IFERROR(INDEX('Material routes'!$G$6:$G$2205,MATCH(U1390,'Material routes'!$A$6:$A$2205,0)),"MISSING ID")</x:f>
        <x:v>Crafting components</x:v>
      </x:c>
      <x:c r="E1390" s="4" t="str">
        <x:f>IFERROR(INDEX('Material routes'!$C$6:$C$2205,MATCH(U1390,'Material routes'!$A$6:$A$2205,0)),"MISSING ID")</x:f>
        <x:v>Ingredient candidate</x:v>
      </x:c>
      <x:c r="F1390" s="4" t="str">
        <x:f>IFERROR(INDEX('Material routes'!$E$6:$E$2205,MATCH(V1390,'Material routes'!$A$6:$A$2205,0)),"MISSING ID")</x:f>
        <x:v>Packed separator battery stack</x:v>
      </x:c>
      <x:c r="G1390" s="4" t="str">
        <x:f>IFERROR(INDEX('Material routes'!$F$6:$F$2205,MATCH(V1390,'Material routes'!$A$6:$A$2205,0)),"MISSING ID")</x:f>
        <x:v>Not applicable</x:v>
      </x:c>
      <x:c r="H1390" s="4" t="str">
        <x:f>IFERROR(INDEX('Material routes'!$H$6:$H$2205,MATCH(V1390,'Material routes'!$A$6:$A$2205,0)),"MISSING ID")</x:f>
        <x:v>Energy storage</x:v>
      </x:c>
      <x:c r="I1390" s="4" t="str">
        <x:f>IFERROR(INDEX('Material routes'!$G$6:$G$2205,MATCH(V1390,'Material routes'!$A$6:$A$2205,0)),"MISSING ID")</x:f>
        <x:v>Crafting components</x:v>
      </x:c>
      <x:c r="J1390" s="4" t="str">
        <x:f>IFERROR(INDEX('Material routes'!$B$6:$B$2205,MATCH(U1390,'Material routes'!$A$6:$A$2205,0)),"MISSING ID")</x:f>
        <x:v>design.collection.packed_separator_battery_stack</x:v>
      </x:c>
      <x:c r="K1390" s="4" t="str">
        <x:f>IFERROR(INDEX('Crafting recipes'!$C$6:$C$1005,MATCH(J1390,'Crafting recipes'!$A$6:$A$1005,0)),"MISSING ID")</x:f>
        <x:v>Finished-item crafting</x:v>
      </x:c>
      <x:c r="L1390" s="4" t="str">
        <x:f>IFERROR(INDEX('Material routes'!$K$6:$K$2205,MATCH(U1390,'Material routes'!$A$6:$A$2205,0)),"MISSING ID")</x:f>
        <x:v>Proposal</x:v>
      </x:c>
      <x:c r="M1390" s="4" t="str">
        <x:f>IFERROR(INDEX('Material routes'!$M$6:$M$2205,MATCH(U1390,'Material routes'!$A$6:$A$2205,0)),"MISSING ID")</x:f>
        <x:v>Partial proposal</x:v>
      </x:c>
      <x:c r="N1390" s="4"/>
      <x:c r="O1390" s="4" t="str">
        <x:f>IFERROR(INDEX('Material routes'!$J$6:$J$2205,MATCH(U1390,'Material routes'!$A$6:$A$2205,0)),"MISSING ID")</x:f>
        <x:v>Unspecified</x:v>
      </x:c>
      <x:c r="P1390" s="4"/>
      <x:c r="Q1390" s="4" t="str">
        <x:f>IFERROR(INDEX('Material routes'!$J$6:$J$2205,MATCH(V1390,'Material routes'!$A$6:$A$2205,0)),"MISSING ID")</x:f>
        <x:v>Unspecified</x:v>
      </x:c>
      <x:c r="R1390" s="4" t="str">
        <x:f>IF(L1390="Withheld","Withheld premise",IF(E1390="Tool candidate","Reusable prerequisite",IF(K1390="Raw entry preparation","Entry-resource preparation",IF(G1390="Not applicable",IF(IFERROR(INDEX('Items'!$AI$6:$AI$1005,MATCH(T1390,'Items'!$A$6:$A$1005,0)),"MISSING ID")="Finished item","Finished endpoint",IF(IFERROR(INDEX('Items'!$AI$6:$AI$1005,MATCH(T1390,'Items'!$A$6:$A$1005,0)),"MISSING ID")="Currency","Currency / no refinement tier","Recovered output / tier not applicable")),IF(OR(IFERROR(INDEX('Crafting recipes'!$H$6:$H$1005,MATCH(J1390,'Crafting recipes'!$A$6:$A$1005,0)),"MISSING ID")="Unassigned",G1390="Unassigned"),"Tier unresolved",IF(IFERROR(VALUE(RIGHT(G1390,1))-VALUE(RIGHT(IFERROR(INDEX('Crafting recipes'!$H$6:$H$1005,MATCH(J1390,'Crafting recipes'!$A$6:$A$1005,0)),"MISSING ID"),1)),0)=1,IF(B1390=IFERROR(INDEX('Crafting recipes'!$H$6:$H$1005,MATCH(J1390,'Crafting recipes'!$A$6:$A$1005,0)),"MISSING ID"),"Advances one material tier","Lower-tier ingredient; route advances one tier"),"Needs tier review"))))))</x:f>
        <x:v>Finished endpoint</x:v>
      </x:c>
      <x:c r="S1390" s="4" t="str">
        <x:f>IFERROR(INDEX('Material routes'!$D$6:$D$2205,MATCH(U1390,'Material routes'!$A$6:$A$2205,0)),"MISSING ID")</x:f>
        <x:v>proposal.audit.fitted_machine_casing</x:v>
      </x:c>
      <x:c r="T1390" s="4" t="str">
        <x:f>IFERROR(INDEX('Material routes'!$D$6:$D$2205,MATCH(V1390,'Material routes'!$A$6:$A$2205,0)),"MISSING ID")</x:f>
        <x:v>proposal.collection.packed_separator_battery_stack</x:v>
      </x:c>
      <x:c r="U1390" s="4" t="str">
        <x:v>design.collection.packed_separator_battery_stack.audit.extra.61</x:v>
      </x:c>
      <x:c r="V1390" s="4" t="str">
        <x:v>design.collection.packed_separator_battery_stack.out</x:v>
      </x:c>
    </x:row>
    <x:row r="1391" ht="64" customHeight="1">
      <x:c r="A1391" s="4" t="str">
        <x:f>IFERROR(INDEX('Material routes'!$E$6:$E$2205,MATCH(U1391,'Material routes'!$A$6:$A$2205,0)),"MISSING ID")</x:f>
        <x:v>Serviceable insulated contact block</x:v>
      </x:c>
      <x:c r="B1391" s="4" t="str">
        <x:f>IFERROR(INDEX('Material routes'!$F$6:$F$2205,MATCH(U1391,'Material routes'!$A$6:$A$2205,0)),"MISSING ID")</x:f>
        <x:v>T4</x:v>
      </x:c>
      <x:c r="C1391" s="4" t="str">
        <x:f>IFERROR(INDEX('Material routes'!$H$6:$H$2205,MATCH(U1391,'Material routes'!$A$6:$A$2205,0)),"MISSING ID")</x:f>
        <x:v>Crafting component</x:v>
      </x:c>
      <x:c r="D1391" s="4" t="str">
        <x:f>IFERROR(INDEX('Material routes'!$G$6:$G$2205,MATCH(U1391,'Material routes'!$A$6:$A$2205,0)),"MISSING ID")</x:f>
        <x:v>Crafting components</x:v>
      </x:c>
      <x:c r="E1391" s="4" t="str">
        <x:f>IFERROR(INDEX('Material routes'!$C$6:$C$2205,MATCH(U1391,'Material routes'!$A$6:$A$2205,0)),"MISSING ID")</x:f>
        <x:v>Ingredient candidate</x:v>
      </x:c>
      <x:c r="F1391" s="4" t="str">
        <x:f>IFERROR(INDEX('Material routes'!$E$6:$E$2205,MATCH(V1391,'Material routes'!$A$6:$A$2205,0)),"MISSING ID")</x:f>
        <x:v>Packed separator battery stack</x:v>
      </x:c>
      <x:c r="G1391" s="4" t="str">
        <x:f>IFERROR(INDEX('Material routes'!$F$6:$F$2205,MATCH(V1391,'Material routes'!$A$6:$A$2205,0)),"MISSING ID")</x:f>
        <x:v>Not applicable</x:v>
      </x:c>
      <x:c r="H1391" s="4" t="str">
        <x:f>IFERROR(INDEX('Material routes'!$H$6:$H$2205,MATCH(V1391,'Material routes'!$A$6:$A$2205,0)),"MISSING ID")</x:f>
        <x:v>Energy storage</x:v>
      </x:c>
      <x:c r="I1391" s="4" t="str">
        <x:f>IFERROR(INDEX('Material routes'!$G$6:$G$2205,MATCH(V1391,'Material routes'!$A$6:$A$2205,0)),"MISSING ID")</x:f>
        <x:v>Crafting components</x:v>
      </x:c>
      <x:c r="J1391" s="4" t="str">
        <x:f>IFERROR(INDEX('Material routes'!$B$6:$B$2205,MATCH(U1391,'Material routes'!$A$6:$A$2205,0)),"MISSING ID")</x:f>
        <x:v>design.collection.packed_separator_battery_stack</x:v>
      </x:c>
      <x:c r="K1391" s="4" t="str">
        <x:f>IFERROR(INDEX('Crafting recipes'!$C$6:$C$1005,MATCH(J1391,'Crafting recipes'!$A$6:$A$1005,0)),"MISSING ID")</x:f>
        <x:v>Finished-item crafting</x:v>
      </x:c>
      <x:c r="L1391" s="4" t="str">
        <x:f>IFERROR(INDEX('Material routes'!$K$6:$K$2205,MATCH(U1391,'Material routes'!$A$6:$A$2205,0)),"MISSING ID")</x:f>
        <x:v>Proposal</x:v>
      </x:c>
      <x:c r="M1391" s="4" t="str">
        <x:f>IFERROR(INDEX('Material routes'!$M$6:$M$2205,MATCH(U1391,'Material routes'!$A$6:$A$2205,0)),"MISSING ID")</x:f>
        <x:v>Partial proposal</x:v>
      </x:c>
      <x:c r="N1391" s="4"/>
      <x:c r="O1391" s="4" t="str">
        <x:f>IFERROR(INDEX('Material routes'!$J$6:$J$2205,MATCH(U1391,'Material routes'!$A$6:$A$2205,0)),"MISSING ID")</x:f>
        <x:v>Unspecified</x:v>
      </x:c>
      <x:c r="P1391" s="4"/>
      <x:c r="Q1391" s="4" t="str">
        <x:f>IFERROR(INDEX('Material routes'!$J$6:$J$2205,MATCH(V1391,'Material routes'!$A$6:$A$2205,0)),"MISSING ID")</x:f>
        <x:v>Unspecified</x:v>
      </x:c>
      <x:c r="R1391" s="4" t="str">
        <x:f>IF(L1391="Withheld","Withheld premise",IF(E1391="Tool candidate","Reusable prerequisite",IF(K1391="Raw entry preparation","Entry-resource preparation",IF(G1391="Not applicable",IF(IFERROR(INDEX('Items'!$AI$6:$AI$1005,MATCH(T1391,'Items'!$A$6:$A$1005,0)),"MISSING ID")="Finished item","Finished endpoint",IF(IFERROR(INDEX('Items'!$AI$6:$AI$1005,MATCH(T1391,'Items'!$A$6:$A$1005,0)),"MISSING ID")="Currency","Currency / no refinement tier","Recovered output / tier not applicable")),IF(OR(IFERROR(INDEX('Crafting recipes'!$H$6:$H$1005,MATCH(J1391,'Crafting recipes'!$A$6:$A$1005,0)),"MISSING ID")="Unassigned",G1391="Unassigned"),"Tier unresolved",IF(IFERROR(VALUE(RIGHT(G1391,1))-VALUE(RIGHT(IFERROR(INDEX('Crafting recipes'!$H$6:$H$1005,MATCH(J1391,'Crafting recipes'!$A$6:$A$1005,0)),"MISSING ID"),1)),0)=1,IF(B1391=IFERROR(INDEX('Crafting recipes'!$H$6:$H$1005,MATCH(J1391,'Crafting recipes'!$A$6:$A$1005,0)),"MISSING ID"),"Advances one material tier","Lower-tier ingredient; route advances one tier"),"Needs tier review"))))))</x:f>
        <x:v>Finished endpoint</x:v>
      </x:c>
      <x:c r="S1391" s="4" t="str">
        <x:f>IFERROR(INDEX('Material routes'!$D$6:$D$2205,MATCH(U1391,'Material routes'!$A$6:$A$2205,0)),"MISSING ID")</x:f>
        <x:v>proposal.t4.contact_block</x:v>
      </x:c>
      <x:c r="T1391" s="4" t="str">
        <x:f>IFERROR(INDEX('Material routes'!$D$6:$D$2205,MATCH(V1391,'Material routes'!$A$6:$A$2205,0)),"MISSING ID")</x:f>
        <x:v>proposal.collection.packed_separator_battery_stack</x:v>
      </x:c>
      <x:c r="U1391" s="4" t="str">
        <x:v>design.collection.packed_separator_battery_stack.audit.extra.62</x:v>
      </x:c>
      <x:c r="V1391" s="4" t="str">
        <x:v>design.collection.packed_separator_battery_stack.out</x:v>
      </x:c>
    </x:row>
    <x:row r="1392" ht="64" customHeight="1">
      <x:c r="A1392" s="4" t="str">
        <x:f>IFERROR(INDEX('Material routes'!$E$6:$E$2205,MATCH(U1392,'Material routes'!$A$6:$A$2205,0)),"MISSING ID")</x:f>
        <x:v>Fitted machine casing</x:v>
      </x:c>
      <x:c r="B1392" s="4" t="str">
        <x:f>IFERROR(INDEX('Material routes'!$F$6:$F$2205,MATCH(U1392,'Material routes'!$A$6:$A$2205,0)),"MISSING ID")</x:f>
        <x:v>T3</x:v>
      </x:c>
      <x:c r="C1392" s="4" t="str">
        <x:f>IFERROR(INDEX('Material routes'!$H$6:$H$2205,MATCH(U1392,'Material routes'!$A$6:$A$2205,0)),"MISSING ID")</x:f>
        <x:v>Crafting component</x:v>
      </x:c>
      <x:c r="D1392" s="4" t="str">
        <x:f>IFERROR(INDEX('Material routes'!$G$6:$G$2205,MATCH(U1392,'Material routes'!$A$6:$A$2205,0)),"MISSING ID")</x:f>
        <x:v>Crafting components</x:v>
      </x:c>
      <x:c r="E1392" s="4" t="str">
        <x:f>IFERROR(INDEX('Material routes'!$C$6:$C$2205,MATCH(U1392,'Material routes'!$A$6:$A$2205,0)),"MISSING ID")</x:f>
        <x:v>Ingredient candidate</x:v>
      </x:c>
      <x:c r="F1392" s="4" t="str">
        <x:f>IFERROR(INDEX('Material routes'!$E$6:$E$2205,MATCH(V1392,'Material routes'!$A$6:$A$2205,0)),"MISSING ID")</x:f>
        <x:v>Mica-plate capacitor pack</x:v>
      </x:c>
      <x:c r="G1392" s="4" t="str">
        <x:f>IFERROR(INDEX('Material routes'!$F$6:$F$2205,MATCH(V1392,'Material routes'!$A$6:$A$2205,0)),"MISSING ID")</x:f>
        <x:v>Not applicable</x:v>
      </x:c>
      <x:c r="H1392" s="4" t="str">
        <x:f>IFERROR(INDEX('Material routes'!$H$6:$H$2205,MATCH(V1392,'Material routes'!$A$6:$A$2205,0)),"MISSING ID")</x:f>
        <x:v>Energy storage</x:v>
      </x:c>
      <x:c r="I1392" s="4" t="str">
        <x:f>IFERROR(INDEX('Material routes'!$G$6:$G$2205,MATCH(V1392,'Material routes'!$A$6:$A$2205,0)),"MISSING ID")</x:f>
        <x:v>Crafting components</x:v>
      </x:c>
      <x:c r="J1392" s="4" t="str">
        <x:f>IFERROR(INDEX('Material routes'!$B$6:$B$2205,MATCH(U1392,'Material routes'!$A$6:$A$2205,0)),"MISSING ID")</x:f>
        <x:v>design.collection.mica_plate_capacitor_pack</x:v>
      </x:c>
      <x:c r="K1392" s="4" t="str">
        <x:f>IFERROR(INDEX('Crafting recipes'!$C$6:$C$1005,MATCH(J1392,'Crafting recipes'!$A$6:$A$1005,0)),"MISSING ID")</x:f>
        <x:v>Finished-item crafting</x:v>
      </x:c>
      <x:c r="L1392" s="4" t="str">
        <x:f>IFERROR(INDEX('Material routes'!$K$6:$K$2205,MATCH(U1392,'Material routes'!$A$6:$A$2205,0)),"MISSING ID")</x:f>
        <x:v>Proposal</x:v>
      </x:c>
      <x:c r="M1392" s="4" t="str">
        <x:f>IFERROR(INDEX('Material routes'!$M$6:$M$2205,MATCH(U1392,'Material routes'!$A$6:$A$2205,0)),"MISSING ID")</x:f>
        <x:v>Partial proposal</x:v>
      </x:c>
      <x:c r="N1392" s="4"/>
      <x:c r="O1392" s="4" t="str">
        <x:f>IFERROR(INDEX('Material routes'!$J$6:$J$2205,MATCH(U1392,'Material routes'!$A$6:$A$2205,0)),"MISSING ID")</x:f>
        <x:v>Unspecified</x:v>
      </x:c>
      <x:c r="P1392" s="4"/>
      <x:c r="Q1392" s="4" t="str">
        <x:f>IFERROR(INDEX('Material routes'!$J$6:$J$2205,MATCH(V1392,'Material routes'!$A$6:$A$2205,0)),"MISSING ID")</x:f>
        <x:v>Unspecified</x:v>
      </x:c>
      <x:c r="R1392" s="4" t="str">
        <x:f>IF(L1392="Withheld","Withheld premise",IF(E1392="Tool candidate","Reusable prerequisite",IF(K1392="Raw entry preparation","Entry-resource preparation",IF(G1392="Not applicable",IF(IFERROR(INDEX('Items'!$AI$6:$AI$1005,MATCH(T1392,'Items'!$A$6:$A$1005,0)),"MISSING ID")="Finished item","Finished endpoint",IF(IFERROR(INDEX('Items'!$AI$6:$AI$1005,MATCH(T1392,'Items'!$A$6:$A$1005,0)),"MISSING ID")="Currency","Currency / no refinement tier","Recovered output / tier not applicable")),IF(OR(IFERROR(INDEX('Crafting recipes'!$H$6:$H$1005,MATCH(J1392,'Crafting recipes'!$A$6:$A$1005,0)),"MISSING ID")="Unassigned",G1392="Unassigned"),"Tier unresolved",IF(IFERROR(VALUE(RIGHT(G1392,1))-VALUE(RIGHT(IFERROR(INDEX('Crafting recipes'!$H$6:$H$1005,MATCH(J1392,'Crafting recipes'!$A$6:$A$1005,0)),"MISSING ID"),1)),0)=1,IF(B1392=IFERROR(INDEX('Crafting recipes'!$H$6:$H$1005,MATCH(J1392,'Crafting recipes'!$A$6:$A$1005,0)),"MISSING ID"),"Advances one material tier","Lower-tier ingredient; route advances one tier"),"Needs tier review"))))))</x:f>
        <x:v>Finished endpoint</x:v>
      </x:c>
      <x:c r="S1392" s="4" t="str">
        <x:f>IFERROR(INDEX('Material routes'!$D$6:$D$2205,MATCH(U1392,'Material routes'!$A$6:$A$2205,0)),"MISSING ID")</x:f>
        <x:v>proposal.audit.fitted_machine_casing</x:v>
      </x:c>
      <x:c r="T1392" s="4" t="str">
        <x:f>IFERROR(INDEX('Material routes'!$D$6:$D$2205,MATCH(V1392,'Material routes'!$A$6:$A$2205,0)),"MISSING ID")</x:f>
        <x:v>proposal.collection.mica_plate_capacitor_pack</x:v>
      </x:c>
      <x:c r="U1392" s="4" t="str">
        <x:v>design.collection.mica_plate_capacitor_pack.audit.extra.63</x:v>
      </x:c>
      <x:c r="V1392" s="4" t="str">
        <x:v>design.collection.mica_plate_capacitor_pack.out</x:v>
      </x:c>
    </x:row>
    <x:row r="1393" ht="64" customHeight="1">
      <x:c r="A1393" s="4" t="str">
        <x:f>IFERROR(INDEX('Material routes'!$E$6:$E$2205,MATCH(U1393,'Material routes'!$A$6:$A$2205,0)),"MISSING ID")</x:f>
        <x:v>Serviceable insulated contact block</x:v>
      </x:c>
      <x:c r="B1393" s="4" t="str">
        <x:f>IFERROR(INDEX('Material routes'!$F$6:$F$2205,MATCH(U1393,'Material routes'!$A$6:$A$2205,0)),"MISSING ID")</x:f>
        <x:v>T4</x:v>
      </x:c>
      <x:c r="C1393" s="4" t="str">
        <x:f>IFERROR(INDEX('Material routes'!$H$6:$H$2205,MATCH(U1393,'Material routes'!$A$6:$A$2205,0)),"MISSING ID")</x:f>
        <x:v>Crafting component</x:v>
      </x:c>
      <x:c r="D1393" s="4" t="str">
        <x:f>IFERROR(INDEX('Material routes'!$G$6:$G$2205,MATCH(U1393,'Material routes'!$A$6:$A$2205,0)),"MISSING ID")</x:f>
        <x:v>Crafting components</x:v>
      </x:c>
      <x:c r="E1393" s="4" t="str">
        <x:f>IFERROR(INDEX('Material routes'!$C$6:$C$2205,MATCH(U1393,'Material routes'!$A$6:$A$2205,0)),"MISSING ID")</x:f>
        <x:v>Ingredient candidate</x:v>
      </x:c>
      <x:c r="F1393" s="4" t="str">
        <x:f>IFERROR(INDEX('Material routes'!$E$6:$E$2205,MATCH(V1393,'Material routes'!$A$6:$A$2205,0)),"MISSING ID")</x:f>
        <x:v>Mica-plate capacitor pack</x:v>
      </x:c>
      <x:c r="G1393" s="4" t="str">
        <x:f>IFERROR(INDEX('Material routes'!$F$6:$F$2205,MATCH(V1393,'Material routes'!$A$6:$A$2205,0)),"MISSING ID")</x:f>
        <x:v>Not applicable</x:v>
      </x:c>
      <x:c r="H1393" s="4" t="str">
        <x:f>IFERROR(INDEX('Material routes'!$H$6:$H$2205,MATCH(V1393,'Material routes'!$A$6:$A$2205,0)),"MISSING ID")</x:f>
        <x:v>Energy storage</x:v>
      </x:c>
      <x:c r="I1393" s="4" t="str">
        <x:f>IFERROR(INDEX('Material routes'!$G$6:$G$2205,MATCH(V1393,'Material routes'!$A$6:$A$2205,0)),"MISSING ID")</x:f>
        <x:v>Crafting components</x:v>
      </x:c>
      <x:c r="J1393" s="4" t="str">
        <x:f>IFERROR(INDEX('Material routes'!$B$6:$B$2205,MATCH(U1393,'Material routes'!$A$6:$A$2205,0)),"MISSING ID")</x:f>
        <x:v>design.collection.mica_plate_capacitor_pack</x:v>
      </x:c>
      <x:c r="K1393" s="4" t="str">
        <x:f>IFERROR(INDEX('Crafting recipes'!$C$6:$C$1005,MATCH(J1393,'Crafting recipes'!$A$6:$A$1005,0)),"MISSING ID")</x:f>
        <x:v>Finished-item crafting</x:v>
      </x:c>
      <x:c r="L1393" s="4" t="str">
        <x:f>IFERROR(INDEX('Material routes'!$K$6:$K$2205,MATCH(U1393,'Material routes'!$A$6:$A$2205,0)),"MISSING ID")</x:f>
        <x:v>Proposal</x:v>
      </x:c>
      <x:c r="M1393" s="4" t="str">
        <x:f>IFERROR(INDEX('Material routes'!$M$6:$M$2205,MATCH(U1393,'Material routes'!$A$6:$A$2205,0)),"MISSING ID")</x:f>
        <x:v>Partial proposal</x:v>
      </x:c>
      <x:c r="N1393" s="4"/>
      <x:c r="O1393" s="4" t="str">
        <x:f>IFERROR(INDEX('Material routes'!$J$6:$J$2205,MATCH(U1393,'Material routes'!$A$6:$A$2205,0)),"MISSING ID")</x:f>
        <x:v>Unspecified</x:v>
      </x:c>
      <x:c r="P1393" s="4"/>
      <x:c r="Q1393" s="4" t="str">
        <x:f>IFERROR(INDEX('Material routes'!$J$6:$J$2205,MATCH(V1393,'Material routes'!$A$6:$A$2205,0)),"MISSING ID")</x:f>
        <x:v>Unspecified</x:v>
      </x:c>
      <x:c r="R1393" s="4" t="str">
        <x:f>IF(L1393="Withheld","Withheld premise",IF(E1393="Tool candidate","Reusable prerequisite",IF(K1393="Raw entry preparation","Entry-resource preparation",IF(G1393="Not applicable",IF(IFERROR(INDEX('Items'!$AI$6:$AI$1005,MATCH(T1393,'Items'!$A$6:$A$1005,0)),"MISSING ID")="Finished item","Finished endpoint",IF(IFERROR(INDEX('Items'!$AI$6:$AI$1005,MATCH(T1393,'Items'!$A$6:$A$1005,0)),"MISSING ID")="Currency","Currency / no refinement tier","Recovered output / tier not applicable")),IF(OR(IFERROR(INDEX('Crafting recipes'!$H$6:$H$1005,MATCH(J1393,'Crafting recipes'!$A$6:$A$1005,0)),"MISSING ID")="Unassigned",G1393="Unassigned"),"Tier unresolved",IF(IFERROR(VALUE(RIGHT(G1393,1))-VALUE(RIGHT(IFERROR(INDEX('Crafting recipes'!$H$6:$H$1005,MATCH(J1393,'Crafting recipes'!$A$6:$A$1005,0)),"MISSING ID"),1)),0)=1,IF(B1393=IFERROR(INDEX('Crafting recipes'!$H$6:$H$1005,MATCH(J1393,'Crafting recipes'!$A$6:$A$1005,0)),"MISSING ID"),"Advances one material tier","Lower-tier ingredient; route advances one tier"),"Needs tier review"))))))</x:f>
        <x:v>Finished endpoint</x:v>
      </x:c>
      <x:c r="S1393" s="4" t="str">
        <x:f>IFERROR(INDEX('Material routes'!$D$6:$D$2205,MATCH(U1393,'Material routes'!$A$6:$A$2205,0)),"MISSING ID")</x:f>
        <x:v>proposal.t4.contact_block</x:v>
      </x:c>
      <x:c r="T1393" s="4" t="str">
        <x:f>IFERROR(INDEX('Material routes'!$D$6:$D$2205,MATCH(V1393,'Material routes'!$A$6:$A$2205,0)),"MISSING ID")</x:f>
        <x:v>proposal.collection.mica_plate_capacitor_pack</x:v>
      </x:c>
      <x:c r="U1393" s="4" t="str">
        <x:v>design.collection.mica_plate_capacitor_pack.audit.extra.64</x:v>
      </x:c>
      <x:c r="V1393" s="4" t="str">
        <x:v>design.collection.mica_plate_capacitor_pack.out</x:v>
      </x:c>
    </x:row>
    <x:row r="1394" ht="64" customHeight="1">
      <x:c r="A1394" s="4" t="str">
        <x:f>IFERROR(INDEX('Material routes'!$E$6:$E$2205,MATCH(U1394,'Material routes'!$A$6:$A$2205,0)),"MISSING ID")</x:f>
        <x:v>Serviceable insulated contact block</x:v>
      </x:c>
      <x:c r="B1394" s="4" t="str">
        <x:f>IFERROR(INDEX('Material routes'!$F$6:$F$2205,MATCH(U1394,'Material routes'!$A$6:$A$2205,0)),"MISSING ID")</x:f>
        <x:v>T4</x:v>
      </x:c>
      <x:c r="C1394" s="4" t="str">
        <x:f>IFERROR(INDEX('Material routes'!$H$6:$H$2205,MATCH(U1394,'Material routes'!$A$6:$A$2205,0)),"MISSING ID")</x:f>
        <x:v>Crafting component</x:v>
      </x:c>
      <x:c r="D1394" s="4" t="str">
        <x:f>IFERROR(INDEX('Material routes'!$G$6:$G$2205,MATCH(U1394,'Material routes'!$A$6:$A$2205,0)),"MISSING ID")</x:f>
        <x:v>Crafting components</x:v>
      </x:c>
      <x:c r="E1394" s="4" t="str">
        <x:f>IFERROR(INDEX('Material routes'!$C$6:$C$2205,MATCH(U1394,'Material routes'!$A$6:$A$2205,0)),"MISSING ID")</x:f>
        <x:v>Ingredient candidate</x:v>
      </x:c>
      <x:c r="F1394" s="4" t="str">
        <x:f>IFERROR(INDEX('Material routes'!$E$6:$E$2205,MATCH(V1394,'Material routes'!$A$6:$A$2205,0)),"MISSING ID")</x:f>
        <x:v>Glass-jar capacitor bank</x:v>
      </x:c>
      <x:c r="G1394" s="4" t="str">
        <x:f>IFERROR(INDEX('Material routes'!$F$6:$F$2205,MATCH(V1394,'Material routes'!$A$6:$A$2205,0)),"MISSING ID")</x:f>
        <x:v>Not applicable</x:v>
      </x:c>
      <x:c r="H1394" s="4" t="str">
        <x:f>IFERROR(INDEX('Material routes'!$H$6:$H$2205,MATCH(V1394,'Material routes'!$A$6:$A$2205,0)),"MISSING ID")</x:f>
        <x:v>Energy storage</x:v>
      </x:c>
      <x:c r="I1394" s="4" t="str">
        <x:f>IFERROR(INDEX('Material routes'!$G$6:$G$2205,MATCH(V1394,'Material routes'!$A$6:$A$2205,0)),"MISSING ID")</x:f>
        <x:v>Crafting components</x:v>
      </x:c>
      <x:c r="J1394" s="4" t="str">
        <x:f>IFERROR(INDEX('Material routes'!$B$6:$B$2205,MATCH(U1394,'Material routes'!$A$6:$A$2205,0)),"MISSING ID")</x:f>
        <x:v>design.collection.glass_jar_capacitor_bank</x:v>
      </x:c>
      <x:c r="K1394" s="4" t="str">
        <x:f>IFERROR(INDEX('Crafting recipes'!$C$6:$C$1005,MATCH(J1394,'Crafting recipes'!$A$6:$A$1005,0)),"MISSING ID")</x:f>
        <x:v>Finished-item crafting</x:v>
      </x:c>
      <x:c r="L1394" s="4" t="str">
        <x:f>IFERROR(INDEX('Material routes'!$K$6:$K$2205,MATCH(U1394,'Material routes'!$A$6:$A$2205,0)),"MISSING ID")</x:f>
        <x:v>Proposal</x:v>
      </x:c>
      <x:c r="M1394" s="4" t="str">
        <x:f>IFERROR(INDEX('Material routes'!$M$6:$M$2205,MATCH(U1394,'Material routes'!$A$6:$A$2205,0)),"MISSING ID")</x:f>
        <x:v>Partial proposal</x:v>
      </x:c>
      <x:c r="N1394" s="4"/>
      <x:c r="O1394" s="4" t="str">
        <x:f>IFERROR(INDEX('Material routes'!$J$6:$J$2205,MATCH(U1394,'Material routes'!$A$6:$A$2205,0)),"MISSING ID")</x:f>
        <x:v>Unspecified</x:v>
      </x:c>
      <x:c r="P1394" s="4"/>
      <x:c r="Q1394" s="4" t="str">
        <x:f>IFERROR(INDEX('Material routes'!$J$6:$J$2205,MATCH(V1394,'Material routes'!$A$6:$A$2205,0)),"MISSING ID")</x:f>
        <x:v>Unspecified</x:v>
      </x:c>
      <x:c r="R1394" s="4" t="str">
        <x:f>IF(L1394="Withheld","Withheld premise",IF(E1394="Tool candidate","Reusable prerequisite",IF(K1394="Raw entry preparation","Entry-resource preparation",IF(G1394="Not applicable",IF(IFERROR(INDEX('Items'!$AI$6:$AI$1005,MATCH(T1394,'Items'!$A$6:$A$1005,0)),"MISSING ID")="Finished item","Finished endpoint",IF(IFERROR(INDEX('Items'!$AI$6:$AI$1005,MATCH(T1394,'Items'!$A$6:$A$1005,0)),"MISSING ID")="Currency","Currency / no refinement tier","Recovered output / tier not applicable")),IF(OR(IFERROR(INDEX('Crafting recipes'!$H$6:$H$1005,MATCH(J1394,'Crafting recipes'!$A$6:$A$1005,0)),"MISSING ID")="Unassigned",G1394="Unassigned"),"Tier unresolved",IF(IFERROR(VALUE(RIGHT(G1394,1))-VALUE(RIGHT(IFERROR(INDEX('Crafting recipes'!$H$6:$H$1005,MATCH(J1394,'Crafting recipes'!$A$6:$A$1005,0)),"MISSING ID"),1)),0)=1,IF(B1394=IFERROR(INDEX('Crafting recipes'!$H$6:$H$1005,MATCH(J1394,'Crafting recipes'!$A$6:$A$1005,0)),"MISSING ID"),"Advances one material tier","Lower-tier ingredient; route advances one tier"),"Needs tier review"))))))</x:f>
        <x:v>Finished endpoint</x:v>
      </x:c>
      <x:c r="S1394" s="4" t="str">
        <x:f>IFERROR(INDEX('Material routes'!$D$6:$D$2205,MATCH(U1394,'Material routes'!$A$6:$A$2205,0)),"MISSING ID")</x:f>
        <x:v>proposal.t4.contact_block</x:v>
      </x:c>
      <x:c r="T1394" s="4" t="str">
        <x:f>IFERROR(INDEX('Material routes'!$D$6:$D$2205,MATCH(V1394,'Material routes'!$A$6:$A$2205,0)),"MISSING ID")</x:f>
        <x:v>proposal.collection.glass_jar_capacitor_bank</x:v>
      </x:c>
      <x:c r="U1394" s="4" t="str">
        <x:v>design.collection.glass_jar_capacitor_bank.audit.extra.65</x:v>
      </x:c>
      <x:c r="V1394" s="4" t="str">
        <x:v>design.collection.glass_jar_capacitor_bank.out</x:v>
      </x:c>
    </x:row>
    <x:row r="1395" ht="64" customHeight="1">
      <x:c r="A1395" s="4" t="str">
        <x:f>IFERROR(INDEX('Material routes'!$E$6:$E$2205,MATCH(U1395,'Material routes'!$A$6:$A$2205,0)),"MISSING ID")</x:f>
        <x:v>Terminated grounding harness</x:v>
      </x:c>
      <x:c r="B1395" s="4" t="str">
        <x:f>IFERROR(INDEX('Material routes'!$F$6:$F$2205,MATCH(U1395,'Material routes'!$A$6:$A$2205,0)),"MISSING ID")</x:f>
        <x:v>T4</x:v>
      </x:c>
      <x:c r="C1395" s="4" t="str">
        <x:f>IFERROR(INDEX('Material routes'!$H$6:$H$2205,MATCH(U1395,'Material routes'!$A$6:$A$2205,0)),"MISSING ID")</x:f>
        <x:v>Crafting component</x:v>
      </x:c>
      <x:c r="D1395" s="4" t="str">
        <x:f>IFERROR(INDEX('Material routes'!$G$6:$G$2205,MATCH(U1395,'Material routes'!$A$6:$A$2205,0)),"MISSING ID")</x:f>
        <x:v>Crafting components</x:v>
      </x:c>
      <x:c r="E1395" s="4" t="str">
        <x:f>IFERROR(INDEX('Material routes'!$C$6:$C$2205,MATCH(U1395,'Material routes'!$A$6:$A$2205,0)),"MISSING ID")</x:f>
        <x:v>Ingredient candidate</x:v>
      </x:c>
      <x:c r="F1395" s="4" t="str">
        <x:f>IFERROR(INDEX('Material routes'!$E$6:$E$2205,MATCH(V1395,'Material routes'!$A$6:$A$2205,0)),"MISSING ID")</x:f>
        <x:v>Glass-jar capacitor bank</x:v>
      </x:c>
      <x:c r="G1395" s="4" t="str">
        <x:f>IFERROR(INDEX('Material routes'!$F$6:$F$2205,MATCH(V1395,'Material routes'!$A$6:$A$2205,0)),"MISSING ID")</x:f>
        <x:v>Not applicable</x:v>
      </x:c>
      <x:c r="H1395" s="4" t="str">
        <x:f>IFERROR(INDEX('Material routes'!$H$6:$H$2205,MATCH(V1395,'Material routes'!$A$6:$A$2205,0)),"MISSING ID")</x:f>
        <x:v>Energy storage</x:v>
      </x:c>
      <x:c r="I1395" s="4" t="str">
        <x:f>IFERROR(INDEX('Material routes'!$G$6:$G$2205,MATCH(V1395,'Material routes'!$A$6:$A$2205,0)),"MISSING ID")</x:f>
        <x:v>Crafting components</x:v>
      </x:c>
      <x:c r="J1395" s="4" t="str">
        <x:f>IFERROR(INDEX('Material routes'!$B$6:$B$2205,MATCH(U1395,'Material routes'!$A$6:$A$2205,0)),"MISSING ID")</x:f>
        <x:v>design.collection.glass_jar_capacitor_bank</x:v>
      </x:c>
      <x:c r="K1395" s="4" t="str">
        <x:f>IFERROR(INDEX('Crafting recipes'!$C$6:$C$1005,MATCH(J1395,'Crafting recipes'!$A$6:$A$1005,0)),"MISSING ID")</x:f>
        <x:v>Finished-item crafting</x:v>
      </x:c>
      <x:c r="L1395" s="4" t="str">
        <x:f>IFERROR(INDEX('Material routes'!$K$6:$K$2205,MATCH(U1395,'Material routes'!$A$6:$A$2205,0)),"MISSING ID")</x:f>
        <x:v>Proposal</x:v>
      </x:c>
      <x:c r="M1395" s="4" t="str">
        <x:f>IFERROR(INDEX('Material routes'!$M$6:$M$2205,MATCH(U1395,'Material routes'!$A$6:$A$2205,0)),"MISSING ID")</x:f>
        <x:v>Partial proposal</x:v>
      </x:c>
      <x:c r="N1395" s="4"/>
      <x:c r="O1395" s="4" t="str">
        <x:f>IFERROR(INDEX('Material routes'!$J$6:$J$2205,MATCH(U1395,'Material routes'!$A$6:$A$2205,0)),"MISSING ID")</x:f>
        <x:v>Unspecified</x:v>
      </x:c>
      <x:c r="P1395" s="4"/>
      <x:c r="Q1395" s="4" t="str">
        <x:f>IFERROR(INDEX('Material routes'!$J$6:$J$2205,MATCH(V1395,'Material routes'!$A$6:$A$2205,0)),"MISSING ID")</x:f>
        <x:v>Unspecified</x:v>
      </x:c>
      <x:c r="R1395" s="4" t="str">
        <x:f>IF(L1395="Withheld","Withheld premise",IF(E1395="Tool candidate","Reusable prerequisite",IF(K1395="Raw entry preparation","Entry-resource preparation",IF(G1395="Not applicable",IF(IFERROR(INDEX('Items'!$AI$6:$AI$1005,MATCH(T1395,'Items'!$A$6:$A$1005,0)),"MISSING ID")="Finished item","Finished endpoint",IF(IFERROR(INDEX('Items'!$AI$6:$AI$1005,MATCH(T1395,'Items'!$A$6:$A$1005,0)),"MISSING ID")="Currency","Currency / no refinement tier","Recovered output / tier not applicable")),IF(OR(IFERROR(INDEX('Crafting recipes'!$H$6:$H$1005,MATCH(J1395,'Crafting recipes'!$A$6:$A$1005,0)),"MISSING ID")="Unassigned",G1395="Unassigned"),"Tier unresolved",IF(IFERROR(VALUE(RIGHT(G1395,1))-VALUE(RIGHT(IFERROR(INDEX('Crafting recipes'!$H$6:$H$1005,MATCH(J1395,'Crafting recipes'!$A$6:$A$1005,0)),"MISSING ID"),1)),0)=1,IF(B1395=IFERROR(INDEX('Crafting recipes'!$H$6:$H$1005,MATCH(J1395,'Crafting recipes'!$A$6:$A$1005,0)),"MISSING ID"),"Advances one material tier","Lower-tier ingredient; route advances one tier"),"Needs tier review"))))))</x:f>
        <x:v>Finished endpoint</x:v>
      </x:c>
      <x:c r="S1395" s="4" t="str">
        <x:f>IFERROR(INDEX('Material routes'!$D$6:$D$2205,MATCH(U1395,'Material routes'!$A$6:$A$2205,0)),"MISSING ID")</x:f>
        <x:v>proposal.t4.grounding_harness</x:v>
      </x:c>
      <x:c r="T1395" s="4" t="str">
        <x:f>IFERROR(INDEX('Material routes'!$D$6:$D$2205,MATCH(V1395,'Material routes'!$A$6:$A$2205,0)),"MISSING ID")</x:f>
        <x:v>proposal.collection.glass_jar_capacitor_bank</x:v>
      </x:c>
      <x:c r="U1395" s="4" t="str">
        <x:v>design.collection.glass_jar_capacitor_bank.audit.extra.66</x:v>
      </x:c>
      <x:c r="V1395" s="4" t="str">
        <x:v>design.collection.glass_jar_capacitor_bank.out</x:v>
      </x:c>
    </x:row>
    <x:row r="1396" ht="64" customHeight="1">
      <x:c r="A1396" s="4" t="str">
        <x:f>IFERROR(INDEX('Material routes'!$E$6:$E$2205,MATCH(U1396,'Material routes'!$A$6:$A$2205,0)),"MISSING ID")</x:f>
        <x:v>Fitted machine casing</x:v>
      </x:c>
      <x:c r="B1396" s="4" t="str">
        <x:f>IFERROR(INDEX('Material routes'!$F$6:$F$2205,MATCH(U1396,'Material routes'!$A$6:$A$2205,0)),"MISSING ID")</x:f>
        <x:v>T3</x:v>
      </x:c>
      <x:c r="C1396" s="4" t="str">
        <x:f>IFERROR(INDEX('Material routes'!$H$6:$H$2205,MATCH(U1396,'Material routes'!$A$6:$A$2205,0)),"MISSING ID")</x:f>
        <x:v>Crafting component</x:v>
      </x:c>
      <x:c r="D1396" s="4" t="str">
        <x:f>IFERROR(INDEX('Material routes'!$G$6:$G$2205,MATCH(U1396,'Material routes'!$A$6:$A$2205,0)),"MISSING ID")</x:f>
        <x:v>Crafting components</x:v>
      </x:c>
      <x:c r="E1396" s="4" t="str">
        <x:f>IFERROR(INDEX('Material routes'!$C$6:$C$2205,MATCH(U1396,'Material routes'!$A$6:$A$2205,0)),"MISSING ID")</x:f>
        <x:v>Ingredient candidate</x:v>
      </x:c>
      <x:c r="F1396" s="4" t="str">
        <x:f>IFERROR(INDEX('Material routes'!$E$6:$E$2205,MATCH(V1396,'Material routes'!$A$6:$A$2205,0)),"MISSING ID")</x:f>
        <x:v>Ceramic-dielectric pulse bank</x:v>
      </x:c>
      <x:c r="G1396" s="4" t="str">
        <x:f>IFERROR(INDEX('Material routes'!$F$6:$F$2205,MATCH(V1396,'Material routes'!$A$6:$A$2205,0)),"MISSING ID")</x:f>
        <x:v>Not applicable</x:v>
      </x:c>
      <x:c r="H1396" s="4" t="str">
        <x:f>IFERROR(INDEX('Material routes'!$H$6:$H$2205,MATCH(V1396,'Material routes'!$A$6:$A$2205,0)),"MISSING ID")</x:f>
        <x:v>Energy storage</x:v>
      </x:c>
      <x:c r="I1396" s="4" t="str">
        <x:f>IFERROR(INDEX('Material routes'!$G$6:$G$2205,MATCH(V1396,'Material routes'!$A$6:$A$2205,0)),"MISSING ID")</x:f>
        <x:v>Crafting components</x:v>
      </x:c>
      <x:c r="J1396" s="4" t="str">
        <x:f>IFERROR(INDEX('Material routes'!$B$6:$B$2205,MATCH(U1396,'Material routes'!$A$6:$A$2205,0)),"MISSING ID")</x:f>
        <x:v>design.collection.ceramic_dielectric_pulse_bank</x:v>
      </x:c>
      <x:c r="K1396" s="4" t="str">
        <x:f>IFERROR(INDEX('Crafting recipes'!$C$6:$C$1005,MATCH(J1396,'Crafting recipes'!$A$6:$A$1005,0)),"MISSING ID")</x:f>
        <x:v>Finished-item crafting</x:v>
      </x:c>
      <x:c r="L1396" s="4" t="str">
        <x:f>IFERROR(INDEX('Material routes'!$K$6:$K$2205,MATCH(U1396,'Material routes'!$A$6:$A$2205,0)),"MISSING ID")</x:f>
        <x:v>Proposal</x:v>
      </x:c>
      <x:c r="M1396" s="4" t="str">
        <x:f>IFERROR(INDEX('Material routes'!$M$6:$M$2205,MATCH(U1396,'Material routes'!$A$6:$A$2205,0)),"MISSING ID")</x:f>
        <x:v>Partial proposal</x:v>
      </x:c>
      <x:c r="N1396" s="4"/>
      <x:c r="O1396" s="4" t="str">
        <x:f>IFERROR(INDEX('Material routes'!$J$6:$J$2205,MATCH(U1396,'Material routes'!$A$6:$A$2205,0)),"MISSING ID")</x:f>
        <x:v>Unspecified</x:v>
      </x:c>
      <x:c r="P1396" s="4"/>
      <x:c r="Q1396" s="4" t="str">
        <x:f>IFERROR(INDEX('Material routes'!$J$6:$J$2205,MATCH(V1396,'Material routes'!$A$6:$A$2205,0)),"MISSING ID")</x:f>
        <x:v>Unspecified</x:v>
      </x:c>
      <x:c r="R1396" s="4" t="str">
        <x:f>IF(L1396="Withheld","Withheld premise",IF(E1396="Tool candidate","Reusable prerequisite",IF(K1396="Raw entry preparation","Entry-resource preparation",IF(G1396="Not applicable",IF(IFERROR(INDEX('Items'!$AI$6:$AI$1005,MATCH(T1396,'Items'!$A$6:$A$1005,0)),"MISSING ID")="Finished item","Finished endpoint",IF(IFERROR(INDEX('Items'!$AI$6:$AI$1005,MATCH(T1396,'Items'!$A$6:$A$1005,0)),"MISSING ID")="Currency","Currency / no refinement tier","Recovered output / tier not applicable")),IF(OR(IFERROR(INDEX('Crafting recipes'!$H$6:$H$1005,MATCH(J1396,'Crafting recipes'!$A$6:$A$1005,0)),"MISSING ID")="Unassigned",G1396="Unassigned"),"Tier unresolved",IF(IFERROR(VALUE(RIGHT(G1396,1))-VALUE(RIGHT(IFERROR(INDEX('Crafting recipes'!$H$6:$H$1005,MATCH(J1396,'Crafting recipes'!$A$6:$A$1005,0)),"MISSING ID"),1)),0)=1,IF(B1396=IFERROR(INDEX('Crafting recipes'!$H$6:$H$1005,MATCH(J1396,'Crafting recipes'!$A$6:$A$1005,0)),"MISSING ID"),"Advances one material tier","Lower-tier ingredient; route advances one tier"),"Needs tier review"))))))</x:f>
        <x:v>Finished endpoint</x:v>
      </x:c>
      <x:c r="S1396" s="4" t="str">
        <x:f>IFERROR(INDEX('Material routes'!$D$6:$D$2205,MATCH(U1396,'Material routes'!$A$6:$A$2205,0)),"MISSING ID")</x:f>
        <x:v>proposal.audit.fitted_machine_casing</x:v>
      </x:c>
      <x:c r="T1396" s="4" t="str">
        <x:f>IFERROR(INDEX('Material routes'!$D$6:$D$2205,MATCH(V1396,'Material routes'!$A$6:$A$2205,0)),"MISSING ID")</x:f>
        <x:v>proposal.collection.ceramic_dielectric_pulse_bank</x:v>
      </x:c>
      <x:c r="U1396" s="4" t="str">
        <x:v>design.collection.ceramic_dielectric_pulse_bank.audit.extra.67</x:v>
      </x:c>
      <x:c r="V1396" s="4" t="str">
        <x:v>design.collection.ceramic_dielectric_pulse_bank.out</x:v>
      </x:c>
    </x:row>
    <x:row r="1397" ht="64" customHeight="1">
      <x:c r="A1397" s="4" t="str">
        <x:f>IFERROR(INDEX('Material routes'!$E$6:$E$2205,MATCH(U1397,'Material routes'!$A$6:$A$2205,0)),"MISSING ID")</x:f>
        <x:v>Serviceable insulated contact block</x:v>
      </x:c>
      <x:c r="B1397" s="4" t="str">
        <x:f>IFERROR(INDEX('Material routes'!$F$6:$F$2205,MATCH(U1397,'Material routes'!$A$6:$A$2205,0)),"MISSING ID")</x:f>
        <x:v>T4</x:v>
      </x:c>
      <x:c r="C1397" s="4" t="str">
        <x:f>IFERROR(INDEX('Material routes'!$H$6:$H$2205,MATCH(U1397,'Material routes'!$A$6:$A$2205,0)),"MISSING ID")</x:f>
        <x:v>Crafting component</x:v>
      </x:c>
      <x:c r="D1397" s="4" t="str">
        <x:f>IFERROR(INDEX('Material routes'!$G$6:$G$2205,MATCH(U1397,'Material routes'!$A$6:$A$2205,0)),"MISSING ID")</x:f>
        <x:v>Crafting components</x:v>
      </x:c>
      <x:c r="E1397" s="4" t="str">
        <x:f>IFERROR(INDEX('Material routes'!$C$6:$C$2205,MATCH(U1397,'Material routes'!$A$6:$A$2205,0)),"MISSING ID")</x:f>
        <x:v>Ingredient candidate</x:v>
      </x:c>
      <x:c r="F1397" s="4" t="str">
        <x:f>IFERROR(INDEX('Material routes'!$E$6:$E$2205,MATCH(V1397,'Material routes'!$A$6:$A$2205,0)),"MISSING ID")</x:f>
        <x:v>Ceramic-dielectric pulse bank</x:v>
      </x:c>
      <x:c r="G1397" s="4" t="str">
        <x:f>IFERROR(INDEX('Material routes'!$F$6:$F$2205,MATCH(V1397,'Material routes'!$A$6:$A$2205,0)),"MISSING ID")</x:f>
        <x:v>Not applicable</x:v>
      </x:c>
      <x:c r="H1397" s="4" t="str">
        <x:f>IFERROR(INDEX('Material routes'!$H$6:$H$2205,MATCH(V1397,'Material routes'!$A$6:$A$2205,0)),"MISSING ID")</x:f>
        <x:v>Energy storage</x:v>
      </x:c>
      <x:c r="I1397" s="4" t="str">
        <x:f>IFERROR(INDEX('Material routes'!$G$6:$G$2205,MATCH(V1397,'Material routes'!$A$6:$A$2205,0)),"MISSING ID")</x:f>
        <x:v>Crafting components</x:v>
      </x:c>
      <x:c r="J1397" s="4" t="str">
        <x:f>IFERROR(INDEX('Material routes'!$B$6:$B$2205,MATCH(U1397,'Material routes'!$A$6:$A$2205,0)),"MISSING ID")</x:f>
        <x:v>design.collection.ceramic_dielectric_pulse_bank</x:v>
      </x:c>
      <x:c r="K1397" s="4" t="str">
        <x:f>IFERROR(INDEX('Crafting recipes'!$C$6:$C$1005,MATCH(J1397,'Crafting recipes'!$A$6:$A$1005,0)),"MISSING ID")</x:f>
        <x:v>Finished-item crafting</x:v>
      </x:c>
      <x:c r="L1397" s="4" t="str">
        <x:f>IFERROR(INDEX('Material routes'!$K$6:$K$2205,MATCH(U1397,'Material routes'!$A$6:$A$2205,0)),"MISSING ID")</x:f>
        <x:v>Proposal</x:v>
      </x:c>
      <x:c r="M1397" s="4" t="str">
        <x:f>IFERROR(INDEX('Material routes'!$M$6:$M$2205,MATCH(U1397,'Material routes'!$A$6:$A$2205,0)),"MISSING ID")</x:f>
        <x:v>Partial proposal</x:v>
      </x:c>
      <x:c r="N1397" s="4"/>
      <x:c r="O1397" s="4" t="str">
        <x:f>IFERROR(INDEX('Material routes'!$J$6:$J$2205,MATCH(U1397,'Material routes'!$A$6:$A$2205,0)),"MISSING ID")</x:f>
        <x:v>Unspecified</x:v>
      </x:c>
      <x:c r="P1397" s="4"/>
      <x:c r="Q1397" s="4" t="str">
        <x:f>IFERROR(INDEX('Material routes'!$J$6:$J$2205,MATCH(V1397,'Material routes'!$A$6:$A$2205,0)),"MISSING ID")</x:f>
        <x:v>Unspecified</x:v>
      </x:c>
      <x:c r="R1397" s="4" t="str">
        <x:f>IF(L1397="Withheld","Withheld premise",IF(E1397="Tool candidate","Reusable prerequisite",IF(K1397="Raw entry preparation","Entry-resource preparation",IF(G1397="Not applicable",IF(IFERROR(INDEX('Items'!$AI$6:$AI$1005,MATCH(T1397,'Items'!$A$6:$A$1005,0)),"MISSING ID")="Finished item","Finished endpoint",IF(IFERROR(INDEX('Items'!$AI$6:$AI$1005,MATCH(T1397,'Items'!$A$6:$A$1005,0)),"MISSING ID")="Currency","Currency / no refinement tier","Recovered output / tier not applicable")),IF(OR(IFERROR(INDEX('Crafting recipes'!$H$6:$H$1005,MATCH(J1397,'Crafting recipes'!$A$6:$A$1005,0)),"MISSING ID")="Unassigned",G1397="Unassigned"),"Tier unresolved",IF(IFERROR(VALUE(RIGHT(G1397,1))-VALUE(RIGHT(IFERROR(INDEX('Crafting recipes'!$H$6:$H$1005,MATCH(J1397,'Crafting recipes'!$A$6:$A$1005,0)),"MISSING ID"),1)),0)=1,IF(B1397=IFERROR(INDEX('Crafting recipes'!$H$6:$H$1005,MATCH(J1397,'Crafting recipes'!$A$6:$A$1005,0)),"MISSING ID"),"Advances one material tier","Lower-tier ingredient; route advances one tier"),"Needs tier review"))))))</x:f>
        <x:v>Finished endpoint</x:v>
      </x:c>
      <x:c r="S1397" s="4" t="str">
        <x:f>IFERROR(INDEX('Material routes'!$D$6:$D$2205,MATCH(U1397,'Material routes'!$A$6:$A$2205,0)),"MISSING ID")</x:f>
        <x:v>proposal.t4.contact_block</x:v>
      </x:c>
      <x:c r="T1397" s="4" t="str">
        <x:f>IFERROR(INDEX('Material routes'!$D$6:$D$2205,MATCH(V1397,'Material routes'!$A$6:$A$2205,0)),"MISSING ID")</x:f>
        <x:v>proposal.collection.ceramic_dielectric_pulse_bank</x:v>
      </x:c>
      <x:c r="U1397" s="4" t="str">
        <x:v>design.collection.ceramic_dielectric_pulse_bank.audit.extra.68</x:v>
      </x:c>
      <x:c r="V1397" s="4" t="str">
        <x:v>design.collection.ceramic_dielectric_pulse_bank.out</x:v>
      </x:c>
    </x:row>
    <x:row r="1398" ht="64" customHeight="1">
      <x:c r="A1398" s="4" t="str">
        <x:f>IFERROR(INDEX('Material routes'!$E$6:$E$2205,MATCH(U1398,'Material routes'!$A$6:$A$2205,0)),"MISSING ID")</x:f>
        <x:v>Terminated grounding harness</x:v>
      </x:c>
      <x:c r="B1398" s="4" t="str">
        <x:f>IFERROR(INDEX('Material routes'!$F$6:$F$2205,MATCH(U1398,'Material routes'!$A$6:$A$2205,0)),"MISSING ID")</x:f>
        <x:v>T4</x:v>
      </x:c>
      <x:c r="C1398" s="4" t="str">
        <x:f>IFERROR(INDEX('Material routes'!$H$6:$H$2205,MATCH(U1398,'Material routes'!$A$6:$A$2205,0)),"MISSING ID")</x:f>
        <x:v>Crafting component</x:v>
      </x:c>
      <x:c r="D1398" s="4" t="str">
        <x:f>IFERROR(INDEX('Material routes'!$G$6:$G$2205,MATCH(U1398,'Material routes'!$A$6:$A$2205,0)),"MISSING ID")</x:f>
        <x:v>Crafting components</x:v>
      </x:c>
      <x:c r="E1398" s="4" t="str">
        <x:f>IFERROR(INDEX('Material routes'!$C$6:$C$2205,MATCH(U1398,'Material routes'!$A$6:$A$2205,0)),"MISSING ID")</x:f>
        <x:v>Ingredient candidate</x:v>
      </x:c>
      <x:c r="F1398" s="4" t="str">
        <x:f>IFERROR(INDEX('Material routes'!$E$6:$E$2205,MATCH(V1398,'Material routes'!$A$6:$A$2205,0)),"MISSING ID")</x:f>
        <x:v>Ceramic-dielectric pulse bank</x:v>
      </x:c>
      <x:c r="G1398" s="4" t="str">
        <x:f>IFERROR(INDEX('Material routes'!$F$6:$F$2205,MATCH(V1398,'Material routes'!$A$6:$A$2205,0)),"MISSING ID")</x:f>
        <x:v>Not applicable</x:v>
      </x:c>
      <x:c r="H1398" s="4" t="str">
        <x:f>IFERROR(INDEX('Material routes'!$H$6:$H$2205,MATCH(V1398,'Material routes'!$A$6:$A$2205,0)),"MISSING ID")</x:f>
        <x:v>Energy storage</x:v>
      </x:c>
      <x:c r="I1398" s="4" t="str">
        <x:f>IFERROR(INDEX('Material routes'!$G$6:$G$2205,MATCH(V1398,'Material routes'!$A$6:$A$2205,0)),"MISSING ID")</x:f>
        <x:v>Crafting components</x:v>
      </x:c>
      <x:c r="J1398" s="4" t="str">
        <x:f>IFERROR(INDEX('Material routes'!$B$6:$B$2205,MATCH(U1398,'Material routes'!$A$6:$A$2205,0)),"MISSING ID")</x:f>
        <x:v>design.collection.ceramic_dielectric_pulse_bank</x:v>
      </x:c>
      <x:c r="K1398" s="4" t="str">
        <x:f>IFERROR(INDEX('Crafting recipes'!$C$6:$C$1005,MATCH(J1398,'Crafting recipes'!$A$6:$A$1005,0)),"MISSING ID")</x:f>
        <x:v>Finished-item crafting</x:v>
      </x:c>
      <x:c r="L1398" s="4" t="str">
        <x:f>IFERROR(INDEX('Material routes'!$K$6:$K$2205,MATCH(U1398,'Material routes'!$A$6:$A$2205,0)),"MISSING ID")</x:f>
        <x:v>Proposal</x:v>
      </x:c>
      <x:c r="M1398" s="4" t="str">
        <x:f>IFERROR(INDEX('Material routes'!$M$6:$M$2205,MATCH(U1398,'Material routes'!$A$6:$A$2205,0)),"MISSING ID")</x:f>
        <x:v>Partial proposal</x:v>
      </x:c>
      <x:c r="N1398" s="4"/>
      <x:c r="O1398" s="4" t="str">
        <x:f>IFERROR(INDEX('Material routes'!$J$6:$J$2205,MATCH(U1398,'Material routes'!$A$6:$A$2205,0)),"MISSING ID")</x:f>
        <x:v>Unspecified</x:v>
      </x:c>
      <x:c r="P1398" s="4"/>
      <x:c r="Q1398" s="4" t="str">
        <x:f>IFERROR(INDEX('Material routes'!$J$6:$J$2205,MATCH(V1398,'Material routes'!$A$6:$A$2205,0)),"MISSING ID")</x:f>
        <x:v>Unspecified</x:v>
      </x:c>
      <x:c r="R1398" s="4" t="str">
        <x:f>IF(L1398="Withheld","Withheld premise",IF(E1398="Tool candidate","Reusable prerequisite",IF(K1398="Raw entry preparation","Entry-resource preparation",IF(G1398="Not applicable",IF(IFERROR(INDEX('Items'!$AI$6:$AI$1005,MATCH(T1398,'Items'!$A$6:$A$1005,0)),"MISSING ID")="Finished item","Finished endpoint",IF(IFERROR(INDEX('Items'!$AI$6:$AI$1005,MATCH(T1398,'Items'!$A$6:$A$1005,0)),"MISSING ID")="Currency","Currency / no refinement tier","Recovered output / tier not applicable")),IF(OR(IFERROR(INDEX('Crafting recipes'!$H$6:$H$1005,MATCH(J1398,'Crafting recipes'!$A$6:$A$1005,0)),"MISSING ID")="Unassigned",G1398="Unassigned"),"Tier unresolved",IF(IFERROR(VALUE(RIGHT(G1398,1))-VALUE(RIGHT(IFERROR(INDEX('Crafting recipes'!$H$6:$H$1005,MATCH(J1398,'Crafting recipes'!$A$6:$A$1005,0)),"MISSING ID"),1)),0)=1,IF(B1398=IFERROR(INDEX('Crafting recipes'!$H$6:$H$1005,MATCH(J1398,'Crafting recipes'!$A$6:$A$1005,0)),"MISSING ID"),"Advances one material tier","Lower-tier ingredient; route advances one tier"),"Needs tier review"))))))</x:f>
        <x:v>Finished endpoint</x:v>
      </x:c>
      <x:c r="S1398" s="4" t="str">
        <x:f>IFERROR(INDEX('Material routes'!$D$6:$D$2205,MATCH(U1398,'Material routes'!$A$6:$A$2205,0)),"MISSING ID")</x:f>
        <x:v>proposal.t4.grounding_harness</x:v>
      </x:c>
      <x:c r="T1398" s="4" t="str">
        <x:f>IFERROR(INDEX('Material routes'!$D$6:$D$2205,MATCH(V1398,'Material routes'!$A$6:$A$2205,0)),"MISSING ID")</x:f>
        <x:v>proposal.collection.ceramic_dielectric_pulse_bank</x:v>
      </x:c>
      <x:c r="U1398" s="4" t="str">
        <x:v>design.collection.ceramic_dielectric_pulse_bank.audit.extra.69</x:v>
      </x:c>
      <x:c r="V1398" s="4" t="str">
        <x:v>design.collection.ceramic_dielectric_pulse_bank.out</x:v>
      </x:c>
    </x:row>
    <x:row r="1399" ht="64" customHeight="1">
      <x:c r="A1399" s="4" t="str">
        <x:f>IFERROR(INDEX('Material routes'!$E$6:$E$2205,MATCH(U1399,'Material routes'!$A$6:$A$2205,0)),"MISSING ID")</x:f>
        <x:v>Membrane tension hoop</x:v>
      </x:c>
      <x:c r="B1399" s="4" t="str">
        <x:f>IFERROR(INDEX('Material routes'!$F$6:$F$2205,MATCH(U1399,'Material routes'!$A$6:$A$2205,0)),"MISSING ID")</x:f>
        <x:v>T3</x:v>
      </x:c>
      <x:c r="C1399" s="4" t="str">
        <x:f>IFERROR(INDEX('Material routes'!$H$6:$H$2205,MATCH(U1399,'Material routes'!$A$6:$A$2205,0)),"MISSING ID")</x:f>
        <x:v>Crafting component</x:v>
      </x:c>
      <x:c r="D1399" s="4" t="str">
        <x:f>IFERROR(INDEX('Material routes'!$G$6:$G$2205,MATCH(U1399,'Material routes'!$A$6:$A$2205,0)),"MISSING ID")</x:f>
        <x:v>Crafting components</x:v>
      </x:c>
      <x:c r="E1399" s="4" t="str">
        <x:f>IFERROR(INDEX('Material routes'!$C$6:$C$2205,MATCH(U1399,'Material routes'!$A$6:$A$2205,0)),"MISSING ID")</x:f>
        <x:v>Ingredient candidate</x:v>
      </x:c>
      <x:c r="F1399" s="4" t="str">
        <x:f>IFERROR(INDEX('Material routes'!$E$6:$E$2205,MATCH(V1399,'Material routes'!$A$6:$A$2205,0)),"MISSING ID")</x:f>
        <x:v>Hide-headed shell drum</x:v>
      </x:c>
      <x:c r="G1399" s="4" t="str">
        <x:f>IFERROR(INDEX('Material routes'!$F$6:$F$2205,MATCH(V1399,'Material routes'!$A$6:$A$2205,0)),"MISSING ID")</x:f>
        <x:v>Not applicable</x:v>
      </x:c>
      <x:c r="H1399" s="4" t="str">
        <x:f>IFERROR(INDEX('Material routes'!$H$6:$H$2205,MATCH(V1399,'Material routes'!$A$6:$A$2205,0)),"MISSING ID")</x:f>
        <x:v>Musical instrument</x:v>
      </x:c>
      <x:c r="I1399" s="4" t="str">
        <x:f>IFERROR(INDEX('Material routes'!$G$6:$G$2205,MATCH(V1399,'Material routes'!$A$6:$A$2205,0)),"MISSING ID")</x:f>
        <x:v>Salvage</x:v>
      </x:c>
      <x:c r="J1399" s="4" t="str">
        <x:f>IFERROR(INDEX('Material routes'!$B$6:$B$2205,MATCH(U1399,'Material routes'!$A$6:$A$2205,0)),"MISSING ID")</x:f>
        <x:v>design.collection.hide_headed_shell_drum</x:v>
      </x:c>
      <x:c r="K1399" s="4" t="str">
        <x:f>IFERROR(INDEX('Crafting recipes'!$C$6:$C$1005,MATCH(J1399,'Crafting recipes'!$A$6:$A$1005,0)),"MISSING ID")</x:f>
        <x:v>Finished-item crafting</x:v>
      </x:c>
      <x:c r="L1399" s="4" t="str">
        <x:f>IFERROR(INDEX('Material routes'!$K$6:$K$2205,MATCH(U1399,'Material routes'!$A$6:$A$2205,0)),"MISSING ID")</x:f>
        <x:v>Proposal</x:v>
      </x:c>
      <x:c r="M1399" s="4" t="str">
        <x:f>IFERROR(INDEX('Material routes'!$M$6:$M$2205,MATCH(U1399,'Material routes'!$A$6:$A$2205,0)),"MISSING ID")</x:f>
        <x:v>Partial proposal</x:v>
      </x:c>
      <x:c r="N1399" s="4"/>
      <x:c r="O1399" s="4" t="str">
        <x:f>IFERROR(INDEX('Material routes'!$J$6:$J$2205,MATCH(U1399,'Material routes'!$A$6:$A$2205,0)),"MISSING ID")</x:f>
        <x:v>Unspecified</x:v>
      </x:c>
      <x:c r="P1399" s="4"/>
      <x:c r="Q1399" s="4" t="str">
        <x:f>IFERROR(INDEX('Material routes'!$J$6:$J$2205,MATCH(V1399,'Material routes'!$A$6:$A$2205,0)),"MISSING ID")</x:f>
        <x:v>Unspecified</x:v>
      </x:c>
      <x:c r="R1399" s="4" t="str">
        <x:f>IF(L1399="Withheld","Withheld premise",IF(E1399="Tool candidate","Reusable prerequisite",IF(K1399="Raw entry preparation","Entry-resource preparation",IF(G1399="Not applicable",IF(IFERROR(INDEX('Items'!$AI$6:$AI$1005,MATCH(T1399,'Items'!$A$6:$A$1005,0)),"MISSING ID")="Finished item","Finished endpoint",IF(IFERROR(INDEX('Items'!$AI$6:$AI$1005,MATCH(T1399,'Items'!$A$6:$A$1005,0)),"MISSING ID")="Currency","Currency / no refinement tier","Recovered output / tier not applicable")),IF(OR(IFERROR(INDEX('Crafting recipes'!$H$6:$H$1005,MATCH(J1399,'Crafting recipes'!$A$6:$A$1005,0)),"MISSING ID")="Unassigned",G1399="Unassigned"),"Tier unresolved",IF(IFERROR(VALUE(RIGHT(G1399,1))-VALUE(RIGHT(IFERROR(INDEX('Crafting recipes'!$H$6:$H$1005,MATCH(J1399,'Crafting recipes'!$A$6:$A$1005,0)),"MISSING ID"),1)),0)=1,IF(B1399=IFERROR(INDEX('Crafting recipes'!$H$6:$H$1005,MATCH(J1399,'Crafting recipes'!$A$6:$A$1005,0)),"MISSING ID"),"Advances one material tier","Lower-tier ingredient; route advances one tier"),"Needs tier review"))))))</x:f>
        <x:v>Finished endpoint</x:v>
      </x:c>
      <x:c r="S1399" s="4" t="str">
        <x:f>IFERROR(INDEX('Material routes'!$D$6:$D$2205,MATCH(U1399,'Material routes'!$A$6:$A$2205,0)),"MISSING ID")</x:f>
        <x:v>proposal.audit.membrane_tension_hoop</x:v>
      </x:c>
      <x:c r="T1399" s="4" t="str">
        <x:f>IFERROR(INDEX('Material routes'!$D$6:$D$2205,MATCH(V1399,'Material routes'!$A$6:$A$2205,0)),"MISSING ID")</x:f>
        <x:v>proposal.collection.hide_headed_shell_drum</x:v>
      </x:c>
      <x:c r="U1399" s="4" t="str">
        <x:v>design.collection.hide_headed_shell_drum.audit.extra.70</x:v>
      </x:c>
      <x:c r="V1399" s="4" t="str">
        <x:v>design.collection.hide_headed_shell_drum.out</x:v>
      </x:c>
    </x:row>
    <x:row r="1400" ht="64" customHeight="1">
      <x:c r="A1400" s="4" t="str">
        <x:f>IFERROR(INDEX('Material routes'!$E$6:$E$2205,MATCH(U1400,'Material routes'!$A$6:$A$2205,0)),"MISSING ID")</x:f>
        <x:v>Membrane tension hoop</x:v>
      </x:c>
      <x:c r="B1400" s="4" t="str">
        <x:f>IFERROR(INDEX('Material routes'!$F$6:$F$2205,MATCH(U1400,'Material routes'!$A$6:$A$2205,0)),"MISSING ID")</x:f>
        <x:v>T3</x:v>
      </x:c>
      <x:c r="C1400" s="4" t="str">
        <x:f>IFERROR(INDEX('Material routes'!$H$6:$H$2205,MATCH(U1400,'Material routes'!$A$6:$A$2205,0)),"MISSING ID")</x:f>
        <x:v>Crafting component</x:v>
      </x:c>
      <x:c r="D1400" s="4" t="str">
        <x:f>IFERROR(INDEX('Material routes'!$G$6:$G$2205,MATCH(U1400,'Material routes'!$A$6:$A$2205,0)),"MISSING ID")</x:f>
        <x:v>Crafting components</x:v>
      </x:c>
      <x:c r="E1400" s="4" t="str">
        <x:f>IFERROR(INDEX('Material routes'!$C$6:$C$2205,MATCH(U1400,'Material routes'!$A$6:$A$2205,0)),"MISSING ID")</x:f>
        <x:v>Ingredient candidate</x:v>
      </x:c>
      <x:c r="F1400" s="4" t="str">
        <x:f>IFERROR(INDEX('Material routes'!$E$6:$E$2205,MATCH(V1400,'Material routes'!$A$6:$A$2205,0)),"MISSING ID")</x:f>
        <x:v>Double-headed metal drum</x:v>
      </x:c>
      <x:c r="G1400" s="4" t="str">
        <x:f>IFERROR(INDEX('Material routes'!$F$6:$F$2205,MATCH(V1400,'Material routes'!$A$6:$A$2205,0)),"MISSING ID")</x:f>
        <x:v>Not applicable</x:v>
      </x:c>
      <x:c r="H1400" s="4" t="str">
        <x:f>IFERROR(INDEX('Material routes'!$H$6:$H$2205,MATCH(V1400,'Material routes'!$A$6:$A$2205,0)),"MISSING ID")</x:f>
        <x:v>Musical instrument</x:v>
      </x:c>
      <x:c r="I1400" s="4" t="str">
        <x:f>IFERROR(INDEX('Material routes'!$G$6:$G$2205,MATCH(V1400,'Material routes'!$A$6:$A$2205,0)),"MISSING ID")</x:f>
        <x:v>Salvage</x:v>
      </x:c>
      <x:c r="J1400" s="4" t="str">
        <x:f>IFERROR(INDEX('Material routes'!$B$6:$B$2205,MATCH(U1400,'Material routes'!$A$6:$A$2205,0)),"MISSING ID")</x:f>
        <x:v>design.collection.double_headed_metal_drum</x:v>
      </x:c>
      <x:c r="K1400" s="4" t="str">
        <x:f>IFERROR(INDEX('Crafting recipes'!$C$6:$C$1005,MATCH(J1400,'Crafting recipes'!$A$6:$A$1005,0)),"MISSING ID")</x:f>
        <x:v>Finished-item crafting</x:v>
      </x:c>
      <x:c r="L1400" s="4" t="str">
        <x:f>IFERROR(INDEX('Material routes'!$K$6:$K$2205,MATCH(U1400,'Material routes'!$A$6:$A$2205,0)),"MISSING ID")</x:f>
        <x:v>Proposal</x:v>
      </x:c>
      <x:c r="M1400" s="4" t="str">
        <x:f>IFERROR(INDEX('Material routes'!$M$6:$M$2205,MATCH(U1400,'Material routes'!$A$6:$A$2205,0)),"MISSING ID")</x:f>
        <x:v>Partial proposal</x:v>
      </x:c>
      <x:c r="N1400" s="4"/>
      <x:c r="O1400" s="4" t="str">
        <x:f>IFERROR(INDEX('Material routes'!$J$6:$J$2205,MATCH(U1400,'Material routes'!$A$6:$A$2205,0)),"MISSING ID")</x:f>
        <x:v>Unspecified</x:v>
      </x:c>
      <x:c r="P1400" s="4"/>
      <x:c r="Q1400" s="4" t="str">
        <x:f>IFERROR(INDEX('Material routes'!$J$6:$J$2205,MATCH(V1400,'Material routes'!$A$6:$A$2205,0)),"MISSING ID")</x:f>
        <x:v>Unspecified</x:v>
      </x:c>
      <x:c r="R1400" s="4" t="str">
        <x:f>IF(L1400="Withheld","Withheld premise",IF(E1400="Tool candidate","Reusable prerequisite",IF(K1400="Raw entry preparation","Entry-resource preparation",IF(G1400="Not applicable",IF(IFERROR(INDEX('Items'!$AI$6:$AI$1005,MATCH(T1400,'Items'!$A$6:$A$1005,0)),"MISSING ID")="Finished item","Finished endpoint",IF(IFERROR(INDEX('Items'!$AI$6:$AI$1005,MATCH(T1400,'Items'!$A$6:$A$1005,0)),"MISSING ID")="Currency","Currency / no refinement tier","Recovered output / tier not applicable")),IF(OR(IFERROR(INDEX('Crafting recipes'!$H$6:$H$1005,MATCH(J1400,'Crafting recipes'!$A$6:$A$1005,0)),"MISSING ID")="Unassigned",G1400="Unassigned"),"Tier unresolved",IF(IFERROR(VALUE(RIGHT(G1400,1))-VALUE(RIGHT(IFERROR(INDEX('Crafting recipes'!$H$6:$H$1005,MATCH(J1400,'Crafting recipes'!$A$6:$A$1005,0)),"MISSING ID"),1)),0)=1,IF(B1400=IFERROR(INDEX('Crafting recipes'!$H$6:$H$1005,MATCH(J1400,'Crafting recipes'!$A$6:$A$1005,0)),"MISSING ID"),"Advances one material tier","Lower-tier ingredient; route advances one tier"),"Needs tier review"))))))</x:f>
        <x:v>Finished endpoint</x:v>
      </x:c>
      <x:c r="S1400" s="4" t="str">
        <x:f>IFERROR(INDEX('Material routes'!$D$6:$D$2205,MATCH(U1400,'Material routes'!$A$6:$A$2205,0)),"MISSING ID")</x:f>
        <x:v>proposal.audit.membrane_tension_hoop</x:v>
      </x:c>
      <x:c r="T1400" s="4" t="str">
        <x:f>IFERROR(INDEX('Material routes'!$D$6:$D$2205,MATCH(V1400,'Material routes'!$A$6:$A$2205,0)),"MISSING ID")</x:f>
        <x:v>proposal.collection.double_headed_metal_drum</x:v>
      </x:c>
      <x:c r="U1400" s="4" t="str">
        <x:v>design.collection.double_headed_metal_drum.audit.extra.71</x:v>
      </x:c>
      <x:c r="V1400" s="4" t="str">
        <x:v>design.collection.double_headed_metal_drum.out</x:v>
      </x:c>
    </x:row>
    <x:row r="1401" ht="64" customHeight="1">
      <x:c r="A1401" s="4" t="str">
        <x:f>IFERROR(INDEX('Material routes'!$E$6:$E$2205,MATCH(U1401,'Material routes'!$A$6:$A$2205,0)),"MISSING ID")</x:f>
        <x:v>Tendon cord</x:v>
      </x:c>
      <x:c r="B1401" s="4" t="str">
        <x:f>IFERROR(INDEX('Material routes'!$F$6:$F$2205,MATCH(U1401,'Material routes'!$A$6:$A$2205,0)),"MISSING ID")</x:f>
        <x:v>T1</x:v>
      </x:c>
      <x:c r="C1401" s="4" t="str">
        <x:f>IFERROR(INDEX('Material routes'!$H$6:$H$2205,MATCH(U1401,'Material routes'!$A$6:$A$2205,0)),"MISSING ID")</x:f>
        <x:v>Crafting component</x:v>
      </x:c>
      <x:c r="D1401" s="4" t="str">
        <x:f>IFERROR(INDEX('Material routes'!$G$6:$G$2205,MATCH(U1401,'Material routes'!$A$6:$A$2205,0)),"MISSING ID")</x:f>
        <x:v>Crafting components</x:v>
      </x:c>
      <x:c r="E1401" s="4" t="str">
        <x:f>IFERROR(INDEX('Material routes'!$C$6:$C$2205,MATCH(U1401,'Material routes'!$A$6:$A$2205,0)),"MISSING ID")</x:f>
        <x:v>Ingredient candidate</x:v>
      </x:c>
      <x:c r="F1401" s="4" t="str">
        <x:f>IFERROR(INDEX('Material routes'!$E$6:$E$2205,MATCH(V1401,'Material routes'!$A$6:$A$2205,0)),"MISSING ID")</x:f>
        <x:v>Double-headed metal drum</x:v>
      </x:c>
      <x:c r="G1401" s="4" t="str">
        <x:f>IFERROR(INDEX('Material routes'!$F$6:$F$2205,MATCH(V1401,'Material routes'!$A$6:$A$2205,0)),"MISSING ID")</x:f>
        <x:v>Not applicable</x:v>
      </x:c>
      <x:c r="H1401" s="4" t="str">
        <x:f>IFERROR(INDEX('Material routes'!$H$6:$H$2205,MATCH(V1401,'Material routes'!$A$6:$A$2205,0)),"MISSING ID")</x:f>
        <x:v>Musical instrument</x:v>
      </x:c>
      <x:c r="I1401" s="4" t="str">
        <x:f>IFERROR(INDEX('Material routes'!$G$6:$G$2205,MATCH(V1401,'Material routes'!$A$6:$A$2205,0)),"MISSING ID")</x:f>
        <x:v>Salvage</x:v>
      </x:c>
      <x:c r="J1401" s="4" t="str">
        <x:f>IFERROR(INDEX('Material routes'!$B$6:$B$2205,MATCH(U1401,'Material routes'!$A$6:$A$2205,0)),"MISSING ID")</x:f>
        <x:v>design.collection.double_headed_metal_drum</x:v>
      </x:c>
      <x:c r="K1401" s="4" t="str">
        <x:f>IFERROR(INDEX('Crafting recipes'!$C$6:$C$1005,MATCH(J1401,'Crafting recipes'!$A$6:$A$1005,0)),"MISSING ID")</x:f>
        <x:v>Finished-item crafting</x:v>
      </x:c>
      <x:c r="L1401" s="4" t="str">
        <x:f>IFERROR(INDEX('Material routes'!$K$6:$K$2205,MATCH(U1401,'Material routes'!$A$6:$A$2205,0)),"MISSING ID")</x:f>
        <x:v>Proposal</x:v>
      </x:c>
      <x:c r="M1401" s="4" t="str">
        <x:f>IFERROR(INDEX('Material routes'!$M$6:$M$2205,MATCH(U1401,'Material routes'!$A$6:$A$2205,0)),"MISSING ID")</x:f>
        <x:v>Partial proposal</x:v>
      </x:c>
      <x:c r="N1401" s="4"/>
      <x:c r="O1401" s="4" t="str">
        <x:f>IFERROR(INDEX('Material routes'!$J$6:$J$2205,MATCH(U1401,'Material routes'!$A$6:$A$2205,0)),"MISSING ID")</x:f>
        <x:v>Unspecified</x:v>
      </x:c>
      <x:c r="P1401" s="4"/>
      <x:c r="Q1401" s="4" t="str">
        <x:f>IFERROR(INDEX('Material routes'!$J$6:$J$2205,MATCH(V1401,'Material routes'!$A$6:$A$2205,0)),"MISSING ID")</x:f>
        <x:v>Unspecified</x:v>
      </x:c>
      <x:c r="R1401" s="4" t="str">
        <x:f>IF(L1401="Withheld","Withheld premise",IF(E1401="Tool candidate","Reusable prerequisite",IF(K1401="Raw entry preparation","Entry-resource preparation",IF(G1401="Not applicable",IF(IFERROR(INDEX('Items'!$AI$6:$AI$1005,MATCH(T1401,'Items'!$A$6:$A$1005,0)),"MISSING ID")="Finished item","Finished endpoint",IF(IFERROR(INDEX('Items'!$AI$6:$AI$1005,MATCH(T1401,'Items'!$A$6:$A$1005,0)),"MISSING ID")="Currency","Currency / no refinement tier","Recovered output / tier not applicable")),IF(OR(IFERROR(INDEX('Crafting recipes'!$H$6:$H$1005,MATCH(J1401,'Crafting recipes'!$A$6:$A$1005,0)),"MISSING ID")="Unassigned",G1401="Unassigned"),"Tier unresolved",IF(IFERROR(VALUE(RIGHT(G1401,1))-VALUE(RIGHT(IFERROR(INDEX('Crafting recipes'!$H$6:$H$1005,MATCH(J1401,'Crafting recipes'!$A$6:$A$1005,0)),"MISSING ID"),1)),0)=1,IF(B1401=IFERROR(INDEX('Crafting recipes'!$H$6:$H$1005,MATCH(J1401,'Crafting recipes'!$A$6:$A$1005,0)),"MISSING ID"),"Advances one material tier","Lower-tier ingredient; route advances one tier"),"Needs tier review"))))))</x:f>
        <x:v>Finished endpoint</x:v>
      </x:c>
      <x:c r="S1401" s="4" t="str">
        <x:f>IFERROR(INDEX('Material routes'!$D$6:$D$2205,MATCH(U1401,'Material routes'!$A$6:$A$2205,0)),"MISSING ID")</x:f>
        <x:v>proposal.bio.cord</x:v>
      </x:c>
      <x:c r="T1401" s="4" t="str">
        <x:f>IFERROR(INDEX('Material routes'!$D$6:$D$2205,MATCH(V1401,'Material routes'!$A$6:$A$2205,0)),"MISSING ID")</x:f>
        <x:v>proposal.collection.double_headed_metal_drum</x:v>
      </x:c>
      <x:c r="U1401" s="4" t="str">
        <x:v>design.collection.double_headed_metal_drum.audit.extra.72</x:v>
      </x:c>
      <x:c r="V1401" s="4" t="str">
        <x:v>design.collection.double_headed_metal_drum.out</x:v>
      </x:c>
    </x:row>
    <x:row r="1402" ht="64" customHeight="1">
      <x:c r="A1402" s="4" t="str">
        <x:f>IFERROR(INDEX('Material routes'!$E$6:$E$2205,MATCH(U1402,'Material routes'!$A$6:$A$2205,0)),"MISSING ID")</x:f>
        <x:v>Membrane tension hoop</x:v>
      </x:c>
      <x:c r="B1402" s="4" t="str">
        <x:f>IFERROR(INDEX('Material routes'!$F$6:$F$2205,MATCH(U1402,'Material routes'!$A$6:$A$2205,0)),"MISSING ID")</x:f>
        <x:v>T3</x:v>
      </x:c>
      <x:c r="C1402" s="4" t="str">
        <x:f>IFERROR(INDEX('Material routes'!$H$6:$H$2205,MATCH(U1402,'Material routes'!$A$6:$A$2205,0)),"MISSING ID")</x:f>
        <x:v>Crafting component</x:v>
      </x:c>
      <x:c r="D1402" s="4" t="str">
        <x:f>IFERROR(INDEX('Material routes'!$G$6:$G$2205,MATCH(U1402,'Material routes'!$A$6:$A$2205,0)),"MISSING ID")</x:f>
        <x:v>Crafting components</x:v>
      </x:c>
      <x:c r="E1402" s="4" t="str">
        <x:f>IFERROR(INDEX('Material routes'!$C$6:$C$2205,MATCH(U1402,'Material routes'!$A$6:$A$2205,0)),"MISSING ID")</x:f>
        <x:v>Ingredient candidate</x:v>
      </x:c>
      <x:c r="F1402" s="4" t="str">
        <x:f>IFERROR(INDEX('Material routes'!$E$6:$E$2205,MATCH(V1402,'Material routes'!$A$6:$A$2205,0)),"MISSING ID")</x:f>
        <x:v>Metal frame drum</x:v>
      </x:c>
      <x:c r="G1402" s="4" t="str">
        <x:f>IFERROR(INDEX('Material routes'!$F$6:$F$2205,MATCH(V1402,'Material routes'!$A$6:$A$2205,0)),"MISSING ID")</x:f>
        <x:v>Not applicable</x:v>
      </x:c>
      <x:c r="H1402" s="4" t="str">
        <x:f>IFERROR(INDEX('Material routes'!$H$6:$H$2205,MATCH(V1402,'Material routes'!$A$6:$A$2205,0)),"MISSING ID")</x:f>
        <x:v>Musical instrument</x:v>
      </x:c>
      <x:c r="I1402" s="4" t="str">
        <x:f>IFERROR(INDEX('Material routes'!$G$6:$G$2205,MATCH(V1402,'Material routes'!$A$6:$A$2205,0)),"MISSING ID")</x:f>
        <x:v>Salvage</x:v>
      </x:c>
      <x:c r="J1402" s="4" t="str">
        <x:f>IFERROR(INDEX('Material routes'!$B$6:$B$2205,MATCH(U1402,'Material routes'!$A$6:$A$2205,0)),"MISSING ID")</x:f>
        <x:v>design.collection.metal_frame_drum</x:v>
      </x:c>
      <x:c r="K1402" s="4" t="str">
        <x:f>IFERROR(INDEX('Crafting recipes'!$C$6:$C$1005,MATCH(J1402,'Crafting recipes'!$A$6:$A$1005,0)),"MISSING ID")</x:f>
        <x:v>Finished-item crafting</x:v>
      </x:c>
      <x:c r="L1402" s="4" t="str">
        <x:f>IFERROR(INDEX('Material routes'!$K$6:$K$2205,MATCH(U1402,'Material routes'!$A$6:$A$2205,0)),"MISSING ID")</x:f>
        <x:v>Proposal</x:v>
      </x:c>
      <x:c r="M1402" s="4" t="str">
        <x:f>IFERROR(INDEX('Material routes'!$M$6:$M$2205,MATCH(U1402,'Material routes'!$A$6:$A$2205,0)),"MISSING ID")</x:f>
        <x:v>Partial proposal</x:v>
      </x:c>
      <x:c r="N1402" s="4"/>
      <x:c r="O1402" s="4" t="str">
        <x:f>IFERROR(INDEX('Material routes'!$J$6:$J$2205,MATCH(U1402,'Material routes'!$A$6:$A$2205,0)),"MISSING ID")</x:f>
        <x:v>Unspecified</x:v>
      </x:c>
      <x:c r="P1402" s="4"/>
      <x:c r="Q1402" s="4" t="str">
        <x:f>IFERROR(INDEX('Material routes'!$J$6:$J$2205,MATCH(V1402,'Material routes'!$A$6:$A$2205,0)),"MISSING ID")</x:f>
        <x:v>Unspecified</x:v>
      </x:c>
      <x:c r="R1402" s="4" t="str">
        <x:f>IF(L1402="Withheld","Withheld premise",IF(E1402="Tool candidate","Reusable prerequisite",IF(K1402="Raw entry preparation","Entry-resource preparation",IF(G1402="Not applicable",IF(IFERROR(INDEX('Items'!$AI$6:$AI$1005,MATCH(T1402,'Items'!$A$6:$A$1005,0)),"MISSING ID")="Finished item","Finished endpoint",IF(IFERROR(INDEX('Items'!$AI$6:$AI$1005,MATCH(T1402,'Items'!$A$6:$A$1005,0)),"MISSING ID")="Currency","Currency / no refinement tier","Recovered output / tier not applicable")),IF(OR(IFERROR(INDEX('Crafting recipes'!$H$6:$H$1005,MATCH(J1402,'Crafting recipes'!$A$6:$A$1005,0)),"MISSING ID")="Unassigned",G1402="Unassigned"),"Tier unresolved",IF(IFERROR(VALUE(RIGHT(G1402,1))-VALUE(RIGHT(IFERROR(INDEX('Crafting recipes'!$H$6:$H$1005,MATCH(J1402,'Crafting recipes'!$A$6:$A$1005,0)),"MISSING ID"),1)),0)=1,IF(B1402=IFERROR(INDEX('Crafting recipes'!$H$6:$H$1005,MATCH(J1402,'Crafting recipes'!$A$6:$A$1005,0)),"MISSING ID"),"Advances one material tier","Lower-tier ingredient; route advances one tier"),"Needs tier review"))))))</x:f>
        <x:v>Finished endpoint</x:v>
      </x:c>
      <x:c r="S1402" s="4" t="str">
        <x:f>IFERROR(INDEX('Material routes'!$D$6:$D$2205,MATCH(U1402,'Material routes'!$A$6:$A$2205,0)),"MISSING ID")</x:f>
        <x:v>proposal.audit.membrane_tension_hoop</x:v>
      </x:c>
      <x:c r="T1402" s="4" t="str">
        <x:f>IFERROR(INDEX('Material routes'!$D$6:$D$2205,MATCH(V1402,'Material routes'!$A$6:$A$2205,0)),"MISSING ID")</x:f>
        <x:v>proposal.collection.metal_frame_drum</x:v>
      </x:c>
      <x:c r="U1402" s="4" t="str">
        <x:v>design.collection.metal_frame_drum.audit.extra.73</x:v>
      </x:c>
      <x:c r="V1402" s="4" t="str">
        <x:v>design.collection.metal_frame_drum.out</x:v>
      </x:c>
    </x:row>
    <x:row r="1403" ht="64" customHeight="1">
      <x:c r="A1403" s="4" t="str">
        <x:f>IFERROR(INDEX('Material routes'!$E$6:$E$2205,MATCH(U1403,'Material routes'!$A$6:$A$2205,0)),"MISSING ID")</x:f>
        <x:v>Tendon cord</x:v>
      </x:c>
      <x:c r="B1403" s="4" t="str">
        <x:f>IFERROR(INDEX('Material routes'!$F$6:$F$2205,MATCH(U1403,'Material routes'!$A$6:$A$2205,0)),"MISSING ID")</x:f>
        <x:v>T1</x:v>
      </x:c>
      <x:c r="C1403" s="4" t="str">
        <x:f>IFERROR(INDEX('Material routes'!$H$6:$H$2205,MATCH(U1403,'Material routes'!$A$6:$A$2205,0)),"MISSING ID")</x:f>
        <x:v>Crafting component</x:v>
      </x:c>
      <x:c r="D1403" s="4" t="str">
        <x:f>IFERROR(INDEX('Material routes'!$G$6:$G$2205,MATCH(U1403,'Material routes'!$A$6:$A$2205,0)),"MISSING ID")</x:f>
        <x:v>Crafting components</x:v>
      </x:c>
      <x:c r="E1403" s="4" t="str">
        <x:f>IFERROR(INDEX('Material routes'!$C$6:$C$2205,MATCH(U1403,'Material routes'!$A$6:$A$2205,0)),"MISSING ID")</x:f>
        <x:v>Ingredient candidate</x:v>
      </x:c>
      <x:c r="F1403" s="4" t="str">
        <x:f>IFERROR(INDEX('Material routes'!$E$6:$E$2205,MATCH(V1403,'Material routes'!$A$6:$A$2205,0)),"MISSING ID")</x:f>
        <x:v>Metal frame drum</x:v>
      </x:c>
      <x:c r="G1403" s="4" t="str">
        <x:f>IFERROR(INDEX('Material routes'!$F$6:$F$2205,MATCH(V1403,'Material routes'!$A$6:$A$2205,0)),"MISSING ID")</x:f>
        <x:v>Not applicable</x:v>
      </x:c>
      <x:c r="H1403" s="4" t="str">
        <x:f>IFERROR(INDEX('Material routes'!$H$6:$H$2205,MATCH(V1403,'Material routes'!$A$6:$A$2205,0)),"MISSING ID")</x:f>
        <x:v>Musical instrument</x:v>
      </x:c>
      <x:c r="I1403" s="4" t="str">
        <x:f>IFERROR(INDEX('Material routes'!$G$6:$G$2205,MATCH(V1403,'Material routes'!$A$6:$A$2205,0)),"MISSING ID")</x:f>
        <x:v>Salvage</x:v>
      </x:c>
      <x:c r="J1403" s="4" t="str">
        <x:f>IFERROR(INDEX('Material routes'!$B$6:$B$2205,MATCH(U1403,'Material routes'!$A$6:$A$2205,0)),"MISSING ID")</x:f>
        <x:v>design.collection.metal_frame_drum</x:v>
      </x:c>
      <x:c r="K1403" s="4" t="str">
        <x:f>IFERROR(INDEX('Crafting recipes'!$C$6:$C$1005,MATCH(J1403,'Crafting recipes'!$A$6:$A$1005,0)),"MISSING ID")</x:f>
        <x:v>Finished-item crafting</x:v>
      </x:c>
      <x:c r="L1403" s="4" t="str">
        <x:f>IFERROR(INDEX('Material routes'!$K$6:$K$2205,MATCH(U1403,'Material routes'!$A$6:$A$2205,0)),"MISSING ID")</x:f>
        <x:v>Proposal</x:v>
      </x:c>
      <x:c r="M1403" s="4" t="str">
        <x:f>IFERROR(INDEX('Material routes'!$M$6:$M$2205,MATCH(U1403,'Material routes'!$A$6:$A$2205,0)),"MISSING ID")</x:f>
        <x:v>Partial proposal</x:v>
      </x:c>
      <x:c r="N1403" s="4"/>
      <x:c r="O1403" s="4" t="str">
        <x:f>IFERROR(INDEX('Material routes'!$J$6:$J$2205,MATCH(U1403,'Material routes'!$A$6:$A$2205,0)),"MISSING ID")</x:f>
        <x:v>Unspecified</x:v>
      </x:c>
      <x:c r="P1403" s="4"/>
      <x:c r="Q1403" s="4" t="str">
        <x:f>IFERROR(INDEX('Material routes'!$J$6:$J$2205,MATCH(V1403,'Material routes'!$A$6:$A$2205,0)),"MISSING ID")</x:f>
        <x:v>Unspecified</x:v>
      </x:c>
      <x:c r="R1403" s="4" t="str">
        <x:f>IF(L1403="Withheld","Withheld premise",IF(E1403="Tool candidate","Reusable prerequisite",IF(K1403="Raw entry preparation","Entry-resource preparation",IF(G1403="Not applicable",IF(IFERROR(INDEX('Items'!$AI$6:$AI$1005,MATCH(T1403,'Items'!$A$6:$A$1005,0)),"MISSING ID")="Finished item","Finished endpoint",IF(IFERROR(INDEX('Items'!$AI$6:$AI$1005,MATCH(T1403,'Items'!$A$6:$A$1005,0)),"MISSING ID")="Currency","Currency / no refinement tier","Recovered output / tier not applicable")),IF(OR(IFERROR(INDEX('Crafting recipes'!$H$6:$H$1005,MATCH(J1403,'Crafting recipes'!$A$6:$A$1005,0)),"MISSING ID")="Unassigned",G1403="Unassigned"),"Tier unresolved",IF(IFERROR(VALUE(RIGHT(G1403,1))-VALUE(RIGHT(IFERROR(INDEX('Crafting recipes'!$H$6:$H$1005,MATCH(J1403,'Crafting recipes'!$A$6:$A$1005,0)),"MISSING ID"),1)),0)=1,IF(B1403=IFERROR(INDEX('Crafting recipes'!$H$6:$H$1005,MATCH(J1403,'Crafting recipes'!$A$6:$A$1005,0)),"MISSING ID"),"Advances one material tier","Lower-tier ingredient; route advances one tier"),"Needs tier review"))))))</x:f>
        <x:v>Finished endpoint</x:v>
      </x:c>
      <x:c r="S1403" s="4" t="str">
        <x:f>IFERROR(INDEX('Material routes'!$D$6:$D$2205,MATCH(U1403,'Material routes'!$A$6:$A$2205,0)),"MISSING ID")</x:f>
        <x:v>proposal.bio.cord</x:v>
      </x:c>
      <x:c r="T1403" s="4" t="str">
        <x:f>IFERROR(INDEX('Material routes'!$D$6:$D$2205,MATCH(V1403,'Material routes'!$A$6:$A$2205,0)),"MISSING ID")</x:f>
        <x:v>proposal.collection.metal_frame_drum</x:v>
      </x:c>
      <x:c r="U1403" s="4" t="str">
        <x:v>design.collection.metal_frame_drum.audit.extra.74</x:v>
      </x:c>
      <x:c r="V1403" s="4" t="str">
        <x:v>design.collection.metal_frame_drum.out</x:v>
      </x:c>
    </x:row>
    <x:row r="1404" ht="64" customHeight="1">
      <x:c r="A1404" s="4"/>
      <x:c r="B1404" s="4"/>
      <x:c r="C1404" s="4"/>
      <x:c r="D1404" s="4"/>
      <x:c r="E1404" s="4"/>
      <x:c r="F1404" s="4"/>
      <x:c r="G1404" s="4"/>
      <x:c r="H1404" s="4"/>
      <x:c r="I1404" s="4"/>
      <x:c r="J1404" s="4"/>
      <x:c r="K1404" s="4"/>
      <x:c r="L1404" s="4"/>
      <x:c r="M1404" s="4"/>
      <x:c r="N1404" s="4"/>
      <x:c r="O1404" s="4"/>
      <x:c r="P1404" s="4"/>
      <x:c r="Q1404" s="4"/>
      <x:c r="R1404" s="4"/>
      <x:c r="S1404" s="4"/>
      <x:c r="T1404" s="4"/>
      <x:c r="U1404" s="4"/>
      <x:c r="V1404" s="4"/>
    </x:row>
    <x:row r="1405" ht="64" customHeight="1">
      <x:c r="A1405" s="4"/>
      <x:c r="B1405" s="4"/>
      <x:c r="C1405" s="4"/>
      <x:c r="D1405" s="4"/>
      <x:c r="E1405" s="4"/>
      <x:c r="F1405" s="4"/>
      <x:c r="G1405" s="4"/>
      <x:c r="H1405" s="4"/>
      <x:c r="I1405" s="4"/>
      <x:c r="J1405" s="4"/>
      <x:c r="K1405" s="4"/>
      <x:c r="L1405" s="4"/>
      <x:c r="M1405" s="4"/>
      <x:c r="N1405" s="4"/>
      <x:c r="O1405" s="4"/>
      <x:c r="P1405" s="4"/>
      <x:c r="Q1405" s="4"/>
      <x:c r="R1405" s="4"/>
      <x:c r="S1405" s="4"/>
      <x:c r="T1405" s="4"/>
      <x:c r="U1405" s="4"/>
      <x:c r="V1405" s="4"/>
    </x:row>
    <x:row r="1406" ht="64" customHeight="1">
      <x:c r="A1406" s="4"/>
      <x:c r="B1406" s="4"/>
      <x:c r="C1406" s="4"/>
      <x:c r="D1406" s="4"/>
      <x:c r="E1406" s="4"/>
      <x:c r="F1406" s="4"/>
      <x:c r="G1406" s="4"/>
      <x:c r="H1406" s="4"/>
      <x:c r="I1406" s="4"/>
      <x:c r="J1406" s="4"/>
      <x:c r="K1406" s="4"/>
      <x:c r="L1406" s="4"/>
      <x:c r="M1406" s="4"/>
      <x:c r="N1406" s="4"/>
      <x:c r="O1406" s="4"/>
      <x:c r="P1406" s="4"/>
      <x:c r="Q1406" s="4"/>
      <x:c r="R1406" s="4"/>
      <x:c r="S1406" s="4"/>
      <x:c r="T1406" s="4"/>
      <x:c r="U1406" s="4"/>
      <x:c r="V1406" s="4"/>
    </x:row>
    <x:row r="1407" ht="64" customHeight="1">
      <x:c r="A1407" s="4"/>
      <x:c r="B1407" s="4"/>
      <x:c r="C1407" s="4"/>
      <x:c r="D1407" s="4"/>
      <x:c r="E1407" s="4"/>
      <x:c r="F1407" s="4"/>
      <x:c r="G1407" s="4"/>
      <x:c r="H1407" s="4"/>
      <x:c r="I1407" s="4"/>
      <x:c r="J1407" s="4"/>
      <x:c r="K1407" s="4"/>
      <x:c r="L1407" s="4"/>
      <x:c r="M1407" s="4"/>
      <x:c r="N1407" s="4"/>
      <x:c r="O1407" s="4"/>
      <x:c r="P1407" s="4"/>
      <x:c r="Q1407" s="4"/>
      <x:c r="R1407" s="4"/>
      <x:c r="S1407" s="4"/>
      <x:c r="T1407" s="4"/>
      <x:c r="U1407" s="4"/>
      <x:c r="V1407" s="4"/>
    </x:row>
    <x:row r="1408" ht="64" customHeight="1">
      <x:c r="A1408" s="4" t="str">
        <x:f>IFERROR(INDEX('Material routes'!$E$6:$E$2205,MATCH(U1408,'Material routes'!$A$6:$A$2205,0)),"MISSING ID")</x:f>
        <x:v>Cut metal reed set</x:v>
      </x:c>
      <x:c r="B1408" s="4" t="str">
        <x:f>IFERROR(INDEX('Material routes'!$F$6:$F$2205,MATCH(U1408,'Material routes'!$A$6:$A$2205,0)),"MISSING ID")</x:f>
        <x:v>T4</x:v>
      </x:c>
      <x:c r="C1408" s="4" t="str">
        <x:f>IFERROR(INDEX('Material routes'!$H$6:$H$2205,MATCH(U1408,'Material routes'!$A$6:$A$2205,0)),"MISSING ID")</x:f>
        <x:v>Crafting component</x:v>
      </x:c>
      <x:c r="D1408" s="4" t="str">
        <x:f>IFERROR(INDEX('Material routes'!$G$6:$G$2205,MATCH(U1408,'Material routes'!$A$6:$A$2205,0)),"MISSING ID")</x:f>
        <x:v>Crafting components</x:v>
      </x:c>
      <x:c r="E1408" s="4" t="str">
        <x:f>IFERROR(INDEX('Material routes'!$C$6:$C$2205,MATCH(U1408,'Material routes'!$A$6:$A$2205,0)),"MISSING ID")</x:f>
        <x:v>Ingredient candidate</x:v>
      </x:c>
      <x:c r="F1408" s="4" t="str">
        <x:f>IFERROR(INDEX('Material routes'!$E$6:$E$2205,MATCH(V1408,'Material routes'!$A$6:$A$2205,0)),"MISSING ID")</x:f>
        <x:v>Metal free-reed mouth organ</x:v>
      </x:c>
      <x:c r="G1408" s="4" t="str">
        <x:f>IFERROR(INDEX('Material routes'!$F$6:$F$2205,MATCH(V1408,'Material routes'!$A$6:$A$2205,0)),"MISSING ID")</x:f>
        <x:v>Not applicable</x:v>
      </x:c>
      <x:c r="H1408" s="4" t="str">
        <x:f>IFERROR(INDEX('Material routes'!$H$6:$H$2205,MATCH(V1408,'Material routes'!$A$6:$A$2205,0)),"MISSING ID")</x:f>
        <x:v>Musical instrument</x:v>
      </x:c>
      <x:c r="I1408" s="4" t="str">
        <x:f>IFERROR(INDEX('Material routes'!$G$6:$G$2205,MATCH(V1408,'Material routes'!$A$6:$A$2205,0)),"MISSING ID")</x:f>
        <x:v>Salvage</x:v>
      </x:c>
      <x:c r="J1408" s="4" t="str">
        <x:f>IFERROR(INDEX('Material routes'!$B$6:$B$2205,MATCH(U1408,'Material routes'!$A$6:$A$2205,0)),"MISSING ID")</x:f>
        <x:v>design.collection.metal_free_reed_mouth_organ</x:v>
      </x:c>
      <x:c r="K1408" s="4" t="str">
        <x:f>IFERROR(INDEX('Crafting recipes'!$C$6:$C$1005,MATCH(J1408,'Crafting recipes'!$A$6:$A$1005,0)),"MISSING ID")</x:f>
        <x:v>Finished-item crafting</x:v>
      </x:c>
      <x:c r="L1408" s="4" t="str">
        <x:f>IFERROR(INDEX('Material routes'!$K$6:$K$2205,MATCH(U1408,'Material routes'!$A$6:$A$2205,0)),"MISSING ID")</x:f>
        <x:v>Proposal</x:v>
      </x:c>
      <x:c r="M1408" s="4" t="str">
        <x:f>IFERROR(INDEX('Material routes'!$M$6:$M$2205,MATCH(U1408,'Material routes'!$A$6:$A$2205,0)),"MISSING ID")</x:f>
        <x:v>Partial proposal</x:v>
      </x:c>
      <x:c r="N1408" s="4"/>
      <x:c r="O1408" s="4" t="str">
        <x:f>IFERROR(INDEX('Material routes'!$J$6:$J$2205,MATCH(U1408,'Material routes'!$A$6:$A$2205,0)),"MISSING ID")</x:f>
        <x:v>Unspecified</x:v>
      </x:c>
      <x:c r="P1408" s="4"/>
      <x:c r="Q1408" s="4" t="str">
        <x:f>IFERROR(INDEX('Material routes'!$J$6:$J$2205,MATCH(V1408,'Material routes'!$A$6:$A$2205,0)),"MISSING ID")</x:f>
        <x:v>Unspecified</x:v>
      </x:c>
      <x:c r="R1408" s="4" t="str">
        <x:f>IF(L1408="Withheld","Withheld premise",IF(E1408="Tool candidate","Reusable prerequisite",IF(K1408="Raw entry preparation","Entry-resource preparation",IF(G1408="Not applicable",IF(IFERROR(INDEX('Items'!$AI$6:$AI$1005,MATCH(T1408,'Items'!$A$6:$A$1005,0)),"MISSING ID")="Finished item","Finished endpoint",IF(IFERROR(INDEX('Items'!$AI$6:$AI$1005,MATCH(T1408,'Items'!$A$6:$A$1005,0)),"MISSING ID")="Currency","Currency / no refinement tier","Recovered output / tier not applicable")),IF(OR(IFERROR(INDEX('Crafting recipes'!$H$6:$H$1005,MATCH(J1408,'Crafting recipes'!$A$6:$A$1005,0)),"MISSING ID")="Unassigned",G1408="Unassigned"),"Tier unresolved",IF(IFERROR(VALUE(RIGHT(G1408,1))-VALUE(RIGHT(IFERROR(INDEX('Crafting recipes'!$H$6:$H$1005,MATCH(J1408,'Crafting recipes'!$A$6:$A$1005,0)),"MISSING ID"),1)),0)=1,IF(B1408=IFERROR(INDEX('Crafting recipes'!$H$6:$H$1005,MATCH(J1408,'Crafting recipes'!$A$6:$A$1005,0)),"MISSING ID"),"Advances one material tier","Lower-tier ingredient; route advances one tier"),"Needs tier review"))))))</x:f>
        <x:v>Finished endpoint</x:v>
      </x:c>
      <x:c r="S1408" s="4" t="str">
        <x:f>IFERROR(INDEX('Material routes'!$D$6:$D$2205,MATCH(U1408,'Material routes'!$A$6:$A$2205,0)),"MISSING ID")</x:f>
        <x:v>proposal.audit.cut_metal_reed_set</x:v>
      </x:c>
      <x:c r="T1408" s="4" t="str">
        <x:f>IFERROR(INDEX('Material routes'!$D$6:$D$2205,MATCH(V1408,'Material routes'!$A$6:$A$2205,0)),"MISSING ID")</x:f>
        <x:v>proposal.collection.metal_free_reed_mouth_organ</x:v>
      </x:c>
      <x:c r="U1408" s="4" t="str">
        <x:v>design.collection.metal_free_reed_mouth_organ.audit.extra.79</x:v>
      </x:c>
      <x:c r="V1408" s="4" t="str">
        <x:v>design.collection.metal_free_reed_mouth_organ.out</x:v>
      </x:c>
    </x:row>
    <x:row r="1409" ht="64" customHeight="1">
      <x:c r="A1409" s="4" t="str">
        <x:f>IFERROR(INDEX('Material routes'!$E$6:$E$2205,MATCH(U1409,'Material routes'!$A$6:$A$2205,0)),"MISSING ID")</x:f>
        <x:v>Shaped metal grip blank</x:v>
      </x:c>
      <x:c r="B1409" s="4" t="str">
        <x:f>IFERROR(INDEX('Material routes'!$F$6:$F$2205,MATCH(U1409,'Material routes'!$A$6:$A$2205,0)),"MISSING ID")</x:f>
        <x:v>T3</x:v>
      </x:c>
      <x:c r="C1409" s="4" t="str">
        <x:f>IFERROR(INDEX('Material routes'!$H$6:$H$2205,MATCH(U1409,'Material routes'!$A$6:$A$2205,0)),"MISSING ID")</x:f>
        <x:v>Crafting component</x:v>
      </x:c>
      <x:c r="D1409" s="4" t="str">
        <x:f>IFERROR(INDEX('Material routes'!$G$6:$G$2205,MATCH(U1409,'Material routes'!$A$6:$A$2205,0)),"MISSING ID")</x:f>
        <x:v>Crafting components</x:v>
      </x:c>
      <x:c r="E1409" s="4" t="str">
        <x:f>IFERROR(INDEX('Material routes'!$C$6:$C$2205,MATCH(U1409,'Material routes'!$A$6:$A$2205,0)),"MISSING ID")</x:f>
        <x:v>Ingredient candidate</x:v>
      </x:c>
      <x:c r="F1409" s="4" t="str">
        <x:f>IFERROR(INDEX('Material routes'!$E$6:$E$2205,MATCH(V1409,'Material routes'!$A$6:$A$2205,0)),"MISSING ID")</x:f>
        <x:v>Steel jaw harp</x:v>
      </x:c>
      <x:c r="G1409" s="4" t="str">
        <x:f>IFERROR(INDEX('Material routes'!$F$6:$F$2205,MATCH(V1409,'Material routes'!$A$6:$A$2205,0)),"MISSING ID")</x:f>
        <x:v>Not applicable</x:v>
      </x:c>
      <x:c r="H1409" s="4" t="str">
        <x:f>IFERROR(INDEX('Material routes'!$H$6:$H$2205,MATCH(V1409,'Material routes'!$A$6:$A$2205,0)),"MISSING ID")</x:f>
        <x:v>Musical instrument</x:v>
      </x:c>
      <x:c r="I1409" s="4" t="str">
        <x:f>IFERROR(INDEX('Material routes'!$G$6:$G$2205,MATCH(V1409,'Material routes'!$A$6:$A$2205,0)),"MISSING ID")</x:f>
        <x:v>Salvage</x:v>
      </x:c>
      <x:c r="J1409" s="4" t="str">
        <x:f>IFERROR(INDEX('Material routes'!$B$6:$B$2205,MATCH(U1409,'Material routes'!$A$6:$A$2205,0)),"MISSING ID")</x:f>
        <x:v>design.collection.steel_jaw_harp</x:v>
      </x:c>
      <x:c r="K1409" s="4" t="str">
        <x:f>IFERROR(INDEX('Crafting recipes'!$C$6:$C$1005,MATCH(J1409,'Crafting recipes'!$A$6:$A$1005,0)),"MISSING ID")</x:f>
        <x:v>Finished-item crafting</x:v>
      </x:c>
      <x:c r="L1409" s="4" t="str">
        <x:f>IFERROR(INDEX('Material routes'!$K$6:$K$2205,MATCH(U1409,'Material routes'!$A$6:$A$2205,0)),"MISSING ID")</x:f>
        <x:v>Proposal</x:v>
      </x:c>
      <x:c r="M1409" s="4" t="str">
        <x:f>IFERROR(INDEX('Material routes'!$M$6:$M$2205,MATCH(U1409,'Material routes'!$A$6:$A$2205,0)),"MISSING ID")</x:f>
        <x:v>Partial proposal</x:v>
      </x:c>
      <x:c r="N1409" s="4"/>
      <x:c r="O1409" s="4" t="str">
        <x:f>IFERROR(INDEX('Material routes'!$J$6:$J$2205,MATCH(U1409,'Material routes'!$A$6:$A$2205,0)),"MISSING ID")</x:f>
        <x:v>Unspecified</x:v>
      </x:c>
      <x:c r="P1409" s="4"/>
      <x:c r="Q1409" s="4" t="str">
        <x:f>IFERROR(INDEX('Material routes'!$J$6:$J$2205,MATCH(V1409,'Material routes'!$A$6:$A$2205,0)),"MISSING ID")</x:f>
        <x:v>Unspecified</x:v>
      </x:c>
      <x:c r="R1409" s="4" t="str">
        <x:f>IF(L1409="Withheld","Withheld premise",IF(E1409="Tool candidate","Reusable prerequisite",IF(K1409="Raw entry preparation","Entry-resource preparation",IF(G1409="Not applicable",IF(IFERROR(INDEX('Items'!$AI$6:$AI$1005,MATCH(T1409,'Items'!$A$6:$A$1005,0)),"MISSING ID")="Finished item","Finished endpoint",IF(IFERROR(INDEX('Items'!$AI$6:$AI$1005,MATCH(T1409,'Items'!$A$6:$A$1005,0)),"MISSING ID")="Currency","Currency / no refinement tier","Recovered output / tier not applicable")),IF(OR(IFERROR(INDEX('Crafting recipes'!$H$6:$H$1005,MATCH(J1409,'Crafting recipes'!$A$6:$A$1005,0)),"MISSING ID")="Unassigned",G1409="Unassigned"),"Tier unresolved",IF(IFERROR(VALUE(RIGHT(G1409,1))-VALUE(RIGHT(IFERROR(INDEX('Crafting recipes'!$H$6:$H$1005,MATCH(J1409,'Crafting recipes'!$A$6:$A$1005,0)),"MISSING ID"),1)),0)=1,IF(B1409=IFERROR(INDEX('Crafting recipes'!$H$6:$H$1005,MATCH(J1409,'Crafting recipes'!$A$6:$A$1005,0)),"MISSING ID"),"Advances one material tier","Lower-tier ingredient; route advances one tier"),"Needs tier review"))))))</x:f>
        <x:v>Finished endpoint</x:v>
      </x:c>
      <x:c r="S1409" s="4" t="str">
        <x:f>IFERROR(INDEX('Material routes'!$D$6:$D$2205,MATCH(U1409,'Material routes'!$A$6:$A$2205,0)),"MISSING ID")</x:f>
        <x:v>proposal.audit.shaped_metal_grip_blank</x:v>
      </x:c>
      <x:c r="T1409" s="4" t="str">
        <x:f>IFERROR(INDEX('Material routes'!$D$6:$D$2205,MATCH(V1409,'Material routes'!$A$6:$A$2205,0)),"MISSING ID")</x:f>
        <x:v>proposal.collection.steel_jaw_harp</x:v>
      </x:c>
      <x:c r="U1409" s="4" t="str">
        <x:v>design.collection.steel_jaw_harp.audit.extra.80</x:v>
      </x:c>
      <x:c r="V1409" s="4" t="str">
        <x:v>design.collection.steel_jaw_harp.out</x:v>
      </x:c>
    </x:row>
    <x:row r="1410" ht="64" customHeight="1">
      <x:c r="A1410" s="4"/>
      <x:c r="B1410" s="4"/>
      <x:c r="C1410" s="4"/>
      <x:c r="D1410" s="4"/>
      <x:c r="E1410" s="4"/>
      <x:c r="F1410" s="4"/>
      <x:c r="G1410" s="4"/>
      <x:c r="H1410" s="4"/>
      <x:c r="I1410" s="4"/>
      <x:c r="J1410" s="4"/>
      <x:c r="K1410" s="4"/>
      <x:c r="L1410" s="4"/>
      <x:c r="M1410" s="4"/>
      <x:c r="N1410" s="4"/>
      <x:c r="P1410" s="4"/>
      <x:c r="R1410" s="4"/>
      <x:c r="S1410" s="4"/>
      <x:c r="T1410" s="4"/>
      <x:c r="U1410" s="4"/>
      <x:c r="V1410" s="4"/>
    </x:row>
    <x:row r="1411" ht="64" customHeight="1">
      <x:c r="A1411" s="4"/>
      <x:c r="B1411" s="4"/>
      <x:c r="C1411" s="4"/>
      <x:c r="D1411" s="4"/>
      <x:c r="E1411" s="4"/>
      <x:c r="F1411" s="4"/>
      <x:c r="G1411" s="4"/>
      <x:c r="H1411" s="4"/>
      <x:c r="I1411" s="4"/>
      <x:c r="J1411" s="4"/>
      <x:c r="K1411" s="4"/>
      <x:c r="L1411" s="4"/>
      <x:c r="M1411" s="4"/>
      <x:c r="N1411" s="4"/>
      <x:c r="P1411" s="4"/>
      <x:c r="R1411" s="4"/>
      <x:c r="S1411" s="4"/>
      <x:c r="T1411" s="4"/>
      <x:c r="U1411" s="4"/>
      <x:c r="V1411" s="4"/>
    </x:row>
    <x:row r="1412" ht="64" customHeight="1">
      <x:c r="A1412" s="4"/>
      <x:c r="B1412" s="4"/>
      <x:c r="C1412" s="4"/>
      <x:c r="D1412" s="4"/>
      <x:c r="E1412" s="4"/>
      <x:c r="F1412" s="4"/>
      <x:c r="G1412" s="4"/>
      <x:c r="H1412" s="4"/>
      <x:c r="I1412" s="4"/>
      <x:c r="J1412" s="4"/>
      <x:c r="K1412" s="4"/>
      <x:c r="L1412" s="4"/>
      <x:c r="M1412" s="4"/>
      <x:c r="N1412" s="4"/>
      <x:c r="P1412" s="4"/>
      <x:c r="R1412" s="4"/>
      <x:c r="S1412" s="4"/>
      <x:c r="T1412" s="4"/>
      <x:c r="U1412" s="4"/>
      <x:c r="V1412" s="4"/>
    </x:row>
    <x:row r="1413" ht="64" customHeight="1">
      <x:c r="A1413" s="4"/>
      <x:c r="B1413" s="4"/>
      <x:c r="C1413" s="4"/>
      <x:c r="D1413" s="4"/>
      <x:c r="E1413" s="4"/>
      <x:c r="F1413" s="4"/>
      <x:c r="G1413" s="4"/>
      <x:c r="H1413" s="4"/>
      <x:c r="I1413" s="4"/>
      <x:c r="J1413" s="4"/>
      <x:c r="K1413" s="4"/>
      <x:c r="L1413" s="4"/>
      <x:c r="M1413" s="4"/>
      <x:c r="N1413" s="4"/>
      <x:c r="P1413" s="4"/>
      <x:c r="R1413" s="4"/>
      <x:c r="S1413" s="4"/>
      <x:c r="T1413" s="4"/>
      <x:c r="U1413" s="4"/>
      <x:c r="V1413" s="4"/>
    </x:row>
    <x:row r="1414" ht="64" customHeight="1">
      <x:c r="A1414" s="4"/>
      <x:c r="B1414" s="4"/>
      <x:c r="C1414" s="4"/>
      <x:c r="D1414" s="4"/>
      <x:c r="E1414" s="4"/>
      <x:c r="F1414" s="4"/>
      <x:c r="G1414" s="4"/>
      <x:c r="H1414" s="4"/>
      <x:c r="I1414" s="4"/>
      <x:c r="J1414" s="4"/>
      <x:c r="K1414" s="4"/>
      <x:c r="L1414" s="4"/>
      <x:c r="M1414" s="4"/>
      <x:c r="N1414" s="4"/>
      <x:c r="P1414" s="4"/>
      <x:c r="R1414" s="4"/>
      <x:c r="S1414" s="4"/>
      <x:c r="T1414" s="4"/>
      <x:c r="U1414" s="4"/>
      <x:c r="V1414" s="4"/>
    </x:row>
    <x:row r="1415" ht="64" customHeight="1">
      <x:c r="A1415" s="4" t="str">
        <x:f>IFERROR(INDEX('Material routes'!$E$6:$E$2205,MATCH(U1415,'Material routes'!$A$6:$A$2205,0)),"MISSING ID")</x:f>
        <x:v>Linked steel mail rings</x:v>
      </x:c>
      <x:c r="B1415" s="4" t="str">
        <x:f>IFERROR(INDEX('Material routes'!$F$6:$F$2205,MATCH(U1415,'Material routes'!$A$6:$A$2205,0)),"MISSING ID")</x:f>
        <x:v>T4</x:v>
      </x:c>
      <x:c r="C1415" s="4" t="str">
        <x:f>IFERROR(INDEX('Material routes'!$H$6:$H$2205,MATCH(U1415,'Material routes'!$A$6:$A$2205,0)),"MISSING ID")</x:f>
        <x:v>Crafting component</x:v>
      </x:c>
      <x:c r="D1415" s="4" t="str">
        <x:f>IFERROR(INDEX('Material routes'!$G$6:$G$2205,MATCH(U1415,'Material routes'!$A$6:$A$2205,0)),"MISSING ID")</x:f>
        <x:v>Crafting components</x:v>
      </x:c>
      <x:c r="E1415" s="4" t="str">
        <x:f>IFERROR(INDEX('Material routes'!$C$6:$C$2205,MATCH(U1415,'Material routes'!$A$6:$A$2205,0)),"MISSING ID")</x:f>
        <x:v>Ingredient candidate</x:v>
      </x:c>
      <x:c r="F1415" s="4" t="str">
        <x:f>IFERROR(INDEX('Material routes'!$E$6:$E$2205,MATCH(V1415,'Material routes'!$A$6:$A$2205,0)),"MISSING ID")</x:f>
        <x:v>Chainmail shoulder mantle</x:v>
      </x:c>
      <x:c r="G1415" s="4" t="str">
        <x:f>IFERROR(INDEX('Material routes'!$F$6:$F$2205,MATCH(V1415,'Material routes'!$A$6:$A$2205,0)),"MISSING ID")</x:f>
        <x:v>Not applicable</x:v>
      </x:c>
      <x:c r="H1415" s="4" t="str">
        <x:f>IFERROR(INDEX('Material routes'!$H$6:$H$2205,MATCH(V1415,'Material routes'!$A$6:$A$2205,0)),"MISSING ID")</x:f>
        <x:v>Wearable</x:v>
      </x:c>
      <x:c r="I1415" s="4" t="str">
        <x:f>IFERROR(INDEX('Material routes'!$G$6:$G$2205,MATCH(V1415,'Material routes'!$A$6:$A$2205,0)),"MISSING ID")</x:f>
        <x:v>Armor</x:v>
      </x:c>
      <x:c r="J1415" s="4" t="str">
        <x:f>IFERROR(INDEX('Material routes'!$B$6:$B$2205,MATCH(U1415,'Material routes'!$A$6:$A$2205,0)),"MISSING ID")</x:f>
        <x:v>design.collection.chainmail_shoulder_mantle</x:v>
      </x:c>
      <x:c r="K1415" s="4" t="str">
        <x:f>IFERROR(INDEX('Crafting recipes'!$C$6:$C$1005,MATCH(J1415,'Crafting recipes'!$A$6:$A$1005,0)),"MISSING ID")</x:f>
        <x:v>Finished-item crafting</x:v>
      </x:c>
      <x:c r="L1415" s="4" t="str">
        <x:f>IFERROR(INDEX('Material routes'!$K$6:$K$2205,MATCH(U1415,'Material routes'!$A$6:$A$2205,0)),"MISSING ID")</x:f>
        <x:v>Proposal</x:v>
      </x:c>
      <x:c r="M1415" s="4" t="str">
        <x:f>IFERROR(INDEX('Material routes'!$M$6:$M$2205,MATCH(U1415,'Material routes'!$A$6:$A$2205,0)),"MISSING ID")</x:f>
        <x:v>Partial proposal</x:v>
      </x:c>
      <x:c r="N1415" s="4"/>
      <x:c r="O1415" s="4" t="str">
        <x:f>IFERROR(INDEX('Material routes'!$J$6:$J$2205,MATCH(U1415,'Material routes'!$A$6:$A$2205,0)),"MISSING ID")</x:f>
        <x:v>Unspecified</x:v>
      </x:c>
      <x:c r="P1415" s="4"/>
      <x:c r="Q1415" s="4" t="str">
        <x:f>IFERROR(INDEX('Material routes'!$J$6:$J$2205,MATCH(V1415,'Material routes'!$A$6:$A$2205,0)),"MISSING ID")</x:f>
        <x:v>Unspecified</x:v>
      </x:c>
      <x:c r="R1415" s="4" t="str">
        <x:f>IF(L1415="Withheld","Withheld premise",IF(E1415="Tool candidate","Reusable prerequisite",IF(K1415="Raw entry preparation","Entry-resource preparation",IF(G1415="Not applicable",IF(IFERROR(INDEX('Items'!$AI$6:$AI$1005,MATCH(T1415,'Items'!$A$6:$A$1005,0)),"MISSING ID")="Finished item","Finished endpoint",IF(IFERROR(INDEX('Items'!$AI$6:$AI$1005,MATCH(T1415,'Items'!$A$6:$A$1005,0)),"MISSING ID")="Currency","Currency / no refinement tier","Recovered output / tier not applicable")),IF(OR(IFERROR(INDEX('Crafting recipes'!$H$6:$H$1005,MATCH(J1415,'Crafting recipes'!$A$6:$A$1005,0)),"MISSING ID")="Unassigned",G1415="Unassigned"),"Tier unresolved",IF(IFERROR(VALUE(RIGHT(G1415,1))-VALUE(RIGHT(IFERROR(INDEX('Crafting recipes'!$H$6:$H$1005,MATCH(J1415,'Crafting recipes'!$A$6:$A$1005,0)),"MISSING ID"),1)),0)=1,IF(B1415=IFERROR(INDEX('Crafting recipes'!$H$6:$H$1005,MATCH(J1415,'Crafting recipes'!$A$6:$A$1005,0)),"MISSING ID"),"Advances one material tier","Lower-tier ingredient; route advances one tier"),"Needs tier review"))))))</x:f>
        <x:v>Finished endpoint</x:v>
      </x:c>
      <x:c r="S1415" s="4" t="str">
        <x:f>IFERROR(INDEX('Material routes'!$D$6:$D$2205,MATCH(U1415,'Material routes'!$A$6:$A$2205,0)),"MISSING ID")</x:f>
        <x:v>proposal.audit.linked_steel_mail_rings</x:v>
      </x:c>
      <x:c r="T1415" s="4" t="str">
        <x:f>IFERROR(INDEX('Material routes'!$D$6:$D$2205,MATCH(V1415,'Material routes'!$A$6:$A$2205,0)),"MISSING ID")</x:f>
        <x:v>proposal.collection.chainmail_shoulder_mantle</x:v>
      </x:c>
      <x:c r="U1415" s="4" t="str">
        <x:v>design.collection.chainmail_shoulder_mantle.audit.extra.86</x:v>
      </x:c>
      <x:c r="V1415" s="4" t="str">
        <x:v>design.collection.chainmail_shoulder_mantle.out</x:v>
      </x:c>
    </x:row>
    <x:row r="1416" ht="64" customHeight="1">
      <x:c r="A1416" s="4" t="str">
        <x:f>IFERROR(INDEX('Material routes'!$E$6:$E$2205,MATCH(U1416,'Material routes'!$A$6:$A$2205,0)),"MISSING ID")</x:f>
        <x:v>Compact latch and trigger pack</x:v>
      </x:c>
      <x:c r="B1416" s="4" t="str">
        <x:f>IFERROR(INDEX('Material routes'!$F$6:$F$2205,MATCH(U1416,'Material routes'!$A$6:$A$2205,0)),"MISSING ID")</x:f>
        <x:v>T4</x:v>
      </x:c>
      <x:c r="C1416" s="4" t="str">
        <x:f>IFERROR(INDEX('Material routes'!$H$6:$H$2205,MATCH(U1416,'Material routes'!$A$6:$A$2205,0)),"MISSING ID")</x:f>
        <x:v>Crafting component</x:v>
      </x:c>
      <x:c r="D1416" s="4" t="str">
        <x:f>IFERROR(INDEX('Material routes'!$G$6:$G$2205,MATCH(U1416,'Material routes'!$A$6:$A$2205,0)),"MISSING ID")</x:f>
        <x:v>Crafting components</x:v>
      </x:c>
      <x:c r="E1416" s="4" t="str">
        <x:f>IFERROR(INDEX('Material routes'!$C$6:$C$2205,MATCH(U1416,'Material routes'!$A$6:$A$2205,0)),"MISSING ID")</x:f>
        <x:v>Ingredient candidate</x:v>
      </x:c>
      <x:c r="F1416" s="4" t="str">
        <x:f>IFERROR(INDEX('Material routes'!$E$6:$E$2205,MATCH(V1416,'Material routes'!$A$6:$A$2205,0)),"MISSING ID")</x:f>
        <x:v>Folding hooked trip frame</x:v>
      </x:c>
      <x:c r="G1416" s="4" t="str">
        <x:f>IFERROR(INDEX('Material routes'!$F$6:$F$2205,MATCH(V1416,'Material routes'!$A$6:$A$2205,0)),"MISSING ID")</x:f>
        <x:v>Not applicable</x:v>
      </x:c>
      <x:c r="H1416" s="4" t="str">
        <x:f>IFERROR(INDEX('Material routes'!$H$6:$H$2205,MATCH(V1416,'Material routes'!$A$6:$A$2205,0)),"MISSING ID")</x:f>
        <x:v>Trap</x:v>
      </x:c>
      <x:c r="I1416" s="4" t="str">
        <x:f>IFERROR(INDEX('Material routes'!$G$6:$G$2205,MATCH(V1416,'Material routes'!$A$6:$A$2205,0)),"MISSING ID")</x:f>
        <x:v>Weapons</x:v>
      </x:c>
      <x:c r="J1416" s="4" t="str">
        <x:f>IFERROR(INDEX('Material routes'!$B$6:$B$2205,MATCH(U1416,'Material routes'!$A$6:$A$2205,0)),"MISSING ID")</x:f>
        <x:v>design.collection.folding_hooked_trip_frame</x:v>
      </x:c>
      <x:c r="K1416" s="4" t="str">
        <x:f>IFERROR(INDEX('Crafting recipes'!$C$6:$C$1005,MATCH(J1416,'Crafting recipes'!$A$6:$A$1005,0)),"MISSING ID")</x:f>
        <x:v>Finished-item crafting</x:v>
      </x:c>
      <x:c r="L1416" s="4" t="str">
        <x:f>IFERROR(INDEX('Material routes'!$K$6:$K$2205,MATCH(U1416,'Material routes'!$A$6:$A$2205,0)),"MISSING ID")</x:f>
        <x:v>Proposal</x:v>
      </x:c>
      <x:c r="M1416" s="4" t="str">
        <x:f>IFERROR(INDEX('Material routes'!$M$6:$M$2205,MATCH(U1416,'Material routes'!$A$6:$A$2205,0)),"MISSING ID")</x:f>
        <x:v>Partial proposal</x:v>
      </x:c>
      <x:c r="N1416" s="4"/>
      <x:c r="O1416" s="4" t="str">
        <x:f>IFERROR(INDEX('Material routes'!$J$6:$J$2205,MATCH(U1416,'Material routes'!$A$6:$A$2205,0)),"MISSING ID")</x:f>
        <x:v>Unspecified</x:v>
      </x:c>
      <x:c r="P1416" s="4"/>
      <x:c r="Q1416" s="4" t="str">
        <x:f>IFERROR(INDEX('Material routes'!$J$6:$J$2205,MATCH(V1416,'Material routes'!$A$6:$A$2205,0)),"MISSING ID")</x:f>
        <x:v>Unspecified</x:v>
      </x:c>
      <x:c r="R1416" s="4" t="str">
        <x:f>IF(L1416="Withheld","Withheld premise",IF(E1416="Tool candidate","Reusable prerequisite",IF(K1416="Raw entry preparation","Entry-resource preparation",IF(G1416="Not applicable",IF(IFERROR(INDEX('Items'!$AI$6:$AI$1005,MATCH(T1416,'Items'!$A$6:$A$1005,0)),"MISSING ID")="Finished item","Finished endpoint",IF(IFERROR(INDEX('Items'!$AI$6:$AI$1005,MATCH(T1416,'Items'!$A$6:$A$1005,0)),"MISSING ID")="Currency","Currency / no refinement tier","Recovered output / tier not applicable")),IF(OR(IFERROR(INDEX('Crafting recipes'!$H$6:$H$1005,MATCH(J1416,'Crafting recipes'!$A$6:$A$1005,0)),"MISSING ID")="Unassigned",G1416="Unassigned"),"Tier unresolved",IF(IFERROR(VALUE(RIGHT(G1416,1))-VALUE(RIGHT(IFERROR(INDEX('Crafting recipes'!$H$6:$H$1005,MATCH(J1416,'Crafting recipes'!$A$6:$A$1005,0)),"MISSING ID"),1)),0)=1,IF(B1416=IFERROR(INDEX('Crafting recipes'!$H$6:$H$1005,MATCH(J1416,'Crafting recipes'!$A$6:$A$1005,0)),"MISSING ID"),"Advances one material tier","Lower-tier ingredient; route advances one tier"),"Needs tier review"))))))</x:f>
        <x:v>Finished endpoint</x:v>
      </x:c>
      <x:c r="S1416" s="4" t="str">
        <x:f>IFERROR(INDEX('Material routes'!$D$6:$D$2205,MATCH(U1416,'Material routes'!$A$6:$A$2205,0)),"MISSING ID")</x:f>
        <x:v>proposal.audit.compact_latch_and_trigger_pack</x:v>
      </x:c>
      <x:c r="T1416" s="4" t="str">
        <x:f>IFERROR(INDEX('Material routes'!$D$6:$D$2205,MATCH(V1416,'Material routes'!$A$6:$A$2205,0)),"MISSING ID")</x:f>
        <x:v>proposal.collection.folding_hooked_trip_frame</x:v>
      </x:c>
      <x:c r="U1416" s="4" t="str">
        <x:v>design.collection.folding_hooked_trip_frame.audit.extra.87</x:v>
      </x:c>
      <x:c r="V1416" s="4" t="str">
        <x:v>design.collection.folding_hooked_trip_frame.out</x:v>
      </x:c>
    </x:row>
    <x:row r="1417" ht="64" customHeight="1">
      <x:c r="A1417" s="4"/>
      <x:c r="B1417" s="4"/>
      <x:c r="C1417" s="4"/>
      <x:c r="D1417" s="4"/>
      <x:c r="E1417" s="4"/>
      <x:c r="F1417" s="4"/>
      <x:c r="G1417" s="4"/>
      <x:c r="H1417" s="4"/>
      <x:c r="I1417" s="4"/>
      <x:c r="J1417" s="4"/>
      <x:c r="K1417" s="4"/>
      <x:c r="L1417" s="4"/>
      <x:c r="M1417" s="4"/>
      <x:c r="N1417" s="4"/>
      <x:c r="O1417" s="4"/>
      <x:c r="P1417" s="4"/>
      <x:c r="Q1417" s="4"/>
      <x:c r="R1417" s="4"/>
      <x:c r="S1417" s="4"/>
      <x:c r="T1417" s="4"/>
      <x:c r="U1417" s="4"/>
      <x:c r="V1417" s="4"/>
    </x:row>
    <x:row r="1418" ht="64" customHeight="1">
      <x:c r="A1418" s="4"/>
      <x:c r="B1418" s="4"/>
      <x:c r="C1418" s="4"/>
      <x:c r="D1418" s="4"/>
      <x:c r="E1418" s="4"/>
      <x:c r="F1418" s="4"/>
      <x:c r="G1418" s="4"/>
      <x:c r="H1418" s="4"/>
      <x:c r="I1418" s="4"/>
      <x:c r="J1418" s="4"/>
      <x:c r="K1418" s="4"/>
      <x:c r="L1418" s="4"/>
      <x:c r="M1418" s="4"/>
      <x:c r="N1418" s="4"/>
      <x:c r="O1418" s="4"/>
      <x:c r="P1418" s="4"/>
      <x:c r="Q1418" s="4"/>
      <x:c r="R1418" s="4"/>
      <x:c r="S1418" s="4"/>
      <x:c r="T1418" s="4"/>
      <x:c r="U1418" s="4"/>
      <x:c r="V1418" s="4"/>
    </x:row>
    <x:row r="1419" ht="64" customHeight="1">
      <x:c r="A1419" s="4"/>
      <x:c r="B1419" s="4"/>
      <x:c r="C1419" s="4"/>
      <x:c r="D1419" s="4"/>
      <x:c r="E1419" s="4"/>
      <x:c r="F1419" s="4"/>
      <x:c r="G1419" s="4"/>
      <x:c r="H1419" s="4"/>
      <x:c r="I1419" s="4"/>
      <x:c r="J1419" s="4"/>
      <x:c r="K1419" s="4"/>
      <x:c r="L1419" s="4"/>
      <x:c r="M1419" s="4"/>
      <x:c r="N1419" s="4"/>
      <x:c r="O1419" s="4"/>
      <x:c r="P1419" s="4"/>
      <x:c r="Q1419" s="4"/>
      <x:c r="R1419" s="4"/>
      <x:c r="S1419" s="4"/>
      <x:c r="T1419" s="4"/>
      <x:c r="U1419" s="4"/>
      <x:c r="V1419" s="4"/>
    </x:row>
    <x:row r="1420" ht="64" customHeight="1">
      <x:c r="A1420" s="4"/>
      <x:c r="B1420" s="4"/>
      <x:c r="C1420" s="4"/>
      <x:c r="D1420" s="4"/>
      <x:c r="E1420" s="4"/>
      <x:c r="F1420" s="4"/>
      <x:c r="G1420" s="4"/>
      <x:c r="H1420" s="4"/>
      <x:c r="I1420" s="4"/>
      <x:c r="J1420" s="4"/>
      <x:c r="K1420" s="4"/>
      <x:c r="L1420" s="4"/>
      <x:c r="M1420" s="4"/>
      <x:c r="N1420" s="4"/>
      <x:c r="O1420" s="4"/>
      <x:c r="P1420" s="4"/>
      <x:c r="Q1420" s="4"/>
      <x:c r="R1420" s="4"/>
      <x:c r="S1420" s="4"/>
      <x:c r="T1420" s="4"/>
      <x:c r="U1420" s="4"/>
      <x:c r="V1420" s="4"/>
    </x:row>
    <x:row r="1421" ht="64" customHeight="1">
      <x:c r="A1421" s="4" t="str">
        <x:f>IFERROR(INDEX('Material routes'!$E$6:$E$2205,MATCH(U1421,'Material routes'!$A$6:$A$2205,0)),"MISSING ID")</x:f>
        <x:v>Ground-anchor stake set</x:v>
      </x:c>
      <x:c r="B1421" s="4" t="str">
        <x:f>IFERROR(INDEX('Material routes'!$F$6:$F$2205,MATCH(U1421,'Material routes'!$A$6:$A$2205,0)),"MISSING ID")</x:f>
        <x:v>Not applicable</x:v>
      </x:c>
      <x:c r="C1421" s="4" t="str">
        <x:f>IFERROR(INDEX('Material routes'!$H$6:$H$2205,MATCH(U1421,'Material routes'!$A$6:$A$2205,0)),"MISSING ID")</x:f>
        <x:v>Shelter item</x:v>
      </x:c>
      <x:c r="D1421" s="4" t="str">
        <x:f>IFERROR(INDEX('Material routes'!$G$6:$G$2205,MATCH(U1421,'Material routes'!$A$6:$A$2205,0)),"MISSING ID")</x:f>
        <x:v>Salvage</x:v>
      </x:c>
      <x:c r="E1421" s="4" t="str">
        <x:f>IFERROR(INDEX('Material routes'!$C$6:$C$2205,MATCH(U1421,'Material routes'!$A$6:$A$2205,0)),"MISSING ID")</x:f>
        <x:v>Ingredient candidate</x:v>
      </x:c>
      <x:c r="F1421" s="4" t="str">
        <x:f>IFERROR(INDEX('Material routes'!$E$6:$E$2205,MATCH(V1421,'Material routes'!$A$6:$A$2205,0)),"MISSING ID")</x:f>
        <x:v>Rattle alarm tripline</x:v>
      </x:c>
      <x:c r="G1421" s="4" t="str">
        <x:f>IFERROR(INDEX('Material routes'!$F$6:$F$2205,MATCH(V1421,'Material routes'!$A$6:$A$2205,0)),"MISSING ID")</x:f>
        <x:v>Not applicable</x:v>
      </x:c>
      <x:c r="H1421" s="4" t="str">
        <x:f>IFERROR(INDEX('Material routes'!$H$6:$H$2205,MATCH(V1421,'Material routes'!$A$6:$A$2205,0)),"MISSING ID")</x:f>
        <x:v>Trap</x:v>
      </x:c>
      <x:c r="I1421" s="4" t="str">
        <x:f>IFERROR(INDEX('Material routes'!$G$6:$G$2205,MATCH(V1421,'Material routes'!$A$6:$A$2205,0)),"MISSING ID")</x:f>
        <x:v>Weapons</x:v>
      </x:c>
      <x:c r="J1421" s="4" t="str">
        <x:f>IFERROR(INDEX('Material routes'!$B$6:$B$2205,MATCH(U1421,'Material routes'!$A$6:$A$2205,0)),"MISSING ID")</x:f>
        <x:v>design.collection.rattle_alarm_tripline</x:v>
      </x:c>
      <x:c r="K1421" s="4" t="str">
        <x:f>IFERROR(INDEX('Crafting recipes'!$C$6:$C$1005,MATCH(J1421,'Crafting recipes'!$A$6:$A$1005,0)),"MISSING ID")</x:f>
        <x:v>Finished-item crafting</x:v>
      </x:c>
      <x:c r="L1421" s="4" t="str">
        <x:f>IFERROR(INDEX('Material routes'!$K$6:$K$2205,MATCH(U1421,'Material routes'!$A$6:$A$2205,0)),"MISSING ID")</x:f>
        <x:v>Proposal</x:v>
      </x:c>
      <x:c r="M1421" s="4" t="str">
        <x:f>IFERROR(INDEX('Material routes'!$M$6:$M$2205,MATCH(U1421,'Material routes'!$A$6:$A$2205,0)),"MISSING ID")</x:f>
        <x:v>Partial proposal</x:v>
      </x:c>
      <x:c r="N1421" s="4"/>
      <x:c r="O1421" s="4" t="str">
        <x:f>IFERROR(INDEX('Material routes'!$J$6:$J$2205,MATCH(U1421,'Material routes'!$A$6:$A$2205,0)),"MISSING ID")</x:f>
        <x:v>Unspecified</x:v>
      </x:c>
      <x:c r="P1421" s="4"/>
      <x:c r="Q1421" s="4" t="str">
        <x:f>IFERROR(INDEX('Material routes'!$J$6:$J$2205,MATCH(V1421,'Material routes'!$A$6:$A$2205,0)),"MISSING ID")</x:f>
        <x:v>Unspecified</x:v>
      </x:c>
      <x:c r="R1421" s="4" t="str">
        <x:f>IF(L1421="Withheld","Withheld premise",IF(E1421="Tool candidate","Reusable prerequisite",IF(K1421="Raw entry preparation","Entry-resource preparation",IF(G1421="Not applicable",IF(IFERROR(INDEX('Items'!$AI$6:$AI$1005,MATCH(T1421,'Items'!$A$6:$A$1005,0)),"MISSING ID")="Finished item","Finished endpoint",IF(IFERROR(INDEX('Items'!$AI$6:$AI$1005,MATCH(T1421,'Items'!$A$6:$A$1005,0)),"MISSING ID")="Currency","Currency / no refinement tier","Recovered output / tier not applicable")),IF(OR(IFERROR(INDEX('Crafting recipes'!$H$6:$H$1005,MATCH(J1421,'Crafting recipes'!$A$6:$A$1005,0)),"MISSING ID")="Unassigned",G1421="Unassigned"),"Tier unresolved",IF(IFERROR(VALUE(RIGHT(G1421,1))-VALUE(RIGHT(IFERROR(INDEX('Crafting recipes'!$H$6:$H$1005,MATCH(J1421,'Crafting recipes'!$A$6:$A$1005,0)),"MISSING ID"),1)),0)=1,IF(B1421=IFERROR(INDEX('Crafting recipes'!$H$6:$H$1005,MATCH(J1421,'Crafting recipes'!$A$6:$A$1005,0)),"MISSING ID"),"Advances one material tier","Lower-tier ingredient; route advances one tier"),"Needs tier review"))))))</x:f>
        <x:v>Finished endpoint</x:v>
      </x:c>
      <x:c r="S1421" s="4" t="str">
        <x:f>IFERROR(INDEX('Material routes'!$D$6:$D$2205,MATCH(U1421,'Material routes'!$A$6:$A$2205,0)),"MISSING ID")</x:f>
        <x:v>proposal.collection.ground_anchor_stake_set</x:v>
      </x:c>
      <x:c r="T1421" s="4" t="str">
        <x:f>IFERROR(INDEX('Material routes'!$D$6:$D$2205,MATCH(V1421,'Material routes'!$A$6:$A$2205,0)),"MISSING ID")</x:f>
        <x:v>proposal.collection.rattle_alarm_tripline</x:v>
      </x:c>
      <x:c r="U1421" s="4" t="str">
        <x:v>design.collection.rattle_alarm_tripline.audit.extra.92</x:v>
      </x:c>
      <x:c r="V1421" s="4" t="str">
        <x:v>design.collection.rattle_alarm_tripline.out</x:v>
      </x:c>
    </x:row>
    <x:row r="1422" ht="64" customHeight="1">
      <x:c r="A1422" s="4" t="str">
        <x:f>IFERROR(INDEX('Material routes'!$E$6:$E$2205,MATCH(U1422,'Material routes'!$A$6:$A$2205,0)),"MISSING ID")</x:f>
        <x:v>Ground-anchor stake set</x:v>
      </x:c>
      <x:c r="B1422" s="4" t="str">
        <x:f>IFERROR(INDEX('Material routes'!$F$6:$F$2205,MATCH(U1422,'Material routes'!$A$6:$A$2205,0)),"MISSING ID")</x:f>
        <x:v>Not applicable</x:v>
      </x:c>
      <x:c r="C1422" s="4" t="str">
        <x:f>IFERROR(INDEX('Material routes'!$H$6:$H$2205,MATCH(U1422,'Material routes'!$A$6:$A$2205,0)),"MISSING ID")</x:f>
        <x:v>Shelter item</x:v>
      </x:c>
      <x:c r="D1422" s="4" t="str">
        <x:f>IFERROR(INDEX('Material routes'!$G$6:$G$2205,MATCH(U1422,'Material routes'!$A$6:$A$2205,0)),"MISSING ID")</x:f>
        <x:v>Salvage</x:v>
      </x:c>
      <x:c r="E1422" s="4" t="str">
        <x:f>IFERROR(INDEX('Material routes'!$C$6:$C$2205,MATCH(U1422,'Material routes'!$A$6:$A$2205,0)),"MISSING ID")</x:f>
        <x:v>Ingredient candidate</x:v>
      </x:c>
      <x:c r="F1422" s="4" t="str">
        <x:f>IFERROR(INDEX('Material routes'!$E$6:$E$2205,MATCH(V1422,'Material routes'!$A$6:$A$2205,0)),"MISSING ID")</x:f>
        <x:v>Metal bell alarm tether</x:v>
      </x:c>
      <x:c r="G1422" s="4" t="str">
        <x:f>IFERROR(INDEX('Material routes'!$F$6:$F$2205,MATCH(V1422,'Material routes'!$A$6:$A$2205,0)),"MISSING ID")</x:f>
        <x:v>Not applicable</x:v>
      </x:c>
      <x:c r="H1422" s="4" t="str">
        <x:f>IFERROR(INDEX('Material routes'!$H$6:$H$2205,MATCH(V1422,'Material routes'!$A$6:$A$2205,0)),"MISSING ID")</x:f>
        <x:v>Trap</x:v>
      </x:c>
      <x:c r="I1422" s="4" t="str">
        <x:f>IFERROR(INDEX('Material routes'!$G$6:$G$2205,MATCH(V1422,'Material routes'!$A$6:$A$2205,0)),"MISSING ID")</x:f>
        <x:v>Weapons</x:v>
      </x:c>
      <x:c r="J1422" s="4" t="str">
        <x:f>IFERROR(INDEX('Material routes'!$B$6:$B$2205,MATCH(U1422,'Material routes'!$A$6:$A$2205,0)),"MISSING ID")</x:f>
        <x:v>design.collection.metal_bell_alarm_tether</x:v>
      </x:c>
      <x:c r="K1422" s="4" t="str">
        <x:f>IFERROR(INDEX('Crafting recipes'!$C$6:$C$1005,MATCH(J1422,'Crafting recipes'!$A$6:$A$1005,0)),"MISSING ID")</x:f>
        <x:v>Finished-item crafting</x:v>
      </x:c>
      <x:c r="L1422" s="4" t="str">
        <x:f>IFERROR(INDEX('Material routes'!$K$6:$K$2205,MATCH(U1422,'Material routes'!$A$6:$A$2205,0)),"MISSING ID")</x:f>
        <x:v>Proposal</x:v>
      </x:c>
      <x:c r="M1422" s="4" t="str">
        <x:f>IFERROR(INDEX('Material routes'!$M$6:$M$2205,MATCH(U1422,'Material routes'!$A$6:$A$2205,0)),"MISSING ID")</x:f>
        <x:v>Partial proposal</x:v>
      </x:c>
      <x:c r="N1422" s="4"/>
      <x:c r="O1422" s="4" t="str">
        <x:f>IFERROR(INDEX('Material routes'!$J$6:$J$2205,MATCH(U1422,'Material routes'!$A$6:$A$2205,0)),"MISSING ID")</x:f>
        <x:v>Unspecified</x:v>
      </x:c>
      <x:c r="P1422" s="4"/>
      <x:c r="Q1422" s="4" t="str">
        <x:f>IFERROR(INDEX('Material routes'!$J$6:$J$2205,MATCH(V1422,'Material routes'!$A$6:$A$2205,0)),"MISSING ID")</x:f>
        <x:v>Unspecified</x:v>
      </x:c>
      <x:c r="R1422" s="4" t="str">
        <x:f>IF(L1422="Withheld","Withheld premise",IF(E1422="Tool candidate","Reusable prerequisite",IF(K1422="Raw entry preparation","Entry-resource preparation",IF(G1422="Not applicable",IF(IFERROR(INDEX('Items'!$AI$6:$AI$1005,MATCH(T1422,'Items'!$A$6:$A$1005,0)),"MISSING ID")="Finished item","Finished endpoint",IF(IFERROR(INDEX('Items'!$AI$6:$AI$1005,MATCH(T1422,'Items'!$A$6:$A$1005,0)),"MISSING ID")="Currency","Currency / no refinement tier","Recovered output / tier not applicable")),IF(OR(IFERROR(INDEX('Crafting recipes'!$H$6:$H$1005,MATCH(J1422,'Crafting recipes'!$A$6:$A$1005,0)),"MISSING ID")="Unassigned",G1422="Unassigned"),"Tier unresolved",IF(IFERROR(VALUE(RIGHT(G1422,1))-VALUE(RIGHT(IFERROR(INDEX('Crafting recipes'!$H$6:$H$1005,MATCH(J1422,'Crafting recipes'!$A$6:$A$1005,0)),"MISSING ID"),1)),0)=1,IF(B1422=IFERROR(INDEX('Crafting recipes'!$H$6:$H$1005,MATCH(J1422,'Crafting recipes'!$A$6:$A$1005,0)),"MISSING ID"),"Advances one material tier","Lower-tier ingredient; route advances one tier"),"Needs tier review"))))))</x:f>
        <x:v>Finished endpoint</x:v>
      </x:c>
      <x:c r="S1422" s="4" t="str">
        <x:f>IFERROR(INDEX('Material routes'!$D$6:$D$2205,MATCH(U1422,'Material routes'!$A$6:$A$2205,0)),"MISSING ID")</x:f>
        <x:v>proposal.collection.ground_anchor_stake_set</x:v>
      </x:c>
      <x:c r="T1422" s="4" t="str">
        <x:f>IFERROR(INDEX('Material routes'!$D$6:$D$2205,MATCH(V1422,'Material routes'!$A$6:$A$2205,0)),"MISSING ID")</x:f>
        <x:v>proposal.collection.metal_bell_alarm_tether</x:v>
      </x:c>
      <x:c r="U1422" s="4" t="str">
        <x:v>design.collection.metal_bell_alarm_tether.audit.extra.93</x:v>
      </x:c>
      <x:c r="V1422" s="4" t="str">
        <x:v>design.collection.metal_bell_alarm_tether.out</x:v>
      </x:c>
    </x:row>
    <x:row r="1423" ht="64" customHeight="1">
      <x:c r="A1423" s="4" t="str">
        <x:f>IFERROR(INDEX('Material routes'!$E$6:$E$2205,MATCH(U1423,'Material routes'!$A$6:$A$2205,0)),"MISSING ID")</x:f>
        <x:v>Ceramic-backed control switch</x:v>
      </x:c>
      <x:c r="B1423" s="4" t="str">
        <x:f>IFERROR(INDEX('Material routes'!$F$6:$F$2205,MATCH(U1423,'Material routes'!$A$6:$A$2205,0)),"MISSING ID")</x:f>
        <x:v>T4</x:v>
      </x:c>
      <x:c r="C1423" s="4" t="str">
        <x:f>IFERROR(INDEX('Material routes'!$H$6:$H$2205,MATCH(U1423,'Material routes'!$A$6:$A$2205,0)),"MISSING ID")</x:f>
        <x:v>Crafting component</x:v>
      </x:c>
      <x:c r="D1423" s="4" t="str">
        <x:f>IFERROR(INDEX('Material routes'!$G$6:$G$2205,MATCH(U1423,'Material routes'!$A$6:$A$2205,0)),"MISSING ID")</x:f>
        <x:v>Crafting components</x:v>
      </x:c>
      <x:c r="E1423" s="4" t="str">
        <x:f>IFERROR(INDEX('Material routes'!$C$6:$C$2205,MATCH(U1423,'Material routes'!$A$6:$A$2205,0)),"MISSING ID")</x:f>
        <x:v>Ingredient candidate</x:v>
      </x:c>
      <x:c r="F1423" s="4" t="str">
        <x:f>IFERROR(INDEX('Material routes'!$E$6:$E$2205,MATCH(V1423,'Material routes'!$A$6:$A$2205,0)),"MISSING ID")</x:f>
        <x:v>Static alarm contact line</x:v>
      </x:c>
      <x:c r="G1423" s="4" t="str">
        <x:f>IFERROR(INDEX('Material routes'!$F$6:$F$2205,MATCH(V1423,'Material routes'!$A$6:$A$2205,0)),"MISSING ID")</x:f>
        <x:v>Not applicable</x:v>
      </x:c>
      <x:c r="H1423" s="4" t="str">
        <x:f>IFERROR(INDEX('Material routes'!$H$6:$H$2205,MATCH(V1423,'Material routes'!$A$6:$A$2205,0)),"MISSING ID")</x:f>
        <x:v>Trap</x:v>
      </x:c>
      <x:c r="I1423" s="4" t="str">
        <x:f>IFERROR(INDEX('Material routes'!$G$6:$G$2205,MATCH(V1423,'Material routes'!$A$6:$A$2205,0)),"MISSING ID")</x:f>
        <x:v>Weapons</x:v>
      </x:c>
      <x:c r="J1423" s="4" t="str">
        <x:f>IFERROR(INDEX('Material routes'!$B$6:$B$2205,MATCH(U1423,'Material routes'!$A$6:$A$2205,0)),"MISSING ID")</x:f>
        <x:v>design.collection.static_alarm_contact_line</x:v>
      </x:c>
      <x:c r="K1423" s="4" t="str">
        <x:f>IFERROR(INDEX('Crafting recipes'!$C$6:$C$1005,MATCH(J1423,'Crafting recipes'!$A$6:$A$1005,0)),"MISSING ID")</x:f>
        <x:v>Finished-item crafting</x:v>
      </x:c>
      <x:c r="L1423" s="4" t="str">
        <x:f>IFERROR(INDEX('Material routes'!$K$6:$K$2205,MATCH(U1423,'Material routes'!$A$6:$A$2205,0)),"MISSING ID")</x:f>
        <x:v>Proposal</x:v>
      </x:c>
      <x:c r="M1423" s="4" t="str">
        <x:f>IFERROR(INDEX('Material routes'!$M$6:$M$2205,MATCH(U1423,'Material routes'!$A$6:$A$2205,0)),"MISSING ID")</x:f>
        <x:v>Partial proposal</x:v>
      </x:c>
      <x:c r="N1423" s="4"/>
      <x:c r="O1423" s="4" t="str">
        <x:f>IFERROR(INDEX('Material routes'!$J$6:$J$2205,MATCH(U1423,'Material routes'!$A$6:$A$2205,0)),"MISSING ID")</x:f>
        <x:v>Unspecified</x:v>
      </x:c>
      <x:c r="P1423" s="4"/>
      <x:c r="Q1423" s="4" t="str">
        <x:f>IFERROR(INDEX('Material routes'!$J$6:$J$2205,MATCH(V1423,'Material routes'!$A$6:$A$2205,0)),"MISSING ID")</x:f>
        <x:v>Unspecified</x:v>
      </x:c>
      <x:c r="R1423" s="4" t="str">
        <x:f>IF(L1423="Withheld","Withheld premise",IF(E1423="Tool candidate","Reusable prerequisite",IF(K1423="Raw entry preparation","Entry-resource preparation",IF(G1423="Not applicable",IF(IFERROR(INDEX('Items'!$AI$6:$AI$1005,MATCH(T1423,'Items'!$A$6:$A$1005,0)),"MISSING ID")="Finished item","Finished endpoint",IF(IFERROR(INDEX('Items'!$AI$6:$AI$1005,MATCH(T1423,'Items'!$A$6:$A$1005,0)),"MISSING ID")="Currency","Currency / no refinement tier","Recovered output / tier not applicable")),IF(OR(IFERROR(INDEX('Crafting recipes'!$H$6:$H$1005,MATCH(J1423,'Crafting recipes'!$A$6:$A$1005,0)),"MISSING ID")="Unassigned",G1423="Unassigned"),"Tier unresolved",IF(IFERROR(VALUE(RIGHT(G1423,1))-VALUE(RIGHT(IFERROR(INDEX('Crafting recipes'!$H$6:$H$1005,MATCH(J1423,'Crafting recipes'!$A$6:$A$1005,0)),"MISSING ID"),1)),0)=1,IF(B1423=IFERROR(INDEX('Crafting recipes'!$H$6:$H$1005,MATCH(J1423,'Crafting recipes'!$A$6:$A$1005,0)),"MISSING ID"),"Advances one material tier","Lower-tier ingredient; route advances one tier"),"Needs tier review"))))))</x:f>
        <x:v>Finished endpoint</x:v>
      </x:c>
      <x:c r="S1423" s="4" t="str">
        <x:f>IFERROR(INDEX('Material routes'!$D$6:$D$2205,MATCH(U1423,'Material routes'!$A$6:$A$2205,0)),"MISSING ID")</x:f>
        <x:v>proposal.audit.ceramic_backed_control_switch</x:v>
      </x:c>
      <x:c r="T1423" s="4" t="str">
        <x:f>IFERROR(INDEX('Material routes'!$D$6:$D$2205,MATCH(V1423,'Material routes'!$A$6:$A$2205,0)),"MISSING ID")</x:f>
        <x:v>proposal.collection.static_alarm_contact_line</x:v>
      </x:c>
      <x:c r="U1423" s="4" t="str">
        <x:v>design.collection.static_alarm_contact_line.audit.extra.94</x:v>
      </x:c>
      <x:c r="V1423" s="4" t="str">
        <x:v>design.collection.static_alarm_contact_line.out</x:v>
      </x:c>
    </x:row>
    <x:row r="1424" ht="64" customHeight="1">
      <x:c r="A1424" s="4" t="str">
        <x:f>IFERROR(INDEX('Material routes'!$E$6:$E$2205,MATCH(U1424,'Material routes'!$A$6:$A$2205,0)),"MISSING ID")</x:f>
        <x:v>Bronze hand bell</x:v>
      </x:c>
      <x:c r="B1424" s="4" t="str">
        <x:f>IFERROR(INDEX('Material routes'!$F$6:$F$2205,MATCH(U1424,'Material routes'!$A$6:$A$2205,0)),"MISSING ID")</x:f>
        <x:v>Not applicable</x:v>
      </x:c>
      <x:c r="C1424" s="4" t="str">
        <x:f>IFERROR(INDEX('Material routes'!$H$6:$H$2205,MATCH(U1424,'Material routes'!$A$6:$A$2205,0)),"MISSING ID")</x:f>
        <x:v>Musical instrument</x:v>
      </x:c>
      <x:c r="D1424" s="4" t="str">
        <x:f>IFERROR(INDEX('Material routes'!$G$6:$G$2205,MATCH(U1424,'Material routes'!$A$6:$A$2205,0)),"MISSING ID")</x:f>
        <x:v>Salvage</x:v>
      </x:c>
      <x:c r="E1424" s="4" t="str">
        <x:f>IFERROR(INDEX('Material routes'!$C$6:$C$2205,MATCH(U1424,'Material routes'!$A$6:$A$2205,0)),"MISSING ID")</x:f>
        <x:v>Ingredient candidate</x:v>
      </x:c>
      <x:c r="F1424" s="4" t="str">
        <x:f>IFERROR(INDEX('Material routes'!$E$6:$E$2205,MATCH(V1424,'Material routes'!$A$6:$A$2205,0)),"MISSING ID")</x:f>
        <x:v>Static alarm contact line</x:v>
      </x:c>
      <x:c r="G1424" s="4" t="str">
        <x:f>IFERROR(INDEX('Material routes'!$F$6:$F$2205,MATCH(V1424,'Material routes'!$A$6:$A$2205,0)),"MISSING ID")</x:f>
        <x:v>Not applicable</x:v>
      </x:c>
      <x:c r="H1424" s="4" t="str">
        <x:f>IFERROR(INDEX('Material routes'!$H$6:$H$2205,MATCH(V1424,'Material routes'!$A$6:$A$2205,0)),"MISSING ID")</x:f>
        <x:v>Trap</x:v>
      </x:c>
      <x:c r="I1424" s="4" t="str">
        <x:f>IFERROR(INDEX('Material routes'!$G$6:$G$2205,MATCH(V1424,'Material routes'!$A$6:$A$2205,0)),"MISSING ID")</x:f>
        <x:v>Weapons</x:v>
      </x:c>
      <x:c r="J1424" s="4" t="str">
        <x:f>IFERROR(INDEX('Material routes'!$B$6:$B$2205,MATCH(U1424,'Material routes'!$A$6:$A$2205,0)),"MISSING ID")</x:f>
        <x:v>design.collection.static_alarm_contact_line</x:v>
      </x:c>
      <x:c r="K1424" s="4" t="str">
        <x:f>IFERROR(INDEX('Crafting recipes'!$C$6:$C$1005,MATCH(J1424,'Crafting recipes'!$A$6:$A$1005,0)),"MISSING ID")</x:f>
        <x:v>Finished-item crafting</x:v>
      </x:c>
      <x:c r="L1424" s="4" t="str">
        <x:f>IFERROR(INDEX('Material routes'!$K$6:$K$2205,MATCH(U1424,'Material routes'!$A$6:$A$2205,0)),"MISSING ID")</x:f>
        <x:v>Proposal</x:v>
      </x:c>
      <x:c r="M1424" s="4" t="str">
        <x:f>IFERROR(INDEX('Material routes'!$M$6:$M$2205,MATCH(U1424,'Material routes'!$A$6:$A$2205,0)),"MISSING ID")</x:f>
        <x:v>Partial proposal</x:v>
      </x:c>
      <x:c r="N1424" s="4"/>
      <x:c r="O1424" s="4" t="str">
        <x:f>IFERROR(INDEX('Material routes'!$J$6:$J$2205,MATCH(U1424,'Material routes'!$A$6:$A$2205,0)),"MISSING ID")</x:f>
        <x:v>Unspecified</x:v>
      </x:c>
      <x:c r="P1424" s="4"/>
      <x:c r="Q1424" s="4" t="str">
        <x:f>IFERROR(INDEX('Material routes'!$J$6:$J$2205,MATCH(V1424,'Material routes'!$A$6:$A$2205,0)),"MISSING ID")</x:f>
        <x:v>Unspecified</x:v>
      </x:c>
      <x:c r="R1424" s="4" t="str">
        <x:f>IF(L1424="Withheld","Withheld premise",IF(E1424="Tool candidate","Reusable prerequisite",IF(K1424="Raw entry preparation","Entry-resource preparation",IF(G1424="Not applicable",IF(IFERROR(INDEX('Items'!$AI$6:$AI$1005,MATCH(T1424,'Items'!$A$6:$A$1005,0)),"MISSING ID")="Finished item","Finished endpoint",IF(IFERROR(INDEX('Items'!$AI$6:$AI$1005,MATCH(T1424,'Items'!$A$6:$A$1005,0)),"MISSING ID")="Currency","Currency / no refinement tier","Recovered output / tier not applicable")),IF(OR(IFERROR(INDEX('Crafting recipes'!$H$6:$H$1005,MATCH(J1424,'Crafting recipes'!$A$6:$A$1005,0)),"MISSING ID")="Unassigned",G1424="Unassigned"),"Tier unresolved",IF(IFERROR(VALUE(RIGHT(G1424,1))-VALUE(RIGHT(IFERROR(INDEX('Crafting recipes'!$H$6:$H$1005,MATCH(J1424,'Crafting recipes'!$A$6:$A$1005,0)),"MISSING ID"),1)),0)=1,IF(B1424=IFERROR(INDEX('Crafting recipes'!$H$6:$H$1005,MATCH(J1424,'Crafting recipes'!$A$6:$A$1005,0)),"MISSING ID"),"Advances one material tier","Lower-tier ingredient; route advances one tier"),"Needs tier review"))))))</x:f>
        <x:v>Finished endpoint</x:v>
      </x:c>
      <x:c r="S1424" s="4" t="str">
        <x:f>IFERROR(INDEX('Material routes'!$D$6:$D$2205,MATCH(U1424,'Material routes'!$A$6:$A$2205,0)),"MISSING ID")</x:f>
        <x:v>proposal.collection.bronze_hand_bell</x:v>
      </x:c>
      <x:c r="T1424" s="4" t="str">
        <x:f>IFERROR(INDEX('Material routes'!$D$6:$D$2205,MATCH(V1424,'Material routes'!$A$6:$A$2205,0)),"MISSING ID")</x:f>
        <x:v>proposal.collection.static_alarm_contact_line</x:v>
      </x:c>
      <x:c r="U1424" s="4" t="str">
        <x:v>design.collection.static_alarm_contact_line.audit.extra.95</x:v>
      </x:c>
      <x:c r="V1424" s="4" t="str">
        <x:v>design.collection.static_alarm_contact_line.out</x:v>
      </x:c>
    </x:row>
    <x:row r="1425" ht="64" customHeight="1">
      <x:c r="A1425" s="4" t="str">
        <x:f>IFERROR(INDEX('Material routes'!$E$6:$E$2205,MATCH(U1425,'Material routes'!$A$6:$A$2205,0)),"MISSING ID")</x:f>
        <x:v>Ceramic-housed mineral battery</x:v>
      </x:c>
      <x:c r="B1425" s="4" t="str">
        <x:f>IFERROR(INDEX('Material routes'!$F$6:$F$2205,MATCH(U1425,'Material routes'!$A$6:$A$2205,0)),"MISSING ID")</x:f>
        <x:v>Not applicable</x:v>
      </x:c>
      <x:c r="C1425" s="4" t="str">
        <x:f>IFERROR(INDEX('Material routes'!$H$6:$H$2205,MATCH(U1425,'Material routes'!$A$6:$A$2205,0)),"MISSING ID")</x:f>
        <x:v>Energy storage</x:v>
      </x:c>
      <x:c r="D1425" s="4" t="str">
        <x:f>IFERROR(INDEX('Material routes'!$G$6:$G$2205,MATCH(U1425,'Material routes'!$A$6:$A$2205,0)),"MISSING ID")</x:f>
        <x:v>Crafting components</x:v>
      </x:c>
      <x:c r="E1425" s="4" t="str">
        <x:f>IFERROR(INDEX('Material routes'!$C$6:$C$2205,MATCH(U1425,'Material routes'!$A$6:$A$2205,0)),"MISSING ID")</x:f>
        <x:v>Ingredient candidate</x:v>
      </x:c>
      <x:c r="F1425" s="4" t="str">
        <x:f>IFERROR(INDEX('Material routes'!$E$6:$E$2205,MATCH(V1425,'Material routes'!$A$6:$A$2205,0)),"MISSING ID")</x:f>
        <x:v>Static alarm contact line</x:v>
      </x:c>
      <x:c r="G1425" s="4" t="str">
        <x:f>IFERROR(INDEX('Material routes'!$F$6:$F$2205,MATCH(V1425,'Material routes'!$A$6:$A$2205,0)),"MISSING ID")</x:f>
        <x:v>Not applicable</x:v>
      </x:c>
      <x:c r="H1425" s="4" t="str">
        <x:f>IFERROR(INDEX('Material routes'!$H$6:$H$2205,MATCH(V1425,'Material routes'!$A$6:$A$2205,0)),"MISSING ID")</x:f>
        <x:v>Trap</x:v>
      </x:c>
      <x:c r="I1425" s="4" t="str">
        <x:f>IFERROR(INDEX('Material routes'!$G$6:$G$2205,MATCH(V1425,'Material routes'!$A$6:$A$2205,0)),"MISSING ID")</x:f>
        <x:v>Weapons</x:v>
      </x:c>
      <x:c r="J1425" s="4" t="str">
        <x:f>IFERROR(INDEX('Material routes'!$B$6:$B$2205,MATCH(U1425,'Material routes'!$A$6:$A$2205,0)),"MISSING ID")</x:f>
        <x:v>design.collection.static_alarm_contact_line</x:v>
      </x:c>
      <x:c r="K1425" s="4" t="str">
        <x:f>IFERROR(INDEX('Crafting recipes'!$C$6:$C$1005,MATCH(J1425,'Crafting recipes'!$A$6:$A$1005,0)),"MISSING ID")</x:f>
        <x:v>Finished-item crafting</x:v>
      </x:c>
      <x:c r="L1425" s="4" t="str">
        <x:f>IFERROR(INDEX('Material routes'!$K$6:$K$2205,MATCH(U1425,'Material routes'!$A$6:$A$2205,0)),"MISSING ID")</x:f>
        <x:v>Proposal</x:v>
      </x:c>
      <x:c r="M1425" s="4" t="str">
        <x:f>IFERROR(INDEX('Material routes'!$M$6:$M$2205,MATCH(U1425,'Material routes'!$A$6:$A$2205,0)),"MISSING ID")</x:f>
        <x:v>Partial proposal</x:v>
      </x:c>
      <x:c r="N1425" s="4"/>
      <x:c r="O1425" s="4" t="str">
        <x:f>IFERROR(INDEX('Material routes'!$J$6:$J$2205,MATCH(U1425,'Material routes'!$A$6:$A$2205,0)),"MISSING ID")</x:f>
        <x:v>Unspecified</x:v>
      </x:c>
      <x:c r="P1425" s="4"/>
      <x:c r="Q1425" s="4" t="str">
        <x:f>IFERROR(INDEX('Material routes'!$J$6:$J$2205,MATCH(V1425,'Material routes'!$A$6:$A$2205,0)),"MISSING ID")</x:f>
        <x:v>Unspecified</x:v>
      </x:c>
      <x:c r="R1425" s="4" t="str">
        <x:f>IF(L1425="Withheld","Withheld premise",IF(E1425="Tool candidate","Reusable prerequisite",IF(K1425="Raw entry preparation","Entry-resource preparation",IF(G1425="Not applicable",IF(IFERROR(INDEX('Items'!$AI$6:$AI$1005,MATCH(T1425,'Items'!$A$6:$A$1005,0)),"MISSING ID")="Finished item","Finished endpoint",IF(IFERROR(INDEX('Items'!$AI$6:$AI$1005,MATCH(T1425,'Items'!$A$6:$A$1005,0)),"MISSING ID")="Currency","Currency / no refinement tier","Recovered output / tier not applicable")),IF(OR(IFERROR(INDEX('Crafting recipes'!$H$6:$H$1005,MATCH(J1425,'Crafting recipes'!$A$6:$A$1005,0)),"MISSING ID")="Unassigned",G1425="Unassigned"),"Tier unresolved",IF(IFERROR(VALUE(RIGHT(G1425,1))-VALUE(RIGHT(IFERROR(INDEX('Crafting recipes'!$H$6:$H$1005,MATCH(J1425,'Crafting recipes'!$A$6:$A$1005,0)),"MISSING ID"),1)),0)=1,IF(B1425=IFERROR(INDEX('Crafting recipes'!$H$6:$H$1005,MATCH(J1425,'Crafting recipes'!$A$6:$A$1005,0)),"MISSING ID"),"Advances one material tier","Lower-tier ingredient; route advances one tier"),"Needs tier review"))))))</x:f>
        <x:v>Finished endpoint</x:v>
      </x:c>
      <x:c r="S1425" s="4" t="str">
        <x:f>IFERROR(INDEX('Material routes'!$D$6:$D$2205,MATCH(U1425,'Material routes'!$A$6:$A$2205,0)),"MISSING ID")</x:f>
        <x:v>proposal.collection.ceramic_housed_mineral_battery</x:v>
      </x:c>
      <x:c r="T1425" s="4" t="str">
        <x:f>IFERROR(INDEX('Material routes'!$D$6:$D$2205,MATCH(V1425,'Material routes'!$A$6:$A$2205,0)),"MISSING ID")</x:f>
        <x:v>proposal.collection.static_alarm_contact_line</x:v>
      </x:c>
      <x:c r="U1425" s="4" t="str">
        <x:v>design.collection.static_alarm_contact_line.audit.extra.96</x:v>
      </x:c>
      <x:c r="V1425" s="4" t="str">
        <x:v>design.collection.static_alarm_contact_line.out</x:v>
      </x:c>
    </x:row>
    <x:row r="1426" ht="64" customHeight="1">
      <x:c r="A1426" s="4"/>
      <x:c r="B1426" s="4"/>
      <x:c r="C1426" s="4"/>
      <x:c r="D1426" s="4"/>
      <x:c r="E1426" s="4"/>
      <x:c r="F1426" s="4"/>
      <x:c r="G1426" s="4"/>
      <x:c r="H1426" s="4"/>
      <x:c r="I1426" s="4"/>
      <x:c r="J1426" s="4"/>
      <x:c r="K1426" s="4"/>
      <x:c r="L1426" s="4"/>
      <x:c r="M1426" s="4"/>
      <x:c r="N1426" s="4"/>
      <x:c r="P1426" s="4"/>
      <x:c r="R1426" s="4"/>
      <x:c r="S1426" s="4"/>
      <x:c r="T1426" s="4"/>
      <x:c r="U1426" s="4"/>
      <x:c r="V1426" s="4"/>
    </x:row>
    <x:row r="1427" ht="64" customHeight="1">
      <x:c r="A1427" s="4"/>
      <x:c r="B1427" s="4"/>
      <x:c r="C1427" s="4"/>
      <x:c r="D1427" s="4"/>
      <x:c r="E1427" s="4"/>
      <x:c r="F1427" s="4"/>
      <x:c r="G1427" s="4"/>
      <x:c r="H1427" s="4"/>
      <x:c r="I1427" s="4"/>
      <x:c r="J1427" s="4"/>
      <x:c r="K1427" s="4"/>
      <x:c r="L1427" s="4"/>
      <x:c r="M1427" s="4"/>
      <x:c r="N1427" s="4"/>
      <x:c r="P1427" s="4"/>
      <x:c r="R1427" s="4"/>
      <x:c r="S1427" s="4"/>
      <x:c r="T1427" s="4"/>
      <x:c r="U1427" s="4"/>
      <x:c r="V1427" s="4"/>
    </x:row>
    <x:row r="1428" ht="64" customHeight="1">
      <x:c r="A1428" s="4" t="str">
        <x:f>IFERROR(INDEX('Material routes'!$E$6:$E$2205,MATCH(U1428,'Material routes'!$A$6:$A$2205,0)),"MISSING ID")</x:f>
        <x:v>Controlled-heating firing kiln</x:v>
      </x:c>
      <x:c r="B1428" s="4" t="str">
        <x:f>IFERROR(INDEX('Material routes'!$F$6:$F$2205,MATCH(U1428,'Material routes'!$A$6:$A$2205,0)),"MISSING ID")</x:f>
        <x:v>Not applicable</x:v>
      </x:c>
      <x:c r="C1428" s="4" t="str">
        <x:f>IFERROR(INDEX('Material routes'!$H$6:$H$2205,MATCH(U1428,'Material routes'!$A$6:$A$2205,0)),"MISSING ID")</x:f>
        <x:v>Machine</x:v>
      </x:c>
      <x:c r="D1428" s="4" t="str">
        <x:f>IFERROR(INDEX('Material routes'!$G$6:$G$2205,MATCH(U1428,'Material routes'!$A$6:$A$2205,0)),"MISSING ID")</x:f>
        <x:v>Crafting stations</x:v>
      </x:c>
      <x:c r="E1428" s="4" t="str">
        <x:f>IFERROR(INDEX('Material routes'!$C$6:$C$2205,MATCH(U1428,'Material routes'!$A$6:$A$2205,0)),"MISSING ID")</x:f>
        <x:v>Tool candidate</x:v>
      </x:c>
      <x:c r="F1428" s="4" t="str">
        <x:f>IFERROR(INDEX('Material routes'!$E$6:$E$2205,MATCH(V1428,'Material routes'!$A$6:$A$2205,0)),"MISSING ID")</x:f>
        <x:v>Fired ceramic vessel blank</x:v>
      </x:c>
      <x:c r="G1428" s="4" t="str">
        <x:f>IFERROR(INDEX('Material routes'!$F$6:$F$2205,MATCH(V1428,'Material routes'!$A$6:$A$2205,0)),"MISSING ID")</x:f>
        <x:v>T2</x:v>
      </x:c>
      <x:c r="H1428" s="4" t="str">
        <x:f>IFERROR(INDEX('Material routes'!$H$6:$H$2205,MATCH(V1428,'Material routes'!$A$6:$A$2205,0)),"MISSING ID")</x:f>
        <x:v>Crafting component</x:v>
      </x:c>
      <x:c r="I1428" s="4" t="str">
        <x:f>IFERROR(INDEX('Material routes'!$G$6:$G$2205,MATCH(V1428,'Material routes'!$A$6:$A$2205,0)),"MISSING ID")</x:f>
        <x:v>Crafting components</x:v>
      </x:c>
      <x:c r="J1428" s="4" t="str">
        <x:f>IFERROR(INDEX('Material routes'!$B$6:$B$2205,MATCH(U1428,'Material routes'!$A$6:$A$2205,0)),"MISSING ID")</x:f>
        <x:v>design.audit.proposal_audit_fired_ceramic_vessel_blank</x:v>
      </x:c>
      <x:c r="K1428" s="4" t="str">
        <x:f>IFERROR(INDEX('Crafting recipes'!$C$6:$C$1005,MATCH(J1428,'Crafting recipes'!$A$6:$A$1005,0)),"MISSING ID")</x:f>
        <x:v>Material refinement</x:v>
      </x:c>
      <x:c r="L1428" s="4" t="str">
        <x:f>IFERROR(INDEX('Material routes'!$K$6:$K$2205,MATCH(U1428,'Material routes'!$A$6:$A$2205,0)),"MISSING ID")</x:f>
        <x:v>Proposal</x:v>
      </x:c>
      <x:c r="M1428" s="4" t="str">
        <x:f>IFERROR(INDEX('Material routes'!$M$6:$M$2205,MATCH(U1428,'Material routes'!$A$6:$A$2205,0)),"MISSING ID")</x:f>
        <x:v>Partial proposal</x:v>
      </x:c>
      <x:c r="N1428" s="4"/>
      <x:c r="O1428" s="4" t="str">
        <x:f>IFERROR(INDEX('Material routes'!$J$6:$J$2205,MATCH(U1428,'Material routes'!$A$6:$A$2205,0)),"MISSING ID")</x:f>
        <x:v>Unspecified</x:v>
      </x:c>
      <x:c r="P1428" s="4"/>
      <x:c r="Q1428" s="4" t="str">
        <x:f>IFERROR(INDEX('Material routes'!$J$6:$J$2205,MATCH(V1428,'Material routes'!$A$6:$A$2205,0)),"MISSING ID")</x:f>
        <x:v>Unspecified</x:v>
      </x:c>
      <x:c r="R1428" s="4" t="str">
        <x:f>IF(L1428="Withheld","Withheld premise",IF(E1428="Tool candidate","Reusable prerequisite",IF(K1428="Raw entry preparation","Entry-resource preparation",IF(G1428="Not applicable",IF(IFERROR(INDEX('Items'!$AI$6:$AI$1005,MATCH(T1428,'Items'!$A$6:$A$1005,0)),"MISSING ID")="Finished item","Finished endpoint",IF(IFERROR(INDEX('Items'!$AI$6:$AI$1005,MATCH(T1428,'Items'!$A$6:$A$1005,0)),"MISSING ID")="Currency","Currency / no refinement tier","Recovered output / tier not applicable")),IF(OR(IFERROR(INDEX('Crafting recipes'!$H$6:$H$1005,MATCH(J1428,'Crafting recipes'!$A$6:$A$1005,0)),"MISSING ID")="Unassigned",G1428="Unassigned"),"Tier unresolved",IF(IFERROR(VALUE(RIGHT(G1428,1))-VALUE(RIGHT(IFERROR(INDEX('Crafting recipes'!$H$6:$H$1005,MATCH(J1428,'Crafting recipes'!$A$6:$A$1005,0)),"MISSING ID"),1)),0)=1,IF(B1428=IFERROR(INDEX('Crafting recipes'!$H$6:$H$1005,MATCH(J1428,'Crafting recipes'!$A$6:$A$1005,0)),"MISSING ID"),"Advances one material tier","Lower-tier ingredient; route advances one tier"),"Needs tier review"))))))</x:f>
        <x:v>Reusable prerequisite</x:v>
      </x:c>
      <x:c r="S1428" s="4" t="str">
        <x:f>IFERROR(INDEX('Material routes'!$D$6:$D$2205,MATCH(U1428,'Material routes'!$A$6:$A$2205,0)),"MISSING ID")</x:f>
        <x:v>proposal.audit.controlled_heating_firing_kiln</x:v>
      </x:c>
      <x:c r="T1428" s="4" t="str">
        <x:f>IFERROR(INDEX('Material routes'!$D$6:$D$2205,MATCH(V1428,'Material routes'!$A$6:$A$2205,0)),"MISSING ID")</x:f>
        <x:v>proposal.audit.fired_ceramic_vessel_blank</x:v>
      </x:c>
      <x:c r="U1428" s="4" t="str">
        <x:v>design.audit.proposal_audit_fired_ceramic_vessel_blank.audit.tool.1</x:v>
      </x:c>
      <x:c r="V1428" s="4" t="str">
        <x:v>design.audit.proposal_audit_fired_ceramic_vessel_blank.audit.out</x:v>
      </x:c>
    </x:row>
    <x:row r="1429" ht="64" customHeight="1">
      <x:c r="A1429" s="4" t="str">
        <x:f>IFERROR(INDEX('Material routes'!$E$6:$E$2205,MATCH(U1429,'Material routes'!$A$6:$A$2205,0)),"MISSING ID")</x:f>
        <x:v>Forge hearth</x:v>
      </x:c>
      <x:c r="B1429" s="4" t="str">
        <x:f>IFERROR(INDEX('Material routes'!$F$6:$F$2205,MATCH(U1429,'Material routes'!$A$6:$A$2205,0)),"MISSING ID")</x:f>
        <x:v>Not applicable</x:v>
      </x:c>
      <x:c r="C1429" s="4" t="str">
        <x:f>IFERROR(INDEX('Material routes'!$H$6:$H$2205,MATCH(U1429,'Material routes'!$A$6:$A$2205,0)),"MISSING ID")</x:f>
        <x:v>Machine</x:v>
      </x:c>
      <x:c r="D1429" s="4" t="str">
        <x:f>IFERROR(INDEX('Material routes'!$G$6:$G$2205,MATCH(U1429,'Material routes'!$A$6:$A$2205,0)),"MISSING ID")</x:f>
        <x:v>Crafting stations</x:v>
      </x:c>
      <x:c r="E1429" s="4" t="str">
        <x:f>IFERROR(INDEX('Material routes'!$C$6:$C$2205,MATCH(U1429,'Material routes'!$A$6:$A$2205,0)),"MISSING ID")</x:f>
        <x:v>Tool candidate</x:v>
      </x:c>
      <x:c r="F1429" s="4" t="str">
        <x:f>IFERROR(INDEX('Material routes'!$E$6:$E$2205,MATCH(V1429,'Material routes'!$A$6:$A$2205,0)),"MISSING ID")</x:f>
        <x:v>Drawn steel music-wire stock</x:v>
      </x:c>
      <x:c r="G1429" s="4" t="str">
        <x:f>IFERROR(INDEX('Material routes'!$F$6:$F$2205,MATCH(V1429,'Material routes'!$A$6:$A$2205,0)),"MISSING ID")</x:f>
        <x:v>T4</x:v>
      </x:c>
      <x:c r="H1429" s="4" t="str">
        <x:f>IFERROR(INDEX('Material routes'!$H$6:$H$2205,MATCH(V1429,'Material routes'!$A$6:$A$2205,0)),"MISSING ID")</x:f>
        <x:v>Processed material</x:v>
      </x:c>
      <x:c r="I1429" s="4" t="str">
        <x:f>IFERROR(INDEX('Material routes'!$G$6:$G$2205,MATCH(V1429,'Material routes'!$A$6:$A$2205,0)),"MISSING ID")</x:f>
        <x:v>Manufactured stock</x:v>
      </x:c>
      <x:c r="J1429" s="4" t="str">
        <x:f>IFERROR(INDEX('Material routes'!$B$6:$B$2205,MATCH(U1429,'Material routes'!$A$6:$A$2205,0)),"MISSING ID")</x:f>
        <x:v>design.audit.proposal_audit_drawn_steel_music_wire_stock</x:v>
      </x:c>
      <x:c r="K1429" s="4" t="str">
        <x:f>IFERROR(INDEX('Crafting recipes'!$C$6:$C$1005,MATCH(J1429,'Crafting recipes'!$A$6:$A$1005,0)),"MISSING ID")</x:f>
        <x:v>Material refinement</x:v>
      </x:c>
      <x:c r="L1429" s="4" t="str">
        <x:f>IFERROR(INDEX('Material routes'!$K$6:$K$2205,MATCH(U1429,'Material routes'!$A$6:$A$2205,0)),"MISSING ID")</x:f>
        <x:v>Proposal</x:v>
      </x:c>
      <x:c r="M1429" s="4" t="str">
        <x:f>IFERROR(INDEX('Material routes'!$M$6:$M$2205,MATCH(U1429,'Material routes'!$A$6:$A$2205,0)),"MISSING ID")</x:f>
        <x:v>Partial proposal</x:v>
      </x:c>
      <x:c r="N1429" s="4"/>
      <x:c r="O1429" s="4" t="str">
        <x:f>IFERROR(INDEX('Material routes'!$J$6:$J$2205,MATCH(U1429,'Material routes'!$A$6:$A$2205,0)),"MISSING ID")</x:f>
        <x:v>Unspecified</x:v>
      </x:c>
      <x:c r="P1429" s="4"/>
      <x:c r="Q1429" s="4" t="str">
        <x:f>IFERROR(INDEX('Material routes'!$J$6:$J$2205,MATCH(V1429,'Material routes'!$A$6:$A$2205,0)),"MISSING ID")</x:f>
        <x:v>Unspecified</x:v>
      </x:c>
      <x:c r="R1429" s="4" t="str">
        <x:f>IF(L1429="Withheld","Withheld premise",IF(E1429="Tool candidate","Reusable prerequisite",IF(K1429="Raw entry preparation","Entry-resource preparation",IF(G1429="Not applicable",IF(IFERROR(INDEX('Items'!$AI$6:$AI$1005,MATCH(T1429,'Items'!$A$6:$A$1005,0)),"MISSING ID")="Finished item","Finished endpoint",IF(IFERROR(INDEX('Items'!$AI$6:$AI$1005,MATCH(T1429,'Items'!$A$6:$A$1005,0)),"MISSING ID")="Currency","Currency / no refinement tier","Recovered output / tier not applicable")),IF(OR(IFERROR(INDEX('Crafting recipes'!$H$6:$H$1005,MATCH(J1429,'Crafting recipes'!$A$6:$A$1005,0)),"MISSING ID")="Unassigned",G1429="Unassigned"),"Tier unresolved",IF(IFERROR(VALUE(RIGHT(G1429,1))-VALUE(RIGHT(IFERROR(INDEX('Crafting recipes'!$H$6:$H$1005,MATCH(J1429,'Crafting recipes'!$A$6:$A$1005,0)),"MISSING ID"),1)),0)=1,IF(B1429=IFERROR(INDEX('Crafting recipes'!$H$6:$H$1005,MATCH(J1429,'Crafting recipes'!$A$6:$A$1005,0)),"MISSING ID"),"Advances one material tier","Lower-tier ingredient; route advances one tier"),"Needs tier review"))))))</x:f>
        <x:v>Reusable prerequisite</x:v>
      </x:c>
      <x:c r="S1429" s="4" t="str">
        <x:f>IFERROR(INDEX('Material routes'!$D$6:$D$2205,MATCH(U1429,'Material routes'!$A$6:$A$2205,0)),"MISSING ID")</x:f>
        <x:v>proposal.forging.hearth</x:v>
      </x:c>
      <x:c r="T1429" s="4" t="str">
        <x:f>IFERROR(INDEX('Material routes'!$D$6:$D$2205,MATCH(V1429,'Material routes'!$A$6:$A$2205,0)),"MISSING ID")</x:f>
        <x:v>proposal.audit.drawn_steel_music_wire_stock</x:v>
      </x:c>
      <x:c r="U1429" s="4" t="str">
        <x:v>design.audit.proposal_audit_drawn_steel_music_wire_stock.audit.tool.1</x:v>
      </x:c>
      <x:c r="V1429" s="4" t="str">
        <x:v>design.audit.proposal_audit_drawn_steel_music_wire_stock.audit.out</x:v>
      </x:c>
    </x:row>
    <x:row r="1430" ht="64" customHeight="1">
      <x:c r="A1430" s="4" t="str">
        <x:f>IFERROR(INDEX('Material routes'!$E$6:$E$2205,MATCH(U1430,'Material routes'!$A$6:$A$2205,0)),"MISSING ID")</x:f>
        <x:v>Seal inspection gauge</x:v>
      </x:c>
      <x:c r="B1430" s="4" t="str">
        <x:f>IFERROR(INDEX('Material routes'!$F$6:$F$2205,MATCH(U1430,'Material routes'!$A$6:$A$2205,0)),"MISSING ID")</x:f>
        <x:v>Not applicable</x:v>
      </x:c>
      <x:c r="C1430" s="4" t="str">
        <x:f>IFERROR(INDEX('Material routes'!$H$6:$H$2205,MATCH(U1430,'Material routes'!$A$6:$A$2205,0)),"MISSING ID")</x:f>
        <x:v>Tool</x:v>
      </x:c>
      <x:c r="D1430" s="4" t="str">
        <x:f>IFERROR(INDEX('Material routes'!$G$6:$G$2205,MATCH(U1430,'Material routes'!$A$6:$A$2205,0)),"MISSING ID")</x:f>
        <x:v>Salvage</x:v>
      </x:c>
      <x:c r="E1430" s="4" t="str">
        <x:f>IFERROR(INDEX('Material routes'!$C$6:$C$2205,MATCH(U1430,'Material routes'!$A$6:$A$2205,0)),"MISSING ID")</x:f>
        <x:v>Tool candidate</x:v>
      </x:c>
      <x:c r="F1430" s="4" t="str">
        <x:f>IFERROR(INDEX('Material routes'!$E$6:$E$2205,MATCH(V1430,'Material routes'!$A$6:$A$2205,0)),"MISSING ID")</x:f>
        <x:v>Fitted pressure-barrel module</x:v>
      </x:c>
      <x:c r="G1430" s="4" t="str">
        <x:f>IFERROR(INDEX('Material routes'!$F$6:$F$2205,MATCH(V1430,'Material routes'!$A$6:$A$2205,0)),"MISSING ID")</x:f>
        <x:v>T4</x:v>
      </x:c>
      <x:c r="H1430" s="4" t="str">
        <x:f>IFERROR(INDEX('Material routes'!$H$6:$H$2205,MATCH(V1430,'Material routes'!$A$6:$A$2205,0)),"MISSING ID")</x:f>
        <x:v>Crafting component</x:v>
      </x:c>
      <x:c r="I1430" s="4" t="str">
        <x:f>IFERROR(INDEX('Material routes'!$G$6:$G$2205,MATCH(V1430,'Material routes'!$A$6:$A$2205,0)),"MISSING ID")</x:f>
        <x:v>Crafting components</x:v>
      </x:c>
      <x:c r="J1430" s="4" t="str">
        <x:f>IFERROR(INDEX('Material routes'!$B$6:$B$2205,MATCH(U1430,'Material routes'!$A$6:$A$2205,0)),"MISSING ID")</x:f>
        <x:v>design.audit.proposal_audit_fitted_pressure_barrel_module</x:v>
      </x:c>
      <x:c r="K1430" s="4" t="str">
        <x:f>IFERROR(INDEX('Crafting recipes'!$C$6:$C$1005,MATCH(J1430,'Crafting recipes'!$A$6:$A$1005,0)),"MISSING ID")</x:f>
        <x:v>Material refinement</x:v>
      </x:c>
      <x:c r="L1430" s="4" t="str">
        <x:f>IFERROR(INDEX('Material routes'!$K$6:$K$2205,MATCH(U1430,'Material routes'!$A$6:$A$2205,0)),"MISSING ID")</x:f>
        <x:v>Proposal</x:v>
      </x:c>
      <x:c r="M1430" s="4" t="str">
        <x:f>IFERROR(INDEX('Material routes'!$M$6:$M$2205,MATCH(U1430,'Material routes'!$A$6:$A$2205,0)),"MISSING ID")</x:f>
        <x:v>Partial proposal</x:v>
      </x:c>
      <x:c r="N1430" s="4"/>
      <x:c r="O1430" s="4" t="str">
        <x:f>IFERROR(INDEX('Material routes'!$J$6:$J$2205,MATCH(U1430,'Material routes'!$A$6:$A$2205,0)),"MISSING ID")</x:f>
        <x:v>Unspecified</x:v>
      </x:c>
      <x:c r="P1430" s="4"/>
      <x:c r="Q1430" s="4" t="str">
        <x:f>IFERROR(INDEX('Material routes'!$J$6:$J$2205,MATCH(V1430,'Material routes'!$A$6:$A$2205,0)),"MISSING ID")</x:f>
        <x:v>Unspecified</x:v>
      </x:c>
      <x:c r="R1430" s="4" t="str">
        <x:f>IF(L1430="Withheld","Withheld premise",IF(E1430="Tool candidate","Reusable prerequisite",IF(K1430="Raw entry preparation","Entry-resource preparation",IF(G1430="Not applicable",IF(IFERROR(INDEX('Items'!$AI$6:$AI$1005,MATCH(T1430,'Items'!$A$6:$A$1005,0)),"MISSING ID")="Finished item","Finished endpoint",IF(IFERROR(INDEX('Items'!$AI$6:$AI$1005,MATCH(T1430,'Items'!$A$6:$A$1005,0)),"MISSING ID")="Currency","Currency / no refinement tier","Recovered output / tier not applicable")),IF(OR(IFERROR(INDEX('Crafting recipes'!$H$6:$H$1005,MATCH(J1430,'Crafting recipes'!$A$6:$A$1005,0)),"MISSING ID")="Unassigned",G1430="Unassigned"),"Tier unresolved",IF(IFERROR(VALUE(RIGHT(G1430,1))-VALUE(RIGHT(IFERROR(INDEX('Crafting recipes'!$H$6:$H$1005,MATCH(J1430,'Crafting recipes'!$A$6:$A$1005,0)),"MISSING ID"),1)),0)=1,IF(B1430=IFERROR(INDEX('Crafting recipes'!$H$6:$H$1005,MATCH(J1430,'Crafting recipes'!$A$6:$A$1005,0)),"MISSING ID"),"Advances one material tier","Lower-tier ingredient; route advances one tier"),"Needs tier review"))))))</x:f>
        <x:v>Reusable prerequisite</x:v>
      </x:c>
      <x:c r="S1430" s="4" t="str">
        <x:f>IFERROR(INDEX('Material routes'!$D$6:$D$2205,MATCH(U1430,'Material routes'!$A$6:$A$2205,0)),"MISSING ID")</x:f>
        <x:v>proposal.canister.inspection_gauge</x:v>
      </x:c>
      <x:c r="T1430" s="4" t="str">
        <x:f>IFERROR(INDEX('Material routes'!$D$6:$D$2205,MATCH(V1430,'Material routes'!$A$6:$A$2205,0)),"MISSING ID")</x:f>
        <x:v>proposal.audit.fitted_pressure_barrel_module</x:v>
      </x:c>
      <x:c r="U1430" s="4" t="str">
        <x:v>design.audit.proposal_audit_fitted_pressure_barrel_module.audit.tool.1</x:v>
      </x:c>
      <x:c r="V1430" s="4" t="str">
        <x:v>design.audit.proposal_audit_fitted_pressure_barrel_module.audit.out</x:v>
      </x:c>
    </x:row>
    <x:row r="1431" ht="64" customHeight="1">
      <x:c r="A1431" s="4" t="str">
        <x:f>IFERROR(INDEX('Material routes'!$E$6:$E$2205,MATCH(U1431,'Material routes'!$A$6:$A$2205,0)),"MISSING ID")</x:f>
        <x:v>Metalworking file</x:v>
      </x:c>
      <x:c r="B1431" s="4" t="str">
        <x:f>IFERROR(INDEX('Material routes'!$F$6:$F$2205,MATCH(U1431,'Material routes'!$A$6:$A$2205,0)),"MISSING ID")</x:f>
        <x:v>Not applicable</x:v>
      </x:c>
      <x:c r="C1431" s="4" t="str">
        <x:f>IFERROR(INDEX('Material routes'!$H$6:$H$2205,MATCH(U1431,'Material routes'!$A$6:$A$2205,0)),"MISSING ID")</x:f>
        <x:v>Tool</x:v>
      </x:c>
      <x:c r="D1431" s="4" t="str">
        <x:f>IFERROR(INDEX('Material routes'!$G$6:$G$2205,MATCH(U1431,'Material routes'!$A$6:$A$2205,0)),"MISSING ID")</x:f>
        <x:v>Salvage</x:v>
      </x:c>
      <x:c r="E1431" s="4" t="str">
        <x:f>IFERROR(INDEX('Material routes'!$C$6:$C$2205,MATCH(U1431,'Material routes'!$A$6:$A$2205,0)),"MISSING ID")</x:f>
        <x:v>Tool candidate</x:v>
      </x:c>
      <x:c r="F1431" s="4" t="str">
        <x:f>IFERROR(INDEX('Material routes'!$E$6:$E$2205,MATCH(V1431,'Material routes'!$A$6:$A$2205,0)),"MISSING ID")</x:f>
        <x:v>Fitted pressure-barrel module</x:v>
      </x:c>
      <x:c r="G1431" s="4" t="str">
        <x:f>IFERROR(INDEX('Material routes'!$F$6:$F$2205,MATCH(V1431,'Material routes'!$A$6:$A$2205,0)),"MISSING ID")</x:f>
        <x:v>T4</x:v>
      </x:c>
      <x:c r="H1431" s="4" t="str">
        <x:f>IFERROR(INDEX('Material routes'!$H$6:$H$2205,MATCH(V1431,'Material routes'!$A$6:$A$2205,0)),"MISSING ID")</x:f>
        <x:v>Crafting component</x:v>
      </x:c>
      <x:c r="I1431" s="4" t="str">
        <x:f>IFERROR(INDEX('Material routes'!$G$6:$G$2205,MATCH(V1431,'Material routes'!$A$6:$A$2205,0)),"MISSING ID")</x:f>
        <x:v>Crafting components</x:v>
      </x:c>
      <x:c r="J1431" s="4" t="str">
        <x:f>IFERROR(INDEX('Material routes'!$B$6:$B$2205,MATCH(U1431,'Material routes'!$A$6:$A$2205,0)),"MISSING ID")</x:f>
        <x:v>design.audit.proposal_audit_fitted_pressure_barrel_module</x:v>
      </x:c>
      <x:c r="K1431" s="4" t="str">
        <x:f>IFERROR(INDEX('Crafting recipes'!$C$6:$C$1005,MATCH(J1431,'Crafting recipes'!$A$6:$A$1005,0)),"MISSING ID")</x:f>
        <x:v>Material refinement</x:v>
      </x:c>
      <x:c r="L1431" s="4" t="str">
        <x:f>IFERROR(INDEX('Material routes'!$K$6:$K$2205,MATCH(U1431,'Material routes'!$A$6:$A$2205,0)),"MISSING ID")</x:f>
        <x:v>Proposal</x:v>
      </x:c>
      <x:c r="M1431" s="4" t="str">
        <x:f>IFERROR(INDEX('Material routes'!$M$6:$M$2205,MATCH(U1431,'Material routes'!$A$6:$A$2205,0)),"MISSING ID")</x:f>
        <x:v>Partial proposal</x:v>
      </x:c>
      <x:c r="N1431" s="4"/>
      <x:c r="O1431" s="4" t="str">
        <x:f>IFERROR(INDEX('Material routes'!$J$6:$J$2205,MATCH(U1431,'Material routes'!$A$6:$A$2205,0)),"MISSING ID")</x:f>
        <x:v>Unspecified</x:v>
      </x:c>
      <x:c r="P1431" s="4"/>
      <x:c r="Q1431" s="4" t="str">
        <x:f>IFERROR(INDEX('Material routes'!$J$6:$J$2205,MATCH(V1431,'Material routes'!$A$6:$A$2205,0)),"MISSING ID")</x:f>
        <x:v>Unspecified</x:v>
      </x:c>
      <x:c r="R1431" s="4" t="str">
        <x:f>IF(L1431="Withheld","Withheld premise",IF(E1431="Tool candidate","Reusable prerequisite",IF(K1431="Raw entry preparation","Entry-resource preparation",IF(G1431="Not applicable",IF(IFERROR(INDEX('Items'!$AI$6:$AI$1005,MATCH(T1431,'Items'!$A$6:$A$1005,0)),"MISSING ID")="Finished item","Finished endpoint",IF(IFERROR(INDEX('Items'!$AI$6:$AI$1005,MATCH(T1431,'Items'!$A$6:$A$1005,0)),"MISSING ID")="Currency","Currency / no refinement tier","Recovered output / tier not applicable")),IF(OR(IFERROR(INDEX('Crafting recipes'!$H$6:$H$1005,MATCH(J1431,'Crafting recipes'!$A$6:$A$1005,0)),"MISSING ID")="Unassigned",G1431="Unassigned"),"Tier unresolved",IF(IFERROR(VALUE(RIGHT(G1431,1))-VALUE(RIGHT(IFERROR(INDEX('Crafting recipes'!$H$6:$H$1005,MATCH(J1431,'Crafting recipes'!$A$6:$A$1005,0)),"MISSING ID"),1)),0)=1,IF(B1431=IFERROR(INDEX('Crafting recipes'!$H$6:$H$1005,MATCH(J1431,'Crafting recipes'!$A$6:$A$1005,0)),"MISSING ID"),"Advances one material tier","Lower-tier ingredient; route advances one tier"),"Needs tier review"))))))</x:f>
        <x:v>Reusable prerequisite</x:v>
      </x:c>
      <x:c r="S1431" s="4" t="str">
        <x:f>IFERROR(INDEX('Material routes'!$D$6:$D$2205,MATCH(U1431,'Material routes'!$A$6:$A$2205,0)),"MISSING ID")</x:f>
        <x:v>proposal.forging.file</x:v>
      </x:c>
      <x:c r="T1431" s="4" t="str">
        <x:f>IFERROR(INDEX('Material routes'!$D$6:$D$2205,MATCH(V1431,'Material routes'!$A$6:$A$2205,0)),"MISSING ID")</x:f>
        <x:v>proposal.audit.fitted_pressure_barrel_module</x:v>
      </x:c>
      <x:c r="U1431" s="4" t="str">
        <x:v>design.audit.proposal_audit_fitted_pressure_barrel_module.audit.tool.2</x:v>
      </x:c>
      <x:c r="V1431" s="4" t="str">
        <x:v>design.audit.proposal_audit_fitted_pressure_barrel_module.audit.out</x:v>
      </x:c>
    </x:row>
    <x:row r="1432" ht="64" customHeight="1">
      <x:c r="A1432" s="4" t="str">
        <x:f>IFERROR(INDEX('Material routes'!$E$6:$E$2205,MATCH(U1432,'Material routes'!$A$6:$A$2205,0)),"MISSING ID")</x:f>
        <x:v>Metalworking file</x:v>
      </x:c>
      <x:c r="B1432" s="4" t="str">
        <x:f>IFERROR(INDEX('Material routes'!$F$6:$F$2205,MATCH(U1432,'Material routes'!$A$6:$A$2205,0)),"MISSING ID")</x:f>
        <x:v>Not applicable</x:v>
      </x:c>
      <x:c r="C1432" s="4" t="str">
        <x:f>IFERROR(INDEX('Material routes'!$H$6:$H$2205,MATCH(U1432,'Material routes'!$A$6:$A$2205,0)),"MISSING ID")</x:f>
        <x:v>Tool</x:v>
      </x:c>
      <x:c r="D1432" s="4" t="str">
        <x:f>IFERROR(INDEX('Material routes'!$G$6:$G$2205,MATCH(U1432,'Material routes'!$A$6:$A$2205,0)),"MISSING ID")</x:f>
        <x:v>Salvage</x:v>
      </x:c>
      <x:c r="E1432" s="4" t="str">
        <x:f>IFERROR(INDEX('Material routes'!$C$6:$C$2205,MATCH(U1432,'Material routes'!$A$6:$A$2205,0)),"MISSING ID")</x:f>
        <x:v>Tool candidate</x:v>
      </x:c>
      <x:c r="F1432" s="4" t="str">
        <x:f>IFERROR(INDEX('Material routes'!$E$6:$E$2205,MATCH(V1432,'Material routes'!$A$6:$A$2205,0)),"MISSING ID")</x:f>
        <x:v>Hand-cranked metal drill</x:v>
      </x:c>
      <x:c r="G1432" s="4" t="str">
        <x:f>IFERROR(INDEX('Material routes'!$F$6:$F$2205,MATCH(V1432,'Material routes'!$A$6:$A$2205,0)),"MISSING ID")</x:f>
        <x:v>Not applicable</x:v>
      </x:c>
      <x:c r="H1432" s="4" t="str">
        <x:f>IFERROR(INDEX('Material routes'!$H$6:$H$2205,MATCH(V1432,'Material routes'!$A$6:$A$2205,0)),"MISSING ID")</x:f>
        <x:v>Tool</x:v>
      </x:c>
      <x:c r="I1432" s="4" t="str">
        <x:f>IFERROR(INDEX('Material routes'!$G$6:$G$2205,MATCH(V1432,'Material routes'!$A$6:$A$2205,0)),"MISSING ID")</x:f>
        <x:v>Salvage</x:v>
      </x:c>
      <x:c r="J1432" s="4" t="str">
        <x:f>IFERROR(INDEX('Material routes'!$B$6:$B$2205,MATCH(U1432,'Material routes'!$A$6:$A$2205,0)),"MISSING ID")</x:f>
        <x:v>design.collection.hand_cranked_metal_drill</x:v>
      </x:c>
      <x:c r="K1432" s="4" t="str">
        <x:f>IFERROR(INDEX('Crafting recipes'!$C$6:$C$1005,MATCH(J1432,'Crafting recipes'!$A$6:$A$1005,0)),"MISSING ID")</x:f>
        <x:v>Finished-item crafting</x:v>
      </x:c>
      <x:c r="L1432" s="4" t="str">
        <x:f>IFERROR(INDEX('Material routes'!$K$6:$K$2205,MATCH(U1432,'Material routes'!$A$6:$A$2205,0)),"MISSING ID")</x:f>
        <x:v>Proposal</x:v>
      </x:c>
      <x:c r="M1432" s="4" t="str">
        <x:f>IFERROR(INDEX('Material routes'!$M$6:$M$2205,MATCH(U1432,'Material routes'!$A$6:$A$2205,0)),"MISSING ID")</x:f>
        <x:v>Partial proposal</x:v>
      </x:c>
      <x:c r="N1432" s="4"/>
      <x:c r="O1432" s="4" t="str">
        <x:f>IFERROR(INDEX('Material routes'!$J$6:$J$2205,MATCH(U1432,'Material routes'!$A$6:$A$2205,0)),"MISSING ID")</x:f>
        <x:v>Unspecified</x:v>
      </x:c>
      <x:c r="P1432" s="4"/>
      <x:c r="Q1432" s="4" t="str">
        <x:f>IFERROR(INDEX('Material routes'!$J$6:$J$2205,MATCH(V1432,'Material routes'!$A$6:$A$2205,0)),"MISSING ID")</x:f>
        <x:v>Unspecified</x:v>
      </x:c>
      <x:c r="R1432" s="4" t="str">
        <x:f>IF(L1432="Withheld","Withheld premise",IF(E1432="Tool candidate","Reusable prerequisite",IF(K1432="Raw entry preparation","Entry-resource preparation",IF(G1432="Not applicable",IF(IFERROR(INDEX('Items'!$AI$6:$AI$1005,MATCH(T1432,'Items'!$A$6:$A$1005,0)),"MISSING ID")="Finished item","Finished endpoint",IF(IFERROR(INDEX('Items'!$AI$6:$AI$1005,MATCH(T1432,'Items'!$A$6:$A$1005,0)),"MISSING ID")="Currency","Currency / no refinement tier","Recovered output / tier not applicable")),IF(OR(IFERROR(INDEX('Crafting recipes'!$H$6:$H$1005,MATCH(J1432,'Crafting recipes'!$A$6:$A$1005,0)),"MISSING ID")="Unassigned",G1432="Unassigned"),"Tier unresolved",IF(IFERROR(VALUE(RIGHT(G1432,1))-VALUE(RIGHT(IFERROR(INDEX('Crafting recipes'!$H$6:$H$1005,MATCH(J1432,'Crafting recipes'!$A$6:$A$1005,0)),"MISSING ID"),1)),0)=1,IF(B1432=IFERROR(INDEX('Crafting recipes'!$H$6:$H$1005,MATCH(J1432,'Crafting recipes'!$A$6:$A$1005,0)),"MISSING ID"),"Advances one material tier","Lower-tier ingredient; route advances one tier"),"Needs tier review"))))))</x:f>
        <x:v>Reusable prerequisite</x:v>
      </x:c>
      <x:c r="S1432" s="4" t="str">
        <x:f>IFERROR(INDEX('Material routes'!$D$6:$D$2205,MATCH(U1432,'Material routes'!$A$6:$A$2205,0)),"MISSING ID")</x:f>
        <x:v>proposal.forging.file</x:v>
      </x:c>
      <x:c r="T1432" s="4" t="str">
        <x:f>IFERROR(INDEX('Material routes'!$D$6:$D$2205,MATCH(V1432,'Material routes'!$A$6:$A$2205,0)),"MISSING ID")</x:f>
        <x:v>proposal.collection.hand_cranked_metal_drill</x:v>
      </x:c>
      <x:c r="U1432" s="4" t="str">
        <x:v>design.collection.hand_cranked_metal_drill.audit.tool.1</x:v>
      </x:c>
      <x:c r="V1432" s="4" t="str">
        <x:v>design.collection.hand_cranked_metal_drill.out</x:v>
      </x:c>
    </x:row>
    <x:row r="1433" ht="64" customHeight="1">
      <x:c r="A1433" s="4" t="str">
        <x:f>IFERROR(INDEX('Material routes'!$E$6:$E$2205,MATCH(U1433,'Material routes'!$A$6:$A$2205,0)),"MISSING ID")</x:f>
        <x:v>Workshop winding mandrel</x:v>
      </x:c>
      <x:c r="B1433" s="4" t="str">
        <x:f>IFERROR(INDEX('Material routes'!$F$6:$F$2205,MATCH(U1433,'Material routes'!$A$6:$A$2205,0)),"MISSING ID")</x:f>
        <x:v>Not applicable</x:v>
      </x:c>
      <x:c r="C1433" s="4" t="str">
        <x:f>IFERROR(INDEX('Material routes'!$H$6:$H$2205,MATCH(U1433,'Material routes'!$A$6:$A$2205,0)),"MISSING ID")</x:f>
        <x:v>Tool</x:v>
      </x:c>
      <x:c r="D1433" s="4" t="str">
        <x:f>IFERROR(INDEX('Material routes'!$G$6:$G$2205,MATCH(U1433,'Material routes'!$A$6:$A$2205,0)),"MISSING ID")</x:f>
        <x:v>Salvage</x:v>
      </x:c>
      <x:c r="E1433" s="4" t="str">
        <x:f>IFERROR(INDEX('Material routes'!$C$6:$C$2205,MATCH(U1433,'Material routes'!$A$6:$A$2205,0)),"MISSING ID")</x:f>
        <x:v>Tool candidate</x:v>
      </x:c>
      <x:c r="F1433" s="4" t="str">
        <x:f>IFERROR(INDEX('Material routes'!$E$6:$E$2205,MATCH(V1433,'Material routes'!$A$6:$A$2205,0)),"MISSING ID")</x:f>
        <x:v>Crude two-way radio</x:v>
      </x:c>
      <x:c r="G1433" s="4" t="str">
        <x:f>IFERROR(INDEX('Material routes'!$F$6:$F$2205,MATCH(V1433,'Material routes'!$A$6:$A$2205,0)),"MISSING ID")</x:f>
        <x:v>Not applicable</x:v>
      </x:c>
      <x:c r="H1433" s="4" t="str">
        <x:f>IFERROR(INDEX('Material routes'!$H$6:$H$2205,MATCH(V1433,'Material routes'!$A$6:$A$2205,0)),"MISSING ID")</x:f>
        <x:v>Tool</x:v>
      </x:c>
      <x:c r="I1433" s="4" t="str">
        <x:f>IFERROR(INDEX('Material routes'!$G$6:$G$2205,MATCH(V1433,'Material routes'!$A$6:$A$2205,0)),"MISSING ID")</x:f>
        <x:v>Tools</x:v>
      </x:c>
      <x:c r="J1433" s="4" t="str">
        <x:f>IFERROR(INDEX('Material routes'!$B$6:$B$2205,MATCH(U1433,'Material routes'!$A$6:$A$2205,0)),"MISSING ID")</x:f>
        <x:v>design.audit.author_communication_crude_two_way_radio</x:v>
      </x:c>
      <x:c r="K1433" s="4" t="str">
        <x:f>IFERROR(INDEX('Crafting recipes'!$C$6:$C$1005,MATCH(J1433,'Crafting recipes'!$A$6:$A$1005,0)),"MISSING ID")</x:f>
        <x:v>Finished-item crafting</x:v>
      </x:c>
      <x:c r="L1433" s="4" t="str">
        <x:f>IFERROR(INDEX('Material routes'!$K$6:$K$2205,MATCH(U1433,'Material routes'!$A$6:$A$2205,0)),"MISSING ID")</x:f>
        <x:v>Proposal</x:v>
      </x:c>
      <x:c r="M1433" s="4" t="str">
        <x:f>IFERROR(INDEX('Material routes'!$M$6:$M$2205,MATCH(U1433,'Material routes'!$A$6:$A$2205,0)),"MISSING ID")</x:f>
        <x:v>Partial proposal</x:v>
      </x:c>
      <x:c r="N1433" s="4"/>
      <x:c r="O1433" s="4" t="str">
        <x:f>IFERROR(INDEX('Material routes'!$J$6:$J$2205,MATCH(U1433,'Material routes'!$A$6:$A$2205,0)),"MISSING ID")</x:f>
        <x:v>Unspecified</x:v>
      </x:c>
      <x:c r="P1433" s="4"/>
      <x:c r="Q1433" s="4" t="str">
        <x:f>IFERROR(INDEX('Material routes'!$J$6:$J$2205,MATCH(V1433,'Material routes'!$A$6:$A$2205,0)),"MISSING ID")</x:f>
        <x:v>Unspecified</x:v>
      </x:c>
      <x:c r="R1433" s="4" t="str">
        <x:f>IF(L1433="Withheld","Withheld premise",IF(E1433="Tool candidate","Reusable prerequisite",IF(K1433="Raw entry preparation","Entry-resource preparation",IF(G1433="Not applicable",IF(IFERROR(INDEX('Items'!$AI$6:$AI$1005,MATCH(T1433,'Items'!$A$6:$A$1005,0)),"MISSING ID")="Finished item","Finished endpoint",IF(IFERROR(INDEX('Items'!$AI$6:$AI$1005,MATCH(T1433,'Items'!$A$6:$A$1005,0)),"MISSING ID")="Currency","Currency / no refinement tier","Recovered output / tier not applicable")),IF(OR(IFERROR(INDEX('Crafting recipes'!$H$6:$H$1005,MATCH(J1433,'Crafting recipes'!$A$6:$A$1005,0)),"MISSING ID")="Unassigned",G1433="Unassigned"),"Tier unresolved",IF(IFERROR(VALUE(RIGHT(G1433,1))-VALUE(RIGHT(IFERROR(INDEX('Crafting recipes'!$H$6:$H$1005,MATCH(J1433,'Crafting recipes'!$A$6:$A$1005,0)),"MISSING ID"),1)),0)=1,IF(B1433=IFERROR(INDEX('Crafting recipes'!$H$6:$H$1005,MATCH(J1433,'Crafting recipes'!$A$6:$A$1005,0)),"MISSING ID"),"Advances one material tier","Lower-tier ingredient; route advances one tier"),"Needs tier review"))))))</x:f>
        <x:v>Reusable prerequisite</x:v>
      </x:c>
      <x:c r="S1433" s="4" t="str">
        <x:f>IFERROR(INDEX('Material routes'!$D$6:$D$2205,MATCH(U1433,'Material routes'!$A$6:$A$2205,0)),"MISSING ID")</x:f>
        <x:v>proposal.audit.workshop_winding_mandrel</x:v>
      </x:c>
      <x:c r="T1433" s="4" t="str">
        <x:f>IFERROR(INDEX('Material routes'!$D$6:$D$2205,MATCH(V1433,'Material routes'!$A$6:$A$2205,0)),"MISSING ID")</x:f>
        <x:v>author.communication.crude_two_way_radio</x:v>
      </x:c>
      <x:c r="U1433" s="4" t="str">
        <x:v>design.audit.author_communication_crude_two_way_radio.audit.tool.1</x:v>
      </x:c>
      <x:c r="V1433" s="4" t="str">
        <x:v>design.audit.author_communication_crude_two_way_radio.audit.out</x:v>
      </x:c>
    </x:row>
    <x:row r="1434" ht="64" customHeight="1">
      <x:c r="A1434" s="4" t="str">
        <x:f>IFERROR(INDEX('Material routes'!$E$6:$E$2205,MATCH(U1434,'Material routes'!$A$6:$A$2205,0)),"MISSING ID")</x:f>
        <x:v>Metalworking file</x:v>
      </x:c>
      <x:c r="B1434" s="4" t="str">
        <x:f>IFERROR(INDEX('Material routes'!$F$6:$F$2205,MATCH(U1434,'Material routes'!$A$6:$A$2205,0)),"MISSING ID")</x:f>
        <x:v>Not applicable</x:v>
      </x:c>
      <x:c r="C1434" s="4" t="str">
        <x:f>IFERROR(INDEX('Material routes'!$H$6:$H$2205,MATCH(U1434,'Material routes'!$A$6:$A$2205,0)),"MISSING ID")</x:f>
        <x:v>Tool</x:v>
      </x:c>
      <x:c r="D1434" s="4" t="str">
        <x:f>IFERROR(INDEX('Material routes'!$G$6:$G$2205,MATCH(U1434,'Material routes'!$A$6:$A$2205,0)),"MISSING ID")</x:f>
        <x:v>Salvage</x:v>
      </x:c>
      <x:c r="E1434" s="4" t="str">
        <x:f>IFERROR(INDEX('Material routes'!$C$6:$C$2205,MATCH(U1434,'Material routes'!$A$6:$A$2205,0)),"MISSING ID")</x:f>
        <x:v>Tool candidate</x:v>
      </x:c>
      <x:c r="F1434" s="4" t="str">
        <x:f>IFERROR(INDEX('Material routes'!$E$6:$E$2205,MATCH(V1434,'Material routes'!$A$6:$A$2205,0)),"MISSING ID")</x:f>
        <x:v>Straight-cut spur gear</x:v>
      </x:c>
      <x:c r="G1434" s="4" t="str">
        <x:f>IFERROR(INDEX('Material routes'!$F$6:$F$2205,MATCH(V1434,'Material routes'!$A$6:$A$2205,0)),"MISSING ID")</x:f>
        <x:v>T3</x:v>
      </x:c>
      <x:c r="H1434" s="4" t="str">
        <x:f>IFERROR(INDEX('Material routes'!$H$6:$H$2205,MATCH(V1434,'Material routes'!$A$6:$A$2205,0)),"MISSING ID")</x:f>
        <x:v>Machine part</x:v>
      </x:c>
      <x:c r="I1434" s="4" t="str">
        <x:f>IFERROR(INDEX('Material routes'!$G$6:$G$2205,MATCH(V1434,'Material routes'!$A$6:$A$2205,0)),"MISSING ID")</x:f>
        <x:v>Crafting components</x:v>
      </x:c>
      <x:c r="J1434" s="4" t="str">
        <x:f>IFERROR(INDEX('Material routes'!$B$6:$B$2205,MATCH(U1434,'Material routes'!$A$6:$A$2205,0)),"MISSING ID")</x:f>
        <x:v>design.collection.straight_cut_spur_gear</x:v>
      </x:c>
      <x:c r="K1434" s="4" t="str">
        <x:f>IFERROR(INDEX('Crafting recipes'!$C$6:$C$1005,MATCH(J1434,'Crafting recipes'!$A$6:$A$1005,0)),"MISSING ID")</x:f>
        <x:v>Material refinement</x:v>
      </x:c>
      <x:c r="L1434" s="4" t="str">
        <x:f>IFERROR(INDEX('Material routes'!$K$6:$K$2205,MATCH(U1434,'Material routes'!$A$6:$A$2205,0)),"MISSING ID")</x:f>
        <x:v>Proposal</x:v>
      </x:c>
      <x:c r="M1434" s="4" t="str">
        <x:f>IFERROR(INDEX('Material routes'!$M$6:$M$2205,MATCH(U1434,'Material routes'!$A$6:$A$2205,0)),"MISSING ID")</x:f>
        <x:v>Partial proposal</x:v>
      </x:c>
      <x:c r="N1434" s="4"/>
      <x:c r="O1434" s="4" t="str">
        <x:f>IFERROR(INDEX('Material routes'!$J$6:$J$2205,MATCH(U1434,'Material routes'!$A$6:$A$2205,0)),"MISSING ID")</x:f>
        <x:v>Unspecified</x:v>
      </x:c>
      <x:c r="P1434" s="4"/>
      <x:c r="Q1434" s="4" t="str">
        <x:f>IFERROR(INDEX('Material routes'!$J$6:$J$2205,MATCH(V1434,'Material routes'!$A$6:$A$2205,0)),"MISSING ID")</x:f>
        <x:v>Unspecified</x:v>
      </x:c>
      <x:c r="R1434" s="4" t="str">
        <x:f>IF(L1434="Withheld","Withheld premise",IF(E1434="Tool candidate","Reusable prerequisite",IF(K1434="Raw entry preparation","Entry-resource preparation",IF(G1434="Not applicable",IF(IFERROR(INDEX('Items'!$AI$6:$AI$1005,MATCH(T1434,'Items'!$A$6:$A$1005,0)),"MISSING ID")="Finished item","Finished endpoint",IF(IFERROR(INDEX('Items'!$AI$6:$AI$1005,MATCH(T1434,'Items'!$A$6:$A$1005,0)),"MISSING ID")="Currency","Currency / no refinement tier","Recovered output / tier not applicable")),IF(OR(IFERROR(INDEX('Crafting recipes'!$H$6:$H$1005,MATCH(J1434,'Crafting recipes'!$A$6:$A$1005,0)),"MISSING ID")="Unassigned",G1434="Unassigned"),"Tier unresolved",IF(IFERROR(VALUE(RIGHT(G1434,1))-VALUE(RIGHT(IFERROR(INDEX('Crafting recipes'!$H$6:$H$1005,MATCH(J1434,'Crafting recipes'!$A$6:$A$1005,0)),"MISSING ID"),1)),0)=1,IF(B1434=IFERROR(INDEX('Crafting recipes'!$H$6:$H$1005,MATCH(J1434,'Crafting recipes'!$A$6:$A$1005,0)),"MISSING ID"),"Advances one material tier","Lower-tier ingredient; route advances one tier"),"Needs tier review"))))))</x:f>
        <x:v>Reusable prerequisite</x:v>
      </x:c>
      <x:c r="S1434" s="4" t="str">
        <x:f>IFERROR(INDEX('Material routes'!$D$6:$D$2205,MATCH(U1434,'Material routes'!$A$6:$A$2205,0)),"MISSING ID")</x:f>
        <x:v>proposal.forging.file</x:v>
      </x:c>
      <x:c r="T1434" s="4" t="str">
        <x:f>IFERROR(INDEX('Material routes'!$D$6:$D$2205,MATCH(V1434,'Material routes'!$A$6:$A$2205,0)),"MISSING ID")</x:f>
        <x:v>proposal.collection.straight_cut_spur_gear</x:v>
      </x:c>
      <x:c r="U1434" s="4" t="str">
        <x:v>design.collection.straight_cut_spur_gear.audit.tool.1</x:v>
      </x:c>
      <x:c r="V1434" s="4" t="str">
        <x:v>design.collection.straight_cut_spur_gear.out</x:v>
      </x:c>
    </x:row>
    <x:row r="1435" ht="64" customHeight="1">
      <x:c r="A1435" s="4" t="str">
        <x:f>IFERROR(INDEX('Material routes'!$E$6:$E$2205,MATCH(U1435,'Material routes'!$A$6:$A$2205,0)),"MISSING ID")</x:f>
        <x:v>Metalworking file</x:v>
      </x:c>
      <x:c r="B1435" s="4" t="str">
        <x:f>IFERROR(INDEX('Material routes'!$F$6:$F$2205,MATCH(U1435,'Material routes'!$A$6:$A$2205,0)),"MISSING ID")</x:f>
        <x:v>Not applicable</x:v>
      </x:c>
      <x:c r="C1435" s="4" t="str">
        <x:f>IFERROR(INDEX('Material routes'!$H$6:$H$2205,MATCH(U1435,'Material routes'!$A$6:$A$2205,0)),"MISSING ID")</x:f>
        <x:v>Tool</x:v>
      </x:c>
      <x:c r="D1435" s="4" t="str">
        <x:f>IFERROR(INDEX('Material routes'!$G$6:$G$2205,MATCH(U1435,'Material routes'!$A$6:$A$2205,0)),"MISSING ID")</x:f>
        <x:v>Salvage</x:v>
      </x:c>
      <x:c r="E1435" s="4" t="str">
        <x:f>IFERROR(INDEX('Material routes'!$C$6:$C$2205,MATCH(U1435,'Material routes'!$A$6:$A$2205,0)),"MISSING ID")</x:f>
        <x:v>Tool candidate</x:v>
      </x:c>
      <x:c r="F1435" s="4" t="str">
        <x:f>IFERROR(INDEX('Material routes'!$E$6:$E$2205,MATCH(V1435,'Material routes'!$A$6:$A$2205,0)),"MISSING ID")</x:f>
        <x:v>Bevel drive gear</x:v>
      </x:c>
      <x:c r="G1435" s="4" t="str">
        <x:f>IFERROR(INDEX('Material routes'!$F$6:$F$2205,MATCH(V1435,'Material routes'!$A$6:$A$2205,0)),"MISSING ID")</x:f>
        <x:v>T3</x:v>
      </x:c>
      <x:c r="H1435" s="4" t="str">
        <x:f>IFERROR(INDEX('Material routes'!$H$6:$H$2205,MATCH(V1435,'Material routes'!$A$6:$A$2205,0)),"MISSING ID")</x:f>
        <x:v>Machine part</x:v>
      </x:c>
      <x:c r="I1435" s="4" t="str">
        <x:f>IFERROR(INDEX('Material routes'!$G$6:$G$2205,MATCH(V1435,'Material routes'!$A$6:$A$2205,0)),"MISSING ID")</x:f>
        <x:v>Crafting components</x:v>
      </x:c>
      <x:c r="J1435" s="4" t="str">
        <x:f>IFERROR(INDEX('Material routes'!$B$6:$B$2205,MATCH(U1435,'Material routes'!$A$6:$A$2205,0)),"MISSING ID")</x:f>
        <x:v>design.collection.bevel_drive_gear</x:v>
      </x:c>
      <x:c r="K1435" s="4" t="str">
        <x:f>IFERROR(INDEX('Crafting recipes'!$C$6:$C$1005,MATCH(J1435,'Crafting recipes'!$A$6:$A$1005,0)),"MISSING ID")</x:f>
        <x:v>Material refinement</x:v>
      </x:c>
      <x:c r="L1435" s="4" t="str">
        <x:f>IFERROR(INDEX('Material routes'!$K$6:$K$2205,MATCH(U1435,'Material routes'!$A$6:$A$2205,0)),"MISSING ID")</x:f>
        <x:v>Proposal</x:v>
      </x:c>
      <x:c r="M1435" s="4" t="str">
        <x:f>IFERROR(INDEX('Material routes'!$M$6:$M$2205,MATCH(U1435,'Material routes'!$A$6:$A$2205,0)),"MISSING ID")</x:f>
        <x:v>Partial proposal</x:v>
      </x:c>
      <x:c r="N1435" s="4"/>
      <x:c r="O1435" s="4" t="str">
        <x:f>IFERROR(INDEX('Material routes'!$J$6:$J$2205,MATCH(U1435,'Material routes'!$A$6:$A$2205,0)),"MISSING ID")</x:f>
        <x:v>Unspecified</x:v>
      </x:c>
      <x:c r="P1435" s="4"/>
      <x:c r="Q1435" s="4" t="str">
        <x:f>IFERROR(INDEX('Material routes'!$J$6:$J$2205,MATCH(V1435,'Material routes'!$A$6:$A$2205,0)),"MISSING ID")</x:f>
        <x:v>Unspecified</x:v>
      </x:c>
      <x:c r="R1435" s="4" t="str">
        <x:f>IF(L1435="Withheld","Withheld premise",IF(E1435="Tool candidate","Reusable prerequisite",IF(K1435="Raw entry preparation","Entry-resource preparation",IF(G1435="Not applicable",IF(IFERROR(INDEX('Items'!$AI$6:$AI$1005,MATCH(T1435,'Items'!$A$6:$A$1005,0)),"MISSING ID")="Finished item","Finished endpoint",IF(IFERROR(INDEX('Items'!$AI$6:$AI$1005,MATCH(T1435,'Items'!$A$6:$A$1005,0)),"MISSING ID")="Currency","Currency / no refinement tier","Recovered output / tier not applicable")),IF(OR(IFERROR(INDEX('Crafting recipes'!$H$6:$H$1005,MATCH(J1435,'Crafting recipes'!$A$6:$A$1005,0)),"MISSING ID")="Unassigned",G1435="Unassigned"),"Tier unresolved",IF(IFERROR(VALUE(RIGHT(G1435,1))-VALUE(RIGHT(IFERROR(INDEX('Crafting recipes'!$H$6:$H$1005,MATCH(J1435,'Crafting recipes'!$A$6:$A$1005,0)),"MISSING ID"),1)),0)=1,IF(B1435=IFERROR(INDEX('Crafting recipes'!$H$6:$H$1005,MATCH(J1435,'Crafting recipes'!$A$6:$A$1005,0)),"MISSING ID"),"Advances one material tier","Lower-tier ingredient; route advances one tier"),"Needs tier review"))))))</x:f>
        <x:v>Reusable prerequisite</x:v>
      </x:c>
      <x:c r="S1435" s="4" t="str">
        <x:f>IFERROR(INDEX('Material routes'!$D$6:$D$2205,MATCH(U1435,'Material routes'!$A$6:$A$2205,0)),"MISSING ID")</x:f>
        <x:v>proposal.forging.file</x:v>
      </x:c>
      <x:c r="T1435" s="4" t="str">
        <x:f>IFERROR(INDEX('Material routes'!$D$6:$D$2205,MATCH(V1435,'Material routes'!$A$6:$A$2205,0)),"MISSING ID")</x:f>
        <x:v>proposal.collection.bevel_drive_gear</x:v>
      </x:c>
      <x:c r="U1435" s="4" t="str">
        <x:v>design.collection.bevel_drive_gear.audit.tool.1</x:v>
      </x:c>
      <x:c r="V1435" s="4" t="str">
        <x:v>design.collection.bevel_drive_gear.out</x:v>
      </x:c>
    </x:row>
    <x:row r="1436" ht="64" customHeight="1">
      <x:c r="A1436" s="4" t="str">
        <x:f>IFERROR(INDEX('Material routes'!$E$6:$E$2205,MATCH(U1436,'Material routes'!$A$6:$A$2205,0)),"MISSING ID")</x:f>
        <x:v>Metalworking file</x:v>
      </x:c>
      <x:c r="B1436" s="4" t="str">
        <x:f>IFERROR(INDEX('Material routes'!$F$6:$F$2205,MATCH(U1436,'Material routes'!$A$6:$A$2205,0)),"MISSING ID")</x:f>
        <x:v>Not applicable</x:v>
      </x:c>
      <x:c r="C1436" s="4" t="str">
        <x:f>IFERROR(INDEX('Material routes'!$H$6:$H$2205,MATCH(U1436,'Material routes'!$A$6:$A$2205,0)),"MISSING ID")</x:f>
        <x:v>Tool</x:v>
      </x:c>
      <x:c r="D1436" s="4" t="str">
        <x:f>IFERROR(INDEX('Material routes'!$G$6:$G$2205,MATCH(U1436,'Material routes'!$A$6:$A$2205,0)),"MISSING ID")</x:f>
        <x:v>Salvage</x:v>
      </x:c>
      <x:c r="E1436" s="4" t="str">
        <x:f>IFERROR(INDEX('Material routes'!$C$6:$C$2205,MATCH(U1436,'Material routes'!$A$6:$A$2205,0)),"MISSING ID")</x:f>
        <x:v>Tool candidate</x:v>
      </x:c>
      <x:c r="F1436" s="4" t="str">
        <x:f>IFERROR(INDEX('Material routes'!$E$6:$E$2205,MATCH(V1436,'Material routes'!$A$6:$A$2205,0)),"MISSING ID")</x:f>
        <x:v>Worm drive screw</x:v>
      </x:c>
      <x:c r="G1436" s="4" t="str">
        <x:f>IFERROR(INDEX('Material routes'!$F$6:$F$2205,MATCH(V1436,'Material routes'!$A$6:$A$2205,0)),"MISSING ID")</x:f>
        <x:v>T3</x:v>
      </x:c>
      <x:c r="H1436" s="4" t="str">
        <x:f>IFERROR(INDEX('Material routes'!$H$6:$H$2205,MATCH(V1436,'Material routes'!$A$6:$A$2205,0)),"MISSING ID")</x:f>
        <x:v>Machine part</x:v>
      </x:c>
      <x:c r="I1436" s="4" t="str">
        <x:f>IFERROR(INDEX('Material routes'!$G$6:$G$2205,MATCH(V1436,'Material routes'!$A$6:$A$2205,0)),"MISSING ID")</x:f>
        <x:v>Crafting components</x:v>
      </x:c>
      <x:c r="J1436" s="4" t="str">
        <x:f>IFERROR(INDEX('Material routes'!$B$6:$B$2205,MATCH(U1436,'Material routes'!$A$6:$A$2205,0)),"MISSING ID")</x:f>
        <x:v>design.collection.worm_drive_screw</x:v>
      </x:c>
      <x:c r="K1436" s="4" t="str">
        <x:f>IFERROR(INDEX('Crafting recipes'!$C$6:$C$1005,MATCH(J1436,'Crafting recipes'!$A$6:$A$1005,0)),"MISSING ID")</x:f>
        <x:v>Material refinement</x:v>
      </x:c>
      <x:c r="L1436" s="4" t="str">
        <x:f>IFERROR(INDEX('Material routes'!$K$6:$K$2205,MATCH(U1436,'Material routes'!$A$6:$A$2205,0)),"MISSING ID")</x:f>
        <x:v>Proposal</x:v>
      </x:c>
      <x:c r="M1436" s="4" t="str">
        <x:f>IFERROR(INDEX('Material routes'!$M$6:$M$2205,MATCH(U1436,'Material routes'!$A$6:$A$2205,0)),"MISSING ID")</x:f>
        <x:v>Partial proposal</x:v>
      </x:c>
      <x:c r="N1436" s="4"/>
      <x:c r="O1436" s="4" t="str">
        <x:f>IFERROR(INDEX('Material routes'!$J$6:$J$2205,MATCH(U1436,'Material routes'!$A$6:$A$2205,0)),"MISSING ID")</x:f>
        <x:v>Unspecified</x:v>
      </x:c>
      <x:c r="P1436" s="4"/>
      <x:c r="Q1436" s="4" t="str">
        <x:f>IFERROR(INDEX('Material routes'!$J$6:$J$2205,MATCH(V1436,'Material routes'!$A$6:$A$2205,0)),"MISSING ID")</x:f>
        <x:v>Unspecified</x:v>
      </x:c>
      <x:c r="R1436" s="4" t="str">
        <x:f>IF(L1436="Withheld","Withheld premise",IF(E1436="Tool candidate","Reusable prerequisite",IF(K1436="Raw entry preparation","Entry-resource preparation",IF(G1436="Not applicable",IF(IFERROR(INDEX('Items'!$AI$6:$AI$1005,MATCH(T1436,'Items'!$A$6:$A$1005,0)),"MISSING ID")="Finished item","Finished endpoint",IF(IFERROR(INDEX('Items'!$AI$6:$AI$1005,MATCH(T1436,'Items'!$A$6:$A$1005,0)),"MISSING ID")="Currency","Currency / no refinement tier","Recovered output / tier not applicable")),IF(OR(IFERROR(INDEX('Crafting recipes'!$H$6:$H$1005,MATCH(J1436,'Crafting recipes'!$A$6:$A$1005,0)),"MISSING ID")="Unassigned",G1436="Unassigned"),"Tier unresolved",IF(IFERROR(VALUE(RIGHT(G1436,1))-VALUE(RIGHT(IFERROR(INDEX('Crafting recipes'!$H$6:$H$1005,MATCH(J1436,'Crafting recipes'!$A$6:$A$1005,0)),"MISSING ID"),1)),0)=1,IF(B1436=IFERROR(INDEX('Crafting recipes'!$H$6:$H$1005,MATCH(J1436,'Crafting recipes'!$A$6:$A$1005,0)),"MISSING ID"),"Advances one material tier","Lower-tier ingredient; route advances one tier"),"Needs tier review"))))))</x:f>
        <x:v>Reusable prerequisite</x:v>
      </x:c>
      <x:c r="S1436" s="4" t="str">
        <x:f>IFERROR(INDEX('Material routes'!$D$6:$D$2205,MATCH(U1436,'Material routes'!$A$6:$A$2205,0)),"MISSING ID")</x:f>
        <x:v>proposal.forging.file</x:v>
      </x:c>
      <x:c r="T1436" s="4" t="str">
        <x:f>IFERROR(INDEX('Material routes'!$D$6:$D$2205,MATCH(V1436,'Material routes'!$A$6:$A$2205,0)),"MISSING ID")</x:f>
        <x:v>proposal.collection.worm_drive_screw</x:v>
      </x:c>
      <x:c r="U1436" s="4" t="str">
        <x:v>design.collection.worm_drive_screw.audit.tool.1</x:v>
      </x:c>
      <x:c r="V1436" s="4" t="str">
        <x:v>design.collection.worm_drive_screw.out</x:v>
      </x:c>
    </x:row>
    <x:row r="1437" ht="64" customHeight="1">
      <x:c r="A1437" s="4"/>
      <x:c r="B1437" s="4"/>
      <x:c r="C1437" s="4"/>
      <x:c r="D1437" s="4"/>
      <x:c r="E1437" s="4"/>
      <x:c r="F1437" s="4"/>
      <x:c r="G1437" s="4"/>
      <x:c r="H1437" s="4"/>
      <x:c r="I1437" s="4"/>
      <x:c r="J1437" s="4"/>
      <x:c r="K1437" s="4"/>
      <x:c r="L1437" s="4"/>
      <x:c r="M1437" s="4"/>
      <x:c r="N1437" s="4"/>
      <x:c r="O1437" s="4"/>
      <x:c r="P1437" s="4"/>
      <x:c r="Q1437" s="4"/>
      <x:c r="R1437" s="4"/>
      <x:c r="S1437" s="4"/>
      <x:c r="T1437" s="4"/>
      <x:c r="U1437" s="4"/>
      <x:c r="V1437" s="4"/>
    </x:row>
    <x:row r="1438" ht="64" customHeight="1">
      <x:c r="A1438" s="4"/>
      <x:c r="B1438" s="4"/>
      <x:c r="C1438" s="4"/>
      <x:c r="D1438" s="4"/>
      <x:c r="E1438" s="4"/>
      <x:c r="F1438" s="4"/>
      <x:c r="G1438" s="4"/>
      <x:c r="H1438" s="4"/>
      <x:c r="I1438" s="4"/>
      <x:c r="J1438" s="4"/>
      <x:c r="K1438" s="4"/>
      <x:c r="L1438" s="4"/>
      <x:c r="M1438" s="4"/>
      <x:c r="N1438" s="4"/>
      <x:c r="P1438" s="4"/>
      <x:c r="R1438" s="4"/>
      <x:c r="S1438" s="4"/>
      <x:c r="T1438" s="4"/>
      <x:c r="U1438" s="4"/>
      <x:c r="V1438" s="4"/>
    </x:row>
    <x:row r="1439" ht="64" customHeight="1">
      <x:c r="A1439" s="4"/>
      <x:c r="B1439" s="4"/>
      <x:c r="C1439" s="4"/>
      <x:c r="D1439" s="4"/>
      <x:c r="E1439" s="4"/>
      <x:c r="F1439" s="4"/>
      <x:c r="G1439" s="4"/>
      <x:c r="H1439" s="4"/>
      <x:c r="I1439" s="4"/>
      <x:c r="J1439" s="4"/>
      <x:c r="K1439" s="4"/>
      <x:c r="L1439" s="4"/>
      <x:c r="M1439" s="4"/>
      <x:c r="N1439" s="4"/>
      <x:c r="P1439" s="4"/>
      <x:c r="R1439" s="4"/>
      <x:c r="S1439" s="4"/>
      <x:c r="T1439" s="4"/>
      <x:c r="U1439" s="4"/>
      <x:c r="V1439" s="4"/>
    </x:row>
    <x:row r="1440" ht="64" customHeight="1">
      <x:c r="A1440" s="4" t="str">
        <x:f>IFERROR(INDEX('Material routes'!$E$6:$E$2205,MATCH(U1440,'Material routes'!$A$6:$A$2205,0)),"MISSING ID")</x:f>
        <x:v>Ceramic serving plate</x:v>
      </x:c>
      <x:c r="B1440" s="4" t="str">
        <x:f>IFERROR(INDEX('Material routes'!$F$6:$F$2205,MATCH(U1440,'Material routes'!$A$6:$A$2205,0)),"MISSING ID")</x:f>
        <x:v>Not applicable</x:v>
      </x:c>
      <x:c r="C1440" s="4" t="str">
        <x:f>IFERROR(INDEX('Material routes'!$H$6:$H$2205,MATCH(U1440,'Material routes'!$A$6:$A$2205,0)),"MISSING ID")</x:f>
        <x:v>Household utensil</x:v>
      </x:c>
      <x:c r="D1440" s="4" t="str">
        <x:f>IFERROR(INDEX('Material routes'!$G$6:$G$2205,MATCH(U1440,'Material routes'!$A$6:$A$2205,0)),"MISSING ID")</x:f>
        <x:v>Salvage</x:v>
      </x:c>
      <x:c r="E1440" s="4" t="str">
        <x:f>IFERROR(INDEX('Material routes'!$C$6:$C$2205,MATCH(U1440,'Material routes'!$A$6:$A$2205,0)),"MISSING ID")</x:f>
        <x:v>Tool candidate</x:v>
      </x:c>
      <x:c r="F1440" s="4" t="str">
        <x:f>IFERROR(INDEX('Material routes'!$E$6:$E$2205,MATCH(V1440,'Material routes'!$A$6:$A$2205,0)),"MISSING ID")</x:f>
        <x:v>Phagia ration bar</x:v>
      </x:c>
      <x:c r="G1440" s="4" t="str">
        <x:f>IFERROR(INDEX('Material routes'!$F$6:$F$2205,MATCH(V1440,'Material routes'!$A$6:$A$2205,0)),"MISSING ID")</x:f>
        <x:v>Not applicable</x:v>
      </x:c>
      <x:c r="H1440" s="4" t="str">
        <x:f>IFERROR(INDEX('Material routes'!$H$6:$H$2205,MATCH(V1440,'Material routes'!$A$6:$A$2205,0)),"MISSING ID")</x:f>
        <x:v>Food consumable</x:v>
      </x:c>
      <x:c r="I1440" s="4" t="str">
        <x:f>IFERROR(INDEX('Material routes'!$G$6:$G$2205,MATCH(V1440,'Material routes'!$A$6:$A$2205,0)),"MISSING ID")</x:f>
        <x:v>Consumables</x:v>
      </x:c>
      <x:c r="J1440" s="4" t="str">
        <x:f>IFERROR(INDEX('Material routes'!$B$6:$B$2205,MATCH(U1440,'Material routes'!$A$6:$A$2205,0)),"MISSING ID")</x:f>
        <x:v>design.audit.proposal_food_ration_bar</x:v>
      </x:c>
      <x:c r="K1440" s="4" t="str">
        <x:f>IFERROR(INDEX('Crafting recipes'!$C$6:$C$1005,MATCH(J1440,'Crafting recipes'!$A$6:$A$1005,0)),"MISSING ID")</x:f>
        <x:v>Finished-item crafting</x:v>
      </x:c>
      <x:c r="L1440" s="4" t="str">
        <x:f>IFERROR(INDEX('Material routes'!$K$6:$K$2205,MATCH(U1440,'Material routes'!$A$6:$A$2205,0)),"MISSING ID")</x:f>
        <x:v>Proposal</x:v>
      </x:c>
      <x:c r="M1440" s="4" t="str">
        <x:f>IFERROR(INDEX('Material routes'!$M$6:$M$2205,MATCH(U1440,'Material routes'!$A$6:$A$2205,0)),"MISSING ID")</x:f>
        <x:v>Partial proposal</x:v>
      </x:c>
      <x:c r="N1440" s="4"/>
      <x:c r="O1440" s="4" t="str">
        <x:f>IFERROR(INDEX('Material routes'!$J$6:$J$2205,MATCH(U1440,'Material routes'!$A$6:$A$2205,0)),"MISSING ID")</x:f>
        <x:v>Unspecified</x:v>
      </x:c>
      <x:c r="P1440" s="4"/>
      <x:c r="Q1440" s="4" t="str">
        <x:f>IFERROR(INDEX('Material routes'!$J$6:$J$2205,MATCH(V1440,'Material routes'!$A$6:$A$2205,0)),"MISSING ID")</x:f>
        <x:v>Unspecified</x:v>
      </x:c>
      <x:c r="R1440" s="4" t="str">
        <x:f>IF(L1440="Withheld","Withheld premise",IF(E1440="Tool candidate","Reusable prerequisite",IF(K1440="Raw entry preparation","Entry-resource preparation",IF(G1440="Not applicable",IF(IFERROR(INDEX('Items'!$AI$6:$AI$1005,MATCH(T1440,'Items'!$A$6:$A$1005,0)),"MISSING ID")="Finished item","Finished endpoint",IF(IFERROR(INDEX('Items'!$AI$6:$AI$1005,MATCH(T1440,'Items'!$A$6:$A$1005,0)),"MISSING ID")="Currency","Currency / no refinement tier","Recovered output / tier not applicable")),IF(OR(IFERROR(INDEX('Crafting recipes'!$H$6:$H$1005,MATCH(J1440,'Crafting recipes'!$A$6:$A$1005,0)),"MISSING ID")="Unassigned",G1440="Unassigned"),"Tier unresolved",IF(IFERROR(VALUE(RIGHT(G1440,1))-VALUE(RIGHT(IFERROR(INDEX('Crafting recipes'!$H$6:$H$1005,MATCH(J1440,'Crafting recipes'!$A$6:$A$1005,0)),"MISSING ID"),1)),0)=1,IF(B1440=IFERROR(INDEX('Crafting recipes'!$H$6:$H$1005,MATCH(J1440,'Crafting recipes'!$A$6:$A$1005,0)),"MISSING ID"),"Advances one material tier","Lower-tier ingredient; route advances one tier"),"Needs tier review"))))))</x:f>
        <x:v>Reusable prerequisite</x:v>
      </x:c>
      <x:c r="S1440" s="4" t="str">
        <x:f>IFERROR(INDEX('Material routes'!$D$6:$D$2205,MATCH(U1440,'Material routes'!$A$6:$A$2205,0)),"MISSING ID")</x:f>
        <x:v>proposal.ceramic.plate</x:v>
      </x:c>
      <x:c r="T1440" s="4" t="str">
        <x:f>IFERROR(INDEX('Material routes'!$D$6:$D$2205,MATCH(V1440,'Material routes'!$A$6:$A$2205,0)),"MISSING ID")</x:f>
        <x:v>proposal.food.ration_bar</x:v>
      </x:c>
      <x:c r="U1440" s="4" t="str">
        <x:v>design.audit.proposal_food_ration_bar.audit.tool.1</x:v>
      </x:c>
      <x:c r="V1440" s="4" t="str">
        <x:v>design.audit.proposal_food_ration_bar.audit.out</x:v>
      </x:c>
    </x:row>
    <x:row r="1441" ht="64" customHeight="1">
      <x:c r="A1441" s="4" t="str">
        <x:f>IFERROR(INDEX('Material routes'!$E$6:$E$2205,MATCH(U1441,'Material routes'!$A$6:$A$2205,0)),"MISSING ID")</x:f>
        <x:v>Controlled-heating firing kiln</x:v>
      </x:c>
      <x:c r="B1441" s="4" t="str">
        <x:f>IFERROR(INDEX('Material routes'!$F$6:$F$2205,MATCH(U1441,'Material routes'!$A$6:$A$2205,0)),"MISSING ID")</x:f>
        <x:v>Not applicable</x:v>
      </x:c>
      <x:c r="C1441" s="4" t="str">
        <x:f>IFERROR(INDEX('Material routes'!$H$6:$H$2205,MATCH(U1441,'Material routes'!$A$6:$A$2205,0)),"MISSING ID")</x:f>
        <x:v>Machine</x:v>
      </x:c>
      <x:c r="D1441" s="4" t="str">
        <x:f>IFERROR(INDEX('Material routes'!$G$6:$G$2205,MATCH(U1441,'Material routes'!$A$6:$A$2205,0)),"MISSING ID")</x:f>
        <x:v>Crafting stations</x:v>
      </x:c>
      <x:c r="E1441" s="4" t="str">
        <x:f>IFERROR(INDEX('Material routes'!$C$6:$C$2205,MATCH(U1441,'Material routes'!$A$6:$A$2205,0)),"MISSING ID")</x:f>
        <x:v>Tool candidate</x:v>
      </x:c>
      <x:c r="F1441" s="4" t="str">
        <x:f>IFERROR(INDEX('Material routes'!$E$6:$E$2205,MATCH(V1441,'Material routes'!$A$6:$A$2205,0)),"MISSING ID")</x:f>
        <x:v>Ceramic cooking pot</x:v>
      </x:c>
      <x:c r="G1441" s="4" t="str">
        <x:f>IFERROR(INDEX('Material routes'!$F$6:$F$2205,MATCH(V1441,'Material routes'!$A$6:$A$2205,0)),"MISSING ID")</x:f>
        <x:v>Not applicable</x:v>
      </x:c>
      <x:c r="H1441" s="4" t="str">
        <x:f>IFERROR(INDEX('Material routes'!$H$6:$H$2205,MATCH(V1441,'Material routes'!$A$6:$A$2205,0)),"MISSING ID")</x:f>
        <x:v>Tool</x:v>
      </x:c>
      <x:c r="I1441" s="4" t="str">
        <x:f>IFERROR(INDEX('Material routes'!$G$6:$G$2205,MATCH(V1441,'Material routes'!$A$6:$A$2205,0)),"MISSING ID")</x:f>
        <x:v>Salvage</x:v>
      </x:c>
      <x:c r="J1441" s="4" t="str">
        <x:f>IFERROR(INDEX('Material routes'!$B$6:$B$2205,MATCH(U1441,'Material routes'!$A$6:$A$2205,0)),"MISSING ID")</x:f>
        <x:v>design.audit.proposal_fire_cooking_pot</x:v>
      </x:c>
      <x:c r="K1441" s="4" t="str">
        <x:f>IFERROR(INDEX('Crafting recipes'!$C$6:$C$1005,MATCH(J1441,'Crafting recipes'!$A$6:$A$1005,0)),"MISSING ID")</x:f>
        <x:v>Finished-item crafting</x:v>
      </x:c>
      <x:c r="L1441" s="4" t="str">
        <x:f>IFERROR(INDEX('Material routes'!$K$6:$K$2205,MATCH(U1441,'Material routes'!$A$6:$A$2205,0)),"MISSING ID")</x:f>
        <x:v>Proposal</x:v>
      </x:c>
      <x:c r="M1441" s="4" t="str">
        <x:f>IFERROR(INDEX('Material routes'!$M$6:$M$2205,MATCH(U1441,'Material routes'!$A$6:$A$2205,0)),"MISSING ID")</x:f>
        <x:v>Partial proposal</x:v>
      </x:c>
      <x:c r="N1441" s="4"/>
      <x:c r="O1441" s="4" t="str">
        <x:f>IFERROR(INDEX('Material routes'!$J$6:$J$2205,MATCH(U1441,'Material routes'!$A$6:$A$2205,0)),"MISSING ID")</x:f>
        <x:v>Unspecified</x:v>
      </x:c>
      <x:c r="P1441" s="4"/>
      <x:c r="Q1441" s="4" t="str">
        <x:f>IFERROR(INDEX('Material routes'!$J$6:$J$2205,MATCH(V1441,'Material routes'!$A$6:$A$2205,0)),"MISSING ID")</x:f>
        <x:v>Unspecified</x:v>
      </x:c>
      <x:c r="R1441" s="4" t="str">
        <x:f>IF(L1441="Withheld","Withheld premise",IF(E1441="Tool candidate","Reusable prerequisite",IF(K1441="Raw entry preparation","Entry-resource preparation",IF(G1441="Not applicable",IF(IFERROR(INDEX('Items'!$AI$6:$AI$1005,MATCH(T1441,'Items'!$A$6:$A$1005,0)),"MISSING ID")="Finished item","Finished endpoint",IF(IFERROR(INDEX('Items'!$AI$6:$AI$1005,MATCH(T1441,'Items'!$A$6:$A$1005,0)),"MISSING ID")="Currency","Currency / no refinement tier","Recovered output / tier not applicable")),IF(OR(IFERROR(INDEX('Crafting recipes'!$H$6:$H$1005,MATCH(J1441,'Crafting recipes'!$A$6:$A$1005,0)),"MISSING ID")="Unassigned",G1441="Unassigned"),"Tier unresolved",IF(IFERROR(VALUE(RIGHT(G1441,1))-VALUE(RIGHT(IFERROR(INDEX('Crafting recipes'!$H$6:$H$1005,MATCH(J1441,'Crafting recipes'!$A$6:$A$1005,0)),"MISSING ID"),1)),0)=1,IF(B1441=IFERROR(INDEX('Crafting recipes'!$H$6:$H$1005,MATCH(J1441,'Crafting recipes'!$A$6:$A$1005,0)),"MISSING ID"),"Advances one material tier","Lower-tier ingredient; route advances one tier"),"Needs tier review"))))))</x:f>
        <x:v>Reusable prerequisite</x:v>
      </x:c>
      <x:c r="S1441" s="4" t="str">
        <x:f>IFERROR(INDEX('Material routes'!$D$6:$D$2205,MATCH(U1441,'Material routes'!$A$6:$A$2205,0)),"MISSING ID")</x:f>
        <x:v>proposal.audit.controlled_heating_firing_kiln</x:v>
      </x:c>
      <x:c r="T1441" s="4" t="str">
        <x:f>IFERROR(INDEX('Material routes'!$D$6:$D$2205,MATCH(V1441,'Material routes'!$A$6:$A$2205,0)),"MISSING ID")</x:f>
        <x:v>proposal.fire.cooking_pot</x:v>
      </x:c>
      <x:c r="U1441" s="4" t="str">
        <x:v>design.audit.proposal_fire_cooking_pot.audit.tool.1</x:v>
      </x:c>
      <x:c r="V1441" s="4" t="str">
        <x:v>design.audit.proposal_fire_cooking_pot.audit.out</x:v>
      </x:c>
    </x:row>
  </x:sheetData>
  <x:pageMargins left="0.7" right="0.7" top="0.75" bottom="0.75" header="0.3" footer="0.3"/>
  <x:tableParts count="1">
    <x:tablePart xmlns:r="http://schemas.openxmlformats.org/officeDocument/2006/relationships" r:id="R87c4ca9bc7ac4611"/>
  </x:tableParts>
</x:worksheet>
</file>

<file path=xl/worksheets/sheet18.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1" hidden="0" customWidth="1"/>
    <x:col min="2" max="2" width="56" hidden="0" customWidth="1"/>
    <x:col min="3" max="3" width="56" hidden="0" customWidth="1"/>
    <x:col min="4" max="4" width="56" hidden="0" customWidth="1"/>
    <x:col min="5" max="5" width="56" hidden="0" customWidth="1"/>
    <x:col min="6" max="6" width="68" hidden="0" customWidth="1"/>
    <x:col min="7" max="7" width="95" hidden="0" customWidth="1"/>
    <x:col min="8" max="8" width="28" hidden="0" customWidth="1"/>
  </x:cols>
  <x:sheetData>
    <x:row r="2">
      <x:c r="A2" s="2" t="str">
        <x:v>Proposed material progression branches</x:v>
      </x:c>
    </x:row>
    <x:row r="3">
      <x:c r="A3" t="str">
        <x:v>Each row shows related stock options, not a complete linear recipe. Use Crafting browser / Recipe ID for exact candidate ingredients and cross-branch dependencies.</x:v>
      </x:c>
    </x:row>
    <x:row r="5" ht="42" customHeight="1">
      <x:c r="A5" s="67" t="str">
        <x:v>Branch</x:v>
      </x:c>
      <x:c r="B5" s="67" t="str">
        <x:v>T1 entry stocks / examples</x:v>
      </x:c>
      <x:c r="C5" s="67" t="str">
        <x:v>T2 stock options</x:v>
      </x:c>
      <x:c r="D5" s="67" t="str">
        <x:v>T3 stock options</x:v>
      </x:c>
      <x:c r="E5" s="67" t="str">
        <x:v>T4 stock / component options</x:v>
      </x:c>
      <x:c r="F5" s="67" t="str">
        <x:v>Possible finished uses</x:v>
      </x:c>
      <x:c r="G5" s="67" t="str">
        <x:v>Design limits</x:v>
      </x:c>
      <x:c r="H5" s="67" t="str">
        <x:v>Status</x:v>
      </x:c>
    </x:row>
    <x:row r="6" ht="210" customHeight="1">
      <x:c r="A6" s="4" t="str">
        <x:v>Steel and mechanical stock</x:v>
      </x:c>
      <x:c r="B6" s="4" t="str">
        <x:f>IFERROR(INDEX('Items'!$B$6:$B$1005,MATCH("proposal.t1.iron_bloom",'Items'!$A$6:$A$1005,0)),"MISSING ID")&amp;"; "&amp;IFERROR(INDEX('Items'!$B$6:$B$1005,MATCH("proposal.natural.carbon",'Items'!$A$6:$A$1005,0)),"MISSING ID")&amp;"; "&amp;IFERROR(INDEX('Items'!$B$6:$B$1005,MATCH("proposal.branch.flux",'Items'!$A$6:$A$1005,0)),"MISSING ID")</x:f>
        <x:v>Smelted iron bloom; Graded graphite flakes; Prepared metallurgical flux</x:v>
      </x:c>
      <x:c r="C6" s="4" t="str">
        <x:f>IFERROR(INDEX('Items'!$B$6:$B$1005,MATCH("author.metallurgy.steel_stock",'Items'!$A$6:$A$1005,0)),"MISSING ID")&amp;"; "&amp;IFERROR(INDEX('Items'!$B$6:$B$1005,MATCH("proposal.branch.alloy_addition",'Items'!$A$6:$A$1005,0)),"MISSING ID")</x:f>
        <x:v>Steel stock; Prepared manganese alloying stock</x:v>
      </x:c>
      <x:c r="D6" s="4" t="str">
        <x:f>IFERROR(INDEX('Items'!$B$6:$B$1005,MATCH("proposal.branch.spring_steel",'Items'!$A$6:$A$1005,0)),"MISSING ID")&amp;"; "&amp;IFERROR(INDEX('Items'!$B$6:$B$1005,MATCH("proposal.branch.steel_shell",'Items'!$A$6:$A$1005,0)),"MISSING ID")&amp;"; "&amp;IFERROR(INDEX(Items!$B$6:$B$1005,MATCH("proposal.t3.gear_blank",Items!$A$6:$A$1005,0)),"MISSING ID")&amp;"; "&amp;IFERROR(INDEX(Items!$B$6:$B$1005,MATCH("proposal.t3.bearing_blank",Items!$A$6:$A$1005,0)),"MISSING ID")&amp;"; "&amp;IFERROR(INDEX(Items!$B$6:$B$1005,MATCH("proposal.t3.precision_tube",Items!$A$6:$A$1005,0)),"MISSING ID")&amp;"; "&amp;IFERROR(INDEX(Items!$B$6:$B$1005,MATCH("proposal.t3.abrasive_stock",Items!$A$6:$A$1005,0)),"MISSING ID")</x:f>
        <x:v>Spring-grade steel stock; Steel-faced shell composite; Heat-treated steel gear blanks; Lapped bronze bearing blanks; Drawn steel tube stock; Bonded abrasive-faced stock</x:v>
      </x:c>
      <x:c r="E6" s="4" t="str">
        <x:f>IFERROR(INDEX('Items'!$B$6:$B$1005,MATCH("proposal.branch.spring_pack",'Items'!$A$6:$A$1005,0)),"MISSING ID")&amp;"; "&amp;IFERROR(INDEX('Items'!$B$6:$B$1005,MATCH("proposal.branch.protective_stock",'Items'!$A$6:$A$1005,0)),"MISSING ID")&amp;"; "&amp;IFERROR(INDEX(Items!$B$6:$B$1005,MATCH("proposal.t4.drive_cassette",Items!$A$6:$A$1005,0)),"MISSING ID")&amp;"; "&amp;IFERROR(INDEX(Items!$B$6:$B$1005,MATCH("proposal.t4.bearing_cartridge",Items!$A$6:$A$1005,0)),"MISSING ID")&amp;"; "&amp;IFERROR(INDEX(Items!$B$6:$B$1005,MATCH("proposal.t4.turbine_hub",Items!$A$6:$A$1005,0)),"MISSING ID")&amp;"; "&amp;IFERROR(INDEX(Items!$B$6:$B$1005,MATCH("proposal.t4.wheel_hub",Items!$A$6:$A$1005,0)),"MISSING ID")&amp;"; "&amp;IFERROR(INDEX(Items!$B$6:$B$1005,MATCH("proposal.t4.grinding_head",Items!$A$6:$A$1005,0)),"MISSING ID")</x:f>
        <x:v>Preloaded spring subassembly; Layered protective composite stock; Matched mechanical drive cassette; Dust-excluding bearing cartridge; Matched wind-turbine hub core; Dirtboard wheel-hub core; Replaceable abrasive-head assembly</x:v>
      </x:c>
      <x:c r="F6" s="4" t="str">
        <x:v>Forging tools, fitted protection, machinery parts</x:v>
      </x:c>
      <x:c r="G6" s="4" t="str">
        <x:v>Some products stop at T2 steel. Alloying and heat treatment need selected chemistry; no water-quench default. New T4 candidate routes: Matched mechanical drive cassette; Dust-excluding bearing cartridge; Matched wind-turbine hub core; Dirtboard wheel-hub core; Replaceable abrasive-head assembly. These are partial material/component proposals; use recipe links for the candidate inputs. Full fit, service limits, power, tools and missing subparts remain unresolved.</x:v>
      </x:c>
      <x:c r="H6" s="4" t="str">
        <x:v>Proposal; partial routes</x:v>
      </x:c>
    </x:row>
    <x:row r="7" ht="210" customHeight="1">
      <x:c r="A7" s="4" t="str">
        <x:v>Conductors and insulation</x:v>
      </x:c>
      <x:c r="B7" s="4" t="str">
        <x:f>IFERROR(INDEX('Items'!$B$6:$B$1005,MATCH("proposal.t1.copper_cake",'Items'!$A$6:$A$1005,0)),"MISSING ID")&amp;"; "&amp;IFERROR(INDEX('Items'!$B$6:$B$1005,MATCH("proposal.t1.mica_flakes",'Items'!$A$6:$A$1005,0)),"MISSING ID")&amp;"; "&amp;IFERROR(INDEX('Items'!$B$6:$B$1005,MATCH("proposal.t1.shell_adhesive",'Items'!$A$6:$A$1005,0)),"MISSING ID")</x:f>
        <x:v>Refined copper cake; Separated mica flake grade; Prepared shell-binding adhesive</x:v>
      </x:c>
      <x:c r="C7" s="4" t="str">
        <x:f>IFERROR(INDEX('Items'!$B$6:$B$1005,MATCH("proposal.branch.drawn_copper",'Items'!$A$6:$A$1005,0)),"MISSING ID")&amp;"; "&amp;IFERROR(INDEX('Items'!$B$6:$B$1005,MATCH("proposal.branch.mica_sheet",'Items'!$A$6:$A$1005,0)),"MISSING ID")</x:f>
        <x:v>Drawn copper stock; Mica composite sheet</x:v>
      </x:c>
      <x:c r="D7" s="4" t="str">
        <x:f>IFERROR(INDEX('Items'!$B$6:$B$1005,MATCH("proposal.branch.insulated_conductor",'Items'!$A$6:$A$1005,0)),"MISSING ID")&amp;"; "&amp;IFERROR(INDEX(Items!$B$6:$B$1005,MATCH("proposal.t3.grounding_braid",Items!$A$6:$A$1005,0)),"MISSING ID")&amp;"; "&amp;IFERROR(INDEX(Items!$B$6:$B$1005,MATCH("proposal.t3.wound_coil",Items!$A$6:$A$1005,0)),"MISSING ID")&amp;"; "&amp;IFERROR(INDEX(Items!$B$6:$B$1005,MATCH("proposal.t3.copper_mesh",Items!$A$6:$A$1005,0)),"MISSING ID")&amp;"; "&amp;IFERROR(INDEX(Items!$B$6:$B$1005,MATCH("proposal.t3.contact_mount",Items!$A$6:$A$1005,0)),"MISSING ID")&amp;"; "&amp;IFERROR(INDEX(Items!$B$6:$B$1005,MATCH("proposal.t3.feedthrough_blank",Items!$A$6:$A$1005,0)),"MISSING ID")&amp;"; "&amp;IFERROR(INDEX(Items!$B$6:$B$1005,MATCH("proposal.t3.spacer_set",Items!$A$6:$A$1005,0)),"MISSING ID")</x:f>
        <x:v>Insulated conductor stock; Braided copper grounding stock; Wound copper coil blanks; Woven copper mesh stock; Fitted ceramic contact mounts; Ceramic-metal feedthrough blanks; Matched ceramic spacer sets</x:v>
      </x:c>
      <x:c r="E7" s="4" t="str">
        <x:f>IFERROR(INDEX('Items'!$B$6:$B$1005,MATCH("proposal.branch.encapsulated_conductor",'Items'!$A$6:$A$1005,0)),"MISSING ID")&amp;"; "&amp;IFERROR(INDEX(Items!$B$6:$B$1005,MATCH("proposal.t4.grounding_harness",Items!$A$6:$A$1005,0)),"MISSING ID")&amp;"; "&amp;IFERROR(INDEX(Items!$B$6:$B$1005,MATCH("proposal.t4.insulated_winding",Items!$A$6:$A$1005,0)),"MISSING ID")&amp;"; "&amp;IFERROR(INDEX(Items!$B$6:$B$1005,MATCH("proposal.t4.radio_tuning",Items!$A$6:$A$1005,0)),"MISSING ID")&amp;"; "&amp;IFERROR(INDEX(Items!$B$6:$B$1005,MATCH("proposal.t4.screened_chassis",Items!$A$6:$A$1005,0)),"MISSING ID")&amp;"; "&amp;IFERROR(INDEX(Items!$B$6:$B$1005,MATCH("proposal.t4.electrical_bulkhead",Items!$A$6:$A$1005,0)),"MISSING ID")&amp;"; "&amp;IFERROR(INDEX(Items!$B$6:$B$1005,MATCH("proposal.t4.contact_block",Items!$A$6:$A$1005,0)),"MISSING ID")&amp;"; "&amp;IFERROR(INDEX(Items!$B$6:$B$1005,MATCH("proposal.t4.insulating_board",Items!$A$6:$A$1005,0)),"MISSING ID")</x:f>
        <x:v>Encapsulated conductor stock; Terminated grounding harness; Insulated winding subassembly; Radio tuning support block; Screened radio chassis insert; Sealed electrical bulkhead insert; Serviceable insulated contact block; Pressed mineral-husk insulating board</x:v>
      </x:c>
      <x:c r="F7" s="4" t="str">
        <x:v>Electrical tools, radio components, field equipment</x:v>
      </x:c>
      <x:c r="G7" s="4" t="str">
        <x:v>Intended roles only; no electrical rating or ancient-machine reproduction is established. New T4 candidate routes: Terminated grounding harness; Insulated winding subassembly; Radio tuning support block; Screened radio chassis insert; Sealed electrical bulkhead insert; Serviceable insulated contact block; Pressed mineral-husk insulating board. These are partial material/component proposals; use recipe links for the candidate inputs. Full fit, service limits, power, tools and missing subparts remain unresolved.</x:v>
      </x:c>
      <x:c r="H7" s="4" t="str">
        <x:v>Proposal; partial routes</x:v>
      </x:c>
    </x:row>
    <x:row r="8" ht="210" customHeight="1">
      <x:c r="A8" s="4" t="str">
        <x:v>Ceramic and heat-service stock</x:v>
      </x:c>
      <x:c r="B8" s="4" t="str">
        <x:f>IFERROR(INDEX('Items'!$B$6:$B$1005,MATCH("proposal.ceramic.body_feed",'Items'!$A$6:$A$1005,0)),"MISSING ID")&amp;"; "&amp;IFERROR(INDEX('Items'!$B$6:$B$1005,MATCH("proposal.ceramic.glaze_feed",'Items'!$A$6:$A$1005,0)),"MISSING ID")&amp;"; "&amp;IFERROR(INDEX('Items'!$B$6:$B$1005,MATCH("proposal.branch.refractory_feed",'Items'!$A$6:$A$1005,0)),"MISSING ID")</x:f>
        <x:v>Prepared ceramic body feed; Prepared glaze feed; Graded refractory mineral feed</x:v>
      </x:c>
      <x:c r="C8" s="4" t="str">
        <x:f>IFERROR(INDEX('Items'!$B$6:$B$1005,MATCH("proposal.natural.ceramic",'Items'!$A$6:$A$1005,0)),"MISSING ID")&amp;"; "&amp;IFERROR(INDEX('Items'!$B$6:$B$1005,MATCH("proposal.branch.refractory_ceramic",'Items'!$A$6:$A$1005,0)),"MISSING ID")</x:f>
        <x:v>Insulating ceramic blanks; Refractory ceramic stock</x:v>
      </x:c>
      <x:c r="D8" s="4" t="str">
        <x:f>IFERROR(INDEX('Items'!$B$6:$B$1005,MATCH("proposal.branch.ceramic_shell",'Items'!$A$6:$A$1005,0)),"MISSING ID")&amp;"; "&amp;IFERROR(INDEX(Items!$B$6:$B$1005,MATCH("proposal.t3.lining_stock",Items!$A$6:$A$1005,0)),"MISSING ID")</x:f>
        <x:v>Bonded ceramic-shell composite; Bonded glass-ceramic lining stock</x:v>
      </x:c>
      <x:c r="E8" s="4" t="str">
        <x:f>IFERROR(INDEX('Items'!$B$6:$B$1005,MATCH("proposal.branch.protective_stock",'Items'!$A$6:$A$1005,0)),"MISSING ID")&amp;"; "&amp;IFERROR(INDEX(Items!$B$6:$B$1005,MATCH("proposal.t4.vessel_liner",Items!$A$6:$A$1005,0)),"MISSING ID")</x:f>
        <x:v>Layered protective composite stock; Fitted chemical-vessel liner insert</x:v>
      </x:c>
      <x:c r="F8" s="4" t="str">
        <x:v>Pottery, insulators, workshop crucibles, fitted protection</x:v>
      </x:c>
      <x:c r="G8" s="4" t="str">
        <x:v>Electrical ceramics and refractory grades are separate services. Binder/firing qualification remains open. New T4 candidate routes: Fitted chemical-vessel liner insert. These are partial material/component proposals; use recipe links for the candidate inputs. Full fit, service limits, power, tools and missing subparts remain unresolved.</x:v>
      </x:c>
      <x:c r="H8" s="4" t="str">
        <x:v>Proposal; partial routes</x:v>
      </x:c>
    </x:row>
    <x:row r="9" ht="210" customHeight="1">
      <x:c r="A9" s="4" t="str">
        <x:v>Glass and optical stock</x:v>
      </x:c>
      <x:c r="B9" s="4" t="str">
        <x:f>IFERROR(INDEX('Items'!$B$6:$B$1005,MATCH("proposal.t1.opaque_glass",'Items'!$A$6:$A$1005,0)),"MISSING ID")&amp;"; "&amp;IFERROR(INDEX('Items'!$B$6:$B$1005,MATCH("proposal.t1.clear_glass_blank",'Items'!$A$6:$A$1005,0)),"MISSING ID")</x:f>
        <x:v>Opaque mineral-glass stock; Rough clear-glass blank</x:v>
      </x:c>
      <x:c r="C9" s="4" t="str">
        <x:f>IFERROR(INDEX('Items'!$B$6:$B$1005,MATCH("proposal.branch.opaque_sheet",'Items'!$A$6:$A$1005,0)),"MISSING ID")&amp;"; "&amp;IFERROR(INDEX('Items'!$B$6:$B$1005,MATCH("proposal.branch.viewing_glass",'Items'!$A$6:$A$1005,0)),"MISSING ID")</x:f>
        <x:v>Formed opaque glass sheet; Selected viewing-glass stock</x:v>
      </x:c>
      <x:c r="D9" s="4" t="str">
        <x:f>IFERROR(INDEX('Items'!$B$6:$B$1005,MATCH("proposal.branch.optical_glass",'Items'!$A$6:$A$1005,0)),"MISSING ID")&amp;"; "&amp;IFERROR(INDEX(Items!$B$6:$B$1005,MATCH("proposal.t3.reflector_stock",Items!$A$6:$A$1005,0)),"MISSING ID")</x:f>
        <x:v>Ground optical glass stock; Polished copper reflector blanks</x:v>
      </x:c>
      <x:c r="E9" s="4" t="str">
        <x:f>IFERROR(INDEX('Items'!$B$6:$B$1005,MATCH("proposal.branch.optical_module",'Items'!$A$6:$A$1005,0)),"MISSING ID")</x:f>
        <x:v>Aligned optical subassembly</x:v>
      </x:c>
      <x:c r="F9" s="4" t="str">
        <x:v>Vessels, viewing inserts, rare spectacles and instruments</x:v>
      </x:c>
      <x:c r="G9" s="4" t="str">
        <x:v>Opaque sheet may stop at T2; clear/precision branches require exceptional feed and specialist finish. T4 readiness ideas (not new catalogued T4 recipes): Polished copper reflector blanks → Aligned optical subassembly using the existing optical branch; reflection quality remains a proposal.</x:v>
      </x:c>
      <x:c r="H9" s="4" t="str">
        <x:v>Proposal; partial routes</x:v>
      </x:c>
    </x:row>
    <x:row r="10" ht="210" customHeight="1">
      <x:c r="A10" s="4" t="str">
        <x:v>Husk and casing stock</x:v>
      </x:c>
      <x:c r="B10" s="4" t="str">
        <x:f>IFERROR(INDEX('Items'!$B$6:$B$1005,MATCH("proposal.t1.husk_pulp",'Items'!$A$6:$A$1005,0)),"MISSING ID")&amp;"; "&amp;IFERROR(INDEX('Items'!$B$6:$B$1005,MATCH("proposal.bio.pressed_husk",'Items'!$A$6:$A$1005,0)),"MISSING ID")&amp;"; "&amp;IFERROR(INDEX('Items'!$B$6:$B$1005,MATCH("proposal.t1.shell_adhesive",'Items'!$A$6:$A$1005,0)),"MISSING ID")</x:f>
        <x:v>Prepared husk-fiber pulp; Pressed husk-fiber textile material; Prepared shell-binding adhesive</x:v>
      </x:c>
      <x:c r="C10" s="4" t="str">
        <x:f>IFERROR(INDEX('Items'!$B$6:$B$1005,MATCH("",'Items'!$A$6:$A$1005,0)),"")&amp;"; "&amp;IFERROR(INDEX('Items'!$B$6:$B$1005,MATCH("proposal.branch.husk_sheet",'Items'!$A$6:$A$1005,0)),"")</x:f>
      </x:c>
      <x:c r="D10" s="4" t="str">
        <x:f>IFERROR(INDEX('Items'!$B$6:$B$1005,MATCH("proposal.branch.husk_composite",'Items'!$A$6:$A$1005,0)),"MISSING ID")&amp;"; "&amp;IFERROR(INDEX('Items'!$B$6:$B$1005,MATCH("proposal.branch.decorative_husk",'Items'!$A$6:$A$1005,0)),"MISSING ID")&amp;"; "&amp;IFERROR(INDEX(Items!$B$6:$B$1005,MATCH("proposal.t3.husk_joint",Items!$A$6:$A$1005,0)),"MISSING ID")</x:f>
        <x:v>Layered husk composite stock; Finished decorative husk stock; Flexible husk joint strips</x:v>
      </x:c>
      <x:c r="E10" s="4" t="str">
        <x:f>IFERROR(INDEX('Items'!$B$6:$B$1005,MATCH("proposal.branch.sealed_casing",'Items'!$A$6:$A$1005,0)),"MISSING ID")</x:f>
        <x:v>Sealed composite casing stock</x:v>
      </x:c>
      <x:c r="F10" s="4" t="str">
        <x:v>Records, rare finished trim, enclosures and fitted covers</x:v>
      </x:c>
      <x:c r="G10" s="4" t="str">
        <x:v>No ordinary cloth. Large material/time costs remain; overview options are not complete bills of materials. T4 readiness ideas (not new catalogued T4 recipes): Flexible husk joint strips → Articulated casing subassembly; no ordinary cloth, cheap textile supply or guaranteed fatigue life.</x:v>
      </x:c>
      <x:c r="H10" s="4" t="str">
        <x:v>Proposal; partial routes</x:v>
      </x:c>
    </x:row>
    <x:row r="11" ht="210" customHeight="1">
      <x:c r="A11" s="4" t="str">
        <x:v>Shell protection</x:v>
      </x:c>
      <x:c r="B11" s="4" t="str">
        <x:f>IFERROR(INDEX('Items'!$B$6:$B$1005,MATCH("proposal.t1.shell_lamina",'Items'!$A$6:$A$1005,0)),"MISSING ID")&amp;"; "&amp;IFERROR(INDEX('Items'!$B$6:$B$1005,MATCH("proposal.t1.shell_adhesive",'Items'!$A$6:$A$1005,0)),"MISSING ID")</x:f>
        <x:v>Separated shell lamina stock; Prepared shell-binding adhesive</x:v>
      </x:c>
      <x:c r="C11" s="4" t="str">
        <x:f>IFERROR(INDEX('Items'!$B$6:$B$1005,MATCH("proposal.bio.laminate",'Items'!$A$6:$A$1005,0)),"MISSING ID")&amp;"; "&amp;IFERROR(INDEX('Items'!$B$6:$B$1005,MATCH("proposal.branch.filled_binder",'Items'!$A$6:$A$1005,0)),"MISSING ID")</x:f>
        <x:v>Shell laminate; Filled shell-binding compound</x:v>
      </x:c>
      <x:c r="D11" s="4" t="str">
        <x:f>IFERROR(INDEX('Items'!$B$6:$B$1005,MATCH("proposal.branch.steel_shell",'Items'!$A$6:$A$1005,0)),"MISSING ID")&amp;"; "&amp;IFERROR(INDEX('Items'!$B$6:$B$1005,MATCH("proposal.branch.ceramic_shell",'Items'!$A$6:$A$1005,0)),"MISSING ID")&amp;"; "&amp;IFERROR(INDEX(Items!$B$6:$B$1005,MATCH("proposal.t3.hinged_shell",Items!$A$6:$A$1005,0)),"MISSING ID")</x:f>
        <x:v>Steel-faced shell composite; Bonded ceramic-shell composite; Hinged shell-panel sets</x:v>
      </x:c>
      <x:c r="E11" s="4" t="str">
        <x:f>IFERROR(INDEX('Items'!$B$6:$B$1005,MATCH("proposal.branch.protective_stock",'Items'!$A$6:$A$1005,0)),"MISSING ID")&amp;"; "&amp;IFERROR(INDEX(Items!$B$6:$B$1005,MATCH("proposal.t4.articulated_guard",Items!$A$6:$A$1005,0)),"MISSING ID")</x:f>
        <x:v>Layered protective composite stock; Articulated guard-panel subassembly</x:v>
      </x:c>
      <x:c r="F11" s="4" t="str">
        <x:v>Armor plates, shields and machine covers</x:v>
      </x:c>
      <x:c r="G11" s="4" t="str">
        <x:v>Cheap raw shell can become costly qualified stock; no ballistic or universal performance guarantee. New T4 candidate routes: Articulated guard-panel subassembly. These are partial material/component proposals; use recipe links for the candidate inputs. Full fit, service limits, power, tools and missing subparts remain unresolved.</x:v>
      </x:c>
      <x:c r="H11" s="4" t="str">
        <x:v>Proposal; partial routes</x:v>
      </x:c>
    </x:row>
    <x:row r="12" ht="210" customHeight="1">
      <x:c r="A12" s="4" t="str">
        <x:v>Seals and machine lubricants</x:v>
      </x:c>
      <x:c r="B12" s="4" t="str">
        <x:f>IFERROR(INDEX('Items'!$B$6:$B$1005,MATCH("proposal.t1.clot_seal",'Items'!$A$6:$A$1005,0)),"MISSING ID")&amp;"; "&amp;IFERROR(INDEX('Items'!$B$6:$B$1005,MATCH("proposal.lubricant.base",'Items'!$A$6:$A$1005,0)),"MISSING ID")&amp;"; "&amp;IFERROR(INDEX('Items'!$B$6:$B$1005,MATCH("proposal.lubricant.thickener",'Items'!$A$6:$A$1005,0)),"MISSING ID")&amp;"; "&amp;IFERROR(INDEX('Items'!$B$6:$B$1005,MATCH("proposal.branch.flex_binder",'Items'!$A$6:$A$1005,0)),"MISSING ID")</x:f>
        <x:v>Prepared clot-seal compound; Clarified faunal lubricant base; Prepared secretion thickener; Prepared flexible faunal binder</x:v>
      </x:c>
      <x:c r="C12" s="4" t="str">
        <x:f>IFERROR(INDEX('Items'!$B$6:$B$1005,MATCH("proposal.branch.filled_seal",'Items'!$A$6:$A$1005,0)),"MISSING ID")&amp;"; "&amp;IFERROR(INDEX('Items'!$B$6:$B$1005,MATCH("proposal.branch.flex_bond",'Items'!$A$6:$A$1005,0)),"MISSING ID")&amp;"; "&amp;IFERROR(INDEX('Items'!$B$6:$B$1005,MATCH("proposal.lubricant.joint_grease",'Items'!$A$6:$A$1005,0)),"MISSING ID")&amp;"; "&amp;IFERROR(INDEX('Items'!$B$6:$B$1005,MATCH("proposal.lubricant.precision_oil",'Items'!$A$6:$A$1005,0)),"MISSING ID")</x:f>
        <x:v>Filled faunal seal compound; Flexible membrane-bonding compound; Faunal joint grease; Fine mechanism oil</x:v>
      </x:c>
      <x:c r="D12" s="4" t="str">
        <x:f>IFERROR(INDEX('Items'!$B$6:$B$1005,MATCH("proposal.branch.sealing_sheet",'Items'!$A$6:$A$1005,0)),"MISSING ID")&amp;"; "&amp;IFERROR(INDEX('Items'!$B$6:$B$1005,MATCH("proposal.canister.sealant",'Items'!$A$6:$A$1005,0)),"MISSING ID")&amp;"; "&amp;IFERROR(INDEX(Items!$B$6:$B$1005,MATCH("proposal.t3.packing_stock",Items!$A$6:$A$1005,0)),"MISSING ID")&amp;"; "&amp;IFERROR(INDEX(Items!$B$6:$B$1005,MATCH("proposal.t3.service_grease",Items!$A$6:$A$1005,0)),"MISSING ID")</x:f>
        <x:v>Reinforced sealing sheet; Canister joint sealant; Husk-reinforced packing stock; Conditioned mechanism-service grease</x:v>
      </x:c>
      <x:c r="E12" s="4" t="str">
        <x:f>IFERROR(INDEX('Items'!$B$6:$B$1005,MATCH("proposal.branch.sealed_casing",'Items'!$A$6:$A$1005,0)),"MISSING ID")&amp;"; "&amp;IFERROR(INDEX('Items'!$B$6:$B$1005,MATCH("proposal.branch.encapsulated_conductor",'Items'!$A$6:$A$1005,0)),"MISSING ID")&amp;"; "&amp;IFERROR(INDEX(Items!$B$6:$B$1005,MATCH("proposal.t4.valve_core",Items!$A$6:$A$1005,0)),"MISSING ID")&amp;"; "&amp;IFERROR(INDEX(Items!$B$6:$B$1005,MATCH("proposal.t4.seal_carrier",Items!$A$6:$A$1005,0)),"MISSING ID")</x:f>
        <x:v>Sealed composite casing stock; Encapsulated conductor stock; Fitted canister valve-core assembly; Replaceable seal-carrier assembly</x:v>
      </x:c>
      <x:c r="F12" s="4" t="str">
        <x:v>Canister service, dust exclusion, mechanical maintenance</x:v>
      </x:c>
      <x:c r="G12" s="4" t="str">
        <x:v>Separate lubricant, adhesive and sealing functions. No raw-fat/wax assumption; canister grades need compatibility/pressure design. New T4 candidate routes: Fitted canister valve-core assembly; Replaceable seal-carrier assembly. These are partial material/component proposals; use recipe links for the candidate inputs. Full fit, service limits, power, tools and missing subparts remain unresolved.</x:v>
      </x:c>
      <x:c r="H12" s="4" t="str">
        <x:v>Proposal; partial routes</x:v>
      </x:c>
    </x:row>
    <x:row r="13" ht="210" customHeight="1">
      <x:c r="A13" s="4" t="str">
        <x:v>Wing membranes</x:v>
      </x:c>
      <x:c r="B13" s="4" t="str">
        <x:f>IFERROR(INDEX('Items'!$B$6:$B$1005,MATCH("proposal.wind.sail_panel",'Items'!$A$6:$A$1005,0)),"MISSING ID")&amp;"; "&amp;IFERROR(INDEX('Items'!$B$6:$B$1005,MATCH("proposal.bio.cord",'Items'!$A$6:$A$1005,0)),"MISSING ID")&amp;"; "&amp;IFERROR(INDEX('Items'!$B$6:$B$1005,MATCH("proposal.branch.flex_binder",'Items'!$A$6:$A$1005,0)),"MISSING ID")</x:f>
        <x:v>Prepared insect-wing sail panel; Tendon cord; Prepared flexible faunal binder</x:v>
      </x:c>
      <x:c r="C13" s="4" t="str">
        <x:f>IFERROR(INDEX('Items'!$B$6:$B$1005,MATCH("proposal.branch.wing_membrane",'Items'!$A$6:$A$1005,0)),"MISSING ID")</x:f>
        <x:v>Reinforced wing membrane</x:v>
      </x:c>
      <x:c r="D13" s="4" t="str">
        <x:f>IFERROR(INDEX(Items!$B$6:$B$1005,MATCH("proposal.t3.wing_seam",Items!$A$6:$A$1005,0)),"MISSING ID")&amp;"; "&amp;IFERROR(INDEX(Items!$B$6:$B$1005,MATCH("proposal.t3.sail_panel_set",Items!$A$6:$A$1005,0)),"MISSING ID")</x:f>
        <x:v>Bonded wing-seam reinforcement strips; Matched folding wing-panel sets</x:v>
      </x:c>
      <x:c r="E13" s="4" t="str">
        <x:f>IFERROR(INDEX(Items!$B$6:$B$1005,MATCH("proposal.t4.spar_joint",Items!$A$6:$A$1005,0)),"MISSING ID")&amp;"; "&amp;IFERROR(INDEX(Items!$B$6:$B$1005,MATCH("proposal.t4.joined_wing_panels",Items!$A$6:$A$1005,0)),"MISSING ID")</x:f>
        <x:v>Collapsible sail-spar joint kit; Joined folding wing-panel assembly</x:v>
      </x:c>
      <x:c r="F13" s="4" t="str">
        <x:v>Handheld sails, vertical shades, wind devices</x:v>
      </x:c>
      <x:c r="G13" s="4" t="str">
        <x:v>Earlier T2 stock remains usable directly; joining, frames and service limits are still needed for finished gear. New T4 candidate routes: Collapsible sail-spar joint kit; Joined folding wing-panel assembly. These are partial material/component proposals; use recipe links for the candidate inputs. Full fit, service limits, power, tools and missing subparts remain unresolved.</x:v>
      </x:c>
      <x:c r="H13" s="4" t="str">
        <x:v>Proposal; partial routes</x:v>
      </x:c>
    </x:row>
    <x:row r="14" ht="210" customHeight="1">
      <x:c r="A14" s="4" t="str">
        <x:v>Stone, gems and wearable craft</x:v>
      </x:c>
      <x:c r="B14" s="4" t="str">
        <x:f>IFERROR(INDEX('Items'!$B$6:$B$1005,MATCH("proposal.t1.resonant_blank",'Items'!$A$6:$A$1005,0)),"MISSING ID")&amp;"; "&amp;IFERROR(INDEX('Items'!$B$6:$B$1005,MATCH("proposal.t1.gem_preform",'Items'!$A$6:$A$1005,0)),"MISSING ID")&amp;"; "&amp;IFERROR(INDEX('Items'!$B$6:$B$1005,MATCH("proposal.natural.abrasive",'Items'!$A$6:$A$1005,0)),"MISSING ID")</x:f>
        <x:v>Selected resonant-stone blank; Cut gemstone preform; Graded abrasive grit</x:v>
      </x:c>
      <x:c r="C14" s="4" t="str">
        <x:f>IFERROR(INDEX('Items'!$B$6:$B$1005,MATCH("proposal.branch.tuned_stone",'Items'!$A$6:$A$1005,0)),"MISSING ID")&amp;"; "&amp;IFERROR(INDEX('Items'!$B$6:$B$1005,MATCH("proposal.branch.polished_gem",'Items'!$A$6:$A$1005,0)),"MISSING ID")</x:f>
        <x:v>Tuned stone stock; Polished gemstone blanks</x:v>
      </x:c>
      <x:c r="D14" s="4" t="str">
        <x:f>IFERROR(INDEX(Items!$B$6:$B$1005,MATCH("proposal.t3.inlay_stock",Items!$A$6:$A$1005,0)),"MISSING ID")&amp;"; "&amp;IFERROR(INDEX(Items!$B$6:$B$1005,MATCH("proposal.t3.tuned_insert",Items!$A$6:$A$1005,0)),"MISSING ID")</x:f>
        <x:v>Gem-inlaid metal panel blanks; Mounted tuned-stone inserts</x:v>
      </x:c>
      <x:c r="E14" s="4" t="str">
        <x:f>IFERROR(INDEX(Items!$B$6:$B$1005,MATCH("proposal.t4.decorative_veneer",Items!$A$6:$A$1005,0)),"MISSING ID")&amp;"; "&amp;IFERROR(INDEX(Items!$B$6:$B$1005,MATCH("proposal.t4.acoustic_cassette",Items!$A$6:$A$1005,0)),"MISSING ID")</x:f>
        <x:v>Layered ceremonial inlay stock; Matched stone-resonator cassette</x:v>
      </x:c>
      <x:c r="F14" s="4" t="str">
        <x:v>Tuned wearables, fittings, inlays and rare display objects</x:v>
      </x:c>
      <x:c r="G14" s="4" t="str">
        <x:v>No automatic gem powers or invented national customs. Finished products can stop here. New T4 candidate routes: Layered ceremonial inlay stock; Matched stone-resonator cassette. These are partial material/component proposals; use recipe links for the candidate inputs. Full fit, service limits, power, tools and missing subparts remain unresolved.</x:v>
      </x:c>
      <x:c r="H14" s="4" t="str">
        <x:v>Proposal; partial routes</x:v>
      </x:c>
    </x:row>
    <x:row r="15" ht="135" customHeight="1">
      <x:c r="A15" s="4" t="str">
        <x:v>Color and premium finish</x:v>
      </x:c>
      <x:c r="B15" s="4" t="str">
        <x:f>IFERROR(INDEX('Items'!$B$6:$B$1005,MATCH("proposal.t1.pigment_powder",'Items'!$A$6:$A$1005,0)),"MISSING ID")&amp;"; "&amp;IFERROR(INDEX('Items'!$B$6:$B$1005,MATCH("proposal.t1.faunal_carrier",'Items'!$A$6:$A$1005,0)),"MISSING ID")</x:f>
        <x:v>Prepared mineral pigment powder; Selected faunal carrier fraction</x:v>
      </x:c>
      <x:c r="C15" s="4" t="str">
        <x:f>IFERROR(INDEX('Items'!$B$6:$B$1005,MATCH("proposal.branch.pigment_coating",'Items'!$A$6:$A$1005,0)),"MISSING ID")</x:f>
        <x:v>Mineral pigment coating</x:v>
      </x:c>
      <x:c r="D15" s="4" t="str">
        <x:f>IFERROR(INDEX('Items'!$B$6:$B$1005,MATCH("proposal.branch.decorative_husk",'Items'!$A$6:$A$1005,0)),"MISSING ID")</x:f>
        <x:v>Finished decorative husk stock</x:v>
      </x:c>
      <x:c r="E15" s="4" t="str">
        <x:f>"No further stock proposed"</x:f>
        <x:v>No further stock proposed</x:v>
      </x:c>
      <x:c r="F15" s="4" t="str">
        <x:v>Fine records, trim, civic/religious display objects</x:v>
      </x:c>
      <x:c r="G15" s="4" t="str">
        <x:v>Appearance, provenance and labor can create value independently of material tier.</x:v>
      </x:c>
      <x:c r="H15" s="4" t="str">
        <x:v>Proposal; partial routes</x:v>
      </x:c>
    </x:row>
    <x:row r="16" ht="135" customHeight="1">
      <x:c r="A16" s="4" t="str">
        <x:v>Metal surface treatment</x:v>
      </x:c>
      <x:c r="B16" s="4" t="str">
        <x:f>IFERROR(INDEX('Items'!$B$6:$B$1005,MATCH("proposal.branch.etchant",'Items'!$A$6:$A$1005,0)),"MISSING ID")&amp;"; "&amp;IFERROR(INDEX('Items'!$B$6:$B$1005,MATCH("proposal.t1.faunal_carrier",'Items'!$A$6:$A$1005,0)),"MISSING ID")&amp;"; "&amp;IFERROR(INDEX('Items'!$B$6:$B$1005,MATCH("proposal.t1.process_salts",'Items'!$A$6:$A$1005,0)),"MISSING ID")</x:f>
        <x:v>Conditioned faunal etchant; Selected faunal carrier fraction; Graded process salts</x:v>
      </x:c>
      <x:c r="C16" s="4" t="str">
        <x:f>IFERROR(INDEX('Items'!$B$6:$B$1005,MATCH("author.corrosion.advanced_remover",'Items'!$A$6:$A$1005,0)),"MISSING ID")</x:f>
        <x:v>Advanced rust-removal compound</x:v>
      </x:c>
      <x:c r="D16" s="4" t="str">
        <x:f>"No further stock proposed"</x:f>
        <x:v>No further stock proposed</x:v>
      </x:c>
      <x:c r="E16" s="4" t="str">
        <x:f>"No further stock proposed"</x:f>
        <x:v>No further stock proposed</x:v>
      </x:c>
      <x:c r="F16" s="4" t="str">
        <x:v>Specialist salvage and workshop maintenance</x:v>
      </x:c>
      <x:c r="G16" s="4" t="str">
        <x:v>Chemistry is hypothetical; no universal remover, free-water bath or replacement of metal already lost.</x:v>
      </x:c>
      <x:c r="H16" s="4" t="str">
        <x:v>Proposal; partial routes</x:v>
      </x:c>
    </x:row>
    <x:row r="17" ht="115" customHeight="1">
      <x:c r="A17" s="4" t="str">
        <x:v>Iron Growth and selected canister grades</x:v>
      </x:c>
      <x:c r="B17" s="4" t="str">
        <x:f>IFERROR(INDEX(Items!$B$6:$B$1005,MATCH("proposal.lore.assayed_growth",Items!$A$6:$A$1005,0)),"MISSING ID")</x:f>
        <x:v>Assayed Iron Growth feedstock</x:v>
      </x:c>
      <x:c r="C17" s="4" t="str">
        <x:f>IFERROR(INDEX(Items!$B$6:$B$1005,MATCH("proposal.lore.growth_alloy",Items!$A$6:$A$1005,0)),"MISSING ID")</x:f>
        <x:v>Canister-grade Growth alloy stock</x:v>
      </x:c>
      <x:c r="D17" s="4" t="str">
        <x:f>IFERROR(INDEX(Items!$B$6:$B$1005,MATCH("proposal.lore.growth_seat_blank",Items!$A$6:$A$1005,0)),"MISSING ID")</x:f>
        <x:v>Growth-alloy seal-seat blanks</x:v>
      </x:c>
      <x:c r="E17" s="4" t="str">
        <x:f>IFERROR(INDEX(Items!$B$6:$B$1005,MATCH("proposal.lore.growth_seat_assembly",Items!$A$6:$A$1005,0)),"MISSING ID")</x:f>
        <x:v>Matched Growth seal-seat assembly</x:v>
      </x:c>
      <x:c r="F17" s="4" t="str">
        <x:v>Selected seal interfaces and infrastructure stock</x:v>
      </x:c>
      <x:c r="G17" s="4" t="str">
        <x:v>Raw young/mature/old/ruin source grades are all T0; age/depth is independent of crafting tier. Source WLD-0058 is proposal.</x:v>
      </x:c>
      <x:c r="H17" s="4" t="str">
        <x:v>Proposal; partial routes</x:v>
      </x:c>
    </x:row>
    <x:row r="18" ht="115" customHeight="1">
      <x:c r="A18" s="4" t="str">
        <x:v>Contained Phagia processing</x:v>
      </x:c>
      <x:c r="B18" s="4" t="str">
        <x:f>IFERROR(INDEX(Items!$B$6:$B$1005,MATCH("proposal.lore.phagia_enzyme",Items!$A$6:$A$1005,0)),"MISSING ID")&amp;"; "&amp;IFERROR(INDEX(Items!$B$6:$B$1005,MATCH("proposal.lore.phagia_acid",Items!$A$6:$A$1005,0)),"MISSING ID")&amp;"; "&amp;IFERROR(INDEX(Items!$B$6:$B$1005,MATCH("proposal.lore.phagia_adhesive",Items!$A$6:$A$1005,0)),"MISSING ID")</x:f>
        <x:v>Selected Phagia enzyme fraction; Selected Phagia mild-acid fraction; Concentrated Phagia adhesive base</x:v>
      </x:c>
      <x:c r="C18" s="4" t="str">
        <x:f>IFERROR(INDEX(Items!$B$6:$B$1005,MATCH("proposal.lore.shell_cleaning_charge",Items!$A$6:$A$1005,0)),"MISSING ID")&amp;"; "&amp;IFERROR(INDEX(Items!$B$6:$B$1005,MATCH("proposal.lore.chitin_binder_residue",Items!$A$6:$A$1005,0)),"MISSING ID")</x:f>
        <x:v>Chitin-cleaning process charge; Concentrated chitin binder residue</x:v>
      </x:c>
      <x:c r="D18" s="4" t="str">
        <x:f>"No further stock proposed"</x:f>
        <x:v>No further stock proposed</x:v>
      </x:c>
      <x:c r="E18" s="4" t="str">
        <x:f>"No further stock proposed"</x:f>
        <x:v>No further stock proposed</x:v>
      </x:c>
      <x:c r="F18" s="4" t="str">
        <x:v>Shell preparation, selected binders and processing charges</x:v>
      </x:c>
      <x:c r="G18" s="4" t="str">
        <x:v>Industrial fractions remain separate from nutrition; no ordinary Phagia cloth or free-water process is adopted. Source WLD-0061 is proposal.</x:v>
      </x:c>
      <x:c r="H18" s="4" t="str">
        <x:v>Proposal; partial routes</x:v>
      </x:c>
    </x:row>
    <x:row r="19" ht="115" customHeight="1">
      <x:c r="A19" s="4" t="str">
        <x:v>Domestic beetle husbandry</x:v>
      </x:c>
      <x:c r="B19" s="4" t="str">
        <x:f>IFERROR(INDEX(Items!$B$6:$B$1005,MATCH("proposal.natural.iron_feed",Items!$A$6:$A$1005,0)),"MISSING ID")&amp;"; "&amp;IFERROR(INDEX(Items!$B$6:$B$1005,MATCH("proposal.t1.process_salts",Items!$A$6:$A$1005,0)),"MISSING ID")</x:f>
        <x:v>Iron-rich mineral feed; Graded process salts</x:v>
      </x:c>
      <x:c r="C19" s="4" t="str">
        <x:f>IFERROR(INDEX(Items!$B$6:$B$1005,MATCH("proposal.lore.feedstone_mix",Items!$A$6:$A$1005,0)),"MISSING ID")</x:f>
        <x:v>Graded domestic-beetle feedstone mix</x:v>
      </x:c>
      <x:c r="D19" s="4" t="str">
        <x:f>IFERROR(INDEX(Items!$B$6:$B$1005,MATCH("",Items!$A$6:$A$1005,0)),"")</x:f>
      </x:c>
      <x:c r="E19" s="4" t="str">
        <x:f>"No further stock proposed"</x:f>
        <x:v>No further stock proposed</x:v>
      </x:c>
      <x:c r="F19" s="4" t="str">
        <x:v>Finished feedstone, care tools and insulating tack</x:v>
      </x:c>
      <x:c r="G19" s="4" t="str">
        <x:v>Species/lineage feed and comfort/handling are unresolved; renewable shell harvest is a source proposal. Source WLD-0148 is proposal.</x:v>
      </x:c>
      <x:c r="H19" s="4" t="str">
        <x:v>Proposal; partial routes</x:v>
      </x:c>
    </x:row>
    <x:row r="20" ht="115" customHeight="1">
      <x:c r="A20" s="4" t="str">
        <x:v>Rugged iron electrical and retaining parts</x:v>
      </x:c>
      <x:c r="B20" s="4" t="str">
        <x:f>IFERROR(INDEX(Items!$B$6:$B$1005,MATCH("proposal.t1.iron_bloom",Items!$A$6:$A$1005,0)),"MISSING ID")</x:f>
        <x:v>Smelted iron bloom</x:v>
      </x:c>
      <x:c r="C20" s="4" t="str">
        <x:f>IFERROR(INDEX(Items!$B$6:$B$1005,MATCH("proposal.lore.iron_conductor",Items!$A$6:$A$1005,0)),"MISSING ID")&amp;"; "&amp;IFERROR(INDEX(Items!$B$6:$B$1005,MATCH("proposal.lore.iron_core_plates",Items!$A$6:$A$1005,0)),"MISSING ID")&amp;"; "&amp;IFERROR(INDEX(Items!$B$6:$B$1005,MATCH("proposal.lore.rivet_stock",Items!$A$6:$A$1005,0)),"MISSING ID")</x:f>
        <x:v>Drawn iron conductor stock; Shaped iron core plates; Rough iron rivet stock</x:v>
      </x:c>
      <x:c r="D20" s="4" t="str">
        <x:f>IFERROR(INDEX(Items!$B$6:$B$1005,MATCH("proposal.lore.iron_winding",Items!$A$6:$A$1005,0)),"MISSING ID")&amp;"; "&amp;IFERROR(INDEX(Items!$B$6:$B$1005,MATCH("proposal.lore.fastener_set",Items!$A$6:$A$1005,0)),"MISSING ID")&amp;"; "&amp;IFERROR(INDEX(Items!$B$6:$B$1005,MATCH("proposal.lore.threaded_fittings",Items!$A$6:$A$1005,0)),"MISSING ID")</x:f>
        <x:v>Iron-wound core blank; Matched metal fastener set; Threaded metal fitting blanks</x:v>
      </x:c>
      <x:c r="E20" s="4" t="str">
        <x:f>IFERROR(INDEX(Items!$B$6:$B$1005,MATCH("proposal.t4.insulated_winding",Items!$A$6:$A$1005,0)),"MISSING ID")</x:f>
        <x:v>Insulated winding subassembly</x:v>
      </x:c>
      <x:c r="F20" s="4" t="str">
        <x:v>Bulky winding systems, selected fittings and machine service</x:v>
      </x:c>
      <x:c r="G20" s="4" t="str">
        <x:v>Trace copper remains useful for specialist circuits; this branch does not guarantee electrical performance or complete a generator. Source WLD-0132 is proposal.</x:v>
      </x:c>
      <x:c r="H20" s="4" t="str">
        <x:v>Proposal; partial routes</x:v>
      </x:c>
    </x:row>
  </x:sheetData>
  <x:pageMargins left="0.7" right="0.7" top="0.75" bottom="0.75" header="0.3" footer="0.3"/>
  <x:tableParts count="1">
    <x:tablePart xmlns:r="http://schemas.openxmlformats.org/officeDocument/2006/relationships" r:id="R76ed0da36b5d40ac"/>
  </x:tableParts>
</x:worksheet>
</file>

<file path=xl/worksheets/sheet1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44" hidden="0" customWidth="1"/>
    <x:col min="2" max="2" width="38" hidden="0" customWidth="1"/>
    <x:col min="3" max="3" width="20" hidden="0" customWidth="1"/>
    <x:col min="4" max="4" width="20" hidden="0" customWidth="1"/>
    <x:col min="5" max="5" width="22" hidden="0" customWidth="1"/>
    <x:col min="6" max="6" width="47" hidden="0" customWidth="1"/>
    <x:col min="7" max="7" width="75" hidden="0" customWidth="1"/>
    <x:col min="8" max="8" width="65" hidden="0" customWidth="1"/>
    <x:col min="9" max="9" width="85" hidden="0" customWidth="1"/>
    <x:col min="10" max="10" width="115" hidden="0" customWidth="1"/>
    <x:col min="11" max="11" width="28" hidden="0" customWidth="1"/>
    <x:col min="12" max="12" width="20" hidden="0" customWidth="1"/>
  </x:cols>
  <x:sheetData>
    <x:row r="2">
      <x:c r="A2" s="2" t="str">
        <x:v>Review of 95 previously unassigned items</x:v>
      </x:c>
    </x:row>
    <x:row r="3">
      <x:c r="A3" t="str">
        <x:v>October 15 proposal audit. Current names, tiers and roles follow item IDs; decision rationale records this pass. This review is not an ingredient source.</x:v>
      </x:c>
    </x:row>
    <x:row r="5" ht="42" customHeight="1">
      <x:c r="A5" s="71" t="str">
        <x:v>Item ID</x:v>
      </x:c>
      <x:c r="B5" s="71" t="str">
        <x:v>Item name</x:v>
      </x:c>
      <x:c r="C5" s="71" t="str">
        <x:v>Previous tier</x:v>
      </x:c>
      <x:c r="D5" s="71" t="str">
        <x:v>Current tier</x:v>
      </x:c>
      <x:c r="E5" s="71" t="str">
        <x:v>Crafting role</x:v>
      </x:c>
      <x:c r="F5" s="71" t="str">
        <x:v>Review decision</x:v>
      </x:c>
      <x:c r="G5" s="71" t="str">
        <x:v>Candidate input materials</x:v>
      </x:c>
      <x:c r="H5" s="71" t="str">
        <x:v>Candidate / existing recipe ID</x:v>
      </x:c>
      <x:c r="I5" s="71" t="str">
        <x:v>Decision basis</x:v>
      </x:c>
      <x:c r="J5" s="71" t="str">
        <x:v>Still unresolved / acquisition</x:v>
      </x:c>
      <x:c r="K5" s="71" t="str">
        <x:v>Original design status</x:v>
      </x:c>
      <x:c r="L5" s="71" t="str">
        <x:v>Tier sort order</x:v>
      </x:c>
    </x:row>
    <x:row r="6" ht="165" customHeight="1">
      <x:c r="A6" s="4" t="str">
        <x:v>lab.salvage.drive_assembly</x:v>
      </x:c>
      <x:c r="B6" s="4" t="str">
        <x:f>IFERROR(INDEX('Items'!$B$6:$B$1005,MATCH(A6,'Items'!$A$6:$A$1005,0)),"MISSING ID")</x:f>
        <x:v>Drive Assembly</x:v>
      </x:c>
      <x:c r="C6" s="4" t="str">
        <x:v>Unassigned</x:v>
      </x:c>
      <x:c r="D6" s="4" t="str">
        <x:f>IFERROR(INDEX('Items'!$C$6:$C$1005,MATCH(A6,'Items'!$A$6:$A$1005,0)),"MISSING ID")</x:f>
        <x:v>Not applicable</x:v>
      </x:c>
      <x:c r="E6" s="4" t="str">
        <x:f>IFERROR(INDEX('Items'!$AI$6:$AI$1005,MATCH(A6,'Items'!$A$6:$A$1005,0)),"MISSING ID")</x:f>
        <x:v>Component</x:v>
      </x:c>
      <x:c r="F6" s="4" t="str">
        <x:v>Recovered component; manufacture unresolved</x:v>
      </x:c>
      <x:c r="G6" s="4" t="str">
        <x:f>"Recover compatible piece / issue currency; manufacture unspecified"</x:f>
        <x:v>Recover compatible piece / issue currency; manufacture unspecified</x:v>
      </x:c>
      <x:c r="H6" s="4" t="str">
        <x:v>No manufacturing recipe assigned</x:v>
      </x:c>
      <x:c r="I6" s="4" t="str">
        <x:v>Acquired as an already manufactured recovered part. A refinement tier cannot be inferred from salvage rarity or apparent complexity.</x:v>
      </x:c>
      <x:c r="J6" s="4" t="str">
        <x:v>Recover and inspect a compatible part. Parent machine, recovery tools, repairs and present-day reproduction inputs are not established. No self-consuming or fabricated manufacturing recipe added.</x:v>
      </x:c>
      <x:c r="K6" s="4" t="str">
        <x:f>IFERROR(INDEX('Items'!$AD$6:$AD$1005,MATCH(A6,'Items'!$A$6:$A$1005,0)),"MISSING ID")</x:f>
        <x:v>Existing definition</x:v>
      </x:c>
      <x:c r="L6" s="4" t="n">
        <x:f>IFERROR(INDEX('Items'!$AN$6:$AN$1005,MATCH(A6,'Items'!$A$6:$A$1005,0)),"MISSING ID")</x:f>
        <x:v>99</x:v>
      </x:c>
    </x:row>
    <x:row r="7" ht="165" customHeight="1">
      <x:c r="A7" s="4" t="str">
        <x:v>lab.salvage.metal_plate</x:v>
      </x:c>
      <x:c r="B7" s="4" t="str">
        <x:f>IFERROR(INDEX('Items'!$B$6:$B$1005,MATCH(A7,'Items'!$A$6:$A$1005,0)),"MISSING ID")</x:f>
        <x:v>Metal Plate</x:v>
      </x:c>
      <x:c r="C7" s="4" t="str">
        <x:v>Unassigned</x:v>
      </x:c>
      <x:c r="D7" s="4" t="str">
        <x:f>IFERROR(INDEX('Items'!$C$6:$C$1005,MATCH(A7,'Items'!$A$6:$A$1005,0)),"MISSING ID")</x:f>
        <x:v>Not applicable</x:v>
      </x:c>
      <x:c r="E7" s="4" t="str">
        <x:f>IFERROR(INDEX('Items'!$AI$6:$AI$1005,MATCH(A7,'Items'!$A$6:$A$1005,0)),"MISSING ID")</x:f>
        <x:v>Component</x:v>
      </x:c>
      <x:c r="F7" s="4" t="str">
        <x:v>Recovered component; manufacture unresolved</x:v>
      </x:c>
      <x:c r="G7" s="4" t="str">
        <x:f>"Recover compatible piece / issue currency; manufacture unspecified"</x:f>
        <x:v>Recover compatible piece / issue currency; manufacture unspecified</x:v>
      </x:c>
      <x:c r="H7" s="4" t="str">
        <x:v>No manufacturing recipe assigned</x:v>
      </x:c>
      <x:c r="I7" s="4" t="str">
        <x:v>Acquired as an already manufactured recovered part. A refinement tier cannot be inferred from salvage rarity or apparent complexity.</x:v>
      </x:c>
      <x:c r="J7" s="4" t="str">
        <x:v>Recover and inspect a compatible part. Parent machine, recovery tools, repairs and present-day reproduction inputs are not established. No self-consuming or fabricated manufacturing recipe added.</x:v>
      </x:c>
      <x:c r="K7" s="4" t="str">
        <x:f>IFERROR(INDEX('Items'!$AD$6:$AD$1005,MATCH(A7,'Items'!$A$6:$A$1005,0)),"MISSING ID")</x:f>
        <x:v>Existing definition</x:v>
      </x:c>
      <x:c r="L7" s="4" t="n">
        <x:f>IFERROR(INDEX('Items'!$AN$6:$AN$1005,MATCH(A7,'Items'!$A$6:$A$1005,0)),"MISSING ID")</x:f>
        <x:v>99</x:v>
      </x:c>
    </x:row>
    <x:row r="8" ht="165" customHeight="1">
      <x:c r="A8" s="4" t="str">
        <x:v>lab.salvage.wire_bundle</x:v>
      </x:c>
      <x:c r="B8" s="4" t="str">
        <x:f>IFERROR(INDEX('Items'!$B$6:$B$1005,MATCH(A8,'Items'!$A$6:$A$1005,0)),"MISSING ID")</x:f>
        <x:v>Wire Bundle</x:v>
      </x:c>
      <x:c r="C8" s="4" t="str">
        <x:v>Unassigned</x:v>
      </x:c>
      <x:c r="D8" s="4" t="str">
        <x:f>IFERROR(INDEX('Items'!$C$6:$C$1005,MATCH(A8,'Items'!$A$6:$A$1005,0)),"MISSING ID")</x:f>
        <x:v>Not applicable</x:v>
      </x:c>
      <x:c r="E8" s="4" t="str">
        <x:f>IFERROR(INDEX('Items'!$AI$6:$AI$1005,MATCH(A8,'Items'!$A$6:$A$1005,0)),"MISSING ID")</x:f>
        <x:v>Component</x:v>
      </x:c>
      <x:c r="F8" s="4" t="str">
        <x:v>Recovered component; manufacture unresolved</x:v>
      </x:c>
      <x:c r="G8" s="4" t="str">
        <x:f>"Recover compatible piece / issue currency; manufacture unspecified"</x:f>
        <x:v>Recover compatible piece / issue currency; manufacture unspecified</x:v>
      </x:c>
      <x:c r="H8" s="4" t="str">
        <x:v>No manufacturing recipe assigned</x:v>
      </x:c>
      <x:c r="I8" s="4" t="str">
        <x:v>Acquired as an already manufactured recovered part. A refinement tier cannot be inferred from salvage rarity or apparent complexity.</x:v>
      </x:c>
      <x:c r="J8" s="4" t="str">
        <x:v>Recover and inspect a compatible part. Parent machine, recovery tools, repairs and present-day reproduction inputs are not established. No self-consuming or fabricated manufacturing recipe added.</x:v>
      </x:c>
      <x:c r="K8" s="4" t="str">
        <x:f>IFERROR(INDEX('Items'!$AD$6:$AD$1005,MATCH(A8,'Items'!$A$6:$A$1005,0)),"MISSING ID")</x:f>
        <x:v>Existing definition</x:v>
      </x:c>
      <x:c r="L8" s="4" t="n">
        <x:f>IFERROR(INDEX('Items'!$AN$6:$AN$1005,MATCH(A8,'Items'!$A$6:$A$1005,0)),"MISSING ID")</x:f>
        <x:v>99</x:v>
      </x:c>
    </x:row>
    <x:row r="9" ht="165" customHeight="1">
      <x:c r="A9" s="4" t="str">
        <x:v>proposal.wind.rotor</x:v>
      </x:c>
      <x:c r="B9" s="4" t="str">
        <x:f>IFERROR(INDEX('Items'!$B$6:$B$1005,MATCH(A9,'Items'!$A$6:$A$1005,0)),"MISSING ID")</x:f>
        <x:v>Salvaged turbine rotor assembly</x:v>
      </x:c>
      <x:c r="C9" s="4" t="str">
        <x:v>Unassigned</x:v>
      </x:c>
      <x:c r="D9" s="4" t="str">
        <x:f>IFERROR(INDEX('Items'!$C$6:$C$1005,MATCH(A9,'Items'!$A$6:$A$1005,0)),"MISSING ID")</x:f>
        <x:v>Not applicable</x:v>
      </x:c>
      <x:c r="E9" s="4" t="str">
        <x:f>IFERROR(INDEX('Items'!$AI$6:$AI$1005,MATCH(A9,'Items'!$A$6:$A$1005,0)),"MISSING ID")</x:f>
        <x:v>Component</x:v>
      </x:c>
      <x:c r="F9" s="4" t="str">
        <x:v>Recovered component; manufacture unresolved</x:v>
      </x:c>
      <x:c r="G9" s="4" t="str">
        <x:f>"Recover compatible piece / issue currency; manufacture unspecified"</x:f>
        <x:v>Recover compatible piece / issue currency; manufacture unspecified</x:v>
      </x:c>
      <x:c r="H9" s="4" t="str">
        <x:v>No manufacturing recipe assigned</x:v>
      </x:c>
      <x:c r="I9" s="4" t="str">
        <x:v>Acquired as an already manufactured recovered part. A refinement tier cannot be inferred from salvage rarity or apparent complexity.</x:v>
      </x:c>
      <x:c r="J9" s="4" t="str">
        <x:v>Recover and inspect a compatible part. Parent machine, recovery tools, repairs and present-day reproduction inputs are not established. No self-consuming or fabricated manufacturing recipe added.</x:v>
      </x:c>
      <x:c r="K9" s="4" t="str">
        <x:f>IFERROR(INDEX('Items'!$AD$6:$AD$1005,MATCH(A9,'Items'!$A$6:$A$1005,0)),"MISSING ID")</x:f>
        <x:v>Proposal</x:v>
      </x:c>
      <x:c r="L9" s="4" t="n">
        <x:f>IFERROR(INDEX('Items'!$AN$6:$AN$1005,MATCH(A9,'Items'!$A$6:$A$1005,0)),"MISSING ID")</x:f>
        <x:v>99</x:v>
      </x:c>
    </x:row>
    <x:row r="10" ht="165" customHeight="1">
      <x:c r="A10" s="4" t="str">
        <x:v>proposal.wind.generator</x:v>
      </x:c>
      <x:c r="B10" s="4" t="str">
        <x:f>IFERROR(INDEX('Items'!$B$6:$B$1005,MATCH(A10,'Items'!$A$6:$A$1005,0)),"MISSING ID")</x:f>
        <x:v>Salvaged generator assembly</x:v>
      </x:c>
      <x:c r="C10" s="4" t="str">
        <x:v>Unassigned</x:v>
      </x:c>
      <x:c r="D10" s="4" t="str">
        <x:f>IFERROR(INDEX('Items'!$C$6:$C$1005,MATCH(A10,'Items'!$A$6:$A$1005,0)),"MISSING ID")</x:f>
        <x:v>Not applicable</x:v>
      </x:c>
      <x:c r="E10" s="4" t="str">
        <x:f>IFERROR(INDEX('Items'!$AI$6:$AI$1005,MATCH(A10,'Items'!$A$6:$A$1005,0)),"MISSING ID")</x:f>
        <x:v>Component</x:v>
      </x:c>
      <x:c r="F10" s="4" t="str">
        <x:v>Recovered component; manufacture unresolved</x:v>
      </x:c>
      <x:c r="G10" s="4" t="str">
        <x:f>"Recover compatible piece / issue currency; manufacture unspecified"</x:f>
        <x:v>Recover compatible piece / issue currency; manufacture unspecified</x:v>
      </x:c>
      <x:c r="H10" s="4" t="str">
        <x:v>No manufacturing recipe assigned</x:v>
      </x:c>
      <x:c r="I10" s="4" t="str">
        <x:v>Acquired as an already manufactured recovered part. A refinement tier cannot be inferred from salvage rarity or apparent complexity.</x:v>
      </x:c>
      <x:c r="J10" s="4" t="str">
        <x:v>Recover and inspect a compatible part. Parent machine, recovery tools, repairs and present-day reproduction inputs are not established. No self-consuming or fabricated manufacturing recipe added.</x:v>
      </x:c>
      <x:c r="K10" s="4" t="str">
        <x:f>IFERROR(INDEX('Items'!$AD$6:$AD$1005,MATCH(A10,'Items'!$A$6:$A$1005,0)),"MISSING ID")</x:f>
        <x:v>Proposal</x:v>
      </x:c>
      <x:c r="L10" s="4" t="n">
        <x:f>IFERROR(INDEX('Items'!$AN$6:$AN$1005,MATCH(A10,'Items'!$A$6:$A$1005,0)),"MISSING ID")</x:f>
        <x:v>99</x:v>
      </x:c>
    </x:row>
    <x:row r="11" ht="165" customHeight="1">
      <x:c r="A11" s="4" t="str">
        <x:v>proposal.ancient.carbon_composite</x:v>
      </x:c>
      <x:c r="B11" s="4" t="str">
        <x:f>IFERROR(INDEX('Items'!$B$6:$B$1005,MATCH(A11,'Items'!$A$6:$A$1005,0)),"MISSING ID")</x:f>
        <x:v>Ancient carbon composite</x:v>
      </x:c>
      <x:c r="C11" s="4" t="str">
        <x:v>Unassigned</x:v>
      </x:c>
      <x:c r="D11" s="4" t="str">
        <x:f>IFERROR(INDEX('Items'!$C$6:$C$1005,MATCH(A11,'Items'!$A$6:$A$1005,0)),"MISSING ID")</x:f>
        <x:v>Not applicable</x:v>
      </x:c>
      <x:c r="E11" s="4" t="str">
        <x:f>IFERROR(INDEX('Items'!$AI$6:$AI$1005,MATCH(A11,'Items'!$A$6:$A$1005,0)),"MISSING ID")</x:f>
        <x:v>Material</x:v>
      </x:c>
      <x:c r="F11" s="4" t="str">
        <x:v>Ancient recovery; manufacture unresolved</x:v>
      </x:c>
      <x:c r="G11" s="4" t="str">
        <x:f>"Recover compatible piece / issue currency; manufacture unspecified"</x:f>
        <x:v>Recover compatible piece / issue currency; manufacture unspecified</x:v>
      </x:c>
      <x:c r="H11" s="4" t="str">
        <x:v>No manufacturing recipe assigned</x:v>
      </x:c>
      <x:c r="I11" s="4" t="str">
        <x:v>Extremely rare ancient material or part. T4 does not mean ancient technology; the contemporary refinement ladder does not specify ancient manufacture.</x:v>
      </x:c>
      <x:c r="J11" s="4" t="str">
        <x:v>Recover a matching ancient piece. Original ingredients, manufacturing and safe refitting remain unresolved; no modern substitute, reproduction recipe or newly accepted ancient property is asserted.</x:v>
      </x:c>
      <x:c r="K11" s="4" t="str">
        <x:f>IFERROR(INDEX('Items'!$AD$6:$AD$1005,MATCH(A11,'Items'!$A$6:$A$1005,0)),"MISSING ID")</x:f>
        <x:v>Author direction</x:v>
      </x:c>
      <x:c r="L11" s="4" t="n">
        <x:f>IFERROR(INDEX('Items'!$AN$6:$AN$1005,MATCH(A11,'Items'!$A$6:$A$1005,0)),"MISSING ID")</x:f>
        <x:v>99</x:v>
      </x:c>
    </x:row>
    <x:row r="12" ht="165" customHeight="1">
      <x:c r="A12" s="4" t="str">
        <x:v>proposal.ancient.nanocarbon</x:v>
      </x:c>
      <x:c r="B12" s="4" t="str">
        <x:f>IFERROR(INDEX('Items'!$B$6:$B$1005,MATCH(A12,'Items'!$A$6:$A$1005,0)),"MISSING ID")</x:f>
        <x:v>Ancient nanocarbon material</x:v>
      </x:c>
      <x:c r="C12" s="4" t="str">
        <x:v>Unassigned</x:v>
      </x:c>
      <x:c r="D12" s="4" t="str">
        <x:f>IFERROR(INDEX('Items'!$C$6:$C$1005,MATCH(A12,'Items'!$A$6:$A$1005,0)),"MISSING ID")</x:f>
        <x:v>Not applicable</x:v>
      </x:c>
      <x:c r="E12" s="4" t="str">
        <x:f>IFERROR(INDEX('Items'!$AI$6:$AI$1005,MATCH(A12,'Items'!$A$6:$A$1005,0)),"MISSING ID")</x:f>
        <x:v>Material</x:v>
      </x:c>
      <x:c r="F12" s="4" t="str">
        <x:v>Ancient recovery; manufacture unresolved</x:v>
      </x:c>
      <x:c r="G12" s="4" t="str">
        <x:f>"Recover compatible piece / issue currency; manufacture unspecified"</x:f>
        <x:v>Recover compatible piece / issue currency; manufacture unspecified</x:v>
      </x:c>
      <x:c r="H12" s="4" t="str">
        <x:v>No manufacturing recipe assigned</x:v>
      </x:c>
      <x:c r="I12" s="4" t="str">
        <x:v>Extremely rare ancient material or part. T4 does not mean ancient technology; the contemporary refinement ladder does not specify ancient manufacture.</x:v>
      </x:c>
      <x:c r="J12" s="4" t="str">
        <x:v>Recover a matching ancient piece. Original ingredients, manufacturing and safe refitting remain unresolved; no modern substitute, reproduction recipe or newly accepted ancient property is asserted.</x:v>
      </x:c>
      <x:c r="K12" s="4" t="str">
        <x:f>IFERROR(INDEX('Items'!$AD$6:$AD$1005,MATCH(A12,'Items'!$A$6:$A$1005,0)),"MISSING ID")</x:f>
        <x:v>Author direction</x:v>
      </x:c>
      <x:c r="L12" s="4" t="n">
        <x:f>IFERROR(INDEX('Items'!$AN$6:$AN$1005,MATCH(A12,'Items'!$A$6:$A$1005,0)),"MISSING ID")</x:f>
        <x:v>99</x:v>
      </x:c>
    </x:row>
    <x:row r="13" ht="165" customHeight="1">
      <x:c r="A13" s="4" t="str">
        <x:v>proposal.ancient.plasteel</x:v>
      </x:c>
      <x:c r="B13" s="4" t="str">
        <x:f>IFERROR(INDEX('Items'!$B$6:$B$1005,MATCH(A13,'Items'!$A$6:$A$1005,0)),"MISSING ID")</x:f>
        <x:v>Ancient plasteel material</x:v>
      </x:c>
      <x:c r="C13" s="4" t="str">
        <x:v>Unassigned</x:v>
      </x:c>
      <x:c r="D13" s="4" t="str">
        <x:f>IFERROR(INDEX('Items'!$C$6:$C$1005,MATCH(A13,'Items'!$A$6:$A$1005,0)),"MISSING ID")</x:f>
        <x:v>Not applicable</x:v>
      </x:c>
      <x:c r="E13" s="4" t="str">
        <x:f>IFERROR(INDEX('Items'!$AI$6:$AI$1005,MATCH(A13,'Items'!$A$6:$A$1005,0)),"MISSING ID")</x:f>
        <x:v>Material</x:v>
      </x:c>
      <x:c r="F13" s="4" t="str">
        <x:v>Ancient recovery; manufacture unresolved</x:v>
      </x:c>
      <x:c r="G13" s="4" t="str">
        <x:f>"Recover compatible piece / issue currency; manufacture unspecified"</x:f>
        <x:v>Recover compatible piece / issue currency; manufacture unspecified</x:v>
      </x:c>
      <x:c r="H13" s="4" t="str">
        <x:v>No manufacturing recipe assigned</x:v>
      </x:c>
      <x:c r="I13" s="4" t="str">
        <x:v>Extremely rare ancient material or part. T4 does not mean ancient technology; the contemporary refinement ladder does not specify ancient manufacture.</x:v>
      </x:c>
      <x:c r="J13" s="4" t="str">
        <x:v>Recover a matching ancient piece. Original ingredients, manufacturing and safe refitting remain unresolved; no modern substitute, reproduction recipe or newly accepted ancient property is asserted.</x:v>
      </x:c>
      <x:c r="K13" s="4" t="str">
        <x:f>IFERROR(INDEX('Items'!$AD$6:$AD$1005,MATCH(A13,'Items'!$A$6:$A$1005,0)),"MISSING ID")</x:f>
        <x:v>Author direction</x:v>
      </x:c>
      <x:c r="L13" s="4" t="n">
        <x:f>IFERROR(INDEX('Items'!$AN$6:$AN$1005,MATCH(A13,'Items'!$A$6:$A$1005,0)),"MISSING ID")</x:f>
        <x:v>99</x:v>
      </x:c>
    </x:row>
    <x:row r="14" ht="165" customHeight="1">
      <x:c r="A14" s="4" t="str">
        <x:v>proposal.legger.plasteel_rib</x:v>
      </x:c>
      <x:c r="B14" s="4" t="str">
        <x:f>IFERROR(INDEX('Items'!$B$6:$B$1005,MATCH(A14,'Items'!$A$6:$A$1005,0)),"MISSING ID")</x:f>
        <x:v>Ancient plasteel replacement member</x:v>
      </x:c>
      <x:c r="C14" s="4" t="str">
        <x:v>Unassigned</x:v>
      </x:c>
      <x:c r="D14" s="4" t="str">
        <x:f>IFERROR(INDEX('Items'!$C$6:$C$1005,MATCH(A14,'Items'!$A$6:$A$1005,0)),"MISSING ID")</x:f>
        <x:v>Not applicable</x:v>
      </x:c>
      <x:c r="E14" s="4" t="str">
        <x:f>IFERROR(INDEX('Items'!$AI$6:$AI$1005,MATCH(A14,'Items'!$A$6:$A$1005,0)),"MISSING ID")</x:f>
        <x:v>Component</x:v>
      </x:c>
      <x:c r="F14" s="4" t="str">
        <x:v>Ancient recovery; manufacture unresolved</x:v>
      </x:c>
      <x:c r="G14" s="4" t="str">
        <x:f>"Recover compatible piece / issue currency; manufacture unspecified"</x:f>
        <x:v>Recover compatible piece / issue currency; manufacture unspecified</x:v>
      </x:c>
      <x:c r="H14" s="4" t="str">
        <x:v>No manufacturing recipe assigned</x:v>
      </x:c>
      <x:c r="I14" s="4" t="str">
        <x:v>Extremely rare ancient material or part. T4 does not mean ancient technology; the contemporary refinement ladder does not specify ancient manufacture.</x:v>
      </x:c>
      <x:c r="J14" s="4" t="str">
        <x:v>Recover a matching ancient piece. Original ingredients, manufacturing and safe refitting remain unresolved; no modern substitute, reproduction recipe or newly accepted ancient property is asserted.</x:v>
      </x:c>
      <x:c r="K14" s="4" t="str">
        <x:f>IFERROR(INDEX('Items'!$AD$6:$AD$1005,MATCH(A14,'Items'!$A$6:$A$1005,0)),"MISSING ID")</x:f>
        <x:v>Proposal</x:v>
      </x:c>
      <x:c r="L14" s="4" t="n">
        <x:f>IFERROR(INDEX('Items'!$AN$6:$AN$1005,MATCH(A14,'Items'!$A$6:$A$1005,0)),"MISSING ID")</x:f>
        <x:v>99</x:v>
      </x:c>
    </x:row>
    <x:row r="15" ht="165" customHeight="1">
      <x:c r="A15" s="4" t="str">
        <x:v>proposal.legger.ancient_bearing</x:v>
      </x:c>
      <x:c r="B15" s="4" t="str">
        <x:f>IFERROR(INDEX('Items'!$B$6:$B$1005,MATCH(A15,'Items'!$A$6:$A$1005,0)),"MISSING ID")</x:f>
        <x:v>Ancient bearing cassette</x:v>
      </x:c>
      <x:c r="C15" s="4" t="str">
        <x:v>Unassigned</x:v>
      </x:c>
      <x:c r="D15" s="4" t="str">
        <x:f>IFERROR(INDEX('Items'!$C$6:$C$1005,MATCH(A15,'Items'!$A$6:$A$1005,0)),"MISSING ID")</x:f>
        <x:v>Not applicable</x:v>
      </x:c>
      <x:c r="E15" s="4" t="str">
        <x:f>IFERROR(INDEX('Items'!$AI$6:$AI$1005,MATCH(A15,'Items'!$A$6:$A$1005,0)),"MISSING ID")</x:f>
        <x:v>Component</x:v>
      </x:c>
      <x:c r="F15" s="4" t="str">
        <x:v>Ancient recovery; manufacture unresolved</x:v>
      </x:c>
      <x:c r="G15" s="4" t="str">
        <x:f>"Recover compatible piece / issue currency; manufacture unspecified"</x:f>
        <x:v>Recover compatible piece / issue currency; manufacture unspecified</x:v>
      </x:c>
      <x:c r="H15" s="4" t="str">
        <x:v>No manufacturing recipe assigned</x:v>
      </x:c>
      <x:c r="I15" s="4" t="str">
        <x:v>Extremely rare ancient material or part. T4 does not mean ancient technology; the contemporary refinement ladder does not specify ancient manufacture.</x:v>
      </x:c>
      <x:c r="J15" s="4" t="str">
        <x:v>Recover a matching ancient piece. Original ingredients, manufacturing and safe refitting remain unresolved; no modern substitute, reproduction recipe or newly accepted ancient property is asserted.</x:v>
      </x:c>
      <x:c r="K15" s="4" t="str">
        <x:f>IFERROR(INDEX('Items'!$AD$6:$AD$1005,MATCH(A15,'Items'!$A$6:$A$1005,0)),"MISSING ID")</x:f>
        <x:v>Proposal</x:v>
      </x:c>
      <x:c r="L15" s="4" t="n">
        <x:f>IFERROR(INDEX('Items'!$AN$6:$AN$1005,MATCH(A15,'Items'!$A$6:$A$1005,0)),"MISSING ID")</x:f>
        <x:v>99</x:v>
      </x:c>
    </x:row>
    <x:row r="16" ht="165" customHeight="1">
      <x:c r="A16" s="4" t="str">
        <x:v>proposal.legger.plasteel_collar</x:v>
      </x:c>
      <x:c r="B16" s="4" t="str">
        <x:f>IFERROR(INDEX('Items'!$B$6:$B$1005,MATCH(A16,'Items'!$A$6:$A$1005,0)),"MISSING ID")</x:f>
        <x:v>Ancient plasteel joint collar</x:v>
      </x:c>
      <x:c r="C16" s="4" t="str">
        <x:v>Unassigned</x:v>
      </x:c>
      <x:c r="D16" s="4" t="str">
        <x:f>IFERROR(INDEX('Items'!$C$6:$C$1005,MATCH(A16,'Items'!$A$6:$A$1005,0)),"MISSING ID")</x:f>
        <x:v>Not applicable</x:v>
      </x:c>
      <x:c r="E16" s="4" t="str">
        <x:f>IFERROR(INDEX('Items'!$AI$6:$AI$1005,MATCH(A16,'Items'!$A$6:$A$1005,0)),"MISSING ID")</x:f>
        <x:v>Component</x:v>
      </x:c>
      <x:c r="F16" s="4" t="str">
        <x:v>Ancient recovery; manufacture unresolved</x:v>
      </x:c>
      <x:c r="G16" s="4" t="str">
        <x:f>"Recover compatible piece / issue currency; manufacture unspecified"</x:f>
        <x:v>Recover compatible piece / issue currency; manufacture unspecified</x:v>
      </x:c>
      <x:c r="H16" s="4" t="str">
        <x:v>No manufacturing recipe assigned</x:v>
      </x:c>
      <x:c r="I16" s="4" t="str">
        <x:v>Extremely rare ancient material or part. T4 does not mean ancient technology; the contemporary refinement ladder does not specify ancient manufacture.</x:v>
      </x:c>
      <x:c r="J16" s="4" t="str">
        <x:v>Recover a matching ancient piece. Original ingredients, manufacturing and safe refitting remain unresolved; no modern substitute, reproduction recipe or newly accepted ancient property is asserted.</x:v>
      </x:c>
      <x:c r="K16" s="4" t="str">
        <x:f>IFERROR(INDEX('Items'!$AD$6:$AD$1005,MATCH(A16,'Items'!$A$6:$A$1005,0)),"MISSING ID")</x:f>
        <x:v>Proposal</x:v>
      </x:c>
      <x:c r="L16" s="4" t="n">
        <x:f>IFERROR(INDEX('Items'!$AN$6:$AN$1005,MATCH(A16,'Items'!$A$6:$A$1005,0)),"MISSING ID")</x:f>
        <x:v>99</x:v>
      </x:c>
    </x:row>
    <x:row r="17" ht="165" customHeight="1">
      <x:c r="A17" s="4" t="str">
        <x:v>proposal.legger.tension_member</x:v>
      </x:c>
      <x:c r="B17" s="4" t="str">
        <x:f>IFERROR(INDEX('Items'!$B$6:$B$1005,MATCH(A17,'Items'!$A$6:$A$1005,0)),"MISSING ID")</x:f>
        <x:v>Ancient nanocarbon tension member</x:v>
      </x:c>
      <x:c r="C17" s="4" t="str">
        <x:v>Unassigned</x:v>
      </x:c>
      <x:c r="D17" s="4" t="str">
        <x:f>IFERROR(INDEX('Items'!$C$6:$C$1005,MATCH(A17,'Items'!$A$6:$A$1005,0)),"MISSING ID")</x:f>
        <x:v>Not applicable</x:v>
      </x:c>
      <x:c r="E17" s="4" t="str">
        <x:f>IFERROR(INDEX('Items'!$AI$6:$AI$1005,MATCH(A17,'Items'!$A$6:$A$1005,0)),"MISSING ID")</x:f>
        <x:v>Component</x:v>
      </x:c>
      <x:c r="F17" s="4" t="str">
        <x:v>Ancient recovery; manufacture unresolved</x:v>
      </x:c>
      <x:c r="G17" s="4" t="str">
        <x:f>"Recover compatible piece / issue currency; manufacture unspecified"</x:f>
        <x:v>Recover compatible piece / issue currency; manufacture unspecified</x:v>
      </x:c>
      <x:c r="H17" s="4" t="str">
        <x:v>No manufacturing recipe assigned</x:v>
      </x:c>
      <x:c r="I17" s="4" t="str">
        <x:v>Extremely rare ancient material or part. T4 does not mean ancient technology; the contemporary refinement ladder does not specify ancient manufacture.</x:v>
      </x:c>
      <x:c r="J17" s="4" t="str">
        <x:v>Recover a matching ancient piece. Original ingredients, manufacturing and safe refitting remain unresolved; no modern substitute, reproduction recipe or newly accepted ancient property is asserted.</x:v>
      </x:c>
      <x:c r="K17" s="4" t="str">
        <x:f>IFERROR(INDEX('Items'!$AD$6:$AD$1005,MATCH(A17,'Items'!$A$6:$A$1005,0)),"MISSING ID")</x:f>
        <x:v>Proposal</x:v>
      </x:c>
      <x:c r="L17" s="4" t="n">
        <x:f>IFERROR(INDEX('Items'!$AN$6:$AN$1005,MATCH(A17,'Items'!$A$6:$A$1005,0)),"MISSING ID")</x:f>
        <x:v>99</x:v>
      </x:c>
    </x:row>
    <x:row r="18" ht="165" customHeight="1">
      <x:c r="A18" s="4" t="str">
        <x:v>proposal.legger.friction_insert</x:v>
      </x:c>
      <x:c r="B18" s="4" t="str">
        <x:f>IFERROR(INDEX('Items'!$B$6:$B$1005,MATCH(A18,'Items'!$A$6:$A$1005,0)),"MISSING ID")</x:f>
        <x:v>Ancient friction-interface insert</x:v>
      </x:c>
      <x:c r="C18" s="4" t="str">
        <x:v>Unassigned</x:v>
      </x:c>
      <x:c r="D18" s="4" t="str">
        <x:f>IFERROR(INDEX('Items'!$C$6:$C$1005,MATCH(A18,'Items'!$A$6:$A$1005,0)),"MISSING ID")</x:f>
        <x:v>Not applicable</x:v>
      </x:c>
      <x:c r="E18" s="4" t="str">
        <x:f>IFERROR(INDEX('Items'!$AI$6:$AI$1005,MATCH(A18,'Items'!$A$6:$A$1005,0)),"MISSING ID")</x:f>
        <x:v>Component</x:v>
      </x:c>
      <x:c r="F18" s="4" t="str">
        <x:v>Ancient recovery; manufacture unresolved</x:v>
      </x:c>
      <x:c r="G18" s="4" t="str">
        <x:f>"Recover compatible piece / issue currency; manufacture unspecified"</x:f>
        <x:v>Recover compatible piece / issue currency; manufacture unspecified</x:v>
      </x:c>
      <x:c r="H18" s="4" t="str">
        <x:v>No manufacturing recipe assigned</x:v>
      </x:c>
      <x:c r="I18" s="4" t="str">
        <x:v>Extremely rare ancient material or part. T4 does not mean ancient technology; the contemporary refinement ladder does not specify ancient manufacture.</x:v>
      </x:c>
      <x:c r="J18" s="4" t="str">
        <x:v>Recover a matching ancient piece. Original ingredients, manufacturing and safe refitting remain unresolved; no modern substitute, reproduction recipe or newly accepted ancient property is asserted.</x:v>
      </x:c>
      <x:c r="K18" s="4" t="str">
        <x:f>IFERROR(INDEX('Items'!$AD$6:$AD$1005,MATCH(A18,'Items'!$A$6:$A$1005,0)),"MISSING ID")</x:f>
        <x:v>Proposal</x:v>
      </x:c>
      <x:c r="L18" s="4" t="n">
        <x:f>IFERROR(INDEX('Items'!$AN$6:$AN$1005,MATCH(A18,'Items'!$A$6:$A$1005,0)),"MISSING ID")</x:f>
        <x:v>99</x:v>
      </x:c>
    </x:row>
    <x:row r="19" ht="165" customHeight="1">
      <x:c r="A19" s="4" t="str">
        <x:v>proposal.legger.ceramic_race</x:v>
      </x:c>
      <x:c r="B19" s="4" t="str">
        <x:f>IFERROR(INDEX('Items'!$B$6:$B$1005,MATCH(A19,'Items'!$A$6:$A$1005,0)),"MISSING ID")</x:f>
        <x:v>Ancient precision ceramic bearing race</x:v>
      </x:c>
      <x:c r="C19" s="4" t="str">
        <x:v>Unassigned</x:v>
      </x:c>
      <x:c r="D19" s="4" t="str">
        <x:f>IFERROR(INDEX('Items'!$C$6:$C$1005,MATCH(A19,'Items'!$A$6:$A$1005,0)),"MISSING ID")</x:f>
        <x:v>Not applicable</x:v>
      </x:c>
      <x:c r="E19" s="4" t="str">
        <x:f>IFERROR(INDEX('Items'!$AI$6:$AI$1005,MATCH(A19,'Items'!$A$6:$A$1005,0)),"MISSING ID")</x:f>
        <x:v>Component</x:v>
      </x:c>
      <x:c r="F19" s="4" t="str">
        <x:v>Ancient recovery; manufacture unresolved</x:v>
      </x:c>
      <x:c r="G19" s="4" t="str">
        <x:f>"Recover compatible piece / issue currency; manufacture unspecified"</x:f>
        <x:v>Recover compatible piece / issue currency; manufacture unspecified</x:v>
      </x:c>
      <x:c r="H19" s="4" t="str">
        <x:v>No manufacturing recipe assigned</x:v>
      </x:c>
      <x:c r="I19" s="4" t="str">
        <x:v>Extremely rare ancient material or part. T4 does not mean ancient technology; the contemporary refinement ladder does not specify ancient manufacture.</x:v>
      </x:c>
      <x:c r="J19" s="4" t="str">
        <x:v>Recover a matching ancient piece. Original ingredients, manufacturing and safe refitting remain unresolved; no modern substitute, reproduction recipe or newly accepted ancient property is asserted.</x:v>
      </x:c>
      <x:c r="K19" s="4" t="str">
        <x:f>IFERROR(INDEX('Items'!$AD$6:$AD$1005,MATCH(A19,'Items'!$A$6:$A$1005,0)),"MISSING ID")</x:f>
        <x:v>Proposal</x:v>
      </x:c>
      <x:c r="L19" s="4" t="n">
        <x:f>IFERROR(INDEX('Items'!$AN$6:$AN$1005,MATCH(A19,'Items'!$A$6:$A$1005,0)),"MISSING ID")</x:f>
        <x:v>99</x:v>
      </x:c>
    </x:row>
    <x:row r="20" ht="165" customHeight="1">
      <x:c r="A20" s="4" t="str">
        <x:v>proposal.legger.interface_adapter</x:v>
      </x:c>
      <x:c r="B20" s="4" t="str">
        <x:f>IFERROR(INDEX('Items'!$B$6:$B$1005,MATCH(A20,'Items'!$A$6:$A$1005,0)),"MISSING ID")</x:f>
        <x:v>Ancient module interface adapter</x:v>
      </x:c>
      <x:c r="C20" s="4" t="str">
        <x:v>Unassigned</x:v>
      </x:c>
      <x:c r="D20" s="4" t="str">
        <x:f>IFERROR(INDEX('Items'!$C$6:$C$1005,MATCH(A20,'Items'!$A$6:$A$1005,0)),"MISSING ID")</x:f>
        <x:v>Not applicable</x:v>
      </x:c>
      <x:c r="E20" s="4" t="str">
        <x:f>IFERROR(INDEX('Items'!$AI$6:$AI$1005,MATCH(A20,'Items'!$A$6:$A$1005,0)),"MISSING ID")</x:f>
        <x:v>Component</x:v>
      </x:c>
      <x:c r="F20" s="4" t="str">
        <x:v>Ancient recovery; manufacture unresolved</x:v>
      </x:c>
      <x:c r="G20" s="4" t="str">
        <x:f>"Recover compatible piece / issue currency; manufacture unspecified"</x:f>
        <x:v>Recover compatible piece / issue currency; manufacture unspecified</x:v>
      </x:c>
      <x:c r="H20" s="4" t="str">
        <x:v>No manufacturing recipe assigned</x:v>
      </x:c>
      <x:c r="I20" s="4" t="str">
        <x:v>Extremely rare ancient material or part. T4 does not mean ancient technology; the contemporary refinement ladder does not specify ancient manufacture.</x:v>
      </x:c>
      <x:c r="J20" s="4" t="str">
        <x:v>Recover a matching ancient piece. Original ingredients, manufacturing and safe refitting remain unresolved; no modern substitute, reproduction recipe or newly accepted ancient property is asserted.</x:v>
      </x:c>
      <x:c r="K20" s="4" t="str">
        <x:f>IFERROR(INDEX('Items'!$AD$6:$AD$1005,MATCH(A20,'Items'!$A$6:$A$1005,0)),"MISSING ID")</x:f>
        <x:v>Proposal</x:v>
      </x:c>
      <x:c r="L20" s="4" t="n">
        <x:f>IFERROR(INDEX('Items'!$AN$6:$AN$1005,MATCH(A20,'Items'!$A$6:$A$1005,0)),"MISSING ID")</x:f>
        <x:v>99</x:v>
      </x:c>
    </x:row>
    <x:row r="21" ht="165" customHeight="1">
      <x:c r="A21" s="4" t="str">
        <x:v>proposal.bio.fat</x:v>
      </x:c>
      <x:c r="B21" s="4" t="str">
        <x:f>IFERROR(INDEX('Items'!$B$6:$B$1005,MATCH(A21,'Items'!$A$6:$A$1005,0)),"MISSING ID")</x:f>
        <x:v>Unverified fat-like tissue concept</x:v>
      </x:c>
      <x:c r="C21" s="4" t="str">
        <x:v>Unassigned</x:v>
      </x:c>
      <x:c r="D21" s="4" t="str">
        <x:f>IFERROR(INDEX('Items'!$C$6:$C$1005,MATCH(A21,'Items'!$A$6:$A$1005,0)),"MISSING ID")</x:f>
        <x:v>Unassigned</x:v>
      </x:c>
      <x:c r="E21" s="4" t="str">
        <x:f>IFERROR(INDEX('Items'!$AI$6:$AI$1005,MATCH(A21,'Items'!$A$6:$A$1005,0)),"MISSING ID")</x:f>
        <x:v>Material</x:v>
      </x:c>
      <x:c r="F21" s="4" t="str">
        <x:v>Withheld biological premise</x:v>
      </x:c>
      <x:c r="G21" s="4" t="str">
        <x:f>"Withheld premise; no supported source"</x:f>
        <x:v>Withheld premise; no supported source</x:v>
      </x:c>
      <x:c r="H21" s="4" t="str">
        <x:v>No manufacturing recipe assigned</x:v>
      </x:c>
      <x:c r="I21" s="4" t="str">
        <x:v>The existing record is a withheld anatomy/material assumption. A supported raw source and chemical identity do not exist yet.</x:v>
      </x:c>
      <x:c r="J21" s="4" t="str">
        <x:v>Retain Withheld assumption status. Do not invent conventional fat or wax anatomy to complete a recipe; no crafting route is added.</x:v>
      </x:c>
      <x:c r="K21" s="4" t="str">
        <x:f>IFERROR(INDEX('Items'!$AD$6:$AD$1005,MATCH(A21,'Items'!$A$6:$A$1005,0)),"MISSING ID")</x:f>
        <x:v>Withheld assumption</x:v>
      </x:c>
      <x:c r="L21" s="4" t="n">
        <x:f>IFERROR(INDEX('Items'!$AN$6:$AN$1005,MATCH(A21,'Items'!$A$6:$A$1005,0)),"MISSING ID")</x:f>
        <x:v>98</x:v>
      </x:c>
    </x:row>
    <x:row r="22" ht="165" customHeight="1">
      <x:c r="A22" s="4" t="str">
        <x:v>proposal.bio.wax</x:v>
      </x:c>
      <x:c r="B22" s="4" t="str">
        <x:f>IFERROR(INDEX('Items'!$B$6:$B$1005,MATCH(A22,'Items'!$A$6:$A$1005,0)),"MISSING ID")</x:f>
        <x:v>Solid biological wax</x:v>
      </x:c>
      <x:c r="C22" s="4" t="str">
        <x:v>Unassigned</x:v>
      </x:c>
      <x:c r="D22" s="4" t="str">
        <x:f>IFERROR(INDEX('Items'!$C$6:$C$1005,MATCH(A22,'Items'!$A$6:$A$1005,0)),"MISSING ID")</x:f>
        <x:v>Unassigned</x:v>
      </x:c>
      <x:c r="E22" s="4" t="str">
        <x:f>IFERROR(INDEX('Items'!$AI$6:$AI$1005,MATCH(A22,'Items'!$A$6:$A$1005,0)),"MISSING ID")</x:f>
        <x:v>Material</x:v>
      </x:c>
      <x:c r="F22" s="4" t="str">
        <x:v>Withheld biological premise</x:v>
      </x:c>
      <x:c r="G22" s="4" t="str">
        <x:f>"Withheld premise; no supported source"</x:f>
        <x:v>Withheld premise; no supported source</x:v>
      </x:c>
      <x:c r="H22" s="4" t="str">
        <x:v>No manufacturing recipe assigned</x:v>
      </x:c>
      <x:c r="I22" s="4" t="str">
        <x:v>The existing record is a withheld anatomy/material assumption. A supported raw source and chemical identity do not exist yet.</x:v>
      </x:c>
      <x:c r="J22" s="4" t="str">
        <x:v>Retain Withheld assumption status. Do not invent conventional fat or wax anatomy to complete a recipe; no crafting route is added.</x:v>
      </x:c>
      <x:c r="K22" s="4" t="str">
        <x:f>IFERROR(INDEX('Items'!$AD$6:$AD$1005,MATCH(A22,'Items'!$A$6:$A$1005,0)),"MISSING ID")</x:f>
        <x:v>Withheld assumption</x:v>
      </x:c>
      <x:c r="L22" s="4" t="n">
        <x:f>IFERROR(INDEX('Items'!$AN$6:$AN$1005,MATCH(A22,'Items'!$A$6:$A$1005,0)),"MISSING ID")</x:f>
        <x:v>98</x:v>
      </x:c>
    </x:row>
    <x:row r="23" ht="165" customHeight="1">
      <x:c r="A23" s="4" t="str">
        <x:v>source.currency.imperial_commons</x:v>
      </x:c>
      <x:c r="B23" s="4" t="str">
        <x:f>IFERROR(INDEX('Items'!$B$6:$B$1005,MATCH(A23,'Items'!$A$6:$A$1005,0)),"MISSING ID")</x:f>
        <x:v>Imperial Commons</x:v>
      </x:c>
      <x:c r="C23" s="4" t="str">
        <x:v>Unassigned</x:v>
      </x:c>
      <x:c r="D23" s="4" t="str">
        <x:f>IFERROR(INDEX('Items'!$C$6:$C$1005,MATCH(A23,'Items'!$A$6:$A$1005,0)),"MISSING ID")</x:f>
        <x:v>Not applicable</x:v>
      </x:c>
      <x:c r="E23" s="4" t="str">
        <x:f>IFERROR(INDEX('Items'!$AI$6:$AI$1005,MATCH(A23,'Items'!$A$6:$A$1005,0)),"MISSING ID")</x:f>
        <x:v>Currency</x:v>
      </x:c>
      <x:c r="F23" s="4" t="str">
        <x:v>Currency; refinement tier not applicable</x:v>
      </x:c>
      <x:c r="G23" s="4" t="str">
        <x:f>"Recover compatible piece / issue currency; manufacture unspecified"</x:f>
        <x:v>Recover compatible piece / issue currency; manufacture unspecified</x:v>
      </x:c>
      <x:c r="H23" s="4" t="str">
        <x:v>No manufacturing recipe assigned</x:v>
      </x:c>
      <x:c r="I23" s="4" t="str">
        <x:v>Currency family, not material-refinement stock. The inspected source does not define minting inputs or denominations.</x:v>
      </x:c>
      <x:c r="J23" s="4" t="str">
        <x:v>No invented coin/note material, denomination, exchange ratio or minting recipe. Material/craftsmanship denomination direction remains a separate source-verification question.</x:v>
      </x:c>
      <x:c r="K23" s="4" t="str">
        <x:f>IFERROR(INDEX('Items'!$AD$6:$AD$1005,MATCH(A23,'Items'!$A$6:$A$1005,0)),"MISSING ID")</x:f>
        <x:v>Source proposal</x:v>
      </x:c>
      <x:c r="L23" s="4" t="n">
        <x:f>IFERROR(INDEX('Items'!$AN$6:$AN$1005,MATCH(A23,'Items'!$A$6:$A$1005,0)),"MISSING ID")</x:f>
        <x:v>99</x:v>
      </x:c>
    </x:row>
    <x:row r="24" ht="165" customHeight="1">
      <x:c r="A24" s="4" t="str">
        <x:v>lab.ironstone.aggregate</x:v>
      </x:c>
      <x:c r="B24" s="4" t="str">
        <x:f>IFERROR(INDEX('Items'!$B$6:$B$1005,MATCH(A24,'Items'!$A$6:$A$1005,0)),"MISSING ID")</x:f>
        <x:v>Coarse Aggregate</x:v>
      </x:c>
      <x:c r="C24" s="4" t="str">
        <x:v>Unassigned</x:v>
      </x:c>
      <x:c r="D24" s="4" t="str">
        <x:f>IFERROR(INDEX('Items'!$C$6:$C$1005,MATCH(A24,'Items'!$A$6:$A$1005,0)),"MISSING ID")</x:f>
        <x:v>T1</x:v>
      </x:c>
      <x:c r="E24" s="4" t="str">
        <x:f>IFERROR(INDEX('Items'!$AI$6:$AI$1005,MATCH(A24,'Items'!$A$6:$A$1005,0)),"MISSING ID")</x:f>
        <x:v>Material</x:v>
      </x:c>
      <x:c r="F24" s="4" t="str">
        <x:v>Existing multi-output route classified</x:v>
      </x:c>
      <x:c r="G24" s="4" t="str">
        <x:f>IFERROR(INDEX('Items'!$B$6:$B$1005,MATCH("resource.ironstone_ore",'Items'!$A$6:$A$1005,0)),"MISSING ID")</x:f>
        <x:v>Ironstone Ore</x:v>
      </x:c>
      <x:c r="H24" s="4" t="str">
        <x:v>lab.ironstone.dry-sort</x:v>
      </x:c>
      <x:c r="I24" s="4" t="str">
        <x:v>First dry-sorted fractions from T0 Ironstone Ore; use the existing multi-output sorter recipe.</x:v>
      </x:c>
      <x:c r="J24" s="4" t="str">
        <x:v>Original source quantities and all four co-products remain unchanged. This is a classification only, not a replacement recipe.</x:v>
      </x:c>
      <x:c r="K24" s="4" t="str">
        <x:f>IFERROR(INDEX('Items'!$AD$6:$AD$1005,MATCH(A24,'Items'!$A$6:$A$1005,0)),"MISSING ID")</x:f>
        <x:v>Existing definition</x:v>
      </x:c>
      <x:c r="L24" s="4" t="n">
        <x:f>IFERROR(INDEX('Items'!$AN$6:$AN$1005,MATCH(A24,'Items'!$A$6:$A$1005,0)),"MISSING ID")</x:f>
        <x:v>1</x:v>
      </x:c>
    </x:row>
    <x:row r="25" ht="165" customHeight="1">
      <x:c r="A25" s="4" t="str">
        <x:v>lab.ironstone.mineral_dust</x:v>
      </x:c>
      <x:c r="B25" s="4" t="str">
        <x:f>IFERROR(INDEX('Items'!$B$6:$B$1005,MATCH(A25,'Items'!$A$6:$A$1005,0)),"MISSING ID")</x:f>
        <x:v>Mineral Dust</x:v>
      </x:c>
      <x:c r="C25" s="4" t="str">
        <x:v>Unassigned</x:v>
      </x:c>
      <x:c r="D25" s="4" t="str">
        <x:f>IFERROR(INDEX('Items'!$C$6:$C$1005,MATCH(A25,'Items'!$A$6:$A$1005,0)),"MISSING ID")</x:f>
        <x:v>T1</x:v>
      </x:c>
      <x:c r="E25" s="4" t="str">
        <x:f>IFERROR(INDEX('Items'!$AI$6:$AI$1005,MATCH(A25,'Items'!$A$6:$A$1005,0)),"MISSING ID")</x:f>
        <x:v>Material</x:v>
      </x:c>
      <x:c r="F25" s="4" t="str">
        <x:v>Existing multi-output route classified</x:v>
      </x:c>
      <x:c r="G25" s="4" t="str">
        <x:f>IFERROR(INDEX('Items'!$B$6:$B$1005,MATCH("resource.ironstone_ore",'Items'!$A$6:$A$1005,0)),"MISSING ID")</x:f>
        <x:v>Ironstone Ore</x:v>
      </x:c>
      <x:c r="H25" s="4" t="str">
        <x:v>lab.ironstone.dry-sort</x:v>
      </x:c>
      <x:c r="I25" s="4" t="str">
        <x:v>First dry-sorted fractions from T0 Ironstone Ore; use the existing multi-output sorter recipe.</x:v>
      </x:c>
      <x:c r="J25" s="4" t="str">
        <x:v>Original source quantities and all four co-products remain unchanged. This is a classification only, not a replacement recipe.</x:v>
      </x:c>
      <x:c r="K25" s="4" t="str">
        <x:f>IFERROR(INDEX('Items'!$AD$6:$AD$1005,MATCH(A25,'Items'!$A$6:$A$1005,0)),"MISSING ID")</x:f>
        <x:v>Existing definition</x:v>
      </x:c>
      <x:c r="L25" s="4" t="n">
        <x:f>IFERROR(INDEX('Items'!$AN$6:$AN$1005,MATCH(A25,'Items'!$A$6:$A$1005,0)),"MISSING ID")</x:f>
        <x:v>1</x:v>
      </x:c>
    </x:row>
    <x:row r="26" ht="165" customHeight="1">
      <x:c r="A26" s="4" t="str">
        <x:v>lab.ironstone.sand</x:v>
      </x:c>
      <x:c r="B26" s="4" t="str">
        <x:f>IFERROR(INDEX('Items'!$B$6:$B$1005,MATCH(A26,'Items'!$A$6:$A$1005,0)),"MISSING ID")</x:f>
        <x:v>Mineral Sand</x:v>
      </x:c>
      <x:c r="C26" s="4" t="str">
        <x:v>Unassigned</x:v>
      </x:c>
      <x:c r="D26" s="4" t="str">
        <x:f>IFERROR(INDEX('Items'!$C$6:$C$1005,MATCH(A26,'Items'!$A$6:$A$1005,0)),"MISSING ID")</x:f>
        <x:v>T1</x:v>
      </x:c>
      <x:c r="E26" s="4" t="str">
        <x:f>IFERROR(INDEX('Items'!$AI$6:$AI$1005,MATCH(A26,'Items'!$A$6:$A$1005,0)),"MISSING ID")</x:f>
        <x:v>Material</x:v>
      </x:c>
      <x:c r="F26" s="4" t="str">
        <x:v>Existing multi-output route classified</x:v>
      </x:c>
      <x:c r="G26" s="4" t="str">
        <x:f>IFERROR(INDEX('Items'!$B$6:$B$1005,MATCH("resource.ironstone_ore",'Items'!$A$6:$A$1005,0)),"MISSING ID")</x:f>
        <x:v>Ironstone Ore</x:v>
      </x:c>
      <x:c r="H26" s="4" t="str">
        <x:v>lab.ironstone.dry-sort</x:v>
      </x:c>
      <x:c r="I26" s="4" t="str">
        <x:v>First dry-sorted fractions from T0 Ironstone Ore; use the existing multi-output sorter recipe.</x:v>
      </x:c>
      <x:c r="J26" s="4" t="str">
        <x:v>Original source quantities and all four co-products remain unchanged. This is a classification only, not a replacement recipe.</x:v>
      </x:c>
      <x:c r="K26" s="4" t="str">
        <x:f>IFERROR(INDEX('Items'!$AD$6:$AD$1005,MATCH(A26,'Items'!$A$6:$A$1005,0)),"MISSING ID")</x:f>
        <x:v>Existing definition</x:v>
      </x:c>
      <x:c r="L26" s="4" t="n">
        <x:f>IFERROR(INDEX('Items'!$AN$6:$AN$1005,MATCH(A26,'Items'!$A$6:$A$1005,0)),"MISSING ID")</x:f>
        <x:v>1</x:v>
      </x:c>
    </x:row>
    <x:row r="27" ht="165" customHeight="1">
      <x:c r="A27" s="4" t="str">
        <x:v>proposal.natural.copper_ore</x:v>
      </x:c>
      <x:c r="B27" s="4" t="str">
        <x:f>IFERROR(INDEX('Items'!$B$6:$B$1005,MATCH(A27,'Items'!$A$6:$A$1005,0)),"MISSING ID")</x:f>
        <x:v>Copper ore</x:v>
      </x:c>
      <x:c r="C27" s="4" t="str">
        <x:v>Unassigned</x:v>
      </x:c>
      <x:c r="D27" s="4" t="str">
        <x:f>IFERROR(INDEX('Items'!$C$6:$C$1005,MATCH(A27,'Items'!$A$6:$A$1005,0)),"MISSING ID")</x:f>
        <x:v>T1</x:v>
      </x:c>
      <x:c r="E27" s="4" t="str">
        <x:f>IFERROR(INDEX('Items'!$AI$6:$AI$1005,MATCH(A27,'Items'!$A$6:$A$1005,0)),"MISSING ID")</x:f>
        <x:v>Material</x:v>
      </x:c>
      <x:c r="F27" s="4" t="str">
        <x:v>Proposed numeric tier</x:v>
      </x:c>
      <x:c r="G27" s="4" t="str">
        <x:f>IFERROR(INDEX('Items'!$B$6:$B$1005,MATCH("proposal.natural.copper_stone",'Items'!$A$6:$A$1005,0)),"MISSING ID")</x:f>
        <x:v>Unprocessed copper-rich stone</x:v>
      </x:c>
      <x:c r="H27" s="4" t="str">
        <x:v>design.review.proposal_natural_copper_ore</x:v>
      </x:c>
      <x:c r="I27" s="4" t="str">
        <x:v>Select and sort unprocessed copper-rich stone into the existing sorted copper-ore feed.</x:v>
      </x:c>
      <x:c r="J27" s="4" t="str">
        <x:v>Candidate route only: quantities, yield, tools, fit, process conditions and service compatibility remain open. This follows the existing sorted-ore stage; it is not refined copper metal or a claim that all naturally occurring ore starts above T0.</x:v>
      </x:c>
      <x:c r="K27" s="4" t="str">
        <x:f>IFERROR(INDEX('Items'!$AD$6:$AD$1005,MATCH(A27,'Items'!$A$6:$A$1005,0)),"MISSING ID")</x:f>
        <x:v>Author direction</x:v>
      </x:c>
      <x:c r="L27" s="4" t="n">
        <x:f>IFERROR(INDEX('Items'!$AN$6:$AN$1005,MATCH(A27,'Items'!$A$6:$A$1005,0)),"MISSING ID")</x:f>
        <x:v>1</x:v>
      </x:c>
    </x:row>
    <x:row r="28" ht="165" customHeight="1">
      <x:c r="A28" s="4" t="str">
        <x:v>proposal.bio.edible_fraction</x:v>
      </x:c>
      <x:c r="B28" s="4" t="str">
        <x:f>IFERROR(INDEX('Items'!$B$6:$B$1005,MATCH(A28,'Items'!$A$6:$A$1005,0)),"MISSING ID")</x:f>
        <x:v>Edible fauna fraction (species TBD)</x:v>
      </x:c>
      <x:c r="C28" s="4" t="str">
        <x:v>Unassigned</x:v>
      </x:c>
      <x:c r="D28" s="4" t="str">
        <x:f>IFERROR(INDEX('Items'!$C$6:$C$1005,MATCH(A28,'Items'!$A$6:$A$1005,0)),"MISSING ID")</x:f>
        <x:v>T0</x:v>
      </x:c>
      <x:c r="E28" s="4" t="str">
        <x:f>IFERROR(INDEX('Items'!$AI$6:$AI$1005,MATCH(A28,'Items'!$A$6:$A$1005,0)),"MISSING ID")</x:f>
        <x:v>Material</x:v>
      </x:c>
      <x:c r="F28" s="4" t="str">
        <x:v>Proposed numeric tier</x:v>
      </x:c>
      <x:c r="G28" s="4" t="str">
        <x:f>"Gather/extract selected raw entry; no crafted material input"</x:f>
        <x:v>Gather/extract selected raw entry; no crafted material input</x:v>
      </x:c>
      <x:c r="H28" s="4" t="str">
        <x:v>No manufacturing recipe assigned</x:v>
      </x:c>
      <x:c r="I28" s="4" t="str">
        <x:v>Selected edible fraction as gathered/extracted source material; species and safe fraction remain TBD.</x:v>
      </x:c>
      <x:c r="J28" s="4" t="str">
        <x:v>Candidate route only: quantities, yield, tools, fit, process conditions and service compatibility remain open. This classification does not identify an edible species, detoxify industrial chemicals or replace Phagia nutrition.</x:v>
      </x:c>
      <x:c r="K28" s="4" t="str">
        <x:f>IFERROR(INDEX('Items'!$AD$6:$AD$1005,MATCH(A28,'Items'!$A$6:$A$1005,0)),"MISSING ID")</x:f>
        <x:v>Author direction</x:v>
      </x:c>
      <x:c r="L28" s="4" t="n">
        <x:f>IFERROR(INDEX('Items'!$AN$6:$AN$1005,MATCH(A28,'Items'!$A$6:$A$1005,0)),"MISSING ID")</x:f>
        <x:v>0</x:v>
      </x:c>
    </x:row>
    <x:row r="29" ht="165" customHeight="1">
      <x:c r="A29" s="4" t="str">
        <x:v>proposal.bio.brush</x:v>
      </x:c>
      <x:c r="B29" s="4" t="str">
        <x:f>IFERROR(INDEX('Items'!$B$6:$B$1005,MATCH(A29,'Items'!$A$6:$A$1005,0)),"MISSING ID")</x:f>
        <x:v>Bristle brush strips</x:v>
      </x:c>
      <x:c r="C29" s="4" t="str">
        <x:v>Unassigned</x:v>
      </x:c>
      <x:c r="D29" s="4" t="str">
        <x:f>IFERROR(INDEX('Items'!$C$6:$C$1005,MATCH(A29,'Items'!$A$6:$A$1005,0)),"MISSING ID")</x:f>
        <x:v>T2</x:v>
      </x:c>
      <x:c r="E29" s="4" t="str">
        <x:f>IFERROR(INDEX('Items'!$AI$6:$AI$1005,MATCH(A29,'Items'!$A$6:$A$1005,0)),"MISSING ID")</x:f>
        <x:v>Component</x:v>
      </x:c>
      <x:c r="F29" s="4" t="str">
        <x:v>Proposed numeric tier</x:v>
      </x:c>
      <x:c r="G29" s="4" t="str">
        <x:f>IFERROR(INDEX('Items'!$B$6:$B$1005,MATCH("proposal.t1.bristle_bundle",'Items'!$A$6:$A$1005,0)),"MISSING ID")&amp;"; "&amp;IFERROR(INDEX('Items'!$B$6:$B$1005,MATCH("proposal.t1.shell_adhesive",'Items'!$A$6:$A$1005,0)),"MISSING ID")</x:f>
        <x:v>Clean graded bristle bundles; Prepared shell-binding adhesive</x:v>
      </x:c>
      <x:c r="H29" s="4" t="str">
        <x:v>design.review.proposal_bio_brush</x:v>
      </x:c>
      <x:c r="I29" s="4" t="str">
        <x:v>Retain prepared bristles in a bonded strip after T1 grading.</x:v>
      </x:c>
      <x:c r="J29" s="4" t="str">
        <x:v>Candidate route only: quantities, yield, tools, fit, process conditions and service compatibility remain open. </x:v>
      </x:c>
      <x:c r="K29" s="4" t="str">
        <x:f>IFERROR(INDEX('Items'!$AD$6:$AD$1005,MATCH(A29,'Items'!$A$6:$A$1005,0)),"MISSING ID")</x:f>
        <x:v>Proposal</x:v>
      </x:c>
      <x:c r="L29" s="4" t="n">
        <x:f>IFERROR(INDEX('Items'!$AN$6:$AN$1005,MATCH(A29,'Items'!$A$6:$A$1005,0)),"MISSING ID")</x:f>
        <x:v>2</x:v>
      </x:c>
    </x:row>
    <x:row r="30" ht="165" customHeight="1">
      <x:c r="A30" s="4" t="str">
        <x:v>proposal.bio.insert</x:v>
      </x:c>
      <x:c r="B30" s="4" t="str">
        <x:f>IFERROR(INDEX('Items'!$B$6:$B$1005,MATCH(A30,'Items'!$A$6:$A$1005,0)),"MISSING ID")</x:f>
        <x:v>Jaw cutting insert</x:v>
      </x:c>
      <x:c r="C30" s="4" t="str">
        <x:v>Unassigned</x:v>
      </x:c>
      <x:c r="D30" s="4" t="str">
        <x:f>IFERROR(INDEX('Items'!$C$6:$C$1005,MATCH(A30,'Items'!$A$6:$A$1005,0)),"MISSING ID")</x:f>
        <x:v>T2</x:v>
      </x:c>
      <x:c r="E30" s="4" t="str">
        <x:f>IFERROR(INDEX('Items'!$AI$6:$AI$1005,MATCH(A30,'Items'!$A$6:$A$1005,0)),"MISSING ID")</x:f>
        <x:v>Component</x:v>
      </x:c>
      <x:c r="F30" s="4" t="str">
        <x:v>Proposed numeric tier</x:v>
      </x:c>
      <x:c r="G30" s="4" t="str">
        <x:f>IFERROR(INDEX('Items'!$B$6:$B$1005,MATCH("proposal.t1.hardpart_blank",'Items'!$A$6:$A$1005,0)),"MISSING ID")&amp;"; "&amp;IFERROR(INDEX('Items'!$B$6:$B$1005,MATCH("proposal.t1.shell_adhesive",'Items'!$A$6:$A$1005,0)),"MISSING ID")</x:f>
        <x:v>Shaped fauna hard-part blanks; Prepared shell-binding adhesive</x:v>
      </x:c>
      <x:c r="H30" s="4" t="str">
        <x:v>design.review.proposal_bio_insert</x:v>
      </x:c>
      <x:c r="I30" s="4" t="str">
        <x:v>Fit a shaped hard-part blank as a retained cutting insert.</x:v>
      </x:c>
      <x:c r="J30" s="4" t="str">
        <x:v>Candidate route only: quantities, yield, tools, fit, process conditions and service compatibility remain open. Jaw species, sharpness, seating and wear require design.</x:v>
      </x:c>
      <x:c r="K30" s="4" t="str">
        <x:f>IFERROR(INDEX('Items'!$AD$6:$AD$1005,MATCH(A30,'Items'!$A$6:$A$1005,0)),"MISSING ID")</x:f>
        <x:v>Proposal</x:v>
      </x:c>
      <x:c r="L30" s="4" t="n">
        <x:f>IFERROR(INDEX('Items'!$AN$6:$AN$1005,MATCH(A30,'Items'!$A$6:$A$1005,0)),"MISSING ID")</x:f>
        <x:v>2</x:v>
      </x:c>
    </x:row>
    <x:row r="31" ht="165" customHeight="1">
      <x:c r="A31" s="4" t="str">
        <x:v>proposal.bio.electrode</x:v>
      </x:c>
      <x:c r="B31" s="4" t="str">
        <x:f>IFERROR(INDEX('Items'!$B$6:$B$1005,MATCH(A31,'Items'!$A$6:$A$1005,0)),"MISSING ID")</x:f>
        <x:v>Dry organ electrode scaffold</x:v>
      </x:c>
      <x:c r="C31" s="4" t="str">
        <x:v>Unassigned</x:v>
      </x:c>
      <x:c r="D31" s="4" t="str">
        <x:f>IFERROR(INDEX('Items'!$C$6:$C$1005,MATCH(A31,'Items'!$A$6:$A$1005,0)),"MISSING ID")</x:f>
        <x:v>T1</x:v>
      </x:c>
      <x:c r="E31" s="4" t="str">
        <x:f>IFERROR(INDEX('Items'!$AI$6:$AI$1005,MATCH(A31,'Items'!$A$6:$A$1005,0)),"MISSING ID")</x:f>
        <x:v>Component</x:v>
      </x:c>
      <x:c r="F31" s="4" t="str">
        <x:v>Proposed numeric tier</x:v>
      </x:c>
      <x:c r="G31" s="4" t="str">
        <x:f>IFERROR(INDEX('Items'!$B$6:$B$1005,MATCH("proposal.bio.organ",'Items'!$A$6:$A$1005,0)),"MISSING ID")</x:f>
        <x:v>Charge-organ tissue</x:v>
      </x:c>
      <x:c r="H31" s="4" t="str">
        <x:v>design.review.proposal_bio_electrode</x:v>
      </x:c>
      <x:c r="I31" s="4" t="str">
        <x:v>Condition and dry selected charge-organ tissue into scaffold stock.</x:v>
      </x:c>
      <x:c r="J31" s="4" t="str">
        <x:v>Candidate route only: quantities, yield, tools, fit, process conditions and service compatibility remain open. Biological functionality after drying is hypothetical; no battery or electrical performance follows from this tier.</x:v>
      </x:c>
      <x:c r="K31" s="4" t="str">
        <x:f>IFERROR(INDEX('Items'!$AD$6:$AD$1005,MATCH(A31,'Items'!$A$6:$A$1005,0)),"MISSING ID")</x:f>
        <x:v>Proposal</x:v>
      </x:c>
      <x:c r="L31" s="4" t="n">
        <x:f>IFERROR(INDEX('Items'!$AN$6:$AN$1005,MATCH(A31,'Items'!$A$6:$A$1005,0)),"MISSING ID")</x:f>
        <x:v>1</x:v>
      </x:c>
    </x:row>
    <x:row r="32" ht="165" customHeight="1">
      <x:c r="A32" s="4" t="str">
        <x:v>proposal.natural.charcoal</x:v>
      </x:c>
      <x:c r="B32" s="4" t="str">
        <x:f>IFERROR(INDEX('Items'!$B$6:$B$1005,MATCH(A32,'Items'!$A$6:$A$1005,0)),"MISSING ID")</x:f>
        <x:v>Charcoal</x:v>
      </x:c>
      <x:c r="C32" s="4" t="str">
        <x:v>Unassigned</x:v>
      </x:c>
      <x:c r="D32" s="4" t="str">
        <x:f>IFERROR(INDEX('Items'!$C$6:$C$1005,MATCH(A32,'Items'!$A$6:$A$1005,0)),"MISSING ID")</x:f>
        <x:v>T1</x:v>
      </x:c>
      <x:c r="E32" s="4" t="str">
        <x:f>IFERROR(INDEX('Items'!$AI$6:$AI$1005,MATCH(A32,'Items'!$A$6:$A$1005,0)),"MISSING ID")</x:f>
        <x:v>Material</x:v>
      </x:c>
      <x:c r="F32" s="4" t="str">
        <x:v>Proposed numeric tier</x:v>
      </x:c>
      <x:c r="G32" s="4" t="str">
        <x:f>IFERROR(INDEX('Items'!$B$6:$B$1005,MATCH("proposal.bio.shell",'Items'!$A$6:$A$1005,0)),"MISSING ID")</x:f>
        <x:v>Shell husks / shed plates</x:v>
      </x:c>
      <x:c r="H32" s="4" t="str">
        <x:v>design.review.proposal_natural_charcoal</x:v>
      </x:c>
      <x:c r="I32" s="4" t="str">
        <x:v>First controlled thermal conversion of selected shell feed into carbonaceous fuel.</x:v>
      </x:c>
      <x:c r="J32" s="4" t="str">
        <x:v>Candidate route only: quantities, yield, tools, fit, process conditions and service compatibility remain open. No wood or ordinary combustion is assumed. Generic charcoal family and specific chitin-char record remain separate existing labels.</x:v>
      </x:c>
      <x:c r="K32" s="4" t="str">
        <x:f>IFERROR(INDEX('Items'!$AD$6:$AD$1005,MATCH(A32,'Items'!$A$6:$A$1005,0)),"MISSING ID")</x:f>
        <x:v>Author direction</x:v>
      </x:c>
      <x:c r="L32" s="4" t="n">
        <x:f>IFERROR(INDEX('Items'!$AN$6:$AN$1005,MATCH(A32,'Items'!$A$6:$A$1005,0)),"MISSING ID")</x:f>
        <x:v>1</x:v>
      </x:c>
    </x:row>
    <x:row r="33" ht="165" customHeight="1">
      <x:c r="A33" s="4" t="str">
        <x:v>proposal.fire.chitin_char</x:v>
      </x:c>
      <x:c r="B33" s="4" t="str">
        <x:f>IFERROR(INDEX('Items'!$B$6:$B$1005,MATCH(A33,'Items'!$A$6:$A$1005,0)),"MISSING ID")</x:f>
        <x:v>Chitin-char</x:v>
      </x:c>
      <x:c r="C33" s="4" t="str">
        <x:v>Unassigned</x:v>
      </x:c>
      <x:c r="D33" s="4" t="str">
        <x:f>IFERROR(INDEX('Items'!$C$6:$C$1005,MATCH(A33,'Items'!$A$6:$A$1005,0)),"MISSING ID")</x:f>
        <x:v>T1</x:v>
      </x:c>
      <x:c r="E33" s="4" t="str">
        <x:f>IFERROR(INDEX('Items'!$AI$6:$AI$1005,MATCH(A33,'Items'!$A$6:$A$1005,0)),"MISSING ID")</x:f>
        <x:v>Material</x:v>
      </x:c>
      <x:c r="F33" s="4" t="str">
        <x:v>Proposed numeric tier</x:v>
      </x:c>
      <x:c r="G33" s="4" t="str">
        <x:f>IFERROR(INDEX('Items'!$B$6:$B$1005,MATCH("proposal.bio.shell",'Items'!$A$6:$A$1005,0)),"MISSING ID")</x:f>
        <x:v>Shell husks / shed plates</x:v>
      </x:c>
      <x:c r="H33" s="4" t="str">
        <x:v>design.review.proposal_fire_chitin_char</x:v>
      </x:c>
      <x:c r="I33" s="4" t="str">
        <x:v>First controlled thermal conversion of selected chitin-bearing husk feed.</x:v>
      </x:c>
      <x:c r="J33" s="4" t="str">
        <x:v>Candidate route only: quantities, yield, tools, fit, process conditions and service compatibility remain open. Thermal process, atmosphere, fuel properties and yield remain unqualified.</x:v>
      </x:c>
      <x:c r="K33" s="4" t="str">
        <x:f>IFERROR(INDEX('Items'!$AD$6:$AD$1005,MATCH(A33,'Items'!$A$6:$A$1005,0)),"MISSING ID")</x:f>
        <x:v>Source proposal</x:v>
      </x:c>
      <x:c r="L33" s="4" t="n">
        <x:f>IFERROR(INDEX('Items'!$AN$6:$AN$1005,MATCH(A33,'Items'!$A$6:$A$1005,0)),"MISSING ID")</x:f>
        <x:v>1</x:v>
      </x:c>
    </x:row>
    <x:row r="34" ht="165" customHeight="1">
      <x:c r="A34" s="4" t="str">
        <x:v>proposal.container.glass_stopper</x:v>
      </x:c>
      <x:c r="B34" s="4" t="str">
        <x:f>IFERROR(INDEX('Items'!$B$6:$B$1005,MATCH(A34,'Items'!$A$6:$A$1005,0)),"MISSING ID")</x:f>
        <x:v>Matched glass stopper</x:v>
      </x:c>
      <x:c r="C34" s="4" t="str">
        <x:v>Unassigned</x:v>
      </x:c>
      <x:c r="D34" s="4" t="str">
        <x:f>IFERROR(INDEX('Items'!$C$6:$C$1005,MATCH(A34,'Items'!$A$6:$A$1005,0)),"MISSING ID")</x:f>
        <x:v>T2</x:v>
      </x:c>
      <x:c r="E34" s="4" t="str">
        <x:f>IFERROR(INDEX('Items'!$AI$6:$AI$1005,MATCH(A34,'Items'!$A$6:$A$1005,0)),"MISSING ID")</x:f>
        <x:v>Component</x:v>
      </x:c>
      <x:c r="F34" s="4" t="str">
        <x:v>Proposed numeric tier</x:v>
      </x:c>
      <x:c r="G34" s="4" t="str">
        <x:f>IFERROR(INDEX('Items'!$B$6:$B$1005,MATCH("proposal.t1.clear_glass_blank",'Items'!$A$6:$A$1005,0)),"MISSING ID")&amp;"; "&amp;IFERROR(INDEX('Items'!$B$6:$B$1005,MATCH("proposal.natural.abrasive",'Items'!$A$6:$A$1005,0)),"MISSING ID")</x:f>
        <x:v>Rough clear-glass blank; Graded abrasive grit</x:v>
      </x:c>
      <x:c r="H34" s="4" t="str">
        <x:v>design.review.proposal_container_glass_stopper</x:v>
      </x:c>
      <x:c r="I34" s="4" t="str">
        <x:v>Shape and match a stopper directly from first glass stock.</x:v>
      </x:c>
      <x:c r="J34" s="4" t="str">
        <x:v>Candidate route only: quantities, yield, tools, fit, process conditions and service compatibility remain open. Fit to a selected vessel; no universal liquid compatibility.</x:v>
      </x:c>
      <x:c r="K34" s="4" t="str">
        <x:f>IFERROR(INDEX('Items'!$AD$6:$AD$1005,MATCH(A34,'Items'!$A$6:$A$1005,0)),"MISSING ID")</x:f>
        <x:v>Proposal</x:v>
      </x:c>
      <x:c r="L34" s="4" t="n">
        <x:f>IFERROR(INDEX('Items'!$AN$6:$AN$1005,MATCH(A34,'Items'!$A$6:$A$1005,0)),"MISSING ID")</x:f>
        <x:v>2</x:v>
      </x:c>
    </x:row>
    <x:row r="35" ht="165" customHeight="1">
      <x:c r="A35" s="4"/>
      <x:c r="B35" s="4"/>
      <x:c r="C35" s="4"/>
      <x:c r="D35" s="4"/>
      <x:c r="E35" s="4"/>
      <x:c r="F35" s="4"/>
      <x:c r="G35" s="4"/>
      <x:c r="H35" s="4"/>
      <x:c r="I35" s="4"/>
      <x:c r="J35" s="4"/>
      <x:c r="K35" s="4"/>
      <x:c r="L35" s="4"/>
    </x:row>
    <x:row r="36" ht="165" customHeight="1">
      <x:c r="A36" s="4" t="str">
        <x:v>proposal.canister.body_blank</x:v>
      </x:c>
      <x:c r="B36" s="4" t="str">
        <x:f>IFERROR(INDEX('Items'!$B$6:$B$1005,MATCH(A36,'Items'!$A$6:$A$1005,0)),"MISSING ID")</x:f>
        <x:v>Canister body blank</x:v>
      </x:c>
      <x:c r="C36" s="4" t="str">
        <x:v>Unassigned</x:v>
      </x:c>
      <x:c r="D36" s="4" t="str">
        <x:f>IFERROR(INDEX('Items'!$C$6:$C$1005,MATCH(A36,'Items'!$A$6:$A$1005,0)),"MISSING ID")</x:f>
        <x:v>T3</x:v>
      </x:c>
      <x:c r="E36" s="4" t="str">
        <x:f>IFERROR(INDEX('Items'!$AI$6:$AI$1005,MATCH(A36,'Items'!$A$6:$A$1005,0)),"MISSING ID")</x:f>
        <x:v>Component</x:v>
      </x:c>
      <x:c r="F36" s="4" t="str">
        <x:v>Proposed numeric tier</x:v>
      </x:c>
      <x:c r="G36" s="4" t="str">
        <x:f>IFERROR(INDEX('Items'!$B$6:$B$1005,MATCH("author.metallurgy.steel_stock",'Items'!$A$6:$A$1005,0)),"MISSING ID")</x:f>
        <x:v>Steel stock</x:v>
      </x:c>
      <x:c r="H36" s="4" t="str">
        <x:v>design.review.proposal_canister_body_blank</x:v>
      </x:c>
      <x:c r="I36" s="4" t="str">
        <x:v>Form an identified contemporary steel body blank from T2 stock.</x:v>
      </x:c>
      <x:c r="J36" s="4" t="str">
        <x:v>Candidate route only: quantities, yield, tools, fit, process conditions and service compatibility remain open. One candidate material variant, not a claim about all source canisters. Pressure service and food-contact qualification remain unresolved.</x:v>
      </x:c>
      <x:c r="K36" s="4" t="str">
        <x:f>IFERROR(INDEX('Items'!$AD$6:$AD$1005,MATCH(A36,'Items'!$A$6:$A$1005,0)),"MISSING ID")</x:f>
        <x:v>Proposal</x:v>
      </x:c>
      <x:c r="L36" s="4" t="n">
        <x:f>IFERROR(INDEX('Items'!$AN$6:$AN$1005,MATCH(A36,'Items'!$A$6:$A$1005,0)),"MISSING ID")</x:f>
        <x:v>3</x:v>
      </x:c>
    </x:row>
    <x:row r="37" ht="165" customHeight="1">
      <x:c r="A37" s="4" t="str">
        <x:v>proposal.canister.seal_ring</x:v>
      </x:c>
      <x:c r="B37" s="4" t="str">
        <x:f>IFERROR(INDEX('Items'!$B$6:$B$1005,MATCH(A37,'Items'!$A$6:$A$1005,0)),"MISSING ID")</x:f>
        <x:v>Replacement seal ring</x:v>
      </x:c>
      <x:c r="C37" s="4" t="str">
        <x:v>Unassigned</x:v>
      </x:c>
      <x:c r="D37" s="4" t="str">
        <x:f>IFERROR(INDEX('Items'!$C$6:$C$1005,MATCH(A37,'Items'!$A$6:$A$1005,0)),"MISSING ID")</x:f>
        <x:v>T3</x:v>
      </x:c>
      <x:c r="E37" s="4" t="str">
        <x:f>IFERROR(INDEX('Items'!$AI$6:$AI$1005,MATCH(A37,'Items'!$A$6:$A$1005,0)),"MISSING ID")</x:f>
        <x:v>Component</x:v>
      </x:c>
      <x:c r="F37" s="4" t="str">
        <x:v>Proposed numeric tier</x:v>
      </x:c>
      <x:c r="G37" s="4" t="str">
        <x:f>IFERROR(INDEX('Items'!$B$6:$B$1005,MATCH("proposal.branch.filled_seal",'Items'!$A$6:$A$1005,0)),"MISSING ID")&amp;"; "&amp;IFERROR(INDEX('Items'!$B$6:$B$1005,MATCH("proposal.branch.flex_bond",'Items'!$A$6:$A$1005,0)),"MISSING ID")</x:f>
        <x:v>Filled faunal seal compound; Flexible membrane-bonding compound</x:v>
      </x:c>
      <x:c r="H37" s="4" t="str">
        <x:v>design.review.proposal_canister_seal_ring</x:v>
      </x:c>
      <x:c r="I37" s="4" t="str">
        <x:v>Form a selected sealing compound into a fitted ring.</x:v>
      </x:c>
      <x:c r="J37" s="4" t="str">
        <x:v>Candidate route only: quantities, yield, tools, fit, process conditions and service compatibility remain open. Not proof of elastomer behavior or Phagia-contact safety.</x:v>
      </x:c>
      <x:c r="K37" s="4" t="str">
        <x:f>IFERROR(INDEX('Items'!$AD$6:$AD$1005,MATCH(A37,'Items'!$A$6:$A$1005,0)),"MISSING ID")</x:f>
        <x:v>Proposal</x:v>
      </x:c>
      <x:c r="L37" s="4" t="n">
        <x:f>IFERROR(INDEX('Items'!$AN$6:$AN$1005,MATCH(A37,'Items'!$A$6:$A$1005,0)),"MISSING ID")</x:f>
        <x:v>3</x:v>
      </x:c>
    </x:row>
    <x:row r="38" ht="165" customHeight="1">
      <x:c r="A38" s="4" t="str">
        <x:v>proposal.canister.seal_seat</x:v>
      </x:c>
      <x:c r="B38" s="4" t="str">
        <x:f>IFERROR(INDEX('Items'!$B$6:$B$1005,MATCH(A38,'Items'!$A$6:$A$1005,0)),"MISSING ID")</x:f>
        <x:v>Fitted seal seat</x:v>
      </x:c>
      <x:c r="C38" s="4" t="str">
        <x:v>Unassigned</x:v>
      </x:c>
      <x:c r="D38" s="4" t="str">
        <x:f>IFERROR(INDEX('Items'!$C$6:$C$1005,MATCH(A38,'Items'!$A$6:$A$1005,0)),"MISSING ID")</x:f>
        <x:v>T3</x:v>
      </x:c>
      <x:c r="E38" s="4" t="str">
        <x:f>IFERROR(INDEX('Items'!$AI$6:$AI$1005,MATCH(A38,'Items'!$A$6:$A$1005,0)),"MISSING ID")</x:f>
        <x:v>Component</x:v>
      </x:c>
      <x:c r="F38" s="4" t="str">
        <x:v>Proposed numeric tier</x:v>
      </x:c>
      <x:c r="G38" s="4" t="str">
        <x:f>IFERROR(INDEX('Items'!$B$6:$B$1005,MATCH("author.metallurgy.steel_stock",'Items'!$A$6:$A$1005,0)),"MISSING ID")&amp;"; "&amp;IFERROR(INDEX('Items'!$B$6:$B$1005,MATCH("proposal.branch.bearing_bronze",'Items'!$A$6:$A$1005,0)),"MISSING ID")</x:f>
        <x:v>Steel stock; Prepared bronze bearing stock</x:v>
      </x:c>
      <x:c r="H38" s="4" t="str">
        <x:v>design.review.proposal_canister_seal_seat</x:v>
      </x:c>
      <x:c r="I38" s="4" t="str">
        <x:v>Machine a selected metal seat as a matched vessel component.</x:v>
      </x:c>
      <x:c r="J38" s="4" t="str">
        <x:v>Candidate route only: quantities, yield, tools, fit, process conditions and service compatibility remain open. </x:v>
      </x:c>
      <x:c r="K38" s="4" t="str">
        <x:f>IFERROR(INDEX('Items'!$AD$6:$AD$1005,MATCH(A38,'Items'!$A$6:$A$1005,0)),"MISSING ID")</x:f>
        <x:v>Proposal</x:v>
      </x:c>
      <x:c r="L38" s="4" t="n">
        <x:f>IFERROR(INDEX('Items'!$AN$6:$AN$1005,MATCH(A38,'Items'!$A$6:$A$1005,0)),"MISSING ID")</x:f>
        <x:v>3</x:v>
      </x:c>
    </x:row>
    <x:row r="39" ht="165" customHeight="1">
      <x:c r="A39" s="4" t="str">
        <x:v>proposal.canister.feed_line</x:v>
      </x:c>
      <x:c r="B39" s="4" t="str">
        <x:f>IFERROR(INDEX('Items'!$B$6:$B$1005,MATCH(A39,'Items'!$A$6:$A$1005,0)),"MISSING ID")</x:f>
        <x:v>Feed-line section</x:v>
      </x:c>
      <x:c r="C39" s="4" t="str">
        <x:v>Unassigned</x:v>
      </x:c>
      <x:c r="D39" s="4" t="str">
        <x:f>IFERROR(INDEX('Items'!$C$6:$C$1005,MATCH(A39,'Items'!$A$6:$A$1005,0)),"MISSING ID")</x:f>
        <x:v>T4</x:v>
      </x:c>
      <x:c r="E39" s="4" t="str">
        <x:f>IFERROR(INDEX('Items'!$AI$6:$AI$1005,MATCH(A39,'Items'!$A$6:$A$1005,0)),"MISSING ID")</x:f>
        <x:v>Component</x:v>
      </x:c>
      <x:c r="F39" s="4" t="str">
        <x:v>Proposed numeric tier</x:v>
      </x:c>
      <x:c r="G39" s="4" t="str">
        <x:f>IFERROR(INDEX('Items'!$B$6:$B$1005,MATCH("proposal.t3.precision_tube",'Items'!$A$6:$A$1005,0)),"MISSING ID")&amp;"; "&amp;IFERROR(INDEX('Items'!$B$6:$B$1005,MATCH("proposal.t3.packing_stock",'Items'!$A$6:$A$1005,0)),"MISSING ID")</x:f>
        <x:v>Drawn steel tube stock; Husk-reinforced packing stock</x:v>
      </x:c>
      <x:c r="H39" s="4" t="str">
        <x:v>design.review.proposal_canister_feed_line</x:v>
      </x:c>
      <x:c r="I39" s="4" t="str">
        <x:v>Fit a T3 tube section and packed end interfaces for an identified canister service.</x:v>
      </x:c>
      <x:c r="J39" s="4" t="str">
        <x:v>Candidate route only: quantities, yield, tools, fit, process conditions and service compatibility remain open. </x:v>
      </x:c>
      <x:c r="K39" s="4" t="str">
        <x:f>IFERROR(INDEX('Items'!$AD$6:$AD$1005,MATCH(A39,'Items'!$A$6:$A$1005,0)),"MISSING ID")</x:f>
        <x:v>Proposal</x:v>
      </x:c>
      <x:c r="L39" s="4" t="n">
        <x:f>IFERROR(INDEX('Items'!$AN$6:$AN$1005,MATCH(A39,'Items'!$A$6:$A$1005,0)),"MISSING ID")</x:f>
        <x:v>4</x:v>
      </x:c>
    </x:row>
    <x:row r="40" ht="165" customHeight="1">
      <x:c r="A40" s="4" t="str">
        <x:v>proposal.canister.coupling</x:v>
      </x:c>
      <x:c r="B40" s="4" t="str">
        <x:f>IFERROR(INDEX('Items'!$B$6:$B$1005,MATCH(A40,'Items'!$A$6:$A$1005,0)),"MISSING ID")</x:f>
        <x:v>Feed-line coupling</x:v>
      </x:c>
      <x:c r="C40" s="4" t="str">
        <x:v>Unassigned</x:v>
      </x:c>
      <x:c r="D40" s="4" t="str">
        <x:f>IFERROR(INDEX('Items'!$C$6:$C$1005,MATCH(A40,'Items'!$A$6:$A$1005,0)),"MISSING ID")</x:f>
        <x:v>T4</x:v>
      </x:c>
      <x:c r="E40" s="4" t="str">
        <x:f>IFERROR(INDEX('Items'!$AI$6:$AI$1005,MATCH(A40,'Items'!$A$6:$A$1005,0)),"MISSING ID")</x:f>
        <x:v>Component</x:v>
      </x:c>
      <x:c r="F40" s="4" t="str">
        <x:v>Proposed numeric tier</x:v>
      </x:c>
      <x:c r="G40" s="4" t="str">
        <x:f>IFERROR(INDEX('Items'!$B$6:$B$1005,MATCH("proposal.t3.precision_tube",'Items'!$A$6:$A$1005,0)),"MISSING ID")&amp;"; "&amp;IFERROR(INDEX('Items'!$B$6:$B$1005,MATCH("proposal.t3.packing_stock",'Items'!$A$6:$A$1005,0)),"MISSING ID")&amp;"; "&amp;IFERROR(INDEX('Items'!$B$6:$B$1005,MATCH("proposal.branch.bearing_bronze",'Items'!$A$6:$A$1005,0)),"MISSING ID")</x:f>
        <x:v>Drawn steel tube stock; Husk-reinforced packing stock; Prepared bronze bearing stock</x:v>
      </x:c>
      <x:c r="H40" s="4" t="str">
        <x:v>design.review.proposal_canister_coupling</x:v>
      </x:c>
      <x:c r="I40" s="4" t="str">
        <x:v>Make a matched coupling from precision tube, packing and bearing-grade metal feed.</x:v>
      </x:c>
      <x:c r="J40" s="4" t="str">
        <x:v>Candidate route only: quantities, yield, tools, fit, process conditions and service compatibility remain open. </x:v>
      </x:c>
      <x:c r="K40" s="4" t="str">
        <x:f>IFERROR(INDEX('Items'!$AD$6:$AD$1005,MATCH(A40,'Items'!$A$6:$A$1005,0)),"MISSING ID")</x:f>
        <x:v>Proposal</x:v>
      </x:c>
      <x:c r="L40" s="4" t="n">
        <x:f>IFERROR(INDEX('Items'!$AN$6:$AN$1005,MATCH(A40,'Items'!$A$6:$A$1005,0)),"MISSING ID")</x:f>
        <x:v>4</x:v>
      </x:c>
    </x:row>
    <x:row r="41" ht="165" customHeight="1">
      <x:c r="A41" s="4" t="str">
        <x:v>proposal.canister.mouthpiece</x:v>
      </x:c>
      <x:c r="B41" s="4" t="str">
        <x:f>IFERROR(INDEX('Items'!$B$6:$B$1005,MATCH(A41,'Items'!$A$6:$A$1005,0)),"MISSING ID")</x:f>
        <x:v>Canister mouthpiece interface</x:v>
      </x:c>
      <x:c r="C41" s="4" t="str">
        <x:v>Unassigned</x:v>
      </x:c>
      <x:c r="D41" s="4" t="str">
        <x:f>IFERROR(INDEX('Items'!$C$6:$C$1005,MATCH(A41,'Items'!$A$6:$A$1005,0)),"MISSING ID")</x:f>
        <x:v>T3</x:v>
      </x:c>
      <x:c r="E41" s="4" t="str">
        <x:f>IFERROR(INDEX('Items'!$AI$6:$AI$1005,MATCH(A41,'Items'!$A$6:$A$1005,0)),"MISSING ID")</x:f>
        <x:v>Component</x:v>
      </x:c>
      <x:c r="F41" s="4" t="str">
        <x:v>Proposed numeric tier</x:v>
      </x:c>
      <x:c r="G41" s="4" t="str">
        <x:f>IFERROR(INDEX('Items'!$B$6:$B$1005,MATCH("proposal.natural.ceramic",'Items'!$A$6:$A$1005,0)),"MISSING ID")&amp;"; "&amp;IFERROR(INDEX('Items'!$B$6:$B$1005,MATCH("proposal.branch.filled_seal",'Items'!$A$6:$A$1005,0)),"MISSING ID")</x:f>
        <x:v>Insulating ceramic blanks; Filled faunal seal compound</x:v>
      </x:c>
      <x:c r="H41" s="4" t="str">
        <x:v>design.review.proposal_canister_mouthpiece</x:v>
      </x:c>
      <x:c r="I41" s="4" t="str">
        <x:v>Fit a ceramic interface and selected seal stock.</x:v>
      </x:c>
      <x:c r="J41" s="4" t="str">
        <x:v>Candidate route only: quantities, yield, tools, fit, process conditions and service compatibility remain open. Human/Phagia contact and cleanability require separate approval; no industrial faunal chemical is assumed safe.</x:v>
      </x:c>
      <x:c r="K41" s="4" t="str">
        <x:f>IFERROR(INDEX('Items'!$AD$6:$AD$1005,MATCH(A41,'Items'!$A$6:$A$1005,0)),"MISSING ID")</x:f>
        <x:v>Proposal</x:v>
      </x:c>
      <x:c r="L41" s="4" t="n">
        <x:f>IFERROR(INDEX('Items'!$AN$6:$AN$1005,MATCH(A41,'Items'!$A$6:$A$1005,0)),"MISSING ID")</x:f>
        <x:v>3</x:v>
      </x:c>
    </x:row>
    <x:row r="42" ht="165" customHeight="1">
      <x:c r="A42" s="4" t="str">
        <x:v>proposal.canister.window</x:v>
      </x:c>
      <x:c r="B42" s="4" t="str">
        <x:f>IFERROR(INDEX('Items'!$B$6:$B$1005,MATCH(A42,'Items'!$A$6:$A$1005,0)),"MISSING ID")</x:f>
        <x:v>Canister viewing-port insert</x:v>
      </x:c>
      <x:c r="C42" s="4" t="str">
        <x:v>Unassigned</x:v>
      </x:c>
      <x:c r="D42" s="4" t="str">
        <x:f>IFERROR(INDEX('Items'!$C$6:$C$1005,MATCH(A42,'Items'!$A$6:$A$1005,0)),"MISSING ID")</x:f>
        <x:v>T3</x:v>
      </x:c>
      <x:c r="E42" s="4" t="str">
        <x:f>IFERROR(INDEX('Items'!$AI$6:$AI$1005,MATCH(A42,'Items'!$A$6:$A$1005,0)),"MISSING ID")</x:f>
        <x:v>Component</x:v>
      </x:c>
      <x:c r="F42" s="4" t="str">
        <x:v>Proposed numeric tier</x:v>
      </x:c>
      <x:c r="G42" s="4" t="str">
        <x:f>IFERROR(INDEX('Items'!$B$6:$B$1005,MATCH("proposal.branch.viewing_glass",'Items'!$A$6:$A$1005,0)),"MISSING ID")&amp;"; "&amp;IFERROR(INDEX('Items'!$B$6:$B$1005,MATCH("proposal.natural.abrasive",'Items'!$A$6:$A$1005,0)),"MISSING ID")</x:f>
        <x:v>Selected viewing-glass stock; Graded abrasive grit</x:v>
      </x:c>
      <x:c r="H42" s="4" t="str">
        <x:v>design.review.proposal_canister_window</x:v>
      </x:c>
      <x:c r="I42" s="4" t="str">
        <x:v>Finish and fit selected viewing-glass stock as a port insert.</x:v>
      </x:c>
      <x:c r="J42" s="4" t="str">
        <x:v>Candidate route only: quantities, yield, tools, fit, process conditions and service compatibility remain open. </x:v>
      </x:c>
      <x:c r="K42" s="4" t="str">
        <x:f>IFERROR(INDEX('Items'!$AD$6:$AD$1005,MATCH(A42,'Items'!$A$6:$A$1005,0)),"MISSING ID")</x:f>
        <x:v>Proposal</x:v>
      </x:c>
      <x:c r="L42" s="4" t="n">
        <x:f>IFERROR(INDEX('Items'!$AN$6:$AN$1005,MATCH(A42,'Items'!$A$6:$A$1005,0)),"MISSING ID")</x:f>
        <x:v>3</x:v>
      </x:c>
    </x:row>
    <x:row r="43" ht="165" customHeight="1">
      <x:c r="A43" s="4" t="str">
        <x:v>proposal.canister.mount</x:v>
      </x:c>
      <x:c r="B43" s="4" t="str">
        <x:f>IFERROR(INDEX('Items'!$B$6:$B$1005,MATCH(A43,'Items'!$A$6:$A$1005,0)),"MISSING ID")</x:f>
        <x:v>Canister mounting bracket</x:v>
      </x:c>
      <x:c r="C43" s="4" t="str">
        <x:v>Unassigned</x:v>
      </x:c>
      <x:c r="D43" s="4" t="str">
        <x:f>IFERROR(INDEX('Items'!$C$6:$C$1005,MATCH(A43,'Items'!$A$6:$A$1005,0)),"MISSING ID")</x:f>
        <x:v>T3</x:v>
      </x:c>
      <x:c r="E43" s="4" t="str">
        <x:f>IFERROR(INDEX('Items'!$AI$6:$AI$1005,MATCH(A43,'Items'!$A$6:$A$1005,0)),"MISSING ID")</x:f>
        <x:v>Component</x:v>
      </x:c>
      <x:c r="F43" s="4" t="str">
        <x:v>Proposed numeric tier</x:v>
      </x:c>
      <x:c r="G43" s="4" t="str">
        <x:f>IFERROR(INDEX('Items'!$B$6:$B$1005,MATCH("author.metallurgy.steel_stock",'Items'!$A$6:$A$1005,0)),"MISSING ID")</x:f>
        <x:v>Steel stock</x:v>
      </x:c>
      <x:c r="H43" s="4" t="str">
        <x:v>design.review.proposal_canister_mount</x:v>
      </x:c>
      <x:c r="I43" s="4" t="str">
        <x:v>Shape and fit a mounting bracket from prepared steel.</x:v>
      </x:c>
      <x:c r="J43" s="4" t="str">
        <x:v>Candidate route only: quantities, yield, tools, fit, process conditions and service compatibility remain open. </x:v>
      </x:c>
      <x:c r="K43" s="4" t="str">
        <x:f>IFERROR(INDEX('Items'!$AD$6:$AD$1005,MATCH(A43,'Items'!$A$6:$A$1005,0)),"MISSING ID")</x:f>
        <x:v>Proposal</x:v>
      </x:c>
      <x:c r="L43" s="4" t="n">
        <x:f>IFERROR(INDEX('Items'!$AN$6:$AN$1005,MATCH(A43,'Items'!$A$6:$A$1005,0)),"MISSING ID")</x:f>
        <x:v>3</x:v>
      </x:c>
    </x:row>
    <x:row r="44" ht="165" customHeight="1">
      <x:c r="A44" s="4" t="str">
        <x:v>proposal.canister.maker_plate</x:v>
      </x:c>
      <x:c r="B44" s="4" t="str">
        <x:f>IFERROR(INDEX('Items'!$B$6:$B$1005,MATCH(A44,'Items'!$A$6:$A$1005,0)),"MISSING ID")</x:f>
        <x:v>Canister maker plate</x:v>
      </x:c>
      <x:c r="C44" s="4" t="str">
        <x:v>Unassigned</x:v>
      </x:c>
      <x:c r="D44" s="4" t="str">
        <x:f>IFERROR(INDEX('Items'!$C$6:$C$1005,MATCH(A44,'Items'!$A$6:$A$1005,0)),"MISSING ID")</x:f>
        <x:v>T2</x:v>
      </x:c>
      <x:c r="E44" s="4" t="str">
        <x:f>IFERROR(INDEX('Items'!$AI$6:$AI$1005,MATCH(A44,'Items'!$A$6:$A$1005,0)),"MISSING ID")</x:f>
        <x:v>Component</x:v>
      </x:c>
      <x:c r="F44" s="4" t="str">
        <x:v>Proposed numeric tier</x:v>
      </x:c>
      <x:c r="G44" s="4" t="str">
        <x:f>IFERROR(INDEX('Items'!$B$6:$B$1005,MATCH("proposal.t1.bronze_billet",'Items'!$A$6:$A$1005,0)),"MISSING ID")&amp;"; "&amp;IFERROR(INDEX('Items'!$B$6:$B$1005,MATCH("proposal.t1.pigment_powder",'Items'!$A$6:$A$1005,0)),"MISSING ID")</x:f>
        <x:v>Reclaimed bronze billet; Prepared mineral pigment powder</x:v>
      </x:c>
      <x:c r="H44" s="4" t="str">
        <x:v>design.review.proposal_canister_maker_plate</x:v>
      </x:c>
      <x:c r="I44" s="4" t="str">
        <x:v>Form and mark a plate from first reclaimed bronze stock.</x:v>
      </x:c>
      <x:c r="J44" s="4" t="str">
        <x:v>Candidate route only: quantities, yield, tools, fit, process conditions and service compatibility remain open. Specific issuer marks, provenance guarantees and legal standards remain undefined.</x:v>
      </x:c>
      <x:c r="K44" s="4" t="str">
        <x:f>IFERROR(INDEX('Items'!$AD$6:$AD$1005,MATCH(A44,'Items'!$A$6:$A$1005,0)),"MISSING ID")</x:f>
        <x:v>Proposal</x:v>
      </x:c>
      <x:c r="L44" s="4" t="n">
        <x:f>IFERROR(INDEX('Items'!$AN$6:$AN$1005,MATCH(A44,'Items'!$A$6:$A$1005,0)),"MISSING ID")</x:f>
        <x:v>2</x:v>
      </x:c>
    </x:row>
    <x:row r="45" ht="165" customHeight="1">
      <x:c r="A45" s="4" t="str">
        <x:v>proposal.canister.trim</x:v>
      </x:c>
      <x:c r="B45" s="4" t="str">
        <x:f>IFERROR(INDEX('Items'!$B$6:$B$1005,MATCH(A45,'Items'!$A$6:$A$1005,0)),"MISSING ID")</x:f>
        <x:v>Decorative canister panel</x:v>
      </x:c>
      <x:c r="C45" s="4" t="str">
        <x:v>Unassigned</x:v>
      </x:c>
      <x:c r="D45" s="4" t="str">
        <x:f>IFERROR(INDEX('Items'!$C$6:$C$1005,MATCH(A45,'Items'!$A$6:$A$1005,0)),"MISSING ID")</x:f>
        <x:v>T3</x:v>
      </x:c>
      <x:c r="E45" s="4" t="str">
        <x:f>IFERROR(INDEX('Items'!$AI$6:$AI$1005,MATCH(A45,'Items'!$A$6:$A$1005,0)),"MISSING ID")</x:f>
        <x:v>Component</x:v>
      </x:c>
      <x:c r="F45" s="4" t="str">
        <x:v>Proposed numeric tier</x:v>
      </x:c>
      <x:c r="G45" s="4" t="str">
        <x:f>IFERROR(INDEX('Items'!$B$6:$B$1005,MATCH("proposal.branch.polished_gem",'Items'!$A$6:$A$1005,0)),"MISSING ID")&amp;"; "&amp;IFERROR(INDEX('Items'!$B$6:$B$1005,MATCH("author.metallurgy.steel_stock",'Items'!$A$6:$A$1005,0)),"MISSING ID")&amp;"; "&amp;IFERROR(INDEX('Items'!$B$6:$B$1005,MATCH("proposal.branch.pigment_coating",'Items'!$A$6:$A$1005,0)),"MISSING ID")</x:f>
        <x:v>Polished gemstone blanks; Steel stock; Mineral pigment coating</x:v>
      </x:c>
      <x:c r="H45" s="4" t="str">
        <x:v>design.review.proposal_canister_trim</x:v>
      </x:c>
      <x:c r="I45" s="4" t="str">
        <x:v>Prepare a fitted decorative metal/inlay panel from T2 finish stocks.</x:v>
      </x:c>
      <x:c r="J45" s="4" t="str">
        <x:v>Candidate route only: quantities, yield, tools, fit, process conditions and service compatibility remain open. </x:v>
      </x:c>
      <x:c r="K45" s="4" t="str">
        <x:f>IFERROR(INDEX('Items'!$AD$6:$AD$1005,MATCH(A45,'Items'!$A$6:$A$1005,0)),"MISSING ID")</x:f>
        <x:v>Proposal</x:v>
      </x:c>
      <x:c r="L45" s="4" t="n">
        <x:f>IFERROR(INDEX('Items'!$AN$6:$AN$1005,MATCH(A45,'Items'!$A$6:$A$1005,0)),"MISSING ID")</x:f>
        <x:v>3</x:v>
      </x:c>
    </x:row>
    <x:row r="46" ht="165" customHeight="1">
      <x:c r="A46" s="4" t="str">
        <x:v>proposal.canister.endcap</x:v>
      </x:c>
      <x:c r="B46" s="4" t="str">
        <x:f>IFERROR(INDEX('Items'!$B$6:$B$1005,MATCH(A46,'Items'!$A$6:$A$1005,0)),"MISSING ID")</x:f>
        <x:v>Canister protective endcap</x:v>
      </x:c>
      <x:c r="C46" s="4" t="str">
        <x:v>Unassigned</x:v>
      </x:c>
      <x:c r="D46" s="4" t="str">
        <x:f>IFERROR(INDEX('Items'!$C$6:$C$1005,MATCH(A46,'Items'!$A$6:$A$1005,0)),"MISSING ID")</x:f>
        <x:v>T3</x:v>
      </x:c>
      <x:c r="E46" s="4" t="str">
        <x:f>IFERROR(INDEX('Items'!$AI$6:$AI$1005,MATCH(A46,'Items'!$A$6:$A$1005,0)),"MISSING ID")</x:f>
        <x:v>Component</x:v>
      </x:c>
      <x:c r="F46" s="4" t="str">
        <x:v>Proposed numeric tier</x:v>
      </x:c>
      <x:c r="G46" s="4" t="str">
        <x:f>IFERROR(INDEX('Items'!$B$6:$B$1005,MATCH("proposal.bio.laminate",'Items'!$A$6:$A$1005,0)),"MISSING ID")&amp;"; "&amp;IFERROR(INDEX('Items'!$B$6:$B$1005,MATCH("proposal.branch.filled_binder",'Items'!$A$6:$A$1005,0)),"MISSING ID")&amp;"; "&amp;IFERROR(INDEX('Items'!$B$6:$B$1005,MATCH("author.metallurgy.steel_stock",'Items'!$A$6:$A$1005,0)),"MISSING ID")</x:f>
        <x:v>Shell laminate; Filled shell-binding compound; Steel stock</x:v>
      </x:c>
      <x:c r="H46" s="4" t="str">
        <x:v>design.review.proposal_canister_endcap</x:v>
      </x:c>
      <x:c r="I46" s="4" t="str">
        <x:v>Form and fit a supported protective cap from prepared shell and metal stocks.</x:v>
      </x:c>
      <x:c r="J46" s="4" t="str">
        <x:v>Candidate route only: quantities, yield, tools, fit, process conditions and service compatibility remain open. </x:v>
      </x:c>
      <x:c r="K46" s="4" t="str">
        <x:f>IFERROR(INDEX('Items'!$AD$6:$AD$1005,MATCH(A46,'Items'!$A$6:$A$1005,0)),"MISSING ID")</x:f>
        <x:v>Proposal</x:v>
      </x:c>
      <x:c r="L46" s="4" t="n">
        <x:f>IFERROR(INDEX('Items'!$AN$6:$AN$1005,MATCH(A46,'Items'!$A$6:$A$1005,0)),"MISSING ID")</x:f>
        <x:v>3</x:v>
      </x:c>
    </x:row>
    <x:row r="47" ht="165" customHeight="1">
      <x:c r="A47" s="4" t="str">
        <x:v>proposal.ceramic.unfired_blank</x:v>
      </x:c>
      <x:c r="B47" s="4" t="str">
        <x:f>IFERROR(INDEX('Items'!$B$6:$B$1005,MATCH(A47,'Items'!$A$6:$A$1005,0)),"MISSING ID")</x:f>
        <x:v>Unfired shaped ceramic blank</x:v>
      </x:c>
      <x:c r="C47" s="4" t="str">
        <x:v>Unassigned</x:v>
      </x:c>
      <x:c r="D47" s="4" t="str">
        <x:f>IFERROR(INDEX('Items'!$C$6:$C$1005,MATCH(A47,'Items'!$A$6:$A$1005,0)),"MISSING ID")</x:f>
        <x:v>T2</x:v>
      </x:c>
      <x:c r="E47" s="4" t="str">
        <x:f>IFERROR(INDEX('Items'!$AI$6:$AI$1005,MATCH(A47,'Items'!$A$6:$A$1005,0)),"MISSING ID")</x:f>
        <x:v>Component</x:v>
      </x:c>
      <x:c r="F47" s="4" t="str">
        <x:v>Proposed numeric tier</x:v>
      </x:c>
      <x:c r="G47" s="4" t="str">
        <x:f>IFERROR(INDEX('Items'!$B$6:$B$1005,MATCH("proposal.ceramic.body_feed",'Items'!$A$6:$A$1005,0)),"MISSING ID")&amp;"; "&amp;IFERROR(INDEX('Items'!$B$6:$B$1005,MATCH("proposal.t1.faunal_carrier",'Items'!$A$6:$A$1005,0)),"MISSING ID")</x:f>
        <x:v>Prepared ceramic body feed; Selected faunal carrier fraction</x:v>
      </x:c>
      <x:c r="H47" s="4" t="str">
        <x:v>design.review.proposal_ceramic_unfired_blank</x:v>
      </x:c>
      <x:c r="I47" s="4" t="str">
        <x:v>Form first ceramic body feed into an unfired intermediate.</x:v>
      </x:c>
      <x:c r="J47" s="4" t="str">
        <x:v>Candidate route only: quantities, yield, tools, fit, process conditions and service compatibility remain open. The carrier is a hypothetical compatible working medium; no free-water forming process or food safety is established.</x:v>
      </x:c>
      <x:c r="K47" s="4" t="str">
        <x:f>IFERROR(INDEX('Items'!$AD$6:$AD$1005,MATCH(A47,'Items'!$A$6:$A$1005,0)),"MISSING ID")</x:f>
        <x:v>Proposal</x:v>
      </x:c>
      <x:c r="L47" s="4" t="n">
        <x:f>IFERROR(INDEX('Items'!$AN$6:$AN$1005,MATCH(A47,'Items'!$A$6:$A$1005,0)),"MISSING ID")</x:f>
        <x:v>2</x:v>
      </x:c>
    </x:row>
    <x:row r="48" ht="165" customHeight="1">
      <x:c r="A48" s="4" t="str">
        <x:v>proposal.ceramic.refractory_brick</x:v>
      </x:c>
      <x:c r="B48" s="4" t="str">
        <x:f>IFERROR(INDEX('Items'!$B$6:$B$1005,MATCH(A48,'Items'!$A$6:$A$1005,0)),"MISSING ID")</x:f>
        <x:v>Refractory ceramic brick</x:v>
      </x:c>
      <x:c r="C48" s="4" t="str">
        <x:v>Unassigned</x:v>
      </x:c>
      <x:c r="D48" s="4" t="str">
        <x:f>IFERROR(INDEX('Items'!$C$6:$C$1005,MATCH(A48,'Items'!$A$6:$A$1005,0)),"MISSING ID")</x:f>
        <x:v>T3</x:v>
      </x:c>
      <x:c r="E48" s="4" t="str">
        <x:f>IFERROR(INDEX('Items'!$AI$6:$AI$1005,MATCH(A48,'Items'!$A$6:$A$1005,0)),"MISSING ID")</x:f>
        <x:v>Component</x:v>
      </x:c>
      <x:c r="F48" s="4" t="str">
        <x:v>Proposed numeric tier</x:v>
      </x:c>
      <x:c r="G48" s="4" t="str">
        <x:f>IFERROR(INDEX('Items'!$B$6:$B$1005,MATCH("proposal.branch.refractory_ceramic",'Items'!$A$6:$A$1005,0)),"MISSING ID")&amp;"; "&amp;IFERROR(INDEX('Items'!$B$6:$B$1005,MATCH("proposal.natural.abrasive",'Items'!$A$6:$A$1005,0)),"MISSING ID")</x:f>
        <x:v>Refractory ceramic stock; Graded abrasive grit</x:v>
      </x:c>
      <x:c r="H48" s="4" t="str">
        <x:v>design.review.proposal_ceramic_refractory_brick</x:v>
      </x:c>
      <x:c r="I48" s="4" t="str">
        <x:v>Shape and fit an identified T2 refractory grade as a thermal-service component.</x:v>
      </x:c>
      <x:c r="J48" s="4" t="str">
        <x:v>Candidate route only: quantities, yield, tools, fit, process conditions and service compatibility remain open. Binder, firing, installation and thermal-shock limits remain open.</x:v>
      </x:c>
      <x:c r="K48" s="4" t="str">
        <x:f>IFERROR(INDEX('Items'!$AD$6:$AD$1005,MATCH(A48,'Items'!$A$6:$A$1005,0)),"MISSING ID")</x:f>
        <x:v>Proposal</x:v>
      </x:c>
      <x:c r="L48" s="4" t="n">
        <x:f>IFERROR(INDEX('Items'!$AN$6:$AN$1005,MATCH(A48,'Items'!$A$6:$A$1005,0)),"MISSING ID")</x:f>
        <x:v>3</x:v>
      </x:c>
    </x:row>
    <x:row r="49" ht="165" customHeight="1">
      <x:c r="A49" s="4" t="str">
        <x:v>proposal.ceramic.kiln_liner</x:v>
      </x:c>
      <x:c r="B49" s="4" t="str">
        <x:f>IFERROR(INDEX('Items'!$B$6:$B$1005,MATCH(A49,'Items'!$A$6:$A$1005,0)),"MISSING ID")</x:f>
        <x:v>Ceramic kiln lining panel</x:v>
      </x:c>
      <x:c r="C49" s="4" t="str">
        <x:v>Unassigned</x:v>
      </x:c>
      <x:c r="D49" s="4" t="str">
        <x:f>IFERROR(INDEX('Items'!$C$6:$C$1005,MATCH(A49,'Items'!$A$6:$A$1005,0)),"MISSING ID")</x:f>
        <x:v>T3</x:v>
      </x:c>
      <x:c r="E49" s="4" t="str">
        <x:f>IFERROR(INDEX('Items'!$AI$6:$AI$1005,MATCH(A49,'Items'!$A$6:$A$1005,0)),"MISSING ID")</x:f>
        <x:v>Component</x:v>
      </x:c>
      <x:c r="F49" s="4" t="str">
        <x:v>Proposed numeric tier</x:v>
      </x:c>
      <x:c r="G49" s="4" t="str">
        <x:f>IFERROR(INDEX('Items'!$B$6:$B$1005,MATCH("proposal.branch.refractory_ceramic",'Items'!$A$6:$A$1005,0)),"MISSING ID")&amp;"; "&amp;IFERROR(INDEX('Items'!$B$6:$B$1005,MATCH("proposal.natural.abrasive",'Items'!$A$6:$A$1005,0)),"MISSING ID")</x:f>
        <x:v>Refractory ceramic stock; Graded abrasive grit</x:v>
      </x:c>
      <x:c r="H49" s="4" t="str">
        <x:v>design.review.proposal_ceramic_kiln_liner</x:v>
      </x:c>
      <x:c r="I49" s="4" t="str">
        <x:v>Shape and fit an identified T2 refractory grade as a thermal-service component.</x:v>
      </x:c>
      <x:c r="J49" s="4" t="str">
        <x:v>Candidate route only: quantities, yield, tools, fit, process conditions and service compatibility remain open. Binder, firing, installation and thermal-shock limits remain open.</x:v>
      </x:c>
      <x:c r="K49" s="4" t="str">
        <x:f>IFERROR(INDEX('Items'!$AD$6:$AD$1005,MATCH(A49,'Items'!$A$6:$A$1005,0)),"MISSING ID")</x:f>
        <x:v>Proposal</x:v>
      </x:c>
      <x:c r="L49" s="4" t="n">
        <x:f>IFERROR(INDEX('Items'!$AN$6:$AN$1005,MATCH(A49,'Items'!$A$6:$A$1005,0)),"MISSING ID")</x:f>
        <x:v>3</x:v>
      </x:c>
    </x:row>
    <x:row r="50" ht="165" customHeight="1">
      <x:c r="A50" s="4" t="str">
        <x:v>proposal.ceramic.bead</x:v>
      </x:c>
      <x:c r="B50" s="4" t="str">
        <x:f>IFERROR(INDEX('Items'!$B$6:$B$1005,MATCH(A50,'Items'!$A$6:$A$1005,0)),"MISSING ID")</x:f>
        <x:v>Ceramic insulating bead</x:v>
      </x:c>
      <x:c r="C50" s="4" t="str">
        <x:v>Unassigned</x:v>
      </x:c>
      <x:c r="D50" s="4" t="str">
        <x:f>IFERROR(INDEX('Items'!$C$6:$C$1005,MATCH(A50,'Items'!$A$6:$A$1005,0)),"MISSING ID")</x:f>
        <x:v>T3</x:v>
      </x:c>
      <x:c r="E50" s="4" t="str">
        <x:f>IFERROR(INDEX('Items'!$AI$6:$AI$1005,MATCH(A50,'Items'!$A$6:$A$1005,0)),"MISSING ID")</x:f>
        <x:v>Component</x:v>
      </x:c>
      <x:c r="F50" s="4" t="str">
        <x:v>Proposed numeric tier</x:v>
      </x:c>
      <x:c r="G50" s="4" t="str">
        <x:f>IFERROR(INDEX('Items'!$B$6:$B$1005,MATCH("proposal.natural.ceramic",'Items'!$A$6:$A$1005,0)),"MISSING ID")&amp;"; "&amp;IFERROR(INDEX('Items'!$B$6:$B$1005,MATCH("proposal.natural.abrasive",'Items'!$A$6:$A$1005,0)),"MISSING ID")</x:f>
        <x:v>Insulating ceramic blanks; Graded abrasive grit</x:v>
      </x:c>
      <x:c r="H50" s="4" t="str">
        <x:v>design.review.proposal_ceramic_bead</x:v>
      </x:c>
      <x:c r="I50" s="4" t="str">
        <x:v>Shape and finish an identified fired ceramic blank as a fitted part.</x:v>
      </x:c>
      <x:c r="J50"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0" s="4" t="str">
        <x:f>IFERROR(INDEX('Items'!$AD$6:$AD$1005,MATCH(A50,'Items'!$A$6:$A$1005,0)),"MISSING ID")</x:f>
        <x:v>Proposal</x:v>
      </x:c>
      <x:c r="L50" s="4" t="n">
        <x:f>IFERROR(INDEX('Items'!$AN$6:$AN$1005,MATCH(A50,'Items'!$A$6:$A$1005,0)),"MISSING ID")</x:f>
        <x:v>3</x:v>
      </x:c>
    </x:row>
    <x:row r="51" ht="165" customHeight="1">
      <x:c r="A51" s="4" t="str">
        <x:v>proposal.ceramic.spacer</x:v>
      </x:c>
      <x:c r="B51" s="4" t="str">
        <x:f>IFERROR(INDEX('Items'!$B$6:$B$1005,MATCH(A51,'Items'!$A$6:$A$1005,0)),"MISSING ID")</x:f>
        <x:v>Ceramic insulating spacer</x:v>
      </x:c>
      <x:c r="C51" s="4" t="str">
        <x:v>Unassigned</x:v>
      </x:c>
      <x:c r="D51" s="4" t="str">
        <x:f>IFERROR(INDEX('Items'!$C$6:$C$1005,MATCH(A51,'Items'!$A$6:$A$1005,0)),"MISSING ID")</x:f>
        <x:v>T3</x:v>
      </x:c>
      <x:c r="E51" s="4" t="str">
        <x:f>IFERROR(INDEX('Items'!$AI$6:$AI$1005,MATCH(A51,'Items'!$A$6:$A$1005,0)),"MISSING ID")</x:f>
        <x:v>Component</x:v>
      </x:c>
      <x:c r="F51" s="4" t="str">
        <x:v>Proposed numeric tier</x:v>
      </x:c>
      <x:c r="G51" s="4" t="str">
        <x:f>IFERROR(INDEX('Items'!$B$6:$B$1005,MATCH("proposal.natural.ceramic",'Items'!$A$6:$A$1005,0)),"MISSING ID")&amp;"; "&amp;IFERROR(INDEX('Items'!$B$6:$B$1005,MATCH("proposal.natural.abrasive",'Items'!$A$6:$A$1005,0)),"MISSING ID")</x:f>
        <x:v>Insulating ceramic blanks; Graded abrasive grit</x:v>
      </x:c>
      <x:c r="H51" s="4" t="str">
        <x:v>design.review.proposal_ceramic_spacer</x:v>
      </x:c>
      <x:c r="I51" s="4" t="str">
        <x:v>Shape and finish an identified fired ceramic blank as a fitted part.</x:v>
      </x:c>
      <x:c r="J5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1" s="4" t="str">
        <x:f>IFERROR(INDEX('Items'!$AD$6:$AD$1005,MATCH(A51,'Items'!$A$6:$A$1005,0)),"MISSING ID")</x:f>
        <x:v>Proposal</x:v>
      </x:c>
      <x:c r="L51" s="4" t="n">
        <x:f>IFERROR(INDEX('Items'!$AN$6:$AN$1005,MATCH(A51,'Items'!$A$6:$A$1005,0)),"MISSING ID")</x:f>
        <x:v>3</x:v>
      </x:c>
    </x:row>
    <x:row r="52" ht="165" customHeight="1">
      <x:c r="A52" s="4" t="str">
        <x:v>proposal.ceramic.stopper</x:v>
      </x:c>
      <x:c r="B52" s="4" t="str">
        <x:f>IFERROR(INDEX('Items'!$B$6:$B$1005,MATCH(A52,'Items'!$A$6:$A$1005,0)),"MISSING ID")</x:f>
        <x:v>Fitted ceramic stopper</x:v>
      </x:c>
      <x:c r="C52" s="4" t="str">
        <x:v>Unassigned</x:v>
      </x:c>
      <x:c r="D52" s="4" t="str">
        <x:f>IFERROR(INDEX('Items'!$C$6:$C$1005,MATCH(A52,'Items'!$A$6:$A$1005,0)),"MISSING ID")</x:f>
        <x:v>T3</x:v>
      </x:c>
      <x:c r="E52" s="4" t="str">
        <x:f>IFERROR(INDEX('Items'!$AI$6:$AI$1005,MATCH(A52,'Items'!$A$6:$A$1005,0)),"MISSING ID")</x:f>
        <x:v>Component</x:v>
      </x:c>
      <x:c r="F52" s="4" t="str">
        <x:v>Proposed numeric tier</x:v>
      </x:c>
      <x:c r="G52" s="4" t="str">
        <x:f>IFERROR(INDEX('Items'!$B$6:$B$1005,MATCH("proposal.natural.ceramic",'Items'!$A$6:$A$1005,0)),"MISSING ID")&amp;"; "&amp;IFERROR(INDEX('Items'!$B$6:$B$1005,MATCH("proposal.natural.abrasive",'Items'!$A$6:$A$1005,0)),"MISSING ID")</x:f>
        <x:v>Insulating ceramic blanks; Graded abrasive grit</x:v>
      </x:c>
      <x:c r="H52" s="4" t="str">
        <x:v>design.review.proposal_ceramic_stopper</x:v>
      </x:c>
      <x:c r="I52" s="4" t="str">
        <x:v>Shape and finish an identified fired ceramic blank as a fitted part.</x:v>
      </x:c>
      <x:c r="J5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2" s="4" t="str">
        <x:f>IFERROR(INDEX('Items'!$AD$6:$AD$1005,MATCH(A52,'Items'!$A$6:$A$1005,0)),"MISSING ID")</x:f>
        <x:v>Proposal</x:v>
      </x:c>
      <x:c r="L52" s="4" t="n">
        <x:f>IFERROR(INDEX('Items'!$AN$6:$AN$1005,MATCH(A52,'Items'!$A$6:$A$1005,0)),"MISSING ID")</x:f>
        <x:v>3</x:v>
      </x:c>
    </x:row>
    <x:row r="53" ht="165" customHeight="1">
      <x:c r="A53" s="4" t="str">
        <x:v>proposal.ceramic.lid</x:v>
      </x:c>
      <x:c r="B53" s="4" t="str">
        <x:f>IFERROR(INDEX('Items'!$B$6:$B$1005,MATCH(A53,'Items'!$A$6:$A$1005,0)),"MISSING ID")</x:f>
        <x:v>Ceramic vessel lid</x:v>
      </x:c>
      <x:c r="C53" s="4" t="str">
        <x:v>Unassigned</x:v>
      </x:c>
      <x:c r="D53" s="4" t="str">
        <x:f>IFERROR(INDEX('Items'!$C$6:$C$1005,MATCH(A53,'Items'!$A$6:$A$1005,0)),"MISSING ID")</x:f>
        <x:v>T3</x:v>
      </x:c>
      <x:c r="E53" s="4" t="str">
        <x:f>IFERROR(INDEX('Items'!$AI$6:$AI$1005,MATCH(A53,'Items'!$A$6:$A$1005,0)),"MISSING ID")</x:f>
        <x:v>Component</x:v>
      </x:c>
      <x:c r="F53" s="4" t="str">
        <x:v>Proposed numeric tier</x:v>
      </x:c>
      <x:c r="G53" s="4" t="str">
        <x:f>IFERROR(INDEX('Items'!$B$6:$B$1005,MATCH("proposal.natural.ceramic",'Items'!$A$6:$A$1005,0)),"MISSING ID")&amp;"; "&amp;IFERROR(INDEX('Items'!$B$6:$B$1005,MATCH("proposal.natural.abrasive",'Items'!$A$6:$A$1005,0)),"MISSING ID")</x:f>
        <x:v>Insulating ceramic blanks; Graded abrasive grit</x:v>
      </x:c>
      <x:c r="H53" s="4" t="str">
        <x:v>design.review.proposal_ceramic_lid</x:v>
      </x:c>
      <x:c r="I53" s="4" t="str">
        <x:v>Shape and finish an identified fired ceramic blank as a fitted part.</x:v>
      </x:c>
      <x:c r="J5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3" s="4" t="str">
        <x:f>IFERROR(INDEX('Items'!$AD$6:$AD$1005,MATCH(A53,'Items'!$A$6:$A$1005,0)),"MISSING ID")</x:f>
        <x:v>Proposal</x:v>
      </x:c>
      <x:c r="L53" s="4" t="n">
        <x:f>IFERROR(INDEX('Items'!$AN$6:$AN$1005,MATCH(A53,'Items'!$A$6:$A$1005,0)),"MISSING ID")</x:f>
        <x:v>3</x:v>
      </x:c>
    </x:row>
    <x:row r="54" ht="165" customHeight="1">
      <x:c r="A54" s="4" t="str">
        <x:v>proposal.ceramic.pour_spout</x:v>
      </x:c>
      <x:c r="B54" s="4" t="str">
        <x:f>IFERROR(INDEX('Items'!$B$6:$B$1005,MATCH(A54,'Items'!$A$6:$A$1005,0)),"MISSING ID")</x:f>
        <x:v>Ceramic pouring spout</x:v>
      </x:c>
      <x:c r="C54" s="4" t="str">
        <x:v>Unassigned</x:v>
      </x:c>
      <x:c r="D54" s="4" t="str">
        <x:f>IFERROR(INDEX('Items'!$C$6:$C$1005,MATCH(A54,'Items'!$A$6:$A$1005,0)),"MISSING ID")</x:f>
        <x:v>T3</x:v>
      </x:c>
      <x:c r="E54" s="4" t="str">
        <x:f>IFERROR(INDEX('Items'!$AI$6:$AI$1005,MATCH(A54,'Items'!$A$6:$A$1005,0)),"MISSING ID")</x:f>
        <x:v>Component</x:v>
      </x:c>
      <x:c r="F54" s="4" t="str">
        <x:v>Proposed numeric tier</x:v>
      </x:c>
      <x:c r="G54" s="4" t="str">
        <x:f>IFERROR(INDEX('Items'!$B$6:$B$1005,MATCH("proposal.natural.ceramic",'Items'!$A$6:$A$1005,0)),"MISSING ID")&amp;"; "&amp;IFERROR(INDEX('Items'!$B$6:$B$1005,MATCH("proposal.natural.abrasive",'Items'!$A$6:$A$1005,0)),"MISSING ID")</x:f>
        <x:v>Insulating ceramic blanks; Graded abrasive grit</x:v>
      </x:c>
      <x:c r="H54" s="4" t="str">
        <x:v>design.review.proposal_ceramic_pour_spout</x:v>
      </x:c>
      <x:c r="I54" s="4" t="str">
        <x:v>Shape and finish an identified fired ceramic blank as a fitted part.</x:v>
      </x:c>
      <x:c r="J5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4" s="4" t="str">
        <x:f>IFERROR(INDEX('Items'!$AD$6:$AD$1005,MATCH(A54,'Items'!$A$6:$A$1005,0)),"MISSING ID")</x:f>
        <x:v>Proposal</x:v>
      </x:c>
      <x:c r="L54" s="4" t="n">
        <x:f>IFERROR(INDEX('Items'!$AN$6:$AN$1005,MATCH(A54,'Items'!$A$6:$A$1005,0)),"MISSING ID")</x:f>
        <x:v>3</x:v>
      </x:c>
    </x:row>
    <x:row r="55" ht="165" customHeight="1">
      <x:c r="A55" s="4" t="str">
        <x:v>proposal.ceramic.conduit</x:v>
      </x:c>
      <x:c r="B55" s="4" t="str">
        <x:f>IFERROR(INDEX('Items'!$B$6:$B$1005,MATCH(A55,'Items'!$A$6:$A$1005,0)),"MISSING ID")</x:f>
        <x:v>Ceramic conduit section</x:v>
      </x:c>
      <x:c r="C55" s="4" t="str">
        <x:v>Unassigned</x:v>
      </x:c>
      <x:c r="D55" s="4" t="str">
        <x:f>IFERROR(INDEX('Items'!$C$6:$C$1005,MATCH(A55,'Items'!$A$6:$A$1005,0)),"MISSING ID")</x:f>
        <x:v>T3</x:v>
      </x:c>
      <x:c r="E55" s="4" t="str">
        <x:f>IFERROR(INDEX('Items'!$AI$6:$AI$1005,MATCH(A55,'Items'!$A$6:$A$1005,0)),"MISSING ID")</x:f>
        <x:v>Component</x:v>
      </x:c>
      <x:c r="F55" s="4" t="str">
        <x:v>Proposed numeric tier</x:v>
      </x:c>
      <x:c r="G55" s="4" t="str">
        <x:f>IFERROR(INDEX('Items'!$B$6:$B$1005,MATCH("proposal.natural.ceramic",'Items'!$A$6:$A$1005,0)),"MISSING ID")&amp;"; "&amp;IFERROR(INDEX('Items'!$B$6:$B$1005,MATCH("proposal.natural.abrasive",'Items'!$A$6:$A$1005,0)),"MISSING ID")</x:f>
        <x:v>Insulating ceramic blanks; Graded abrasive grit</x:v>
      </x:c>
      <x:c r="H55" s="4" t="str">
        <x:v>design.review.proposal_ceramic_conduit</x:v>
      </x:c>
      <x:c r="I55" s="4" t="str">
        <x:v>Shape and finish an identified fired ceramic blank as a fitted part.</x:v>
      </x:c>
      <x:c r="J5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5" s="4" t="str">
        <x:f>IFERROR(INDEX('Items'!$AD$6:$AD$1005,MATCH(A55,'Items'!$A$6:$A$1005,0)),"MISSING ID")</x:f>
        <x:v>Proposal</x:v>
      </x:c>
      <x:c r="L55" s="4" t="n">
        <x:f>IFERROR(INDEX('Items'!$AN$6:$AN$1005,MATCH(A55,'Items'!$A$6:$A$1005,0)),"MISSING ID")</x:f>
        <x:v>3</x:v>
      </x:c>
    </x:row>
    <x:row r="56" ht="165" customHeight="1">
      <x:c r="A56" s="4" t="str">
        <x:v>proposal.ceramic.fastener</x:v>
      </x:c>
      <x:c r="B56" s="4" t="str">
        <x:f>IFERROR(INDEX('Items'!$B$6:$B$1005,MATCH(A56,'Items'!$A$6:$A$1005,0)),"MISSING ID")</x:f>
        <x:v>Ceramic toggle fastener</x:v>
      </x:c>
      <x:c r="C56" s="4" t="str">
        <x:v>Unassigned</x:v>
      </x:c>
      <x:c r="D56" s="4" t="str">
        <x:f>IFERROR(INDEX('Items'!$C$6:$C$1005,MATCH(A56,'Items'!$A$6:$A$1005,0)),"MISSING ID")</x:f>
        <x:v>T3</x:v>
      </x:c>
      <x:c r="E56" s="4" t="str">
        <x:f>IFERROR(INDEX('Items'!$AI$6:$AI$1005,MATCH(A56,'Items'!$A$6:$A$1005,0)),"MISSING ID")</x:f>
        <x:v>Component</x:v>
      </x:c>
      <x:c r="F56" s="4" t="str">
        <x:v>Proposed numeric tier</x:v>
      </x:c>
      <x:c r="G56" s="4" t="str">
        <x:f>IFERROR(INDEX('Items'!$B$6:$B$1005,MATCH("proposal.natural.ceramic",'Items'!$A$6:$A$1005,0)),"MISSING ID")&amp;"; "&amp;IFERROR(INDEX('Items'!$B$6:$B$1005,MATCH("proposal.natural.abrasive",'Items'!$A$6:$A$1005,0)),"MISSING ID")</x:f>
        <x:v>Insulating ceramic blanks; Graded abrasive grit</x:v>
      </x:c>
      <x:c r="H56" s="4" t="str">
        <x:v>design.review.proposal_ceramic_fastener</x:v>
      </x:c>
      <x:c r="I56" s="4" t="str">
        <x:v>Shape and finish an identified fired ceramic blank as a fitted part.</x:v>
      </x:c>
      <x:c r="J5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6" s="4" t="str">
        <x:f>IFERROR(INDEX('Items'!$AD$6:$AD$1005,MATCH(A56,'Items'!$A$6:$A$1005,0)),"MISSING ID")</x:f>
        <x:v>Proposal</x:v>
      </x:c>
      <x:c r="L56" s="4" t="n">
        <x:f>IFERROR(INDEX('Items'!$AN$6:$AN$1005,MATCH(A56,'Items'!$A$6:$A$1005,0)),"MISSING ID")</x:f>
        <x:v>3</x:v>
      </x:c>
    </x:row>
    <x:row r="57" ht="165" customHeight="1">
      <x:c r="A57" s="4" t="str">
        <x:v>proposal.ceramic.feedthrough</x:v>
      </x:c>
      <x:c r="B57" s="4" t="str">
        <x:f>IFERROR(INDEX('Items'!$B$6:$B$1005,MATCH(A57,'Items'!$A$6:$A$1005,0)),"MISSING ID")</x:f>
        <x:v>Ceramic electrical feedthrough</x:v>
      </x:c>
      <x:c r="C57" s="4" t="str">
        <x:v>Unassigned</x:v>
      </x:c>
      <x:c r="D57" s="4" t="str">
        <x:f>IFERROR(INDEX('Items'!$C$6:$C$1005,MATCH(A57,'Items'!$A$6:$A$1005,0)),"MISSING ID")</x:f>
        <x:v>T4</x:v>
      </x:c>
      <x:c r="E57" s="4" t="str">
        <x:f>IFERROR(INDEX('Items'!$AI$6:$AI$1005,MATCH(A57,'Items'!$A$6:$A$1005,0)),"MISSING ID")</x:f>
        <x:v>Component</x:v>
      </x:c>
      <x:c r="F57" s="4" t="str">
        <x:v>Proposed numeric tier</x:v>
      </x:c>
      <x:c r="G57" s="4" t="str">
        <x:f>IFERROR(INDEX('Items'!$B$6:$B$1005,MATCH("proposal.t3.feedthrough_blank",'Items'!$A$6:$A$1005,0)),"MISSING ID")&amp;"; "&amp;IFERROR(INDEX('Items'!$B$6:$B$1005,MATCH("proposal.branch.insulated_conductor",'Items'!$A$6:$A$1005,0)),"MISSING ID")&amp;"; "&amp;IFERROR(INDEX('Items'!$B$6:$B$1005,MATCH("proposal.branch.sealing_sheet",'Items'!$A$6:$A$1005,0)),"MISSING ID")</x:f>
        <x:v>Ceramic-metal feedthrough blanks; Insulated conductor stock; Reinforced sealing sheet</x:v>
      </x:c>
      <x:c r="H57" s="4" t="str">
        <x:v>design.review.proposal_ceramic_feedthrough</x:v>
      </x:c>
      <x:c r="I57" s="4" t="str">
        <x:v>Fit the earlier T3 feedthrough blank with prepared leads and sealing interfaces.</x:v>
      </x:c>
      <x:c r="J57" s="4" t="str">
        <x:v>Candidate route only: quantities, yield, tools, fit, process conditions and service compatibility remain open. Blank and installed interface remain distinct records; no voltage or pressure rating assigned.</x:v>
      </x:c>
      <x:c r="K57" s="4" t="str">
        <x:f>IFERROR(INDEX('Items'!$AD$6:$AD$1005,MATCH(A57,'Items'!$A$6:$A$1005,0)),"MISSING ID")</x:f>
        <x:v>Proposal</x:v>
      </x:c>
      <x:c r="L57" s="4" t="n">
        <x:f>IFERROR(INDEX('Items'!$AN$6:$AN$1005,MATCH(A57,'Items'!$A$6:$A$1005,0)),"MISSING ID")</x:f>
        <x:v>4</x:v>
      </x:c>
    </x:row>
    <x:row r="58" ht="165" customHeight="1">
      <x:c r="A58" s="4"/>
      <x:c r="B58" s="4"/>
      <x:c r="C58" s="4"/>
      <x:c r="D58" s="4"/>
      <x:c r="E58" s="4"/>
      <x:c r="F58" s="4"/>
      <x:c r="G58" s="4"/>
      <x:c r="H58" s="4"/>
      <x:c r="I58" s="4"/>
      <x:c r="J58" s="4"/>
      <x:c r="K58" s="4"/>
      <x:c r="L58" s="4"/>
    </x:row>
    <x:row r="59" ht="165" customHeight="1">
      <x:c r="A59" s="4"/>
      <x:c r="B59" s="4"/>
      <x:c r="C59" s="4"/>
      <x:c r="D59" s="4"/>
      <x:c r="E59" s="4"/>
      <x:c r="F59" s="4"/>
      <x:c r="G59" s="4"/>
      <x:c r="H59" s="4"/>
      <x:c r="I59" s="4"/>
      <x:c r="J59" s="4"/>
      <x:c r="K59" s="4"/>
      <x:c r="L59" s="4"/>
    </x:row>
    <x:row r="60" ht="165" customHeight="1">
      <x:c r="A60" s="4"/>
      <x:c r="B60" s="4"/>
      <x:c r="C60" s="4"/>
      <x:c r="D60" s="4"/>
      <x:c r="E60" s="4"/>
      <x:c r="F60" s="4"/>
      <x:c r="G60" s="4"/>
      <x:c r="H60" s="4"/>
      <x:c r="I60" s="4"/>
      <x:c r="J60" s="4"/>
      <x:c r="K60" s="4"/>
      <x:c r="L60" s="4"/>
    </x:row>
    <x:row r="61" ht="165" customHeight="1">
      <x:c r="A61" s="4" t="str">
        <x:v>proposal.lubricant.dust_film</x:v>
      </x:c>
      <x:c r="B61" s="4" t="str">
        <x:f>IFERROR(INDEX('Items'!$B$6:$B$1005,MATCH(A61,'Items'!$A$6:$A$1005,0)),"MISSING ID")</x:f>
        <x:v>Dust-shedding lubricant film</x:v>
      </x:c>
      <x:c r="C61" s="4" t="str">
        <x:v>Unassigned</x:v>
      </x:c>
      <x:c r="D61" s="4" t="str">
        <x:f>IFERROR(INDEX('Items'!$C$6:$C$1005,MATCH(A61,'Items'!$A$6:$A$1005,0)),"MISSING ID")</x:f>
        <x:v>T2</x:v>
      </x:c>
      <x:c r="E61" s="4" t="str">
        <x:f>IFERROR(INDEX('Items'!$AI$6:$AI$1005,MATCH(A61,'Items'!$A$6:$A$1005,0)),"MISSING ID")</x:f>
        <x:v>Material</x:v>
      </x:c>
      <x:c r="F61" s="4" t="str">
        <x:v>Proposed numeric tier</x:v>
      </x:c>
      <x:c r="G61" s="4" t="str">
        <x:f>IFERROR(INDEX('Items'!$B$6:$B$1005,MATCH("proposal.lubricant.base",'Items'!$A$6:$A$1005,0)),"MISSING ID")&amp;"; "&amp;IFERROR(INDEX('Items'!$B$6:$B$1005,MATCH("proposal.t1.faunal_carrier",'Items'!$A$6:$A$1005,0)),"MISSING ID")</x:f>
        <x:v>Clarified faunal lubricant base; Selected faunal carrier fraction</x:v>
      </x:c>
      <x:c r="H61" s="4" t="str">
        <x:v>design.review.proposal_lubricant_dust_film</x:v>
      </x:c>
      <x:c r="I61" s="4" t="str">
        <x:v>Explore a thin-film formulation from selected prepared lubricant/carrier fractions.</x:v>
      </x:c>
      <x:c r="J61" s="4" t="str">
        <x:v>Candidate route only: quantities, yield, tools, fit, process conditions and service compatibility remain open. Dust shedding is an intended function; grit capture, residue and service behavior require qualification.</x:v>
      </x:c>
      <x:c r="K61" s="4" t="str">
        <x:f>IFERROR(INDEX('Items'!$AD$6:$AD$1005,MATCH(A61,'Items'!$A$6:$A$1005,0)),"MISSING ID")</x:f>
        <x:v>Proposal</x:v>
      </x:c>
      <x:c r="L61" s="4" t="n">
        <x:f>IFERROR(INDEX('Items'!$AN$6:$AN$1005,MATCH(A61,'Items'!$A$6:$A$1005,0)),"MISSING ID")</x:f>
        <x:v>2</x:v>
      </x:c>
    </x:row>
    <x:row r="62" ht="165" customHeight="1">
      <x:c r="A62" s="4" t="str">
        <x:v>proposal.lubricant.seal_paste</x:v>
      </x:c>
      <x:c r="B62" s="4" t="str">
        <x:f>IFERROR(INDEX('Items'!$B$6:$B$1005,MATCH(A62,'Items'!$A$6:$A$1005,0)),"MISSING ID")</x:f>
        <x:v>Seal-conditioning paste</x:v>
      </x:c>
      <x:c r="C62" s="4" t="str">
        <x:v>Unassigned</x:v>
      </x:c>
      <x:c r="D62" s="4" t="str">
        <x:f>IFERROR(INDEX('Items'!$C$6:$C$1005,MATCH(A62,'Items'!$A$6:$A$1005,0)),"MISSING ID")</x:f>
        <x:v>T2</x:v>
      </x:c>
      <x:c r="E62" s="4" t="str">
        <x:f>IFERROR(INDEX('Items'!$AI$6:$AI$1005,MATCH(A62,'Items'!$A$6:$A$1005,0)),"MISSING ID")</x:f>
        <x:v>Material</x:v>
      </x:c>
      <x:c r="F62" s="4" t="str">
        <x:v>Proposed numeric tier</x:v>
      </x:c>
      <x:c r="G62" s="4" t="str">
        <x:f>IFERROR(INDEX('Items'!$B$6:$B$1005,MATCH("proposal.lubricant.base",'Items'!$A$6:$A$1005,0)),"MISSING ID")&amp;"; "&amp;IFERROR(INDEX('Items'!$B$6:$B$1005,MATCH("proposal.t1.clot_seal",'Items'!$A$6:$A$1005,0)),"MISSING ID")</x:f>
        <x:v>Clarified faunal lubricant base; Prepared clot-seal compound</x:v>
      </x:c>
      <x:c r="H62" s="4" t="str">
        <x:v>design.review.proposal_lubricant_seal_paste</x:v>
      </x:c>
      <x:c r="I62" s="4" t="str">
        <x:v>Explore a compatible conditioning formulation from prepared lubricant and seal fractions.</x:v>
      </x:c>
      <x:c r="J62" s="4" t="str">
        <x:v>Candidate route only: quantities, yield, tools, fit, process conditions and service compatibility remain open. Mixing behavior and effects on a particular seal are hypothetical, not an approved canister service method.</x:v>
      </x:c>
      <x:c r="K62" s="4" t="str">
        <x:f>IFERROR(INDEX('Items'!$AD$6:$AD$1005,MATCH(A62,'Items'!$A$6:$A$1005,0)),"MISSING ID")</x:f>
        <x:v>Proposal</x:v>
      </x:c>
      <x:c r="L62" s="4" t="n">
        <x:f>IFERROR(INDEX('Items'!$AN$6:$AN$1005,MATCH(A62,'Items'!$A$6:$A$1005,0)),"MISSING ID")</x:f>
        <x:v>2</x:v>
      </x:c>
    </x:row>
    <x:row r="63" ht="165" customHeight="1">
      <x:c r="A63" s="4" t="str">
        <x:v>proposal.lubricant.insulating_grease</x:v>
      </x:c>
      <x:c r="B63" s="4" t="str">
        <x:f>IFERROR(INDEX('Items'!$B$6:$B$1005,MATCH(A63,'Items'!$A$6:$A$1005,0)),"MISSING ID")</x:f>
        <x:v>Electrically insulating grease</x:v>
      </x:c>
      <x:c r="C63" s="4" t="str">
        <x:v>Unassigned</x:v>
      </x:c>
      <x:c r="D63" s="4" t="str">
        <x:f>IFERROR(INDEX('Items'!$C$6:$C$1005,MATCH(A63,'Items'!$A$6:$A$1005,0)),"MISSING ID")</x:f>
        <x:v>T2</x:v>
      </x:c>
      <x:c r="E63" s="4" t="str">
        <x:f>IFERROR(INDEX('Items'!$AI$6:$AI$1005,MATCH(A63,'Items'!$A$6:$A$1005,0)),"MISSING ID")</x:f>
        <x:v>Material</x:v>
      </x:c>
      <x:c r="F63" s="4" t="str">
        <x:v>Proposed numeric tier</x:v>
      </x:c>
      <x:c r="G63" s="4" t="str">
        <x:f>IFERROR(INDEX('Items'!$B$6:$B$1005,MATCH("proposal.lubricant.base",'Items'!$A$6:$A$1005,0)),"MISSING ID")&amp;"; "&amp;IFERROR(INDEX('Items'!$B$6:$B$1005,MATCH("proposal.lubricant.thickener",'Items'!$A$6:$A$1005,0)),"MISSING ID")&amp;"; "&amp;IFERROR(INDEX('Items'!$B$6:$B$1005,MATCH("proposal.t1.mica_flakes",'Items'!$A$6:$A$1005,0)),"MISSING ID")</x:f>
        <x:v>Clarified faunal lubricant base; Prepared secretion thickener; Separated mica flake grade</x:v>
      </x:c>
      <x:c r="H63" s="4" t="str">
        <x:v>design.review.proposal_lubricant_insulating_grease</x:v>
      </x:c>
      <x:c r="I63" s="4" t="str">
        <x:v>Explore a selected non-graphitic lubricant/mineral formulation for electrical-service research.</x:v>
      </x:c>
      <x:c r="J63" s="4" t="str">
        <x:v>Candidate route only: quantities, yield, tools, fit, process conditions and service compatibility remain open. No dielectric rating; contamination, moisture assumptions and carrier compatibility remain unresolved.</x:v>
      </x:c>
      <x:c r="K63" s="4" t="str">
        <x:f>IFERROR(INDEX('Items'!$AD$6:$AD$1005,MATCH(A63,'Items'!$A$6:$A$1005,0)),"MISSING ID")</x:f>
        <x:v>Proposal</x:v>
      </x:c>
      <x:c r="L63" s="4" t="n">
        <x:f>IFERROR(INDEX('Items'!$AN$6:$AN$1005,MATCH(A63,'Items'!$A$6:$A$1005,0)),"MISSING ID")</x:f>
        <x:v>2</x:v>
      </x:c>
    </x:row>
    <x:row r="64" ht="165" customHeight="1">
      <x:c r="A64" s="4" t="str">
        <x:v>proposal.wind.folding_frame</x:v>
      </x:c>
      <x:c r="B64" s="4" t="str">
        <x:f>IFERROR(INDEX('Items'!$B$6:$B$1005,MATCH(A64,'Items'!$A$6:$A$1005,0)),"MISSING ID")</x:f>
        <x:v>Collapsible sail frame</x:v>
      </x:c>
      <x:c r="C64" s="4" t="str">
        <x:v>Unassigned</x:v>
      </x:c>
      <x:c r="D64" s="4" t="str">
        <x:f>IFERROR(INDEX('Items'!$C$6:$C$1005,MATCH(A64,'Items'!$A$6:$A$1005,0)),"MISSING ID")</x:f>
        <x:v>T4</x:v>
      </x:c>
      <x:c r="E64" s="4" t="str">
        <x:f>IFERROR(INDEX('Items'!$AI$6:$AI$1005,MATCH(A64,'Items'!$A$6:$A$1005,0)),"MISSING ID")</x:f>
        <x:v>Component</x:v>
      </x:c>
      <x:c r="F64" s="4" t="str">
        <x:v>Proposed numeric tier</x:v>
      </x:c>
      <x:c r="G64" s="4" t="str">
        <x:f>IFERROR(INDEX('Items'!$B$6:$B$1005,MATCH("proposal.t3.precision_tube",'Items'!$A$6:$A$1005,0)),"MISSING ID")&amp;"; "&amp;IFERROR(INDEX('Items'!$B$6:$B$1005,MATCH("proposal.branch.spring_steel",'Items'!$A$6:$A$1005,0)),"MISSING ID")&amp;"; "&amp;IFERROR(INDEX('Items'!$B$6:$B$1005,MATCH("proposal.branch.bearing_bronze",'Items'!$A$6:$A$1005,0)),"MISSING ID")</x:f>
        <x:v>Drawn steel tube stock; Spring-grade steel stock; Prepared bronze bearing stock</x:v>
      </x:c>
      <x:c r="H64" s="4" t="str">
        <x:v>design.review.proposal_wind_folding_frame</x:v>
      </x:c>
      <x:c r="I64" s="4" t="str">
        <x:v>Fit T3 tube and spring stock into the folding frame with prepared bearing-metal interfaces.</x:v>
      </x:c>
      <x:c r="J64" s="4" t="str">
        <x:v>Candidate route only: quantities, yield, tools, fit, process conditions and service compatibility remain open. An alternative direct-from-stock route; it does not consume a T4 spar-joint kit and create T5.</x:v>
      </x:c>
      <x:c r="K64" s="4" t="str">
        <x:f>IFERROR(INDEX('Items'!$AD$6:$AD$1005,MATCH(A64,'Items'!$A$6:$A$1005,0)),"MISSING ID")</x:f>
        <x:v>Proposal</x:v>
      </x:c>
      <x:c r="L64" s="4" t="n">
        <x:f>IFERROR(INDEX('Items'!$AN$6:$AN$1005,MATCH(A64,'Items'!$A$6:$A$1005,0)),"MISSING ID")</x:f>
        <x:v>4</x:v>
      </x:c>
    </x:row>
    <x:row r="65" ht="165" customHeight="1">
      <x:c r="A65" s="4" t="str">
        <x:v>proposal.wind.sail_grip</x:v>
      </x:c>
      <x:c r="B65" s="4" t="str">
        <x:f>IFERROR(INDEX('Items'!$B$6:$B$1005,MATCH(A65,'Items'!$A$6:$A$1005,0)),"MISSING ID")</x:f>
        <x:v>Hand-sail grip assembly</x:v>
      </x:c>
      <x:c r="C65" s="4" t="str">
        <x:v>Unassigned</x:v>
      </x:c>
      <x:c r="D65" s="4" t="str">
        <x:f>IFERROR(INDEX('Items'!$C$6:$C$1005,MATCH(A65,'Items'!$A$6:$A$1005,0)),"MISSING ID")</x:f>
        <x:v>T3</x:v>
      </x:c>
      <x:c r="E65" s="4" t="str">
        <x:f>IFERROR(INDEX('Items'!$AI$6:$AI$1005,MATCH(A65,'Items'!$A$6:$A$1005,0)),"MISSING ID")</x:f>
        <x:v>Component</x:v>
      </x:c>
      <x:c r="F65" s="4" t="str">
        <x:v>Proposed numeric tier</x:v>
      </x:c>
      <x:c r="G65" s="4" t="str">
        <x:f>IFERROR(INDEX('Items'!$B$6:$B$1005,MATCH("author.metallurgy.steel_stock",'Items'!$A$6:$A$1005,0)),"MISSING ID")&amp;"; "&amp;IFERROR(INDEX('Items'!$B$6:$B$1005,MATCH("proposal.bio.hide_material",'Items'!$A$6:$A$1005,0)),"MISSING ID")</x:f>
        <x:v>Steel stock; Processed hide material</x:v>
      </x:c>
      <x:c r="H65" s="4" t="str">
        <x:v>design.review.proposal_wind_sail_grip</x:v>
      </x:c>
      <x:c r="I65" s="4" t="str">
        <x:v>Fit a metal grip with minimal selected prepared hide contact material.</x:v>
      </x:c>
      <x:c r="J65" s="4" t="str">
        <x:v>Candidate route only: quantities, yield, tools, fit, process conditions and service compatibility remain open. No wood, ordinary cloth or abundant hide supply; release geometry remains open.</x:v>
      </x:c>
      <x:c r="K65" s="4" t="str">
        <x:f>IFERROR(INDEX('Items'!$AD$6:$AD$1005,MATCH(A65,'Items'!$A$6:$A$1005,0)),"MISSING ID")</x:f>
        <x:v>Proposal</x:v>
      </x:c>
      <x:c r="L65" s="4" t="n">
        <x:f>IFERROR(INDEX('Items'!$AN$6:$AN$1005,MATCH(A65,'Items'!$A$6:$A$1005,0)),"MISSING ID")</x:f>
        <x:v>3</x:v>
      </x:c>
    </x:row>
    <x:row r="66" ht="165" customHeight="1">
      <x:c r="A66" s="4" t="str">
        <x:v>proposal.wind.wheel</x:v>
      </x:c>
      <x:c r="B66" s="4" t="str">
        <x:f>IFERROR(INDEX('Items'!$B$6:$B$1005,MATCH(A66,'Items'!$A$6:$A$1005,0)),"MISSING ID")</x:f>
        <x:v>Dirtboard wheel assembly</x:v>
      </x:c>
      <x:c r="C66" s="4" t="str">
        <x:v>Unassigned</x:v>
      </x:c>
      <x:c r="D66" s="4" t="str">
        <x:f>IFERROR(INDEX('Items'!$C$6:$C$1005,MATCH(A66,'Items'!$A$6:$A$1005,0)),"MISSING ID")</x:f>
        <x:v>T4</x:v>
      </x:c>
      <x:c r="E66" s="4" t="str">
        <x:f>IFERROR(INDEX('Items'!$AI$6:$AI$1005,MATCH(A66,'Items'!$A$6:$A$1005,0)),"MISSING ID")</x:f>
        <x:v>Component</x:v>
      </x:c>
      <x:c r="F66" s="4" t="str">
        <x:v>Proposed numeric tier</x:v>
      </x:c>
      <x:c r="G66" s="4" t="str">
        <x:f>IFERROR(INDEX('Items'!$B$6:$B$1005,MATCH("proposal.t3.bearing_blank",'Items'!$A$6:$A$1005,0)),"MISSING ID")&amp;"; "&amp;IFERROR(INDEX('Items'!$B$6:$B$1005,MATCH("proposal.t3.precision_tube",'Items'!$A$6:$A$1005,0)),"MISSING ID")&amp;"; "&amp;IFERROR(INDEX('Items'!$B$6:$B$1005,MATCH("author.metallurgy.steel_stock",'Items'!$A$6:$A$1005,0)),"MISSING ID")&amp;"; "&amp;IFERROR(INDEX('Items'!$B$6:$B$1005,MATCH("proposal.bio.laminate",'Items'!$A$6:$A$1005,0)),"MISSING ID")</x:f>
        <x:v>Lapped bronze bearing blanks; Drawn steel tube stock; Steel stock; Shell laminate</x:v>
      </x:c>
      <x:c r="H66" s="4" t="str">
        <x:v>design.review.proposal_wind_wheel</x:v>
      </x:c>
      <x:c r="I66" s="4" t="str">
        <x:v>Fit a wheel from T3 bearing/axle stock and prepared body materials.</x:v>
      </x:c>
      <x:c r="J66" s="4" t="str">
        <x:v>Candidate route only: quantities, yield, tools, fit, process conditions and service compatibility remain open. No ordinary rubber tire. Ground contact, retention, wheel body and grip remain unresolved; finished board has four wheels.</x:v>
      </x:c>
      <x:c r="K66" s="4" t="str">
        <x:f>IFERROR(INDEX('Items'!$AD$6:$AD$1005,MATCH(A66,'Items'!$A$6:$A$1005,0)),"MISSING ID")</x:f>
        <x:v>Proposal</x:v>
      </x:c>
      <x:c r="L66" s="4" t="n">
        <x:f>IFERROR(INDEX('Items'!$AN$6:$AN$1005,MATCH(A66,'Items'!$A$6:$A$1005,0)),"MISSING ID")</x:f>
        <x:v>4</x:v>
      </x:c>
    </x:row>
    <x:row r="67" ht="165" customHeight="1">
      <x:c r="A67" s="4" t="str">
        <x:v>proposal.wind.truck</x:v>
      </x:c>
      <x:c r="B67" s="4" t="str">
        <x:f>IFERROR(INDEX('Items'!$B$6:$B$1005,MATCH(A67,'Items'!$A$6:$A$1005,0)),"MISSING ID")</x:f>
        <x:v>Dirtboard axle / steering assembly</x:v>
      </x:c>
      <x:c r="C67" s="4" t="str">
        <x:v>Unassigned</x:v>
      </x:c>
      <x:c r="D67" s="4" t="str">
        <x:f>IFERROR(INDEX('Items'!$C$6:$C$1005,MATCH(A67,'Items'!$A$6:$A$1005,0)),"MISSING ID")</x:f>
        <x:v>T4</x:v>
      </x:c>
      <x:c r="E67" s="4" t="str">
        <x:f>IFERROR(INDEX('Items'!$AI$6:$AI$1005,MATCH(A67,'Items'!$A$6:$A$1005,0)),"MISSING ID")</x:f>
        <x:v>Component</x:v>
      </x:c>
      <x:c r="F67" s="4" t="str">
        <x:v>Proposed numeric tier</x:v>
      </x:c>
      <x:c r="G67" s="4" t="str">
        <x:f>IFERROR(INDEX('Items'!$B$6:$B$1005,MATCH("proposal.t3.precision_tube",'Items'!$A$6:$A$1005,0)),"MISSING ID")&amp;"; "&amp;IFERROR(INDEX('Items'!$B$6:$B$1005,MATCH("proposal.branch.spring_steel",'Items'!$A$6:$A$1005,0)),"MISSING ID")&amp;"; "&amp;IFERROR(INDEX('Items'!$B$6:$B$1005,MATCH("proposal.t3.bearing_blank",'Items'!$A$6:$A$1005,0)),"MISSING ID")&amp;"; "&amp;IFERROR(INDEX('Items'!$B$6:$B$1005,MATCH("author.metallurgy.steel_stock",'Items'!$A$6:$A$1005,0)),"MISSING ID")</x:f>
        <x:v>Drawn steel tube stock; Spring-grade steel stock; Lapped bronze bearing blanks; Steel stock</x:v>
      </x:c>
      <x:c r="H67" s="4" t="str">
        <x:v>design.review.proposal_wind_truck</x:v>
      </x:c>
      <x:c r="I67" s="4" t="str">
        <x:v>Fit axle, steering and retention interfaces from selected T3 stocks.</x:v>
      </x:c>
      <x:c r="J67" s="4" t="str">
        <x:v>Candidate route only: quantities, yield, tools, fit, process conditions and service compatibility remain open. Steering geometry, spring use, clearances and ground service remain open.</x:v>
      </x:c>
      <x:c r="K67" s="4" t="str">
        <x:f>IFERROR(INDEX('Items'!$AD$6:$AD$1005,MATCH(A67,'Items'!$A$6:$A$1005,0)),"MISSING ID")</x:f>
        <x:v>Proposal</x:v>
      </x:c>
      <x:c r="L67" s="4" t="n">
        <x:f>IFERROR(INDEX('Items'!$AN$6:$AN$1005,MATCH(A67,'Items'!$A$6:$A$1005,0)),"MISSING ID")</x:f>
        <x:v>4</x:v>
      </x:c>
    </x:row>
    <x:row r="68" ht="165" customHeight="1">
      <x:c r="A68" s="4" t="str">
        <x:v>proposal.legger.anchors</x:v>
      </x:c>
      <x:c r="B68" s="4" t="str">
        <x:f>IFERROR(INDEX('Items'!$B$6:$B$1005,MATCH(A68,'Items'!$A$6:$A$1005,0)),"MISSING ID")</x:f>
        <x:v>Legger lashing-anchor set</x:v>
      </x:c>
      <x:c r="C68" s="4" t="str">
        <x:v>Unassigned</x:v>
      </x:c>
      <x:c r="D68" s="4" t="str">
        <x:f>IFERROR(INDEX('Items'!$C$6:$C$1005,MATCH(A68,'Items'!$A$6:$A$1005,0)),"MISSING ID")</x:f>
        <x:v>T3</x:v>
      </x:c>
      <x:c r="E68" s="4" t="str">
        <x:f>IFERROR(INDEX('Items'!$AI$6:$AI$1005,MATCH(A68,'Items'!$A$6:$A$1005,0)),"MISSING ID")</x:f>
        <x:v>Component</x:v>
      </x:c>
      <x:c r="F68" s="4" t="str">
        <x:v>Proposed numeric tier</x:v>
      </x:c>
      <x:c r="G68" s="4" t="str">
        <x:f>IFERROR(INDEX('Items'!$B$6:$B$1005,MATCH("author.metallurgy.steel_stock",'Items'!$A$6:$A$1005,0)),"MISSING ID")</x:f>
        <x:v>Steel stock</x:v>
      </x:c>
      <x:c r="H68" s="4" t="str">
        <x:v>design.review.proposal_legger_anchors</x:v>
      </x:c>
      <x:c r="I68" s="4" t="str">
        <x:v>Form and fit an identified metal mounting component from prepared steel.</x:v>
      </x:c>
      <x:c r="J68" s="4" t="str">
        <x:v>Candidate route only: quantities, yield, tools, fit, process conditions and service compatibility remain open. Legger dimensions, attachment loads and actual compatibility are not yet defined.</x:v>
      </x:c>
      <x:c r="K68" s="4" t="str">
        <x:f>IFERROR(INDEX('Items'!$AD$6:$AD$1005,MATCH(A68,'Items'!$A$6:$A$1005,0)),"MISSING ID")</x:f>
        <x:v>Proposal</x:v>
      </x:c>
      <x:c r="L68" s="4" t="n">
        <x:f>IFERROR(INDEX('Items'!$AN$6:$AN$1005,MATCH(A68,'Items'!$A$6:$A$1005,0)),"MISSING ID")</x:f>
        <x:v>3</x:v>
      </x:c>
    </x:row>
    <x:row r="69" ht="165" customHeight="1">
      <x:c r="A69" s="4" t="str">
        <x:v>proposal.legger.mount_rail</x:v>
      </x:c>
      <x:c r="B69" s="4" t="str">
        <x:f>IFERROR(INDEX('Items'!$B$6:$B$1005,MATCH(A69,'Items'!$A$6:$A$1005,0)),"MISSING ID")</x:f>
        <x:v>Legger attachment rail</x:v>
      </x:c>
      <x:c r="C69" s="4" t="str">
        <x:v>Unassigned</x:v>
      </x:c>
      <x:c r="D69" s="4" t="str">
        <x:f>IFERROR(INDEX('Items'!$C$6:$C$1005,MATCH(A69,'Items'!$A$6:$A$1005,0)),"MISSING ID")</x:f>
        <x:v>T3</x:v>
      </x:c>
      <x:c r="E69" s="4" t="str">
        <x:f>IFERROR(INDEX('Items'!$AI$6:$AI$1005,MATCH(A69,'Items'!$A$6:$A$1005,0)),"MISSING ID")</x:f>
        <x:v>Component</x:v>
      </x:c>
      <x:c r="F69" s="4" t="str">
        <x:v>Proposed numeric tier</x:v>
      </x:c>
      <x:c r="G69" s="4" t="str">
        <x:f>IFERROR(INDEX('Items'!$B$6:$B$1005,MATCH("author.metallurgy.steel_stock",'Items'!$A$6:$A$1005,0)),"MISSING ID")</x:f>
        <x:v>Steel stock</x:v>
      </x:c>
      <x:c r="H69" s="4" t="str">
        <x:v>design.review.proposal_legger_mount_rail</x:v>
      </x:c>
      <x:c r="I69" s="4" t="str">
        <x:v>Form and fit an identified metal mounting component from prepared steel.</x:v>
      </x:c>
      <x:c r="J69" s="4" t="str">
        <x:v>Candidate route only: quantities, yield, tools, fit, process conditions and service compatibility remain open. Legger dimensions, attachment loads and actual compatibility are not yet defined.</x:v>
      </x:c>
      <x:c r="K69" s="4" t="str">
        <x:f>IFERROR(INDEX('Items'!$AD$6:$AD$1005,MATCH(A69,'Items'!$A$6:$A$1005,0)),"MISSING ID")</x:f>
        <x:v>Proposal</x:v>
      </x:c>
      <x:c r="L69" s="4" t="n">
        <x:f>IFERROR(INDEX('Items'!$AN$6:$AN$1005,MATCH(A69,'Items'!$A$6:$A$1005,0)),"MISSING ID")</x:f>
        <x:v>3</x:v>
      </x:c>
    </x:row>
    <x:row r="70" ht="165" customHeight="1">
      <x:c r="A70" s="4" t="str">
        <x:v>proposal.legger.long_load_clamp</x:v>
      </x:c>
      <x:c r="B70" s="4" t="str">
        <x:f>IFERROR(INDEX('Items'!$B$6:$B$1005,MATCH(A70,'Items'!$A$6:$A$1005,0)),"MISSING ID")</x:f>
        <x:v>Legger long-load clamp</x:v>
      </x:c>
      <x:c r="C70" s="4" t="str">
        <x:v>Unassigned</x:v>
      </x:c>
      <x:c r="D70" s="4" t="str">
        <x:f>IFERROR(INDEX('Items'!$C$6:$C$1005,MATCH(A70,'Items'!$A$6:$A$1005,0)),"MISSING ID")</x:f>
        <x:v>T3</x:v>
      </x:c>
      <x:c r="E70" s="4" t="str">
        <x:f>IFERROR(INDEX('Items'!$AI$6:$AI$1005,MATCH(A70,'Items'!$A$6:$A$1005,0)),"MISSING ID")</x:f>
        <x:v>Component</x:v>
      </x:c>
      <x:c r="F70" s="4" t="str">
        <x:v>Proposed numeric tier</x:v>
      </x:c>
      <x:c r="G70" s="4" t="str">
        <x:f>IFERROR(INDEX('Items'!$B$6:$B$1005,MATCH("author.metallurgy.steel_stock",'Items'!$A$6:$A$1005,0)),"MISSING ID")</x:f>
        <x:v>Steel stock</x:v>
      </x:c>
      <x:c r="H70" s="4" t="str">
        <x:v>design.review.proposal_legger_long_load_clamp</x:v>
      </x:c>
      <x:c r="I70" s="4" t="str">
        <x:v>Form and fit an identified metal mounting component from prepared steel.</x:v>
      </x:c>
      <x:c r="J70" s="4" t="str">
        <x:v>Candidate route only: quantities, yield, tools, fit, process conditions and service compatibility remain open. Legger dimensions, attachment loads and actual compatibility are not yet defined.</x:v>
      </x:c>
      <x:c r="K70" s="4" t="str">
        <x:f>IFERROR(INDEX('Items'!$AD$6:$AD$1005,MATCH(A70,'Items'!$A$6:$A$1005,0)),"MISSING ID")</x:f>
        <x:v>Proposal</x:v>
      </x:c>
      <x:c r="L70" s="4" t="n">
        <x:f>IFERROR(INDEX('Items'!$AN$6:$AN$1005,MATCH(A70,'Items'!$A$6:$A$1005,0)),"MISSING ID")</x:f>
        <x:v>3</x:v>
      </x:c>
    </x:row>
    <x:row r="71" ht="165" customHeight="1">
      <x:c r="A71" s="4" t="str">
        <x:v>proposal.legger.hinge_plate</x:v>
      </x:c>
      <x:c r="B71" s="4" t="str">
        <x:f>IFERROR(INDEX('Items'!$B$6:$B$1005,MATCH(A71,'Items'!$A$6:$A$1005,0)),"MISSING ID")</x:f>
        <x:v>Chassis hinge-mount plate</x:v>
      </x:c>
      <x:c r="C71" s="4" t="str">
        <x:v>Unassigned</x:v>
      </x:c>
      <x:c r="D71" s="4" t="str">
        <x:f>IFERROR(INDEX('Items'!$C$6:$C$1005,MATCH(A71,'Items'!$A$6:$A$1005,0)),"MISSING ID")</x:f>
        <x:v>T3</x:v>
      </x:c>
      <x:c r="E71" s="4" t="str">
        <x:f>IFERROR(INDEX('Items'!$AI$6:$AI$1005,MATCH(A71,'Items'!$A$6:$A$1005,0)),"MISSING ID")</x:f>
        <x:v>Component</x:v>
      </x:c>
      <x:c r="F71" s="4" t="str">
        <x:v>Proposed numeric tier</x:v>
      </x:c>
      <x:c r="G71" s="4" t="str">
        <x:f>IFERROR(INDEX('Items'!$B$6:$B$1005,MATCH("author.metallurgy.steel_stock",'Items'!$A$6:$A$1005,0)),"MISSING ID")</x:f>
        <x:v>Steel stock</x:v>
      </x:c>
      <x:c r="H71" s="4" t="str">
        <x:v>design.review.proposal_legger_hinge_plate</x:v>
      </x:c>
      <x:c r="I71" s="4" t="str">
        <x:v>Form and fit an identified metal mounting component from prepared steel.</x:v>
      </x:c>
      <x:c r="J71" s="4" t="str">
        <x:v>Candidate route only: quantities, yield, tools, fit, process conditions and service compatibility remain open. Legger dimensions, attachment loads and actual compatibility are not yet defined.</x:v>
      </x:c>
      <x:c r="K71" s="4" t="str">
        <x:f>IFERROR(INDEX('Items'!$AD$6:$AD$1005,MATCH(A71,'Items'!$A$6:$A$1005,0)),"MISSING ID")</x:f>
        <x:v>Proposal</x:v>
      </x:c>
      <x:c r="L71" s="4" t="n">
        <x:f>IFERROR(INDEX('Items'!$AN$6:$AN$1005,MATCH(A71,'Items'!$A$6:$A$1005,0)),"MISSING ID")</x:f>
        <x:v>3</x:v>
      </x:c>
    </x:row>
    <x:row r="72" ht="165" customHeight="1">
      <x:c r="A72" s="4" t="str">
        <x:v>proposal.legger.crush_mount</x:v>
      </x:c>
      <x:c r="B72" s="4" t="str">
        <x:f>IFERROR(INDEX('Items'!$B$6:$B$1005,MATCH(A72,'Items'!$A$6:$A$1005,0)),"MISSING ID")</x:f>
        <x:v>Sacrificial attachment mount</x:v>
      </x:c>
      <x:c r="C72" s="4" t="str">
        <x:v>Unassigned</x:v>
      </x:c>
      <x:c r="D72" s="4" t="str">
        <x:f>IFERROR(INDEX('Items'!$C$6:$C$1005,MATCH(A72,'Items'!$A$6:$A$1005,0)),"MISSING ID")</x:f>
        <x:v>T3</x:v>
      </x:c>
      <x:c r="E72" s="4" t="str">
        <x:f>IFERROR(INDEX('Items'!$AI$6:$AI$1005,MATCH(A72,'Items'!$A$6:$A$1005,0)),"MISSING ID")</x:f>
        <x:v>Component</x:v>
      </x:c>
      <x:c r="F72" s="4" t="str">
        <x:v>Proposed numeric tier</x:v>
      </x:c>
      <x:c r="G72" s="4" t="str">
        <x:f>IFERROR(INDEX('Items'!$B$6:$B$1005,MATCH("author.metallurgy.steel_stock",'Items'!$A$6:$A$1005,0)),"MISSING ID")</x:f>
        <x:v>Steel stock</x:v>
      </x:c>
      <x:c r="H72" s="4" t="str">
        <x:v>design.review.proposal_legger_crush_mount</x:v>
      </x:c>
      <x:c r="I72" s="4" t="str">
        <x:v>Form and fit an identified metal mounting component from prepared steel.</x:v>
      </x:c>
      <x:c r="J72" s="4" t="str">
        <x:v>Candidate route only: quantities, yield, tools, fit, process conditions and service compatibility remain open. Legger dimensions, attachment loads and actual compatibility are not yet defined.</x:v>
      </x:c>
      <x:c r="K72" s="4" t="str">
        <x:f>IFERROR(INDEX('Items'!$AD$6:$AD$1005,MATCH(A72,'Items'!$A$6:$A$1005,0)),"MISSING ID")</x:f>
        <x:v>Proposal</x:v>
      </x:c>
      <x:c r="L72" s="4" t="n">
        <x:f>IFERROR(INDEX('Items'!$AN$6:$AN$1005,MATCH(A72,'Items'!$A$6:$A$1005,0)),"MISSING ID")</x:f>
        <x:v>3</x:v>
      </x:c>
    </x:row>
    <x:row r="73" ht="165" customHeight="1">
      <x:c r="A73" s="4" t="str">
        <x:v>proposal.legger.iron_rib</x:v>
      </x:c>
      <x:c r="B73" s="4" t="str">
        <x:f>IFERROR(INDEX('Items'!$B$6:$B$1005,MATCH(A73,'Items'!$A$6:$A$1005,0)),"MISSING ID")</x:f>
        <x:v>Iron chassis replacement rib</x:v>
      </x:c>
      <x:c r="C73" s="4" t="str">
        <x:v>Unassigned</x:v>
      </x:c>
      <x:c r="D73" s="4" t="str">
        <x:f>IFERROR(INDEX('Items'!$C$6:$C$1005,MATCH(A73,'Items'!$A$6:$A$1005,0)),"MISSING ID")</x:f>
        <x:v>T3</x:v>
      </x:c>
      <x:c r="E73" s="4" t="str">
        <x:f>IFERROR(INDEX('Items'!$AI$6:$AI$1005,MATCH(A73,'Items'!$A$6:$A$1005,0)),"MISSING ID")</x:f>
        <x:v>Component</x:v>
      </x:c>
      <x:c r="F73" s="4" t="str">
        <x:v>Proposed numeric tier</x:v>
      </x:c>
      <x:c r="G73" s="4" t="str">
        <x:f>IFERROR(INDEX('Items'!$B$6:$B$1005,MATCH("proposal.natural.iron_stock",'Items'!$A$6:$A$1005,0)),"MISSING ID")</x:f>
        <x:v>Worked iron stock</x:v>
      </x:c>
      <x:c r="H73" s="4" t="str">
        <x:v>design.review.proposal_legger_iron_rib</x:v>
      </x:c>
      <x:c r="I73" s="4" t="str">
        <x:v>Form and fit the iron replacement part from worked iron stock.</x:v>
      </x:c>
      <x:c r="J73" s="4" t="str">
        <x:v>Candidate route only: quantities, yield, tools, fit, process conditions and service compatibility remain open. Preserves the iron identity rather than silently substituting ancient material; fit and structural performance remain open.</x:v>
      </x:c>
      <x:c r="K73" s="4" t="str">
        <x:f>IFERROR(INDEX('Items'!$AD$6:$AD$1005,MATCH(A73,'Items'!$A$6:$A$1005,0)),"MISSING ID")</x:f>
        <x:v>Proposal</x:v>
      </x:c>
      <x:c r="L73" s="4" t="n">
        <x:f>IFERROR(INDEX('Items'!$AN$6:$AN$1005,MATCH(A73,'Items'!$A$6:$A$1005,0)),"MISSING ID")</x:f>
        <x:v>3</x:v>
      </x:c>
    </x:row>
    <x:row r="74" ht="165" customHeight="1">
      <x:c r="A74" s="4" t="str">
        <x:v>proposal.legger.crossbrace</x:v>
      </x:c>
      <x:c r="B74" s="4" t="str">
        <x:f>IFERROR(INDEX('Items'!$B$6:$B$1005,MATCH(A74,'Items'!$A$6:$A$1005,0)),"MISSING ID")</x:f>
        <x:v>Chassis crossbrace</x:v>
      </x:c>
      <x:c r="C74" s="4" t="str">
        <x:v>Unassigned</x:v>
      </x:c>
      <x:c r="D74" s="4" t="str">
        <x:f>IFERROR(INDEX('Items'!$C$6:$C$1005,MATCH(A74,'Items'!$A$6:$A$1005,0)),"MISSING ID")</x:f>
        <x:v>T3</x:v>
      </x:c>
      <x:c r="E74" s="4" t="str">
        <x:f>IFERROR(INDEX('Items'!$AI$6:$AI$1005,MATCH(A74,'Items'!$A$6:$A$1005,0)),"MISSING ID")</x:f>
        <x:v>Component</x:v>
      </x:c>
      <x:c r="F74" s="4" t="str">
        <x:v>Proposed numeric tier</x:v>
      </x:c>
      <x:c r="G74" s="4" t="str">
        <x:f>IFERROR(INDEX('Items'!$B$6:$B$1005,MATCH("proposal.natural.iron_stock",'Items'!$A$6:$A$1005,0)),"MISSING ID")</x:f>
        <x:v>Worked iron stock</x:v>
      </x:c>
      <x:c r="H74" s="4" t="str">
        <x:v>design.review.proposal_legger_crossbrace</x:v>
      </x:c>
      <x:c r="I74" s="4" t="str">
        <x:v>Form and fit the iron replacement part from worked iron stock.</x:v>
      </x:c>
      <x:c r="J74" s="4" t="str">
        <x:v>Candidate route only: quantities, yield, tools, fit, process conditions and service compatibility remain open. Preserves the iron identity rather than silently substituting ancient material; fit and structural performance remain open.</x:v>
      </x:c>
      <x:c r="K74" s="4" t="str">
        <x:f>IFERROR(INDEX('Items'!$AD$6:$AD$1005,MATCH(A74,'Items'!$A$6:$A$1005,0)),"MISSING ID")</x:f>
        <x:v>Proposal</x:v>
      </x:c>
      <x:c r="L74" s="4" t="n">
        <x:f>IFERROR(INDEX('Items'!$AN$6:$AN$1005,MATCH(A74,'Items'!$A$6:$A$1005,0)),"MISSING ID")</x:f>
        <x:v>3</x:v>
      </x:c>
    </x:row>
    <x:row r="75" ht="165" customHeight="1">
      <x:c r="A75" s="4" t="str">
        <x:v>proposal.legger.foot_plate</x:v>
      </x:c>
      <x:c r="B75" s="4" t="str">
        <x:f>IFERROR(INDEX('Items'!$B$6:$B$1005,MATCH(A75,'Items'!$A$6:$A$1005,0)),"MISSING ID")</x:f>
        <x:v>Replaceable foot contact plate</x:v>
      </x:c>
      <x:c r="C75" s="4" t="str">
        <x:v>Unassigned</x:v>
      </x:c>
      <x:c r="D75" s="4" t="str">
        <x:f>IFERROR(INDEX('Items'!$C$6:$C$1005,MATCH(A75,'Items'!$A$6:$A$1005,0)),"MISSING ID")</x:f>
        <x:v>T3</x:v>
      </x:c>
      <x:c r="E75" s="4" t="str">
        <x:f>IFERROR(INDEX('Items'!$AI$6:$AI$1005,MATCH(A75,'Items'!$A$6:$A$1005,0)),"MISSING ID")</x:f>
        <x:v>Component</x:v>
      </x:c>
      <x:c r="F75" s="4" t="str">
        <x:v>Proposed numeric tier</x:v>
      </x:c>
      <x:c r="G75" s="4" t="str">
        <x:f>IFERROR(INDEX('Items'!$B$6:$B$1005,MATCH("proposal.natural.iron_stock",'Items'!$A$6:$A$1005,0)),"MISSING ID")</x:f>
        <x:v>Worked iron stock</x:v>
      </x:c>
      <x:c r="H75" s="4" t="str">
        <x:v>design.review.proposal_legger_foot_plate</x:v>
      </x:c>
      <x:c r="I75" s="4" t="str">
        <x:v>Form and fit the iron replacement part from worked iron stock.</x:v>
      </x:c>
      <x:c r="J75" s="4" t="str">
        <x:v>Candidate route only: quantities, yield, tools, fit, process conditions and service compatibility remain open. Preserves the iron identity rather than silently substituting ancient material; fit and structural performance remain open.</x:v>
      </x:c>
      <x:c r="K75" s="4" t="str">
        <x:f>IFERROR(INDEX('Items'!$AD$6:$AD$1005,MATCH(A75,'Items'!$A$6:$A$1005,0)),"MISSING ID")</x:f>
        <x:v>Proposal</x:v>
      </x:c>
      <x:c r="L75" s="4" t="n">
        <x:f>IFERROR(INDEX('Items'!$AN$6:$AN$1005,MATCH(A75,'Items'!$A$6:$A$1005,0)),"MISSING ID")</x:f>
        <x:v>3</x:v>
      </x:c>
    </x:row>
    <x:row r="76" ht="165" customHeight="1">
      <x:c r="A76" s="4" t="str">
        <x:v>proposal.legger.fracture_patch</x:v>
      </x:c>
      <x:c r="B76" s="4" t="str">
        <x:f>IFERROR(INDEX('Items'!$B$6:$B$1005,MATCH(A76,'Items'!$A$6:$A$1005,0)),"MISSING ID")</x:f>
        <x:v>Iron chassis fracture patch</x:v>
      </x:c>
      <x:c r="C76" s="4" t="str">
        <x:v>Unassigned</x:v>
      </x:c>
      <x:c r="D76" s="4" t="str">
        <x:f>IFERROR(INDEX('Items'!$C$6:$C$1005,MATCH(A76,'Items'!$A$6:$A$1005,0)),"MISSING ID")</x:f>
        <x:v>T3</x:v>
      </x:c>
      <x:c r="E76" s="4" t="str">
        <x:f>IFERROR(INDEX('Items'!$AI$6:$AI$1005,MATCH(A76,'Items'!$A$6:$A$1005,0)),"MISSING ID")</x:f>
        <x:v>Component</x:v>
      </x:c>
      <x:c r="F76" s="4" t="str">
        <x:v>Proposed numeric tier</x:v>
      </x:c>
      <x:c r="G76" s="4" t="str">
        <x:f>IFERROR(INDEX('Items'!$B$6:$B$1005,MATCH("proposal.natural.iron_stock",'Items'!$A$6:$A$1005,0)),"MISSING ID")</x:f>
        <x:v>Worked iron stock</x:v>
      </x:c>
      <x:c r="H76" s="4" t="str">
        <x:v>design.review.proposal_legger_fracture_patch</x:v>
      </x:c>
      <x:c r="I76" s="4" t="str">
        <x:v>Form and fit the iron replacement part from worked iron stock.</x:v>
      </x:c>
      <x:c r="J76" s="4" t="str">
        <x:v>Candidate route only: quantities, yield, tools, fit, process conditions and service compatibility remain open. Preserves the iron identity rather than silently substituting ancient material; fit and structural performance remain open.</x:v>
      </x:c>
      <x:c r="K76" s="4" t="str">
        <x:f>IFERROR(INDEX('Items'!$AD$6:$AD$1005,MATCH(A76,'Items'!$A$6:$A$1005,0)),"MISSING ID")</x:f>
        <x:v>Proposal</x:v>
      </x:c>
      <x:c r="L76" s="4" t="n">
        <x:f>IFERROR(INDEX('Items'!$AN$6:$AN$1005,MATCH(A76,'Items'!$A$6:$A$1005,0)),"MISSING ID")</x:f>
        <x:v>3</x:v>
      </x:c>
    </x:row>
    <x:row r="77" ht="165" customHeight="1">
      <x:c r="A77" s="4" t="str">
        <x:v>proposal.legger.bulkhead_ring</x:v>
      </x:c>
      <x:c r="B77" s="4" t="str">
        <x:f>IFERROR(INDEX('Items'!$B$6:$B$1005,MATCH(A77,'Items'!$A$6:$A$1005,0)),"MISSING ID")</x:f>
        <x:v>Chassis reinforcing ring</x:v>
      </x:c>
      <x:c r="C77" s="4" t="str">
        <x:v>Unassigned</x:v>
      </x:c>
      <x:c r="D77" s="4" t="str">
        <x:f>IFERROR(INDEX('Items'!$C$6:$C$1005,MATCH(A77,'Items'!$A$6:$A$1005,0)),"MISSING ID")</x:f>
        <x:v>T3</x:v>
      </x:c>
      <x:c r="E77" s="4" t="str">
        <x:f>IFERROR(INDEX('Items'!$AI$6:$AI$1005,MATCH(A77,'Items'!$A$6:$A$1005,0)),"MISSING ID")</x:f>
        <x:v>Component</x:v>
      </x:c>
      <x:c r="F77" s="4" t="str">
        <x:v>Proposed numeric tier</x:v>
      </x:c>
      <x:c r="G77" s="4" t="str">
        <x:f>IFERROR(INDEX('Items'!$B$6:$B$1005,MATCH("proposal.natural.iron_stock",'Items'!$A$6:$A$1005,0)),"MISSING ID")</x:f>
        <x:v>Worked iron stock</x:v>
      </x:c>
      <x:c r="H77" s="4" t="str">
        <x:v>design.review.proposal_legger_bulkhead_ring</x:v>
      </x:c>
      <x:c r="I77" s="4" t="str">
        <x:v>Form and fit the iron replacement part from worked iron stock.</x:v>
      </x:c>
      <x:c r="J77" s="4" t="str">
        <x:v>Candidate route only: quantities, yield, tools, fit, process conditions and service compatibility remain open. Preserves the iron identity rather than silently substituting ancient material; fit and structural performance remain open.</x:v>
      </x:c>
      <x:c r="K77" s="4" t="str">
        <x:f>IFERROR(INDEX('Items'!$AD$6:$AD$1005,MATCH(A77,'Items'!$A$6:$A$1005,0)),"MISSING ID")</x:f>
        <x:v>Proposal</x:v>
      </x:c>
      <x:c r="L77" s="4" t="n">
        <x:f>IFERROR(INDEX('Items'!$AN$6:$AN$1005,MATCH(A77,'Items'!$A$6:$A$1005,0)),"MISSING ID")</x:f>
        <x:v>3</x:v>
      </x:c>
    </x:row>
    <x:row r="78" ht="165" customHeight="1">
      <x:c r="A78" s="4" t="str">
        <x:v>proposal.legger.balance_link</x:v>
      </x:c>
      <x:c r="B78" s="4" t="str">
        <x:f>IFERROR(INDEX('Items'!$B$6:$B$1005,MATCH(A78,'Items'!$A$6:$A$1005,0)),"MISSING ID")</x:f>
        <x:v>Legger load-balance linkage</x:v>
      </x:c>
      <x:c r="C78" s="4" t="str">
        <x:v>Unassigned</x:v>
      </x:c>
      <x:c r="D78" s="4" t="str">
        <x:f>IFERROR(INDEX('Items'!$C$6:$C$1005,MATCH(A78,'Items'!$A$6:$A$1005,0)),"MISSING ID")</x:f>
        <x:v>T3</x:v>
      </x:c>
      <x:c r="E78" s="4" t="str">
        <x:f>IFERROR(INDEX('Items'!$AI$6:$AI$1005,MATCH(A78,'Items'!$A$6:$A$1005,0)),"MISSING ID")</x:f>
        <x:v>Component</x:v>
      </x:c>
      <x:c r="F78" s="4" t="str">
        <x:v>Proposed numeric tier</x:v>
      </x:c>
      <x:c r="G78" s="4" t="str">
        <x:f>IFERROR(INDEX('Items'!$B$6:$B$1005,MATCH("proposal.natural.iron_stock",'Items'!$A$6:$A$1005,0)),"MISSING ID")&amp;"; "&amp;IFERROR(INDEX('Items'!$B$6:$B$1005,MATCH("proposal.branch.bearing_bronze",'Items'!$A$6:$A$1005,0)),"MISSING ID")</x:f>
        <x:v>Worked iron stock; Prepared bronze bearing stock</x:v>
      </x:c>
      <x:c r="H78" s="4" t="str">
        <x:v>design.review.proposal_legger_balance_link</x:v>
      </x:c>
      <x:c r="I78" s="4" t="str">
        <x:v>Fit a load-linkage component from prepared iron and bearing-metal feed.</x:v>
      </x:c>
      <x:c r="J78" s="4" t="str">
        <x:v>Candidate route only: quantities, yield, tools, fit, process conditions and service compatibility remain open. No automatic load balancing or stability behavior implied.</x:v>
      </x:c>
      <x:c r="K78" s="4" t="str">
        <x:f>IFERROR(INDEX('Items'!$AD$6:$AD$1005,MATCH(A78,'Items'!$A$6:$A$1005,0)),"MISSING ID")</x:f>
        <x:v>Proposal</x:v>
      </x:c>
      <x:c r="L78" s="4" t="n">
        <x:f>IFERROR(INDEX('Items'!$AN$6:$AN$1005,MATCH(A78,'Items'!$A$6:$A$1005,0)),"MISSING ID")</x:f>
        <x:v>3</x:v>
      </x:c>
    </x:row>
    <x:row r="79" ht="165" customHeight="1">
      <x:c r="A79" s="4" t="str">
        <x:v>proposal.legger.joint_bush</x:v>
      </x:c>
      <x:c r="B79" s="4" t="str">
        <x:f>IFERROR(INDEX('Items'!$B$6:$B$1005,MATCH(A79,'Items'!$A$6:$A$1005,0)),"MISSING ID")</x:f>
        <x:v>Iron joint bushing</x:v>
      </x:c>
      <x:c r="C79" s="4" t="str">
        <x:v>Unassigned</x:v>
      </x:c>
      <x:c r="D79" s="4" t="str">
        <x:f>IFERROR(INDEX('Items'!$C$6:$C$1005,MATCH(A79,'Items'!$A$6:$A$1005,0)),"MISSING ID")</x:f>
        <x:v>T3</x:v>
      </x:c>
      <x:c r="E79" s="4" t="str">
        <x:f>IFERROR(INDEX('Items'!$AI$6:$AI$1005,MATCH(A79,'Items'!$A$6:$A$1005,0)),"MISSING ID")</x:f>
        <x:v>Component</x:v>
      </x:c>
      <x:c r="F79" s="4" t="str">
        <x:v>Proposed numeric tier</x:v>
      </x:c>
      <x:c r="G79" s="4" t="str">
        <x:f>IFERROR(INDEX('Items'!$B$6:$B$1005,MATCH("proposal.natural.iron_stock",'Items'!$A$6:$A$1005,0)),"MISSING ID")&amp;"; "&amp;IFERROR(INDEX('Items'!$B$6:$B$1005,MATCH("proposal.natural.abrasive",'Items'!$A$6:$A$1005,0)),"MISSING ID")</x:f>
        <x:v>Worked iron stock; Graded abrasive grit</x:v>
      </x:c>
      <x:c r="H79" s="4" t="str">
        <x:v>design.review.proposal_legger_joint_bush</x:v>
      </x:c>
      <x:c r="I79" s="4" t="str">
        <x:v>Machine and finish worked iron as a fitted joint bushing.</x:v>
      </x:c>
      <x:c r="J79" s="4" t="str">
        <x:v>Candidate route only: quantities, yield, tools, fit, process conditions and service compatibility remain open. </x:v>
      </x:c>
      <x:c r="K79" s="4" t="str">
        <x:f>IFERROR(INDEX('Items'!$AD$6:$AD$1005,MATCH(A79,'Items'!$A$6:$A$1005,0)),"MISSING ID")</x:f>
        <x:v>Proposal</x:v>
      </x:c>
      <x:c r="L79" s="4" t="n">
        <x:f>IFERROR(INDEX('Items'!$AN$6:$AN$1005,MATCH(A79,'Items'!$A$6:$A$1005,0)),"MISSING ID")</x:f>
        <x:v>3</x:v>
      </x:c>
    </x:row>
    <x:row r="80" ht="165" customHeight="1">
      <x:c r="A80" s="4" t="str">
        <x:v>proposal.legger.bearing</x:v>
      </x:c>
      <x:c r="B80" s="4" t="str">
        <x:f>IFERROR(INDEX('Items'!$B$6:$B$1005,MATCH(A80,'Items'!$A$6:$A$1005,0)),"MISSING ID")</x:f>
        <x:v>Replacement bearing assembly</x:v>
      </x:c>
      <x:c r="C80" s="4" t="str">
        <x:v>Unassigned</x:v>
      </x:c>
      <x:c r="D80" s="4" t="str">
        <x:f>IFERROR(INDEX('Items'!$C$6:$C$1005,MATCH(A80,'Items'!$A$6:$A$1005,0)),"MISSING ID")</x:f>
        <x:v>T4</x:v>
      </x:c>
      <x:c r="E80" s="4" t="str">
        <x:f>IFERROR(INDEX('Items'!$AI$6:$AI$1005,MATCH(A80,'Items'!$A$6:$A$1005,0)),"MISSING ID")</x:f>
        <x:v>Component</x:v>
      </x:c>
      <x:c r="F80" s="4" t="str">
        <x:v>Proposed numeric tier</x:v>
      </x:c>
      <x:c r="G80" s="4" t="str">
        <x:f>IFERROR(INDEX('Items'!$B$6:$B$1005,MATCH("proposal.t3.bearing_blank",'Items'!$A$6:$A$1005,0)),"MISSING ID")&amp;"; "&amp;IFERROR(INDEX('Items'!$B$6:$B$1005,MATCH("proposal.t3.precision_tube",'Items'!$A$6:$A$1005,0)),"MISSING ID")&amp;"; "&amp;IFERROR(INDEX('Items'!$B$6:$B$1005,MATCH("proposal.t3.service_grease",'Items'!$A$6:$A$1005,0)),"MISSING ID")</x:f>
        <x:v>Lapped bronze bearing blanks; Drawn steel tube stock; Conditioned mechanism-service grease</x:v>
      </x:c>
      <x:c r="H80" s="4" t="str">
        <x:v>design.review.proposal_legger_bearing</x:v>
      </x:c>
      <x:c r="I80" s="4" t="str">
        <x:v>Fit a Legger-targeted bearing assembly from T3 bearing, housing and service stocks.</x:v>
      </x:c>
      <x:c r="J80" s="4" t="str">
        <x:v>Candidate route only: quantities, yield, tools, fit, process conditions and service compatibility remain open. A candidate fit variant beside the generic T4 bearing cartridge; neither is a universal replacement.</x:v>
      </x:c>
      <x:c r="K80" s="4" t="str">
        <x:f>IFERROR(INDEX('Items'!$AD$6:$AD$1005,MATCH(A80,'Items'!$A$6:$A$1005,0)),"MISSING ID")</x:f>
        <x:v>Proposal</x:v>
      </x:c>
      <x:c r="L80" s="4" t="n">
        <x:f>IFERROR(INDEX('Items'!$AN$6:$AN$1005,MATCH(A80,'Items'!$A$6:$A$1005,0)),"MISSING ID")</x:f>
        <x:v>4</x:v>
      </x:c>
    </x:row>
    <x:row r="81" ht="165" customHeight="1">
      <x:c r="A81" s="4" t="str">
        <x:v>proposal.legger.actuator_rod</x:v>
      </x:c>
      <x:c r="B81" s="4" t="str">
        <x:f>IFERROR(INDEX('Items'!$B$6:$B$1005,MATCH(A81,'Items'!$A$6:$A$1005,0)),"MISSING ID")</x:f>
        <x:v>Replacement actuator link</x:v>
      </x:c>
      <x:c r="C81" s="4" t="str">
        <x:v>Unassigned</x:v>
      </x:c>
      <x:c r="D81" s="4" t="str">
        <x:f>IFERROR(INDEX('Items'!$C$6:$C$1005,MATCH(A81,'Items'!$A$6:$A$1005,0)),"MISSING ID")</x:f>
        <x:v>T3</x:v>
      </x:c>
      <x:c r="E81" s="4" t="str">
        <x:f>IFERROR(INDEX('Items'!$AI$6:$AI$1005,MATCH(A81,'Items'!$A$6:$A$1005,0)),"MISSING ID")</x:f>
        <x:v>Component</x:v>
      </x:c>
      <x:c r="F81" s="4" t="str">
        <x:v>Proposed numeric tier</x:v>
      </x:c>
      <x:c r="G81" s="4" t="str">
        <x:f>IFERROR(INDEX('Items'!$B$6:$B$1005,MATCH("author.metallurgy.steel_stock",'Items'!$A$6:$A$1005,0)),"MISSING ID")&amp;"; "&amp;IFERROR(INDEX('Items'!$B$6:$B$1005,MATCH("proposal.natural.abrasive",'Items'!$A$6:$A$1005,0)),"MISSING ID")</x:f>
        <x:v>Steel stock; Graded abrasive grit</x:v>
      </x:c>
      <x:c r="H81" s="4" t="str">
        <x:v>design.review.proposal_legger_actuator_rod</x:v>
      </x:c>
      <x:c r="I81" s="4" t="str">
        <x:v>Shape and finish an actuator-link replacement from prepared steel.</x:v>
      </x:c>
      <x:c r="J81" s="4" t="str">
        <x:v>Candidate route only: quantities, yield, tools, fit, process conditions and service compatibility remain open. This is a passive link, not a reproduced powered actuator.</x:v>
      </x:c>
      <x:c r="K81" s="4" t="str">
        <x:f>IFERROR(INDEX('Items'!$AD$6:$AD$1005,MATCH(A81,'Items'!$A$6:$A$1005,0)),"MISSING ID")</x:f>
        <x:v>Proposal</x:v>
      </x:c>
      <x:c r="L81" s="4" t="n">
        <x:f>IFERROR(INDEX('Items'!$AN$6:$AN$1005,MATCH(A81,'Items'!$A$6:$A$1005,0)),"MISSING ID")</x:f>
        <x:v>3</x:v>
      </x:c>
    </x:row>
    <x:row r="82" ht="165" customHeight="1">
      <x:c r="A82" s="4" t="str">
        <x:v>proposal.legger.joint_shroud</x:v>
      </x:c>
      <x:c r="B82" s="4" t="str">
        <x:f>IFERROR(INDEX('Items'!$B$6:$B$1005,MATCH(A82,'Items'!$A$6:$A$1005,0)),"MISSING ID")</x:f>
        <x:v>Joint dust shroud</x:v>
      </x:c>
      <x:c r="C82" s="4" t="str">
        <x:v>Unassigned</x:v>
      </x:c>
      <x:c r="D82" s="4" t="str">
        <x:f>IFERROR(INDEX('Items'!$C$6:$C$1005,MATCH(A82,'Items'!$A$6:$A$1005,0)),"MISSING ID")</x:f>
        <x:v>T3</x:v>
      </x:c>
      <x:c r="E82" s="4" t="str">
        <x:f>IFERROR(INDEX('Items'!$AI$6:$AI$1005,MATCH(A82,'Items'!$A$6:$A$1005,0)),"MISSING ID")</x:f>
        <x:v>Component</x:v>
      </x:c>
      <x:c r="F82" s="4" t="str">
        <x:v>Proposed numeric tier</x:v>
      </x:c>
      <x:c r="G82" s="4" t="str">
        <x:f>IFERROR(INDEX('Items'!$B$6:$B$1005,MATCH("proposal.branch.husk_sheet",'Items'!$A$6:$A$1005,0)),"MISSING ID")&amp;"; "&amp;IFERROR(INDEX('Items'!$B$6:$B$1005,MATCH("proposal.branch.flex_bond",'Items'!$A$6:$A$1005,0)),"MISSING ID")</x:f>
        <x:v>Bonded husk sheet; Flexible membrane-bonding compound</x:v>
      </x:c>
      <x:c r="H82" s="4" t="str">
        <x:v>design.review.proposal_legger_joint_shroud</x:v>
      </x:c>
      <x:c r="I82" s="4" t="str">
        <x:v>Fit difficult prepared husk and bonding stock as a joint shroud.</x:v>
      </x:c>
      <x:c r="J82" s="4" t="str">
        <x:v>Candidate route only: quantities, yield, tools, fit, process conditions and service compatibility remain open. Flexibility, wear and dust behavior remain unqualified; no ordinary rubber or cloth.</x:v>
      </x:c>
      <x:c r="K82" s="4" t="str">
        <x:f>IFERROR(INDEX('Items'!$AD$6:$AD$1005,MATCH(A82,'Items'!$A$6:$A$1005,0)),"MISSING ID")</x:f>
        <x:v>Proposal</x:v>
      </x:c>
      <x:c r="L82" s="4" t="n">
        <x:f>IFERROR(INDEX('Items'!$AN$6:$AN$1005,MATCH(A82,'Items'!$A$6:$A$1005,0)),"MISSING ID")</x:f>
        <x:v>3</x:v>
      </x:c>
    </x:row>
    <x:row r="83" ht="165" customHeight="1">
      <x:c r="A83" s="4" t="str">
        <x:v>proposal.legger.grease_cup</x:v>
      </x:c>
      <x:c r="B83" s="4" t="str">
        <x:f>IFERROR(INDEX('Items'!$B$6:$B$1005,MATCH(A83,'Items'!$A$6:$A$1005,0)),"MISSING ID")</x:f>
        <x:v>Fitted joint lubricant cup</x:v>
      </x:c>
      <x:c r="C83" s="4" t="str">
        <x:v>Unassigned</x:v>
      </x:c>
      <x:c r="D83" s="4" t="str">
        <x:f>IFERROR(INDEX('Items'!$C$6:$C$1005,MATCH(A83,'Items'!$A$6:$A$1005,0)),"MISSING ID")</x:f>
        <x:v>T3</x:v>
      </x:c>
      <x:c r="E83" s="4" t="str">
        <x:f>IFERROR(INDEX('Items'!$AI$6:$AI$1005,MATCH(A83,'Items'!$A$6:$A$1005,0)),"MISSING ID")</x:f>
        <x:v>Component</x:v>
      </x:c>
      <x:c r="F83" s="4" t="str">
        <x:v>Proposed numeric tier</x:v>
      </x:c>
      <x:c r="G83" s="4" t="str">
        <x:f>IFERROR(INDEX('Items'!$B$6:$B$1005,MATCH("author.metallurgy.steel_stock",'Items'!$A$6:$A$1005,0)),"MISSING ID")&amp;"; "&amp;IFERROR(INDEX('Items'!$B$6:$B$1005,MATCH("proposal.branch.bearing_bronze",'Items'!$A$6:$A$1005,0)),"MISSING ID")</x:f>
        <x:v>Steel stock; Prepared bronze bearing stock</x:v>
      </x:c>
      <x:c r="H83" s="4" t="str">
        <x:v>design.review.proposal_legger_grease_cup</x:v>
      </x:c>
      <x:c r="I83" s="4" t="str">
        <x:v>Form a fitted empty metal lubricant cup and attachment interfaces.</x:v>
      </x:c>
      <x:c r="J83" s="4" t="str">
        <x:v>Candidate route only: quantities, yield, tools, fit, process conditions and service compatibility remain open. Lubricant contents are separate; no grease is silently included in the output.</x:v>
      </x:c>
      <x:c r="K83" s="4" t="str">
        <x:f>IFERROR(INDEX('Items'!$AD$6:$AD$1005,MATCH(A83,'Items'!$A$6:$A$1005,0)),"MISSING ID")</x:f>
        <x:v>Proposal</x:v>
      </x:c>
      <x:c r="L83" s="4" t="n">
        <x:f>IFERROR(INDEX('Items'!$AN$6:$AN$1005,MATCH(A83,'Items'!$A$6:$A$1005,0)),"MISSING ID")</x:f>
        <x:v>3</x:v>
      </x:c>
    </x:row>
    <x:row r="84" ht="165" customHeight="1">
      <x:c r="A84" s="4" t="str">
        <x:v>proposal.legger.seal_cartridge</x:v>
      </x:c>
      <x:c r="B84" s="4" t="str">
        <x:f>IFERROR(INDEX('Items'!$B$6:$B$1005,MATCH(A84,'Items'!$A$6:$A$1005,0)),"MISSING ID")</x:f>
        <x:v>Replaceable joint-seal cartridge</x:v>
      </x:c>
      <x:c r="C84" s="4" t="str">
        <x:v>Unassigned</x:v>
      </x:c>
      <x:c r="D84" s="4" t="str">
        <x:f>IFERROR(INDEX('Items'!$C$6:$C$1005,MATCH(A84,'Items'!$A$6:$A$1005,0)),"MISSING ID")</x:f>
        <x:v>T4</x:v>
      </x:c>
      <x:c r="E84" s="4" t="str">
        <x:f>IFERROR(INDEX('Items'!$AI$6:$AI$1005,MATCH(A84,'Items'!$A$6:$A$1005,0)),"MISSING ID")</x:f>
        <x:v>Component</x:v>
      </x:c>
      <x:c r="F84" s="4" t="str">
        <x:v>Proposed numeric tier</x:v>
      </x:c>
      <x:c r="G84" s="4" t="str">
        <x:f>IFERROR(INDEX('Items'!$B$6:$B$1005,MATCH("proposal.t3.packing_stock",'Items'!$A$6:$A$1005,0)),"MISSING ID")&amp;"; "&amp;IFERROR(INDEX('Items'!$B$6:$B$1005,MATCH("proposal.branch.sealing_sheet",'Items'!$A$6:$A$1005,0)),"MISSING ID")&amp;"; "&amp;IFERROR(INDEX('Items'!$B$6:$B$1005,MATCH("author.metallurgy.steel_stock",'Items'!$A$6:$A$1005,0)),"MISSING ID")</x:f>
        <x:v>Husk-reinforced packing stock; Reinforced sealing sheet; Steel stock</x:v>
      </x:c>
      <x:c r="H84" s="4" t="str">
        <x:v>design.review.proposal_legger_seal_cartridge</x:v>
      </x:c>
      <x:c r="I84" s="4" t="str">
        <x:v>Fit selected T3 sealing/packing stock into a Legger service cartridge.</x:v>
      </x:c>
      <x:c r="J84" s="4" t="str">
        <x:v>Candidate route only: quantities, yield, tools, fit, process conditions and service compatibility remain open. </x:v>
      </x:c>
      <x:c r="K84" s="4" t="str">
        <x:f>IFERROR(INDEX('Items'!$AD$6:$AD$1005,MATCH(A84,'Items'!$A$6:$A$1005,0)),"MISSING ID")</x:f>
        <x:v>Proposal</x:v>
      </x:c>
      <x:c r="L84" s="4" t="n">
        <x:f>IFERROR(INDEX('Items'!$AN$6:$AN$1005,MATCH(A84,'Items'!$A$6:$A$1005,0)),"MISSING ID")</x:f>
        <x:v>4</x:v>
      </x:c>
    </x:row>
    <x:row r="85" ht="165" customHeight="1">
      <x:c r="A85" s="4"/>
      <x:c r="B85" s="4"/>
      <x:c r="C85" s="4"/>
      <x:c r="D85" s="4"/>
      <x:c r="E85" s="4"/>
      <x:c r="F85" s="4"/>
      <x:c r="G85" s="4"/>
      <x:c r="H85" s="4"/>
      <x:c r="I85" s="4"/>
      <x:c r="J85" s="4"/>
      <x:c r="K85" s="4"/>
      <x:c r="L85" s="4"/>
    </x:row>
    <x:row r="86" ht="165" customHeight="1">
      <x:c r="A86" s="4" t="str">
        <x:v>proposal.legger.inspection_hatch</x:v>
      </x:c>
      <x:c r="B86" s="4" t="str">
        <x:f>IFERROR(INDEX('Items'!$B$6:$B$1005,MATCH(A86,'Items'!$A$6:$A$1005,0)),"MISSING ID")</x:f>
        <x:v>Legger inspection hatch</x:v>
      </x:c>
      <x:c r="C86" s="4" t="str">
        <x:v>Unassigned</x:v>
      </x:c>
      <x:c r="D86" s="4" t="str">
        <x:f>IFERROR(INDEX('Items'!$C$6:$C$1005,MATCH(A86,'Items'!$A$6:$A$1005,0)),"MISSING ID")</x:f>
        <x:v>T3</x:v>
      </x:c>
      <x:c r="E86" s="4" t="str">
        <x:f>IFERROR(INDEX('Items'!$AI$6:$AI$1005,MATCH(A86,'Items'!$A$6:$A$1005,0)),"MISSING ID")</x:f>
        <x:v>Component</x:v>
      </x:c>
      <x:c r="F86" s="4" t="str">
        <x:v>Proposed numeric tier</x:v>
      </x:c>
      <x:c r="G86" s="4" t="str">
        <x:f>IFERROR(INDEX('Items'!$B$6:$B$1005,MATCH("author.metallurgy.steel_stock",'Items'!$A$6:$A$1005,0)),"MISSING ID")&amp;"; "&amp;IFERROR(INDEX('Items'!$B$6:$B$1005,MATCH("proposal.branch.bearing_bronze",'Items'!$A$6:$A$1005,0)),"MISSING ID")&amp;"; "&amp;IFERROR(INDEX('Items'!$B$6:$B$1005,MATCH("proposal.branch.filled_seal",'Items'!$A$6:$A$1005,0)),"MISSING ID")</x:f>
        <x:v>Steel stock; Prepared bronze bearing stock; Filled faunal seal compound</x:v>
      </x:c>
      <x:c r="H86" s="4" t="str">
        <x:v>design.review.proposal_legger_inspection_hatch</x:v>
      </x:c>
      <x:c r="I86" s="4" t="str">
        <x:v>Fit a metal hatch with selected hinge and sealing feed.</x:v>
      </x:c>
      <x:c r="J86" s="4" t="str">
        <x:v>Candidate route only: quantities, yield, tools, fit, process conditions and service compatibility remain open. </x:v>
      </x:c>
      <x:c r="K86" s="4" t="str">
        <x:f>IFERROR(INDEX('Items'!$AD$6:$AD$1005,MATCH(A86,'Items'!$A$6:$A$1005,0)),"MISSING ID")</x:f>
        <x:v>Proposal</x:v>
      </x:c>
      <x:c r="L86" s="4" t="n">
        <x:f>IFERROR(INDEX('Items'!$AN$6:$AN$1005,MATCH(A86,'Items'!$A$6:$A$1005,0)),"MISSING ID")</x:f>
        <x:v>3</x:v>
      </x:c>
    </x:row>
    <x:row r="87" ht="165" customHeight="1">
      <x:c r="A87" s="4" t="str">
        <x:v>proposal.legger.alignment_shims</x:v>
      </x:c>
      <x:c r="B87" s="4" t="str">
        <x:f>IFERROR(INDEX('Items'!$B$6:$B$1005,MATCH(A87,'Items'!$A$6:$A$1005,0)),"MISSING ID")</x:f>
        <x:v>Chassis alignment-shim set</x:v>
      </x:c>
      <x:c r="C87" s="4" t="str">
        <x:v>Unassigned</x:v>
      </x:c>
      <x:c r="D87" s="4" t="str">
        <x:f>IFERROR(INDEX('Items'!$C$6:$C$1005,MATCH(A87,'Items'!$A$6:$A$1005,0)),"MISSING ID")</x:f>
        <x:v>T3</x:v>
      </x:c>
      <x:c r="E87" s="4" t="str">
        <x:f>IFERROR(INDEX('Items'!$AI$6:$AI$1005,MATCH(A87,'Items'!$A$6:$A$1005,0)),"MISSING ID")</x:f>
        <x:v>Component</x:v>
      </x:c>
      <x:c r="F87" s="4" t="str">
        <x:v>Proposed numeric tier</x:v>
      </x:c>
      <x:c r="G87" s="4" t="str">
        <x:f>IFERROR(INDEX('Items'!$B$6:$B$1005,MATCH("author.metallurgy.steel_stock",'Items'!$A$6:$A$1005,0)),"MISSING ID")&amp;"; "&amp;IFERROR(INDEX('Items'!$B$6:$B$1005,MATCH("proposal.natural.abrasive",'Items'!$A$6:$A$1005,0)),"MISSING ID")</x:f>
        <x:v>Steel stock; Graded abrasive grit</x:v>
      </x:c>
      <x:c r="H87" s="4" t="str">
        <x:v>design.review.proposal_legger_alignment_shims</x:v>
      </x:c>
      <x:c r="I87" s="4" t="str">
        <x:v>Finish prepared steel to the selected alignment or joint geometry.</x:v>
      </x:c>
      <x:c r="J87" s="4" t="str">
        <x:v>Candidate route only: quantities, yield, tools, fit, process conditions and service compatibility remain open. </x:v>
      </x:c>
      <x:c r="K87" s="4" t="str">
        <x:f>IFERROR(INDEX('Items'!$AD$6:$AD$1005,MATCH(A87,'Items'!$A$6:$A$1005,0)),"MISSING ID")</x:f>
        <x:v>Proposal</x:v>
      </x:c>
      <x:c r="L87" s="4" t="n">
        <x:f>IFERROR(INDEX('Items'!$AN$6:$AN$1005,MATCH(A87,'Items'!$A$6:$A$1005,0)),"MISSING ID")</x:f>
        <x:v>3</x:v>
      </x:c>
    </x:row>
    <x:row r="88" ht="165" customHeight="1">
      <x:c r="A88" s="4" t="str">
        <x:v>proposal.legger.joint_pin</x:v>
      </x:c>
      <x:c r="B88" s="4" t="str">
        <x:f>IFERROR(INDEX('Items'!$B$6:$B$1005,MATCH(A88,'Items'!$A$6:$A$1005,0)),"MISSING ID")</x:f>
        <x:v>Replaceable joint pin</x:v>
      </x:c>
      <x:c r="C88" s="4" t="str">
        <x:v>Unassigned</x:v>
      </x:c>
      <x:c r="D88" s="4" t="str">
        <x:f>IFERROR(INDEX('Items'!$C$6:$C$1005,MATCH(A88,'Items'!$A$6:$A$1005,0)),"MISSING ID")</x:f>
        <x:v>T3</x:v>
      </x:c>
      <x:c r="E88" s="4" t="str">
        <x:f>IFERROR(INDEX('Items'!$AI$6:$AI$1005,MATCH(A88,'Items'!$A$6:$A$1005,0)),"MISSING ID")</x:f>
        <x:v>Component</x:v>
      </x:c>
      <x:c r="F88" s="4" t="str">
        <x:v>Proposed numeric tier</x:v>
      </x:c>
      <x:c r="G88" s="4" t="str">
        <x:f>IFERROR(INDEX('Items'!$B$6:$B$1005,MATCH("author.metallurgy.steel_stock",'Items'!$A$6:$A$1005,0)),"MISSING ID")&amp;"; "&amp;IFERROR(INDEX('Items'!$B$6:$B$1005,MATCH("proposal.natural.abrasive",'Items'!$A$6:$A$1005,0)),"MISSING ID")</x:f>
        <x:v>Steel stock; Graded abrasive grit</x:v>
      </x:c>
      <x:c r="H88" s="4" t="str">
        <x:v>design.review.proposal_legger_joint_pin</x:v>
      </x:c>
      <x:c r="I88" s="4" t="str">
        <x:v>Finish prepared steel to the selected alignment or joint geometry.</x:v>
      </x:c>
      <x:c r="J88" s="4" t="str">
        <x:v>Candidate route only: quantities, yield, tools, fit, process conditions and service compatibility remain open. </x:v>
      </x:c>
      <x:c r="K88" s="4" t="str">
        <x:f>IFERROR(INDEX('Items'!$AD$6:$AD$1005,MATCH(A88,'Items'!$A$6:$A$1005,0)),"MISSING ID")</x:f>
        <x:v>Proposal</x:v>
      </x:c>
      <x:c r="L88" s="4" t="n">
        <x:f>IFERROR(INDEX('Items'!$AN$6:$AN$1005,MATCH(A88,'Items'!$A$6:$A$1005,0)),"MISSING ID")</x:f>
        <x:v>3</x:v>
      </x:c>
    </x:row>
    <x:row r="89" ht="165" customHeight="1">
      <x:c r="A89" s="4" t="str">
        <x:v>proposal.legger.thrust_washer</x:v>
      </x:c>
      <x:c r="B89" s="4" t="str">
        <x:f>IFERROR(INDEX('Items'!$B$6:$B$1005,MATCH(A89,'Items'!$A$6:$A$1005,0)),"MISSING ID")</x:f>
        <x:v>Joint thrust washer</x:v>
      </x:c>
      <x:c r="C89" s="4" t="str">
        <x:v>Unassigned</x:v>
      </x:c>
      <x:c r="D89" s="4" t="str">
        <x:f>IFERROR(INDEX('Items'!$C$6:$C$1005,MATCH(A89,'Items'!$A$6:$A$1005,0)),"MISSING ID")</x:f>
        <x:v>T3</x:v>
      </x:c>
      <x:c r="E89" s="4" t="str">
        <x:f>IFERROR(INDEX('Items'!$AI$6:$AI$1005,MATCH(A89,'Items'!$A$6:$A$1005,0)),"MISSING ID")</x:f>
        <x:v>Component</x:v>
      </x:c>
      <x:c r="F89" s="4" t="str">
        <x:v>Proposed numeric tier</x:v>
      </x:c>
      <x:c r="G89" s="4" t="str">
        <x:f>IFERROR(INDEX('Items'!$B$6:$B$1005,MATCH("proposal.branch.bearing_bronze",'Items'!$A$6:$A$1005,0)),"MISSING ID")&amp;"; "&amp;IFERROR(INDEX('Items'!$B$6:$B$1005,MATCH("proposal.natural.abrasive",'Items'!$A$6:$A$1005,0)),"MISSING ID")</x:f>
        <x:v>Prepared bronze bearing stock; Graded abrasive grit</x:v>
      </x:c>
      <x:c r="H89" s="4" t="str">
        <x:v>design.review.proposal_legger_thrust_washer</x:v>
      </x:c>
      <x:c r="I89" s="4" t="str">
        <x:v>Shape and finish bearing-metal stock as a fitted thrust washer.</x:v>
      </x:c>
      <x:c r="J89" s="4" t="str">
        <x:v>Candidate route only: quantities, yield, tools, fit, process conditions and service compatibility remain open. </x:v>
      </x:c>
      <x:c r="K89" s="4" t="str">
        <x:f>IFERROR(INDEX('Items'!$AD$6:$AD$1005,MATCH(A89,'Items'!$A$6:$A$1005,0)),"MISSING ID")</x:f>
        <x:v>Proposal</x:v>
      </x:c>
      <x:c r="L89" s="4" t="n">
        <x:f>IFERROR(INDEX('Items'!$AN$6:$AN$1005,MATCH(A89,'Items'!$A$6:$A$1005,0)),"MISSING ID")</x:f>
        <x:v>3</x:v>
      </x:c>
    </x:row>
    <x:row r="90" ht="165" customHeight="1">
      <x:c r="A90" s="4" t="str">
        <x:v>proposal.legger.gear_cluster</x:v>
      </x:c>
      <x:c r="B90" s="4" t="str">
        <x:f>IFERROR(INDEX('Items'!$B$6:$B$1005,MATCH(A90,'Items'!$A$6:$A$1005,0)),"MISSING ID")</x:f>
        <x:v>Replacement gear cluster</x:v>
      </x:c>
      <x:c r="C90" s="4" t="str">
        <x:v>Unassigned</x:v>
      </x:c>
      <x:c r="D90" s="4" t="str">
        <x:f>IFERROR(INDEX('Items'!$C$6:$C$1005,MATCH(A90,'Items'!$A$6:$A$1005,0)),"MISSING ID")</x:f>
        <x:v>T4</x:v>
      </x:c>
      <x:c r="E90" s="4" t="str">
        <x:f>IFERROR(INDEX('Items'!$AI$6:$AI$1005,MATCH(A90,'Items'!$A$6:$A$1005,0)),"MISSING ID")</x:f>
        <x:v>Component</x:v>
      </x:c>
      <x:c r="F90" s="4" t="str">
        <x:v>Proposed numeric tier</x:v>
      </x:c>
      <x:c r="G90" s="4" t="str">
        <x:f>IFERROR(INDEX('Items'!$B$6:$B$1005,MATCH("proposal.t3.gear_blank",'Items'!$A$6:$A$1005,0)),"MISSING ID")&amp;"; "&amp;IFERROR(INDEX('Items'!$B$6:$B$1005,MATCH("author.metallurgy.steel_stock",'Items'!$A$6:$A$1005,0)),"MISSING ID")&amp;"; "&amp;IFERROR(INDEX('Items'!$B$6:$B$1005,MATCH("proposal.branch.bearing_bronze",'Items'!$A$6:$A$1005,0)),"MISSING ID")</x:f>
        <x:v>Heat-treated steel gear blanks; Steel stock; Prepared bronze bearing stock</x:v>
      </x:c>
      <x:c r="H90" s="4" t="str">
        <x:v>design.review.proposal_legger_gear_cluster</x:v>
      </x:c>
      <x:c r="I90" s="4" t="str">
        <x:v>Cut, match and retain T3 gear blanks as a replacement cluster.</x:v>
      </x:c>
      <x:c r="J90" s="4" t="str">
        <x:v>Candidate route only: quantities, yield, tools, fit, process conditions and service compatibility remain open. Ratios, loads, geometry, lubrication and Legger interface remain undefined.</x:v>
      </x:c>
      <x:c r="K90" s="4" t="str">
        <x:f>IFERROR(INDEX('Items'!$AD$6:$AD$1005,MATCH(A90,'Items'!$A$6:$A$1005,0)),"MISSING ID")</x:f>
        <x:v>Proposal</x:v>
      </x:c>
      <x:c r="L90" s="4" t="n">
        <x:f>IFERROR(INDEX('Items'!$AN$6:$AN$1005,MATCH(A90,'Items'!$A$6:$A$1005,0)),"MISSING ID")</x:f>
        <x:v>4</x:v>
      </x:c>
    </x:row>
    <x:row r="91" ht="165" customHeight="1">
      <x:c r="A91" s="4" t="str">
        <x:v>proposal.legger.linkage_end</x:v>
      </x:c>
      <x:c r="B91" s="4" t="str">
        <x:f>IFERROR(INDEX('Items'!$B$6:$B$1005,MATCH(A91,'Items'!$A$6:$A$1005,0)),"MISSING ID")</x:f>
        <x:v>Replacement linkage-end joint</x:v>
      </x:c>
      <x:c r="C91" s="4" t="str">
        <x:v>Unassigned</x:v>
      </x:c>
      <x:c r="D91" s="4" t="str">
        <x:f>IFERROR(INDEX('Items'!$C$6:$C$1005,MATCH(A91,'Items'!$A$6:$A$1005,0)),"MISSING ID")</x:f>
        <x:v>T3</x:v>
      </x:c>
      <x:c r="E91" s="4" t="str">
        <x:f>IFERROR(INDEX('Items'!$AI$6:$AI$1005,MATCH(A91,'Items'!$A$6:$A$1005,0)),"MISSING ID")</x:f>
        <x:v>Component</x:v>
      </x:c>
      <x:c r="F91" s="4" t="str">
        <x:v>Proposed numeric tier</x:v>
      </x:c>
      <x:c r="G91" s="4" t="str">
        <x:f>IFERROR(INDEX('Items'!$B$6:$B$1005,MATCH("author.metallurgy.steel_stock",'Items'!$A$6:$A$1005,0)),"MISSING ID")&amp;"; "&amp;IFERROR(INDEX('Items'!$B$6:$B$1005,MATCH("proposal.branch.bearing_bronze",'Items'!$A$6:$A$1005,0)),"MISSING ID")</x:f>
        <x:v>Steel stock; Prepared bronze bearing stock</x:v>
      </x:c>
      <x:c r="H91" s="4" t="str">
        <x:v>design.review.proposal_legger_linkage_end</x:v>
      </x:c>
      <x:c r="I91" s="4" t="str">
        <x:v>Form and fit a selected linkage-end joint from prepared metal stock.</x:v>
      </x:c>
      <x:c r="J91" s="4" t="str">
        <x:v>Candidate route only: quantities, yield, tools, fit, process conditions and service compatibility remain open. </x:v>
      </x:c>
      <x:c r="K91" s="4" t="str">
        <x:f>IFERROR(INDEX('Items'!$AD$6:$AD$1005,MATCH(A91,'Items'!$A$6:$A$1005,0)),"MISSING ID")</x:f>
        <x:v>Proposal</x:v>
      </x:c>
      <x:c r="L91" s="4" t="n">
        <x:f>IFERROR(INDEX('Items'!$AN$6:$AN$1005,MATCH(A91,'Items'!$A$6:$A$1005,0)),"MISSING ID")</x:f>
        <x:v>3</x:v>
      </x:c>
    </x:row>
    <x:row r="92" ht="165" customHeight="1">
      <x:c r="A92" s="4" t="str">
        <x:v>proposal.legger.tensioner</x:v>
      </x:c>
      <x:c r="B92" s="4" t="str">
        <x:f>IFERROR(INDEX('Items'!$B$6:$B$1005,MATCH(A92,'Items'!$A$6:$A$1005,0)),"MISSING ID")</x:f>
        <x:v>Drive tensioner assembly</x:v>
      </x:c>
      <x:c r="C92" s="4" t="str">
        <x:v>Unassigned</x:v>
      </x:c>
      <x:c r="D92" s="4" t="str">
        <x:f>IFERROR(INDEX('Items'!$C$6:$C$1005,MATCH(A92,'Items'!$A$6:$A$1005,0)),"MISSING ID")</x:f>
        <x:v>T4</x:v>
      </x:c>
      <x:c r="E92" s="4" t="str">
        <x:f>IFERROR(INDEX('Items'!$AI$6:$AI$1005,MATCH(A92,'Items'!$A$6:$A$1005,0)),"MISSING ID")</x:f>
        <x:v>Component</x:v>
      </x:c>
      <x:c r="F92" s="4" t="str">
        <x:v>Proposed numeric tier</x:v>
      </x:c>
      <x:c r="G92" s="4" t="str">
        <x:f>IFERROR(INDEX('Items'!$B$6:$B$1005,MATCH("proposal.branch.spring_steel",'Items'!$A$6:$A$1005,0)),"MISSING ID")&amp;"; "&amp;IFERROR(INDEX('Items'!$B$6:$B$1005,MATCH("proposal.t3.bearing_blank",'Items'!$A$6:$A$1005,0)),"MISSING ID")&amp;"; "&amp;IFERROR(INDEX('Items'!$B$6:$B$1005,MATCH("author.metallurgy.steel_stock",'Items'!$A$6:$A$1005,0)),"MISSING ID")&amp;"; "&amp;IFERROR(INDEX('Items'!$B$6:$B$1005,MATCH("proposal.t3.service_grease",'Items'!$A$6:$A$1005,0)),"MISSING ID")</x:f>
        <x:v>Spring-grade steel stock; Lapped bronze bearing blanks; Steel stock; Conditioned mechanism-service grease</x:v>
      </x:c>
      <x:c r="H92" s="4" t="str">
        <x:v>design.review.proposal_legger_tensioner</x:v>
      </x:c>
      <x:c r="I92" s="4" t="str">
        <x:v>Fit the spring/bearing tensioning module from selected T3 stocks.</x:v>
      </x:c>
      <x:c r="J92" s="4" t="str">
        <x:v>Candidate route only: quantities, yield, tools, fit, process conditions and service compatibility remain open. </x:v>
      </x:c>
      <x:c r="K92" s="4" t="str">
        <x:f>IFERROR(INDEX('Items'!$AD$6:$AD$1005,MATCH(A92,'Items'!$A$6:$A$1005,0)),"MISSING ID")</x:f>
        <x:v>Proposal</x:v>
      </x:c>
      <x:c r="L92" s="4" t="n">
        <x:f>IFERROR(INDEX('Items'!$AN$6:$AN$1005,MATCH(A92,'Items'!$A$6:$A$1005,0)),"MISSING ID")</x:f>
        <x:v>4</x:v>
      </x:c>
    </x:row>
    <x:row r="93" ht="165" customHeight="1">
      <x:c r="A93" s="4" t="str">
        <x:v>proposal.legger.scraper_ring</x:v>
      </x:c>
      <x:c r="B93" s="4" t="str">
        <x:f>IFERROR(INDEX('Items'!$B$6:$B$1005,MATCH(A93,'Items'!$A$6:$A$1005,0)),"MISSING ID")</x:f>
        <x:v>Joint grit-scraper ring</x:v>
      </x:c>
      <x:c r="C93" s="4" t="str">
        <x:v>Unassigned</x:v>
      </x:c>
      <x:c r="D93" s="4" t="str">
        <x:f>IFERROR(INDEX('Items'!$C$6:$C$1005,MATCH(A93,'Items'!$A$6:$A$1005,0)),"MISSING ID")</x:f>
        <x:v>T3</x:v>
      </x:c>
      <x:c r="E93" s="4" t="str">
        <x:f>IFERROR(INDEX('Items'!$AI$6:$AI$1005,MATCH(A93,'Items'!$A$6:$A$1005,0)),"MISSING ID")</x:f>
        <x:v>Component</x:v>
      </x:c>
      <x:c r="F93" s="4" t="str">
        <x:v>Proposed numeric tier</x:v>
      </x:c>
      <x:c r="G93" s="4" t="str">
        <x:f>IFERROR(INDEX('Items'!$B$6:$B$1005,MATCH("author.metallurgy.steel_stock",'Items'!$A$6:$A$1005,0)),"MISSING ID")&amp;"; "&amp;IFERROR(INDEX('Items'!$B$6:$B$1005,MATCH("proposal.branch.filled_seal",'Items'!$A$6:$A$1005,0)),"MISSING ID")</x:f>
        <x:v>Steel stock; Filled faunal seal compound</x:v>
      </x:c>
      <x:c r="H93" s="4" t="str">
        <x:v>design.review.proposal_legger_scraper_ring</x:v>
      </x:c>
      <x:c r="I93" s="4" t="str">
        <x:v>Fit a metal scraping edge with selected retained interface material.</x:v>
      </x:c>
      <x:c r="J93" s="4" t="str">
        <x:v>Candidate route only: quantities, yield, tools, fit, process conditions and service compatibility remain open. Grit removal, friction and seal compatibility remain intended behaviors rather than tested performance.</x:v>
      </x:c>
      <x:c r="K93" s="4" t="str">
        <x:f>IFERROR(INDEX('Items'!$AD$6:$AD$1005,MATCH(A93,'Items'!$A$6:$A$1005,0)),"MISSING ID")</x:f>
        <x:v>Proposal</x:v>
      </x:c>
      <x:c r="L93" s="4" t="n">
        <x:f>IFERROR(INDEX('Items'!$AN$6:$AN$1005,MATCH(A93,'Items'!$A$6:$A$1005,0)),"MISSING ID")</x:f>
        <x:v>3</x:v>
      </x:c>
    </x:row>
    <x:row r="94" ht="165" customHeight="1">
      <x:c r="A94" s="4" t="str">
        <x:v>proposal.legger.service_adapter</x:v>
      </x:c>
      <x:c r="B94" s="4" t="str">
        <x:f>IFERROR(INDEX('Items'!$B$6:$B$1005,MATCH(A94,'Items'!$A$6:$A$1005,0)),"MISSING ID")</x:f>
        <x:v>Lubricant service-port adapter</x:v>
      </x:c>
      <x:c r="C94" s="4" t="str">
        <x:v>Unassigned</x:v>
      </x:c>
      <x:c r="D94" s="4" t="str">
        <x:f>IFERROR(INDEX('Items'!$C$6:$C$1005,MATCH(A94,'Items'!$A$6:$A$1005,0)),"MISSING ID")</x:f>
        <x:v>T4</x:v>
      </x:c>
      <x:c r="E94" s="4" t="str">
        <x:f>IFERROR(INDEX('Items'!$AI$6:$AI$1005,MATCH(A94,'Items'!$A$6:$A$1005,0)),"MISSING ID")</x:f>
        <x:v>Component</x:v>
      </x:c>
      <x:c r="F94" s="4" t="str">
        <x:v>Proposed numeric tier</x:v>
      </x:c>
      <x:c r="G94" s="4" t="str">
        <x:f>IFERROR(INDEX('Items'!$B$6:$B$1005,MATCH("proposal.t3.precision_tube",'Items'!$A$6:$A$1005,0)),"MISSING ID")&amp;"; "&amp;IFERROR(INDEX('Items'!$B$6:$B$1005,MATCH("proposal.branch.bearing_bronze",'Items'!$A$6:$A$1005,0)),"MISSING ID")&amp;"; "&amp;IFERROR(INDEX('Items'!$B$6:$B$1005,MATCH("proposal.t3.packing_stock",'Items'!$A$6:$A$1005,0)),"MISSING ID")</x:f>
        <x:v>Drawn steel tube stock; Prepared bronze bearing stock; Husk-reinforced packing stock</x:v>
      </x:c>
      <x:c r="H94" s="4" t="str">
        <x:v>design.review.proposal_legger_service_adapter</x:v>
      </x:c>
      <x:c r="I94" s="4" t="str">
        <x:v>Fit a service-port adapter from precision tube, packing and metal stock.</x:v>
      </x:c>
      <x:c r="J94" s="4" t="str">
        <x:v>Candidate route only: quantities, yield, tools, fit, process conditions and service compatibility remain open. </x:v>
      </x:c>
      <x:c r="K94" s="4" t="str">
        <x:f>IFERROR(INDEX('Items'!$AD$6:$AD$1005,MATCH(A94,'Items'!$A$6:$A$1005,0)),"MISSING ID")</x:f>
        <x:v>Proposal</x:v>
      </x:c>
      <x:c r="L94" s="4" t="n">
        <x:f>IFERROR(INDEX('Items'!$AN$6:$AN$1005,MATCH(A94,'Items'!$A$6:$A$1005,0)),"MISSING ID")</x:f>
        <x:v>4</x:v>
      </x:c>
    </x:row>
    <x:row r="95" ht="165" customHeight="1">
      <x:c r="A95" s="4" t="str">
        <x:v>proposal.legger.guard_hinge</x:v>
      </x:c>
      <x:c r="B95" s="4" t="str">
        <x:f>IFERROR(INDEX('Items'!$B$6:$B$1005,MATCH(A95,'Items'!$A$6:$A$1005,0)),"MISSING ID")</x:f>
        <x:v>Armor-guard hinge assembly</x:v>
      </x:c>
      <x:c r="C95" s="4" t="str">
        <x:v>Unassigned</x:v>
      </x:c>
      <x:c r="D95" s="4" t="str">
        <x:f>IFERROR(INDEX('Items'!$C$6:$C$1005,MATCH(A95,'Items'!$A$6:$A$1005,0)),"MISSING ID")</x:f>
        <x:v>T4</x:v>
      </x:c>
      <x:c r="E95" s="4" t="str">
        <x:f>IFERROR(INDEX('Items'!$AI$6:$AI$1005,MATCH(A95,'Items'!$A$6:$A$1005,0)),"MISSING ID")</x:f>
        <x:v>Component</x:v>
      </x:c>
      <x:c r="F95" s="4" t="str">
        <x:v>Proposed numeric tier</x:v>
      </x:c>
      <x:c r="G95" s="4" t="str">
        <x:f>IFERROR(INDEX('Items'!$B$6:$B$1005,MATCH("proposal.branch.spring_steel",'Items'!$A$6:$A$1005,0)),"MISSING ID")&amp;"; "&amp;IFERROR(INDEX('Items'!$B$6:$B$1005,MATCH("author.metallurgy.steel_stock",'Items'!$A$6:$A$1005,0)),"MISSING ID")&amp;"; "&amp;IFERROR(INDEX('Items'!$B$6:$B$1005,MATCH("proposal.branch.bearing_bronze",'Items'!$A$6:$A$1005,0)),"MISSING ID")</x:f>
        <x:v>Spring-grade steel stock; Steel stock; Prepared bronze bearing stock</x:v>
      </x:c>
      <x:c r="H95" s="4" t="str">
        <x:v>design.review.proposal_legger_guard_hinge</x:v>
      </x:c>
      <x:c r="I95" s="4" t="str">
        <x:v>Fit a matched guard hinge and return mechanism from selected T3 spring stock.</x:v>
      </x:c>
      <x:c r="J95" s="4" t="str">
        <x:v>Candidate route only: quantities, yield, tools, fit, process conditions and service compatibility remain open. </x:v>
      </x:c>
      <x:c r="K95" s="4" t="str">
        <x:f>IFERROR(INDEX('Items'!$AD$6:$AD$1005,MATCH(A95,'Items'!$A$6:$A$1005,0)),"MISSING ID")</x:f>
        <x:v>Proposal</x:v>
      </x:c>
      <x:c r="L95" s="4" t="n">
        <x:f>IFERROR(INDEX('Items'!$AN$6:$AN$1005,MATCH(A95,'Items'!$A$6:$A$1005,0)),"MISSING ID")</x:f>
        <x:v>4</x:v>
      </x:c>
    </x:row>
    <x:row r="96" ht="165" customHeight="1">
      <x:c r="A96" s="4" t="str">
        <x:v>proposal.food.edible_flakes</x:v>
      </x:c>
      <x:c r="B96" s="4" t="str">
        <x:f>IFERROR(INDEX('Items'!$B$6:$B$1005,MATCH(A96,'Items'!$A$6:$A$1005,0)),"MISSING ID")</x:f>
        <x:v>Prepared edible-fauna flakes</x:v>
      </x:c>
      <x:c r="C96" s="4" t="str">
        <x:v>Unassigned</x:v>
      </x:c>
      <x:c r="D96" s="4" t="str">
        <x:f>IFERROR(INDEX('Items'!$C$6:$C$1005,MATCH(A96,'Items'!$A$6:$A$1005,0)),"MISSING ID")</x:f>
        <x:v>T1</x:v>
      </x:c>
      <x:c r="E96" s="4" t="str">
        <x:f>IFERROR(INDEX('Items'!$AI$6:$AI$1005,MATCH(A96,'Items'!$A$6:$A$1005,0)),"MISSING ID")</x:f>
        <x:v>Material</x:v>
      </x:c>
      <x:c r="F96" s="4" t="str">
        <x:v>Proposed numeric tier</x:v>
      </x:c>
      <x:c r="G96" s="4" t="str">
        <x:f>IFERROR(INDEX('Items'!$B$6:$B$1005,MATCH("proposal.bio.edible_fraction",'Items'!$A$6:$A$1005,0)),"MISSING ID")</x:f>
        <x:v>Edible fauna fraction (species TBD)</x:v>
      </x:c>
      <x:c r="H96" s="4" t="str">
        <x:v>design.review.proposal_food_edible_flakes</x:v>
      </x:c>
      <x:c r="I96" s="4" t="str">
        <x:v>First preparation of a selected already-edible faunal fraction as a culinary ingredient.</x:v>
      </x:c>
      <x:c r="J96" s="4" t="str">
        <x:v>Candidate route only: quantities, yield, tools, fit, process conditions and service compatibility remain open. Species, safe fraction, preparation and yield remain TBD. No generic detoxification, industrial carrier or replacement of Phagia nutrition.</x:v>
      </x:c>
      <x:c r="K96" s="4" t="str">
        <x:f>IFERROR(INDEX('Items'!$AD$6:$AD$1005,MATCH(A96,'Items'!$A$6:$A$1005,0)),"MISSING ID")</x:f>
        <x:v>Proposal</x:v>
      </x:c>
      <x:c r="L96" s="4" t="n">
        <x:f>IFERROR(INDEX('Items'!$AN$6:$AN$1005,MATCH(A96,'Items'!$A$6:$A$1005,0)),"MISSING ID")</x:f>
        <x:v>1</x:v>
      </x:c>
    </x:row>
    <x:row r="97" ht="165" customHeight="1">
      <x:c r="A97" s="4" t="str">
        <x:v>proposal.food.edible_paste</x:v>
      </x:c>
      <x:c r="B97" s="4" t="str">
        <x:f>IFERROR(INDEX('Items'!$B$6:$B$1005,MATCH(A97,'Items'!$A$6:$A$1005,0)),"MISSING ID")</x:f>
        <x:v>Prepared edible-fauna paste</x:v>
      </x:c>
      <x:c r="C97" s="4" t="str">
        <x:v>Unassigned</x:v>
      </x:c>
      <x:c r="D97" s="4" t="str">
        <x:f>IFERROR(INDEX('Items'!$C$6:$C$1005,MATCH(A97,'Items'!$A$6:$A$1005,0)),"MISSING ID")</x:f>
        <x:v>T1</x:v>
      </x:c>
      <x:c r="E97" s="4" t="str">
        <x:f>IFERROR(INDEX('Items'!$AI$6:$AI$1005,MATCH(A97,'Items'!$A$6:$A$1005,0)),"MISSING ID")</x:f>
        <x:v>Material</x:v>
      </x:c>
      <x:c r="F97" s="4" t="str">
        <x:v>Proposed numeric tier</x:v>
      </x:c>
      <x:c r="G97" s="4" t="str">
        <x:f>IFERROR(INDEX('Items'!$B$6:$B$1005,MATCH("proposal.bio.edible_fraction",'Items'!$A$6:$A$1005,0)),"MISSING ID")</x:f>
        <x:v>Edible fauna fraction (species TBD)</x:v>
      </x:c>
      <x:c r="H97" s="4" t="str">
        <x:v>design.review.proposal_food_edible_paste</x:v>
      </x:c>
      <x:c r="I97" s="4" t="str">
        <x:v>First preparation of a selected already-edible faunal fraction as a culinary ingredient.</x:v>
      </x:c>
      <x:c r="J97" s="4" t="str">
        <x:v>Candidate route only: quantities, yield, tools, fit, process conditions and service compatibility remain open. Species, safe fraction, preparation and yield remain TBD. No generic detoxification, industrial carrier or replacement of Phagia nutrition.</x:v>
      </x:c>
      <x:c r="K97" s="4" t="str">
        <x:f>IFERROR(INDEX('Items'!$AD$6:$AD$1005,MATCH(A97,'Items'!$A$6:$A$1005,0)),"MISSING ID")</x:f>
        <x:v>Proposal</x:v>
      </x:c>
      <x:c r="L97" s="4" t="n">
        <x:f>IFERROR(INDEX('Items'!$AN$6:$AN$1005,MATCH(A97,'Items'!$A$6:$A$1005,0)),"MISSING ID")</x:f>
        <x:v>1</x:v>
      </x:c>
    </x:row>
    <x:row r="98" ht="165" customHeight="1">
      <x:c r="A98" s="4" t="str">
        <x:v>author.electrical.insulation_stock</x:v>
      </x:c>
      <x:c r="B98" s="4" t="str">
        <x:f>IFERROR(INDEX('Items'!$B$6:$B$1005,MATCH(A98,'Items'!$A$6:$A$1005,0)),"MISSING ID")</x:f>
        <x:v>Prepared electrical insulation stock</x:v>
      </x:c>
      <x:c r="C98" s="4" t="str">
        <x:v>Unassigned</x:v>
      </x:c>
      <x:c r="D98" s="4" t="str">
        <x:f>IFERROR(INDEX('Items'!$C$6:$C$1005,MATCH(A98,'Items'!$A$6:$A$1005,0)),"MISSING ID")</x:f>
        <x:v>T3</x:v>
      </x:c>
      <x:c r="E98" s="4" t="str">
        <x:f>IFERROR(INDEX('Items'!$AI$6:$AI$1005,MATCH(A98,'Items'!$A$6:$A$1005,0)),"MISSING ID")</x:f>
        <x:v>Material</x:v>
      </x:c>
      <x:c r="F98" s="4" t="str">
        <x:v>Proposed numeric tier</x:v>
      </x:c>
      <x:c r="G98" s="4" t="str">
        <x:f>IFERROR(INDEX('Items'!$B$6:$B$1005,MATCH("proposal.branch.mica_sheet",'Items'!$A$6:$A$1005,0)),"MISSING ID")&amp;"; "&amp;IFERROR(INDEX('Items'!$B$6:$B$1005,MATCH("proposal.branch.flex_bond",'Items'!$A$6:$A$1005,0)),"MISSING ID")&amp;"; "&amp;IFERROR(INDEX('Items'!$B$6:$B$1005,MATCH("proposal.natural.ceramic",'Items'!$A$6:$A$1005,0)),"MISSING ID")</x:f>
        <x:v>Mica composite sheet; Flexible membrane-bonding compound; Insulating ceramic blanks</x:v>
      </x:c>
      <x:c r="H98" s="4" t="str">
        <x:v>design.review.author_electrical_insulation_stock</x:v>
      </x:c>
      <x:c r="I98" s="4" t="str">
        <x:v>Prepare an identified composite insulation-stock candidate from T2 layers/binder/ceramic feed.</x:v>
      </x:c>
      <x:c r="J98" s="4" t="str">
        <x:v>Candidate route only: quantities, yield, tools, fit, process conditions and service compatibility remain open. A proposed contemporary grade within the existing author-directed family; no high-voltage rating or universal flexibility.</x:v>
      </x:c>
      <x:c r="K98" s="4" t="str">
        <x:f>IFERROR(INDEX('Items'!$AD$6:$AD$1005,MATCH(A98,'Items'!$A$6:$A$1005,0)),"MISSING ID")</x:f>
        <x:v>Author direction</x:v>
      </x:c>
      <x:c r="L98" s="4" t="n">
        <x:f>IFERROR(INDEX('Items'!$AN$6:$AN$1005,MATCH(A98,'Items'!$A$6:$A$1005,0)),"MISSING ID")</x:f>
        <x:v>3</x:v>
      </x:c>
    </x:row>
    <x:row r="99" ht="165" customHeight="1">
      <x:c r="A99" s="4" t="str">
        <x:v>proposal.corrosion.converter</x:v>
      </x:c>
      <x:c r="B99" s="4" t="str">
        <x:f>IFERROR(INDEX('Items'!$B$6:$B$1005,MATCH(A99,'Items'!$A$6:$A$1005,0)),"MISSING ID")</x:f>
        <x:v>Rust-conversion treatment</x:v>
      </x:c>
      <x:c r="C99" s="4" t="str">
        <x:v>Unassigned</x:v>
      </x:c>
      <x:c r="D99" s="4" t="str">
        <x:f>IFERROR(INDEX('Items'!$C$6:$C$1005,MATCH(A99,'Items'!$A$6:$A$1005,0)),"MISSING ID")</x:f>
        <x:v>T2</x:v>
      </x:c>
      <x:c r="E99" s="4" t="str">
        <x:f>IFERROR(INDEX('Items'!$AI$6:$AI$1005,MATCH(A99,'Items'!$A$6:$A$1005,0)),"MISSING ID")</x:f>
        <x:v>Material</x:v>
      </x:c>
      <x:c r="F99" s="4" t="str">
        <x:v>Proposed numeric tier</x:v>
      </x:c>
      <x:c r="G99" s="4" t="str">
        <x:f>IFERROR(INDEX('Items'!$B$6:$B$1005,MATCH("proposal.review.oxide_reactive_fraction",'Items'!$A$6:$A$1005,0)),"MISSING ID")&amp;"; "&amp;IFERROR(INDEX('Items'!$B$6:$B$1005,MATCH("proposal.t1.faunal_carrier",'Items'!$A$6:$A$1005,0)),"MISSING ID")</x:f>
        <x:v>Selected oxide-reactive faunal fraction; Selected faunal carrier fraction</x:v>
      </x:c>
      <x:c r="H99" s="4" t="str">
        <x:v>design.review.proposal_corrosion_converter</x:v>
      </x:c>
      <x:c r="I99" s="4" t="str">
        <x:v>Explore a separately selected oxide-reactive formulation rather than using a rust-removal agent as a conversion chemical.</x:v>
      </x:c>
      <x:c r="J99" s="4" t="str">
        <x:v>Candidate route only: quantities, yield, tools, fit, process conditions and service compatibility remain open. New precursor is an explicit chemistry hypothesis, not a claimed known reagent or guaranteed rust-conversion reaction.</x:v>
      </x:c>
      <x:c r="K99" s="4" t="str">
        <x:f>IFERROR(INDEX('Items'!$AD$6:$AD$1005,MATCH(A99,'Items'!$A$6:$A$1005,0)),"MISSING ID")</x:f>
        <x:v>Proposal</x:v>
      </x:c>
      <x:c r="L99" s="4" t="n">
        <x:f>IFERROR(INDEX('Items'!$AN$6:$AN$1005,MATCH(A99,'Items'!$A$6:$A$1005,0)),"MISSING ID")</x:f>
        <x:v>2</x:v>
      </x:c>
    </x:row>
    <x:row r="100" ht="165" customHeight="1">
      <x:c r="A100" s="4" t="str">
        <x:v>proposal.corrosion.inhibitor</x:v>
      </x:c>
      <x:c r="B100" s="4" t="str">
        <x:f>IFERROR(INDEX('Items'!$B$6:$B$1005,MATCH(A100,'Items'!$A$6:$A$1005,0)),"MISSING ID")</x:f>
        <x:v>Corrosion-inhibiting finish</x:v>
      </x:c>
      <x:c r="C100" s="4" t="str">
        <x:v>Unassigned</x:v>
      </x:c>
      <x:c r="D100" s="4" t="str">
        <x:f>IFERROR(INDEX('Items'!$C$6:$C$1005,MATCH(A100,'Items'!$A$6:$A$1005,0)),"MISSING ID")</x:f>
        <x:v>T2</x:v>
      </x:c>
      <x:c r="E100" s="4" t="str">
        <x:f>IFERROR(INDEX('Items'!$AI$6:$AI$1005,MATCH(A100,'Items'!$A$6:$A$1005,0)),"MISSING ID")</x:f>
        <x:v>Material</x:v>
      </x:c>
      <x:c r="F100" s="4" t="str">
        <x:v>Proposed numeric tier</x:v>
      </x:c>
      <x:c r="G100" s="4" t="str">
        <x:f>IFERROR(INDEX('Items'!$B$6:$B$1005,MATCH("proposal.branch.flex_binder",'Items'!$A$6:$A$1005,0)),"MISSING ID")&amp;"; "&amp;IFERROR(INDEX('Items'!$B$6:$B$1005,MATCH("proposal.t1.faunal_carrier",'Items'!$A$6:$A$1005,0)),"MISSING ID")&amp;"; "&amp;IFERROR(INDEX('Items'!$B$6:$B$1005,MATCH("proposal.t1.mineral_filler",'Items'!$A$6:$A$1005,0)),"MISSING ID")</x:f>
        <x:v>Prepared flexible faunal binder; Selected faunal carrier fraction; Graded mineral filler</x:v>
      </x:c>
      <x:c r="H100" s="4" t="str">
        <x:v>design.review.proposal_corrosion_inhibitor</x:v>
      </x:c>
      <x:c r="I100" s="4" t="str">
        <x:v>Explore a compatible retained barrier finish from prepared binder/carrier/mineral stock.</x:v>
      </x:c>
      <x:c r="J100" s="4" t="str">
        <x:v>Candidate route only: quantities, yield, tools, fit, process conditions and service compatibility remain open. Inhibition is an intended application; no established corrosion cause, universal protection, free-water bath or chemical formula.</x:v>
      </x:c>
      <x:c r="K100" s="4" t="str">
        <x:f>IFERROR(INDEX('Items'!$AD$6:$AD$1005,MATCH(A100,'Items'!$A$6:$A$1005,0)),"MISSING ID")</x:f>
        <x:v>Proposal</x:v>
      </x:c>
      <x:c r="L100" s="4" t="n">
        <x:f>IFERROR(INDEX('Items'!$AN$6:$AN$1005,MATCH(A100,'Items'!$A$6:$A$1005,0)),"MISSING ID")</x:f>
        <x:v>2</x:v>
      </x:c>
    </x:row>
  </x:sheetData>
  <x:pageMargins left="0.7" right="0.7" top="0.75" bottom="0.75" header="0.3" footer="0.3"/>
  <x:tableParts count="1">
    <x:tablePart xmlns:r="http://schemas.openxmlformats.org/officeDocument/2006/relationships" r:id="Rea1a786aad24450c"/>
  </x:tableParts>
</x:worksheet>
</file>

<file path=xl/worksheets/sheet20.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28" hidden="0" customWidth="1"/>
    <x:col min="2" max="2" width="26" hidden="0" customWidth="1"/>
    <x:col min="3" max="3" width="12" hidden="0" customWidth="1"/>
    <x:col min="4" max="4" width="14" hidden="0" customWidth="1"/>
    <x:col min="5" max="5" width="12" hidden="0" customWidth="1"/>
    <x:col min="6" max="6" width="74" hidden="0" customWidth="1"/>
  </x:cols>
  <x:sheetData>
    <x:row r="2">
      <x:c r="A2" s="72" t="str">
        <x:v>Collection expansion targets</x:v>
      </x:c>
    </x:row>
    <x:row r="3">
      <x:c r="A3" s="73" t="str">
        <x:v>Minimum counts by item type. Exclusions below prevent placeholder families and withheld assumptions from satisfying targets.</x:v>
      </x:c>
    </x:row>
    <x:row r="5" ht="42" customHeight="1">
      <x:c r="A5" s="75" t="str">
        <x:v>Requested group</x:v>
      </x:c>
      <x:c r="B5" s="75" t="str">
        <x:v>Primary type filter</x:v>
      </x:c>
      <x:c r="C5" s="75" t="str">
        <x:v>Minimum</x:v>
      </x:c>
      <x:c r="D5" s="75" t="str">
        <x:v>Current count</x:v>
      </x:c>
      <x:c r="E5" s="75" t="str">
        <x:v>Remaining</x:v>
      </x:c>
      <x:c r="F5" s="75" t="str">
        <x:v>Counting rule</x:v>
      </x:c>
    </x:row>
    <x:row r="6" ht="64" customHeight="1">
      <x:c r="A6" s="4" t="str">
        <x:v>Crafting components</x:v>
      </x:c>
      <x:c r="B6" s="4" t="str">
        <x:v>Crafting component</x:v>
      </x:c>
      <x:c r="C6" s="14" t="n">
        <x:v>100</x:v>
      </x:c>
      <x:c r="D6" s="14">
        <x:f>COUNTIFS(Items!$X$6:$X$1005,B6,Items!$AD$6:$AD$1005,"&lt;&gt;Withheld assumption")</x:f>
        <x:v>117</x:v>
      </x:c>
      <x:c r="E6" s="14">
        <x:f>MAX(0,C6-D6)</x:f>
        <x:v>0</x:v>
      </x:c>
      <x:c r="F6" s="4" t="str">
        <x:v>Distinct primary item type; no double-counting with machine parts or other types.</x:v>
      </x:c>
    </x:row>
    <x:row r="7" ht="64" customHeight="1">
      <x:c r="A7" s="4" t="str">
        <x:v>Processed materials</x:v>
      </x:c>
      <x:c r="B7" s="4" t="str">
        <x:v>Processed material</x:v>
      </x:c>
      <x:c r="C7" s="14" t="n">
        <x:v>100</x:v>
      </x:c>
      <x:c r="D7" s="14">
        <x:f>COUNTIFS(Items!$X$6:$X$1005,B7,Items!$AD$6:$AD$1005,"&lt;&gt;Withheld assumption")</x:f>
        <x:v>112</x:v>
      </x:c>
      <x:c r="E7" s="14">
        <x:f>MAX(0,C7-D7)</x:f>
        <x:v>0</x:v>
      </x:c>
      <x:c r="F7" s="4" t="str">
        <x:v>Withheld assumptions excluded. Counts track item concepts; qualified manufacturing is reviewed separately in Craft audit.</x:v>
      </x:c>
    </x:row>
    <x:row r="8" ht="64" customHeight="1">
      <x:c r="A8" s="4" t="str">
        <x:v>Raw materials</x:v>
      </x:c>
      <x:c r="B8" s="4" t="str">
        <x:v>Raw material</x:v>
      </x:c>
      <x:c r="C8" s="14" t="n">
        <x:v>100</x:v>
      </x:c>
      <x:c r="D8" s="14">
        <x:f>COUNTIFS(Items!$X$6:$X$1005,B8,Items!$AD$6:$AD$1005,"&lt;&gt;Withheld assumption")</x:f>
        <x:v>113</x:v>
      </x:c>
      <x:c r="E8" s="14">
        <x:f>MAX(0,C8-D8)</x:f>
        <x:v>0</x:v>
      </x:c>
      <x:c r="F8" s="4" t="str">
        <x:v>Withheld assumptions excluded. Source selection / edibility / collection can still be conditional; see Craft audit.</x:v>
      </x:c>
    </x:row>
    <x:row r="9" ht="64" customHeight="1">
      <x:c r="A9" s="4" t="str">
        <x:v>Tools</x:v>
      </x:c>
      <x:c r="B9" s="4" t="str">
        <x:v>Tool</x:v>
      </x:c>
      <x:c r="C9" s="14" t="n">
        <x:v>50</x:v>
      </x:c>
      <x:c r="D9" s="14">
        <x:f>COUNTIFS(Items!$X$6:$X$1005,B9,Items!$AD$6:$AD$1005,"&lt;&gt;Withheld assumption")</x:f>
        <x:v>63</x:v>
      </x:c>
      <x:c r="E9" s="14">
        <x:f>MAX(0,C9-D9)</x:f>
        <x:v>0</x:v>
      </x:c>
      <x:c r="F9" s="4" t="str">
        <x:v>Distinct primary item type; no double-counting with machine parts or other types.</x:v>
      </x:c>
    </x:row>
    <x:row r="10" ht="64" customHeight="1">
      <x:c r="A10" s="4" t="str">
        <x:v>Chemical materials</x:v>
      </x:c>
      <x:c r="B10" s="4" t="str">
        <x:v>Chemical material</x:v>
      </x:c>
      <x:c r="C10" s="14" t="n">
        <x:v>50</x:v>
      </x:c>
      <x:c r="D10" s="14" t="n">
        <x:f>COUNTIFS(Items!$X$6:$X$1005,B10,Items!$AD$6:$AD$1005,"&lt;&gt;Withheld assumption")</x:f>
        <x:v>52</x:v>
      </x:c>
      <x:c r="E10" s="14" t="n">
        <x:f>MAX(0,C10-D10)</x:f>
        <x:v>0</x:v>
      </x:c>
      <x:c r="F10" s="4" t="str">
        <x:v>Distinct primary item type; no double-counting with machine parts or other types.</x:v>
      </x:c>
    </x:row>
    <x:row r="11" ht="64" customHeight="1">
      <x:c r="A11" s="4" t="str">
        <x:v>Containers</x:v>
      </x:c>
      <x:c r="B11" s="4" t="str">
        <x:v>Container</x:v>
      </x:c>
      <x:c r="C11" s="14" t="n">
        <x:v>20</x:v>
      </x:c>
      <x:c r="D11" s="14">
        <x:f>COUNTIFS(Items!$X$6:$X$1005,B11,Items!$AD$6:$AD$1005,"&lt;&gt;Withheld assumption")</x:f>
        <x:v>21</x:v>
      </x:c>
      <x:c r="E11" s="14">
        <x:f>MAX(0,C11-D11)</x:f>
        <x:v>0</x:v>
      </x:c>
      <x:c r="F11" s="4" t="str">
        <x:v>Distinct primary item type; no double-counting with machine parts or other types.</x:v>
      </x:c>
    </x:row>
    <x:row r="12" ht="64" customHeight="1">
      <x:c r="A12" s="4" t="str">
        <x:v>Armors</x:v>
      </x:c>
      <x:c r="B12" s="4" t="str">
        <x:v>Armor</x:v>
      </x:c>
      <x:c r="C12" s="14" t="n">
        <x:v>20</x:v>
      </x:c>
      <x:c r="D12" s="14">
        <x:f>COUNTIFS(Items!$X$6:$X$1005,B12,Items!$AD$6:$AD$1005,"&lt;&gt;Withheld assumption")</x:f>
        <x:v>49</x:v>
      </x:c>
      <x:c r="E12" s="14">
        <x:f>MAX(0,C12-D12)</x:f>
        <x:v>0</x:v>
      </x:c>
      <x:c r="F12" s="4" t="str">
        <x:v>Distinct primary item type; no double-counting with machine parts or other types.</x:v>
      </x:c>
    </x:row>
    <x:row r="13" ht="64" customHeight="1">
      <x:c r="A13" s="4" t="str">
        <x:v>Container parts</x:v>
      </x:c>
      <x:c r="B13" s="4" t="str">
        <x:v>Container part</x:v>
      </x:c>
      <x:c r="C13" s="14" t="n">
        <x:v>20</x:v>
      </x:c>
      <x:c r="D13" s="14" t="n">
        <x:f>COUNTIFS(Items!$X$6:$X$1005,B13,Items!$AD$6:$AD$1005,"&lt;&gt;Withheld assumption")</x:f>
        <x:v>20</x:v>
      </x:c>
      <x:c r="E13" s="14" t="n">
        <x:f>MAX(0,C13-D13)</x:f>
        <x:v>0</x:v>
      </x:c>
      <x:c r="F13" s="4" t="str">
        <x:v>Distinct primary item type; no double-counting with machine parts or other types.</x:v>
      </x:c>
    </x:row>
    <x:row r="14" ht="64" customHeight="1">
      <x:c r="A14" s="4" t="str">
        <x:v>Wearables</x:v>
      </x:c>
      <x:c r="B14" s="4" t="str">
        <x:v>Wearable</x:v>
      </x:c>
      <x:c r="C14" s="14" t="n">
        <x:v>20</x:v>
      </x:c>
      <x:c r="D14" s="14">
        <x:f>COUNTIFS(Items!$X$6:$X$1005,B14,Items!$AD$6:$AD$1005,"&lt;&gt;Withheld assumption")</x:f>
        <x:v>48</x:v>
      </x:c>
      <x:c r="E14" s="14">
        <x:f>MAX(0,C14-D14)</x:f>
        <x:v>0</x:v>
      </x:c>
      <x:c r="F14" s="4" t="str">
        <x:v>Distinct primary item type; no double-counting with machine parts or other types.</x:v>
      </x:c>
    </x:row>
    <x:row r="15" ht="64" customHeight="1">
      <x:c r="A15" s="4" t="str">
        <x:v>Cultural objects</x:v>
      </x:c>
      <x:c r="B15" s="4" t="str">
        <x:v>Cultural object</x:v>
      </x:c>
      <x:c r="C15" s="14" t="n">
        <x:v>20</x:v>
      </x:c>
      <x:c r="D15" s="14">
        <x:f>COUNTIFS(Items!$X$6:$X$1005,B15,Items!$AD$6:$AD$1005,"&lt;&gt;Withheld assumption")</x:f>
        <x:v>25</x:v>
      </x:c>
      <x:c r="E15" s="14">
        <x:f>MAX(0,C15-D15)</x:f>
        <x:v>0</x:v>
      </x:c>
      <x:c r="F15" s="4" t="str">
        <x:v>Distinct primary item type; no double-counting with machine parts or other types.</x:v>
      </x:c>
    </x:row>
    <x:row r="16" ht="64" customHeight="1">
      <x:c r="A16" s="4" t="str">
        <x:v>Carriers</x:v>
      </x:c>
      <x:c r="B16" s="4" t="str">
        <x:v>Carrier</x:v>
      </x:c>
      <x:c r="C16" s="14" t="n">
        <x:v>10</x:v>
      </x:c>
      <x:c r="D16" s="14">
        <x:f>COUNTIFS(Items!$X$6:$X$1005,B16,Items!$AD$6:$AD$1005,"&lt;&gt;Withheld assumption")</x:f>
        <x:v>11</x:v>
      </x:c>
      <x:c r="E16" s="14">
        <x:f>MAX(0,C16-D16)</x:f>
        <x:v>0</x:v>
      </x:c>
      <x:c r="F16" s="4" t="str">
        <x:v>Distinct primary item type; no double-counting with machine parts or other types.</x:v>
      </x:c>
    </x:row>
    <x:row r="17" ht="64" customHeight="1">
      <x:c r="A17" s="4" t="str">
        <x:v>Gems</x:v>
      </x:c>
      <x:c r="B17" s="4" t="str">
        <x:v>Gem material</x:v>
      </x:c>
      <x:c r="C17" s="14" t="n">
        <x:v>10</x:v>
      </x:c>
      <x:c r="D17" s="14" t="n">
        <x:f>COUNTIFS(Items!$X$6:$X$1005,B17,Items!$AD$6:$AD$1005,"&lt;&gt;Withheld assumption")</x:f>
        <x:v>10</x:v>
      </x:c>
      <x:c r="E17" s="14" t="n">
        <x:f>MAX(0,C17-D17)</x:f>
        <x:v>0</x:v>
      </x:c>
      <x:c r="F17" s="4" t="str">
        <x:v>Distinct primary item type; no double-counting with machine parts or other types.</x:v>
      </x:c>
    </x:row>
    <x:row r="18" ht="64" customHeight="1">
      <x:c r="A18" s="4" t="str">
        <x:v>Food consumables</x:v>
      </x:c>
      <x:c r="B18" s="4" t="str">
        <x:v>Food consumable</x:v>
      </x:c>
      <x:c r="C18" s="14" t="n">
        <x:v>10</x:v>
      </x:c>
      <x:c r="D18" s="14" t="n">
        <x:f>COUNTIFS(Items!$X$6:$X$1005,B18,Items!$AD$6:$AD$1005,"&lt;&gt;Withheld assumption")</x:f>
        <x:v>10</x:v>
      </x:c>
      <x:c r="E18" s="14" t="n">
        <x:f>MAX(0,C18-D18)</x:f>
        <x:v>0</x:v>
      </x:c>
      <x:c r="F18" s="4" t="str">
        <x:v>Distinct primary item type; no double-counting with machine parts or other types.</x:v>
      </x:c>
    </x:row>
    <x:row r="19" ht="64" customHeight="1">
      <x:c r="A19" s="4" t="str">
        <x:v>Household utensils</x:v>
      </x:c>
      <x:c r="B19" s="4" t="str">
        <x:v>Household utensil</x:v>
      </x:c>
      <x:c r="C19" s="14" t="n">
        <x:v>10</x:v>
      </x:c>
      <x:c r="D19" s="14">
        <x:f>COUNTIFS(Items!$X$6:$X$1005,B19,Items!$AD$6:$AD$1005,"&lt;&gt;Withheld assumption")</x:f>
        <x:v>19</x:v>
      </x:c>
      <x:c r="E19" s="14">
        <x:f>MAX(0,C19-D19)</x:f>
        <x:v>0</x:v>
      </x:c>
      <x:c r="F19" s="4" t="str">
        <x:v>Distinct primary item type; no double-counting with machine parts or other types.</x:v>
      </x:c>
    </x:row>
    <x:row r="20" ht="64" customHeight="1">
      <x:c r="A20" s="4" t="str">
        <x:v>Documents</x:v>
      </x:c>
      <x:c r="B20" s="4" t="str">
        <x:v>Document</x:v>
      </x:c>
      <x:c r="C20" s="14" t="n">
        <x:v>10</x:v>
      </x:c>
      <x:c r="D20" s="14">
        <x:f>COUNTIFS(Items!$X$6:$X$1005,B20,Items!$AD$6:$AD$1005,"&lt;&gt;Withheld assumption")</x:f>
        <x:v>12</x:v>
      </x:c>
      <x:c r="E20" s="14">
        <x:f>MAX(0,C20-D20)</x:f>
        <x:v>0</x:v>
      </x:c>
      <x:c r="F20" s="4" t="str">
        <x:v>Distinct primary item type; no double-counting with machine parts or other types.</x:v>
      </x:c>
    </x:row>
    <x:row r="21" ht="64" customHeight="1">
      <x:c r="A21" s="4" t="str">
        <x:v>Machine parts</x:v>
      </x:c>
      <x:c r="B21" s="4" t="str">
        <x:v>Machine part</x:v>
      </x:c>
      <x:c r="C21" s="14" t="n">
        <x:v>50</x:v>
      </x:c>
      <x:c r="D21" s="14">
        <x:f>COUNTIFS(Items!$X$6:$X$1005,B21,Items!$AD$6:$AD$1005,"&lt;&gt;Withheld assumption")</x:f>
        <x:v>65</x:v>
      </x:c>
      <x:c r="E21" s="14">
        <x:f>MAX(0,C21-D21)</x:f>
        <x:v>0</x:v>
      </x:c>
      <x:c r="F21" s="4" t="str">
        <x:v>Distinct primary item type; no double-counting with machine parts or other types.</x:v>
      </x:c>
    </x:row>
    <x:row r="22" ht="64" customHeight="1">
      <x:c r="A22" s="4" t="str">
        <x:v>Weapons</x:v>
      </x:c>
      <x:c r="B22" s="4" t="str">
        <x:v>Weapon</x:v>
      </x:c>
      <x:c r="C22" s="14" t="n">
        <x:v>20</x:v>
      </x:c>
      <x:c r="D22" s="14" t="n">
        <x:f>COUNTIFS(Items!$X$6:$X$1005,B22,Items!$AD$6:$AD$1005,"&lt;&gt;Withheld assumption")</x:f>
        <x:v>20</x:v>
      </x:c>
      <x:c r="E22" s="14" t="n">
        <x:f>MAX(0,C22-D22)</x:f>
        <x:v>0</x:v>
      </x:c>
      <x:c r="F22" s="4" t="str">
        <x:v>Distinct primary item type; no double-counting with machine parts or other types.</x:v>
      </x:c>
    </x:row>
    <x:row r="23" ht="64" customHeight="1">
      <x:c r="A23" s="4" t="str">
        <x:v>Food materials</x:v>
      </x:c>
      <x:c r="B23" s="4" t="str">
        <x:v>Food material</x:v>
      </x:c>
      <x:c r="C23" s="14" t="n">
        <x:v>20</x:v>
      </x:c>
      <x:c r="D23" s="14" t="n">
        <x:f>COUNTIFS(Items!$X$6:$X$1005,B23,Items!$AD$6:$AD$1005,"&lt;&gt;Withheld assumption")</x:f>
        <x:v>20</x:v>
      </x:c>
      <x:c r="E23" s="14" t="n">
        <x:f>MAX(0,C23-D23)</x:f>
        <x:v>0</x:v>
      </x:c>
      <x:c r="F23" s="4" t="str">
        <x:v>Distinct primary item type; no double-counting with machine parts or other types.</x:v>
      </x:c>
    </x:row>
    <x:row r="24" ht="64" customHeight="1">
      <x:c r="A24" s="4" t="str">
        <x:v>Drink consumables</x:v>
      </x:c>
      <x:c r="B24" s="4" t="str">
        <x:v>Drink consumable</x:v>
      </x:c>
      <x:c r="C24" s="14" t="n">
        <x:v>20</x:v>
      </x:c>
      <x:c r="D24" s="14" t="n">
        <x:f>COUNTIFS(Items!$X$6:$X$1005,B24,Items!$AD$6:$AD$1005,"&lt;&gt;Withheld assumption")</x:f>
        <x:v>20</x:v>
      </x:c>
      <x:c r="E24" s="14" t="n">
        <x:f>MAX(0,C24-D24)</x:f>
        <x:v>0</x:v>
      </x:c>
      <x:c r="F24" s="4" t="str">
        <x:v>Distinct primary item type; no double-counting with machine parts or other types.</x:v>
      </x:c>
    </x:row>
    <x:row r="25" ht="64" customHeight="1">
      <x:c r="A25" s="4" t="str">
        <x:v>Energy storage forms</x:v>
      </x:c>
      <x:c r="B25" s="4" t="str">
        <x:v>Energy storage</x:v>
      </x:c>
      <x:c r="C25" s="14" t="n">
        <x:v>20</x:v>
      </x:c>
      <x:c r="D25" s="14" t="n">
        <x:f>COUNTIFS(Items!$X$6:$X$1005,B25,Items!$AD$6:$AD$1005,"&lt;&gt;Withheld assumption")-COUNTIFS(Items!$X$6:$X$1005,B25,Items!$A$6:$A$1005,"equipment.arc_battery_empty",Items!$AD$6:$AD$1005,"&lt;&gt;Withheld assumption")</x:f>
        <x:v>20</x:v>
      </x:c>
      <x:c r="E25" s="14" t="n">
        <x:f>MAX(0,C25-D25)</x:f>
        <x:v>0</x:v>
      </x:c>
      <x:c r="F25" s="4" t="str">
        <x:v>Empty Arc Battery state excluded; counted with the charged form as one architecture.</x:v>
      </x:c>
    </x:row>
    <x:row r="26" ht="64" customHeight="1">
      <x:c r="A26" s="4" t="str">
        <x:v>Service kits</x:v>
      </x:c>
      <x:c r="B26" s="4" t="str">
        <x:v>Service kit</x:v>
      </x:c>
      <x:c r="C26" s="14" t="n">
        <x:v>5</x:v>
      </x:c>
      <x:c r="D26" s="14" t="n">
        <x:f>COUNTIFS(Items!$X$6:$X$1005,B26,Items!$AD$6:$AD$1005,"&lt;&gt;Withheld assumption")</x:f>
        <x:v>5</x:v>
      </x:c>
      <x:c r="E26" s="14" t="n">
        <x:f>MAX(0,C26-D26)</x:f>
        <x:v>0</x:v>
      </x:c>
      <x:c r="F26" s="4" t="str">
        <x:v>Distinct primary item type; no double-counting with machine parts or other types.</x:v>
      </x:c>
    </x:row>
    <x:row r="27" ht="64" customHeight="1">
      <x:c r="A27" s="4" t="str">
        <x:v>Traversal devices</x:v>
      </x:c>
      <x:c r="B27" s="4" t="str">
        <x:v>Traversal device</x:v>
      </x:c>
      <x:c r="C27" s="14" t="n">
        <x:v>5</x:v>
      </x:c>
      <x:c r="D27" s="14" t="n">
        <x:f>COUNTIFS(Items!$X$6:$X$1005,B27,Items!$AD$6:$AD$1005,"&lt;&gt;Withheld assumption")</x:f>
        <x:v>5</x:v>
      </x:c>
      <x:c r="E27" s="14" t="n">
        <x:f>MAX(0,C27-D27)</x:f>
        <x:v>0</x:v>
      </x:c>
      <x:c r="F27" s="4" t="str">
        <x:v>Distinct primary item type; no double-counting with machine parts or other types.</x:v>
      </x:c>
    </x:row>
    <x:row r="28" ht="64" customHeight="1">
      <x:c r="A28" s="4" t="str">
        <x:v>Musical instruments</x:v>
      </x:c>
      <x:c r="B28" s="4" t="str">
        <x:v>Musical instrument</x:v>
      </x:c>
      <x:c r="C28" s="14" t="n">
        <x:v>20</x:v>
      </x:c>
      <x:c r="D28" s="14" t="n">
        <x:f>COUNTIFS(Items!$X$6:$X$1005,B28,Items!$AD$6:$AD$1005,"&lt;&gt;Withheld assumption")</x:f>
        <x:v>20</x:v>
      </x:c>
      <x:c r="E28" s="14" t="n">
        <x:f>MAX(0,C28-D28)</x:f>
        <x:v>0</x:v>
      </x:c>
      <x:c r="F28" s="4" t="str">
        <x:v>Distinct primary item type; no double-counting with machine parts or other types.</x:v>
      </x:c>
    </x:row>
    <x:row r="29" ht="64" customHeight="1">
      <x:c r="A29" s="4" t="str">
        <x:v>Shield designs</x:v>
      </x:c>
      <x:c r="B29" s="4" t="str">
        <x:v>Shield</x:v>
      </x:c>
      <x:c r="C29" s="14" t="n">
        <x:v>20</x:v>
      </x:c>
      <x:c r="D29" s="14" t="n">
        <x:f>COUNTIFS(Items!$X$6:$X$1005,B29,Items!$AD$6:$AD$1005,"&lt;&gt;Withheld assumption")-COUNTIFS(Items!$X$6:$X$1005,B29,Items!$A$6:$A$1005,"",Items!$AD$6:$AD$1005,"&lt;&gt;Withheld assumption")</x:f>
      </x:c>
      <x:c r="E29" s="14" t="n">
        <x:f>MAX(0,C29-D29)</x:f>
        <x:v>0</x:v>
      </x:c>
      <x:c r="F29" s="4" t="str">
        <x:v>Generic Shield family excluded; 20 specific designs required.</x:v>
      </x:c>
    </x:row>
    <x:row r="30" ht="64" customHeight="1">
      <x:c r="A30" s="4" t="str">
        <x:v>Trips and traps</x:v>
      </x:c>
      <x:c r="B30" s="4" t="str">
        <x:v>Trip hazard + Trap</x:v>
      </x:c>
      <x:c r="C30" s="14" t="n">
        <x:v>20</x:v>
      </x:c>
      <x:c r="D30" s="14" t="n">
        <x:f>COUNTIFS(Items!$X$6:$X$1005,"Trip hazard",Items!$AD$6:$AD$1005,"&lt;&gt;Withheld assumption")+COUNTIFS(Items!$X$6:$X$1005,"Trap",Items!$AD$6:$AD$1005,"&lt;&gt;Withheld assumption")</x:f>
        <x:v>20</x:v>
      </x:c>
      <x:c r="E30" s="14" t="n">
        <x:f>MAX(0,C30-D30)</x:f>
        <x:v>0</x:v>
      </x:c>
      <x:c r="F30" s="4" t="str">
        <x:v>Trip hazard and Trap are combined.</x:v>
      </x:c>
    </x:row>
    <x:row r="31" ht="64" customHeight="1">
      <x:c r="A31" s="4" t="str">
        <x:v>Material mark currencies</x:v>
      </x:c>
      <x:c r="B31" s="4" t="str">
        <x:v>Currency</x:v>
      </x:c>
      <x:c r="C31" s="14" t="n">
        <x:v>4</x:v>
      </x:c>
      <x:c r="D31" s="14" t="n">
        <x:f>COUNTIFS(Items!$X$6:$X$1005,B31,Items!$AD$6:$AD$1005,"&lt;&gt;Withheld assumption")-COUNTIFS(Items!$X$6:$X$1005,B31,Items!$A$6:$A$1005,"source.currency.imperial_commons",Items!$AD$6:$AD$1005,"&lt;&gt;Withheld assumption")</x:f>
        <x:v>4</x:v>
      </x:c>
      <x:c r="E31" s="14" t="n">
        <x:f>MAX(0,C31-D31)</x:f>
        <x:v>0</x:v>
      </x:c>
      <x:c r="F31" s="4" t="str">
        <x:v>Imperial Commons umbrella excluded; four author-directed material marks counted.</x:v>
      </x:c>
    </x:row>
    <x:row r="32" ht="64" customHeight="1">
      <x:c r="A32" s="4" t="str">
        <x:v>Shelter kit contents</x:v>
      </x:c>
      <x:c r="B32" s="4" t="str">
        <x:v>Shelter item</x:v>
      </x:c>
      <x:c r="C32" s="14" t="n">
        <x:v>10</x:v>
      </x:c>
      <x:c r="D32" s="14">
        <x:f>COUNTIFS(Items!$X$6:$X$1005,B32,Items!$AD$6:$AD$1005,"&lt;&gt;Withheld assumption")-COUNTIFS(Items!$X$6:$X$1005,B32,Items!$A$6:$A$1005,"tool.popup_camp",Items!$AD$6:$AD$1005,"&lt;&gt;Withheld assumption")</x:f>
        <x:v>13</x:v>
      </x:c>
      <x:c r="E32" s="14">
        <x:f>MAX(0,C32-D32)</x:f>
        <x:v>0</x:v>
      </x:c>
      <x:c r="F32" s="4" t="str">
        <x:v>Packed Pop-up camp excluded; ten individual proposed contents counted.</x:v>
      </x:c>
    </x:row>
  </x:sheetData>
  <x:conditionalFormatting sqref="E6:E32">
    <x:cfRule type="cellIs" dxfId="8" priority="1" operator="greaterThan">
      <x:formula>0</x:formula>
    </x:cfRule>
  </x:conditionalFormatting>
  <x:pageMargins left="0.7" right="0.7" top="0.75" bottom="0.75" header="0.3" footer="0.3"/>
  <x:tableParts count="1">
    <x:tablePart xmlns:r="http://schemas.openxmlformats.org/officeDocument/2006/relationships" r:id="Re75cd9793ed14a7b"/>
  </x:tableParts>
</x:worksheet>
</file>

<file path=xl/worksheets/sheet21.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32" hidden="0" customWidth="1"/>
    <x:col min="2" max="2" width="40" hidden="0" customWidth="1"/>
    <x:col min="3" max="3" width="30" hidden="0" customWidth="1"/>
    <x:col min="4" max="4" width="26" hidden="0" customWidth="1"/>
    <x:col min="5" max="5" width="44" hidden="0" customWidth="1"/>
    <x:col min="6" max="6" width="32" hidden="0" customWidth="1"/>
    <x:col min="7" max="7" width="74" hidden="0" customWidth="1"/>
    <x:col min="8" max="8" width="16" hidden="0" customWidth="1"/>
  </x:cols>
  <x:sheetData>
    <x:row r="2">
      <x:c r="A2" s="72" t="str">
        <x:v>Ammunition, power and kit contents</x:v>
      </x:c>
    </x:row>
    <x:row r="3">
      <x:c r="A3" s="73" t="str">
        <x:v>Relationships describe proposed compatibility and loadouts. They do not consume crafting ingredients or modify existing equipment definitions.</x:v>
      </x:c>
    </x:row>
    <x:row r="5" ht="42" customHeight="1">
      <x:c r="A5" s="75" t="str">
        <x:v>Relationship ID</x:v>
      </x:c>
      <x:c r="B5" s="75" t="str">
        <x:v>Parent item ID</x:v>
      </x:c>
      <x:c r="C5" s="75" t="str">
        <x:v>Parent item</x:v>
      </x:c>
      <x:c r="D5" s="75" t="str">
        <x:v>Relationship</x:v>
      </x:c>
      <x:c r="E5" s="75" t="str">
        <x:v>Related item ID</x:v>
      </x:c>
      <x:c r="F5" s="75" t="str">
        <x:v>Related item</x:v>
      </x:c>
      <x:c r="G5" s="75" t="str">
        <x:v>Design notes</x:v>
      </x:c>
      <x:c r="H5" s="75" t="str">
        <x:v>Status</x:v>
      </x:c>
    </x:row>
    <x:row r="6" ht="64" customHeight="1">
      <x:c r="A6" s="4" t="str">
        <x:v>relation.collection.001</x:v>
      </x:c>
      <x:c r="B6" s="4" t="str">
        <x:v>author.ancient.laser_sword</x:v>
      </x:c>
      <x:c r="C6" s="4" t="str">
        <x:f>IF(B6="","Not required",IFERROR(INDEX(Items!$B$6:$B$1005,MATCH(B6,Items!$A$6:$A$1005,0)),"MISSING ID"))</x:f>
        <x:v>Laser sword</x:v>
      </x:c>
      <x:c r="D6" s="4" t="str">
        <x:v>Uses energy supply</x:v>
      </x:c>
      <x:c r="E6" s="4" t="str">
        <x:v>proposal.collection.laser_sword_energy_insert</x:v>
      </x:c>
      <x:c r="F6" s="4" t="str">
        <x:f>IF(E6="","Not required",IFERROR(INDEX(Items!$B$6:$B$1005,MATCH(E6,Items!$A$6:$A$1005,0)),"MISSING ID"))</x:f>
        <x:v>Laser-sword energy insert</x:v>
      </x:c>
      <x:c r="G6" s="4" t="str">
        <x:v>Proposed compatibility. Fit, capacity, recharge, firing and recovery remain open.</x:v>
      </x:c>
      <x:c r="H6" s="4" t="str">
        <x:v>Proposal</x:v>
      </x:c>
    </x:row>
    <x:row r="7" ht="64" customHeight="1">
      <x:c r="A7" s="4" t="str">
        <x:v>relation.collection.002</x:v>
      </x:c>
      <x:c r="B7" s="4" t="str">
        <x:v>author.ancient.laser_blaster</x:v>
      </x:c>
      <x:c r="C7" s="4" t="str">
        <x:f>IF(B7="","Not required",IFERROR(INDEX(Items!$B$6:$B$1005,MATCH(B7,Items!$A$6:$A$1005,0)),"MISSING ID"))</x:f>
        <x:v>Laser blaster</x:v>
      </x:c>
      <x:c r="D7" s="4" t="str">
        <x:v>Uses energy supply</x:v>
      </x:c>
      <x:c r="E7" s="4" t="str">
        <x:v>proposal.collection.laser_blaster_power_cassette</x:v>
      </x:c>
      <x:c r="F7" s="4" t="str">
        <x:f>IF(E7="","Not required",IFERROR(INDEX(Items!$B$6:$B$1005,MATCH(E7,Items!$A$6:$A$1005,0)),"MISSING ID"))</x:f>
        <x:v>Laser-blaster power cassette</x:v>
      </x:c>
      <x:c r="G7" s="4" t="str">
        <x:v>Proposed compatibility. Fit, capacity, recharge, firing and recovery remain open.</x:v>
      </x:c>
      <x:c r="H7" s="4" t="str">
        <x:v>Proposal</x:v>
      </x:c>
    </x:row>
    <x:row r="8" ht="64" customHeight="1">
      <x:c r="A8" s="4" t="str">
        <x:v>relation.collection.003</x:v>
      </x:c>
      <x:c r="B8" s="4" t="str">
        <x:v>author.ancient.rocket_launcher</x:v>
      </x:c>
      <x:c r="C8" s="4" t="str">
        <x:f>IF(B8="","Not required",IFERROR(INDEX(Items!$B$6:$B$1005,MATCH(B8,Items!$A$6:$A$1005,0)),"MISSING ID"))</x:f>
        <x:v>Rocket launcher</x:v>
      </x:c>
      <x:c r="D8" s="4" t="str">
        <x:v>Uses ammunition</x:v>
      </x:c>
      <x:c r="E8" s="4" t="str">
        <x:v>author.ancient.rocket</x:v>
      </x:c>
      <x:c r="F8" s="4" t="str">
        <x:f>IF(E8="","Not required",IFERROR(INDEX(Items!$B$6:$B$1005,MATCH(E8,Items!$A$6:$A$1005,0)),"MISSING ID"))</x:f>
        <x:v>Rocket</x:v>
      </x:c>
      <x:c r="G8" s="4" t="str">
        <x:v>Proposed compatibility. Fit, capacity, recharge, firing and recovery remain open.</x:v>
      </x:c>
      <x:c r="H8" s="4" t="str">
        <x:v>Proposal</x:v>
      </x:c>
    </x:row>
    <x:row r="9" ht="64" customHeight="1">
      <x:c r="A9" s="4" t="str">
        <x:v>relation.collection.004</x:v>
      </x:c>
      <x:c r="B9" s="4" t="str">
        <x:v>author.electrical.arc_ray_gun</x:v>
      </x:c>
      <x:c r="C9" s="4" t="str">
        <x:f>IF(B9="","Not required",IFERROR(INDEX(Items!$B$6:$B$1005,MATCH(B9,Items!$A$6:$A$1005,0)),"MISSING ID"))</x:f>
        <x:v>Arc ray gun</x:v>
      </x:c>
      <x:c r="D9" s="4" t="str">
        <x:v>Uses energy supply</x:v>
      </x:c>
      <x:c r="E9" s="4" t="str">
        <x:v>proposal.collection.arc_gun_discharge_cartridge</x:v>
      </x:c>
      <x:c r="F9" s="4" t="str">
        <x:f>IF(E9="","Not required",IFERROR(INDEX(Items!$B$6:$B$1005,MATCH(E9,Items!$A$6:$A$1005,0)),"MISSING ID"))</x:f>
        <x:v>Arc-gun discharge cartridge</x:v>
      </x:c>
      <x:c r="G9" s="4" t="str">
        <x:v>Proposed compatibility. Fit, capacity, recharge, firing and recovery remain open.</x:v>
      </x:c>
      <x:c r="H9" s="4" t="str">
        <x:v>Proposal</x:v>
      </x:c>
    </x:row>
    <x:row r="10" ht="64" customHeight="1">
      <x:c r="A10" s="4" t="str">
        <x:v>relation.collection.005</x:v>
      </x:c>
      <x:c r="B10" s="4" t="str">
        <x:v>proposal.collection.metal_shaft_hunting_spear</x:v>
      </x:c>
      <x:c r="C10" s="4" t="str">
        <x:f>IF(B10="","Not required",IFERROR(INDEX(Items!$B$6:$B$1005,MATCH(B10,Items!$A$6:$A$1005,0)),"MISSING ID"))</x:f>
        <x:v>Metal-shaft hunting spear</x:v>
      </x:c>
      <x:c r="D10" s="4" t="str">
        <x:v>No separate ammunition</x:v>
      </x:c>
      <x:c r="E10" s="4"/>
      <x:c r="F10" s="4" t="str">
        <x:f>IF(E10="","Not required",IFERROR(INDEX(Items!$B$6:$B$1005,MATCH(E10,Items!$A$6:$A$1005,0)),"MISSING ID"))</x:f>
        <x:v>Not required</x:v>
      </x:c>
      <x:c r="G10" s="4" t="str">
        <x:v>Reusable melee weapon. Wear and repair materials belong to service or crafting, not ammunition.</x:v>
      </x:c>
      <x:c r="H10" s="4" t="str">
        <x:v>Proposal</x:v>
      </x:c>
    </x:row>
    <x:row r="11" ht="64" customHeight="1">
      <x:c r="A11" s="4" t="str">
        <x:v>relation.collection.006</x:v>
      </x:c>
      <x:c r="B11" s="4" t="str">
        <x:v>proposal.collection.shell_edged_glaive</x:v>
      </x:c>
      <x:c r="C11" s="4" t="str">
        <x:f>IF(B11="","Not required",IFERROR(INDEX(Items!$B$6:$B$1005,MATCH(B11,Items!$A$6:$A$1005,0)),"MISSING ID"))</x:f>
        <x:v>Shell-edged glaive</x:v>
      </x:c>
      <x:c r="D11" s="4" t="str">
        <x:v>No separate ammunition</x:v>
      </x:c>
      <x:c r="E11" s="4"/>
      <x:c r="F11" s="4" t="str">
        <x:f>IF(E11="","Not required",IFERROR(INDEX(Items!$B$6:$B$1005,MATCH(E11,Items!$A$6:$A$1005,0)),"MISSING ID"))</x:f>
        <x:v>Not required</x:v>
      </x:c>
      <x:c r="G11" s="4" t="str">
        <x:v>Reusable melee weapon. Wear and repair materials belong to service or crafting, not ammunition.</x:v>
      </x:c>
      <x:c r="H11" s="4" t="str">
        <x:v>Proposal</x:v>
      </x:c>
    </x:row>
    <x:row r="12" ht="64" customHeight="1">
      <x:c r="A12" s="4"/>
      <x:c r="B12" s="4"/>
      <x:c r="C12" s="4"/>
      <x:c r="D12" s="4"/>
      <x:c r="E12" s="4"/>
      <x:c r="G12" s="4"/>
      <x:c r="H12" s="4"/>
    </x:row>
    <x:row r="13" ht="64" customHeight="1">
      <x:c r="A13" s="4" t="str">
        <x:v>relation.collection.008</x:v>
      </x:c>
      <x:c r="B13" s="4" t="str">
        <x:v>proposal.collection.steel_salvage_cleaver</x:v>
      </x:c>
      <x:c r="C13" s="4" t="str">
        <x:f>IF(B13="","Not required",IFERROR(INDEX(Items!$B$6:$B$1005,MATCH(B13,Items!$A$6:$A$1005,0)),"MISSING ID"))</x:f>
        <x:v>Steel salvage cleaver</x:v>
      </x:c>
      <x:c r="D13" s="4" t="str">
        <x:v>No separate ammunition</x:v>
      </x:c>
      <x:c r="E13" s="4"/>
      <x:c r="F13" s="4" t="str">
        <x:f>IF(E13="","Not required",IFERROR(INDEX(Items!$B$6:$B$1005,MATCH(E13,Items!$A$6:$A$1005,0)),"MISSING ID"))</x:f>
        <x:v>Not required</x:v>
      </x:c>
      <x:c r="G13" s="4" t="str">
        <x:v>Reusable melee weapon. Wear and repair materials belong to service or crafting, not ammunition.</x:v>
      </x:c>
      <x:c r="H13" s="4" t="str">
        <x:v>Proposal</x:v>
      </x:c>
    </x:row>
    <x:row r="14" ht="64" customHeight="1">
      <x:c r="A14" s="4" t="str">
        <x:v>relation.collection.009</x:v>
      </x:c>
      <x:c r="B14" s="4" t="str">
        <x:v>proposal.collection.hooked_catchstaff</x:v>
      </x:c>
      <x:c r="C14" s="4" t="str">
        <x:f>IF(B14="","Not required",IFERROR(INDEX(Items!$B$6:$B$1005,MATCH(B14,Items!$A$6:$A$1005,0)),"MISSING ID"))</x:f>
        <x:v>Hooked catchstaff</x:v>
      </x:c>
      <x:c r="D14" s="4" t="str">
        <x:v>No separate ammunition</x:v>
      </x:c>
      <x:c r="E14" s="4"/>
      <x:c r="F14" s="4" t="str">
        <x:f>IF(E14="","Not required",IFERROR(INDEX(Items!$B$6:$B$1005,MATCH(E14,Items!$A$6:$A$1005,0)),"MISSING ID"))</x:f>
        <x:v>Not required</x:v>
      </x:c>
      <x:c r="G14" s="4" t="str">
        <x:v>Reusable melee weapon. Wear and repair materials belong to service or crafting, not ammunition.</x:v>
      </x:c>
      <x:c r="H14" s="4" t="str">
        <x:v>Proposal</x:v>
      </x:c>
    </x:row>
    <x:row r="15" ht="64" customHeight="1">
      <x:c r="A15" s="4" t="str">
        <x:v>relation.collection.010</x:v>
      </x:c>
      <x:c r="B15" s="4" t="str">
        <x:v>proposal.collection.tendon_pouch_sling</x:v>
      </x:c>
      <x:c r="C15" s="4" t="str">
        <x:f>IF(B15="","Not required",IFERROR(INDEX(Items!$B$6:$B$1005,MATCH(B15,Items!$A$6:$A$1005,0)),"MISSING ID"))</x:f>
        <x:v>Tendon-pouch sling</x:v>
      </x:c>
      <x:c r="D15" s="4" t="str">
        <x:v>Uses ammunition</x:v>
      </x:c>
      <x:c r="E15" s="4" t="str">
        <x:v>proposal.collection.shaped_stone_sling_pellet</x:v>
      </x:c>
      <x:c r="F15" s="4" t="str">
        <x:f>IF(E15="","Not required",IFERROR(INDEX(Items!$B$6:$B$1005,MATCH(E15,Items!$A$6:$A$1005,0)),"MISSING ID"))</x:f>
        <x:v>Shaped stone sling pellet</x:v>
      </x:c>
      <x:c r="G15" s="4" t="str">
        <x:v>Proposed compatibility. Fit, capacity, recharge, firing and recovery remain open.</x:v>
      </x:c>
      <x:c r="H15" s="4" t="str">
        <x:v>Proposal</x:v>
      </x:c>
    </x:row>
    <x:row r="16" ht="64" customHeight="1">
      <x:c r="A16" s="4" t="str">
        <x:v>relation.collection.011</x:v>
      </x:c>
      <x:c r="B16" s="4" t="str">
        <x:v>proposal.collection.steel_limbed_crossbow</x:v>
      </x:c>
      <x:c r="C16" s="4" t="str">
        <x:f>IF(B16="","Not required",IFERROR(INDEX(Items!$B$6:$B$1005,MATCH(B16,Items!$A$6:$A$1005,0)),"MISSING ID"))</x:f>
        <x:v>Steel-limbed crossbow</x:v>
      </x:c>
      <x:c r="D16" s="4" t="str">
        <x:v>Uses ammunition</x:v>
      </x:c>
      <x:c r="E16" s="4" t="str">
        <x:v>proposal.collection.steel_broadhead_bolt</x:v>
      </x:c>
      <x:c r="F16" s="4" t="str">
        <x:f>IF(E16="","Not required",IFERROR(INDEX(Items!$B$6:$B$1005,MATCH(E16,Items!$A$6:$A$1005,0)),"MISSING ID"))</x:f>
        <x:v>Steel broadhead bolt</x:v>
      </x:c>
      <x:c r="G16" s="4" t="str">
        <x:v>Proposed compatibility. Fit, capacity, recharge, firing and recovery remain open.</x:v>
      </x:c>
      <x:c r="H16" s="4" t="str">
        <x:v>Proposal</x:v>
      </x:c>
    </x:row>
    <x:row r="17" ht="64" customHeight="1">
      <x:c r="A17" s="4" t="str">
        <x:v>relation.collection.012</x:v>
      </x:c>
      <x:c r="B17" s="4" t="str">
        <x:v>proposal.collection.crank_wound_siege_bow</x:v>
      </x:c>
      <x:c r="C17" s="4" t="str">
        <x:f>IF(B17="","Not required",IFERROR(INDEX(Items!$B$6:$B$1005,MATCH(B17,Items!$A$6:$A$1005,0)),"MISSING ID"))</x:f>
        <x:v>Crank-wound siege bow</x:v>
      </x:c>
      <x:c r="D17" s="4" t="str">
        <x:v>Uses ammunition</x:v>
      </x:c>
      <x:c r="E17" s="4" t="str">
        <x:v>proposal.collection.heavy_siege_bolt</x:v>
      </x:c>
      <x:c r="F17" s="4" t="str">
        <x:f>IF(E17="","Not required",IFERROR(INDEX(Items!$B$6:$B$1005,MATCH(E17,Items!$A$6:$A$1005,0)),"MISSING ID"))</x:f>
        <x:v>Heavy siege bolt</x:v>
      </x:c>
      <x:c r="G17" s="4" t="str">
        <x:v>Proposed compatibility. Fit, capacity, recharge, firing and recovery remain open.</x:v>
      </x:c>
      <x:c r="H17" s="4" t="str">
        <x:v>Proposal</x:v>
      </x:c>
    </x:row>
    <x:row r="18" ht="64" customHeight="1">
      <x:c r="A18" s="4"/>
      <x:c r="B18" s="4"/>
      <x:c r="C18" s="4"/>
      <x:c r="D18" s="4"/>
      <x:c r="E18" s="4"/>
      <x:c r="F18" s="4"/>
      <x:c r="G18" s="4"/>
      <x:c r="H18" s="4"/>
    </x:row>
    <x:row r="19" ht="64" customHeight="1">
      <x:c r="A19" s="4" t="str">
        <x:v>relation.collection.014</x:v>
      </x:c>
      <x:c r="B19" s="4" t="str">
        <x:v>proposal.collection.pressure_rivet_launcher</x:v>
      </x:c>
      <x:c r="C19" s="4" t="str">
        <x:f>IF(B19="","Not required",IFERROR(INDEX(Items!$B$6:$B$1005,MATCH(B19,Items!$A$6:$A$1005,0)),"MISSING ID"))</x:f>
        <x:v>Pressure rivet launcher</x:v>
      </x:c>
      <x:c r="D19" s="4" t="str">
        <x:v>Uses ammunition</x:v>
      </x:c>
      <x:c r="E19" s="4" t="str">
        <x:v>proposal.collection.pressure_launcher_rivet_round</x:v>
      </x:c>
      <x:c r="F19" s="4" t="str">
        <x:f>IF(E19="","Not required",IFERROR(INDEX(Items!$B$6:$B$1005,MATCH(E19,Items!$A$6:$A$1005,0)),"MISSING ID"))</x:f>
        <x:v>Pressure-launcher rivet round</x:v>
      </x:c>
      <x:c r="G19" s="4" t="str">
        <x:v>Proposed compatibility. Fit, capacity, recharge, firing and recovery remain open.</x:v>
      </x:c>
      <x:c r="H19" s="4" t="str">
        <x:v>Proposal</x:v>
      </x:c>
    </x:row>
    <x:row r="20" ht="64" customHeight="1">
      <x:c r="A20" s="4" t="str">
        <x:v>relation.collection.015</x:v>
      </x:c>
      <x:c r="B20" s="4" t="str">
        <x:v>proposal.collection.pressure_rivet_launcher</x:v>
      </x:c>
      <x:c r="C20" s="4" t="str">
        <x:f>IF(B20="","Not required",IFERROR(INDEX(Items!$B$6:$B$1005,MATCH(B20,Items!$A$6:$A$1005,0)),"MISSING ID"))</x:f>
        <x:v>Pressure rivet launcher</x:v>
      </x:c>
      <x:c r="D20" s="4" t="str">
        <x:v>Uses energy supply</x:v>
      </x:c>
      <x:c r="E20" s="4" t="str">
        <x:v>proposal.collection.sealed_pressure_accumulator</x:v>
      </x:c>
      <x:c r="F20" s="4" t="str">
        <x:f>IF(E20="","Not required",IFERROR(INDEX(Items!$B$6:$B$1005,MATCH(E20,Items!$A$6:$A$1005,0)),"MISSING ID"))</x:f>
        <x:v>Sealed pressure accumulator</x:v>
      </x:c>
      <x:c r="G20" s="4" t="str">
        <x:v>Proposed compatibility. Fit, capacity, recharge, firing and recovery remain open.</x:v>
      </x:c>
      <x:c r="H20" s="4" t="str">
        <x:v>Proposal</x:v>
      </x:c>
    </x:row>
    <x:row r="21" ht="64" customHeight="1">
      <x:c r="A21" s="4" t="str">
        <x:v>relation.collection.016</x:v>
      </x:c>
      <x:c r="B21" s="4" t="str">
        <x:v>proposal.collection.magnetic_dart_projector</x:v>
      </x:c>
      <x:c r="C21" s="4" t="str">
        <x:f>IF(B21="","Not required",IFERROR(INDEX(Items!$B$6:$B$1005,MATCH(B21,Items!$A$6:$A$1005,0)),"MISSING ID"))</x:f>
        <x:v>Magnetic dart projector</x:v>
      </x:c>
      <x:c r="D21" s="4" t="str">
        <x:v>Uses ammunition</x:v>
      </x:c>
      <x:c r="E21" s="4" t="str">
        <x:v>proposal.collection.magnetic_projector_dart</x:v>
      </x:c>
      <x:c r="F21" s="4" t="str">
        <x:f>IF(E21="","Not required",IFERROR(INDEX(Items!$B$6:$B$1005,MATCH(E21,Items!$A$6:$A$1005,0)),"MISSING ID"))</x:f>
        <x:v>Magnetic projector dart</x:v>
      </x:c>
      <x:c r="G21" s="4" t="str">
        <x:v>Proposed compatibility. Fit, capacity, recharge, firing and recovery remain open.</x:v>
      </x:c>
      <x:c r="H21" s="4" t="str">
        <x:v>Proposal</x:v>
      </x:c>
    </x:row>
    <x:row r="22" ht="64" customHeight="1">
      <x:c r="A22" s="4" t="str">
        <x:v>relation.collection.017</x:v>
      </x:c>
      <x:c r="B22" s="4" t="str">
        <x:v>proposal.collection.magnetic_dart_projector</x:v>
      </x:c>
      <x:c r="C22" s="4" t="str">
        <x:f>IF(B22="","Not required",IFERROR(INDEX(Items!$B$6:$B$1005,MATCH(B22,Items!$A$6:$A$1005,0)),"MISSING ID"))</x:f>
        <x:v>Magnetic dart projector</x:v>
      </x:c>
      <x:c r="D22" s="4" t="str">
        <x:v>Uses energy supply</x:v>
      </x:c>
      <x:c r="E22" s="4" t="str">
        <x:v>proposal.collection.ceramic_dielectric_pulse_bank</x:v>
      </x:c>
      <x:c r="F22" s="4" t="str">
        <x:f>IF(E22="","Not required",IFERROR(INDEX(Items!$B$6:$B$1005,MATCH(E22,Items!$A$6:$A$1005,0)),"MISSING ID"))</x:f>
        <x:v>Ceramic-dielectric pulse bank</x:v>
      </x:c>
      <x:c r="G22" s="4" t="str">
        <x:v>Proposed compatibility. Fit, capacity, recharge, firing and recovery remain open.</x:v>
      </x:c>
      <x:c r="H22" s="4" t="str">
        <x:v>Proposal</x:v>
      </x:c>
    </x:row>
    <x:row r="23" ht="64" customHeight="1">
      <x:c r="A23" s="4" t="str">
        <x:v>relation.collection.018</x:v>
      </x:c>
      <x:c r="B23" s="4" t="str">
        <x:v>proposal.collection.coil_slug_carbine</x:v>
      </x:c>
      <x:c r="C23" s="4" t="str">
        <x:f>IF(B23="","Not required",IFERROR(INDEX(Items!$B$6:$B$1005,MATCH(B23,Items!$A$6:$A$1005,0)),"MISSING ID"))</x:f>
        <x:v>Coil slug carbine</x:v>
      </x:c>
      <x:c r="D23" s="4" t="str">
        <x:v>Uses ammunition</x:v>
      </x:c>
      <x:c r="E23" s="4" t="str">
        <x:v>proposal.collection.coil_carbine_slug</x:v>
      </x:c>
      <x:c r="F23" s="4" t="str">
        <x:f>IF(E23="","Not required",IFERROR(INDEX(Items!$B$6:$B$1005,MATCH(E23,Items!$A$6:$A$1005,0)),"MISSING ID"))</x:f>
        <x:v>Coil-carbine slug</x:v>
      </x:c>
      <x:c r="G23" s="4" t="str">
        <x:v>Proposed compatibility. Fit, capacity, recharge, firing and recovery remain open.</x:v>
      </x:c>
      <x:c r="H23" s="4" t="str">
        <x:v>Proposal</x:v>
      </x:c>
    </x:row>
    <x:row r="24" ht="64" customHeight="1">
      <x:c r="A24" s="4" t="str">
        <x:v>relation.collection.019</x:v>
      </x:c>
      <x:c r="B24" s="4" t="str">
        <x:v>proposal.collection.coil_slug_carbine</x:v>
      </x:c>
      <x:c r="C24" s="4" t="str">
        <x:f>IF(B24="","Not required",IFERROR(INDEX(Items!$B$6:$B$1005,MATCH(B24,Items!$A$6:$A$1005,0)),"MISSING ID"))</x:f>
        <x:v>Coil slug carbine</x:v>
      </x:c>
      <x:c r="D24" s="4" t="str">
        <x:v>Uses energy supply</x:v>
      </x:c>
      <x:c r="E24" s="4" t="str">
        <x:v>proposal.collection.ceramic_dielectric_pulse_bank</x:v>
      </x:c>
      <x:c r="F24" s="4" t="str">
        <x:f>IF(E24="","Not required",IFERROR(INDEX(Items!$B$6:$B$1005,MATCH(E24,Items!$A$6:$A$1005,0)),"MISSING ID"))</x:f>
        <x:v>Ceramic-dielectric pulse bank</x:v>
      </x:c>
      <x:c r="G24" s="4" t="str">
        <x:v>Proposed compatibility. Fit, capacity, recharge, firing and recovery remain open.</x:v>
      </x:c>
      <x:c r="H24" s="4" t="str">
        <x:v>Proposal</x:v>
      </x:c>
    </x:row>
    <x:row r="25" ht="64" customHeight="1">
      <x:c r="A25" s="4" t="str">
        <x:v>relation.collection.020</x:v>
      </x:c>
      <x:c r="B25" s="4" t="str">
        <x:v>proposal.collection.ancient_pulse_rifle</x:v>
      </x:c>
      <x:c r="C25" s="4" t="str">
        <x:f>IF(B25="","Not required",IFERROR(INDEX(Items!$B$6:$B$1005,MATCH(B25,Items!$A$6:$A$1005,0)),"MISSING ID"))</x:f>
        <x:v>Ancient pulse rifle</x:v>
      </x:c>
      <x:c r="D25" s="4" t="str">
        <x:v>Uses energy supply</x:v>
      </x:c>
      <x:c r="E25" s="4" t="str">
        <x:v>proposal.collection.ancient_pulse_rifle_cell</x:v>
      </x:c>
      <x:c r="F25" s="4" t="str">
        <x:f>IF(E25="","Not required",IFERROR(INDEX(Items!$B$6:$B$1005,MATCH(E25,Items!$A$6:$A$1005,0)),"MISSING ID"))</x:f>
        <x:v>Ancient pulse-rifle cell</x:v>
      </x:c>
      <x:c r="G25" s="4" t="str">
        <x:v>Proposed compatibility. Fit, capacity, recharge, firing and recovery remain open.</x:v>
      </x:c>
      <x:c r="H25" s="4" t="str">
        <x:v>Proposal</x:v>
      </x:c>
    </x:row>
    <x:row r="26" ht="64" customHeight="1">
      <x:c r="A26" s="4" t="str">
        <x:v>relation.collection.021</x:v>
      </x:c>
      <x:c r="B26" s="4" t="str">
        <x:v>proposal.collection.ancient_plasma_lance</x:v>
      </x:c>
      <x:c r="C26" s="4" t="str">
        <x:f>IF(B26="","Not required",IFERROR(INDEX(Items!$B$6:$B$1005,MATCH(B26,Items!$A$6:$A$1005,0)),"MISSING ID"))</x:f>
        <x:v>Ancient plasma lance</x:v>
      </x:c>
      <x:c r="D26" s="4" t="str">
        <x:v>Uses energy supply</x:v>
      </x:c>
      <x:c r="E26" s="4" t="str">
        <x:v>proposal.collection.ancient_plasma_lance_charge</x:v>
      </x:c>
      <x:c r="F26" s="4" t="str">
        <x:f>IF(E26="","Not required",IFERROR(INDEX(Items!$B$6:$B$1005,MATCH(E26,Items!$A$6:$A$1005,0)),"MISSING ID"))</x:f>
        <x:v>Ancient plasma-lance charge</x:v>
      </x:c>
      <x:c r="G26" s="4" t="str">
        <x:v>Proposed compatibility. Fit, capacity, recharge, firing and recovery remain open.</x:v>
      </x:c>
      <x:c r="H26" s="4" t="str">
        <x:v>Proposal</x:v>
      </x:c>
    </x:row>
    <x:row r="27" ht="64" customHeight="1">
      <x:c r="A27" s="4" t="str">
        <x:v>relation.collection.022</x:v>
      </x:c>
      <x:c r="B27" s="4" t="str">
        <x:v>proposal.collection.ancient_microrocket_pod</x:v>
      </x:c>
      <x:c r="C27" s="4" t="str">
        <x:f>IF(B27="","Not required",IFERROR(INDEX(Items!$B$6:$B$1005,MATCH(B27,Items!$A$6:$A$1005,0)),"MISSING ID"))</x:f>
        <x:v>Ancient microrocket pod</x:v>
      </x:c>
      <x:c r="D27" s="4" t="str">
        <x:v>Uses ammunition</x:v>
      </x:c>
      <x:c r="E27" s="4" t="str">
        <x:v>proposal.collection.ancient_microrocket_cluster</x:v>
      </x:c>
      <x:c r="F27" s="4" t="str">
        <x:f>IF(E27="","Not required",IFERROR(INDEX(Items!$B$6:$B$1005,MATCH(E27,Items!$A$6:$A$1005,0)),"MISSING ID"))</x:f>
        <x:v>Ancient microrocket cluster</x:v>
      </x:c>
      <x:c r="G27" s="4" t="str">
        <x:v>Proposed compatibility. Fit, capacity, recharge, firing and recovery remain open.</x:v>
      </x:c>
      <x:c r="H27" s="4" t="str">
        <x:v>Proposal</x:v>
      </x:c>
    </x:row>
    <x:row r="28" ht="64" customHeight="1">
      <x:c r="A28" s="4" t="str">
        <x:v>relation.collection.023</x:v>
      </x:c>
      <x:c r="B28" s="4" t="str">
        <x:v>proposal.collection.ancient_sonic_disruptor</x:v>
      </x:c>
      <x:c r="C28" s="4" t="str">
        <x:f>IF(B28="","Not required",IFERROR(INDEX(Items!$B$6:$B$1005,MATCH(B28,Items!$A$6:$A$1005,0)),"MISSING ID"))</x:f>
        <x:v>Ancient sonic disruptor</x:v>
      </x:c>
      <x:c r="D28" s="4" t="str">
        <x:v>Uses energy supply</x:v>
      </x:c>
      <x:c r="E28" s="4" t="str">
        <x:v>proposal.collection.ancient_sonic_pulse_pack</x:v>
      </x:c>
      <x:c r="F28" s="4" t="str">
        <x:f>IF(E28="","Not required",IFERROR(INDEX(Items!$B$6:$B$1005,MATCH(E28,Items!$A$6:$A$1005,0)),"MISSING ID"))</x:f>
        <x:v>Ancient sonic pulse pack</x:v>
      </x:c>
      <x:c r="G28" s="4" t="str">
        <x:v>Proposed compatibility. Fit, capacity, recharge, firing and recovery remain open.</x:v>
      </x:c>
      <x:c r="H28" s="4" t="str">
        <x:v>Proposal</x:v>
      </x:c>
    </x:row>
    <x:row r="29" ht="64" customHeight="1">
      <x:c r="A29" s="4" t="str">
        <x:v>relation.collection.024</x:v>
      </x:c>
      <x:c r="B29" s="4" t="str">
        <x:v>tool.popup_camp</x:v>
      </x:c>
      <x:c r="C29" s="4" t="str">
        <x:f>IF(B29="","Not required",IFERROR(INDEX(Items!$B$6:$B$1005,MATCH(B29,Items!$A$6:$A$1005,0)),"MISSING ID"))</x:f>
        <x:v>Pop-up camp</x:v>
      </x:c>
      <x:c r="D29" s="4" t="str">
        <x:v>Proposed kit content</x:v>
      </x:c>
      <x:c r="E29" s="4" t="str">
        <x:v>proposal.collection.folding_vertical_wing_shade</x:v>
      </x:c>
      <x:c r="F29" s="4" t="str">
        <x:f>IF(E29="","Not required",IFERROR(INDEX(Items!$B$6:$B$1005,MATCH(E29,Items!$A$6:$A$1005,0)),"MISSING ID"))</x:f>
        <x:v>Folding vertical wing shade</x:v>
      </x:c>
      <x:c r="G29" s="4" t="str">
        <x:v>One content type in the proposed ten-item shelter loadout. Packed quantity, weight and compatibility with the existing camp remain open.</x:v>
      </x:c>
      <x:c r="H29" s="4" t="str">
        <x:v>Proposal</x:v>
      </x:c>
    </x:row>
    <x:row r="30" ht="64" customHeight="1">
      <x:c r="A30" s="4" t="str">
        <x:v>relation.collection.025</x:v>
      </x:c>
      <x:c r="B30" s="4" t="str">
        <x:v>tool.popup_camp</x:v>
      </x:c>
      <x:c r="C30" s="4" t="str">
        <x:f>IF(B30="","Not required",IFERROR(INDEX(Items!$B$6:$B$1005,MATCH(B30,Items!$A$6:$A$1005,0)),"MISSING ID"))</x:f>
        <x:v>Pop-up camp</x:v>
      </x:c>
      <x:c r="D30" s="4" t="str">
        <x:v>Proposed kit content</x:v>
      </x:c>
      <x:c r="E30" s="4" t="str">
        <x:v>proposal.collection.low_wing_roof_panel</x:v>
      </x:c>
      <x:c r="F30" s="4" t="str">
        <x:f>IF(E30="","Not required",IFERROR(INDEX(Items!$B$6:$B$1005,MATCH(E30,Items!$A$6:$A$1005,0)),"MISSING ID"))</x:f>
        <x:v>Low wing-roof panel</x:v>
      </x:c>
      <x:c r="G30" s="4" t="str">
        <x:v>One content type in the proposed ten-item shelter loadout. Packed quantity, weight and compatibility with the existing camp remain open.</x:v>
      </x:c>
      <x:c r="H30" s="4" t="str">
        <x:v>Proposal</x:v>
      </x:c>
    </x:row>
    <x:row r="31" ht="64" customHeight="1">
      <x:c r="A31" s="4" t="str">
        <x:v>relation.collection.026</x:v>
      </x:c>
      <x:c r="B31" s="4" t="str">
        <x:v>tool.popup_camp</x:v>
      </x:c>
      <x:c r="C31" s="4" t="str">
        <x:f>IF(B31="","Not required",IFERROR(INDEX(Items!$B$6:$B$1005,MATCH(B31,Items!$A$6:$A$1005,0)),"MISSING ID"))</x:f>
        <x:v>Pop-up camp</x:v>
      </x:c>
      <x:c r="D31" s="4" t="str">
        <x:v>Proposed kit content</x:v>
      </x:c>
      <x:c r="E31" s="4" t="str">
        <x:v>proposal.collection.segmented_shelter_pole_set</x:v>
      </x:c>
      <x:c r="F31" s="4" t="str">
        <x:f>IF(E31="","Not required",IFERROR(INDEX(Items!$B$6:$B$1005,MATCH(E31,Items!$A$6:$A$1005,0)),"MISSING ID"))</x:f>
        <x:v>Segmented shelter pole set</x:v>
      </x:c>
      <x:c r="G31" s="4" t="str">
        <x:v>One content type in the proposed ten-item shelter loadout. Packed quantity, weight and compatibility with the existing camp remain open.</x:v>
      </x:c>
      <x:c r="H31" s="4" t="str">
        <x:v>Proposal</x:v>
      </x:c>
    </x:row>
    <x:row r="32" ht="64" customHeight="1">
      <x:c r="A32" s="4" t="str">
        <x:v>relation.collection.027</x:v>
      </x:c>
      <x:c r="B32" s="4" t="str">
        <x:v>tool.popup_camp</x:v>
      </x:c>
      <x:c r="C32" s="4" t="str">
        <x:f>IF(B32="","Not required",IFERROR(INDEX(Items!$B$6:$B$1005,MATCH(B32,Items!$A$6:$A$1005,0)),"MISSING ID"))</x:f>
        <x:v>Pop-up camp</x:v>
      </x:c>
      <x:c r="D32" s="4" t="str">
        <x:v>Proposed kit content</x:v>
      </x:c>
      <x:c r="E32" s="4" t="str">
        <x:v>proposal.collection.ground_anchor_stake_set</x:v>
      </x:c>
      <x:c r="F32" s="4" t="str">
        <x:f>IF(E32="","Not required",IFERROR(INDEX(Items!$B$6:$B$1005,MATCH(E32,Items!$A$6:$A$1005,0)),"MISSING ID"))</x:f>
        <x:v>Ground-anchor stake set</x:v>
      </x:c>
      <x:c r="G32" s="4" t="str">
        <x:v>One content type in the proposed ten-item shelter loadout. Packed quantity, weight and compatibility with the existing camp remain open.</x:v>
      </x:c>
      <x:c r="H32" s="4" t="str">
        <x:v>Proposal</x:v>
      </x:c>
    </x:row>
    <x:row r="33" ht="64" customHeight="1">
      <x:c r="A33" s="4" t="str">
        <x:v>relation.collection.028</x:v>
      </x:c>
      <x:c r="B33" s="4" t="str">
        <x:v>tool.popup_camp</x:v>
      </x:c>
      <x:c r="C33" s="4" t="str">
        <x:f>IF(B33="","Not required",IFERROR(INDEX(Items!$B$6:$B$1005,MATCH(B33,Items!$A$6:$A$1005,0)),"MISSING ID"))</x:f>
        <x:v>Pop-up camp</x:v>
      </x:c>
      <x:c r="D33" s="4" t="str">
        <x:v>Proposed kit content</x:v>
      </x:c>
      <x:c r="E33" s="4" t="str">
        <x:v>proposal.collection.tendon_guyline_bundle</x:v>
      </x:c>
      <x:c r="F33" s="4" t="str">
        <x:f>IF(E33="","Not required",IFERROR(INDEX(Items!$B$6:$B$1005,MATCH(E33,Items!$A$6:$A$1005,0)),"MISSING ID"))</x:f>
        <x:v>Tendon guyline bundle</x:v>
      </x:c>
      <x:c r="G33" s="4" t="str">
        <x:v>One content type in the proposed ten-item shelter loadout. Packed quantity, weight and compatibility with the existing camp remain open.</x:v>
      </x:c>
      <x:c r="H33" s="4" t="str">
        <x:v>Proposal</x:v>
      </x:c>
    </x:row>
    <x:row r="34" ht="64" customHeight="1">
      <x:c r="A34" s="4" t="str">
        <x:v>relation.collection.029</x:v>
      </x:c>
      <x:c r="B34" s="4" t="str">
        <x:v>tool.popup_camp</x:v>
      </x:c>
      <x:c r="C34" s="4" t="str">
        <x:f>IF(B34="","Not required",IFERROR(INDEX(Items!$B$6:$B$1005,MATCH(B34,Items!$A$6:$A$1005,0)),"MISSING ID"))</x:f>
        <x:v>Pop-up camp</x:v>
      </x:c>
      <x:c r="D34" s="4" t="str">
        <x:v>Proposed kit content</x:v>
      </x:c>
      <x:c r="E34" s="4" t="str">
        <x:v>proposal.collection.husk_sheet_grit_screen</x:v>
      </x:c>
      <x:c r="F34" s="4" t="str">
        <x:f>IF(E34="","Not required",IFERROR(INDEX(Items!$B$6:$B$1005,MATCH(E34,Items!$A$6:$A$1005,0)),"MISSING ID"))</x:f>
        <x:v>Husk-sheet grit screen</x:v>
      </x:c>
      <x:c r="G34" s="4" t="str">
        <x:v>One content type in the proposed ten-item shelter loadout. Packed quantity, weight and compatibility with the existing camp remain open.</x:v>
      </x:c>
      <x:c r="H34" s="4" t="str">
        <x:v>Proposal</x:v>
      </x:c>
    </x:row>
    <x:row r="35" ht="64" customHeight="1">
      <x:c r="A35" s="4" t="str">
        <x:v>relation.collection.030</x:v>
      </x:c>
      <x:c r="B35" s="4" t="str">
        <x:v>tool.popup_camp</x:v>
      </x:c>
      <x:c r="C35" s="4" t="str">
        <x:f>IF(B35="","Not required",IFERROR(INDEX(Items!$B$6:$B$1005,MATCH(B35,Items!$A$6:$A$1005,0)),"MISSING ID"))</x:f>
        <x:v>Pop-up camp</x:v>
      </x:c>
      <x:c r="D35" s="4" t="str">
        <x:v>Proposed kit content</x:v>
      </x:c>
      <x:c r="E35" s="4" t="str">
        <x:v>proposal.collection.shell_ground_rest_panel</x:v>
      </x:c>
      <x:c r="F35" s="4" t="str">
        <x:f>IF(E35="","Not required",IFERROR(INDEX(Items!$B$6:$B$1005,MATCH(E35,Items!$A$6:$A$1005,0)),"MISSING ID"))</x:f>
        <x:v>Shell ground-rest panel</x:v>
      </x:c>
      <x:c r="G35" s="4" t="str">
        <x:v>One content type in the proposed ten-item shelter loadout. Packed quantity, weight and compatibility with the existing camp remain open.</x:v>
      </x:c>
      <x:c r="H35" s="4" t="str">
        <x:v>Proposal</x:v>
      </x:c>
    </x:row>
    <x:row r="36" ht="64" customHeight="1">
      <x:c r="A36" s="4" t="str">
        <x:v>relation.collection.031</x:v>
      </x:c>
      <x:c r="B36" s="4" t="str">
        <x:v>tool.popup_camp</x:v>
      </x:c>
      <x:c r="C36" s="4" t="str">
        <x:f>IF(B36="","Not required",IFERROR(INDEX(Items!$B$6:$B$1005,MATCH(B36,Items!$A$6:$A$1005,0)),"MISSING ID"))</x:f>
        <x:v>Pop-up camp</x:v>
      </x:c>
      <x:c r="D36" s="4" t="str">
        <x:v>Proposed kit content</x:v>
      </x:c>
      <x:c r="E36" s="4" t="str">
        <x:v>proposal.collection.folding_privacy_partition</x:v>
      </x:c>
      <x:c r="F36" s="4" t="str">
        <x:f>IF(E36="","Not required",IFERROR(INDEX(Items!$B$6:$B$1005,MATCH(E36,Items!$A$6:$A$1005,0)),"MISSING ID"))</x:f>
        <x:v>Folding privacy partition</x:v>
      </x:c>
      <x:c r="G36" s="4" t="str">
        <x:v>One content type in the proposed ten-item shelter loadout. Packed quantity, weight and compatibility with the existing camp remain open.</x:v>
      </x:c>
      <x:c r="H36" s="4" t="str">
        <x:v>Proposal</x:v>
      </x:c>
    </x:row>
    <x:row r="37" ht="64" customHeight="1">
      <x:c r="A37" s="4" t="str">
        <x:v>relation.collection.032</x:v>
      </x:c>
      <x:c r="B37" s="4" t="str">
        <x:v>tool.popup_camp</x:v>
      </x:c>
      <x:c r="C37" s="4" t="str">
        <x:f>IF(B37="","Not required",IFERROR(INDEX(Items!$B$6:$B$1005,MATCH(B37,Items!$A$6:$A$1005,0)),"MISSING ID"))</x:f>
        <x:v>Pop-up camp</x:v>
      </x:c>
      <x:c r="D37" s="4" t="str">
        <x:v>Proposed kit content</x:v>
      </x:c>
      <x:c r="E37" s="4" t="str">
        <x:v>proposal.collection.canister_shelter_docking_stand</x:v>
      </x:c>
      <x:c r="F37" s="4" t="str">
        <x:f>IF(E37="","Not required",IFERROR(INDEX(Items!$B$6:$B$1005,MATCH(E37,Items!$A$6:$A$1005,0)),"MISSING ID"))</x:f>
        <x:v>Canister shelter docking stand</x:v>
      </x:c>
      <x:c r="G37" s="4" t="str">
        <x:v>One content type in the proposed ten-item shelter loadout. Packed quantity, weight and compatibility with the existing camp remain open.</x:v>
      </x:c>
      <x:c r="H37" s="4" t="str">
        <x:v>Proposal</x:v>
      </x:c>
    </x:row>
    <x:row r="38" ht="64" customHeight="1">
      <x:c r="A38" s="4" t="str">
        <x:v>relation.collection.033</x:v>
      </x:c>
      <x:c r="B38" s="4" t="str">
        <x:v>tool.popup_camp</x:v>
      </x:c>
      <x:c r="C38" s="4" t="str">
        <x:f>IF(B38="","Not required",IFERROR(INDEX(Items!$B$6:$B$1005,MATCH(B38,Items!$A$6:$A$1005,0)),"MISSING ID"))</x:f>
        <x:v>Pop-up camp</x:v>
      </x:c>
      <x:c r="D38" s="4" t="str">
        <x:v>Proposed kit content</x:v>
      </x:c>
      <x:c r="E38" s="4" t="str">
        <x:v>proposal.collection.shelter_repair_patch_roll</x:v>
      </x:c>
      <x:c r="F38" s="4" t="str">
        <x:f>IF(E38="","Not required",IFERROR(INDEX(Items!$B$6:$B$1005,MATCH(E38,Items!$A$6:$A$1005,0)),"MISSING ID"))</x:f>
        <x:v>Shelter repair patch roll</x:v>
      </x:c>
      <x:c r="G38" s="4" t="str">
        <x:v>One content type in the proposed ten-item shelter loadout. Packed quantity, weight and compatibility with the existing camp remain open.</x:v>
      </x:c>
      <x:c r="H38" s="4" t="str">
        <x:v>Proposal</x:v>
      </x:c>
    </x:row>
  </x:sheetData>
  <x:dataValidations count="2">
    <x:dataValidation type="list" sqref="B6:B1005">
      <x:formula1>'Items'!$A$6:$A$978</x:formula1>
    </x:dataValidation>
    <x:dataValidation type="list" sqref="E6:E1005">
      <x:formula1>'Items'!$A$6:$A$978</x:formula1>
    </x:dataValidation>
  </x:dataValidations>
  <x:pageMargins left="0.7" right="0.7" top="0.75" bottom="0.75" header="0.3" footer="0.3"/>
  <x:tableParts count="1">
    <x:tablePart xmlns:r="http://schemas.openxmlformats.org/officeDocument/2006/relationships" r:id="R65a3cd4277e242b4"/>
  </x:tableParts>
</x:worksheet>
</file>

<file path=xl/worksheets/sheet22.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40" hidden="0" customWidth="1"/>
    <x:col min="2" max="2" width="32" hidden="0" customWidth="1"/>
    <x:col min="3" max="3" width="25" hidden="0" customWidth="1"/>
    <x:col min="4" max="4" width="12" hidden="0" customWidth="1"/>
    <x:col min="5" max="5" width="28" hidden="0" customWidth="1"/>
    <x:col min="6" max="6" width="15" hidden="0" customWidth="1"/>
    <x:col min="7" max="7" width="56" hidden="0" customWidth="1"/>
    <x:col min="8" max="8" width="85" hidden="0" customWidth="1"/>
    <x:col min="9" max="9" width="29" hidden="0" customWidth="1"/>
    <x:col min="10" max="10" width="90" hidden="0" customWidth="1"/>
  </x:cols>
  <x:sheetData>
    <x:row r="2">
      <x:c r="A2" s="72" t="str">
        <x:v>Crafting chain and lore audit</x:v>
      </x:c>
    </x:row>
    <x:row r="3">
      <x:c r="A3" s="73" t="str">
        <x:v>October 15 review. Material paths are structural proposals; operating theory, yields and qualification remain open. Readiness notes are a review snapshot; labels and route counts update by item ID.</x:v>
      </x:c>
    </x:row>
    <x:row r="5" ht="42" customHeight="1">
      <x:c r="A5" s="77" t="str">
        <x:v>Item ID</x:v>
      </x:c>
      <x:c r="B5" s="77" t="str">
        <x:v>Item name</x:v>
      </x:c>
      <x:c r="C5" s="77" t="str">
        <x:v>Item type</x:v>
      </x:c>
      <x:c r="D5" s="77" t="str">
        <x:v>Tier</x:v>
      </x:c>
      <x:c r="E5" s="77" t="str">
        <x:v>Production / access</x:v>
      </x:c>
      <x:c r="F5" s="77" t="str">
        <x:v>Listed output routes</x:v>
      </x:c>
      <x:c r="G5" s="77" t="str">
        <x:v>Material coverage</x:v>
      </x:c>
      <x:c r="H5" s="77" t="str">
        <x:v>Facilities / reusable tools</x:v>
      </x:c>
      <x:c r="I5" s="77" t="str">
        <x:v>Reviewed readiness</x:v>
      </x:c>
      <x:c r="J5" s="77" t="str">
        <x:v>Open design decisions</x:v>
      </x:c>
    </x:row>
    <x:row r="6" ht="115" customHeight="1">
      <x:c r="A6" s="4" t="str">
        <x:v>lab.salvage.drive_assembly</x:v>
      </x:c>
      <x:c r="B6" s="4" t="str">
        <x:f>IFERROR(INDEX(Items!$B$6:$B$1005,MATCH(A6,Items!$A$6:$A$1005,0)),"MISSING ID")</x:f>
        <x:v>Drive Assembly</x:v>
      </x:c>
      <x:c r="C6" s="4" t="str">
        <x:f>IFERROR(INDEX(Items!$X$6:$X$1005,MATCH(A6,Items!$A$6:$A$1005,0)),"MISSING ID")</x:f>
        <x:v>Crafting component</x:v>
      </x:c>
      <x:c r="D6" s="4" t="str">
        <x:f>IFERROR(INDEX(Items!$C$6:$C$1005,MATCH(A6,Items!$A$6:$A$1005,0)),"MISSING ID")</x:f>
        <x:v>Not applicable</x:v>
      </x:c>
      <x:c r="E6" s="4" t="str">
        <x:v>Recovery</x:v>
      </x:c>
      <x:c r="F6" s="14" t="n">
        <x:f>IFERROR(INDEX(Items!$AJ$6:$AJ$1005,MATCH(A6,Items!$A$6:$A$1005,0)),"MISSING ID")</x:f>
        <x:v>0</x:v>
      </x:c>
      <x:c r="G6" s="4" t="str">
        <x:v>Source, recovery or issue route applies</x:v>
      </x:c>
      <x:c r="H6" s="4" t="str">
        <x:v>Not a selected manufacturing route</x:v>
      </x:c>
      <x:c r="I6" s="4" t="str">
        <x:v>Recovery only</x:v>
      </x:c>
      <x:c r="J6" s="4" t="str">
        <x:v>Recover and assess a compatible item. No manufacturing route or guaranteed working function.</x:v>
      </x:c>
    </x:row>
    <x:row r="7" ht="115" customHeight="1">
      <x:c r="A7" s="4" t="str">
        <x:v>lab.salvage.metal_plate</x:v>
      </x:c>
      <x:c r="B7" s="4" t="str">
        <x:f>IFERROR(INDEX(Items!$B$6:$B$1005,MATCH(A7,Items!$A$6:$A$1005,0)),"MISSING ID")</x:f>
        <x:v>Metal Plate</x:v>
      </x:c>
      <x:c r="C7" s="4" t="str">
        <x:f>IFERROR(INDEX(Items!$X$6:$X$1005,MATCH(A7,Items!$A$6:$A$1005,0)),"MISSING ID")</x:f>
        <x:v>Crafting component</x:v>
      </x:c>
      <x:c r="D7" s="4" t="str">
        <x:f>IFERROR(INDEX(Items!$C$6:$C$1005,MATCH(A7,Items!$A$6:$A$1005,0)),"MISSING ID")</x:f>
        <x:v>Not applicable</x:v>
      </x:c>
      <x:c r="E7" s="4" t="str">
        <x:v>Recovery</x:v>
      </x:c>
      <x:c r="F7" s="14" t="n">
        <x:f>IFERROR(INDEX(Items!$AJ$6:$AJ$1005,MATCH(A7,Items!$A$6:$A$1005,0)),"MISSING ID")</x:f>
        <x:v>0</x:v>
      </x:c>
      <x:c r="G7" s="4" t="str">
        <x:v>Source, recovery or issue route applies</x:v>
      </x:c>
      <x:c r="H7" s="4" t="str">
        <x:v>Not a selected manufacturing route</x:v>
      </x:c>
      <x:c r="I7" s="4" t="str">
        <x:v>Recovery only</x:v>
      </x:c>
      <x:c r="J7" s="4" t="str">
        <x:v>Recover and assess a compatible item. No manufacturing route or guaranteed working function.</x:v>
      </x:c>
    </x:row>
    <x:row r="8" ht="115" customHeight="1">
      <x:c r="A8" s="4" t="str">
        <x:v>lab.salvage.wire_bundle</x:v>
      </x:c>
      <x:c r="B8" s="4" t="str">
        <x:f>IFERROR(INDEX(Items!$B$6:$B$1005,MATCH(A8,Items!$A$6:$A$1005,0)),"MISSING ID")</x:f>
        <x:v>Wire Bundle</x:v>
      </x:c>
      <x:c r="C8" s="4" t="str">
        <x:f>IFERROR(INDEX(Items!$X$6:$X$1005,MATCH(A8,Items!$A$6:$A$1005,0)),"MISSING ID")</x:f>
        <x:v>Crafting component</x:v>
      </x:c>
      <x:c r="D8" s="4" t="str">
        <x:f>IFERROR(INDEX(Items!$C$6:$C$1005,MATCH(A8,Items!$A$6:$A$1005,0)),"MISSING ID")</x:f>
        <x:v>Not applicable</x:v>
      </x:c>
      <x:c r="E8" s="4" t="str">
        <x:v>Recovery</x:v>
      </x:c>
      <x:c r="F8" s="14" t="n">
        <x:f>IFERROR(INDEX(Items!$AJ$6:$AJ$1005,MATCH(A8,Items!$A$6:$A$1005,0)),"MISSING ID")</x:f>
        <x:v>0</x:v>
      </x:c>
      <x:c r="G8" s="4" t="str">
        <x:v>Source, recovery or issue route applies</x:v>
      </x:c>
      <x:c r="H8" s="4" t="str">
        <x:v>Not a selected manufacturing route</x:v>
      </x:c>
      <x:c r="I8" s="4" t="str">
        <x:v>Recovery only</x:v>
      </x:c>
      <x:c r="J8" s="4" t="str">
        <x:v>Recover and assess a compatible item. No manufacturing route or guaranteed working function.</x:v>
      </x:c>
    </x:row>
    <x:row r="9" ht="115" customHeight="1">
      <x:c r="A9" s="4" t="str">
        <x:v>equipment.algae_canister</x:v>
      </x:c>
      <x:c r="B9" s="4" t="str">
        <x:f>IFERROR(INDEX(Items!$B$6:$B$1005,MATCH(A9,Items!$A$6:$A$1005,0)),"MISSING ID")</x:f>
        <x:v>Algae canister</x:v>
      </x:c>
      <x:c r="C9" s="4" t="str">
        <x:f>IFERROR(INDEX(Items!$X$6:$X$1005,MATCH(A9,Items!$A$6:$A$1005,0)),"MISSING ID")</x:f>
        <x:v>Container</x:v>
      </x:c>
      <x:c r="D9" s="4" t="str">
        <x:f>IFERROR(INDEX(Items!$C$6:$C$1005,MATCH(A9,Items!$A$6:$A$1005,0)),"MISSING ID")</x:f>
        <x:v>Not applicable</x:v>
      </x:c>
      <x:c r="E9" s="4" t="str">
        <x:v>Finished endpoint</x:v>
      </x:c>
      <x:c r="F9" s="14" t="n">
        <x:f>IFERROR(INDEX(Items!$AJ$6:$AJ$1005,MATCH(A9,Items!$A$6:$A$1005,0)),"MISSING ID")</x:f>
        <x:v>1</x:v>
      </x:c>
      <x:c r="G9" s="4" t="str">
        <x:v>Traced to cataloged T0 and/or recovered feeds</x:v>
      </x:c>
      <x:c r="H9" s="4" t="str">
        <x:v>Specialist engineering workshop; insulation, pressure or control qualification as applicable. Power/working medium and operating theory unresolved.</x:v>
      </x:c>
      <x:c r="I9" s="4" t="str">
        <x:v>Research / source gated</x:v>
      </x:c>
      <x:c r="J9" s="4" t="str">
        <x:v>Algae canister; Contained culinary Phagia culture. Operating principle, working medium, controls and service qualification remain unresolved.</x:v>
      </x:c>
    </x:row>
    <x:row r="10" ht="115" customHeight="1">
      <x:c r="A10" s="4" t="str">
        <x:v>equipment.cloak</x:v>
      </x:c>
      <x:c r="B10" s="4" t="str">
        <x:f>IFERROR(INDEX(Items!$B$6:$B$1005,MATCH(A10,Items!$A$6:$A$1005,0)),"MISSING ID")</x:f>
        <x:v>Cloak</x:v>
      </x:c>
      <x:c r="C10" s="4" t="str">
        <x:f>IFERROR(INDEX(Items!$X$6:$X$1005,MATCH(A10,Items!$A$6:$A$1005,0)),"MISSING ID")</x:f>
        <x:v>Wearable</x:v>
      </x:c>
      <x:c r="D10" s="4" t="str">
        <x:f>IFERROR(INDEX(Items!$C$6:$C$1005,MATCH(A10,Items!$A$6:$A$1005,0)),"MISSING ID")</x:f>
        <x:v>Not applicable</x:v>
      </x:c>
      <x:c r="E10" s="4" t="str">
        <x:v>Finished endpoint</x:v>
      </x:c>
      <x:c r="F10" s="14" t="n">
        <x:f>IFERROR(INDEX(Items!$AJ$6:$AJ$1005,MATCH(A10,Items!$A$6:$A$1005,0)),"MISSING ID")</x:f>
        <x:v>1</x:v>
      </x:c>
      <x:c r="G10" s="4" t="str">
        <x:v>Traced to cataloged T0 and/or recovered feeds</x:v>
      </x:c>
      <x:c r="H10" s="4" t="str">
        <x:v>Forge hearth, Anvil, Forging hammer, Smithing tongs, Metalworking file and Hand-cranked metal drill as applicable. Existing workshop bootstrap and controlled heating/cooling required; no free-water quench assumed.</x:v>
      </x:c>
      <x:c r="I10" s="4" t="str">
        <x:v>Candidate path traced</x:v>
      </x:c>
      <x:c r="J10" s="4" t="str">
        <x:v>Fit, joints, insulation/protection and biological material yield require qualification.</x:v>
      </x:c>
    </x:row>
    <x:row r="11" ht="115" customHeight="1">
      <x:c r="A11" s="4" t="str">
        <x:v>equipment.digging_tool</x:v>
      </x:c>
      <x:c r="B11" s="4" t="str">
        <x:f>IFERROR(INDEX(Items!$B$6:$B$1005,MATCH(A11,Items!$A$6:$A$1005,0)),"MISSING ID")</x:f>
        <x:v>Digging shovel axe</x:v>
      </x:c>
      <x:c r="C11" s="4" t="str">
        <x:f>IFERROR(INDEX(Items!$X$6:$X$1005,MATCH(A11,Items!$A$6:$A$1005,0)),"MISSING ID")</x:f>
        <x:v>Tool</x:v>
      </x:c>
      <x:c r="D11" s="4" t="str">
        <x:f>IFERROR(INDEX(Items!$C$6:$C$1005,MATCH(A11,Items!$A$6:$A$1005,0)),"MISSING ID")</x:f>
        <x:v>Not applicable</x:v>
      </x:c>
      <x:c r="E11" s="4" t="str">
        <x:v>Finished endpoint</x:v>
      </x:c>
      <x:c r="F11" s="14" t="n">
        <x:f>IFERROR(INDEX(Items!$AJ$6:$AJ$1005,MATCH(A11,Items!$A$6:$A$1005,0)),"MISSING ID")</x:f>
        <x:v>1</x:v>
      </x:c>
      <x:c r="G11" s="4" t="str">
        <x:v>Traced to cataloged T0 and/or recovered feeds</x:v>
      </x:c>
      <x:c r="H11" s="4" t="str">
        <x:v>Forge hearth, Anvil, Forging hammer, Smithing tongs, Metalworking file and Hand-cranked metal drill as applicable. Existing workshop bootstrap and controlled heating/cooling required; no free-water quench assumed.</x:v>
      </x:c>
      <x:c r="I11" s="4" t="str">
        <x:v>Candidate path traced</x:v>
      </x:c>
      <x:c r="J11" s="4" t="str">
        <x:v>Dimensions, grade, process qualification, quantity and yield remain open.</x:v>
      </x:c>
    </x:row>
    <x:row r="12" ht="115" customHeight="1">
      <x:c r="A12" s="4" t="str">
        <x:v>tool.micro_dust_harvester</x:v>
      </x:c>
      <x:c r="B12" s="4" t="str">
        <x:f>IFERROR(INDEX(Items!$B$6:$B$1005,MATCH(A12,Items!$A$6:$A$1005,0)),"MISSING ID")</x:f>
        <x:v>Dust canister</x:v>
      </x:c>
      <x:c r="C12" s="4" t="str">
        <x:f>IFERROR(INDEX(Items!$X$6:$X$1005,MATCH(A12,Items!$A$6:$A$1005,0)),"MISSING ID")</x:f>
        <x:v>Tool</x:v>
      </x:c>
      <x:c r="D12" s="4" t="str">
        <x:f>IFERROR(INDEX(Items!$C$6:$C$1005,MATCH(A12,Items!$A$6:$A$1005,0)),"MISSING ID")</x:f>
        <x:v>Not applicable</x:v>
      </x:c>
      <x:c r="E12" s="4" t="str">
        <x:v>Finished endpoint</x:v>
      </x:c>
      <x:c r="F12" s="14" t="n">
        <x:f>IFERROR(INDEX(Items!$AJ$6:$AJ$1005,MATCH(A12,Items!$A$6:$A$1005,0)),"MISSING ID")</x:f>
        <x:v>1</x:v>
      </x:c>
      <x:c r="G12" s="4" t="str">
        <x:v>Traced to cataloged T0 and/or recovered feeds</x:v>
      </x:c>
      <x:c r="H12" s="4" t="str">
        <x:v>Specialist engineering workshop; insulation, pressure or control qualification as applicable. Power/working medium and operating theory unresolved.</x:v>
      </x:c>
      <x:c r="I12" s="4" t="str">
        <x:v>Research / source gated</x:v>
      </x:c>
      <x:c r="J12" s="4" t="str">
        <x:v>Dust canister. Operating principle, working medium, controls and service qualification remain unresolved.</x:v>
      </x:c>
    </x:row>
    <x:row r="13" ht="115" customHeight="1">
      <x:c r="A13" s="4" t="str">
        <x:v>equipment.grappling_hook</x:v>
      </x:c>
      <x:c r="B13" s="4" t="str">
        <x:f>IFERROR(INDEX(Items!$B$6:$B$1005,MATCH(A13,Items!$A$6:$A$1005,0)),"MISSING ID")</x:f>
        <x:v>Grappling hook</x:v>
      </x:c>
      <x:c r="C13" s="4" t="str">
        <x:f>IFERROR(INDEX(Items!$X$6:$X$1005,MATCH(A13,Items!$A$6:$A$1005,0)),"MISSING ID")</x:f>
        <x:v>Tool</x:v>
      </x:c>
      <x:c r="D13" s="4" t="str">
        <x:f>IFERROR(INDEX(Items!$C$6:$C$1005,MATCH(A13,Items!$A$6:$A$1005,0)),"MISSING ID")</x:f>
        <x:v>Not applicable</x:v>
      </x:c>
      <x:c r="E13" s="4" t="str">
        <x:v>Finished endpoint</x:v>
      </x:c>
      <x:c r="F13" s="14" t="n">
        <x:f>IFERROR(INDEX(Items!$AJ$6:$AJ$1005,MATCH(A13,Items!$A$6:$A$1005,0)),"MISSING ID")</x:f>
        <x:v>1</x:v>
      </x:c>
      <x:c r="G13" s="4" t="str">
        <x:v>Traced to cataloged T0 and/or recovered feeds</x:v>
      </x:c>
      <x:c r="H13" s="4" t="str">
        <x:v>Forge hearth, Anvil, Forging hammer, Smithing tongs, Metalworking file and Hand-cranked metal drill as applicable. Existing workshop bootstrap and controlled heating/cooling required; no free-water quench assumed.</x:v>
      </x:c>
      <x:c r="I13" s="4" t="str">
        <x:v>Candidate path traced</x:v>
      </x:c>
      <x:c r="J13" s="4" t="str">
        <x:v>Dimensions, grade, process qualification, quantity and yield remain open.</x:v>
      </x:c>
    </x:row>
    <x:row r="14" ht="115" customHeight="1">
      <x:c r="A14" s="4"/>
      <x:c r="B14" s="4"/>
      <x:c r="C14" s="4"/>
      <x:c r="D14" s="4"/>
      <x:c r="E14" s="4"/>
      <x:c r="F14" s="14"/>
      <x:c r="G14" s="4"/>
      <x:c r="H14" s="4"/>
      <x:c r="I14" s="4"/>
      <x:c r="J14" s="4"/>
    </x:row>
    <x:row r="15" ht="115" customHeight="1">
      <x:c r="A15" s="4" t="str">
        <x:v>equipment.arc_battery_charged</x:v>
      </x:c>
      <x:c r="B15" s="4" t="str">
        <x:f>IFERROR(INDEX(Items!$B$6:$B$1005,MATCH(A15,Items!$A$6:$A$1005,0)),"MISSING ID")</x:f>
        <x:v>Charged Arc Battery</x:v>
      </x:c>
      <x:c r="C15" s="4" t="str">
        <x:f>IFERROR(INDEX(Items!$X$6:$X$1005,MATCH(A15,Items!$A$6:$A$1005,0)),"MISSING ID")</x:f>
        <x:v>Energy storage</x:v>
      </x:c>
      <x:c r="D15" s="4" t="str">
        <x:f>IFERROR(INDEX(Items!$C$6:$C$1005,MATCH(A15,Items!$A$6:$A$1005,0)),"MISSING ID")</x:f>
        <x:v>Not applicable</x:v>
      </x:c>
      <x:c r="E15" s="4" t="str">
        <x:v>Finished endpoint</x:v>
      </x:c>
      <x:c r="F15" s="14" t="n">
        <x:f>IFERROR(INDEX(Items!$AJ$6:$AJ$1005,MATCH(A15,Items!$A$6:$A$1005,0)),"MISSING ID")</x:f>
        <x:v>1</x:v>
      </x:c>
      <x:c r="G15" s="4" t="str">
        <x:v>Traced to cataloged T0 and/or recovered feeds</x:v>
      </x:c>
      <x:c r="H15" s="4" t="str">
        <x:v>Forge hearth, Anvil, Forging hammer, Smithing tongs, Metalworking file and Hand-cranked metal drill as applicable. Existing workshop bootstrap and controlled heating/cooling required; no free-water quench assumed.</x:v>
      </x:c>
      <x:c r="I15" s="4" t="str">
        <x:v>Candidate path traced</x:v>
      </x:c>
      <x:c r="J15" s="4" t="str">
        <x:v>Assembly is not charging. Energy input, connection or mechanical preload and service limits remain open.</x:v>
      </x:c>
    </x:row>
    <x:row r="16" ht="115" customHeight="1">
      <x:c r="A16" s="4" t="str">
        <x:v>equipment.arc_battery_empty</x:v>
      </x:c>
      <x:c r="B16" s="4" t="str">
        <x:f>IFERROR(INDEX(Items!$B$6:$B$1005,MATCH(A16,Items!$A$6:$A$1005,0)),"MISSING ID")</x:f>
        <x:v>Empty Arc Battery</x:v>
      </x:c>
      <x:c r="C16" s="4" t="str">
        <x:f>IFERROR(INDEX(Items!$X$6:$X$1005,MATCH(A16,Items!$A$6:$A$1005,0)),"MISSING ID")</x:f>
        <x:v>Energy storage</x:v>
      </x:c>
      <x:c r="D16" s="4" t="str">
        <x:f>IFERROR(INDEX(Items!$C$6:$C$1005,MATCH(A16,Items!$A$6:$A$1005,0)),"MISSING ID")</x:f>
        <x:v>Not applicable</x:v>
      </x:c>
      <x:c r="E16" s="4" t="str">
        <x:v>Finished endpoint</x:v>
      </x:c>
      <x:c r="F16" s="14" t="n">
        <x:f>IFERROR(INDEX(Items!$AJ$6:$AJ$1005,MATCH(A16,Items!$A$6:$A$1005,0)),"MISSING ID")</x:f>
        <x:v>1</x:v>
      </x:c>
      <x:c r="G16" s="4" t="str">
        <x:v>Traced to cataloged T0 and/or recovered feeds</x:v>
      </x:c>
      <x:c r="H16" s="4" t="str">
        <x:v>Forge hearth, Anvil, Forging hammer, Smithing tongs, Metalworking file and Hand-cranked metal drill as applicable. Existing workshop bootstrap and controlled heating/cooling required; no free-water quench assumed.</x:v>
      </x:c>
      <x:c r="I16" s="4" t="str">
        <x:v>Candidate path traced</x:v>
      </x:c>
      <x:c r="J16" s="4" t="str">
        <x:v>Assembly is not charging. Energy input, connection or mechanical preload and service limits remain open.</x:v>
      </x:c>
    </x:row>
    <x:row r="17" ht="115" customHeight="1">
      <x:c r="A17" s="4" t="str">
        <x:v>tool.popup_camp</x:v>
      </x:c>
      <x:c r="B17" s="4" t="str">
        <x:f>IFERROR(INDEX(Items!$B$6:$B$1005,MATCH(A17,Items!$A$6:$A$1005,0)),"MISSING ID")</x:f>
        <x:v>Pop-up camp</x:v>
      </x:c>
      <x:c r="C17" s="4" t="str">
        <x:f>IFERROR(INDEX(Items!$X$6:$X$1005,MATCH(A17,Items!$A$6:$A$1005,0)),"MISSING ID")</x:f>
        <x:v>Shelter item</x:v>
      </x:c>
      <x:c r="D17" s="4" t="str">
        <x:f>IFERROR(INDEX(Items!$C$6:$C$1005,MATCH(A17,Items!$A$6:$A$1005,0)),"MISSING ID")</x:f>
        <x:v>Not applicable</x:v>
      </x:c>
      <x:c r="E17" s="4" t="str">
        <x:v>Finished endpoint</x:v>
      </x:c>
      <x:c r="F17" s="14" t="n">
        <x:f>IFERROR(INDEX(Items!$AJ$6:$AJ$1005,MATCH(A17,Items!$A$6:$A$1005,0)),"MISSING ID")</x:f>
        <x:v>1</x:v>
      </x:c>
      <x:c r="G17" s="4" t="str">
        <x:v>Traced to cataloged T0 and/or recovered feeds</x:v>
      </x:c>
      <x:c r="H17" s="4" t="str">
        <x:v>Forge hearth, Anvil, Forging hammer, Smithing tongs, Metalworking file and Hand-cranked metal drill as applicable. Existing workshop bootstrap and controlled heating/cooling required; no free-water quench assumed.</x:v>
      </x:c>
      <x:c r="I17" s="4" t="str">
        <x:v>Candidate path traced</x:v>
      </x:c>
      <x:c r="J17" s="4" t="str">
        <x:v>Dimensions, grade, process qualification, quantity and yield remain open.</x:v>
      </x:c>
    </x:row>
    <x:row r="18" ht="115" customHeight="1">
      <x:c r="A18" s="4" t="str">
        <x:v>resource.airborne_dust</x:v>
      </x:c>
      <x:c r="B18" s="4" t="str">
        <x:f>IFERROR(INDEX(Items!$B$6:$B$1005,MATCH(A18,Items!$A$6:$A$1005,0)),"MISSING ID")</x:f>
        <x:v>Airborne Dust</x:v>
      </x:c>
      <x:c r="C18" s="4" t="str">
        <x:f>IFERROR(INDEX(Items!$X$6:$X$1005,MATCH(A18,Items!$A$6:$A$1005,0)),"MISSING ID")</x:f>
        <x:v>Raw material</x:v>
      </x:c>
      <x:c r="D18" s="4" t="str">
        <x:f>IFERROR(INDEX(Items!$C$6:$C$1005,MATCH(A18,Items!$A$6:$A$1005,0)),"MISSING ID")</x:f>
        <x:v>T0</x:v>
      </x:c>
      <x:c r="E18" s="4" t="str">
        <x:v>Raw source</x:v>
      </x:c>
      <x:c r="F18" s="14" t="n">
        <x:f>IFERROR(INDEX(Items!$AJ$6:$AJ$1005,MATCH(A18,Items!$A$6:$A$1005,0)),"MISSING ID")</x:f>
        <x:v>0</x:v>
      </x:c>
      <x:c r="G18" s="4" t="str">
        <x:v>Source, recovery or issue route applies</x:v>
      </x:c>
      <x:c r="H18" s="4" t="str">
        <x:v>Not a selected manufacturing route</x:v>
      </x:c>
      <x:c r="I18" s="4" t="str">
        <x:v>Raw entry feed</x:v>
      </x:c>
      <x:c r="J18" s="4" t="str">
        <x:v>Source grade, collection, contamination and yield remain open.</x:v>
      </x:c>
    </x:row>
    <x:row r="19" ht="115" customHeight="1">
      <x:c r="A19" s="4" t="str">
        <x:v>lab.ironstone.aggregate</x:v>
      </x:c>
      <x:c r="B19" s="4" t="str">
        <x:f>IFERROR(INDEX(Items!$B$6:$B$1005,MATCH(A19,Items!$A$6:$A$1005,0)),"MISSING ID")</x:f>
        <x:v>Coarse Aggregate</x:v>
      </x:c>
      <x:c r="C19" s="4" t="str">
        <x:f>IFERROR(INDEX(Items!$X$6:$X$1005,MATCH(A19,Items!$A$6:$A$1005,0)),"MISSING ID")</x:f>
        <x:v>Processed material</x:v>
      </x:c>
      <x:c r="D19" s="4" t="str">
        <x:f>IFERROR(INDEX(Items!$C$6:$C$1005,MATCH(A19,Items!$A$6:$A$1005,0)),"MISSING ID")</x:f>
        <x:v>T1</x:v>
      </x:c>
      <x:c r="E19" s="4" t="str">
        <x:v>Manufactured stock / part</x:v>
      </x:c>
      <x:c r="F19" s="14" t="n">
        <x:f>IFERROR(INDEX(Items!$AJ$6:$AJ$1005,MATCH(A19,Items!$A$6:$A$1005,0)),"MISSING ID")</x:f>
        <x:v>1</x:v>
      </x:c>
      <x:c r="G19" s="4" t="str">
        <x:v>Traced to cataloged T0 and/or recovered feeds</x:v>
      </x:c>
      <x:c r="H19" s="4" t="str">
        <x:v>Ceramic grinding mortar, Ceramic pestle, Ceramic abrasive disc and stone-cutting fixtures as applicable; grade selection and finishing qualification required.</x:v>
      </x:c>
      <x:c r="I19" s="4" t="str">
        <x:v>Candidate path traced</x:v>
      </x:c>
      <x:c r="J19" s="4" t="str">
        <x:v>Dimensions, grade, process qualification, quantity and yield remain open.</x:v>
      </x:c>
    </x:row>
    <x:row r="20" ht="115" customHeight="1">
      <x:c r="A20" s="4" t="str">
        <x:v>lab.ironstone.concentrate</x:v>
      </x:c>
      <x:c r="B20" s="4" t="str">
        <x:f>IFERROR(INDEX(Items!$B$6:$B$1005,MATCH(A20,Items!$A$6:$A$1005,0)),"MISSING ID")</x:f>
        <x:v>Iron-rich Concentrate</x:v>
      </x:c>
      <x:c r="C20" s="4" t="str">
        <x:f>IFERROR(INDEX(Items!$X$6:$X$1005,MATCH(A20,Items!$A$6:$A$1005,0)),"MISSING ID")</x:f>
        <x:v>Processed material</x:v>
      </x:c>
      <x:c r="D20" s="4" t="str">
        <x:f>IFERROR(INDEX(Items!$C$6:$C$1005,MATCH(A20,Items!$A$6:$A$1005,0)),"MISSING ID")</x:f>
        <x:v>T1</x:v>
      </x:c>
      <x:c r="E20" s="4" t="str">
        <x:v>Manufactured stock / part</x:v>
      </x:c>
      <x:c r="F20" s="14" t="n">
        <x:f>IFERROR(INDEX(Items!$AJ$6:$AJ$1005,MATCH(A20,Items!$A$6:$A$1005,0)),"MISSING ID")</x:f>
        <x:v>1</x:v>
      </x:c>
      <x:c r="G20" s="4" t="str">
        <x:v>Traced to cataloged T0 and/or recovered feeds</x:v>
      </x:c>
      <x:c r="H20" s="4" t="str">
        <x:v>Ceramic grinding mortar, Ceramic pestle, Ceramic abrasive disc and stone-cutting fixtures as applicable; grade selection and finishing qualification required.</x:v>
      </x:c>
      <x:c r="I20" s="4" t="str">
        <x:v>Candidate path traced</x:v>
      </x:c>
      <x:c r="J20" s="4" t="str">
        <x:v>Dimensions, grade, process qualification, quantity and yield remain open.</x:v>
      </x:c>
    </x:row>
    <x:row r="21" ht="115" customHeight="1">
      <x:c r="A21" s="4" t="str">
        <x:v>resource.ironstone_ore</x:v>
      </x:c>
      <x:c r="B21" s="4" t="str">
        <x:f>IFERROR(INDEX(Items!$B$6:$B$1005,MATCH(A21,Items!$A$6:$A$1005,0)),"MISSING ID")</x:f>
        <x:v>Ironstone Ore</x:v>
      </x:c>
      <x:c r="C21" s="4" t="str">
        <x:f>IFERROR(INDEX(Items!$X$6:$X$1005,MATCH(A21,Items!$A$6:$A$1005,0)),"MISSING ID")</x:f>
        <x:v>Raw material</x:v>
      </x:c>
      <x:c r="D21" s="4" t="str">
        <x:f>IFERROR(INDEX(Items!$C$6:$C$1005,MATCH(A21,Items!$A$6:$A$1005,0)),"MISSING ID")</x:f>
        <x:v>T0</x:v>
      </x:c>
      <x:c r="E21" s="4" t="str">
        <x:v>Raw source</x:v>
      </x:c>
      <x:c r="F21" s="14" t="n">
        <x:f>IFERROR(INDEX(Items!$AJ$6:$AJ$1005,MATCH(A21,Items!$A$6:$A$1005,0)),"MISSING ID")</x:f>
        <x:v>0</x:v>
      </x:c>
      <x:c r="G21" s="4" t="str">
        <x:v>Source, recovery or issue route applies</x:v>
      </x:c>
      <x:c r="H21" s="4" t="str">
        <x:v>Not a selected manufacturing route</x:v>
      </x:c>
      <x:c r="I21" s="4" t="str">
        <x:v>Raw entry feed</x:v>
      </x:c>
      <x:c r="J21" s="4" t="str">
        <x:v>Source grade, collection, contamination and yield remain open.</x:v>
      </x:c>
    </x:row>
    <x:row r="22" ht="115" customHeight="1">
      <x:c r="A22" s="4" t="str">
        <x:v>lab.ironstone.mineral_dust</x:v>
      </x:c>
      <x:c r="B22" s="4" t="str">
        <x:f>IFERROR(INDEX(Items!$B$6:$B$1005,MATCH(A22,Items!$A$6:$A$1005,0)),"MISSING ID")</x:f>
        <x:v>Mineral Dust</x:v>
      </x:c>
      <x:c r="C22" s="4" t="str">
        <x:f>IFERROR(INDEX(Items!$X$6:$X$1005,MATCH(A22,Items!$A$6:$A$1005,0)),"MISSING ID")</x:f>
        <x:v>Processed material</x:v>
      </x:c>
      <x:c r="D22" s="4" t="str">
        <x:f>IFERROR(INDEX(Items!$C$6:$C$1005,MATCH(A22,Items!$A$6:$A$1005,0)),"MISSING ID")</x:f>
        <x:v>T1</x:v>
      </x:c>
      <x:c r="E22" s="4" t="str">
        <x:v>Manufactured stock / part</x:v>
      </x:c>
      <x:c r="F22" s="14" t="n">
        <x:f>IFERROR(INDEX(Items!$AJ$6:$AJ$1005,MATCH(A22,Items!$A$6:$A$1005,0)),"MISSING ID")</x:f>
        <x:v>1</x:v>
      </x:c>
      <x:c r="G22" s="4" t="str">
        <x:v>Traced to cataloged T0 and/or recovered feeds</x:v>
      </x:c>
      <x:c r="H22" s="4" t="str">
        <x:v>Ceramic grinding mortar, Ceramic pestle, Ceramic abrasive disc and stone-cutting fixtures as applicable; grade selection and finishing qualification required.</x:v>
      </x:c>
      <x:c r="I22" s="4" t="str">
        <x:v>Candidate path traced</x:v>
      </x:c>
      <x:c r="J22" s="4" t="str">
        <x:v>Dimensions, grade, process qualification, quantity and yield remain open.</x:v>
      </x:c>
    </x:row>
    <x:row r="23" ht="115" customHeight="1">
      <x:c r="A23" s="4" t="str">
        <x:v>lab.ironstone.sand</x:v>
      </x:c>
      <x:c r="B23" s="4" t="str">
        <x:f>IFERROR(INDEX(Items!$B$6:$B$1005,MATCH(A23,Items!$A$6:$A$1005,0)),"MISSING ID")</x:f>
        <x:v>Mineral Sand</x:v>
      </x:c>
      <x:c r="C23" s="4" t="str">
        <x:f>IFERROR(INDEX(Items!$X$6:$X$1005,MATCH(A23,Items!$A$6:$A$1005,0)),"MISSING ID")</x:f>
        <x:v>Processed material</x:v>
      </x:c>
      <x:c r="D23" s="4" t="str">
        <x:f>IFERROR(INDEX(Items!$C$6:$C$1005,MATCH(A23,Items!$A$6:$A$1005,0)),"MISSING ID")</x:f>
        <x:v>T1</x:v>
      </x:c>
      <x:c r="E23" s="4" t="str">
        <x:v>Manufactured stock / part</x:v>
      </x:c>
      <x:c r="F23" s="14" t="n">
        <x:f>IFERROR(INDEX(Items!$AJ$6:$AJ$1005,MATCH(A23,Items!$A$6:$A$1005,0)),"MISSING ID")</x:f>
        <x:v>1</x:v>
      </x:c>
      <x:c r="G23" s="4" t="str">
        <x:v>Traced to cataloged T0 and/or recovered feeds</x:v>
      </x:c>
      <x:c r="H23" s="4" t="str">
        <x:v>Ceramic grinding mortar, Ceramic pestle, Ceramic abrasive disc and stone-cutting fixtures as applicable; grade selection and finishing qualification required.</x:v>
      </x:c>
      <x:c r="I23" s="4" t="str">
        <x:v>Candidate path traced</x:v>
      </x:c>
      <x:c r="J23" s="4" t="str">
        <x:v>Dimensions, grade, process qualification, quantity and yield remain open.</x:v>
      </x:c>
    </x:row>
    <x:row r="24" ht="115" customHeight="1">
      <x:c r="A24" s="4" t="str">
        <x:v>proposal.gear.magnets</x:v>
      </x:c>
      <x:c r="B24" s="4" t="str">
        <x:f>IFERROR(INDEX(Items!$B$6:$B$1005,MATCH(A24,Items!$A$6:$A$1005,0)),"MISSING ID")</x:f>
        <x:v>Field magnets</x:v>
      </x:c>
      <x:c r="C24" s="4" t="str">
        <x:f>IFERROR(INDEX(Items!$X$6:$X$1005,MATCH(A24,Items!$A$6:$A$1005,0)),"MISSING ID")</x:f>
        <x:v>Tool</x:v>
      </x:c>
      <x:c r="D24" s="4" t="str">
        <x:f>IFERROR(INDEX(Items!$C$6:$C$1005,MATCH(A24,Items!$A$6:$A$1005,0)),"MISSING ID")</x:f>
        <x:v>Not applicable</x:v>
      </x:c>
      <x:c r="E24" s="4" t="str">
        <x:v>Finished endpoint</x:v>
      </x:c>
      <x:c r="F24" s="14" t="n">
        <x:f>IFERROR(INDEX(Items!$AJ$6:$AJ$1005,MATCH(A24,Items!$A$6:$A$1005,0)),"MISSING ID")</x:f>
        <x:v>1</x:v>
      </x:c>
      <x:c r="G24" s="4" t="str">
        <x:v>Traced to cataloged T0 and/or recovered feeds</x:v>
      </x:c>
      <x:c r="H24" s="4" t="str">
        <x:v>Forge hearth, Anvil, Forging hammer, Smithing tongs, Metalworking file and Hand-cranked metal drill as applicable. Existing workshop bootstrap and controlled heating/cooling required; no free-water quench assumed.</x:v>
      </x:c>
      <x:c r="I24" s="4" t="str">
        <x:v>Candidate path traced</x:v>
      </x:c>
      <x:c r="J24" s="4" t="str">
        <x:v>Dimensions, grade, process qualification, quantity and yield remain open.</x:v>
      </x:c>
    </x:row>
    <x:row r="25" ht="115" customHeight="1">
      <x:c r="A25" s="4"/>
      <x:c r="B25" s="4"/>
      <x:c r="C25" s="4"/>
      <x:c r="D25" s="4"/>
      <x:c r="E25" s="4"/>
      <x:c r="F25" s="14"/>
      <x:c r="G25" s="4"/>
      <x:c r="H25" s="4"/>
      <x:c r="I25" s="4"/>
      <x:c r="J25" s="4"/>
    </x:row>
    <x:row r="26" ht="115" customHeight="1">
      <x:c r="A26" s="4" t="str">
        <x:v>proposal.natural.magnetite</x:v>
      </x:c>
      <x:c r="B26" s="4" t="str">
        <x:f>IFERROR(INDEX(Items!$B$6:$B$1005,MATCH(A26,Items!$A$6:$A$1005,0)),"MISSING ID")</x:f>
        <x:v>Magnetite-rich stone</x:v>
      </x:c>
      <x:c r="C26" s="4" t="str">
        <x:f>IFERROR(INDEX(Items!$X$6:$X$1005,MATCH(A26,Items!$A$6:$A$1005,0)),"MISSING ID")</x:f>
        <x:v>Raw material</x:v>
      </x:c>
      <x:c r="D26" s="4" t="str">
        <x:f>IFERROR(INDEX(Items!$C$6:$C$1005,MATCH(A26,Items!$A$6:$A$1005,0)),"MISSING ID")</x:f>
        <x:v>T0</x:v>
      </x:c>
      <x:c r="E26" s="4" t="str">
        <x:v>Raw source</x:v>
      </x:c>
      <x:c r="F26" s="14" t="n">
        <x:f>IFERROR(INDEX(Items!$AJ$6:$AJ$1005,MATCH(A26,Items!$A$6:$A$1005,0)),"MISSING ID")</x:f>
        <x:v>0</x:v>
      </x:c>
      <x:c r="G26" s="4" t="str">
        <x:v>Source, recovery or issue route applies</x:v>
      </x:c>
      <x:c r="H26" s="4" t="str">
        <x:v>Not a selected manufacturing route</x:v>
      </x:c>
      <x:c r="I26" s="4" t="str">
        <x:v>Raw entry feed</x:v>
      </x:c>
      <x:c r="J26" s="4" t="str">
        <x:v>Source grade, collection, contamination and yield remain open.</x:v>
      </x:c>
    </x:row>
    <x:row r="27" ht="115" customHeight="1">
      <x:c r="A27" s="4" t="str">
        <x:v>proposal.natural.silica</x:v>
      </x:c>
      <x:c r="B27" s="4" t="str">
        <x:f>IFERROR(INDEX(Items!$B$6:$B$1005,MATCH(A27,Items!$A$6:$A$1005,0)),"MISSING ID")</x:f>
        <x:v>Silica-rich grit</x:v>
      </x:c>
      <x:c r="C27" s="4" t="str">
        <x:f>IFERROR(INDEX(Items!$X$6:$X$1005,MATCH(A27,Items!$A$6:$A$1005,0)),"MISSING ID")</x:f>
        <x:v>Raw material</x:v>
      </x:c>
      <x:c r="D27" s="4" t="str">
        <x:f>IFERROR(INDEX(Items!$C$6:$C$1005,MATCH(A27,Items!$A$6:$A$1005,0)),"MISSING ID")</x:f>
        <x:v>T0</x:v>
      </x:c>
      <x:c r="E27" s="4" t="str">
        <x:v>Raw source</x:v>
      </x:c>
      <x:c r="F27" s="14" t="n">
        <x:f>IFERROR(INDEX(Items!$AJ$6:$AJ$1005,MATCH(A27,Items!$A$6:$A$1005,0)),"MISSING ID")</x:f>
        <x:v>0</x:v>
      </x:c>
      <x:c r="G27" s="4" t="str">
        <x:v>Source, recovery or issue route applies</x:v>
      </x:c>
      <x:c r="H27" s="4" t="str">
        <x:v>Not a selected manufacturing route</x:v>
      </x:c>
      <x:c r="I27" s="4" t="str">
        <x:v>Raw entry feed</x:v>
      </x:c>
      <x:c r="J27" s="4" t="str">
        <x:v>Source grade, collection, contamination and yield remain open.</x:v>
      </x:c>
    </x:row>
    <x:row r="28" ht="115" customHeight="1">
      <x:c r="A28" s="4" t="str">
        <x:v>proposal.natural.alumina</x:v>
      </x:c>
      <x:c r="B28" s="4" t="str">
        <x:f>IFERROR(INDEX(Items!$B$6:$B$1005,MATCH(A28,Items!$A$6:$A$1005,0)),"MISSING ID")</x:f>
        <x:v>Alumina-rich rock</x:v>
      </x:c>
      <x:c r="C28" s="4" t="str">
        <x:f>IFERROR(INDEX(Items!$X$6:$X$1005,MATCH(A28,Items!$A$6:$A$1005,0)),"MISSING ID")</x:f>
        <x:v>Raw material</x:v>
      </x:c>
      <x:c r="D28" s="4" t="str">
        <x:f>IFERROR(INDEX(Items!$C$6:$C$1005,MATCH(A28,Items!$A$6:$A$1005,0)),"MISSING ID")</x:f>
        <x:v>T0</x:v>
      </x:c>
      <x:c r="E28" s="4" t="str">
        <x:v>Raw source</x:v>
      </x:c>
      <x:c r="F28" s="14" t="n">
        <x:f>IFERROR(INDEX(Items!$AJ$6:$AJ$1005,MATCH(A28,Items!$A$6:$A$1005,0)),"MISSING ID")</x:f>
        <x:v>0</x:v>
      </x:c>
      <x:c r="G28" s="4" t="str">
        <x:v>Source, recovery or issue route applies</x:v>
      </x:c>
      <x:c r="H28" s="4" t="str">
        <x:v>Not a selected manufacturing route</x:v>
      </x:c>
      <x:c r="I28" s="4" t="str">
        <x:v>Raw entry feed</x:v>
      </x:c>
      <x:c r="J28" s="4" t="str">
        <x:v>Source grade, collection, contamination and yield remain open.</x:v>
      </x:c>
    </x:row>
    <x:row r="29" ht="115" customHeight="1">
      <x:c r="A29" s="4"/>
      <x:c r="B29" s="4"/>
      <x:c r="C29" s="4"/>
      <x:c r="D29" s="4"/>
      <x:c r="E29" s="4"/>
      <x:c r="F29" s="14"/>
      <x:c r="G29" s="4"/>
      <x:c r="H29" s="4"/>
      <x:c r="I29" s="4"/>
      <x:c r="J29" s="4"/>
    </x:row>
    <x:row r="30" ht="115" customHeight="1">
      <x:c r="A30" s="4" t="str">
        <x:v>proposal.natural.carbonate</x:v>
      </x:c>
      <x:c r="B30" s="4" t="str">
        <x:f>IFERROR(INDEX(Items!$B$6:$B$1005,MATCH(A30,Items!$A$6:$A$1005,0)),"MISSING ID")</x:f>
        <x:v>Carbonate stone</x:v>
      </x:c>
      <x:c r="C30" s="4" t="str">
        <x:f>IFERROR(INDEX(Items!$X$6:$X$1005,MATCH(A30,Items!$A$6:$A$1005,0)),"MISSING ID")</x:f>
        <x:v>Raw material</x:v>
      </x:c>
      <x:c r="D30" s="4" t="str">
        <x:f>IFERROR(INDEX(Items!$C$6:$C$1005,MATCH(A30,Items!$A$6:$A$1005,0)),"MISSING ID")</x:f>
        <x:v>T0</x:v>
      </x:c>
      <x:c r="E30" s="4" t="str">
        <x:v>Raw source</x:v>
      </x:c>
      <x:c r="F30" s="14" t="n">
        <x:f>IFERROR(INDEX(Items!$AJ$6:$AJ$1005,MATCH(A30,Items!$A$6:$A$1005,0)),"MISSING ID")</x:f>
        <x:v>0</x:v>
      </x:c>
      <x:c r="G30" s="4" t="str">
        <x:v>Source, recovery or issue route applies</x:v>
      </x:c>
      <x:c r="H30" s="4" t="str">
        <x:v>Not a selected manufacturing route</x:v>
      </x:c>
      <x:c r="I30" s="4" t="str">
        <x:v>Raw entry feed</x:v>
      </x:c>
      <x:c r="J30" s="4" t="str">
        <x:v>Source grade, collection, contamination and yield remain open.</x:v>
      </x:c>
    </x:row>
    <x:row r="31" ht="115" customHeight="1">
      <x:c r="A31" s="4" t="str">
        <x:v>proposal.natural.salts</x:v>
      </x:c>
      <x:c r="B31" s="4" t="str">
        <x:f>IFERROR(INDEX(Items!$B$6:$B$1005,MATCH(A31,Items!$A$6:$A$1005,0)),"MISSING ID")</x:f>
        <x:v>Dry mineral salts</x:v>
      </x:c>
      <x:c r="C31" s="4" t="str">
        <x:f>IFERROR(INDEX(Items!$X$6:$X$1005,MATCH(A31,Items!$A$6:$A$1005,0)),"MISSING ID")</x:f>
        <x:v>Raw material</x:v>
      </x:c>
      <x:c r="D31" s="4" t="str">
        <x:f>IFERROR(INDEX(Items!$C$6:$C$1005,MATCH(A31,Items!$A$6:$A$1005,0)),"MISSING ID")</x:f>
        <x:v>T0</x:v>
      </x:c>
      <x:c r="E31" s="4" t="str">
        <x:v>Raw source</x:v>
      </x:c>
      <x:c r="F31" s="14" t="n">
        <x:f>IFERROR(INDEX(Items!$AJ$6:$AJ$1005,MATCH(A31,Items!$A$6:$A$1005,0)),"MISSING ID")</x:f>
        <x:v>0</x:v>
      </x:c>
      <x:c r="G31" s="4" t="str">
        <x:v>Source, recovery or issue route applies</x:v>
      </x:c>
      <x:c r="H31" s="4" t="str">
        <x:v>Not a selected manufacturing route</x:v>
      </x:c>
      <x:c r="I31" s="4" t="str">
        <x:v>Raw entry feed</x:v>
      </x:c>
      <x:c r="J31" s="4" t="str">
        <x:v>Source grade, collection, contamination and yield remain open.</x:v>
      </x:c>
    </x:row>
    <x:row r="32" ht="115" customHeight="1">
      <x:c r="A32" s="4" t="str">
        <x:v>proposal.natural.graphite</x:v>
      </x:c>
      <x:c r="B32" s="4" t="str">
        <x:f>IFERROR(INDEX(Items!$B$6:$B$1005,MATCH(A32,Items!$A$6:$A$1005,0)),"MISSING ID")</x:f>
        <x:v>Graphite-bearing stone</x:v>
      </x:c>
      <x:c r="C32" s="4" t="str">
        <x:f>IFERROR(INDEX(Items!$X$6:$X$1005,MATCH(A32,Items!$A$6:$A$1005,0)),"MISSING ID")</x:f>
        <x:v>Raw material</x:v>
      </x:c>
      <x:c r="D32" s="4" t="str">
        <x:f>IFERROR(INDEX(Items!$C$6:$C$1005,MATCH(A32,Items!$A$6:$A$1005,0)),"MISSING ID")</x:f>
        <x:v>T0</x:v>
      </x:c>
      <x:c r="E32" s="4" t="str">
        <x:v>Raw source</x:v>
      </x:c>
      <x:c r="F32" s="14" t="n">
        <x:f>IFERROR(INDEX(Items!$AJ$6:$AJ$1005,MATCH(A32,Items!$A$6:$A$1005,0)),"MISSING ID")</x:f>
        <x:v>0</x:v>
      </x:c>
      <x:c r="G32" s="4" t="str">
        <x:v>Source, recovery or issue route applies</x:v>
      </x:c>
      <x:c r="H32" s="4" t="str">
        <x:v>Not a selected manufacturing route</x:v>
      </x:c>
      <x:c r="I32" s="4" t="str">
        <x:v>Raw entry feed</x:v>
      </x:c>
      <x:c r="J32" s="4" t="str">
        <x:v>Source grade, collection, contamination and yield remain open.</x:v>
      </x:c>
    </x:row>
    <x:row r="33" ht="115" customHeight="1">
      <x:c r="A33" s="4" t="str">
        <x:v>proposal.natural.mica</x:v>
      </x:c>
      <x:c r="B33" s="4" t="str">
        <x:f>IFERROR(INDEX(Items!$B$6:$B$1005,MATCH(A33,Items!$A$6:$A$1005,0)),"MISSING ID")</x:f>
        <x:v>Mica sheets</x:v>
      </x:c>
      <x:c r="C33" s="4" t="str">
        <x:f>IFERROR(INDEX(Items!$X$6:$X$1005,MATCH(A33,Items!$A$6:$A$1005,0)),"MISSING ID")</x:f>
        <x:v>Raw material</x:v>
      </x:c>
      <x:c r="D33" s="4" t="str">
        <x:f>IFERROR(INDEX(Items!$C$6:$C$1005,MATCH(A33,Items!$A$6:$A$1005,0)),"MISSING ID")</x:f>
        <x:v>T0</x:v>
      </x:c>
      <x:c r="E33" s="4" t="str">
        <x:v>Raw source</x:v>
      </x:c>
      <x:c r="F33" s="14" t="n">
        <x:f>IFERROR(INDEX(Items!$AJ$6:$AJ$1005,MATCH(A33,Items!$A$6:$A$1005,0)),"MISSING ID")</x:f>
        <x:v>0</x:v>
      </x:c>
      <x:c r="G33" s="4" t="str">
        <x:v>Source, recovery or issue route applies</x:v>
      </x:c>
      <x:c r="H33" s="4" t="str">
        <x:v>Not a selected manufacturing route</x:v>
      </x:c>
      <x:c r="I33" s="4" t="str">
        <x:v>Raw entry feed</x:v>
      </x:c>
      <x:c r="J33" s="4" t="str">
        <x:v>Source grade, collection, contamination and yield remain open.</x:v>
      </x:c>
    </x:row>
    <x:row r="34" ht="115" customHeight="1">
      <x:c r="A34" s="4" t="str">
        <x:v>proposal.natural.iron_feed</x:v>
      </x:c>
      <x:c r="B34" s="4" t="str">
        <x:f>IFERROR(INDEX(Items!$B$6:$B$1005,MATCH(A34,Items!$A$6:$A$1005,0)),"MISSING ID")</x:f>
        <x:v>Iron-rich mineral feed</x:v>
      </x:c>
      <x:c r="C34" s="4" t="str">
        <x:f>IFERROR(INDEX(Items!$X$6:$X$1005,MATCH(A34,Items!$A$6:$A$1005,0)),"MISSING ID")</x:f>
        <x:v>Processed material</x:v>
      </x:c>
      <x:c r="D34" s="4" t="str">
        <x:f>IFERROR(INDEX(Items!$C$6:$C$1005,MATCH(A34,Items!$A$6:$A$1005,0)),"MISSING ID")</x:f>
        <x:v>T1</x:v>
      </x:c>
      <x:c r="E34" s="4" t="str">
        <x:v>Manufactured stock / part</x:v>
      </x:c>
      <x:c r="F34" s="14" t="n">
        <x:f>IFERROR(INDEX(Items!$AJ$6:$AJ$1005,MATCH(A34,Items!$A$6:$A$1005,0)),"MISSING ID")</x:f>
        <x:v>2</x:v>
      </x:c>
      <x:c r="G34" s="4" t="str">
        <x:v>Traced to cataloged T0 and/or recovered feeds</x:v>
      </x:c>
      <x:c r="H34" s="4" t="str">
        <x:v>Ceramic grinding mortar, Ceramic pestle, Ceramic abrasive disc and stone-cutting fixtures as applicable; grade selection and finishing qualification required.</x:v>
      </x:c>
      <x:c r="I34" s="4" t="str">
        <x:v>Candidate path traced</x:v>
      </x:c>
      <x:c r="J34" s="4" t="str">
        <x:v>Dimensions, grade, process qualification, quantity and yield remain open.</x:v>
      </x:c>
    </x:row>
    <x:row r="35" ht="115" customHeight="1">
      <x:c r="A35" s="4" t="str">
        <x:v>proposal.natural.iron_stock</x:v>
      </x:c>
      <x:c r="B35" s="4" t="str">
        <x:f>IFERROR(INDEX(Items!$B$6:$B$1005,MATCH(A35,Items!$A$6:$A$1005,0)),"MISSING ID")</x:f>
        <x:v>Worked iron stock</x:v>
      </x:c>
      <x:c r="C35" s="4" t="str">
        <x:f>IFERROR(INDEX(Items!$X$6:$X$1005,MATCH(A35,Items!$A$6:$A$1005,0)),"MISSING ID")</x:f>
        <x:v>Processed material</x:v>
      </x:c>
      <x:c r="D35" s="4" t="str">
        <x:f>IFERROR(INDEX(Items!$C$6:$C$1005,MATCH(A35,Items!$A$6:$A$1005,0)),"MISSING ID")</x:f>
        <x:v>T2</x:v>
      </x:c>
      <x:c r="E35" s="4" t="str">
        <x:v>Manufactured stock / part</x:v>
      </x:c>
      <x:c r="F35" s="14" t="n">
        <x:f>IFERROR(INDEX(Items!$AJ$6:$AJ$1005,MATCH(A35,Items!$A$6:$A$1005,0)),"MISSING ID")</x:f>
        <x:v>2</x:v>
      </x:c>
      <x:c r="G35" s="4" t="str">
        <x:v>Traced to cataloged T0 and/or recovered feeds</x:v>
      </x:c>
      <x:c r="H35" s="4" t="str">
        <x:v>Ceramic grinding mortar, Ceramic pestle, Ceramic abrasive disc and stone-cutting fixtures as applicable; grade selection and finishing qualification required.</x:v>
      </x:c>
      <x:c r="I35" s="4" t="str">
        <x:v>Candidate path traced</x:v>
      </x:c>
      <x:c r="J35" s="4" t="str">
        <x:v>Dimensions, grade, process qualification, quantity and yield remain open.</x:v>
      </x:c>
    </x:row>
    <x:row r="36" ht="115" customHeight="1">
      <x:c r="A36" s="4" t="str">
        <x:v>proposal.natural.abrasive</x:v>
      </x:c>
      <x:c r="B36" s="4" t="str">
        <x:f>IFERROR(INDEX(Items!$B$6:$B$1005,MATCH(A36,Items!$A$6:$A$1005,0)),"MISSING ID")</x:f>
        <x:v>Graded abrasive grit</x:v>
      </x:c>
      <x:c r="C36" s="4" t="str">
        <x:f>IFERROR(INDEX(Items!$X$6:$X$1005,MATCH(A36,Items!$A$6:$A$1005,0)),"MISSING ID")</x:f>
        <x:v>Processed material</x:v>
      </x:c>
      <x:c r="D36" s="4" t="str">
        <x:f>IFERROR(INDEX(Items!$C$6:$C$1005,MATCH(A36,Items!$A$6:$A$1005,0)),"MISSING ID")</x:f>
        <x:v>T1</x:v>
      </x:c>
      <x:c r="E36" s="4" t="str">
        <x:v>Manufactured stock / part</x:v>
      </x:c>
      <x:c r="F36" s="14" t="n">
        <x:f>IFERROR(INDEX(Items!$AJ$6:$AJ$1005,MATCH(A36,Items!$A$6:$A$1005,0)),"MISSING ID")</x:f>
        <x:v>2</x:v>
      </x:c>
      <x:c r="G36" s="4" t="str">
        <x:v>Traced to cataloged T0 and/or recovered feeds</x:v>
      </x:c>
      <x:c r="H36" s="4" t="str">
        <x:v>Ceramic grinding mortar, Ceramic pestle, Ceramic abrasive disc and stone-cutting fixtures as applicable; grade selection and finishing qualification required.</x:v>
      </x:c>
      <x:c r="I36" s="4" t="str">
        <x:v>Candidate path traced</x:v>
      </x:c>
      <x:c r="J36" s="4" t="str">
        <x:v>Dimensions, grade, process qualification, quantity and yield remain open.</x:v>
      </x:c>
    </x:row>
    <x:row r="37" ht="115" customHeight="1">
      <x:c r="A37" s="4" t="str">
        <x:v>proposal.natural.ceramic</x:v>
      </x:c>
      <x:c r="B37" s="4" t="str">
        <x:f>IFERROR(INDEX(Items!$B$6:$B$1005,MATCH(A37,Items!$A$6:$A$1005,0)),"MISSING ID")</x:f>
        <x:v>Insulating ceramic blanks</x:v>
      </x:c>
      <x:c r="C37" s="4" t="str">
        <x:f>IFERROR(INDEX(Items!$X$6:$X$1005,MATCH(A37,Items!$A$6:$A$1005,0)),"MISSING ID")</x:f>
        <x:v>Processed material</x:v>
      </x:c>
      <x:c r="D37" s="4" t="str">
        <x:f>IFERROR(INDEX(Items!$C$6:$C$1005,MATCH(A37,Items!$A$6:$A$1005,0)),"MISSING ID")</x:f>
        <x:v>T2</x:v>
      </x:c>
      <x:c r="E37" s="4" t="str">
        <x:v>Manufactured stock / part</x:v>
      </x:c>
      <x:c r="F37" s="14" t="n">
        <x:f>IFERROR(INDEX(Items!$AJ$6:$AJ$1005,MATCH(A37,Items!$A$6:$A$1005,0)),"MISSING ID")</x:f>
        <x:v>2</x:v>
      </x:c>
      <x:c r="G37" s="4" t="str">
        <x:v>Traced to cataloged T0 and/or recovered feeds</x:v>
      </x:c>
      <x:c r="H37" s="4" t="str">
        <x:v>Controlled-heating firing kiln or specialist glass hot-work station; Ceramic firing tray / Ceramic casting mold as applicable. Qualified power, heat and atmosphere required.</x:v>
      </x:c>
      <x:c r="I37" s="4" t="str">
        <x:v>Candidate path traced</x:v>
      </x:c>
      <x:c r="J37" s="4" t="str">
        <x:v>Dimensions, grade, process qualification, quantity and yield remain open.</x:v>
      </x:c>
    </x:row>
    <x:row r="38" ht="115" customHeight="1">
      <x:c r="A38" s="4" t="str">
        <x:v>proposal.natural.lime</x:v>
      </x:c>
      <x:c r="B38" s="4" t="str">
        <x:f>IFERROR(INDEX(Items!$B$6:$B$1005,MATCH(A38,Items!$A$6:$A$1005,0)),"MISSING ID")</x:f>
        <x:v>Calcined mineral binder</x:v>
      </x:c>
      <x:c r="C38" s="4" t="str">
        <x:f>IFERROR(INDEX(Items!$X$6:$X$1005,MATCH(A38,Items!$A$6:$A$1005,0)),"MISSING ID")</x:f>
        <x:v>Processed material</x:v>
      </x:c>
      <x:c r="D38" s="4" t="str">
        <x:f>IFERROR(INDEX(Items!$C$6:$C$1005,MATCH(A38,Items!$A$6:$A$1005,0)),"MISSING ID")</x:f>
        <x:v>T1</x:v>
      </x:c>
      <x:c r="E38" s="4" t="str">
        <x:v>Manufactured stock / part</x:v>
      </x:c>
      <x:c r="F38" s="14" t="n">
        <x:f>IFERROR(INDEX(Items!$AJ$6:$AJ$1005,MATCH(A38,Items!$A$6:$A$1005,0)),"MISSING ID")</x:f>
        <x:v>1</x:v>
      </x:c>
      <x:c r="G38" s="4" t="str">
        <x:v>Traced to cataloged T0 and/or recovered feeds</x:v>
      </x:c>
      <x:c r="H38" s="4" t="str">
        <x:v>Ceramic grinding mortar, Ceramic pestle, Ceramic abrasive disc and stone-cutting fixtures as applicable; grade selection and finishing qualification required.</x:v>
      </x:c>
      <x:c r="I38" s="4" t="str">
        <x:v>Candidate path traced</x:v>
      </x:c>
      <x:c r="J38" s="4" t="str">
        <x:v>Dimensions, grade, process qualification, quantity and yield remain open.</x:v>
      </x:c>
    </x:row>
    <x:row r="39" ht="115" customHeight="1">
      <x:c r="A39" s="4" t="str">
        <x:v>proposal.natural.carbon</x:v>
      </x:c>
      <x:c r="B39" s="4" t="str">
        <x:f>IFERROR(INDEX(Items!$B$6:$B$1005,MATCH(A39,Items!$A$6:$A$1005,0)),"MISSING ID")</x:f>
        <x:v>Graded graphite flakes</x:v>
      </x:c>
      <x:c r="C39" s="4" t="str">
        <x:f>IFERROR(INDEX(Items!$X$6:$X$1005,MATCH(A39,Items!$A$6:$A$1005,0)),"MISSING ID")</x:f>
        <x:v>Processed material</x:v>
      </x:c>
      <x:c r="D39" s="4" t="str">
        <x:f>IFERROR(INDEX(Items!$C$6:$C$1005,MATCH(A39,Items!$A$6:$A$1005,0)),"MISSING ID")</x:f>
        <x:v>T1</x:v>
      </x:c>
      <x:c r="E39" s="4" t="str">
        <x:v>Manufactured stock / part</x:v>
      </x:c>
      <x:c r="F39" s="14" t="n">
        <x:f>IFERROR(INDEX(Items!$AJ$6:$AJ$1005,MATCH(A39,Items!$A$6:$A$1005,0)),"MISSING ID")</x:f>
        <x:v>1</x:v>
      </x:c>
      <x:c r="G39" s="4" t="str">
        <x:v>Traced to cataloged T0 and/or recovered feeds</x:v>
      </x:c>
      <x:c r="H39" s="4" t="str">
        <x:v>Ceramic grinding mortar, Ceramic pestle, Ceramic abrasive disc and stone-cutting fixtures as applicable; grade selection and finishing qualification required.</x:v>
      </x:c>
      <x:c r="I39" s="4" t="str">
        <x:v>Candidate path traced</x:v>
      </x:c>
      <x:c r="J39" s="4" t="str">
        <x:v>Dimensions, grade, process qualification, quantity and yield remain open.</x:v>
      </x:c>
    </x:row>
    <x:row r="40" ht="115" customHeight="1">
      <x:c r="A40" s="4" t="str">
        <x:v>proposal.bio.shell</x:v>
      </x:c>
      <x:c r="B40" s="4" t="str">
        <x:f>IFERROR(INDEX(Items!$B$6:$B$1005,MATCH(A40,Items!$A$6:$A$1005,0)),"MISSING ID")</x:f>
        <x:v>Shell husks / shed plates</x:v>
      </x:c>
      <x:c r="C40" s="4" t="str">
        <x:f>IFERROR(INDEX(Items!$X$6:$X$1005,MATCH(A40,Items!$A$6:$A$1005,0)),"MISSING ID")</x:f>
        <x:v>Raw material</x:v>
      </x:c>
      <x:c r="D40" s="4" t="str">
        <x:f>IFERROR(INDEX(Items!$C$6:$C$1005,MATCH(A40,Items!$A$6:$A$1005,0)),"MISSING ID")</x:f>
        <x:v>T0</x:v>
      </x:c>
      <x:c r="E40" s="4" t="str">
        <x:v>Raw source</x:v>
      </x:c>
      <x:c r="F40" s="14" t="n">
        <x:f>IFERROR(INDEX(Items!$AJ$6:$AJ$1005,MATCH(A40,Items!$A$6:$A$1005,0)),"MISSING ID")</x:f>
        <x:v>0</x:v>
      </x:c>
      <x:c r="G40" s="4" t="str">
        <x:v>Source, recovery or issue route applies</x:v>
      </x:c>
      <x:c r="H40" s="4" t="str">
        <x:v>Not a selected manufacturing route</x:v>
      </x:c>
      <x:c r="I40" s="4" t="str">
        <x:v>Raw entry feed</x:v>
      </x:c>
      <x:c r="J40" s="4" t="str">
        <x:v>Source grade, collection, contamination and yield remain open.</x:v>
      </x:c>
    </x:row>
    <x:row r="41" ht="115" customHeight="1">
      <x:c r="A41" s="4" t="str">
        <x:v>proposal.bio.tendon</x:v>
      </x:c>
      <x:c r="B41" s="4" t="str">
        <x:f>IFERROR(INDEX(Items!$B$6:$B$1005,MATCH(A41,Items!$A$6:$A$1005,0)),"MISSING ID")</x:f>
        <x:v>Dried tendon bundles</x:v>
      </x:c>
      <x:c r="C41" s="4" t="str">
        <x:f>IFERROR(INDEX(Items!$X$6:$X$1005,MATCH(A41,Items!$A$6:$A$1005,0)),"MISSING ID")</x:f>
        <x:v>Raw material</x:v>
      </x:c>
      <x:c r="D41" s="4" t="str">
        <x:f>IFERROR(INDEX(Items!$C$6:$C$1005,MATCH(A41,Items!$A$6:$A$1005,0)),"MISSING ID")</x:f>
        <x:v>T0</x:v>
      </x:c>
      <x:c r="E41" s="4" t="str">
        <x:v>Raw source</x:v>
      </x:c>
      <x:c r="F41" s="14" t="n">
        <x:f>IFERROR(INDEX(Items!$AJ$6:$AJ$1005,MATCH(A41,Items!$A$6:$A$1005,0)),"MISSING ID")</x:f>
        <x:v>0</x:v>
      </x:c>
      <x:c r="G41" s="4" t="str">
        <x:v>Source, recovery or issue route applies</x:v>
      </x:c>
      <x:c r="H41" s="4" t="str">
        <x:v>Not a selected manufacturing route</x:v>
      </x:c>
      <x:c r="I41" s="4" t="str">
        <x:v>Raw entry feed</x:v>
      </x:c>
      <x:c r="J41" s="4" t="str">
        <x:v>Source grade, collection, contamination and yield remain open.</x:v>
      </x:c>
    </x:row>
    <x:row r="42" ht="115" customHeight="1">
      <x:c r="A42" s="4" t="str">
        <x:v>proposal.bio.bristles</x:v>
      </x:c>
      <x:c r="B42" s="4" t="str">
        <x:f>IFERROR(INDEX(Items!$B$6:$B$1005,MATCH(A42,Items!$A$6:$A$1005,0)),"MISSING ID")</x:f>
        <x:v>Coarse sensory bristles</x:v>
      </x:c>
      <x:c r="C42" s="4" t="str">
        <x:f>IFERROR(INDEX(Items!$X$6:$X$1005,MATCH(A42,Items!$A$6:$A$1005,0)),"MISSING ID")</x:f>
        <x:v>Raw material</x:v>
      </x:c>
      <x:c r="D42" s="4" t="str">
        <x:f>IFERROR(INDEX(Items!$C$6:$C$1005,MATCH(A42,Items!$A$6:$A$1005,0)),"MISSING ID")</x:f>
        <x:v>T0</x:v>
      </x:c>
      <x:c r="E42" s="4" t="str">
        <x:v>Raw source</x:v>
      </x:c>
      <x:c r="F42" s="14" t="n">
        <x:f>IFERROR(INDEX(Items!$AJ$6:$AJ$1005,MATCH(A42,Items!$A$6:$A$1005,0)),"MISSING ID")</x:f>
        <x:v>0</x:v>
      </x:c>
      <x:c r="G42" s="4" t="str">
        <x:v>Source, recovery or issue route applies</x:v>
      </x:c>
      <x:c r="H42" s="4" t="str">
        <x:v>Not a selected manufacturing route</x:v>
      </x:c>
      <x:c r="I42" s="4" t="str">
        <x:v>Raw entry feed</x:v>
      </x:c>
      <x:c r="J42" s="4" t="str">
        <x:v>Source grade, collection, contamination and yield remain open.</x:v>
      </x:c>
    </x:row>
    <x:row r="43" ht="115" customHeight="1">
      <x:c r="A43" s="4" t="str">
        <x:v>proposal.bio.underfur</x:v>
      </x:c>
      <x:c r="B43" s="4" t="str">
        <x:f>IFERROR(INDEX(Items!$B$6:$B$1005,MATCH(A43,Items!$A$6:$A$1005,0)),"MISSING ID")</x:f>
        <x:v>Shed underfur</x:v>
      </x:c>
      <x:c r="C43" s="4" t="str">
        <x:f>IFERROR(INDEX(Items!$X$6:$X$1005,MATCH(A43,Items!$A$6:$A$1005,0)),"MISSING ID")</x:f>
        <x:v>Raw material</x:v>
      </x:c>
      <x:c r="D43" s="4" t="str">
        <x:f>IFERROR(INDEX(Items!$C$6:$C$1005,MATCH(A43,Items!$A$6:$A$1005,0)),"MISSING ID")</x:f>
        <x:v>T0</x:v>
      </x:c>
      <x:c r="E43" s="4" t="str">
        <x:v>Raw source</x:v>
      </x:c>
      <x:c r="F43" s="14" t="n">
        <x:f>IFERROR(INDEX(Items!$AJ$6:$AJ$1005,MATCH(A43,Items!$A$6:$A$1005,0)),"MISSING ID")</x:f>
        <x:v>0</x:v>
      </x:c>
      <x:c r="G43" s="4" t="str">
        <x:v>Source, recovery or issue route applies</x:v>
      </x:c>
      <x:c r="H43" s="4" t="str">
        <x:v>Not a selected manufacturing route</x:v>
      </x:c>
      <x:c r="I43" s="4" t="str">
        <x:v>Raw entry feed</x:v>
      </x:c>
      <x:c r="J43" s="4" t="str">
        <x:v>Source grade, collection, contamination and yield remain open.</x:v>
      </x:c>
    </x:row>
    <x:row r="44" ht="115" customHeight="1">
      <x:c r="A44" s="4" t="str">
        <x:v>proposal.bio.jaw</x:v>
      </x:c>
      <x:c r="B44" s="4" t="str">
        <x:f>IFERROR(INDEX(Items!$B$6:$B$1005,MATCH(A44,Items!$A$6:$A$1005,0)),"MISSING ID")</x:f>
        <x:v>Dense jaw plates</x:v>
      </x:c>
      <x:c r="C44" s="4" t="str">
        <x:f>IFERROR(INDEX(Items!$X$6:$X$1005,MATCH(A44,Items!$A$6:$A$1005,0)),"MISSING ID")</x:f>
        <x:v>Raw material</x:v>
      </x:c>
      <x:c r="D44" s="4" t="str">
        <x:f>IFERROR(INDEX(Items!$C$6:$C$1005,MATCH(A44,Items!$A$6:$A$1005,0)),"MISSING ID")</x:f>
        <x:v>T0</x:v>
      </x:c>
      <x:c r="E44" s="4" t="str">
        <x:v>Raw source</x:v>
      </x:c>
      <x:c r="F44" s="14" t="n">
        <x:f>IFERROR(INDEX(Items!$AJ$6:$AJ$1005,MATCH(A44,Items!$A$6:$A$1005,0)),"MISSING ID")</x:f>
        <x:v>0</x:v>
      </x:c>
      <x:c r="G44" s="4" t="str">
        <x:v>Source, recovery or issue route applies</x:v>
      </x:c>
      <x:c r="H44" s="4" t="str">
        <x:v>Not a selected manufacturing route</x:v>
      </x:c>
      <x:c r="I44" s="4" t="str">
        <x:v>Raw entry feed</x:v>
      </x:c>
      <x:c r="J44" s="4" t="str">
        <x:v>Source grade, collection, contamination and yield remain open.</x:v>
      </x:c>
    </x:row>
    <x:row r="45" ht="115" customHeight="1">
      <x:c r="A45" s="4" t="str">
        <x:v>proposal.bio.membrane</x:v>
      </x:c>
      <x:c r="B45" s="4" t="str">
        <x:f>IFERROR(INDEX(Items!$B$6:$B$1005,MATCH(A45,Items!$A$6:$A$1005,0)),"MISSING ID")</x:f>
        <x:v>Dried joint membrane</x:v>
      </x:c>
      <x:c r="C45" s="4" t="str">
        <x:f>IFERROR(INDEX(Items!$X$6:$X$1005,MATCH(A45,Items!$A$6:$A$1005,0)),"MISSING ID")</x:f>
        <x:v>Raw material</x:v>
      </x:c>
      <x:c r="D45" s="4" t="str">
        <x:f>IFERROR(INDEX(Items!$C$6:$C$1005,MATCH(A45,Items!$A$6:$A$1005,0)),"MISSING ID")</x:f>
        <x:v>T0</x:v>
      </x:c>
      <x:c r="E45" s="4" t="str">
        <x:v>Raw source</x:v>
      </x:c>
      <x:c r="F45" s="14" t="n">
        <x:f>IFERROR(INDEX(Items!$AJ$6:$AJ$1005,MATCH(A45,Items!$A$6:$A$1005,0)),"MISSING ID")</x:f>
        <x:v>0</x:v>
      </x:c>
      <x:c r="G45" s="4" t="str">
        <x:v>Source, recovery or issue route applies</x:v>
      </x:c>
      <x:c r="H45" s="4" t="str">
        <x:v>Not a selected manufacturing route</x:v>
      </x:c>
      <x:c r="I45" s="4" t="str">
        <x:v>Raw entry feed</x:v>
      </x:c>
      <x:c r="J45" s="4" t="str">
        <x:v>Source grade, collection, contamination and yield remain open.</x:v>
      </x:c>
    </x:row>
    <x:row r="46" ht="115" customHeight="1">
      <x:c r="A46" s="4" t="str">
        <x:v>proposal.bio.fat</x:v>
      </x:c>
      <x:c r="B46" s="4" t="str">
        <x:f>IFERROR(INDEX(Items!$B$6:$B$1005,MATCH(A46,Items!$A$6:$A$1005,0)),"MISSING ID")</x:f>
        <x:v>Unverified fat-like tissue concept</x:v>
      </x:c>
      <x:c r="C46" s="4" t="str">
        <x:f>IFERROR(INDEX(Items!$X$6:$X$1005,MATCH(A46,Items!$A$6:$A$1005,0)),"MISSING ID")</x:f>
        <x:v>Raw material</x:v>
      </x:c>
      <x:c r="D46" s="4" t="str">
        <x:f>IFERROR(INDEX(Items!$C$6:$C$1005,MATCH(A46,Items!$A$6:$A$1005,0)),"MISSING ID")</x:f>
        <x:v>Unassigned</x:v>
      </x:c>
      <x:c r="E46" s="4" t="str">
        <x:v>Withheld</x:v>
      </x:c>
      <x:c r="F46" s="14" t="n">
        <x:f>IFERROR(INDEX(Items!$AJ$6:$AJ$1005,MATCH(A46,Items!$A$6:$A$1005,0)),"MISSING ID")</x:f>
        <x:v>0</x:v>
      </x:c>
      <x:c r="G46" s="4" t="str">
        <x:v>Source, recovery or issue route applies</x:v>
      </x:c>
      <x:c r="H46" s="4" t="str">
        <x:v>Not a selected manufacturing route</x:v>
      </x:c>
      <x:c r="I46" s="4" t="str">
        <x:v>Withheld premise</x:v>
      </x:c>
      <x:c r="J46" s="4" t="str">
        <x:v>Unverified fat-like tissue concept. Unsupported fat/wax anatomy remains withheld and outside selected material paths.</x:v>
      </x:c>
    </x:row>
    <x:row r="47" ht="115" customHeight="1">
      <x:c r="A47" s="4" t="str">
        <x:v>proposal.bio.organ</x:v>
      </x:c>
      <x:c r="B47" s="4" t="str">
        <x:f>IFERROR(INDEX(Items!$B$6:$B$1005,MATCH(A47,Items!$A$6:$A$1005,0)),"MISSING ID")</x:f>
        <x:v>Charge-organ tissue</x:v>
      </x:c>
      <x:c r="C47" s="4" t="str">
        <x:f>IFERROR(INDEX(Items!$X$6:$X$1005,MATCH(A47,Items!$A$6:$A$1005,0)),"MISSING ID")</x:f>
        <x:v>Raw material</x:v>
      </x:c>
      <x:c r="D47" s="4" t="str">
        <x:f>IFERROR(INDEX(Items!$C$6:$C$1005,MATCH(A47,Items!$A$6:$A$1005,0)),"MISSING ID")</x:f>
        <x:v>T0</x:v>
      </x:c>
      <x:c r="E47" s="4" t="str">
        <x:v>Raw source</x:v>
      </x:c>
      <x:c r="F47" s="14" t="n">
        <x:f>IFERROR(INDEX(Items!$AJ$6:$AJ$1005,MATCH(A47,Items!$A$6:$A$1005,0)),"MISSING ID")</x:f>
        <x:v>0</x:v>
      </x:c>
      <x:c r="G47" s="4" t="str">
        <x:v>Source, recovery or issue route applies</x:v>
      </x:c>
      <x:c r="H47" s="4" t="str">
        <x:v>Not a selected manufacturing route</x:v>
      </x:c>
      <x:c r="I47" s="4" t="str">
        <x:v>Raw entry feed</x:v>
      </x:c>
      <x:c r="J47" s="4" t="str">
        <x:v>Source grade, collection, contamination and yield remain open.</x:v>
      </x:c>
    </x:row>
    <x:row r="48" ht="115" customHeight="1">
      <x:c r="A48" s="4" t="str">
        <x:v>proposal.bio.laminate</x:v>
      </x:c>
      <x:c r="B48" s="4" t="str">
        <x:f>IFERROR(INDEX(Items!$B$6:$B$1005,MATCH(A48,Items!$A$6:$A$1005,0)),"MISSING ID")</x:f>
        <x:v>Shell laminate</x:v>
      </x:c>
      <x:c r="C48" s="4" t="str">
        <x:f>IFERROR(INDEX(Items!$X$6:$X$1005,MATCH(A48,Items!$A$6:$A$1005,0)),"MISSING ID")</x:f>
        <x:v>Crafting component</x:v>
      </x:c>
      <x:c r="D48" s="4" t="str">
        <x:f>IFERROR(INDEX(Items!$C$6:$C$1005,MATCH(A48,Items!$A$6:$A$1005,0)),"MISSING ID")</x:f>
        <x:v>T2</x:v>
      </x:c>
      <x:c r="E48" s="4" t="str">
        <x:v>Manufactured stock / part</x:v>
      </x:c>
      <x:c r="F48" s="14" t="n">
        <x:f>IFERROR(INDEX(Items!$AJ$6:$AJ$1005,MATCH(A48,Items!$A$6:$A$1005,0)),"MISSING ID")</x:f>
        <x:v>2</x:v>
      </x:c>
      <x:c r="G48" s="4" t="str">
        <x:v>Traced to cataloged T0 and/or recovered feeds</x:v>
      </x:c>
      <x:c r="H48" s="4" t="str">
        <x:v>Husk-sheet cutting shears, Hand-cranked metal drill and Ceramic abrasive disc as applicable; compatible contained biological preparation and low-yield material handling required.</x:v>
      </x:c>
      <x:c r="I48" s="4" t="str">
        <x:v>Candidate path traced</x:v>
      </x:c>
      <x:c r="J48" s="4" t="str">
        <x:v>Dimensions, grade, process qualification, quantity and yield remain open.</x:v>
      </x:c>
    </x:row>
    <x:row r="49" ht="115" customHeight="1">
      <x:c r="A49" s="4" t="str">
        <x:v>proposal.bio.cord</x:v>
      </x:c>
      <x:c r="B49" s="4" t="str">
        <x:f>IFERROR(INDEX(Items!$B$6:$B$1005,MATCH(A49,Items!$A$6:$A$1005,0)),"MISSING ID")</x:f>
        <x:v>Tendon cord</x:v>
      </x:c>
      <x:c r="C49" s="4" t="str">
        <x:f>IFERROR(INDEX(Items!$X$6:$X$1005,MATCH(A49,Items!$A$6:$A$1005,0)),"MISSING ID")</x:f>
        <x:v>Crafting component</x:v>
      </x:c>
      <x:c r="D49" s="4" t="str">
        <x:f>IFERROR(INDEX(Items!$C$6:$C$1005,MATCH(A49,Items!$A$6:$A$1005,0)),"MISSING ID")</x:f>
        <x:v>T1</x:v>
      </x:c>
      <x:c r="E49" s="4" t="str">
        <x:v>Manufactured stock / part</x:v>
      </x:c>
      <x:c r="F49" s="14" t="n">
        <x:f>IFERROR(INDEX(Items!$AJ$6:$AJ$1005,MATCH(A49,Items!$A$6:$A$1005,0)),"MISSING ID")</x:f>
        <x:v>1</x:v>
      </x:c>
      <x:c r="G49" s="4" t="str">
        <x:v>Traced to cataloged T0 and/or recovered feeds</x:v>
      </x:c>
      <x:c r="H49" s="4" t="str">
        <x:v>Husk-sheet cutting shears, Hand-cranked metal drill and Ceramic abrasive disc as applicable; compatible contained biological preparation and low-yield material handling required.</x:v>
      </x:c>
      <x:c r="I49" s="4" t="str">
        <x:v>Candidate path traced</x:v>
      </x:c>
      <x:c r="J49" s="4" t="str">
        <x:v>Dimensions, grade, process qualification, quantity and yield remain open.</x:v>
      </x:c>
    </x:row>
    <x:row r="50" ht="115" customHeight="1">
      <x:c r="A50" s="4" t="str">
        <x:v>proposal.bio.brush</x:v>
      </x:c>
      <x:c r="B50" s="4" t="str">
        <x:f>IFERROR(INDEX(Items!$B$6:$B$1005,MATCH(A50,Items!$A$6:$A$1005,0)),"MISSING ID")</x:f>
        <x:v>Bristle brush strips</x:v>
      </x:c>
      <x:c r="C50" s="4" t="str">
        <x:f>IFERROR(INDEX(Items!$X$6:$X$1005,MATCH(A50,Items!$A$6:$A$1005,0)),"MISSING ID")</x:f>
        <x:v>Crafting component</x:v>
      </x:c>
      <x:c r="D50" s="4" t="str">
        <x:f>IFERROR(INDEX(Items!$C$6:$C$1005,MATCH(A50,Items!$A$6:$A$1005,0)),"MISSING ID")</x:f>
        <x:v>T2</x:v>
      </x:c>
      <x:c r="E50" s="4" t="str">
        <x:v>Manufactured stock / part</x:v>
      </x:c>
      <x:c r="F50" s="14" t="n">
        <x:f>IFERROR(INDEX(Items!$AJ$6:$AJ$1005,MATCH(A50,Items!$A$6:$A$1005,0)),"MISSING ID")</x:f>
        <x:v>2</x:v>
      </x:c>
      <x:c r="G50" s="4" t="str">
        <x:v>Traced to cataloged T0 and/or recovered feeds</x:v>
      </x:c>
      <x:c r="H50" s="4" t="str">
        <x:v>Husk-sheet cutting shears, pressure fixtures and dedicated preparation surfaces. Very low hide/fur yield; no ordinary cloth or plant inputs.</x:v>
      </x:c>
      <x:c r="I50" s="4" t="str">
        <x:v>Candidate path traced</x:v>
      </x:c>
      <x:c r="J50" s="4" t="str">
        <x:v>Dimensions, grade, process qualification, quantity and yield remain open.</x:v>
      </x:c>
    </x:row>
    <x:row r="51" ht="115" customHeight="1">
      <x:c r="A51" s="4" t="str">
        <x:v>proposal.bio.liner</x:v>
      </x:c>
      <x:c r="B51" s="4" t="str">
        <x:f>IFERROR(INDEX(Items!$B$6:$B$1005,MATCH(A51,Items!$A$6:$A$1005,0)),"MISSING ID")</x:f>
        <x:v>Pressed fur-fiber material</x:v>
      </x:c>
      <x:c r="C51" s="4" t="str">
        <x:f>IFERROR(INDEX(Items!$X$6:$X$1005,MATCH(A51,Items!$A$6:$A$1005,0)),"MISSING ID")</x:f>
        <x:v>Processed material</x:v>
      </x:c>
      <x:c r="D51" s="4" t="str">
        <x:f>IFERROR(INDEX(Items!$C$6:$C$1005,MATCH(A51,Items!$A$6:$A$1005,0)),"MISSING ID")</x:f>
        <x:v>T1</x:v>
      </x:c>
      <x:c r="E51" s="4" t="str">
        <x:v>Manufactured stock / part</x:v>
      </x:c>
      <x:c r="F51" s="14" t="n">
        <x:f>IFERROR(INDEX(Items!$AJ$6:$AJ$1005,MATCH(A51,Items!$A$6:$A$1005,0)),"MISSING ID")</x:f>
        <x:v>1</x:v>
      </x:c>
      <x:c r="G51" s="4" t="str">
        <x:v>Traced to cataloged T0 and/or recovered feeds</x:v>
      </x:c>
      <x:c r="H51" s="4" t="str">
        <x:v>Husk-sheet cutting shears, pressure fixtures and dedicated preparation surfaces. Very low hide/fur yield; no ordinary cloth or plant inputs.</x:v>
      </x:c>
      <x:c r="I51" s="4" t="str">
        <x:v>Candidate path traced</x:v>
      </x:c>
      <x:c r="J51" s="4" t="str">
        <x:v>Dimensions, grade, process qualification, quantity and yield remain open.</x:v>
      </x:c>
    </x:row>
    <x:row r="52" ht="115" customHeight="1">
      <x:c r="A52" s="4" t="str">
        <x:v>proposal.bio.insert</x:v>
      </x:c>
      <x:c r="B52" s="4" t="str">
        <x:f>IFERROR(INDEX(Items!$B$6:$B$1005,MATCH(A52,Items!$A$6:$A$1005,0)),"MISSING ID")</x:f>
        <x:v>Jaw cutting insert</x:v>
      </x:c>
      <x:c r="C52" s="4" t="str">
        <x:f>IFERROR(INDEX(Items!$X$6:$X$1005,MATCH(A52,Items!$A$6:$A$1005,0)),"MISSING ID")</x:f>
        <x:v>Crafting component</x:v>
      </x:c>
      <x:c r="D52" s="4" t="str">
        <x:f>IFERROR(INDEX(Items!$C$6:$C$1005,MATCH(A52,Items!$A$6:$A$1005,0)),"MISSING ID")</x:f>
        <x:v>T2</x:v>
      </x:c>
      <x:c r="E52" s="4" t="str">
        <x:v>Manufactured stock / part</x:v>
      </x:c>
      <x:c r="F52" s="14" t="n">
        <x:f>IFERROR(INDEX(Items!$AJ$6:$AJ$1005,MATCH(A52,Items!$A$6:$A$1005,0)),"MISSING ID")</x:f>
        <x:v>2</x:v>
      </x:c>
      <x:c r="G52" s="4" t="str">
        <x:v>Traced to cataloged T0 and/or recovered feeds</x:v>
      </x:c>
      <x:c r="H52" s="4" t="str">
        <x:v>Husk-sheet cutting shears, Hand-cranked metal drill and Ceramic abrasive disc as applicable; compatible contained biological preparation and low-yield material handling required.</x:v>
      </x:c>
      <x:c r="I52" s="4" t="str">
        <x:v>Candidate path traced</x:v>
      </x:c>
      <x:c r="J52" s="4" t="str">
        <x:v>Dimensions, grade, process qualification, quantity and yield remain open.</x:v>
      </x:c>
    </x:row>
    <x:row r="53" ht="115" customHeight="1">
      <x:c r="A53" s="4" t="str">
        <x:v>proposal.bio.seal</x:v>
      </x:c>
      <x:c r="B53" s="4" t="str">
        <x:f>IFERROR(INDEX(Items!$B$6:$B$1005,MATCH(A53,Items!$A$6:$A$1005,0)),"MISSING ID")</x:f>
        <x:v>Membrane seal patches</x:v>
      </x:c>
      <x:c r="C53" s="4" t="str">
        <x:f>IFERROR(INDEX(Items!$X$6:$X$1005,MATCH(A53,Items!$A$6:$A$1005,0)),"MISSING ID")</x:f>
        <x:v>Crafting component</x:v>
      </x:c>
      <x:c r="D53" s="4" t="str">
        <x:f>IFERROR(INDEX(Items!$C$6:$C$1005,MATCH(A53,Items!$A$6:$A$1005,0)),"MISSING ID")</x:f>
        <x:v>T1</x:v>
      </x:c>
      <x:c r="E53" s="4" t="str">
        <x:v>Manufactured stock / part</x:v>
      </x:c>
      <x:c r="F53" s="14" t="n">
        <x:f>IFERROR(INDEX(Items!$AJ$6:$AJ$1005,MATCH(A53,Items!$A$6:$A$1005,0)),"MISSING ID")</x:f>
        <x:v>1</x:v>
      </x:c>
      <x:c r="G53" s="4" t="str">
        <x:v>Traced to cataloged T0 and/or recovered feeds</x:v>
      </x:c>
      <x:c r="H53" s="4" t="str">
        <x:v>Husk-sheet cutting shears, Hand-cranked metal drill and Ceramic abrasive disc as applicable; compatible contained biological preparation and low-yield material handling required.</x:v>
      </x:c>
      <x:c r="I53" s="4" t="str">
        <x:v>Candidate path traced</x:v>
      </x:c>
      <x:c r="J53" s="4" t="str">
        <x:v>Dimensions, grade, process qualification, quantity and yield remain open.</x:v>
      </x:c>
    </x:row>
    <x:row r="54" ht="115" customHeight="1">
      <x:c r="A54" s="4" t="str">
        <x:v>proposal.bio.wax</x:v>
      </x:c>
      <x:c r="B54" s="4" t="str">
        <x:f>IFERROR(INDEX(Items!$B$6:$B$1005,MATCH(A54,Items!$A$6:$A$1005,0)),"MISSING ID")</x:f>
        <x:v>Solid biological wax</x:v>
      </x:c>
      <x:c r="C54" s="4" t="str">
        <x:f>IFERROR(INDEX(Items!$X$6:$X$1005,MATCH(A54,Items!$A$6:$A$1005,0)),"MISSING ID")</x:f>
        <x:v>Processed material</x:v>
      </x:c>
      <x:c r="D54" s="4" t="str">
        <x:f>IFERROR(INDEX(Items!$C$6:$C$1005,MATCH(A54,Items!$A$6:$A$1005,0)),"MISSING ID")</x:f>
        <x:v>Unassigned</x:v>
      </x:c>
      <x:c r="E54" s="4" t="str">
        <x:v>Withheld</x:v>
      </x:c>
      <x:c r="F54" s="14" t="n">
        <x:f>IFERROR(INDEX(Items!$AJ$6:$AJ$1005,MATCH(A54,Items!$A$6:$A$1005,0)),"MISSING ID")</x:f>
        <x:v>1</x:v>
      </x:c>
      <x:c r="G54" s="4" t="str">
        <x:v>Source, recovery or issue route applies</x:v>
      </x:c>
      <x:c r="H54" s="4" t="str">
        <x:v>Not a selected manufacturing route</x:v>
      </x:c>
      <x:c r="I54" s="4" t="str">
        <x:v>Withheld premise</x:v>
      </x:c>
      <x:c r="J54" s="4" t="str">
        <x:v>Solid biological wax. Unsupported fat/wax anatomy remains withheld and outside selected material paths.</x:v>
      </x:c>
    </x:row>
    <x:row r="55" ht="115" customHeight="1">
      <x:c r="A55" s="4" t="str">
        <x:v>proposal.bio.electrode</x:v>
      </x:c>
      <x:c r="B55" s="4" t="str">
        <x:f>IFERROR(INDEX(Items!$B$6:$B$1005,MATCH(A55,Items!$A$6:$A$1005,0)),"MISSING ID")</x:f>
        <x:v>Dry organ electrode scaffold</x:v>
      </x:c>
      <x:c r="C55" s="4" t="str">
        <x:f>IFERROR(INDEX(Items!$X$6:$X$1005,MATCH(A55,Items!$A$6:$A$1005,0)),"MISSING ID")</x:f>
        <x:v>Crafting component</x:v>
      </x:c>
      <x:c r="D55" s="4" t="str">
        <x:f>IFERROR(INDEX(Items!$C$6:$C$1005,MATCH(A55,Items!$A$6:$A$1005,0)),"MISSING ID")</x:f>
        <x:v>T1</x:v>
      </x:c>
      <x:c r="E55" s="4" t="str">
        <x:v>Manufactured stock / part</x:v>
      </x:c>
      <x:c r="F55" s="14" t="n">
        <x:f>IFERROR(INDEX(Items!$AJ$6:$AJ$1005,MATCH(A55,Items!$A$6:$A$1005,0)),"MISSING ID")</x:f>
        <x:v>2</x:v>
      </x:c>
      <x:c r="G55" s="4" t="str">
        <x:v>Traced to cataloged T0 and/or recovered feeds</x:v>
      </x:c>
      <x:c r="H55" s="4" t="str">
        <x:v>Husk-sheet cutting shears, Hand-cranked metal drill and Ceramic abrasive disc as applicable; compatible contained biological preparation and low-yield material handling required.</x:v>
      </x:c>
      <x:c r="I55" s="4" t="str">
        <x:v>Candidate path traced</x:v>
      </x:c>
      <x:c r="J55" s="4" t="str">
        <x:v>Dimensions, grade, process qualification, quantity and yield remain open.</x:v>
      </x:c>
    </x:row>
    <x:row r="56" ht="115" customHeight="1">
      <x:c r="A56" s="4" t="str">
        <x:v>proposal.natural.charcoal</x:v>
      </x:c>
      <x:c r="B56" s="4" t="str">
        <x:f>IFERROR(INDEX(Items!$B$6:$B$1005,MATCH(A56,Items!$A$6:$A$1005,0)),"MISSING ID")</x:f>
        <x:v>Charcoal</x:v>
      </x:c>
      <x:c r="C56" s="4" t="str">
        <x:f>IFERROR(INDEX(Items!$X$6:$X$1005,MATCH(A56,Items!$A$6:$A$1005,0)),"MISSING ID")</x:f>
        <x:v>Processed material</x:v>
      </x:c>
      <x:c r="D56" s="4" t="str">
        <x:f>IFERROR(INDEX(Items!$C$6:$C$1005,MATCH(A56,Items!$A$6:$A$1005,0)),"MISSING ID")</x:f>
        <x:v>T1</x:v>
      </x:c>
      <x:c r="E56" s="4" t="str">
        <x:v>Manufactured stock / part</x:v>
      </x:c>
      <x:c r="F56" s="14" t="n">
        <x:f>IFERROR(INDEX(Items!$AJ$6:$AJ$1005,MATCH(A56,Items!$A$6:$A$1005,0)),"MISSING ID")</x:f>
        <x:v>2</x:v>
      </x:c>
      <x:c r="G56" s="4" t="str">
        <x:v>Traced to cataloged T0 and/or recovered feeds</x:v>
      </x:c>
      <x:c r="H56" s="4" t="str">
        <x:v>Forge hearth, Anvil, Forging hammer, Smithing tongs, Metalworking file and Hand-cranked metal drill as applicable. Existing workshop bootstrap and controlled heating/cooling required; no free-water quench assumed.</x:v>
      </x:c>
      <x:c r="I56" s="4" t="str">
        <x:v>Candidate path traced</x:v>
      </x:c>
      <x:c r="J56" s="4" t="str">
        <x:v>Dimensions, grade, process qualification, quantity and yield remain open.</x:v>
      </x:c>
    </x:row>
    <x:row r="57" ht="115" customHeight="1">
      <x:c r="A57" s="4" t="str">
        <x:v>proposal.natural.copper_stone</x:v>
      </x:c>
      <x:c r="B57" s="4" t="str">
        <x:f>IFERROR(INDEX(Items!$B$6:$B$1005,MATCH(A57,Items!$A$6:$A$1005,0)),"MISSING ID")</x:f>
        <x:v>Unprocessed copper-rich stone</x:v>
      </x:c>
      <x:c r="C57" s="4" t="str">
        <x:f>IFERROR(INDEX(Items!$X$6:$X$1005,MATCH(A57,Items!$A$6:$A$1005,0)),"MISSING ID")</x:f>
        <x:v>Raw material</x:v>
      </x:c>
      <x:c r="D57" s="4" t="str">
        <x:f>IFERROR(INDEX(Items!$C$6:$C$1005,MATCH(A57,Items!$A$6:$A$1005,0)),"MISSING ID")</x:f>
        <x:v>T0</x:v>
      </x:c>
      <x:c r="E57" s="4" t="str">
        <x:v>Raw source</x:v>
      </x:c>
      <x:c r="F57" s="14" t="n">
        <x:f>IFERROR(INDEX(Items!$AJ$6:$AJ$1005,MATCH(A57,Items!$A$6:$A$1005,0)),"MISSING ID")</x:f>
        <x:v>0</x:v>
      </x:c>
      <x:c r="G57" s="4" t="str">
        <x:v>Source, recovery or issue route applies</x:v>
      </x:c>
      <x:c r="H57" s="4" t="str">
        <x:v>Not a selected manufacturing route</x:v>
      </x:c>
      <x:c r="I57" s="4" t="str">
        <x:v>Raw entry feed</x:v>
      </x:c>
      <x:c r="J57" s="4" t="str">
        <x:v>Source grade, collection, contamination and yield remain open.</x:v>
      </x:c>
    </x:row>
    <x:row r="58" ht="115" customHeight="1">
      <x:c r="A58" s="4" t="str">
        <x:v>proposal.natural.copper_ore</x:v>
      </x:c>
      <x:c r="B58" s="4" t="str">
        <x:f>IFERROR(INDEX(Items!$B$6:$B$1005,MATCH(A58,Items!$A$6:$A$1005,0)),"MISSING ID")</x:f>
        <x:v>Copper ore</x:v>
      </x:c>
      <x:c r="C58" s="4" t="str">
        <x:f>IFERROR(INDEX(Items!$X$6:$X$1005,MATCH(A58,Items!$A$6:$A$1005,0)),"MISSING ID")</x:f>
        <x:v>Raw material</x:v>
      </x:c>
      <x:c r="D58" s="4" t="str">
        <x:f>IFERROR(INDEX(Items!$C$6:$C$1005,MATCH(A58,Items!$A$6:$A$1005,0)),"MISSING ID")</x:f>
        <x:v>T1</x:v>
      </x:c>
      <x:c r="E58" s="4" t="str">
        <x:v>Manufactured stock / part</x:v>
      </x:c>
      <x:c r="F58" s="14" t="n">
        <x:f>IFERROR(INDEX(Items!$AJ$6:$AJ$1005,MATCH(A58,Items!$A$6:$A$1005,0)),"MISSING ID")</x:f>
        <x:v>2</x:v>
      </x:c>
      <x:c r="G58" s="4" t="str">
        <x:v>Traced to cataloged T0 and/or recovered feeds</x:v>
      </x:c>
      <x:c r="H58" s="4" t="str">
        <x:v>Ceramic grinding mortar, Ceramic pestle, Ceramic abrasive disc and stone-cutting fixtures as applicable; grade selection and finishing qualification required.</x:v>
      </x:c>
      <x:c r="I58" s="4" t="str">
        <x:v>Candidate path traced</x:v>
      </x:c>
      <x:c r="J58" s="4" t="str">
        <x:v>Dimensions, grade, process qualification, quantity and yield remain open.</x:v>
      </x:c>
    </x:row>
    <x:row r="59" ht="115" customHeight="1">
      <x:c r="A59" s="4" t="str">
        <x:v>proposal.natural.raw_copper</x:v>
      </x:c>
      <x:c r="B59" s="4" t="str">
        <x:f>IFERROR(INDEX(Items!$B$6:$B$1005,MATCH(A59,Items!$A$6:$A$1005,0)),"MISSING ID")</x:f>
        <x:v>Raw copper lump</x:v>
      </x:c>
      <x:c r="C59" s="4" t="str">
        <x:f>IFERROR(INDEX(Items!$X$6:$X$1005,MATCH(A59,Items!$A$6:$A$1005,0)),"MISSING ID")</x:f>
        <x:v>Processed material</x:v>
      </x:c>
      <x:c r="D59" s="4" t="str">
        <x:f>IFERROR(INDEX(Items!$C$6:$C$1005,MATCH(A59,Items!$A$6:$A$1005,0)),"MISSING ID")</x:f>
        <x:v>T0</x:v>
      </x:c>
      <x:c r="E59" s="4" t="str">
        <x:v>Raw source</x:v>
      </x:c>
      <x:c r="F59" s="14" t="n">
        <x:f>IFERROR(INDEX(Items!$AJ$6:$AJ$1005,MATCH(A59,Items!$A$6:$A$1005,0)),"MISSING ID")</x:f>
        <x:v>1</x:v>
      </x:c>
      <x:c r="G59" s="4" t="str">
        <x:v>Source, recovery or issue route applies</x:v>
      </x:c>
      <x:c r="H59" s="4" t="str">
        <x:v>Not a selected manufacturing route</x:v>
      </x:c>
      <x:c r="I59" s="4" t="str">
        <x:v>Raw entry feed</x:v>
      </x:c>
      <x:c r="J59" s="4" t="str">
        <x:v>Source grade, collection, contamination and yield remain open.</x:v>
      </x:c>
    </x:row>
    <x:row r="60" ht="115" customHeight="1">
      <x:c r="A60" s="4" t="str">
        <x:v>proposal.natural.tungsten_ore</x:v>
      </x:c>
      <x:c r="B60" s="4" t="str">
        <x:f>IFERROR(INDEX(Items!$B$6:$B$1005,MATCH(A60,Items!$A$6:$A$1005,0)),"MISSING ID")</x:f>
        <x:v>Tungsten-bearing ore</x:v>
      </x:c>
      <x:c r="C60" s="4" t="str">
        <x:f>IFERROR(INDEX(Items!$X$6:$X$1005,MATCH(A60,Items!$A$6:$A$1005,0)),"MISSING ID")</x:f>
        <x:v>Raw material</x:v>
      </x:c>
      <x:c r="D60" s="4" t="str">
        <x:f>IFERROR(INDEX(Items!$C$6:$C$1005,MATCH(A60,Items!$A$6:$A$1005,0)),"MISSING ID")</x:f>
        <x:v>T0</x:v>
      </x:c>
      <x:c r="E60" s="4" t="str">
        <x:v>Raw source</x:v>
      </x:c>
      <x:c r="F60" s="14" t="n">
        <x:f>IFERROR(INDEX(Items!$AJ$6:$AJ$1005,MATCH(A60,Items!$A$6:$A$1005,0)),"MISSING ID")</x:f>
        <x:v>0</x:v>
      </x:c>
      <x:c r="G60" s="4" t="str">
        <x:v>Source, recovery or issue route applies</x:v>
      </x:c>
      <x:c r="H60" s="4" t="str">
        <x:v>Not a selected manufacturing route</x:v>
      </x:c>
      <x:c r="I60" s="4" t="str">
        <x:v>Raw entry feed</x:v>
      </x:c>
      <x:c r="J60" s="4" t="str">
        <x:v>Source grade, collection, contamination and yield remain open.</x:v>
      </x:c>
    </x:row>
    <x:row r="61" ht="115" customHeight="1">
      <x:c r="A61" s="4" t="str">
        <x:v>proposal.natural.magnesium_rock</x:v>
      </x:c>
      <x:c r="B61" s="4" t="str">
        <x:f>IFERROR(INDEX(Items!$B$6:$B$1005,MATCH(A61,Items!$A$6:$A$1005,0)),"MISSING ID")</x:f>
        <x:v>Magnesium-bearing rock</x:v>
      </x:c>
      <x:c r="C61" s="4" t="str">
        <x:f>IFERROR(INDEX(Items!$X$6:$X$1005,MATCH(A61,Items!$A$6:$A$1005,0)),"MISSING ID")</x:f>
        <x:v>Raw material</x:v>
      </x:c>
      <x:c r="D61" s="4" t="str">
        <x:f>IFERROR(INDEX(Items!$C$6:$C$1005,MATCH(A61,Items!$A$6:$A$1005,0)),"MISSING ID")</x:f>
        <x:v>T0</x:v>
      </x:c>
      <x:c r="E61" s="4" t="str">
        <x:v>Raw source</x:v>
      </x:c>
      <x:c r="F61" s="14" t="n">
        <x:f>IFERROR(INDEX(Items!$AJ$6:$AJ$1005,MATCH(A61,Items!$A$6:$A$1005,0)),"MISSING ID")</x:f>
        <x:v>0</x:v>
      </x:c>
      <x:c r="G61" s="4" t="str">
        <x:v>Source, recovery or issue route applies</x:v>
      </x:c>
      <x:c r="H61" s="4" t="str">
        <x:v>Not a selected manufacturing route</x:v>
      </x:c>
      <x:c r="I61" s="4" t="str">
        <x:v>Raw entry feed</x:v>
      </x:c>
      <x:c r="J61" s="4" t="str">
        <x:v>Source grade, collection, contamination and yield remain open.</x:v>
      </x:c>
    </x:row>
    <x:row r="62" ht="115" customHeight="1">
      <x:c r="A62" s="4" t="str">
        <x:v>proposal.natural.raw_magnesium</x:v>
      </x:c>
      <x:c r="B62" s="4" t="str">
        <x:f>IFERROR(INDEX(Items!$B$6:$B$1005,MATCH(A62,Items!$A$6:$A$1005,0)),"MISSING ID")</x:f>
        <x:v>Raw magnesium metal</x:v>
      </x:c>
      <x:c r="C62" s="4" t="str">
        <x:f>IFERROR(INDEX(Items!$X$6:$X$1005,MATCH(A62,Items!$A$6:$A$1005,0)),"MISSING ID")</x:f>
        <x:v>Processed material</x:v>
      </x:c>
      <x:c r="D62" s="4" t="str">
        <x:f>IFERROR(INDEX(Items!$C$6:$C$1005,MATCH(A62,Items!$A$6:$A$1005,0)),"MISSING ID")</x:f>
        <x:v>T0</x:v>
      </x:c>
      <x:c r="E62" s="4" t="str">
        <x:v>Raw source</x:v>
      </x:c>
      <x:c r="F62" s="14" t="n">
        <x:f>IFERROR(INDEX(Items!$AJ$6:$AJ$1005,MATCH(A62,Items!$A$6:$A$1005,0)),"MISSING ID")</x:f>
        <x:v>1</x:v>
      </x:c>
      <x:c r="G62" s="4" t="str">
        <x:v>Source, recovery or issue route applies</x:v>
      </x:c>
      <x:c r="H62" s="4" t="str">
        <x:v>Not a selected manufacturing route</x:v>
      </x:c>
      <x:c r="I62" s="4" t="str">
        <x:v>Raw entry feed</x:v>
      </x:c>
      <x:c r="J62" s="4" t="str">
        <x:v>Source grade, collection, contamination and yield remain open.</x:v>
      </x:c>
    </x:row>
    <x:row r="63" ht="115" customHeight="1">
      <x:c r="A63" s="4" t="str">
        <x:v>proposal.natural.hematite</x:v>
      </x:c>
      <x:c r="B63" s="4" t="str">
        <x:f>IFERROR(INDEX(Items!$B$6:$B$1005,MATCH(A63,Items!$A$6:$A$1005,0)),"MISSING ID")</x:f>
        <x:v>Raw hematite</x:v>
      </x:c>
      <x:c r="C63" s="4" t="str">
        <x:f>IFERROR(INDEX(Items!$X$6:$X$1005,MATCH(A63,Items!$A$6:$A$1005,0)),"MISSING ID")</x:f>
        <x:v>Raw material</x:v>
      </x:c>
      <x:c r="D63" s="4" t="str">
        <x:f>IFERROR(INDEX(Items!$C$6:$C$1005,MATCH(A63,Items!$A$6:$A$1005,0)),"MISSING ID")</x:f>
        <x:v>T0</x:v>
      </x:c>
      <x:c r="E63" s="4" t="str">
        <x:v>Raw source</x:v>
      </x:c>
      <x:c r="F63" s="14" t="n">
        <x:f>IFERROR(INDEX(Items!$AJ$6:$AJ$1005,MATCH(A63,Items!$A$6:$A$1005,0)),"MISSING ID")</x:f>
        <x:v>0</x:v>
      </x:c>
      <x:c r="G63" s="4" t="str">
        <x:v>Source, recovery or issue route applies</x:v>
      </x:c>
      <x:c r="H63" s="4" t="str">
        <x:v>Not a selected manufacturing route</x:v>
      </x:c>
      <x:c r="I63" s="4" t="str">
        <x:v>Raw entry feed</x:v>
      </x:c>
      <x:c r="J63" s="4" t="str">
        <x:v>Source grade, collection, contamination and yield remain open.</x:v>
      </x:c>
    </x:row>
    <x:row r="64" ht="115" customHeight="1">
      <x:c r="A64" s="4" t="str">
        <x:v>proposal.natural.sulfur</x:v>
      </x:c>
      <x:c r="B64" s="4" t="str">
        <x:f>IFERROR(INDEX(Items!$B$6:$B$1005,MATCH(A64,Items!$A$6:$A$1005,0)),"MISSING ID")</x:f>
        <x:v>Raw sulfur</x:v>
      </x:c>
      <x:c r="C64" s="4" t="str">
        <x:f>IFERROR(INDEX(Items!$X$6:$X$1005,MATCH(A64,Items!$A$6:$A$1005,0)),"MISSING ID")</x:f>
        <x:v>Raw material</x:v>
      </x:c>
      <x:c r="D64" s="4" t="str">
        <x:f>IFERROR(INDEX(Items!$C$6:$C$1005,MATCH(A64,Items!$A$6:$A$1005,0)),"MISSING ID")</x:f>
        <x:v>T0</x:v>
      </x:c>
      <x:c r="E64" s="4" t="str">
        <x:v>Raw source</x:v>
      </x:c>
      <x:c r="F64" s="14" t="n">
        <x:f>IFERROR(INDEX(Items!$AJ$6:$AJ$1005,MATCH(A64,Items!$A$6:$A$1005,0)),"MISSING ID")</x:f>
        <x:v>0</x:v>
      </x:c>
      <x:c r="G64" s="4" t="str">
        <x:v>Source, recovery or issue route applies</x:v>
      </x:c>
      <x:c r="H64" s="4" t="str">
        <x:v>Not a selected manufacturing route</x:v>
      </x:c>
      <x:c r="I64" s="4" t="str">
        <x:v>Raw entry feed</x:v>
      </x:c>
      <x:c r="J64" s="4" t="str">
        <x:v>Source grade, collection, contamination and yield remain open.</x:v>
      </x:c>
    </x:row>
    <x:row r="65" ht="115" customHeight="1">
      <x:c r="A65" s="4"/>
      <x:c r="B65" s="4"/>
      <x:c r="C65" s="4"/>
      <x:c r="D65" s="4"/>
      <x:c r="E65" s="4"/>
      <x:c r="F65" s="14"/>
      <x:c r="G65" s="4"/>
      <x:c r="H65" s="4"/>
      <x:c r="I65" s="4"/>
      <x:c r="J65" s="4"/>
    </x:row>
    <x:row r="66" ht="115" customHeight="1">
      <x:c r="A66" s="4" t="str">
        <x:v>proposal.natural.gypsum</x:v>
      </x:c>
      <x:c r="B66" s="4" t="str">
        <x:f>IFERROR(INDEX(Items!$B$6:$B$1005,MATCH(A66,Items!$A$6:$A$1005,0)),"MISSING ID")</x:f>
        <x:v>Raw gypsum</x:v>
      </x:c>
      <x:c r="C66" s="4" t="str">
        <x:f>IFERROR(INDEX(Items!$X$6:$X$1005,MATCH(A66,Items!$A$6:$A$1005,0)),"MISSING ID")</x:f>
        <x:v>Raw material</x:v>
      </x:c>
      <x:c r="D66" s="4" t="str">
        <x:f>IFERROR(INDEX(Items!$C$6:$C$1005,MATCH(A66,Items!$A$6:$A$1005,0)),"MISSING ID")</x:f>
        <x:v>T0</x:v>
      </x:c>
      <x:c r="E66" s="4" t="str">
        <x:v>Raw source</x:v>
      </x:c>
      <x:c r="F66" s="14" t="n">
        <x:f>IFERROR(INDEX(Items!$AJ$6:$AJ$1005,MATCH(A66,Items!$A$6:$A$1005,0)),"MISSING ID")</x:f>
        <x:v>0</x:v>
      </x:c>
      <x:c r="G66" s="4" t="str">
        <x:v>Source, recovery or issue route applies</x:v>
      </x:c>
      <x:c r="H66" s="4" t="str">
        <x:v>Not a selected manufacturing route</x:v>
      </x:c>
      <x:c r="I66" s="4" t="str">
        <x:v>Raw entry feed</x:v>
      </x:c>
      <x:c r="J66" s="4" t="str">
        <x:v>Source grade, collection, contamination and yield remain open.</x:v>
      </x:c>
    </x:row>
    <x:row r="67" ht="115" customHeight="1">
      <x:c r="A67" s="4" t="str">
        <x:v>proposal.natural.talc</x:v>
      </x:c>
      <x:c r="B67" s="4" t="str">
        <x:f>IFERROR(INDEX(Items!$B$6:$B$1005,MATCH(A67,Items!$A$6:$A$1005,0)),"MISSING ID")</x:f>
        <x:v>Raw talc</x:v>
      </x:c>
      <x:c r="C67" s="4" t="str">
        <x:f>IFERROR(INDEX(Items!$X$6:$X$1005,MATCH(A67,Items!$A$6:$A$1005,0)),"MISSING ID")</x:f>
        <x:v>Raw material</x:v>
      </x:c>
      <x:c r="D67" s="4" t="str">
        <x:f>IFERROR(INDEX(Items!$C$6:$C$1005,MATCH(A67,Items!$A$6:$A$1005,0)),"MISSING ID")</x:f>
        <x:v>T0</x:v>
      </x:c>
      <x:c r="E67" s="4" t="str">
        <x:v>Raw source</x:v>
      </x:c>
      <x:c r="F67" s="14" t="n">
        <x:f>IFERROR(INDEX(Items!$AJ$6:$AJ$1005,MATCH(A67,Items!$A$6:$A$1005,0)),"MISSING ID")</x:f>
        <x:v>0</x:v>
      </x:c>
      <x:c r="G67" s="4" t="str">
        <x:v>Source, recovery or issue route applies</x:v>
      </x:c>
      <x:c r="H67" s="4" t="str">
        <x:v>Not a selected manufacturing route</x:v>
      </x:c>
      <x:c r="I67" s="4" t="str">
        <x:v>Raw entry feed</x:v>
      </x:c>
      <x:c r="J67" s="4" t="str">
        <x:v>Source grade, collection, contamination and yield remain open.</x:v>
      </x:c>
    </x:row>
    <x:row r="68" ht="115" customHeight="1">
      <x:c r="A68" s="4"/>
      <x:c r="B68" s="4"/>
      <x:c r="C68" s="4"/>
      <x:c r="D68" s="4"/>
      <x:c r="E68" s="4"/>
      <x:c r="F68" s="14"/>
      <x:c r="G68" s="4"/>
      <x:c r="H68" s="4"/>
      <x:c r="I68" s="4"/>
      <x:c r="J68" s="4"/>
    </x:row>
    <x:row r="69" ht="115" customHeight="1">
      <x:c r="A69" s="4" t="str">
        <x:v>proposal.natural.lead_ore</x:v>
      </x:c>
      <x:c r="B69" s="4" t="str">
        <x:f>IFERROR(INDEX(Items!$B$6:$B$1005,MATCH(A69,Items!$A$6:$A$1005,0)),"MISSING ID")</x:f>
        <x:v>Lead-bearing ore</x:v>
      </x:c>
      <x:c r="C69" s="4" t="str">
        <x:f>IFERROR(INDEX(Items!$X$6:$X$1005,MATCH(A69,Items!$A$6:$A$1005,0)),"MISSING ID")</x:f>
        <x:v>Raw material</x:v>
      </x:c>
      <x:c r="D69" s="4" t="str">
        <x:f>IFERROR(INDEX(Items!$C$6:$C$1005,MATCH(A69,Items!$A$6:$A$1005,0)),"MISSING ID")</x:f>
        <x:v>T0</x:v>
      </x:c>
      <x:c r="E69" s="4" t="str">
        <x:v>Raw source</x:v>
      </x:c>
      <x:c r="F69" s="14" t="n">
        <x:f>IFERROR(INDEX(Items!$AJ$6:$AJ$1005,MATCH(A69,Items!$A$6:$A$1005,0)),"MISSING ID")</x:f>
        <x:v>0</x:v>
      </x:c>
      <x:c r="G69" s="4" t="str">
        <x:v>Source, recovery or issue route applies</x:v>
      </x:c>
      <x:c r="H69" s="4" t="str">
        <x:v>Not a selected manufacturing route</x:v>
      </x:c>
      <x:c r="I69" s="4" t="str">
        <x:v>Raw entry feed</x:v>
      </x:c>
      <x:c r="J69" s="4" t="str">
        <x:v>Source grade, collection, contamination and yield remain open.</x:v>
      </x:c>
    </x:row>
    <x:row r="70" ht="115" customHeight="1">
      <x:c r="A70" s="4" t="str">
        <x:v>proposal.natural.zinc_ore</x:v>
      </x:c>
      <x:c r="B70" s="4" t="str">
        <x:f>IFERROR(INDEX(Items!$B$6:$B$1005,MATCH(A70,Items!$A$6:$A$1005,0)),"MISSING ID")</x:f>
        <x:v>Zinc-bearing ore</x:v>
      </x:c>
      <x:c r="C70" s="4" t="str">
        <x:f>IFERROR(INDEX(Items!$X$6:$X$1005,MATCH(A70,Items!$A$6:$A$1005,0)),"MISSING ID")</x:f>
        <x:v>Raw material</x:v>
      </x:c>
      <x:c r="D70" s="4" t="str">
        <x:f>IFERROR(INDEX(Items!$C$6:$C$1005,MATCH(A70,Items!$A$6:$A$1005,0)),"MISSING ID")</x:f>
        <x:v>T0</x:v>
      </x:c>
      <x:c r="E70" s="4" t="str">
        <x:v>Raw source</x:v>
      </x:c>
      <x:c r="F70" s="14" t="n">
        <x:f>IFERROR(INDEX(Items!$AJ$6:$AJ$1005,MATCH(A70,Items!$A$6:$A$1005,0)),"MISSING ID")</x:f>
        <x:v>0</x:v>
      </x:c>
      <x:c r="G70" s="4" t="str">
        <x:v>Source, recovery or issue route applies</x:v>
      </x:c>
      <x:c r="H70" s="4" t="str">
        <x:v>Not a selected manufacturing route</x:v>
      </x:c>
      <x:c r="I70" s="4" t="str">
        <x:v>Raw entry feed</x:v>
      </x:c>
      <x:c r="J70" s="4" t="str">
        <x:v>Source grade, collection, contamination and yield remain open.</x:v>
      </x:c>
    </x:row>
    <x:row r="71" ht="115" customHeight="1">
      <x:c r="A71" s="4" t="str">
        <x:v>proposal.natural.silver_ore</x:v>
      </x:c>
      <x:c r="B71" s="4" t="str">
        <x:f>IFERROR(INDEX(Items!$B$6:$B$1005,MATCH(A71,Items!$A$6:$A$1005,0)),"MISSING ID")</x:f>
        <x:v>Silver-bearing ore</x:v>
      </x:c>
      <x:c r="C71" s="4" t="str">
        <x:f>IFERROR(INDEX(Items!$X$6:$X$1005,MATCH(A71,Items!$A$6:$A$1005,0)),"MISSING ID")</x:f>
        <x:v>Raw material</x:v>
      </x:c>
      <x:c r="D71" s="4" t="str">
        <x:f>IFERROR(INDEX(Items!$C$6:$C$1005,MATCH(A71,Items!$A$6:$A$1005,0)),"MISSING ID")</x:f>
        <x:v>T0</x:v>
      </x:c>
      <x:c r="E71" s="4" t="str">
        <x:v>Raw source</x:v>
      </x:c>
      <x:c r="F71" s="14" t="n">
        <x:f>IFERROR(INDEX(Items!$AJ$6:$AJ$1005,MATCH(A71,Items!$A$6:$A$1005,0)),"MISSING ID")</x:f>
        <x:v>0</x:v>
      </x:c>
      <x:c r="G71" s="4" t="str">
        <x:v>Source, recovery or issue route applies</x:v>
      </x:c>
      <x:c r="H71" s="4" t="str">
        <x:v>Not a selected manufacturing route</x:v>
      </x:c>
      <x:c r="I71" s="4" t="str">
        <x:v>Raw entry feed</x:v>
      </x:c>
      <x:c r="J71" s="4" t="str">
        <x:v>Source grade, collection, contamination and yield remain open.</x:v>
      </x:c>
    </x:row>
    <x:row r="72" ht="115" customHeight="1">
      <x:c r="A72" s="4" t="str">
        <x:v>proposal.natural.gold_rock</x:v>
      </x:c>
      <x:c r="B72" s="4" t="str">
        <x:f>IFERROR(INDEX(Items!$B$6:$B$1005,MATCH(A72,Items!$A$6:$A$1005,0)),"MISSING ID")</x:f>
        <x:v>Gold-bearing rock</x:v>
      </x:c>
      <x:c r="C72" s="4" t="str">
        <x:f>IFERROR(INDEX(Items!$X$6:$X$1005,MATCH(A72,Items!$A$6:$A$1005,0)),"MISSING ID")</x:f>
        <x:v>Raw material</x:v>
      </x:c>
      <x:c r="D72" s="4" t="str">
        <x:f>IFERROR(INDEX(Items!$C$6:$C$1005,MATCH(A72,Items!$A$6:$A$1005,0)),"MISSING ID")</x:f>
        <x:v>T0</x:v>
      </x:c>
      <x:c r="E72" s="4" t="str">
        <x:v>Raw source</x:v>
      </x:c>
      <x:c r="F72" s="14" t="n">
        <x:f>IFERROR(INDEX(Items!$AJ$6:$AJ$1005,MATCH(A72,Items!$A$6:$A$1005,0)),"MISSING ID")</x:f>
        <x:v>0</x:v>
      </x:c>
      <x:c r="G72" s="4" t="str">
        <x:v>Source, recovery or issue route applies</x:v>
      </x:c>
      <x:c r="H72" s="4" t="str">
        <x:v>Not a selected manufacturing route</x:v>
      </x:c>
      <x:c r="I72" s="4" t="str">
        <x:v>Raw entry feed</x:v>
      </x:c>
      <x:c r="J72" s="4" t="str">
        <x:v>Source grade, collection, contamination and yield remain open.</x:v>
      </x:c>
    </x:row>
    <x:row r="73" ht="115" customHeight="1">
      <x:c r="A73" s="4" t="str">
        <x:v>proposal.natural.fluorite</x:v>
      </x:c>
      <x:c r="B73" s="4" t="str">
        <x:f>IFERROR(INDEX(Items!$B$6:$B$1005,MATCH(A73,Items!$A$6:$A$1005,0)),"MISSING ID")</x:f>
        <x:v>Raw fluorite</x:v>
      </x:c>
      <x:c r="C73" s="4" t="str">
        <x:f>IFERROR(INDEX(Items!$X$6:$X$1005,MATCH(A73,Items!$A$6:$A$1005,0)),"MISSING ID")</x:f>
        <x:v>Raw material</x:v>
      </x:c>
      <x:c r="D73" s="4" t="str">
        <x:f>IFERROR(INDEX(Items!$C$6:$C$1005,MATCH(A73,Items!$A$6:$A$1005,0)),"MISSING ID")</x:f>
        <x:v>T0</x:v>
      </x:c>
      <x:c r="E73" s="4" t="str">
        <x:v>Raw source</x:v>
      </x:c>
      <x:c r="F73" s="14" t="n">
        <x:f>IFERROR(INDEX(Items!$AJ$6:$AJ$1005,MATCH(A73,Items!$A$6:$A$1005,0)),"MISSING ID")</x:f>
        <x:v>0</x:v>
      </x:c>
      <x:c r="G73" s="4" t="str">
        <x:v>Source, recovery or issue route applies</x:v>
      </x:c>
      <x:c r="H73" s="4" t="str">
        <x:v>Not a selected manufacturing route</x:v>
      </x:c>
      <x:c r="I73" s="4" t="str">
        <x:v>Raw entry feed</x:v>
      </x:c>
      <x:c r="J73" s="4" t="str">
        <x:v>Source grade, collection, contamination and yield remain open.</x:v>
      </x:c>
    </x:row>
    <x:row r="74" ht="115" customHeight="1">
      <x:c r="A74" s="4" t="str">
        <x:v>proposal.natural.antimony_ore</x:v>
      </x:c>
      <x:c r="B74" s="4" t="str">
        <x:f>IFERROR(INDEX(Items!$B$6:$B$1005,MATCH(A74,Items!$A$6:$A$1005,0)),"MISSING ID")</x:f>
        <x:v>Antimony-bearing ore</x:v>
      </x:c>
      <x:c r="C74" s="4" t="str">
        <x:f>IFERROR(INDEX(Items!$X$6:$X$1005,MATCH(A74,Items!$A$6:$A$1005,0)),"MISSING ID")</x:f>
        <x:v>Raw material</x:v>
      </x:c>
      <x:c r="D74" s="4" t="str">
        <x:f>IFERROR(INDEX(Items!$C$6:$C$1005,MATCH(A74,Items!$A$6:$A$1005,0)),"MISSING ID")</x:f>
        <x:v>T0</x:v>
      </x:c>
      <x:c r="E74" s="4" t="str">
        <x:v>Raw source</x:v>
      </x:c>
      <x:c r="F74" s="14" t="n">
        <x:f>IFERROR(INDEX(Items!$AJ$6:$AJ$1005,MATCH(A74,Items!$A$6:$A$1005,0)),"MISSING ID")</x:f>
        <x:v>0</x:v>
      </x:c>
      <x:c r="G74" s="4" t="str">
        <x:v>Source, recovery or issue route applies</x:v>
      </x:c>
      <x:c r="H74" s="4" t="str">
        <x:v>Not a selected manufacturing route</x:v>
      </x:c>
      <x:c r="I74" s="4" t="str">
        <x:v>Raw entry feed</x:v>
      </x:c>
      <x:c r="J74" s="4" t="str">
        <x:v>Source grade, collection, contamination and yield remain open.</x:v>
      </x:c>
    </x:row>
    <x:row r="75" ht="115" customHeight="1">
      <x:c r="A75" s="4" t="str">
        <x:v>proposal.bio.chitin_fibers</x:v>
      </x:c>
      <x:c r="B75" s="4" t="str">
        <x:f>IFERROR(INDEX(Items!$B$6:$B$1005,MATCH(A75,Items!$A$6:$A$1005,0)),"MISSING ID")</x:f>
        <x:v>Scraped chitin fibers</x:v>
      </x:c>
      <x:c r="C75" s="4" t="str">
        <x:f>IFERROR(INDEX(Items!$X$6:$X$1005,MATCH(A75,Items!$A$6:$A$1005,0)),"MISSING ID")</x:f>
        <x:v>Raw material</x:v>
      </x:c>
      <x:c r="D75" s="4" t="str">
        <x:f>IFERROR(INDEX(Items!$C$6:$C$1005,MATCH(A75,Items!$A$6:$A$1005,0)),"MISSING ID")</x:f>
        <x:v>T0</x:v>
      </x:c>
      <x:c r="E75" s="4" t="str">
        <x:v>Raw source</x:v>
      </x:c>
      <x:c r="F75" s="14" t="n">
        <x:f>IFERROR(INDEX(Items!$AJ$6:$AJ$1005,MATCH(A75,Items!$A$6:$A$1005,0)),"MISSING ID")</x:f>
        <x:v>1</x:v>
      </x:c>
      <x:c r="G75" s="4" t="str">
        <x:v>Source, recovery or issue route applies</x:v>
      </x:c>
      <x:c r="H75" s="4" t="str">
        <x:v>Not a selected manufacturing route</x:v>
      </x:c>
      <x:c r="I75" s="4" t="str">
        <x:v>Raw entry feed</x:v>
      </x:c>
      <x:c r="J75" s="4" t="str">
        <x:v>Source grade, collection, contamination and yield remain open.</x:v>
      </x:c>
    </x:row>
    <x:row r="76" ht="115" customHeight="1">
      <x:c r="A76" s="4" t="str">
        <x:v>proposal.bio.icore_fibers</x:v>
      </x:c>
      <x:c r="B76" s="4" t="str">
        <x:f>IFERROR(INDEX(Items!$B$6:$B$1005,MATCH(A76,Items!$A$6:$A$1005,0)),"MISSING ID")</x:f>
        <x:v>Scraped icore fibers</x:v>
      </x:c>
      <x:c r="C76" s="4" t="str">
        <x:f>IFERROR(INDEX(Items!$X$6:$X$1005,MATCH(A76,Items!$A$6:$A$1005,0)),"MISSING ID")</x:f>
        <x:v>Raw material</x:v>
      </x:c>
      <x:c r="D76" s="4" t="str">
        <x:f>IFERROR(INDEX(Items!$C$6:$C$1005,MATCH(A76,Items!$A$6:$A$1005,0)),"MISSING ID")</x:f>
        <x:v>T0</x:v>
      </x:c>
      <x:c r="E76" s="4" t="str">
        <x:v>Raw source</x:v>
      </x:c>
      <x:c r="F76" s="14" t="n">
        <x:f>IFERROR(INDEX(Items!$AJ$6:$AJ$1005,MATCH(A76,Items!$A$6:$A$1005,0)),"MISSING ID")</x:f>
        <x:v>1</x:v>
      </x:c>
      <x:c r="G76" s="4" t="str">
        <x:v>Source, recovery or issue route applies</x:v>
      </x:c>
      <x:c r="H76" s="4" t="str">
        <x:v>Not a selected manufacturing route</x:v>
      </x:c>
      <x:c r="I76" s="4" t="str">
        <x:v>Raw entry feed</x:v>
      </x:c>
      <x:c r="J76" s="4" t="str">
        <x:v>Source grade, collection, contamination and yield remain open.</x:v>
      </x:c>
    </x:row>
    <x:row r="77" ht="115" customHeight="1">
      <x:c r="A77" s="4"/>
      <x:c r="B77" s="4"/>
      <x:c r="C77" s="4"/>
      <x:c r="D77" s="4"/>
      <x:c r="E77" s="4"/>
      <x:c r="F77" s="14"/>
      <x:c r="G77" s="4"/>
      <x:c r="H77" s="4"/>
      <x:c r="I77" s="4"/>
      <x:c r="J77" s="4"/>
    </x:row>
    <x:row r="78" ht="115" customHeight="1">
      <x:c r="A78" s="4" t="str">
        <x:v>proposal.bio.pressed_husk</x:v>
      </x:c>
      <x:c r="B78" s="4" t="str">
        <x:f>IFERROR(INDEX(Items!$B$6:$B$1005,MATCH(A78,Items!$A$6:$A$1005,0)),"MISSING ID")</x:f>
        <x:v>Pressed husk-fiber textile material</x:v>
      </x:c>
      <x:c r="C78" s="4" t="str">
        <x:f>IFERROR(INDEX(Items!$X$6:$X$1005,MATCH(A78,Items!$A$6:$A$1005,0)),"MISSING ID")</x:f>
        <x:v>Processed material</x:v>
      </x:c>
      <x:c r="D78" s="4" t="str">
        <x:f>IFERROR(INDEX(Items!$C$6:$C$1005,MATCH(A78,Items!$A$6:$A$1005,0)),"MISSING ID")</x:f>
        <x:v>T1</x:v>
      </x:c>
      <x:c r="E78" s="4" t="str">
        <x:v>Manufactured stock / part</x:v>
      </x:c>
      <x:c r="F78" s="14" t="n">
        <x:f>IFERROR(INDEX(Items!$AJ$6:$AJ$1005,MATCH(A78,Items!$A$6:$A$1005,0)),"MISSING ID")</x:f>
        <x:v>2</x:v>
      </x:c>
      <x:c r="G78" s="4" t="str">
        <x:v>Traced to cataloged T0 and/or recovered feeds</x:v>
      </x:c>
      <x:c r="H78" s="4" t="str">
        <x:v>Husk-sheet cutting shears, pressure fixtures and dedicated preparation surfaces. Very low hide/fur yield; no ordinary cloth or plant inputs.</x:v>
      </x:c>
      <x:c r="I78" s="4" t="str">
        <x:v>Candidate path traced</x:v>
      </x:c>
      <x:c r="J78" s="4" t="str">
        <x:v>Dimensions, grade, process qualification, quantity and yield remain open.</x:v>
      </x:c>
    </x:row>
    <x:row r="79" ht="115" customHeight="1">
      <x:c r="A79" s="4" t="str">
        <x:v>proposal.bio.hide</x:v>
      </x:c>
      <x:c r="B79" s="4" t="str">
        <x:f>IFERROR(INDEX(Items!$B$6:$B$1005,MATCH(A79,Items!$A$6:$A$1005,0)),"MISSING ID")</x:f>
        <x:v>Raw hide</x:v>
      </x:c>
      <x:c r="C79" s="4" t="str">
        <x:f>IFERROR(INDEX(Items!$X$6:$X$1005,MATCH(A79,Items!$A$6:$A$1005,0)),"MISSING ID")</x:f>
        <x:v>Raw material</x:v>
      </x:c>
      <x:c r="D79" s="4" t="str">
        <x:f>IFERROR(INDEX(Items!$C$6:$C$1005,MATCH(A79,Items!$A$6:$A$1005,0)),"MISSING ID")</x:f>
        <x:v>T0</x:v>
      </x:c>
      <x:c r="E79" s="4" t="str">
        <x:v>Raw source</x:v>
      </x:c>
      <x:c r="F79" s="14" t="n">
        <x:f>IFERROR(INDEX(Items!$AJ$6:$AJ$1005,MATCH(A79,Items!$A$6:$A$1005,0)),"MISSING ID")</x:f>
        <x:v>0</x:v>
      </x:c>
      <x:c r="G79" s="4" t="str">
        <x:v>Source, recovery or issue route applies</x:v>
      </x:c>
      <x:c r="H79" s="4" t="str">
        <x:v>Not a selected manufacturing route</x:v>
      </x:c>
      <x:c r="I79" s="4" t="str">
        <x:v>Raw entry feed</x:v>
      </x:c>
      <x:c r="J79" s="4" t="str">
        <x:v>Source grade, collection, contamination and yield remain open.</x:v>
      </x:c>
    </x:row>
    <x:row r="80" ht="115" customHeight="1">
      <x:c r="A80" s="4" t="str">
        <x:v>proposal.bio.hide_material</x:v>
      </x:c>
      <x:c r="B80" s="4" t="str">
        <x:f>IFERROR(INDEX(Items!$B$6:$B$1005,MATCH(A80,Items!$A$6:$A$1005,0)),"MISSING ID")</x:f>
        <x:v>Processed hide material</x:v>
      </x:c>
      <x:c r="C80" s="4" t="str">
        <x:f>IFERROR(INDEX(Items!$X$6:$X$1005,MATCH(A80,Items!$A$6:$A$1005,0)),"MISSING ID")</x:f>
        <x:v>Processed material</x:v>
      </x:c>
      <x:c r="D80" s="4" t="str">
        <x:f>IFERROR(INDEX(Items!$C$6:$C$1005,MATCH(A80,Items!$A$6:$A$1005,0)),"MISSING ID")</x:f>
        <x:v>T1</x:v>
      </x:c>
      <x:c r="E80" s="4" t="str">
        <x:v>Manufactured stock / part</x:v>
      </x:c>
      <x:c r="F80" s="14" t="n">
        <x:f>IFERROR(INDEX(Items!$AJ$6:$AJ$1005,MATCH(A80,Items!$A$6:$A$1005,0)),"MISSING ID")</x:f>
        <x:v>1</x:v>
      </x:c>
      <x:c r="G80" s="4" t="str">
        <x:v>Traced to cataloged T0 and/or recovered feeds</x:v>
      </x:c>
      <x:c r="H80" s="4" t="str">
        <x:v>Husk-sheet cutting shears, pressure fixtures and dedicated preparation surfaces. Very low hide/fur yield; no ordinary cloth or plant inputs.</x:v>
      </x:c>
      <x:c r="I80" s="4" t="str">
        <x:v>Candidate path traced</x:v>
      </x:c>
      <x:c r="J80" s="4" t="str">
        <x:v>Dimensions, grade, process qualification, quantity and yield remain open.</x:v>
      </x:c>
    </x:row>
    <x:row r="81" ht="115" customHeight="1">
      <x:c r="A81" s="4" t="str">
        <x:v>proposal.bio.edible_fraction</x:v>
      </x:c>
      <x:c r="B81" s="4" t="str">
        <x:f>IFERROR(INDEX(Items!$B$6:$B$1005,MATCH(A81,Items!$A$6:$A$1005,0)),"MISSING ID")</x:f>
        <x:v>Edible fauna fraction (species TBD)</x:v>
      </x:c>
      <x:c r="C81" s="4" t="str">
        <x:f>IFERROR(INDEX(Items!$X$6:$X$1005,MATCH(A81,Items!$A$6:$A$1005,0)),"MISSING ID")</x:f>
        <x:v>Food material</x:v>
      </x:c>
      <x:c r="D81" s="4" t="str">
        <x:f>IFERROR(INDEX(Items!$C$6:$C$1005,MATCH(A81,Items!$A$6:$A$1005,0)),"MISSING ID")</x:f>
        <x:v>T0</x:v>
      </x:c>
      <x:c r="E81" s="4" t="str">
        <x:v>Raw source</x:v>
      </x:c>
      <x:c r="F81" s="14" t="n">
        <x:f>IFERROR(INDEX(Items!$AJ$6:$AJ$1005,MATCH(A81,Items!$A$6:$A$1005,0)),"MISSING ID")</x:f>
        <x:v>0</x:v>
      </x:c>
      <x:c r="G81" s="4" t="str">
        <x:v>Source, recovery or issue route applies</x:v>
      </x:c>
      <x:c r="H81" s="4" t="str">
        <x:v>Not a selected manufacturing route</x:v>
      </x:c>
      <x:c r="I81" s="4" t="str">
        <x:v>Raw entry feed</x:v>
      </x:c>
      <x:c r="J81" s="4" t="str">
        <x:v>Edible fauna fraction (species TBD). Species/culture/mineral selection and edibility require design. No toxic industrial fraction is assumed edible.</x:v>
      </x:c>
    </x:row>
    <x:row r="82" ht="115" customHeight="1">
      <x:c r="A82" s="4" t="str">
        <x:v>proposal.bio.chemical_material</x:v>
      </x:c>
      <x:c r="B82" s="4" t="str">
        <x:f>IFERROR(INDEX(Items!$B$6:$B$1005,MATCH(A82,Items!$A$6:$A$1005,0)),"MISSING ID")</x:f>
        <x:v>Faunal chemical material (unspecified)</x:v>
      </x:c>
      <x:c r="C82" s="4" t="str">
        <x:f>IFERROR(INDEX(Items!$X$6:$X$1005,MATCH(A82,Items!$A$6:$A$1005,0)),"MISSING ID")</x:f>
        <x:v>Chemical material</x:v>
      </x:c>
      <x:c r="D82" s="4" t="str">
        <x:f>IFERROR(INDEX(Items!$C$6:$C$1005,MATCH(A82,Items!$A$6:$A$1005,0)),"MISSING ID")</x:f>
        <x:v>T0</x:v>
      </x:c>
      <x:c r="E82" s="4" t="str">
        <x:v>Raw source</x:v>
      </x:c>
      <x:c r="F82" s="14" t="n">
        <x:f>IFERROR(INDEX(Items!$AJ$6:$AJ$1005,MATCH(A82,Items!$A$6:$A$1005,0)),"MISSING ID")</x:f>
        <x:v>0</x:v>
      </x:c>
      <x:c r="G82" s="4" t="str">
        <x:v>Source, recovery or issue route applies</x:v>
      </x:c>
      <x:c r="H82" s="4" t="str">
        <x:v>Not a selected manufacturing route</x:v>
      </x:c>
      <x:c r="I82" s="4" t="str">
        <x:v>Raw entry feed</x:v>
      </x:c>
      <x:c r="J82" s="4" t="str">
        <x:v>Reagent identity, contained carrier, reaction/selectivity, compatibility and process yield require qualification.</x:v>
      </x:c>
    </x:row>
    <x:row r="83" ht="115" customHeight="1">
      <x:c r="A83" s="4" t="str">
        <x:v>proposal.bio.liquid_material</x:v>
      </x:c>
      <x:c r="B83" s="4" t="str">
        <x:f>IFERROR(INDEX(Items!$B$6:$B$1005,MATCH(A83,Items!$A$6:$A$1005,0)),"MISSING ID")</x:f>
        <x:v>Faunal liquid material (unspecified)</x:v>
      </x:c>
      <x:c r="C83" s="4" t="str">
        <x:f>IFERROR(INDEX(Items!$X$6:$X$1005,MATCH(A83,Items!$A$6:$A$1005,0)),"MISSING ID")</x:f>
        <x:v>Chemical material</x:v>
      </x:c>
      <x:c r="D83" s="4" t="str">
        <x:f>IFERROR(INDEX(Items!$C$6:$C$1005,MATCH(A83,Items!$A$6:$A$1005,0)),"MISSING ID")</x:f>
        <x:v>T0</x:v>
      </x:c>
      <x:c r="E83" s="4" t="str">
        <x:v>Raw source</x:v>
      </x:c>
      <x:c r="F83" s="14" t="n">
        <x:f>IFERROR(INDEX(Items!$AJ$6:$AJ$1005,MATCH(A83,Items!$A$6:$A$1005,0)),"MISSING ID")</x:f>
        <x:v>0</x:v>
      </x:c>
      <x:c r="G83" s="4" t="str">
        <x:v>Source, recovery or issue route applies</x:v>
      </x:c>
      <x:c r="H83" s="4" t="str">
        <x:v>Not a selected manufacturing route</x:v>
      </x:c>
      <x:c r="I83" s="4" t="str">
        <x:v>Raw entry feed</x:v>
      </x:c>
      <x:c r="J83" s="4" t="str">
        <x:v>Reagent identity, contained carrier, reaction/selectivity, compatibility and process yield require qualification.</x:v>
      </x:c>
    </x:row>
    <x:row r="84" ht="115" customHeight="1">
      <x:c r="A84" s="4" t="str">
        <x:v>proposal.chemical.digestive_etchant</x:v>
      </x:c>
      <x:c r="B84" s="4" t="str">
        <x:f>IFERROR(INDEX(Items!$B$6:$B$1005,MATCH(A84,Items!$A$6:$A$1005,0)),"MISSING ID")</x:f>
        <x:v>Digestive etchant</x:v>
      </x:c>
      <x:c r="C84" s="4" t="str">
        <x:f>IFERROR(INDEX(Items!$X$6:$X$1005,MATCH(A84,Items!$A$6:$A$1005,0)),"MISSING ID")</x:f>
        <x:v>Chemical material</x:v>
      </x:c>
      <x:c r="D84" s="4" t="str">
        <x:f>IFERROR(INDEX(Items!$C$6:$C$1005,MATCH(A84,Items!$A$6:$A$1005,0)),"MISSING ID")</x:f>
        <x:v>T0</x:v>
      </x:c>
      <x:c r="E84" s="4" t="str">
        <x:v>Raw source</x:v>
      </x:c>
      <x:c r="F84" s="14" t="n">
        <x:f>IFERROR(INDEX(Items!$AJ$6:$AJ$1005,MATCH(A84,Items!$A$6:$A$1005,0)),"MISSING ID")</x:f>
        <x:v>0</x:v>
      </x:c>
      <x:c r="G84" s="4" t="str">
        <x:v>Source, recovery or issue route applies</x:v>
      </x:c>
      <x:c r="H84" s="4" t="str">
        <x:v>Not a selected manufacturing route</x:v>
      </x:c>
      <x:c r="I84" s="4" t="str">
        <x:v>Raw entry feed</x:v>
      </x:c>
      <x:c r="J84" s="4" t="str">
        <x:v>Reagent identity, contained carrier, reaction/selectivity, compatibility and process yield require qualification.</x:v>
      </x:c>
    </x:row>
    <x:row r="85" ht="115" customHeight="1">
      <x:c r="A85" s="4" t="str">
        <x:v>proposal.chemical.husk_enzyme</x:v>
      </x:c>
      <x:c r="B85" s="4" t="str">
        <x:f>IFERROR(INDEX(Items!$B$6:$B$1005,MATCH(A85,Items!$A$6:$A$1005,0)),"MISSING ID")</x:f>
        <x:v>Husk-separation enzyme</x:v>
      </x:c>
      <x:c r="C85" s="4" t="str">
        <x:f>IFERROR(INDEX(Items!$X$6:$X$1005,MATCH(A85,Items!$A$6:$A$1005,0)),"MISSING ID")</x:f>
        <x:v>Chemical material</x:v>
      </x:c>
      <x:c r="D85" s="4" t="str">
        <x:f>IFERROR(INDEX(Items!$C$6:$C$1005,MATCH(A85,Items!$A$6:$A$1005,0)),"MISSING ID")</x:f>
        <x:v>T0</x:v>
      </x:c>
      <x:c r="E85" s="4" t="str">
        <x:v>Raw source</x:v>
      </x:c>
      <x:c r="F85" s="14" t="n">
        <x:f>IFERROR(INDEX(Items!$AJ$6:$AJ$1005,MATCH(A85,Items!$A$6:$A$1005,0)),"MISSING ID")</x:f>
        <x:v>0</x:v>
      </x:c>
      <x:c r="G85" s="4" t="str">
        <x:v>Source, recovery or issue route applies</x:v>
      </x:c>
      <x:c r="H85" s="4" t="str">
        <x:v>Not a selected manufacturing route</x:v>
      </x:c>
      <x:c r="I85" s="4" t="str">
        <x:v>Raw entry feed</x:v>
      </x:c>
      <x:c r="J85" s="4" t="str">
        <x:v>Reagent identity, contained carrier, reaction/selectivity, compatibility and process yield require qualification.</x:v>
      </x:c>
    </x:row>
    <x:row r="86" ht="115" customHeight="1">
      <x:c r="A86" s="4" t="str">
        <x:v>proposal.chemical.shell_binder</x:v>
      </x:c>
      <x:c r="B86" s="4" t="str">
        <x:f>IFERROR(INDEX(Items!$B$6:$B$1005,MATCH(A86,Items!$A$6:$A$1005,0)),"MISSING ID")</x:f>
        <x:v>Shell-binding secretion</x:v>
      </x:c>
      <x:c r="C86" s="4" t="str">
        <x:f>IFERROR(INDEX(Items!$X$6:$X$1005,MATCH(A86,Items!$A$6:$A$1005,0)),"MISSING ID")</x:f>
        <x:v>Chemical material</x:v>
      </x:c>
      <x:c r="D86" s="4" t="str">
        <x:f>IFERROR(INDEX(Items!$C$6:$C$1005,MATCH(A86,Items!$A$6:$A$1005,0)),"MISSING ID")</x:f>
        <x:v>T0</x:v>
      </x:c>
      <x:c r="E86" s="4" t="str">
        <x:v>Raw source</x:v>
      </x:c>
      <x:c r="F86" s="14" t="n">
        <x:f>IFERROR(INDEX(Items!$AJ$6:$AJ$1005,MATCH(A86,Items!$A$6:$A$1005,0)),"MISSING ID")</x:f>
        <x:v>0</x:v>
      </x:c>
      <x:c r="G86" s="4" t="str">
        <x:v>Source, recovery or issue route applies</x:v>
      </x:c>
      <x:c r="H86" s="4" t="str">
        <x:v>Not a selected manufacturing route</x:v>
      </x:c>
      <x:c r="I86" s="4" t="str">
        <x:v>Raw entry feed</x:v>
      </x:c>
      <x:c r="J86" s="4" t="str">
        <x:v>Reagent identity, contained carrier, reaction/selectivity, compatibility and process yield require qualification.</x:v>
      </x:c>
    </x:row>
    <x:row r="87" ht="115" customHeight="1">
      <x:c r="A87" s="4" t="str">
        <x:v>proposal.chemical.clotting_compound</x:v>
      </x:c>
      <x:c r="B87" s="4" t="str">
        <x:f>IFERROR(INDEX(Items!$B$6:$B$1005,MATCH(A87,Items!$A$6:$A$1005,0)),"MISSING ID")</x:f>
        <x:v>Mineral clotting compound</x:v>
      </x:c>
      <x:c r="C87" s="4" t="str">
        <x:f>IFERROR(INDEX(Items!$X$6:$X$1005,MATCH(A87,Items!$A$6:$A$1005,0)),"MISSING ID")</x:f>
        <x:v>Chemical material</x:v>
      </x:c>
      <x:c r="D87" s="4" t="str">
        <x:f>IFERROR(INDEX(Items!$C$6:$C$1005,MATCH(A87,Items!$A$6:$A$1005,0)),"MISSING ID")</x:f>
        <x:v>T0</x:v>
      </x:c>
      <x:c r="E87" s="4" t="str">
        <x:v>Raw source</x:v>
      </x:c>
      <x:c r="F87" s="14" t="n">
        <x:f>IFERROR(INDEX(Items!$AJ$6:$AJ$1005,MATCH(A87,Items!$A$6:$A$1005,0)),"MISSING ID")</x:f>
        <x:v>0</x:v>
      </x:c>
      <x:c r="G87" s="4" t="str">
        <x:v>Source, recovery or issue route applies</x:v>
      </x:c>
      <x:c r="H87" s="4" t="str">
        <x:v>Not a selected manufacturing route</x:v>
      </x:c>
      <x:c r="I87" s="4" t="str">
        <x:v>Raw entry feed</x:v>
      </x:c>
      <x:c r="J87" s="4" t="str">
        <x:v>Reagent identity, contained carrier, reaction/selectivity, compatibility and process yield require qualification.</x:v>
      </x:c>
    </x:row>
    <x:row r="88" ht="115" customHeight="1">
      <x:c r="A88" s="4" t="str">
        <x:v>proposal.chemical.mineral_ichor</x:v>
      </x:c>
      <x:c r="B88" s="4" t="str">
        <x:f>IFERROR(INDEX(Items!$B$6:$B$1005,MATCH(A88,Items!$A$6:$A$1005,0)),"MISSING ID")</x:f>
        <x:v>Mineral-rich ichor</x:v>
      </x:c>
      <x:c r="C88" s="4" t="str">
        <x:f>IFERROR(INDEX(Items!$X$6:$X$1005,MATCH(A88,Items!$A$6:$A$1005,0)),"MISSING ID")</x:f>
        <x:v>Chemical material</x:v>
      </x:c>
      <x:c r="D88" s="4" t="str">
        <x:f>IFERROR(INDEX(Items!$C$6:$C$1005,MATCH(A88,Items!$A$6:$A$1005,0)),"MISSING ID")</x:f>
        <x:v>T0</x:v>
      </x:c>
      <x:c r="E88" s="4" t="str">
        <x:v>Raw source</x:v>
      </x:c>
      <x:c r="F88" s="14" t="n">
        <x:f>IFERROR(INDEX(Items!$AJ$6:$AJ$1005,MATCH(A88,Items!$A$6:$A$1005,0)),"MISSING ID")</x:f>
        <x:v>0</x:v>
      </x:c>
      <x:c r="G88" s="4" t="str">
        <x:v>Source, recovery or issue route applies</x:v>
      </x:c>
      <x:c r="H88" s="4" t="str">
        <x:v>Not a selected manufacturing route</x:v>
      </x:c>
      <x:c r="I88" s="4" t="str">
        <x:v>Raw entry feed</x:v>
      </x:c>
      <x:c r="J88" s="4" t="str">
        <x:v>Reagent identity, contained carrier, reaction/selectivity, compatibility and process yield require qualification.</x:v>
      </x:c>
    </x:row>
    <x:row r="89" ht="115" customHeight="1">
      <x:c r="A89" s="4" t="str">
        <x:v>proposal.chemical.joint_lubricant</x:v>
      </x:c>
      <x:c r="B89" s="4" t="str">
        <x:f>IFERROR(INDEX(Items!$B$6:$B$1005,MATCH(A89,Items!$A$6:$A$1005,0)),"MISSING ID")</x:f>
        <x:v>Joint-lubricating secretion</x:v>
      </x:c>
      <x:c r="C89" s="4" t="str">
        <x:f>IFERROR(INDEX(Items!$X$6:$X$1005,MATCH(A89,Items!$A$6:$A$1005,0)),"MISSING ID")</x:f>
        <x:v>Chemical material</x:v>
      </x:c>
      <x:c r="D89" s="4" t="str">
        <x:f>IFERROR(INDEX(Items!$C$6:$C$1005,MATCH(A89,Items!$A$6:$A$1005,0)),"MISSING ID")</x:f>
        <x:v>T0</x:v>
      </x:c>
      <x:c r="E89" s="4" t="str">
        <x:v>Raw source</x:v>
      </x:c>
      <x:c r="F89" s="14" t="n">
        <x:f>IFERROR(INDEX(Items!$AJ$6:$AJ$1005,MATCH(A89,Items!$A$6:$A$1005,0)),"MISSING ID")</x:f>
        <x:v>0</x:v>
      </x:c>
      <x:c r="G89" s="4" t="str">
        <x:v>Source, recovery or issue route applies</x:v>
      </x:c>
      <x:c r="H89" s="4" t="str">
        <x:v>Not a selected manufacturing route</x:v>
      </x:c>
      <x:c r="I89" s="4" t="str">
        <x:v>Raw entry feed</x:v>
      </x:c>
      <x:c r="J89" s="4" t="str">
        <x:v>Reagent identity, contained carrier, reaction/selectivity, compatibility and process yield require qualification.</x:v>
      </x:c>
    </x:row>
    <x:row r="90" ht="115" customHeight="1">
      <x:c r="A90" s="4" t="str">
        <x:v>proposal.chemical.insulating_secretion</x:v>
      </x:c>
      <x:c r="B90" s="4" t="str">
        <x:f>IFERROR(INDEX(Items!$B$6:$B$1005,MATCH(A90,Items!$A$6:$A$1005,0)),"MISSING ID")</x:f>
        <x:v>Insulating secretion</x:v>
      </x:c>
      <x:c r="C90" s="4" t="str">
        <x:f>IFERROR(INDEX(Items!$X$6:$X$1005,MATCH(A90,Items!$A$6:$A$1005,0)),"MISSING ID")</x:f>
        <x:v>Chemical material</x:v>
      </x:c>
      <x:c r="D90" s="4" t="str">
        <x:f>IFERROR(INDEX(Items!$C$6:$C$1005,MATCH(A90,Items!$A$6:$A$1005,0)),"MISSING ID")</x:f>
        <x:v>T0</x:v>
      </x:c>
      <x:c r="E90" s="4" t="str">
        <x:v>Raw source</x:v>
      </x:c>
      <x:c r="F90" s="14" t="n">
        <x:f>IFERROR(INDEX(Items!$AJ$6:$AJ$1005,MATCH(A90,Items!$A$6:$A$1005,0)),"MISSING ID")</x:f>
        <x:v>0</x:v>
      </x:c>
      <x:c r="G90" s="4" t="str">
        <x:v>Source, recovery or issue route applies</x:v>
      </x:c>
      <x:c r="H90" s="4" t="str">
        <x:v>Not a selected manufacturing route</x:v>
      </x:c>
      <x:c r="I90" s="4" t="str">
        <x:v>Raw entry feed</x:v>
      </x:c>
      <x:c r="J90" s="4" t="str">
        <x:v>Reagent identity, contained carrier, reaction/selectivity, compatibility and process yield require qualification.</x:v>
      </x:c>
    </x:row>
    <x:row r="91" ht="115" customHeight="1">
      <x:c r="A91" s="4" t="str">
        <x:v>proposal.chemical.conductive_gel</x:v>
      </x:c>
      <x:c r="B91" s="4" t="str">
        <x:f>IFERROR(INDEX(Items!$B$6:$B$1005,MATCH(A91,Items!$A$6:$A$1005,0)),"MISSING ID")</x:f>
        <x:v>Charge-conducting gel</x:v>
      </x:c>
      <x:c r="C91" s="4" t="str">
        <x:f>IFERROR(INDEX(Items!$X$6:$X$1005,MATCH(A91,Items!$A$6:$A$1005,0)),"MISSING ID")</x:f>
        <x:v>Chemical material</x:v>
      </x:c>
      <x:c r="D91" s="4" t="str">
        <x:f>IFERROR(INDEX(Items!$C$6:$C$1005,MATCH(A91,Items!$A$6:$A$1005,0)),"MISSING ID")</x:f>
        <x:v>T0</x:v>
      </x:c>
      <x:c r="E91" s="4" t="str">
        <x:v>Raw source</x:v>
      </x:c>
      <x:c r="F91" s="14" t="n">
        <x:f>IFERROR(INDEX(Items!$AJ$6:$AJ$1005,MATCH(A91,Items!$A$6:$A$1005,0)),"MISSING ID")</x:f>
        <x:v>0</x:v>
      </x:c>
      <x:c r="G91" s="4" t="str">
        <x:v>Source, recovery or issue route applies</x:v>
      </x:c>
      <x:c r="H91" s="4" t="str">
        <x:v>Not a selected manufacturing route</x:v>
      </x:c>
      <x:c r="I91" s="4" t="str">
        <x:v>Raw entry feed</x:v>
      </x:c>
      <x:c r="J91" s="4" t="str">
        <x:v>Reagent identity, contained carrier, reaction/selectivity, compatibility and process yield require qualification.</x:v>
      </x:c>
    </x:row>
    <x:row r="92" ht="115" customHeight="1">
      <x:c r="A92" s="4" t="str">
        <x:v>proposal.chemical.molt_release</x:v>
      </x:c>
      <x:c r="B92" s="4" t="str">
        <x:f>IFERROR(INDEX(Items!$B$6:$B$1005,MATCH(A92,Items!$A$6:$A$1005,0)),"MISSING ID")</x:f>
        <x:v>Molt-release compound</x:v>
      </x:c>
      <x:c r="C92" s="4" t="str">
        <x:f>IFERROR(INDEX(Items!$X$6:$X$1005,MATCH(A92,Items!$A$6:$A$1005,0)),"MISSING ID")</x:f>
        <x:v>Chemical material</x:v>
      </x:c>
      <x:c r="D92" s="4" t="str">
        <x:f>IFERROR(INDEX(Items!$C$6:$C$1005,MATCH(A92,Items!$A$6:$A$1005,0)),"MISSING ID")</x:f>
        <x:v>T0</x:v>
      </x:c>
      <x:c r="E92" s="4" t="str">
        <x:v>Raw source</x:v>
      </x:c>
      <x:c r="F92" s="14" t="n">
        <x:f>IFERROR(INDEX(Items!$AJ$6:$AJ$1005,MATCH(A92,Items!$A$6:$A$1005,0)),"MISSING ID")</x:f>
        <x:v>0</x:v>
      </x:c>
      <x:c r="G92" s="4" t="str">
        <x:v>Source, recovery or issue route applies</x:v>
      </x:c>
      <x:c r="H92" s="4" t="str">
        <x:v>Not a selected manufacturing route</x:v>
      </x:c>
      <x:c r="I92" s="4" t="str">
        <x:v>Raw entry feed</x:v>
      </x:c>
      <x:c r="J92" s="4" t="str">
        <x:v>Reagent identity, contained carrier, reaction/selectivity, compatibility and process yield require qualification.</x:v>
      </x:c>
    </x:row>
    <x:row r="93" ht="115" customHeight="1">
      <x:c r="A93" s="4" t="str">
        <x:v>proposal.chemical.defensive_irritant</x:v>
      </x:c>
      <x:c r="B93" s="4" t="str">
        <x:f>IFERROR(INDEX(Items!$B$6:$B$1005,MATCH(A93,Items!$A$6:$A$1005,0)),"MISSING ID")</x:f>
        <x:v>Defensive irritant secretion</x:v>
      </x:c>
      <x:c r="C93" s="4" t="str">
        <x:f>IFERROR(INDEX(Items!$X$6:$X$1005,MATCH(A93,Items!$A$6:$A$1005,0)),"MISSING ID")</x:f>
        <x:v>Chemical material</x:v>
      </x:c>
      <x:c r="D93" s="4" t="str">
        <x:f>IFERROR(INDEX(Items!$C$6:$C$1005,MATCH(A93,Items!$A$6:$A$1005,0)),"MISSING ID")</x:f>
        <x:v>T0</x:v>
      </x:c>
      <x:c r="E93" s="4" t="str">
        <x:v>Raw source</x:v>
      </x:c>
      <x:c r="F93" s="14" t="n">
        <x:f>IFERROR(INDEX(Items!$AJ$6:$AJ$1005,MATCH(A93,Items!$A$6:$A$1005,0)),"MISSING ID")</x:f>
        <x:v>0</x:v>
      </x:c>
      <x:c r="G93" s="4" t="str">
        <x:v>Source, recovery or issue route applies</x:v>
      </x:c>
      <x:c r="H93" s="4" t="str">
        <x:v>Not a selected manufacturing route</x:v>
      </x:c>
      <x:c r="I93" s="4" t="str">
        <x:v>Raw entry feed</x:v>
      </x:c>
      <x:c r="J93" s="4" t="str">
        <x:v>Reagent identity, contained carrier, reaction/selectivity, compatibility and process yield require qualification.</x:v>
      </x:c>
    </x:row>
    <x:row r="94" ht="115" customHeight="1">
      <x:c r="A94" s="4" t="str">
        <x:v>proposal.chemical.disabling_venom</x:v>
      </x:c>
      <x:c r="B94" s="4" t="str">
        <x:f>IFERROR(INDEX(Items!$B$6:$B$1005,MATCH(A94,Items!$A$6:$A$1005,0)),"MISSING ID")</x:f>
        <x:v>Disabling venom fraction</x:v>
      </x:c>
      <x:c r="C94" s="4" t="str">
        <x:f>IFERROR(INDEX(Items!$X$6:$X$1005,MATCH(A94,Items!$A$6:$A$1005,0)),"MISSING ID")</x:f>
        <x:v>Chemical material</x:v>
      </x:c>
      <x:c r="D94" s="4" t="str">
        <x:f>IFERROR(INDEX(Items!$C$6:$C$1005,MATCH(A94,Items!$A$6:$A$1005,0)),"MISSING ID")</x:f>
        <x:v>T0</x:v>
      </x:c>
      <x:c r="E94" s="4" t="str">
        <x:v>Raw source</x:v>
      </x:c>
      <x:c r="F94" s="14" t="n">
        <x:f>IFERROR(INDEX(Items!$AJ$6:$AJ$1005,MATCH(A94,Items!$A$6:$A$1005,0)),"MISSING ID")</x:f>
        <x:v>0</x:v>
      </x:c>
      <x:c r="G94" s="4" t="str">
        <x:v>Source, recovery or issue route applies</x:v>
      </x:c>
      <x:c r="H94" s="4" t="str">
        <x:v>Not a selected manufacturing route</x:v>
      </x:c>
      <x:c r="I94" s="4" t="str">
        <x:v>Raw entry feed</x:v>
      </x:c>
      <x:c r="J94" s="4" t="str">
        <x:v>Reagent identity, contained carrier, reaction/selectivity, compatibility and process yield require qualification.</x:v>
      </x:c>
    </x:row>
    <x:row r="95" ht="115" customHeight="1">
      <x:c r="A95" s="4" t="str">
        <x:v>proposal.chemical.scent_marker</x:v>
      </x:c>
      <x:c r="B95" s="4" t="str">
        <x:f>IFERROR(INDEX(Items!$B$6:$B$1005,MATCH(A95,Items!$A$6:$A$1005,0)),"MISSING ID")</x:f>
        <x:v>Chemical scent marker</x:v>
      </x:c>
      <x:c r="C95" s="4" t="str">
        <x:f>IFERROR(INDEX(Items!$X$6:$X$1005,MATCH(A95,Items!$A$6:$A$1005,0)),"MISSING ID")</x:f>
        <x:v>Chemical material</x:v>
      </x:c>
      <x:c r="D95" s="4" t="str">
        <x:f>IFERROR(INDEX(Items!$C$6:$C$1005,MATCH(A95,Items!$A$6:$A$1005,0)),"MISSING ID")</x:f>
        <x:v>T0</x:v>
      </x:c>
      <x:c r="E95" s="4" t="str">
        <x:v>Raw source</x:v>
      </x:c>
      <x:c r="F95" s="14" t="n">
        <x:f>IFERROR(INDEX(Items!$AJ$6:$AJ$1005,MATCH(A95,Items!$A$6:$A$1005,0)),"MISSING ID")</x:f>
        <x:v>0</x:v>
      </x:c>
      <x:c r="G95" s="4" t="str">
        <x:v>Source, recovery or issue route applies</x:v>
      </x:c>
      <x:c r="H95" s="4" t="str">
        <x:v>Not a selected manufacturing route</x:v>
      </x:c>
      <x:c r="I95" s="4" t="str">
        <x:v>Raw entry feed</x:v>
      </x:c>
      <x:c r="J95" s="4" t="str">
        <x:v>Reagent identity, contained carrier, reaction/selectivity, compatibility and process yield require qualification.</x:v>
      </x:c>
    </x:row>
    <x:row r="96" ht="115" customHeight="1">
      <x:c r="A96" s="4"/>
      <x:c r="B96" s="4"/>
      <x:c r="C96" s="4"/>
      <x:c r="D96" s="4"/>
      <x:c r="E96" s="4"/>
      <x:c r="F96" s="14"/>
      <x:c r="G96" s="4"/>
      <x:c r="H96" s="4"/>
      <x:c r="I96" s="4"/>
      <x:c r="J96" s="4"/>
    </x:row>
    <x:row r="97" ht="115" customHeight="1">
      <x:c r="A97" s="4" t="str">
        <x:v>proposal.container.reagent_bottle</x:v>
      </x:c>
      <x:c r="B97" s="4" t="str">
        <x:f>IFERROR(INDEX(Items!$B$6:$B$1005,MATCH(A97,Items!$A$6:$A$1005,0)),"MISSING ID")</x:f>
        <x:v>Opaque reagent bottle</x:v>
      </x:c>
      <x:c r="C97" s="4" t="inlineStr">
        <x:is>
          <x:t xml:space="preserve">Salvage</x:t>
        </x:is>
      </x:c>
      <x:c r="D97" s="4" t="str">
        <x:f>IFERROR(INDEX(Items!$C$6:$C$1005,MATCH(A97,Items!$A$6:$A$1005,0)),"MISSING ID")</x:f>
        <x:v>Not applicable</x:v>
      </x:c>
      <x:c r="E97" s="4" t="inlineStr">
        <x:is>
          <x:t xml:space="preserve">Found salvage</x:t>
        </x:is>
      </x:c>
      <x:c r="F97" s="14" t="n">
        <x:f>IFERROR(INDEX(Items!$AJ$6:$AJ$1005,MATCH(A97,Items!$A$6:$A$1005,0)),"MISSING ID")</x:f>
        <x:v>1</x:v>
      </x:c>
      <x:c r="G97" s="4" t="inlineStr">
        <x:is>
          <x:t xml:space="preserve">No production route required</x:t>
        </x:is>
      </x:c>
      <x:c r="H97" s="4" t="inlineStr">
        <x:is>
          <x:t xml:space="preserve">No dedicated station or tools</x:t>
        </x:is>
      </x:c>
      <x:c r="I97" s="4" t="inlineStr">
        <x:is>
          <x:t xml:space="preserve">Former container production proposal retired</x:t>
        </x:is>
      </x:c>
      <x:c r="J9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98" ht="115" customHeight="1">
      <x:c r="A98" s="4" t="str">
        <x:v>proposal.container.wide_jar</x:v>
      </x:c>
      <x:c r="B98" s="4" t="str">
        <x:f>IFERROR(INDEX(Items!$B$6:$B$1005,MATCH(A98,Items!$A$6:$A$1005,0)),"MISSING ID")</x:f>
        <x:v>Wide-mouth sample jar</x:v>
      </x:c>
      <x:c r="C98" s="4" t="inlineStr">
        <x:is>
          <x:t xml:space="preserve">Salvage</x:t>
        </x:is>
      </x:c>
      <x:c r="D98" s="4" t="str">
        <x:f>IFERROR(INDEX(Items!$C$6:$C$1005,MATCH(A98,Items!$A$6:$A$1005,0)),"MISSING ID")</x:f>
        <x:v>Not applicable</x:v>
      </x:c>
      <x:c r="E98" s="4" t="inlineStr">
        <x:is>
          <x:t xml:space="preserve">Found salvage</x:t>
        </x:is>
      </x:c>
      <x:c r="F98" s="14" t="n">
        <x:f>IFERROR(INDEX(Items!$AJ$6:$AJ$1005,MATCH(A98,Items!$A$6:$A$1005,0)),"MISSING ID")</x:f>
        <x:v>1</x:v>
      </x:c>
      <x:c r="G98" s="4" t="inlineStr">
        <x:is>
          <x:t xml:space="preserve">No production route required</x:t>
        </x:is>
      </x:c>
      <x:c r="H98" s="4" t="inlineStr">
        <x:is>
          <x:t xml:space="preserve">No dedicated station or tools</x:t>
        </x:is>
      </x:c>
      <x:c r="I98" s="4" t="inlineStr">
        <x:is>
          <x:t xml:space="preserve">Former container production proposal retired</x:t>
        </x:is>
      </x:c>
      <x:c r="J9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99" ht="115" customHeight="1">
      <x:c r="A99" s="4" t="str">
        <x:v>proposal.container.ampoule</x:v>
      </x:c>
      <x:c r="B99" s="4" t="str">
        <x:f>IFERROR(INDEX(Items!$B$6:$B$1005,MATCH(A99,Items!$A$6:$A$1005,0)),"MISSING ID")</x:f>
        <x:v>Sealed sample ampoule</x:v>
      </x:c>
      <x:c r="C99" s="4" t="inlineStr">
        <x:is>
          <x:t xml:space="preserve">Salvage</x:t>
        </x:is>
      </x:c>
      <x:c r="D99" s="4" t="str">
        <x:f>IFERROR(INDEX(Items!$C$6:$C$1005,MATCH(A99,Items!$A$6:$A$1005,0)),"MISSING ID")</x:f>
        <x:v>Not applicable</x:v>
      </x:c>
      <x:c r="E99" s="4" t="inlineStr">
        <x:is>
          <x:t xml:space="preserve">Found salvage</x:t>
        </x:is>
      </x:c>
      <x:c r="F99" s="14" t="n">
        <x:f>IFERROR(INDEX(Items!$AJ$6:$AJ$1005,MATCH(A99,Items!$A$6:$A$1005,0)),"MISSING ID")</x:f>
        <x:v>1</x:v>
      </x:c>
      <x:c r="G99" s="4" t="inlineStr">
        <x:is>
          <x:t xml:space="preserve">No production route required</x:t>
        </x:is>
      </x:c>
      <x:c r="H99" s="4" t="inlineStr">
        <x:is>
          <x:t xml:space="preserve">No dedicated station or tools</x:t>
        </x:is>
      </x:c>
      <x:c r="I99" s="4" t="inlineStr">
        <x:is>
          <x:t xml:space="preserve">Former container production proposal retired</x:t>
        </x:is>
      </x:c>
      <x:c r="J9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0" ht="115" customHeight="1">
      <x:c r="A100" s="4" t="str">
        <x:v>proposal.container.marked_flask</x:v>
      </x:c>
      <x:c r="B100" s="4" t="str">
        <x:f>IFERROR(INDEX(Items!$B$6:$B$1005,MATCH(A100,Items!$A$6:$A$1005,0)),"MISSING ID")</x:f>
        <x:v>Marked glass flask</x:v>
      </x:c>
      <x:c r="C100" s="4" t="inlineStr">
        <x:is>
          <x:t xml:space="preserve">Salvage</x:t>
        </x:is>
      </x:c>
      <x:c r="D100" s="4" t="str">
        <x:f>IFERROR(INDEX(Items!$C$6:$C$1005,MATCH(A100,Items!$A$6:$A$1005,0)),"MISSING ID")</x:f>
        <x:v>Not applicable</x:v>
      </x:c>
      <x:c r="E100" s="4" t="inlineStr">
        <x:is>
          <x:t xml:space="preserve">Found salvage</x:t>
        </x:is>
      </x:c>
      <x:c r="F100" s="14" t="n">
        <x:f>IFERROR(INDEX(Items!$AJ$6:$AJ$1005,MATCH(A100,Items!$A$6:$A$1005,0)),"MISSING ID")</x:f>
        <x:v>1</x:v>
      </x:c>
      <x:c r="G100" s="4" t="inlineStr">
        <x:is>
          <x:t xml:space="preserve">No production route required</x:t>
        </x:is>
      </x:c>
      <x:c r="H100" s="4" t="inlineStr">
        <x:is>
          <x:t xml:space="preserve">No dedicated station or tools</x:t>
        </x:is>
      </x:c>
      <x:c r="I100" s="4" t="inlineStr">
        <x:is>
          <x:t xml:space="preserve">Former container production proposal retired</x:t>
        </x:is>
      </x:c>
      <x:c r="J10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1" ht="115" customHeight="1">
      <x:c r="A101" s="4" t="str">
        <x:v>proposal.container.shell_cage</x:v>
      </x:c>
      <x:c r="B101" s="4" t="str">
        <x:f>IFERROR(INDEX(Items!$B$6:$B$1005,MATCH(A101,Items!$A$6:$A$1005,0)),"MISSING ID")</x:f>
        <x:v>Shell-caged glass flask</x:v>
      </x:c>
      <x:c r="C101" s="4" t="inlineStr">
        <x:is>
          <x:t xml:space="preserve">Salvage</x:t>
        </x:is>
      </x:c>
      <x:c r="D101" s="4" t="str">
        <x:f>IFERROR(INDEX(Items!$C$6:$C$1005,MATCH(A101,Items!$A$6:$A$1005,0)),"MISSING ID")</x:f>
        <x:v>Not applicable</x:v>
      </x:c>
      <x:c r="E101" s="4" t="inlineStr">
        <x:is>
          <x:t xml:space="preserve">Found salvage</x:t>
        </x:is>
      </x:c>
      <x:c r="F101" s="14" t="n">
        <x:f>IFERROR(INDEX(Items!$AJ$6:$AJ$1005,MATCH(A101,Items!$A$6:$A$1005,0)),"MISSING ID")</x:f>
        <x:v>1</x:v>
      </x:c>
      <x:c r="G101" s="4" t="inlineStr">
        <x:is>
          <x:t xml:space="preserve">No production route required</x:t>
        </x:is>
      </x:c>
      <x:c r="H101" s="4" t="inlineStr">
        <x:is>
          <x:t xml:space="preserve">No dedicated station or tools</x:t>
        </x:is>
      </x:c>
      <x:c r="I101" s="4" t="inlineStr">
        <x:is>
          <x:t xml:space="preserve">Former container production proposal retired</x:t>
        </x:is>
      </x:c>
      <x:c r="J10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2" ht="115" customHeight="1">
      <x:c r="A102" s="4" t="str">
        <x:v>proposal.container.lined_canister</x:v>
      </x:c>
      <x:c r="B102" s="4" t="str">
        <x:f>IFERROR(INDEX(Items!$B$6:$B$1005,MATCH(A102,Items!$A$6:$A$1005,0)),"MISSING ID")</x:f>
        <x:v>Glass-lined haul canister</x:v>
      </x:c>
      <x:c r="C102" s="4" t="inlineStr">
        <x:is>
          <x:t xml:space="preserve">Salvage</x:t>
        </x:is>
      </x:c>
      <x:c r="D102" s="4" t="str">
        <x:f>IFERROR(INDEX(Items!$C$6:$C$1005,MATCH(A102,Items!$A$6:$A$1005,0)),"MISSING ID")</x:f>
        <x:v>Not applicable</x:v>
      </x:c>
      <x:c r="E102" s="4" t="inlineStr">
        <x:is>
          <x:t xml:space="preserve">Found salvage</x:t>
        </x:is>
      </x:c>
      <x:c r="F102" s="14" t="n">
        <x:f>IFERROR(INDEX(Items!$AJ$6:$AJ$1005,MATCH(A102,Items!$A$6:$A$1005,0)),"MISSING ID")</x:f>
        <x:v>1</x:v>
      </x:c>
      <x:c r="G102" s="4" t="inlineStr">
        <x:is>
          <x:t xml:space="preserve">No production route required</x:t>
        </x:is>
      </x:c>
      <x:c r="H102" s="4" t="inlineStr">
        <x:is>
          <x:t xml:space="preserve">No dedicated station or tools</x:t>
        </x:is>
      </x:c>
      <x:c r="I102" s="4" t="inlineStr">
        <x:is>
          <x:t xml:space="preserve">Former container production proposal retired</x:t>
        </x:is>
      </x:c>
      <x:c r="J10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3" ht="115" customHeight="1">
      <x:c r="A103" s="4" t="str">
        <x:v>proposal.container.ceramic_jar</x:v>
      </x:c>
      <x:c r="B103" s="4" t="str">
        <x:f>IFERROR(INDEX(Items!$B$6:$B$1005,MATCH(A103,Items!$A$6:$A$1005,0)),"MISSING ID")</x:f>
        <x:v>Glazed ceramic reagent jar</x:v>
      </x:c>
      <x:c r="C103" s="4" t="inlineStr">
        <x:is>
          <x:t xml:space="preserve">Salvage</x:t>
        </x:is>
      </x:c>
      <x:c r="D103" s="4" t="str">
        <x:f>IFERROR(INDEX(Items!$C$6:$C$1005,MATCH(A103,Items!$A$6:$A$1005,0)),"MISSING ID")</x:f>
        <x:v>Not applicable</x:v>
      </x:c>
      <x:c r="E103" s="4" t="inlineStr">
        <x:is>
          <x:t xml:space="preserve">Found salvage</x:t>
        </x:is>
      </x:c>
      <x:c r="F103" s="14" t="n">
        <x:f>IFERROR(INDEX(Items!$AJ$6:$AJ$1005,MATCH(A103,Items!$A$6:$A$1005,0)),"MISSING ID")</x:f>
        <x:v>1</x:v>
      </x:c>
      <x:c r="G103" s="4" t="inlineStr">
        <x:is>
          <x:t xml:space="preserve">No production route required</x:t>
        </x:is>
      </x:c>
      <x:c r="H103" s="4" t="inlineStr">
        <x:is>
          <x:t xml:space="preserve">No dedicated station or tools</x:t>
        </x:is>
      </x:c>
      <x:c r="I103" s="4" t="inlineStr">
        <x:is>
          <x:t xml:space="preserve">Former container production proposal retired</x:t>
        </x:is>
      </x:c>
      <x:c r="J10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4" ht="115" customHeight="1">
      <x:c r="A104" s="4" t="str">
        <x:v>proposal.container.bulk_ichor</x:v>
      </x:c>
      <x:c r="B104" s="4" t="str">
        <x:f>IFERROR(INDEX(Items!$B$6:$B$1005,MATCH(A104,Items!$A$6:$A$1005,0)),"MISSING ID")</x:f>
        <x:v>Bulk ichor vessel</x:v>
      </x:c>
      <x:c r="C104" s="4" t="str">
        <x:f>IFERROR(INDEX(Items!$X$6:$X$1005,MATCH(A104,Items!$A$6:$A$1005,0)),"MISSING ID")</x:f>
        <x:v>Container</x:v>
      </x:c>
      <x:c r="D104" s="4" t="str">
        <x:f>IFERROR(INDEX(Items!$C$6:$C$1005,MATCH(A104,Items!$A$6:$A$1005,0)),"MISSING ID")</x:f>
        <x:v>Not applicable</x:v>
      </x:c>
      <x:c r="E104" s="4" t="str">
        <x:v>Finished endpoint</x:v>
      </x:c>
      <x:c r="F104" s="14" t="n">
        <x:f>IFERROR(INDEX(Items!$AJ$6:$AJ$1005,MATCH(A104,Items!$A$6:$A$1005,0)),"MISSING ID")</x:f>
        <x:v>1</x:v>
      </x:c>
      <x:c r="G104" s="4" t="str">
        <x:v>Traced to cataloged T0 and/or recovered feeds</x:v>
      </x:c>
      <x:c r="H104" s="4" t="str">
        <x:v>Forge hearth, Anvil, Forging hammer, Smithing tongs, Metalworking file and Hand-cranked metal drill as applicable. Existing workshop bootstrap and controlled heating/cooling required; no free-water quench assumed.</x:v>
      </x:c>
      <x:c r="I104" s="4" t="str">
        <x:v>Candidate path traced</x:v>
      </x:c>
      <x:c r="J104" s="4" t="str">
        <x:v>Dimensions, grade, process qualification, quantity and yield remain open.</x:v>
      </x:c>
    </x:row>
    <x:row r="105" ht="115" customHeight="1">
      <x:c r="A105" s="4"/>
      <x:c r="B105" s="4"/>
      <x:c r="C105" s="4"/>
      <x:c r="D105" s="4"/>
      <x:c r="E105" s="4"/>
      <x:c r="F105" s="14"/>
      <x:c r="G105" s="4"/>
      <x:c r="H105" s="4"/>
      <x:c r="I105" s="4"/>
      <x:c r="J105" s="4"/>
    </x:row>
    <x:row r="106" ht="115" customHeight="1">
      <x:c r="A106" s="4" t="str">
        <x:v>proposal.container.sealed_box</x:v>
      </x:c>
      <x:c r="B106" s="4" t="str">
        <x:f>IFERROR(INDEX(Items!$B$6:$B$1005,MATCH(A106,Items!$A$6:$A$1005,0)),"MISSING ID")</x:f>
        <x:v>Sealed cargo box</x:v>
      </x:c>
      <x:c r="C106" s="4" t="inlineStr">
        <x:is>
          <x:t xml:space="preserve">Salvage</x:t>
        </x:is>
      </x:c>
      <x:c r="D106" s="4" t="str">
        <x:f>IFERROR(INDEX(Items!$C$6:$C$1005,MATCH(A106,Items!$A$6:$A$1005,0)),"MISSING ID")</x:f>
        <x:v>Not applicable</x:v>
      </x:c>
      <x:c r="E106" s="4" t="inlineStr">
        <x:is>
          <x:t xml:space="preserve">Found salvage</x:t>
        </x:is>
      </x:c>
      <x:c r="F106" s="14" t="n">
        <x:f>IFERROR(INDEX(Items!$AJ$6:$AJ$1005,MATCH(A106,Items!$A$6:$A$1005,0)),"MISSING ID")</x:f>
        <x:v>1</x:v>
      </x:c>
      <x:c r="G106" s="4" t="inlineStr">
        <x:is>
          <x:t xml:space="preserve">No production route required</x:t>
        </x:is>
      </x:c>
      <x:c r="H106" s="4" t="inlineStr">
        <x:is>
          <x:t xml:space="preserve">No dedicated station or tools</x:t>
        </x:is>
      </x:c>
      <x:c r="I106" s="4" t="inlineStr">
        <x:is>
          <x:t xml:space="preserve">Former container production proposal retired</x:t>
        </x:is>
      </x:c>
      <x:c r="J10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7" ht="115" customHeight="1">
      <x:c r="A107" s="4" t="str">
        <x:v>proposal.container.field_chest</x:v>
      </x:c>
      <x:c r="B107" s="4" t="str">
        <x:f>IFERROR(INDEX(Items!$B$6:$B$1005,MATCH(A107,Items!$A$6:$A$1005,0)),"MISSING ID")</x:f>
        <x:v>Locking field chest</x:v>
      </x:c>
      <x:c r="C107" s="4" t="str">
        <x:f>IFERROR(INDEX(Items!$X$6:$X$1005,MATCH(A107,Items!$A$6:$A$1005,0)),"MISSING ID")</x:f>
        <x:v>Container</x:v>
      </x:c>
      <x:c r="D107" s="4" t="str">
        <x:f>IFERROR(INDEX(Items!$C$6:$C$1005,MATCH(A107,Items!$A$6:$A$1005,0)),"MISSING ID")</x:f>
        <x:v>Not applicable</x:v>
      </x:c>
      <x:c r="E107" s="4" t="str">
        <x:v>Finished endpoint</x:v>
      </x:c>
      <x:c r="F107" s="14" t="n">
        <x:f>IFERROR(INDEX(Items!$AJ$6:$AJ$1005,MATCH(A107,Items!$A$6:$A$1005,0)),"MISSING ID")</x:f>
        <x:v>1</x:v>
      </x:c>
      <x:c r="G107" s="4" t="str">
        <x:v>Traced to cataloged T0 and/or recovered feeds</x:v>
      </x:c>
      <x:c r="H107" s="4" t="str">
        <x:v>Forge hearth, Anvil, Forging hammer, Smithing tongs, Metalworking file and Hand-cranked metal drill as applicable. Existing workshop bootstrap and controlled heating/cooling required; no free-water quench assumed.</x:v>
      </x:c>
      <x:c r="I107" s="4" t="str">
        <x:v>Candidate path traced</x:v>
      </x:c>
      <x:c r="J107" s="4" t="str">
        <x:v>Dimensions, grade, process qualification, quantity and yield remain open.</x:v>
      </x:c>
    </x:row>
    <x:row r="108" ht="115" customHeight="1">
      <x:c r="A108" s="4"/>
      <x:c r="B108" s="4"/>
      <x:c r="C108" s="4"/>
      <x:c r="D108" s="4"/>
      <x:c r="E108" s="4"/>
      <x:c r="F108" s="14"/>
      <x:c r="G108" s="4"/>
      <x:c r="H108" s="4"/>
      <x:c r="I108" s="4"/>
      <x:c r="J108" s="4"/>
    </x:row>
    <x:row r="109" ht="115" customHeight="1">
      <x:c r="A109" s="4" t="str">
        <x:v>proposal.container.draw_tube</x:v>
      </x:c>
      <x:c r="B109" s="4" t="str">
        <x:f>IFERROR(INDEX(Items!$B$6:$B$1005,MATCH(A109,Items!$A$6:$A$1005,0)),"MISSING ID")</x:f>
        <x:v>Glass draw tube</x:v>
      </x:c>
      <x:c r="C109" s="4" t="inlineStr">
        <x:is>
          <x:t xml:space="preserve">Salvage</x:t>
        </x:is>
      </x:c>
      <x:c r="D109" s="4" t="str">
        <x:f>IFERROR(INDEX(Items!$C$6:$C$1005,MATCH(A109,Items!$A$6:$A$1005,0)),"MISSING ID")</x:f>
        <x:v>Not applicable</x:v>
      </x:c>
      <x:c r="E109" s="4" t="inlineStr">
        <x:is>
          <x:t xml:space="preserve">Found salvage</x:t>
        </x:is>
      </x:c>
      <x:c r="F109" s="14" t="n">
        <x:f>IFERROR(INDEX(Items!$AJ$6:$AJ$1005,MATCH(A109,Items!$A$6:$A$1005,0)),"MISSING ID")</x:f>
        <x:v>1</x:v>
      </x:c>
      <x:c r="G109" s="4" t="inlineStr">
        <x:is>
          <x:t xml:space="preserve">No production route required</x:t>
        </x:is>
      </x:c>
      <x:c r="H109" s="4" t="inlineStr">
        <x:is>
          <x:t xml:space="preserve">No dedicated station or tools</x:t>
        </x:is>
      </x:c>
      <x:c r="I109" s="4" t="inlineStr">
        <x:is>
          <x:t xml:space="preserve">Former container production proposal retired</x:t>
        </x:is>
      </x:c>
      <x:c r="J10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10" ht="115" customHeight="1">
      <x:c r="A110" s="4" t="str">
        <x:v>proposal.container.glass_stopper</x:v>
      </x:c>
      <x:c r="B110" s="4" t="str">
        <x:f>IFERROR(INDEX(Items!$B$6:$B$1005,MATCH(A110,Items!$A$6:$A$1005,0)),"MISSING ID")</x:f>
        <x:v>Matched glass stopper</x:v>
      </x:c>
      <x:c r="C110" s="4" t="inlineStr">
        <x:is>
          <x:t xml:space="preserve">Salvage</x:t>
        </x:is>
      </x:c>
      <x:c r="D110" s="4" t="str">
        <x:f>IFERROR(INDEX(Items!$C$6:$C$1005,MATCH(A110,Items!$A$6:$A$1005,0)),"MISSING ID")</x:f>
        <x:v>T2</x:v>
      </x:c>
      <x:c r="E110" s="4" t="inlineStr">
        <x:is>
          <x:t xml:space="preserve">Found salvage</x:t>
        </x:is>
      </x:c>
      <x:c r="F110" s="14" t="n">
        <x:f>IFERROR(INDEX(Items!$AJ$6:$AJ$1005,MATCH(A110,Items!$A$6:$A$1005,0)),"MISSING ID")</x:f>
        <x:v>1</x:v>
      </x:c>
      <x:c r="G110" s="4" t="inlineStr">
        <x:is>
          <x:t xml:space="preserve">No production route required</x:t>
        </x:is>
      </x:c>
      <x:c r="H110" s="4" t="inlineStr">
        <x:is>
          <x:t xml:space="preserve">No dedicated station or tools</x:t>
        </x:is>
      </x:c>
      <x:c r="I110" s="4" t="inlineStr">
        <x:is>
          <x:t xml:space="preserve">Former container production proposal retired</x:t>
        </x:is>
      </x:c>
      <x:c r="J1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11" ht="115" customHeight="1">
      <x:c r="A111" s="4"/>
      <x:c r="B111" s="4"/>
      <x:c r="C111" s="4"/>
      <x:c r="D111" s="4"/>
      <x:c r="E111" s="4"/>
      <x:c r="F111" s="14"/>
      <x:c r="G111" s="4"/>
      <x:c r="H111" s="4"/>
      <x:c r="I111" s="4"/>
      <x:c r="J111" s="4"/>
    </x:row>
    <x:row r="112" ht="115" customHeight="1">
      <x:c r="A112" s="4"/>
      <x:c r="B112" s="4"/>
      <x:c r="C112" s="4"/>
      <x:c r="D112" s="4"/>
      <x:c r="E112" s="4"/>
      <x:c r="F112" s="14"/>
      <x:c r="G112" s="4"/>
      <x:c r="H112" s="4"/>
      <x:c r="I112" s="4"/>
      <x:c r="J112" s="4"/>
    </x:row>
    <x:row r="113" ht="115" customHeight="1">
      <x:c r="A113" s="4"/>
      <x:c r="B113" s="4"/>
      <x:c r="C113" s="4"/>
      <x:c r="D113" s="4"/>
      <x:c r="E113" s="4"/>
      <x:c r="F113" s="14"/>
      <x:c r="G113" s="4"/>
      <x:c r="H113" s="4"/>
      <x:c r="I113" s="4"/>
      <x:c r="J113" s="4"/>
    </x:row>
    <x:row r="114" ht="115" customHeight="1">
      <x:c r="A114" s="4" t="str">
        <x:v>proposal.gear.chest_armor</x:v>
      </x:c>
      <x:c r="B114" s="4" t="str">
        <x:f>IFERROR(INDEX(Items!$B$6:$B$1005,MATCH(A114,Items!$A$6:$A$1005,0)),"MISSING ID")</x:f>
        <x:v>Iron chestplate</x:v>
      </x:c>
      <x:c r="C114" s="4" t="str">
        <x:f>IFERROR(INDEX(Items!$X$6:$X$1005,MATCH(A114,Items!$A$6:$A$1005,0)),"MISSING ID")</x:f>
        <x:v>Armor</x:v>
      </x:c>
      <x:c r="D114" s="4" t="str">
        <x:f>IFERROR(INDEX(Items!$C$6:$C$1005,MATCH(A114,Items!$A$6:$A$1005,0)),"MISSING ID")</x:f>
        <x:v>T2</x:v>
      </x:c>
      <x:c r="E114" s="4" t="str">
        <x:v>Finished endpoint</x:v>
      </x:c>
      <x:c r="F114" s="14" t="n">
        <x:f>IFERROR(INDEX(Items!$AJ$6:$AJ$1005,MATCH(A114,Items!$A$6:$A$1005,0)),"MISSING ID")</x:f>
        <x:v>1</x:v>
      </x:c>
      <x:c r="G114" s="4" t="str">
        <x:v>Traced to cataloged T0 and/or recovered feeds</x:v>
      </x:c>
      <x:c r="H114" s="4" t="str">
        <x:v>Forge hearth, Anvil, Forging hammer, Smithing tongs, Metalworking file and Hand-cranked metal drill as applicable. Existing workshop bootstrap and controlled heating/cooling required; no free-water quench assumed.</x:v>
      </x:c>
      <x:c r="I114" s="4" t="str">
        <x:v>Candidate path traced</x:v>
      </x:c>
      <x:c r="J114" s="4" t="str">
        <x:v>Fit, joints, insulation/protection and biological material yield require qualification.</x:v>
      </x:c>
    </x:row>
    <x:row r="115" ht="115" customHeight="1">
      <x:c r="A115" s="4" t="str">
        <x:v>proposal.gear.helmet</x:v>
      </x:c>
      <x:c r="B115" s="4" t="str">
        <x:f>IFERROR(INDEX(Items!$B$6:$B$1005,MATCH(A115,Items!$A$6:$A$1005,0)),"MISSING ID")</x:f>
        <x:v>Iron helmet</x:v>
      </x:c>
      <x:c r="C115" s="4" t="str">
        <x:f>IFERROR(INDEX(Items!$X$6:$X$1005,MATCH(A115,Items!$A$6:$A$1005,0)),"MISSING ID")</x:f>
        <x:v>Armor</x:v>
      </x:c>
      <x:c r="D115" s="4" t="str">
        <x:f>IFERROR(INDEX(Items!$C$6:$C$1005,MATCH(A115,Items!$A$6:$A$1005,0)),"MISSING ID")</x:f>
        <x:v>T2</x:v>
      </x:c>
      <x:c r="E115" s="4" t="str">
        <x:v>Finished endpoint</x:v>
      </x:c>
      <x:c r="F115" s="14" t="n">
        <x:f>IFERROR(INDEX(Items!$AJ$6:$AJ$1005,MATCH(A115,Items!$A$6:$A$1005,0)),"MISSING ID")</x:f>
        <x:v>1</x:v>
      </x:c>
      <x:c r="G115" s="4" t="str">
        <x:v>Traced to cataloged T0 and/or recovered feeds</x:v>
      </x:c>
      <x:c r="H115" s="4" t="str">
        <x:v>Forge hearth, Anvil, Forging hammer, Smithing tongs, Metalworking file and Hand-cranked metal drill as applicable. Existing workshop bootstrap and controlled heating/cooling required; no free-water quench assumed.</x:v>
      </x:c>
      <x:c r="I115" s="4" t="str">
        <x:v>Candidate path traced</x:v>
      </x:c>
      <x:c r="J115" s="4" t="str">
        <x:v>Fit, joints, insulation/protection and biological material yield require qualification.</x:v>
      </x:c>
    </x:row>
    <x:row r="116" ht="115" customHeight="1">
      <x:c r="A116" s="4" t="str">
        <x:v>proposal.gear.leg_armor</x:v>
      </x:c>
      <x:c r="B116" s="4" t="str">
        <x:f>IFERROR(INDEX(Items!$B$6:$B$1005,MATCH(A116,Items!$A$6:$A$1005,0)),"MISSING ID")</x:f>
        <x:v>Iron leg guards</x:v>
      </x:c>
      <x:c r="C116" s="4" t="str">
        <x:f>IFERROR(INDEX(Items!$X$6:$X$1005,MATCH(A116,Items!$A$6:$A$1005,0)),"MISSING ID")</x:f>
        <x:v>Armor</x:v>
      </x:c>
      <x:c r="D116" s="4" t="str">
        <x:f>IFERROR(INDEX(Items!$C$6:$C$1005,MATCH(A116,Items!$A$6:$A$1005,0)),"MISSING ID")</x:f>
        <x:v>T2</x:v>
      </x:c>
      <x:c r="E116" s="4" t="str">
        <x:v>Finished endpoint</x:v>
      </x:c>
      <x:c r="F116" s="14" t="n">
        <x:f>IFERROR(INDEX(Items!$AJ$6:$AJ$1005,MATCH(A116,Items!$A$6:$A$1005,0)),"MISSING ID")</x:f>
        <x:v>1</x:v>
      </x:c>
      <x:c r="G116" s="4" t="str">
        <x:v>Traced to cataloged T0 and/or recovered feeds</x:v>
      </x:c>
      <x:c r="H116" s="4" t="str">
        <x:v>Forge hearth, Anvil, Forging hammer, Smithing tongs, Metalworking file and Hand-cranked metal drill as applicable. Existing workshop bootstrap and controlled heating/cooling required; no free-water quench assumed.</x:v>
      </x:c>
      <x:c r="I116" s="4" t="str">
        <x:v>Candidate path traced</x:v>
      </x:c>
      <x:c r="J116" s="4" t="str">
        <x:v>Fit, joints, insulation/protection and biological material yield require qualification.</x:v>
      </x:c>
    </x:row>
    <x:row r="117" ht="115" customHeight="1">
      <x:c r="A117" s="4"/>
      <x:c r="B117" s="4"/>
      <x:c r="C117" s="4"/>
      <x:c r="D117" s="4"/>
      <x:c r="E117" s="4"/>
      <x:c r="F117" s="14"/>
      <x:c r="G117" s="4"/>
      <x:c r="H117" s="4"/>
      <x:c r="I117" s="4"/>
      <x:c r="J117" s="4"/>
    </x:row>
    <x:row r="118" ht="115" customHeight="1">
      <x:c r="A118" s="4"/>
      <x:c r="B118" s="4"/>
      <x:c r="C118" s="4"/>
      <x:c r="D118" s="4"/>
      <x:c r="E118" s="4"/>
      <x:c r="F118" s="14"/>
      <x:c r="G118" s="4"/>
      <x:c r="H118" s="4"/>
      <x:c r="I118" s="4"/>
      <x:c r="J118" s="4"/>
    </x:row>
    <x:row r="119" ht="115" customHeight="1">
      <x:c r="A119" s="4" t="str">
        <x:v>proposal.gear.backpack</x:v>
      </x:c>
      <x:c r="B119" s="4" t="str">
        <x:f>IFERROR(INDEX(Items!$B$6:$B$1005,MATCH(A119,Items!$A$6:$A$1005,0)),"MISSING ID")</x:f>
        <x:v>Backpack</x:v>
      </x:c>
      <x:c r="C119" s="4" t="str">
        <x:f>IFERROR(INDEX(Items!$X$6:$X$1005,MATCH(A119,Items!$A$6:$A$1005,0)),"MISSING ID")</x:f>
        <x:v>Carrier</x:v>
      </x:c>
      <x:c r="D119" s="4" t="str">
        <x:f>IFERROR(INDEX(Items!$C$6:$C$1005,MATCH(A119,Items!$A$6:$A$1005,0)),"MISSING ID")</x:f>
        <x:v>Not applicable</x:v>
      </x:c>
      <x:c r="E119" s="4" t="str">
        <x:v>Finished endpoint</x:v>
      </x:c>
      <x:c r="F119" s="14" t="n">
        <x:f>IFERROR(INDEX(Items!$AJ$6:$AJ$1005,MATCH(A119,Items!$A$6:$A$1005,0)),"MISSING ID")</x:f>
        <x:v>1</x:v>
      </x:c>
      <x:c r="G119" s="4" t="str">
        <x:v>Traced to cataloged T0 and/or recovered feeds</x:v>
      </x:c>
      <x:c r="H119" s="4" t="str">
        <x:v>Forge hearth, Anvil, Forging hammer, Smithing tongs, Metalworking file and Hand-cranked metal drill as applicable. Existing workshop bootstrap and controlled heating/cooling required; no free-water quench assumed.</x:v>
      </x:c>
      <x:c r="I119" s="4" t="str">
        <x:v>Candidate path traced</x:v>
      </x:c>
      <x:c r="J119" s="4" t="str">
        <x:v>Dimensions, grade, process qualification, quantity and yield remain open.</x:v>
      </x:c>
    </x:row>
    <x:row r="120" ht="115" customHeight="1">
      <x:c r="A120" s="4" t="str">
        <x:v>proposal.gear.special_plates</x:v>
      </x:c>
      <x:c r="B120" s="4" t="str">
        <x:f>IFERROR(INDEX(Items!$B$6:$B$1005,MATCH(A120,Items!$A$6:$A$1005,0)),"MISSING ID")</x:f>
        <x:v>Specialized armor plates</x:v>
      </x:c>
      <x:c r="C120" s="4" t="str">
        <x:f>IFERROR(INDEX(Items!$X$6:$X$1005,MATCH(A120,Items!$A$6:$A$1005,0)),"MISSING ID")</x:f>
        <x:v>Armor</x:v>
      </x:c>
      <x:c r="D120" s="4" t="str">
        <x:f>IFERROR(INDEX(Items!$C$6:$C$1005,MATCH(A120,Items!$A$6:$A$1005,0)),"MISSING ID")</x:f>
        <x:v>Not applicable</x:v>
      </x:c>
      <x:c r="E120" s="4" t="str">
        <x:v>Finished endpoint</x:v>
      </x:c>
      <x:c r="F120" s="14" t="n">
        <x:f>IFERROR(INDEX(Items!$AJ$6:$AJ$1005,MATCH(A120,Items!$A$6:$A$1005,0)),"MISSING ID")</x:f>
        <x:v>1</x:v>
      </x:c>
      <x:c r="G120" s="4" t="str">
        <x:v>Traced to cataloged T0 and/or recovered feeds</x:v>
      </x:c>
      <x:c r="H120" s="4" t="str">
        <x:v>Forge hearth, Anvil, Forging hammer, Smithing tongs, Metalworking file and Hand-cranked metal drill as applicable. Existing workshop bootstrap and controlled heating/cooling required; no free-water quench assumed.</x:v>
      </x:c>
      <x:c r="I120" s="4" t="str">
        <x:v>Candidate path traced</x:v>
      </x:c>
      <x:c r="J120" s="4" t="str">
        <x:v>Fit, joints, insulation/protection and biological material yield require qualification.</x:v>
      </x:c>
    </x:row>
    <x:row r="121" ht="115" customHeight="1">
      <x:c r="A121" s="4"/>
      <x:c r="B121" s="4"/>
      <x:c r="C121" s="4"/>
      <x:c r="D121" s="4"/>
      <x:c r="E121" s="4"/>
      <x:c r="F121" s="14"/>
      <x:c r="G121" s="4"/>
      <x:c r="H121" s="4"/>
      <x:c r="I121" s="4"/>
      <x:c r="J121" s="4"/>
    </x:row>
    <x:row r="122" ht="115" customHeight="1">
      <x:c r="A122" s="4" t="str">
        <x:v>proposal.weapon.caltrops</x:v>
      </x:c>
      <x:c r="B122" s="4" t="str">
        <x:f>IFERROR(INDEX(Items!$B$6:$B$1005,MATCH(A122,Items!$A$6:$A$1005,0)),"MISSING ID")</x:f>
        <x:v>Caltrops</x:v>
      </x:c>
      <x:c r="C122" s="4" t="str">
        <x:f>IFERROR(INDEX(Items!$X$6:$X$1005,MATCH(A122,Items!$A$6:$A$1005,0)),"MISSING ID")</x:f>
        <x:v>Trip hazard</x:v>
      </x:c>
      <x:c r="D122" s="4" t="str">
        <x:f>IFERROR(INDEX(Items!$C$6:$C$1005,MATCH(A122,Items!$A$6:$A$1005,0)),"MISSING ID")</x:f>
        <x:v>Not applicable</x:v>
      </x:c>
      <x:c r="E122" s="4" t="str">
        <x:v>Finished endpoint</x:v>
      </x:c>
      <x:c r="F122" s="14" t="n">
        <x:f>IFERROR(INDEX(Items!$AJ$6:$AJ$1005,MATCH(A122,Items!$A$6:$A$1005,0)),"MISSING ID")</x:f>
        <x:v>1</x:v>
      </x:c>
      <x:c r="G122" s="4" t="str">
        <x:v>Traced to cataloged T0 and/or recovered feeds</x:v>
      </x:c>
      <x:c r="H122" s="4" t="str">
        <x:v>Forge hearth, Anvil, Forging hammer, Smithing tongs, Metalworking file and Hand-cranked metal drill as applicable. Existing workshop bootstrap and controlled heating/cooling required; no free-water quench assumed.</x:v>
      </x:c>
      <x:c r="I122" s="4" t="str">
        <x:v>Candidate path traced</x:v>
      </x:c>
      <x:c r="J122" s="4" t="str">
        <x:v>Dimensions, grade, process qualification, quantity and yield remain open.</x:v>
      </x:c>
    </x:row>
    <x:row r="123" ht="115" customHeight="1">
      <x:c r="A123" s="4" t="str">
        <x:v>proposal.ancient.carbon_composite</x:v>
      </x:c>
      <x:c r="B123" s="4" t="str">
        <x:f>IFERROR(INDEX(Items!$B$6:$B$1005,MATCH(A123,Items!$A$6:$A$1005,0)),"MISSING ID")</x:f>
        <x:v>Ancient carbon composite</x:v>
      </x:c>
      <x:c r="C123" s="4" t="str">
        <x:f>IFERROR(INDEX(Items!$X$6:$X$1005,MATCH(A123,Items!$A$6:$A$1005,0)),"MISSING ID")</x:f>
        <x:v>Processed material</x:v>
      </x:c>
      <x:c r="D123" s="4" t="str">
        <x:f>IFERROR(INDEX(Items!$C$6:$C$1005,MATCH(A123,Items!$A$6:$A$1005,0)),"MISSING ID")</x:f>
        <x:v>Not applicable</x:v>
      </x:c>
      <x:c r="E123" s="4" t="str">
        <x:v>Recovery</x:v>
      </x:c>
      <x:c r="F123" s="14" t="n">
        <x:f>IFERROR(INDEX(Items!$AJ$6:$AJ$1005,MATCH(A123,Items!$A$6:$A$1005,0)),"MISSING ID")</x:f>
        <x:v>0</x:v>
      </x:c>
      <x:c r="G123" s="4" t="str">
        <x:v>Source, recovery or issue route applies</x:v>
      </x:c>
      <x:c r="H123" s="4" t="str">
        <x:v>Not a selected manufacturing route</x:v>
      </x:c>
      <x:c r="I123" s="4" t="str">
        <x:v>Recovery only</x:v>
      </x:c>
      <x:c r="J123" s="4" t="str">
        <x:v>Recover and assess a compatible item. No manufacturing route or guaranteed working function.</x:v>
      </x:c>
    </x:row>
    <x:row r="124" ht="115" customHeight="1">
      <x:c r="A124" s="4" t="str">
        <x:v>proposal.ancient.nanocarbon</x:v>
      </x:c>
      <x:c r="B124" s="4" t="str">
        <x:f>IFERROR(INDEX(Items!$B$6:$B$1005,MATCH(A124,Items!$A$6:$A$1005,0)),"MISSING ID")</x:f>
        <x:v>Ancient nanocarbon material</x:v>
      </x:c>
      <x:c r="C124" s="4" t="str">
        <x:f>IFERROR(INDEX(Items!$X$6:$X$1005,MATCH(A124,Items!$A$6:$A$1005,0)),"MISSING ID")</x:f>
        <x:v>Processed material</x:v>
      </x:c>
      <x:c r="D124" s="4" t="str">
        <x:f>IFERROR(INDEX(Items!$C$6:$C$1005,MATCH(A124,Items!$A$6:$A$1005,0)),"MISSING ID")</x:f>
        <x:v>Not applicable</x:v>
      </x:c>
      <x:c r="E124" s="4" t="str">
        <x:v>Recovery</x:v>
      </x:c>
      <x:c r="F124" s="14" t="n">
        <x:f>IFERROR(INDEX(Items!$AJ$6:$AJ$1005,MATCH(A124,Items!$A$6:$A$1005,0)),"MISSING ID")</x:f>
        <x:v>0</x:v>
      </x:c>
      <x:c r="G124" s="4" t="str">
        <x:v>Source, recovery or issue route applies</x:v>
      </x:c>
      <x:c r="H124" s="4" t="str">
        <x:v>Not a selected manufacturing route</x:v>
      </x:c>
      <x:c r="I124" s="4" t="str">
        <x:v>Recovery only</x:v>
      </x:c>
      <x:c r="J124" s="4" t="str">
        <x:v>Recover and assess a compatible item. No manufacturing route or guaranteed working function.</x:v>
      </x:c>
    </x:row>
    <x:row r="125" ht="115" customHeight="1">
      <x:c r="A125" s="4" t="str">
        <x:v>proposal.ancient.plasteel</x:v>
      </x:c>
      <x:c r="B125" s="4" t="str">
        <x:f>IFERROR(INDEX(Items!$B$6:$B$1005,MATCH(A125,Items!$A$6:$A$1005,0)),"MISSING ID")</x:f>
        <x:v>Ancient plasteel material</x:v>
      </x:c>
      <x:c r="C125" s="4" t="str">
        <x:f>IFERROR(INDEX(Items!$X$6:$X$1005,MATCH(A125,Items!$A$6:$A$1005,0)),"MISSING ID")</x:f>
        <x:v>Processed material</x:v>
      </x:c>
      <x:c r="D125" s="4" t="str">
        <x:f>IFERROR(INDEX(Items!$C$6:$C$1005,MATCH(A125,Items!$A$6:$A$1005,0)),"MISSING ID")</x:f>
        <x:v>Not applicable</x:v>
      </x:c>
      <x:c r="E125" s="4" t="str">
        <x:v>Recovery</x:v>
      </x:c>
      <x:c r="F125" s="14" t="n">
        <x:f>IFERROR(INDEX(Items!$AJ$6:$AJ$1005,MATCH(A125,Items!$A$6:$A$1005,0)),"MISSING ID")</x:f>
        <x:v>0</x:v>
      </x:c>
      <x:c r="G125" s="4" t="str">
        <x:v>Source, recovery or issue route applies</x:v>
      </x:c>
      <x:c r="H125" s="4" t="str">
        <x:v>Not a selected manufacturing route</x:v>
      </x:c>
      <x:c r="I125" s="4" t="str">
        <x:v>Recovery only</x:v>
      </x:c>
      <x:c r="J125" s="4" t="str">
        <x:v>Recover and assess a compatible item. No manufacturing route or guaranteed working function.</x:v>
      </x:c>
    </x:row>
    <x:row r="126" ht="115" customHeight="1">
      <x:c r="A126" s="4" t="str">
        <x:v>proposal.fashion.special_spectacles</x:v>
      </x:c>
      <x:c r="B126" s="4" t="str">
        <x:f>IFERROR(INDEX(Items!$B$6:$B$1005,MATCH(A126,Items!$A$6:$A$1005,0)),"MISSING ID")</x:f>
        <x:v>Specialized spectacles</x:v>
      </x:c>
      <x:c r="C126" s="4" t="str">
        <x:f>IFERROR(INDEX(Items!$X$6:$X$1005,MATCH(A126,Items!$A$6:$A$1005,0)),"MISSING ID")</x:f>
        <x:v>Wearable</x:v>
      </x:c>
      <x:c r="D126" s="4" t="str">
        <x:f>IFERROR(INDEX(Items!$C$6:$C$1005,MATCH(A126,Items!$A$6:$A$1005,0)),"MISSING ID")</x:f>
        <x:v>Not applicable</x:v>
      </x:c>
      <x:c r="E126" s="4" t="str">
        <x:v>Finished endpoint</x:v>
      </x:c>
      <x:c r="F126" s="14" t="n">
        <x:f>IFERROR(INDEX(Items!$AJ$6:$AJ$1005,MATCH(A126,Items!$A$6:$A$1005,0)),"MISSING ID")</x:f>
        <x:v>1</x:v>
      </x:c>
      <x:c r="G126" s="4" t="str">
        <x:v>Traced to cataloged T0 and/or recovered feeds</x:v>
      </x:c>
      <x:c r="H126" s="4" t="str">
        <x:v>Forge hearth, Anvil, Forging hammer, Smithing tongs, Metalworking file and Hand-cranked metal drill as applicable. Existing workshop bootstrap and controlled heating/cooling required; no free-water quench assumed.</x:v>
      </x:c>
      <x:c r="I126" s="4" t="str">
        <x:v>Candidate path traced</x:v>
      </x:c>
      <x:c r="J126" s="4" t="str">
        <x:v>Fit, joints, insulation/protection and biological material yield require qualification.</x:v>
      </x:c>
    </x:row>
    <x:row r="127" ht="115" customHeight="1">
      <x:c r="A127" s="4" t="str">
        <x:v>proposal.fashion.eyeglasses</x:v>
      </x:c>
      <x:c r="B127" s="4" t="str">
        <x:f>IFERROR(INDEX(Items!$B$6:$B$1005,MATCH(A127,Items!$A$6:$A$1005,0)),"MISSING ID")</x:f>
        <x:v>Eyeglasses</x:v>
      </x:c>
      <x:c r="C127" s="4" t="str">
        <x:f>IFERROR(INDEX(Items!$X$6:$X$1005,MATCH(A127,Items!$A$6:$A$1005,0)),"MISSING ID")</x:f>
        <x:v>Wearable</x:v>
      </x:c>
      <x:c r="D127" s="4" t="str">
        <x:f>IFERROR(INDEX(Items!$C$6:$C$1005,MATCH(A127,Items!$A$6:$A$1005,0)),"MISSING ID")</x:f>
        <x:v>Not applicable</x:v>
      </x:c>
      <x:c r="E127" s="4" t="str">
        <x:v>Finished endpoint</x:v>
      </x:c>
      <x:c r="F127" s="14" t="n">
        <x:f>IFERROR(INDEX(Items!$AJ$6:$AJ$1005,MATCH(A127,Items!$A$6:$A$1005,0)),"MISSING ID")</x:f>
        <x:v>1</x:v>
      </x:c>
      <x:c r="G127" s="4" t="str">
        <x:v>Traced to cataloged T0 and/or recovered feeds</x:v>
      </x:c>
      <x:c r="H127" s="4" t="str">
        <x:v>Forge hearth, Anvil, Forging hammer, Smithing tongs, Metalworking file and Hand-cranked metal drill as applicable. Existing workshop bootstrap and controlled heating/cooling required; no free-water quench assumed.</x:v>
      </x:c>
      <x:c r="I127" s="4" t="str">
        <x:v>Candidate path traced</x:v>
      </x:c>
      <x:c r="J127" s="4" t="str">
        <x:v>Fit, joints, insulation/protection and biological material yield require qualification.</x:v>
      </x:c>
    </x:row>
    <x:row r="128" ht="115" customHeight="1">
      <x:c r="A128" s="4"/>
      <x:c r="B128" s="4"/>
      <x:c r="C128" s="4"/>
      <x:c r="D128" s="4"/>
      <x:c r="E128" s="4"/>
      <x:c r="F128" s="14"/>
      <x:c r="G128" s="4"/>
      <x:c r="H128" s="4"/>
      <x:c r="I128" s="4"/>
      <x:c r="J128" s="4"/>
    </x:row>
    <x:row r="129" ht="115" customHeight="1">
      <x:c r="A129" s="4" t="str">
        <x:v>proposal.fashion.husk_garment</x:v>
      </x:c>
      <x:c r="B129" s="4" t="str">
        <x:f>IFERROR(INDEX(Items!$B$6:$B$1005,MATCH(A129,Items!$A$6:$A$1005,0)),"MISSING ID")</x:f>
        <x:v>Pleated husk-fiber dress coat</x:v>
      </x:c>
      <x:c r="C129" s="4" t="str">
        <x:f>IFERROR(INDEX(Items!$X$6:$X$1005,MATCH(A129,Items!$A$6:$A$1005,0)),"MISSING ID")</x:f>
        <x:v>Wearable</x:v>
      </x:c>
      <x:c r="D129" s="4" t="str">
        <x:f>IFERROR(INDEX(Items!$C$6:$C$1005,MATCH(A129,Items!$A$6:$A$1005,0)),"MISSING ID")</x:f>
        <x:v>T3</x:v>
      </x:c>
      <x:c r="E129" s="4" t="str">
        <x:v>Finished endpoint</x:v>
      </x:c>
      <x:c r="F129" s="14" t="n">
        <x:f>IFERROR(INDEX(Items!$AJ$6:$AJ$1005,MATCH(A129,Items!$A$6:$A$1005,0)),"MISSING ID")</x:f>
        <x:v>1</x:v>
      </x:c>
      <x:c r="G129" s="4" t="str">
        <x:v>Traced to cataloged T0 and/or recovered feeds</x:v>
      </x:c>
      <x:c r="H129" s="4" t="str">
        <x:v>Husk-sheet cutting shears, pressure fixtures and dedicated preparation surfaces. Very low hide/fur yield; no ordinary cloth or plant inputs.</x:v>
      </x:c>
      <x:c r="I129" s="4" t="str">
        <x:v>Candidate path traced</x:v>
      </x:c>
      <x:c r="J129" s="4" t="str">
        <x:v>Fit, joints, insulation/protection and biological material yield require qualification.</x:v>
      </x:c>
    </x:row>
    <x:row r="130" ht="115" customHeight="1">
      <x:c r="A130" s="4" t="str">
        <x:v>proposal.fashion.fur_garment</x:v>
      </x:c>
      <x:c r="B130" s="4" t="str">
        <x:f>IFERROR(INDEX(Items!$B$6:$B$1005,MATCH(A130,Items!$A$6:$A$1005,0)),"MISSING ID")</x:f>
        <x:v>Elaborate fur wear</x:v>
      </x:c>
      <x:c r="C130" s="4" t="str">
        <x:f>IFERROR(INDEX(Items!$X$6:$X$1005,MATCH(A130,Items!$A$6:$A$1005,0)),"MISSING ID")</x:f>
        <x:v>Wearable</x:v>
      </x:c>
      <x:c r="D130" s="4" t="str">
        <x:f>IFERROR(INDEX(Items!$C$6:$C$1005,MATCH(A130,Items!$A$6:$A$1005,0)),"MISSING ID")</x:f>
        <x:v>Not applicable</x:v>
      </x:c>
      <x:c r="E130" s="4" t="str">
        <x:v>Finished endpoint</x:v>
      </x:c>
      <x:c r="F130" s="14" t="n">
        <x:f>IFERROR(INDEX(Items!$AJ$6:$AJ$1005,MATCH(A130,Items!$A$6:$A$1005,0)),"MISSING ID")</x:f>
        <x:v>1</x:v>
      </x:c>
      <x:c r="G130" s="4" t="str">
        <x:v>Traced to cataloged T0 and/or recovered feeds</x:v>
      </x:c>
      <x:c r="H130" s="4" t="str">
        <x:v>Husk-sheet cutting shears, pressure fixtures and dedicated preparation surfaces. Very low hide/fur yield; no ordinary cloth or plant inputs.</x:v>
      </x:c>
      <x:c r="I130" s="4" t="str">
        <x:v>Candidate path traced</x:v>
      </x:c>
      <x:c r="J130" s="4" t="str">
        <x:v>Fit, joints, insulation/protection and biological material yield require qualification.</x:v>
      </x:c>
    </x:row>
    <x:row r="131" ht="115" customHeight="1">
      <x:c r="A131" s="4" t="str">
        <x:v>proposal.fashion.hide_garment</x:v>
      </x:c>
      <x:c r="B131" s="4" t="str">
        <x:f>IFERROR(INDEX(Items!$B$6:$B$1005,MATCH(A131,Items!$A$6:$A$1005,0)),"MISSING ID")</x:f>
        <x:v>Elaborate hide wear</x:v>
      </x:c>
      <x:c r="C131" s="4" t="str">
        <x:f>IFERROR(INDEX(Items!$X$6:$X$1005,MATCH(A131,Items!$A$6:$A$1005,0)),"MISSING ID")</x:f>
        <x:v>Wearable</x:v>
      </x:c>
      <x:c r="D131" s="4" t="str">
        <x:f>IFERROR(INDEX(Items!$C$6:$C$1005,MATCH(A131,Items!$A$6:$A$1005,0)),"MISSING ID")</x:f>
        <x:v>Not applicable</x:v>
      </x:c>
      <x:c r="E131" s="4" t="str">
        <x:v>Finished endpoint</x:v>
      </x:c>
      <x:c r="F131" s="14" t="n">
        <x:f>IFERROR(INDEX(Items!$AJ$6:$AJ$1005,MATCH(A131,Items!$A$6:$A$1005,0)),"MISSING ID")</x:f>
        <x:v>1</x:v>
      </x:c>
      <x:c r="G131" s="4" t="str">
        <x:v>Traced to cataloged T0 and/or recovered feeds</x:v>
      </x:c>
      <x:c r="H131" s="4" t="str">
        <x:v>Husk-sheet cutting shears, pressure fixtures and dedicated preparation surfaces. Very low hide/fur yield; no ordinary cloth or plant inputs.</x:v>
      </x:c>
      <x:c r="I131" s="4" t="str">
        <x:v>Candidate path traced</x:v>
      </x:c>
      <x:c r="J131" s="4" t="str">
        <x:v>Fit, joints, insulation/protection and biological material yield require qualification.</x:v>
      </x:c>
    </x:row>
    <x:row r="132" ht="115" customHeight="1">
      <x:c r="A132" s="4" t="str">
        <x:v>proposal.gem.clear_quartz</x:v>
      </x:c>
      <x:c r="B132" s="4" t="str">
        <x:f>IFERROR(INDEX(Items!$B$6:$B$1005,MATCH(A132,Items!$A$6:$A$1005,0)),"MISSING ID")</x:f>
        <x:v>Clear quartz</x:v>
      </x:c>
      <x:c r="C132" s="4" t="str">
        <x:f>IFERROR(INDEX(Items!$X$6:$X$1005,MATCH(A132,Items!$A$6:$A$1005,0)),"MISSING ID")</x:f>
        <x:v>Gem material</x:v>
      </x:c>
      <x:c r="D132" s="4" t="str">
        <x:f>IFERROR(INDEX(Items!$C$6:$C$1005,MATCH(A132,Items!$A$6:$A$1005,0)),"MISSING ID")</x:f>
        <x:v>T0</x:v>
      </x:c>
      <x:c r="E132" s="4" t="str">
        <x:v>Raw source</x:v>
      </x:c>
      <x:c r="F132" s="14" t="n">
        <x:f>IFERROR(INDEX(Items!$AJ$6:$AJ$1005,MATCH(A132,Items!$A$6:$A$1005,0)),"MISSING ID")</x:f>
        <x:v>0</x:v>
      </x:c>
      <x:c r="G132" s="4" t="str">
        <x:v>Source, recovery or issue route applies</x:v>
      </x:c>
      <x:c r="H132" s="4" t="str">
        <x:v>Not a selected manufacturing route</x:v>
      </x:c>
      <x:c r="I132" s="4" t="str">
        <x:v>Raw entry feed</x:v>
      </x:c>
      <x:c r="J132" s="4" t="str">
        <x:v>Source grade, collection, contamination and yield remain open.</x:v>
      </x:c>
    </x:row>
    <x:row r="133" ht="115" customHeight="1">
      <x:c r="A133" s="4" t="str">
        <x:v>proposal.gem.smoky_quartz</x:v>
      </x:c>
      <x:c r="B133" s="4" t="str">
        <x:f>IFERROR(INDEX(Items!$B$6:$B$1005,MATCH(A133,Items!$A$6:$A$1005,0)),"MISSING ID")</x:f>
        <x:v>Smoky quartz</x:v>
      </x:c>
      <x:c r="C133" s="4" t="str">
        <x:f>IFERROR(INDEX(Items!$X$6:$X$1005,MATCH(A133,Items!$A$6:$A$1005,0)),"MISSING ID")</x:f>
        <x:v>Gem material</x:v>
      </x:c>
      <x:c r="D133" s="4" t="str">
        <x:f>IFERROR(INDEX(Items!$C$6:$C$1005,MATCH(A133,Items!$A$6:$A$1005,0)),"MISSING ID")</x:f>
        <x:v>T0</x:v>
      </x:c>
      <x:c r="E133" s="4" t="str">
        <x:v>Raw source</x:v>
      </x:c>
      <x:c r="F133" s="14" t="n">
        <x:f>IFERROR(INDEX(Items!$AJ$6:$AJ$1005,MATCH(A133,Items!$A$6:$A$1005,0)),"MISSING ID")</x:f>
        <x:v>0</x:v>
      </x:c>
      <x:c r="G133" s="4" t="str">
        <x:v>Source, recovery or issue route applies</x:v>
      </x:c>
      <x:c r="H133" s="4" t="str">
        <x:v>Not a selected manufacturing route</x:v>
      </x:c>
      <x:c r="I133" s="4" t="str">
        <x:v>Raw entry feed</x:v>
      </x:c>
      <x:c r="J133" s="4" t="str">
        <x:v>Source grade, collection, contamination and yield remain open.</x:v>
      </x:c>
    </x:row>
    <x:row r="134" ht="115" customHeight="1">
      <x:c r="A134" s="4" t="str">
        <x:v>proposal.gem.garnet</x:v>
      </x:c>
      <x:c r="B134" s="4" t="str">
        <x:f>IFERROR(INDEX(Items!$B$6:$B$1005,MATCH(A134,Items!$A$6:$A$1005,0)),"MISSING ID")</x:f>
        <x:v>Garnet</x:v>
      </x:c>
      <x:c r="C134" s="4" t="str">
        <x:f>IFERROR(INDEX(Items!$X$6:$X$1005,MATCH(A134,Items!$A$6:$A$1005,0)),"MISSING ID")</x:f>
        <x:v>Gem material</x:v>
      </x:c>
      <x:c r="D134" s="4" t="str">
        <x:f>IFERROR(INDEX(Items!$C$6:$C$1005,MATCH(A134,Items!$A$6:$A$1005,0)),"MISSING ID")</x:f>
        <x:v>T0</x:v>
      </x:c>
      <x:c r="E134" s="4" t="str">
        <x:v>Raw source</x:v>
      </x:c>
      <x:c r="F134" s="14" t="n">
        <x:f>IFERROR(INDEX(Items!$AJ$6:$AJ$1005,MATCH(A134,Items!$A$6:$A$1005,0)),"MISSING ID")</x:f>
        <x:v>0</x:v>
      </x:c>
      <x:c r="G134" s="4" t="str">
        <x:v>Source, recovery or issue route applies</x:v>
      </x:c>
      <x:c r="H134" s="4" t="str">
        <x:v>Not a selected manufacturing route</x:v>
      </x:c>
      <x:c r="I134" s="4" t="str">
        <x:v>Raw entry feed</x:v>
      </x:c>
      <x:c r="J134" s="4" t="str">
        <x:v>Source grade, collection, contamination and yield remain open.</x:v>
      </x:c>
    </x:row>
    <x:row r="135" ht="115" customHeight="1">
      <x:c r="A135" s="4" t="str">
        <x:v>proposal.gem.spinel</x:v>
      </x:c>
      <x:c r="B135" s="4" t="str">
        <x:f>IFERROR(INDEX(Items!$B$6:$B$1005,MATCH(A135,Items!$A$6:$A$1005,0)),"MISSING ID")</x:f>
        <x:v>Spinel</x:v>
      </x:c>
      <x:c r="C135" s="4" t="str">
        <x:f>IFERROR(INDEX(Items!$X$6:$X$1005,MATCH(A135,Items!$A$6:$A$1005,0)),"MISSING ID")</x:f>
        <x:v>Gem material</x:v>
      </x:c>
      <x:c r="D135" s="4" t="str">
        <x:f>IFERROR(INDEX(Items!$C$6:$C$1005,MATCH(A135,Items!$A$6:$A$1005,0)),"MISSING ID")</x:f>
        <x:v>T0</x:v>
      </x:c>
      <x:c r="E135" s="4" t="str">
        <x:v>Raw source</x:v>
      </x:c>
      <x:c r="F135" s="14" t="n">
        <x:f>IFERROR(INDEX(Items!$AJ$6:$AJ$1005,MATCH(A135,Items!$A$6:$A$1005,0)),"MISSING ID")</x:f>
        <x:v>0</x:v>
      </x:c>
      <x:c r="G135" s="4" t="str">
        <x:v>Source, recovery or issue route applies</x:v>
      </x:c>
      <x:c r="H135" s="4" t="str">
        <x:v>Not a selected manufacturing route</x:v>
      </x:c>
      <x:c r="I135" s="4" t="str">
        <x:v>Raw entry feed</x:v>
      </x:c>
      <x:c r="J135" s="4" t="str">
        <x:v>Source grade, collection, contamination and yield remain open.</x:v>
      </x:c>
    </x:row>
    <x:row r="136" ht="115" customHeight="1">
      <x:c r="A136" s="4" t="str">
        <x:v>proposal.gem.peridot</x:v>
      </x:c>
      <x:c r="B136" s="4" t="str">
        <x:f>IFERROR(INDEX(Items!$B$6:$B$1005,MATCH(A136,Items!$A$6:$A$1005,0)),"MISSING ID")</x:f>
        <x:v>Peridot</x:v>
      </x:c>
      <x:c r="C136" s="4" t="str">
        <x:f>IFERROR(INDEX(Items!$X$6:$X$1005,MATCH(A136,Items!$A$6:$A$1005,0)),"MISSING ID")</x:f>
        <x:v>Gem material</x:v>
      </x:c>
      <x:c r="D136" s="4" t="str">
        <x:f>IFERROR(INDEX(Items!$C$6:$C$1005,MATCH(A136,Items!$A$6:$A$1005,0)),"MISSING ID")</x:f>
        <x:v>T0</x:v>
      </x:c>
      <x:c r="E136" s="4" t="str">
        <x:v>Raw source</x:v>
      </x:c>
      <x:c r="F136" s="14" t="n">
        <x:f>IFERROR(INDEX(Items!$AJ$6:$AJ$1005,MATCH(A136,Items!$A$6:$A$1005,0)),"MISSING ID")</x:f>
        <x:v>0</x:v>
      </x:c>
      <x:c r="G136" s="4" t="str">
        <x:v>Source, recovery or issue route applies</x:v>
      </x:c>
      <x:c r="H136" s="4" t="str">
        <x:v>Not a selected manufacturing route</x:v>
      </x:c>
      <x:c r="I136" s="4" t="str">
        <x:v>Raw entry feed</x:v>
      </x:c>
      <x:c r="J136" s="4" t="str">
        <x:v>Source grade, collection, contamination and yield remain open.</x:v>
      </x:c>
    </x:row>
    <x:row r="137" ht="115" customHeight="1">
      <x:c r="A137" s="4"/>
      <x:c r="B137" s="4"/>
      <x:c r="C137" s="4"/>
      <x:c r="D137" s="4"/>
      <x:c r="E137" s="4"/>
      <x:c r="F137" s="14"/>
      <x:c r="G137" s="4"/>
      <x:c r="H137" s="4"/>
      <x:c r="I137" s="4"/>
      <x:c r="J137" s="4"/>
    </x:row>
    <x:row r="138" ht="115" customHeight="1">
      <x:c r="A138" s="4" t="str">
        <x:v>proposal.gem.tourmaline</x:v>
      </x:c>
      <x:c r="B138" s="4" t="str">
        <x:f>IFERROR(INDEX(Items!$B$6:$B$1005,MATCH(A138,Items!$A$6:$A$1005,0)),"MISSING ID")</x:f>
        <x:v>Tourmaline</x:v>
      </x:c>
      <x:c r="C138" s="4" t="str">
        <x:f>IFERROR(INDEX(Items!$X$6:$X$1005,MATCH(A138,Items!$A$6:$A$1005,0)),"MISSING ID")</x:f>
        <x:v>Gem material</x:v>
      </x:c>
      <x:c r="D138" s="4" t="str">
        <x:f>IFERROR(INDEX(Items!$C$6:$C$1005,MATCH(A138,Items!$A$6:$A$1005,0)),"MISSING ID")</x:f>
        <x:v>T0</x:v>
      </x:c>
      <x:c r="E138" s="4" t="str">
        <x:v>Raw source</x:v>
      </x:c>
      <x:c r="F138" s="14" t="n">
        <x:f>IFERROR(INDEX(Items!$AJ$6:$AJ$1005,MATCH(A138,Items!$A$6:$A$1005,0)),"MISSING ID")</x:f>
        <x:v>0</x:v>
      </x:c>
      <x:c r="G138" s="4" t="str">
        <x:v>Source, recovery or issue route applies</x:v>
      </x:c>
      <x:c r="H138" s="4" t="str">
        <x:v>Not a selected manufacturing route</x:v>
      </x:c>
      <x:c r="I138" s="4" t="str">
        <x:v>Raw entry feed</x:v>
      </x:c>
      <x:c r="J138" s="4" t="str">
        <x:v>Source grade, collection, contamination and yield remain open.</x:v>
      </x:c>
    </x:row>
    <x:row r="139" ht="115" customHeight="1">
      <x:c r="A139" s="4" t="str">
        <x:v>proposal.gem.zircon</x:v>
      </x:c>
      <x:c r="B139" s="4" t="str">
        <x:f>IFERROR(INDEX(Items!$B$6:$B$1005,MATCH(A139,Items!$A$6:$A$1005,0)),"MISSING ID")</x:f>
        <x:v>Zircon</x:v>
      </x:c>
      <x:c r="C139" s="4" t="str">
        <x:f>IFERROR(INDEX(Items!$X$6:$X$1005,MATCH(A139,Items!$A$6:$A$1005,0)),"MISSING ID")</x:f>
        <x:v>Gem material</x:v>
      </x:c>
      <x:c r="D139" s="4" t="str">
        <x:f>IFERROR(INDEX(Items!$C$6:$C$1005,MATCH(A139,Items!$A$6:$A$1005,0)),"MISSING ID")</x:f>
        <x:v>T0</x:v>
      </x:c>
      <x:c r="E139" s="4" t="str">
        <x:v>Raw source</x:v>
      </x:c>
      <x:c r="F139" s="14" t="n">
        <x:f>IFERROR(INDEX(Items!$AJ$6:$AJ$1005,MATCH(A139,Items!$A$6:$A$1005,0)),"MISSING ID")</x:f>
        <x:v>0</x:v>
      </x:c>
      <x:c r="G139" s="4" t="str">
        <x:v>Source, recovery or issue route applies</x:v>
      </x:c>
      <x:c r="H139" s="4" t="str">
        <x:v>Not a selected manufacturing route</x:v>
      </x:c>
      <x:c r="I139" s="4" t="str">
        <x:v>Raw entry feed</x:v>
      </x:c>
      <x:c r="J139" s="4" t="str">
        <x:v>Source grade, collection, contamination and yield remain open.</x:v>
      </x:c>
    </x:row>
    <x:row r="140" ht="115" customHeight="1">
      <x:c r="A140" s="4" t="str">
        <x:v>proposal.gear.simple_wraps</x:v>
      </x:c>
      <x:c r="B140" s="4" t="str">
        <x:f>IFERROR(INDEX(Items!$B$6:$B$1005,MATCH(A140,Items!$A$6:$A$1005,0)),"MISSING ID")</x:f>
        <x:v>Everyday torso wrap</x:v>
      </x:c>
      <x:c r="C140" s="4" t="str">
        <x:f>IFERROR(INDEX(Items!$X$6:$X$1005,MATCH(A140,Items!$A$6:$A$1005,0)),"MISSING ID")</x:f>
        <x:v>Wearable</x:v>
      </x:c>
      <x:c r="D140" s="4" t="str">
        <x:f>IFERROR(INDEX(Items!$C$6:$C$1005,MATCH(A140,Items!$A$6:$A$1005,0)),"MISSING ID")</x:f>
        <x:v>T2</x:v>
      </x:c>
      <x:c r="E140" s="4" t="str">
        <x:v>Finished endpoint</x:v>
      </x:c>
      <x:c r="F140" s="14" t="n">
        <x:f>IFERROR(INDEX(Items!$AJ$6:$AJ$1005,MATCH(A140,Items!$A$6:$A$1005,0)),"MISSING ID")</x:f>
        <x:v>1</x:v>
      </x:c>
      <x:c r="G140" s="4" t="str">
        <x:v>Traced to cataloged T0 and/or recovered feeds</x:v>
      </x:c>
      <x:c r="H140" s="4" t="str">
        <x:v>Forge hearth, Anvil, Forging hammer, Smithing tongs, Metalworking file and Hand-cranked metal drill as applicable. Existing workshop bootstrap and controlled heating/cooling required; no free-water quench assumed.</x:v>
      </x:c>
      <x:c r="I140" s="4" t="str">
        <x:v>Candidate path traced</x:v>
      </x:c>
      <x:c r="J140" s="4" t="str">
        <x:v>Fit, joints, insulation/protection and biological material yield require qualification.</x:v>
      </x:c>
    </x:row>
    <x:row r="141" ht="115" customHeight="1">
      <x:c r="A141" s="4" t="str">
        <x:v>proposal.bio.inner_wing</x:v>
      </x:c>
      <x:c r="B141" s="4" t="str">
        <x:f>IFERROR(INDEX(Items!$B$6:$B$1005,MATCH(A141,Items!$A$6:$A$1005,0)),"MISSING ID")</x:f>
        <x:v>Delicate inner wing</x:v>
      </x:c>
      <x:c r="C141" s="4" t="str">
        <x:f>IFERROR(INDEX(Items!$X$6:$X$1005,MATCH(A141,Items!$A$6:$A$1005,0)),"MISSING ID")</x:f>
        <x:v>Raw material</x:v>
      </x:c>
      <x:c r="D141" s="4" t="str">
        <x:f>IFERROR(INDEX(Items!$C$6:$C$1005,MATCH(A141,Items!$A$6:$A$1005,0)),"MISSING ID")</x:f>
        <x:v>T0</x:v>
      </x:c>
      <x:c r="E141" s="4" t="str">
        <x:v>Raw source</x:v>
      </x:c>
      <x:c r="F141" s="14" t="n">
        <x:f>IFERROR(INDEX(Items!$AJ$6:$AJ$1005,MATCH(A141,Items!$A$6:$A$1005,0)),"MISSING ID")</x:f>
        <x:v>0</x:v>
      </x:c>
      <x:c r="G141" s="4" t="str">
        <x:v>Source, recovery or issue route applies</x:v>
      </x:c>
      <x:c r="H141" s="4" t="str">
        <x:v>Not a selected manufacturing route</x:v>
      </x:c>
      <x:c r="I141" s="4" t="str">
        <x:v>Raw entry feed</x:v>
      </x:c>
      <x:c r="J141" s="4" t="str">
        <x:v>Source grade, collection, contamination and yield remain open.</x:v>
      </x:c>
    </x:row>
    <x:row r="142" ht="115" customHeight="1">
      <x:c r="A142" s="4" t="str">
        <x:v>proposal.bio.wing_panel</x:v>
      </x:c>
      <x:c r="B142" s="4" t="str">
        <x:f>IFERROR(INDEX(Items!$B$6:$B$1005,MATCH(A142,Items!$A$6:$A$1005,0)),"MISSING ID")</x:f>
        <x:v>Prepared wing shade panel</x:v>
      </x:c>
      <x:c r="C142" s="4" t="str">
        <x:f>IFERROR(INDEX(Items!$X$6:$X$1005,MATCH(A142,Items!$A$6:$A$1005,0)),"MISSING ID")</x:f>
        <x:v>Crafting component</x:v>
      </x:c>
      <x:c r="D142" s="4" t="str">
        <x:f>IFERROR(INDEX(Items!$C$6:$C$1005,MATCH(A142,Items!$A$6:$A$1005,0)),"MISSING ID")</x:f>
        <x:v>T1</x:v>
      </x:c>
      <x:c r="E142" s="4" t="str">
        <x:v>Manufactured stock / part</x:v>
      </x:c>
      <x:c r="F142" s="14" t="n">
        <x:f>IFERROR(INDEX(Items!$AJ$6:$AJ$1005,MATCH(A142,Items!$A$6:$A$1005,0)),"MISSING ID")</x:f>
        <x:v>1</x:v>
      </x:c>
      <x:c r="G142" s="4" t="str">
        <x:v>Traced to cataloged T0 and/or recovered feeds</x:v>
      </x:c>
      <x:c r="H142" s="4" t="str">
        <x:v>Husk-sheet cutting shears, pressure fixtures and dedicated preparation surfaces. Very low hide/fur yield; no ordinary cloth or plant inputs.</x:v>
      </x:c>
      <x:c r="I142" s="4" t="str">
        <x:v>Candidate path traced</x:v>
      </x:c>
      <x:c r="J142" s="4" t="str">
        <x:v>Dimensions, grade, process qualification, quantity and yield remain open.</x:v>
      </x:c>
    </x:row>
    <x:row r="143" ht="115" customHeight="1">
      <x:c r="A143" s="4" t="str">
        <x:v>proposal.canister.body_blank</x:v>
      </x:c>
      <x:c r="B143" s="4" t="str">
        <x:f>IFERROR(INDEX(Items!$B$6:$B$1005,MATCH(A143,Items!$A$6:$A$1005,0)),"MISSING ID")</x:f>
        <x:v>Canister body blank</x:v>
      </x:c>
      <x:c r="C143" s="4" t="str">
        <x:f>IFERROR(INDEX(Items!$X$6:$X$1005,MATCH(A143,Items!$A$6:$A$1005,0)),"MISSING ID")</x:f>
        <x:v>Container part</x:v>
      </x:c>
      <x:c r="D143" s="4" t="str">
        <x:f>IFERROR(INDEX(Items!$C$6:$C$1005,MATCH(A143,Items!$A$6:$A$1005,0)),"MISSING ID")</x:f>
        <x:v>T3</x:v>
      </x:c>
      <x:c r="E143" s="4" t="str">
        <x:v>Manufactured stock / part</x:v>
      </x:c>
      <x:c r="F143" s="14" t="n">
        <x:f>IFERROR(INDEX(Items!$AJ$6:$AJ$1005,MATCH(A143,Items!$A$6:$A$1005,0)),"MISSING ID")</x:f>
        <x:v>1</x:v>
      </x:c>
      <x:c r="G143" s="4" t="str">
        <x:v>Traced to cataloged T0 and/or recovered feeds</x:v>
      </x:c>
      <x:c r="H143" s="4" t="str">
        <x:v>Forge hearth, Anvil, Forging hammer, Smithing tongs, Metalworking file and Hand-cranked metal drill as applicable. Existing workshop bootstrap and controlled heating/cooling required; no free-water quench assumed.</x:v>
      </x:c>
      <x:c r="I143" s="4" t="str">
        <x:v>Candidate path traced</x:v>
      </x:c>
      <x:c r="J143" s="4" t="str">
        <x:v>Dimensions, grade, process qualification, quantity and yield remain open.</x:v>
      </x:c>
    </x:row>
    <x:row r="144" ht="115" customHeight="1">
      <x:c r="A144" s="4" t="str">
        <x:v>proposal.canister.seal_ring</x:v>
      </x:c>
      <x:c r="B144" s="4" t="str">
        <x:f>IFERROR(INDEX(Items!$B$6:$B$1005,MATCH(A144,Items!$A$6:$A$1005,0)),"MISSING ID")</x:f>
        <x:v>Replacement seal ring</x:v>
      </x:c>
      <x:c r="C144" s="4" t="str">
        <x:f>IFERROR(INDEX(Items!$X$6:$X$1005,MATCH(A144,Items!$A$6:$A$1005,0)),"MISSING ID")</x:f>
        <x:v>Container part</x:v>
      </x:c>
      <x:c r="D144" s="4" t="str">
        <x:f>IFERROR(INDEX(Items!$C$6:$C$1005,MATCH(A144,Items!$A$6:$A$1005,0)),"MISSING ID")</x:f>
        <x:v>T3</x:v>
      </x:c>
      <x:c r="E144" s="4" t="str">
        <x:v>Manufactured stock / part</x:v>
      </x:c>
      <x:c r="F144" s="14" t="n">
        <x:f>IFERROR(INDEX(Items!$AJ$6:$AJ$1005,MATCH(A144,Items!$A$6:$A$1005,0)),"MISSING ID")</x:f>
        <x:v>1</x:v>
      </x:c>
      <x:c r="G144" s="4" t="str">
        <x:v>Traced to cataloged T0 and/or recovered feeds</x:v>
      </x:c>
      <x:c r="H144" s="4" t="str">
        <x:v>Forge hearth, Anvil, Forging hammer, Smithing tongs, Metalworking file and Hand-cranked metal drill as applicable. Existing workshop bootstrap and controlled heating/cooling required; no free-water quench assumed.</x:v>
      </x:c>
      <x:c r="I144" s="4" t="str">
        <x:v>Candidate path traced</x:v>
      </x:c>
      <x:c r="J144" s="4" t="str">
        <x:v>Dimensions, grade, process qualification, quantity and yield remain open.</x:v>
      </x:c>
    </x:row>
    <x:row r="145" ht="115" customHeight="1">
      <x:c r="A145" s="4" t="str">
        <x:v>proposal.canister.seal_seat</x:v>
      </x:c>
      <x:c r="B145" s="4" t="str">
        <x:f>IFERROR(INDEX(Items!$B$6:$B$1005,MATCH(A145,Items!$A$6:$A$1005,0)),"MISSING ID")</x:f>
        <x:v>Fitted seal seat</x:v>
      </x:c>
      <x:c r="C145" s="4" t="str">
        <x:f>IFERROR(INDEX(Items!$X$6:$X$1005,MATCH(A145,Items!$A$6:$A$1005,0)),"MISSING ID")</x:f>
        <x:v>Container part</x:v>
      </x:c>
      <x:c r="D145" s="4" t="str">
        <x:f>IFERROR(INDEX(Items!$C$6:$C$1005,MATCH(A145,Items!$A$6:$A$1005,0)),"MISSING ID")</x:f>
        <x:v>T3</x:v>
      </x:c>
      <x:c r="E145" s="4" t="str">
        <x:v>Manufactured stock / part</x:v>
      </x:c>
      <x:c r="F145" s="14" t="n">
        <x:f>IFERROR(INDEX(Items!$AJ$6:$AJ$1005,MATCH(A145,Items!$A$6:$A$1005,0)),"MISSING ID")</x:f>
        <x:v>1</x:v>
      </x:c>
      <x:c r="G145" s="4" t="str">
        <x:v>Traced to cataloged T0 and/or recovered feeds</x:v>
      </x:c>
      <x:c r="H145" s="4" t="str">
        <x:v>Forge hearth, Anvil, Forging hammer, Smithing tongs, Metalworking file and Hand-cranked metal drill as applicable. Existing workshop bootstrap and controlled heating/cooling required; no free-water quench assumed.</x:v>
      </x:c>
      <x:c r="I145" s="4" t="str">
        <x:v>Candidate path traced</x:v>
      </x:c>
      <x:c r="J145" s="4" t="str">
        <x:v>Dimensions, grade, process qualification, quantity and yield remain open.</x:v>
      </x:c>
    </x:row>
    <x:row r="146" ht="115" customHeight="1">
      <x:c r="A146" s="4" t="str">
        <x:v>proposal.canister.sealant</x:v>
      </x:c>
      <x:c r="B146" s="4" t="str">
        <x:f>IFERROR(INDEX(Items!$B$6:$B$1005,MATCH(A146,Items!$A$6:$A$1005,0)),"MISSING ID")</x:f>
        <x:v>Canister joint sealant</x:v>
      </x:c>
      <x:c r="C146" s="4" t="str">
        <x:f>IFERROR(INDEX(Items!$X$6:$X$1005,MATCH(A146,Items!$A$6:$A$1005,0)),"MISSING ID")</x:f>
        <x:v>Chemical material</x:v>
      </x:c>
      <x:c r="D146" s="4" t="str">
        <x:f>IFERROR(INDEX(Items!$C$6:$C$1005,MATCH(A146,Items!$A$6:$A$1005,0)),"MISSING ID")</x:f>
        <x:v>T3</x:v>
      </x:c>
      <x:c r="E146" s="4" t="str">
        <x:v>Manufactured stock / part</x:v>
      </x:c>
      <x:c r="F146" s="14" t="n">
        <x:f>IFERROR(INDEX(Items!$AJ$6:$AJ$1005,MATCH(A146,Items!$A$6:$A$1005,0)),"MISSING ID")</x:f>
        <x:v>1</x:v>
      </x:c>
      <x:c r="G146" s="4" t="str">
        <x:v>Traced to cataloged T0 and/or recovered feeds</x:v>
      </x:c>
      <x:c r="H146" s="4" t="str">
        <x:v>Contained segregated vessels, Ceramic grinding mortar, Ceramic pestle and Glass transfer funnel. Process/carrier compatibility unresolved.</x:v>
      </x:c>
      <x:c r="I146" s="4" t="str">
        <x:v>Candidate path traced</x:v>
      </x:c>
      <x:c r="J146" s="4" t="str">
        <x:v>Reagent identity, contained carrier, reaction/selectivity, compatibility and process yield require qualification.</x:v>
      </x:c>
    </x:row>
    <x:row r="147" ht="115" customHeight="1">
      <x:c r="A147" s="4" t="str">
        <x:v>proposal.canister.feed_line</x:v>
      </x:c>
      <x:c r="B147" s="4" t="str">
        <x:f>IFERROR(INDEX(Items!$B$6:$B$1005,MATCH(A147,Items!$A$6:$A$1005,0)),"MISSING ID")</x:f>
        <x:v>Feed-line section</x:v>
      </x:c>
      <x:c r="C147" s="4" t="str">
        <x:f>IFERROR(INDEX(Items!$X$6:$X$1005,MATCH(A147,Items!$A$6:$A$1005,0)),"MISSING ID")</x:f>
        <x:v>Container part</x:v>
      </x:c>
      <x:c r="D147" s="4" t="str">
        <x:f>IFERROR(INDEX(Items!$C$6:$C$1005,MATCH(A147,Items!$A$6:$A$1005,0)),"MISSING ID")</x:f>
        <x:v>T4</x:v>
      </x:c>
      <x:c r="E147" s="4" t="str">
        <x:v>Manufactured stock / part</x:v>
      </x:c>
      <x:c r="F147" s="14" t="n">
        <x:f>IFERROR(INDEX(Items!$AJ$6:$AJ$1005,MATCH(A147,Items!$A$6:$A$1005,0)),"MISSING ID")</x:f>
        <x:v>1</x:v>
      </x:c>
      <x:c r="G147" s="4" t="str">
        <x:v>Traced to cataloged T0 and/or recovered feeds</x:v>
      </x:c>
      <x:c r="H147" s="4" t="str">
        <x:v>Forge hearth, Anvil, Forging hammer, Smithing tongs, Metalworking file and Hand-cranked metal drill as applicable. Existing workshop bootstrap and controlled heating/cooling required; no free-water quench assumed.</x:v>
      </x:c>
      <x:c r="I147" s="4" t="str">
        <x:v>Candidate path traced</x:v>
      </x:c>
      <x:c r="J147" s="4" t="str">
        <x:v>Dimensions, grade, process qualification, quantity and yield remain open.</x:v>
      </x:c>
    </x:row>
    <x:row r="148" ht="115" customHeight="1">
      <x:c r="A148" s="4" t="str">
        <x:v>proposal.canister.coupling</x:v>
      </x:c>
      <x:c r="B148" s="4" t="str">
        <x:f>IFERROR(INDEX(Items!$B$6:$B$1005,MATCH(A148,Items!$A$6:$A$1005,0)),"MISSING ID")</x:f>
        <x:v>Feed-line coupling</x:v>
      </x:c>
      <x:c r="C148" s="4" t="str">
        <x:f>IFERROR(INDEX(Items!$X$6:$X$1005,MATCH(A148,Items!$A$6:$A$1005,0)),"MISSING ID")</x:f>
        <x:v>Container part</x:v>
      </x:c>
      <x:c r="D148" s="4" t="str">
        <x:f>IFERROR(INDEX(Items!$C$6:$C$1005,MATCH(A148,Items!$A$6:$A$1005,0)),"MISSING ID")</x:f>
        <x:v>T4</x:v>
      </x:c>
      <x:c r="E148" s="4" t="str">
        <x:v>Manufactured stock / part</x:v>
      </x:c>
      <x:c r="F148" s="14" t="n">
        <x:f>IFERROR(INDEX(Items!$AJ$6:$AJ$1005,MATCH(A148,Items!$A$6:$A$1005,0)),"MISSING ID")</x:f>
        <x:v>1</x:v>
      </x:c>
      <x:c r="G148" s="4" t="str">
        <x:v>Traced to cataloged T0 and/or recovered feeds</x:v>
      </x:c>
      <x:c r="H148" s="4" t="str">
        <x:v>Forge hearth, Anvil, Forging hammer, Smithing tongs, Metalworking file and Hand-cranked metal drill as applicable. Existing workshop bootstrap and controlled heating/cooling required; no free-water quench assumed.</x:v>
      </x:c>
      <x:c r="I148" s="4" t="str">
        <x:v>Candidate path traced</x:v>
      </x:c>
      <x:c r="J148" s="4" t="str">
        <x:v>Dimensions, grade, process qualification, quantity and yield remain open.</x:v>
      </x:c>
    </x:row>
    <x:row r="149" ht="115" customHeight="1">
      <x:c r="A149" s="4" t="str">
        <x:v>proposal.canister.mouthpiece</x:v>
      </x:c>
      <x:c r="B149" s="4" t="str">
        <x:f>IFERROR(INDEX(Items!$B$6:$B$1005,MATCH(A149,Items!$A$6:$A$1005,0)),"MISSING ID")</x:f>
        <x:v>Canister mouthpiece interface</x:v>
      </x:c>
      <x:c r="C149" s="4" t="str">
        <x:f>IFERROR(INDEX(Items!$X$6:$X$1005,MATCH(A149,Items!$A$6:$A$1005,0)),"MISSING ID")</x:f>
        <x:v>Container part</x:v>
      </x:c>
      <x:c r="D149" s="4" t="str">
        <x:f>IFERROR(INDEX(Items!$C$6:$C$1005,MATCH(A149,Items!$A$6:$A$1005,0)),"MISSING ID")</x:f>
        <x:v>T3</x:v>
      </x:c>
      <x:c r="E149" s="4" t="str">
        <x:v>Manufactured stock / part</x:v>
      </x:c>
      <x:c r="F149" s="14" t="n">
        <x:f>IFERROR(INDEX(Items!$AJ$6:$AJ$1005,MATCH(A149,Items!$A$6:$A$1005,0)),"MISSING ID")</x:f>
        <x:v>1</x:v>
      </x:c>
      <x:c r="G149" s="4" t="str">
        <x:v>Traced to cataloged T0 and/or recovered feeds</x:v>
      </x:c>
      <x:c r="H149" s="4" t="str">
        <x:v>Forge hearth, Anvil, Forging hammer, Smithing tongs, Metalworking file and Hand-cranked metal drill as applicable. Existing workshop bootstrap and controlled heating/cooling required; no free-water quench assumed.</x:v>
      </x:c>
      <x:c r="I149" s="4" t="str">
        <x:v>Candidate path traced</x:v>
      </x:c>
      <x:c r="J149" s="4" t="str">
        <x:v>Dimensions, grade, process qualification, quantity and yield remain open.</x:v>
      </x:c>
    </x:row>
    <x:row r="150" ht="115" customHeight="1">
      <x:c r="A150" s="4" t="str">
        <x:v>proposal.canister.window</x:v>
      </x:c>
      <x:c r="B150" s="4" t="str">
        <x:f>IFERROR(INDEX(Items!$B$6:$B$1005,MATCH(A150,Items!$A$6:$A$1005,0)),"MISSING ID")</x:f>
        <x:v>Canister viewing-port insert</x:v>
      </x:c>
      <x:c r="C150" s="4" t="str">
        <x:f>IFERROR(INDEX(Items!$X$6:$X$1005,MATCH(A150,Items!$A$6:$A$1005,0)),"MISSING ID")</x:f>
        <x:v>Container part</x:v>
      </x:c>
      <x:c r="D150" s="4" t="str">
        <x:f>IFERROR(INDEX(Items!$C$6:$C$1005,MATCH(A150,Items!$A$6:$A$1005,0)),"MISSING ID")</x:f>
        <x:v>T3</x:v>
      </x:c>
      <x:c r="E150" s="4" t="str">
        <x:v>Manufactured stock / part</x:v>
      </x:c>
      <x:c r="F150" s="14" t="n">
        <x:f>IFERROR(INDEX(Items!$AJ$6:$AJ$1005,MATCH(A150,Items!$A$6:$A$1005,0)),"MISSING ID")</x:f>
        <x:v>1</x:v>
      </x:c>
      <x:c r="G150" s="4" t="str">
        <x:v>Traced to cataloged T0 and/or recovered feeds</x:v>
      </x:c>
      <x:c r="H150" s="4" t="str">
        <x:v>Controlled-heating firing kiln or specialist glass hot-work station; Ceramic firing tray / Ceramic casting mold as applicable. Qualified power, heat and atmosphere required.</x:v>
      </x:c>
      <x:c r="I150" s="4" t="str">
        <x:v>Candidate path traced</x:v>
      </x:c>
      <x:c r="J150" s="4" t="str">
        <x:v>Dimensions, grade, process qualification, quantity and yield remain open.</x:v>
      </x:c>
    </x:row>
    <x:row r="151" ht="115" customHeight="1">
      <x:c r="A151" s="4" t="str">
        <x:v>proposal.canister.mount</x:v>
      </x:c>
      <x:c r="B151" s="4" t="str">
        <x:f>IFERROR(INDEX(Items!$B$6:$B$1005,MATCH(A151,Items!$A$6:$A$1005,0)),"MISSING ID")</x:f>
        <x:v>Canister mounting bracket</x:v>
      </x:c>
      <x:c r="C151" s="4" t="str">
        <x:f>IFERROR(INDEX(Items!$X$6:$X$1005,MATCH(A151,Items!$A$6:$A$1005,0)),"MISSING ID")</x:f>
        <x:v>Container part</x:v>
      </x:c>
      <x:c r="D151" s="4" t="str">
        <x:f>IFERROR(INDEX(Items!$C$6:$C$1005,MATCH(A151,Items!$A$6:$A$1005,0)),"MISSING ID")</x:f>
        <x:v>T3</x:v>
      </x:c>
      <x:c r="E151" s="4" t="str">
        <x:v>Manufactured stock / part</x:v>
      </x:c>
      <x:c r="F151" s="14" t="n">
        <x:f>IFERROR(INDEX(Items!$AJ$6:$AJ$1005,MATCH(A151,Items!$A$6:$A$1005,0)),"MISSING ID")</x:f>
        <x:v>1</x:v>
      </x:c>
      <x:c r="G151" s="4" t="str">
        <x:v>Traced to cataloged T0 and/or recovered feeds</x:v>
      </x:c>
      <x:c r="H151" s="4" t="str">
        <x:v>Forge hearth, Anvil, Forging hammer, Smithing tongs, Metalworking file and Hand-cranked metal drill as applicable. Existing workshop bootstrap and controlled heating/cooling required; no free-water quench assumed.</x:v>
      </x:c>
      <x:c r="I151" s="4" t="str">
        <x:v>Candidate path traced</x:v>
      </x:c>
      <x:c r="J151" s="4" t="str">
        <x:v>Dimensions, grade, process qualification, quantity and yield remain open.</x:v>
      </x:c>
    </x:row>
    <x:row r="152" ht="115" customHeight="1">
      <x:c r="A152" s="4" t="str">
        <x:v>proposal.canister.harness</x:v>
      </x:c>
      <x:c r="B152" s="4" t="str">
        <x:f>IFERROR(INDEX(Items!$B$6:$B$1005,MATCH(A152,Items!$A$6:$A$1005,0)),"MISSING ID")</x:f>
        <x:v>Fitted canister harness</x:v>
      </x:c>
      <x:c r="C152" s="4" t="str">
        <x:f>IFERROR(INDEX(Items!$X$6:$X$1005,MATCH(A152,Items!$A$6:$A$1005,0)),"MISSING ID")</x:f>
        <x:v>Carrier</x:v>
      </x:c>
      <x:c r="D152" s="4" t="str">
        <x:f>IFERROR(INDEX(Items!$C$6:$C$1005,MATCH(A152,Items!$A$6:$A$1005,0)),"MISSING ID")</x:f>
        <x:v>Not applicable</x:v>
      </x:c>
      <x:c r="E152" s="4" t="str">
        <x:v>Finished endpoint</x:v>
      </x:c>
      <x:c r="F152" s="14" t="n">
        <x:f>IFERROR(INDEX(Items!$AJ$6:$AJ$1005,MATCH(A152,Items!$A$6:$A$1005,0)),"MISSING ID")</x:f>
        <x:v>1</x:v>
      </x:c>
      <x:c r="G152" s="4" t="str">
        <x:v>Traced to cataloged T0 and/or recovered feeds</x:v>
      </x:c>
      <x:c r="H152" s="4" t="str">
        <x:v>Forge hearth, Anvil, Forging hammer, Smithing tongs, Metalworking file and Hand-cranked metal drill as applicable. Existing workshop bootstrap and controlled heating/cooling required; no free-water quench assumed.</x:v>
      </x:c>
      <x:c r="I152" s="4" t="str">
        <x:v>Candidate path traced</x:v>
      </x:c>
      <x:c r="J152" s="4" t="str">
        <x:v>Dimensions, grade, process qualification, quantity and yield remain open.</x:v>
      </x:c>
    </x:row>
    <x:row r="153" ht="115" customHeight="1">
      <x:c r="A153" s="4" t="str">
        <x:v>proposal.canister.inspection_gauge</x:v>
      </x:c>
      <x:c r="B153" s="4" t="str">
        <x:f>IFERROR(INDEX(Items!$B$6:$B$1005,MATCH(A153,Items!$A$6:$A$1005,0)),"MISSING ID")</x:f>
        <x:v>Seal inspection gauge</x:v>
      </x:c>
      <x:c r="C153" s="4" t="str">
        <x:f>IFERROR(INDEX(Items!$X$6:$X$1005,MATCH(A153,Items!$A$6:$A$1005,0)),"MISSING ID")</x:f>
        <x:v>Tool</x:v>
      </x:c>
      <x:c r="D153" s="4" t="str">
        <x:f>IFERROR(INDEX(Items!$C$6:$C$1005,MATCH(A153,Items!$A$6:$A$1005,0)),"MISSING ID")</x:f>
        <x:v>Not applicable</x:v>
      </x:c>
      <x:c r="E153" s="4" t="str">
        <x:v>Finished endpoint</x:v>
      </x:c>
      <x:c r="F153" s="14" t="n">
        <x:f>IFERROR(INDEX(Items!$AJ$6:$AJ$1005,MATCH(A153,Items!$A$6:$A$1005,0)),"MISSING ID")</x:f>
        <x:v>1</x:v>
      </x:c>
      <x:c r="G153" s="4" t="str">
        <x:v>Traced to cataloged T0 and/or recovered feeds</x:v>
      </x:c>
      <x:c r="H153" s="4" t="str">
        <x:v>Forge hearth, Anvil, Forging hammer, Smithing tongs, Metalworking file and Hand-cranked metal drill as applicable. Existing workshop bootstrap and controlled heating/cooling required; no free-water quench assumed.</x:v>
      </x:c>
      <x:c r="I153" s="4" t="str">
        <x:v>Candidate path traced</x:v>
      </x:c>
      <x:c r="J153" s="4" t="str">
        <x:v>Dimensions, grade, process qualification, quantity and yield remain open.</x:v>
      </x:c>
    </x:row>
    <x:row r="154" ht="115" customHeight="1">
      <x:c r="A154" s="4" t="str">
        <x:v>proposal.canister.service_kit</x:v>
      </x:c>
      <x:c r="B154" s="4" t="str">
        <x:f>IFERROR(INDEX(Items!$B$6:$B$1005,MATCH(A154,Items!$A$6:$A$1005,0)),"MISSING ID")</x:f>
        <x:v>Canister service kit</x:v>
      </x:c>
      <x:c r="C154" s="4" t="str">
        <x:f>IFERROR(INDEX(Items!$X$6:$X$1005,MATCH(A154,Items!$A$6:$A$1005,0)),"MISSING ID")</x:f>
        <x:v>Service kit</x:v>
      </x:c>
      <x:c r="D154" s="4" t="str">
        <x:f>IFERROR(INDEX(Items!$C$6:$C$1005,MATCH(A154,Items!$A$6:$A$1005,0)),"MISSING ID")</x:f>
        <x:v>Not applicable</x:v>
      </x:c>
      <x:c r="E154" s="4" t="str">
        <x:v>Finished endpoint</x:v>
      </x:c>
      <x:c r="F154" s="14" t="n">
        <x:f>IFERROR(INDEX(Items!$AJ$6:$AJ$1005,MATCH(A154,Items!$A$6:$A$1005,0)),"MISSING ID")</x:f>
        <x:v>1</x:v>
      </x:c>
      <x:c r="G154" s="4" t="str">
        <x:v>Traced to cataloged T0 and/or recovered feeds</x:v>
      </x:c>
      <x:c r="H154" s="4" t="str">
        <x:v>Forge hearth, Anvil, Forging hammer, Smithing tongs, Metalworking file and Hand-cranked metal drill as applicable. Existing workshop bootstrap and controlled heating/cooling required; no free-water quench assumed.</x:v>
      </x:c>
      <x:c r="I154" s="4" t="str">
        <x:v>Candidate path traced</x:v>
      </x:c>
      <x:c r="J154" s="4" t="str">
        <x:v>Dimensions, grade, process qualification, quantity and yield remain open.</x:v>
      </x:c>
    </x:row>
    <x:row r="155" ht="115" customHeight="1">
      <x:c r="A155" s="4" t="str">
        <x:v>proposal.canister.maker_plate</x:v>
      </x:c>
      <x:c r="B155" s="4" t="str">
        <x:f>IFERROR(INDEX(Items!$B$6:$B$1005,MATCH(A155,Items!$A$6:$A$1005,0)),"MISSING ID")</x:f>
        <x:v>Canister maker plate</x:v>
      </x:c>
      <x:c r="C155" s="4" t="str">
        <x:f>IFERROR(INDEX(Items!$X$6:$X$1005,MATCH(A155,Items!$A$6:$A$1005,0)),"MISSING ID")</x:f>
        <x:v>Crafting component</x:v>
      </x:c>
      <x:c r="D155" s="4" t="str">
        <x:f>IFERROR(INDEX(Items!$C$6:$C$1005,MATCH(A155,Items!$A$6:$A$1005,0)),"MISSING ID")</x:f>
        <x:v>T2</x:v>
      </x:c>
      <x:c r="E155" s="4" t="str">
        <x:v>Manufactured stock / part</x:v>
      </x:c>
      <x:c r="F155" s="14" t="n">
        <x:f>IFERROR(INDEX(Items!$AJ$6:$AJ$1005,MATCH(A155,Items!$A$6:$A$1005,0)),"MISSING ID")</x:f>
        <x:v>1</x:v>
      </x:c>
      <x:c r="G155" s="4" t="str">
        <x:v>Traced to cataloged T0 and/or recovered feeds</x:v>
      </x:c>
      <x:c r="H155" s="4" t="str">
        <x:v>Forge hearth, Anvil, Forging hammer, Smithing tongs, Metalworking file and Hand-cranked metal drill as applicable. Existing workshop bootstrap and controlled heating/cooling required; no free-water quench assumed.</x:v>
      </x:c>
      <x:c r="I155" s="4" t="str">
        <x:v>Candidate path traced</x:v>
      </x:c>
      <x:c r="J155" s="4" t="str">
        <x:v>Dimensions, grade, process qualification, quantity and yield remain open.</x:v>
      </x:c>
    </x:row>
    <x:row r="156" ht="115" customHeight="1">
      <x:c r="A156" s="4" t="str">
        <x:v>proposal.canister.trim</x:v>
      </x:c>
      <x:c r="B156" s="4" t="str">
        <x:f>IFERROR(INDEX(Items!$B$6:$B$1005,MATCH(A156,Items!$A$6:$A$1005,0)),"MISSING ID")</x:f>
        <x:v>Decorative canister panel</x:v>
      </x:c>
      <x:c r="C156" s="4" t="str">
        <x:f>IFERROR(INDEX(Items!$X$6:$X$1005,MATCH(A156,Items!$A$6:$A$1005,0)),"MISSING ID")</x:f>
        <x:v>Crafting component</x:v>
      </x:c>
      <x:c r="D156" s="4" t="str">
        <x:f>IFERROR(INDEX(Items!$C$6:$C$1005,MATCH(A156,Items!$A$6:$A$1005,0)),"MISSING ID")</x:f>
        <x:v>T3</x:v>
      </x:c>
      <x:c r="E156" s="4" t="str">
        <x:v>Manufactured stock / part</x:v>
      </x:c>
      <x:c r="F156" s="14" t="n">
        <x:f>IFERROR(INDEX(Items!$AJ$6:$AJ$1005,MATCH(A156,Items!$A$6:$A$1005,0)),"MISSING ID")</x:f>
        <x:v>1</x:v>
      </x:c>
      <x:c r="G156" s="4" t="str">
        <x:v>Traced to cataloged T0 and/or recovered feeds</x:v>
      </x:c>
      <x:c r="H156" s="4" t="str">
        <x:v>Forge hearth, Anvil, Forging hammer, Smithing tongs, Metalworking file and Hand-cranked metal drill as applicable. Existing workshop bootstrap and controlled heating/cooling required; no free-water quench assumed.</x:v>
      </x:c>
      <x:c r="I156" s="4" t="str">
        <x:v>Candidate path traced</x:v>
      </x:c>
      <x:c r="J156" s="4" t="str">
        <x:v>Dimensions, grade, process qualification, quantity and yield remain open.</x:v>
      </x:c>
    </x:row>
    <x:row r="157" ht="115" customHeight="1">
      <x:c r="A157" s="4" t="str">
        <x:v>proposal.canister.endcap</x:v>
      </x:c>
      <x:c r="B157" s="4" t="str">
        <x:f>IFERROR(INDEX(Items!$B$6:$B$1005,MATCH(A157,Items!$A$6:$A$1005,0)),"MISSING ID")</x:f>
        <x:v>Canister protective endcap</x:v>
      </x:c>
      <x:c r="C157" s="4" t="str">
        <x:f>IFERROR(INDEX(Items!$X$6:$X$1005,MATCH(A157,Items!$A$6:$A$1005,0)),"MISSING ID")</x:f>
        <x:v>Container part</x:v>
      </x:c>
      <x:c r="D157" s="4" t="str">
        <x:f>IFERROR(INDEX(Items!$C$6:$C$1005,MATCH(A157,Items!$A$6:$A$1005,0)),"MISSING ID")</x:f>
        <x:v>T3</x:v>
      </x:c>
      <x:c r="E157" s="4" t="str">
        <x:v>Manufactured stock / part</x:v>
      </x:c>
      <x:c r="F157" s="14" t="n">
        <x:f>IFERROR(INDEX(Items!$AJ$6:$AJ$1005,MATCH(A157,Items!$A$6:$A$1005,0)),"MISSING ID")</x:f>
        <x:v>1</x:v>
      </x:c>
      <x:c r="G157" s="4" t="str">
        <x:v>Traced to cataloged T0 and/or recovered feeds</x:v>
      </x:c>
      <x:c r="H157" s="4" t="str">
        <x:v>Forge hearth, Anvil, Forging hammer, Smithing tongs, Metalworking file and Hand-cranked metal drill as applicable. Existing workshop bootstrap and controlled heating/cooling required; no free-water quench assumed.</x:v>
      </x:c>
      <x:c r="I157" s="4" t="str">
        <x:v>Candidate path traced</x:v>
      </x:c>
      <x:c r="J157" s="4" t="str">
        <x:v>Dimensions, grade, process qualification, quantity and yield remain open.</x:v>
      </x:c>
    </x:row>
    <x:row r="158" ht="115" customHeight="1">
      <x:c r="A158" s="4" t="str">
        <x:v>proposal.culture.icon</x:v>
      </x:c>
      <x:c r="B158" s="4" t="str">
        <x:f>IFERROR(INDEX(Items!$B$6:$B$1005,MATCH(A158,Items!$A$6:$A$1005,0)),"MISSING ID")</x:f>
        <x:v>Preserver icon token</x:v>
      </x:c>
      <x:c r="C158" s="4" t="str">
        <x:f>IFERROR(INDEX(Items!$X$6:$X$1005,MATCH(A158,Items!$A$6:$A$1005,0)),"MISSING ID")</x:f>
        <x:v>Cultural object</x:v>
      </x:c>
      <x:c r="D158" s="4" t="str">
        <x:f>IFERROR(INDEX(Items!$C$6:$C$1005,MATCH(A158,Items!$A$6:$A$1005,0)),"MISSING ID")</x:f>
        <x:v>Not applicable</x:v>
      </x:c>
      <x:c r="E158" s="4" t="str">
        <x:v>Finished endpoint</x:v>
      </x:c>
      <x:c r="F158" s="14" t="n">
        <x:f>IFERROR(INDEX(Items!$AJ$6:$AJ$1005,MATCH(A158,Items!$A$6:$A$1005,0)),"MISSING ID")</x:f>
        <x:v>1</x:v>
      </x:c>
      <x:c r="G158" s="4" t="str">
        <x:v>Traced to cataloged T0 and/or recovered feeds</x:v>
      </x:c>
      <x:c r="H158" s="4" t="str">
        <x:v>Forge hearth, Anvil, Forging hammer, Smithing tongs, Metalworking file and Hand-cranked metal drill as applicable. Existing workshop bootstrap and controlled heating/cooling required; no free-water quench assumed.</x:v>
      </x:c>
      <x:c r="I158" s="4" t="str">
        <x:v>Candidate path traced</x:v>
      </x:c>
      <x:c r="J158" s="4" t="str">
        <x:v>Dimensions, grade, process qualification, quantity and yield remain open.</x:v>
      </x:c>
    </x:row>
    <x:row r="159" ht="115" customHeight="1">
      <x:c r="A159" s="4" t="str">
        <x:v>proposal.culture.shrine</x:v>
      </x:c>
      <x:c r="B159" s="4" t="str">
        <x:f>IFERROR(INDEX(Items!$B$6:$B$1005,MATCH(A159,Items!$A$6:$A$1005,0)),"MISSING ID")</x:f>
        <x:v>Household shrine plaque</x:v>
      </x:c>
      <x:c r="C159" s="4" t="str">
        <x:f>IFERROR(INDEX(Items!$X$6:$X$1005,MATCH(A159,Items!$A$6:$A$1005,0)),"MISSING ID")</x:f>
        <x:v>Cultural object</x:v>
      </x:c>
      <x:c r="D159" s="4" t="str">
        <x:f>IFERROR(INDEX(Items!$C$6:$C$1005,MATCH(A159,Items!$A$6:$A$1005,0)),"MISSING ID")</x:f>
        <x:v>Not applicable</x:v>
      </x:c>
      <x:c r="E159" s="4" t="str">
        <x:v>Finished endpoint</x:v>
      </x:c>
      <x:c r="F159" s="14" t="n">
        <x:f>IFERROR(INDEX(Items!$AJ$6:$AJ$1005,MATCH(A159,Items!$A$6:$A$1005,0)),"MISSING ID")</x:f>
        <x:v>1</x:v>
      </x:c>
      <x:c r="G159" s="4" t="str">
        <x:v>Traced to cataloged T0 and/or recovered feeds</x:v>
      </x:c>
      <x:c r="H159" s="4" t="str">
        <x:v>Forge hearth, Anvil, Forging hammer, Smithing tongs, Metalworking file and Hand-cranked metal drill as applicable. Existing workshop bootstrap and controlled heating/cooling required; no free-water quench assumed.</x:v>
      </x:c>
      <x:c r="I159" s="4" t="str">
        <x:v>Candidate path traced</x:v>
      </x:c>
      <x:c r="J159" s="4" t="str">
        <x:v>Dimensions, grade, process qualification, quantity and yield remain open.</x:v>
      </x:c>
    </x:row>
    <x:row r="160" ht="115" customHeight="1">
      <x:c r="A160" s="4" t="str">
        <x:v>proposal.culture.altar_vial</x:v>
      </x:c>
      <x:c r="B160" s="4" t="str">
        <x:f>IFERROR(INDEX(Items!$B$6:$B$1005,MATCH(A160,Items!$A$6:$A$1005,0)),"MISSING ID")</x:f>
        <x:v>Altar display vial</x:v>
      </x:c>
      <x:c r="C160" s="4" t="str">
        <x:f>IFERROR(INDEX(Items!$X$6:$X$1005,MATCH(A160,Items!$A$6:$A$1005,0)),"MISSING ID")</x:f>
        <x:v>Container</x:v>
      </x:c>
      <x:c r="D160" s="4" t="str">
        <x:f>IFERROR(INDEX(Items!$C$6:$C$1005,MATCH(A160,Items!$A$6:$A$1005,0)),"MISSING ID")</x:f>
        <x:v>Not applicable</x:v>
      </x:c>
      <x:c r="E160" s="4" t="str">
        <x:v>Finished endpoint</x:v>
      </x:c>
      <x:c r="F160" s="14" t="n">
        <x:f>IFERROR(INDEX(Items!$AJ$6:$AJ$1005,MATCH(A160,Items!$A$6:$A$1005,0)),"MISSING ID")</x:f>
        <x:v>1</x:v>
      </x:c>
      <x:c r="G160" s="4" t="str">
        <x:v>Traced to cataloged T0 and/or recovered feeds</x:v>
      </x:c>
      <x:c r="H160" s="4" t="str">
        <x:v>Controlled-heating firing kiln or specialist glass hot-work station; Ceramic firing tray / Ceramic casting mold as applicable. Qualified power, heat and atmosphere required.</x:v>
      </x:c>
      <x:c r="I160" s="4" t="str">
        <x:v>Candidate path traced</x:v>
      </x:c>
      <x:c r="J160" s="4" t="str">
        <x:v>Dimensions, grade, process qualification, quantity and yield remain open.</x:v>
      </x:c>
    </x:row>
    <x:row r="161" ht="115" customHeight="1">
      <x:c r="A161" s="4" t="str">
        <x:v>proposal.culture.reliquary</x:v>
      </x:c>
      <x:c r="B161" s="4" t="str">
        <x:f>IFERROR(INDEX(Items!$B$6:$B$1005,MATCH(A161,Items!$A$6:$A$1005,0)),"MISSING ID")</x:f>
        <x:v>Relic case</x:v>
      </x:c>
      <x:c r="C161" s="4" t="str">
        <x:f>IFERROR(INDEX(Items!$X$6:$X$1005,MATCH(A161,Items!$A$6:$A$1005,0)),"MISSING ID")</x:f>
        <x:v>Container</x:v>
      </x:c>
      <x:c r="D161" s="4" t="str">
        <x:f>IFERROR(INDEX(Items!$C$6:$C$1005,MATCH(A161,Items!$A$6:$A$1005,0)),"MISSING ID")</x:f>
        <x:v>Not applicable</x:v>
      </x:c>
      <x:c r="E161" s="4" t="str">
        <x:v>Finished endpoint</x:v>
      </x:c>
      <x:c r="F161" s="14" t="n">
        <x:f>IFERROR(INDEX(Items!$AJ$6:$AJ$1005,MATCH(A161,Items!$A$6:$A$1005,0)),"MISSING ID")</x:f>
        <x:v>1</x:v>
      </x:c>
      <x:c r="G161" s="4" t="str">
        <x:v>Traced to cataloged T0 and/or recovered feeds</x:v>
      </x:c>
      <x:c r="H161" s="4" t="str">
        <x:v>Forge hearth, Anvil, Forging hammer, Smithing tongs, Metalworking file and Hand-cranked metal drill as applicable. Existing workshop bootstrap and controlled heating/cooling required; no free-water quench assumed.</x:v>
      </x:c>
      <x:c r="I161" s="4" t="str">
        <x:v>Candidate path traced</x:v>
      </x:c>
      <x:c r="J161" s="4" t="str">
        <x:v>Dimensions, grade, process qualification, quantity and yield remain open.</x:v>
      </x:c>
    </x:row>
    <x:row r="162" ht="115" customHeight="1">
      <x:c r="A162" s="4"/>
      <x:c r="B162" s="4"/>
      <x:c r="C162" s="4"/>
      <x:c r="D162" s="4"/>
      <x:c r="E162" s="4"/>
      <x:c r="F162" s="14"/>
      <x:c r="G162" s="4"/>
      <x:c r="H162" s="4"/>
      <x:c r="I162" s="4"/>
      <x:c r="J162" s="4"/>
    </x:row>
    <x:row r="163" ht="115" customHeight="1">
      <x:c r="A163" s="4" t="str">
        <x:v>proposal.culture.offering</x:v>
      </x:c>
      <x:c r="B163" s="4" t="str">
        <x:f>IFERROR(INDEX(Items!$B$6:$B$1005,MATCH(A163,Items!$A$6:$A$1005,0)),"MISSING ID")</x:f>
        <x:v>Votive shell token</x:v>
      </x:c>
      <x:c r="C163" s="4" t="str">
        <x:f>IFERROR(INDEX(Items!$X$6:$X$1005,MATCH(A163,Items!$A$6:$A$1005,0)),"MISSING ID")</x:f>
        <x:v>Cultural object</x:v>
      </x:c>
      <x:c r="D163" s="4" t="str">
        <x:f>IFERROR(INDEX(Items!$C$6:$C$1005,MATCH(A163,Items!$A$6:$A$1005,0)),"MISSING ID")</x:f>
        <x:v>Not applicable</x:v>
      </x:c>
      <x:c r="E163" s="4" t="str">
        <x:v>Finished endpoint</x:v>
      </x:c>
      <x:c r="F163" s="14" t="n">
        <x:f>IFERROR(INDEX(Items!$AJ$6:$AJ$1005,MATCH(A163,Items!$A$6:$A$1005,0)),"MISSING ID")</x:f>
        <x:v>1</x:v>
      </x:c>
      <x:c r="G163" s="4" t="str">
        <x:v>Traced to cataloged T0 and/or recovered feeds</x:v>
      </x:c>
      <x:c r="H163" s="4" t="str">
        <x:v>Husk-sheet cutting shears, Hand-cranked metal drill and Ceramic abrasive disc as applicable; compatible contained biological preparation and low-yield material handling required.</x:v>
      </x:c>
      <x:c r="I163" s="4" t="str">
        <x:v>Candidate path traced</x:v>
      </x:c>
      <x:c r="J163" s="4" t="str">
        <x:v>Dimensions, grade, process qualification, quantity and yield remain open.</x:v>
      </x:c>
    </x:row>
    <x:row r="164" ht="115" customHeight="1">
      <x:c r="A164" s="4" t="str">
        <x:v>proposal.culture.badge</x:v>
      </x:c>
      <x:c r="B164" s="4" t="str">
        <x:f>IFERROR(INDEX(Items!$B$6:$B$1005,MATCH(A164,Items!$A$6:$A$1005,0)),"MISSING ID")</x:f>
        <x:v>Civic office badge</x:v>
      </x:c>
      <x:c r="C164" s="4" t="str">
        <x:f>IFERROR(INDEX(Items!$X$6:$X$1005,MATCH(A164,Items!$A$6:$A$1005,0)),"MISSING ID")</x:f>
        <x:v>Cultural object</x:v>
      </x:c>
      <x:c r="D164" s="4" t="str">
        <x:f>IFERROR(INDEX(Items!$C$6:$C$1005,MATCH(A164,Items!$A$6:$A$1005,0)),"MISSING ID")</x:f>
        <x:v>Not applicable</x:v>
      </x:c>
      <x:c r="E164" s="4" t="str">
        <x:v>Finished endpoint</x:v>
      </x:c>
      <x:c r="F164" s="14" t="n">
        <x:f>IFERROR(INDEX(Items!$AJ$6:$AJ$1005,MATCH(A164,Items!$A$6:$A$1005,0)),"MISSING ID")</x:f>
        <x:v>1</x:v>
      </x:c>
      <x:c r="G164" s="4" t="str">
        <x:v>Traced to cataloged T0 and/or recovered feeds</x:v>
      </x:c>
      <x:c r="H164" s="4" t="str">
        <x:v>Forge hearth, Anvil, Forging hammer, Smithing tongs, Metalworking file and Hand-cranked metal drill as applicable. Existing workshop bootstrap and controlled heating/cooling required; no free-water quench assumed.</x:v>
      </x:c>
      <x:c r="I164" s="4" t="str">
        <x:v>Candidate path traced</x:v>
      </x:c>
      <x:c r="J164" s="4" t="str">
        <x:v>Dimensions, grade, process qualification, quantity and yield remain open.</x:v>
      </x:c>
    </x:row>
    <x:row r="165" ht="115" customHeight="1">
      <x:c r="A165" s="4" t="str">
        <x:v>proposal.culture.stamp</x:v>
      </x:c>
      <x:c r="B165" s="4" t="str">
        <x:f>IFERROR(INDEX(Items!$B$6:$B$1005,MATCH(A165,Items!$A$6:$A$1005,0)),"MISSING ID")</x:f>
        <x:v>Official seal stamp</x:v>
      </x:c>
      <x:c r="C165" s="4" t="str">
        <x:f>IFERROR(INDEX(Items!$X$6:$X$1005,MATCH(A165,Items!$A$6:$A$1005,0)),"MISSING ID")</x:f>
        <x:v>Tool</x:v>
      </x:c>
      <x:c r="D165" s="4" t="str">
        <x:f>IFERROR(INDEX(Items!$C$6:$C$1005,MATCH(A165,Items!$A$6:$A$1005,0)),"MISSING ID")</x:f>
        <x:v>Not applicable</x:v>
      </x:c>
      <x:c r="E165" s="4" t="str">
        <x:v>Finished endpoint</x:v>
      </x:c>
      <x:c r="F165" s="14" t="n">
        <x:f>IFERROR(INDEX(Items!$AJ$6:$AJ$1005,MATCH(A165,Items!$A$6:$A$1005,0)),"MISSING ID")</x:f>
        <x:v>1</x:v>
      </x:c>
      <x:c r="G165" s="4" t="str">
        <x:v>Traced to cataloged T0 and/or recovered feeds</x:v>
      </x:c>
      <x:c r="H165" s="4" t="str">
        <x:v>Forge hearth, Anvil, Forging hammer, Smithing tongs, Metalworking file and Hand-cranked metal drill as applicable. Existing workshop bootstrap and controlled heating/cooling required; no free-water quench assumed.</x:v>
      </x:c>
      <x:c r="I165" s="4" t="str">
        <x:v>Candidate path traced</x:v>
      </x:c>
      <x:c r="J165" s="4" t="str">
        <x:v>Dimensions, grade, process qualification, quantity and yield remain open.</x:v>
      </x:c>
    </x:row>
    <x:row r="166" ht="115" customHeight="1">
      <x:c r="A166" s="4"/>
      <x:c r="B166" s="4"/>
      <x:c r="C166" s="4"/>
      <x:c r="D166" s="4"/>
      <x:c r="E166" s="4"/>
      <x:c r="F166" s="14"/>
      <x:c r="G166" s="4"/>
      <x:c r="H166" s="4"/>
      <x:c r="I166" s="4"/>
      <x:c r="J166" s="4"/>
    </x:row>
    <x:row r="167" ht="115" customHeight="1">
      <x:c r="A167" s="4" t="str">
        <x:v>proposal.culture.notice</x:v>
      </x:c>
      <x:c r="B167" s="4" t="str">
        <x:f>IFERROR(INDEX(Items!$B$6:$B$1005,MATCH(A167,Items!$A$6:$A$1005,0)),"MISSING ID")</x:f>
        <x:v>Public notice plate</x:v>
      </x:c>
      <x:c r="C167" s="4" t="str">
        <x:f>IFERROR(INDEX(Items!$X$6:$X$1005,MATCH(A167,Items!$A$6:$A$1005,0)),"MISSING ID")</x:f>
        <x:v>Document</x:v>
      </x:c>
      <x:c r="D167" s="4" t="str">
        <x:f>IFERROR(INDEX(Items!$C$6:$C$1005,MATCH(A167,Items!$A$6:$A$1005,0)),"MISSING ID")</x:f>
        <x:v>Not applicable</x:v>
      </x:c>
      <x:c r="E167" s="4" t="str">
        <x:v>Finished endpoint</x:v>
      </x:c>
      <x:c r="F167" s="14" t="n">
        <x:f>IFERROR(INDEX(Items!$AJ$6:$AJ$1005,MATCH(A167,Items!$A$6:$A$1005,0)),"MISSING ID")</x:f>
        <x:v>1</x:v>
      </x:c>
      <x:c r="G167" s="4" t="str">
        <x:v>Traced to cataloged T0 and/or recovered feeds</x:v>
      </x:c>
      <x:c r="H167" s="4" t="str">
        <x:v>Marking stylus and food-excluded pigment applicator. Husk-paper preparation where applicable.</x:v>
      </x:c>
      <x:c r="I167" s="4" t="str">
        <x:v>Candidate path traced</x:v>
      </x:c>
      <x:c r="J167" s="4" t="str">
        <x:v>Dimensions, grade, process qualification, quantity and yield remain open.</x:v>
      </x:c>
    </x:row>
    <x:row r="168" ht="115" customHeight="1">
      <x:c r="A168" s="4"/>
      <x:c r="B168" s="4"/>
      <x:c r="C168" s="4"/>
      <x:c r="D168" s="4"/>
      <x:c r="E168" s="4"/>
      <x:c r="F168" s="14"/>
      <x:c r="G168" s="4"/>
      <x:c r="H168" s="4"/>
      <x:c r="I168" s="4"/>
      <x:c r="J168" s="4"/>
    </x:row>
    <x:row r="169" ht="115" customHeight="1">
      <x:c r="A169" s="4"/>
      <x:c r="B169" s="4"/>
      <x:c r="C169" s="4"/>
      <x:c r="D169" s="4"/>
      <x:c r="E169" s="4"/>
      <x:c r="F169" s="14"/>
      <x:c r="G169" s="4"/>
      <x:c r="H169" s="4"/>
      <x:c r="I169" s="4"/>
      <x:c r="J169" s="4"/>
    </x:row>
    <x:row r="170" ht="115" customHeight="1">
      <x:c r="A170" s="4" t="str">
        <x:v>proposal.culture.pilgrim_die</x:v>
      </x:c>
      <x:c r="B170" s="4" t="str">
        <x:f>IFERROR(INDEX(Items!$B$6:$B$1005,MATCH(A170,Items!$A$6:$A$1005,0)),"MISSING ID")</x:f>
        <x:v>Pilgrimage marking die</x:v>
      </x:c>
      <x:c r="C170" s="4" t="str">
        <x:f>IFERROR(INDEX(Items!$X$6:$X$1005,MATCH(A170,Items!$A$6:$A$1005,0)),"MISSING ID")</x:f>
        <x:v>Tool</x:v>
      </x:c>
      <x:c r="D170" s="4" t="str">
        <x:f>IFERROR(INDEX(Items!$C$6:$C$1005,MATCH(A170,Items!$A$6:$A$1005,0)),"MISSING ID")</x:f>
        <x:v>Not applicable</x:v>
      </x:c>
      <x:c r="E170" s="4" t="str">
        <x:v>Finished endpoint</x:v>
      </x:c>
      <x:c r="F170" s="14" t="n">
        <x:f>IFERROR(INDEX(Items!$AJ$6:$AJ$1005,MATCH(A170,Items!$A$6:$A$1005,0)),"MISSING ID")</x:f>
        <x:v>1</x:v>
      </x:c>
      <x:c r="G170" s="4" t="str">
        <x:v>Traced to cataloged T0 and/or recovered feeds</x:v>
      </x:c>
      <x:c r="H170" s="4" t="str">
        <x:v>Forge hearth, Anvil, Forging hammer, Smithing tongs, Metalworking file and Hand-cranked metal drill as applicable. Existing workshop bootstrap and controlled heating/cooling required; no free-water quench assumed.</x:v>
      </x:c>
      <x:c r="I170" s="4" t="str">
        <x:v>Candidate path traced</x:v>
      </x:c>
      <x:c r="J170" s="4" t="str">
        <x:v>Dimensions, grade, process qualification, quantity and yield remain open.</x:v>
      </x:c>
    </x:row>
    <x:row r="171" ht="115" customHeight="1">
      <x:c r="A171" s="4" t="str">
        <x:v>proposal.culture.memorial</x:v>
      </x:c>
      <x:c r="B171" s="4" t="str">
        <x:f>IFERROR(INDEX(Items!$B$6:$B$1005,MATCH(A171,Items!$A$6:$A$1005,0)),"MISSING ID")</x:f>
        <x:v>Memorial name plate</x:v>
      </x:c>
      <x:c r="C171" s="4" t="str">
        <x:f>IFERROR(INDEX(Items!$X$6:$X$1005,MATCH(A171,Items!$A$6:$A$1005,0)),"MISSING ID")</x:f>
        <x:v>Cultural object</x:v>
      </x:c>
      <x:c r="D171" s="4" t="str">
        <x:f>IFERROR(INDEX(Items!$C$6:$C$1005,MATCH(A171,Items!$A$6:$A$1005,0)),"MISSING ID")</x:f>
        <x:v>Not applicable</x:v>
      </x:c>
      <x:c r="E171" s="4" t="str">
        <x:v>Finished endpoint</x:v>
      </x:c>
      <x:c r="F171" s="14" t="n">
        <x:f>IFERROR(INDEX(Items!$AJ$6:$AJ$1005,MATCH(A171,Items!$A$6:$A$1005,0)),"MISSING ID")</x:f>
        <x:v>1</x:v>
      </x:c>
      <x:c r="G171" s="4" t="str">
        <x:v>Traced to cataloged T0 and/or recovered feeds</x:v>
      </x:c>
      <x:c r="H171" s="4" t="str">
        <x:v>Forge hearth, Anvil, Forging hammer, Smithing tongs, Metalworking file and Hand-cranked metal drill as applicable. Existing workshop bootstrap and controlled heating/cooling required; no free-water quench assumed.</x:v>
      </x:c>
      <x:c r="I171" s="4" t="str">
        <x:v>Candidate path traced</x:v>
      </x:c>
      <x:c r="J171" s="4" t="str">
        <x:v>Dimensions, grade, process qualification, quantity and yield remain open.</x:v>
      </x:c>
    </x:row>
    <x:row r="172" ht="115" customHeight="1">
      <x:c r="A172" s="4" t="str">
        <x:v>proposal.culture.oath_ring</x:v>
      </x:c>
      <x:c r="B172" s="4" t="str">
        <x:f>IFERROR(INDEX(Items!$B$6:$B$1005,MATCH(A172,Items!$A$6:$A$1005,0)),"MISSING ID")</x:f>
        <x:v>Oath exchange ring</x:v>
      </x:c>
      <x:c r="C172" s="4" t="str">
        <x:f>IFERROR(INDEX(Items!$X$6:$X$1005,MATCH(A172,Items!$A$6:$A$1005,0)),"MISSING ID")</x:f>
        <x:v>Cultural object</x:v>
      </x:c>
      <x:c r="D172" s="4" t="str">
        <x:f>IFERROR(INDEX(Items!$C$6:$C$1005,MATCH(A172,Items!$A$6:$A$1005,0)),"MISSING ID")</x:f>
        <x:v>Not applicable</x:v>
      </x:c>
      <x:c r="E172" s="4" t="str">
        <x:v>Finished endpoint</x:v>
      </x:c>
      <x:c r="F172" s="14" t="n">
        <x:f>IFERROR(INDEX(Items!$AJ$6:$AJ$1005,MATCH(A172,Items!$A$6:$A$1005,0)),"MISSING ID")</x:f>
        <x:v>1</x:v>
      </x:c>
      <x:c r="G172" s="4" t="str">
        <x:v>Traced to cataloged T0 and/or recovered feeds</x:v>
      </x:c>
      <x:c r="H172" s="4" t="str">
        <x:v>Forge hearth, Anvil, Forging hammer, Smithing tongs, Metalworking file and Hand-cranked metal drill as applicable. Existing workshop bootstrap and controlled heating/cooling required; no free-water quench assumed.</x:v>
      </x:c>
      <x:c r="I172" s="4" t="str">
        <x:v>Candidate path traced</x:v>
      </x:c>
      <x:c r="J172" s="4" t="str">
        <x:v>Dimensions, grade, process qualification, quantity and yield remain open.</x:v>
      </x:c>
    </x:row>
    <x:row r="173" ht="115" customHeight="1">
      <x:c r="A173" s="4" t="str">
        <x:v>proposal.culture.milestone</x:v>
      </x:c>
      <x:c r="B173" s="4" t="str">
        <x:f>IFERROR(INDEX(Items!$B$6:$B$1005,MATCH(A173,Items!$A$6:$A$1005,0)),"MISSING ID")</x:f>
        <x:v>Life-event charm</x:v>
      </x:c>
      <x:c r="C173" s="4" t="str">
        <x:f>IFERROR(INDEX(Items!$X$6:$X$1005,MATCH(A173,Items!$A$6:$A$1005,0)),"MISSING ID")</x:f>
        <x:v>Cultural object</x:v>
      </x:c>
      <x:c r="D173" s="4" t="str">
        <x:f>IFERROR(INDEX(Items!$C$6:$C$1005,MATCH(A173,Items!$A$6:$A$1005,0)),"MISSING ID")</x:f>
        <x:v>Not applicable</x:v>
      </x:c>
      <x:c r="E173" s="4" t="str">
        <x:v>Finished endpoint</x:v>
      </x:c>
      <x:c r="F173" s="14" t="n">
        <x:f>IFERROR(INDEX(Items!$AJ$6:$AJ$1005,MATCH(A173,Items!$A$6:$A$1005,0)),"MISSING ID")</x:f>
        <x:v>1</x:v>
      </x:c>
      <x:c r="G173" s="4" t="str">
        <x:v>Traced to cataloged T0 and/or recovered feeds</x:v>
      </x:c>
      <x:c r="H173" s="4" t="str">
        <x:v>Forge hearth, Anvil, Forging hammer, Smithing tongs, Metalworking file and Hand-cranked metal drill as applicable. Existing workshop bootstrap and controlled heating/cooling required; no free-water quench assumed.</x:v>
      </x:c>
      <x:c r="I173" s="4" t="str">
        <x:v>Candidate path traced</x:v>
      </x:c>
      <x:c r="J173" s="4" t="str">
        <x:v>Dimensions, grade, process qualification, quantity and yield remain open.</x:v>
      </x:c>
    </x:row>
    <x:row r="174" ht="115" customHeight="1">
      <x:c r="A174" s="4" t="str">
        <x:v>proposal.culture.rattle</x:v>
      </x:c>
      <x:c r="B174" s="4" t="str">
        <x:f>IFERROR(INDEX(Items!$B$6:$B$1005,MATCH(A174,Items!$A$6:$A$1005,0)),"MISSING ID")</x:f>
        <x:v>Ceremonial shell rattle</x:v>
      </x:c>
      <x:c r="C174" s="4" t="str">
        <x:f>IFERROR(INDEX(Items!$X$6:$X$1005,MATCH(A174,Items!$A$6:$A$1005,0)),"MISSING ID")</x:f>
        <x:v>Musical instrument</x:v>
      </x:c>
      <x:c r="D174" s="4" t="str">
        <x:f>IFERROR(INDEX(Items!$C$6:$C$1005,MATCH(A174,Items!$A$6:$A$1005,0)),"MISSING ID")</x:f>
        <x:v>Not applicable</x:v>
      </x:c>
      <x:c r="E174" s="4" t="str">
        <x:v>Finished endpoint</x:v>
      </x:c>
      <x:c r="F174" s="14" t="n">
        <x:f>IFERROR(INDEX(Items!$AJ$6:$AJ$1005,MATCH(A174,Items!$A$6:$A$1005,0)),"MISSING ID")</x:f>
        <x:v>1</x:v>
      </x:c>
      <x:c r="G174" s="4" t="str">
        <x:v>Traced to cataloged T0 and/or recovered feeds</x:v>
      </x:c>
      <x:c r="H174" s="4" t="str">
        <x:v>Metalworking file and assembly/tuning fixtures; tension jigs and shears for listed biological membranes; controlled kiln for ceramic forms. No wood or ordinary cloth.</x:v>
      </x:c>
      <x:c r="I174" s="4" t="str">
        <x:v>Candidate path traced</x:v>
      </x:c>
      <x:c r="J174" s="4" t="str">
        <x:v>Dimensions, grade, process qualification, quantity and yield remain open.</x:v>
      </x:c>
    </x:row>
    <x:row r="175" ht="115" customHeight="1">
      <x:c r="A175" s="4" t="str">
        <x:v>proposal.culture.gift_case</x:v>
      </x:c>
      <x:c r="B175" s="4" t="str">
        <x:f>IFERROR(INDEX(Items!$B$6:$B$1005,MATCH(A175,Items!$A$6:$A$1005,0)),"MISSING ID")</x:f>
        <x:v>Ceremonial gift case</x:v>
      </x:c>
      <x:c r="C175" s="4" t="str">
        <x:f>IFERROR(INDEX(Items!$X$6:$X$1005,MATCH(A175,Items!$A$6:$A$1005,0)),"MISSING ID")</x:f>
        <x:v>Container</x:v>
      </x:c>
      <x:c r="D175" s="4" t="str">
        <x:f>IFERROR(INDEX(Items!$C$6:$C$1005,MATCH(A175,Items!$A$6:$A$1005,0)),"MISSING ID")</x:f>
        <x:v>Not applicable</x:v>
      </x:c>
      <x:c r="E175" s="4" t="str">
        <x:v>Finished endpoint</x:v>
      </x:c>
      <x:c r="F175" s="14" t="n">
        <x:f>IFERROR(INDEX(Items!$AJ$6:$AJ$1005,MATCH(A175,Items!$A$6:$A$1005,0)),"MISSING ID")</x:f>
        <x:v>1</x:v>
      </x:c>
      <x:c r="G175" s="4" t="str">
        <x:v>Traced to cataloged T0 and/or recovered feeds</x:v>
      </x:c>
      <x:c r="H175" s="4" t="str">
        <x:v>Forge hearth, Anvil, Forging hammer, Smithing tongs, Metalworking file and Hand-cranked metal drill as applicable. Existing workshop bootstrap and controlled heating/cooling required; no free-water quench assumed.</x:v>
      </x:c>
      <x:c r="I175" s="4" t="str">
        <x:v>Candidate path traced</x:v>
      </x:c>
      <x:c r="J175" s="4" t="str">
        <x:v>Dimensions, grade, process qualification, quantity and yield remain open.</x:v>
      </x:c>
    </x:row>
    <x:row r="176" ht="115" customHeight="1">
      <x:c r="A176" s="4" t="str">
        <x:v>proposal.culture.bowl</x:v>
      </x:c>
      <x:c r="B176" s="4" t="str">
        <x:f>IFERROR(INDEX(Items!$B$6:$B$1005,MATCH(A176,Items!$A$6:$A$1005,0)),"MISSING ID")</x:f>
        <x:v>Everyday shell bowl</x:v>
      </x:c>
      <x:c r="C176" s="4" t="str">
        <x:f>IFERROR(INDEX(Items!$X$6:$X$1005,MATCH(A176,Items!$A$6:$A$1005,0)),"MISSING ID")</x:f>
        <x:v>Household utensil</x:v>
      </x:c>
      <x:c r="D176" s="4" t="str">
        <x:f>IFERROR(INDEX(Items!$C$6:$C$1005,MATCH(A176,Items!$A$6:$A$1005,0)),"MISSING ID")</x:f>
        <x:v>Not applicable</x:v>
      </x:c>
      <x:c r="E176" s="4" t="str">
        <x:v>Finished endpoint</x:v>
      </x:c>
      <x:c r="F176" s="14" t="n">
        <x:f>IFERROR(INDEX(Items!$AJ$6:$AJ$1005,MATCH(A176,Items!$A$6:$A$1005,0)),"MISSING ID")</x:f>
        <x:v>1</x:v>
      </x:c>
      <x:c r="G176" s="4" t="str">
        <x:v>Traced to cataloged T0 and/or recovered feeds</x:v>
      </x:c>
      <x:c r="H176" s="4" t="str">
        <x:v>Forge hearth, Anvil, Forging hammer, Smithing tongs, Metalworking file and Hand-cranked metal drill as applicable. Existing workshop bootstrap and controlled heating/cooling required; no free-water quench assumed.</x:v>
      </x:c>
      <x:c r="I176" s="4" t="str">
        <x:v>Candidate path traced</x:v>
      </x:c>
      <x:c r="J176" s="4" t="str">
        <x:v>Dimensions, grade, process qualification, quantity and yield remain open.</x:v>
      </x:c>
    </x:row>
    <x:row r="177" ht="115" customHeight="1">
      <x:c r="A177" s="4" t="str">
        <x:v>proposal.culture.spoon</x:v>
      </x:c>
      <x:c r="B177" s="4" t="str">
        <x:f>IFERROR(INDEX(Items!$B$6:$B$1005,MATCH(A177,Items!$A$6:$A$1005,0)),"MISSING ID")</x:f>
        <x:v>Algae spoon / scraper</x:v>
      </x:c>
      <x:c r="C177" s="4" t="str">
        <x:f>IFERROR(INDEX(Items!$X$6:$X$1005,MATCH(A177,Items!$A$6:$A$1005,0)),"MISSING ID")</x:f>
        <x:v>Household utensil</x:v>
      </x:c>
      <x:c r="D177" s="4" t="str">
        <x:f>IFERROR(INDEX(Items!$C$6:$C$1005,MATCH(A177,Items!$A$6:$A$1005,0)),"MISSING ID")</x:f>
        <x:v>Not applicable</x:v>
      </x:c>
      <x:c r="E177" s="4" t="str">
        <x:v>Finished endpoint</x:v>
      </x:c>
      <x:c r="F177" s="14" t="n">
        <x:f>IFERROR(INDEX(Items!$AJ$6:$AJ$1005,MATCH(A177,Items!$A$6:$A$1005,0)),"MISSING ID")</x:f>
        <x:v>1</x:v>
      </x:c>
      <x:c r="G177" s="4" t="str">
        <x:v>Traced to cataloged T0 and/or recovered feeds</x:v>
      </x:c>
      <x:c r="H177" s="4" t="str">
        <x:v>Forge hearth, Anvil, Forging hammer, Smithing tongs, Metalworking file and Hand-cranked metal drill as applicable. Existing workshop bootstrap and controlled heating/cooling required; no free-water quench assumed.</x:v>
      </x:c>
      <x:c r="I177" s="4" t="str">
        <x:v>Candidate path traced</x:v>
      </x:c>
      <x:c r="J177" s="4" t="str">
        <x:v>Dimensions, grade, process qualification, quantity and yield remain open.</x:v>
      </x:c>
    </x:row>
    <x:row r="178" ht="115" customHeight="1">
      <x:c r="A178" s="4" t="str">
        <x:v>proposal.culture.brush</x:v>
      </x:c>
      <x:c r="B178" s="4" t="str">
        <x:f>IFERROR(INDEX(Items!$B$6:$B$1005,MATCH(A178,Items!$A$6:$A$1005,0)),"MISSING ID")</x:f>
        <x:v>Dust brush</x:v>
      </x:c>
      <x:c r="C178" s="4" t="str">
        <x:f>IFERROR(INDEX(Items!$X$6:$X$1005,MATCH(A178,Items!$A$6:$A$1005,0)),"MISSING ID")</x:f>
        <x:v>Tool</x:v>
      </x:c>
      <x:c r="D178" s="4" t="str">
        <x:f>IFERROR(INDEX(Items!$C$6:$C$1005,MATCH(A178,Items!$A$6:$A$1005,0)),"MISSING ID")</x:f>
        <x:v>Not applicable</x:v>
      </x:c>
      <x:c r="E178" s="4" t="str">
        <x:v>Finished endpoint</x:v>
      </x:c>
      <x:c r="F178" s="14" t="n">
        <x:f>IFERROR(INDEX(Items!$AJ$6:$AJ$1005,MATCH(A178,Items!$A$6:$A$1005,0)),"MISSING ID")</x:f>
        <x:v>1</x:v>
      </x:c>
      <x:c r="G178" s="4" t="str">
        <x:v>Traced to cataloged T0 and/or recovered feeds</x:v>
      </x:c>
      <x:c r="H178" s="4" t="str">
        <x:v>Husk-sheet cutting shears, pressure fixtures and dedicated preparation surfaces. Very low hide/fur yield; no ordinary cloth or plant inputs.</x:v>
      </x:c>
      <x:c r="I178" s="4" t="str">
        <x:v>Candidate path traced</x:v>
      </x:c>
      <x:c r="J178" s="4" t="str">
        <x:v>Dimensions, grade, process qualification, quantity and yield remain open.</x:v>
      </x:c>
    </x:row>
    <x:row r="179" ht="115" customHeight="1">
      <x:c r="A179" s="4" t="str">
        <x:v>proposal.culture.comb</x:v>
      </x:c>
      <x:c r="B179" s="4" t="str">
        <x:f>IFERROR(INDEX(Items!$B$6:$B$1005,MATCH(A179,Items!$A$6:$A$1005,0)),"MISSING ID")</x:f>
        <x:v>Shell comb</x:v>
      </x:c>
      <x:c r="C179" s="4" t="str">
        <x:f>IFERROR(INDEX(Items!$X$6:$X$1005,MATCH(A179,Items!$A$6:$A$1005,0)),"MISSING ID")</x:f>
        <x:v>Household utensil</x:v>
      </x:c>
      <x:c r="D179" s="4" t="str">
        <x:f>IFERROR(INDEX(Items!$C$6:$C$1005,MATCH(A179,Items!$A$6:$A$1005,0)),"MISSING ID")</x:f>
        <x:v>Not applicable</x:v>
      </x:c>
      <x:c r="E179" s="4" t="str">
        <x:v>Finished endpoint</x:v>
      </x:c>
      <x:c r="F179" s="14" t="n">
        <x:f>IFERROR(INDEX(Items!$AJ$6:$AJ$1005,MATCH(A179,Items!$A$6:$A$1005,0)),"MISSING ID")</x:f>
        <x:v>1</x:v>
      </x:c>
      <x:c r="G179" s="4" t="str">
        <x:v>Traced to cataloged T0 and/or recovered feeds</x:v>
      </x:c>
      <x:c r="H179" s="4" t="str">
        <x:v>Forge hearth, Anvil, Forging hammer, Smithing tongs, Metalworking file and Hand-cranked metal drill as applicable. Existing workshop bootstrap and controlled heating/cooling required; no free-water quench assumed.</x:v>
      </x:c>
      <x:c r="I179" s="4" t="str">
        <x:v>Candidate path traced</x:v>
      </x:c>
      <x:c r="J179" s="4" t="str">
        <x:v>Dimensions, grade, process qualification, quantity and yield remain open.</x:v>
      </x:c>
    </x:row>
    <x:row r="180" ht="115" customHeight="1">
      <x:c r="A180" s="4" t="str">
        <x:v>proposal.culture.tablet</x:v>
      </x:c>
      <x:c r="B180" s="4" t="str">
        <x:f>IFERROR(INDEX(Items!$B$6:$B$1005,MATCH(A180,Items!$A$6:$A$1005,0)),"MISSING ID")</x:f>
        <x:v>Reusable tally tablet</x:v>
      </x:c>
      <x:c r="C180" s="4" t="str">
        <x:f>IFERROR(INDEX(Items!$X$6:$X$1005,MATCH(A180,Items!$A$6:$A$1005,0)),"MISSING ID")</x:f>
        <x:v>Document</x:v>
      </x:c>
      <x:c r="D180" s="4" t="str">
        <x:f>IFERROR(INDEX(Items!$C$6:$C$1005,MATCH(A180,Items!$A$6:$A$1005,0)),"MISSING ID")</x:f>
        <x:v>Not applicable</x:v>
      </x:c>
      <x:c r="E180" s="4" t="str">
        <x:v>Finished endpoint</x:v>
      </x:c>
      <x:c r="F180" s="14" t="n">
        <x:f>IFERROR(INDEX(Items!$AJ$6:$AJ$1005,MATCH(A180,Items!$A$6:$A$1005,0)),"MISSING ID")</x:f>
        <x:v>1</x:v>
      </x:c>
      <x:c r="G180" s="4" t="str">
        <x:v>Traced to cataloged T0 and/or recovered feeds</x:v>
      </x:c>
      <x:c r="H180" s="4" t="str">
        <x:v>Marking stylus and food-excluded pigment applicator. Husk-paper preparation where applicable.</x:v>
      </x:c>
      <x:c r="I180" s="4" t="str">
        <x:v>Candidate path traced</x:v>
      </x:c>
      <x:c r="J180" s="4" t="str">
        <x:v>Dimensions, grade, process qualification, quantity and yield remain open.</x:v>
      </x:c>
    </x:row>
    <x:row r="181" ht="115" customHeight="1">
      <x:c r="A181" s="4" t="str">
        <x:v>proposal.culture.stylus</x:v>
      </x:c>
      <x:c r="B181" s="4" t="str">
        <x:f>IFERROR(INDEX(Items!$B$6:$B$1005,MATCH(A181,Items!$A$6:$A$1005,0)),"MISSING ID")</x:f>
        <x:v>Marking stylus</x:v>
      </x:c>
      <x:c r="C181" s="4" t="str">
        <x:f>IFERROR(INDEX(Items!$X$6:$X$1005,MATCH(A181,Items!$A$6:$A$1005,0)),"MISSING ID")</x:f>
        <x:v>Tool</x:v>
      </x:c>
      <x:c r="D181" s="4" t="str">
        <x:f>IFERROR(INDEX(Items!$C$6:$C$1005,MATCH(A181,Items!$A$6:$A$1005,0)),"MISSING ID")</x:f>
        <x:v>Not applicable</x:v>
      </x:c>
      <x:c r="E181" s="4" t="str">
        <x:v>Finished endpoint</x:v>
      </x:c>
      <x:c r="F181" s="14" t="n">
        <x:f>IFERROR(INDEX(Items!$AJ$6:$AJ$1005,MATCH(A181,Items!$A$6:$A$1005,0)),"MISSING ID")</x:f>
        <x:v>1</x:v>
      </x:c>
      <x:c r="G181" s="4" t="str">
        <x:v>Traced to cataloged T0 and/or recovered feeds</x:v>
      </x:c>
      <x:c r="H181" s="4" t="str">
        <x:v>Forge hearth, Anvil, Forging hammer, Smithing tongs, Metalworking file and Hand-cranked metal drill as applicable. Existing workshop bootstrap and controlled heating/cooling required; no free-water quench assumed.</x:v>
      </x:c>
      <x:c r="I181" s="4" t="str">
        <x:v>Candidate path traced</x:v>
      </x:c>
      <x:c r="J181" s="4" t="str">
        <x:v>Dimensions, grade, process qualification, quantity and yield remain open.</x:v>
      </x:c>
    </x:row>
    <x:row r="182" ht="115" customHeight="1">
      <x:c r="A182" s="4" t="str">
        <x:v>proposal.ceramic.grog</x:v>
      </x:c>
      <x:c r="B182" s="4" t="str">
        <x:f>IFERROR(INDEX(Items!$B$6:$B$1005,MATCH(A182,Items!$A$6:$A$1005,0)),"MISSING ID")</x:f>
        <x:v>Crushed fired ceramic grit</x:v>
      </x:c>
      <x:c r="C182" s="4" t="str">
        <x:f>IFERROR(INDEX(Items!$X$6:$X$1005,MATCH(A182,Items!$A$6:$A$1005,0)),"MISSING ID")</x:f>
        <x:v>Processed material</x:v>
      </x:c>
      <x:c r="D182" s="4" t="str">
        <x:f>IFERROR(INDEX(Items!$C$6:$C$1005,MATCH(A182,Items!$A$6:$A$1005,0)),"MISSING ID")</x:f>
        <x:v>T1</x:v>
      </x:c>
      <x:c r="E182" s="4" t="str">
        <x:v>Manufactured stock / part</x:v>
      </x:c>
      <x:c r="F182" s="14" t="n">
        <x:f>IFERROR(INDEX(Items!$AJ$6:$AJ$1005,MATCH(A182,Items!$A$6:$A$1005,0)),"MISSING ID")</x:f>
        <x:v>1</x:v>
      </x:c>
      <x:c r="G182" s="4" t="str">
        <x:v>Traced to cataloged T0 and/or recovered feeds</x:v>
      </x:c>
      <x:c r="H182" s="4" t="str">
        <x:v>Controlled-heating firing kiln or specialist glass hot-work station; Ceramic firing tray / Ceramic casting mold as applicable. Qualified power, heat and atmosphere required.</x:v>
      </x:c>
      <x:c r="I182" s="4" t="str">
        <x:v>Candidate path traced</x:v>
      </x:c>
      <x:c r="J182" s="4" t="str">
        <x:v>Dimensions, grade, process qualification, quantity and yield remain open.</x:v>
      </x:c>
    </x:row>
    <x:row r="183" ht="115" customHeight="1">
      <x:c r="A183" s="4" t="str">
        <x:v>proposal.ceramic.body_feed</x:v>
      </x:c>
      <x:c r="B183" s="4" t="str">
        <x:f>IFERROR(INDEX(Items!$B$6:$B$1005,MATCH(A183,Items!$A$6:$A$1005,0)),"MISSING ID")</x:f>
        <x:v>Prepared ceramic body feed</x:v>
      </x:c>
      <x:c r="C183" s="4" t="str">
        <x:f>IFERROR(INDEX(Items!$X$6:$X$1005,MATCH(A183,Items!$A$6:$A$1005,0)),"MISSING ID")</x:f>
        <x:v>Processed material</x:v>
      </x:c>
      <x:c r="D183" s="4" t="str">
        <x:f>IFERROR(INDEX(Items!$C$6:$C$1005,MATCH(A183,Items!$A$6:$A$1005,0)),"MISSING ID")</x:f>
        <x:v>T1</x:v>
      </x:c>
      <x:c r="E183" s="4" t="str">
        <x:v>Manufactured stock / part</x:v>
      </x:c>
      <x:c r="F183" s="14" t="n">
        <x:f>IFERROR(INDEX(Items!$AJ$6:$AJ$1005,MATCH(A183,Items!$A$6:$A$1005,0)),"MISSING ID")</x:f>
        <x:v>1</x:v>
      </x:c>
      <x:c r="G183" s="4" t="str">
        <x:v>Traced to cataloged T0 and/or recovered feeds</x:v>
      </x:c>
      <x:c r="H183" s="4" t="str">
        <x:v>Controlled-heating firing kiln or specialist glass hot-work station; Ceramic firing tray / Ceramic casting mold as applicable. Qualified power, heat and atmosphere required.</x:v>
      </x:c>
      <x:c r="I183" s="4" t="str">
        <x:v>Candidate path traced</x:v>
      </x:c>
      <x:c r="J183" s="4" t="str">
        <x:v>Dimensions, grade, process qualification, quantity and yield remain open.</x:v>
      </x:c>
    </x:row>
    <x:row r="184" ht="115" customHeight="1">
      <x:c r="A184" s="4" t="str">
        <x:v>proposal.ceramic.glaze_feed</x:v>
      </x:c>
      <x:c r="B184" s="4" t="str">
        <x:f>IFERROR(INDEX(Items!$B$6:$B$1005,MATCH(A184,Items!$A$6:$A$1005,0)),"MISSING ID")</x:f>
        <x:v>Prepared glaze feed</x:v>
      </x:c>
      <x:c r="C184" s="4" t="str">
        <x:f>IFERROR(INDEX(Items!$X$6:$X$1005,MATCH(A184,Items!$A$6:$A$1005,0)),"MISSING ID")</x:f>
        <x:v>Processed material</x:v>
      </x:c>
      <x:c r="D184" s="4" t="str">
        <x:f>IFERROR(INDEX(Items!$C$6:$C$1005,MATCH(A184,Items!$A$6:$A$1005,0)),"MISSING ID")</x:f>
        <x:v>T1</x:v>
      </x:c>
      <x:c r="E184" s="4" t="str">
        <x:v>Manufactured stock / part</x:v>
      </x:c>
      <x:c r="F184" s="14" t="n">
        <x:f>IFERROR(INDEX(Items!$AJ$6:$AJ$1005,MATCH(A184,Items!$A$6:$A$1005,0)),"MISSING ID")</x:f>
        <x:v>1</x:v>
      </x:c>
      <x:c r="G184" s="4" t="str">
        <x:v>Traced to cataloged T0 and/or recovered feeds</x:v>
      </x:c>
      <x:c r="H184" s="4" t="str">
        <x:v>Controlled-heating firing kiln or specialist glass hot-work station; Ceramic firing tray / Ceramic casting mold as applicable. Qualified power, heat and atmosphere required.</x:v>
      </x:c>
      <x:c r="I184" s="4" t="str">
        <x:v>Candidate path traced</x:v>
      </x:c>
      <x:c r="J184" s="4" t="str">
        <x:v>Dimensions, grade, process qualification, quantity and yield remain open.</x:v>
      </x:c>
    </x:row>
    <x:row r="185" ht="115" customHeight="1">
      <x:c r="A185" s="4" t="str">
        <x:v>proposal.ceramic.unfired_blank</x:v>
      </x:c>
      <x:c r="B185" s="4" t="str">
        <x:f>IFERROR(INDEX(Items!$B$6:$B$1005,MATCH(A185,Items!$A$6:$A$1005,0)),"MISSING ID")</x:f>
        <x:v>Unfired shaped ceramic blank</x:v>
      </x:c>
      <x:c r="C185" s="4" t="str">
        <x:f>IFERROR(INDEX(Items!$X$6:$X$1005,MATCH(A185,Items!$A$6:$A$1005,0)),"MISSING ID")</x:f>
        <x:v>Crafting component</x:v>
      </x:c>
      <x:c r="D185" s="4" t="str">
        <x:f>IFERROR(INDEX(Items!$C$6:$C$1005,MATCH(A185,Items!$A$6:$A$1005,0)),"MISSING ID")</x:f>
        <x:v>T2</x:v>
      </x:c>
      <x:c r="E185" s="4" t="str">
        <x:v>Manufactured stock / part</x:v>
      </x:c>
      <x:c r="F185" s="14" t="n">
        <x:f>IFERROR(INDEX(Items!$AJ$6:$AJ$1005,MATCH(A185,Items!$A$6:$A$1005,0)),"MISSING ID")</x:f>
        <x:v>1</x:v>
      </x:c>
      <x:c r="G185" s="4" t="str">
        <x:v>Traced to cataloged T0 and/or recovered feeds</x:v>
      </x:c>
      <x:c r="H185" s="4" t="str">
        <x:v>Controlled-heating firing kiln or specialist glass hot-work station; Ceramic firing tray / Ceramic casting mold as applicable. Qualified power, heat and atmosphere required.</x:v>
      </x:c>
      <x:c r="I185" s="4" t="str">
        <x:v>Candidate path traced</x:v>
      </x:c>
      <x:c r="J185" s="4" t="str">
        <x:v>Dimensions, grade, process qualification, quantity and yield remain open.</x:v>
      </x:c>
    </x:row>
    <x:row r="186" ht="115" customHeight="1">
      <x:c r="A186" s="4" t="str">
        <x:v>proposal.ceramic.bowl</x:v>
      </x:c>
      <x:c r="B186" s="4" t="str">
        <x:f>IFERROR(INDEX(Items!$B$6:$B$1005,MATCH(A186,Items!$A$6:$A$1005,0)),"MISSING ID")</x:f>
        <x:v>Plain ceramic eating bowl</x:v>
      </x:c>
      <x:c r="C186" s="4" t="str">
        <x:f>IFERROR(INDEX(Items!$X$6:$X$1005,MATCH(A186,Items!$A$6:$A$1005,0)),"MISSING ID")</x:f>
        <x:v>Household utensil</x:v>
      </x:c>
      <x:c r="D186" s="4" t="str">
        <x:f>IFERROR(INDEX(Items!$C$6:$C$1005,MATCH(A186,Items!$A$6:$A$1005,0)),"MISSING ID")</x:f>
        <x:v>Not applicable</x:v>
      </x:c>
      <x:c r="E186" s="4" t="str">
        <x:v>Finished endpoint</x:v>
      </x:c>
      <x:c r="F186" s="14" t="n">
        <x:f>IFERROR(INDEX(Items!$AJ$6:$AJ$1005,MATCH(A186,Items!$A$6:$A$1005,0)),"MISSING ID")</x:f>
        <x:v>1</x:v>
      </x:c>
      <x:c r="G186" s="4" t="str">
        <x:v>Traced to cataloged T0 and/or recovered feeds</x:v>
      </x:c>
      <x:c r="H186" s="4" t="str">
        <x:v>Controlled-heating firing kiln or specialist glass hot-work station; Ceramic firing tray / Ceramic casting mold as applicable. Qualified power, heat and atmosphere required.</x:v>
      </x:c>
      <x:c r="I186" s="4" t="str">
        <x:v>Candidate path traced</x:v>
      </x:c>
      <x:c r="J186" s="4" t="str">
        <x:v>Dimensions, grade, process qualification, quantity and yield remain open.</x:v>
      </x:c>
    </x:row>
    <x:row r="187" ht="115" customHeight="1">
      <x:c r="A187" s="4" t="str">
        <x:v>proposal.ceramic.cup</x:v>
      </x:c>
      <x:c r="B187" s="4" t="str">
        <x:f>IFERROR(INDEX(Items!$B$6:$B$1005,MATCH(A187,Items!$A$6:$A$1005,0)),"MISSING ID")</x:f>
        <x:v>Small ceramic cup</x:v>
      </x:c>
      <x:c r="C187" s="4" t="str">
        <x:f>IFERROR(INDEX(Items!$X$6:$X$1005,MATCH(A187,Items!$A$6:$A$1005,0)),"MISSING ID")</x:f>
        <x:v>Household utensil</x:v>
      </x:c>
      <x:c r="D187" s="4" t="str">
        <x:f>IFERROR(INDEX(Items!$C$6:$C$1005,MATCH(A187,Items!$A$6:$A$1005,0)),"MISSING ID")</x:f>
        <x:v>Not applicable</x:v>
      </x:c>
      <x:c r="E187" s="4" t="str">
        <x:v>Finished endpoint</x:v>
      </x:c>
      <x:c r="F187" s="14" t="n">
        <x:f>IFERROR(INDEX(Items!$AJ$6:$AJ$1005,MATCH(A187,Items!$A$6:$A$1005,0)),"MISSING ID")</x:f>
        <x:v>1</x:v>
      </x:c>
      <x:c r="G187" s="4" t="str">
        <x:v>Traced to cataloged T0 and/or recovered feeds</x:v>
      </x:c>
      <x:c r="H187" s="4" t="str">
        <x:v>Controlled-heating firing kiln or specialist glass hot-work station; Ceramic firing tray / Ceramic casting mold as applicable. Qualified power, heat and atmosphere required.</x:v>
      </x:c>
      <x:c r="I187" s="4" t="str">
        <x:v>Candidate path traced</x:v>
      </x:c>
      <x:c r="J187" s="4" t="str">
        <x:v>Dimensions, grade, process qualification, quantity and yield remain open.</x:v>
      </x:c>
    </x:row>
    <x:row r="188" ht="115" customHeight="1">
      <x:c r="A188" s="4" t="str">
        <x:v>proposal.ceramic.plate</x:v>
      </x:c>
      <x:c r="B188" s="4" t="str">
        <x:f>IFERROR(INDEX(Items!$B$6:$B$1005,MATCH(A188,Items!$A$6:$A$1005,0)),"MISSING ID")</x:f>
        <x:v>Ceramic serving plate</x:v>
      </x:c>
      <x:c r="C188" s="4" t="str">
        <x:f>IFERROR(INDEX(Items!$X$6:$X$1005,MATCH(A188,Items!$A$6:$A$1005,0)),"MISSING ID")</x:f>
        <x:v>Household utensil</x:v>
      </x:c>
      <x:c r="D188" s="4" t="str">
        <x:f>IFERROR(INDEX(Items!$C$6:$C$1005,MATCH(A188,Items!$A$6:$A$1005,0)),"MISSING ID")</x:f>
        <x:v>Not applicable</x:v>
      </x:c>
      <x:c r="E188" s="4" t="str">
        <x:v>Finished endpoint</x:v>
      </x:c>
      <x:c r="F188" s="14" t="n">
        <x:f>IFERROR(INDEX(Items!$AJ$6:$AJ$1005,MATCH(A188,Items!$A$6:$A$1005,0)),"MISSING ID")</x:f>
        <x:v>1</x:v>
      </x:c>
      <x:c r="G188" s="4" t="str">
        <x:v>Traced to cataloged T0 and/or recovered feeds</x:v>
      </x:c>
      <x:c r="H188" s="4" t="str">
        <x:v>Controlled-heating firing kiln or specialist glass hot-work station; Ceramic firing tray / Ceramic casting mold as applicable. Qualified power, heat and atmosphere required.</x:v>
      </x:c>
      <x:c r="I188" s="4" t="str">
        <x:v>Candidate path traced</x:v>
      </x:c>
      <x:c r="J188" s="4" t="str">
        <x:v>Dimensions, grade, process qualification, quantity and yield remain open.</x:v>
      </x:c>
    </x:row>
    <x:row r="189" ht="115" customHeight="1">
      <x:c r="A189" s="4" t="str">
        <x:v>proposal.ceramic.storage_crock</x:v>
      </x:c>
      <x:c r="B189" s="4" t="str">
        <x:f>IFERROR(INDEX(Items!$B$6:$B$1005,MATCH(A189,Items!$A$6:$A$1005,0)),"MISSING ID")</x:f>
        <x:v>Ceramic dry-storage crock</x:v>
      </x:c>
      <x:c r="C189" s="4" t="str">
        <x:f>IFERROR(INDEX(Items!$X$6:$X$1005,MATCH(A189,Items!$A$6:$A$1005,0)),"MISSING ID")</x:f>
        <x:v>Container</x:v>
      </x:c>
      <x:c r="D189" s="4" t="str">
        <x:f>IFERROR(INDEX(Items!$C$6:$C$1005,MATCH(A189,Items!$A$6:$A$1005,0)),"MISSING ID")</x:f>
        <x:v>Not applicable</x:v>
      </x:c>
      <x:c r="E189" s="4" t="str">
        <x:v>Finished endpoint</x:v>
      </x:c>
      <x:c r="F189" s="14" t="n">
        <x:f>IFERROR(INDEX(Items!$AJ$6:$AJ$1005,MATCH(A189,Items!$A$6:$A$1005,0)),"MISSING ID")</x:f>
        <x:v>1</x:v>
      </x:c>
      <x:c r="G189" s="4" t="str">
        <x:v>Traced to cataloged T0 and/or recovered feeds</x:v>
      </x:c>
      <x:c r="H189" s="4" t="str">
        <x:v>Controlled-heating firing kiln or specialist glass hot-work station; Ceramic firing tray / Ceramic casting mold as applicable. Qualified power, heat and atmosphere required.</x:v>
      </x:c>
      <x:c r="I189" s="4" t="str">
        <x:v>Candidate path traced</x:v>
      </x:c>
      <x:c r="J189" s="4" t="str">
        <x:v>Dimensions, grade, process qualification, quantity and yield remain open.</x:v>
      </x:c>
    </x:row>
    <x:row r="190" ht="115" customHeight="1">
      <x:c r="A190" s="4" t="str">
        <x:v>proposal.ceramic.crucible</x:v>
      </x:c>
      <x:c r="B190" s="4" t="str">
        <x:f>IFERROR(INDEX(Items!$B$6:$B$1005,MATCH(A190,Items!$A$6:$A$1005,0)),"MISSING ID")</x:f>
        <x:v>Ceramic crucible</x:v>
      </x:c>
      <x:c r="C190" s="4" t="str">
        <x:f>IFERROR(INDEX(Items!$X$6:$X$1005,MATCH(A190,Items!$A$6:$A$1005,0)),"MISSING ID")</x:f>
        <x:v>Tool</x:v>
      </x:c>
      <x:c r="D190" s="4" t="str">
        <x:f>IFERROR(INDEX(Items!$C$6:$C$1005,MATCH(A190,Items!$A$6:$A$1005,0)),"MISSING ID")</x:f>
        <x:v>Not applicable</x:v>
      </x:c>
      <x:c r="E190" s="4" t="str">
        <x:v>Finished endpoint</x:v>
      </x:c>
      <x:c r="F190" s="14" t="n">
        <x:f>IFERROR(INDEX(Items!$AJ$6:$AJ$1005,MATCH(A190,Items!$A$6:$A$1005,0)),"MISSING ID")</x:f>
        <x:v>1</x:v>
      </x:c>
      <x:c r="G190" s="4" t="str">
        <x:v>Traced to cataloged T0 and/or recovered feeds</x:v>
      </x:c>
      <x:c r="H190" s="4" t="str">
        <x:v>Controlled-heating firing kiln or specialist glass hot-work station; Ceramic firing tray / Ceramic casting mold as applicable. Qualified power, heat and atmosphere required.</x:v>
      </x:c>
      <x:c r="I190" s="4" t="str">
        <x:v>Candidate path traced</x:v>
      </x:c>
      <x:c r="J190" s="4" t="str">
        <x:v>Dimensions, grade, process qualification, quantity and yield remain open.</x:v>
      </x:c>
    </x:row>
    <x:row r="191" ht="115" customHeight="1">
      <x:c r="A191" s="4" t="str">
        <x:v>proposal.ceramic.casting_mold</x:v>
      </x:c>
      <x:c r="B191" s="4" t="str">
        <x:f>IFERROR(INDEX(Items!$B$6:$B$1005,MATCH(A191,Items!$A$6:$A$1005,0)),"MISSING ID")</x:f>
        <x:v>Ceramic casting mold</x:v>
      </x:c>
      <x:c r="C191" s="4" t="str">
        <x:f>IFERROR(INDEX(Items!$X$6:$X$1005,MATCH(A191,Items!$A$6:$A$1005,0)),"MISSING ID")</x:f>
        <x:v>Tool</x:v>
      </x:c>
      <x:c r="D191" s="4" t="str">
        <x:f>IFERROR(INDEX(Items!$C$6:$C$1005,MATCH(A191,Items!$A$6:$A$1005,0)),"MISSING ID")</x:f>
        <x:v>Not applicable</x:v>
      </x:c>
      <x:c r="E191" s="4" t="str">
        <x:v>Finished endpoint</x:v>
      </x:c>
      <x:c r="F191" s="14" t="n">
        <x:f>IFERROR(INDEX(Items!$AJ$6:$AJ$1005,MATCH(A191,Items!$A$6:$A$1005,0)),"MISSING ID")</x:f>
        <x:v>1</x:v>
      </x:c>
      <x:c r="G191" s="4" t="str">
        <x:v>Traced to cataloged T0 and/or recovered feeds</x:v>
      </x:c>
      <x:c r="H191" s="4" t="str">
        <x:v>Controlled-heating firing kiln or specialist glass hot-work station; Ceramic firing tray / Ceramic casting mold as applicable. Qualified power, heat and atmosphere required.</x:v>
      </x:c>
      <x:c r="I191" s="4" t="str">
        <x:v>Candidate path traced</x:v>
      </x:c>
      <x:c r="J191" s="4" t="str">
        <x:v>Dimensions, grade, process qualification, quantity and yield remain open.</x:v>
      </x:c>
    </x:row>
    <x:row r="192" ht="115" customHeight="1">
      <x:c r="A192" s="4" t="str">
        <x:v>proposal.ceramic.mortar</x:v>
      </x:c>
      <x:c r="B192" s="4" t="str">
        <x:f>IFERROR(INDEX(Items!$B$6:$B$1005,MATCH(A192,Items!$A$6:$A$1005,0)),"MISSING ID")</x:f>
        <x:v>Ceramic grinding mortar</x:v>
      </x:c>
      <x:c r="C192" s="4" t="str">
        <x:f>IFERROR(INDEX(Items!$X$6:$X$1005,MATCH(A192,Items!$A$6:$A$1005,0)),"MISSING ID")</x:f>
        <x:v>Tool</x:v>
      </x:c>
      <x:c r="D192" s="4" t="str">
        <x:f>IFERROR(INDEX(Items!$C$6:$C$1005,MATCH(A192,Items!$A$6:$A$1005,0)),"MISSING ID")</x:f>
        <x:v>Not applicable</x:v>
      </x:c>
      <x:c r="E192" s="4" t="str">
        <x:v>Finished endpoint</x:v>
      </x:c>
      <x:c r="F192" s="14" t="n">
        <x:f>IFERROR(INDEX(Items!$AJ$6:$AJ$1005,MATCH(A192,Items!$A$6:$A$1005,0)),"MISSING ID")</x:f>
        <x:v>1</x:v>
      </x:c>
      <x:c r="G192" s="4" t="str">
        <x:v>Traced to cataloged T0 and/or recovered feeds</x:v>
      </x:c>
      <x:c r="H192" s="4" t="str">
        <x:v>Controlled-heating firing kiln or specialist glass hot-work station; Ceramic firing tray / Ceramic casting mold as applicable. Qualified power, heat and atmosphere required.</x:v>
      </x:c>
      <x:c r="I192" s="4" t="str">
        <x:v>Candidate path traced</x:v>
      </x:c>
      <x:c r="J192" s="4" t="str">
        <x:v>Dimensions, grade, process qualification, quantity and yield remain open.</x:v>
      </x:c>
    </x:row>
    <x:row r="193" ht="115" customHeight="1">
      <x:c r="A193" s="4" t="str">
        <x:v>proposal.ceramic.pestle</x:v>
      </x:c>
      <x:c r="B193" s="4" t="str">
        <x:f>IFERROR(INDEX(Items!$B$6:$B$1005,MATCH(A193,Items!$A$6:$A$1005,0)),"MISSING ID")</x:f>
        <x:v>Ceramic pestle</x:v>
      </x:c>
      <x:c r="C193" s="4" t="str">
        <x:f>IFERROR(INDEX(Items!$X$6:$X$1005,MATCH(A193,Items!$A$6:$A$1005,0)),"MISSING ID")</x:f>
        <x:v>Tool</x:v>
      </x:c>
      <x:c r="D193" s="4" t="str">
        <x:f>IFERROR(INDEX(Items!$C$6:$C$1005,MATCH(A193,Items!$A$6:$A$1005,0)),"MISSING ID")</x:f>
        <x:v>Not applicable</x:v>
      </x:c>
      <x:c r="E193" s="4" t="str">
        <x:v>Finished endpoint</x:v>
      </x:c>
      <x:c r="F193" s="14" t="n">
        <x:f>IFERROR(INDEX(Items!$AJ$6:$AJ$1005,MATCH(A193,Items!$A$6:$A$1005,0)),"MISSING ID")</x:f>
        <x:v>1</x:v>
      </x:c>
      <x:c r="G193" s="4" t="str">
        <x:v>Traced to cataloged T0 and/or recovered feeds</x:v>
      </x:c>
      <x:c r="H193" s="4" t="str">
        <x:v>Controlled-heating firing kiln or specialist glass hot-work station; Ceramic firing tray / Ceramic casting mold as applicable. Qualified power, heat and atmosphere required.</x:v>
      </x:c>
      <x:c r="I193" s="4" t="str">
        <x:v>Candidate path traced</x:v>
      </x:c>
      <x:c r="J193" s="4" t="str">
        <x:v>Dimensions, grade, process qualification, quantity and yield remain open.</x:v>
      </x:c>
    </x:row>
    <x:row r="194" ht="115" customHeight="1">
      <x:c r="A194" s="4" t="str">
        <x:v>proposal.ceramic.firing_tray</x:v>
      </x:c>
      <x:c r="B194" s="4" t="str">
        <x:f>IFERROR(INDEX(Items!$B$6:$B$1005,MATCH(A194,Items!$A$6:$A$1005,0)),"MISSING ID")</x:f>
        <x:v>Ceramic firing tray</x:v>
      </x:c>
      <x:c r="C194" s="4" t="str">
        <x:f>IFERROR(INDEX(Items!$X$6:$X$1005,MATCH(A194,Items!$A$6:$A$1005,0)),"MISSING ID")</x:f>
        <x:v>Tool</x:v>
      </x:c>
      <x:c r="D194" s="4" t="str">
        <x:f>IFERROR(INDEX(Items!$C$6:$C$1005,MATCH(A194,Items!$A$6:$A$1005,0)),"MISSING ID")</x:f>
        <x:v>Not applicable</x:v>
      </x:c>
      <x:c r="E194" s="4" t="str">
        <x:v>Finished endpoint</x:v>
      </x:c>
      <x:c r="F194" s="14" t="n">
        <x:f>IFERROR(INDEX(Items!$AJ$6:$AJ$1005,MATCH(A194,Items!$A$6:$A$1005,0)),"MISSING ID")</x:f>
        <x:v>1</x:v>
      </x:c>
      <x:c r="G194" s="4" t="str">
        <x:v>Traced to cataloged T0 and/or recovered feeds</x:v>
      </x:c>
      <x:c r="H194" s="4" t="str">
        <x:v>Controlled-heating firing kiln or specialist glass hot-work station; Ceramic firing tray / Ceramic casting mold as applicable. Qualified power, heat and atmosphere required.</x:v>
      </x:c>
      <x:c r="I194" s="4" t="str">
        <x:v>Candidate path traced</x:v>
      </x:c>
      <x:c r="J194" s="4" t="str">
        <x:v>Dimensions, grade, process qualification, quantity and yield remain open.</x:v>
      </x:c>
    </x:row>
    <x:row r="195" ht="115" customHeight="1">
      <x:c r="A195" s="4" t="str">
        <x:v>proposal.ceramic.refractory_brick</x:v>
      </x:c>
      <x:c r="B195" s="4" t="str">
        <x:f>IFERROR(INDEX(Items!$B$6:$B$1005,MATCH(A195,Items!$A$6:$A$1005,0)),"MISSING ID")</x:f>
        <x:v>Refractory ceramic brick</x:v>
      </x:c>
      <x:c r="C195" s="4" t="str">
        <x:f>IFERROR(INDEX(Items!$X$6:$X$1005,MATCH(A195,Items!$A$6:$A$1005,0)),"MISSING ID")</x:f>
        <x:v>Crafting component</x:v>
      </x:c>
      <x:c r="D195" s="4" t="str">
        <x:f>IFERROR(INDEX(Items!$C$6:$C$1005,MATCH(A195,Items!$A$6:$A$1005,0)),"MISSING ID")</x:f>
        <x:v>T3</x:v>
      </x:c>
      <x:c r="E195" s="4" t="str">
        <x:v>Manufactured stock / part</x:v>
      </x:c>
      <x:c r="F195" s="14" t="n">
        <x:f>IFERROR(INDEX(Items!$AJ$6:$AJ$1005,MATCH(A195,Items!$A$6:$A$1005,0)),"MISSING ID")</x:f>
        <x:v>1</x:v>
      </x:c>
      <x:c r="G195" s="4" t="str">
        <x:v>Traced to cataloged T0 and/or recovered feeds</x:v>
      </x:c>
      <x:c r="H195" s="4" t="str">
        <x:v>Controlled-heating firing kiln or specialist glass hot-work station; Ceramic firing tray / Ceramic casting mold as applicable. Qualified power, heat and atmosphere required.</x:v>
      </x:c>
      <x:c r="I195" s="4" t="str">
        <x:v>Candidate path traced</x:v>
      </x:c>
      <x:c r="J195" s="4" t="str">
        <x:v>Dimensions, grade, process qualification, quantity and yield remain open.</x:v>
      </x:c>
    </x:row>
    <x:row r="196" ht="115" customHeight="1">
      <x:c r="A196" s="4" t="str">
        <x:v>proposal.ceramic.kiln_liner</x:v>
      </x:c>
      <x:c r="B196" s="4" t="str">
        <x:f>IFERROR(INDEX(Items!$B$6:$B$1005,MATCH(A196,Items!$A$6:$A$1005,0)),"MISSING ID")</x:f>
        <x:v>Ceramic kiln lining panel</x:v>
      </x:c>
      <x:c r="C196" s="4" t="str">
        <x:f>IFERROR(INDEX(Items!$X$6:$X$1005,MATCH(A196,Items!$A$6:$A$1005,0)),"MISSING ID")</x:f>
        <x:v>Crafting component</x:v>
      </x:c>
      <x:c r="D196" s="4" t="str">
        <x:f>IFERROR(INDEX(Items!$C$6:$C$1005,MATCH(A196,Items!$A$6:$A$1005,0)),"MISSING ID")</x:f>
        <x:v>T3</x:v>
      </x:c>
      <x:c r="E196" s="4" t="str">
        <x:v>Manufactured stock / part</x:v>
      </x:c>
      <x:c r="F196" s="14" t="n">
        <x:f>IFERROR(INDEX(Items!$AJ$6:$AJ$1005,MATCH(A196,Items!$A$6:$A$1005,0)),"MISSING ID")</x:f>
        <x:v>1</x:v>
      </x:c>
      <x:c r="G196" s="4" t="str">
        <x:v>Traced to cataloged T0 and/or recovered feeds</x:v>
      </x:c>
      <x:c r="H196" s="4" t="str">
        <x:v>Controlled-heating firing kiln or specialist glass hot-work station; Ceramic firing tray / Ceramic casting mold as applicable. Qualified power, heat and atmosphere required.</x:v>
      </x:c>
      <x:c r="I196" s="4" t="str">
        <x:v>Candidate path traced</x:v>
      </x:c>
      <x:c r="J196" s="4" t="str">
        <x:v>Dimensions, grade, process qualification, quantity and yield remain open.</x:v>
      </x:c>
    </x:row>
    <x:row r="197" ht="115" customHeight="1">
      <x:c r="A197" s="4" t="str">
        <x:v>proposal.ceramic.bead</x:v>
      </x:c>
      <x:c r="B197" s="4" t="str">
        <x:f>IFERROR(INDEX(Items!$B$6:$B$1005,MATCH(A197,Items!$A$6:$A$1005,0)),"MISSING ID")</x:f>
        <x:v>Ceramic insulating bead</x:v>
      </x:c>
      <x:c r="C197" s="4" t="str">
        <x:f>IFERROR(INDEX(Items!$X$6:$X$1005,MATCH(A197,Items!$A$6:$A$1005,0)),"MISSING ID")</x:f>
        <x:v>Crafting component</x:v>
      </x:c>
      <x:c r="D197" s="4" t="str">
        <x:f>IFERROR(INDEX(Items!$C$6:$C$1005,MATCH(A197,Items!$A$6:$A$1005,0)),"MISSING ID")</x:f>
        <x:v>T3</x:v>
      </x:c>
      <x:c r="E197" s="4" t="str">
        <x:v>Manufactured stock / part</x:v>
      </x:c>
      <x:c r="F197" s="14" t="n">
        <x:f>IFERROR(INDEX(Items!$AJ$6:$AJ$1005,MATCH(A197,Items!$A$6:$A$1005,0)),"MISSING ID")</x:f>
        <x:v>1</x:v>
      </x:c>
      <x:c r="G197" s="4" t="str">
        <x:v>Traced to cataloged T0 and/or recovered feeds</x:v>
      </x:c>
      <x:c r="H197" s="4" t="str">
        <x:v>Controlled-heating firing kiln or specialist glass hot-work station; Ceramic firing tray / Ceramic casting mold as applicable. Qualified power, heat and atmosphere required.</x:v>
      </x:c>
      <x:c r="I197" s="4" t="str">
        <x:v>Candidate path traced</x:v>
      </x:c>
      <x:c r="J197" s="4" t="str">
        <x:v>Dimensions, grade, process qualification, quantity and yield remain open.</x:v>
      </x:c>
    </x:row>
    <x:row r="198" ht="115" customHeight="1">
      <x:c r="A198" s="4" t="str">
        <x:v>proposal.ceramic.spacer</x:v>
      </x:c>
      <x:c r="B198" s="4" t="str">
        <x:f>IFERROR(INDEX(Items!$B$6:$B$1005,MATCH(A198,Items!$A$6:$A$1005,0)),"MISSING ID")</x:f>
        <x:v>Ceramic insulating spacer</x:v>
      </x:c>
      <x:c r="C198" s="4" t="str">
        <x:f>IFERROR(INDEX(Items!$X$6:$X$1005,MATCH(A198,Items!$A$6:$A$1005,0)),"MISSING ID")</x:f>
        <x:v>Crafting component</x:v>
      </x:c>
      <x:c r="D198" s="4" t="str">
        <x:f>IFERROR(INDEX(Items!$C$6:$C$1005,MATCH(A198,Items!$A$6:$A$1005,0)),"MISSING ID")</x:f>
        <x:v>T3</x:v>
      </x:c>
      <x:c r="E198" s="4" t="str">
        <x:v>Manufactured stock / part</x:v>
      </x:c>
      <x:c r="F198" s="14" t="n">
        <x:f>IFERROR(INDEX(Items!$AJ$6:$AJ$1005,MATCH(A198,Items!$A$6:$A$1005,0)),"MISSING ID")</x:f>
        <x:v>1</x:v>
      </x:c>
      <x:c r="G198" s="4" t="str">
        <x:v>Traced to cataloged T0 and/or recovered feeds</x:v>
      </x:c>
      <x:c r="H198" s="4" t="str">
        <x:v>Controlled-heating firing kiln or specialist glass hot-work station; Ceramic firing tray / Ceramic casting mold as applicable. Qualified power, heat and atmosphere required.</x:v>
      </x:c>
      <x:c r="I198" s="4" t="str">
        <x:v>Candidate path traced</x:v>
      </x:c>
      <x:c r="J198" s="4" t="str">
        <x:v>Dimensions, grade, process qualification, quantity and yield remain open.</x:v>
      </x:c>
    </x:row>
    <x:row r="199" ht="115" customHeight="1">
      <x:c r="A199" s="4" t="str">
        <x:v>proposal.ceramic.feedthrough</x:v>
      </x:c>
      <x:c r="B199" s="4" t="str">
        <x:f>IFERROR(INDEX(Items!$B$6:$B$1005,MATCH(A199,Items!$A$6:$A$1005,0)),"MISSING ID")</x:f>
        <x:v>Ceramic electrical feedthrough</x:v>
      </x:c>
      <x:c r="C199" s="4" t="str">
        <x:f>IFERROR(INDEX(Items!$X$6:$X$1005,MATCH(A199,Items!$A$6:$A$1005,0)),"MISSING ID")</x:f>
        <x:v>Crafting component</x:v>
      </x:c>
      <x:c r="D199" s="4" t="str">
        <x:f>IFERROR(INDEX(Items!$C$6:$C$1005,MATCH(A199,Items!$A$6:$A$1005,0)),"MISSING ID")</x:f>
        <x:v>T4</x:v>
      </x:c>
      <x:c r="E199" s="4" t="str">
        <x:v>Manufactured stock / part</x:v>
      </x:c>
      <x:c r="F199" s="14" t="n">
        <x:f>IFERROR(INDEX(Items!$AJ$6:$AJ$1005,MATCH(A199,Items!$A$6:$A$1005,0)),"MISSING ID")</x:f>
        <x:v>1</x:v>
      </x:c>
      <x:c r="G199" s="4" t="str">
        <x:v>Traced to cataloged T0 and/or recovered feeds</x:v>
      </x:c>
      <x:c r="H199" s="4" t="str">
        <x:v>Controlled-heating firing kiln or specialist glass hot-work station; Ceramic firing tray / Ceramic casting mold as applicable. Qualified power, heat and atmosphere required.</x:v>
      </x:c>
      <x:c r="I199" s="4" t="str">
        <x:v>Candidate path traced</x:v>
      </x:c>
      <x:c r="J199" s="4" t="str">
        <x:v>Dimensions, grade, process qualification, quantity and yield remain open.</x:v>
      </x:c>
    </x:row>
    <x:row r="200" ht="115" customHeight="1">
      <x:c r="A200" s="4" t="str">
        <x:v>proposal.ceramic.stopper</x:v>
      </x:c>
      <x:c r="B200" s="4" t="str">
        <x:f>IFERROR(INDEX(Items!$B$6:$B$1005,MATCH(A200,Items!$A$6:$A$1005,0)),"MISSING ID")</x:f>
        <x:v>Fitted ceramic stopper</x:v>
      </x:c>
      <x:c r="C200" s="4" t="str">
        <x:f>IFERROR(INDEX(Items!$X$6:$X$1005,MATCH(A200,Items!$A$6:$A$1005,0)),"MISSING ID")</x:f>
        <x:v>Container part</x:v>
      </x:c>
      <x:c r="D200" s="4" t="str">
        <x:f>IFERROR(INDEX(Items!$C$6:$C$1005,MATCH(A200,Items!$A$6:$A$1005,0)),"MISSING ID")</x:f>
        <x:v>T3</x:v>
      </x:c>
      <x:c r="E200" s="4" t="str">
        <x:v>Manufactured stock / part</x:v>
      </x:c>
      <x:c r="F200" s="14" t="n">
        <x:f>IFERROR(INDEX(Items!$AJ$6:$AJ$1005,MATCH(A200,Items!$A$6:$A$1005,0)),"MISSING ID")</x:f>
        <x:v>1</x:v>
      </x:c>
      <x:c r="G200" s="4" t="str">
        <x:v>Traced to cataloged T0 and/or recovered feeds</x:v>
      </x:c>
      <x:c r="H200" s="4" t="str">
        <x:v>Controlled-heating firing kiln or specialist glass hot-work station; Ceramic firing tray / Ceramic casting mold as applicable. Qualified power, heat and atmosphere required.</x:v>
      </x:c>
      <x:c r="I200" s="4" t="str">
        <x:v>Candidate path traced</x:v>
      </x:c>
      <x:c r="J200" s="4" t="str">
        <x:v>Dimensions, grade, process qualification, quantity and yield remain open.</x:v>
      </x:c>
    </x:row>
    <x:row r="201" ht="115" customHeight="1">
      <x:c r="A201" s="4" t="str">
        <x:v>proposal.ceramic.lid</x:v>
      </x:c>
      <x:c r="B201" s="4" t="str">
        <x:f>IFERROR(INDEX(Items!$B$6:$B$1005,MATCH(A201,Items!$A$6:$A$1005,0)),"MISSING ID")</x:f>
        <x:v>Ceramic vessel lid</x:v>
      </x:c>
      <x:c r="C201" s="4" t="str">
        <x:f>IFERROR(INDEX(Items!$X$6:$X$1005,MATCH(A201,Items!$A$6:$A$1005,0)),"MISSING ID")</x:f>
        <x:v>Container part</x:v>
      </x:c>
      <x:c r="D201" s="4" t="str">
        <x:f>IFERROR(INDEX(Items!$C$6:$C$1005,MATCH(A201,Items!$A$6:$A$1005,0)),"MISSING ID")</x:f>
        <x:v>T3</x:v>
      </x:c>
      <x:c r="E201" s="4" t="str">
        <x:v>Manufactured stock / part</x:v>
      </x:c>
      <x:c r="F201" s="14" t="n">
        <x:f>IFERROR(INDEX(Items!$AJ$6:$AJ$1005,MATCH(A201,Items!$A$6:$A$1005,0)),"MISSING ID")</x:f>
        <x:v>1</x:v>
      </x:c>
      <x:c r="G201" s="4" t="str">
        <x:v>Traced to cataloged T0 and/or recovered feeds</x:v>
      </x:c>
      <x:c r="H201" s="4" t="str">
        <x:v>Controlled-heating firing kiln or specialist glass hot-work station; Ceramic firing tray / Ceramic casting mold as applicable. Qualified power, heat and atmosphere required.</x:v>
      </x:c>
      <x:c r="I201" s="4" t="str">
        <x:v>Candidate path traced</x:v>
      </x:c>
      <x:c r="J201" s="4" t="str">
        <x:v>Dimensions, grade, process qualification, quantity and yield remain open.</x:v>
      </x:c>
    </x:row>
    <x:row r="202" ht="115" customHeight="1">
      <x:c r="A202" s="4" t="str">
        <x:v>proposal.ceramic.pour_spout</x:v>
      </x:c>
      <x:c r="B202" s="4" t="str">
        <x:f>IFERROR(INDEX(Items!$B$6:$B$1005,MATCH(A202,Items!$A$6:$A$1005,0)),"MISSING ID")</x:f>
        <x:v>Ceramic pouring spout</x:v>
      </x:c>
      <x:c r="C202" s="4" t="str">
        <x:f>IFERROR(INDEX(Items!$X$6:$X$1005,MATCH(A202,Items!$A$6:$A$1005,0)),"MISSING ID")</x:f>
        <x:v>Container part</x:v>
      </x:c>
      <x:c r="D202" s="4" t="str">
        <x:f>IFERROR(INDEX(Items!$C$6:$C$1005,MATCH(A202,Items!$A$6:$A$1005,0)),"MISSING ID")</x:f>
        <x:v>T3</x:v>
      </x:c>
      <x:c r="E202" s="4" t="str">
        <x:v>Manufactured stock / part</x:v>
      </x:c>
      <x:c r="F202" s="14" t="n">
        <x:f>IFERROR(INDEX(Items!$AJ$6:$AJ$1005,MATCH(A202,Items!$A$6:$A$1005,0)),"MISSING ID")</x:f>
        <x:v>1</x:v>
      </x:c>
      <x:c r="G202" s="4" t="str">
        <x:v>Traced to cataloged T0 and/or recovered feeds</x:v>
      </x:c>
      <x:c r="H202" s="4" t="str">
        <x:v>Controlled-heating firing kiln or specialist glass hot-work station; Ceramic firing tray / Ceramic casting mold as applicable. Qualified power, heat and atmosphere required.</x:v>
      </x:c>
      <x:c r="I202" s="4" t="str">
        <x:v>Candidate path traced</x:v>
      </x:c>
      <x:c r="J202" s="4" t="str">
        <x:v>Dimensions, grade, process qualification, quantity and yield remain open.</x:v>
      </x:c>
    </x:row>
    <x:row r="203" ht="115" customHeight="1">
      <x:c r="A203" s="4" t="str">
        <x:v>proposal.ceramic.conduit</x:v>
      </x:c>
      <x:c r="B203" s="4" t="str">
        <x:f>IFERROR(INDEX(Items!$B$6:$B$1005,MATCH(A203,Items!$A$6:$A$1005,0)),"MISSING ID")</x:f>
        <x:v>Ceramic conduit section</x:v>
      </x:c>
      <x:c r="C203" s="4" t="str">
        <x:f>IFERROR(INDEX(Items!$X$6:$X$1005,MATCH(A203,Items!$A$6:$A$1005,0)),"MISSING ID")</x:f>
        <x:v>Crafting component</x:v>
      </x:c>
      <x:c r="D203" s="4" t="str">
        <x:f>IFERROR(INDEX(Items!$C$6:$C$1005,MATCH(A203,Items!$A$6:$A$1005,0)),"MISSING ID")</x:f>
        <x:v>T3</x:v>
      </x:c>
      <x:c r="E203" s="4" t="str">
        <x:v>Manufactured stock / part</x:v>
      </x:c>
      <x:c r="F203" s="14" t="n">
        <x:f>IFERROR(INDEX(Items!$AJ$6:$AJ$1005,MATCH(A203,Items!$A$6:$A$1005,0)),"MISSING ID")</x:f>
        <x:v>1</x:v>
      </x:c>
      <x:c r="G203" s="4" t="str">
        <x:v>Traced to cataloged T0 and/or recovered feeds</x:v>
      </x:c>
      <x:c r="H203" s="4" t="str">
        <x:v>Controlled-heating firing kiln or specialist glass hot-work station; Ceramic firing tray / Ceramic casting mold as applicable. Qualified power, heat and atmosphere required.</x:v>
      </x:c>
      <x:c r="I203" s="4" t="str">
        <x:v>Candidate path traced</x:v>
      </x:c>
      <x:c r="J203" s="4" t="str">
        <x:v>Dimensions, grade, process qualification, quantity and yield remain open.</x:v>
      </x:c>
    </x:row>
    <x:row r="204" ht="115" customHeight="1">
      <x:c r="A204" s="4" t="str">
        <x:v>proposal.ceramic.votive_plaque</x:v>
      </x:c>
      <x:c r="B204" s="4" t="str">
        <x:f>IFERROR(INDEX(Items!$B$6:$B$1005,MATCH(A204,Items!$A$6:$A$1005,0)),"MISSING ID")</x:f>
        <x:v>Ceramic votive plaque</x:v>
      </x:c>
      <x:c r="C204" s="4" t="str">
        <x:f>IFERROR(INDEX(Items!$X$6:$X$1005,MATCH(A204,Items!$A$6:$A$1005,0)),"MISSING ID")</x:f>
        <x:v>Cultural object</x:v>
      </x:c>
      <x:c r="D204" s="4" t="str">
        <x:f>IFERROR(INDEX(Items!$C$6:$C$1005,MATCH(A204,Items!$A$6:$A$1005,0)),"MISSING ID")</x:f>
        <x:v>Not applicable</x:v>
      </x:c>
      <x:c r="E204" s="4" t="str">
        <x:v>Finished endpoint</x:v>
      </x:c>
      <x:c r="F204" s="14" t="n">
        <x:f>IFERROR(INDEX(Items!$AJ$6:$AJ$1005,MATCH(A204,Items!$A$6:$A$1005,0)),"MISSING ID")</x:f>
        <x:v>1</x:v>
      </x:c>
      <x:c r="G204" s="4" t="str">
        <x:v>Traced to cataloged T0 and/or recovered feeds</x:v>
      </x:c>
      <x:c r="H204" s="4" t="str">
        <x:v>Controlled-heating firing kiln or specialist glass hot-work station; Ceramic firing tray / Ceramic casting mold as applicable. Qualified power, heat and atmosphere required.</x:v>
      </x:c>
      <x:c r="I204" s="4" t="str">
        <x:v>Candidate path traced</x:v>
      </x:c>
      <x:c r="J204" s="4" t="str">
        <x:v>Dimensions, grade, process qualification, quantity and yield remain open.</x:v>
      </x:c>
    </x:row>
    <x:row r="205" ht="115" customHeight="1">
      <x:c r="A205" s="4" t="str">
        <x:v>proposal.ceramic.figurine</x:v>
      </x:c>
      <x:c r="B205" s="4" t="str">
        <x:f>IFERROR(INDEX(Items!$B$6:$B$1005,MATCH(A205,Items!$A$6:$A$1005,0)),"MISSING ID")</x:f>
        <x:v>Ceramic commemorative figurine</x:v>
      </x:c>
      <x:c r="C205" s="4" t="str">
        <x:f>IFERROR(INDEX(Items!$X$6:$X$1005,MATCH(A205,Items!$A$6:$A$1005,0)),"MISSING ID")</x:f>
        <x:v>Cultural object</x:v>
      </x:c>
      <x:c r="D205" s="4" t="str">
        <x:f>IFERROR(INDEX(Items!$C$6:$C$1005,MATCH(A205,Items!$A$6:$A$1005,0)),"MISSING ID")</x:f>
        <x:v>Not applicable</x:v>
      </x:c>
      <x:c r="E205" s="4" t="str">
        <x:v>Finished endpoint</x:v>
      </x:c>
      <x:c r="F205" s="14" t="n">
        <x:f>IFERROR(INDEX(Items!$AJ$6:$AJ$1005,MATCH(A205,Items!$A$6:$A$1005,0)),"MISSING ID")</x:f>
        <x:v>1</x:v>
      </x:c>
      <x:c r="G205" s="4" t="str">
        <x:v>Traced to cataloged T0 and/or recovered feeds</x:v>
      </x:c>
      <x:c r="H205" s="4" t="str">
        <x:v>Controlled-heating firing kiln or specialist glass hot-work station; Ceramic firing tray / Ceramic casting mold as applicable. Qualified power, heat and atmosphere required.</x:v>
      </x:c>
      <x:c r="I205" s="4" t="str">
        <x:v>Candidate path traced</x:v>
      </x:c>
      <x:c r="J205" s="4" t="str">
        <x:v>Dimensions, grade, process qualification, quantity and yield remain open.</x:v>
      </x:c>
    </x:row>
    <x:row r="206" ht="115" customHeight="1">
      <x:c r="A206" s="4" t="str">
        <x:v>proposal.ceramic.ceremony_bowl</x:v>
      </x:c>
      <x:c r="B206" s="4" t="str">
        <x:f>IFERROR(INDEX(Items!$B$6:$B$1005,MATCH(A206,Items!$A$6:$A$1005,0)),"MISSING ID")</x:f>
        <x:v>Ceremonial ceramic bowl</x:v>
      </x:c>
      <x:c r="C206" s="4" t="str">
        <x:f>IFERROR(INDEX(Items!$X$6:$X$1005,MATCH(A206,Items!$A$6:$A$1005,0)),"MISSING ID")</x:f>
        <x:v>Cultural object</x:v>
      </x:c>
      <x:c r="D206" s="4" t="str">
        <x:f>IFERROR(INDEX(Items!$C$6:$C$1005,MATCH(A206,Items!$A$6:$A$1005,0)),"MISSING ID")</x:f>
        <x:v>Not applicable</x:v>
      </x:c>
      <x:c r="E206" s="4" t="str">
        <x:v>Finished endpoint</x:v>
      </x:c>
      <x:c r="F206" s="14" t="n">
        <x:f>IFERROR(INDEX(Items!$AJ$6:$AJ$1005,MATCH(A206,Items!$A$6:$A$1005,0)),"MISSING ID")</x:f>
        <x:v>1</x:v>
      </x:c>
      <x:c r="G206" s="4" t="str">
        <x:v>Traced to cataloged T0 and/or recovered feeds</x:v>
      </x:c>
      <x:c r="H206" s="4" t="str">
        <x:v>Controlled-heating firing kiln or specialist glass hot-work station; Ceramic firing tray / Ceramic casting mold as applicable. Qualified power, heat and atmosphere required.</x:v>
      </x:c>
      <x:c r="I206" s="4" t="str">
        <x:v>Candidate path traced</x:v>
      </x:c>
      <x:c r="J206" s="4" t="str">
        <x:v>Dimensions, grade, process qualification, quantity and yield remain open.</x:v>
      </x:c>
    </x:row>
    <x:row r="207" ht="115" customHeight="1">
      <x:c r="A207" s="4" t="str">
        <x:v>proposal.ceramic.armor_insert</x:v>
      </x:c>
      <x:c r="B207" s="4" t="str">
        <x:f>IFERROR(INDEX(Items!$B$6:$B$1005,MATCH(A207,Items!$A$6:$A$1005,0)),"MISSING ID")</x:f>
        <x:v>Specialist ceramic armor insert</x:v>
      </x:c>
      <x:c r="C207" s="4" t="str">
        <x:f>IFERROR(INDEX(Items!$X$6:$X$1005,MATCH(A207,Items!$A$6:$A$1005,0)),"MISSING ID")</x:f>
        <x:v>Armor</x:v>
      </x:c>
      <x:c r="D207" s="4" t="str">
        <x:f>IFERROR(INDEX(Items!$C$6:$C$1005,MATCH(A207,Items!$A$6:$A$1005,0)),"MISSING ID")</x:f>
        <x:v>Not applicable</x:v>
      </x:c>
      <x:c r="E207" s="4" t="str">
        <x:v>Finished endpoint</x:v>
      </x:c>
      <x:c r="F207" s="14" t="n">
        <x:f>IFERROR(INDEX(Items!$AJ$6:$AJ$1005,MATCH(A207,Items!$A$6:$A$1005,0)),"MISSING ID")</x:f>
        <x:v>1</x:v>
      </x:c>
      <x:c r="G207" s="4" t="str">
        <x:v>Traced to cataloged T0 and/or recovered feeds</x:v>
      </x:c>
      <x:c r="H207" s="4" t="str">
        <x:v>Controlled-heating firing kiln or specialist glass hot-work station; Ceramic firing tray / Ceramic casting mold as applicable. Qualified power, heat and atmosphere required.</x:v>
      </x:c>
      <x:c r="I207" s="4" t="str">
        <x:v>Candidate path traced</x:v>
      </x:c>
      <x:c r="J207" s="4" t="str">
        <x:v>Fit, joints, insulation/protection and biological material yield require qualification.</x:v>
      </x:c>
    </x:row>
    <x:row r="208" ht="115" customHeight="1">
      <x:c r="A208" s="4" t="str">
        <x:v>proposal.ceramic.fastener</x:v>
      </x:c>
      <x:c r="B208" s="4" t="str">
        <x:f>IFERROR(INDEX(Items!$B$6:$B$1005,MATCH(A208,Items!$A$6:$A$1005,0)),"MISSING ID")</x:f>
        <x:v>Ceramic toggle fastener</x:v>
      </x:c>
      <x:c r="C208" s="4" t="str">
        <x:f>IFERROR(INDEX(Items!$X$6:$X$1005,MATCH(A208,Items!$A$6:$A$1005,0)),"MISSING ID")</x:f>
        <x:v>Crafting component</x:v>
      </x:c>
      <x:c r="D208" s="4" t="str">
        <x:f>IFERROR(INDEX(Items!$C$6:$C$1005,MATCH(A208,Items!$A$6:$A$1005,0)),"MISSING ID")</x:f>
        <x:v>T3</x:v>
      </x:c>
      <x:c r="E208" s="4" t="str">
        <x:v>Manufactured stock / part</x:v>
      </x:c>
      <x:c r="F208" s="14" t="n">
        <x:f>IFERROR(INDEX(Items!$AJ$6:$AJ$1005,MATCH(A208,Items!$A$6:$A$1005,0)),"MISSING ID")</x:f>
        <x:v>1</x:v>
      </x:c>
      <x:c r="G208" s="4" t="str">
        <x:v>Traced to cataloged T0 and/or recovered feeds</x:v>
      </x:c>
      <x:c r="H208" s="4" t="str">
        <x:v>Controlled-heating firing kiln or specialist glass hot-work station; Ceramic firing tray / Ceramic casting mold as applicable. Qualified power, heat and atmosphere required.</x:v>
      </x:c>
      <x:c r="I208" s="4" t="str">
        <x:v>Candidate path traced</x:v>
      </x:c>
      <x:c r="J208" s="4" t="str">
        <x:v>Dimensions, grade, process qualification, quantity and yield remain open.</x:v>
      </x:c>
    </x:row>
    <x:row r="209" ht="115" customHeight="1">
      <x:c r="A209" s="4" t="str">
        <x:v>proposal.ceramic.grinding_disc</x:v>
      </x:c>
      <x:c r="B209" s="4" t="str">
        <x:f>IFERROR(INDEX(Items!$B$6:$B$1005,MATCH(A209,Items!$A$6:$A$1005,0)),"MISSING ID")</x:f>
        <x:v>Ceramic abrasive disc</x:v>
      </x:c>
      <x:c r="C209" s="4" t="str">
        <x:f>IFERROR(INDEX(Items!$X$6:$X$1005,MATCH(A209,Items!$A$6:$A$1005,0)),"MISSING ID")</x:f>
        <x:v>Tool</x:v>
      </x:c>
      <x:c r="D209" s="4" t="str">
        <x:f>IFERROR(INDEX(Items!$C$6:$C$1005,MATCH(A209,Items!$A$6:$A$1005,0)),"MISSING ID")</x:f>
        <x:v>Not applicable</x:v>
      </x:c>
      <x:c r="E209" s="4" t="str">
        <x:v>Finished endpoint</x:v>
      </x:c>
      <x:c r="F209" s="14" t="n">
        <x:f>IFERROR(INDEX(Items!$AJ$6:$AJ$1005,MATCH(A209,Items!$A$6:$A$1005,0)),"MISSING ID")</x:f>
        <x:v>1</x:v>
      </x:c>
      <x:c r="G209" s="4" t="str">
        <x:v>Traced to cataloged T0 and/or recovered feeds</x:v>
      </x:c>
      <x:c r="H209" s="4" t="str">
        <x:v>Controlled-heating firing kiln or specialist glass hot-work station; Ceramic firing tray / Ceramic casting mold as applicable. Qualified power, heat and atmosphere required.</x:v>
      </x:c>
      <x:c r="I209" s="4" t="str">
        <x:v>Candidate path traced</x:v>
      </x:c>
      <x:c r="J209" s="4" t="str">
        <x:v>Dimensions, grade, process qualification, quantity and yield remain open.</x:v>
      </x:c>
    </x:row>
    <x:row r="210" ht="115" customHeight="1">
      <x:c r="A210" s="4" t="str">
        <x:v>source.currency.imperial_commons</x:v>
      </x:c>
      <x:c r="B210" s="4" t="str">
        <x:f>IFERROR(INDEX(Items!$B$6:$B$1005,MATCH(A210,Items!$A$6:$A$1005,0)),"MISSING ID")</x:f>
        <x:v>Imperial Commons</x:v>
      </x:c>
      <x:c r="C210" s="4" t="str">
        <x:f>IFERROR(INDEX(Items!$X$6:$X$1005,MATCH(A210,Items!$A$6:$A$1005,0)),"MISSING ID")</x:f>
        <x:v>Currency</x:v>
      </x:c>
      <x:c r="D210" s="4" t="str">
        <x:f>IFERROR(INDEX(Items!$C$6:$C$1005,MATCH(A210,Items!$A$6:$A$1005,0)),"MISSING ID")</x:f>
        <x:v>Not applicable</x:v>
      </x:c>
      <x:c r="E210" s="4" t="str">
        <x:v>Currency</x:v>
      </x:c>
      <x:c r="F210" s="14" t="n">
        <x:f>IFERROR(INDEX(Items!$AJ$6:$AJ$1005,MATCH(A210,Items!$A$6:$A$1005,0)),"MISSING ID")</x:f>
        <x:v>0</x:v>
      </x:c>
      <x:c r="G210" s="4" t="str">
        <x:v>Source, recovery or issue route applies</x:v>
      </x:c>
      <x:c r="H210" s="4" t="str">
        <x:v>Not a selected manufacturing route</x:v>
      </x:c>
      <x:c r="I210" s="4" t="str">
        <x:v>Issuer-controlled</x:v>
      </x:c>
      <x:c r="J210" s="4" t="str">
        <x:v>Issuance, exchange and craft grades unresolved; no player minting route.</x:v>
      </x:c>
    </x:row>
    <x:row r="211" ht="115" customHeight="1">
      <x:c r="A211" s="4" t="str">
        <x:v>proposal.fire.oxygen_stone</x:v>
      </x:c>
      <x:c r="B211" s="4" t="str">
        <x:f>IFERROR(INDEX(Items!$B$6:$B$1005,MATCH(A211,Items!$A$6:$A$1005,0)),"MISSING ID")</x:f>
        <x:v>Oxygen-releasing stone</x:v>
      </x:c>
      <x:c r="C211" s="4" t="str">
        <x:f>IFERROR(INDEX(Items!$X$6:$X$1005,MATCH(A211,Items!$A$6:$A$1005,0)),"MISSING ID")</x:f>
        <x:v>Raw material</x:v>
      </x:c>
      <x:c r="D211" s="4" t="str">
        <x:f>IFERROR(INDEX(Items!$C$6:$C$1005,MATCH(A211,Items!$A$6:$A$1005,0)),"MISSING ID")</x:f>
        <x:v>T0</x:v>
      </x:c>
      <x:c r="E211" s="4" t="str">
        <x:v>Raw source</x:v>
      </x:c>
      <x:c r="F211" s="14" t="n">
        <x:f>IFERROR(INDEX(Items!$AJ$6:$AJ$1005,MATCH(A211,Items!$A$6:$A$1005,0)),"MISSING ID")</x:f>
        <x:v>0</x:v>
      </x:c>
      <x:c r="G211" s="4" t="str">
        <x:v>Source, recovery or issue route applies</x:v>
      </x:c>
      <x:c r="H211" s="4" t="str">
        <x:v>Not a selected manufacturing route</x:v>
      </x:c>
      <x:c r="I211" s="4" t="str">
        <x:v>Raw entry feed</x:v>
      </x:c>
      <x:c r="J211" s="4" t="str">
        <x:v>Oxygen-releasing stone. Behavior after extraction, activation, output and depletion remain unresolved; no portable heat/fuel property inferred.</x:v>
      </x:c>
    </x:row>
    <x:row r="212" ht="115" customHeight="1">
      <x:c r="A212" s="4" t="str">
        <x:v>proposal.fire.glow_stone</x:v>
      </x:c>
      <x:c r="B212" s="4" t="str">
        <x:f>IFERROR(INDEX(Items!$B$6:$B$1005,MATCH(A212,Items!$A$6:$A$1005,0)),"MISSING ID")</x:f>
        <x:v>Glowing stone</x:v>
      </x:c>
      <x:c r="C212" s="4" t="str">
        <x:f>IFERROR(INDEX(Items!$X$6:$X$1005,MATCH(A212,Items!$A$6:$A$1005,0)),"MISSING ID")</x:f>
        <x:v>Raw material</x:v>
      </x:c>
      <x:c r="D212" s="4" t="str">
        <x:f>IFERROR(INDEX(Items!$C$6:$C$1005,MATCH(A212,Items!$A$6:$A$1005,0)),"MISSING ID")</x:f>
        <x:v>T0</x:v>
      </x:c>
      <x:c r="E212" s="4" t="str">
        <x:v>Raw source</x:v>
      </x:c>
      <x:c r="F212" s="14" t="n">
        <x:f>IFERROR(INDEX(Items!$AJ$6:$AJ$1005,MATCH(A212,Items!$A$6:$A$1005,0)),"MISSING ID")</x:f>
        <x:v>0</x:v>
      </x:c>
      <x:c r="G212" s="4" t="str">
        <x:v>Source, recovery or issue route applies</x:v>
      </x:c>
      <x:c r="H212" s="4" t="str">
        <x:v>Not a selected manufacturing route</x:v>
      </x:c>
      <x:c r="I212" s="4" t="str">
        <x:v>Raw entry feed</x:v>
      </x:c>
      <x:c r="J212" s="4" t="str">
        <x:v>Glowing stone. Behavior after extraction, activation, output and depletion remain unresolved; no portable heat/fuel property inferred.</x:v>
      </x:c>
    </x:row>
    <x:row r="213" ht="115" customHeight="1">
      <x:c r="A213" s="4" t="str">
        <x:v>proposal.fire.flint</x:v>
      </x:c>
      <x:c r="B213" s="4" t="str">
        <x:f>IFERROR(INDEX(Items!$B$6:$B$1005,MATCH(A213,Items!$A$6:$A$1005,0)),"MISSING ID")</x:f>
        <x:v>Flint stone</x:v>
      </x:c>
      <x:c r="C213" s="4" t="str">
        <x:f>IFERROR(INDEX(Items!$X$6:$X$1005,MATCH(A213,Items!$A$6:$A$1005,0)),"MISSING ID")</x:f>
        <x:v>Raw material</x:v>
      </x:c>
      <x:c r="D213" s="4" t="str">
        <x:f>IFERROR(INDEX(Items!$C$6:$C$1005,MATCH(A213,Items!$A$6:$A$1005,0)),"MISSING ID")</x:f>
        <x:v>T0</x:v>
      </x:c>
      <x:c r="E213" s="4" t="str">
        <x:v>Raw source</x:v>
      </x:c>
      <x:c r="F213" s="14" t="n">
        <x:f>IFERROR(INDEX(Items!$AJ$6:$AJ$1005,MATCH(A213,Items!$A$6:$A$1005,0)),"MISSING ID")</x:f>
        <x:v>0</x:v>
      </x:c>
      <x:c r="G213" s="4" t="str">
        <x:v>Source, recovery or issue route applies</x:v>
      </x:c>
      <x:c r="H213" s="4" t="str">
        <x:v>Not a selected manufacturing route</x:v>
      </x:c>
      <x:c r="I213" s="4" t="str">
        <x:v>Raw entry feed</x:v>
      </x:c>
      <x:c r="J213" s="4" t="str">
        <x:v>Source grade, collection, contamination and yield remain open.</x:v>
      </x:c>
    </x:row>
    <x:row r="214" ht="115" customHeight="1">
      <x:c r="A214" s="4" t="str">
        <x:v>proposal.fire.striker</x:v>
      </x:c>
      <x:c r="B214" s="4" t="str">
        <x:f>IFERROR(INDEX(Items!$B$6:$B$1005,MATCH(A214,Items!$A$6:$A$1005,0)),"MISSING ID")</x:f>
        <x:v>Flint striking tool</x:v>
      </x:c>
      <x:c r="C214" s="4" t="str">
        <x:f>IFERROR(INDEX(Items!$X$6:$X$1005,MATCH(A214,Items!$A$6:$A$1005,0)),"MISSING ID")</x:f>
        <x:v>Tool</x:v>
      </x:c>
      <x:c r="D214" s="4" t="str">
        <x:f>IFERROR(INDEX(Items!$C$6:$C$1005,MATCH(A214,Items!$A$6:$A$1005,0)),"MISSING ID")</x:f>
        <x:v>Not applicable</x:v>
      </x:c>
      <x:c r="E214" s="4" t="str">
        <x:v>Finished endpoint</x:v>
      </x:c>
      <x:c r="F214" s="14" t="n">
        <x:f>IFERROR(INDEX(Items!$AJ$6:$AJ$1005,MATCH(A214,Items!$A$6:$A$1005,0)),"MISSING ID")</x:f>
        <x:v>1</x:v>
      </x:c>
      <x:c r="G214" s="4" t="str">
        <x:v>Traced to cataloged T0 and/or recovered feeds</x:v>
      </x:c>
      <x:c r="H214" s="4" t="str">
        <x:v>Forge hearth, Anvil, Forging hammer, Smithing tongs, Metalworking file and Hand-cranked metal drill as applicable. Existing workshop bootstrap and controlled heating/cooling required; no free-water quench assumed.</x:v>
      </x:c>
      <x:c r="I214" s="4" t="str">
        <x:v>Candidate path traced</x:v>
      </x:c>
      <x:c r="J214" s="4" t="str">
        <x:v>Dimensions, grade, process qualification, quantity and yield remain open.</x:v>
      </x:c>
    </x:row>
    <x:row r="215" ht="115" customHeight="1">
      <x:c r="A215" s="4" t="str">
        <x:v>proposal.fire.chitin_char</x:v>
      </x:c>
      <x:c r="B215" s="4" t="str">
        <x:f>IFERROR(INDEX(Items!$B$6:$B$1005,MATCH(A215,Items!$A$6:$A$1005,0)),"MISSING ID")</x:f>
        <x:v>Chitin-char</x:v>
      </x:c>
      <x:c r="C215" s="4" t="str">
        <x:f>IFERROR(INDEX(Items!$X$6:$X$1005,MATCH(A215,Items!$A$6:$A$1005,0)),"MISSING ID")</x:f>
        <x:v>Processed material</x:v>
      </x:c>
      <x:c r="D215" s="4" t="str">
        <x:f>IFERROR(INDEX(Items!$C$6:$C$1005,MATCH(A215,Items!$A$6:$A$1005,0)),"MISSING ID")</x:f>
        <x:v>T1</x:v>
      </x:c>
      <x:c r="E215" s="4" t="str">
        <x:v>Manufactured stock / part</x:v>
      </x:c>
      <x:c r="F215" s="14" t="n">
        <x:f>IFERROR(INDEX(Items!$AJ$6:$AJ$1005,MATCH(A215,Items!$A$6:$A$1005,0)),"MISSING ID")</x:f>
        <x:v>1</x:v>
      </x:c>
      <x:c r="G215" s="4" t="str">
        <x:v>Traced to cataloged T0 and/or recovered feeds</x:v>
      </x:c>
      <x:c r="H215" s="4" t="str">
        <x:v>Forge hearth, Anvil, Forging hammer, Smithing tongs, Metalworking file and Hand-cranked metal drill as applicable. Existing workshop bootstrap and controlled heating/cooling required; no free-water quench assumed.</x:v>
      </x:c>
      <x:c r="I215" s="4" t="str">
        <x:v>Candidate path traced</x:v>
      </x:c>
      <x:c r="J215" s="4" t="str">
        <x:v>Dimensions, grade, process qualification, quantity and yield remain open.</x:v>
      </x:c>
    </x:row>
    <x:row r="216" ht="115" customHeight="1">
      <x:c r="A216" s="4" t="str">
        <x:v>proposal.fire.cooking_pot</x:v>
      </x:c>
      <x:c r="B216" s="4" t="str">
        <x:f>IFERROR(INDEX(Items!$B$6:$B$1005,MATCH(A216,Items!$A$6:$A$1005,0)),"MISSING ID")</x:f>
        <x:v>Ceramic cooking pot</x:v>
      </x:c>
      <x:c r="C216" s="4" t="str">
        <x:f>IFERROR(INDEX(Items!$X$6:$X$1005,MATCH(A216,Items!$A$6:$A$1005,0)),"MISSING ID")</x:f>
        <x:v>Tool</x:v>
      </x:c>
      <x:c r="D216" s="4" t="str">
        <x:f>IFERROR(INDEX(Items!$C$6:$C$1005,MATCH(A216,Items!$A$6:$A$1005,0)),"MISSING ID")</x:f>
        <x:v>Not applicable</x:v>
      </x:c>
      <x:c r="E216" s="4" t="str">
        <x:v>Finished endpoint</x:v>
      </x:c>
      <x:c r="F216" s="14" t="n">
        <x:f>IFERROR(INDEX(Items!$AJ$6:$AJ$1005,MATCH(A216,Items!$A$6:$A$1005,0)),"MISSING ID")</x:f>
        <x:v>1</x:v>
      </x:c>
      <x:c r="G216" s="4" t="str">
        <x:v>Traced to cataloged T0 and/or recovered feeds</x:v>
      </x:c>
      <x:c r="H216" s="4" t="str">
        <x:v>Controlled-heating firing kiln or specialist glass hot-work station; Ceramic firing tray / Ceramic casting mold as applicable. Qualified power, heat and atmosphere required.</x:v>
      </x:c>
      <x:c r="I216" s="4" t="str">
        <x:v>Candidate path traced</x:v>
      </x:c>
      <x:c r="J216" s="4" t="str">
        <x:v>Dimensions, grade, process qualification, quantity and yield remain open.</x:v>
      </x:c>
    </x:row>
    <x:row r="217" ht="115" customHeight="1">
      <x:c r="A217" s="4"/>
      <x:c r="B217" s="4"/>
      <x:c r="C217" s="4"/>
      <x:c r="D217" s="4"/>
      <x:c r="E217" s="4"/>
      <x:c r="F217" s="14"/>
      <x:c r="G217" s="4"/>
      <x:c r="H217" s="4"/>
      <x:c r="I217" s="4"/>
      <x:c r="J217" s="4"/>
    </x:row>
    <x:row r="218" ht="115" customHeight="1">
      <x:c r="A218" s="4" t="str">
        <x:v>proposal.fire.lidded_pan</x:v>
      </x:c>
      <x:c r="B218" s="4" t="str">
        <x:f>IFERROR(INDEX(Items!$B$6:$B$1005,MATCH(A218,Items!$A$6:$A$1005,0)),"MISSING ID")</x:f>
        <x:v>Lidded cooking pan</x:v>
      </x:c>
      <x:c r="C218" s="4" t="str">
        <x:f>IFERROR(INDEX(Items!$X$6:$X$1005,MATCH(A218,Items!$A$6:$A$1005,0)),"MISSING ID")</x:f>
        <x:v>Tool</x:v>
      </x:c>
      <x:c r="D218" s="4" t="str">
        <x:f>IFERROR(INDEX(Items!$C$6:$C$1005,MATCH(A218,Items!$A$6:$A$1005,0)),"MISSING ID")</x:f>
        <x:v>Not applicable</x:v>
      </x:c>
      <x:c r="E218" s="4" t="str">
        <x:v>Finished endpoint</x:v>
      </x:c>
      <x:c r="F218" s="14" t="n">
        <x:f>IFERROR(INDEX(Items!$AJ$6:$AJ$1005,MATCH(A218,Items!$A$6:$A$1005,0)),"MISSING ID")</x:f>
        <x:v>1</x:v>
      </x:c>
      <x:c r="G218" s="4" t="str">
        <x:v>Traced to cataloged T0 and/or recovered feeds</x:v>
      </x:c>
      <x:c r="H218" s="4" t="str">
        <x:v>Forge hearth, Anvil, Forging hammer, Smithing tongs, Metalworking file and Hand-cranked metal drill as applicable. Existing workshop bootstrap and controlled heating/cooling required; no free-water quench assumed.</x:v>
      </x:c>
      <x:c r="I218" s="4" t="str">
        <x:v>Candidate path traced</x:v>
      </x:c>
      <x:c r="J218" s="4" t="str">
        <x:v>Dimensions, grade, process qualification, quantity and yield remain open.</x:v>
      </x:c>
    </x:row>
    <x:row r="219" ht="115" customHeight="1">
      <x:c r="A219" s="4" t="str">
        <x:v>proposal.fire.rack</x:v>
      </x:c>
      <x:c r="B219" s="4" t="str">
        <x:f>IFERROR(INDEX(Items!$B$6:$B$1005,MATCH(A219,Items!$A$6:$A$1005,0)),"MISSING ID")</x:f>
        <x:v>Cooking rack</x:v>
      </x:c>
      <x:c r="C219" s="4" t="str">
        <x:f>IFERROR(INDEX(Items!$X$6:$X$1005,MATCH(A219,Items!$A$6:$A$1005,0)),"MISSING ID")</x:f>
        <x:v>Tool</x:v>
      </x:c>
      <x:c r="D219" s="4" t="str">
        <x:f>IFERROR(INDEX(Items!$C$6:$C$1005,MATCH(A219,Items!$A$6:$A$1005,0)),"MISSING ID")</x:f>
        <x:v>Not applicable</x:v>
      </x:c>
      <x:c r="E219" s="4" t="str">
        <x:v>Finished endpoint</x:v>
      </x:c>
      <x:c r="F219" s="14" t="n">
        <x:f>IFERROR(INDEX(Items!$AJ$6:$AJ$1005,MATCH(A219,Items!$A$6:$A$1005,0)),"MISSING ID")</x:f>
        <x:v>1</x:v>
      </x:c>
      <x:c r="G219" s="4" t="str">
        <x:v>Traced to cataloged T0 and/or recovered feeds</x:v>
      </x:c>
      <x:c r="H219" s="4" t="str">
        <x:v>Forge hearth, Anvil, Forging hammer, Smithing tongs, Metalworking file and Hand-cranked metal drill as applicable. Existing workshop bootstrap and controlled heating/cooling required; no free-water quench assumed.</x:v>
      </x:c>
      <x:c r="I219" s="4" t="str">
        <x:v>Candidate path traced</x:v>
      </x:c>
      <x:c r="J219" s="4" t="str">
        <x:v>Dimensions, grade, process qualification, quantity and yield remain open.</x:v>
      </x:c>
    </x:row>
    <x:row r="220" ht="115" customHeight="1">
      <x:c r="A220" s="4" t="str">
        <x:v>proposal.fire.pot_stand</x:v>
      </x:c>
      <x:c r="B220" s="4" t="str">
        <x:f>IFERROR(INDEX(Items!$B$6:$B$1005,MATCH(A220,Items!$A$6:$A$1005,0)),"MISSING ID")</x:f>
        <x:v>Cooking pot stand</x:v>
      </x:c>
      <x:c r="C220" s="4" t="str">
        <x:f>IFERROR(INDEX(Items!$X$6:$X$1005,MATCH(A220,Items!$A$6:$A$1005,0)),"MISSING ID")</x:f>
        <x:v>Tool</x:v>
      </x:c>
      <x:c r="D220" s="4" t="str">
        <x:f>IFERROR(INDEX(Items!$C$6:$C$1005,MATCH(A220,Items!$A$6:$A$1005,0)),"MISSING ID")</x:f>
        <x:v>Not applicable</x:v>
      </x:c>
      <x:c r="E220" s="4" t="str">
        <x:v>Finished endpoint</x:v>
      </x:c>
      <x:c r="F220" s="14" t="n">
        <x:f>IFERROR(INDEX(Items!$AJ$6:$AJ$1005,MATCH(A220,Items!$A$6:$A$1005,0)),"MISSING ID")</x:f>
        <x:v>1</x:v>
      </x:c>
      <x:c r="G220" s="4" t="str">
        <x:v>Traced to cataloged T0 and/or recovered feeds</x:v>
      </x:c>
      <x:c r="H220" s="4" t="str">
        <x:v>Forge hearth, Anvil, Forging hammer, Smithing tongs, Metalworking file and Hand-cranked metal drill as applicable. Existing workshop bootstrap and controlled heating/cooling required; no free-water quench assumed.</x:v>
      </x:c>
      <x:c r="I220" s="4" t="str">
        <x:v>Candidate path traced</x:v>
      </x:c>
      <x:c r="J220" s="4" t="str">
        <x:v>Dimensions, grade, process qualification, quantity and yield remain open.</x:v>
      </x:c>
    </x:row>
    <x:row r="221" ht="115" customHeight="1">
      <x:c r="A221" s="4" t="str">
        <x:v>proposal.fire.tongs</x:v>
      </x:c>
      <x:c r="B221" s="4" t="str">
        <x:f>IFERROR(INDEX(Items!$B$6:$B$1005,MATCH(A221,Items!$A$6:$A$1005,0)),"MISSING ID")</x:f>
        <x:v>Cooking tongs</x:v>
      </x:c>
      <x:c r="C221" s="4" t="str">
        <x:f>IFERROR(INDEX(Items!$X$6:$X$1005,MATCH(A221,Items!$A$6:$A$1005,0)),"MISSING ID")</x:f>
        <x:v>Tool</x:v>
      </x:c>
      <x:c r="D221" s="4" t="str">
        <x:f>IFERROR(INDEX(Items!$C$6:$C$1005,MATCH(A221,Items!$A$6:$A$1005,0)),"MISSING ID")</x:f>
        <x:v>Not applicable</x:v>
      </x:c>
      <x:c r="E221" s="4" t="str">
        <x:v>Finished endpoint</x:v>
      </x:c>
      <x:c r="F221" s="14" t="n">
        <x:f>IFERROR(INDEX(Items!$AJ$6:$AJ$1005,MATCH(A221,Items!$A$6:$A$1005,0)),"MISSING ID")</x:f>
        <x:v>1</x:v>
      </x:c>
      <x:c r="G221" s="4" t="str">
        <x:v>Traced to cataloged T0 and/or recovered feeds</x:v>
      </x:c>
      <x:c r="H221" s="4" t="str">
        <x:v>Forge hearth, Anvil, Forging hammer, Smithing tongs, Metalworking file and Hand-cranked metal drill as applicable. Existing workshop bootstrap and controlled heating/cooling required; no free-water quench assumed.</x:v>
      </x:c>
      <x:c r="I221" s="4" t="str">
        <x:v>Candidate path traced</x:v>
      </x:c>
      <x:c r="J221" s="4" t="str">
        <x:v>Dimensions, grade, process qualification, quantity and yield remain open.</x:v>
      </x:c>
    </x:row>
    <x:row r="222" ht="115" customHeight="1">
      <x:c r="A222" s="4" t="str">
        <x:v>proposal.fire.firebox</x:v>
      </x:c>
      <x:c r="B222" s="4" t="str">
        <x:f>IFERROR(INDEX(Items!$B$6:$B$1005,MATCH(A222,Items!$A$6:$A$1005,0)),"MISSING ID")</x:f>
        <x:v>Cooking station</x:v>
      </x:c>
      <x:c r="C222" s="4" t="str">
        <x:f>IFERROR(INDEX(Items!$X$6:$X$1005,MATCH(A222,Items!$A$6:$A$1005,0)),"MISSING ID")</x:f>
        <x:v>Tool</x:v>
      </x:c>
      <x:c r="D222" s="4" t="str">
        <x:f>IFERROR(INDEX(Items!$C$6:$C$1005,MATCH(A222,Items!$A$6:$A$1005,0)),"MISSING ID")</x:f>
        <x:v>Not applicable</x:v>
      </x:c>
      <x:c r="E222" s="4" t="str">
        <x:v>Finished endpoint</x:v>
      </x:c>
      <x:c r="F222" s="14" t="n">
        <x:f>IFERROR(INDEX(Items!$AJ$6:$AJ$1005,MATCH(A222,Items!$A$6:$A$1005,0)),"MISSING ID")</x:f>
        <x:v>1</x:v>
      </x:c>
      <x:c r="G222" s="4" t="str">
        <x:v>Traced to cataloged T0 and/or recovered feeds</x:v>
      </x:c>
      <x:c r="H222" s="4" t="str">
        <x:v>Forge hearth, Anvil, Forging hammer, Smithing tongs, Metalworking file and Hand-cranked metal drill as applicable. Existing workshop bootstrap and controlled heating/cooling required; no free-water quench assumed.</x:v>
      </x:c>
      <x:c r="I222" s="4" t="str">
        <x:v>Candidate path traced</x:v>
      </x:c>
      <x:c r="J222" s="4" t="str">
        <x:v>Dimensions, grade, process qualification, quantity and yield remain open.</x:v>
      </x:c>
    </x:row>
    <x:row r="223" ht="115" customHeight="1">
      <x:c r="A223" s="4"/>
      <x:c r="B223" s="4"/>
      <x:c r="C223" s="4"/>
      <x:c r="D223" s="4"/>
      <x:c r="E223" s="4"/>
      <x:c r="F223" s="14"/>
      <x:c r="G223" s="4"/>
      <x:c r="H223" s="4"/>
      <x:c r="I223" s="4"/>
      <x:c r="J223" s="4"/>
    </x:row>
    <x:row r="224" ht="115" customHeight="1">
      <x:c r="A224" s="4"/>
      <x:c r="B224" s="4"/>
      <x:c r="C224" s="4"/>
      <x:c r="D224" s="4"/>
      <x:c r="E224" s="4"/>
      <x:c r="F224" s="14"/>
      <x:c r="G224" s="4"/>
      <x:c r="H224" s="4"/>
      <x:c r="I224" s="4"/>
      <x:c r="J224" s="4"/>
    </x:row>
    <x:row r="225" ht="115" customHeight="1">
      <x:c r="A225" s="4"/>
      <x:c r="B225" s="4"/>
      <x:c r="C225" s="4"/>
      <x:c r="D225" s="4"/>
      <x:c r="E225" s="4"/>
      <x:c r="F225" s="14"/>
      <x:c r="G225" s="4"/>
      <x:c r="H225" s="4"/>
      <x:c r="I225" s="4"/>
      <x:c r="J225" s="4"/>
    </x:row>
    <x:row r="226" ht="115" customHeight="1">
      <x:c r="A226" s="4" t="str">
        <x:v>proposal.fire.glow_holder</x:v>
      </x:c>
      <x:c r="B226" s="4" t="str">
        <x:f>IFERROR(INDEX(Items!$B$6:$B$1005,MATCH(A226,Items!$A$6:$A$1005,0)),"MISSING ID")</x:f>
        <x:v>Shuttered glow-stone holder</x:v>
      </x:c>
      <x:c r="C226" s="4" t="str">
        <x:f>IFERROR(INDEX(Items!$X$6:$X$1005,MATCH(A226,Items!$A$6:$A$1005,0)),"MISSING ID")</x:f>
        <x:v>Tool</x:v>
      </x:c>
      <x:c r="D226" s="4" t="str">
        <x:f>IFERROR(INDEX(Items!$C$6:$C$1005,MATCH(A226,Items!$A$6:$A$1005,0)),"MISSING ID")</x:f>
        <x:v>Not applicable</x:v>
      </x:c>
      <x:c r="E226" s="4" t="str">
        <x:v>Finished endpoint</x:v>
      </x:c>
      <x:c r="F226" s="14" t="n">
        <x:f>IFERROR(INDEX(Items!$AJ$6:$AJ$1005,MATCH(A226,Items!$A$6:$A$1005,0)),"MISSING ID")</x:f>
        <x:v>1</x:v>
      </x:c>
      <x:c r="G226" s="4" t="str">
        <x:v>Traced to cataloged T0 and/or recovered feeds</x:v>
      </x:c>
      <x:c r="H226" s="4" t="str">
        <x:v>Forge hearth, Anvil, Forging hammer, Smithing tongs, Metalworking file and Hand-cranked metal drill as applicable. Existing workshop bootstrap and controlled heating/cooling required; no free-water quench assumed.</x:v>
      </x:c>
      <x:c r="I226" s="4" t="str">
        <x:v>Research / source gated</x:v>
      </x:c>
      <x:c r="J226" s="4" t="str">
        <x:v>Glowing stone. Dimensions, grade, process qualification, quantity and yield remain open.</x:v>
      </x:c>
    </x:row>
    <x:row r="227" ht="115" customHeight="1">
      <x:c r="A227" s="4" t="str">
        <x:v>proposal.lubricant.base</x:v>
      </x:c>
      <x:c r="B227" s="4" t="str">
        <x:f>IFERROR(INDEX(Items!$B$6:$B$1005,MATCH(A227,Items!$A$6:$A$1005,0)),"MISSING ID")</x:f>
        <x:v>Clarified faunal lubricant base</x:v>
      </x:c>
      <x:c r="C227" s="4" t="str">
        <x:f>IFERROR(INDEX(Items!$X$6:$X$1005,MATCH(A227,Items!$A$6:$A$1005,0)),"MISSING ID")</x:f>
        <x:v>Chemical material</x:v>
      </x:c>
      <x:c r="D227" s="4" t="str">
        <x:f>IFERROR(INDEX(Items!$C$6:$C$1005,MATCH(A227,Items!$A$6:$A$1005,0)),"MISSING ID")</x:f>
        <x:v>T1</x:v>
      </x:c>
      <x:c r="E227" s="4" t="str">
        <x:v>Manufactured stock / part</x:v>
      </x:c>
      <x:c r="F227" s="14" t="n">
        <x:f>IFERROR(INDEX(Items!$AJ$6:$AJ$1005,MATCH(A227,Items!$A$6:$A$1005,0)),"MISSING ID")</x:f>
        <x:v>1</x:v>
      </x:c>
      <x:c r="G227" s="4" t="str">
        <x:v>Traced to cataloged T0 and/or recovered feeds</x:v>
      </x:c>
      <x:c r="H227" s="4" t="str">
        <x:v>Contained segregated vessels, Ceramic grinding mortar, Ceramic pestle and Glass transfer funnel. Process/carrier compatibility unresolved.</x:v>
      </x:c>
      <x:c r="I227" s="4" t="str">
        <x:v>Candidate path traced</x:v>
      </x:c>
      <x:c r="J227" s="4" t="str">
        <x:v>Reagent identity, contained carrier, reaction/selectivity, compatibility and process yield require qualification.</x:v>
      </x:c>
    </x:row>
    <x:row r="228" ht="115" customHeight="1">
      <x:c r="A228" s="4" t="str">
        <x:v>proposal.lubricant.thickener</x:v>
      </x:c>
      <x:c r="B228" s="4" t="str">
        <x:f>IFERROR(INDEX(Items!$B$6:$B$1005,MATCH(A228,Items!$A$6:$A$1005,0)),"MISSING ID")</x:f>
        <x:v>Prepared secretion thickener</x:v>
      </x:c>
      <x:c r="C228" s="4" t="str">
        <x:f>IFERROR(INDEX(Items!$X$6:$X$1005,MATCH(A228,Items!$A$6:$A$1005,0)),"MISSING ID")</x:f>
        <x:v>Chemical material</x:v>
      </x:c>
      <x:c r="D228" s="4" t="str">
        <x:f>IFERROR(INDEX(Items!$C$6:$C$1005,MATCH(A228,Items!$A$6:$A$1005,0)),"MISSING ID")</x:f>
        <x:v>T1</x:v>
      </x:c>
      <x:c r="E228" s="4" t="str">
        <x:v>Manufactured stock / part</x:v>
      </x:c>
      <x:c r="F228" s="14" t="n">
        <x:f>IFERROR(INDEX(Items!$AJ$6:$AJ$1005,MATCH(A228,Items!$A$6:$A$1005,0)),"MISSING ID")</x:f>
        <x:v>1</x:v>
      </x:c>
      <x:c r="G228" s="4" t="str">
        <x:v>Traced to cataloged T0 and/or recovered feeds</x:v>
      </x:c>
      <x:c r="H228" s="4" t="str">
        <x:v>Contained segregated vessels, Ceramic grinding mortar, Ceramic pestle and Glass transfer funnel. Process/carrier compatibility unresolved.</x:v>
      </x:c>
      <x:c r="I228" s="4" t="str">
        <x:v>Candidate path traced</x:v>
      </x:c>
      <x:c r="J228" s="4" t="str">
        <x:v>Reagent identity, contained carrier, reaction/selectivity, compatibility and process yield require qualification.</x:v>
      </x:c>
    </x:row>
    <x:row r="229" ht="115" customHeight="1">
      <x:c r="A229" s="4" t="str">
        <x:v>proposal.lubricant.joint_grease</x:v>
      </x:c>
      <x:c r="B229" s="4" t="str">
        <x:f>IFERROR(INDEX(Items!$B$6:$B$1005,MATCH(A229,Items!$A$6:$A$1005,0)),"MISSING ID")</x:f>
        <x:v>Faunal joint grease</x:v>
      </x:c>
      <x:c r="C229" s="4" t="str">
        <x:f>IFERROR(INDEX(Items!$X$6:$X$1005,MATCH(A229,Items!$A$6:$A$1005,0)),"MISSING ID")</x:f>
        <x:v>Chemical material</x:v>
      </x:c>
      <x:c r="D229" s="4" t="str">
        <x:f>IFERROR(INDEX(Items!$C$6:$C$1005,MATCH(A229,Items!$A$6:$A$1005,0)),"MISSING ID")</x:f>
        <x:v>T2</x:v>
      </x:c>
      <x:c r="E229" s="4" t="str">
        <x:v>Manufactured stock / part</x:v>
      </x:c>
      <x:c r="F229" s="14" t="n">
        <x:f>IFERROR(INDEX(Items!$AJ$6:$AJ$1005,MATCH(A229,Items!$A$6:$A$1005,0)),"MISSING ID")</x:f>
        <x:v>1</x:v>
      </x:c>
      <x:c r="G229" s="4" t="str">
        <x:v>Traced to cataloged T0 and/or recovered feeds</x:v>
      </x:c>
      <x:c r="H229" s="4" t="str">
        <x:v>Contained segregated vessels, Ceramic grinding mortar, Ceramic pestle and Glass transfer funnel. Process/carrier compatibility unresolved.</x:v>
      </x:c>
      <x:c r="I229" s="4" t="str">
        <x:v>Candidate path traced</x:v>
      </x:c>
      <x:c r="J229" s="4" t="str">
        <x:v>Reagent identity, contained carrier, reaction/selectivity, compatibility and process yield require qualification.</x:v>
      </x:c>
    </x:row>
    <x:row r="230" ht="115" customHeight="1">
      <x:c r="A230" s="4" t="str">
        <x:v>proposal.lubricant.dust_film</x:v>
      </x:c>
      <x:c r="B230" s="4" t="str">
        <x:f>IFERROR(INDEX(Items!$B$6:$B$1005,MATCH(A230,Items!$A$6:$A$1005,0)),"MISSING ID")</x:f>
        <x:v>Dust-shedding lubricant film</x:v>
      </x:c>
      <x:c r="C230" s="4" t="str">
        <x:f>IFERROR(INDEX(Items!$X$6:$X$1005,MATCH(A230,Items!$A$6:$A$1005,0)),"MISSING ID")</x:f>
        <x:v>Chemical material</x:v>
      </x:c>
      <x:c r="D230" s="4" t="str">
        <x:f>IFERROR(INDEX(Items!$C$6:$C$1005,MATCH(A230,Items!$A$6:$A$1005,0)),"MISSING ID")</x:f>
        <x:v>T2</x:v>
      </x:c>
      <x:c r="E230" s="4" t="str">
        <x:v>Manufactured stock / part</x:v>
      </x:c>
      <x:c r="F230" s="14" t="n">
        <x:f>IFERROR(INDEX(Items!$AJ$6:$AJ$1005,MATCH(A230,Items!$A$6:$A$1005,0)),"MISSING ID")</x:f>
        <x:v>1</x:v>
      </x:c>
      <x:c r="G230" s="4" t="str">
        <x:v>Traced to cataloged T0 and/or recovered feeds</x:v>
      </x:c>
      <x:c r="H230" s="4" t="str">
        <x:v>Contained segregated vessels, Ceramic grinding mortar, Ceramic pestle and Glass transfer funnel. Process/carrier compatibility unresolved.</x:v>
      </x:c>
      <x:c r="I230" s="4" t="str">
        <x:v>Candidate path traced</x:v>
      </x:c>
      <x:c r="J230" s="4" t="str">
        <x:v>Reagent identity, contained carrier, reaction/selectivity, compatibility and process yield require qualification.</x:v>
      </x:c>
    </x:row>
    <x:row r="231" ht="115" customHeight="1">
      <x:c r="A231" s="4" t="str">
        <x:v>proposal.lubricant.seal_paste</x:v>
      </x:c>
      <x:c r="B231" s="4" t="str">
        <x:f>IFERROR(INDEX(Items!$B$6:$B$1005,MATCH(A231,Items!$A$6:$A$1005,0)),"MISSING ID")</x:f>
        <x:v>Seal-conditioning paste</x:v>
      </x:c>
      <x:c r="C231" s="4" t="str">
        <x:f>IFERROR(INDEX(Items!$X$6:$X$1005,MATCH(A231,Items!$A$6:$A$1005,0)),"MISSING ID")</x:f>
        <x:v>Chemical material</x:v>
      </x:c>
      <x:c r="D231" s="4" t="str">
        <x:f>IFERROR(INDEX(Items!$C$6:$C$1005,MATCH(A231,Items!$A$6:$A$1005,0)),"MISSING ID")</x:f>
        <x:v>T2</x:v>
      </x:c>
      <x:c r="E231" s="4" t="str">
        <x:v>Manufactured stock / part</x:v>
      </x:c>
      <x:c r="F231" s="14" t="n">
        <x:f>IFERROR(INDEX(Items!$AJ$6:$AJ$1005,MATCH(A231,Items!$A$6:$A$1005,0)),"MISSING ID")</x:f>
        <x:v>1</x:v>
      </x:c>
      <x:c r="G231" s="4" t="str">
        <x:v>Traced to cataloged T0 and/or recovered feeds</x:v>
      </x:c>
      <x:c r="H231" s="4" t="str">
        <x:v>Contained segregated vessels, Ceramic grinding mortar, Ceramic pestle and Glass transfer funnel. Process/carrier compatibility unresolved.</x:v>
      </x:c>
      <x:c r="I231" s="4" t="str">
        <x:v>Candidate path traced</x:v>
      </x:c>
      <x:c r="J231" s="4" t="str">
        <x:v>Reagent identity, contained carrier, reaction/selectivity, compatibility and process yield require qualification.</x:v>
      </x:c>
    </x:row>
    <x:row r="232" ht="115" customHeight="1">
      <x:c r="A232" s="4" t="str">
        <x:v>proposal.lubricant.graphite_grease</x:v>
      </x:c>
      <x:c r="B232" s="4" t="str">
        <x:f>IFERROR(INDEX(Items!$B$6:$B$1005,MATCH(A232,Items!$A$6:$A$1005,0)),"MISSING ID")</x:f>
        <x:v>Graphite faunal grease</x:v>
      </x:c>
      <x:c r="C232" s="4" t="str">
        <x:f>IFERROR(INDEX(Items!$X$6:$X$1005,MATCH(A232,Items!$A$6:$A$1005,0)),"MISSING ID")</x:f>
        <x:v>Chemical material</x:v>
      </x:c>
      <x:c r="D232" s="4" t="str">
        <x:f>IFERROR(INDEX(Items!$C$6:$C$1005,MATCH(A232,Items!$A$6:$A$1005,0)),"MISSING ID")</x:f>
        <x:v>T2</x:v>
      </x:c>
      <x:c r="E232" s="4" t="str">
        <x:v>Manufactured stock / part</x:v>
      </x:c>
      <x:c r="F232" s="14" t="n">
        <x:f>IFERROR(INDEX(Items!$AJ$6:$AJ$1005,MATCH(A232,Items!$A$6:$A$1005,0)),"MISSING ID")</x:f>
        <x:v>1</x:v>
      </x:c>
      <x:c r="G232" s="4" t="str">
        <x:v>Traced to cataloged T0 and/or recovered feeds</x:v>
      </x:c>
      <x:c r="H232" s="4" t="str">
        <x:v>Contained segregated vessels, Ceramic grinding mortar, Ceramic pestle and Glass transfer funnel. Process/carrier compatibility unresolved.</x:v>
      </x:c>
      <x:c r="I232" s="4" t="str">
        <x:v>Candidate path traced</x:v>
      </x:c>
      <x:c r="J232" s="4" t="str">
        <x:v>Reagent identity, contained carrier, reaction/selectivity, compatibility and process yield require qualification.</x:v>
      </x:c>
    </x:row>
    <x:row r="233" ht="115" customHeight="1">
      <x:c r="A233" s="4" t="str">
        <x:v>proposal.lubricant.insulating_grease</x:v>
      </x:c>
      <x:c r="B233" s="4" t="str">
        <x:f>IFERROR(INDEX(Items!$B$6:$B$1005,MATCH(A233,Items!$A$6:$A$1005,0)),"MISSING ID")</x:f>
        <x:v>Electrically insulating grease</x:v>
      </x:c>
      <x:c r="C233" s="4" t="str">
        <x:f>IFERROR(INDEX(Items!$X$6:$X$1005,MATCH(A233,Items!$A$6:$A$1005,0)),"MISSING ID")</x:f>
        <x:v>Chemical material</x:v>
      </x:c>
      <x:c r="D233" s="4" t="str">
        <x:f>IFERROR(INDEX(Items!$C$6:$C$1005,MATCH(A233,Items!$A$6:$A$1005,0)),"MISSING ID")</x:f>
        <x:v>T2</x:v>
      </x:c>
      <x:c r="E233" s="4" t="str">
        <x:v>Manufactured stock / part</x:v>
      </x:c>
      <x:c r="F233" s="14" t="n">
        <x:f>IFERROR(INDEX(Items!$AJ$6:$AJ$1005,MATCH(A233,Items!$A$6:$A$1005,0)),"MISSING ID")</x:f>
        <x:v>1</x:v>
      </x:c>
      <x:c r="G233" s="4" t="str">
        <x:v>Traced to cataloged T0 and/or recovered feeds</x:v>
      </x:c>
      <x:c r="H233" s="4" t="str">
        <x:v>Contained segregated vessels, Ceramic grinding mortar, Ceramic pestle and Glass transfer funnel. Process/carrier compatibility unresolved.</x:v>
      </x:c>
      <x:c r="I233" s="4" t="str">
        <x:v>Candidate path traced</x:v>
      </x:c>
      <x:c r="J233" s="4" t="str">
        <x:v>Reagent identity, contained carrier, reaction/selectivity, compatibility and process yield require qualification.</x:v>
      </x:c>
    </x:row>
    <x:row r="234" ht="115" customHeight="1">
      <x:c r="A234" s="4" t="str">
        <x:v>proposal.lubricant.precision_oil</x:v>
      </x:c>
      <x:c r="B234" s="4" t="str">
        <x:f>IFERROR(INDEX(Items!$B$6:$B$1005,MATCH(A234,Items!$A$6:$A$1005,0)),"MISSING ID")</x:f>
        <x:v>Fine mechanism oil</x:v>
      </x:c>
      <x:c r="C234" s="4" t="str">
        <x:f>IFERROR(INDEX(Items!$X$6:$X$1005,MATCH(A234,Items!$A$6:$A$1005,0)),"MISSING ID")</x:f>
        <x:v>Chemical material</x:v>
      </x:c>
      <x:c r="D234" s="4" t="str">
        <x:f>IFERROR(INDEX(Items!$C$6:$C$1005,MATCH(A234,Items!$A$6:$A$1005,0)),"MISSING ID")</x:f>
        <x:v>T2</x:v>
      </x:c>
      <x:c r="E234" s="4" t="str">
        <x:v>Manufactured stock / part</x:v>
      </x:c>
      <x:c r="F234" s="14" t="n">
        <x:f>IFERROR(INDEX(Items!$AJ$6:$AJ$1005,MATCH(A234,Items!$A$6:$A$1005,0)),"MISSING ID")</x:f>
        <x:v>1</x:v>
      </x:c>
      <x:c r="G234" s="4" t="str">
        <x:v>Traced to cataloged T0 and/or recovered feeds</x:v>
      </x:c>
      <x:c r="H234" s="4" t="str">
        <x:v>Contained segregated vessels, Ceramic grinding mortar, Ceramic pestle and Glass transfer funnel. Process/carrier compatibility unresolved.</x:v>
      </x:c>
      <x:c r="I234" s="4" t="str">
        <x:v>Candidate path traced</x:v>
      </x:c>
      <x:c r="J234" s="4" t="str">
        <x:v>Reagent identity, contained carrier, reaction/selectivity, compatibility and process yield require qualification.</x:v>
      </x:c>
    </x:row>
    <x:row r="235" ht="115" customHeight="1">
      <x:c r="A235" s="4" t="str">
        <x:v>proposal.wind.turbine</x:v>
      </x:c>
      <x:c r="B235" s="4" t="str">
        <x:f>IFERROR(INDEX(Items!$B$6:$B$1005,MATCH(A235,Items!$A$6:$A$1005,0)),"MISSING ID")</x:f>
        <x:v>Salvaged wind turbine</x:v>
      </x:c>
      <x:c r="C235" s="4" t="str">
        <x:f>IFERROR(INDEX(Items!$X$6:$X$1005,MATCH(A235,Items!$A$6:$A$1005,0)),"MISSING ID")</x:f>
        <x:v>Machine</x:v>
      </x:c>
      <x:c r="D235" s="4" t="str">
        <x:f>IFERROR(INDEX(Items!$C$6:$C$1005,MATCH(A235,Items!$A$6:$A$1005,0)),"MISSING ID")</x:f>
        <x:v>Not applicable</x:v>
      </x:c>
      <x:c r="E235" s="4" t="str">
        <x:v>Recovery / reassembly</x:v>
      </x:c>
      <x:c r="F235" s="14" t="n">
        <x:f>IFERROR(INDEX(Items!$AJ$6:$AJ$1005,MATCH(A235,Items!$A$6:$A$1005,0)),"MISSING ID")</x:f>
        <x:v>1</x:v>
      </x:c>
      <x:c r="G235" s="4" t="str">
        <x:v>Source, recovery or issue route applies</x:v>
      </x:c>
      <x:c r="H235" s="4" t="str">
        <x:v>Forge hearth, Anvil, Forging hammer, Smithing tongs, Metalworking file and Hand-cranked metal drill as applicable. Existing workshop bootstrap and controlled heating/cooling required; no free-water quench assumed.</x:v>
      </x:c>
      <x:c r="I235" s="4" t="str">
        <x:v>Recovery only</x:v>
      </x:c>
      <x:c r="J235" s="4" t="str">
        <x:v>Recover and assess a compatible item. No manufacturing route or guaranteed working function.</x:v>
      </x:c>
    </x:row>
    <x:row r="236" ht="115" customHeight="1">
      <x:c r="A236" s="4" t="str">
        <x:v>proposal.wind.sail_panel</x:v>
      </x:c>
      <x:c r="B236" s="4" t="str">
        <x:f>IFERROR(INDEX(Items!$B$6:$B$1005,MATCH(A236,Items!$A$6:$A$1005,0)),"MISSING ID")</x:f>
        <x:v>Prepared insect-wing sail panel</x:v>
      </x:c>
      <x:c r="C236" s="4" t="str">
        <x:f>IFERROR(INDEX(Items!$X$6:$X$1005,MATCH(A236,Items!$A$6:$A$1005,0)),"MISSING ID")</x:f>
        <x:v>Crafting component</x:v>
      </x:c>
      <x:c r="D236" s="4" t="str">
        <x:f>IFERROR(INDEX(Items!$C$6:$C$1005,MATCH(A236,Items!$A$6:$A$1005,0)),"MISSING ID")</x:f>
        <x:v>T1</x:v>
      </x:c>
      <x:c r="E236" s="4" t="str">
        <x:v>Manufactured stock / part</x:v>
      </x:c>
      <x:c r="F236" s="14" t="n">
        <x:f>IFERROR(INDEX(Items!$AJ$6:$AJ$1005,MATCH(A236,Items!$A$6:$A$1005,0)),"MISSING ID")</x:f>
        <x:v>1</x:v>
      </x:c>
      <x:c r="G236" s="4" t="str">
        <x:v>Traced to cataloged T0 and/or recovered feeds</x:v>
      </x:c>
      <x:c r="H236" s="4" t="str">
        <x:v>Husk-sheet cutting shears, pressure fixtures and dedicated preparation surfaces. Very low hide/fur yield; no ordinary cloth or plant inputs.</x:v>
      </x:c>
      <x:c r="I236" s="4" t="str">
        <x:v>Candidate path traced</x:v>
      </x:c>
      <x:c r="J236" s="4" t="str">
        <x:v>Dimensions, grade, process qualification, quantity and yield remain open.</x:v>
      </x:c>
    </x:row>
    <x:row r="237" ht="115" customHeight="1">
      <x:c r="A237" s="4" t="str">
        <x:v>proposal.wind.hand_sail</x:v>
      </x:c>
      <x:c r="B237" s="4" t="str">
        <x:f>IFERROR(INDEX(Items!$B$6:$B$1005,MATCH(A237,Items!$A$6:$A$1005,0)),"MISSING ID")</x:f>
        <x:v>Collapsible handheld wind sail</x:v>
      </x:c>
      <x:c r="C237" s="4" t="str">
        <x:f>IFERROR(INDEX(Items!$X$6:$X$1005,MATCH(A237,Items!$A$6:$A$1005,0)),"MISSING ID")</x:f>
        <x:v>Traversal device</x:v>
      </x:c>
      <x:c r="D237" s="4" t="str">
        <x:f>IFERROR(INDEX(Items!$C$6:$C$1005,MATCH(A237,Items!$A$6:$A$1005,0)),"MISSING ID")</x:f>
        <x:v>Not applicable</x:v>
      </x:c>
      <x:c r="E237" s="4" t="str">
        <x:v>Finished endpoint</x:v>
      </x:c>
      <x:c r="F237" s="14" t="n">
        <x:f>IFERROR(INDEX(Items!$AJ$6:$AJ$1005,MATCH(A237,Items!$A$6:$A$1005,0)),"MISSING ID")</x:f>
        <x:v>1</x:v>
      </x:c>
      <x:c r="G237" s="4" t="str">
        <x:v>Traced to cataloged T0 and/or recovered feeds</x:v>
      </x:c>
      <x:c r="H237" s="4" t="str">
        <x:v>Husk-sheet cutting shears, pressure fixtures and dedicated preparation surfaces. Very low hide/fur yield; no ordinary cloth or plant inputs.</x:v>
      </x:c>
      <x:c r="I237" s="4" t="str">
        <x:v>Candidate path traced</x:v>
      </x:c>
      <x:c r="J237" s="4" t="str">
        <x:v>Dimensions, grade, process qualification, quantity and yield remain open.</x:v>
      </x:c>
    </x:row>
    <x:row r="238" ht="115" customHeight="1">
      <x:c r="A238" s="4" t="str">
        <x:v>proposal.wind.dirtboard</x:v>
      </x:c>
      <x:c r="B238" s="4" t="str">
        <x:f>IFERROR(INDEX(Items!$B$6:$B$1005,MATCH(A238,Items!$A$6:$A$1005,0)),"MISSING ID")</x:f>
        <x:v>Four-wheel all-terrain dirtboard</x:v>
      </x:c>
      <x:c r="C238" s="4" t="str">
        <x:f>IFERROR(INDEX(Items!$X$6:$X$1005,MATCH(A238,Items!$A$6:$A$1005,0)),"MISSING ID")</x:f>
        <x:v>Traversal device</x:v>
      </x:c>
      <x:c r="D238" s="4" t="str">
        <x:f>IFERROR(INDEX(Items!$C$6:$C$1005,MATCH(A238,Items!$A$6:$A$1005,0)),"MISSING ID")</x:f>
        <x:v>Not applicable</x:v>
      </x:c>
      <x:c r="E238" s="4" t="str">
        <x:v>Finished endpoint</x:v>
      </x:c>
      <x:c r="F238" s="14" t="n">
        <x:f>IFERROR(INDEX(Items!$AJ$6:$AJ$1005,MATCH(A238,Items!$A$6:$A$1005,0)),"MISSING ID")</x:f>
        <x:v>1</x:v>
      </x:c>
      <x:c r="G238" s="4" t="str">
        <x:v>Traced to cataloged T0 and/or recovered feeds</x:v>
      </x:c>
      <x:c r="H238" s="4" t="str">
        <x:v>Forge hearth, Anvil, Forging hammer, Smithing tongs, Metalworking file and Hand-cranked metal drill as applicable. Existing workshop bootstrap and controlled heating/cooling required; no free-water quench assumed.</x:v>
      </x:c>
      <x:c r="I238" s="4" t="str">
        <x:v>Candidate path traced</x:v>
      </x:c>
      <x:c r="J238" s="4" t="str">
        <x:v>Dimensions, grade, process qualification, quantity and yield remain open.</x:v>
      </x:c>
    </x:row>
    <x:row r="239" ht="115" customHeight="1">
      <x:c r="A239" s="4" t="str">
        <x:v>proposal.wind.folding_frame</x:v>
      </x:c>
      <x:c r="B239" s="4" t="str">
        <x:f>IFERROR(INDEX(Items!$B$6:$B$1005,MATCH(A239,Items!$A$6:$A$1005,0)),"MISSING ID")</x:f>
        <x:v>Collapsible sail frame</x:v>
      </x:c>
      <x:c r="C239" s="4" t="str">
        <x:f>IFERROR(INDEX(Items!$X$6:$X$1005,MATCH(A239,Items!$A$6:$A$1005,0)),"MISSING ID")</x:f>
        <x:v>Crafting component</x:v>
      </x:c>
      <x:c r="D239" s="4" t="str">
        <x:f>IFERROR(INDEX(Items!$C$6:$C$1005,MATCH(A239,Items!$A$6:$A$1005,0)),"MISSING ID")</x:f>
        <x:v>T4</x:v>
      </x:c>
      <x:c r="E239" s="4" t="str">
        <x:v>Manufactured stock / part</x:v>
      </x:c>
      <x:c r="F239" s="14" t="n">
        <x:f>IFERROR(INDEX(Items!$AJ$6:$AJ$1005,MATCH(A239,Items!$A$6:$A$1005,0)),"MISSING ID")</x:f>
        <x:v>1</x:v>
      </x:c>
      <x:c r="G239" s="4" t="str">
        <x:v>Traced to cataloged T0 and/or recovered feeds</x:v>
      </x:c>
      <x:c r="H239" s="4" t="str">
        <x:v>Forge hearth, Anvil, Forging hammer, Smithing tongs, Metalworking file and Hand-cranked metal drill as applicable. Existing workshop bootstrap and controlled heating/cooling required; no free-water quench assumed.</x:v>
      </x:c>
      <x:c r="I239" s="4" t="str">
        <x:v>Candidate path traced</x:v>
      </x:c>
      <x:c r="J239" s="4" t="str">
        <x:v>Dimensions, grade, process qualification, quantity and yield remain open.</x:v>
      </x:c>
    </x:row>
    <x:row r="240" ht="115" customHeight="1">
      <x:c r="A240" s="4" t="str">
        <x:v>proposal.wind.sail_grip</x:v>
      </x:c>
      <x:c r="B240" s="4" t="str">
        <x:f>IFERROR(INDEX(Items!$B$6:$B$1005,MATCH(A240,Items!$A$6:$A$1005,0)),"MISSING ID")</x:f>
        <x:v>Hand-sail grip assembly</x:v>
      </x:c>
      <x:c r="C240" s="4" t="str">
        <x:f>IFERROR(INDEX(Items!$X$6:$X$1005,MATCH(A240,Items!$A$6:$A$1005,0)),"MISSING ID")</x:f>
        <x:v>Crafting component</x:v>
      </x:c>
      <x:c r="D240" s="4" t="str">
        <x:f>IFERROR(INDEX(Items!$C$6:$C$1005,MATCH(A240,Items!$A$6:$A$1005,0)),"MISSING ID")</x:f>
        <x:v>T3</x:v>
      </x:c>
      <x:c r="E240" s="4" t="str">
        <x:v>Manufactured stock / part</x:v>
      </x:c>
      <x:c r="F240" s="14" t="n">
        <x:f>IFERROR(INDEX(Items!$AJ$6:$AJ$1005,MATCH(A240,Items!$A$6:$A$1005,0)),"MISSING ID")</x:f>
        <x:v>1</x:v>
      </x:c>
      <x:c r="G240" s="4" t="str">
        <x:v>Traced to cataloged T0 and/or recovered feeds</x:v>
      </x:c>
      <x:c r="H240" s="4" t="str">
        <x:v>Forge hearth, Anvil, Forging hammer, Smithing tongs, Metalworking file and Hand-cranked metal drill as applicable. Existing workshop bootstrap and controlled heating/cooling required; no free-water quench assumed.</x:v>
      </x:c>
      <x:c r="I240" s="4" t="str">
        <x:v>Candidate path traced</x:v>
      </x:c>
      <x:c r="J240" s="4" t="str">
        <x:v>Dimensions, grade, process qualification, quantity and yield remain open.</x:v>
      </x:c>
    </x:row>
    <x:row r="241" ht="115" customHeight="1">
      <x:c r="A241" s="4" t="str">
        <x:v>proposal.wind.wheel</x:v>
      </x:c>
      <x:c r="B241" s="4" t="str">
        <x:f>IFERROR(INDEX(Items!$B$6:$B$1005,MATCH(A241,Items!$A$6:$A$1005,0)),"MISSING ID")</x:f>
        <x:v>Dirtboard wheel assembly</x:v>
      </x:c>
      <x:c r="C241" s="4" t="str">
        <x:f>IFERROR(INDEX(Items!$X$6:$X$1005,MATCH(A241,Items!$A$6:$A$1005,0)),"MISSING ID")</x:f>
        <x:v>Crafting component</x:v>
      </x:c>
      <x:c r="D241" s="4" t="str">
        <x:f>IFERROR(INDEX(Items!$C$6:$C$1005,MATCH(A241,Items!$A$6:$A$1005,0)),"MISSING ID")</x:f>
        <x:v>T4</x:v>
      </x:c>
      <x:c r="E241" s="4" t="str">
        <x:v>Manufactured stock / part</x:v>
      </x:c>
      <x:c r="F241" s="14" t="n">
        <x:f>IFERROR(INDEX(Items!$AJ$6:$AJ$1005,MATCH(A241,Items!$A$6:$A$1005,0)),"MISSING ID")</x:f>
        <x:v>1</x:v>
      </x:c>
      <x:c r="G241" s="4" t="str">
        <x:v>Traced to cataloged T0 and/or recovered feeds</x:v>
      </x:c>
      <x:c r="H241" s="4" t="str">
        <x:v>Forge hearth, Anvil, Forging hammer, Smithing tongs, Metalworking file and Hand-cranked metal drill as applicable. Existing workshop bootstrap and controlled heating/cooling required; no free-water quench assumed.</x:v>
      </x:c>
      <x:c r="I241" s="4" t="str">
        <x:v>Candidate path traced</x:v>
      </x:c>
      <x:c r="J241" s="4" t="str">
        <x:v>Dimensions, grade, process qualification, quantity and yield remain open.</x:v>
      </x:c>
    </x:row>
    <x:row r="242" ht="115" customHeight="1">
      <x:c r="A242" s="4" t="str">
        <x:v>proposal.wind.truck</x:v>
      </x:c>
      <x:c r="B242" s="4" t="str">
        <x:f>IFERROR(INDEX(Items!$B$6:$B$1005,MATCH(A242,Items!$A$6:$A$1005,0)),"MISSING ID")</x:f>
        <x:v>Dirtboard axle / steering assembly</x:v>
      </x:c>
      <x:c r="C242" s="4" t="str">
        <x:f>IFERROR(INDEX(Items!$X$6:$X$1005,MATCH(A242,Items!$A$6:$A$1005,0)),"MISSING ID")</x:f>
        <x:v>Crafting component</x:v>
      </x:c>
      <x:c r="D242" s="4" t="str">
        <x:f>IFERROR(INDEX(Items!$C$6:$C$1005,MATCH(A242,Items!$A$6:$A$1005,0)),"MISSING ID")</x:f>
        <x:v>T4</x:v>
      </x:c>
      <x:c r="E242" s="4" t="str">
        <x:v>Manufactured stock / part</x:v>
      </x:c>
      <x:c r="F242" s="14" t="n">
        <x:f>IFERROR(INDEX(Items!$AJ$6:$AJ$1005,MATCH(A242,Items!$A$6:$A$1005,0)),"MISSING ID")</x:f>
        <x:v>1</x:v>
      </x:c>
      <x:c r="G242" s="4" t="str">
        <x:v>Traced to cataloged T0 and/or recovered feeds</x:v>
      </x:c>
      <x:c r="H242" s="4" t="str">
        <x:v>Forge hearth, Anvil, Forging hammer, Smithing tongs, Metalworking file and Hand-cranked metal drill as applicable. Existing workshop bootstrap and controlled heating/cooling required; no free-water quench assumed.</x:v>
      </x:c>
      <x:c r="I242" s="4" t="str">
        <x:v>Candidate path traced</x:v>
      </x:c>
      <x:c r="J242" s="4" t="str">
        <x:v>Dimensions, grade, process qualification, quantity and yield remain open.</x:v>
      </x:c>
    </x:row>
    <x:row r="243" ht="115" customHeight="1">
      <x:c r="A243" s="4" t="str">
        <x:v>proposal.wind.rotor</x:v>
      </x:c>
      <x:c r="B243" s="4" t="str">
        <x:f>IFERROR(INDEX(Items!$B$6:$B$1005,MATCH(A243,Items!$A$6:$A$1005,0)),"MISSING ID")</x:f>
        <x:v>Salvaged turbine rotor assembly</x:v>
      </x:c>
      <x:c r="C243" s="4" t="str">
        <x:f>IFERROR(INDEX(Items!$X$6:$X$1005,MATCH(A243,Items!$A$6:$A$1005,0)),"MISSING ID")</x:f>
        <x:v>Crafting component</x:v>
      </x:c>
      <x:c r="D243" s="4" t="str">
        <x:f>IFERROR(INDEX(Items!$C$6:$C$1005,MATCH(A243,Items!$A$6:$A$1005,0)),"MISSING ID")</x:f>
        <x:v>Not applicable</x:v>
      </x:c>
      <x:c r="E243" s="4" t="str">
        <x:v>Recovery</x:v>
      </x:c>
      <x:c r="F243" s="14" t="n">
        <x:f>IFERROR(INDEX(Items!$AJ$6:$AJ$1005,MATCH(A243,Items!$A$6:$A$1005,0)),"MISSING ID")</x:f>
        <x:v>0</x:v>
      </x:c>
      <x:c r="G243" s="4" t="str">
        <x:v>Source, recovery or issue route applies</x:v>
      </x:c>
      <x:c r="H243" s="4" t="str">
        <x:v>Not a selected manufacturing route</x:v>
      </x:c>
      <x:c r="I243" s="4" t="str">
        <x:v>Recovery only</x:v>
      </x:c>
      <x:c r="J243" s="4" t="str">
        <x:v>Recover and assess a compatible item. No manufacturing route or guaranteed working function.</x:v>
      </x:c>
    </x:row>
    <x:row r="244" ht="115" customHeight="1">
      <x:c r="A244" s="4" t="str">
        <x:v>proposal.wind.generator</x:v>
      </x:c>
      <x:c r="B244" s="4" t="str">
        <x:f>IFERROR(INDEX(Items!$B$6:$B$1005,MATCH(A244,Items!$A$6:$A$1005,0)),"MISSING ID")</x:f>
        <x:v>Salvaged generator assembly</x:v>
      </x:c>
      <x:c r="C244" s="4" t="str">
        <x:f>IFERROR(INDEX(Items!$X$6:$X$1005,MATCH(A244,Items!$A$6:$A$1005,0)),"MISSING ID")</x:f>
        <x:v>Crafting component</x:v>
      </x:c>
      <x:c r="D244" s="4" t="str">
        <x:f>IFERROR(INDEX(Items!$C$6:$C$1005,MATCH(A244,Items!$A$6:$A$1005,0)),"MISSING ID")</x:f>
        <x:v>Not applicable</x:v>
      </x:c>
      <x:c r="E244" s="4" t="str">
        <x:v>Recovery</x:v>
      </x:c>
      <x:c r="F244" s="14" t="n">
        <x:f>IFERROR(INDEX(Items!$AJ$6:$AJ$1005,MATCH(A244,Items!$A$6:$A$1005,0)),"MISSING ID")</x:f>
        <x:v>0</x:v>
      </x:c>
      <x:c r="G244" s="4" t="str">
        <x:v>Source, recovery or issue route applies</x:v>
      </x:c>
      <x:c r="H244" s="4" t="str">
        <x:v>Not a selected manufacturing route</x:v>
      </x:c>
      <x:c r="I244" s="4" t="str">
        <x:v>Recovery only</x:v>
      </x:c>
      <x:c r="J244" s="4" t="str">
        <x:v>Recover and assess a compatible item. No manufacturing route or guaranteed working function.</x:v>
      </x:c>
    </x:row>
    <x:row r="245" ht="115" customHeight="1">
      <x:c r="A245" s="4" t="str">
        <x:v>proposal.legger.sling</x:v>
      </x:c>
      <x:c r="B245" s="4" t="str">
        <x:f>IFERROR(INDEX(Items!$B$6:$B$1005,MATCH(A245,Items!$A$6:$A$1005,0)),"MISSING ID")</x:f>
        <x:v>Legger cargo sling</x:v>
      </x:c>
      <x:c r="C245" s="4" t="str">
        <x:f>IFERROR(INDEX(Items!$X$6:$X$1005,MATCH(A245,Items!$A$6:$A$1005,0)),"MISSING ID")</x:f>
        <x:v>Carrier</x:v>
      </x:c>
      <x:c r="D245" s="4" t="str">
        <x:f>IFERROR(INDEX(Items!$C$6:$C$1005,MATCH(A245,Items!$A$6:$A$1005,0)),"MISSING ID")</x:f>
        <x:v>Not applicable</x:v>
      </x:c>
      <x:c r="E245" s="4" t="str">
        <x:v>Finished endpoint</x:v>
      </x:c>
      <x:c r="F245" s="14" t="n">
        <x:f>IFERROR(INDEX(Items!$AJ$6:$AJ$1005,MATCH(A245,Items!$A$6:$A$1005,0)),"MISSING ID")</x:f>
        <x:v>1</x:v>
      </x:c>
      <x:c r="G245" s="4" t="str">
        <x:v>Traced to cataloged T0 and/or recovered feeds</x:v>
      </x:c>
      <x:c r="H245" s="4" t="str">
        <x:v>Forge hearth, Anvil, Forging hammer, Smithing tongs, Metalworking file and Hand-cranked metal drill as applicable. Existing workshop bootstrap and controlled heating/cooling required; no free-water quench assumed.</x:v>
      </x:c>
      <x:c r="I245" s="4" t="str">
        <x:v>Candidate path traced</x:v>
      </x:c>
      <x:c r="J245" s="4" t="str">
        <x:v>Dimensions, grade, process qualification, quantity and yield remain open.</x:v>
      </x:c>
    </x:row>
    <x:row r="246" ht="115" customHeight="1">
      <x:c r="A246" s="4" t="str">
        <x:v>proposal.legger.cradle</x:v>
      </x:c>
      <x:c r="B246" s="4" t="str">
        <x:f>IFERROR(INDEX(Items!$B$6:$B$1005,MATCH(A246,Items!$A$6:$A$1005,0)),"MISSING ID")</x:f>
        <x:v>Legger rigid cargo cradle</x:v>
      </x:c>
      <x:c r="C246" s="4" t="str">
        <x:f>IFERROR(INDEX(Items!$X$6:$X$1005,MATCH(A246,Items!$A$6:$A$1005,0)),"MISSING ID")</x:f>
        <x:v>Carrier</x:v>
      </x:c>
      <x:c r="D246" s="4" t="str">
        <x:f>IFERROR(INDEX(Items!$C$6:$C$1005,MATCH(A246,Items!$A$6:$A$1005,0)),"MISSING ID")</x:f>
        <x:v>Not applicable</x:v>
      </x:c>
      <x:c r="E246" s="4" t="str">
        <x:v>Finished endpoint</x:v>
      </x:c>
      <x:c r="F246" s="14" t="n">
        <x:f>IFERROR(INDEX(Items!$AJ$6:$AJ$1005,MATCH(A246,Items!$A$6:$A$1005,0)),"MISSING ID")</x:f>
        <x:v>1</x:v>
      </x:c>
      <x:c r="G246" s="4" t="str">
        <x:v>Traced to cataloged T0 and/or recovered feeds</x:v>
      </x:c>
      <x:c r="H246" s="4" t="str">
        <x:v>Forge hearth, Anvil, Forging hammer, Smithing tongs, Metalworking file and Hand-cranked metal drill as applicable. Existing workshop bootstrap and controlled heating/cooling required; no free-water quench assumed.</x:v>
      </x:c>
      <x:c r="I246" s="4" t="str">
        <x:v>Candidate path traced</x:v>
      </x:c>
      <x:c r="J246" s="4" t="str">
        <x:v>Dimensions, grade, process qualification, quantity and yield remain open.</x:v>
      </x:c>
    </x:row>
    <x:row r="247" ht="115" customHeight="1">
      <x:c r="A247" s="4" t="str">
        <x:v>proposal.legger.anchors</x:v>
      </x:c>
      <x:c r="B247" s="4" t="str">
        <x:f>IFERROR(INDEX(Items!$B$6:$B$1005,MATCH(A247,Items!$A$6:$A$1005,0)),"MISSING ID")</x:f>
        <x:v>Legger lashing-anchor set</x:v>
      </x:c>
      <x:c r="C247" s="4" t="str">
        <x:f>IFERROR(INDEX(Items!$X$6:$X$1005,MATCH(A247,Items!$A$6:$A$1005,0)),"MISSING ID")</x:f>
        <x:v>Crafting component</x:v>
      </x:c>
      <x:c r="D247" s="4" t="str">
        <x:f>IFERROR(INDEX(Items!$C$6:$C$1005,MATCH(A247,Items!$A$6:$A$1005,0)),"MISSING ID")</x:f>
        <x:v>T3</x:v>
      </x:c>
      <x:c r="E247" s="4" t="str">
        <x:v>Manufactured stock / part</x:v>
      </x:c>
      <x:c r="F247" s="14" t="n">
        <x:f>IFERROR(INDEX(Items!$AJ$6:$AJ$1005,MATCH(A247,Items!$A$6:$A$1005,0)),"MISSING ID")</x:f>
        <x:v>1</x:v>
      </x:c>
      <x:c r="G247" s="4" t="str">
        <x:v>Traced to cataloged T0 and/or recovered feeds</x:v>
      </x:c>
      <x:c r="H247" s="4" t="str">
        <x:v>Forge hearth, Anvil, Forging hammer, Smithing tongs, Metalworking file and Hand-cranked metal drill as applicable. Existing workshop bootstrap and controlled heating/cooling required; no free-water quench assumed.</x:v>
      </x:c>
      <x:c r="I247" s="4" t="str">
        <x:v>Candidate path traced</x:v>
      </x:c>
      <x:c r="J247" s="4" t="str">
        <x:v>Dimensions, grade, process qualification, quantity and yield remain open.</x:v>
      </x:c>
    </x:row>
    <x:row r="248" ht="115" customHeight="1">
      <x:c r="A248" s="4" t="str">
        <x:v>proposal.legger.balance_link</x:v>
      </x:c>
      <x:c r="B248" s="4" t="str">
        <x:f>IFERROR(INDEX(Items!$B$6:$B$1005,MATCH(A248,Items!$A$6:$A$1005,0)),"MISSING ID")</x:f>
        <x:v>Legger load-balance linkage</x:v>
      </x:c>
      <x:c r="C248" s="4" t="str">
        <x:f>IFERROR(INDEX(Items!$X$6:$X$1005,MATCH(A248,Items!$A$6:$A$1005,0)),"MISSING ID")</x:f>
        <x:v>Crafting component</x:v>
      </x:c>
      <x:c r="D248" s="4" t="str">
        <x:f>IFERROR(INDEX(Items!$C$6:$C$1005,MATCH(A248,Items!$A$6:$A$1005,0)),"MISSING ID")</x:f>
        <x:v>T3</x:v>
      </x:c>
      <x:c r="E248" s="4" t="str">
        <x:v>Manufactured stock / part</x:v>
      </x:c>
      <x:c r="F248" s="14" t="n">
        <x:f>IFERROR(INDEX(Items!$AJ$6:$AJ$1005,MATCH(A248,Items!$A$6:$A$1005,0)),"MISSING ID")</x:f>
        <x:v>1</x:v>
      </x:c>
      <x:c r="G248" s="4" t="str">
        <x:v>Traced to cataloged T0 and/or recovered feeds</x:v>
      </x:c>
      <x:c r="H248" s="4" t="str">
        <x:v>Forge hearth, Anvil, Forging hammer, Smithing tongs, Metalworking file and Hand-cranked metal drill as applicable. Existing workshop bootstrap and controlled heating/cooling required; no free-water quench assumed.</x:v>
      </x:c>
      <x:c r="I248" s="4" t="str">
        <x:v>Candidate path traced</x:v>
      </x:c>
      <x:c r="J248" s="4" t="str">
        <x:v>Dimensions, grade, process qualification, quantity and yield remain open.</x:v>
      </x:c>
    </x:row>
    <x:row r="249" ht="115" customHeight="1">
      <x:c r="A249" s="4" t="str">
        <x:v>proposal.legger.iron_rib</x:v>
      </x:c>
      <x:c r="B249" s="4" t="str">
        <x:f>IFERROR(INDEX(Items!$B$6:$B$1005,MATCH(A249,Items!$A$6:$A$1005,0)),"MISSING ID")</x:f>
        <x:v>Iron chassis replacement rib</x:v>
      </x:c>
      <x:c r="C249" s="4" t="str">
        <x:f>IFERROR(INDEX(Items!$X$6:$X$1005,MATCH(A249,Items!$A$6:$A$1005,0)),"MISSING ID")</x:f>
        <x:v>Crafting component</x:v>
      </x:c>
      <x:c r="D249" s="4" t="str">
        <x:f>IFERROR(INDEX(Items!$C$6:$C$1005,MATCH(A249,Items!$A$6:$A$1005,0)),"MISSING ID")</x:f>
        <x:v>T3</x:v>
      </x:c>
      <x:c r="E249" s="4" t="str">
        <x:v>Manufactured stock / part</x:v>
      </x:c>
      <x:c r="F249" s="14" t="n">
        <x:f>IFERROR(INDEX(Items!$AJ$6:$AJ$1005,MATCH(A249,Items!$A$6:$A$1005,0)),"MISSING ID")</x:f>
        <x:v>1</x:v>
      </x:c>
      <x:c r="G249" s="4" t="str">
        <x:v>Traced to cataloged T0 and/or recovered feeds</x:v>
      </x:c>
      <x:c r="H249" s="4" t="str">
        <x:v>Forge hearth, Anvil, Forging hammer, Smithing tongs, Metalworking file and Hand-cranked metal drill as applicable. Existing workshop bootstrap and controlled heating/cooling required; no free-water quench assumed.</x:v>
      </x:c>
      <x:c r="I249" s="4" t="str">
        <x:v>Candidate path traced</x:v>
      </x:c>
      <x:c r="J249" s="4" t="str">
        <x:v>Dimensions, grade, process qualification, quantity and yield remain open.</x:v>
      </x:c>
    </x:row>
    <x:row r="250" ht="115" customHeight="1">
      <x:c r="A250" s="4" t="str">
        <x:v>proposal.legger.crossbrace</x:v>
      </x:c>
      <x:c r="B250" s="4" t="str">
        <x:f>IFERROR(INDEX(Items!$B$6:$B$1005,MATCH(A250,Items!$A$6:$A$1005,0)),"MISSING ID")</x:f>
        <x:v>Chassis crossbrace</x:v>
      </x:c>
      <x:c r="C250" s="4" t="str">
        <x:f>IFERROR(INDEX(Items!$X$6:$X$1005,MATCH(A250,Items!$A$6:$A$1005,0)),"MISSING ID")</x:f>
        <x:v>Crafting component</x:v>
      </x:c>
      <x:c r="D250" s="4" t="str">
        <x:f>IFERROR(INDEX(Items!$C$6:$C$1005,MATCH(A250,Items!$A$6:$A$1005,0)),"MISSING ID")</x:f>
        <x:v>T3</x:v>
      </x:c>
      <x:c r="E250" s="4" t="str">
        <x:v>Manufactured stock / part</x:v>
      </x:c>
      <x:c r="F250" s="14" t="n">
        <x:f>IFERROR(INDEX(Items!$AJ$6:$AJ$1005,MATCH(A250,Items!$A$6:$A$1005,0)),"MISSING ID")</x:f>
        <x:v>1</x:v>
      </x:c>
      <x:c r="G250" s="4" t="str">
        <x:v>Traced to cataloged T0 and/or recovered feeds</x:v>
      </x:c>
      <x:c r="H250" s="4" t="str">
        <x:v>Forge hearth, Anvil, Forging hammer, Smithing tongs, Metalworking file and Hand-cranked metal drill as applicable. Existing workshop bootstrap and controlled heating/cooling required; no free-water quench assumed.</x:v>
      </x:c>
      <x:c r="I250" s="4" t="str">
        <x:v>Candidate path traced</x:v>
      </x:c>
      <x:c r="J250" s="4" t="str">
        <x:v>Dimensions, grade, process qualification, quantity and yield remain open.</x:v>
      </x:c>
    </x:row>
    <x:row r="251" ht="115" customHeight="1">
      <x:c r="A251" s="4" t="str">
        <x:v>proposal.legger.belly_pan</x:v>
      </x:c>
      <x:c r="B251" s="4" t="str">
        <x:f>IFERROR(INDEX(Items!$B$6:$B$1005,MATCH(A251,Items!$A$6:$A$1005,0)),"MISSING ID")</x:f>
        <x:v>Legger chassis belly pan</x:v>
      </x:c>
      <x:c r="C251" s="4" t="str">
        <x:f>IFERROR(INDEX(Items!$X$6:$X$1005,MATCH(A251,Items!$A$6:$A$1005,0)),"MISSING ID")</x:f>
        <x:v>Armor</x:v>
      </x:c>
      <x:c r="D251" s="4" t="str">
        <x:f>IFERROR(INDEX(Items!$C$6:$C$1005,MATCH(A251,Items!$A$6:$A$1005,0)),"MISSING ID")</x:f>
        <x:v>Not applicable</x:v>
      </x:c>
      <x:c r="E251" s="4" t="str">
        <x:v>Finished endpoint</x:v>
      </x:c>
      <x:c r="F251" s="14" t="n">
        <x:f>IFERROR(INDEX(Items!$AJ$6:$AJ$1005,MATCH(A251,Items!$A$6:$A$1005,0)),"MISSING ID")</x:f>
        <x:v>1</x:v>
      </x:c>
      <x:c r="G251" s="4" t="str">
        <x:v>Traced to cataloged T0 and/or recovered feeds</x:v>
      </x:c>
      <x:c r="H251" s="4" t="str">
        <x:v>Forge hearth, Anvil, Forging hammer, Smithing tongs, Metalworking file and Hand-cranked metal drill as applicable. Existing workshop bootstrap and controlled heating/cooling required; no free-water quench assumed.</x:v>
      </x:c>
      <x:c r="I251" s="4" t="str">
        <x:v>Candidate path traced</x:v>
      </x:c>
      <x:c r="J251" s="4" t="str">
        <x:v>Fit, joints, insulation/protection and biological material yield require qualification.</x:v>
      </x:c>
    </x:row>
    <x:row r="252" ht="115" customHeight="1">
      <x:c r="A252" s="4" t="str">
        <x:v>proposal.legger.mount_rail</x:v>
      </x:c>
      <x:c r="B252" s="4" t="str">
        <x:f>IFERROR(INDEX(Items!$B$6:$B$1005,MATCH(A252,Items!$A$6:$A$1005,0)),"MISSING ID")</x:f>
        <x:v>Legger attachment rail</x:v>
      </x:c>
      <x:c r="C252" s="4" t="str">
        <x:f>IFERROR(INDEX(Items!$X$6:$X$1005,MATCH(A252,Items!$A$6:$A$1005,0)),"MISSING ID")</x:f>
        <x:v>Crafting component</x:v>
      </x:c>
      <x:c r="D252" s="4" t="str">
        <x:f>IFERROR(INDEX(Items!$C$6:$C$1005,MATCH(A252,Items!$A$6:$A$1005,0)),"MISSING ID")</x:f>
        <x:v>T3</x:v>
      </x:c>
      <x:c r="E252" s="4" t="str">
        <x:v>Manufactured stock / part</x:v>
      </x:c>
      <x:c r="F252" s="14" t="n">
        <x:f>IFERROR(INDEX(Items!$AJ$6:$AJ$1005,MATCH(A252,Items!$A$6:$A$1005,0)),"MISSING ID")</x:f>
        <x:v>1</x:v>
      </x:c>
      <x:c r="G252" s="4" t="str">
        <x:v>Traced to cataloged T0 and/or recovered feeds</x:v>
      </x:c>
      <x:c r="H252" s="4" t="str">
        <x:v>Forge hearth, Anvil, Forging hammer, Smithing tongs, Metalworking file and Hand-cranked metal drill as applicable. Existing workshop bootstrap and controlled heating/cooling required; no free-water quench assumed.</x:v>
      </x:c>
      <x:c r="I252" s="4" t="str">
        <x:v>Candidate path traced</x:v>
      </x:c>
      <x:c r="J252" s="4" t="str">
        <x:v>Dimensions, grade, process qualification, quantity and yield remain open.</x:v>
      </x:c>
    </x:row>
    <x:row r="253" ht="115" customHeight="1">
      <x:c r="A253" s="4" t="str">
        <x:v>proposal.legger.joint_bush</x:v>
      </x:c>
      <x:c r="B253" s="4" t="str">
        <x:f>IFERROR(INDEX(Items!$B$6:$B$1005,MATCH(A253,Items!$A$6:$A$1005,0)),"MISSING ID")</x:f>
        <x:v>Iron joint bushing</x:v>
      </x:c>
      <x:c r="C253" s="4" t="str">
        <x:f>IFERROR(INDEX(Items!$X$6:$X$1005,MATCH(A253,Items!$A$6:$A$1005,0)),"MISSING ID")</x:f>
        <x:v>Crafting component</x:v>
      </x:c>
      <x:c r="D253" s="4" t="str">
        <x:f>IFERROR(INDEX(Items!$C$6:$C$1005,MATCH(A253,Items!$A$6:$A$1005,0)),"MISSING ID")</x:f>
        <x:v>T3</x:v>
      </x:c>
      <x:c r="E253" s="4" t="str">
        <x:v>Manufactured stock / part</x:v>
      </x:c>
      <x:c r="F253" s="14" t="n">
        <x:f>IFERROR(INDEX(Items!$AJ$6:$AJ$1005,MATCH(A253,Items!$A$6:$A$1005,0)),"MISSING ID")</x:f>
        <x:v>1</x:v>
      </x:c>
      <x:c r="G253" s="4" t="str">
        <x:v>Traced to cataloged T0 and/or recovered feeds</x:v>
      </x:c>
      <x:c r="H253" s="4" t="str">
        <x:v>Forge hearth, Anvil, Forging hammer, Smithing tongs, Metalworking file and Hand-cranked metal drill as applicable. Existing workshop bootstrap and controlled heating/cooling required; no free-water quench assumed.</x:v>
      </x:c>
      <x:c r="I253" s="4" t="str">
        <x:v>Candidate path traced</x:v>
      </x:c>
      <x:c r="J253" s="4" t="str">
        <x:v>Dimensions, grade, process qualification, quantity and yield remain open.</x:v>
      </x:c>
    </x:row>
    <x:row r="254" ht="115" customHeight="1">
      <x:c r="A254" s="4" t="str">
        <x:v>proposal.legger.bearing</x:v>
      </x:c>
      <x:c r="B254" s="4" t="str">
        <x:f>IFERROR(INDEX(Items!$B$6:$B$1005,MATCH(A254,Items!$A$6:$A$1005,0)),"MISSING ID")</x:f>
        <x:v>Replacement bearing assembly</x:v>
      </x:c>
      <x:c r="C254" s="4" t="str">
        <x:f>IFERROR(INDEX(Items!$X$6:$X$1005,MATCH(A254,Items!$A$6:$A$1005,0)),"MISSING ID")</x:f>
        <x:v>Crafting component</x:v>
      </x:c>
      <x:c r="D254" s="4" t="str">
        <x:f>IFERROR(INDEX(Items!$C$6:$C$1005,MATCH(A254,Items!$A$6:$A$1005,0)),"MISSING ID")</x:f>
        <x:v>T4</x:v>
      </x:c>
      <x:c r="E254" s="4" t="str">
        <x:v>Manufactured stock / part</x:v>
      </x:c>
      <x:c r="F254" s="14" t="n">
        <x:f>IFERROR(INDEX(Items!$AJ$6:$AJ$1005,MATCH(A254,Items!$A$6:$A$1005,0)),"MISSING ID")</x:f>
        <x:v>1</x:v>
      </x:c>
      <x:c r="G254" s="4" t="str">
        <x:v>Traced to cataloged T0 and/or recovered feeds</x:v>
      </x:c>
      <x:c r="H254" s="4" t="str">
        <x:v>Forge hearth, Anvil, Forging hammer, Smithing tongs, Metalworking file and Hand-cranked metal drill as applicable. Existing workshop bootstrap and controlled heating/cooling required; no free-water quench assumed.</x:v>
      </x:c>
      <x:c r="I254" s="4" t="str">
        <x:v>Candidate path traced</x:v>
      </x:c>
      <x:c r="J254" s="4" t="str">
        <x:v>Dimensions, grade, process qualification, quantity and yield remain open.</x:v>
      </x:c>
    </x:row>
    <x:row r="255" ht="115" customHeight="1">
      <x:c r="A255" s="4" t="str">
        <x:v>proposal.legger.foot_plate</x:v>
      </x:c>
      <x:c r="B255" s="4" t="str">
        <x:f>IFERROR(INDEX(Items!$B$6:$B$1005,MATCH(A255,Items!$A$6:$A$1005,0)),"MISSING ID")</x:f>
        <x:v>Replaceable foot contact plate</x:v>
      </x:c>
      <x:c r="C255" s="4" t="str">
        <x:f>IFERROR(INDEX(Items!$X$6:$X$1005,MATCH(A255,Items!$A$6:$A$1005,0)),"MISSING ID")</x:f>
        <x:v>Crafting component</x:v>
      </x:c>
      <x:c r="D255" s="4" t="str">
        <x:f>IFERROR(INDEX(Items!$C$6:$C$1005,MATCH(A255,Items!$A$6:$A$1005,0)),"MISSING ID")</x:f>
        <x:v>T3</x:v>
      </x:c>
      <x:c r="E255" s="4" t="str">
        <x:v>Manufactured stock / part</x:v>
      </x:c>
      <x:c r="F255" s="14" t="n">
        <x:f>IFERROR(INDEX(Items!$AJ$6:$AJ$1005,MATCH(A255,Items!$A$6:$A$1005,0)),"MISSING ID")</x:f>
        <x:v>1</x:v>
      </x:c>
      <x:c r="G255" s="4" t="str">
        <x:v>Traced to cataloged T0 and/or recovered feeds</x:v>
      </x:c>
      <x:c r="H255" s="4" t="str">
        <x:v>Forge hearth, Anvil, Forging hammer, Smithing tongs, Metalworking file and Hand-cranked metal drill as applicable. Existing workshop bootstrap and controlled heating/cooling required; no free-water quench assumed.</x:v>
      </x:c>
      <x:c r="I255" s="4" t="str">
        <x:v>Candidate path traced</x:v>
      </x:c>
      <x:c r="J255" s="4" t="str">
        <x:v>Dimensions, grade, process qualification, quantity and yield remain open.</x:v>
      </x:c>
    </x:row>
    <x:row r="256" ht="115" customHeight="1">
      <x:c r="A256" s="4" t="str">
        <x:v>proposal.legger.actuator_rod</x:v>
      </x:c>
      <x:c r="B256" s="4" t="str">
        <x:f>IFERROR(INDEX(Items!$B$6:$B$1005,MATCH(A256,Items!$A$6:$A$1005,0)),"MISSING ID")</x:f>
        <x:v>Replacement actuator link</x:v>
      </x:c>
      <x:c r="C256" s="4" t="str">
        <x:f>IFERROR(INDEX(Items!$X$6:$X$1005,MATCH(A256,Items!$A$6:$A$1005,0)),"MISSING ID")</x:f>
        <x:v>Crafting component</x:v>
      </x:c>
      <x:c r="D256" s="4" t="str">
        <x:f>IFERROR(INDEX(Items!$C$6:$C$1005,MATCH(A256,Items!$A$6:$A$1005,0)),"MISSING ID")</x:f>
        <x:v>T3</x:v>
      </x:c>
      <x:c r="E256" s="4" t="str">
        <x:v>Manufactured stock / part</x:v>
      </x:c>
      <x:c r="F256" s="14" t="n">
        <x:f>IFERROR(INDEX(Items!$AJ$6:$AJ$1005,MATCH(A256,Items!$A$6:$A$1005,0)),"MISSING ID")</x:f>
        <x:v>1</x:v>
      </x:c>
      <x:c r="G256" s="4" t="str">
        <x:v>Traced to cataloged T0 and/or recovered feeds</x:v>
      </x:c>
      <x:c r="H256" s="4" t="str">
        <x:v>Forge hearth, Anvil, Forging hammer, Smithing tongs, Metalworking file and Hand-cranked metal drill as applicable. Existing workshop bootstrap and controlled heating/cooling required; no free-water quench assumed.</x:v>
      </x:c>
      <x:c r="I256" s="4" t="str">
        <x:v>Candidate path traced</x:v>
      </x:c>
      <x:c r="J256" s="4" t="str">
        <x:v>Dimensions, grade, process qualification, quantity and yield remain open.</x:v>
      </x:c>
    </x:row>
    <x:row r="257" ht="115" customHeight="1">
      <x:c r="A257" s="4" t="str">
        <x:v>proposal.legger.joint_shroud</x:v>
      </x:c>
      <x:c r="B257" s="4" t="str">
        <x:f>IFERROR(INDEX(Items!$B$6:$B$1005,MATCH(A257,Items!$A$6:$A$1005,0)),"MISSING ID")</x:f>
        <x:v>Joint dust shroud</x:v>
      </x:c>
      <x:c r="C257" s="4" t="str">
        <x:f>IFERROR(INDEX(Items!$X$6:$X$1005,MATCH(A257,Items!$A$6:$A$1005,0)),"MISSING ID")</x:f>
        <x:v>Crafting component</x:v>
      </x:c>
      <x:c r="D257" s="4" t="str">
        <x:f>IFERROR(INDEX(Items!$C$6:$C$1005,MATCH(A257,Items!$A$6:$A$1005,0)),"MISSING ID")</x:f>
        <x:v>T3</x:v>
      </x:c>
      <x:c r="E257" s="4" t="str">
        <x:v>Manufactured stock / part</x:v>
      </x:c>
      <x:c r="F257" s="14" t="n">
        <x:f>IFERROR(INDEX(Items!$AJ$6:$AJ$1005,MATCH(A257,Items!$A$6:$A$1005,0)),"MISSING ID")</x:f>
        <x:v>1</x:v>
      </x:c>
      <x:c r="G257" s="4" t="str">
        <x:v>Traced to cataloged T0 and/or recovered feeds</x:v>
      </x:c>
      <x:c r="H257" s="4" t="str">
        <x:v>Forge hearth, Anvil, Forging hammer, Smithing tongs, Metalworking file and Hand-cranked metal drill as applicable. Existing workshop bootstrap and controlled heating/cooling required; no free-water quench assumed.</x:v>
      </x:c>
      <x:c r="I257" s="4" t="str">
        <x:v>Candidate path traced</x:v>
      </x:c>
      <x:c r="J257" s="4" t="str">
        <x:v>Dimensions, grade, process qualification, quantity and yield remain open.</x:v>
      </x:c>
    </x:row>
    <x:row r="258" ht="115" customHeight="1">
      <x:c r="A258" s="4" t="str">
        <x:v>proposal.legger.grease_cup</x:v>
      </x:c>
      <x:c r="B258" s="4" t="str">
        <x:f>IFERROR(INDEX(Items!$B$6:$B$1005,MATCH(A258,Items!$A$6:$A$1005,0)),"MISSING ID")</x:f>
        <x:v>Fitted joint lubricant cup</x:v>
      </x:c>
      <x:c r="C258" s="4" t="str">
        <x:f>IFERROR(INDEX(Items!$X$6:$X$1005,MATCH(A258,Items!$A$6:$A$1005,0)),"MISSING ID")</x:f>
        <x:v>Container part</x:v>
      </x:c>
      <x:c r="D258" s="4" t="str">
        <x:f>IFERROR(INDEX(Items!$C$6:$C$1005,MATCH(A258,Items!$A$6:$A$1005,0)),"MISSING ID")</x:f>
        <x:v>T3</x:v>
      </x:c>
      <x:c r="E258" s="4" t="str">
        <x:v>Manufactured stock / part</x:v>
      </x:c>
      <x:c r="F258" s="14" t="n">
        <x:f>IFERROR(INDEX(Items!$AJ$6:$AJ$1005,MATCH(A258,Items!$A$6:$A$1005,0)),"MISSING ID")</x:f>
        <x:v>1</x:v>
      </x:c>
      <x:c r="G258" s="4" t="str">
        <x:v>Traced to cataloged T0 and/or recovered feeds</x:v>
      </x:c>
      <x:c r="H258" s="4" t="str">
        <x:v>Forge hearth, Anvil, Forging hammer, Smithing tongs, Metalworking file and Hand-cranked metal drill as applicable. Existing workshop bootstrap and controlled heating/cooling required; no free-water quench assumed.</x:v>
      </x:c>
      <x:c r="I258" s="4" t="str">
        <x:v>Candidate path traced</x:v>
      </x:c>
      <x:c r="J258" s="4" t="str">
        <x:v>Dimensions, grade, process qualification, quantity and yield remain open.</x:v>
      </x:c>
    </x:row>
    <x:row r="259" ht="115" customHeight="1">
      <x:c r="A259" s="4" t="str">
        <x:v>proposal.legger.seal_cartridge</x:v>
      </x:c>
      <x:c r="B259" s="4" t="str">
        <x:f>IFERROR(INDEX(Items!$B$6:$B$1005,MATCH(A259,Items!$A$6:$A$1005,0)),"MISSING ID")</x:f>
        <x:v>Replaceable joint-seal cartridge</x:v>
      </x:c>
      <x:c r="C259" s="4" t="str">
        <x:f>IFERROR(INDEX(Items!$X$6:$X$1005,MATCH(A259,Items!$A$6:$A$1005,0)),"MISSING ID")</x:f>
        <x:v>Crafting component</x:v>
      </x:c>
      <x:c r="D259" s="4" t="str">
        <x:f>IFERROR(INDEX(Items!$C$6:$C$1005,MATCH(A259,Items!$A$6:$A$1005,0)),"MISSING ID")</x:f>
        <x:v>T4</x:v>
      </x:c>
      <x:c r="E259" s="4" t="str">
        <x:v>Manufactured stock / part</x:v>
      </x:c>
      <x:c r="F259" s="14" t="n">
        <x:f>IFERROR(INDEX(Items!$AJ$6:$AJ$1005,MATCH(A259,Items!$A$6:$A$1005,0)),"MISSING ID")</x:f>
        <x:v>1</x:v>
      </x:c>
      <x:c r="G259" s="4" t="str">
        <x:v>Traced to cataloged T0 and/or recovered feeds</x:v>
      </x:c>
      <x:c r="H259" s="4" t="str">
        <x:v>Forge hearth, Anvil, Forging hammer, Smithing tongs, Metalworking file and Hand-cranked metal drill as applicable. Existing workshop bootstrap and controlled heating/cooling required; no free-water quench assumed.</x:v>
      </x:c>
      <x:c r="I259" s="4" t="str">
        <x:v>Candidate path traced</x:v>
      </x:c>
      <x:c r="J259" s="4" t="str">
        <x:v>Dimensions, grade, process qualification, quantity and yield remain open.</x:v>
      </x:c>
    </x:row>
    <x:row r="260" ht="115" customHeight="1">
      <x:c r="A260" s="4" t="str">
        <x:v>proposal.legger.fastener_pack</x:v>
      </x:c>
      <x:c r="B260" s="4" t="str">
        <x:f>IFERROR(INDEX(Items!$B$6:$B$1005,MATCH(A260,Items!$A$6:$A$1005,0)),"MISSING ID")</x:f>
        <x:v>Legger service fastener pack</x:v>
      </x:c>
      <x:c r="C260" s="4" t="str">
        <x:f>IFERROR(INDEX(Items!$X$6:$X$1005,MATCH(A260,Items!$A$6:$A$1005,0)),"MISSING ID")</x:f>
        <x:v>Service kit</x:v>
      </x:c>
      <x:c r="D260" s="4" t="str">
        <x:f>IFERROR(INDEX(Items!$C$6:$C$1005,MATCH(A260,Items!$A$6:$A$1005,0)),"MISSING ID")</x:f>
        <x:v>Not applicable</x:v>
      </x:c>
      <x:c r="E260" s="4" t="str">
        <x:v>Finished endpoint</x:v>
      </x:c>
      <x:c r="F260" s="14" t="n">
        <x:f>IFERROR(INDEX(Items!$AJ$6:$AJ$1005,MATCH(A260,Items!$A$6:$A$1005,0)),"MISSING ID")</x:f>
        <x:v>1</x:v>
      </x:c>
      <x:c r="G260" s="4" t="str">
        <x:v>Traced to cataloged T0 and/or recovered feeds</x:v>
      </x:c>
      <x:c r="H260" s="4" t="str">
        <x:v>Forge hearth, Anvil, Forging hammer, Smithing tongs, Metalworking file and Hand-cranked metal drill as applicable. Existing workshop bootstrap and controlled heating/cooling required; no free-water quench assumed.</x:v>
      </x:c>
      <x:c r="I260" s="4" t="str">
        <x:v>Candidate path traced</x:v>
      </x:c>
      <x:c r="J260" s="4" t="str">
        <x:v>Dimensions, grade, process qualification, quantity and yield remain open.</x:v>
      </x:c>
    </x:row>
    <x:row r="261" ht="115" customHeight="1">
      <x:c r="A261" s="4" t="str">
        <x:v>proposal.legger.shell_guard</x:v>
      </x:c>
      <x:c r="B261" s="4" t="str">
        <x:f>IFERROR(INDEX(Items!$B$6:$B$1005,MATCH(A261,Items!$A$6:$A$1005,0)),"MISSING ID")</x:f>
        <x:v>Chitin chassis guard</x:v>
      </x:c>
      <x:c r="C261" s="4" t="str">
        <x:f>IFERROR(INDEX(Items!$X$6:$X$1005,MATCH(A261,Items!$A$6:$A$1005,0)),"MISSING ID")</x:f>
        <x:v>Armor</x:v>
      </x:c>
      <x:c r="D261" s="4" t="str">
        <x:f>IFERROR(INDEX(Items!$C$6:$C$1005,MATCH(A261,Items!$A$6:$A$1005,0)),"MISSING ID")</x:f>
        <x:v>Not applicable</x:v>
      </x:c>
      <x:c r="E261" s="4" t="str">
        <x:v>Finished endpoint</x:v>
      </x:c>
      <x:c r="F261" s="14" t="n">
        <x:f>IFERROR(INDEX(Items!$AJ$6:$AJ$1005,MATCH(A261,Items!$A$6:$A$1005,0)),"MISSING ID")</x:f>
        <x:v>1</x:v>
      </x:c>
      <x:c r="G261" s="4" t="str">
        <x:v>Traced to cataloged T0 and/or recovered feeds</x:v>
      </x:c>
      <x:c r="H261" s="4" t="str">
        <x:v>Husk-sheet cutting shears, Hand-cranked metal drill and Ceramic abrasive disc as applicable; compatible contained biological preparation and low-yield material handling required.</x:v>
      </x:c>
      <x:c r="I261" s="4" t="str">
        <x:v>Candidate path traced</x:v>
      </x:c>
      <x:c r="J261" s="4" t="str">
        <x:v>Fit, joints, insulation/protection and biological material yield require qualification.</x:v>
      </x:c>
    </x:row>
    <x:row r="262" ht="115" customHeight="1">
      <x:c r="A262" s="4" t="str">
        <x:v>proposal.legger.iron_guard</x:v>
      </x:c>
      <x:c r="B262" s="4" t="str">
        <x:f>IFERROR(INDEX(Items!$B$6:$B$1005,MATCH(A262,Items!$A$6:$A$1005,0)),"MISSING ID")</x:f>
        <x:v>Iron chassis guard</x:v>
      </x:c>
      <x:c r="C262" s="4" t="str">
        <x:f>IFERROR(INDEX(Items!$X$6:$X$1005,MATCH(A262,Items!$A$6:$A$1005,0)),"MISSING ID")</x:f>
        <x:v>Armor</x:v>
      </x:c>
      <x:c r="D262" s="4" t="str">
        <x:f>IFERROR(INDEX(Items!$C$6:$C$1005,MATCH(A262,Items!$A$6:$A$1005,0)),"MISSING ID")</x:f>
        <x:v>Not applicable</x:v>
      </x:c>
      <x:c r="E262" s="4" t="str">
        <x:v>Finished endpoint</x:v>
      </x:c>
      <x:c r="F262" s="14" t="n">
        <x:f>IFERROR(INDEX(Items!$AJ$6:$AJ$1005,MATCH(A262,Items!$A$6:$A$1005,0)),"MISSING ID")</x:f>
        <x:v>1</x:v>
      </x:c>
      <x:c r="G262" s="4" t="str">
        <x:v>Traced to cataloged T0 and/or recovered feeds</x:v>
      </x:c>
      <x:c r="H262" s="4" t="str">
        <x:v>Forge hearth, Anvil, Forging hammer, Smithing tongs, Metalworking file and Hand-cranked metal drill as applicable. Existing workshop bootstrap and controlled heating/cooling required; no free-water quench assumed.</x:v>
      </x:c>
      <x:c r="I262" s="4" t="str">
        <x:v>Candidate path traced</x:v>
      </x:c>
      <x:c r="J262" s="4" t="str">
        <x:v>Fit, joints, insulation/protection and biological material yield require qualification.</x:v>
      </x:c>
    </x:row>
    <x:row r="263" ht="115" customHeight="1">
      <x:c r="A263" s="4"/>
      <x:c r="B263" s="4"/>
      <x:c r="C263" s="4"/>
      <x:c r="D263" s="4"/>
      <x:c r="E263" s="4"/>
      <x:c r="F263" s="14"/>
      <x:c r="G263" s="4"/>
      <x:c r="H263" s="4"/>
      <x:c r="I263" s="4"/>
      <x:c r="J263" s="4"/>
    </x:row>
    <x:row r="264" ht="115" customHeight="1">
      <x:c r="A264" s="4" t="str">
        <x:v>proposal.legger.ceramic_backing</x:v>
      </x:c>
      <x:c r="B264" s="4" t="str">
        <x:f>IFERROR(INDEX(Items!$B$6:$B$1005,MATCH(A264,Items!$A$6:$A$1005,0)),"MISSING ID")</x:f>
        <x:v>Ceramic armor backing insert</x:v>
      </x:c>
      <x:c r="C264" s="4" t="str">
        <x:f>IFERROR(INDEX(Items!$X$6:$X$1005,MATCH(A264,Items!$A$6:$A$1005,0)),"MISSING ID")</x:f>
        <x:v>Armor</x:v>
      </x:c>
      <x:c r="D264" s="4" t="str">
        <x:f>IFERROR(INDEX(Items!$C$6:$C$1005,MATCH(A264,Items!$A$6:$A$1005,0)),"MISSING ID")</x:f>
        <x:v>Not applicable</x:v>
      </x:c>
      <x:c r="E264" s="4" t="str">
        <x:v>Finished endpoint</x:v>
      </x:c>
      <x:c r="F264" s="14" t="n">
        <x:f>IFERROR(INDEX(Items!$AJ$6:$AJ$1005,MATCH(A264,Items!$A$6:$A$1005,0)),"MISSING ID")</x:f>
        <x:v>1</x:v>
      </x:c>
      <x:c r="G264" s="4" t="str">
        <x:v>Traced to cataloged T0 and/or recovered feeds</x:v>
      </x:c>
      <x:c r="H264" s="4" t="str">
        <x:v>Controlled-heating firing kiln or specialist glass hot-work station; Ceramic firing tray / Ceramic casting mold as applicable. Qualified power, heat and atmosphere required.</x:v>
      </x:c>
      <x:c r="I264" s="4" t="str">
        <x:v>Candidate path traced</x:v>
      </x:c>
      <x:c r="J264" s="4" t="str">
        <x:v>Fit, joints, insulation/protection and biological material yield require qualification.</x:v>
      </x:c>
    </x:row>
    <x:row r="265" ht="115" customHeight="1">
      <x:c r="A265" s="4" t="str">
        <x:v>proposal.legger.plasteel_rib</x:v>
      </x:c>
      <x:c r="B265" s="4" t="str">
        <x:f>IFERROR(INDEX(Items!$B$6:$B$1005,MATCH(A265,Items!$A$6:$A$1005,0)),"MISSING ID")</x:f>
        <x:v>Ancient plasteel replacement member</x:v>
      </x:c>
      <x:c r="C265" s="4" t="str">
        <x:f>IFERROR(INDEX(Items!$X$6:$X$1005,MATCH(A265,Items!$A$6:$A$1005,0)),"MISSING ID")</x:f>
        <x:v>Crafting component</x:v>
      </x:c>
      <x:c r="D265" s="4" t="str">
        <x:f>IFERROR(INDEX(Items!$C$6:$C$1005,MATCH(A265,Items!$A$6:$A$1005,0)),"MISSING ID")</x:f>
        <x:v>Not applicable</x:v>
      </x:c>
      <x:c r="E265" s="4" t="str">
        <x:v>Recovery</x:v>
      </x:c>
      <x:c r="F265" s="14" t="n">
        <x:f>IFERROR(INDEX(Items!$AJ$6:$AJ$1005,MATCH(A265,Items!$A$6:$A$1005,0)),"MISSING ID")</x:f>
        <x:v>0</x:v>
      </x:c>
      <x:c r="G265" s="4" t="str">
        <x:v>Source, recovery or issue route applies</x:v>
      </x:c>
      <x:c r="H265" s="4" t="str">
        <x:v>Not a selected manufacturing route</x:v>
      </x:c>
      <x:c r="I265" s="4" t="str">
        <x:v>Recovery only</x:v>
      </x:c>
      <x:c r="J265" s="4" t="str">
        <x:v>Recover and assess a compatible item. No manufacturing route or guaranteed working function.</x:v>
      </x:c>
    </x:row>
    <x:row r="266" ht="115" customHeight="1">
      <x:c r="A266" s="4" t="str">
        <x:v>proposal.legger.nanocarbon_panel</x:v>
      </x:c>
      <x:c r="B266" s="4" t="str">
        <x:f>IFERROR(INDEX(Items!$B$6:$B$1005,MATCH(A266,Items!$A$6:$A$1005,0)),"MISSING ID")</x:f>
        <x:v>Ancient nanocarbon armor panel</x:v>
      </x:c>
      <x:c r="C266" s="4" t="str">
        <x:f>IFERROR(INDEX(Items!$X$6:$X$1005,MATCH(A266,Items!$A$6:$A$1005,0)),"MISSING ID")</x:f>
        <x:v>Armor</x:v>
      </x:c>
      <x:c r="D266" s="4" t="str">
        <x:f>IFERROR(INDEX(Items!$C$6:$C$1005,MATCH(A266,Items!$A$6:$A$1005,0)),"MISSING ID")</x:f>
        <x:v>Not applicable</x:v>
      </x:c>
      <x:c r="E266" s="4" t="str">
        <x:v>Recovery</x:v>
      </x:c>
      <x:c r="F266" s="14" t="n">
        <x:f>IFERROR(INDEX(Items!$AJ$6:$AJ$1005,MATCH(A266,Items!$A$6:$A$1005,0)),"MISSING ID")</x:f>
        <x:v>0</x:v>
      </x:c>
      <x:c r="G266" s="4" t="str">
        <x:v>Source, recovery or issue route applies</x:v>
      </x:c>
      <x:c r="H266" s="4" t="str">
        <x:v>Not a selected manufacturing route</x:v>
      </x:c>
      <x:c r="I266" s="4" t="str">
        <x:v>Recovery only</x:v>
      </x:c>
      <x:c r="J266" s="4" t="str">
        <x:v>Recover and assess a compatible item. No manufacturing route or guaranteed working function.</x:v>
      </x:c>
    </x:row>
    <x:row r="267" ht="115" customHeight="1">
      <x:c r="A267" s="4" t="str">
        <x:v>proposal.legger.ancient_bearing</x:v>
      </x:c>
      <x:c r="B267" s="4" t="str">
        <x:f>IFERROR(INDEX(Items!$B$6:$B$1005,MATCH(A267,Items!$A$6:$A$1005,0)),"MISSING ID")</x:f>
        <x:v>Ancient bearing cassette</x:v>
      </x:c>
      <x:c r="C267" s="4" t="str">
        <x:f>IFERROR(INDEX(Items!$X$6:$X$1005,MATCH(A267,Items!$A$6:$A$1005,0)),"MISSING ID")</x:f>
        <x:v>Crafting component</x:v>
      </x:c>
      <x:c r="D267" s="4" t="str">
        <x:f>IFERROR(INDEX(Items!$C$6:$C$1005,MATCH(A267,Items!$A$6:$A$1005,0)),"MISSING ID")</x:f>
        <x:v>Not applicable</x:v>
      </x:c>
      <x:c r="E267" s="4" t="str">
        <x:v>Recovery</x:v>
      </x:c>
      <x:c r="F267" s="14" t="n">
        <x:f>IFERROR(INDEX(Items!$AJ$6:$AJ$1005,MATCH(A267,Items!$A$6:$A$1005,0)),"MISSING ID")</x:f>
        <x:v>0</x:v>
      </x:c>
      <x:c r="G267" s="4" t="str">
        <x:v>Source, recovery or issue route applies</x:v>
      </x:c>
      <x:c r="H267" s="4" t="str">
        <x:v>Not a selected manufacturing route</x:v>
      </x:c>
      <x:c r="I267" s="4" t="str">
        <x:v>Recovery only</x:v>
      </x:c>
      <x:c r="J267" s="4" t="str">
        <x:v>Recover and assess a compatible item. No manufacturing route or guaranteed working function.</x:v>
      </x:c>
    </x:row>
    <x:row r="268" ht="115" customHeight="1">
      <x:c r="A268" s="4" t="str">
        <x:v>proposal.legger.ballistic_guard</x:v>
      </x:c>
      <x:c r="B268" s="4" t="str">
        <x:f>IFERROR(INDEX(Items!$B$6:$B$1005,MATCH(A268,Items!$A$6:$A$1005,0)),"MISSING ID")</x:f>
        <x:v>Ancient ballistic-deflecting guard</x:v>
      </x:c>
      <x:c r="C268" s="4" t="str">
        <x:f>IFERROR(INDEX(Items!$X$6:$X$1005,MATCH(A268,Items!$A$6:$A$1005,0)),"MISSING ID")</x:f>
        <x:v>Armor</x:v>
      </x:c>
      <x:c r="D268" s="4" t="str">
        <x:f>IFERROR(INDEX(Items!$C$6:$C$1005,MATCH(A268,Items!$A$6:$A$1005,0)),"MISSING ID")</x:f>
        <x:v>Not applicable</x:v>
      </x:c>
      <x:c r="E268" s="4" t="str">
        <x:v>Recovery</x:v>
      </x:c>
      <x:c r="F268" s="14" t="n">
        <x:f>IFERROR(INDEX(Items!$AJ$6:$AJ$1005,MATCH(A268,Items!$A$6:$A$1005,0)),"MISSING ID")</x:f>
        <x:v>0</x:v>
      </x:c>
      <x:c r="G268" s="4" t="str">
        <x:v>Source, recovery or issue route applies</x:v>
      </x:c>
      <x:c r="H268" s="4" t="str">
        <x:v>Not a selected manufacturing route</x:v>
      </x:c>
      <x:c r="I268" s="4" t="str">
        <x:v>Recovery only</x:v>
      </x:c>
      <x:c r="J268" s="4" t="str">
        <x:v>Recover and assess a compatible item. No manufacturing route or guaranteed working function.</x:v>
      </x:c>
    </x:row>
    <x:row r="269" ht="115" customHeight="1">
      <x:c r="A269" s="4" t="str">
        <x:v>proposal.legger.pannier_frame</x:v>
      </x:c>
      <x:c r="B269" s="4" t="str">
        <x:f>IFERROR(INDEX(Items!$B$6:$B$1005,MATCH(A269,Items!$A$6:$A$1005,0)),"MISSING ID")</x:f>
        <x:v>Legger side-pannier frame</x:v>
      </x:c>
      <x:c r="C269" s="4" t="str">
        <x:f>IFERROR(INDEX(Items!$X$6:$X$1005,MATCH(A269,Items!$A$6:$A$1005,0)),"MISSING ID")</x:f>
        <x:v>Carrier</x:v>
      </x:c>
      <x:c r="D269" s="4" t="str">
        <x:f>IFERROR(INDEX(Items!$C$6:$C$1005,MATCH(A269,Items!$A$6:$A$1005,0)),"MISSING ID")</x:f>
        <x:v>Not applicable</x:v>
      </x:c>
      <x:c r="E269" s="4" t="str">
        <x:v>Finished endpoint</x:v>
      </x:c>
      <x:c r="F269" s="14" t="n">
        <x:f>IFERROR(INDEX(Items!$AJ$6:$AJ$1005,MATCH(A269,Items!$A$6:$A$1005,0)),"MISSING ID")</x:f>
        <x:v>1</x:v>
      </x:c>
      <x:c r="G269" s="4" t="str">
        <x:v>Traced to cataloged T0 and/or recovered feeds</x:v>
      </x:c>
      <x:c r="H269" s="4" t="str">
        <x:v>Forge hearth, Anvil, Forging hammer, Smithing tongs, Metalworking file and Hand-cranked metal drill as applicable. Existing workshop bootstrap and controlled heating/cooling required; no free-water quench assumed.</x:v>
      </x:c>
      <x:c r="I269" s="4" t="str">
        <x:v>Candidate path traced</x:v>
      </x:c>
      <x:c r="J269" s="4" t="str">
        <x:v>Dimensions, grade, process qualification, quantity and yield remain open.</x:v>
      </x:c>
    </x:row>
    <x:row r="270" ht="115" customHeight="1">
      <x:c r="A270" s="4" t="str">
        <x:v>proposal.legger.sample_rack</x:v>
      </x:c>
      <x:c r="B270" s="4" t="str">
        <x:f>IFERROR(INDEX(Items!$B$6:$B$1005,MATCH(A270,Items!$A$6:$A$1005,0)),"MISSING ID")</x:f>
        <x:v>Legger sample-vial rack</x:v>
      </x:c>
      <x:c r="C270" s="4" t="str">
        <x:f>IFERROR(INDEX(Items!$X$6:$X$1005,MATCH(A270,Items!$A$6:$A$1005,0)),"MISSING ID")</x:f>
        <x:v>Carrier</x:v>
      </x:c>
      <x:c r="D270" s="4" t="str">
        <x:f>IFERROR(INDEX(Items!$C$6:$C$1005,MATCH(A270,Items!$A$6:$A$1005,0)),"MISSING ID")</x:f>
        <x:v>Not applicable</x:v>
      </x:c>
      <x:c r="E270" s="4" t="str">
        <x:v>Finished endpoint</x:v>
      </x:c>
      <x:c r="F270" s="14" t="n">
        <x:f>IFERROR(INDEX(Items!$AJ$6:$AJ$1005,MATCH(A270,Items!$A$6:$A$1005,0)),"MISSING ID")</x:f>
        <x:v>1</x:v>
      </x:c>
      <x:c r="G270" s="4" t="str">
        <x:v>Traced to cataloged T0 and/or recovered feeds</x:v>
      </x:c>
      <x:c r="H270" s="4" t="str">
        <x:v>Forge hearth, Anvil, Forging hammer, Smithing tongs, Metalworking file and Hand-cranked metal drill as applicable. Existing workshop bootstrap and controlled heating/cooling required; no free-water quench assumed.</x:v>
      </x:c>
      <x:c r="I270" s="4" t="str">
        <x:v>Candidate path traced</x:v>
      </x:c>
      <x:c r="J270" s="4" t="str">
        <x:v>Dimensions, grade, process qualification, quantity and yield remain open.</x:v>
      </x:c>
    </x:row>
    <x:row r="271" ht="115" customHeight="1">
      <x:c r="A271" s="4" t="str">
        <x:v>proposal.legger.ore_bin</x:v>
      </x:c>
      <x:c r="B271" s="4" t="str">
        <x:f>IFERROR(INDEX(Items!$B$6:$B$1005,MATCH(A271,Items!$A$6:$A$1005,0)),"MISSING ID")</x:f>
        <x:v>Legger removable ore bin</x:v>
      </x:c>
      <x:c r="C271" s="4" t="str">
        <x:f>IFERROR(INDEX(Items!$X$6:$X$1005,MATCH(A271,Items!$A$6:$A$1005,0)),"MISSING ID")</x:f>
        <x:v>Container</x:v>
      </x:c>
      <x:c r="D271" s="4" t="str">
        <x:f>IFERROR(INDEX(Items!$C$6:$C$1005,MATCH(A271,Items!$A$6:$A$1005,0)),"MISSING ID")</x:f>
        <x:v>Not applicable</x:v>
      </x:c>
      <x:c r="E271" s="4" t="str">
        <x:v>Finished endpoint</x:v>
      </x:c>
      <x:c r="F271" s="14" t="n">
        <x:f>IFERROR(INDEX(Items!$AJ$6:$AJ$1005,MATCH(A271,Items!$A$6:$A$1005,0)),"MISSING ID")</x:f>
        <x:v>1</x:v>
      </x:c>
      <x:c r="G271" s="4" t="str">
        <x:v>Traced to cataloged T0 and/or recovered feeds</x:v>
      </x:c>
      <x:c r="H271" s="4" t="str">
        <x:v>Forge hearth, Anvil, Forging hammer, Smithing tongs, Metalworking file and Hand-cranked metal drill as applicable. Existing workshop bootstrap and controlled heating/cooling required; no free-water quench assumed.</x:v>
      </x:c>
      <x:c r="I271" s="4" t="str">
        <x:v>Candidate path traced</x:v>
      </x:c>
      <x:c r="J271" s="4" t="str">
        <x:v>Dimensions, grade, process qualification, quantity and yield remain open.</x:v>
      </x:c>
    </x:row>
    <x:row r="272" ht="115" customHeight="1">
      <x:c r="A272" s="4" t="str">
        <x:v>proposal.legger.long_load_clamp</x:v>
      </x:c>
      <x:c r="B272" s="4" t="str">
        <x:f>IFERROR(INDEX(Items!$B$6:$B$1005,MATCH(A272,Items!$A$6:$A$1005,0)),"MISSING ID")</x:f>
        <x:v>Legger long-load clamp</x:v>
      </x:c>
      <x:c r="C272" s="4" t="str">
        <x:f>IFERROR(INDEX(Items!$X$6:$X$1005,MATCH(A272,Items!$A$6:$A$1005,0)),"MISSING ID")</x:f>
        <x:v>Crafting component</x:v>
      </x:c>
      <x:c r="D272" s="4" t="str">
        <x:f>IFERROR(INDEX(Items!$C$6:$C$1005,MATCH(A272,Items!$A$6:$A$1005,0)),"MISSING ID")</x:f>
        <x:v>T3</x:v>
      </x:c>
      <x:c r="E272" s="4" t="str">
        <x:v>Manufactured stock / part</x:v>
      </x:c>
      <x:c r="F272" s="14" t="n">
        <x:f>IFERROR(INDEX(Items!$AJ$6:$AJ$1005,MATCH(A272,Items!$A$6:$A$1005,0)),"MISSING ID")</x:f>
        <x:v>1</x:v>
      </x:c>
      <x:c r="G272" s="4" t="str">
        <x:v>Traced to cataloged T0 and/or recovered feeds</x:v>
      </x:c>
      <x:c r="H272" s="4" t="str">
        <x:v>Forge hearth, Anvil, Forging hammer, Smithing tongs, Metalworking file and Hand-cranked metal drill as applicable. Existing workshop bootstrap and controlled heating/cooling required; no free-water quench assumed.</x:v>
      </x:c>
      <x:c r="I272" s="4" t="str">
        <x:v>Candidate path traced</x:v>
      </x:c>
      <x:c r="J272" s="4" t="str">
        <x:v>Dimensions, grade, process qualification, quantity and yield remain open.</x:v>
      </x:c>
    </x:row>
    <x:row r="273" ht="115" customHeight="1">
      <x:c r="A273" s="4"/>
      <x:c r="B273" s="4"/>
      <x:c r="C273" s="4"/>
      <x:c r="D273" s="4"/>
      <x:c r="E273" s="4"/>
      <x:c r="F273" s="14"/>
      <x:c r="G273" s="4"/>
      <x:c r="H273" s="4"/>
      <x:c r="I273" s="4"/>
      <x:c r="J273" s="4"/>
    </x:row>
    <x:row r="274" ht="115" customHeight="1">
      <x:c r="A274" s="4" t="str">
        <x:v>proposal.legger.board_bracket</x:v>
      </x:c>
      <x:c r="B274" s="4" t="str">
        <x:f>IFERROR(INDEX(Items!$B$6:$B$1005,MATCH(A274,Items!$A$6:$A$1005,0)),"MISSING ID")</x:f>
        <x:v>Legger dirtboard carrying bracket</x:v>
      </x:c>
      <x:c r="C274" s="4" t="str">
        <x:f>IFERROR(INDEX(Items!$X$6:$X$1005,MATCH(A274,Items!$A$6:$A$1005,0)),"MISSING ID")</x:f>
        <x:v>Carrier</x:v>
      </x:c>
      <x:c r="D274" s="4" t="str">
        <x:f>IFERROR(INDEX(Items!$C$6:$C$1005,MATCH(A274,Items!$A$6:$A$1005,0)),"MISSING ID")</x:f>
        <x:v>Not applicable</x:v>
      </x:c>
      <x:c r="E274" s="4" t="str">
        <x:v>Finished endpoint</x:v>
      </x:c>
      <x:c r="F274" s="14" t="n">
        <x:f>IFERROR(INDEX(Items!$AJ$6:$AJ$1005,MATCH(A274,Items!$A$6:$A$1005,0)),"MISSING ID")</x:f>
        <x:v>1</x:v>
      </x:c>
      <x:c r="G274" s="4" t="str">
        <x:v>Traced to cataloged T0 and/or recovered feeds</x:v>
      </x:c>
      <x:c r="H274" s="4" t="str">
        <x:v>Forge hearth, Anvil, Forging hammer, Smithing tongs, Metalworking file and Hand-cranked metal drill as applicable. Existing workshop bootstrap and controlled heating/cooling required; no free-water quench assumed.</x:v>
      </x:c>
      <x:c r="I274" s="4" t="str">
        <x:v>Candidate path traced</x:v>
      </x:c>
      <x:c r="J274" s="4" t="str">
        <x:v>Dimensions, grade, process qualification, quantity and yield remain open.</x:v>
      </x:c>
    </x:row>
    <x:row r="275" ht="115" customHeight="1">
      <x:c r="A275" s="4" t="str">
        <x:v>proposal.legger.hinge_plate</x:v>
      </x:c>
      <x:c r="B275" s="4" t="str">
        <x:f>IFERROR(INDEX(Items!$B$6:$B$1005,MATCH(A275,Items!$A$6:$A$1005,0)),"MISSING ID")</x:f>
        <x:v>Chassis hinge-mount plate</x:v>
      </x:c>
      <x:c r="C275" s="4" t="str">
        <x:f>IFERROR(INDEX(Items!$X$6:$X$1005,MATCH(A275,Items!$A$6:$A$1005,0)),"MISSING ID")</x:f>
        <x:v>Crafting component</x:v>
      </x:c>
      <x:c r="D275" s="4" t="str">
        <x:f>IFERROR(INDEX(Items!$C$6:$C$1005,MATCH(A275,Items!$A$6:$A$1005,0)),"MISSING ID")</x:f>
        <x:v>T3</x:v>
      </x:c>
      <x:c r="E275" s="4" t="str">
        <x:v>Manufactured stock / part</x:v>
      </x:c>
      <x:c r="F275" s="14" t="n">
        <x:f>IFERROR(INDEX(Items!$AJ$6:$AJ$1005,MATCH(A275,Items!$A$6:$A$1005,0)),"MISSING ID")</x:f>
        <x:v>1</x:v>
      </x:c>
      <x:c r="G275" s="4" t="str">
        <x:v>Traced to cataloged T0 and/or recovered feeds</x:v>
      </x:c>
      <x:c r="H275" s="4" t="str">
        <x:v>Forge hearth, Anvil, Forging hammer, Smithing tongs, Metalworking file and Hand-cranked metal drill as applicable. Existing workshop bootstrap and controlled heating/cooling required; no free-water quench assumed.</x:v>
      </x:c>
      <x:c r="I275" s="4" t="str">
        <x:v>Candidate path traced</x:v>
      </x:c>
      <x:c r="J275" s="4" t="str">
        <x:v>Dimensions, grade, process qualification, quantity and yield remain open.</x:v>
      </x:c>
    </x:row>
    <x:row r="276" ht="115" customHeight="1">
      <x:c r="A276" s="4" t="str">
        <x:v>proposal.legger.inspection_hatch</x:v>
      </x:c>
      <x:c r="B276" s="4" t="str">
        <x:f>IFERROR(INDEX(Items!$B$6:$B$1005,MATCH(A276,Items!$A$6:$A$1005,0)),"MISSING ID")</x:f>
        <x:v>Legger inspection hatch</x:v>
      </x:c>
      <x:c r="C276" s="4" t="str">
        <x:f>IFERROR(INDEX(Items!$X$6:$X$1005,MATCH(A276,Items!$A$6:$A$1005,0)),"MISSING ID")</x:f>
        <x:v>Crafting component</x:v>
      </x:c>
      <x:c r="D276" s="4" t="str">
        <x:f>IFERROR(INDEX(Items!$C$6:$C$1005,MATCH(A276,Items!$A$6:$A$1005,0)),"MISSING ID")</x:f>
        <x:v>T3</x:v>
      </x:c>
      <x:c r="E276" s="4" t="str">
        <x:v>Manufactured stock / part</x:v>
      </x:c>
      <x:c r="F276" s="14" t="n">
        <x:f>IFERROR(INDEX(Items!$AJ$6:$AJ$1005,MATCH(A276,Items!$A$6:$A$1005,0)),"MISSING ID")</x:f>
        <x:v>1</x:v>
      </x:c>
      <x:c r="G276" s="4" t="str">
        <x:v>Traced to cataloged T0 and/or recovered feeds</x:v>
      </x:c>
      <x:c r="H276" s="4" t="str">
        <x:v>Forge hearth, Anvil, Forging hammer, Smithing tongs, Metalworking file and Hand-cranked metal drill as applicable. Existing workshop bootstrap and controlled heating/cooling required; no free-water quench assumed.</x:v>
      </x:c>
      <x:c r="I276" s="4" t="str">
        <x:v>Candidate path traced</x:v>
      </x:c>
      <x:c r="J276" s="4" t="str">
        <x:v>Dimensions, grade, process qualification, quantity and yield remain open.</x:v>
      </x:c>
    </x:row>
    <x:row r="277" ht="115" customHeight="1">
      <x:c r="A277" s="4" t="str">
        <x:v>proposal.legger.fracture_patch</x:v>
      </x:c>
      <x:c r="B277" s="4" t="str">
        <x:f>IFERROR(INDEX(Items!$B$6:$B$1005,MATCH(A277,Items!$A$6:$A$1005,0)),"MISSING ID")</x:f>
        <x:v>Iron chassis fracture patch</x:v>
      </x:c>
      <x:c r="C277" s="4" t="str">
        <x:f>IFERROR(INDEX(Items!$X$6:$X$1005,MATCH(A277,Items!$A$6:$A$1005,0)),"MISSING ID")</x:f>
        <x:v>Crafting component</x:v>
      </x:c>
      <x:c r="D277" s="4" t="str">
        <x:f>IFERROR(INDEX(Items!$C$6:$C$1005,MATCH(A277,Items!$A$6:$A$1005,0)),"MISSING ID")</x:f>
        <x:v>T3</x:v>
      </x:c>
      <x:c r="E277" s="4" t="str">
        <x:v>Manufactured stock / part</x:v>
      </x:c>
      <x:c r="F277" s="14" t="n">
        <x:f>IFERROR(INDEX(Items!$AJ$6:$AJ$1005,MATCH(A277,Items!$A$6:$A$1005,0)),"MISSING ID")</x:f>
        <x:v>1</x:v>
      </x:c>
      <x:c r="G277" s="4" t="str">
        <x:v>Traced to cataloged T0 and/or recovered feeds</x:v>
      </x:c>
      <x:c r="H277" s="4" t="str">
        <x:v>Forge hearth, Anvil, Forging hammer, Smithing tongs, Metalworking file and Hand-cranked metal drill as applicable. Existing workshop bootstrap and controlled heating/cooling required; no free-water quench assumed.</x:v>
      </x:c>
      <x:c r="I277" s="4" t="str">
        <x:v>Candidate path traced</x:v>
      </x:c>
      <x:c r="J277" s="4" t="str">
        <x:v>Dimensions, grade, process qualification, quantity and yield remain open.</x:v>
      </x:c>
    </x:row>
    <x:row r="278" ht="115" customHeight="1">
      <x:c r="A278" s="4" t="str">
        <x:v>proposal.legger.crush_mount</x:v>
      </x:c>
      <x:c r="B278" s="4" t="str">
        <x:f>IFERROR(INDEX(Items!$B$6:$B$1005,MATCH(A278,Items!$A$6:$A$1005,0)),"MISSING ID")</x:f>
        <x:v>Sacrificial attachment mount</x:v>
      </x:c>
      <x:c r="C278" s="4" t="str">
        <x:f>IFERROR(INDEX(Items!$X$6:$X$1005,MATCH(A278,Items!$A$6:$A$1005,0)),"MISSING ID")</x:f>
        <x:v>Crafting component</x:v>
      </x:c>
      <x:c r="D278" s="4" t="str">
        <x:f>IFERROR(INDEX(Items!$C$6:$C$1005,MATCH(A278,Items!$A$6:$A$1005,0)),"MISSING ID")</x:f>
        <x:v>T3</x:v>
      </x:c>
      <x:c r="E278" s="4" t="str">
        <x:v>Manufactured stock / part</x:v>
      </x:c>
      <x:c r="F278" s="14" t="n">
        <x:f>IFERROR(INDEX(Items!$AJ$6:$AJ$1005,MATCH(A278,Items!$A$6:$A$1005,0)),"MISSING ID")</x:f>
        <x:v>1</x:v>
      </x:c>
      <x:c r="G278" s="4" t="str">
        <x:v>Traced to cataloged T0 and/or recovered feeds</x:v>
      </x:c>
      <x:c r="H278" s="4" t="str">
        <x:v>Forge hearth, Anvil, Forging hammer, Smithing tongs, Metalworking file and Hand-cranked metal drill as applicable. Existing workshop bootstrap and controlled heating/cooling required; no free-water quench assumed.</x:v>
      </x:c>
      <x:c r="I278" s="4" t="str">
        <x:v>Candidate path traced</x:v>
      </x:c>
      <x:c r="J278" s="4" t="str">
        <x:v>Dimensions, grade, process qualification, quantity and yield remain open.</x:v>
      </x:c>
    </x:row>
    <x:row r="279" ht="115" customHeight="1">
      <x:c r="A279" s="4" t="str">
        <x:v>proposal.legger.bulkhead_ring</x:v>
      </x:c>
      <x:c r="B279" s="4" t="str">
        <x:f>IFERROR(INDEX(Items!$B$6:$B$1005,MATCH(A279,Items!$A$6:$A$1005,0)),"MISSING ID")</x:f>
        <x:v>Chassis reinforcing ring</x:v>
      </x:c>
      <x:c r="C279" s="4" t="str">
        <x:f>IFERROR(INDEX(Items!$X$6:$X$1005,MATCH(A279,Items!$A$6:$A$1005,0)),"MISSING ID")</x:f>
        <x:v>Crafting component</x:v>
      </x:c>
      <x:c r="D279" s="4" t="str">
        <x:f>IFERROR(INDEX(Items!$C$6:$C$1005,MATCH(A279,Items!$A$6:$A$1005,0)),"MISSING ID")</x:f>
        <x:v>T3</x:v>
      </x:c>
      <x:c r="E279" s="4" t="str">
        <x:v>Manufactured stock / part</x:v>
      </x:c>
      <x:c r="F279" s="14" t="n">
        <x:f>IFERROR(INDEX(Items!$AJ$6:$AJ$1005,MATCH(A279,Items!$A$6:$A$1005,0)),"MISSING ID")</x:f>
        <x:v>1</x:v>
      </x:c>
      <x:c r="G279" s="4" t="str">
        <x:v>Traced to cataloged T0 and/or recovered feeds</x:v>
      </x:c>
      <x:c r="H279" s="4" t="str">
        <x:v>Forge hearth, Anvil, Forging hammer, Smithing tongs, Metalworking file and Hand-cranked metal drill as applicable. Existing workshop bootstrap and controlled heating/cooling required; no free-water quench assumed.</x:v>
      </x:c>
      <x:c r="I279" s="4" t="str">
        <x:v>Candidate path traced</x:v>
      </x:c>
      <x:c r="J279" s="4" t="str">
        <x:v>Dimensions, grade, process qualification, quantity and yield remain open.</x:v>
      </x:c>
    </x:row>
    <x:row r="280" ht="115" customHeight="1">
      <x:c r="A280" s="4" t="str">
        <x:v>proposal.legger.alignment_shims</x:v>
      </x:c>
      <x:c r="B280" s="4" t="str">
        <x:f>IFERROR(INDEX(Items!$B$6:$B$1005,MATCH(A280,Items!$A$6:$A$1005,0)),"MISSING ID")</x:f>
        <x:v>Chassis alignment-shim set</x:v>
      </x:c>
      <x:c r="C280" s="4" t="str">
        <x:f>IFERROR(INDEX(Items!$X$6:$X$1005,MATCH(A280,Items!$A$6:$A$1005,0)),"MISSING ID")</x:f>
        <x:v>Crafting component</x:v>
      </x:c>
      <x:c r="D280" s="4" t="str">
        <x:f>IFERROR(INDEX(Items!$C$6:$C$1005,MATCH(A280,Items!$A$6:$A$1005,0)),"MISSING ID")</x:f>
        <x:v>T3</x:v>
      </x:c>
      <x:c r="E280" s="4" t="str">
        <x:v>Manufactured stock / part</x:v>
      </x:c>
      <x:c r="F280" s="14" t="n">
        <x:f>IFERROR(INDEX(Items!$AJ$6:$AJ$1005,MATCH(A280,Items!$A$6:$A$1005,0)),"MISSING ID")</x:f>
        <x:v>1</x:v>
      </x:c>
      <x:c r="G280" s="4" t="str">
        <x:v>Traced to cataloged T0 and/or recovered feeds</x:v>
      </x:c>
      <x:c r="H280" s="4" t="str">
        <x:v>Forge hearth, Anvil, Forging hammer, Smithing tongs, Metalworking file and Hand-cranked metal drill as applicable. Existing workshop bootstrap and controlled heating/cooling required; no free-water quench assumed.</x:v>
      </x:c>
      <x:c r="I280" s="4" t="str">
        <x:v>Candidate path traced</x:v>
      </x:c>
      <x:c r="J280" s="4" t="str">
        <x:v>Dimensions, grade, process qualification, quantity and yield remain open.</x:v>
      </x:c>
    </x:row>
    <x:row r="281" ht="115" customHeight="1">
      <x:c r="A281" s="4" t="str">
        <x:v>proposal.legger.joint_pin</x:v>
      </x:c>
      <x:c r="B281" s="4" t="str">
        <x:f>IFERROR(INDEX(Items!$B$6:$B$1005,MATCH(A281,Items!$A$6:$A$1005,0)),"MISSING ID")</x:f>
        <x:v>Replaceable joint pin</x:v>
      </x:c>
      <x:c r="C281" s="4" t="str">
        <x:f>IFERROR(INDEX(Items!$X$6:$X$1005,MATCH(A281,Items!$A$6:$A$1005,0)),"MISSING ID")</x:f>
        <x:v>Crafting component</x:v>
      </x:c>
      <x:c r="D281" s="4" t="str">
        <x:f>IFERROR(INDEX(Items!$C$6:$C$1005,MATCH(A281,Items!$A$6:$A$1005,0)),"MISSING ID")</x:f>
        <x:v>T3</x:v>
      </x:c>
      <x:c r="E281" s="4" t="str">
        <x:v>Manufactured stock / part</x:v>
      </x:c>
      <x:c r="F281" s="14" t="n">
        <x:f>IFERROR(INDEX(Items!$AJ$6:$AJ$1005,MATCH(A281,Items!$A$6:$A$1005,0)),"MISSING ID")</x:f>
        <x:v>1</x:v>
      </x:c>
      <x:c r="G281" s="4" t="str">
        <x:v>Traced to cataloged T0 and/or recovered feeds</x:v>
      </x:c>
      <x:c r="H281" s="4" t="str">
        <x:v>Forge hearth, Anvil, Forging hammer, Smithing tongs, Metalworking file and Hand-cranked metal drill as applicable. Existing workshop bootstrap and controlled heating/cooling required; no free-water quench assumed.</x:v>
      </x:c>
      <x:c r="I281" s="4" t="str">
        <x:v>Candidate path traced</x:v>
      </x:c>
      <x:c r="J281" s="4" t="str">
        <x:v>Dimensions, grade, process qualification, quantity and yield remain open.</x:v>
      </x:c>
    </x:row>
    <x:row r="282" ht="115" customHeight="1">
      <x:c r="A282" s="4" t="str">
        <x:v>proposal.legger.thrust_washer</x:v>
      </x:c>
      <x:c r="B282" s="4" t="str">
        <x:f>IFERROR(INDEX(Items!$B$6:$B$1005,MATCH(A282,Items!$A$6:$A$1005,0)),"MISSING ID")</x:f>
        <x:v>Joint thrust washer</x:v>
      </x:c>
      <x:c r="C282" s="4" t="str">
        <x:f>IFERROR(INDEX(Items!$X$6:$X$1005,MATCH(A282,Items!$A$6:$A$1005,0)),"MISSING ID")</x:f>
        <x:v>Crafting component</x:v>
      </x:c>
      <x:c r="D282" s="4" t="str">
        <x:f>IFERROR(INDEX(Items!$C$6:$C$1005,MATCH(A282,Items!$A$6:$A$1005,0)),"MISSING ID")</x:f>
        <x:v>T3</x:v>
      </x:c>
      <x:c r="E282" s="4" t="str">
        <x:v>Manufactured stock / part</x:v>
      </x:c>
      <x:c r="F282" s="14" t="n">
        <x:f>IFERROR(INDEX(Items!$AJ$6:$AJ$1005,MATCH(A282,Items!$A$6:$A$1005,0)),"MISSING ID")</x:f>
        <x:v>1</x:v>
      </x:c>
      <x:c r="G282" s="4" t="str">
        <x:v>Traced to cataloged T0 and/or recovered feeds</x:v>
      </x:c>
      <x:c r="H282" s="4" t="str">
        <x:v>Forge hearth, Anvil, Forging hammer, Smithing tongs, Metalworking file and Hand-cranked metal drill as applicable. Existing workshop bootstrap and controlled heating/cooling required; no free-water quench assumed.</x:v>
      </x:c>
      <x:c r="I282" s="4" t="str">
        <x:v>Candidate path traced</x:v>
      </x:c>
      <x:c r="J282" s="4" t="str">
        <x:v>Dimensions, grade, process qualification, quantity and yield remain open.</x:v>
      </x:c>
    </x:row>
    <x:row r="283" ht="115" customHeight="1">
      <x:c r="A283" s="4" t="str">
        <x:v>proposal.legger.gear_cluster</x:v>
      </x:c>
      <x:c r="B283" s="4" t="str">
        <x:f>IFERROR(INDEX(Items!$B$6:$B$1005,MATCH(A283,Items!$A$6:$A$1005,0)),"MISSING ID")</x:f>
        <x:v>Replacement gear cluster</x:v>
      </x:c>
      <x:c r="C283" s="4" t="str">
        <x:f>IFERROR(INDEX(Items!$X$6:$X$1005,MATCH(A283,Items!$A$6:$A$1005,0)),"MISSING ID")</x:f>
        <x:v>Crafting component</x:v>
      </x:c>
      <x:c r="D283" s="4" t="str">
        <x:f>IFERROR(INDEX(Items!$C$6:$C$1005,MATCH(A283,Items!$A$6:$A$1005,0)),"MISSING ID")</x:f>
        <x:v>T4</x:v>
      </x:c>
      <x:c r="E283" s="4" t="str">
        <x:v>Manufactured stock / part</x:v>
      </x:c>
      <x:c r="F283" s="14" t="n">
        <x:f>IFERROR(INDEX(Items!$AJ$6:$AJ$1005,MATCH(A283,Items!$A$6:$A$1005,0)),"MISSING ID")</x:f>
        <x:v>1</x:v>
      </x:c>
      <x:c r="G283" s="4" t="str">
        <x:v>Traced to cataloged T0 and/or recovered feeds</x:v>
      </x:c>
      <x:c r="H283" s="4" t="str">
        <x:v>Forge hearth, Anvil, Forging hammer, Smithing tongs, Metalworking file and Hand-cranked metal drill as applicable. Existing workshop bootstrap and controlled heating/cooling required; no free-water quench assumed.</x:v>
      </x:c>
      <x:c r="I283" s="4" t="str">
        <x:v>Candidate path traced</x:v>
      </x:c>
      <x:c r="J283" s="4" t="str">
        <x:v>Dimensions, grade, process qualification, quantity and yield remain open.</x:v>
      </x:c>
    </x:row>
    <x:row r="284" ht="115" customHeight="1">
      <x:c r="A284" s="4" t="str">
        <x:v>proposal.legger.linkage_end</x:v>
      </x:c>
      <x:c r="B284" s="4" t="str">
        <x:f>IFERROR(INDEX(Items!$B$6:$B$1005,MATCH(A284,Items!$A$6:$A$1005,0)),"MISSING ID")</x:f>
        <x:v>Replacement linkage-end joint</x:v>
      </x:c>
      <x:c r="C284" s="4" t="str">
        <x:f>IFERROR(INDEX(Items!$X$6:$X$1005,MATCH(A284,Items!$A$6:$A$1005,0)),"MISSING ID")</x:f>
        <x:v>Crafting component</x:v>
      </x:c>
      <x:c r="D284" s="4" t="str">
        <x:f>IFERROR(INDEX(Items!$C$6:$C$1005,MATCH(A284,Items!$A$6:$A$1005,0)),"MISSING ID")</x:f>
        <x:v>T3</x:v>
      </x:c>
      <x:c r="E284" s="4" t="str">
        <x:v>Manufactured stock / part</x:v>
      </x:c>
      <x:c r="F284" s="14" t="n">
        <x:f>IFERROR(INDEX(Items!$AJ$6:$AJ$1005,MATCH(A284,Items!$A$6:$A$1005,0)),"MISSING ID")</x:f>
        <x:v>1</x:v>
      </x:c>
      <x:c r="G284" s="4" t="str">
        <x:v>Traced to cataloged T0 and/or recovered feeds</x:v>
      </x:c>
      <x:c r="H284" s="4" t="str">
        <x:v>Forge hearth, Anvil, Forging hammer, Smithing tongs, Metalworking file and Hand-cranked metal drill as applicable. Existing workshop bootstrap and controlled heating/cooling required; no free-water quench assumed.</x:v>
      </x:c>
      <x:c r="I284" s="4" t="str">
        <x:v>Candidate path traced</x:v>
      </x:c>
      <x:c r="J284" s="4" t="str">
        <x:v>Dimensions, grade, process qualification, quantity and yield remain open.</x:v>
      </x:c>
    </x:row>
    <x:row r="285" ht="115" customHeight="1">
      <x:c r="A285" s="4" t="str">
        <x:v>proposal.legger.tensioner</x:v>
      </x:c>
      <x:c r="B285" s="4" t="str">
        <x:f>IFERROR(INDEX(Items!$B$6:$B$1005,MATCH(A285,Items!$A$6:$A$1005,0)),"MISSING ID")</x:f>
        <x:v>Drive tensioner assembly</x:v>
      </x:c>
      <x:c r="C285" s="4" t="str">
        <x:f>IFERROR(INDEX(Items!$X$6:$X$1005,MATCH(A285,Items!$A$6:$A$1005,0)),"MISSING ID")</x:f>
        <x:v>Crafting component</x:v>
      </x:c>
      <x:c r="D285" s="4" t="str">
        <x:f>IFERROR(INDEX(Items!$C$6:$C$1005,MATCH(A285,Items!$A$6:$A$1005,0)),"MISSING ID")</x:f>
        <x:v>T4</x:v>
      </x:c>
      <x:c r="E285" s="4" t="str">
        <x:v>Manufactured stock / part</x:v>
      </x:c>
      <x:c r="F285" s="14" t="n">
        <x:f>IFERROR(INDEX(Items!$AJ$6:$AJ$1005,MATCH(A285,Items!$A$6:$A$1005,0)),"MISSING ID")</x:f>
        <x:v>1</x:v>
      </x:c>
      <x:c r="G285" s="4" t="str">
        <x:v>Traced to cataloged T0 and/or recovered feeds</x:v>
      </x:c>
      <x:c r="H285" s="4" t="str">
        <x:v>Forge hearth, Anvil, Forging hammer, Smithing tongs, Metalworking file and Hand-cranked metal drill as applicable. Existing workshop bootstrap and controlled heating/cooling required; no free-water quench assumed.</x:v>
      </x:c>
      <x:c r="I285" s="4" t="str">
        <x:v>Candidate path traced</x:v>
      </x:c>
      <x:c r="J285" s="4" t="str">
        <x:v>Dimensions, grade, process qualification, quantity and yield remain open.</x:v>
      </x:c>
    </x:row>
    <x:row r="286" ht="115" customHeight="1">
      <x:c r="A286" s="4" t="str">
        <x:v>proposal.legger.scraper_ring</x:v>
      </x:c>
      <x:c r="B286" s="4" t="str">
        <x:f>IFERROR(INDEX(Items!$B$6:$B$1005,MATCH(A286,Items!$A$6:$A$1005,0)),"MISSING ID")</x:f>
        <x:v>Joint grit-scraper ring</x:v>
      </x:c>
      <x:c r="C286" s="4" t="str">
        <x:f>IFERROR(INDEX(Items!$X$6:$X$1005,MATCH(A286,Items!$A$6:$A$1005,0)),"MISSING ID")</x:f>
        <x:v>Crafting component</x:v>
      </x:c>
      <x:c r="D286" s="4" t="str">
        <x:f>IFERROR(INDEX(Items!$C$6:$C$1005,MATCH(A286,Items!$A$6:$A$1005,0)),"MISSING ID")</x:f>
        <x:v>T3</x:v>
      </x:c>
      <x:c r="E286" s="4" t="str">
        <x:v>Manufactured stock / part</x:v>
      </x:c>
      <x:c r="F286" s="14" t="n">
        <x:f>IFERROR(INDEX(Items!$AJ$6:$AJ$1005,MATCH(A286,Items!$A$6:$A$1005,0)),"MISSING ID")</x:f>
        <x:v>1</x:v>
      </x:c>
      <x:c r="G286" s="4" t="str">
        <x:v>Traced to cataloged T0 and/or recovered feeds</x:v>
      </x:c>
      <x:c r="H286" s="4" t="str">
        <x:v>Forge hearth, Anvil, Forging hammer, Smithing tongs, Metalworking file and Hand-cranked metal drill as applicable. Existing workshop bootstrap and controlled heating/cooling required; no free-water quench assumed.</x:v>
      </x:c>
      <x:c r="I286" s="4" t="str">
        <x:v>Candidate path traced</x:v>
      </x:c>
      <x:c r="J286" s="4" t="str">
        <x:v>Dimensions, grade, process qualification, quantity and yield remain open.</x:v>
      </x:c>
    </x:row>
    <x:row r="287" ht="115" customHeight="1">
      <x:c r="A287" s="4" t="str">
        <x:v>proposal.legger.grease_applicator</x:v>
      </x:c>
      <x:c r="B287" s="4" t="str">
        <x:f>IFERROR(INDEX(Items!$B$6:$B$1005,MATCH(A287,Items!$A$6:$A$1005,0)),"MISSING ID")</x:f>
        <x:v>Joint grease applicator</x:v>
      </x:c>
      <x:c r="C287" s="4" t="str">
        <x:f>IFERROR(INDEX(Items!$X$6:$X$1005,MATCH(A287,Items!$A$6:$A$1005,0)),"MISSING ID")</x:f>
        <x:v>Tool</x:v>
      </x:c>
      <x:c r="D287" s="4" t="str">
        <x:f>IFERROR(INDEX(Items!$C$6:$C$1005,MATCH(A287,Items!$A$6:$A$1005,0)),"MISSING ID")</x:f>
        <x:v>Not applicable</x:v>
      </x:c>
      <x:c r="E287" s="4" t="str">
        <x:v>Finished endpoint</x:v>
      </x:c>
      <x:c r="F287" s="14" t="n">
        <x:f>IFERROR(INDEX(Items!$AJ$6:$AJ$1005,MATCH(A287,Items!$A$6:$A$1005,0)),"MISSING ID")</x:f>
        <x:v>1</x:v>
      </x:c>
      <x:c r="G287" s="4" t="str">
        <x:v>Traced to cataloged T0 and/or recovered feeds</x:v>
      </x:c>
      <x:c r="H287" s="4" t="str">
        <x:v>Forge hearth, Anvil, Forging hammer, Smithing tongs, Metalworking file and Hand-cranked metal drill as applicable. Existing workshop bootstrap and controlled heating/cooling required; no free-water quench assumed.</x:v>
      </x:c>
      <x:c r="I287" s="4" t="str">
        <x:v>Candidate path traced</x:v>
      </x:c>
      <x:c r="J287" s="4" t="str">
        <x:v>Dimensions, grade, process qualification, quantity and yield remain open.</x:v>
      </x:c>
    </x:row>
    <x:row r="288" ht="115" customHeight="1">
      <x:c r="A288" s="4" t="str">
        <x:v>proposal.legger.service_adapter</x:v>
      </x:c>
      <x:c r="B288" s="4" t="str">
        <x:f>IFERROR(INDEX(Items!$B$6:$B$1005,MATCH(A288,Items!$A$6:$A$1005,0)),"MISSING ID")</x:f>
        <x:v>Lubricant service-port adapter</x:v>
      </x:c>
      <x:c r="C288" s="4" t="str">
        <x:f>IFERROR(INDEX(Items!$X$6:$X$1005,MATCH(A288,Items!$A$6:$A$1005,0)),"MISSING ID")</x:f>
        <x:v>Container part</x:v>
      </x:c>
      <x:c r="D288" s="4" t="str">
        <x:f>IFERROR(INDEX(Items!$C$6:$C$1005,MATCH(A288,Items!$A$6:$A$1005,0)),"MISSING ID")</x:f>
        <x:v>T4</x:v>
      </x:c>
      <x:c r="E288" s="4" t="str">
        <x:v>Manufactured stock / part</x:v>
      </x:c>
      <x:c r="F288" s="14" t="n">
        <x:f>IFERROR(INDEX(Items!$AJ$6:$AJ$1005,MATCH(A288,Items!$A$6:$A$1005,0)),"MISSING ID")</x:f>
        <x:v>1</x:v>
      </x:c>
      <x:c r="G288" s="4" t="str">
        <x:v>Traced to cataloged T0 and/or recovered feeds</x:v>
      </x:c>
      <x:c r="H288" s="4" t="str">
        <x:v>Forge hearth, Anvil, Forging hammer, Smithing tongs, Metalworking file and Hand-cranked metal drill as applicable. Existing workshop bootstrap and controlled heating/cooling required; no free-water quench assumed.</x:v>
      </x:c>
      <x:c r="I288" s="4" t="str">
        <x:v>Candidate path traced</x:v>
      </x:c>
      <x:c r="J288" s="4" t="str">
        <x:v>Dimensions, grade, process qualification, quantity and yield remain open.</x:v>
      </x:c>
    </x:row>
    <x:row r="289" ht="115" customHeight="1">
      <x:c r="A289" s="4" t="str">
        <x:v>proposal.legger.service_pick</x:v>
      </x:c>
      <x:c r="B289" s="4" t="str">
        <x:f>IFERROR(INDEX(Items!$B$6:$B$1005,MATCH(A289,Items!$A$6:$A$1005,0)),"MISSING ID")</x:f>
        <x:v>Joint-service cleaning pick</x:v>
      </x:c>
      <x:c r="C289" s="4" t="str">
        <x:f>IFERROR(INDEX(Items!$X$6:$X$1005,MATCH(A289,Items!$A$6:$A$1005,0)),"MISSING ID")</x:f>
        <x:v>Tool</x:v>
      </x:c>
      <x:c r="D289" s="4" t="str">
        <x:f>IFERROR(INDEX(Items!$C$6:$C$1005,MATCH(A289,Items!$A$6:$A$1005,0)),"MISSING ID")</x:f>
        <x:v>Not applicable</x:v>
      </x:c>
      <x:c r="E289" s="4" t="str">
        <x:v>Finished endpoint</x:v>
      </x:c>
      <x:c r="F289" s="14" t="n">
        <x:f>IFERROR(INDEX(Items!$AJ$6:$AJ$1005,MATCH(A289,Items!$A$6:$A$1005,0)),"MISSING ID")</x:f>
        <x:v>1</x:v>
      </x:c>
      <x:c r="G289" s="4" t="str">
        <x:v>Traced to cataloged T0 and/or recovered feeds</x:v>
      </x:c>
      <x:c r="H289" s="4" t="str">
        <x:v>Forge hearth, Anvil, Forging hammer, Smithing tongs, Metalworking file and Hand-cranked metal drill as applicable. Existing workshop bootstrap and controlled heating/cooling required; no free-water quench assumed.</x:v>
      </x:c>
      <x:c r="I289" s="4" t="str">
        <x:v>Candidate path traced</x:v>
      </x:c>
      <x:c r="J289" s="4" t="str">
        <x:v>Dimensions, grade, process qualification, quantity and yield remain open.</x:v>
      </x:c>
    </x:row>
    <x:row r="290" ht="115" customHeight="1">
      <x:c r="A290" s="4" t="str">
        <x:v>proposal.legger.bearing_puller</x:v>
      </x:c>
      <x:c r="B290" s="4" t="str">
        <x:f>IFERROR(INDEX(Items!$B$6:$B$1005,MATCH(A290,Items!$A$6:$A$1005,0)),"MISSING ID")</x:f>
        <x:v>Matched bearing-removal tool</x:v>
      </x:c>
      <x:c r="C290" s="4" t="str">
        <x:f>IFERROR(INDEX(Items!$X$6:$X$1005,MATCH(A290,Items!$A$6:$A$1005,0)),"MISSING ID")</x:f>
        <x:v>Tool</x:v>
      </x:c>
      <x:c r="D290" s="4" t="str">
        <x:f>IFERROR(INDEX(Items!$C$6:$C$1005,MATCH(A290,Items!$A$6:$A$1005,0)),"MISSING ID")</x:f>
        <x:v>Not applicable</x:v>
      </x:c>
      <x:c r="E290" s="4" t="str">
        <x:v>Finished endpoint</x:v>
      </x:c>
      <x:c r="F290" s="14" t="n">
        <x:f>IFERROR(INDEX(Items!$AJ$6:$AJ$1005,MATCH(A290,Items!$A$6:$A$1005,0)),"MISSING ID")</x:f>
        <x:v>1</x:v>
      </x:c>
      <x:c r="G290" s="4" t="str">
        <x:v>Traced to cataloged T0 and/or recovered feeds</x:v>
      </x:c>
      <x:c r="H290" s="4" t="str">
        <x:v>Forge hearth, Anvil, Forging hammer, Smithing tongs, Metalworking file and Hand-cranked metal drill as applicable. Existing workshop bootstrap and controlled heating/cooling required; no free-water quench assumed.</x:v>
      </x:c>
      <x:c r="I290" s="4" t="str">
        <x:v>Candidate path traced</x:v>
      </x:c>
      <x:c r="J290" s="4" t="str">
        <x:v>Dimensions, grade, process qualification, quantity and yield remain open.</x:v>
      </x:c>
    </x:row>
    <x:row r="291" ht="115" customHeight="1">
      <x:c r="A291" s="4" t="str">
        <x:v>proposal.legger.alignment_gauge</x:v>
      </x:c>
      <x:c r="B291" s="4" t="str">
        <x:f>IFERROR(INDEX(Items!$B$6:$B$1005,MATCH(A291,Items!$A$6:$A$1005,0)),"MISSING ID")</x:f>
        <x:v>Legger alignment gauge</x:v>
      </x:c>
      <x:c r="C291" s="4" t="str">
        <x:f>IFERROR(INDEX(Items!$X$6:$X$1005,MATCH(A291,Items!$A$6:$A$1005,0)),"MISSING ID")</x:f>
        <x:v>Tool</x:v>
      </x:c>
      <x:c r="D291" s="4" t="str">
        <x:f>IFERROR(INDEX(Items!$C$6:$C$1005,MATCH(A291,Items!$A$6:$A$1005,0)),"MISSING ID")</x:f>
        <x:v>Not applicable</x:v>
      </x:c>
      <x:c r="E291" s="4" t="str">
        <x:v>Finished endpoint</x:v>
      </x:c>
      <x:c r="F291" s="14" t="n">
        <x:f>IFERROR(INDEX(Items!$AJ$6:$AJ$1005,MATCH(A291,Items!$A$6:$A$1005,0)),"MISSING ID")</x:f>
        <x:v>1</x:v>
      </x:c>
      <x:c r="G291" s="4" t="str">
        <x:v>Traced to cataloged T0 and/or recovered feeds</x:v>
      </x:c>
      <x:c r="H291" s="4" t="str">
        <x:v>Forge hearth, Anvil, Forging hammer, Smithing tongs, Metalworking file and Hand-cranked metal drill as applicable. Existing workshop bootstrap and controlled heating/cooling required; no free-water quench assumed.</x:v>
      </x:c>
      <x:c r="I291" s="4" t="str">
        <x:v>Candidate path traced</x:v>
      </x:c>
      <x:c r="J291" s="4" t="str">
        <x:v>Dimensions, grade, process qualification, quantity and yield remain open.</x:v>
      </x:c>
    </x:row>
    <x:row r="292" ht="115" customHeight="1">
      <x:c r="A292" s="4" t="str">
        <x:v>proposal.legger.spares_case</x:v>
      </x:c>
      <x:c r="B292" s="4" t="str">
        <x:f>IFERROR(INDEX(Items!$B$6:$B$1005,MATCH(A292,Items!$A$6:$A$1005,0)),"MISSING ID")</x:f>
        <x:v>Legger fitted spares case</x:v>
      </x:c>
      <x:c r="C292" s="4" t="str">
        <x:f>IFERROR(INDEX(Items!$X$6:$X$1005,MATCH(A292,Items!$A$6:$A$1005,0)),"MISSING ID")</x:f>
        <x:v>Container</x:v>
      </x:c>
      <x:c r="D292" s="4" t="str">
        <x:f>IFERROR(INDEX(Items!$C$6:$C$1005,MATCH(A292,Items!$A$6:$A$1005,0)),"MISSING ID")</x:f>
        <x:v>Not applicable</x:v>
      </x:c>
      <x:c r="E292" s="4" t="str">
        <x:v>Finished endpoint</x:v>
      </x:c>
      <x:c r="F292" s="14" t="n">
        <x:f>IFERROR(INDEX(Items!$AJ$6:$AJ$1005,MATCH(A292,Items!$A$6:$A$1005,0)),"MISSING ID")</x:f>
        <x:v>1</x:v>
      </x:c>
      <x:c r="G292" s="4" t="str">
        <x:v>Traced to cataloged T0 and/or recovered feeds</x:v>
      </x:c>
      <x:c r="H292" s="4" t="str">
        <x:v>Forge hearth, Anvil, Forging hammer, Smithing tongs, Metalworking file and Hand-cranked metal drill as applicable. Existing workshop bootstrap and controlled heating/cooling required; no free-water quench assumed.</x:v>
      </x:c>
      <x:c r="I292" s="4" t="str">
        <x:v>Candidate path traced</x:v>
      </x:c>
      <x:c r="J292" s="4" t="str">
        <x:v>Dimensions, grade, process qualification, quantity and yield remain open.</x:v>
      </x:c>
    </x:row>
    <x:row r="293" ht="115" customHeight="1">
      <x:c r="A293" s="4" t="str">
        <x:v>proposal.legger.edge_guard</x:v>
      </x:c>
      <x:c r="B293" s="4" t="str">
        <x:f>IFERROR(INDEX(Items!$B$6:$B$1005,MATCH(A293,Items!$A$6:$A$1005,0)),"MISSING ID")</x:f>
        <x:v>Chassis leading-edge guard</x:v>
      </x:c>
      <x:c r="C293" s="4" t="str">
        <x:f>IFERROR(INDEX(Items!$X$6:$X$1005,MATCH(A293,Items!$A$6:$A$1005,0)),"MISSING ID")</x:f>
        <x:v>Armor</x:v>
      </x:c>
      <x:c r="D293" s="4" t="str">
        <x:f>IFERROR(INDEX(Items!$C$6:$C$1005,MATCH(A293,Items!$A$6:$A$1005,0)),"MISSING ID")</x:f>
        <x:v>Not applicable</x:v>
      </x:c>
      <x:c r="E293" s="4" t="str">
        <x:v>Finished endpoint</x:v>
      </x:c>
      <x:c r="F293" s="14" t="n">
        <x:f>IFERROR(INDEX(Items!$AJ$6:$AJ$1005,MATCH(A293,Items!$A$6:$A$1005,0)),"MISSING ID")</x:f>
        <x:v>1</x:v>
      </x:c>
      <x:c r="G293" s="4" t="str">
        <x:v>Traced to cataloged T0 and/or recovered feeds</x:v>
      </x:c>
      <x:c r="H293" s="4" t="str">
        <x:v>Forge hearth, Anvil, Forging hammer, Smithing tongs, Metalworking file and Hand-cranked metal drill as applicable. Existing workshop bootstrap and controlled heating/cooling required; no free-water quench assumed.</x:v>
      </x:c>
      <x:c r="I293" s="4" t="str">
        <x:v>Candidate path traced</x:v>
      </x:c>
      <x:c r="J293" s="4" t="str">
        <x:v>Fit, joints, insulation/protection and biological material yield require qualification.</x:v>
      </x:c>
    </x:row>
    <x:row r="294" ht="115" customHeight="1">
      <x:c r="A294" s="4" t="str">
        <x:v>proposal.legger.instrument_guard</x:v>
      </x:c>
      <x:c r="B294" s="4" t="str">
        <x:f>IFERROR(INDEX(Items!$B$6:$B$1005,MATCH(A294,Items!$A$6:$A$1005,0)),"MISSING ID")</x:f>
        <x:v>Instrument-face guard</x:v>
      </x:c>
      <x:c r="C294" s="4" t="str">
        <x:f>IFERROR(INDEX(Items!$X$6:$X$1005,MATCH(A294,Items!$A$6:$A$1005,0)),"MISSING ID")</x:f>
        <x:v>Armor</x:v>
      </x:c>
      <x:c r="D294" s="4" t="str">
        <x:f>IFERROR(INDEX(Items!$C$6:$C$1005,MATCH(A294,Items!$A$6:$A$1005,0)),"MISSING ID")</x:f>
        <x:v>Not applicable</x:v>
      </x:c>
      <x:c r="E294" s="4" t="str">
        <x:v>Finished endpoint</x:v>
      </x:c>
      <x:c r="F294" s="14" t="n">
        <x:f>IFERROR(INDEX(Items!$AJ$6:$AJ$1005,MATCH(A294,Items!$A$6:$A$1005,0)),"MISSING ID")</x:f>
        <x:v>1</x:v>
      </x:c>
      <x:c r="G294" s="4" t="str">
        <x:v>Traced to cataloged T0 and/or recovered feeds</x:v>
      </x:c>
      <x:c r="H294" s="4" t="str">
        <x:v>Forge hearth, Anvil, Forging hammer, Smithing tongs, Metalworking file and Hand-cranked metal drill as applicable. Existing workshop bootstrap and controlled heating/cooling required; no free-water quench assumed.</x:v>
      </x:c>
      <x:c r="I294" s="4" t="str">
        <x:v>Candidate path traced</x:v>
      </x:c>
      <x:c r="J294" s="4" t="str">
        <x:v>Fit, joints, insulation/protection and biological material yield require qualification.</x:v>
      </x:c>
    </x:row>
    <x:row r="295" ht="115" customHeight="1">
      <x:c r="A295" s="4" t="str">
        <x:v>proposal.legger.seam_guard</x:v>
      </x:c>
      <x:c r="B295" s="4" t="str">
        <x:f>IFERROR(INDEX(Items!$B$6:$B$1005,MATCH(A295,Items!$A$6:$A$1005,0)),"MISSING ID")</x:f>
        <x:v>Armor seam-cover strip</x:v>
      </x:c>
      <x:c r="C295" s="4" t="str">
        <x:f>IFERROR(INDEX(Items!$X$6:$X$1005,MATCH(A295,Items!$A$6:$A$1005,0)),"MISSING ID")</x:f>
        <x:v>Armor</x:v>
      </x:c>
      <x:c r="D295" s="4" t="str">
        <x:f>IFERROR(INDEX(Items!$C$6:$C$1005,MATCH(A295,Items!$A$6:$A$1005,0)),"MISSING ID")</x:f>
        <x:v>Not applicable</x:v>
      </x:c>
      <x:c r="E295" s="4" t="str">
        <x:v>Finished endpoint</x:v>
      </x:c>
      <x:c r="F295" s="14" t="n">
        <x:f>IFERROR(INDEX(Items!$AJ$6:$AJ$1005,MATCH(A295,Items!$A$6:$A$1005,0)),"MISSING ID")</x:f>
        <x:v>1</x:v>
      </x:c>
      <x:c r="G295" s="4" t="str">
        <x:v>Traced to cataloged T0 and/or recovered feeds</x:v>
      </x:c>
      <x:c r="H295" s="4" t="str">
        <x:v>Forge hearth, Anvil, Forging hammer, Smithing tongs, Metalworking file and Hand-cranked metal drill as applicable. Existing workshop bootstrap and controlled heating/cooling required; no free-water quench assumed.</x:v>
      </x:c>
      <x:c r="I295" s="4" t="str">
        <x:v>Candidate path traced</x:v>
      </x:c>
      <x:c r="J295" s="4" t="str">
        <x:v>Fit, joints, insulation/protection and biological material yield require qualification.</x:v>
      </x:c>
    </x:row>
    <x:row r="296" ht="115" customHeight="1">
      <x:c r="A296" s="4" t="str">
        <x:v>proposal.legger.impact_cap</x:v>
      </x:c>
      <x:c r="B296" s="4" t="str">
        <x:f>IFERROR(INDEX(Items!$B$6:$B$1005,MATCH(A296,Items!$A$6:$A$1005,0)),"MISSING ID")</x:f>
        <x:v>Sacrificial impact cap</x:v>
      </x:c>
      <x:c r="C296" s="4" t="str">
        <x:f>IFERROR(INDEX(Items!$X$6:$X$1005,MATCH(A296,Items!$A$6:$A$1005,0)),"MISSING ID")</x:f>
        <x:v>Armor</x:v>
      </x:c>
      <x:c r="D296" s="4" t="str">
        <x:f>IFERROR(INDEX(Items!$C$6:$C$1005,MATCH(A296,Items!$A$6:$A$1005,0)),"MISSING ID")</x:f>
        <x:v>Not applicable</x:v>
      </x:c>
      <x:c r="E296" s="4" t="str">
        <x:v>Finished endpoint</x:v>
      </x:c>
      <x:c r="F296" s="14" t="n">
        <x:f>IFERROR(INDEX(Items!$AJ$6:$AJ$1005,MATCH(A296,Items!$A$6:$A$1005,0)),"MISSING ID")</x:f>
        <x:v>1</x:v>
      </x:c>
      <x:c r="G296" s="4" t="str">
        <x:v>Traced to cataloged T0 and/or recovered feeds</x:v>
      </x:c>
      <x:c r="H296" s="4" t="str">
        <x:v>Husk-sheet cutting shears, Hand-cranked metal drill and Ceramic abrasive disc as applicable; compatible contained biological preparation and low-yield material handling required.</x:v>
      </x:c>
      <x:c r="I296" s="4" t="str">
        <x:v>Candidate path traced</x:v>
      </x:c>
      <x:c r="J296" s="4" t="str">
        <x:v>Fit, joints, insulation/protection and biological material yield require qualification.</x:v>
      </x:c>
    </x:row>
    <x:row r="297" ht="115" customHeight="1">
      <x:c r="A297" s="4" t="str">
        <x:v>proposal.legger.fragment_liner</x:v>
      </x:c>
      <x:c r="B297" s="4" t="str">
        <x:f>IFERROR(INDEX(Items!$B$6:$B$1005,MATCH(A297,Items!$A$6:$A$1005,0)),"MISSING ID")</x:f>
        <x:v>Pressed-husk fragment liner</x:v>
      </x:c>
      <x:c r="C297" s="4" t="str">
        <x:f>IFERROR(INDEX(Items!$X$6:$X$1005,MATCH(A297,Items!$A$6:$A$1005,0)),"MISSING ID")</x:f>
        <x:v>Armor</x:v>
      </x:c>
      <x:c r="D297" s="4" t="str">
        <x:f>IFERROR(INDEX(Items!$C$6:$C$1005,MATCH(A297,Items!$A$6:$A$1005,0)),"MISSING ID")</x:f>
        <x:v>Not applicable</x:v>
      </x:c>
      <x:c r="E297" s="4" t="str">
        <x:v>Finished endpoint</x:v>
      </x:c>
      <x:c r="F297" s="14" t="n">
        <x:f>IFERROR(INDEX(Items!$AJ$6:$AJ$1005,MATCH(A297,Items!$A$6:$A$1005,0)),"MISSING ID")</x:f>
        <x:v>1</x:v>
      </x:c>
      <x:c r="G297" s="4" t="str">
        <x:v>Traced to cataloged T0 and/or recovered feeds</x:v>
      </x:c>
      <x:c r="H297" s="4" t="str">
        <x:v>Husk-sheet cutting shears, pressure fixtures and dedicated preparation surfaces. Very low hide/fur yield; no ordinary cloth or plant inputs.</x:v>
      </x:c>
      <x:c r="I297" s="4" t="str">
        <x:v>Candidate path traced</x:v>
      </x:c>
      <x:c r="J297" s="4" t="str">
        <x:v>Fit, joints, insulation/protection and biological material yield require qualification.</x:v>
      </x:c>
    </x:row>
    <x:row r="298" ht="115" customHeight="1">
      <x:c r="A298" s="4" t="str">
        <x:v>proposal.legger.guard_hinge</x:v>
      </x:c>
      <x:c r="B298" s="4" t="str">
        <x:f>IFERROR(INDEX(Items!$B$6:$B$1005,MATCH(A298,Items!$A$6:$A$1005,0)),"MISSING ID")</x:f>
        <x:v>Armor-guard hinge assembly</x:v>
      </x:c>
      <x:c r="C298" s="4" t="str">
        <x:f>IFERROR(INDEX(Items!$X$6:$X$1005,MATCH(A298,Items!$A$6:$A$1005,0)),"MISSING ID")</x:f>
        <x:v>Crafting component</x:v>
      </x:c>
      <x:c r="D298" s="4" t="str">
        <x:f>IFERROR(INDEX(Items!$C$6:$C$1005,MATCH(A298,Items!$A$6:$A$1005,0)),"MISSING ID")</x:f>
        <x:v>T4</x:v>
      </x:c>
      <x:c r="E298" s="4" t="str">
        <x:v>Manufactured stock / part</x:v>
      </x:c>
      <x:c r="F298" s="14" t="n">
        <x:f>IFERROR(INDEX(Items!$AJ$6:$AJ$1005,MATCH(A298,Items!$A$6:$A$1005,0)),"MISSING ID")</x:f>
        <x:v>1</x:v>
      </x:c>
      <x:c r="G298" s="4" t="str">
        <x:v>Traced to cataloged T0 and/or recovered feeds</x:v>
      </x:c>
      <x:c r="H298" s="4" t="str">
        <x:v>Forge hearth, Anvil, Forging hammer, Smithing tongs, Metalworking file and Hand-cranked metal drill as applicable. Existing workshop bootstrap and controlled heating/cooling required; no free-water quench assumed.</x:v>
      </x:c>
      <x:c r="I298" s="4" t="str">
        <x:v>Candidate path traced</x:v>
      </x:c>
      <x:c r="J298" s="4" t="str">
        <x:v>Dimensions, grade, process qualification, quantity and yield remain open.</x:v>
      </x:c>
    </x:row>
    <x:row r="299" ht="115" customHeight="1">
      <x:c r="A299" s="4" t="str">
        <x:v>proposal.legger.plasteel_collar</x:v>
      </x:c>
      <x:c r="B299" s="4" t="str">
        <x:f>IFERROR(INDEX(Items!$B$6:$B$1005,MATCH(A299,Items!$A$6:$A$1005,0)),"MISSING ID")</x:f>
        <x:v>Ancient plasteel joint collar</x:v>
      </x:c>
      <x:c r="C299" s="4" t="str">
        <x:f>IFERROR(INDEX(Items!$X$6:$X$1005,MATCH(A299,Items!$A$6:$A$1005,0)),"MISSING ID")</x:f>
        <x:v>Crafting component</x:v>
      </x:c>
      <x:c r="D299" s="4" t="str">
        <x:f>IFERROR(INDEX(Items!$C$6:$C$1005,MATCH(A299,Items!$A$6:$A$1005,0)),"MISSING ID")</x:f>
        <x:v>Not applicable</x:v>
      </x:c>
      <x:c r="E299" s="4" t="str">
        <x:v>Recovery</x:v>
      </x:c>
      <x:c r="F299" s="14" t="n">
        <x:f>IFERROR(INDEX(Items!$AJ$6:$AJ$1005,MATCH(A299,Items!$A$6:$A$1005,0)),"MISSING ID")</x:f>
        <x:v>0</x:v>
      </x:c>
      <x:c r="G299" s="4" t="str">
        <x:v>Source, recovery or issue route applies</x:v>
      </x:c>
      <x:c r="H299" s="4" t="str">
        <x:v>Not a selected manufacturing route</x:v>
      </x:c>
      <x:c r="I299" s="4" t="str">
        <x:v>Recovery only</x:v>
      </x:c>
      <x:c r="J299" s="4" t="str">
        <x:v>Recover and assess a compatible item. No manufacturing route or guaranteed working function.</x:v>
      </x:c>
    </x:row>
    <x:row r="300" ht="115" customHeight="1">
      <x:c r="A300" s="4" t="str">
        <x:v>proposal.legger.tension_member</x:v>
      </x:c>
      <x:c r="B300" s="4" t="str">
        <x:f>IFERROR(INDEX(Items!$B$6:$B$1005,MATCH(A300,Items!$A$6:$A$1005,0)),"MISSING ID")</x:f>
        <x:v>Ancient nanocarbon tension member</x:v>
      </x:c>
      <x:c r="C300" s="4" t="str">
        <x:f>IFERROR(INDEX(Items!$X$6:$X$1005,MATCH(A300,Items!$A$6:$A$1005,0)),"MISSING ID")</x:f>
        <x:v>Crafting component</x:v>
      </x:c>
      <x:c r="D300" s="4" t="str">
        <x:f>IFERROR(INDEX(Items!$C$6:$C$1005,MATCH(A300,Items!$A$6:$A$1005,0)),"MISSING ID")</x:f>
        <x:v>Not applicable</x:v>
      </x:c>
      <x:c r="E300" s="4" t="str">
        <x:v>Recovery</x:v>
      </x:c>
      <x:c r="F300" s="14" t="n">
        <x:f>IFERROR(INDEX(Items!$AJ$6:$AJ$1005,MATCH(A300,Items!$A$6:$A$1005,0)),"MISSING ID")</x:f>
        <x:v>0</x:v>
      </x:c>
      <x:c r="G300" s="4" t="str">
        <x:v>Source, recovery or issue route applies</x:v>
      </x:c>
      <x:c r="H300" s="4" t="str">
        <x:v>Not a selected manufacturing route</x:v>
      </x:c>
      <x:c r="I300" s="4" t="str">
        <x:v>Recovery only</x:v>
      </x:c>
      <x:c r="J300" s="4" t="str">
        <x:v>Recover and assess a compatible item. No manufacturing route or guaranteed working function.</x:v>
      </x:c>
    </x:row>
    <x:row r="301" ht="115" customHeight="1">
      <x:c r="A301" s="4" t="str">
        <x:v>proposal.legger.friction_insert</x:v>
      </x:c>
      <x:c r="B301" s="4" t="str">
        <x:f>IFERROR(INDEX(Items!$B$6:$B$1005,MATCH(A301,Items!$A$6:$A$1005,0)),"MISSING ID")</x:f>
        <x:v>Ancient friction-interface insert</x:v>
      </x:c>
      <x:c r="C301" s="4" t="str">
        <x:f>IFERROR(INDEX(Items!$X$6:$X$1005,MATCH(A301,Items!$A$6:$A$1005,0)),"MISSING ID")</x:f>
        <x:v>Crafting component</x:v>
      </x:c>
      <x:c r="D301" s="4" t="str">
        <x:f>IFERROR(INDEX(Items!$C$6:$C$1005,MATCH(A301,Items!$A$6:$A$1005,0)),"MISSING ID")</x:f>
        <x:v>Not applicable</x:v>
      </x:c>
      <x:c r="E301" s="4" t="str">
        <x:v>Recovery</x:v>
      </x:c>
      <x:c r="F301" s="14" t="n">
        <x:f>IFERROR(INDEX(Items!$AJ$6:$AJ$1005,MATCH(A301,Items!$A$6:$A$1005,0)),"MISSING ID")</x:f>
        <x:v>0</x:v>
      </x:c>
      <x:c r="G301" s="4" t="str">
        <x:v>Source, recovery or issue route applies</x:v>
      </x:c>
      <x:c r="H301" s="4" t="str">
        <x:v>Not a selected manufacturing route</x:v>
      </x:c>
      <x:c r="I301" s="4" t="str">
        <x:v>Recovery only</x:v>
      </x:c>
      <x:c r="J301" s="4" t="str">
        <x:v>Recover and assess a compatible item. No manufacturing route or guaranteed working function.</x:v>
      </x:c>
    </x:row>
    <x:row r="302" ht="115" customHeight="1">
      <x:c r="A302" s="4" t="str">
        <x:v>proposal.legger.ceramic_race</x:v>
      </x:c>
      <x:c r="B302" s="4" t="str">
        <x:f>IFERROR(INDEX(Items!$B$6:$B$1005,MATCH(A302,Items!$A$6:$A$1005,0)),"MISSING ID")</x:f>
        <x:v>Ancient precision ceramic bearing race</x:v>
      </x:c>
      <x:c r="C302" s="4" t="str">
        <x:f>IFERROR(INDEX(Items!$X$6:$X$1005,MATCH(A302,Items!$A$6:$A$1005,0)),"MISSING ID")</x:f>
        <x:v>Crafting component</x:v>
      </x:c>
      <x:c r="D302" s="4" t="str">
        <x:f>IFERROR(INDEX(Items!$C$6:$C$1005,MATCH(A302,Items!$A$6:$A$1005,0)),"MISSING ID")</x:f>
        <x:v>Not applicable</x:v>
      </x:c>
      <x:c r="E302" s="4" t="str">
        <x:v>Recovery</x:v>
      </x:c>
      <x:c r="F302" s="14" t="n">
        <x:f>IFERROR(INDEX(Items!$AJ$6:$AJ$1005,MATCH(A302,Items!$A$6:$A$1005,0)),"MISSING ID")</x:f>
        <x:v>0</x:v>
      </x:c>
      <x:c r="G302" s="4" t="str">
        <x:v>Source, recovery or issue route applies</x:v>
      </x:c>
      <x:c r="H302" s="4" t="str">
        <x:v>Not a selected manufacturing route</x:v>
      </x:c>
      <x:c r="I302" s="4" t="str">
        <x:v>Recovery only</x:v>
      </x:c>
      <x:c r="J302" s="4" t="str">
        <x:v>Recover and assess a compatible item. No manufacturing route or guaranteed working function.</x:v>
      </x:c>
    </x:row>
    <x:row r="303" ht="115" customHeight="1">
      <x:c r="A303" s="4" t="str">
        <x:v>proposal.legger.impact_lattice</x:v>
      </x:c>
      <x:c r="B303" s="4" t="str">
        <x:f>IFERROR(INDEX(Items!$B$6:$B$1005,MATCH(A303,Items!$A$6:$A$1005,0)),"MISSING ID")</x:f>
        <x:v>Ancient impact-lattice backing</x:v>
      </x:c>
      <x:c r="C303" s="4" t="str">
        <x:f>IFERROR(INDEX(Items!$X$6:$X$1005,MATCH(A303,Items!$A$6:$A$1005,0)),"MISSING ID")</x:f>
        <x:v>Armor</x:v>
      </x:c>
      <x:c r="D303" s="4" t="str">
        <x:f>IFERROR(INDEX(Items!$C$6:$C$1005,MATCH(A303,Items!$A$6:$A$1005,0)),"MISSING ID")</x:f>
        <x:v>Not applicable</x:v>
      </x:c>
      <x:c r="E303" s="4" t="str">
        <x:v>Recovery</x:v>
      </x:c>
      <x:c r="F303" s="14" t="n">
        <x:f>IFERROR(INDEX(Items!$AJ$6:$AJ$1005,MATCH(A303,Items!$A$6:$A$1005,0)),"MISSING ID")</x:f>
        <x:v>0</x:v>
      </x:c>
      <x:c r="G303" s="4" t="str">
        <x:v>Source, recovery or issue route applies</x:v>
      </x:c>
      <x:c r="H303" s="4" t="str">
        <x:v>Not a selected manufacturing route</x:v>
      </x:c>
      <x:c r="I303" s="4" t="str">
        <x:v>Recovery only</x:v>
      </x:c>
      <x:c r="J303" s="4" t="str">
        <x:v>Recover and assess a compatible item. No manufacturing route or guaranteed working function.</x:v>
      </x:c>
    </x:row>
    <x:row r="304" ht="115" customHeight="1">
      <x:c r="A304" s="4" t="str">
        <x:v>proposal.legger.interface_adapter</x:v>
      </x:c>
      <x:c r="B304" s="4" t="str">
        <x:f>IFERROR(INDEX(Items!$B$6:$B$1005,MATCH(A304,Items!$A$6:$A$1005,0)),"MISSING ID")</x:f>
        <x:v>Ancient module interface adapter</x:v>
      </x:c>
      <x:c r="C304" s="4" t="str">
        <x:f>IFERROR(INDEX(Items!$X$6:$X$1005,MATCH(A304,Items!$A$6:$A$1005,0)),"MISSING ID")</x:f>
        <x:v>Crafting component</x:v>
      </x:c>
      <x:c r="D304" s="4" t="str">
        <x:f>IFERROR(INDEX(Items!$C$6:$C$1005,MATCH(A304,Items!$A$6:$A$1005,0)),"MISSING ID")</x:f>
        <x:v>Not applicable</x:v>
      </x:c>
      <x:c r="E304" s="4" t="str">
        <x:v>Recovery</x:v>
      </x:c>
      <x:c r="F304" s="14" t="n">
        <x:f>IFERROR(INDEX(Items!$AJ$6:$AJ$1005,MATCH(A304,Items!$A$6:$A$1005,0)),"MISSING ID")</x:f>
        <x:v>0</x:v>
      </x:c>
      <x:c r="G304" s="4" t="str">
        <x:v>Source, recovery or issue route applies</x:v>
      </x:c>
      <x:c r="H304" s="4" t="str">
        <x:v>Not a selected manufacturing route</x:v>
      </x:c>
      <x:c r="I304" s="4" t="str">
        <x:v>Recovery only</x:v>
      </x:c>
      <x:c r="J304" s="4" t="str">
        <x:v>Recover and assess a compatible item. No manufacturing route or guaranteed working function.</x:v>
      </x:c>
    </x:row>
    <x:row r="305" ht="115" customHeight="1">
      <x:c r="A305" s="4"/>
      <x:c r="B305" s="4"/>
      <x:c r="C305" s="4"/>
      <x:c r="D305" s="4"/>
      <x:c r="E305" s="4"/>
      <x:c r="F305" s="14"/>
      <x:c r="G305" s="4"/>
      <x:c r="H305" s="4"/>
      <x:c r="I305" s="4"/>
      <x:c r="J305" s="4"/>
    </x:row>
    <x:row r="306" ht="115" customHeight="1">
      <x:c r="A306" s="4" t="str">
        <x:v>proposal.food.dense_drink</x:v>
      </x:c>
      <x:c r="B306" s="4" t="str">
        <x:f>IFERROR(INDEX(Items!$B$6:$B$1005,MATCH(A306,Items!$A$6:$A$1005,0)),"MISSING ID")</x:f>
        <x:v>Dense Phagia nutrient drink</x:v>
      </x:c>
      <x:c r="C306" s="4" t="str">
        <x:f>IFERROR(INDEX(Items!$X$6:$X$1005,MATCH(A306,Items!$A$6:$A$1005,0)),"MISSING ID")</x:f>
        <x:v>Drink consumable</x:v>
      </x:c>
      <x:c r="D306" s="4" t="str">
        <x:f>IFERROR(INDEX(Items!$C$6:$C$1005,MATCH(A306,Items!$A$6:$A$1005,0)),"MISSING ID")</x:f>
        <x:v>Not applicable</x:v>
      </x:c>
      <x:c r="E306" s="4" t="str">
        <x:v>Finished endpoint</x:v>
      </x:c>
      <x:c r="F306" s="14" t="n">
        <x:f>IFERROR(INDEX(Items!$AJ$6:$AJ$1005,MATCH(A306,Items!$A$6:$A$1005,0)),"MISSING ID")</x:f>
        <x:v>1</x:v>
      </x:c>
      <x:c r="G306" s="4" t="str">
        <x:v>Traced to cataloged T0 and/or recovered feeds</x:v>
      </x:c>
      <x:c r="H306" s="4" t="str">
        <x:v>Contained food-only vessels, Food preparation screen and dedicated food tools. Species/culture/mineral edibility and storage qualification unresolved.</x:v>
      </x:c>
      <x:c r="I306" s="4" t="str">
        <x:v>Research / source gated</x:v>
      </x:c>
      <x:c r="J306" s="4" t="str">
        <x:v>Contained culinary Phagia culture; Culinary Phagia liquid fraction; Reduced culinary Phagia concentrate; 1 further conditional sources. Species/culture/mineral selection and edibility require design. No toxic industrial fraction is assumed edible.</x:v>
      </x:c>
    </x:row>
    <x:row r="307" ht="115" customHeight="1">
      <x:c r="A307" s="4" t="str">
        <x:v>proposal.food.ration_bar</x:v>
      </x:c>
      <x:c r="B307" s="4" t="str">
        <x:f>IFERROR(INDEX(Items!$B$6:$B$1005,MATCH(A307,Items!$A$6:$A$1005,0)),"MISSING ID")</x:f>
        <x:v>Phagia ration bar</x:v>
      </x:c>
      <x:c r="C307" s="4" t="str">
        <x:f>IFERROR(INDEX(Items!$X$6:$X$1005,MATCH(A307,Items!$A$6:$A$1005,0)),"MISSING ID")</x:f>
        <x:v>Food consumable</x:v>
      </x:c>
      <x:c r="D307" s="4" t="str">
        <x:f>IFERROR(INDEX(Items!$C$6:$C$1005,MATCH(A307,Items!$A$6:$A$1005,0)),"MISSING ID")</x:f>
        <x:v>Not applicable</x:v>
      </x:c>
      <x:c r="E307" s="4" t="str">
        <x:v>Finished endpoint</x:v>
      </x:c>
      <x:c r="F307" s="14" t="n">
        <x:f>IFERROR(INDEX(Items!$AJ$6:$AJ$1005,MATCH(A307,Items!$A$6:$A$1005,0)),"MISSING ID")</x:f>
        <x:v>1</x:v>
      </x:c>
      <x:c r="G307" s="4" t="str">
        <x:v>Traced to cataloged T0 and/or recovered feeds</x:v>
      </x:c>
      <x:c r="H307" s="4" t="str">
        <x:v>Contained food-only vessels, Food preparation screen and dedicated food tools. Species/culture/mineral edibility and storage qualification unresolved.</x:v>
      </x:c>
      <x:c r="I307" s="4" t="str">
        <x:v>Research / source gated</x:v>
      </x:c>
      <x:c r="J307" s="4" t="str">
        <x:v>Contained culinary Phagia culture; Culinary Phagia binding paste; Fine culinary Phagia meal; 1 further conditional sources. Species/culture/mineral selection and edibility require design. No toxic industrial fraction is assumed edible.</x:v>
      </x:c>
    </x:row>
    <x:row r="308" ht="115" customHeight="1">
      <x:c r="A308" s="4" t="str">
        <x:v>proposal.food.dried_bar</x:v>
      </x:c>
      <x:c r="B308" s="4" t="str">
        <x:f>IFERROR(INDEX(Items!$B$6:$B$1005,MATCH(A308,Items!$A$6:$A$1005,0)),"MISSING ID")</x:f>
        <x:v>Dried Phagia travel bar</x:v>
      </x:c>
      <x:c r="C308" s="4" t="str">
        <x:f>IFERROR(INDEX(Items!$X$6:$X$1005,MATCH(A308,Items!$A$6:$A$1005,0)),"MISSING ID")</x:f>
        <x:v>Food consumable</x:v>
      </x:c>
      <x:c r="D308" s="4" t="str">
        <x:f>IFERROR(INDEX(Items!$C$6:$C$1005,MATCH(A308,Items!$A$6:$A$1005,0)),"MISSING ID")</x:f>
        <x:v>Not applicable</x:v>
      </x:c>
      <x:c r="E308" s="4" t="str">
        <x:v>Finished endpoint</x:v>
      </x:c>
      <x:c r="F308" s="14" t="n">
        <x:f>IFERROR(INDEX(Items!$AJ$6:$AJ$1005,MATCH(A308,Items!$A$6:$A$1005,0)),"MISSING ID")</x:f>
        <x:v>1</x:v>
      </x:c>
      <x:c r="G308" s="4" t="str">
        <x:v>Traced to cataloged T0 and/or recovered feeds</x:v>
      </x:c>
      <x:c r="H308" s="4" t="str">
        <x:v>Contained food-only vessels, Food preparation screen and dedicated food tools. Species/culture/mineral edibility and storage qualification unresolved.</x:v>
      </x:c>
      <x:c r="I308" s="4" t="str">
        <x:v>Research / source gated</x:v>
      </x:c>
      <x:c r="J308" s="4" t="str">
        <x:v>Contained culinary Phagia culture; Fine culinary Phagia meal; Pressed culinary Phagia flakes; 1 further conditional sources. Species/culture/mineral selection and edibility require design. No toxic industrial fraction is assumed edible.</x:v>
      </x:c>
    </x:row>
    <x:row r="309" ht="115" customHeight="1">
      <x:c r="A309" s="4" t="str">
        <x:v>proposal.food.meal_paste</x:v>
      </x:c>
      <x:c r="B309" s="4" t="str">
        <x:f>IFERROR(INDEX(Items!$B$6:$B$1005,MATCH(A309,Items!$A$6:$A$1005,0)),"MISSING ID")</x:f>
        <x:v>Prepared Phagia meal paste</x:v>
      </x:c>
      <x:c r="C309" s="4" t="str">
        <x:f>IFERROR(INDEX(Items!$X$6:$X$1005,MATCH(A309,Items!$A$6:$A$1005,0)),"MISSING ID")</x:f>
        <x:v>Food consumable</x:v>
      </x:c>
      <x:c r="D309" s="4" t="str">
        <x:f>IFERROR(INDEX(Items!$C$6:$C$1005,MATCH(A309,Items!$A$6:$A$1005,0)),"MISSING ID")</x:f>
        <x:v>Not applicable</x:v>
      </x:c>
      <x:c r="E309" s="4" t="str">
        <x:v>Finished endpoint</x:v>
      </x:c>
      <x:c r="F309" s="14" t="n">
        <x:f>IFERROR(INDEX(Items!$AJ$6:$AJ$1005,MATCH(A309,Items!$A$6:$A$1005,0)),"MISSING ID")</x:f>
        <x:v>1</x:v>
      </x:c>
      <x:c r="G309" s="4" t="str">
        <x:v>Traced to cataloged T0 and/or recovered feeds</x:v>
      </x:c>
      <x:c r="H309" s="4" t="str">
        <x:v>Contained food-only vessels, Food preparation screen and dedicated food tools. Species/culture/mineral edibility and storage qualification unresolved.</x:v>
      </x:c>
      <x:c r="I309" s="4" t="str">
        <x:v>Research / source gated</x:v>
      </x:c>
      <x:c r="J309" s="4" t="str">
        <x:v>Contained culinary Phagia culture; Culinary Phagia binding paste; Drained culinary Phagia curd; 1 further conditional sources. Species/culture/mineral selection and edibility require design. No toxic industrial fraction is assumed edible.</x:v>
      </x:c>
    </x:row>
    <x:row r="310" ht="115" customHeight="1">
      <x:c r="A310" s="4" t="str">
        <x:v>proposal.food.meal_portion</x:v>
      </x:c>
      <x:c r="B310" s="4" t="str">
        <x:f>IFERROR(INDEX(Items!$B$6:$B$1005,MATCH(A310,Items!$A$6:$A$1005,0)),"MISSING ID")</x:f>
        <x:v>Prepared Phagia meal portion</x:v>
      </x:c>
      <x:c r="C310" s="4" t="str">
        <x:f>IFERROR(INDEX(Items!$X$6:$X$1005,MATCH(A310,Items!$A$6:$A$1005,0)),"MISSING ID")</x:f>
        <x:v>Food consumable</x:v>
      </x:c>
      <x:c r="D310" s="4" t="str">
        <x:f>IFERROR(INDEX(Items!$C$6:$C$1005,MATCH(A310,Items!$A$6:$A$1005,0)),"MISSING ID")</x:f>
        <x:v>Not applicable</x:v>
      </x:c>
      <x:c r="E310" s="4" t="str">
        <x:v>Finished endpoint</x:v>
      </x:c>
      <x:c r="F310" s="14" t="n">
        <x:f>IFERROR(INDEX(Items!$AJ$6:$AJ$1005,MATCH(A310,Items!$A$6:$A$1005,0)),"MISSING ID")</x:f>
        <x:v>1</x:v>
      </x:c>
      <x:c r="G310" s="4" t="str">
        <x:v>Traced to cataloged T0 and/or recovered feeds</x:v>
      </x:c>
      <x:c r="H310" s="4" t="str">
        <x:v>Contained food-only vessels, Food preparation screen and dedicated food tools. Species/culture/mineral edibility and storage qualification unresolved.</x:v>
      </x:c>
      <x:c r="I310" s="4" t="str">
        <x:v>Research / source gated</x:v>
      </x:c>
      <x:c r="J310" s="4" t="str">
        <x:v>Contained culinary Phagia culture; Drained culinary Phagia curd; Fine culinary Phagia meal; 2 further conditional sources. Species/culture/mineral selection and edibility require design. No toxic industrial fraction is assumed edible.</x:v>
      </x:c>
    </x:row>
    <x:row r="311" ht="115" customHeight="1">
      <x:c r="A311" s="4" t="str">
        <x:v>proposal.food.fauna_flake_dish</x:v>
      </x:c>
      <x:c r="B311" s="4" t="str">
        <x:f>IFERROR(INDEX(Items!$B$6:$B$1005,MATCH(A311,Items!$A$6:$A$1005,0)),"MISSING ID")</x:f>
        <x:v>Phagia and edible-fauna flake delicacy</x:v>
      </x:c>
      <x:c r="C311" s="4" t="str">
        <x:f>IFERROR(INDEX(Items!$X$6:$X$1005,MATCH(A311,Items!$A$6:$A$1005,0)),"MISSING ID")</x:f>
        <x:v>Food consumable</x:v>
      </x:c>
      <x:c r="D311" s="4" t="str">
        <x:f>IFERROR(INDEX(Items!$C$6:$C$1005,MATCH(A311,Items!$A$6:$A$1005,0)),"MISSING ID")</x:f>
        <x:v>Not applicable</x:v>
      </x:c>
      <x:c r="E311" s="4" t="str">
        <x:v>Finished endpoint</x:v>
      </x:c>
      <x:c r="F311" s="14" t="n">
        <x:f>IFERROR(INDEX(Items!$AJ$6:$AJ$1005,MATCH(A311,Items!$A$6:$A$1005,0)),"MISSING ID")</x:f>
        <x:v>1</x:v>
      </x:c>
      <x:c r="G311" s="4" t="str">
        <x:v>Traced to cataloged T0 and/or recovered feeds</x:v>
      </x:c>
      <x:c r="H311" s="4" t="str">
        <x:v>Contained food-only vessels, Food preparation screen and dedicated food tools. Species/culture/mineral edibility and storage qualification unresolved.</x:v>
      </x:c>
      <x:c r="I311" s="4" t="str">
        <x:v>Research / source gated</x:v>
      </x:c>
      <x:c r="J311" s="4" t="str">
        <x:v>Edible fauna fraction (species TBD); Contained culinary Phagia culture; Pressed culinary Phagia flakes; 2 further conditional sources. Species/culture/mineral selection and edibility require design. No toxic industrial fraction is assumed edible.</x:v>
      </x:c>
    </x:row>
    <x:row r="312" ht="115" customHeight="1">
      <x:c r="A312" s="4" t="str">
        <x:v>proposal.food.layered_delicacy</x:v>
      </x:c>
      <x:c r="B312" s="4" t="str">
        <x:f>IFERROR(INDEX(Items!$B$6:$B$1005,MATCH(A312,Items!$A$6:$A$1005,0)),"MISSING ID")</x:f>
        <x:v>Layered Phagia-fauna delicacy</x:v>
      </x:c>
      <x:c r="C312" s="4" t="str">
        <x:f>IFERROR(INDEX(Items!$X$6:$X$1005,MATCH(A312,Items!$A$6:$A$1005,0)),"MISSING ID")</x:f>
        <x:v>Food consumable</x:v>
      </x:c>
      <x:c r="D312" s="4" t="str">
        <x:f>IFERROR(INDEX(Items!$C$6:$C$1005,MATCH(A312,Items!$A$6:$A$1005,0)),"MISSING ID")</x:f>
        <x:v>Not applicable</x:v>
      </x:c>
      <x:c r="E312" s="4" t="str">
        <x:v>Finished endpoint</x:v>
      </x:c>
      <x:c r="F312" s="14" t="n">
        <x:f>IFERROR(INDEX(Items!$AJ$6:$AJ$1005,MATCH(A312,Items!$A$6:$A$1005,0)),"MISSING ID")</x:f>
        <x:v>1</x:v>
      </x:c>
      <x:c r="G312" s="4" t="str">
        <x:v>Traced to cataloged T0 and/or recovered feeds</x:v>
      </x:c>
      <x:c r="H312" s="4" t="str">
        <x:v>Contained food-only vessels, Food preparation screen and dedicated food tools. Species/culture/mineral edibility and storage qualification unresolved.</x:v>
      </x:c>
      <x:c r="I312" s="4" t="str">
        <x:v>Research / source gated</x:v>
      </x:c>
      <x:c r="J312" s="4" t="str">
        <x:v>Edible fauna fraction (species TBD); Contained culinary Phagia culture; Drained culinary Phagia curd; 4 further conditional sources. Species/culture/mineral selection and edibility require design. No toxic industrial fraction is assumed edible.</x:v>
      </x:c>
    </x:row>
    <x:row r="313" ht="115" customHeight="1">
      <x:c r="A313" s="4" t="str">
        <x:v>proposal.food.crisp_delicacy</x:v>
      </x:c>
      <x:c r="B313" s="4" t="str">
        <x:f>IFERROR(INDEX(Items!$B$6:$B$1005,MATCH(A313,Items!$A$6:$A$1005,0)),"MISSING ID")</x:f>
        <x:v>Crisp Phagia-fauna wafer</x:v>
      </x:c>
      <x:c r="C313" s="4" t="str">
        <x:f>IFERROR(INDEX(Items!$X$6:$X$1005,MATCH(A313,Items!$A$6:$A$1005,0)),"MISSING ID")</x:f>
        <x:v>Food consumable</x:v>
      </x:c>
      <x:c r="D313" s="4" t="str">
        <x:f>IFERROR(INDEX(Items!$C$6:$C$1005,MATCH(A313,Items!$A$6:$A$1005,0)),"MISSING ID")</x:f>
        <x:v>Not applicable</x:v>
      </x:c>
      <x:c r="E313" s="4" t="str">
        <x:v>Finished endpoint</x:v>
      </x:c>
      <x:c r="F313" s="14" t="n">
        <x:f>IFERROR(INDEX(Items!$AJ$6:$AJ$1005,MATCH(A313,Items!$A$6:$A$1005,0)),"MISSING ID")</x:f>
        <x:v>1</x:v>
      </x:c>
      <x:c r="G313" s="4" t="str">
        <x:v>Traced to cataloged T0 and/or recovered feeds</x:v>
      </x:c>
      <x:c r="H313" s="4" t="str">
        <x:v>Contained food-only vessels, Food preparation screen and dedicated food tools. Species/culture/mineral edibility and storage qualification unresolved.</x:v>
      </x:c>
      <x:c r="I313" s="4" t="str">
        <x:v>Research / source gated</x:v>
      </x:c>
      <x:c r="J313" s="4" t="str">
        <x:v>Edible fauna fraction (species TBD); Contained culinary Phagia culture; Dried edible-fauna granules; 2 further conditional sources. Species/culture/mineral selection and edibility require design. No toxic industrial fraction is assumed edible.</x:v>
      </x:c>
    </x:row>
    <x:row r="314" ht="115" customHeight="1">
      <x:c r="A314" s="4" t="str">
        <x:v>proposal.food.edible_flakes</x:v>
      </x:c>
      <x:c r="B314" s="4" t="str">
        <x:f>IFERROR(INDEX(Items!$B$6:$B$1005,MATCH(A314,Items!$A$6:$A$1005,0)),"MISSING ID")</x:f>
        <x:v>Prepared edible-fauna flakes</x:v>
      </x:c>
      <x:c r="C314" s="4" t="str">
        <x:f>IFERROR(INDEX(Items!$X$6:$X$1005,MATCH(A314,Items!$A$6:$A$1005,0)),"MISSING ID")</x:f>
        <x:v>Food material</x:v>
      </x:c>
      <x:c r="D314" s="4" t="str">
        <x:f>IFERROR(INDEX(Items!$C$6:$C$1005,MATCH(A314,Items!$A$6:$A$1005,0)),"MISSING ID")</x:f>
        <x:v>T1</x:v>
      </x:c>
      <x:c r="E314" s="4" t="str">
        <x:v>Manufactured stock / part</x:v>
      </x:c>
      <x:c r="F314" s="14" t="n">
        <x:f>IFERROR(INDEX(Items!$AJ$6:$AJ$1005,MATCH(A314,Items!$A$6:$A$1005,0)),"MISSING ID")</x:f>
        <x:v>1</x:v>
      </x:c>
      <x:c r="G314" s="4" t="str">
        <x:v>Traced to cataloged T0 and/or recovered feeds</x:v>
      </x:c>
      <x:c r="H314" s="4" t="str">
        <x:v>Contained food-only vessels, Food preparation screen and dedicated food tools. Species/culture/mineral edibility and storage qualification unresolved.</x:v>
      </x:c>
      <x:c r="I314" s="4" t="str">
        <x:v>Research / source gated</x:v>
      </x:c>
      <x:c r="J314" s="4" t="str">
        <x:v>Edible fauna fraction (species TBD); Prepared edible-fauna flakes. Species/culture/mineral selection and edibility require design. No toxic industrial fraction is assumed edible.</x:v>
      </x:c>
    </x:row>
    <x:row r="315" ht="115" customHeight="1">
      <x:c r="A315" s="4" t="str">
        <x:v>proposal.food.edible_paste</x:v>
      </x:c>
      <x:c r="B315" s="4" t="str">
        <x:f>IFERROR(INDEX(Items!$B$6:$B$1005,MATCH(A315,Items!$A$6:$A$1005,0)),"MISSING ID")</x:f>
        <x:v>Prepared edible-fauna paste</x:v>
      </x:c>
      <x:c r="C315" s="4" t="str">
        <x:f>IFERROR(INDEX(Items!$X$6:$X$1005,MATCH(A315,Items!$A$6:$A$1005,0)),"MISSING ID")</x:f>
        <x:v>Food material</x:v>
      </x:c>
      <x:c r="D315" s="4" t="str">
        <x:f>IFERROR(INDEX(Items!$C$6:$C$1005,MATCH(A315,Items!$A$6:$A$1005,0)),"MISSING ID")</x:f>
        <x:v>T1</x:v>
      </x:c>
      <x:c r="E315" s="4" t="str">
        <x:v>Manufactured stock / part</x:v>
      </x:c>
      <x:c r="F315" s="14" t="n">
        <x:f>IFERROR(INDEX(Items!$AJ$6:$AJ$1005,MATCH(A315,Items!$A$6:$A$1005,0)),"MISSING ID")</x:f>
        <x:v>1</x:v>
      </x:c>
      <x:c r="G315" s="4" t="str">
        <x:v>Traced to cataloged T0 and/or recovered feeds</x:v>
      </x:c>
      <x:c r="H315" s="4" t="str">
        <x:v>Contained food-only vessels, Food preparation screen and dedicated food tools. Species/culture/mineral edibility and storage qualification unresolved.</x:v>
      </x:c>
      <x:c r="I315" s="4" t="str">
        <x:v>Research / source gated</x:v>
      </x:c>
      <x:c r="J315" s="4" t="str">
        <x:v>Edible fauna fraction (species TBD); Prepared edible-fauna paste. Species/culture/mineral selection and edibility require design. No toxic industrial fraction is assumed edible.</x:v>
      </x:c>
    </x:row>
    <x:row r="316" ht="115" customHeight="1">
      <x:c r="A316" s="4" t="str">
        <x:v>proposal.food.drink_flask</x:v>
      </x:c>
      <x:c r="B316" s="4" t="str">
        <x:f>IFERROR(INDEX(Items!$B$6:$B$1005,MATCH(A316,Items!$A$6:$A$1005,0)),"MISSING ID")</x:f>
        <x:v>Reusable Phagia drinking flask</x:v>
      </x:c>
      <x:c r="C316" s="4" t="str">
        <x:f>IFERROR(INDEX(Items!$X$6:$X$1005,MATCH(A316,Items!$A$6:$A$1005,0)),"MISSING ID")</x:f>
        <x:v>Container</x:v>
      </x:c>
      <x:c r="D316" s="4" t="str">
        <x:f>IFERROR(INDEX(Items!$C$6:$C$1005,MATCH(A316,Items!$A$6:$A$1005,0)),"MISSING ID")</x:f>
        <x:v>Not applicable</x:v>
      </x:c>
      <x:c r="E316" s="4" t="str">
        <x:v>Finished endpoint</x:v>
      </x:c>
      <x:c r="F316" s="14" t="n">
        <x:f>IFERROR(INDEX(Items!$AJ$6:$AJ$1005,MATCH(A316,Items!$A$6:$A$1005,0)),"MISSING ID")</x:f>
        <x:v>1</x:v>
      </x:c>
      <x:c r="G316" s="4" t="str">
        <x:v>Traced to cataloged T0 and/or recovered feeds</x:v>
      </x:c>
      <x:c r="H316" s="4" t="str">
        <x:v>Controlled-heating firing kiln or specialist glass hot-work station; Ceramic firing tray / Ceramic casting mold as applicable. Qualified power, heat and atmosphere required.</x:v>
      </x:c>
      <x:c r="I316" s="4" t="str">
        <x:v>Candidate path traced</x:v>
      </x:c>
      <x:c r="J316" s="4" t="str">
        <x:v>Dimensions, grade, process qualification, quantity and yield remain open.</x:v>
      </x:c>
    </x:row>
    <x:row r="317" ht="115" customHeight="1">
      <x:c r="A317" s="4" t="str">
        <x:v>proposal.food.bar_case</x:v>
      </x:c>
      <x:c r="B317" s="4" t="str">
        <x:f>IFERROR(INDEX(Items!$B$6:$B$1005,MATCH(A317,Items!$A$6:$A$1005,0)),"MISSING ID")</x:f>
        <x:v>Phagia ration-bar case</x:v>
      </x:c>
      <x:c r="C317" s="4" t="str">
        <x:f>IFERROR(INDEX(Items!$X$6:$X$1005,MATCH(A317,Items!$A$6:$A$1005,0)),"MISSING ID")</x:f>
        <x:v>Carrier</x:v>
      </x:c>
      <x:c r="D317" s="4" t="str">
        <x:f>IFERROR(INDEX(Items!$C$6:$C$1005,MATCH(A317,Items!$A$6:$A$1005,0)),"MISSING ID")</x:f>
        <x:v>Not applicable</x:v>
      </x:c>
      <x:c r="E317" s="4" t="str">
        <x:v>Finished endpoint</x:v>
      </x:c>
      <x:c r="F317" s="14" t="n">
        <x:f>IFERROR(INDEX(Items!$AJ$6:$AJ$1005,MATCH(A317,Items!$A$6:$A$1005,0)),"MISSING ID")</x:f>
        <x:v>1</x:v>
      </x:c>
      <x:c r="G317" s="4" t="str">
        <x:v>Traced to cataloged T0 and/or recovered feeds</x:v>
      </x:c>
      <x:c r="H317" s="4" t="str">
        <x:v>Forge hearth, Anvil, Forging hammer, Smithing tongs, Metalworking file and Hand-cranked metal drill as applicable. Existing workshop bootstrap and controlled heating/cooling required; no free-water quench assumed.</x:v>
      </x:c>
      <x:c r="I317" s="4" t="str">
        <x:v>Candidate path traced</x:v>
      </x:c>
      <x:c r="J317" s="4" t="str">
        <x:v>Dimensions, grade, process qualification, quantity and yield remain open.</x:v>
      </x:c>
    </x:row>
    <x:row r="318" ht="115" customHeight="1">
      <x:c r="A318" s="4"/>
      <x:c r="B318" s="4"/>
      <x:c r="C318" s="4"/>
      <x:c r="D318" s="4"/>
      <x:c r="E318" s="4"/>
      <x:c r="F318" s="14"/>
      <x:c r="G318" s="4"/>
      <x:c r="H318" s="4"/>
      <x:c r="I318" s="4"/>
      <x:c r="J318" s="4"/>
    </x:row>
    <x:row r="319" ht="115" customHeight="1">
      <x:c r="A319" s="4"/>
      <x:c r="B319" s="4"/>
      <x:c r="C319" s="4"/>
      <x:c r="D319" s="4"/>
      <x:c r="E319" s="4"/>
      <x:c r="F319" s="14"/>
      <x:c r="G319" s="4"/>
      <x:c r="H319" s="4"/>
      <x:c r="I319" s="4"/>
      <x:c r="J319" s="4"/>
    </x:row>
    <x:row r="320" ht="115" customHeight="1">
      <x:c r="A320" s="4"/>
      <x:c r="B320" s="4"/>
      <x:c r="C320" s="4"/>
      <x:c r="D320" s="4"/>
      <x:c r="E320" s="4"/>
      <x:c r="F320" s="14"/>
      <x:c r="G320" s="4"/>
      <x:c r="H320" s="4"/>
      <x:c r="I320" s="4"/>
      <x:c r="J320" s="4"/>
    </x:row>
    <x:row r="321" ht="115" customHeight="1">
      <x:c r="A321" s="4" t="str">
        <x:v>proposal.raw.pumice</x:v>
      </x:c>
      <x:c r="B321" s="4" t="str">
        <x:f>IFERROR(INDEX(Items!$B$6:$B$1005,MATCH(A321,Items!$A$6:$A$1005,0)),"MISSING ID")</x:f>
        <x:v>Pumice lumps</x:v>
      </x:c>
      <x:c r="C321" s="4" t="str">
        <x:f>IFERROR(INDEX(Items!$X$6:$X$1005,MATCH(A321,Items!$A$6:$A$1005,0)),"MISSING ID")</x:f>
        <x:v>Raw material</x:v>
      </x:c>
      <x:c r="D321" s="4" t="str">
        <x:f>IFERROR(INDEX(Items!$C$6:$C$1005,MATCH(A321,Items!$A$6:$A$1005,0)),"MISSING ID")</x:f>
        <x:v>T0</x:v>
      </x:c>
      <x:c r="E321" s="4" t="str">
        <x:v>Raw source</x:v>
      </x:c>
      <x:c r="F321" s="14" t="n">
        <x:f>IFERROR(INDEX(Items!$AJ$6:$AJ$1005,MATCH(A321,Items!$A$6:$A$1005,0)),"MISSING ID")</x:f>
        <x:v>0</x:v>
      </x:c>
      <x:c r="G321" s="4" t="str">
        <x:v>Source, recovery or issue route applies</x:v>
      </x:c>
      <x:c r="H321" s="4" t="str">
        <x:v>Not a selected manufacturing route</x:v>
      </x:c>
      <x:c r="I321" s="4" t="str">
        <x:v>Raw entry feed</x:v>
      </x:c>
      <x:c r="J321" s="4" t="str">
        <x:v>Source grade, collection, contamination and yield remain open.</x:v>
      </x:c>
    </x:row>
    <x:row r="322" ht="115" customHeight="1">
      <x:c r="A322" s="4" t="str">
        <x:v>proposal.raw.feldspar</x:v>
      </x:c>
      <x:c r="B322" s="4" t="str">
        <x:f>IFERROR(INDEX(Items!$B$6:$B$1005,MATCH(A322,Items!$A$6:$A$1005,0)),"MISSING ID")</x:f>
        <x:v>Feldspar fragments</x:v>
      </x:c>
      <x:c r="C322" s="4" t="str">
        <x:f>IFERROR(INDEX(Items!$X$6:$X$1005,MATCH(A322,Items!$A$6:$A$1005,0)),"MISSING ID")</x:f>
        <x:v>Raw material</x:v>
      </x:c>
      <x:c r="D322" s="4" t="str">
        <x:f>IFERROR(INDEX(Items!$C$6:$C$1005,MATCH(A322,Items!$A$6:$A$1005,0)),"MISSING ID")</x:f>
        <x:v>T0</x:v>
      </x:c>
      <x:c r="E322" s="4" t="str">
        <x:v>Raw source</x:v>
      </x:c>
      <x:c r="F322" s="14" t="n">
        <x:f>IFERROR(INDEX(Items!$AJ$6:$AJ$1005,MATCH(A322,Items!$A$6:$A$1005,0)),"MISSING ID")</x:f>
        <x:v>0</x:v>
      </x:c>
      <x:c r="G322" s="4" t="str">
        <x:v>Source, recovery or issue route applies</x:v>
      </x:c>
      <x:c r="H322" s="4" t="str">
        <x:v>Not a selected manufacturing route</x:v>
      </x:c>
      <x:c r="I322" s="4" t="str">
        <x:v>Raw entry feed</x:v>
      </x:c>
      <x:c r="J322" s="4" t="str">
        <x:v>Source grade, collection, contamination and yield remain open.</x:v>
      </x:c>
    </x:row>
    <x:row r="323" ht="115" customHeight="1">
      <x:c r="A323" s="4" t="str">
        <x:v>proposal.raw.spines</x:v>
      </x:c>
      <x:c r="B323" s="4" t="str">
        <x:f>IFERROR(INDEX(Items!$B$6:$B$1005,MATCH(A323,Items!$A$6:$A$1005,0)),"MISSING ID")</x:f>
        <x:v>Loose fauna spines</x:v>
      </x:c>
      <x:c r="C323" s="4" t="str">
        <x:f>IFERROR(INDEX(Items!$X$6:$X$1005,MATCH(A323,Items!$A$6:$A$1005,0)),"MISSING ID")</x:f>
        <x:v>Raw material</x:v>
      </x:c>
      <x:c r="D323" s="4" t="str">
        <x:f>IFERROR(INDEX(Items!$C$6:$C$1005,MATCH(A323,Items!$A$6:$A$1005,0)),"MISSING ID")</x:f>
        <x:v>T0</x:v>
      </x:c>
      <x:c r="E323" s="4" t="str">
        <x:v>Raw source</x:v>
      </x:c>
      <x:c r="F323" s="14" t="n">
        <x:f>IFERROR(INDEX(Items!$AJ$6:$AJ$1005,MATCH(A323,Items!$A$6:$A$1005,0)),"MISSING ID")</x:f>
        <x:v>0</x:v>
      </x:c>
      <x:c r="G323" s="4" t="str">
        <x:v>Source, recovery or issue route applies</x:v>
      </x:c>
      <x:c r="H323" s="4" t="str">
        <x:v>Not a selected manufacturing route</x:v>
      </x:c>
      <x:c r="I323" s="4" t="str">
        <x:v>Raw entry feed</x:v>
      </x:c>
      <x:c r="J323" s="4" t="str">
        <x:v>Source grade, collection, contamination and yield remain open.</x:v>
      </x:c>
    </x:row>
    <x:row r="324" ht="115" customHeight="1">
      <x:c r="A324" s="4" t="str">
        <x:v>proposal.raw.claws</x:v>
      </x:c>
      <x:c r="B324" s="4" t="str">
        <x:f>IFERROR(INDEX(Items!$B$6:$B$1005,MATCH(A324,Items!$A$6:$A$1005,0)),"MISSING ID")</x:f>
        <x:v>Fauna claw tips</x:v>
      </x:c>
      <x:c r="C324" s="4" t="str">
        <x:f>IFERROR(INDEX(Items!$X$6:$X$1005,MATCH(A324,Items!$A$6:$A$1005,0)),"MISSING ID")</x:f>
        <x:v>Raw material</x:v>
      </x:c>
      <x:c r="D324" s="4" t="str">
        <x:f>IFERROR(INDEX(Items!$C$6:$C$1005,MATCH(A324,Items!$A$6:$A$1005,0)),"MISSING ID")</x:f>
        <x:v>T0</x:v>
      </x:c>
      <x:c r="E324" s="4" t="str">
        <x:v>Raw source</x:v>
      </x:c>
      <x:c r="F324" s="14" t="n">
        <x:f>IFERROR(INDEX(Items!$AJ$6:$AJ$1005,MATCH(A324,Items!$A$6:$A$1005,0)),"MISSING ID")</x:f>
        <x:v>0</x:v>
      </x:c>
      <x:c r="G324" s="4" t="str">
        <x:v>Source, recovery or issue route applies</x:v>
      </x:c>
      <x:c r="H324" s="4" t="str">
        <x:v>Not a selected manufacturing route</x:v>
      </x:c>
      <x:c r="I324" s="4" t="str">
        <x:v>Raw entry feed</x:v>
      </x:c>
      <x:c r="J324" s="4" t="str">
        <x:v>Source grade, collection, contamination and yield remain open.</x:v>
      </x:c>
    </x:row>
    <x:row r="325" ht="115" customHeight="1">
      <x:c r="A325" s="4" t="str">
        <x:v>proposal.raw.brood_casing</x:v>
      </x:c>
      <x:c r="B325" s="4" t="str">
        <x:f>IFERROR(INDEX(Items!$B$6:$B$1005,MATCH(A325,Items!$A$6:$A$1005,0)),"MISSING ID")</x:f>
        <x:v>Empty brood casings</x:v>
      </x:c>
      <x:c r="C325" s="4" t="str">
        <x:f>IFERROR(INDEX(Items!$X$6:$X$1005,MATCH(A325,Items!$A$6:$A$1005,0)),"MISSING ID")</x:f>
        <x:v>Raw material</x:v>
      </x:c>
      <x:c r="D325" s="4" t="str">
        <x:f>IFERROR(INDEX(Items!$C$6:$C$1005,MATCH(A325,Items!$A$6:$A$1005,0)),"MISSING ID")</x:f>
        <x:v>T0</x:v>
      </x:c>
      <x:c r="E325" s="4" t="str">
        <x:v>Raw source</x:v>
      </x:c>
      <x:c r="F325" s="14" t="n">
        <x:f>IFERROR(INDEX(Items!$AJ$6:$AJ$1005,MATCH(A325,Items!$A$6:$A$1005,0)),"MISSING ID")</x:f>
        <x:v>0</x:v>
      </x:c>
      <x:c r="G325" s="4" t="str">
        <x:v>Source, recovery or issue route applies</x:v>
      </x:c>
      <x:c r="H325" s="4" t="str">
        <x:v>Not a selected manufacturing route</x:v>
      </x:c>
      <x:c r="I325" s="4" t="str">
        <x:v>Raw entry feed</x:v>
      </x:c>
      <x:c r="J325" s="4" t="str">
        <x:v>Source grade, collection, contamination and yield remain open.</x:v>
      </x:c>
    </x:row>
    <x:row r="326" ht="115" customHeight="1">
      <x:c r="A326" s="4" t="str">
        <x:v>proposal.raw.antenna_sheath</x:v>
      </x:c>
      <x:c r="B326" s="4" t="str">
        <x:f>IFERROR(INDEX(Items!$B$6:$B$1005,MATCH(A326,Items!$A$6:$A$1005,0)),"MISSING ID")</x:f>
        <x:v>Empty antenna sheaths</x:v>
      </x:c>
      <x:c r="C326" s="4" t="str">
        <x:f>IFERROR(INDEX(Items!$X$6:$X$1005,MATCH(A326,Items!$A$6:$A$1005,0)),"MISSING ID")</x:f>
        <x:v>Raw material</x:v>
      </x:c>
      <x:c r="D326" s="4" t="str">
        <x:f>IFERROR(INDEX(Items!$C$6:$C$1005,MATCH(A326,Items!$A$6:$A$1005,0)),"MISSING ID")</x:f>
        <x:v>T0</x:v>
      </x:c>
      <x:c r="E326" s="4" t="str">
        <x:v>Raw source</x:v>
      </x:c>
      <x:c r="F326" s="14" t="n">
        <x:f>IFERROR(INDEX(Items!$AJ$6:$AJ$1005,MATCH(A326,Items!$A$6:$A$1005,0)),"MISSING ID")</x:f>
        <x:v>0</x:v>
      </x:c>
      <x:c r="G326" s="4" t="str">
        <x:v>Source, recovery or issue route applies</x:v>
      </x:c>
      <x:c r="H326" s="4" t="str">
        <x:v>Not a selected manufacturing route</x:v>
      </x:c>
      <x:c r="I326" s="4" t="str">
        <x:v>Raw entry feed</x:v>
      </x:c>
      <x:c r="J326" s="4" t="str">
        <x:v>Source grade, collection, contamination and yield remain open.</x:v>
      </x:c>
    </x:row>
    <x:row r="327" ht="115" customHeight="1">
      <x:c r="A327" s="4" t="str">
        <x:v>proposal.raw.wing_ribs</x:v>
      </x:c>
      <x:c r="B327" s="4" t="str">
        <x:f>IFERROR(INDEX(Items!$B$6:$B$1005,MATCH(A327,Items!$A$6:$A$1005,0)),"MISSING ID")</x:f>
        <x:v>Insectoid wing ribs</x:v>
      </x:c>
      <x:c r="C327" s="4" t="str">
        <x:f>IFERROR(INDEX(Items!$X$6:$X$1005,MATCH(A327,Items!$A$6:$A$1005,0)),"MISSING ID")</x:f>
        <x:v>Raw material</x:v>
      </x:c>
      <x:c r="D327" s="4" t="str">
        <x:f>IFERROR(INDEX(Items!$C$6:$C$1005,MATCH(A327,Items!$A$6:$A$1005,0)),"MISSING ID")</x:f>
        <x:v>T0</x:v>
      </x:c>
      <x:c r="E327" s="4" t="str">
        <x:v>Raw source</x:v>
      </x:c>
      <x:c r="F327" s="14" t="n">
        <x:f>IFERROR(INDEX(Items!$AJ$6:$AJ$1005,MATCH(A327,Items!$A$6:$A$1005,0)),"MISSING ID")</x:f>
        <x:v>0</x:v>
      </x:c>
      <x:c r="G327" s="4" t="str">
        <x:v>Source, recovery or issue route applies</x:v>
      </x:c>
      <x:c r="H327" s="4" t="str">
        <x:v>Not a selected manufacturing route</x:v>
      </x:c>
      <x:c r="I327" s="4" t="str">
        <x:v>Raw entry feed</x:v>
      </x:c>
      <x:c r="J327" s="4" t="str">
        <x:v>Source grade, collection, contamination and yield remain open.</x:v>
      </x:c>
    </x:row>
    <x:row r="328" ht="115" customHeight="1">
      <x:c r="A328" s="4" t="str">
        <x:v>proposal.raw.ceramic_shards</x:v>
      </x:c>
      <x:c r="B328" s="4" t="str">
        <x:f>IFERROR(INDEX(Items!$B$6:$B$1005,MATCH(A328,Items!$A$6:$A$1005,0)),"MISSING ID")</x:f>
        <x:v>Broken ceramic shards</x:v>
      </x:c>
      <x:c r="C328" s="4" t="str">
        <x:f>IFERROR(INDEX(Items!$X$6:$X$1005,MATCH(A328,Items!$A$6:$A$1005,0)),"MISSING ID")</x:f>
        <x:v>Raw material</x:v>
      </x:c>
      <x:c r="D328" s="4" t="str">
        <x:f>IFERROR(INDEX(Items!$C$6:$C$1005,MATCH(A328,Items!$A$6:$A$1005,0)),"MISSING ID")</x:f>
        <x:v>T0</x:v>
      </x:c>
      <x:c r="E328" s="4" t="str">
        <x:v>Raw source</x:v>
      </x:c>
      <x:c r="F328" s="14" t="n">
        <x:f>IFERROR(INDEX(Items!$AJ$6:$AJ$1005,MATCH(A328,Items!$A$6:$A$1005,0)),"MISSING ID")</x:f>
        <x:v>0</x:v>
      </x:c>
      <x:c r="G328" s="4" t="str">
        <x:v>Source, recovery or issue route applies</x:v>
      </x:c>
      <x:c r="H328" s="4" t="str">
        <x:v>Not a selected manufacturing route</x:v>
      </x:c>
      <x:c r="I328" s="4" t="str">
        <x:v>Raw entry feed</x:v>
      </x:c>
      <x:c r="J328" s="4" t="str">
        <x:v>Source grade, collection, contamination and yield remain open.</x:v>
      </x:c>
    </x:row>
    <x:row r="329" ht="115" customHeight="1">
      <x:c r="A329" s="4" t="str">
        <x:v>proposal.raw.glass_shards</x:v>
      </x:c>
      <x:c r="B329" s="4" t="str">
        <x:f>IFERROR(INDEX(Items!$B$6:$B$1005,MATCH(A329,Items!$A$6:$A$1005,0)),"MISSING ID")</x:f>
        <x:v>Broken glass pieces</x:v>
      </x:c>
      <x:c r="C329" s="4" t="str">
        <x:f>IFERROR(INDEX(Items!$X$6:$X$1005,MATCH(A329,Items!$A$6:$A$1005,0)),"MISSING ID")</x:f>
        <x:v>Raw material</x:v>
      </x:c>
      <x:c r="D329" s="4" t="str">
        <x:f>IFERROR(INDEX(Items!$C$6:$C$1005,MATCH(A329,Items!$A$6:$A$1005,0)),"MISSING ID")</x:f>
        <x:v>T0</x:v>
      </x:c>
      <x:c r="E329" s="4" t="str">
        <x:v>Raw source</x:v>
      </x:c>
      <x:c r="F329" s="14" t="n">
        <x:f>IFERROR(INDEX(Items!$AJ$6:$AJ$1005,MATCH(A329,Items!$A$6:$A$1005,0)),"MISSING ID")</x:f>
        <x:v>0</x:v>
      </x:c>
      <x:c r="G329" s="4" t="str">
        <x:v>Source, recovery or issue route applies</x:v>
      </x:c>
      <x:c r="H329" s="4" t="str">
        <x:v>Not a selected manufacturing route</x:v>
      </x:c>
      <x:c r="I329" s="4" t="str">
        <x:v>Raw entry feed</x:v>
      </x:c>
      <x:c r="J329" s="4" t="str">
        <x:v>Source grade, collection, contamination and yield remain open.</x:v>
      </x:c>
    </x:row>
    <x:row r="330" ht="115" customHeight="1">
      <x:c r="A330" s="4" t="str">
        <x:v>proposal.raw.spring_strips</x:v>
      </x:c>
      <x:c r="B330" s="4" t="str">
        <x:f>IFERROR(INDEX(Items!$B$6:$B$1005,MATCH(A330,Items!$A$6:$A$1005,0)),"MISSING ID")</x:f>
        <x:v>Salvaged spring-metal strips</x:v>
      </x:c>
      <x:c r="C330" s="4" t="str">
        <x:f>IFERROR(INDEX(Items!$X$6:$X$1005,MATCH(A330,Items!$A$6:$A$1005,0)),"MISSING ID")</x:f>
        <x:v>Raw material</x:v>
      </x:c>
      <x:c r="D330" s="4" t="str">
        <x:f>IFERROR(INDEX(Items!$C$6:$C$1005,MATCH(A330,Items!$A$6:$A$1005,0)),"MISSING ID")</x:f>
        <x:v>T0</x:v>
      </x:c>
      <x:c r="E330" s="4" t="str">
        <x:v>Raw source</x:v>
      </x:c>
      <x:c r="F330" s="14" t="n">
        <x:f>IFERROR(INDEX(Items!$AJ$6:$AJ$1005,MATCH(A330,Items!$A$6:$A$1005,0)),"MISSING ID")</x:f>
        <x:v>0</x:v>
      </x:c>
      <x:c r="G330" s="4" t="str">
        <x:v>Source, recovery or issue route applies</x:v>
      </x:c>
      <x:c r="H330" s="4" t="str">
        <x:v>Not a selected manufacturing route</x:v>
      </x:c>
      <x:c r="I330" s="4" t="str">
        <x:v>Raw entry feed</x:v>
      </x:c>
      <x:c r="J330" s="4" t="str">
        <x:v>Source grade, collection, contamination and yield remain open.</x:v>
      </x:c>
    </x:row>
    <x:row r="331" ht="115" customHeight="1">
      <x:c r="A331" s="4" t="str">
        <x:v>proposal.raw.metal_cable</x:v>
      </x:c>
      <x:c r="B331" s="4" t="str">
        <x:f>IFERROR(INDEX(Items!$B$6:$B$1005,MATCH(A331,Items!$A$6:$A$1005,0)),"MISSING ID")</x:f>
        <x:v>Salvaged metal cable</x:v>
      </x:c>
      <x:c r="C331" s="4" t="str">
        <x:f>IFERROR(INDEX(Items!$X$6:$X$1005,MATCH(A331,Items!$A$6:$A$1005,0)),"MISSING ID")</x:f>
        <x:v>Raw material</x:v>
      </x:c>
      <x:c r="D331" s="4" t="str">
        <x:f>IFERROR(INDEX(Items!$C$6:$C$1005,MATCH(A331,Items!$A$6:$A$1005,0)),"MISSING ID")</x:f>
        <x:v>T0</x:v>
      </x:c>
      <x:c r="E331" s="4" t="str">
        <x:v>Raw source</x:v>
      </x:c>
      <x:c r="F331" s="14" t="n">
        <x:f>IFERROR(INDEX(Items!$AJ$6:$AJ$1005,MATCH(A331,Items!$A$6:$A$1005,0)),"MISSING ID")</x:f>
        <x:v>0</x:v>
      </x:c>
      <x:c r="G331" s="4" t="str">
        <x:v>Source, recovery or issue route applies</x:v>
      </x:c>
      <x:c r="H331" s="4" t="str">
        <x:v>Not a selected manufacturing route</x:v>
      </x:c>
      <x:c r="I331" s="4" t="str">
        <x:v>Raw entry feed</x:v>
      </x:c>
      <x:c r="J331" s="4" t="str">
        <x:v>Source grade, collection, contamination and yield remain open.</x:v>
      </x:c>
    </x:row>
    <x:row r="332" ht="115" customHeight="1">
      <x:c r="A332" s="4" t="str">
        <x:v>proposal.raw.metal_mesh</x:v>
      </x:c>
      <x:c r="B332" s="4" t="str">
        <x:f>IFERROR(INDEX(Items!$B$6:$B$1005,MATCH(A332,Items!$A$6:$A$1005,0)),"MISSING ID")</x:f>
        <x:v>Metal mesh scrap</x:v>
      </x:c>
      <x:c r="C332" s="4" t="str">
        <x:f>IFERROR(INDEX(Items!$X$6:$X$1005,MATCH(A332,Items!$A$6:$A$1005,0)),"MISSING ID")</x:f>
        <x:v>Raw material</x:v>
      </x:c>
      <x:c r="D332" s="4" t="str">
        <x:f>IFERROR(INDEX(Items!$C$6:$C$1005,MATCH(A332,Items!$A$6:$A$1005,0)),"MISSING ID")</x:f>
        <x:v>T0</x:v>
      </x:c>
      <x:c r="E332" s="4" t="str">
        <x:v>Raw source</x:v>
      </x:c>
      <x:c r="F332" s="14" t="n">
        <x:f>IFERROR(INDEX(Items!$AJ$6:$AJ$1005,MATCH(A332,Items!$A$6:$A$1005,0)),"MISSING ID")</x:f>
        <x:v>0</x:v>
      </x:c>
      <x:c r="G332" s="4" t="str">
        <x:v>Source, recovery or issue route applies</x:v>
      </x:c>
      <x:c r="H332" s="4" t="str">
        <x:v>Not a selected manufacturing route</x:v>
      </x:c>
      <x:c r="I332" s="4" t="str">
        <x:v>Raw entry feed</x:v>
      </x:c>
      <x:c r="J332" s="4" t="str">
        <x:v>Source grade, collection, contamination and yield remain open.</x:v>
      </x:c>
    </x:row>
    <x:row r="333" ht="115" customHeight="1">
      <x:c r="A333" s="4"/>
      <x:c r="B333" s="4"/>
      <x:c r="C333" s="4"/>
      <x:c r="D333" s="4"/>
      <x:c r="E333" s="4"/>
      <x:c r="F333" s="14"/>
      <x:c r="G333" s="4"/>
      <x:c r="H333" s="4"/>
      <x:c r="I333" s="4"/>
      <x:c r="J333" s="4"/>
    </x:row>
    <x:row r="334" ht="115" customHeight="1">
      <x:c r="A334" s="4" t="str">
        <x:v>proposal.raw.spent_refractory</x:v>
      </x:c>
      <x:c r="B334" s="4" t="str">
        <x:f>IFERROR(INDEX(Items!$B$6:$B$1005,MATCH(A334,Items!$A$6:$A$1005,0)),"MISSING ID")</x:f>
        <x:v>Spent refractory chunks</x:v>
      </x:c>
      <x:c r="C334" s="4" t="str">
        <x:f>IFERROR(INDEX(Items!$X$6:$X$1005,MATCH(A334,Items!$A$6:$A$1005,0)),"MISSING ID")</x:f>
        <x:v>Raw material</x:v>
      </x:c>
      <x:c r="D334" s="4" t="str">
        <x:f>IFERROR(INDEX(Items!$C$6:$C$1005,MATCH(A334,Items!$A$6:$A$1005,0)),"MISSING ID")</x:f>
        <x:v>T0</x:v>
      </x:c>
      <x:c r="E334" s="4" t="str">
        <x:v>Raw source</x:v>
      </x:c>
      <x:c r="F334" s="14" t="n">
        <x:f>IFERROR(INDEX(Items!$AJ$6:$AJ$1005,MATCH(A334,Items!$A$6:$A$1005,0)),"MISSING ID")</x:f>
        <x:v>0</x:v>
      </x:c>
      <x:c r="G334" s="4" t="str">
        <x:v>Source, recovery or issue route applies</x:v>
      </x:c>
      <x:c r="H334" s="4" t="str">
        <x:v>Not a selected manufacturing route</x:v>
      </x:c>
      <x:c r="I334" s="4" t="str">
        <x:v>Raw entry feed</x:v>
      </x:c>
      <x:c r="J334" s="4" t="str">
        <x:v>Source grade, collection, contamination and yield remain open.</x:v>
      </x:c>
    </x:row>
    <x:row r="335" ht="115" customHeight="1">
      <x:c r="A335" s="4"/>
      <x:c r="B335" s="4"/>
      <x:c r="C335" s="4"/>
      <x:c r="D335" s="4"/>
      <x:c r="E335" s="4"/>
      <x:c r="F335" s="14"/>
      <x:c r="G335" s="4"/>
      <x:c r="H335" s="4"/>
      <x:c r="I335" s="4"/>
      <x:c r="J335" s="4"/>
    </x:row>
    <x:row r="336" ht="115" customHeight="1">
      <x:c r="A336" s="4" t="str">
        <x:v>proposal.raw.obsidian</x:v>
      </x:c>
      <x:c r="B336" s="4" t="str">
        <x:f>IFERROR(INDEX(Items!$B$6:$B$1005,MATCH(A336,Items!$A$6:$A$1005,0)),"MISSING ID")</x:f>
        <x:v>Obsidian chunks</x:v>
      </x:c>
      <x:c r="C336" s="4" t="str">
        <x:f>IFERROR(INDEX(Items!$X$6:$X$1005,MATCH(A336,Items!$A$6:$A$1005,0)),"MISSING ID")</x:f>
        <x:v>Raw material</x:v>
      </x:c>
      <x:c r="D336" s="4" t="str">
        <x:f>IFERROR(INDEX(Items!$C$6:$C$1005,MATCH(A336,Items!$A$6:$A$1005,0)),"MISSING ID")</x:f>
        <x:v>T0</x:v>
      </x:c>
      <x:c r="E336" s="4" t="str">
        <x:v>Raw source</x:v>
      </x:c>
      <x:c r="F336" s="14" t="n">
        <x:f>IFERROR(INDEX(Items!$AJ$6:$AJ$1005,MATCH(A336,Items!$A$6:$A$1005,0)),"MISSING ID")</x:f>
        <x:v>0</x:v>
      </x:c>
      <x:c r="G336" s="4" t="str">
        <x:v>Source, recovery or issue route applies</x:v>
      </x:c>
      <x:c r="H336" s="4" t="str">
        <x:v>Not a selected manufacturing route</x:v>
      </x:c>
      <x:c r="I336" s="4" t="str">
        <x:v>Raw entry feed</x:v>
      </x:c>
      <x:c r="J336" s="4" t="str">
        <x:v>Source grade, collection, contamination and yield remain open.</x:v>
      </x:c>
    </x:row>
    <x:row r="337" ht="115" customHeight="1">
      <x:c r="A337" s="4" t="str">
        <x:v>proposal.raw.emery</x:v>
      </x:c>
      <x:c r="B337" s="4" t="str">
        <x:f>IFERROR(INDEX(Items!$B$6:$B$1005,MATCH(A337,Items!$A$6:$A$1005,0)),"MISSING ID")</x:f>
        <x:v>Emery-bearing lumps</x:v>
      </x:c>
      <x:c r="C337" s="4" t="str">
        <x:f>IFERROR(INDEX(Items!$X$6:$X$1005,MATCH(A337,Items!$A$6:$A$1005,0)),"MISSING ID")</x:f>
        <x:v>Raw material</x:v>
      </x:c>
      <x:c r="D337" s="4" t="str">
        <x:f>IFERROR(INDEX(Items!$C$6:$C$1005,MATCH(A337,Items!$A$6:$A$1005,0)),"MISSING ID")</x:f>
        <x:v>T0</x:v>
      </x:c>
      <x:c r="E337" s="4" t="str">
        <x:v>Raw source</x:v>
      </x:c>
      <x:c r="F337" s="14" t="n">
        <x:f>IFERROR(INDEX(Items!$AJ$6:$AJ$1005,MATCH(A337,Items!$A$6:$A$1005,0)),"MISSING ID")</x:f>
        <x:v>0</x:v>
      </x:c>
      <x:c r="G337" s="4" t="str">
        <x:v>Source, recovery or issue route applies</x:v>
      </x:c>
      <x:c r="H337" s="4" t="str">
        <x:v>Not a selected manufacturing route</x:v>
      </x:c>
      <x:c r="I337" s="4" t="str">
        <x:v>Raw entry feed</x:v>
      </x:c>
      <x:c r="J337" s="4" t="str">
        <x:v>Source grade, collection, contamination and yield remain open.</x:v>
      </x:c>
    </x:row>
    <x:row r="338" ht="115" customHeight="1">
      <x:c r="A338" s="4" t="str">
        <x:v>proposal.raw.barite</x:v>
      </x:c>
      <x:c r="B338" s="4" t="str">
        <x:f>IFERROR(INDEX(Items!$B$6:$B$1005,MATCH(A338,Items!$A$6:$A$1005,0)),"MISSING ID")</x:f>
        <x:v>Dense barite lumps</x:v>
      </x:c>
      <x:c r="C338" s="4" t="str">
        <x:f>IFERROR(INDEX(Items!$X$6:$X$1005,MATCH(A338,Items!$A$6:$A$1005,0)),"MISSING ID")</x:f>
        <x:v>Raw material</x:v>
      </x:c>
      <x:c r="D338" s="4" t="str">
        <x:f>IFERROR(INDEX(Items!$C$6:$C$1005,MATCH(A338,Items!$A$6:$A$1005,0)),"MISSING ID")</x:f>
        <x:v>T0</x:v>
      </x:c>
      <x:c r="E338" s="4" t="str">
        <x:v>Raw source</x:v>
      </x:c>
      <x:c r="F338" s="14" t="n">
        <x:f>IFERROR(INDEX(Items!$AJ$6:$AJ$1005,MATCH(A338,Items!$A$6:$A$1005,0)),"MISSING ID")</x:f>
        <x:v>0</x:v>
      </x:c>
      <x:c r="G338" s="4" t="str">
        <x:v>Source, recovery or issue route applies</x:v>
      </x:c>
      <x:c r="H338" s="4" t="str">
        <x:v>Not a selected manufacturing route</x:v>
      </x:c>
      <x:c r="I338" s="4" t="str">
        <x:v>Raw entry feed</x:v>
      </x:c>
      <x:c r="J338" s="4" t="str">
        <x:v>Source grade, collection, contamination and yield remain open.</x:v>
      </x:c>
    </x:row>
    <x:row r="339" ht="115" customHeight="1">
      <x:c r="A339" s="4" t="str">
        <x:v>proposal.raw.grinding_pebbles</x:v>
      </x:c>
      <x:c r="B339" s="4" t="str">
        <x:f>IFERROR(INDEX(Items!$B$6:$B$1005,MATCH(A339,Items!$A$6:$A$1005,0)),"MISSING ID")</x:f>
        <x:v>Rounded grinding stones</x:v>
      </x:c>
      <x:c r="C339" s="4" t="str">
        <x:f>IFERROR(INDEX(Items!$X$6:$X$1005,MATCH(A339,Items!$A$6:$A$1005,0)),"MISSING ID")</x:f>
        <x:v>Raw material</x:v>
      </x:c>
      <x:c r="D339" s="4" t="str">
        <x:f>IFERROR(INDEX(Items!$C$6:$C$1005,MATCH(A339,Items!$A$6:$A$1005,0)),"MISSING ID")</x:f>
        <x:v>T0</x:v>
      </x:c>
      <x:c r="E339" s="4" t="str">
        <x:v>Raw source</x:v>
      </x:c>
      <x:c r="F339" s="14" t="n">
        <x:f>IFERROR(INDEX(Items!$AJ$6:$AJ$1005,MATCH(A339,Items!$A$6:$A$1005,0)),"MISSING ID")</x:f>
        <x:v>0</x:v>
      </x:c>
      <x:c r="G339" s="4" t="str">
        <x:v>Source, recovery or issue route applies</x:v>
      </x:c>
      <x:c r="H339" s="4" t="str">
        <x:v>Not a selected manufacturing route</x:v>
      </x:c>
      <x:c r="I339" s="4" t="str">
        <x:v>Raw entry feed</x:v>
      </x:c>
      <x:c r="J339" s="4" t="str">
        <x:v>Source grade, collection, contamination and yield remain open.</x:v>
      </x:c>
    </x:row>
    <x:row r="340" ht="115" customHeight="1">
      <x:c r="A340" s="4"/>
      <x:c r="B340" s="4"/>
      <x:c r="C340" s="4"/>
      <x:c r="D340" s="4"/>
      <x:c r="E340" s="4"/>
      <x:c r="F340" s="14"/>
      <x:c r="G340" s="4"/>
      <x:c r="H340" s="4"/>
      <x:c r="I340" s="4"/>
      <x:c r="J340" s="4"/>
    </x:row>
    <x:row r="341" ht="115" customHeight="1">
      <x:c r="A341" s="4" t="str">
        <x:v>proposal.raw.horn_core</x:v>
      </x:c>
      <x:c r="B341" s="4" t="str">
        <x:f>IFERROR(INDEX(Items!$B$6:$B$1005,MATCH(A341,Items!$A$6:$A$1005,0)),"MISSING ID")</x:f>
        <x:v>Fauna horn cores</x:v>
      </x:c>
      <x:c r="C341" s="4" t="str">
        <x:f>IFERROR(INDEX(Items!$X$6:$X$1005,MATCH(A341,Items!$A$6:$A$1005,0)),"MISSING ID")</x:f>
        <x:v>Raw material</x:v>
      </x:c>
      <x:c r="D341" s="4" t="str">
        <x:f>IFERROR(INDEX(Items!$C$6:$C$1005,MATCH(A341,Items!$A$6:$A$1005,0)),"MISSING ID")</x:f>
        <x:v>T0</x:v>
      </x:c>
      <x:c r="E341" s="4" t="str">
        <x:v>Raw source</x:v>
      </x:c>
      <x:c r="F341" s="14" t="n">
        <x:f>IFERROR(INDEX(Items!$AJ$6:$AJ$1005,MATCH(A341,Items!$A$6:$A$1005,0)),"MISSING ID")</x:f>
        <x:v>0</x:v>
      </x:c>
      <x:c r="G341" s="4" t="str">
        <x:v>Source, recovery or issue route applies</x:v>
      </x:c>
      <x:c r="H341" s="4" t="str">
        <x:v>Not a selected manufacturing route</x:v>
      </x:c>
      <x:c r="I341" s="4" t="str">
        <x:v>Raw entry feed</x:v>
      </x:c>
      <x:c r="J341" s="4" t="str">
        <x:v>Source grade, collection, contamination and yield remain open.</x:v>
      </x:c>
    </x:row>
    <x:row r="342" ht="115" customHeight="1">
      <x:c r="A342" s="4" t="str">
        <x:v>proposal.raw.tail_rings</x:v>
      </x:c>
      <x:c r="B342" s="4" t="str">
        <x:f>IFERROR(INDEX(Items!$B$6:$B$1005,MATCH(A342,Items!$A$6:$A$1005,0)),"MISSING ID")</x:f>
        <x:v>Fauna tail rings</x:v>
      </x:c>
      <x:c r="C342" s="4" t="str">
        <x:f>IFERROR(INDEX(Items!$X$6:$X$1005,MATCH(A342,Items!$A$6:$A$1005,0)),"MISSING ID")</x:f>
        <x:v>Raw material</x:v>
      </x:c>
      <x:c r="D342" s="4" t="str">
        <x:f>IFERROR(INDEX(Items!$C$6:$C$1005,MATCH(A342,Items!$A$6:$A$1005,0)),"MISSING ID")</x:f>
        <x:v>T0</x:v>
      </x:c>
      <x:c r="E342" s="4" t="str">
        <x:v>Raw source</x:v>
      </x:c>
      <x:c r="F342" s="14" t="n">
        <x:f>IFERROR(INDEX(Items!$AJ$6:$AJ$1005,MATCH(A342,Items!$A$6:$A$1005,0)),"MISSING ID")</x:f>
        <x:v>0</x:v>
      </x:c>
      <x:c r="G342" s="4" t="str">
        <x:v>Source, recovery or issue route applies</x:v>
      </x:c>
      <x:c r="H342" s="4" t="str">
        <x:v>Not a selected manufacturing route</x:v>
      </x:c>
      <x:c r="I342" s="4" t="str">
        <x:v>Raw entry feed</x:v>
      </x:c>
      <x:c r="J342" s="4" t="str">
        <x:v>Source grade, collection, contamination and yield remain open.</x:v>
      </x:c>
    </x:row>
    <x:row r="343" ht="115" customHeight="1">
      <x:c r="A343" s="4" t="str">
        <x:v>proposal.raw.socket_cups</x:v>
      </x:c>
      <x:c r="B343" s="4" t="str">
        <x:f>IFERROR(INDEX(Items!$B$6:$B$1005,MATCH(A343,Items!$A$6:$A$1005,0)),"MISSING ID")</x:f>
        <x:v>Fauna joint-socket cups</x:v>
      </x:c>
      <x:c r="C343" s="4" t="str">
        <x:f>IFERROR(INDEX(Items!$X$6:$X$1005,MATCH(A343,Items!$A$6:$A$1005,0)),"MISSING ID")</x:f>
        <x:v>Raw material</x:v>
      </x:c>
      <x:c r="D343" s="4" t="str">
        <x:f>IFERROR(INDEX(Items!$C$6:$C$1005,MATCH(A343,Items!$A$6:$A$1005,0)),"MISSING ID")</x:f>
        <x:v>T0</x:v>
      </x:c>
      <x:c r="E343" s="4" t="str">
        <x:v>Raw source</x:v>
      </x:c>
      <x:c r="F343" s="14" t="n">
        <x:f>IFERROR(INDEX(Items!$AJ$6:$AJ$1005,MATCH(A343,Items!$A$6:$A$1005,0)),"MISSING ID")</x:f>
        <x:v>0</x:v>
      </x:c>
      <x:c r="G343" s="4" t="str">
        <x:v>Source, recovery or issue route applies</x:v>
      </x:c>
      <x:c r="H343" s="4" t="str">
        <x:v>Not a selected manufacturing route</x:v>
      </x:c>
      <x:c r="I343" s="4" t="str">
        <x:v>Raw entry feed</x:v>
      </x:c>
      <x:c r="J343" s="4" t="str">
        <x:v>Source grade, collection, contamination and yield remain open.</x:v>
      </x:c>
    </x:row>
    <x:row r="344" ht="115" customHeight="1">
      <x:c r="A344" s="4" t="str">
        <x:v>proposal.raw.eye_lenses</x:v>
      </x:c>
      <x:c r="B344" s="4" t="str">
        <x:f>IFERROR(INDEX(Items!$B$6:$B$1005,MATCH(A344,Items!$A$6:$A$1005,0)),"MISSING ID")</x:f>
        <x:v>Fauna eye lenses</x:v>
      </x:c>
      <x:c r="C344" s="4" t="str">
        <x:f>IFERROR(INDEX(Items!$X$6:$X$1005,MATCH(A344,Items!$A$6:$A$1005,0)),"MISSING ID")</x:f>
        <x:v>Raw material</x:v>
      </x:c>
      <x:c r="D344" s="4" t="str">
        <x:f>IFERROR(INDEX(Items!$C$6:$C$1005,MATCH(A344,Items!$A$6:$A$1005,0)),"MISSING ID")</x:f>
        <x:v>T0</x:v>
      </x:c>
      <x:c r="E344" s="4" t="str">
        <x:v>Raw source</x:v>
      </x:c>
      <x:c r="F344" s="14" t="n">
        <x:f>IFERROR(INDEX(Items!$AJ$6:$AJ$1005,MATCH(A344,Items!$A$6:$A$1005,0)),"MISSING ID")</x:f>
        <x:v>0</x:v>
      </x:c>
      <x:c r="G344" s="4" t="str">
        <x:v>Source, recovery or issue route applies</x:v>
      </x:c>
      <x:c r="H344" s="4" t="str">
        <x:v>Not a selected manufacturing route</x:v>
      </x:c>
      <x:c r="I344" s="4" t="str">
        <x:v>Raw entry feed</x:v>
      </x:c>
      <x:c r="J344" s="4" t="str">
        <x:v>Source grade, collection, contamination and yield remain open.</x:v>
      </x:c>
    </x:row>
    <x:row r="345" ht="115" customHeight="1">
      <x:c r="A345" s="4" t="str">
        <x:v>proposal.raw.filter_plates</x:v>
      </x:c>
      <x:c r="B345" s="4" t="str">
        <x:f>IFERROR(INDEX(Items!$B$6:$B$1005,MATCH(A345,Items!$A$6:$A$1005,0)),"MISSING ID")</x:f>
        <x:v>Fauna breathing-filter plates</x:v>
      </x:c>
      <x:c r="C345" s="4" t="str">
        <x:f>IFERROR(INDEX(Items!$X$6:$X$1005,MATCH(A345,Items!$A$6:$A$1005,0)),"MISSING ID")</x:f>
        <x:v>Raw material</x:v>
      </x:c>
      <x:c r="D345" s="4" t="str">
        <x:f>IFERROR(INDEX(Items!$C$6:$C$1005,MATCH(A345,Items!$A$6:$A$1005,0)),"MISSING ID")</x:f>
        <x:v>T0</x:v>
      </x:c>
      <x:c r="E345" s="4" t="str">
        <x:v>Raw source</x:v>
      </x:c>
      <x:c r="F345" s="14" t="n">
        <x:f>IFERROR(INDEX(Items!$AJ$6:$AJ$1005,MATCH(A345,Items!$A$6:$A$1005,0)),"MISSING ID")</x:f>
        <x:v>0</x:v>
      </x:c>
      <x:c r="G345" s="4" t="str">
        <x:v>Source, recovery or issue route applies</x:v>
      </x:c>
      <x:c r="H345" s="4" t="str">
        <x:v>Not a selected manufacturing route</x:v>
      </x:c>
      <x:c r="I345" s="4" t="str">
        <x:v>Raw entry feed</x:v>
      </x:c>
      <x:c r="J345" s="4" t="str">
        <x:v>Source grade, collection, contamination and yield remain open.</x:v>
      </x:c>
    </x:row>
    <x:row r="346" ht="115" customHeight="1">
      <x:c r="A346" s="4" t="str">
        <x:v>proposal.raw.droppings</x:v>
      </x:c>
      <x:c r="B346" s="4" t="str">
        <x:f>IFERROR(INDEX(Items!$B$6:$B$1005,MATCH(A346,Items!$A$6:$A$1005,0)),"MISSING ID")</x:f>
        <x:v>Dried mineral-rich fauna droppings</x:v>
      </x:c>
      <x:c r="C346" s="4" t="str">
        <x:f>IFERROR(INDEX(Items!$X$6:$X$1005,MATCH(A346,Items!$A$6:$A$1005,0)),"MISSING ID")</x:f>
        <x:v>Raw material</x:v>
      </x:c>
      <x:c r="D346" s="4" t="str">
        <x:f>IFERROR(INDEX(Items!$C$6:$C$1005,MATCH(A346,Items!$A$6:$A$1005,0)),"MISSING ID")</x:f>
        <x:v>T0</x:v>
      </x:c>
      <x:c r="E346" s="4" t="str">
        <x:v>Raw source</x:v>
      </x:c>
      <x:c r="F346" s="14" t="n">
        <x:f>IFERROR(INDEX(Items!$AJ$6:$AJ$1005,MATCH(A346,Items!$A$6:$A$1005,0)),"MISSING ID")</x:f>
        <x:v>0</x:v>
      </x:c>
      <x:c r="G346" s="4" t="str">
        <x:v>Source, recovery or issue route applies</x:v>
      </x:c>
      <x:c r="H346" s="4" t="str">
        <x:v>Not a selected manufacturing route</x:v>
      </x:c>
      <x:c r="I346" s="4" t="str">
        <x:v>Raw entry feed</x:v>
      </x:c>
      <x:c r="J346" s="4" t="str">
        <x:v>Source grade, collection, contamination and yield remain open.</x:v>
      </x:c>
    </x:row>
    <x:row r="347" ht="115" customHeight="1">
      <x:c r="A347" s="4" t="str">
        <x:v>proposal.raw.chain</x:v>
      </x:c>
      <x:c r="B347" s="4" t="str">
        <x:f>IFERROR(INDEX(Items!$B$6:$B$1005,MATCH(A347,Items!$A$6:$A$1005,0)),"MISSING ID")</x:f>
        <x:v>Rusted chain lengths</x:v>
      </x:c>
      <x:c r="C347" s="4" t="str">
        <x:f>IFERROR(INDEX(Items!$X$6:$X$1005,MATCH(A347,Items!$A$6:$A$1005,0)),"MISSING ID")</x:f>
        <x:v>Raw material</x:v>
      </x:c>
      <x:c r="D347" s="4" t="str">
        <x:f>IFERROR(INDEX(Items!$C$6:$C$1005,MATCH(A347,Items!$A$6:$A$1005,0)),"MISSING ID")</x:f>
        <x:v>T0</x:v>
      </x:c>
      <x:c r="E347" s="4" t="str">
        <x:v>Raw source</x:v>
      </x:c>
      <x:c r="F347" s="14" t="n">
        <x:f>IFERROR(INDEX(Items!$AJ$6:$AJ$1005,MATCH(A347,Items!$A$6:$A$1005,0)),"MISSING ID")</x:f>
        <x:v>0</x:v>
      </x:c>
      <x:c r="G347" s="4" t="str">
        <x:v>Source, recovery or issue route applies</x:v>
      </x:c>
      <x:c r="H347" s="4" t="str">
        <x:v>Not a selected manufacturing route</x:v>
      </x:c>
      <x:c r="I347" s="4" t="str">
        <x:v>Raw entry feed</x:v>
      </x:c>
      <x:c r="J347" s="4" t="str">
        <x:v>Source grade, collection, contamination and yield remain open.</x:v>
      </x:c>
    </x:row>
    <x:row r="348" ht="115" customHeight="1">
      <x:c r="A348" s="4" t="str">
        <x:v>proposal.raw.brass_scrap</x:v>
      </x:c>
      <x:c r="B348" s="4" t="str">
        <x:f>IFERROR(INDEX(Items!$B$6:$B$1005,MATCH(A348,Items!$A$6:$A$1005,0)),"MISSING ID")</x:f>
        <x:v>Salvaged brass fragments</x:v>
      </x:c>
      <x:c r="C348" s="4" t="str">
        <x:f>IFERROR(INDEX(Items!$X$6:$X$1005,MATCH(A348,Items!$A$6:$A$1005,0)),"MISSING ID")</x:f>
        <x:v>Raw material</x:v>
      </x:c>
      <x:c r="D348" s="4" t="str">
        <x:f>IFERROR(INDEX(Items!$C$6:$C$1005,MATCH(A348,Items!$A$6:$A$1005,0)),"MISSING ID")</x:f>
        <x:v>T0</x:v>
      </x:c>
      <x:c r="E348" s="4" t="str">
        <x:v>Raw source</x:v>
      </x:c>
      <x:c r="F348" s="14" t="n">
        <x:f>IFERROR(INDEX(Items!$AJ$6:$AJ$1005,MATCH(A348,Items!$A$6:$A$1005,0)),"MISSING ID")</x:f>
        <x:v>0</x:v>
      </x:c>
      <x:c r="G348" s="4" t="str">
        <x:v>Source, recovery or issue route applies</x:v>
      </x:c>
      <x:c r="H348" s="4" t="str">
        <x:v>Not a selected manufacturing route</x:v>
      </x:c>
      <x:c r="I348" s="4" t="str">
        <x:v>Raw entry feed</x:v>
      </x:c>
      <x:c r="J348" s="4" t="str">
        <x:v>Source grade, collection, contamination and yield remain open.</x:v>
      </x:c>
    </x:row>
    <x:row r="349" ht="115" customHeight="1">
      <x:c r="A349" s="4" t="str">
        <x:v>proposal.raw.bronze_scrap</x:v>
      </x:c>
      <x:c r="B349" s="4" t="str">
        <x:f>IFERROR(INDEX(Items!$B$6:$B$1005,MATCH(A349,Items!$A$6:$A$1005,0)),"MISSING ID")</x:f>
        <x:v>Salvaged bronze fragments</x:v>
      </x:c>
      <x:c r="C349" s="4" t="str">
        <x:f>IFERROR(INDEX(Items!$X$6:$X$1005,MATCH(A349,Items!$A$6:$A$1005,0)),"MISSING ID")</x:f>
        <x:v>Raw material</x:v>
      </x:c>
      <x:c r="D349" s="4" t="str">
        <x:f>IFERROR(INDEX(Items!$C$6:$C$1005,MATCH(A349,Items!$A$6:$A$1005,0)),"MISSING ID")</x:f>
        <x:v>T0</x:v>
      </x:c>
      <x:c r="E349" s="4" t="str">
        <x:v>Raw source</x:v>
      </x:c>
      <x:c r="F349" s="14" t="n">
        <x:f>IFERROR(INDEX(Items!$AJ$6:$AJ$1005,MATCH(A349,Items!$A$6:$A$1005,0)),"MISSING ID")</x:f>
        <x:v>0</x:v>
      </x:c>
      <x:c r="G349" s="4" t="str">
        <x:v>Source, recovery or issue route applies</x:v>
      </x:c>
      <x:c r="H349" s="4" t="str">
        <x:v>Not a selected manufacturing route</x:v>
      </x:c>
      <x:c r="I349" s="4" t="str">
        <x:v>Raw entry feed</x:v>
      </x:c>
      <x:c r="J349" s="4" t="str">
        <x:v>Source grade, collection, contamination and yield remain open.</x:v>
      </x:c>
    </x:row>
    <x:row r="350" ht="115" customHeight="1">
      <x:c r="A350" s="4" t="str">
        <x:v>proposal.raw.hinge_halves</x:v>
      </x:c>
      <x:c r="B350" s="4" t="str">
        <x:f>IFERROR(INDEX(Items!$B$6:$B$1005,MATCH(A350,Items!$A$6:$A$1005,0)),"MISSING ID")</x:f>
        <x:v>Discarded hinge halves</x:v>
      </x:c>
      <x:c r="C350" s="4" t="str">
        <x:f>IFERROR(INDEX(Items!$X$6:$X$1005,MATCH(A350,Items!$A$6:$A$1005,0)),"MISSING ID")</x:f>
        <x:v>Raw material</x:v>
      </x:c>
      <x:c r="D350" s="4" t="str">
        <x:f>IFERROR(INDEX(Items!$C$6:$C$1005,MATCH(A350,Items!$A$6:$A$1005,0)),"MISSING ID")</x:f>
        <x:v>T0</x:v>
      </x:c>
      <x:c r="E350" s="4" t="str">
        <x:v>Raw source</x:v>
      </x:c>
      <x:c r="F350" s="14" t="n">
        <x:f>IFERROR(INDEX(Items!$AJ$6:$AJ$1005,MATCH(A350,Items!$A$6:$A$1005,0)),"MISSING ID")</x:f>
        <x:v>0</x:v>
      </x:c>
      <x:c r="G350" s="4" t="str">
        <x:v>Source, recovery or issue route applies</x:v>
      </x:c>
      <x:c r="H350" s="4" t="str">
        <x:v>Not a selected manufacturing route</x:v>
      </x:c>
      <x:c r="I350" s="4" t="str">
        <x:v>Raw entry feed</x:v>
      </x:c>
      <x:c r="J350" s="4" t="str">
        <x:v>Source grade, collection, contamination and yield remain open.</x:v>
      </x:c>
    </x:row>
    <x:row r="351" ht="115" customHeight="1">
      <x:c r="A351" s="4" t="str">
        <x:v>proposal.raw.hoop_bands</x:v>
      </x:c>
      <x:c r="B351" s="4" t="str">
        <x:f>IFERROR(INDEX(Items!$B$6:$B$1005,MATCH(A351,Items!$A$6:$A$1005,0)),"MISSING ID")</x:f>
        <x:v>Salvaged metal hoop bands</x:v>
      </x:c>
      <x:c r="C351" s="4" t="str">
        <x:f>IFERROR(INDEX(Items!$X$6:$X$1005,MATCH(A351,Items!$A$6:$A$1005,0)),"MISSING ID")</x:f>
        <x:v>Raw material</x:v>
      </x:c>
      <x:c r="D351" s="4" t="str">
        <x:f>IFERROR(INDEX(Items!$C$6:$C$1005,MATCH(A351,Items!$A$6:$A$1005,0)),"MISSING ID")</x:f>
        <x:v>T0</x:v>
      </x:c>
      <x:c r="E351" s="4" t="str">
        <x:v>Raw source</x:v>
      </x:c>
      <x:c r="F351" s="14" t="n">
        <x:f>IFERROR(INDEX(Items!$AJ$6:$AJ$1005,MATCH(A351,Items!$A$6:$A$1005,0)),"MISSING ID")</x:f>
        <x:v>0</x:v>
      </x:c>
      <x:c r="G351" s="4" t="str">
        <x:v>Source, recovery or issue route applies</x:v>
      </x:c>
      <x:c r="H351" s="4" t="str">
        <x:v>Not a selected manufacturing route</x:v>
      </x:c>
      <x:c r="I351" s="4" t="str">
        <x:v>Raw entry feed</x:v>
      </x:c>
      <x:c r="J351" s="4" t="str">
        <x:v>Source grade, collection, contamination and yield remain open.</x:v>
      </x:c>
    </x:row>
    <x:row r="352" ht="115" customHeight="1">
      <x:c r="A352" s="4" t="str">
        <x:v>proposal.raw.pipe_sections</x:v>
      </x:c>
      <x:c r="B352" s="4" t="str">
        <x:f>IFERROR(INDEX(Items!$B$6:$B$1005,MATCH(A352,Items!$A$6:$A$1005,0)),"MISSING ID")</x:f>
        <x:v>Old metal pipe sections</x:v>
      </x:c>
      <x:c r="C352" s="4" t="str">
        <x:f>IFERROR(INDEX(Items!$X$6:$X$1005,MATCH(A352,Items!$A$6:$A$1005,0)),"MISSING ID")</x:f>
        <x:v>Raw material</x:v>
      </x:c>
      <x:c r="D352" s="4" t="str">
        <x:f>IFERROR(INDEX(Items!$C$6:$C$1005,MATCH(A352,Items!$A$6:$A$1005,0)),"MISSING ID")</x:f>
        <x:v>T0</x:v>
      </x:c>
      <x:c r="E352" s="4" t="str">
        <x:v>Raw source</x:v>
      </x:c>
      <x:c r="F352" s="14" t="n">
        <x:f>IFERROR(INDEX(Items!$AJ$6:$AJ$1005,MATCH(A352,Items!$A$6:$A$1005,0)),"MISSING ID")</x:f>
        <x:v>0</x:v>
      </x:c>
      <x:c r="G352" s="4" t="str">
        <x:v>Source, recovery or issue route applies</x:v>
      </x:c>
      <x:c r="H352" s="4" t="str">
        <x:v>Not a selected manufacturing route</x:v>
      </x:c>
      <x:c r="I352" s="4" t="str">
        <x:v>Raw entry feed</x:v>
      </x:c>
      <x:c r="J352" s="4" t="str">
        <x:v>Source grade, collection, contamination and yield remain open.</x:v>
      </x:c>
    </x:row>
    <x:row r="353" ht="115" customHeight="1">
      <x:c r="A353" s="4" t="str">
        <x:v>proposal.raw.coated_sheet</x:v>
      </x:c>
      <x:c r="B353" s="4" t="str">
        <x:f>IFERROR(INDEX(Items!$B$6:$B$1005,MATCH(A353,Items!$A$6:$A$1005,0)),"MISSING ID")</x:f>
        <x:v>Coated sheet-metal scrap</x:v>
      </x:c>
      <x:c r="C353" s="4" t="str">
        <x:f>IFERROR(INDEX(Items!$X$6:$X$1005,MATCH(A353,Items!$A$6:$A$1005,0)),"MISSING ID")</x:f>
        <x:v>Raw material</x:v>
      </x:c>
      <x:c r="D353" s="4" t="str">
        <x:f>IFERROR(INDEX(Items!$C$6:$C$1005,MATCH(A353,Items!$A$6:$A$1005,0)),"MISSING ID")</x:f>
        <x:v>T0</x:v>
      </x:c>
      <x:c r="E353" s="4" t="str">
        <x:v>Raw source</x:v>
      </x:c>
      <x:c r="F353" s="14" t="n">
        <x:f>IFERROR(INDEX(Items!$AJ$6:$AJ$1005,MATCH(A353,Items!$A$6:$A$1005,0)),"MISSING ID")</x:f>
        <x:v>0</x:v>
      </x:c>
      <x:c r="G353" s="4" t="str">
        <x:v>Source, recovery or issue route applies</x:v>
      </x:c>
      <x:c r="H353" s="4" t="str">
        <x:v>Not a selected manufacturing route</x:v>
      </x:c>
      <x:c r="I353" s="4" t="str">
        <x:v>Raw entry feed</x:v>
      </x:c>
      <x:c r="J353" s="4" t="str">
        <x:v>Source grade, collection, contamination and yield remain open.</x:v>
      </x:c>
    </x:row>
    <x:row r="354" ht="115" customHeight="1">
      <x:c r="A354" s="4" t="str">
        <x:v>proposal.raw.bent_fasteners</x:v>
      </x:c>
      <x:c r="B354" s="4" t="str">
        <x:f>IFERROR(INDEX(Items!$B$6:$B$1005,MATCH(A354,Items!$A$6:$A$1005,0)),"MISSING ID")</x:f>
        <x:v>Bent nails and rivets</x:v>
      </x:c>
      <x:c r="C354" s="4" t="str">
        <x:f>IFERROR(INDEX(Items!$X$6:$X$1005,MATCH(A354,Items!$A$6:$A$1005,0)),"MISSING ID")</x:f>
        <x:v>Raw material</x:v>
      </x:c>
      <x:c r="D354" s="4" t="str">
        <x:f>IFERROR(INDEX(Items!$C$6:$C$1005,MATCH(A354,Items!$A$6:$A$1005,0)),"MISSING ID")</x:f>
        <x:v>T0</x:v>
      </x:c>
      <x:c r="E354" s="4" t="str">
        <x:v>Raw source</x:v>
      </x:c>
      <x:c r="F354" s="14" t="n">
        <x:f>IFERROR(INDEX(Items!$AJ$6:$AJ$1005,MATCH(A354,Items!$A$6:$A$1005,0)),"MISSING ID")</x:f>
        <x:v>0</x:v>
      </x:c>
      <x:c r="G354" s="4" t="str">
        <x:v>Source, recovery or issue route applies</x:v>
      </x:c>
      <x:c r="H354" s="4" t="str">
        <x:v>Not a selected manufacturing route</x:v>
      </x:c>
      <x:c r="I354" s="4" t="str">
        <x:v>Raw entry feed</x:v>
      </x:c>
      <x:c r="J354" s="4" t="str">
        <x:v>Source grade, collection, contamination and yield remain open.</x:v>
      </x:c>
    </x:row>
    <x:row r="355" ht="115" customHeight="1">
      <x:c r="A355" s="4" t="str">
        <x:v>proposal.raw.furnace_ash</x:v>
      </x:c>
      <x:c r="B355" s="4" t="str">
        <x:f>IFERROR(INDEX(Items!$B$6:$B$1005,MATCH(A355,Items!$A$6:$A$1005,0)),"MISSING ID")</x:f>
        <x:v>Coarse furnace ash</x:v>
      </x:c>
      <x:c r="C355" s="4" t="str">
        <x:f>IFERROR(INDEX(Items!$X$6:$X$1005,MATCH(A355,Items!$A$6:$A$1005,0)),"MISSING ID")</x:f>
        <x:v>Raw material</x:v>
      </x:c>
      <x:c r="D355" s="4" t="str">
        <x:f>IFERROR(INDEX(Items!$C$6:$C$1005,MATCH(A355,Items!$A$6:$A$1005,0)),"MISSING ID")</x:f>
        <x:v>T0</x:v>
      </x:c>
      <x:c r="E355" s="4" t="str">
        <x:v>Raw source</x:v>
      </x:c>
      <x:c r="F355" s="14" t="n">
        <x:f>IFERROR(INDEX(Items!$AJ$6:$AJ$1005,MATCH(A355,Items!$A$6:$A$1005,0)),"MISSING ID")</x:f>
        <x:v>0</x:v>
      </x:c>
      <x:c r="G355" s="4" t="str">
        <x:v>Source, recovery or issue route applies</x:v>
      </x:c>
      <x:c r="H355" s="4" t="str">
        <x:v>Not a selected manufacturing route</x:v>
      </x:c>
      <x:c r="I355" s="4" t="str">
        <x:v>Raw entry feed</x:v>
      </x:c>
      <x:c r="J355" s="4" t="str">
        <x:v>Source grade, collection, contamination and yield remain open.</x:v>
      </x:c>
    </x:row>
    <x:row r="356" ht="115" customHeight="1">
      <x:c r="A356" s="4" t="str">
        <x:v>proposal.raw.abrasive_fragments</x:v>
      </x:c>
      <x:c r="B356" s="4" t="str">
        <x:f>IFERROR(INDEX(Items!$B$6:$B$1005,MATCH(A356,Items!$A$6:$A$1005,0)),"MISSING ID")</x:f>
        <x:v>Broken abrasive-wheel fragments</x:v>
      </x:c>
      <x:c r="C356" s="4" t="str">
        <x:f>IFERROR(INDEX(Items!$X$6:$X$1005,MATCH(A356,Items!$A$6:$A$1005,0)),"MISSING ID")</x:f>
        <x:v>Raw material</x:v>
      </x:c>
      <x:c r="D356" s="4" t="str">
        <x:f>IFERROR(INDEX(Items!$C$6:$C$1005,MATCH(A356,Items!$A$6:$A$1005,0)),"MISSING ID")</x:f>
        <x:v>T0</x:v>
      </x:c>
      <x:c r="E356" s="4" t="str">
        <x:v>Raw source</x:v>
      </x:c>
      <x:c r="F356" s="14" t="n">
        <x:f>IFERROR(INDEX(Items!$AJ$6:$AJ$1005,MATCH(A356,Items!$A$6:$A$1005,0)),"MISSING ID")</x:f>
        <x:v>0</x:v>
      </x:c>
      <x:c r="G356" s="4" t="str">
        <x:v>Source, recovery or issue route applies</x:v>
      </x:c>
      <x:c r="H356" s="4" t="str">
        <x:v>Not a selected manufacturing route</x:v>
      </x:c>
      <x:c r="I356" s="4" t="str">
        <x:v>Raw entry feed</x:v>
      </x:c>
      <x:c r="J356" s="4" t="str">
        <x:v>Source grade, collection, contamination and yield remain open.</x:v>
      </x:c>
    </x:row>
    <x:row r="357" ht="115" customHeight="1">
      <x:c r="A357" s="4" t="str">
        <x:v>proposal.raw.magnet_fragments</x:v>
      </x:c>
      <x:c r="B357" s="4" t="str">
        <x:f>IFERROR(INDEX(Items!$B$6:$B$1005,MATCH(A357,Items!$A$6:$A$1005,0)),"MISSING ID")</x:f>
        <x:v>Broken magnet fragments</x:v>
      </x:c>
      <x:c r="C357" s="4" t="str">
        <x:f>IFERROR(INDEX(Items!$X$6:$X$1005,MATCH(A357,Items!$A$6:$A$1005,0)),"MISSING ID")</x:f>
        <x:v>Raw material</x:v>
      </x:c>
      <x:c r="D357" s="4" t="str">
        <x:f>IFERROR(INDEX(Items!$C$6:$C$1005,MATCH(A357,Items!$A$6:$A$1005,0)),"MISSING ID")</x:f>
        <x:v>T0</x:v>
      </x:c>
      <x:c r="E357" s="4" t="str">
        <x:v>Raw source</x:v>
      </x:c>
      <x:c r="F357" s="14" t="n">
        <x:f>IFERROR(INDEX(Items!$AJ$6:$AJ$1005,MATCH(A357,Items!$A$6:$A$1005,0)),"MISSING ID")</x:f>
        <x:v>0</x:v>
      </x:c>
      <x:c r="G357" s="4" t="str">
        <x:v>Source, recovery or issue route applies</x:v>
      </x:c>
      <x:c r="H357" s="4" t="str">
        <x:v>Not a selected manufacturing route</x:v>
      </x:c>
      <x:c r="I357" s="4" t="str">
        <x:v>Raw entry feed</x:v>
      </x:c>
      <x:c r="J357" s="4" t="str">
        <x:v>Source grade, collection, contamination and yield remain open.</x:v>
      </x:c>
    </x:row>
    <x:row r="358" ht="115" customHeight="1">
      <x:c r="A358" s="4" t="str">
        <x:v>proposal.raw.punching_offcuts</x:v>
      </x:c>
      <x:c r="B358" s="4" t="str">
        <x:f>IFERROR(INDEX(Items!$B$6:$B$1005,MATCH(A358,Items!$A$6:$A$1005,0)),"MISSING ID")</x:f>
        <x:v>Metal punching offcuts</x:v>
      </x:c>
      <x:c r="C358" s="4" t="str">
        <x:f>IFERROR(INDEX(Items!$X$6:$X$1005,MATCH(A358,Items!$A$6:$A$1005,0)),"MISSING ID")</x:f>
        <x:v>Raw material</x:v>
      </x:c>
      <x:c r="D358" s="4" t="str">
        <x:f>IFERROR(INDEX(Items!$C$6:$C$1005,MATCH(A358,Items!$A$6:$A$1005,0)),"MISSING ID")</x:f>
        <x:v>T0</x:v>
      </x:c>
      <x:c r="E358" s="4" t="str">
        <x:v>Raw source</x:v>
      </x:c>
      <x:c r="F358" s="14" t="n">
        <x:f>IFERROR(INDEX(Items!$AJ$6:$AJ$1005,MATCH(A358,Items!$A$6:$A$1005,0)),"MISSING ID")</x:f>
        <x:v>0</x:v>
      </x:c>
      <x:c r="G358" s="4" t="str">
        <x:v>Source, recovery or issue route applies</x:v>
      </x:c>
      <x:c r="H358" s="4" t="str">
        <x:v>Not a selected manufacturing route</x:v>
      </x:c>
      <x:c r="I358" s="4" t="str">
        <x:v>Raw entry feed</x:v>
      </x:c>
      <x:c r="J358" s="4" t="str">
        <x:v>Source grade, collection, contamination and yield remain open.</x:v>
      </x:c>
    </x:row>
    <x:row r="359" ht="115" customHeight="1">
      <x:c r="A359" s="4" t="str">
        <x:v>proposal.t1.iron_bloom</x:v>
      </x:c>
      <x:c r="B359" s="4" t="str">
        <x:f>IFERROR(INDEX(Items!$B$6:$B$1005,MATCH(A359,Items!$A$6:$A$1005,0)),"MISSING ID")</x:f>
        <x:v>Smelted iron bloom</x:v>
      </x:c>
      <x:c r="C359" s="4" t="str">
        <x:f>IFERROR(INDEX(Items!$X$6:$X$1005,MATCH(A359,Items!$A$6:$A$1005,0)),"MISSING ID")</x:f>
        <x:v>Processed material</x:v>
      </x:c>
      <x:c r="D359" s="4" t="str">
        <x:f>IFERROR(INDEX(Items!$C$6:$C$1005,MATCH(A359,Items!$A$6:$A$1005,0)),"MISSING ID")</x:f>
        <x:v>T1</x:v>
      </x:c>
      <x:c r="E359" s="4" t="str">
        <x:v>Manufactured stock / part</x:v>
      </x:c>
      <x:c r="F359" s="14" t="n">
        <x:f>IFERROR(INDEX(Items!$AJ$6:$AJ$1005,MATCH(A359,Items!$A$6:$A$1005,0)),"MISSING ID")</x:f>
        <x:v>1</x:v>
      </x:c>
      <x:c r="G359" s="4" t="str">
        <x:v>Traced to cataloged T0 and/or recovered feeds</x:v>
      </x:c>
      <x:c r="H359" s="4" t="str">
        <x:v>Forge hearth, Anvil, Forging hammer, Smithing tongs, Metalworking file and Hand-cranked metal drill as applicable. Existing workshop bootstrap and controlled heating/cooling required; no free-water quench assumed.</x:v>
      </x:c>
      <x:c r="I359" s="4" t="str">
        <x:v>Candidate path traced</x:v>
      </x:c>
      <x:c r="J359" s="4" t="str">
        <x:v>Dimensions, grade, process qualification, quantity and yield remain open.</x:v>
      </x:c>
    </x:row>
    <x:row r="360" ht="115" customHeight="1">
      <x:c r="A360" s="4" t="str">
        <x:v>proposal.t1.copper_cake</x:v>
      </x:c>
      <x:c r="B360" s="4" t="str">
        <x:f>IFERROR(INDEX(Items!$B$6:$B$1005,MATCH(A360,Items!$A$6:$A$1005,0)),"MISSING ID")</x:f>
        <x:v>Refined copper cake</x:v>
      </x:c>
      <x:c r="C360" s="4" t="str">
        <x:f>IFERROR(INDEX(Items!$X$6:$X$1005,MATCH(A360,Items!$A$6:$A$1005,0)),"MISSING ID")</x:f>
        <x:v>Processed material</x:v>
      </x:c>
      <x:c r="D360" s="4" t="str">
        <x:f>IFERROR(INDEX(Items!$C$6:$C$1005,MATCH(A360,Items!$A$6:$A$1005,0)),"MISSING ID")</x:f>
        <x:v>T1</x:v>
      </x:c>
      <x:c r="E360" s="4" t="str">
        <x:v>Manufactured stock / part</x:v>
      </x:c>
      <x:c r="F360" s="14" t="n">
        <x:f>IFERROR(INDEX(Items!$AJ$6:$AJ$1005,MATCH(A360,Items!$A$6:$A$1005,0)),"MISSING ID")</x:f>
        <x:v>1</x:v>
      </x:c>
      <x:c r="G360" s="4" t="str">
        <x:v>Traced to cataloged T0 and/or recovered feeds</x:v>
      </x:c>
      <x:c r="H360" s="4" t="str">
        <x:v>Forge hearth, Anvil, Forging hammer, Smithing tongs, Metalworking file and Hand-cranked metal drill as applicable. Existing workshop bootstrap and controlled heating/cooling required; no free-water quench assumed.</x:v>
      </x:c>
      <x:c r="I360" s="4" t="str">
        <x:v>Candidate path traced</x:v>
      </x:c>
      <x:c r="J360" s="4" t="str">
        <x:v>Dimensions, grade, process qualification, quantity and yield remain open.</x:v>
      </x:c>
    </x:row>
    <x:row r="361" ht="115" customHeight="1">
      <x:c r="A361" s="4" t="str">
        <x:v>proposal.t1.brass_billet</x:v>
      </x:c>
      <x:c r="B361" s="4" t="str">
        <x:f>IFERROR(INDEX(Items!$B$6:$B$1005,MATCH(A361,Items!$A$6:$A$1005,0)),"MISSING ID")</x:f>
        <x:v>Reclaimed brass billet</x:v>
      </x:c>
      <x:c r="C361" s="4" t="str">
        <x:f>IFERROR(INDEX(Items!$X$6:$X$1005,MATCH(A361,Items!$A$6:$A$1005,0)),"MISSING ID")</x:f>
        <x:v>Processed material</x:v>
      </x:c>
      <x:c r="D361" s="4" t="str">
        <x:f>IFERROR(INDEX(Items!$C$6:$C$1005,MATCH(A361,Items!$A$6:$A$1005,0)),"MISSING ID")</x:f>
        <x:v>T1</x:v>
      </x:c>
      <x:c r="E361" s="4" t="str">
        <x:v>Manufactured stock / part</x:v>
      </x:c>
      <x:c r="F361" s="14" t="n">
        <x:f>IFERROR(INDEX(Items!$AJ$6:$AJ$1005,MATCH(A361,Items!$A$6:$A$1005,0)),"MISSING ID")</x:f>
        <x:v>1</x:v>
      </x:c>
      <x:c r="G361" s="4" t="str">
        <x:v>Traced to cataloged T0 and/or recovered feeds</x:v>
      </x:c>
      <x:c r="H361" s="4" t="str">
        <x:v>Forge hearth, Anvil, Forging hammer, Smithing tongs, Metalworking file and Hand-cranked metal drill as applicable. Existing workshop bootstrap and controlled heating/cooling required; no free-water quench assumed.</x:v>
      </x:c>
      <x:c r="I361" s="4" t="str">
        <x:v>Candidate path traced</x:v>
      </x:c>
      <x:c r="J361" s="4" t="str">
        <x:v>Dimensions, grade, process qualification, quantity and yield remain open.</x:v>
      </x:c>
    </x:row>
    <x:row r="362" ht="115" customHeight="1">
      <x:c r="A362" s="4" t="str">
        <x:v>proposal.t1.bronze_billet</x:v>
      </x:c>
      <x:c r="B362" s="4" t="str">
        <x:f>IFERROR(INDEX(Items!$B$6:$B$1005,MATCH(A362,Items!$A$6:$A$1005,0)),"MISSING ID")</x:f>
        <x:v>Reclaimed bronze billet</x:v>
      </x:c>
      <x:c r="C362" s="4" t="str">
        <x:f>IFERROR(INDEX(Items!$X$6:$X$1005,MATCH(A362,Items!$A$6:$A$1005,0)),"MISSING ID")</x:f>
        <x:v>Processed material</x:v>
      </x:c>
      <x:c r="D362" s="4" t="str">
        <x:f>IFERROR(INDEX(Items!$C$6:$C$1005,MATCH(A362,Items!$A$6:$A$1005,0)),"MISSING ID")</x:f>
        <x:v>T1</x:v>
      </x:c>
      <x:c r="E362" s="4" t="str">
        <x:v>Manufactured stock / part</x:v>
      </x:c>
      <x:c r="F362" s="14" t="n">
        <x:f>IFERROR(INDEX(Items!$AJ$6:$AJ$1005,MATCH(A362,Items!$A$6:$A$1005,0)),"MISSING ID")</x:f>
        <x:v>1</x:v>
      </x:c>
      <x:c r="G362" s="4" t="str">
        <x:v>Traced to cataloged T0 and/or recovered feeds</x:v>
      </x:c>
      <x:c r="H362" s="4" t="str">
        <x:v>Forge hearth, Anvil, Forging hammer, Smithing tongs, Metalworking file and Hand-cranked metal drill as applicable. Existing workshop bootstrap and controlled heating/cooling required; no free-water quench assumed.</x:v>
      </x:c>
      <x:c r="I362" s="4" t="str">
        <x:v>Candidate path traced</x:v>
      </x:c>
      <x:c r="J362" s="4" t="str">
        <x:v>Dimensions, grade, process qualification, quantity and yield remain open.</x:v>
      </x:c>
    </x:row>
    <x:row r="363" ht="115" customHeight="1">
      <x:c r="A363" s="4" t="str">
        <x:v>proposal.t1.opaque_glass</x:v>
      </x:c>
      <x:c r="B363" s="4" t="str">
        <x:f>IFERROR(INDEX(Items!$B$6:$B$1005,MATCH(A363,Items!$A$6:$A$1005,0)),"MISSING ID")</x:f>
        <x:v>Opaque mineral-glass stock</x:v>
      </x:c>
      <x:c r="C363" s="4" t="str">
        <x:f>IFERROR(INDEX(Items!$X$6:$X$1005,MATCH(A363,Items!$A$6:$A$1005,0)),"MISSING ID")</x:f>
        <x:v>Processed material</x:v>
      </x:c>
      <x:c r="D363" s="4" t="str">
        <x:f>IFERROR(INDEX(Items!$C$6:$C$1005,MATCH(A363,Items!$A$6:$A$1005,0)),"MISSING ID")</x:f>
        <x:v>T1</x:v>
      </x:c>
      <x:c r="E363" s="4" t="str">
        <x:v>Manufactured stock / part</x:v>
      </x:c>
      <x:c r="F363" s="14" t="n">
        <x:f>IFERROR(INDEX(Items!$AJ$6:$AJ$1005,MATCH(A363,Items!$A$6:$A$1005,0)),"MISSING ID")</x:f>
        <x:v>1</x:v>
      </x:c>
      <x:c r="G363" s="4" t="str">
        <x:v>Traced to cataloged T0 and/or recovered feeds</x:v>
      </x:c>
      <x:c r="H363" s="4" t="str">
        <x:v>Controlled-heating firing kiln or specialist glass hot-work station; Ceramic firing tray / Ceramic casting mold as applicable. Qualified power, heat and atmosphere required.</x:v>
      </x:c>
      <x:c r="I363" s="4" t="str">
        <x:v>Candidate path traced</x:v>
      </x:c>
      <x:c r="J363" s="4" t="str">
        <x:v>Dimensions, grade, process qualification, quantity and yield remain open.</x:v>
      </x:c>
    </x:row>
    <x:row r="364" ht="115" customHeight="1">
      <x:c r="A364" s="4" t="str">
        <x:v>proposal.t1.clear_glass_blank</x:v>
      </x:c>
      <x:c r="B364" s="4" t="str">
        <x:f>IFERROR(INDEX(Items!$B$6:$B$1005,MATCH(A364,Items!$A$6:$A$1005,0)),"MISSING ID")</x:f>
        <x:v>Rough clear-glass blank</x:v>
      </x:c>
      <x:c r="C364" s="4" t="str">
        <x:f>IFERROR(INDEX(Items!$X$6:$X$1005,MATCH(A364,Items!$A$6:$A$1005,0)),"MISSING ID")</x:f>
        <x:v>Processed material</x:v>
      </x:c>
      <x:c r="D364" s="4" t="str">
        <x:f>IFERROR(INDEX(Items!$C$6:$C$1005,MATCH(A364,Items!$A$6:$A$1005,0)),"MISSING ID")</x:f>
        <x:v>T1</x:v>
      </x:c>
      <x:c r="E364" s="4" t="str">
        <x:v>Manufactured stock / part</x:v>
      </x:c>
      <x:c r="F364" s="14" t="n">
        <x:f>IFERROR(INDEX(Items!$AJ$6:$AJ$1005,MATCH(A364,Items!$A$6:$A$1005,0)),"MISSING ID")</x:f>
        <x:v>1</x:v>
      </x:c>
      <x:c r="G364" s="4" t="str">
        <x:v>Traced to cataloged T0 and/or recovered feeds</x:v>
      </x:c>
      <x:c r="H364" s="4" t="str">
        <x:v>Controlled-heating firing kiln or specialist glass hot-work station; Ceramic firing tray / Ceramic casting mold as applicable. Qualified power, heat and atmosphere required.</x:v>
      </x:c>
      <x:c r="I364" s="4" t="str">
        <x:v>Candidate path traced</x:v>
      </x:c>
      <x:c r="J364" s="4" t="str">
        <x:v>Dimensions, grade, process qualification, quantity and yield remain open.</x:v>
      </x:c>
    </x:row>
    <x:row r="365" ht="115" customHeight="1">
      <x:c r="A365" s="4" t="str">
        <x:v>proposal.t1.dressed_stone</x:v>
      </x:c>
      <x:c r="B365" s="4" t="str">
        <x:f>IFERROR(INDEX(Items!$B$6:$B$1005,MATCH(A365,Items!$A$6:$A$1005,0)),"MISSING ID")</x:f>
        <x:v>Dressed building-stone stock</x:v>
      </x:c>
      <x:c r="C365" s="4" t="str">
        <x:f>IFERROR(INDEX(Items!$X$6:$X$1005,MATCH(A365,Items!$A$6:$A$1005,0)),"MISSING ID")</x:f>
        <x:v>Processed material</x:v>
      </x:c>
      <x:c r="D365" s="4" t="str">
        <x:f>IFERROR(INDEX(Items!$C$6:$C$1005,MATCH(A365,Items!$A$6:$A$1005,0)),"MISSING ID")</x:f>
        <x:v>T1</x:v>
      </x:c>
      <x:c r="E365" s="4" t="str">
        <x:v>Manufactured stock / part</x:v>
      </x:c>
      <x:c r="F365" s="14" t="n">
        <x:f>IFERROR(INDEX(Items!$AJ$6:$AJ$1005,MATCH(A365,Items!$A$6:$A$1005,0)),"MISSING ID")</x:f>
        <x:v>1</x:v>
      </x:c>
      <x:c r="G365" s="4" t="str">
        <x:v>Traced to cataloged T0 and/or recovered feeds</x:v>
      </x:c>
      <x:c r="H365" s="4" t="str">
        <x:v>Ceramic grinding mortar, Ceramic pestle, Ceramic abrasive disc and stone-cutting fixtures as applicable; grade selection and finishing qualification required.</x:v>
      </x:c>
      <x:c r="I365" s="4" t="str">
        <x:v>Candidate path traced</x:v>
      </x:c>
      <x:c r="J365" s="4" t="str">
        <x:v>Dimensions, grade, process qualification, quantity and yield remain open.</x:v>
      </x:c>
    </x:row>
    <x:row r="366" ht="115" customHeight="1">
      <x:c r="A366" s="4" t="str">
        <x:v>proposal.t1.resonant_blank</x:v>
      </x:c>
      <x:c r="B366" s="4" t="str">
        <x:f>IFERROR(INDEX(Items!$B$6:$B$1005,MATCH(A366,Items!$A$6:$A$1005,0)),"MISSING ID")</x:f>
        <x:v>Selected resonant-stone blank</x:v>
      </x:c>
      <x:c r="C366" s="4" t="str">
        <x:f>IFERROR(INDEX(Items!$X$6:$X$1005,MATCH(A366,Items!$A$6:$A$1005,0)),"MISSING ID")</x:f>
        <x:v>Processed material</x:v>
      </x:c>
      <x:c r="D366" s="4" t="str">
        <x:f>IFERROR(INDEX(Items!$C$6:$C$1005,MATCH(A366,Items!$A$6:$A$1005,0)),"MISSING ID")</x:f>
        <x:v>T1</x:v>
      </x:c>
      <x:c r="E366" s="4" t="str">
        <x:v>Manufactured stock / part</x:v>
      </x:c>
      <x:c r="F366" s="14" t="n">
        <x:f>IFERROR(INDEX(Items!$AJ$6:$AJ$1005,MATCH(A366,Items!$A$6:$A$1005,0)),"MISSING ID")</x:f>
        <x:v>1</x:v>
      </x:c>
      <x:c r="G366" s="4" t="str">
        <x:v>Traced to cataloged T0 and/or recovered feeds</x:v>
      </x:c>
      <x:c r="H366" s="4" t="str">
        <x:v>Ceramic grinding mortar, Ceramic pestle, Ceramic abrasive disc and stone-cutting fixtures as applicable; grade selection and finishing qualification required.</x:v>
      </x:c>
      <x:c r="I366" s="4" t="str">
        <x:v>Candidate path traced</x:v>
      </x:c>
      <x:c r="J366" s="4" t="str">
        <x:v>Dimensions, grade, process qualification, quantity and yield remain open.</x:v>
      </x:c>
    </x:row>
    <x:row r="367" ht="115" customHeight="1">
      <x:c r="A367" s="4" t="str">
        <x:v>proposal.t1.pigment_powder</x:v>
      </x:c>
      <x:c r="B367" s="4" t="str">
        <x:f>IFERROR(INDEX(Items!$B$6:$B$1005,MATCH(A367,Items!$A$6:$A$1005,0)),"MISSING ID")</x:f>
        <x:v>Prepared mineral pigment powder</x:v>
      </x:c>
      <x:c r="C367" s="4" t="str">
        <x:f>IFERROR(INDEX(Items!$X$6:$X$1005,MATCH(A367,Items!$A$6:$A$1005,0)),"MISSING ID")</x:f>
        <x:v>Processed material</x:v>
      </x:c>
      <x:c r="D367" s="4" t="str">
        <x:f>IFERROR(INDEX(Items!$C$6:$C$1005,MATCH(A367,Items!$A$6:$A$1005,0)),"MISSING ID")</x:f>
        <x:v>T1</x:v>
      </x:c>
      <x:c r="E367" s="4" t="str">
        <x:v>Manufactured stock / part</x:v>
      </x:c>
      <x:c r="F367" s="14" t="n">
        <x:f>IFERROR(INDEX(Items!$AJ$6:$AJ$1005,MATCH(A367,Items!$A$6:$A$1005,0)),"MISSING ID")</x:f>
        <x:v>1</x:v>
      </x:c>
      <x:c r="G367" s="4" t="str">
        <x:v>Traced to cataloged T0 and/or recovered feeds</x:v>
      </x:c>
      <x:c r="H367" s="4" t="str">
        <x:v>Ceramic grinding mortar, Ceramic pestle, Ceramic abrasive disc and stone-cutting fixtures as applicable; grade selection and finishing qualification required.</x:v>
      </x:c>
      <x:c r="I367" s="4" t="str">
        <x:v>Candidate path traced</x:v>
      </x:c>
      <x:c r="J367" s="4" t="str">
        <x:v>Dimensions, grade, process qualification, quantity and yield remain open.</x:v>
      </x:c>
    </x:row>
    <x:row r="368" ht="115" customHeight="1">
      <x:c r="A368" s="4" t="str">
        <x:v>proposal.t1.mineral_filler</x:v>
      </x:c>
      <x:c r="B368" s="4" t="str">
        <x:f>IFERROR(INDEX(Items!$B$6:$B$1005,MATCH(A368,Items!$A$6:$A$1005,0)),"MISSING ID")</x:f>
        <x:v>Graded mineral filler</x:v>
      </x:c>
      <x:c r="C368" s="4" t="str">
        <x:f>IFERROR(INDEX(Items!$X$6:$X$1005,MATCH(A368,Items!$A$6:$A$1005,0)),"MISSING ID")</x:f>
        <x:v>Processed material</x:v>
      </x:c>
      <x:c r="D368" s="4" t="str">
        <x:f>IFERROR(INDEX(Items!$C$6:$C$1005,MATCH(A368,Items!$A$6:$A$1005,0)),"MISSING ID")</x:f>
        <x:v>T1</x:v>
      </x:c>
      <x:c r="E368" s="4" t="str">
        <x:v>Manufactured stock / part</x:v>
      </x:c>
      <x:c r="F368" s="14" t="n">
        <x:f>IFERROR(INDEX(Items!$AJ$6:$AJ$1005,MATCH(A368,Items!$A$6:$A$1005,0)),"MISSING ID")</x:f>
        <x:v>1</x:v>
      </x:c>
      <x:c r="G368" s="4" t="str">
        <x:v>Traced to cataloged T0 and/or recovered feeds</x:v>
      </x:c>
      <x:c r="H368" s="4" t="str">
        <x:v>Ceramic grinding mortar, Ceramic pestle, Ceramic abrasive disc and stone-cutting fixtures as applicable; grade selection and finishing qualification required.</x:v>
      </x:c>
      <x:c r="I368" s="4" t="str">
        <x:v>Candidate path traced</x:v>
      </x:c>
      <x:c r="J368" s="4" t="str">
        <x:v>Dimensions, grade, process qualification, quantity and yield remain open.</x:v>
      </x:c>
    </x:row>
    <x:row r="369" ht="115" customHeight="1">
      <x:c r="A369" s="4" t="str">
        <x:v>proposal.t1.glass_feed</x:v>
      </x:c>
      <x:c r="B369" s="4" t="str">
        <x:f>IFERROR(INDEX(Items!$B$6:$B$1005,MATCH(A369,Items!$A$6:$A$1005,0)),"MISSING ID")</x:f>
        <x:v>Sorted glass remelt feed</x:v>
      </x:c>
      <x:c r="C369" s="4" t="str">
        <x:f>IFERROR(INDEX(Items!$X$6:$X$1005,MATCH(A369,Items!$A$6:$A$1005,0)),"MISSING ID")</x:f>
        <x:v>Processed material</x:v>
      </x:c>
      <x:c r="D369" s="4" t="str">
        <x:f>IFERROR(INDEX(Items!$C$6:$C$1005,MATCH(A369,Items!$A$6:$A$1005,0)),"MISSING ID")</x:f>
        <x:v>T1</x:v>
      </x:c>
      <x:c r="E369" s="4" t="str">
        <x:v>Manufactured stock / part</x:v>
      </x:c>
      <x:c r="F369" s="14" t="n">
        <x:f>IFERROR(INDEX(Items!$AJ$6:$AJ$1005,MATCH(A369,Items!$A$6:$A$1005,0)),"MISSING ID")</x:f>
        <x:v>1</x:v>
      </x:c>
      <x:c r="G369" s="4" t="str">
        <x:v>Traced to cataloged T0 and/or recovered feeds</x:v>
      </x:c>
      <x:c r="H369" s="4" t="str">
        <x:v>Controlled-heating firing kiln or specialist glass hot-work station; Ceramic firing tray / Ceramic casting mold as applicable. Qualified power, heat and atmosphere required.</x:v>
      </x:c>
      <x:c r="I369" s="4" t="str">
        <x:v>Candidate path traced</x:v>
      </x:c>
      <x:c r="J369" s="4" t="str">
        <x:v>Dimensions, grade, process qualification, quantity and yield remain open.</x:v>
      </x:c>
    </x:row>
    <x:row r="370" ht="115" customHeight="1">
      <x:c r="A370" s="4" t="str">
        <x:v>proposal.t1.mica_flakes</x:v>
      </x:c>
      <x:c r="B370" s="4" t="str">
        <x:f>IFERROR(INDEX(Items!$B$6:$B$1005,MATCH(A370,Items!$A$6:$A$1005,0)),"MISSING ID")</x:f>
        <x:v>Separated mica flake grade</x:v>
      </x:c>
      <x:c r="C370" s="4" t="str">
        <x:f>IFERROR(INDEX(Items!$X$6:$X$1005,MATCH(A370,Items!$A$6:$A$1005,0)),"MISSING ID")</x:f>
        <x:v>Processed material</x:v>
      </x:c>
      <x:c r="D370" s="4" t="str">
        <x:f>IFERROR(INDEX(Items!$C$6:$C$1005,MATCH(A370,Items!$A$6:$A$1005,0)),"MISSING ID")</x:f>
        <x:v>T1</x:v>
      </x:c>
      <x:c r="E370" s="4" t="str">
        <x:v>Manufactured stock / part</x:v>
      </x:c>
      <x:c r="F370" s="14" t="n">
        <x:f>IFERROR(INDEX(Items!$AJ$6:$AJ$1005,MATCH(A370,Items!$A$6:$A$1005,0)),"MISSING ID")</x:f>
        <x:v>1</x:v>
      </x:c>
      <x:c r="G370" s="4" t="str">
        <x:v>Traced to cataloged T0 and/or recovered feeds</x:v>
      </x:c>
      <x:c r="H370" s="4" t="str">
        <x:v>Ceramic grinding mortar, Ceramic pestle, Ceramic abrasive disc and stone-cutting fixtures as applicable; grade selection and finishing qualification required.</x:v>
      </x:c>
      <x:c r="I370" s="4" t="str">
        <x:v>Candidate path traced</x:v>
      </x:c>
      <x:c r="J370" s="4" t="str">
        <x:v>Dimensions, grade, process qualification, quantity and yield remain open.</x:v>
      </x:c>
    </x:row>
    <x:row r="371" ht="115" customHeight="1">
      <x:c r="A371" s="4" t="str">
        <x:v>proposal.t1.husk_pulp</x:v>
      </x:c>
      <x:c r="B371" s="4" t="str">
        <x:f>IFERROR(INDEX(Items!$B$6:$B$1005,MATCH(A371,Items!$A$6:$A$1005,0)),"MISSING ID")</x:f>
        <x:v>Prepared husk-fiber pulp</x:v>
      </x:c>
      <x:c r="C371" s="4" t="str">
        <x:f>IFERROR(INDEX(Items!$X$6:$X$1005,MATCH(A371,Items!$A$6:$A$1005,0)),"MISSING ID")</x:f>
        <x:v>Processed material</x:v>
      </x:c>
      <x:c r="D371" s="4" t="str">
        <x:f>IFERROR(INDEX(Items!$C$6:$C$1005,MATCH(A371,Items!$A$6:$A$1005,0)),"MISSING ID")</x:f>
        <x:v>T1</x:v>
      </x:c>
      <x:c r="E371" s="4" t="str">
        <x:v>Manufactured stock / part</x:v>
      </x:c>
      <x:c r="F371" s="14" t="n">
        <x:f>IFERROR(INDEX(Items!$AJ$6:$AJ$1005,MATCH(A371,Items!$A$6:$A$1005,0)),"MISSING ID")</x:f>
        <x:v>1</x:v>
      </x:c>
      <x:c r="G371" s="4" t="str">
        <x:v>Traced to cataloged T0 and/or recovered feeds</x:v>
      </x:c>
      <x:c r="H371" s="4" t="str">
        <x:v>Husk-sheet cutting shears, pressure fixtures and dedicated preparation surfaces. Very low hide/fur yield; no ordinary cloth or plant inputs.</x:v>
      </x:c>
      <x:c r="I371" s="4" t="str">
        <x:v>Candidate path traced</x:v>
      </x:c>
      <x:c r="J371" s="4" t="str">
        <x:v>Dimensions, grade, process qualification, quantity and yield remain open.</x:v>
      </x:c>
    </x:row>
    <x:row r="372" ht="115" customHeight="1">
      <x:c r="A372" s="4" t="str">
        <x:v>proposal.t1.bristle_bundle</x:v>
      </x:c>
      <x:c r="B372" s="4" t="str">
        <x:f>IFERROR(INDEX(Items!$B$6:$B$1005,MATCH(A372,Items!$A$6:$A$1005,0)),"MISSING ID")</x:f>
        <x:v>Clean graded bristle bundles</x:v>
      </x:c>
      <x:c r="C372" s="4" t="str">
        <x:f>IFERROR(INDEX(Items!$X$6:$X$1005,MATCH(A372,Items!$A$6:$A$1005,0)),"MISSING ID")</x:f>
        <x:v>Processed material</x:v>
      </x:c>
      <x:c r="D372" s="4" t="str">
        <x:f>IFERROR(INDEX(Items!$C$6:$C$1005,MATCH(A372,Items!$A$6:$A$1005,0)),"MISSING ID")</x:f>
        <x:v>T1</x:v>
      </x:c>
      <x:c r="E372" s="4" t="str">
        <x:v>Manufactured stock / part</x:v>
      </x:c>
      <x:c r="F372" s="14" t="n">
        <x:f>IFERROR(INDEX(Items!$AJ$6:$AJ$1005,MATCH(A372,Items!$A$6:$A$1005,0)),"MISSING ID")</x:f>
        <x:v>1</x:v>
      </x:c>
      <x:c r="G372" s="4" t="str">
        <x:v>Traced to cataloged T0 and/or recovered feeds</x:v>
      </x:c>
      <x:c r="H372" s="4" t="str">
        <x:v>Husk-sheet cutting shears, pressure fixtures and dedicated preparation surfaces. Very low hide/fur yield; no ordinary cloth or plant inputs.</x:v>
      </x:c>
      <x:c r="I372" s="4" t="str">
        <x:v>Candidate path traced</x:v>
      </x:c>
      <x:c r="J372" s="4" t="str">
        <x:v>Dimensions, grade, process qualification, quantity and yield remain open.</x:v>
      </x:c>
    </x:row>
    <x:row r="373" ht="115" customHeight="1">
      <x:c r="A373" s="4" t="str">
        <x:v>proposal.t1.shell_lamina</x:v>
      </x:c>
      <x:c r="B373" s="4" t="str">
        <x:f>IFERROR(INDEX(Items!$B$6:$B$1005,MATCH(A373,Items!$A$6:$A$1005,0)),"MISSING ID")</x:f>
        <x:v>Separated shell lamina stock</x:v>
      </x:c>
      <x:c r="C373" s="4" t="str">
        <x:f>IFERROR(INDEX(Items!$X$6:$X$1005,MATCH(A373,Items!$A$6:$A$1005,0)),"MISSING ID")</x:f>
        <x:v>Processed material</x:v>
      </x:c>
      <x:c r="D373" s="4" t="str">
        <x:f>IFERROR(INDEX(Items!$C$6:$C$1005,MATCH(A373,Items!$A$6:$A$1005,0)),"MISSING ID")</x:f>
        <x:v>T1</x:v>
      </x:c>
      <x:c r="E373" s="4" t="str">
        <x:v>Manufactured stock / part</x:v>
      </x:c>
      <x:c r="F373" s="14" t="n">
        <x:f>IFERROR(INDEX(Items!$AJ$6:$AJ$1005,MATCH(A373,Items!$A$6:$A$1005,0)),"MISSING ID")</x:f>
        <x:v>1</x:v>
      </x:c>
      <x:c r="G373" s="4" t="str">
        <x:v>Traced to cataloged T0 and/or recovered feeds</x:v>
      </x:c>
      <x:c r="H373" s="4" t="str">
        <x:v>Husk-sheet cutting shears, Hand-cranked metal drill and Ceramic abrasive disc as applicable; compatible contained biological preparation and low-yield material handling required.</x:v>
      </x:c>
      <x:c r="I373" s="4" t="str">
        <x:v>Candidate path traced</x:v>
      </x:c>
      <x:c r="J373" s="4" t="str">
        <x:v>Dimensions, grade, process qualification, quantity and yield remain open.</x:v>
      </x:c>
    </x:row>
    <x:row r="374" ht="115" customHeight="1">
      <x:c r="A374" s="4" t="str">
        <x:v>proposal.t1.hardpart_blank</x:v>
      </x:c>
      <x:c r="B374" s="4" t="str">
        <x:f>IFERROR(INDEX(Items!$B$6:$B$1005,MATCH(A374,Items!$A$6:$A$1005,0)),"MISSING ID")</x:f>
        <x:v>Shaped fauna hard-part blanks</x:v>
      </x:c>
      <x:c r="C374" s="4" t="str">
        <x:f>IFERROR(INDEX(Items!$X$6:$X$1005,MATCH(A374,Items!$A$6:$A$1005,0)),"MISSING ID")</x:f>
        <x:v>Processed material</x:v>
      </x:c>
      <x:c r="D374" s="4" t="str">
        <x:f>IFERROR(INDEX(Items!$C$6:$C$1005,MATCH(A374,Items!$A$6:$A$1005,0)),"MISSING ID")</x:f>
        <x:v>T1</x:v>
      </x:c>
      <x:c r="E374" s="4" t="str">
        <x:v>Manufactured stock / part</x:v>
      </x:c>
      <x:c r="F374" s="14" t="n">
        <x:f>IFERROR(INDEX(Items!$AJ$6:$AJ$1005,MATCH(A374,Items!$A$6:$A$1005,0)),"MISSING ID")</x:f>
        <x:v>1</x:v>
      </x:c>
      <x:c r="G374" s="4" t="str">
        <x:v>Traced to cataloged T0 and/or recovered feeds</x:v>
      </x:c>
      <x:c r="H374" s="4" t="str">
        <x:v>Husk-sheet cutting shears, Hand-cranked metal drill and Ceramic abrasive disc as applicable; compatible contained biological preparation and low-yield material handling required.</x:v>
      </x:c>
      <x:c r="I374" s="4" t="str">
        <x:v>Candidate path traced</x:v>
      </x:c>
      <x:c r="J374" s="4" t="str">
        <x:v>Dimensions, grade, process qualification, quantity and yield remain open.</x:v>
      </x:c>
    </x:row>
    <x:row r="375" ht="115" customHeight="1">
      <x:c r="A375" s="4" t="str">
        <x:v>proposal.t1.process_salts</x:v>
      </x:c>
      <x:c r="B375" s="4" t="str">
        <x:f>IFERROR(INDEX(Items!$B$6:$B$1005,MATCH(A375,Items!$A$6:$A$1005,0)),"MISSING ID")</x:f>
        <x:v>Graded process salts</x:v>
      </x:c>
      <x:c r="C375" s="4" t="str">
        <x:f>IFERROR(INDEX(Items!$X$6:$X$1005,MATCH(A375,Items!$A$6:$A$1005,0)),"MISSING ID")</x:f>
        <x:v>Processed material</x:v>
      </x:c>
      <x:c r="D375" s="4" t="str">
        <x:f>IFERROR(INDEX(Items!$C$6:$C$1005,MATCH(A375,Items!$A$6:$A$1005,0)),"MISSING ID")</x:f>
        <x:v>T1</x:v>
      </x:c>
      <x:c r="E375" s="4" t="str">
        <x:v>Manufactured stock / part</x:v>
      </x:c>
      <x:c r="F375" s="14" t="n">
        <x:f>IFERROR(INDEX(Items!$AJ$6:$AJ$1005,MATCH(A375,Items!$A$6:$A$1005,0)),"MISSING ID")</x:f>
        <x:v>1</x:v>
      </x:c>
      <x:c r="G375" s="4" t="str">
        <x:v>Traced to cataloged T0 and/or recovered feeds</x:v>
      </x:c>
      <x:c r="H375" s="4" t="str">
        <x:v>Ceramic grinding mortar, Ceramic pestle, Ceramic abrasive disc and stone-cutting fixtures as applicable; grade selection and finishing qualification required.</x:v>
      </x:c>
      <x:c r="I375" s="4" t="str">
        <x:v>Candidate path traced</x:v>
      </x:c>
      <x:c r="J375" s="4" t="str">
        <x:v>Dimensions, grade, process qualification, quantity and yield remain open.</x:v>
      </x:c>
    </x:row>
    <x:row r="376" ht="115" customHeight="1">
      <x:c r="A376" s="4" t="str">
        <x:v>proposal.t1.faunal_carrier</x:v>
      </x:c>
      <x:c r="B376" s="4" t="str">
        <x:f>IFERROR(INDEX(Items!$B$6:$B$1005,MATCH(A376,Items!$A$6:$A$1005,0)),"MISSING ID")</x:f>
        <x:v>Selected faunal carrier fraction</x:v>
      </x:c>
      <x:c r="C376" s="4" t="str">
        <x:f>IFERROR(INDEX(Items!$X$6:$X$1005,MATCH(A376,Items!$A$6:$A$1005,0)),"MISSING ID")</x:f>
        <x:v>Chemical material</x:v>
      </x:c>
      <x:c r="D376" s="4" t="str">
        <x:f>IFERROR(INDEX(Items!$C$6:$C$1005,MATCH(A376,Items!$A$6:$A$1005,0)),"MISSING ID")</x:f>
        <x:v>T1</x:v>
      </x:c>
      <x:c r="E376" s="4" t="str">
        <x:v>Manufactured stock / part</x:v>
      </x:c>
      <x:c r="F376" s="14" t="n">
        <x:f>IFERROR(INDEX(Items!$AJ$6:$AJ$1005,MATCH(A376,Items!$A$6:$A$1005,0)),"MISSING ID")</x:f>
        <x:v>1</x:v>
      </x:c>
      <x:c r="G376" s="4" t="str">
        <x:v>Traced to cataloged T0 and/or recovered feeds</x:v>
      </x:c>
      <x:c r="H376" s="4" t="str">
        <x:v>Contained segregated vessels, Ceramic grinding mortar, Ceramic pestle and Glass transfer funnel. Process/carrier compatibility unresolved.</x:v>
      </x:c>
      <x:c r="I376" s="4" t="str">
        <x:v>Candidate path traced</x:v>
      </x:c>
      <x:c r="J376" s="4" t="str">
        <x:v>Reagent identity, contained carrier, reaction/selectivity, compatibility and process yield require qualification.</x:v>
      </x:c>
    </x:row>
    <x:row r="377" ht="115" customHeight="1">
      <x:c r="A377" s="4" t="str">
        <x:v>proposal.t1.shell_adhesive</x:v>
      </x:c>
      <x:c r="B377" s="4" t="str">
        <x:f>IFERROR(INDEX(Items!$B$6:$B$1005,MATCH(A377,Items!$A$6:$A$1005,0)),"MISSING ID")</x:f>
        <x:v>Prepared shell-binding adhesive</x:v>
      </x:c>
      <x:c r="C377" s="4" t="str">
        <x:f>IFERROR(INDEX(Items!$X$6:$X$1005,MATCH(A377,Items!$A$6:$A$1005,0)),"MISSING ID")</x:f>
        <x:v>Chemical material</x:v>
      </x:c>
      <x:c r="D377" s="4" t="str">
        <x:f>IFERROR(INDEX(Items!$C$6:$C$1005,MATCH(A377,Items!$A$6:$A$1005,0)),"MISSING ID")</x:f>
        <x:v>T1</x:v>
      </x:c>
      <x:c r="E377" s="4" t="str">
        <x:v>Manufactured stock / part</x:v>
      </x:c>
      <x:c r="F377" s="14" t="n">
        <x:f>IFERROR(INDEX(Items!$AJ$6:$AJ$1005,MATCH(A377,Items!$A$6:$A$1005,0)),"MISSING ID")</x:f>
        <x:v>1</x:v>
      </x:c>
      <x:c r="G377" s="4" t="str">
        <x:v>Traced to cataloged T0 and/or recovered feeds</x:v>
      </x:c>
      <x:c r="H377" s="4" t="str">
        <x:v>Contained segregated vessels, Ceramic grinding mortar, Ceramic pestle and Glass transfer funnel. Process/carrier compatibility unresolved.</x:v>
      </x:c>
      <x:c r="I377" s="4" t="str">
        <x:v>Candidate path traced</x:v>
      </x:c>
      <x:c r="J377" s="4" t="str">
        <x:v>Reagent identity, contained carrier, reaction/selectivity, compatibility and process yield require qualification.</x:v>
      </x:c>
    </x:row>
    <x:row r="378" ht="115" customHeight="1">
      <x:c r="A378" s="4" t="str">
        <x:v>proposal.t1.clot_seal</x:v>
      </x:c>
      <x:c r="B378" s="4" t="str">
        <x:f>IFERROR(INDEX(Items!$B$6:$B$1005,MATCH(A378,Items!$A$6:$A$1005,0)),"MISSING ID")</x:f>
        <x:v>Prepared clot-seal compound</x:v>
      </x:c>
      <x:c r="C378" s="4" t="str">
        <x:f>IFERROR(INDEX(Items!$X$6:$X$1005,MATCH(A378,Items!$A$6:$A$1005,0)),"MISSING ID")</x:f>
        <x:v>Chemical material</x:v>
      </x:c>
      <x:c r="D378" s="4" t="str">
        <x:f>IFERROR(INDEX(Items!$C$6:$C$1005,MATCH(A378,Items!$A$6:$A$1005,0)),"MISSING ID")</x:f>
        <x:v>T1</x:v>
      </x:c>
      <x:c r="E378" s="4" t="str">
        <x:v>Manufactured stock / part</x:v>
      </x:c>
      <x:c r="F378" s="14" t="n">
        <x:f>IFERROR(INDEX(Items!$AJ$6:$AJ$1005,MATCH(A378,Items!$A$6:$A$1005,0)),"MISSING ID")</x:f>
        <x:v>1</x:v>
      </x:c>
      <x:c r="G378" s="4" t="str">
        <x:v>Traced to cataloged T0 and/or recovered feeds</x:v>
      </x:c>
      <x:c r="H378" s="4" t="str">
        <x:v>Contained segregated vessels, Ceramic grinding mortar, Ceramic pestle and Glass transfer funnel. Process/carrier compatibility unresolved.</x:v>
      </x:c>
      <x:c r="I378" s="4" t="str">
        <x:v>Candidate path traced</x:v>
      </x:c>
      <x:c r="J378" s="4" t="str">
        <x:v>Reagent identity, contained carrier, reaction/selectivity, compatibility and process yield require qualification.</x:v>
      </x:c>
    </x:row>
    <x:row r="379" ht="115" customHeight="1">
      <x:c r="A379" s="4" t="str">
        <x:v>proposal.t1.gem_preform</x:v>
      </x:c>
      <x:c r="B379" s="4" t="str">
        <x:f>IFERROR(INDEX(Items!$B$6:$B$1005,MATCH(A379,Items!$A$6:$A$1005,0)),"MISSING ID")</x:f>
        <x:v>Cut gemstone preform</x:v>
      </x:c>
      <x:c r="C379" s="4" t="str">
        <x:f>IFERROR(INDEX(Items!$X$6:$X$1005,MATCH(A379,Items!$A$6:$A$1005,0)),"MISSING ID")</x:f>
        <x:v>Processed material</x:v>
      </x:c>
      <x:c r="D379" s="4" t="str">
        <x:f>IFERROR(INDEX(Items!$C$6:$C$1005,MATCH(A379,Items!$A$6:$A$1005,0)),"MISSING ID")</x:f>
        <x:v>T1</x:v>
      </x:c>
      <x:c r="E379" s="4" t="str">
        <x:v>Manufactured stock / part</x:v>
      </x:c>
      <x:c r="F379" s="14" t="n">
        <x:f>IFERROR(INDEX(Items!$AJ$6:$AJ$1005,MATCH(A379,Items!$A$6:$A$1005,0)),"MISSING ID")</x:f>
        <x:v>1</x:v>
      </x:c>
      <x:c r="G379" s="4" t="str">
        <x:v>Traced to cataloged T0 and/or recovered feeds</x:v>
      </x:c>
      <x:c r="H379" s="4" t="str">
        <x:v>Ceramic abrasive disc, graded grit and specialist lapidary fixtures; no mineral powers assumed.</x:v>
      </x:c>
      <x:c r="I379" s="4" t="str">
        <x:v>Candidate path traced</x:v>
      </x:c>
      <x:c r="J379" s="4" t="str">
        <x:v>Dimensions, grade, process qualification, quantity and yield remain open.</x:v>
      </x:c>
    </x:row>
    <x:row r="380" ht="115" customHeight="1">
      <x:c r="A380" s="4" t="str">
        <x:v>proposal.t1.gem_chips</x:v>
      </x:c>
      <x:c r="B380" s="4" t="str">
        <x:f>IFERROR(INDEX(Items!$B$6:$B$1005,MATCH(A380,Items!$A$6:$A$1005,0)),"MISSING ID")</x:f>
        <x:v>Graded stone inlay chips</x:v>
      </x:c>
      <x:c r="C380" s="4" t="str">
        <x:f>IFERROR(INDEX(Items!$X$6:$X$1005,MATCH(A380,Items!$A$6:$A$1005,0)),"MISSING ID")</x:f>
        <x:v>Processed material</x:v>
      </x:c>
      <x:c r="D380" s="4" t="str">
        <x:f>IFERROR(INDEX(Items!$C$6:$C$1005,MATCH(A380,Items!$A$6:$A$1005,0)),"MISSING ID")</x:f>
        <x:v>T1</x:v>
      </x:c>
      <x:c r="E380" s="4" t="str">
        <x:v>Manufactured stock / part</x:v>
      </x:c>
      <x:c r="F380" s="14" t="n">
        <x:f>IFERROR(INDEX(Items!$AJ$6:$AJ$1005,MATCH(A380,Items!$A$6:$A$1005,0)),"MISSING ID")</x:f>
        <x:v>1</x:v>
      </x:c>
      <x:c r="G380" s="4" t="str">
        <x:v>Traced to cataloged T0 and/or recovered feeds</x:v>
      </x:c>
      <x:c r="H380" s="4" t="str">
        <x:v>Ceramic abrasive disc, graded grit and specialist lapidary fixtures; no mineral powers assumed.</x:v>
      </x:c>
      <x:c r="I380" s="4" t="str">
        <x:v>Candidate path traced</x:v>
      </x:c>
      <x:c r="J380" s="4" t="str">
        <x:v>Dimensions, grade, process qualification, quantity and yield remain open.</x:v>
      </x:c>
    </x:row>
    <x:row r="381" ht="115" customHeight="1">
      <x:c r="A381" s="4" t="str">
        <x:v>proposal.t1.shell_inlay</x:v>
      </x:c>
      <x:c r="B381" s="4" t="str">
        <x:f>IFERROR(INDEX(Items!$B$6:$B$1005,MATCH(A381,Items!$A$6:$A$1005,0)),"MISSING ID")</x:f>
        <x:v>Burnished shell inlay scales</x:v>
      </x:c>
      <x:c r="C381" s="4" t="str">
        <x:f>IFERROR(INDEX(Items!$X$6:$X$1005,MATCH(A381,Items!$A$6:$A$1005,0)),"MISSING ID")</x:f>
        <x:v>Processed material</x:v>
      </x:c>
      <x:c r="D381" s="4" t="str">
        <x:f>IFERROR(INDEX(Items!$C$6:$C$1005,MATCH(A381,Items!$A$6:$A$1005,0)),"MISSING ID")</x:f>
        <x:v>T1</x:v>
      </x:c>
      <x:c r="E381" s="4" t="str">
        <x:v>Manufactured stock / part</x:v>
      </x:c>
      <x:c r="F381" s="14" t="n">
        <x:f>IFERROR(INDEX(Items!$AJ$6:$AJ$1005,MATCH(A381,Items!$A$6:$A$1005,0)),"MISSING ID")</x:f>
        <x:v>1</x:v>
      </x:c>
      <x:c r="G381" s="4" t="str">
        <x:v>Traced to cataloged T0 and/or recovered feeds</x:v>
      </x:c>
      <x:c r="H381" s="4" t="str">
        <x:v>Husk-sheet cutting shears, Hand-cranked metal drill and Ceramic abrasive disc as applicable; compatible contained biological preparation and low-yield material handling required.</x:v>
      </x:c>
      <x:c r="I381" s="4" t="str">
        <x:v>Candidate path traced</x:v>
      </x:c>
      <x:c r="J381" s="4" t="str">
        <x:v>Dimensions, grade, process qualification, quantity and yield remain open.</x:v>
      </x:c>
    </x:row>
    <x:row r="382" ht="115" customHeight="1">
      <x:c r="A382" s="4" t="str">
        <x:v>proposal.t1.mica_window</x:v>
      </x:c>
      <x:c r="B382" s="4" t="str">
        <x:f>IFERROR(INDEX(Items!$B$6:$B$1005,MATCH(A382,Items!$A$6:$A$1005,0)),"MISSING ID")</x:f>
        <x:v>Sized mica viewing sheet</x:v>
      </x:c>
      <x:c r="C382" s="4" t="str">
        <x:f>IFERROR(INDEX(Items!$X$6:$X$1005,MATCH(A382,Items!$A$6:$A$1005,0)),"MISSING ID")</x:f>
        <x:v>Processed material</x:v>
      </x:c>
      <x:c r="D382" s="4" t="str">
        <x:f>IFERROR(INDEX(Items!$C$6:$C$1005,MATCH(A382,Items!$A$6:$A$1005,0)),"MISSING ID")</x:f>
        <x:v>T1</x:v>
      </x:c>
      <x:c r="E382" s="4" t="str">
        <x:v>Manufactured stock / part</x:v>
      </x:c>
      <x:c r="F382" s="14" t="n">
        <x:f>IFERROR(INDEX(Items!$AJ$6:$AJ$1005,MATCH(A382,Items!$A$6:$A$1005,0)),"MISSING ID")</x:f>
        <x:v>1</x:v>
      </x:c>
      <x:c r="G382" s="4" t="str">
        <x:v>Traced to cataloged T0 and/or recovered feeds</x:v>
      </x:c>
      <x:c r="H382" s="4" t="str">
        <x:v>Ceramic grinding mortar, Ceramic pestle, Ceramic abrasive disc and stone-cutting fixtures as applicable; grade selection and finishing qualification required.</x:v>
      </x:c>
      <x:c r="I382" s="4" t="str">
        <x:v>Candidate path traced</x:v>
      </x:c>
      <x:c r="J382" s="4" t="str">
        <x:v>Dimensions, grade, process qualification, quantity and yield remain open.</x:v>
      </x:c>
    </x:row>
    <x:row r="383" ht="115" customHeight="1">
      <x:c r="A383" s="4" t="str">
        <x:v>author.communication.crude_two_way_radio</x:v>
      </x:c>
      <x:c r="B383" s="4" t="str">
        <x:f>IFERROR(INDEX(Items!$B$6:$B$1005,MATCH(A383,Items!$A$6:$A$1005,0)),"MISSING ID")</x:f>
        <x:v>Crude two-way radio</x:v>
      </x:c>
      <x:c r="C383" s="4" t="str">
        <x:f>IFERROR(INDEX(Items!$X$6:$X$1005,MATCH(A383,Items!$A$6:$A$1005,0)),"MISSING ID")</x:f>
        <x:v>Tool</x:v>
      </x:c>
      <x:c r="D383" s="4" t="str">
        <x:f>IFERROR(INDEX(Items!$C$6:$C$1005,MATCH(A383,Items!$A$6:$A$1005,0)),"MISSING ID")</x:f>
        <x:v>Not applicable</x:v>
      </x:c>
      <x:c r="E383" s="4" t="str">
        <x:v>Finished endpoint</x:v>
      </x:c>
      <x:c r="F383" s="14" t="n">
        <x:f>IFERROR(INDEX(Items!$AJ$6:$AJ$1005,MATCH(A383,Items!$A$6:$A$1005,0)),"MISSING ID")</x:f>
        <x:v>1</x:v>
      </x:c>
      <x:c r="G383" s="4" t="str">
        <x:v>Traced to cataloged T0 and/or recovered feeds</x:v>
      </x:c>
      <x:c r="H383" s="4" t="str">
        <x:v>Specialist engineering workshop; insulation, pressure or control qualification as applicable. Power/working medium and operating theory unresolved.</x:v>
      </x:c>
      <x:c r="I383" s="4" t="str">
        <x:v>Research / source gated</x:v>
      </x:c>
      <x:c r="J383" s="4" t="str">
        <x:v>Crude two-way radio; Mineral-cell electrolyte candidate; Recovered acoustic receiver capsule; 1 further conditional sources. Operating principle, working medium, controls and service qualification remain unresolved.</x:v>
      </x:c>
    </x:row>
    <x:row r="384" ht="115" customHeight="1">
      <x:c r="A384" s="4" t="str">
        <x:v>author.ancient.laser_sword</x:v>
      </x:c>
      <x:c r="B384" s="4" t="str">
        <x:f>IFERROR(INDEX(Items!$B$6:$B$1005,MATCH(A384,Items!$A$6:$A$1005,0)),"MISSING ID")</x:f>
        <x:v>Laser sword</x:v>
      </x:c>
      <x:c r="C384" s="4" t="str">
        <x:f>IFERROR(INDEX(Items!$X$6:$X$1005,MATCH(A384,Items!$A$6:$A$1005,0)),"MISSING ID")</x:f>
        <x:v>Weapon</x:v>
      </x:c>
      <x:c r="D384" s="4" t="str">
        <x:f>IFERROR(INDEX(Items!$C$6:$C$1005,MATCH(A384,Items!$A$6:$A$1005,0)),"MISSING ID")</x:f>
        <x:v>Not applicable</x:v>
      </x:c>
      <x:c r="E384" s="4" t="str">
        <x:v>Recovery</x:v>
      </x:c>
      <x:c r="F384" s="14" t="n">
        <x:f>IFERROR(INDEX(Items!$AJ$6:$AJ$1005,MATCH(A384,Items!$A$6:$A$1005,0)),"MISSING ID")</x:f>
        <x:v>0</x:v>
      </x:c>
      <x:c r="G384" s="4" t="str">
        <x:v>Source, recovery or issue route applies</x:v>
      </x:c>
      <x:c r="H384" s="4" t="str">
        <x:v>Not a selected manufacturing route</x:v>
      </x:c>
      <x:c r="I384" s="4" t="str">
        <x:v>Recovery only</x:v>
      </x:c>
      <x:c r="J384" s="4" t="str">
        <x:v>Recover and assess a compatible item. No manufacturing route or guaranteed working function.</x:v>
      </x:c>
    </x:row>
    <x:row r="385" ht="115" customHeight="1">
      <x:c r="A385" s="4" t="str">
        <x:v>author.ancient.laser_blaster</x:v>
      </x:c>
      <x:c r="B385" s="4" t="str">
        <x:f>IFERROR(INDEX(Items!$B$6:$B$1005,MATCH(A385,Items!$A$6:$A$1005,0)),"MISSING ID")</x:f>
        <x:v>Laser blaster</x:v>
      </x:c>
      <x:c r="C385" s="4" t="str">
        <x:f>IFERROR(INDEX(Items!$X$6:$X$1005,MATCH(A385,Items!$A$6:$A$1005,0)),"MISSING ID")</x:f>
        <x:v>Weapon</x:v>
      </x:c>
      <x:c r="D385" s="4" t="str">
        <x:f>IFERROR(INDEX(Items!$C$6:$C$1005,MATCH(A385,Items!$A$6:$A$1005,0)),"MISSING ID")</x:f>
        <x:v>Not applicable</x:v>
      </x:c>
      <x:c r="E385" s="4" t="str">
        <x:v>Recovery</x:v>
      </x:c>
      <x:c r="F385" s="14" t="n">
        <x:f>IFERROR(INDEX(Items!$AJ$6:$AJ$1005,MATCH(A385,Items!$A$6:$A$1005,0)),"MISSING ID")</x:f>
        <x:v>0</x:v>
      </x:c>
      <x:c r="G385" s="4" t="str">
        <x:v>Source, recovery or issue route applies</x:v>
      </x:c>
      <x:c r="H385" s="4" t="str">
        <x:v>Not a selected manufacturing route</x:v>
      </x:c>
      <x:c r="I385" s="4" t="str">
        <x:v>Recovery only</x:v>
      </x:c>
      <x:c r="J385" s="4" t="str">
        <x:v>Recover and assess a compatible item. No manufacturing route or guaranteed working function.</x:v>
      </x:c>
    </x:row>
    <x:row r="386" ht="115" customHeight="1">
      <x:c r="A386" s="4" t="str">
        <x:v>author.ancient.rocket</x:v>
      </x:c>
      <x:c r="B386" s="4" t="str">
        <x:f>IFERROR(INDEX(Items!$B$6:$B$1005,MATCH(A386,Items!$A$6:$A$1005,0)),"MISSING ID")</x:f>
        <x:v>Rocket</x:v>
      </x:c>
      <x:c r="C386" s="4" t="str">
        <x:f>IFERROR(INDEX(Items!$X$6:$X$1005,MATCH(A386,Items!$A$6:$A$1005,0)),"MISSING ID")</x:f>
        <x:v>Ammunition</x:v>
      </x:c>
      <x:c r="D386" s="4" t="str">
        <x:f>IFERROR(INDEX(Items!$C$6:$C$1005,MATCH(A386,Items!$A$6:$A$1005,0)),"MISSING ID")</x:f>
        <x:v>Not applicable</x:v>
      </x:c>
      <x:c r="E386" s="4" t="str">
        <x:v>Recovery</x:v>
      </x:c>
      <x:c r="F386" s="14" t="n">
        <x:f>IFERROR(INDEX(Items!$AJ$6:$AJ$1005,MATCH(A386,Items!$A$6:$A$1005,0)),"MISSING ID")</x:f>
        <x:v>0</x:v>
      </x:c>
      <x:c r="G386" s="4" t="str">
        <x:v>Source, recovery or issue route applies</x:v>
      </x:c>
      <x:c r="H386" s="4" t="str">
        <x:v>Not a selected manufacturing route</x:v>
      </x:c>
      <x:c r="I386" s="4" t="str">
        <x:v>Recovery only</x:v>
      </x:c>
      <x:c r="J386" s="4" t="str">
        <x:v>Recover and assess a compatible item. No manufacturing route or guaranteed working function.</x:v>
      </x:c>
    </x:row>
    <x:row r="387" ht="115" customHeight="1">
      <x:c r="A387" s="4" t="str">
        <x:v>author.ancient.rocket_launcher</x:v>
      </x:c>
      <x:c r="B387" s="4" t="str">
        <x:f>IFERROR(INDEX(Items!$B$6:$B$1005,MATCH(A387,Items!$A$6:$A$1005,0)),"MISSING ID")</x:f>
        <x:v>Rocket launcher</x:v>
      </x:c>
      <x:c r="C387" s="4" t="str">
        <x:f>IFERROR(INDEX(Items!$X$6:$X$1005,MATCH(A387,Items!$A$6:$A$1005,0)),"MISSING ID")</x:f>
        <x:v>Weapon</x:v>
      </x:c>
      <x:c r="D387" s="4" t="str">
        <x:f>IFERROR(INDEX(Items!$C$6:$C$1005,MATCH(A387,Items!$A$6:$A$1005,0)),"MISSING ID")</x:f>
        <x:v>Not applicable</x:v>
      </x:c>
      <x:c r="E387" s="4" t="str">
        <x:v>Recovery</x:v>
      </x:c>
      <x:c r="F387" s="14" t="n">
        <x:f>IFERROR(INDEX(Items!$AJ$6:$AJ$1005,MATCH(A387,Items!$A$6:$A$1005,0)),"MISSING ID")</x:f>
        <x:v>0</x:v>
      </x:c>
      <x:c r="G387" s="4" t="str">
        <x:v>Source, recovery or issue route applies</x:v>
      </x:c>
      <x:c r="H387" s="4" t="str">
        <x:v>Not a selected manufacturing route</x:v>
      </x:c>
      <x:c r="I387" s="4" t="str">
        <x:v>Recovery only</x:v>
      </x:c>
      <x:c r="J387" s="4" t="str">
        <x:v>Recover and assess a compatible item. No manufacturing route or guaranteed working function.</x:v>
      </x:c>
    </x:row>
    <x:row r="388" ht="115" customHeight="1">
      <x:c r="A388" s="4"/>
      <x:c r="B388" s="4"/>
      <x:c r="C388" s="4"/>
      <x:c r="D388" s="4"/>
      <x:c r="E388" s="4"/>
      <x:c r="F388" s="14"/>
      <x:c r="G388" s="4"/>
      <x:c r="H388" s="4"/>
      <x:c r="I388" s="4"/>
      <x:c r="J388" s="4"/>
    </x:row>
    <x:row r="389" ht="115" customHeight="1">
      <x:c r="A389" s="4" t="str">
        <x:v>author.electrical.magnetic_inhibitor</x:v>
      </x:c>
      <x:c r="B389" s="4" t="str">
        <x:f>IFERROR(INDEX(Items!$B$6:$B$1005,MATCH(A389,Items!$A$6:$A$1005,0)),"MISSING ID")</x:f>
        <x:v>Magnetic field inhibitor</x:v>
      </x:c>
      <x:c r="C389" s="4" t="str">
        <x:f>IFERROR(INDEX(Items!$X$6:$X$1005,MATCH(A389,Items!$A$6:$A$1005,0)),"MISSING ID")</x:f>
        <x:v>Tool</x:v>
      </x:c>
      <x:c r="D389" s="4" t="str">
        <x:f>IFERROR(INDEX(Items!$C$6:$C$1005,MATCH(A389,Items!$A$6:$A$1005,0)),"MISSING ID")</x:f>
        <x:v>Not applicable</x:v>
      </x:c>
      <x:c r="E389" s="4" t="str">
        <x:v>Finished endpoint</x:v>
      </x:c>
      <x:c r="F389" s="14" t="n">
        <x:f>IFERROR(INDEX(Items!$AJ$6:$AJ$1005,MATCH(A389,Items!$A$6:$A$1005,0)),"MISSING ID")</x:f>
        <x:v>1</x:v>
      </x:c>
      <x:c r="G389" s="4" t="str">
        <x:v>Traced to cataloged T0 and/or recovered feeds</x:v>
      </x:c>
      <x:c r="H389" s="4" t="str">
        <x:v>Specialist engineering workshop; insulation, pressure or control qualification as applicable. Power/working medium and operating theory unresolved.</x:v>
      </x:c>
      <x:c r="I389" s="4" t="str">
        <x:v>Research / source gated</x:v>
      </x:c>
      <x:c r="J389" s="4" t="str">
        <x:v>Magnetic field inhibitor. Operating principle, working medium, controls and service qualification remain unresolved.</x:v>
      </x:c>
    </x:row>
    <x:row r="390" ht="115" customHeight="1">
      <x:c r="A390" s="4" t="str">
        <x:v>author.electrical.magnetic_enhancer</x:v>
      </x:c>
      <x:c r="B390" s="4" t="str">
        <x:f>IFERROR(INDEX(Items!$B$6:$B$1005,MATCH(A390,Items!$A$6:$A$1005,0)),"MISSING ID")</x:f>
        <x:v>Magnetic field enhancer</x:v>
      </x:c>
      <x:c r="C390" s="4" t="str">
        <x:f>IFERROR(INDEX(Items!$X$6:$X$1005,MATCH(A390,Items!$A$6:$A$1005,0)),"MISSING ID")</x:f>
        <x:v>Tool</x:v>
      </x:c>
      <x:c r="D390" s="4" t="str">
        <x:f>IFERROR(INDEX(Items!$C$6:$C$1005,MATCH(A390,Items!$A$6:$A$1005,0)),"MISSING ID")</x:f>
        <x:v>Not applicable</x:v>
      </x:c>
      <x:c r="E390" s="4" t="str">
        <x:v>Finished endpoint</x:v>
      </x:c>
      <x:c r="F390" s="14" t="n">
        <x:f>IFERROR(INDEX(Items!$AJ$6:$AJ$1005,MATCH(A390,Items!$A$6:$A$1005,0)),"MISSING ID")</x:f>
        <x:v>1</x:v>
      </x:c>
      <x:c r="G390" s="4" t="str">
        <x:v>Traced to cataloged T0 and/or recovered feeds</x:v>
      </x:c>
      <x:c r="H390" s="4" t="str">
        <x:v>Specialist engineering workshop; insulation, pressure or control qualification as applicable. Power/working medium and operating theory unresolved.</x:v>
      </x:c>
      <x:c r="I390" s="4" t="str">
        <x:v>Research / source gated</x:v>
      </x:c>
      <x:c r="J390" s="4" t="str">
        <x:v>Magnetic field enhancer. Operating principle, working medium, controls and service qualification remain unresolved.</x:v>
      </x:c>
    </x:row>
    <x:row r="391" ht="115" customHeight="1">
      <x:c r="A391" s="4" t="str">
        <x:v>author.electrical.static_enhancer</x:v>
      </x:c>
      <x:c r="B391" s="4" t="str">
        <x:f>IFERROR(INDEX(Items!$B$6:$B$1005,MATCH(A391,Items!$A$6:$A$1005,0)),"MISSING ID")</x:f>
        <x:v>Static-electricity field enhancer</x:v>
      </x:c>
      <x:c r="C391" s="4" t="str">
        <x:f>IFERROR(INDEX(Items!$X$6:$X$1005,MATCH(A391,Items!$A$6:$A$1005,0)),"MISSING ID")</x:f>
        <x:v>Tool</x:v>
      </x:c>
      <x:c r="D391" s="4" t="str">
        <x:f>IFERROR(INDEX(Items!$C$6:$C$1005,MATCH(A391,Items!$A$6:$A$1005,0)),"MISSING ID")</x:f>
        <x:v>Not applicable</x:v>
      </x:c>
      <x:c r="E391" s="4" t="str">
        <x:v>Finished endpoint</x:v>
      </x:c>
      <x:c r="F391" s="14" t="n">
        <x:f>IFERROR(INDEX(Items!$AJ$6:$AJ$1005,MATCH(A391,Items!$A$6:$A$1005,0)),"MISSING ID")</x:f>
        <x:v>1</x:v>
      </x:c>
      <x:c r="G391" s="4" t="str">
        <x:v>Traced to cataloged T0 and/or recovered feeds</x:v>
      </x:c>
      <x:c r="H391" s="4" t="str">
        <x:v>Specialist engineering workshop; insulation, pressure or control qualification as applicable. Power/working medium and operating theory unresolved.</x:v>
      </x:c>
      <x:c r="I391" s="4" t="str">
        <x:v>Research / source gated</x:v>
      </x:c>
      <x:c r="J391" s="4" t="str">
        <x:v>Static-electricity field enhancer. Operating principle, working medium, controls and service qualification remain unresolved.</x:v>
      </x:c>
    </x:row>
    <x:row r="392" ht="115" customHeight="1">
      <x:c r="A392" s="4" t="str">
        <x:v>author.electrical.static_disruptor</x:v>
      </x:c>
      <x:c r="B392" s="4" t="str">
        <x:f>IFERROR(INDEX(Items!$B$6:$B$1005,MATCH(A392,Items!$A$6:$A$1005,0)),"MISSING ID")</x:f>
        <x:v>Static-electricity field disruptor</x:v>
      </x:c>
      <x:c r="C392" s="4" t="str">
        <x:f>IFERROR(INDEX(Items!$X$6:$X$1005,MATCH(A392,Items!$A$6:$A$1005,0)),"MISSING ID")</x:f>
        <x:v>Tool</x:v>
      </x:c>
      <x:c r="D392" s="4" t="str">
        <x:f>IFERROR(INDEX(Items!$C$6:$C$1005,MATCH(A392,Items!$A$6:$A$1005,0)),"MISSING ID")</x:f>
        <x:v>Not applicable</x:v>
      </x:c>
      <x:c r="E392" s="4" t="str">
        <x:v>Finished endpoint</x:v>
      </x:c>
      <x:c r="F392" s="14" t="n">
        <x:f>IFERROR(INDEX(Items!$AJ$6:$AJ$1005,MATCH(A392,Items!$A$6:$A$1005,0)),"MISSING ID")</x:f>
        <x:v>1</x:v>
      </x:c>
      <x:c r="G392" s="4" t="str">
        <x:v>Traced to cataloged T0 and/or recovered feeds</x:v>
      </x:c>
      <x:c r="H392" s="4" t="str">
        <x:v>Specialist engineering workshop; insulation, pressure or control qualification as applicable. Power/working medium and operating theory unresolved.</x:v>
      </x:c>
      <x:c r="I392" s="4" t="str">
        <x:v>Research / source gated</x:v>
      </x:c>
      <x:c r="J392" s="4" t="str">
        <x:v>Static-electricity field disruptor. Operating principle, working medium, controls and service qualification remain unresolved.</x:v>
      </x:c>
    </x:row>
    <x:row r="393" ht="115" customHeight="1">
      <x:c r="A393" s="4" t="str">
        <x:v>author.electrical.arc_ray_gun</x:v>
      </x:c>
      <x:c r="B393" s="4" t="str">
        <x:f>IFERROR(INDEX(Items!$B$6:$B$1005,MATCH(A393,Items!$A$6:$A$1005,0)),"MISSING ID")</x:f>
        <x:v>Arc ray gun</x:v>
      </x:c>
      <x:c r="C393" s="4" t="str">
        <x:f>IFERROR(INDEX(Items!$X$6:$X$1005,MATCH(A393,Items!$A$6:$A$1005,0)),"MISSING ID")</x:f>
        <x:v>Weapon</x:v>
      </x:c>
      <x:c r="D393" s="4" t="str">
        <x:f>IFERROR(INDEX(Items!$C$6:$C$1005,MATCH(A393,Items!$A$6:$A$1005,0)),"MISSING ID")</x:f>
        <x:v>Not applicable</x:v>
      </x:c>
      <x:c r="E393" s="4" t="str">
        <x:v>Finished endpoint</x:v>
      </x:c>
      <x:c r="F393" s="14" t="n">
        <x:f>IFERROR(INDEX(Items!$AJ$6:$AJ$1005,MATCH(A393,Items!$A$6:$A$1005,0)),"MISSING ID")</x:f>
        <x:v>1</x:v>
      </x:c>
      <x:c r="G393" s="4" t="str">
        <x:v>Traced to cataloged T0 and/or recovered feeds</x:v>
      </x:c>
      <x:c r="H393" s="4" t="str">
        <x:v>Specialist engineering workshop; insulation, pressure or control qualification as applicable. Power/working medium and operating theory unresolved.</x:v>
      </x:c>
      <x:c r="I393" s="4" t="str">
        <x:v>Research / source gated</x:v>
      </x:c>
      <x:c r="J393" s="4" t="str">
        <x:v>Arc ray gun. Operating principle, working medium, controls and service qualification remain unresolved.</x:v>
      </x:c>
    </x:row>
    <x:row r="394" ht="115" customHeight="1">
      <x:c r="A394" s="4" t="str">
        <x:v>author.electrical.insulation_stock</x:v>
      </x:c>
      <x:c r="B394" s="4" t="str">
        <x:f>IFERROR(INDEX(Items!$B$6:$B$1005,MATCH(A394,Items!$A$6:$A$1005,0)),"MISSING ID")</x:f>
        <x:v>Prepared electrical insulation stock</x:v>
      </x:c>
      <x:c r="C394" s="4" t="str">
        <x:f>IFERROR(INDEX(Items!$X$6:$X$1005,MATCH(A394,Items!$A$6:$A$1005,0)),"MISSING ID")</x:f>
        <x:v>Processed material</x:v>
      </x:c>
      <x:c r="D394" s="4" t="str">
        <x:f>IFERROR(INDEX(Items!$C$6:$C$1005,MATCH(A394,Items!$A$6:$A$1005,0)),"MISSING ID")</x:f>
        <x:v>T3</x:v>
      </x:c>
      <x:c r="E394" s="4" t="str">
        <x:v>Manufactured stock / part</x:v>
      </x:c>
      <x:c r="F394" s="14" t="n">
        <x:f>IFERROR(INDEX(Items!$AJ$6:$AJ$1005,MATCH(A394,Items!$A$6:$A$1005,0)),"MISSING ID")</x:f>
        <x:v>2</x:v>
      </x:c>
      <x:c r="G394" s="4" t="str">
        <x:v>Traced to cataloged T0 and/or recovered feeds</x:v>
      </x:c>
      <x:c r="H394" s="4" t="str">
        <x:v>Forge hearth, Anvil, Forging hammer, Smithing tongs, Metalworking file and Hand-cranked metal drill as applicable. Existing workshop bootstrap and controlled heating/cooling required; no free-water quench assumed.</x:v>
      </x:c>
      <x:c r="I394" s="4" t="str">
        <x:v>Candidate path traced</x:v>
      </x:c>
      <x:c r="J394" s="4" t="str">
        <x:v>Dimensions, grade, process qualification, quantity and yield remain open.</x:v>
      </x:c>
    </x:row>
    <x:row r="395" ht="115" customHeight="1">
      <x:c r="A395" s="4" t="str">
        <x:v>author.electrical.insulated_suit</x:v>
      </x:c>
      <x:c r="B395" s="4" t="str">
        <x:f>IFERROR(INDEX(Items!$B$6:$B$1005,MATCH(A395,Items!$A$6:$A$1005,0)),"MISSING ID")</x:f>
        <x:v>Electrical insulating jacket</x:v>
      </x:c>
      <x:c r="C395" s="4" t="str">
        <x:f>IFERROR(INDEX(Items!$X$6:$X$1005,MATCH(A395,Items!$A$6:$A$1005,0)),"MISSING ID")</x:f>
        <x:v>Wearable</x:v>
      </x:c>
      <x:c r="D395" s="4" t="str">
        <x:f>IFERROR(INDEX(Items!$C$6:$C$1005,MATCH(A395,Items!$A$6:$A$1005,0)),"MISSING ID")</x:f>
        <x:v>T3</x:v>
      </x:c>
      <x:c r="E395" s="4" t="str">
        <x:v>Finished endpoint</x:v>
      </x:c>
      <x:c r="F395" s="14" t="n">
        <x:f>IFERROR(INDEX(Items!$AJ$6:$AJ$1005,MATCH(A395,Items!$A$6:$A$1005,0)),"MISSING ID")</x:f>
        <x:v>1</x:v>
      </x:c>
      <x:c r="G395" s="4" t="str">
        <x:v>Traced to cataloged T0 and/or recovered feeds</x:v>
      </x:c>
      <x:c r="H395" s="4" t="str">
        <x:v>Forge hearth, Anvil, Forging hammer, Smithing tongs, Metalworking file and Hand-cranked metal drill as applicable. Existing workshop bootstrap and controlled heating/cooling required; no free-water quench assumed.</x:v>
      </x:c>
      <x:c r="I395" s="4" t="str">
        <x:v>Candidate path traced</x:v>
      </x:c>
      <x:c r="J395" s="4" t="str">
        <x:v>Fit, joints, insulation/protection and biological material yield require qualification.</x:v>
      </x:c>
    </x:row>
    <x:row r="396" ht="115" customHeight="1">
      <x:c r="A396" s="4" t="str">
        <x:v>author.electrical.insulated_gloves</x:v>
      </x:c>
      <x:c r="B396" s="4" t="str">
        <x:f>IFERROR(INDEX(Items!$B$6:$B$1005,MATCH(A396,Items!$A$6:$A$1005,0)),"MISSING ID")</x:f>
        <x:v>Electrical insulating gloves</x:v>
      </x:c>
      <x:c r="C396" s="4" t="str">
        <x:f>IFERROR(INDEX(Items!$X$6:$X$1005,MATCH(A396,Items!$A$6:$A$1005,0)),"MISSING ID")</x:f>
        <x:v>Wearable</x:v>
      </x:c>
      <x:c r="D396" s="4" t="str">
        <x:f>IFERROR(INDEX(Items!$C$6:$C$1005,MATCH(A396,Items!$A$6:$A$1005,0)),"MISSING ID")</x:f>
        <x:v>T3</x:v>
      </x:c>
      <x:c r="E396" s="4" t="str">
        <x:v>Finished endpoint</x:v>
      </x:c>
      <x:c r="F396" s="14" t="n">
        <x:f>IFERROR(INDEX(Items!$AJ$6:$AJ$1005,MATCH(A396,Items!$A$6:$A$1005,0)),"MISSING ID")</x:f>
        <x:v>1</x:v>
      </x:c>
      <x:c r="G396" s="4" t="str">
        <x:v>Traced to cataloged T0 and/or recovered feeds</x:v>
      </x:c>
      <x:c r="H396" s="4" t="str">
        <x:v>Forge hearth, Anvil, Forging hammer, Smithing tongs, Metalworking file and Hand-cranked metal drill as applicable. Existing workshop bootstrap and controlled heating/cooling required; no free-water quench assumed.</x:v>
      </x:c>
      <x:c r="I396" s="4" t="str">
        <x:v>Candidate path traced</x:v>
      </x:c>
      <x:c r="J396" s="4" t="str">
        <x:v>Fit, joints, insulation/protection and biological material yield require qualification.</x:v>
      </x:c>
    </x:row>
    <x:row r="397" ht="115" customHeight="1">
      <x:c r="A397" s="4" t="str">
        <x:v>author.electrical.insulated_boots</x:v>
      </x:c>
      <x:c r="B397" s="4" t="str">
        <x:f>IFERROR(INDEX(Items!$B$6:$B$1005,MATCH(A397,Items!$A$6:$A$1005,0)),"MISSING ID")</x:f>
        <x:v>Electrical insulating boots</x:v>
      </x:c>
      <x:c r="C397" s="4" t="str">
        <x:f>IFERROR(INDEX(Items!$X$6:$X$1005,MATCH(A397,Items!$A$6:$A$1005,0)),"MISSING ID")</x:f>
        <x:v>Wearable</x:v>
      </x:c>
      <x:c r="D397" s="4" t="str">
        <x:f>IFERROR(INDEX(Items!$C$6:$C$1005,MATCH(A397,Items!$A$6:$A$1005,0)),"MISSING ID")</x:f>
        <x:v>T3</x:v>
      </x:c>
      <x:c r="E397" s="4" t="str">
        <x:v>Finished endpoint</x:v>
      </x:c>
      <x:c r="F397" s="14" t="n">
        <x:f>IFERROR(INDEX(Items!$AJ$6:$AJ$1005,MATCH(A397,Items!$A$6:$A$1005,0)),"MISSING ID")</x:f>
        <x:v>1</x:v>
      </x:c>
      <x:c r="G397" s="4" t="str">
        <x:v>Traced to cataloged T0 and/or recovered feeds</x:v>
      </x:c>
      <x:c r="H397" s="4" t="str">
        <x:v>Forge hearth, Anvil, Forging hammer, Smithing tongs, Metalworking file and Hand-cranked metal drill as applicable. Existing workshop bootstrap and controlled heating/cooling required; no free-water quench assumed.</x:v>
      </x:c>
      <x:c r="I397" s="4" t="str">
        <x:v>Candidate path traced</x:v>
      </x:c>
      <x:c r="J397" s="4" t="str">
        <x:v>Fit, joints, insulation/protection and biological material yield require qualification.</x:v>
      </x:c>
    </x:row>
    <x:row r="398" ht="115" customHeight="1">
      <x:c r="A398" s="4" t="str">
        <x:v>author.forging.hammer</x:v>
      </x:c>
      <x:c r="B398" s="4" t="str">
        <x:f>IFERROR(INDEX(Items!$B$6:$B$1005,MATCH(A398,Items!$A$6:$A$1005,0)),"MISSING ID")</x:f>
        <x:v>Forging hammer</x:v>
      </x:c>
      <x:c r="C398" s="4" t="str">
        <x:f>IFERROR(INDEX(Items!$X$6:$X$1005,MATCH(A398,Items!$A$6:$A$1005,0)),"MISSING ID")</x:f>
        <x:v>Tool</x:v>
      </x:c>
      <x:c r="D398" s="4" t="str">
        <x:f>IFERROR(INDEX(Items!$C$6:$C$1005,MATCH(A398,Items!$A$6:$A$1005,0)),"MISSING ID")</x:f>
        <x:v>Not applicable</x:v>
      </x:c>
      <x:c r="E398" s="4" t="str">
        <x:v>Finished endpoint</x:v>
      </x:c>
      <x:c r="F398" s="14" t="n">
        <x:f>IFERROR(INDEX(Items!$AJ$6:$AJ$1005,MATCH(A398,Items!$A$6:$A$1005,0)),"MISSING ID")</x:f>
        <x:v>1</x:v>
      </x:c>
      <x:c r="G398" s="4" t="str">
        <x:v>Traced to cataloged T0 and/or recovered feeds</x:v>
      </x:c>
      <x:c r="H398" s="4" t="str">
        <x:v>Forge hearth, Anvil, Forging hammer, Smithing tongs, Metalworking file and Hand-cranked metal drill as applicable. Existing workshop bootstrap and controlled heating/cooling required; no free-water quench assumed.</x:v>
      </x:c>
      <x:c r="I398" s="4" t="str">
        <x:v>Candidate path traced</x:v>
      </x:c>
      <x:c r="J398" s="4" t="str">
        <x:v>Dimensions, grade, process qualification, quantity and yield remain open.</x:v>
      </x:c>
    </x:row>
    <x:row r="399" ht="115" customHeight="1">
      <x:c r="A399" s="4"/>
      <x:c r="B399" s="4"/>
      <x:c r="C399" s="4"/>
      <x:c r="D399" s="4"/>
      <x:c r="E399" s="4"/>
      <x:c r="F399" s="14"/>
      <x:c r="G399" s="4"/>
      <x:c r="H399" s="4"/>
      <x:c r="I399" s="4"/>
      <x:c r="J399" s="4"/>
    </x:row>
    <x:row r="400" ht="115" customHeight="1">
      <x:c r="A400" s="4" t="str">
        <x:v>proposal.forging.tongs</x:v>
      </x:c>
      <x:c r="B400" s="4" t="str">
        <x:f>IFERROR(INDEX(Items!$B$6:$B$1005,MATCH(A400,Items!$A$6:$A$1005,0)),"MISSING ID")</x:f>
        <x:v>Smithing tongs</x:v>
      </x:c>
      <x:c r="C400" s="4" t="str">
        <x:f>IFERROR(INDEX(Items!$X$6:$X$1005,MATCH(A400,Items!$A$6:$A$1005,0)),"MISSING ID")</x:f>
        <x:v>Tool</x:v>
      </x:c>
      <x:c r="D400" s="4" t="str">
        <x:f>IFERROR(INDEX(Items!$C$6:$C$1005,MATCH(A400,Items!$A$6:$A$1005,0)),"MISSING ID")</x:f>
        <x:v>Not applicable</x:v>
      </x:c>
      <x:c r="E400" s="4" t="str">
        <x:v>Finished endpoint</x:v>
      </x:c>
      <x:c r="F400" s="14" t="n">
        <x:f>IFERROR(INDEX(Items!$AJ$6:$AJ$1005,MATCH(A400,Items!$A$6:$A$1005,0)),"MISSING ID")</x:f>
        <x:v>1</x:v>
      </x:c>
      <x:c r="G400" s="4" t="str">
        <x:v>Traced to cataloged T0 and/or recovered feeds</x:v>
      </x:c>
      <x:c r="H400" s="4" t="str">
        <x:v>Forge hearth, Anvil, Forging hammer, Smithing tongs, Metalworking file and Hand-cranked metal drill as applicable. Existing workshop bootstrap and controlled heating/cooling required; no free-water quench assumed.</x:v>
      </x:c>
      <x:c r="I400" s="4" t="str">
        <x:v>Candidate path traced</x:v>
      </x:c>
      <x:c r="J400" s="4" t="str">
        <x:v>Dimensions, grade, process qualification, quantity and yield remain open.</x:v>
      </x:c>
    </x:row>
    <x:row r="401" ht="115" customHeight="1">
      <x:c r="A401" s="4" t="str">
        <x:v>proposal.forging.sledge</x:v>
      </x:c>
      <x:c r="B401" s="4" t="str">
        <x:f>IFERROR(INDEX(Items!$B$6:$B$1005,MATCH(A401,Items!$A$6:$A$1005,0)),"MISSING ID")</x:f>
        <x:v>Forging sledge</x:v>
      </x:c>
      <x:c r="C401" s="4" t="str">
        <x:f>IFERROR(INDEX(Items!$X$6:$X$1005,MATCH(A401,Items!$A$6:$A$1005,0)),"MISSING ID")</x:f>
        <x:v>Tool</x:v>
      </x:c>
      <x:c r="D401" s="4" t="str">
        <x:f>IFERROR(INDEX(Items!$C$6:$C$1005,MATCH(A401,Items!$A$6:$A$1005,0)),"MISSING ID")</x:f>
        <x:v>Not applicable</x:v>
      </x:c>
      <x:c r="E401" s="4" t="str">
        <x:v>Finished endpoint</x:v>
      </x:c>
      <x:c r="F401" s="14" t="n">
        <x:f>IFERROR(INDEX(Items!$AJ$6:$AJ$1005,MATCH(A401,Items!$A$6:$A$1005,0)),"MISSING ID")</x:f>
        <x:v>1</x:v>
      </x:c>
      <x:c r="G401" s="4" t="str">
        <x:v>Traced to cataloged T0 and/or recovered feeds</x:v>
      </x:c>
      <x:c r="H401" s="4" t="str">
        <x:v>Forge hearth, Anvil, Forging hammer, Smithing tongs, Metalworking file and Hand-cranked metal drill as applicable. Existing workshop bootstrap and controlled heating/cooling required; no free-water quench assumed.</x:v>
      </x:c>
      <x:c r="I401" s="4" t="str">
        <x:v>Candidate path traced</x:v>
      </x:c>
      <x:c r="J401" s="4" t="str">
        <x:v>Dimensions, grade, process qualification, quantity and yield remain open.</x:v>
      </x:c>
    </x:row>
    <x:row r="402" ht="115" customHeight="1">
      <x:c r="A402" s="4" t="str">
        <x:v>proposal.forging.hot_cut</x:v>
      </x:c>
      <x:c r="B402" s="4" t="str">
        <x:f>IFERROR(INDEX(Items!$B$6:$B$1005,MATCH(A402,Items!$A$6:$A$1005,0)),"MISSING ID")</x:f>
        <x:v>Hot-cut chisel</x:v>
      </x:c>
      <x:c r="C402" s="4" t="str">
        <x:f>IFERROR(INDEX(Items!$X$6:$X$1005,MATCH(A402,Items!$A$6:$A$1005,0)),"MISSING ID")</x:f>
        <x:v>Tool</x:v>
      </x:c>
      <x:c r="D402" s="4" t="str">
        <x:f>IFERROR(INDEX(Items!$C$6:$C$1005,MATCH(A402,Items!$A$6:$A$1005,0)),"MISSING ID")</x:f>
        <x:v>Not applicable</x:v>
      </x:c>
      <x:c r="E402" s="4" t="str">
        <x:v>Finished endpoint</x:v>
      </x:c>
      <x:c r="F402" s="14" t="n">
        <x:f>IFERROR(INDEX(Items!$AJ$6:$AJ$1005,MATCH(A402,Items!$A$6:$A$1005,0)),"MISSING ID")</x:f>
        <x:v>1</x:v>
      </x:c>
      <x:c r="G402" s="4" t="str">
        <x:v>Traced to cataloged T0 and/or recovered feeds</x:v>
      </x:c>
      <x:c r="H402" s="4" t="str">
        <x:v>Forge hearth, Anvil, Forging hammer, Smithing tongs, Metalworking file and Hand-cranked metal drill as applicable. Existing workshop bootstrap and controlled heating/cooling required; no free-water quench assumed.</x:v>
      </x:c>
      <x:c r="I402" s="4" t="str">
        <x:v>Candidate path traced</x:v>
      </x:c>
      <x:c r="J402" s="4" t="str">
        <x:v>Dimensions, grade, process qualification, quantity and yield remain open.</x:v>
      </x:c>
    </x:row>
    <x:row r="403" ht="115" customHeight="1">
      <x:c r="A403" s="4" t="str">
        <x:v>proposal.forging.punch</x:v>
      </x:c>
      <x:c r="B403" s="4" t="str">
        <x:f>IFERROR(INDEX(Items!$B$6:$B$1005,MATCH(A403,Items!$A$6:$A$1005,0)),"MISSING ID")</x:f>
        <x:v>Forging punch</x:v>
      </x:c>
      <x:c r="C403" s="4" t="str">
        <x:f>IFERROR(INDEX(Items!$X$6:$X$1005,MATCH(A403,Items!$A$6:$A$1005,0)),"MISSING ID")</x:f>
        <x:v>Tool</x:v>
      </x:c>
      <x:c r="D403" s="4" t="str">
        <x:f>IFERROR(INDEX(Items!$C$6:$C$1005,MATCH(A403,Items!$A$6:$A$1005,0)),"MISSING ID")</x:f>
        <x:v>Not applicable</x:v>
      </x:c>
      <x:c r="E403" s="4" t="str">
        <x:v>Finished endpoint</x:v>
      </x:c>
      <x:c r="F403" s="14" t="n">
        <x:f>IFERROR(INDEX(Items!$AJ$6:$AJ$1005,MATCH(A403,Items!$A$6:$A$1005,0)),"MISSING ID")</x:f>
        <x:v>1</x:v>
      </x:c>
      <x:c r="G403" s="4" t="str">
        <x:v>Traced to cataloged T0 and/or recovered feeds</x:v>
      </x:c>
      <x:c r="H403" s="4" t="str">
        <x:v>Forge hearth, Anvil, Forging hammer, Smithing tongs, Metalworking file and Hand-cranked metal drill as applicable. Existing workshop bootstrap and controlled heating/cooling required; no free-water quench assumed.</x:v>
      </x:c>
      <x:c r="I403" s="4" t="str">
        <x:v>Candidate path traced</x:v>
      </x:c>
      <x:c r="J403" s="4" t="str">
        <x:v>Dimensions, grade, process qualification, quantity and yield remain open.</x:v>
      </x:c>
    </x:row>
    <x:row r="404" ht="115" customHeight="1">
      <x:c r="A404" s="4" t="str">
        <x:v>proposal.forging.drift</x:v>
      </x:c>
      <x:c r="B404" s="4" t="str">
        <x:f>IFERROR(INDEX(Items!$B$6:$B$1005,MATCH(A404,Items!$A$6:$A$1005,0)),"MISSING ID")</x:f>
        <x:v>Forming drift</x:v>
      </x:c>
      <x:c r="C404" s="4" t="str">
        <x:f>IFERROR(INDEX(Items!$X$6:$X$1005,MATCH(A404,Items!$A$6:$A$1005,0)),"MISSING ID")</x:f>
        <x:v>Tool</x:v>
      </x:c>
      <x:c r="D404" s="4" t="str">
        <x:f>IFERROR(INDEX(Items!$C$6:$C$1005,MATCH(A404,Items!$A$6:$A$1005,0)),"MISSING ID")</x:f>
        <x:v>Not applicable</x:v>
      </x:c>
      <x:c r="E404" s="4" t="str">
        <x:v>Finished endpoint</x:v>
      </x:c>
      <x:c r="F404" s="14" t="n">
        <x:f>IFERROR(INDEX(Items!$AJ$6:$AJ$1005,MATCH(A404,Items!$A$6:$A$1005,0)),"MISSING ID")</x:f>
        <x:v>1</x:v>
      </x:c>
      <x:c r="G404" s="4" t="str">
        <x:v>Traced to cataloged T0 and/or recovered feeds</x:v>
      </x:c>
      <x:c r="H404" s="4" t="str">
        <x:v>Forge hearth, Anvil, Forging hammer, Smithing tongs, Metalworking file and Hand-cranked metal drill as applicable. Existing workshop bootstrap and controlled heating/cooling required; no free-water quench assumed.</x:v>
      </x:c>
      <x:c r="I404" s="4" t="str">
        <x:v>Candidate path traced</x:v>
      </x:c>
      <x:c r="J404" s="4" t="str">
        <x:v>Dimensions, grade, process qualification, quantity and yield remain open.</x:v>
      </x:c>
    </x:row>
    <x:row r="405" ht="115" customHeight="1">
      <x:c r="A405" s="4" t="str">
        <x:v>proposal.forging.swage_block</x:v>
      </x:c>
      <x:c r="B405" s="4" t="str">
        <x:f>IFERROR(INDEX(Items!$B$6:$B$1005,MATCH(A405,Items!$A$6:$A$1005,0)),"MISSING ID")</x:f>
        <x:v>Swage block</x:v>
      </x:c>
      <x:c r="C405" s="4" t="str">
        <x:f>IFERROR(INDEX(Items!$X$6:$X$1005,MATCH(A405,Items!$A$6:$A$1005,0)),"MISSING ID")</x:f>
        <x:v>Tool</x:v>
      </x:c>
      <x:c r="D405" s="4" t="str">
        <x:f>IFERROR(INDEX(Items!$C$6:$C$1005,MATCH(A405,Items!$A$6:$A$1005,0)),"MISSING ID")</x:f>
        <x:v>Not applicable</x:v>
      </x:c>
      <x:c r="E405" s="4" t="str">
        <x:v>Finished endpoint</x:v>
      </x:c>
      <x:c r="F405" s="14" t="n">
        <x:f>IFERROR(INDEX(Items!$AJ$6:$AJ$1005,MATCH(A405,Items!$A$6:$A$1005,0)),"MISSING ID")</x:f>
        <x:v>1</x:v>
      </x:c>
      <x:c r="G405" s="4" t="str">
        <x:v>Traced to cataloged T0 and/or recovered feeds</x:v>
      </x:c>
      <x:c r="H405" s="4" t="str">
        <x:v>Forge hearth, Anvil, Forging hammer, Smithing tongs, Metalworking file and Hand-cranked metal drill as applicable. Existing workshop bootstrap and controlled heating/cooling required; no free-water quench assumed.</x:v>
      </x:c>
      <x:c r="I405" s="4" t="str">
        <x:v>Candidate path traced</x:v>
      </x:c>
      <x:c r="J405" s="4" t="str">
        <x:v>Dimensions, grade, process qualification, quantity and yield remain open.</x:v>
      </x:c>
    </x:row>
    <x:row r="406" ht="115" customHeight="1">
      <x:c r="A406" s="4" t="str">
        <x:v>proposal.forging.file</x:v>
      </x:c>
      <x:c r="B406" s="4" t="str">
        <x:f>IFERROR(INDEX(Items!$B$6:$B$1005,MATCH(A406,Items!$A$6:$A$1005,0)),"MISSING ID")</x:f>
        <x:v>Metalworking file</x:v>
      </x:c>
      <x:c r="C406" s="4" t="str">
        <x:f>IFERROR(INDEX(Items!$X$6:$X$1005,MATCH(A406,Items!$A$6:$A$1005,0)),"MISSING ID")</x:f>
        <x:v>Tool</x:v>
      </x:c>
      <x:c r="D406" s="4" t="str">
        <x:f>IFERROR(INDEX(Items!$C$6:$C$1005,MATCH(A406,Items!$A$6:$A$1005,0)),"MISSING ID")</x:f>
        <x:v>Not applicable</x:v>
      </x:c>
      <x:c r="E406" s="4" t="str">
        <x:v>Finished endpoint</x:v>
      </x:c>
      <x:c r="F406" s="14" t="n">
        <x:f>IFERROR(INDEX(Items!$AJ$6:$AJ$1005,MATCH(A406,Items!$A$6:$A$1005,0)),"MISSING ID")</x:f>
        <x:v>1</x:v>
      </x:c>
      <x:c r="G406" s="4" t="str">
        <x:v>Traced to cataloged T0 and/or recovered feeds</x:v>
      </x:c>
      <x:c r="H406" s="4" t="str">
        <x:v>Forge hearth, Anvil, Forging hammer, Smithing tongs, Metalworking file and Hand-cranked metal drill as applicable. Existing workshop bootstrap and controlled heating/cooling required; no free-water quench assumed.</x:v>
      </x:c>
      <x:c r="I406" s="4" t="str">
        <x:v>Candidate path traced</x:v>
      </x:c>
      <x:c r="J406" s="4" t="str">
        <x:v>Dimensions, grade, process qualification, quantity and yield remain open.</x:v>
      </x:c>
    </x:row>
    <x:row r="407" ht="115" customHeight="1">
      <x:c r="A407" s="4" t="str">
        <x:v>proposal.forging.hearth</x:v>
      </x:c>
      <x:c r="B407" s="4" t="str">
        <x:f>IFERROR(INDEX(Items!$B$6:$B$1005,MATCH(A407,Items!$A$6:$A$1005,0)),"MISSING ID")</x:f>
        <x:v>Forge hearth</x:v>
      </x:c>
      <x:c r="C407" s="4" t="str">
        <x:f>IFERROR(INDEX(Items!$X$6:$X$1005,MATCH(A407,Items!$A$6:$A$1005,0)),"MISSING ID")</x:f>
        <x:v>Machine</x:v>
      </x:c>
      <x:c r="D407" s="4" t="str">
        <x:f>IFERROR(INDEX(Items!$C$6:$C$1005,MATCH(A407,Items!$A$6:$A$1005,0)),"MISSING ID")</x:f>
        <x:v>Not applicable</x:v>
      </x:c>
      <x:c r="E407" s="4" t="str">
        <x:v>Finished endpoint</x:v>
      </x:c>
      <x:c r="F407" s="14" t="n">
        <x:f>IFERROR(INDEX(Items!$AJ$6:$AJ$1005,MATCH(A407,Items!$A$6:$A$1005,0)),"MISSING ID")</x:f>
        <x:v>1</x:v>
      </x:c>
      <x:c r="G407" s="4" t="str">
        <x:v>Traced to cataloged T0 and/or recovered feeds</x:v>
      </x:c>
      <x:c r="H407" s="4" t="str">
        <x:v>Specialist engineering workshop; insulation, pressure or control qualification as applicable. Power/working medium and operating theory unresolved.</x:v>
      </x:c>
      <x:c r="I407" s="4" t="str">
        <x:v>Research / source gated</x:v>
      </x:c>
      <x:c r="J407" s="4" t="str">
        <x:v>Forge hearth. Operating principle, working medium, controls and service qualification remain unresolved.</x:v>
      </x:c>
    </x:row>
    <x:row r="408" ht="115" customHeight="1">
      <x:c r="A408" s="4" t="str">
        <x:v>author.metallurgy.steel_stock</x:v>
      </x:c>
      <x:c r="B408" s="4" t="str">
        <x:f>IFERROR(INDEX(Items!$B$6:$B$1005,MATCH(A408,Items!$A$6:$A$1005,0)),"MISSING ID")</x:f>
        <x:v>Steel stock</x:v>
      </x:c>
      <x:c r="C408" s="4" t="str">
        <x:f>IFERROR(INDEX(Items!$X$6:$X$1005,MATCH(A408,Items!$A$6:$A$1005,0)),"MISSING ID")</x:f>
        <x:v>Processed material</x:v>
      </x:c>
      <x:c r="D408" s="4" t="str">
        <x:f>IFERROR(INDEX(Items!$C$6:$C$1005,MATCH(A408,Items!$A$6:$A$1005,0)),"MISSING ID")</x:f>
        <x:v>T2</x:v>
      </x:c>
      <x:c r="E408" s="4" t="str">
        <x:v>Manufactured stock / part</x:v>
      </x:c>
      <x:c r="F408" s="14" t="n">
        <x:f>IFERROR(INDEX(Items!$AJ$6:$AJ$1005,MATCH(A408,Items!$A$6:$A$1005,0)),"MISSING ID")</x:f>
        <x:v>1</x:v>
      </x:c>
      <x:c r="G408" s="4" t="str">
        <x:v>Traced to cataloged T0 and/or recovered feeds</x:v>
      </x:c>
      <x:c r="H408" s="4" t="str">
        <x:v>Forge hearth, Anvil, Forging hammer, Smithing tongs, Metalworking file and Hand-cranked metal drill as applicable. Existing workshop bootstrap and controlled heating/cooling required; no free-water quench assumed.</x:v>
      </x:c>
      <x:c r="I408" s="4" t="str">
        <x:v>Candidate path traced</x:v>
      </x:c>
      <x:c r="J408" s="4" t="str">
        <x:v>Dimensions, grade, process qualification, quantity and yield remain open.</x:v>
      </x:c>
    </x:row>
    <x:row r="409" ht="115" customHeight="1">
      <x:c r="A409" s="4"/>
      <x:c r="B409" s="4"/>
      <x:c r="C409" s="4"/>
      <x:c r="D409" s="4"/>
      <x:c r="E409" s="4"/>
      <x:c r="F409" s="14"/>
      <x:c r="G409" s="4"/>
      <x:c r="H409" s="4"/>
      <x:c r="I409" s="4"/>
      <x:c r="J409" s="4"/>
    </x:row>
    <x:row r="410" ht="115" customHeight="1">
      <x:c r="A410" s="4"/>
      <x:c r="B410" s="4"/>
      <x:c r="C410" s="4"/>
      <x:c r="D410" s="4"/>
      <x:c r="E410" s="4"/>
      <x:c r="F410" s="14"/>
      <x:c r="G410" s="4"/>
      <x:c r="H410" s="4"/>
      <x:c r="I410" s="4"/>
      <x:c r="J410" s="4"/>
    </x:row>
    <x:row r="411" ht="115" customHeight="1">
      <x:c r="A411" s="4" t="str">
        <x:v>author.corrosion.advanced_remover</x:v>
      </x:c>
      <x:c r="B411" s="4" t="str">
        <x:f>IFERROR(INDEX(Items!$B$6:$B$1005,MATCH(A411,Items!$A$6:$A$1005,0)),"MISSING ID")</x:f>
        <x:v>Advanced rust-removal compound</x:v>
      </x:c>
      <x:c r="C411" s="4" t="str">
        <x:f>IFERROR(INDEX(Items!$X$6:$X$1005,MATCH(A411,Items!$A$6:$A$1005,0)),"MISSING ID")</x:f>
        <x:v>Chemical material</x:v>
      </x:c>
      <x:c r="D411" s="4" t="str">
        <x:f>IFERROR(INDEX(Items!$C$6:$C$1005,MATCH(A411,Items!$A$6:$A$1005,0)),"MISSING ID")</x:f>
        <x:v>T2</x:v>
      </x:c>
      <x:c r="E411" s="4" t="str">
        <x:v>Manufactured stock / part</x:v>
      </x:c>
      <x:c r="F411" s="14" t="n">
        <x:f>IFERROR(INDEX(Items!$AJ$6:$AJ$1005,MATCH(A411,Items!$A$6:$A$1005,0)),"MISSING ID")</x:f>
        <x:v>2</x:v>
      </x:c>
      <x:c r="G411" s="4" t="str">
        <x:v>Traced to cataloged T0 and/or recovered feeds</x:v>
      </x:c>
      <x:c r="H411" s="4" t="str">
        <x:v>Specialist engineering workshop; insulation, pressure or control qualification as applicable. Power/working medium and operating theory unresolved.</x:v>
      </x:c>
      <x:c r="I411" s="4" t="str">
        <x:v>Research / source gated</x:v>
      </x:c>
      <x:c r="J411" s="4" t="str">
        <x:v>Advanced rust-removal compound. Reagent identity, contained carrier, reaction/selectivity, compatibility and process yield require qualification.</x:v>
      </x:c>
    </x:row>
    <x:row r="412" ht="115" customHeight="1">
      <x:c r="A412" s="4" t="str">
        <x:v>proposal.corrosion.converter</x:v>
      </x:c>
      <x:c r="B412" s="4" t="str">
        <x:f>IFERROR(INDEX(Items!$B$6:$B$1005,MATCH(A412,Items!$A$6:$A$1005,0)),"MISSING ID")</x:f>
        <x:v>Rust-conversion treatment</x:v>
      </x:c>
      <x:c r="C412" s="4" t="str">
        <x:f>IFERROR(INDEX(Items!$X$6:$X$1005,MATCH(A412,Items!$A$6:$A$1005,0)),"MISSING ID")</x:f>
        <x:v>Chemical material</x:v>
      </x:c>
      <x:c r="D412" s="4" t="str">
        <x:f>IFERROR(INDEX(Items!$C$6:$C$1005,MATCH(A412,Items!$A$6:$A$1005,0)),"MISSING ID")</x:f>
        <x:v>T2</x:v>
      </x:c>
      <x:c r="E412" s="4" t="str">
        <x:v>Manufactured stock / part</x:v>
      </x:c>
      <x:c r="F412" s="14" t="n">
        <x:f>IFERROR(INDEX(Items!$AJ$6:$AJ$1005,MATCH(A412,Items!$A$6:$A$1005,0)),"MISSING ID")</x:f>
        <x:v>1</x:v>
      </x:c>
      <x:c r="G412" s="4" t="str">
        <x:v>Traced to cataloged T0 and/or recovered feeds</x:v>
      </x:c>
      <x:c r="H412" s="4" t="str">
        <x:v>Specialist engineering workshop; insulation, pressure or control qualification as applicable. Power/working medium and operating theory unresolved.</x:v>
      </x:c>
      <x:c r="I412" s="4" t="str">
        <x:v>Research / source gated</x:v>
      </x:c>
      <x:c r="J412" s="4" t="str">
        <x:v>Rust-conversion treatment; Selected oxide-reactive faunal fraction. Reagent identity, contained carrier, reaction/selectivity, compatibility and process yield require qualification.</x:v>
      </x:c>
    </x:row>
    <x:row r="413" ht="115" customHeight="1">
      <x:c r="A413" s="4" t="str">
        <x:v>proposal.corrosion.inhibitor</x:v>
      </x:c>
      <x:c r="B413" s="4" t="str">
        <x:f>IFERROR(INDEX(Items!$B$6:$B$1005,MATCH(A413,Items!$A$6:$A$1005,0)),"MISSING ID")</x:f>
        <x:v>Corrosion-inhibiting finish</x:v>
      </x:c>
      <x:c r="C413" s="4" t="str">
        <x:f>IFERROR(INDEX(Items!$X$6:$X$1005,MATCH(A413,Items!$A$6:$A$1005,0)),"MISSING ID")</x:f>
        <x:v>Chemical material</x:v>
      </x:c>
      <x:c r="D413" s="4" t="str">
        <x:f>IFERROR(INDEX(Items!$C$6:$C$1005,MATCH(A413,Items!$A$6:$A$1005,0)),"MISSING ID")</x:f>
        <x:v>T2</x:v>
      </x:c>
      <x:c r="E413" s="4" t="str">
        <x:v>Manufactured stock / part</x:v>
      </x:c>
      <x:c r="F413" s="14" t="n">
        <x:f>IFERROR(INDEX(Items!$AJ$6:$AJ$1005,MATCH(A413,Items!$A$6:$A$1005,0)),"MISSING ID")</x:f>
        <x:v>1</x:v>
      </x:c>
      <x:c r="G413" s="4" t="str">
        <x:v>Traced to cataloged T0 and/or recovered feeds</x:v>
      </x:c>
      <x:c r="H413" s="4" t="str">
        <x:v>Contained segregated vessels, Ceramic grinding mortar, Ceramic pestle and Glass transfer funnel. Process/carrier compatibility unresolved.</x:v>
      </x:c>
      <x:c r="I413" s="4" t="str">
        <x:v>Candidate path traced</x:v>
      </x:c>
      <x:c r="J413" s="4" t="str">
        <x:v>Reagent identity, contained carrier, reaction/selectivity, compatibility and process yield require qualification.</x:v>
      </x:c>
    </x:row>
    <x:row r="414" ht="115" customHeight="1">
      <x:c r="A414" s="4" t="str">
        <x:v>proposal.branch.elastic_secretion</x:v>
      </x:c>
      <x:c r="B414" s="4" t="str">
        <x:f>IFERROR(INDEX(Items!$B$6:$B$1005,MATCH(A414,Items!$A$6:$A$1005,0)),"MISSING ID")</x:f>
        <x:v>Elastic-joint secretion</x:v>
      </x:c>
      <x:c r="C414" s="4" t="str">
        <x:f>IFERROR(INDEX(Items!$X$6:$X$1005,MATCH(A414,Items!$A$6:$A$1005,0)),"MISSING ID")</x:f>
        <x:v>Chemical material</x:v>
      </x:c>
      <x:c r="D414" s="4" t="str">
        <x:f>IFERROR(INDEX(Items!$C$6:$C$1005,MATCH(A414,Items!$A$6:$A$1005,0)),"MISSING ID")</x:f>
        <x:v>T0</x:v>
      </x:c>
      <x:c r="E414" s="4" t="str">
        <x:v>Raw source</x:v>
      </x:c>
      <x:c r="F414" s="14" t="n">
        <x:f>IFERROR(INDEX(Items!$AJ$6:$AJ$1005,MATCH(A414,Items!$A$6:$A$1005,0)),"MISSING ID")</x:f>
        <x:v>0</x:v>
      </x:c>
      <x:c r="G414" s="4" t="str">
        <x:v>Source, recovery or issue route applies</x:v>
      </x:c>
      <x:c r="H414" s="4" t="str">
        <x:v>Not a selected manufacturing route</x:v>
      </x:c>
      <x:c r="I414" s="4" t="str">
        <x:v>Raw entry feed</x:v>
      </x:c>
      <x:c r="J414" s="4" t="str">
        <x:v>Reagent identity, contained carrier, reaction/selectivity, compatibility and process yield require qualification.</x:v>
      </x:c>
    </x:row>
    <x:row r="415" ht="115" customHeight="1">
      <x:c r="A415" s="4" t="str">
        <x:v>proposal.branch.flux</x:v>
      </x:c>
      <x:c r="B415" s="4" t="str">
        <x:f>IFERROR(INDEX(Items!$B$6:$B$1005,MATCH(A415,Items!$A$6:$A$1005,0)),"MISSING ID")</x:f>
        <x:v>Prepared metallurgical flux</x:v>
      </x:c>
      <x:c r="C415" s="4" t="str">
        <x:f>IFERROR(INDEX(Items!$X$6:$X$1005,MATCH(A415,Items!$A$6:$A$1005,0)),"MISSING ID")</x:f>
        <x:v>Processed material</x:v>
      </x:c>
      <x:c r="D415" s="4" t="str">
        <x:f>IFERROR(INDEX(Items!$C$6:$C$1005,MATCH(A415,Items!$A$6:$A$1005,0)),"MISSING ID")</x:f>
        <x:v>T1</x:v>
      </x:c>
      <x:c r="E415" s="4" t="str">
        <x:v>Manufactured stock / part</x:v>
      </x:c>
      <x:c r="F415" s="14" t="n">
        <x:f>IFERROR(INDEX(Items!$AJ$6:$AJ$1005,MATCH(A415,Items!$A$6:$A$1005,0)),"MISSING ID")</x:f>
        <x:v>1</x:v>
      </x:c>
      <x:c r="G415" s="4" t="str">
        <x:v>Traced to cataloged T0 and/or recovered feeds</x:v>
      </x:c>
      <x:c r="H415" s="4" t="str">
        <x:v>Ceramic grinding mortar, Ceramic pestle, Ceramic abrasive disc and stone-cutting fixtures as applicable; grade selection and finishing qualification required.</x:v>
      </x:c>
      <x:c r="I415" s="4" t="str">
        <x:v>Candidate path traced</x:v>
      </x:c>
      <x:c r="J415" s="4" t="str">
        <x:v>Dimensions, grade, process qualification, quantity and yield remain open.</x:v>
      </x:c>
    </x:row>
    <x:row r="416" ht="115" customHeight="1">
      <x:c r="A416" s="4" t="str">
        <x:v>proposal.branch.refractory_feed</x:v>
      </x:c>
      <x:c r="B416" s="4" t="str">
        <x:f>IFERROR(INDEX(Items!$B$6:$B$1005,MATCH(A416,Items!$A$6:$A$1005,0)),"MISSING ID")</x:f>
        <x:v>Graded refractory mineral feed</x:v>
      </x:c>
      <x:c r="C416" s="4" t="str">
        <x:f>IFERROR(INDEX(Items!$X$6:$X$1005,MATCH(A416,Items!$A$6:$A$1005,0)),"MISSING ID")</x:f>
        <x:v>Processed material</x:v>
      </x:c>
      <x:c r="D416" s="4" t="str">
        <x:f>IFERROR(INDEX(Items!$C$6:$C$1005,MATCH(A416,Items!$A$6:$A$1005,0)),"MISSING ID")</x:f>
        <x:v>T1</x:v>
      </x:c>
      <x:c r="E416" s="4" t="str">
        <x:v>Manufactured stock / part</x:v>
      </x:c>
      <x:c r="F416" s="14" t="n">
        <x:f>IFERROR(INDEX(Items!$AJ$6:$AJ$1005,MATCH(A416,Items!$A$6:$A$1005,0)),"MISSING ID")</x:f>
        <x:v>1</x:v>
      </x:c>
      <x:c r="G416" s="4" t="str">
        <x:v>Traced to cataloged T0 and/or recovered feeds</x:v>
      </x:c>
      <x:c r="H416" s="4" t="str">
        <x:v>Ceramic grinding mortar, Ceramic pestle, Ceramic abrasive disc and stone-cutting fixtures as applicable; grade selection and finishing qualification required.</x:v>
      </x:c>
      <x:c r="I416" s="4" t="str">
        <x:v>Candidate path traced</x:v>
      </x:c>
      <x:c r="J416" s="4" t="str">
        <x:v>Dimensions, grade, process qualification, quantity and yield remain open.</x:v>
      </x:c>
    </x:row>
    <x:row r="417" ht="115" customHeight="1">
      <x:c r="A417" s="4" t="str">
        <x:v>proposal.branch.manganese_feed</x:v>
      </x:c>
      <x:c r="B417" s="4" t="str">
        <x:f>IFERROR(INDEX(Items!$B$6:$B$1005,MATCH(A417,Items!$A$6:$A$1005,0)),"MISSING ID")</x:f>
        <x:v>Manganese-bearing alloy feed</x:v>
      </x:c>
      <x:c r="C417" s="4" t="str">
        <x:f>IFERROR(INDEX(Items!$X$6:$X$1005,MATCH(A417,Items!$A$6:$A$1005,0)),"MISSING ID")</x:f>
        <x:v>Processed material</x:v>
      </x:c>
      <x:c r="D417" s="4" t="str">
        <x:f>IFERROR(INDEX(Items!$C$6:$C$1005,MATCH(A417,Items!$A$6:$A$1005,0)),"MISSING ID")</x:f>
        <x:v>T1</x:v>
      </x:c>
      <x:c r="E417" s="4" t="str">
        <x:v>Manufactured stock / part</x:v>
      </x:c>
      <x:c r="F417" s="14" t="n">
        <x:f>IFERROR(INDEX(Items!$AJ$6:$AJ$1005,MATCH(A417,Items!$A$6:$A$1005,0)),"MISSING ID")</x:f>
        <x:v>1</x:v>
      </x:c>
      <x:c r="G417" s="4" t="str">
        <x:v>Traced to cataloged T0 and/or recovered feeds</x:v>
      </x:c>
      <x:c r="H417" s="4" t="str">
        <x:v>Ceramic grinding mortar, Ceramic pestle, Ceramic abrasive disc and stone-cutting fixtures as applicable; grade selection and finishing qualification required.</x:v>
      </x:c>
      <x:c r="I417" s="4" t="str">
        <x:v>Candidate path traced</x:v>
      </x:c>
      <x:c r="J417" s="4" t="str">
        <x:v>Dimensions, grade, process qualification, quantity and yield remain open.</x:v>
      </x:c>
    </x:row>
    <x:row r="418" ht="115" customHeight="1">
      <x:c r="A418" s="4" t="str">
        <x:v>proposal.branch.flex_binder</x:v>
      </x:c>
      <x:c r="B418" s="4" t="str">
        <x:f>IFERROR(INDEX(Items!$B$6:$B$1005,MATCH(A418,Items!$A$6:$A$1005,0)),"MISSING ID")</x:f>
        <x:v>Prepared flexible faunal binder</x:v>
      </x:c>
      <x:c r="C418" s="4" t="str">
        <x:f>IFERROR(INDEX(Items!$X$6:$X$1005,MATCH(A418,Items!$A$6:$A$1005,0)),"MISSING ID")</x:f>
        <x:v>Chemical material</x:v>
      </x:c>
      <x:c r="D418" s="4" t="str">
        <x:f>IFERROR(INDEX(Items!$C$6:$C$1005,MATCH(A418,Items!$A$6:$A$1005,0)),"MISSING ID")</x:f>
        <x:v>T1</x:v>
      </x:c>
      <x:c r="E418" s="4" t="str">
        <x:v>Manufactured stock / part</x:v>
      </x:c>
      <x:c r="F418" s="14" t="n">
        <x:f>IFERROR(INDEX(Items!$AJ$6:$AJ$1005,MATCH(A418,Items!$A$6:$A$1005,0)),"MISSING ID")</x:f>
        <x:v>1</x:v>
      </x:c>
      <x:c r="G418" s="4" t="str">
        <x:v>Traced to cataloged T0 and/or recovered feeds</x:v>
      </x:c>
      <x:c r="H418" s="4" t="str">
        <x:v>Contained segregated vessels, Ceramic grinding mortar, Ceramic pestle and Glass transfer funnel. Process/carrier compatibility unresolved.</x:v>
      </x:c>
      <x:c r="I418" s="4" t="str">
        <x:v>Candidate path traced</x:v>
      </x:c>
      <x:c r="J418" s="4" t="str">
        <x:v>Reagent identity, contained carrier, reaction/selectivity, compatibility and process yield require qualification.</x:v>
      </x:c>
    </x:row>
    <x:row r="419" ht="115" customHeight="1">
      <x:c r="A419" s="4" t="str">
        <x:v>proposal.branch.etchant</x:v>
      </x:c>
      <x:c r="B419" s="4" t="str">
        <x:f>IFERROR(INDEX(Items!$B$6:$B$1005,MATCH(A419,Items!$A$6:$A$1005,0)),"MISSING ID")</x:f>
        <x:v>Conditioned faunal etchant</x:v>
      </x:c>
      <x:c r="C419" s="4" t="str">
        <x:f>IFERROR(INDEX(Items!$X$6:$X$1005,MATCH(A419,Items!$A$6:$A$1005,0)),"MISSING ID")</x:f>
        <x:v>Chemical material</x:v>
      </x:c>
      <x:c r="D419" s="4" t="str">
        <x:f>IFERROR(INDEX(Items!$C$6:$C$1005,MATCH(A419,Items!$A$6:$A$1005,0)),"MISSING ID")</x:f>
        <x:v>T1</x:v>
      </x:c>
      <x:c r="E419" s="4" t="str">
        <x:v>Manufactured stock / part</x:v>
      </x:c>
      <x:c r="F419" s="14" t="n">
        <x:f>IFERROR(INDEX(Items!$AJ$6:$AJ$1005,MATCH(A419,Items!$A$6:$A$1005,0)),"MISSING ID")</x:f>
        <x:v>1</x:v>
      </x:c>
      <x:c r="G419" s="4" t="str">
        <x:v>Traced to cataloged T0 and/or recovered feeds</x:v>
      </x:c>
      <x:c r="H419" s="4" t="str">
        <x:v>Contained segregated vessels, Ceramic grinding mortar, Ceramic pestle and Glass transfer funnel. Process/carrier compatibility unresolved.</x:v>
      </x:c>
      <x:c r="I419" s="4" t="str">
        <x:v>Candidate path traced</x:v>
      </x:c>
      <x:c r="J419" s="4" t="str">
        <x:v>Reagent identity, contained carrier, reaction/selectivity, compatibility and process yield require qualification.</x:v>
      </x:c>
    </x:row>
    <x:row r="420" ht="115" customHeight="1">
      <x:c r="A420" s="4" t="str">
        <x:v>proposal.branch.alloy_addition</x:v>
      </x:c>
      <x:c r="B420" s="4" t="str">
        <x:f>IFERROR(INDEX(Items!$B$6:$B$1005,MATCH(A420,Items!$A$6:$A$1005,0)),"MISSING ID")</x:f>
        <x:v>Prepared manganese alloying stock</x:v>
      </x:c>
      <x:c r="C420" s="4" t="str">
        <x:f>IFERROR(INDEX(Items!$X$6:$X$1005,MATCH(A420,Items!$A$6:$A$1005,0)),"MISSING ID")</x:f>
        <x:v>Processed material</x:v>
      </x:c>
      <x:c r="D420" s="4" t="str">
        <x:f>IFERROR(INDEX(Items!$C$6:$C$1005,MATCH(A420,Items!$A$6:$A$1005,0)),"MISSING ID")</x:f>
        <x:v>T2</x:v>
      </x:c>
      <x:c r="E420" s="4" t="str">
        <x:v>Manufactured stock / part</x:v>
      </x:c>
      <x:c r="F420" s="14" t="n">
        <x:f>IFERROR(INDEX(Items!$AJ$6:$AJ$1005,MATCH(A420,Items!$A$6:$A$1005,0)),"MISSING ID")</x:f>
        <x:v>1</x:v>
      </x:c>
      <x:c r="G420" s="4" t="str">
        <x:v>Traced to cataloged T0 and/or recovered feeds</x:v>
      </x:c>
      <x:c r="H420" s="4" t="str">
        <x:v>Forge hearth, Anvil, Forging hammer, Smithing tongs, Metalworking file and Hand-cranked metal drill as applicable. Existing workshop bootstrap and controlled heating/cooling required; no free-water quench assumed.</x:v>
      </x:c>
      <x:c r="I420" s="4" t="str">
        <x:v>Candidate path traced</x:v>
      </x:c>
      <x:c r="J420" s="4" t="str">
        <x:v>Dimensions, grade, process qualification, quantity and yield remain open.</x:v>
      </x:c>
    </x:row>
    <x:row r="421" ht="115" customHeight="1">
      <x:c r="A421" s="4" t="str">
        <x:v>proposal.branch.drawn_copper</x:v>
      </x:c>
      <x:c r="B421" s="4" t="str">
        <x:f>IFERROR(INDEX(Items!$B$6:$B$1005,MATCH(A421,Items!$A$6:$A$1005,0)),"MISSING ID")</x:f>
        <x:v>Drawn copper stock</x:v>
      </x:c>
      <x:c r="C421" s="4" t="str">
        <x:f>IFERROR(INDEX(Items!$X$6:$X$1005,MATCH(A421,Items!$A$6:$A$1005,0)),"MISSING ID")</x:f>
        <x:v>Processed material</x:v>
      </x:c>
      <x:c r="D421" s="4" t="str">
        <x:f>IFERROR(INDEX(Items!$C$6:$C$1005,MATCH(A421,Items!$A$6:$A$1005,0)),"MISSING ID")</x:f>
        <x:v>T2</x:v>
      </x:c>
      <x:c r="E421" s="4" t="str">
        <x:v>Manufactured stock / part</x:v>
      </x:c>
      <x:c r="F421" s="14" t="n">
        <x:f>IFERROR(INDEX(Items!$AJ$6:$AJ$1005,MATCH(A421,Items!$A$6:$A$1005,0)),"MISSING ID")</x:f>
        <x:v>1</x:v>
      </x:c>
      <x:c r="G421" s="4" t="str">
        <x:v>Traced to cataloged T0 and/or recovered feeds</x:v>
      </x:c>
      <x:c r="H421" s="4" t="str">
        <x:v>Forge hearth, Anvil, Forging hammer, Smithing tongs, Metalworking file and Hand-cranked metal drill as applicable. Existing workshop bootstrap and controlled heating/cooling required; no free-water quench assumed.</x:v>
      </x:c>
      <x:c r="I421" s="4" t="str">
        <x:v>Candidate path traced</x:v>
      </x:c>
      <x:c r="J421" s="4" t="str">
        <x:v>Dimensions, grade, process qualification, quantity and yield remain open.</x:v>
      </x:c>
    </x:row>
    <x:row r="422" ht="115" customHeight="1">
      <x:c r="A422" s="4" t="str">
        <x:v>proposal.branch.bearing_bronze</x:v>
      </x:c>
      <x:c r="B422" s="4" t="str">
        <x:f>IFERROR(INDEX(Items!$B$6:$B$1005,MATCH(A422,Items!$A$6:$A$1005,0)),"MISSING ID")</x:f>
        <x:v>Prepared bronze bearing stock</x:v>
      </x:c>
      <x:c r="C422" s="4" t="str">
        <x:f>IFERROR(INDEX(Items!$X$6:$X$1005,MATCH(A422,Items!$A$6:$A$1005,0)),"MISSING ID")</x:f>
        <x:v>Processed material</x:v>
      </x:c>
      <x:c r="D422" s="4" t="str">
        <x:f>IFERROR(INDEX(Items!$C$6:$C$1005,MATCH(A422,Items!$A$6:$A$1005,0)),"MISSING ID")</x:f>
        <x:v>T2</x:v>
      </x:c>
      <x:c r="E422" s="4" t="str">
        <x:v>Manufactured stock / part</x:v>
      </x:c>
      <x:c r="F422" s="14" t="n">
        <x:f>IFERROR(INDEX(Items!$AJ$6:$AJ$1005,MATCH(A422,Items!$A$6:$A$1005,0)),"MISSING ID")</x:f>
        <x:v>1</x:v>
      </x:c>
      <x:c r="G422" s="4" t="str">
        <x:v>Traced to cataloged T0 and/or recovered feeds</x:v>
      </x:c>
      <x:c r="H422" s="4" t="str">
        <x:v>Forge hearth, Anvil, Forging hammer, Smithing tongs, Metalworking file and Hand-cranked metal drill as applicable. Existing workshop bootstrap and controlled heating/cooling required; no free-water quench assumed.</x:v>
      </x:c>
      <x:c r="I422" s="4" t="str">
        <x:v>Candidate path traced</x:v>
      </x:c>
      <x:c r="J422" s="4" t="str">
        <x:v>Dimensions, grade, process qualification, quantity and yield remain open.</x:v>
      </x:c>
    </x:row>
    <x:row r="423" ht="115" customHeight="1">
      <x:c r="A423" s="4" t="str">
        <x:v>proposal.branch.refractory_ceramic</x:v>
      </x:c>
      <x:c r="B423" s="4" t="str">
        <x:f>IFERROR(INDEX(Items!$B$6:$B$1005,MATCH(A423,Items!$A$6:$A$1005,0)),"MISSING ID")</x:f>
        <x:v>Refractory ceramic stock</x:v>
      </x:c>
      <x:c r="C423" s="4" t="str">
        <x:f>IFERROR(INDEX(Items!$X$6:$X$1005,MATCH(A423,Items!$A$6:$A$1005,0)),"MISSING ID")</x:f>
        <x:v>Processed material</x:v>
      </x:c>
      <x:c r="D423" s="4" t="str">
        <x:f>IFERROR(INDEX(Items!$C$6:$C$1005,MATCH(A423,Items!$A$6:$A$1005,0)),"MISSING ID")</x:f>
        <x:v>T2</x:v>
      </x:c>
      <x:c r="E423" s="4" t="str">
        <x:v>Manufactured stock / part</x:v>
      </x:c>
      <x:c r="F423" s="14" t="n">
        <x:f>IFERROR(INDEX(Items!$AJ$6:$AJ$1005,MATCH(A423,Items!$A$6:$A$1005,0)),"MISSING ID")</x:f>
        <x:v>1</x:v>
      </x:c>
      <x:c r="G423" s="4" t="str">
        <x:v>Traced to cataloged T0 and/or recovered feeds</x:v>
      </x:c>
      <x:c r="H423" s="4" t="str">
        <x:v>Controlled-heating firing kiln or specialist glass hot-work station; Ceramic firing tray / Ceramic casting mold as applicable. Qualified power, heat and atmosphere required.</x:v>
      </x:c>
      <x:c r="I423" s="4" t="str">
        <x:v>Candidate path traced</x:v>
      </x:c>
      <x:c r="J423" s="4" t="str">
        <x:v>Dimensions, grade, process qualification, quantity and yield remain open.</x:v>
      </x:c>
    </x:row>
    <x:row r="424" ht="115" customHeight="1">
      <x:c r="A424" s="4" t="str">
        <x:v>proposal.branch.opaque_sheet</x:v>
      </x:c>
      <x:c r="B424" s="4" t="str">
        <x:f>IFERROR(INDEX(Items!$B$6:$B$1005,MATCH(A424,Items!$A$6:$A$1005,0)),"MISSING ID")</x:f>
        <x:v>Formed opaque glass sheet</x:v>
      </x:c>
      <x:c r="C424" s="4" t="str">
        <x:f>IFERROR(INDEX(Items!$X$6:$X$1005,MATCH(A424,Items!$A$6:$A$1005,0)),"MISSING ID")</x:f>
        <x:v>Processed material</x:v>
      </x:c>
      <x:c r="D424" s="4" t="str">
        <x:f>IFERROR(INDEX(Items!$C$6:$C$1005,MATCH(A424,Items!$A$6:$A$1005,0)),"MISSING ID")</x:f>
        <x:v>T2</x:v>
      </x:c>
      <x:c r="E424" s="4" t="str">
        <x:v>Manufactured stock / part</x:v>
      </x:c>
      <x:c r="F424" s="14" t="n">
        <x:f>IFERROR(INDEX(Items!$AJ$6:$AJ$1005,MATCH(A424,Items!$A$6:$A$1005,0)),"MISSING ID")</x:f>
        <x:v>1</x:v>
      </x:c>
      <x:c r="G424" s="4" t="str">
        <x:v>Traced to cataloged T0 and/or recovered feeds</x:v>
      </x:c>
      <x:c r="H424" s="4" t="str">
        <x:v>Controlled-heating firing kiln or specialist glass hot-work station; Ceramic firing tray / Ceramic casting mold as applicable. Qualified power, heat and atmosphere required.</x:v>
      </x:c>
      <x:c r="I424" s="4" t="str">
        <x:v>Candidate path traced</x:v>
      </x:c>
      <x:c r="J424" s="4" t="str">
        <x:v>Dimensions, grade, process qualification, quantity and yield remain open.</x:v>
      </x:c>
    </x:row>
    <x:row r="425" ht="115" customHeight="1">
      <x:c r="A425" s="4" t="str">
        <x:v>proposal.branch.viewing_glass</x:v>
      </x:c>
      <x:c r="B425" s="4" t="str">
        <x:f>IFERROR(INDEX(Items!$B$6:$B$1005,MATCH(A425,Items!$A$6:$A$1005,0)),"MISSING ID")</x:f>
        <x:v>Selected viewing-glass stock</x:v>
      </x:c>
      <x:c r="C425" s="4" t="str">
        <x:f>IFERROR(INDEX(Items!$X$6:$X$1005,MATCH(A425,Items!$A$6:$A$1005,0)),"MISSING ID")</x:f>
        <x:v>Processed material</x:v>
      </x:c>
      <x:c r="D425" s="4" t="str">
        <x:f>IFERROR(INDEX(Items!$C$6:$C$1005,MATCH(A425,Items!$A$6:$A$1005,0)),"MISSING ID")</x:f>
        <x:v>T2</x:v>
      </x:c>
      <x:c r="E425" s="4" t="str">
        <x:v>Manufactured stock / part</x:v>
      </x:c>
      <x:c r="F425" s="14" t="n">
        <x:f>IFERROR(INDEX(Items!$AJ$6:$AJ$1005,MATCH(A425,Items!$A$6:$A$1005,0)),"MISSING ID")</x:f>
        <x:v>1</x:v>
      </x:c>
      <x:c r="G425" s="4" t="str">
        <x:v>Traced to cataloged T0 and/or recovered feeds</x:v>
      </x:c>
      <x:c r="H425" s="4" t="str">
        <x:v>Controlled-heating firing kiln or specialist glass hot-work station; Ceramic firing tray / Ceramic casting mold as applicable. Qualified power, heat and atmosphere required.</x:v>
      </x:c>
      <x:c r="I425" s="4" t="str">
        <x:v>Candidate path traced</x:v>
      </x:c>
      <x:c r="J425" s="4" t="str">
        <x:v>Dimensions, grade, process qualification, quantity and yield remain open.</x:v>
      </x:c>
    </x:row>
    <x:row r="426" ht="115" customHeight="1">
      <x:c r="A426" s="4" t="str">
        <x:v>proposal.branch.husk_sheet</x:v>
      </x:c>
      <x:c r="B426" s="4" t="str">
        <x:f>IFERROR(INDEX(Items!$B$6:$B$1005,MATCH(A426,Items!$A$6:$A$1005,0)),"MISSING ID")</x:f>
        <x:v>Bonded husk sheet</x:v>
      </x:c>
      <x:c r="C426" s="4" t="str">
        <x:f>IFERROR(INDEX(Items!$X$6:$X$1005,MATCH(A426,Items!$A$6:$A$1005,0)),"MISSING ID")</x:f>
        <x:v>Processed material</x:v>
      </x:c>
      <x:c r="D426" s="4" t="str">
        <x:f>IFERROR(INDEX(Items!$C$6:$C$1005,MATCH(A426,Items!$A$6:$A$1005,0)),"MISSING ID")</x:f>
        <x:v>T2</x:v>
      </x:c>
      <x:c r="E426" s="4" t="str">
        <x:v>Manufactured stock / part</x:v>
      </x:c>
      <x:c r="F426" s="14" t="n">
        <x:f>IFERROR(INDEX(Items!$AJ$6:$AJ$1005,MATCH(A426,Items!$A$6:$A$1005,0)),"MISSING ID")</x:f>
        <x:v>1</x:v>
      </x:c>
      <x:c r="G426" s="4" t="str">
        <x:v>Traced to cataloged T0 and/or recovered feeds</x:v>
      </x:c>
      <x:c r="H426" s="4" t="str">
        <x:v>Husk-sheet cutting shears, pressure fixtures and dedicated preparation surfaces. Very low hide/fur yield; no ordinary cloth or plant inputs.</x:v>
      </x:c>
      <x:c r="I426" s="4" t="str">
        <x:v>Candidate path traced</x:v>
      </x:c>
      <x:c r="J426" s="4" t="str">
        <x:v>Dimensions, grade, process qualification, quantity and yield remain open.</x:v>
      </x:c>
    </x:row>
    <x:row r="427" ht="115" customHeight="1">
      <x:c r="A427" s="4" t="str">
        <x:v>proposal.branch.wing_membrane</x:v>
      </x:c>
      <x:c r="B427" s="4" t="str">
        <x:f>IFERROR(INDEX(Items!$B$6:$B$1005,MATCH(A427,Items!$A$6:$A$1005,0)),"MISSING ID")</x:f>
        <x:v>Reinforced wing membrane</x:v>
      </x:c>
      <x:c r="C427" s="4" t="str">
        <x:f>IFERROR(INDEX(Items!$X$6:$X$1005,MATCH(A427,Items!$A$6:$A$1005,0)),"MISSING ID")</x:f>
        <x:v>Processed material</x:v>
      </x:c>
      <x:c r="D427" s="4" t="str">
        <x:f>IFERROR(INDEX(Items!$C$6:$C$1005,MATCH(A427,Items!$A$6:$A$1005,0)),"MISSING ID")</x:f>
        <x:v>T2</x:v>
      </x:c>
      <x:c r="E427" s="4" t="str">
        <x:v>Manufactured stock / part</x:v>
      </x:c>
      <x:c r="F427" s="14" t="n">
        <x:f>IFERROR(INDEX(Items!$AJ$6:$AJ$1005,MATCH(A427,Items!$A$6:$A$1005,0)),"MISSING ID")</x:f>
        <x:v>1</x:v>
      </x:c>
      <x:c r="G427" s="4" t="str">
        <x:v>Traced to cataloged T0 and/or recovered feeds</x:v>
      </x:c>
      <x:c r="H427" s="4" t="str">
        <x:v>Husk-sheet cutting shears, pressure fixtures and dedicated preparation surfaces. Very low hide/fur yield; no ordinary cloth or plant inputs.</x:v>
      </x:c>
      <x:c r="I427" s="4" t="str">
        <x:v>Candidate path traced</x:v>
      </x:c>
      <x:c r="J427" s="4" t="str">
        <x:v>Dimensions, grade, process qualification, quantity and yield remain open.</x:v>
      </x:c>
    </x:row>
    <x:row r="428" ht="115" customHeight="1">
      <x:c r="A428" s="4" t="str">
        <x:v>proposal.branch.filled_seal</x:v>
      </x:c>
      <x:c r="B428" s="4" t="str">
        <x:f>IFERROR(INDEX(Items!$B$6:$B$1005,MATCH(A428,Items!$A$6:$A$1005,0)),"MISSING ID")</x:f>
        <x:v>Filled faunal seal compound</x:v>
      </x:c>
      <x:c r="C428" s="4" t="str">
        <x:f>IFERROR(INDEX(Items!$X$6:$X$1005,MATCH(A428,Items!$A$6:$A$1005,0)),"MISSING ID")</x:f>
        <x:v>Chemical material</x:v>
      </x:c>
      <x:c r="D428" s="4" t="str">
        <x:f>IFERROR(INDEX(Items!$C$6:$C$1005,MATCH(A428,Items!$A$6:$A$1005,0)),"MISSING ID")</x:f>
        <x:v>T2</x:v>
      </x:c>
      <x:c r="E428" s="4" t="str">
        <x:v>Manufactured stock / part</x:v>
      </x:c>
      <x:c r="F428" s="14" t="n">
        <x:f>IFERROR(INDEX(Items!$AJ$6:$AJ$1005,MATCH(A428,Items!$A$6:$A$1005,0)),"MISSING ID")</x:f>
        <x:v>1</x:v>
      </x:c>
      <x:c r="G428" s="4" t="str">
        <x:v>Traced to cataloged T0 and/or recovered feeds</x:v>
      </x:c>
      <x:c r="H428" s="4" t="str">
        <x:v>Contained segregated vessels, Ceramic grinding mortar, Ceramic pestle and Glass transfer funnel. Process/carrier compatibility unresolved.</x:v>
      </x:c>
      <x:c r="I428" s="4" t="str">
        <x:v>Candidate path traced</x:v>
      </x:c>
      <x:c r="J428" s="4" t="str">
        <x:v>Reagent identity, contained carrier, reaction/selectivity, compatibility and process yield require qualification.</x:v>
      </x:c>
    </x:row>
    <x:row r="429" ht="115" customHeight="1">
      <x:c r="A429" s="4" t="str">
        <x:v>proposal.branch.flex_bond</x:v>
      </x:c>
      <x:c r="B429" s="4" t="str">
        <x:f>IFERROR(INDEX(Items!$B$6:$B$1005,MATCH(A429,Items!$A$6:$A$1005,0)),"MISSING ID")</x:f>
        <x:v>Flexible membrane-bonding compound</x:v>
      </x:c>
      <x:c r="C429" s="4" t="str">
        <x:f>IFERROR(INDEX(Items!$X$6:$X$1005,MATCH(A429,Items!$A$6:$A$1005,0)),"MISSING ID")</x:f>
        <x:v>Chemical material</x:v>
      </x:c>
      <x:c r="D429" s="4" t="str">
        <x:f>IFERROR(INDEX(Items!$C$6:$C$1005,MATCH(A429,Items!$A$6:$A$1005,0)),"MISSING ID")</x:f>
        <x:v>T2</x:v>
      </x:c>
      <x:c r="E429" s="4" t="str">
        <x:v>Manufactured stock / part</x:v>
      </x:c>
      <x:c r="F429" s="14" t="n">
        <x:f>IFERROR(INDEX(Items!$AJ$6:$AJ$1005,MATCH(A429,Items!$A$6:$A$1005,0)),"MISSING ID")</x:f>
        <x:v>1</x:v>
      </x:c>
      <x:c r="G429" s="4" t="str">
        <x:v>Traced to cataloged T0 and/or recovered feeds</x:v>
      </x:c>
      <x:c r="H429" s="4" t="str">
        <x:v>Contained segregated vessels, Ceramic grinding mortar, Ceramic pestle and Glass transfer funnel. Process/carrier compatibility unresolved.</x:v>
      </x:c>
      <x:c r="I429" s="4" t="str">
        <x:v>Candidate path traced</x:v>
      </x:c>
      <x:c r="J429" s="4" t="str">
        <x:v>Reagent identity, contained carrier, reaction/selectivity, compatibility and process yield require qualification.</x:v>
      </x:c>
    </x:row>
    <x:row r="430" ht="115" customHeight="1">
      <x:c r="A430" s="4" t="str">
        <x:v>proposal.branch.pigment_coating</x:v>
      </x:c>
      <x:c r="B430" s="4" t="str">
        <x:f>IFERROR(INDEX(Items!$B$6:$B$1005,MATCH(A430,Items!$A$6:$A$1005,0)),"MISSING ID")</x:f>
        <x:v>Mineral pigment coating</x:v>
      </x:c>
      <x:c r="C430" s="4" t="str">
        <x:f>IFERROR(INDEX(Items!$X$6:$X$1005,MATCH(A430,Items!$A$6:$A$1005,0)),"MISSING ID")</x:f>
        <x:v>Processed material</x:v>
      </x:c>
      <x:c r="D430" s="4" t="str">
        <x:f>IFERROR(INDEX(Items!$C$6:$C$1005,MATCH(A430,Items!$A$6:$A$1005,0)),"MISSING ID")</x:f>
        <x:v>T2</x:v>
      </x:c>
      <x:c r="E430" s="4" t="str">
        <x:v>Manufactured stock / part</x:v>
      </x:c>
      <x:c r="F430" s="14" t="n">
        <x:f>IFERROR(INDEX(Items!$AJ$6:$AJ$1005,MATCH(A430,Items!$A$6:$A$1005,0)),"MISSING ID")</x:f>
        <x:v>1</x:v>
      </x:c>
      <x:c r="G430" s="4" t="str">
        <x:v>Traced to cataloged T0 and/or recovered feeds</x:v>
      </x:c>
      <x:c r="H430" s="4" t="str">
        <x:v>Forge hearth, Anvil, Forging hammer, Smithing tongs, Metalworking file and Hand-cranked metal drill as applicable. Existing workshop bootstrap and controlled heating/cooling required; no free-water quench assumed.</x:v>
      </x:c>
      <x:c r="I430" s="4" t="str">
        <x:v>Candidate path traced</x:v>
      </x:c>
      <x:c r="J430" s="4" t="str">
        <x:v>Dimensions, grade, process qualification, quantity and yield remain open.</x:v>
      </x:c>
    </x:row>
    <x:row r="431" ht="115" customHeight="1">
      <x:c r="A431" s="4" t="str">
        <x:v>proposal.branch.filled_binder</x:v>
      </x:c>
      <x:c r="B431" s="4" t="str">
        <x:f>IFERROR(INDEX(Items!$B$6:$B$1005,MATCH(A431,Items!$A$6:$A$1005,0)),"MISSING ID")</x:f>
        <x:v>Filled shell-binding compound</x:v>
      </x:c>
      <x:c r="C431" s="4" t="str">
        <x:f>IFERROR(INDEX(Items!$X$6:$X$1005,MATCH(A431,Items!$A$6:$A$1005,0)),"MISSING ID")</x:f>
        <x:v>Chemical material</x:v>
      </x:c>
      <x:c r="D431" s="4" t="str">
        <x:f>IFERROR(INDEX(Items!$C$6:$C$1005,MATCH(A431,Items!$A$6:$A$1005,0)),"MISSING ID")</x:f>
        <x:v>T2</x:v>
      </x:c>
      <x:c r="E431" s="4" t="str">
        <x:v>Manufactured stock / part</x:v>
      </x:c>
      <x:c r="F431" s="14" t="n">
        <x:f>IFERROR(INDEX(Items!$AJ$6:$AJ$1005,MATCH(A431,Items!$A$6:$A$1005,0)),"MISSING ID")</x:f>
        <x:v>2</x:v>
      </x:c>
      <x:c r="G431" s="4" t="str">
        <x:v>Traced to cataloged T0 and/or recovered feeds</x:v>
      </x:c>
      <x:c r="H431" s="4" t="str">
        <x:v>Contained segregated vessels, Ceramic grinding mortar, Ceramic pestle and Glass transfer funnel. Process/carrier compatibility unresolved.</x:v>
      </x:c>
      <x:c r="I431" s="4" t="str">
        <x:v>Candidate path traced</x:v>
      </x:c>
      <x:c r="J431" s="4" t="str">
        <x:v>Reagent identity, contained carrier, reaction/selectivity, compatibility and process yield require qualification.</x:v>
      </x:c>
    </x:row>
    <x:row r="432" ht="115" customHeight="1">
      <x:c r="A432" s="4" t="str">
        <x:v>proposal.branch.mica_sheet</x:v>
      </x:c>
      <x:c r="B432" s="4" t="str">
        <x:f>IFERROR(INDEX(Items!$B$6:$B$1005,MATCH(A432,Items!$A$6:$A$1005,0)),"MISSING ID")</x:f>
        <x:v>Mica composite sheet</x:v>
      </x:c>
      <x:c r="C432" s="4" t="str">
        <x:f>IFERROR(INDEX(Items!$X$6:$X$1005,MATCH(A432,Items!$A$6:$A$1005,0)),"MISSING ID")</x:f>
        <x:v>Processed material</x:v>
      </x:c>
      <x:c r="D432" s="4" t="str">
        <x:f>IFERROR(INDEX(Items!$C$6:$C$1005,MATCH(A432,Items!$A$6:$A$1005,0)),"MISSING ID")</x:f>
        <x:v>T2</x:v>
      </x:c>
      <x:c r="E432" s="4" t="str">
        <x:v>Manufactured stock / part</x:v>
      </x:c>
      <x:c r="F432" s="14" t="n">
        <x:f>IFERROR(INDEX(Items!$AJ$6:$AJ$1005,MATCH(A432,Items!$A$6:$A$1005,0)),"MISSING ID")</x:f>
        <x:v>1</x:v>
      </x:c>
      <x:c r="G432" s="4" t="str">
        <x:v>Traced to cataloged T0 and/or recovered feeds</x:v>
      </x:c>
      <x:c r="H432" s="4" t="str">
        <x:v>Forge hearth, Anvil, Forging hammer, Smithing tongs, Metalworking file and Hand-cranked metal drill as applicable. Existing workshop bootstrap and controlled heating/cooling required; no free-water quench assumed.</x:v>
      </x:c>
      <x:c r="I432" s="4" t="str">
        <x:v>Candidate path traced</x:v>
      </x:c>
      <x:c r="J432" s="4" t="str">
        <x:v>Dimensions, grade, process qualification, quantity and yield remain open.</x:v>
      </x:c>
    </x:row>
    <x:row r="433" ht="115" customHeight="1">
      <x:c r="A433" s="4" t="str">
        <x:v>proposal.branch.tuned_stone</x:v>
      </x:c>
      <x:c r="B433" s="4" t="str">
        <x:f>IFERROR(INDEX(Items!$B$6:$B$1005,MATCH(A433,Items!$A$6:$A$1005,0)),"MISSING ID")</x:f>
        <x:v>Tuned stone stock</x:v>
      </x:c>
      <x:c r="C433" s="4" t="str">
        <x:f>IFERROR(INDEX(Items!$X$6:$X$1005,MATCH(A433,Items!$A$6:$A$1005,0)),"MISSING ID")</x:f>
        <x:v>Processed material</x:v>
      </x:c>
      <x:c r="D433" s="4" t="str">
        <x:f>IFERROR(INDEX(Items!$C$6:$C$1005,MATCH(A433,Items!$A$6:$A$1005,0)),"MISSING ID")</x:f>
        <x:v>T2</x:v>
      </x:c>
      <x:c r="E433" s="4" t="str">
        <x:v>Manufactured stock / part</x:v>
      </x:c>
      <x:c r="F433" s="14" t="n">
        <x:f>IFERROR(INDEX(Items!$AJ$6:$AJ$1005,MATCH(A433,Items!$A$6:$A$1005,0)),"MISSING ID")</x:f>
        <x:v>1</x:v>
      </x:c>
      <x:c r="G433" s="4" t="str">
        <x:v>Traced to cataloged T0 and/or recovered feeds</x:v>
      </x:c>
      <x:c r="H433" s="4" t="str">
        <x:v>Ceramic grinding mortar, Ceramic pestle, Ceramic abrasive disc and stone-cutting fixtures as applicable; grade selection and finishing qualification required.</x:v>
      </x:c>
      <x:c r="I433" s="4" t="str">
        <x:v>Candidate path traced</x:v>
      </x:c>
      <x:c r="J433" s="4" t="str">
        <x:v>Dimensions, grade, process qualification, quantity and yield remain open.</x:v>
      </x:c>
    </x:row>
    <x:row r="434" ht="115" customHeight="1">
      <x:c r="A434" s="4" t="str">
        <x:v>proposal.branch.polished_gem</x:v>
      </x:c>
      <x:c r="B434" s="4" t="str">
        <x:f>IFERROR(INDEX(Items!$B$6:$B$1005,MATCH(A434,Items!$A$6:$A$1005,0)),"MISSING ID")</x:f>
        <x:v>Polished gemstone blanks</x:v>
      </x:c>
      <x:c r="C434" s="4" t="str">
        <x:f>IFERROR(INDEX(Items!$X$6:$X$1005,MATCH(A434,Items!$A$6:$A$1005,0)),"MISSING ID")</x:f>
        <x:v>Processed material</x:v>
      </x:c>
      <x:c r="D434" s="4" t="str">
        <x:f>IFERROR(INDEX(Items!$C$6:$C$1005,MATCH(A434,Items!$A$6:$A$1005,0)),"MISSING ID")</x:f>
        <x:v>T2</x:v>
      </x:c>
      <x:c r="E434" s="4" t="str">
        <x:v>Manufactured stock / part</x:v>
      </x:c>
      <x:c r="F434" s="14" t="n">
        <x:f>IFERROR(INDEX(Items!$AJ$6:$AJ$1005,MATCH(A434,Items!$A$6:$A$1005,0)),"MISSING ID")</x:f>
        <x:v>1</x:v>
      </x:c>
      <x:c r="G434" s="4" t="str">
        <x:v>Traced to cataloged T0 and/or recovered feeds</x:v>
      </x:c>
      <x:c r="H434" s="4" t="str">
        <x:v>Ceramic abrasive disc, graded grit and specialist lapidary fixtures; no mineral powers assumed.</x:v>
      </x:c>
      <x:c r="I434" s="4" t="str">
        <x:v>Candidate path traced</x:v>
      </x:c>
      <x:c r="J434" s="4" t="str">
        <x:v>Dimensions, grade, process qualification, quantity and yield remain open.</x:v>
      </x:c>
    </x:row>
    <x:row r="435" ht="115" customHeight="1">
      <x:c r="A435" s="4" t="str">
        <x:v>proposal.branch.steel_shell</x:v>
      </x:c>
      <x:c r="B435" s="4" t="str">
        <x:f>IFERROR(INDEX(Items!$B$6:$B$1005,MATCH(A435,Items!$A$6:$A$1005,0)),"MISSING ID")</x:f>
        <x:v>Steel-faced shell composite</x:v>
      </x:c>
      <x:c r="C435" s="4" t="str">
        <x:f>IFERROR(INDEX(Items!$X$6:$X$1005,MATCH(A435,Items!$A$6:$A$1005,0)),"MISSING ID")</x:f>
        <x:v>Processed material</x:v>
      </x:c>
      <x:c r="D435" s="4" t="str">
        <x:f>IFERROR(INDEX(Items!$C$6:$C$1005,MATCH(A435,Items!$A$6:$A$1005,0)),"MISSING ID")</x:f>
        <x:v>T3</x:v>
      </x:c>
      <x:c r="E435" s="4" t="str">
        <x:v>Manufactured stock / part</x:v>
      </x:c>
      <x:c r="F435" s="14" t="n">
        <x:f>IFERROR(INDEX(Items!$AJ$6:$AJ$1005,MATCH(A435,Items!$A$6:$A$1005,0)),"MISSING ID")</x:f>
        <x:v>1</x:v>
      </x:c>
      <x:c r="G435" s="4" t="str">
        <x:v>Traced to cataloged T0 and/or recovered feeds</x:v>
      </x:c>
      <x:c r="H435" s="4" t="str">
        <x:v>Forge hearth, Anvil, Forging hammer, Smithing tongs, Metalworking file and Hand-cranked metal drill as applicable. Existing workshop bootstrap and controlled heating/cooling required; no free-water quench assumed.</x:v>
      </x:c>
      <x:c r="I435" s="4" t="str">
        <x:v>Candidate path traced</x:v>
      </x:c>
      <x:c r="J435" s="4" t="str">
        <x:v>Dimensions, grade, process qualification, quantity and yield remain open.</x:v>
      </x:c>
    </x:row>
    <x:row r="436" ht="115" customHeight="1">
      <x:c r="A436" s="4" t="str">
        <x:v>proposal.branch.spring_steel</x:v>
      </x:c>
      <x:c r="B436" s="4" t="str">
        <x:f>IFERROR(INDEX(Items!$B$6:$B$1005,MATCH(A436,Items!$A$6:$A$1005,0)),"MISSING ID")</x:f>
        <x:v>Spring-grade steel stock</x:v>
      </x:c>
      <x:c r="C436" s="4" t="str">
        <x:f>IFERROR(INDEX(Items!$X$6:$X$1005,MATCH(A436,Items!$A$6:$A$1005,0)),"MISSING ID")</x:f>
        <x:v>Processed material</x:v>
      </x:c>
      <x:c r="D436" s="4" t="str">
        <x:f>IFERROR(INDEX(Items!$C$6:$C$1005,MATCH(A436,Items!$A$6:$A$1005,0)),"MISSING ID")</x:f>
        <x:v>T3</x:v>
      </x:c>
      <x:c r="E436" s="4" t="str">
        <x:v>Manufactured stock / part</x:v>
      </x:c>
      <x:c r="F436" s="14" t="n">
        <x:f>IFERROR(INDEX(Items!$AJ$6:$AJ$1005,MATCH(A436,Items!$A$6:$A$1005,0)),"MISSING ID")</x:f>
        <x:v>1</x:v>
      </x:c>
      <x:c r="G436" s="4" t="str">
        <x:v>Traced to cataloged T0 and/or recovered feeds</x:v>
      </x:c>
      <x:c r="H436" s="4" t="str">
        <x:v>Forge hearth, Anvil, Forging hammer, Smithing tongs, Metalworking file and Hand-cranked metal drill as applicable. Existing workshop bootstrap and controlled heating/cooling required; no free-water quench assumed.</x:v>
      </x:c>
      <x:c r="I436" s="4" t="str">
        <x:v>Candidate path traced</x:v>
      </x:c>
      <x:c r="J436" s="4" t="str">
        <x:v>Dimensions, grade, process qualification, quantity and yield remain open.</x:v>
      </x:c>
    </x:row>
    <x:row r="437" ht="115" customHeight="1">
      <x:c r="A437" s="4" t="str">
        <x:v>proposal.branch.insulated_conductor</x:v>
      </x:c>
      <x:c r="B437" s="4" t="str">
        <x:f>IFERROR(INDEX(Items!$B$6:$B$1005,MATCH(A437,Items!$A$6:$A$1005,0)),"MISSING ID")</x:f>
        <x:v>Insulated conductor stock</x:v>
      </x:c>
      <x:c r="C437" s="4" t="str">
        <x:f>IFERROR(INDEX(Items!$X$6:$X$1005,MATCH(A437,Items!$A$6:$A$1005,0)),"MISSING ID")</x:f>
        <x:v>Processed material</x:v>
      </x:c>
      <x:c r="D437" s="4" t="str">
        <x:f>IFERROR(INDEX(Items!$C$6:$C$1005,MATCH(A437,Items!$A$6:$A$1005,0)),"MISSING ID")</x:f>
        <x:v>T3</x:v>
      </x:c>
      <x:c r="E437" s="4" t="str">
        <x:v>Manufactured stock / part</x:v>
      </x:c>
      <x:c r="F437" s="14" t="n">
        <x:f>IFERROR(INDEX(Items!$AJ$6:$AJ$1005,MATCH(A437,Items!$A$6:$A$1005,0)),"MISSING ID")</x:f>
        <x:v>1</x:v>
      </x:c>
      <x:c r="G437" s="4" t="str">
        <x:v>Traced to cataloged T0 and/or recovered feeds</x:v>
      </x:c>
      <x:c r="H437" s="4" t="str">
        <x:v>Forge hearth, Anvil, Forging hammer, Smithing tongs, Metalworking file and Hand-cranked metal drill as applicable. Existing workshop bootstrap and controlled heating/cooling required; no free-water quench assumed.</x:v>
      </x:c>
      <x:c r="I437" s="4" t="str">
        <x:v>Candidate path traced</x:v>
      </x:c>
      <x:c r="J437" s="4" t="str">
        <x:v>Dimensions, grade, process qualification, quantity and yield remain open.</x:v>
      </x:c>
    </x:row>
    <x:row r="438" ht="115" customHeight="1">
      <x:c r="A438" s="4" t="str">
        <x:v>proposal.branch.ceramic_shell</x:v>
      </x:c>
      <x:c r="B438" s="4" t="str">
        <x:f>IFERROR(INDEX(Items!$B$6:$B$1005,MATCH(A438,Items!$A$6:$A$1005,0)),"MISSING ID")</x:f>
        <x:v>Bonded ceramic-shell composite</x:v>
      </x:c>
      <x:c r="C438" s="4" t="str">
        <x:f>IFERROR(INDEX(Items!$X$6:$X$1005,MATCH(A438,Items!$A$6:$A$1005,0)),"MISSING ID")</x:f>
        <x:v>Processed material</x:v>
      </x:c>
      <x:c r="D438" s="4" t="str">
        <x:f>IFERROR(INDEX(Items!$C$6:$C$1005,MATCH(A438,Items!$A$6:$A$1005,0)),"MISSING ID")</x:f>
        <x:v>T3</x:v>
      </x:c>
      <x:c r="E438" s="4" t="str">
        <x:v>Manufactured stock / part</x:v>
      </x:c>
      <x:c r="F438" s="14" t="n">
        <x:f>IFERROR(INDEX(Items!$AJ$6:$AJ$1005,MATCH(A438,Items!$A$6:$A$1005,0)),"MISSING ID")</x:f>
        <x:v>1</x:v>
      </x:c>
      <x:c r="G438" s="4" t="str">
        <x:v>Traced to cataloged T0 and/or recovered feeds</x:v>
      </x:c>
      <x:c r="H438" s="4" t="str">
        <x:v>Controlled-heating firing kiln or specialist glass hot-work station; Ceramic firing tray / Ceramic casting mold as applicable. Qualified power, heat and atmosphere required.</x:v>
      </x:c>
      <x:c r="I438" s="4" t="str">
        <x:v>Candidate path traced</x:v>
      </x:c>
      <x:c r="J438" s="4" t="str">
        <x:v>Dimensions, grade, process qualification, quantity and yield remain open.</x:v>
      </x:c>
    </x:row>
    <x:row r="439" ht="115" customHeight="1">
      <x:c r="A439" s="4" t="str">
        <x:v>proposal.branch.optical_glass</x:v>
      </x:c>
      <x:c r="B439" s="4" t="str">
        <x:f>IFERROR(INDEX(Items!$B$6:$B$1005,MATCH(A439,Items!$A$6:$A$1005,0)),"MISSING ID")</x:f>
        <x:v>Ground optical glass stock</x:v>
      </x:c>
      <x:c r="C439" s="4" t="str">
        <x:f>IFERROR(INDEX(Items!$X$6:$X$1005,MATCH(A439,Items!$A$6:$A$1005,0)),"MISSING ID")</x:f>
        <x:v>Processed material</x:v>
      </x:c>
      <x:c r="D439" s="4" t="str">
        <x:f>IFERROR(INDEX(Items!$C$6:$C$1005,MATCH(A439,Items!$A$6:$A$1005,0)),"MISSING ID")</x:f>
        <x:v>T3</x:v>
      </x:c>
      <x:c r="E439" s="4" t="str">
        <x:v>Manufactured stock / part</x:v>
      </x:c>
      <x:c r="F439" s="14" t="n">
        <x:f>IFERROR(INDEX(Items!$AJ$6:$AJ$1005,MATCH(A439,Items!$A$6:$A$1005,0)),"MISSING ID")</x:f>
        <x:v>1</x:v>
      </x:c>
      <x:c r="G439" s="4" t="str">
        <x:v>Traced to cataloged T0 and/or recovered feeds</x:v>
      </x:c>
      <x:c r="H439" s="4" t="str">
        <x:v>Controlled-heating firing kiln or specialist glass hot-work station; Ceramic firing tray / Ceramic casting mold as applicable. Qualified power, heat and atmosphere required.</x:v>
      </x:c>
      <x:c r="I439" s="4" t="str">
        <x:v>Candidate path traced</x:v>
      </x:c>
      <x:c r="J439" s="4" t="str">
        <x:v>Dimensions, grade, process qualification, quantity and yield remain open.</x:v>
      </x:c>
    </x:row>
    <x:row r="440" ht="115" customHeight="1">
      <x:c r="A440" s="4" t="str">
        <x:v>proposal.branch.husk_composite</x:v>
      </x:c>
      <x:c r="B440" s="4" t="str">
        <x:f>IFERROR(INDEX(Items!$B$6:$B$1005,MATCH(A440,Items!$A$6:$A$1005,0)),"MISSING ID")</x:f>
        <x:v>Layered husk composite stock</x:v>
      </x:c>
      <x:c r="C440" s="4" t="str">
        <x:f>IFERROR(INDEX(Items!$X$6:$X$1005,MATCH(A440,Items!$A$6:$A$1005,0)),"MISSING ID")</x:f>
        <x:v>Processed material</x:v>
      </x:c>
      <x:c r="D440" s="4" t="str">
        <x:f>IFERROR(INDEX(Items!$C$6:$C$1005,MATCH(A440,Items!$A$6:$A$1005,0)),"MISSING ID")</x:f>
        <x:v>T3</x:v>
      </x:c>
      <x:c r="E440" s="4" t="str">
        <x:v>Manufactured stock / part</x:v>
      </x:c>
      <x:c r="F440" s="14" t="n">
        <x:f>IFERROR(INDEX(Items!$AJ$6:$AJ$1005,MATCH(A440,Items!$A$6:$A$1005,0)),"MISSING ID")</x:f>
        <x:v>1</x:v>
      </x:c>
      <x:c r="G440" s="4" t="str">
        <x:v>Traced to cataloged T0 and/or recovered feeds</x:v>
      </x:c>
      <x:c r="H440" s="4" t="str">
        <x:v>Husk-sheet cutting shears, pressure fixtures and dedicated preparation surfaces. Very low hide/fur yield; no ordinary cloth or plant inputs.</x:v>
      </x:c>
      <x:c r="I440" s="4" t="str">
        <x:v>Candidate path traced</x:v>
      </x:c>
      <x:c r="J440" s="4" t="str">
        <x:v>Dimensions, grade, process qualification, quantity and yield remain open.</x:v>
      </x:c>
    </x:row>
    <x:row r="441" ht="115" customHeight="1">
      <x:c r="A441" s="4" t="str">
        <x:v>proposal.branch.sealing_sheet</x:v>
      </x:c>
      <x:c r="B441" s="4" t="str">
        <x:f>IFERROR(INDEX(Items!$B$6:$B$1005,MATCH(A441,Items!$A$6:$A$1005,0)),"MISSING ID")</x:f>
        <x:v>Reinforced sealing sheet</x:v>
      </x:c>
      <x:c r="C441" s="4" t="str">
        <x:f>IFERROR(INDEX(Items!$X$6:$X$1005,MATCH(A441,Items!$A$6:$A$1005,0)),"MISSING ID")</x:f>
        <x:v>Processed material</x:v>
      </x:c>
      <x:c r="D441" s="4" t="str">
        <x:f>IFERROR(INDEX(Items!$C$6:$C$1005,MATCH(A441,Items!$A$6:$A$1005,0)),"MISSING ID")</x:f>
        <x:v>T3</x:v>
      </x:c>
      <x:c r="E441" s="4" t="str">
        <x:v>Manufactured stock / part</x:v>
      </x:c>
      <x:c r="F441" s="14" t="n">
        <x:f>IFERROR(INDEX(Items!$AJ$6:$AJ$1005,MATCH(A441,Items!$A$6:$A$1005,0)),"MISSING ID")</x:f>
        <x:v>1</x:v>
      </x:c>
      <x:c r="G441" s="4" t="str">
        <x:v>Traced to cataloged T0 and/or recovered feeds</x:v>
      </x:c>
      <x:c r="H441" s="4" t="str">
        <x:v>Forge hearth, Anvil, Forging hammer, Smithing tongs, Metalworking file and Hand-cranked metal drill as applicable. Existing workshop bootstrap and controlled heating/cooling required; no free-water quench assumed.</x:v>
      </x:c>
      <x:c r="I441" s="4" t="str">
        <x:v>Candidate path traced</x:v>
      </x:c>
      <x:c r="J441" s="4" t="str">
        <x:v>Dimensions, grade, process qualification, quantity and yield remain open.</x:v>
      </x:c>
    </x:row>
    <x:row r="442" ht="115" customHeight="1">
      <x:c r="A442" s="4" t="str">
        <x:v>proposal.branch.decorative_husk</x:v>
      </x:c>
      <x:c r="B442" s="4" t="str">
        <x:f>IFERROR(INDEX(Items!$B$6:$B$1005,MATCH(A442,Items!$A$6:$A$1005,0)),"MISSING ID")</x:f>
        <x:v>Finished decorative husk stock</x:v>
      </x:c>
      <x:c r="C442" s="4" t="str">
        <x:f>IFERROR(INDEX(Items!$X$6:$X$1005,MATCH(A442,Items!$A$6:$A$1005,0)),"MISSING ID")</x:f>
        <x:v>Processed material</x:v>
      </x:c>
      <x:c r="D442" s="4" t="str">
        <x:f>IFERROR(INDEX(Items!$C$6:$C$1005,MATCH(A442,Items!$A$6:$A$1005,0)),"MISSING ID")</x:f>
        <x:v>T3</x:v>
      </x:c>
      <x:c r="E442" s="4" t="str">
        <x:v>Manufactured stock / part</x:v>
      </x:c>
      <x:c r="F442" s="14" t="n">
        <x:f>IFERROR(INDEX(Items!$AJ$6:$AJ$1005,MATCH(A442,Items!$A$6:$A$1005,0)),"MISSING ID")</x:f>
        <x:v>1</x:v>
      </x:c>
      <x:c r="G442" s="4" t="str">
        <x:v>Traced to cataloged T0 and/or recovered feeds</x:v>
      </x:c>
      <x:c r="H442" s="4" t="str">
        <x:v>Husk-sheet cutting shears, pressure fixtures and dedicated preparation surfaces. Very low hide/fur yield; no ordinary cloth or plant inputs.</x:v>
      </x:c>
      <x:c r="I442" s="4" t="str">
        <x:v>Candidate path traced</x:v>
      </x:c>
      <x:c r="J442" s="4" t="str">
        <x:v>Dimensions, grade, process qualification, quantity and yield remain open.</x:v>
      </x:c>
    </x:row>
    <x:row r="443" ht="115" customHeight="1">
      <x:c r="A443" s="4" t="str">
        <x:v>proposal.branch.protective_stock</x:v>
      </x:c>
      <x:c r="B443" s="4" t="str">
        <x:f>IFERROR(INDEX(Items!$B$6:$B$1005,MATCH(A443,Items!$A$6:$A$1005,0)),"MISSING ID")</x:f>
        <x:v>Layered protective composite stock</x:v>
      </x:c>
      <x:c r="C443" s="4" t="str">
        <x:f>IFERROR(INDEX(Items!$X$6:$X$1005,MATCH(A443,Items!$A$6:$A$1005,0)),"MISSING ID")</x:f>
        <x:v>Processed material</x:v>
      </x:c>
      <x:c r="D443" s="4" t="str">
        <x:f>IFERROR(INDEX(Items!$C$6:$C$1005,MATCH(A443,Items!$A$6:$A$1005,0)),"MISSING ID")</x:f>
        <x:v>T4</x:v>
      </x:c>
      <x:c r="E443" s="4" t="str">
        <x:v>Manufactured stock / part</x:v>
      </x:c>
      <x:c r="F443" s="14" t="n">
        <x:f>IFERROR(INDEX(Items!$AJ$6:$AJ$1005,MATCH(A443,Items!$A$6:$A$1005,0)),"MISSING ID")</x:f>
        <x:v>1</x:v>
      </x:c>
      <x:c r="G443" s="4" t="str">
        <x:v>Traced to cataloged T0 and/or recovered feeds</x:v>
      </x:c>
      <x:c r="H443" s="4" t="str">
        <x:v>Forge hearth, Anvil, Forging hammer, Smithing tongs, Metalworking file and Hand-cranked metal drill as applicable. Existing workshop bootstrap and controlled heating/cooling required; no free-water quench assumed.</x:v>
      </x:c>
      <x:c r="I443" s="4" t="str">
        <x:v>Candidate path traced</x:v>
      </x:c>
      <x:c r="J443" s="4" t="str">
        <x:v>Dimensions, grade, process qualification, quantity and yield remain open.</x:v>
      </x:c>
    </x:row>
    <x:row r="444" ht="115" customHeight="1">
      <x:c r="A444" s="4" t="str">
        <x:v>proposal.branch.encapsulated_conductor</x:v>
      </x:c>
      <x:c r="B444" s="4" t="str">
        <x:f>IFERROR(INDEX(Items!$B$6:$B$1005,MATCH(A444,Items!$A$6:$A$1005,0)),"MISSING ID")</x:f>
        <x:v>Encapsulated conductor stock</x:v>
      </x:c>
      <x:c r="C444" s="4" t="str">
        <x:f>IFERROR(INDEX(Items!$X$6:$X$1005,MATCH(A444,Items!$A$6:$A$1005,0)),"MISSING ID")</x:f>
        <x:v>Processed material</x:v>
      </x:c>
      <x:c r="D444" s="4" t="str">
        <x:f>IFERROR(INDEX(Items!$C$6:$C$1005,MATCH(A444,Items!$A$6:$A$1005,0)),"MISSING ID")</x:f>
        <x:v>T4</x:v>
      </x:c>
      <x:c r="E444" s="4" t="str">
        <x:v>Manufactured stock / part</x:v>
      </x:c>
      <x:c r="F444" s="14" t="n">
        <x:f>IFERROR(INDEX(Items!$AJ$6:$AJ$1005,MATCH(A444,Items!$A$6:$A$1005,0)),"MISSING ID")</x:f>
        <x:v>1</x:v>
      </x:c>
      <x:c r="G444" s="4" t="str">
        <x:v>Traced to cataloged T0 and/or recovered feeds</x:v>
      </x:c>
      <x:c r="H444" s="4" t="str">
        <x:v>Forge hearth, Anvil, Forging hammer, Smithing tongs, Metalworking file and Hand-cranked metal drill as applicable. Existing workshop bootstrap and controlled heating/cooling required; no free-water quench assumed.</x:v>
      </x:c>
      <x:c r="I444" s="4" t="str">
        <x:v>Candidate path traced</x:v>
      </x:c>
      <x:c r="J444" s="4" t="str">
        <x:v>Dimensions, grade, process qualification, quantity and yield remain open.</x:v>
      </x:c>
    </x:row>
    <x:row r="445" ht="115" customHeight="1">
      <x:c r="A445" s="4" t="str">
        <x:v>proposal.branch.optical_module</x:v>
      </x:c>
      <x:c r="B445" s="4" t="str">
        <x:f>IFERROR(INDEX(Items!$B$6:$B$1005,MATCH(A445,Items!$A$6:$A$1005,0)),"MISSING ID")</x:f>
        <x:v>Aligned optical subassembly</x:v>
      </x:c>
      <x:c r="C445" s="4" t="str">
        <x:f>IFERROR(INDEX(Items!$X$6:$X$1005,MATCH(A445,Items!$A$6:$A$1005,0)),"MISSING ID")</x:f>
        <x:v>Crafting component</x:v>
      </x:c>
      <x:c r="D445" s="4" t="str">
        <x:f>IFERROR(INDEX(Items!$C$6:$C$1005,MATCH(A445,Items!$A$6:$A$1005,0)),"MISSING ID")</x:f>
        <x:v>T4</x:v>
      </x:c>
      <x:c r="E445" s="4" t="str">
        <x:v>Manufactured stock / part</x:v>
      </x:c>
      <x:c r="F445" s="14" t="n">
        <x:f>IFERROR(INDEX(Items!$AJ$6:$AJ$1005,MATCH(A445,Items!$A$6:$A$1005,0)),"MISSING ID")</x:f>
        <x:v>1</x:v>
      </x:c>
      <x:c r="G445" s="4" t="str">
        <x:v>Traced to cataloged T0 and/or recovered feeds</x:v>
      </x:c>
      <x:c r="H445" s="4" t="str">
        <x:v>Forge hearth, Anvil, Forging hammer, Smithing tongs, Metalworking file and Hand-cranked metal drill as applicable. Existing workshop bootstrap and controlled heating/cooling required; no free-water quench assumed.</x:v>
      </x:c>
      <x:c r="I445" s="4" t="str">
        <x:v>Candidate path traced</x:v>
      </x:c>
      <x:c r="J445" s="4" t="str">
        <x:v>Dimensions, grade, process qualification, quantity and yield remain open.</x:v>
      </x:c>
    </x:row>
    <x:row r="446" ht="115" customHeight="1">
      <x:c r="A446" s="4" t="str">
        <x:v>proposal.branch.sealed_casing</x:v>
      </x:c>
      <x:c r="B446" s="4" t="str">
        <x:f>IFERROR(INDEX(Items!$B$6:$B$1005,MATCH(A446,Items!$A$6:$A$1005,0)),"MISSING ID")</x:f>
        <x:v>Sealed composite casing stock</x:v>
      </x:c>
      <x:c r="C446" s="4" t="str">
        <x:f>IFERROR(INDEX(Items!$X$6:$X$1005,MATCH(A446,Items!$A$6:$A$1005,0)),"MISSING ID")</x:f>
        <x:v>Processed material</x:v>
      </x:c>
      <x:c r="D446" s="4" t="str">
        <x:f>IFERROR(INDEX(Items!$C$6:$C$1005,MATCH(A446,Items!$A$6:$A$1005,0)),"MISSING ID")</x:f>
        <x:v>T4</x:v>
      </x:c>
      <x:c r="E446" s="4" t="str">
        <x:v>Manufactured stock / part</x:v>
      </x:c>
      <x:c r="F446" s="14" t="n">
        <x:f>IFERROR(INDEX(Items!$AJ$6:$AJ$1005,MATCH(A446,Items!$A$6:$A$1005,0)),"MISSING ID")</x:f>
        <x:v>1</x:v>
      </x:c>
      <x:c r="G446" s="4" t="str">
        <x:v>Traced to cataloged T0 and/or recovered feeds</x:v>
      </x:c>
      <x:c r="H446" s="4" t="str">
        <x:v>Forge hearth, Anvil, Forging hammer, Smithing tongs, Metalworking file and Hand-cranked metal drill as applicable. Existing workshop bootstrap and controlled heating/cooling required; no free-water quench assumed.</x:v>
      </x:c>
      <x:c r="I446" s="4" t="str">
        <x:v>Candidate path traced</x:v>
      </x:c>
      <x:c r="J446" s="4" t="str">
        <x:v>Dimensions, grade, process qualification, quantity and yield remain open.</x:v>
      </x:c>
    </x:row>
    <x:row r="447" ht="115" customHeight="1">
      <x:c r="A447" s="4" t="str">
        <x:v>proposal.branch.spring_pack</x:v>
      </x:c>
      <x:c r="B447" s="4" t="str">
        <x:f>IFERROR(INDEX(Items!$B$6:$B$1005,MATCH(A447,Items!$A$6:$A$1005,0)),"MISSING ID")</x:f>
        <x:v>Preloaded spring subassembly</x:v>
      </x:c>
      <x:c r="C447" s="4" t="str">
        <x:f>IFERROR(INDEX(Items!$X$6:$X$1005,MATCH(A447,Items!$A$6:$A$1005,0)),"MISSING ID")</x:f>
        <x:v>Crafting component</x:v>
      </x:c>
      <x:c r="D447" s="4" t="str">
        <x:f>IFERROR(INDEX(Items!$C$6:$C$1005,MATCH(A447,Items!$A$6:$A$1005,0)),"MISSING ID")</x:f>
        <x:v>T4</x:v>
      </x:c>
      <x:c r="E447" s="4" t="str">
        <x:v>Manufactured stock / part</x:v>
      </x:c>
      <x:c r="F447" s="14" t="n">
        <x:f>IFERROR(INDEX(Items!$AJ$6:$AJ$1005,MATCH(A447,Items!$A$6:$A$1005,0)),"MISSING ID")</x:f>
        <x:v>1</x:v>
      </x:c>
      <x:c r="G447" s="4" t="str">
        <x:v>Traced to cataloged T0 and/or recovered feeds</x:v>
      </x:c>
      <x:c r="H447" s="4" t="str">
        <x:v>Forge hearth, Anvil, Forging hammer, Smithing tongs, Metalworking file and Hand-cranked metal drill as applicable. Existing workshop bootstrap and controlled heating/cooling required; no free-water quench assumed.</x:v>
      </x:c>
      <x:c r="I447" s="4" t="str">
        <x:v>Candidate path traced</x:v>
      </x:c>
      <x:c r="J447" s="4" t="str">
        <x:v>Dimensions, grade, process qualification, quantity and yield remain open.</x:v>
      </x:c>
    </x:row>
    <x:row r="448" ht="115" customHeight="1">
      <x:c r="A448" s="4" t="str">
        <x:v>proposal.t3.gear_blank</x:v>
      </x:c>
      <x:c r="B448" s="4" t="str">
        <x:f>IFERROR(INDEX(Items!$B$6:$B$1005,MATCH(A448,Items!$A$6:$A$1005,0)),"MISSING ID")</x:f>
        <x:v>Heat-treated steel gear blanks</x:v>
      </x:c>
      <x:c r="C448" s="4" t="str">
        <x:f>IFERROR(INDEX(Items!$X$6:$X$1005,MATCH(A448,Items!$A$6:$A$1005,0)),"MISSING ID")</x:f>
        <x:v>Crafting component</x:v>
      </x:c>
      <x:c r="D448" s="4" t="str">
        <x:f>IFERROR(INDEX(Items!$C$6:$C$1005,MATCH(A448,Items!$A$6:$A$1005,0)),"MISSING ID")</x:f>
        <x:v>T3</x:v>
      </x:c>
      <x:c r="E448" s="4" t="str">
        <x:v>Manufactured stock / part</x:v>
      </x:c>
      <x:c r="F448" s="14" t="n">
        <x:f>IFERROR(INDEX(Items!$AJ$6:$AJ$1005,MATCH(A448,Items!$A$6:$A$1005,0)),"MISSING ID")</x:f>
        <x:v>1</x:v>
      </x:c>
      <x:c r="G448" s="4" t="str">
        <x:v>Traced to cataloged T0 and/or recovered feeds</x:v>
      </x:c>
      <x:c r="H448" s="4" t="str">
        <x:v>Forge hearth, Anvil, Forging hammer, Smithing tongs, Metalworking file and Hand-cranked metal drill as applicable. Existing workshop bootstrap and controlled heating/cooling required; no free-water quench assumed.</x:v>
      </x:c>
      <x:c r="I448" s="4" t="str">
        <x:v>Candidate path traced</x:v>
      </x:c>
      <x:c r="J448" s="4" t="str">
        <x:v>Dimensions, grade, process qualification, quantity and yield remain open.</x:v>
      </x:c>
    </x:row>
    <x:row r="449" ht="115" customHeight="1">
      <x:c r="A449" s="4" t="str">
        <x:v>proposal.t3.bearing_blank</x:v>
      </x:c>
      <x:c r="B449" s="4" t="str">
        <x:f>IFERROR(INDEX(Items!$B$6:$B$1005,MATCH(A449,Items!$A$6:$A$1005,0)),"MISSING ID")</x:f>
        <x:v>Lapped bronze bearing blanks</x:v>
      </x:c>
      <x:c r="C449" s="4" t="str">
        <x:f>IFERROR(INDEX(Items!$X$6:$X$1005,MATCH(A449,Items!$A$6:$A$1005,0)),"MISSING ID")</x:f>
        <x:v>Crafting component</x:v>
      </x:c>
      <x:c r="D449" s="4" t="str">
        <x:f>IFERROR(INDEX(Items!$C$6:$C$1005,MATCH(A449,Items!$A$6:$A$1005,0)),"MISSING ID")</x:f>
        <x:v>T3</x:v>
      </x:c>
      <x:c r="E449" s="4" t="str">
        <x:v>Manufactured stock / part</x:v>
      </x:c>
      <x:c r="F449" s="14" t="n">
        <x:f>IFERROR(INDEX(Items!$AJ$6:$AJ$1005,MATCH(A449,Items!$A$6:$A$1005,0)),"MISSING ID")</x:f>
        <x:v>1</x:v>
      </x:c>
      <x:c r="G449" s="4" t="str">
        <x:v>Traced to cataloged T0 and/or recovered feeds</x:v>
      </x:c>
      <x:c r="H449" s="4" t="str">
        <x:v>Forge hearth, Anvil, Forging hammer, Smithing tongs, Metalworking file and Hand-cranked metal drill as applicable. Existing workshop bootstrap and controlled heating/cooling required; no free-water quench assumed.</x:v>
      </x:c>
      <x:c r="I449" s="4" t="str">
        <x:v>Candidate path traced</x:v>
      </x:c>
      <x:c r="J449" s="4" t="str">
        <x:v>Dimensions, grade, process qualification, quantity and yield remain open.</x:v>
      </x:c>
    </x:row>
    <x:row r="450" ht="115" customHeight="1">
      <x:c r="A450" s="4" t="str">
        <x:v>proposal.t3.precision_tube</x:v>
      </x:c>
      <x:c r="B450" s="4" t="str">
        <x:f>IFERROR(INDEX(Items!$B$6:$B$1005,MATCH(A450,Items!$A$6:$A$1005,0)),"MISSING ID")</x:f>
        <x:v>Drawn steel tube stock</x:v>
      </x:c>
      <x:c r="C450" s="4" t="str">
        <x:f>IFERROR(INDEX(Items!$X$6:$X$1005,MATCH(A450,Items!$A$6:$A$1005,0)),"MISSING ID")</x:f>
        <x:v>Processed material</x:v>
      </x:c>
      <x:c r="D450" s="4" t="str">
        <x:f>IFERROR(INDEX(Items!$C$6:$C$1005,MATCH(A450,Items!$A$6:$A$1005,0)),"MISSING ID")</x:f>
        <x:v>T3</x:v>
      </x:c>
      <x:c r="E450" s="4" t="str">
        <x:v>Manufactured stock / part</x:v>
      </x:c>
      <x:c r="F450" s="14" t="n">
        <x:f>IFERROR(INDEX(Items!$AJ$6:$AJ$1005,MATCH(A450,Items!$A$6:$A$1005,0)),"MISSING ID")</x:f>
        <x:v>1</x:v>
      </x:c>
      <x:c r="G450" s="4" t="str">
        <x:v>Traced to cataloged T0 and/or recovered feeds</x:v>
      </x:c>
      <x:c r="H450" s="4" t="str">
        <x:v>Forge hearth, Anvil, Forging hammer, Smithing tongs, Metalworking file and Hand-cranked metal drill as applicable. Existing workshop bootstrap and controlled heating/cooling required; no free-water quench assumed.</x:v>
      </x:c>
      <x:c r="I450" s="4" t="str">
        <x:v>Candidate path traced</x:v>
      </x:c>
      <x:c r="J450" s="4" t="str">
        <x:v>Dimensions, grade, process qualification, quantity and yield remain open.</x:v>
      </x:c>
    </x:row>
    <x:row r="451" ht="115" customHeight="1">
      <x:c r="A451" s="4" t="str">
        <x:v>proposal.t3.grounding_braid</x:v>
      </x:c>
      <x:c r="B451" s="4" t="str">
        <x:f>IFERROR(INDEX(Items!$B$6:$B$1005,MATCH(A451,Items!$A$6:$A$1005,0)),"MISSING ID")</x:f>
        <x:v>Braided copper grounding stock</x:v>
      </x:c>
      <x:c r="C451" s="4" t="str">
        <x:f>IFERROR(INDEX(Items!$X$6:$X$1005,MATCH(A451,Items!$A$6:$A$1005,0)),"MISSING ID")</x:f>
        <x:v>Processed material</x:v>
      </x:c>
      <x:c r="D451" s="4" t="str">
        <x:f>IFERROR(INDEX(Items!$C$6:$C$1005,MATCH(A451,Items!$A$6:$A$1005,0)),"MISSING ID")</x:f>
        <x:v>T3</x:v>
      </x:c>
      <x:c r="E451" s="4" t="str">
        <x:v>Manufactured stock / part</x:v>
      </x:c>
      <x:c r="F451" s="14" t="n">
        <x:f>IFERROR(INDEX(Items!$AJ$6:$AJ$1005,MATCH(A451,Items!$A$6:$A$1005,0)),"MISSING ID")</x:f>
        <x:v>1</x:v>
      </x:c>
      <x:c r="G451" s="4" t="str">
        <x:v>Traced to cataloged T0 and/or recovered feeds</x:v>
      </x:c>
      <x:c r="H451" s="4" t="str">
        <x:v>Forge hearth, Anvil, Forging hammer, Smithing tongs, Metalworking file and Hand-cranked metal drill as applicable. Existing workshop bootstrap and controlled heating/cooling required; no free-water quench assumed.</x:v>
      </x:c>
      <x:c r="I451" s="4" t="str">
        <x:v>Candidate path traced</x:v>
      </x:c>
      <x:c r="J451" s="4" t="str">
        <x:v>Dimensions, grade, process qualification, quantity and yield remain open.</x:v>
      </x:c>
    </x:row>
    <x:row r="452" ht="115" customHeight="1">
      <x:c r="A452" s="4" t="str">
        <x:v>proposal.t3.wound_coil</x:v>
      </x:c>
      <x:c r="B452" s="4" t="str">
        <x:f>IFERROR(INDEX(Items!$B$6:$B$1005,MATCH(A452,Items!$A$6:$A$1005,0)),"MISSING ID")</x:f>
        <x:v>Wound copper coil blanks</x:v>
      </x:c>
      <x:c r="C452" s="4" t="str">
        <x:f>IFERROR(INDEX(Items!$X$6:$X$1005,MATCH(A452,Items!$A$6:$A$1005,0)),"MISSING ID")</x:f>
        <x:v>Crafting component</x:v>
      </x:c>
      <x:c r="D452" s="4" t="str">
        <x:f>IFERROR(INDEX(Items!$C$6:$C$1005,MATCH(A452,Items!$A$6:$A$1005,0)),"MISSING ID")</x:f>
        <x:v>T3</x:v>
      </x:c>
      <x:c r="E452" s="4" t="str">
        <x:v>Manufactured stock / part</x:v>
      </x:c>
      <x:c r="F452" s="14" t="n">
        <x:f>IFERROR(INDEX(Items!$AJ$6:$AJ$1005,MATCH(A452,Items!$A$6:$A$1005,0)),"MISSING ID")</x:f>
        <x:v>1</x:v>
      </x:c>
      <x:c r="G452" s="4" t="str">
        <x:v>Traced to cataloged T0 and/or recovered feeds</x:v>
      </x:c>
      <x:c r="H452" s="4" t="str">
        <x:v>Forge hearth, Anvil, Forging hammer, Smithing tongs, Metalworking file and Hand-cranked metal drill as applicable. Existing workshop bootstrap and controlled heating/cooling required; no free-water quench assumed.</x:v>
      </x:c>
      <x:c r="I452" s="4" t="str">
        <x:v>Candidate path traced</x:v>
      </x:c>
      <x:c r="J452" s="4" t="str">
        <x:v>Dimensions, grade, process qualification, quantity and yield remain open.</x:v>
      </x:c>
    </x:row>
    <x:row r="453" ht="115" customHeight="1">
      <x:c r="A453" s="4" t="str">
        <x:v>proposal.t3.copper_mesh</x:v>
      </x:c>
      <x:c r="B453" s="4" t="str">
        <x:f>IFERROR(INDEX(Items!$B$6:$B$1005,MATCH(A453,Items!$A$6:$A$1005,0)),"MISSING ID")</x:f>
        <x:v>Woven copper mesh stock</x:v>
      </x:c>
      <x:c r="C453" s="4" t="str">
        <x:f>IFERROR(INDEX(Items!$X$6:$X$1005,MATCH(A453,Items!$A$6:$A$1005,0)),"MISSING ID")</x:f>
        <x:v>Processed material</x:v>
      </x:c>
      <x:c r="D453" s="4" t="str">
        <x:f>IFERROR(INDEX(Items!$C$6:$C$1005,MATCH(A453,Items!$A$6:$A$1005,0)),"MISSING ID")</x:f>
        <x:v>T3</x:v>
      </x:c>
      <x:c r="E453" s="4" t="str">
        <x:v>Manufactured stock / part</x:v>
      </x:c>
      <x:c r="F453" s="14" t="n">
        <x:f>IFERROR(INDEX(Items!$AJ$6:$AJ$1005,MATCH(A453,Items!$A$6:$A$1005,0)),"MISSING ID")</x:f>
        <x:v>1</x:v>
      </x:c>
      <x:c r="G453" s="4" t="str">
        <x:v>Traced to cataloged T0 and/or recovered feeds</x:v>
      </x:c>
      <x:c r="H453" s="4" t="str">
        <x:v>Forge hearth, Anvil, Forging hammer, Smithing tongs, Metalworking file and Hand-cranked metal drill as applicable. Existing workshop bootstrap and controlled heating/cooling required; no free-water quench assumed.</x:v>
      </x:c>
      <x:c r="I453" s="4" t="str">
        <x:v>Candidate path traced</x:v>
      </x:c>
      <x:c r="J453" s="4" t="str">
        <x:v>Dimensions, grade, process qualification, quantity and yield remain open.</x:v>
      </x:c>
    </x:row>
    <x:row r="454" ht="115" customHeight="1">
      <x:c r="A454" s="4" t="str">
        <x:v>proposal.t3.contact_mount</x:v>
      </x:c>
      <x:c r="B454" s="4" t="str">
        <x:f>IFERROR(INDEX(Items!$B$6:$B$1005,MATCH(A454,Items!$A$6:$A$1005,0)),"MISSING ID")</x:f>
        <x:v>Fitted ceramic contact mounts</x:v>
      </x:c>
      <x:c r="C454" s="4" t="str">
        <x:f>IFERROR(INDEX(Items!$X$6:$X$1005,MATCH(A454,Items!$A$6:$A$1005,0)),"MISSING ID")</x:f>
        <x:v>Crafting component</x:v>
      </x:c>
      <x:c r="D454" s="4" t="str">
        <x:f>IFERROR(INDEX(Items!$C$6:$C$1005,MATCH(A454,Items!$A$6:$A$1005,0)),"MISSING ID")</x:f>
        <x:v>T3</x:v>
      </x:c>
      <x:c r="E454" s="4" t="str">
        <x:v>Manufactured stock / part</x:v>
      </x:c>
      <x:c r="F454" s="14" t="n">
        <x:f>IFERROR(INDEX(Items!$AJ$6:$AJ$1005,MATCH(A454,Items!$A$6:$A$1005,0)),"MISSING ID")</x:f>
        <x:v>1</x:v>
      </x:c>
      <x:c r="G454" s="4" t="str">
        <x:v>Traced to cataloged T0 and/or recovered feeds</x:v>
      </x:c>
      <x:c r="H454" s="4" t="str">
        <x:v>Controlled-heating firing kiln or specialist glass hot-work station; Ceramic firing tray / Ceramic casting mold as applicable. Qualified power, heat and atmosphere required.</x:v>
      </x:c>
      <x:c r="I454" s="4" t="str">
        <x:v>Candidate path traced</x:v>
      </x:c>
      <x:c r="J454" s="4" t="str">
        <x:v>Dimensions, grade, process qualification, quantity and yield remain open.</x:v>
      </x:c>
    </x:row>
    <x:row r="455" ht="115" customHeight="1">
      <x:c r="A455" s="4" t="str">
        <x:v>proposal.t3.feedthrough_blank</x:v>
      </x:c>
      <x:c r="B455" s="4" t="str">
        <x:f>IFERROR(INDEX(Items!$B$6:$B$1005,MATCH(A455,Items!$A$6:$A$1005,0)),"MISSING ID")</x:f>
        <x:v>Ceramic-metal feedthrough blanks</x:v>
      </x:c>
      <x:c r="C455" s="4" t="str">
        <x:f>IFERROR(INDEX(Items!$X$6:$X$1005,MATCH(A455,Items!$A$6:$A$1005,0)),"MISSING ID")</x:f>
        <x:v>Crafting component</x:v>
      </x:c>
      <x:c r="D455" s="4" t="str">
        <x:f>IFERROR(INDEX(Items!$C$6:$C$1005,MATCH(A455,Items!$A$6:$A$1005,0)),"MISSING ID")</x:f>
        <x:v>T3</x:v>
      </x:c>
      <x:c r="E455" s="4" t="str">
        <x:v>Manufactured stock / part</x:v>
      </x:c>
      <x:c r="F455" s="14" t="n">
        <x:f>IFERROR(INDEX(Items!$AJ$6:$AJ$1005,MATCH(A455,Items!$A$6:$A$1005,0)),"MISSING ID")</x:f>
        <x:v>1</x:v>
      </x:c>
      <x:c r="G455" s="4" t="str">
        <x:v>Traced to cataloged T0 and/or recovered feeds</x:v>
      </x:c>
      <x:c r="H455" s="4" t="str">
        <x:v>Controlled-heating firing kiln or specialist glass hot-work station; Ceramic firing tray / Ceramic casting mold as applicable. Qualified power, heat and atmosphere required.</x:v>
      </x:c>
      <x:c r="I455" s="4" t="str">
        <x:v>Candidate path traced</x:v>
      </x:c>
      <x:c r="J455" s="4" t="str">
        <x:v>Dimensions, grade, process qualification, quantity and yield remain open.</x:v>
      </x:c>
    </x:row>
    <x:row r="456" ht="115" customHeight="1">
      <x:c r="A456" s="4" t="str">
        <x:v>proposal.t3.spacer_set</x:v>
      </x:c>
      <x:c r="B456" s="4" t="str">
        <x:f>IFERROR(INDEX(Items!$B$6:$B$1005,MATCH(A456,Items!$A$6:$A$1005,0)),"MISSING ID")</x:f>
        <x:v>Matched ceramic spacer sets</x:v>
      </x:c>
      <x:c r="C456" s="4" t="str">
        <x:f>IFERROR(INDEX(Items!$X$6:$X$1005,MATCH(A456,Items!$A$6:$A$1005,0)),"MISSING ID")</x:f>
        <x:v>Crafting component</x:v>
      </x:c>
      <x:c r="D456" s="4" t="str">
        <x:f>IFERROR(INDEX(Items!$C$6:$C$1005,MATCH(A456,Items!$A$6:$A$1005,0)),"MISSING ID")</x:f>
        <x:v>T3</x:v>
      </x:c>
      <x:c r="E456" s="4" t="str">
        <x:v>Manufactured stock / part</x:v>
      </x:c>
      <x:c r="F456" s="14" t="n">
        <x:f>IFERROR(INDEX(Items!$AJ$6:$AJ$1005,MATCH(A456,Items!$A$6:$A$1005,0)),"MISSING ID")</x:f>
        <x:v>1</x:v>
      </x:c>
      <x:c r="G456" s="4" t="str">
        <x:v>Traced to cataloged T0 and/or recovered feeds</x:v>
      </x:c>
      <x:c r="H456" s="4" t="str">
        <x:v>Controlled-heating firing kiln or specialist glass hot-work station; Ceramic firing tray / Ceramic casting mold as applicable. Qualified power, heat and atmosphere required.</x:v>
      </x:c>
      <x:c r="I456" s="4" t="str">
        <x:v>Candidate path traced</x:v>
      </x:c>
      <x:c r="J456" s="4" t="str">
        <x:v>Dimensions, grade, process qualification, quantity and yield remain open.</x:v>
      </x:c>
    </x:row>
    <x:row r="457" ht="115" customHeight="1">
      <x:c r="A457" s="4" t="str">
        <x:v>proposal.t3.reflector_stock</x:v>
      </x:c>
      <x:c r="B457" s="4" t="str">
        <x:f>IFERROR(INDEX(Items!$B$6:$B$1005,MATCH(A457,Items!$A$6:$A$1005,0)),"MISSING ID")</x:f>
        <x:v>Polished copper reflector blanks</x:v>
      </x:c>
      <x:c r="C457" s="4" t="str">
        <x:f>IFERROR(INDEX(Items!$X$6:$X$1005,MATCH(A457,Items!$A$6:$A$1005,0)),"MISSING ID")</x:f>
        <x:v>Processed material</x:v>
      </x:c>
      <x:c r="D457" s="4" t="str">
        <x:f>IFERROR(INDEX(Items!$C$6:$C$1005,MATCH(A457,Items!$A$6:$A$1005,0)),"MISSING ID")</x:f>
        <x:v>T3</x:v>
      </x:c>
      <x:c r="E457" s="4" t="str">
        <x:v>Manufactured stock / part</x:v>
      </x:c>
      <x:c r="F457" s="14" t="n">
        <x:f>IFERROR(INDEX(Items!$AJ$6:$AJ$1005,MATCH(A457,Items!$A$6:$A$1005,0)),"MISSING ID")</x:f>
        <x:v>1</x:v>
      </x:c>
      <x:c r="G457" s="4" t="str">
        <x:v>Traced to cataloged T0 and/or recovered feeds</x:v>
      </x:c>
      <x:c r="H457" s="4" t="str">
        <x:v>Forge hearth, Anvil, Forging hammer, Smithing tongs, Metalworking file and Hand-cranked metal drill as applicable. Existing workshop bootstrap and controlled heating/cooling required; no free-water quench assumed.</x:v>
      </x:c>
      <x:c r="I457" s="4" t="str">
        <x:v>Candidate path traced</x:v>
      </x:c>
      <x:c r="J457" s="4" t="str">
        <x:v>Dimensions, grade, process qualification, quantity and yield remain open.</x:v>
      </x:c>
    </x:row>
    <x:row r="458" ht="115" customHeight="1">
      <x:c r="A458" s="4" t="str">
        <x:v>proposal.t3.packing_stock</x:v>
      </x:c>
      <x:c r="B458" s="4" t="str">
        <x:f>IFERROR(INDEX(Items!$B$6:$B$1005,MATCH(A458,Items!$A$6:$A$1005,0)),"MISSING ID")</x:f>
        <x:v>Husk-reinforced packing stock</x:v>
      </x:c>
      <x:c r="C458" s="4" t="str">
        <x:f>IFERROR(INDEX(Items!$X$6:$X$1005,MATCH(A458,Items!$A$6:$A$1005,0)),"MISSING ID")</x:f>
        <x:v>Processed material</x:v>
      </x:c>
      <x:c r="D458" s="4" t="str">
        <x:f>IFERROR(INDEX(Items!$C$6:$C$1005,MATCH(A458,Items!$A$6:$A$1005,0)),"MISSING ID")</x:f>
        <x:v>T3</x:v>
      </x:c>
      <x:c r="E458" s="4" t="str">
        <x:v>Manufactured stock / part</x:v>
      </x:c>
      <x:c r="F458" s="14" t="n">
        <x:f>IFERROR(INDEX(Items!$AJ$6:$AJ$1005,MATCH(A458,Items!$A$6:$A$1005,0)),"MISSING ID")</x:f>
        <x:v>1</x:v>
      </x:c>
      <x:c r="G458" s="4" t="str">
        <x:v>Traced to cataloged T0 and/or recovered feeds</x:v>
      </x:c>
      <x:c r="H458" s="4" t="str">
        <x:v>Forge hearth, Anvil, Forging hammer, Smithing tongs, Metalworking file and Hand-cranked metal drill as applicable. Existing workshop bootstrap and controlled heating/cooling required; no free-water quench assumed.</x:v>
      </x:c>
      <x:c r="I458" s="4" t="str">
        <x:v>Candidate path traced</x:v>
      </x:c>
      <x:c r="J458" s="4" t="str">
        <x:v>Dimensions, grade, process qualification, quantity and yield remain open.</x:v>
      </x:c>
    </x:row>
    <x:row r="459" ht="115" customHeight="1">
      <x:c r="A459" s="4" t="str">
        <x:v>proposal.t3.service_grease</x:v>
      </x:c>
      <x:c r="B459" s="4" t="str">
        <x:f>IFERROR(INDEX(Items!$B$6:$B$1005,MATCH(A459,Items!$A$6:$A$1005,0)),"MISSING ID")</x:f>
        <x:v>Conditioned mechanism-service grease</x:v>
      </x:c>
      <x:c r="C459" s="4" t="str">
        <x:f>IFERROR(INDEX(Items!$X$6:$X$1005,MATCH(A459,Items!$A$6:$A$1005,0)),"MISSING ID")</x:f>
        <x:v>Chemical material</x:v>
      </x:c>
      <x:c r="D459" s="4" t="str">
        <x:f>IFERROR(INDEX(Items!$C$6:$C$1005,MATCH(A459,Items!$A$6:$A$1005,0)),"MISSING ID")</x:f>
        <x:v>T3</x:v>
      </x:c>
      <x:c r="E459" s="4" t="str">
        <x:v>Manufactured stock / part</x:v>
      </x:c>
      <x:c r="F459" s="14" t="n">
        <x:f>IFERROR(INDEX(Items!$AJ$6:$AJ$1005,MATCH(A459,Items!$A$6:$A$1005,0)),"MISSING ID")</x:f>
        <x:v>1</x:v>
      </x:c>
      <x:c r="G459" s="4" t="str">
        <x:v>Traced to cataloged T0 and/or recovered feeds</x:v>
      </x:c>
      <x:c r="H459" s="4" t="str">
        <x:v>Contained segregated vessels, Ceramic grinding mortar, Ceramic pestle and Glass transfer funnel. Process/carrier compatibility unresolved.</x:v>
      </x:c>
      <x:c r="I459" s="4" t="str">
        <x:v>Candidate path traced</x:v>
      </x:c>
      <x:c r="J459" s="4" t="str">
        <x:v>Reagent identity, contained carrier, reaction/selectivity, compatibility and process yield require qualification.</x:v>
      </x:c>
    </x:row>
    <x:row r="460" ht="115" customHeight="1">
      <x:c r="A460" s="4" t="str">
        <x:v>proposal.t3.wing_seam</x:v>
      </x:c>
      <x:c r="B460" s="4" t="str">
        <x:f>IFERROR(INDEX(Items!$B$6:$B$1005,MATCH(A460,Items!$A$6:$A$1005,0)),"MISSING ID")</x:f>
        <x:v>Bonded wing-seam reinforcement strips</x:v>
      </x:c>
      <x:c r="C460" s="4" t="str">
        <x:f>IFERROR(INDEX(Items!$X$6:$X$1005,MATCH(A460,Items!$A$6:$A$1005,0)),"MISSING ID")</x:f>
        <x:v>Processed material</x:v>
      </x:c>
      <x:c r="D460" s="4" t="str">
        <x:f>IFERROR(INDEX(Items!$C$6:$C$1005,MATCH(A460,Items!$A$6:$A$1005,0)),"MISSING ID")</x:f>
        <x:v>T3</x:v>
      </x:c>
      <x:c r="E460" s="4" t="str">
        <x:v>Manufactured stock / part</x:v>
      </x:c>
      <x:c r="F460" s="14" t="n">
        <x:f>IFERROR(INDEX(Items!$AJ$6:$AJ$1005,MATCH(A460,Items!$A$6:$A$1005,0)),"MISSING ID")</x:f>
        <x:v>1</x:v>
      </x:c>
      <x:c r="G460" s="4" t="str">
        <x:v>Traced to cataloged T0 and/or recovered feeds</x:v>
      </x:c>
      <x:c r="H460" s="4" t="str">
        <x:v>Husk-sheet cutting shears, pressure fixtures and dedicated preparation surfaces. Very low hide/fur yield; no ordinary cloth or plant inputs.</x:v>
      </x:c>
      <x:c r="I460" s="4" t="str">
        <x:v>Candidate path traced</x:v>
      </x:c>
      <x:c r="J460" s="4" t="str">
        <x:v>Dimensions, grade, process qualification, quantity and yield remain open.</x:v>
      </x:c>
    </x:row>
    <x:row r="461" ht="115" customHeight="1">
      <x:c r="A461" s="4" t="str">
        <x:v>proposal.t3.sail_panel_set</x:v>
      </x:c>
      <x:c r="B461" s="4" t="str">
        <x:f>IFERROR(INDEX(Items!$B$6:$B$1005,MATCH(A461,Items!$A$6:$A$1005,0)),"MISSING ID")</x:f>
        <x:v>Matched folding wing-panel sets</x:v>
      </x:c>
      <x:c r="C461" s="4" t="str">
        <x:f>IFERROR(INDEX(Items!$X$6:$X$1005,MATCH(A461,Items!$A$6:$A$1005,0)),"MISSING ID")</x:f>
        <x:v>Crafting component</x:v>
      </x:c>
      <x:c r="D461" s="4" t="str">
        <x:f>IFERROR(INDEX(Items!$C$6:$C$1005,MATCH(A461,Items!$A$6:$A$1005,0)),"MISSING ID")</x:f>
        <x:v>T3</x:v>
      </x:c>
      <x:c r="E461" s="4" t="str">
        <x:v>Manufactured stock / part</x:v>
      </x:c>
      <x:c r="F461" s="14" t="n">
        <x:f>IFERROR(INDEX(Items!$AJ$6:$AJ$1005,MATCH(A461,Items!$A$6:$A$1005,0)),"MISSING ID")</x:f>
        <x:v>1</x:v>
      </x:c>
      <x:c r="G461" s="4" t="str">
        <x:v>Traced to cataloged T0 and/or recovered feeds</x:v>
      </x:c>
      <x:c r="H461" s="4" t="str">
        <x:v>Husk-sheet cutting shears, pressure fixtures and dedicated preparation surfaces. Very low hide/fur yield; no ordinary cloth or plant inputs.</x:v>
      </x:c>
      <x:c r="I461" s="4" t="str">
        <x:v>Candidate path traced</x:v>
      </x:c>
      <x:c r="J461" s="4" t="str">
        <x:v>Dimensions, grade, process qualification, quantity and yield remain open.</x:v>
      </x:c>
    </x:row>
    <x:row r="462" ht="115" customHeight="1">
      <x:c r="A462" s="4" t="str">
        <x:v>proposal.t3.husk_joint</x:v>
      </x:c>
      <x:c r="B462" s="4" t="str">
        <x:f>IFERROR(INDEX(Items!$B$6:$B$1005,MATCH(A462,Items!$A$6:$A$1005,0)),"MISSING ID")</x:f>
        <x:v>Flexible husk joint strips</x:v>
      </x:c>
      <x:c r="C462" s="4" t="str">
        <x:f>IFERROR(INDEX(Items!$X$6:$X$1005,MATCH(A462,Items!$A$6:$A$1005,0)),"MISSING ID")</x:f>
        <x:v>Processed material</x:v>
      </x:c>
      <x:c r="D462" s="4" t="str">
        <x:f>IFERROR(INDEX(Items!$C$6:$C$1005,MATCH(A462,Items!$A$6:$A$1005,0)),"MISSING ID")</x:f>
        <x:v>T3</x:v>
      </x:c>
      <x:c r="E462" s="4" t="str">
        <x:v>Manufactured stock / part</x:v>
      </x:c>
      <x:c r="F462" s="14" t="n">
        <x:f>IFERROR(INDEX(Items!$AJ$6:$AJ$1005,MATCH(A462,Items!$A$6:$A$1005,0)),"MISSING ID")</x:f>
        <x:v>1</x:v>
      </x:c>
      <x:c r="G462" s="4" t="str">
        <x:v>Traced to cataloged T0 and/or recovered feeds</x:v>
      </x:c>
      <x:c r="H462" s="4" t="str">
        <x:v>Husk-sheet cutting shears, pressure fixtures and dedicated preparation surfaces. Very low hide/fur yield; no ordinary cloth or plant inputs.</x:v>
      </x:c>
      <x:c r="I462" s="4" t="str">
        <x:v>Candidate path traced</x:v>
      </x:c>
      <x:c r="J462" s="4" t="str">
        <x:v>Dimensions, grade, process qualification, quantity and yield remain open.</x:v>
      </x:c>
    </x:row>
    <x:row r="463" ht="115" customHeight="1">
      <x:c r="A463" s="4" t="str">
        <x:v>proposal.t3.abrasive_stock</x:v>
      </x:c>
      <x:c r="B463" s="4" t="str">
        <x:f>IFERROR(INDEX(Items!$B$6:$B$1005,MATCH(A463,Items!$A$6:$A$1005,0)),"MISSING ID")</x:f>
        <x:v>Bonded abrasive-faced stock</x:v>
      </x:c>
      <x:c r="C463" s="4" t="str">
        <x:f>IFERROR(INDEX(Items!$X$6:$X$1005,MATCH(A463,Items!$A$6:$A$1005,0)),"MISSING ID")</x:f>
        <x:v>Processed material</x:v>
      </x:c>
      <x:c r="D463" s="4" t="str">
        <x:f>IFERROR(INDEX(Items!$C$6:$C$1005,MATCH(A463,Items!$A$6:$A$1005,0)),"MISSING ID")</x:f>
        <x:v>T3</x:v>
      </x:c>
      <x:c r="E463" s="4" t="str">
        <x:v>Manufactured stock / part</x:v>
      </x:c>
      <x:c r="F463" s="14" t="n">
        <x:f>IFERROR(INDEX(Items!$AJ$6:$AJ$1005,MATCH(A463,Items!$A$6:$A$1005,0)),"MISSING ID")</x:f>
        <x:v>1</x:v>
      </x:c>
      <x:c r="G463" s="4" t="str">
        <x:v>Traced to cataloged T0 and/or recovered feeds</x:v>
      </x:c>
      <x:c r="H463" s="4" t="str">
        <x:v>Forge hearth, Anvil, Forging hammer, Smithing tongs, Metalworking file and Hand-cranked metal drill as applicable. Existing workshop bootstrap and controlled heating/cooling required; no free-water quench assumed.</x:v>
      </x:c>
      <x:c r="I463" s="4" t="str">
        <x:v>Candidate path traced</x:v>
      </x:c>
      <x:c r="J463" s="4" t="str">
        <x:v>Dimensions, grade, process qualification, quantity and yield remain open.</x:v>
      </x:c>
    </x:row>
    <x:row r="464" ht="115" customHeight="1">
      <x:c r="A464" s="4" t="str">
        <x:v>proposal.t3.inlay_stock</x:v>
      </x:c>
      <x:c r="B464" s="4" t="str">
        <x:f>IFERROR(INDEX(Items!$B$6:$B$1005,MATCH(A464,Items!$A$6:$A$1005,0)),"MISSING ID")</x:f>
        <x:v>Gem-inlaid metal panel blanks</x:v>
      </x:c>
      <x:c r="C464" s="4" t="str">
        <x:f>IFERROR(INDEX(Items!$X$6:$X$1005,MATCH(A464,Items!$A$6:$A$1005,0)),"MISSING ID")</x:f>
        <x:v>Processed material</x:v>
      </x:c>
      <x:c r="D464" s="4" t="str">
        <x:f>IFERROR(INDEX(Items!$C$6:$C$1005,MATCH(A464,Items!$A$6:$A$1005,0)),"MISSING ID")</x:f>
        <x:v>T3</x:v>
      </x:c>
      <x:c r="E464" s="4" t="str">
        <x:v>Manufactured stock / part</x:v>
      </x:c>
      <x:c r="F464" s="14" t="n">
        <x:f>IFERROR(INDEX(Items!$AJ$6:$AJ$1005,MATCH(A464,Items!$A$6:$A$1005,0)),"MISSING ID")</x:f>
        <x:v>1</x:v>
      </x:c>
      <x:c r="G464" s="4" t="str">
        <x:v>Traced to cataloged T0 and/or recovered feeds</x:v>
      </x:c>
      <x:c r="H464" s="4" t="str">
        <x:v>Forge hearth, Anvil, Forging hammer, Smithing tongs, Metalworking file and Hand-cranked metal drill as applicable. Existing workshop bootstrap and controlled heating/cooling required; no free-water quench assumed.</x:v>
      </x:c>
      <x:c r="I464" s="4" t="str">
        <x:v>Candidate path traced</x:v>
      </x:c>
      <x:c r="J464" s="4" t="str">
        <x:v>Dimensions, grade, process qualification, quantity and yield remain open.</x:v>
      </x:c>
    </x:row>
    <x:row r="465" ht="115" customHeight="1">
      <x:c r="A465" s="4" t="str">
        <x:v>proposal.t3.tuned_insert</x:v>
      </x:c>
      <x:c r="B465" s="4" t="str">
        <x:f>IFERROR(INDEX(Items!$B$6:$B$1005,MATCH(A465,Items!$A$6:$A$1005,0)),"MISSING ID")</x:f>
        <x:v>Mounted tuned-stone inserts</x:v>
      </x:c>
      <x:c r="C465" s="4" t="str">
        <x:f>IFERROR(INDEX(Items!$X$6:$X$1005,MATCH(A465,Items!$A$6:$A$1005,0)),"MISSING ID")</x:f>
        <x:v>Crafting component</x:v>
      </x:c>
      <x:c r="D465" s="4" t="str">
        <x:f>IFERROR(INDEX(Items!$C$6:$C$1005,MATCH(A465,Items!$A$6:$A$1005,0)),"MISSING ID")</x:f>
        <x:v>T3</x:v>
      </x:c>
      <x:c r="E465" s="4" t="str">
        <x:v>Manufactured stock / part</x:v>
      </x:c>
      <x:c r="F465" s="14" t="n">
        <x:f>IFERROR(INDEX(Items!$AJ$6:$AJ$1005,MATCH(A465,Items!$A$6:$A$1005,0)),"MISSING ID")</x:f>
        <x:v>1</x:v>
      </x:c>
      <x:c r="G465" s="4" t="str">
        <x:v>Traced to cataloged T0 and/or recovered feeds</x:v>
      </x:c>
      <x:c r="H465" s="4" t="str">
        <x:v>Forge hearth, Anvil, Forging hammer, Smithing tongs, Metalworking file and Hand-cranked metal drill as applicable. Existing workshop bootstrap and controlled heating/cooling required; no free-water quench assumed.</x:v>
      </x:c>
      <x:c r="I465" s="4" t="str">
        <x:v>Candidate path traced</x:v>
      </x:c>
      <x:c r="J465" s="4" t="str">
        <x:v>Dimensions, grade, process qualification, quantity and yield remain open.</x:v>
      </x:c>
    </x:row>
    <x:row r="466" ht="115" customHeight="1">
      <x:c r="A466" s="4" t="str">
        <x:v>proposal.t3.hinged_shell</x:v>
      </x:c>
      <x:c r="B466" s="4" t="str">
        <x:f>IFERROR(INDEX(Items!$B$6:$B$1005,MATCH(A466,Items!$A$6:$A$1005,0)),"MISSING ID")</x:f>
        <x:v>Hinged shell-panel sets</x:v>
      </x:c>
      <x:c r="C466" s="4" t="str">
        <x:f>IFERROR(INDEX(Items!$X$6:$X$1005,MATCH(A466,Items!$A$6:$A$1005,0)),"MISSING ID")</x:f>
        <x:v>Crafting component</x:v>
      </x:c>
      <x:c r="D466" s="4" t="str">
        <x:f>IFERROR(INDEX(Items!$C$6:$C$1005,MATCH(A466,Items!$A$6:$A$1005,0)),"MISSING ID")</x:f>
        <x:v>T3</x:v>
      </x:c>
      <x:c r="E466" s="4" t="str">
        <x:v>Manufactured stock / part</x:v>
      </x:c>
      <x:c r="F466" s="14" t="n">
        <x:f>IFERROR(INDEX(Items!$AJ$6:$AJ$1005,MATCH(A466,Items!$A$6:$A$1005,0)),"MISSING ID")</x:f>
        <x:v>1</x:v>
      </x:c>
      <x:c r="G466" s="4" t="str">
        <x:v>Traced to cataloged T0 and/or recovered feeds</x:v>
      </x:c>
      <x:c r="H466" s="4" t="str">
        <x:v>Forge hearth, Anvil, Forging hammer, Smithing tongs, Metalworking file and Hand-cranked metal drill as applicable. Existing workshop bootstrap and controlled heating/cooling required; no free-water quench assumed.</x:v>
      </x:c>
      <x:c r="I466" s="4" t="str">
        <x:v>Candidate path traced</x:v>
      </x:c>
      <x:c r="J466" s="4" t="str">
        <x:v>Dimensions, grade, process qualification, quantity and yield remain open.</x:v>
      </x:c>
    </x:row>
    <x:row r="467" ht="115" customHeight="1">
      <x:c r="A467" s="4" t="str">
        <x:v>proposal.t3.lining_stock</x:v>
      </x:c>
      <x:c r="B467" s="4" t="str">
        <x:f>IFERROR(INDEX(Items!$B$6:$B$1005,MATCH(A467,Items!$A$6:$A$1005,0)),"MISSING ID")</x:f>
        <x:v>Bonded glass-ceramic lining stock</x:v>
      </x:c>
      <x:c r="C467" s="4" t="str">
        <x:f>IFERROR(INDEX(Items!$X$6:$X$1005,MATCH(A467,Items!$A$6:$A$1005,0)),"MISSING ID")</x:f>
        <x:v>Processed material</x:v>
      </x:c>
      <x:c r="D467" s="4" t="str">
        <x:f>IFERROR(INDEX(Items!$C$6:$C$1005,MATCH(A467,Items!$A$6:$A$1005,0)),"MISSING ID")</x:f>
        <x:v>T3</x:v>
      </x:c>
      <x:c r="E467" s="4" t="str">
        <x:v>Manufactured stock / part</x:v>
      </x:c>
      <x:c r="F467" s="14" t="n">
        <x:f>IFERROR(INDEX(Items!$AJ$6:$AJ$1005,MATCH(A467,Items!$A$6:$A$1005,0)),"MISSING ID")</x:f>
        <x:v>1</x:v>
      </x:c>
      <x:c r="G467" s="4" t="str">
        <x:v>Traced to cataloged T0 and/or recovered feeds</x:v>
      </x:c>
      <x:c r="H467" s="4" t="str">
        <x:v>Controlled-heating firing kiln or specialist glass hot-work station; Ceramic firing tray / Ceramic casting mold as applicable. Qualified power, heat and atmosphere required.</x:v>
      </x:c>
      <x:c r="I467" s="4" t="str">
        <x:v>Candidate path traced</x:v>
      </x:c>
      <x:c r="J467" s="4" t="str">
        <x:v>Dimensions, grade, process qualification, quantity and yield remain open.</x:v>
      </x:c>
    </x:row>
    <x:row r="468" ht="115" customHeight="1">
      <x:c r="A468" s="4" t="str">
        <x:v>proposal.t4.drive_cassette</x:v>
      </x:c>
      <x:c r="B468" s="4" t="str">
        <x:f>IFERROR(INDEX(Items!$B$6:$B$1005,MATCH(A468,Items!$A$6:$A$1005,0)),"MISSING ID")</x:f>
        <x:v>Matched mechanical drive cassette</x:v>
      </x:c>
      <x:c r="C468" s="4" t="str">
        <x:f>IFERROR(INDEX(Items!$X$6:$X$1005,MATCH(A468,Items!$A$6:$A$1005,0)),"MISSING ID")</x:f>
        <x:v>Crafting component</x:v>
      </x:c>
      <x:c r="D468" s="4" t="str">
        <x:f>IFERROR(INDEX(Items!$C$6:$C$1005,MATCH(A468,Items!$A$6:$A$1005,0)),"MISSING ID")</x:f>
        <x:v>T4</x:v>
      </x:c>
      <x:c r="E468" s="4" t="str">
        <x:v>Manufactured stock / part</x:v>
      </x:c>
      <x:c r="F468" s="14" t="n">
        <x:f>IFERROR(INDEX(Items!$AJ$6:$AJ$1005,MATCH(A468,Items!$A$6:$A$1005,0)),"MISSING ID")</x:f>
        <x:v>1</x:v>
      </x:c>
      <x:c r="G468" s="4" t="str">
        <x:v>Traced to cataloged T0 and/or recovered feeds</x:v>
      </x:c>
      <x:c r="H468" s="4" t="str">
        <x:v>Forge hearth, Anvil, Forging hammer, Smithing tongs, Metalworking file and Hand-cranked metal drill as applicable. Existing workshop bootstrap and controlled heating/cooling required; no free-water quench assumed.</x:v>
      </x:c>
      <x:c r="I468" s="4" t="str">
        <x:v>Candidate path traced</x:v>
      </x:c>
      <x:c r="J468" s="4" t="str">
        <x:v>Dimensions, grade, process qualification, quantity and yield remain open.</x:v>
      </x:c>
    </x:row>
    <x:row r="469" ht="115" customHeight="1">
      <x:c r="A469" s="4" t="str">
        <x:v>proposal.t4.bearing_cartridge</x:v>
      </x:c>
      <x:c r="B469" s="4" t="str">
        <x:f>IFERROR(INDEX(Items!$B$6:$B$1005,MATCH(A469,Items!$A$6:$A$1005,0)),"MISSING ID")</x:f>
        <x:v>Dust-excluding bearing cartridge</x:v>
      </x:c>
      <x:c r="C469" s="4" t="str">
        <x:f>IFERROR(INDEX(Items!$X$6:$X$1005,MATCH(A469,Items!$A$6:$A$1005,0)),"MISSING ID")</x:f>
        <x:v>Crafting component</x:v>
      </x:c>
      <x:c r="D469" s="4" t="str">
        <x:f>IFERROR(INDEX(Items!$C$6:$C$1005,MATCH(A469,Items!$A$6:$A$1005,0)),"MISSING ID")</x:f>
        <x:v>T4</x:v>
      </x:c>
      <x:c r="E469" s="4" t="str">
        <x:v>Manufactured stock / part</x:v>
      </x:c>
      <x:c r="F469" s="14" t="n">
        <x:f>IFERROR(INDEX(Items!$AJ$6:$AJ$1005,MATCH(A469,Items!$A$6:$A$1005,0)),"MISSING ID")</x:f>
        <x:v>1</x:v>
      </x:c>
      <x:c r="G469" s="4" t="str">
        <x:v>Traced to cataloged T0 and/or recovered feeds</x:v>
      </x:c>
      <x:c r="H469" s="4" t="str">
        <x:v>Forge hearth, Anvil, Forging hammer, Smithing tongs, Metalworking file and Hand-cranked metal drill as applicable. Existing workshop bootstrap and controlled heating/cooling required; no free-water quench assumed.</x:v>
      </x:c>
      <x:c r="I469" s="4" t="str">
        <x:v>Candidate path traced</x:v>
      </x:c>
      <x:c r="J469" s="4" t="str">
        <x:v>Dimensions, grade, process qualification, quantity and yield remain open.</x:v>
      </x:c>
    </x:row>
    <x:row r="470" ht="115" customHeight="1">
      <x:c r="A470" s="4" t="str">
        <x:v>proposal.t4.grounding_harness</x:v>
      </x:c>
      <x:c r="B470" s="4" t="str">
        <x:f>IFERROR(INDEX(Items!$B$6:$B$1005,MATCH(A470,Items!$A$6:$A$1005,0)),"MISSING ID")</x:f>
        <x:v>Terminated grounding harness</x:v>
      </x:c>
      <x:c r="C470" s="4" t="str">
        <x:f>IFERROR(INDEX(Items!$X$6:$X$1005,MATCH(A470,Items!$A$6:$A$1005,0)),"MISSING ID")</x:f>
        <x:v>Crafting component</x:v>
      </x:c>
      <x:c r="D470" s="4" t="str">
        <x:f>IFERROR(INDEX(Items!$C$6:$C$1005,MATCH(A470,Items!$A$6:$A$1005,0)),"MISSING ID")</x:f>
        <x:v>T4</x:v>
      </x:c>
      <x:c r="E470" s="4" t="str">
        <x:v>Manufactured stock / part</x:v>
      </x:c>
      <x:c r="F470" s="14" t="n">
        <x:f>IFERROR(INDEX(Items!$AJ$6:$AJ$1005,MATCH(A470,Items!$A$6:$A$1005,0)),"MISSING ID")</x:f>
        <x:v>1</x:v>
      </x:c>
      <x:c r="G470" s="4" t="str">
        <x:v>Traced to cataloged T0 and/or recovered feeds</x:v>
      </x:c>
      <x:c r="H470" s="4" t="str">
        <x:v>Forge hearth, Anvil, Forging hammer, Smithing tongs, Metalworking file and Hand-cranked metal drill as applicable. Existing workshop bootstrap and controlled heating/cooling required; no free-water quench assumed.</x:v>
      </x:c>
      <x:c r="I470" s="4" t="str">
        <x:v>Candidate path traced</x:v>
      </x:c>
      <x:c r="J470" s="4" t="str">
        <x:v>Dimensions, grade, process qualification, quantity and yield remain open.</x:v>
      </x:c>
    </x:row>
    <x:row r="471" ht="115" customHeight="1">
      <x:c r="A471" s="4" t="str">
        <x:v>proposal.t4.insulated_winding</x:v>
      </x:c>
      <x:c r="B471" s="4" t="str">
        <x:f>IFERROR(INDEX(Items!$B$6:$B$1005,MATCH(A471,Items!$A$6:$A$1005,0)),"MISSING ID")</x:f>
        <x:v>Insulated winding subassembly</x:v>
      </x:c>
      <x:c r="C471" s="4" t="str">
        <x:f>IFERROR(INDEX(Items!$X$6:$X$1005,MATCH(A471,Items!$A$6:$A$1005,0)),"MISSING ID")</x:f>
        <x:v>Crafting component</x:v>
      </x:c>
      <x:c r="D471" s="4" t="str">
        <x:f>IFERROR(INDEX(Items!$C$6:$C$1005,MATCH(A471,Items!$A$6:$A$1005,0)),"MISSING ID")</x:f>
        <x:v>T4</x:v>
      </x:c>
      <x:c r="E471" s="4" t="str">
        <x:v>Manufactured stock / part</x:v>
      </x:c>
      <x:c r="F471" s="14" t="n">
        <x:f>IFERROR(INDEX(Items!$AJ$6:$AJ$1005,MATCH(A471,Items!$A$6:$A$1005,0)),"MISSING ID")</x:f>
        <x:v>2</x:v>
      </x:c>
      <x:c r="G471" s="4" t="str">
        <x:v>Traced to cataloged T0 and/or recovered feeds</x:v>
      </x:c>
      <x:c r="H471" s="4" t="str">
        <x:v>Forge hearth, Anvil, Forging hammer, Smithing tongs, Metalworking file and Hand-cranked metal drill as applicable. Existing workshop bootstrap and controlled heating/cooling required; no free-water quench assumed.</x:v>
      </x:c>
      <x:c r="I471" s="4" t="str">
        <x:v>Candidate path traced</x:v>
      </x:c>
      <x:c r="J471" s="4" t="str">
        <x:v>Dimensions, grade, process qualification, quantity and yield remain open.</x:v>
      </x:c>
    </x:row>
    <x:row r="472" ht="115" customHeight="1">
      <x:c r="A472" s="4" t="str">
        <x:v>proposal.t4.radio_tuning</x:v>
      </x:c>
      <x:c r="B472" s="4" t="str">
        <x:f>IFERROR(INDEX(Items!$B$6:$B$1005,MATCH(A472,Items!$A$6:$A$1005,0)),"MISSING ID")</x:f>
        <x:v>Radio tuning support block</x:v>
      </x:c>
      <x:c r="C472" s="4" t="str">
        <x:f>IFERROR(INDEX(Items!$X$6:$X$1005,MATCH(A472,Items!$A$6:$A$1005,0)),"MISSING ID")</x:f>
        <x:v>Crafting component</x:v>
      </x:c>
      <x:c r="D472" s="4" t="str">
        <x:f>IFERROR(INDEX(Items!$C$6:$C$1005,MATCH(A472,Items!$A$6:$A$1005,0)),"MISSING ID")</x:f>
        <x:v>T4</x:v>
      </x:c>
      <x:c r="E472" s="4" t="str">
        <x:v>Manufactured stock / part</x:v>
      </x:c>
      <x:c r="F472" s="14" t="n">
        <x:f>IFERROR(INDEX(Items!$AJ$6:$AJ$1005,MATCH(A472,Items!$A$6:$A$1005,0)),"MISSING ID")</x:f>
        <x:v>1</x:v>
      </x:c>
      <x:c r="G472" s="4" t="str">
        <x:v>Traced to cataloged T0 and/or recovered feeds</x:v>
      </x:c>
      <x:c r="H472" s="4" t="str">
        <x:v>Forge hearth, Anvil, Forging hammer, Smithing tongs, Metalworking file and Hand-cranked metal drill as applicable. Existing workshop bootstrap and controlled heating/cooling required; no free-water quench assumed.</x:v>
      </x:c>
      <x:c r="I472" s="4" t="str">
        <x:v>Candidate path traced</x:v>
      </x:c>
      <x:c r="J472" s="4" t="str">
        <x:v>Dimensions, grade, process qualification, quantity and yield remain open.</x:v>
      </x:c>
    </x:row>
    <x:row r="473" ht="115" customHeight="1">
      <x:c r="A473" s="4" t="str">
        <x:v>proposal.t4.screened_chassis</x:v>
      </x:c>
      <x:c r="B473" s="4" t="str">
        <x:f>IFERROR(INDEX(Items!$B$6:$B$1005,MATCH(A473,Items!$A$6:$A$1005,0)),"MISSING ID")</x:f>
        <x:v>Screened radio chassis insert</x:v>
      </x:c>
      <x:c r="C473" s="4" t="str">
        <x:f>IFERROR(INDEX(Items!$X$6:$X$1005,MATCH(A473,Items!$A$6:$A$1005,0)),"MISSING ID")</x:f>
        <x:v>Crafting component</x:v>
      </x:c>
      <x:c r="D473" s="4" t="str">
        <x:f>IFERROR(INDEX(Items!$C$6:$C$1005,MATCH(A473,Items!$A$6:$A$1005,0)),"MISSING ID")</x:f>
        <x:v>T4</x:v>
      </x:c>
      <x:c r="E473" s="4" t="str">
        <x:v>Manufactured stock / part</x:v>
      </x:c>
      <x:c r="F473" s="14" t="n">
        <x:f>IFERROR(INDEX(Items!$AJ$6:$AJ$1005,MATCH(A473,Items!$A$6:$A$1005,0)),"MISSING ID")</x:f>
        <x:v>1</x:v>
      </x:c>
      <x:c r="G473" s="4" t="str">
        <x:v>Traced to cataloged T0 and/or recovered feeds</x:v>
      </x:c>
      <x:c r="H473" s="4" t="str">
        <x:v>Forge hearth, Anvil, Forging hammer, Smithing tongs, Metalworking file and Hand-cranked metal drill as applicable. Existing workshop bootstrap and controlled heating/cooling required; no free-water quench assumed.</x:v>
      </x:c>
      <x:c r="I473" s="4" t="str">
        <x:v>Candidate path traced</x:v>
      </x:c>
      <x:c r="J473" s="4" t="str">
        <x:v>Dimensions, grade, process qualification, quantity and yield remain open.</x:v>
      </x:c>
    </x:row>
    <x:row r="474" ht="115" customHeight="1">
      <x:c r="A474" s="4" t="str">
        <x:v>proposal.t4.electrical_bulkhead</x:v>
      </x:c>
      <x:c r="B474" s="4" t="str">
        <x:f>IFERROR(INDEX(Items!$B$6:$B$1005,MATCH(A474,Items!$A$6:$A$1005,0)),"MISSING ID")</x:f>
        <x:v>Sealed electrical bulkhead insert</x:v>
      </x:c>
      <x:c r="C474" s="4" t="str">
        <x:f>IFERROR(INDEX(Items!$X$6:$X$1005,MATCH(A474,Items!$A$6:$A$1005,0)),"MISSING ID")</x:f>
        <x:v>Crafting component</x:v>
      </x:c>
      <x:c r="D474" s="4" t="str">
        <x:f>IFERROR(INDEX(Items!$C$6:$C$1005,MATCH(A474,Items!$A$6:$A$1005,0)),"MISSING ID")</x:f>
        <x:v>T4</x:v>
      </x:c>
      <x:c r="E474" s="4" t="str">
        <x:v>Manufactured stock / part</x:v>
      </x:c>
      <x:c r="F474" s="14" t="n">
        <x:f>IFERROR(INDEX(Items!$AJ$6:$AJ$1005,MATCH(A474,Items!$A$6:$A$1005,0)),"MISSING ID")</x:f>
        <x:v>1</x:v>
      </x:c>
      <x:c r="G474" s="4" t="str">
        <x:v>Traced to cataloged T0 and/or recovered feeds</x:v>
      </x:c>
      <x:c r="H474" s="4" t="str">
        <x:v>Forge hearth, Anvil, Forging hammer, Smithing tongs, Metalworking file and Hand-cranked metal drill as applicable. Existing workshop bootstrap and controlled heating/cooling required; no free-water quench assumed.</x:v>
      </x:c>
      <x:c r="I474" s="4" t="str">
        <x:v>Candidate path traced</x:v>
      </x:c>
      <x:c r="J474" s="4" t="str">
        <x:v>Dimensions, grade, process qualification, quantity and yield remain open.</x:v>
      </x:c>
    </x:row>
    <x:row r="475" ht="115" customHeight="1">
      <x:c r="A475" s="4" t="str">
        <x:v>proposal.t4.contact_block</x:v>
      </x:c>
      <x:c r="B475" s="4" t="str">
        <x:f>IFERROR(INDEX(Items!$B$6:$B$1005,MATCH(A475,Items!$A$6:$A$1005,0)),"MISSING ID")</x:f>
        <x:v>Serviceable insulated contact block</x:v>
      </x:c>
      <x:c r="C475" s="4" t="str">
        <x:f>IFERROR(INDEX(Items!$X$6:$X$1005,MATCH(A475,Items!$A$6:$A$1005,0)),"MISSING ID")</x:f>
        <x:v>Crafting component</x:v>
      </x:c>
      <x:c r="D475" s="4" t="str">
        <x:f>IFERROR(INDEX(Items!$C$6:$C$1005,MATCH(A475,Items!$A$6:$A$1005,0)),"MISSING ID")</x:f>
        <x:v>T4</x:v>
      </x:c>
      <x:c r="E475" s="4" t="str">
        <x:v>Manufactured stock / part</x:v>
      </x:c>
      <x:c r="F475" s="14" t="n">
        <x:f>IFERROR(INDEX(Items!$AJ$6:$AJ$1005,MATCH(A475,Items!$A$6:$A$1005,0)),"MISSING ID")</x:f>
        <x:v>1</x:v>
      </x:c>
      <x:c r="G475" s="4" t="str">
        <x:v>Traced to cataloged T0 and/or recovered feeds</x:v>
      </x:c>
      <x:c r="H475" s="4" t="str">
        <x:v>Forge hearth, Anvil, Forging hammer, Smithing tongs, Metalworking file and Hand-cranked metal drill as applicable. Existing workshop bootstrap and controlled heating/cooling required; no free-water quench assumed.</x:v>
      </x:c>
      <x:c r="I475" s="4" t="str">
        <x:v>Candidate path traced</x:v>
      </x:c>
      <x:c r="J475" s="4" t="str">
        <x:v>Dimensions, grade, process qualification, quantity and yield remain open.</x:v>
      </x:c>
    </x:row>
    <x:row r="476" ht="115" customHeight="1">
      <x:c r="A476" s="4" t="str">
        <x:v>proposal.t4.articulated_guard</x:v>
      </x:c>
      <x:c r="B476" s="4" t="str">
        <x:f>IFERROR(INDEX(Items!$B$6:$B$1005,MATCH(A476,Items!$A$6:$A$1005,0)),"MISSING ID")</x:f>
        <x:v>Articulated guard-panel subassembly</x:v>
      </x:c>
      <x:c r="C476" s="4" t="str">
        <x:f>IFERROR(INDEX(Items!$X$6:$X$1005,MATCH(A476,Items!$A$6:$A$1005,0)),"MISSING ID")</x:f>
        <x:v>Crafting component</x:v>
      </x:c>
      <x:c r="D476" s="4" t="str">
        <x:f>IFERROR(INDEX(Items!$C$6:$C$1005,MATCH(A476,Items!$A$6:$A$1005,0)),"MISSING ID")</x:f>
        <x:v>T4</x:v>
      </x:c>
      <x:c r="E476" s="4" t="str">
        <x:v>Manufactured stock / part</x:v>
      </x:c>
      <x:c r="F476" s="14" t="n">
        <x:f>IFERROR(INDEX(Items!$AJ$6:$AJ$1005,MATCH(A476,Items!$A$6:$A$1005,0)),"MISSING ID")</x:f>
        <x:v>1</x:v>
      </x:c>
      <x:c r="G476" s="4" t="str">
        <x:v>Traced to cataloged T0 and/or recovered feeds</x:v>
      </x:c>
      <x:c r="H476" s="4" t="str">
        <x:v>Forge hearth, Anvil, Forging hammer, Smithing tongs, Metalworking file and Hand-cranked metal drill as applicable. Existing workshop bootstrap and controlled heating/cooling required; no free-water quench assumed.</x:v>
      </x:c>
      <x:c r="I476" s="4" t="str">
        <x:v>Candidate path traced</x:v>
      </x:c>
      <x:c r="J476" s="4" t="str">
        <x:v>Dimensions, grade, process qualification, quantity and yield remain open.</x:v>
      </x:c>
    </x:row>
    <x:row r="477" ht="115" customHeight="1">
      <x:c r="A477" s="4" t="str">
        <x:v>proposal.t4.valve_core</x:v>
      </x:c>
      <x:c r="B477" s="4" t="str">
        <x:f>IFERROR(INDEX(Items!$B$6:$B$1005,MATCH(A477,Items!$A$6:$A$1005,0)),"MISSING ID")</x:f>
        <x:v>Fitted canister valve-core assembly</x:v>
      </x:c>
      <x:c r="C477" s="4" t="str">
        <x:f>IFERROR(INDEX(Items!$X$6:$X$1005,MATCH(A477,Items!$A$6:$A$1005,0)),"MISSING ID")</x:f>
        <x:v>Crafting component</x:v>
      </x:c>
      <x:c r="D477" s="4" t="str">
        <x:f>IFERROR(INDEX(Items!$C$6:$C$1005,MATCH(A477,Items!$A$6:$A$1005,0)),"MISSING ID")</x:f>
        <x:v>T4</x:v>
      </x:c>
      <x:c r="E477" s="4" t="str">
        <x:v>Manufactured stock / part</x:v>
      </x:c>
      <x:c r="F477" s="14" t="n">
        <x:f>IFERROR(INDEX(Items!$AJ$6:$AJ$1005,MATCH(A477,Items!$A$6:$A$1005,0)),"MISSING ID")</x:f>
        <x:v>1</x:v>
      </x:c>
      <x:c r="G477" s="4" t="str">
        <x:v>Traced to cataloged T0 and/or recovered feeds</x:v>
      </x:c>
      <x:c r="H477" s="4" t="str">
        <x:v>Forge hearth, Anvil, Forging hammer, Smithing tongs, Metalworking file and Hand-cranked metal drill as applicable. Existing workshop bootstrap and controlled heating/cooling required; no free-water quench assumed.</x:v>
      </x:c>
      <x:c r="I477" s="4" t="str">
        <x:v>Candidate path traced</x:v>
      </x:c>
      <x:c r="J477" s="4" t="str">
        <x:v>Dimensions, grade, process qualification, quantity and yield remain open.</x:v>
      </x:c>
    </x:row>
    <x:row r="478" ht="115" customHeight="1">
      <x:c r="A478" s="4" t="str">
        <x:v>proposal.t4.seal_carrier</x:v>
      </x:c>
      <x:c r="B478" s="4" t="str">
        <x:f>IFERROR(INDEX(Items!$B$6:$B$1005,MATCH(A478,Items!$A$6:$A$1005,0)),"MISSING ID")</x:f>
        <x:v>Replaceable seal-carrier assembly</x:v>
      </x:c>
      <x:c r="C478" s="4" t="str">
        <x:f>IFERROR(INDEX(Items!$X$6:$X$1005,MATCH(A478,Items!$A$6:$A$1005,0)),"MISSING ID")</x:f>
        <x:v>Crafting component</x:v>
      </x:c>
      <x:c r="D478" s="4" t="str">
        <x:f>IFERROR(INDEX(Items!$C$6:$C$1005,MATCH(A478,Items!$A$6:$A$1005,0)),"MISSING ID")</x:f>
        <x:v>T4</x:v>
      </x:c>
      <x:c r="E478" s="4" t="str">
        <x:v>Manufactured stock / part</x:v>
      </x:c>
      <x:c r="F478" s="14" t="n">
        <x:f>IFERROR(INDEX(Items!$AJ$6:$AJ$1005,MATCH(A478,Items!$A$6:$A$1005,0)),"MISSING ID")</x:f>
        <x:v>1</x:v>
      </x:c>
      <x:c r="G478" s="4" t="str">
        <x:v>Traced to cataloged T0 and/or recovered feeds</x:v>
      </x:c>
      <x:c r="H478" s="4" t="str">
        <x:v>Forge hearth, Anvil, Forging hammer, Smithing tongs, Metalworking file and Hand-cranked metal drill as applicable. Existing workshop bootstrap and controlled heating/cooling required; no free-water quench assumed.</x:v>
      </x:c>
      <x:c r="I478" s="4" t="str">
        <x:v>Candidate path traced</x:v>
      </x:c>
      <x:c r="J478" s="4" t="str">
        <x:v>Dimensions, grade, process qualification, quantity and yield remain open.</x:v>
      </x:c>
    </x:row>
    <x:row r="479" ht="115" customHeight="1">
      <x:c r="A479" s="4" t="str">
        <x:v>proposal.t4.spar_joint</x:v>
      </x:c>
      <x:c r="B479" s="4" t="str">
        <x:f>IFERROR(INDEX(Items!$B$6:$B$1005,MATCH(A479,Items!$A$6:$A$1005,0)),"MISSING ID")</x:f>
        <x:v>Collapsible sail-spar joint kit</x:v>
      </x:c>
      <x:c r="C479" s="4" t="str">
        <x:f>IFERROR(INDEX(Items!$X$6:$X$1005,MATCH(A479,Items!$A$6:$A$1005,0)),"MISSING ID")</x:f>
        <x:v>Crafting component</x:v>
      </x:c>
      <x:c r="D479" s="4" t="str">
        <x:f>IFERROR(INDEX(Items!$C$6:$C$1005,MATCH(A479,Items!$A$6:$A$1005,0)),"MISSING ID")</x:f>
        <x:v>T4</x:v>
      </x:c>
      <x:c r="E479" s="4" t="str">
        <x:v>Manufactured stock / part</x:v>
      </x:c>
      <x:c r="F479" s="14" t="n">
        <x:f>IFERROR(INDEX(Items!$AJ$6:$AJ$1005,MATCH(A479,Items!$A$6:$A$1005,0)),"MISSING ID")</x:f>
        <x:v>1</x:v>
      </x:c>
      <x:c r="G479" s="4" t="str">
        <x:v>Traced to cataloged T0 and/or recovered feeds</x:v>
      </x:c>
      <x:c r="H479" s="4" t="str">
        <x:v>Forge hearth, Anvil, Forging hammer, Smithing tongs, Metalworking file and Hand-cranked metal drill as applicable. Existing workshop bootstrap and controlled heating/cooling required; no free-water quench assumed.</x:v>
      </x:c>
      <x:c r="I479" s="4" t="str">
        <x:v>Candidate path traced</x:v>
      </x:c>
      <x:c r="J479" s="4" t="str">
        <x:v>Dimensions, grade, process qualification, quantity and yield remain open.</x:v>
      </x:c>
    </x:row>
    <x:row r="480" ht="115" customHeight="1">
      <x:c r="A480" s="4" t="str">
        <x:v>proposal.t4.joined_wing_panels</x:v>
      </x:c>
      <x:c r="B480" s="4" t="str">
        <x:f>IFERROR(INDEX(Items!$B$6:$B$1005,MATCH(A480,Items!$A$6:$A$1005,0)),"MISSING ID")</x:f>
        <x:v>Joined folding wing-panel assembly</x:v>
      </x:c>
      <x:c r="C480" s="4" t="str">
        <x:f>IFERROR(INDEX(Items!$X$6:$X$1005,MATCH(A480,Items!$A$6:$A$1005,0)),"MISSING ID")</x:f>
        <x:v>Crafting component</x:v>
      </x:c>
      <x:c r="D480" s="4" t="str">
        <x:f>IFERROR(INDEX(Items!$C$6:$C$1005,MATCH(A480,Items!$A$6:$A$1005,0)),"MISSING ID")</x:f>
        <x:v>T4</x:v>
      </x:c>
      <x:c r="E480" s="4" t="str">
        <x:v>Manufactured stock / part</x:v>
      </x:c>
      <x:c r="F480" s="14" t="n">
        <x:f>IFERROR(INDEX(Items!$AJ$6:$AJ$1005,MATCH(A480,Items!$A$6:$A$1005,0)),"MISSING ID")</x:f>
        <x:v>1</x:v>
      </x:c>
      <x:c r="G480" s="4" t="str">
        <x:v>Traced to cataloged T0 and/or recovered feeds</x:v>
      </x:c>
      <x:c r="H480" s="4" t="str">
        <x:v>Forge hearth, Anvil, Forging hammer, Smithing tongs, Metalworking file and Hand-cranked metal drill as applicable. Existing workshop bootstrap and controlled heating/cooling required; no free-water quench assumed.</x:v>
      </x:c>
      <x:c r="I480" s="4" t="str">
        <x:v>Candidate path traced</x:v>
      </x:c>
      <x:c r="J480" s="4" t="str">
        <x:v>Dimensions, grade, process qualification, quantity and yield remain open.</x:v>
      </x:c>
    </x:row>
    <x:row r="481" ht="115" customHeight="1">
      <x:c r="A481" s="4" t="str">
        <x:v>proposal.t4.turbine_hub</x:v>
      </x:c>
      <x:c r="B481" s="4" t="str">
        <x:f>IFERROR(INDEX(Items!$B$6:$B$1005,MATCH(A481,Items!$A$6:$A$1005,0)),"MISSING ID")</x:f>
        <x:v>Matched wind-turbine hub core</x:v>
      </x:c>
      <x:c r="C481" s="4" t="str">
        <x:f>IFERROR(INDEX(Items!$X$6:$X$1005,MATCH(A481,Items!$A$6:$A$1005,0)),"MISSING ID")</x:f>
        <x:v>Crafting component</x:v>
      </x:c>
      <x:c r="D481" s="4" t="str">
        <x:f>IFERROR(INDEX(Items!$C$6:$C$1005,MATCH(A481,Items!$A$6:$A$1005,0)),"MISSING ID")</x:f>
        <x:v>T4</x:v>
      </x:c>
      <x:c r="E481" s="4" t="str">
        <x:v>Manufactured stock / part</x:v>
      </x:c>
      <x:c r="F481" s="14" t="n">
        <x:f>IFERROR(INDEX(Items!$AJ$6:$AJ$1005,MATCH(A481,Items!$A$6:$A$1005,0)),"MISSING ID")</x:f>
        <x:v>1</x:v>
      </x:c>
      <x:c r="G481" s="4" t="str">
        <x:v>Traced to cataloged T0 and/or recovered feeds</x:v>
      </x:c>
      <x:c r="H481" s="4" t="str">
        <x:v>Forge hearth, Anvil, Forging hammer, Smithing tongs, Metalworking file and Hand-cranked metal drill as applicable. Existing workshop bootstrap and controlled heating/cooling required; no free-water quench assumed.</x:v>
      </x:c>
      <x:c r="I481" s="4" t="str">
        <x:v>Candidate path traced</x:v>
      </x:c>
      <x:c r="J481" s="4" t="str">
        <x:v>Dimensions, grade, process qualification, quantity and yield remain open.</x:v>
      </x:c>
    </x:row>
    <x:row r="482" ht="115" customHeight="1">
      <x:c r="A482" s="4" t="str">
        <x:v>proposal.t4.wheel_hub</x:v>
      </x:c>
      <x:c r="B482" s="4" t="str">
        <x:f>IFERROR(INDEX(Items!$B$6:$B$1005,MATCH(A482,Items!$A$6:$A$1005,0)),"MISSING ID")</x:f>
        <x:v>Dirtboard wheel-hub core</x:v>
      </x:c>
      <x:c r="C482" s="4" t="str">
        <x:f>IFERROR(INDEX(Items!$X$6:$X$1005,MATCH(A482,Items!$A$6:$A$1005,0)),"MISSING ID")</x:f>
        <x:v>Crafting component</x:v>
      </x:c>
      <x:c r="D482" s="4" t="str">
        <x:f>IFERROR(INDEX(Items!$C$6:$C$1005,MATCH(A482,Items!$A$6:$A$1005,0)),"MISSING ID")</x:f>
        <x:v>T4</x:v>
      </x:c>
      <x:c r="E482" s="4" t="str">
        <x:v>Manufactured stock / part</x:v>
      </x:c>
      <x:c r="F482" s="14" t="n">
        <x:f>IFERROR(INDEX(Items!$AJ$6:$AJ$1005,MATCH(A482,Items!$A$6:$A$1005,0)),"MISSING ID")</x:f>
        <x:v>1</x:v>
      </x:c>
      <x:c r="G482" s="4" t="str">
        <x:v>Traced to cataloged T0 and/or recovered feeds</x:v>
      </x:c>
      <x:c r="H482" s="4" t="str">
        <x:v>Forge hearth, Anvil, Forging hammer, Smithing tongs, Metalworking file and Hand-cranked metal drill as applicable. Existing workshop bootstrap and controlled heating/cooling required; no free-water quench assumed.</x:v>
      </x:c>
      <x:c r="I482" s="4" t="str">
        <x:v>Candidate path traced</x:v>
      </x:c>
      <x:c r="J482" s="4" t="str">
        <x:v>Dimensions, grade, process qualification, quantity and yield remain open.</x:v>
      </x:c>
    </x:row>
    <x:row r="483" ht="115" customHeight="1">
      <x:c r="A483" s="4" t="str">
        <x:v>proposal.t4.vessel_liner</x:v>
      </x:c>
      <x:c r="B483" s="4" t="str">
        <x:f>IFERROR(INDEX(Items!$B$6:$B$1005,MATCH(A483,Items!$A$6:$A$1005,0)),"MISSING ID")</x:f>
        <x:v>Fitted chemical-vessel liner insert</x:v>
      </x:c>
      <x:c r="C483" s="4" t="str">
        <x:f>IFERROR(INDEX(Items!$X$6:$X$1005,MATCH(A483,Items!$A$6:$A$1005,0)),"MISSING ID")</x:f>
        <x:v>Crafting component</x:v>
      </x:c>
      <x:c r="D483" s="4" t="str">
        <x:f>IFERROR(INDEX(Items!$C$6:$C$1005,MATCH(A483,Items!$A$6:$A$1005,0)),"MISSING ID")</x:f>
        <x:v>T4</x:v>
      </x:c>
      <x:c r="E483" s="4" t="str">
        <x:v>Manufactured stock / part</x:v>
      </x:c>
      <x:c r="F483" s="14" t="n">
        <x:f>IFERROR(INDEX(Items!$AJ$6:$AJ$1005,MATCH(A483,Items!$A$6:$A$1005,0)),"MISSING ID")</x:f>
        <x:v>1</x:v>
      </x:c>
      <x:c r="G483" s="4" t="str">
        <x:v>Traced to cataloged T0 and/or recovered feeds</x:v>
      </x:c>
      <x:c r="H483" s="4" t="str">
        <x:v>Forge hearth, Anvil, Forging hammer, Smithing tongs, Metalworking file and Hand-cranked metal drill as applicable. Existing workshop bootstrap and controlled heating/cooling required; no free-water quench assumed.</x:v>
      </x:c>
      <x:c r="I483" s="4" t="str">
        <x:v>Candidate path traced</x:v>
      </x:c>
      <x:c r="J483" s="4" t="str">
        <x:v>Dimensions, grade, process qualification, quantity and yield remain open.</x:v>
      </x:c>
    </x:row>
    <x:row r="484" ht="115" customHeight="1">
      <x:c r="A484" s="4" t="str">
        <x:v>proposal.t4.grinding_head</x:v>
      </x:c>
      <x:c r="B484" s="4" t="str">
        <x:f>IFERROR(INDEX(Items!$B$6:$B$1005,MATCH(A484,Items!$A$6:$A$1005,0)),"MISSING ID")</x:f>
        <x:v>Replaceable abrasive-head assembly</x:v>
      </x:c>
      <x:c r="C484" s="4" t="str">
        <x:f>IFERROR(INDEX(Items!$X$6:$X$1005,MATCH(A484,Items!$A$6:$A$1005,0)),"MISSING ID")</x:f>
        <x:v>Crafting component</x:v>
      </x:c>
      <x:c r="D484" s="4" t="str">
        <x:f>IFERROR(INDEX(Items!$C$6:$C$1005,MATCH(A484,Items!$A$6:$A$1005,0)),"MISSING ID")</x:f>
        <x:v>T4</x:v>
      </x:c>
      <x:c r="E484" s="4" t="str">
        <x:v>Manufactured stock / part</x:v>
      </x:c>
      <x:c r="F484" s="14" t="n">
        <x:f>IFERROR(INDEX(Items!$AJ$6:$AJ$1005,MATCH(A484,Items!$A$6:$A$1005,0)),"MISSING ID")</x:f>
        <x:v>1</x:v>
      </x:c>
      <x:c r="G484" s="4" t="str">
        <x:v>Traced to cataloged T0 and/or recovered feeds</x:v>
      </x:c>
      <x:c r="H484" s="4" t="str">
        <x:v>Forge hearth, Anvil, Forging hammer, Smithing tongs, Metalworking file and Hand-cranked metal drill as applicable. Existing workshop bootstrap and controlled heating/cooling required; no free-water quench assumed.</x:v>
      </x:c>
      <x:c r="I484" s="4" t="str">
        <x:v>Candidate path traced</x:v>
      </x:c>
      <x:c r="J484" s="4" t="str">
        <x:v>Dimensions, grade, process qualification, quantity and yield remain open.</x:v>
      </x:c>
    </x:row>
    <x:row r="485" ht="115" customHeight="1">
      <x:c r="A485" s="4" t="str">
        <x:v>proposal.t4.insulating_board</x:v>
      </x:c>
      <x:c r="B485" s="4" t="str">
        <x:f>IFERROR(INDEX(Items!$B$6:$B$1005,MATCH(A485,Items!$A$6:$A$1005,0)),"MISSING ID")</x:f>
        <x:v>Pressed mineral-husk insulating board</x:v>
      </x:c>
      <x:c r="C485" s="4" t="str">
        <x:f>IFERROR(INDEX(Items!$X$6:$X$1005,MATCH(A485,Items!$A$6:$A$1005,0)),"MISSING ID")</x:f>
        <x:v>Processed material</x:v>
      </x:c>
      <x:c r="D485" s="4" t="str">
        <x:f>IFERROR(INDEX(Items!$C$6:$C$1005,MATCH(A485,Items!$A$6:$A$1005,0)),"MISSING ID")</x:f>
        <x:v>T4</x:v>
      </x:c>
      <x:c r="E485" s="4" t="str">
        <x:v>Manufactured stock / part</x:v>
      </x:c>
      <x:c r="F485" s="14" t="n">
        <x:f>IFERROR(INDEX(Items!$AJ$6:$AJ$1005,MATCH(A485,Items!$A$6:$A$1005,0)),"MISSING ID")</x:f>
        <x:v>1</x:v>
      </x:c>
      <x:c r="G485" s="4" t="str">
        <x:v>Traced to cataloged T0 and/or recovered feeds</x:v>
      </x:c>
      <x:c r="H485" s="4" t="str">
        <x:v>Forge hearth, Anvil, Forging hammer, Smithing tongs, Metalworking file and Hand-cranked metal drill as applicable. Existing workshop bootstrap and controlled heating/cooling required; no free-water quench assumed.</x:v>
      </x:c>
      <x:c r="I485" s="4" t="str">
        <x:v>Candidate path traced</x:v>
      </x:c>
      <x:c r="J485" s="4" t="str">
        <x:v>Dimensions, grade, process qualification, quantity and yield remain open.</x:v>
      </x:c>
    </x:row>
    <x:row r="486" ht="115" customHeight="1">
      <x:c r="A486" s="4" t="str">
        <x:v>proposal.t4.decorative_veneer</x:v>
      </x:c>
      <x:c r="B486" s="4" t="str">
        <x:f>IFERROR(INDEX(Items!$B$6:$B$1005,MATCH(A486,Items!$A$6:$A$1005,0)),"MISSING ID")</x:f>
        <x:v>Layered ceremonial inlay stock</x:v>
      </x:c>
      <x:c r="C486" s="4" t="str">
        <x:f>IFERROR(INDEX(Items!$X$6:$X$1005,MATCH(A486,Items!$A$6:$A$1005,0)),"MISSING ID")</x:f>
        <x:v>Processed material</x:v>
      </x:c>
      <x:c r="D486" s="4" t="str">
        <x:f>IFERROR(INDEX(Items!$C$6:$C$1005,MATCH(A486,Items!$A$6:$A$1005,0)),"MISSING ID")</x:f>
        <x:v>T4</x:v>
      </x:c>
      <x:c r="E486" s="4" t="str">
        <x:v>Manufactured stock / part</x:v>
      </x:c>
      <x:c r="F486" s="14" t="n">
        <x:f>IFERROR(INDEX(Items!$AJ$6:$AJ$1005,MATCH(A486,Items!$A$6:$A$1005,0)),"MISSING ID")</x:f>
        <x:v>1</x:v>
      </x:c>
      <x:c r="G486" s="4" t="str">
        <x:v>Traced to cataloged T0 and/or recovered feeds</x:v>
      </x:c>
      <x:c r="H486" s="4" t="str">
        <x:v>Forge hearth, Anvil, Forging hammer, Smithing tongs, Metalworking file and Hand-cranked metal drill as applicable. Existing workshop bootstrap and controlled heating/cooling required; no free-water quench assumed.</x:v>
      </x:c>
      <x:c r="I486" s="4" t="str">
        <x:v>Candidate path traced</x:v>
      </x:c>
      <x:c r="J486" s="4" t="str">
        <x:v>Dimensions, grade, process qualification, quantity and yield remain open.</x:v>
      </x:c>
    </x:row>
    <x:row r="487" ht="115" customHeight="1">
      <x:c r="A487" s="4" t="str">
        <x:v>proposal.t4.acoustic_cassette</x:v>
      </x:c>
      <x:c r="B487" s="4" t="str">
        <x:f>IFERROR(INDEX(Items!$B$6:$B$1005,MATCH(A487,Items!$A$6:$A$1005,0)),"MISSING ID")</x:f>
        <x:v>Matched stone-resonator cassette</x:v>
      </x:c>
      <x:c r="C487" s="4" t="str">
        <x:f>IFERROR(INDEX(Items!$X$6:$X$1005,MATCH(A487,Items!$A$6:$A$1005,0)),"MISSING ID")</x:f>
        <x:v>Crafting component</x:v>
      </x:c>
      <x:c r="D487" s="4" t="str">
        <x:f>IFERROR(INDEX(Items!$C$6:$C$1005,MATCH(A487,Items!$A$6:$A$1005,0)),"MISSING ID")</x:f>
        <x:v>T4</x:v>
      </x:c>
      <x:c r="E487" s="4" t="str">
        <x:v>Manufactured stock / part</x:v>
      </x:c>
      <x:c r="F487" s="14" t="n">
        <x:f>IFERROR(INDEX(Items!$AJ$6:$AJ$1005,MATCH(A487,Items!$A$6:$A$1005,0)),"MISSING ID")</x:f>
        <x:v>1</x:v>
      </x:c>
      <x:c r="G487" s="4" t="str">
        <x:v>Traced to cataloged T0 and/or recovered feeds</x:v>
      </x:c>
      <x:c r="H487" s="4" t="str">
        <x:v>Forge hearth, Anvil, Forging hammer, Smithing tongs, Metalworking file and Hand-cranked metal drill as applicable. Existing workshop bootstrap and controlled heating/cooling required; no free-water quench assumed.</x:v>
      </x:c>
      <x:c r="I487" s="4" t="str">
        <x:v>Candidate path traced</x:v>
      </x:c>
      <x:c r="J487" s="4" t="str">
        <x:v>Dimensions, grade, process qualification, quantity and yield remain open.</x:v>
      </x:c>
    </x:row>
    <x:row r="488" ht="115" customHeight="1">
      <x:c r="A488" s="4" t="str">
        <x:v>proposal.review.oxide_reactive_fraction</x:v>
      </x:c>
      <x:c r="B488" s="4" t="str">
        <x:f>IFERROR(INDEX(Items!$B$6:$B$1005,MATCH(A488,Items!$A$6:$A$1005,0)),"MISSING ID")</x:f>
        <x:v>Selected oxide-reactive faunal fraction</x:v>
      </x:c>
      <x:c r="C488" s="4" t="str">
        <x:f>IFERROR(INDEX(Items!$X$6:$X$1005,MATCH(A488,Items!$A$6:$A$1005,0)),"MISSING ID")</x:f>
        <x:v>Chemical material</x:v>
      </x:c>
      <x:c r="D488" s="4" t="str">
        <x:f>IFERROR(INDEX(Items!$C$6:$C$1005,MATCH(A488,Items!$A$6:$A$1005,0)),"MISSING ID")</x:f>
        <x:v>T1</x:v>
      </x:c>
      <x:c r="E488" s="4" t="str">
        <x:v>Manufactured stock / part</x:v>
      </x:c>
      <x:c r="F488" s="14" t="n">
        <x:f>IFERROR(INDEX(Items!$AJ$6:$AJ$1005,MATCH(A488,Items!$A$6:$A$1005,0)),"MISSING ID")</x:f>
        <x:v>1</x:v>
      </x:c>
      <x:c r="G488" s="4" t="str">
        <x:v>Traced to cataloged T0 and/or recovered feeds</x:v>
      </x:c>
      <x:c r="H488" s="4" t="str">
        <x:v>Specialist engineering workshop; insulation, pressure or control qualification as applicable. Power/working medium and operating theory unresolved.</x:v>
      </x:c>
      <x:c r="I488" s="4" t="str">
        <x:v>Research / source gated</x:v>
      </x:c>
      <x:c r="J488" s="4" t="str">
        <x:v>Selected oxide-reactive faunal fraction. Reagent identity, contained carrier, reaction/selectivity, compatibility and process yield require qualification.</x:v>
      </x:c>
    </x:row>
    <x:row r="489" ht="115" customHeight="1">
      <x:c r="A489" s="4" t="str">
        <x:v>proposal.lore.young_growth</x:v>
      </x:c>
      <x:c r="B489" s="4" t="str">
        <x:f>IFERROR(INDEX(Items!$B$6:$B$1005,MATCH(A489,Items!$A$6:$A$1005,0)),"MISSING ID")</x:f>
        <x:v>Young surface Iron Growth fragments</x:v>
      </x:c>
      <x:c r="C489" s="4" t="str">
        <x:f>IFERROR(INDEX(Items!$X$6:$X$1005,MATCH(A489,Items!$A$6:$A$1005,0)),"MISSING ID")</x:f>
        <x:v>Raw material</x:v>
      </x:c>
      <x:c r="D489" s="4" t="str">
        <x:f>IFERROR(INDEX(Items!$C$6:$C$1005,MATCH(A489,Items!$A$6:$A$1005,0)),"MISSING ID")</x:f>
        <x:v>T0</x:v>
      </x:c>
      <x:c r="E489" s="4" t="str">
        <x:v>Raw source</x:v>
      </x:c>
      <x:c r="F489" s="14" t="n">
        <x:f>IFERROR(INDEX(Items!$AJ$6:$AJ$1005,MATCH(A489,Items!$A$6:$A$1005,0)),"MISSING ID")</x:f>
        <x:v>0</x:v>
      </x:c>
      <x:c r="G489" s="4" t="str">
        <x:v>Source, recovery or issue route applies</x:v>
      </x:c>
      <x:c r="H489" s="4" t="str">
        <x:v>Not a selected manufacturing route</x:v>
      </x:c>
      <x:c r="I489" s="4" t="str">
        <x:v>Raw entry feed</x:v>
      </x:c>
      <x:c r="J489" s="4" t="str">
        <x:v>Source grade, collection, contamination and yield remain open.</x:v>
      </x:c>
    </x:row>
    <x:row r="490" ht="115" customHeight="1">
      <x:c r="A490" s="4" t="str">
        <x:v>proposal.lore.mature_growth</x:v>
      </x:c>
      <x:c r="B490" s="4" t="str">
        <x:f>IFERROR(INDEX(Items!$B$6:$B$1005,MATCH(A490,Items!$A$6:$A$1005,0)),"MISSING ID")</x:f>
        <x:v>Mature formation Iron Growth pieces</x:v>
      </x:c>
      <x:c r="C490" s="4" t="str">
        <x:f>IFERROR(INDEX(Items!$X$6:$X$1005,MATCH(A490,Items!$A$6:$A$1005,0)),"MISSING ID")</x:f>
        <x:v>Raw material</x:v>
      </x:c>
      <x:c r="D490" s="4" t="str">
        <x:f>IFERROR(INDEX(Items!$C$6:$C$1005,MATCH(A490,Items!$A$6:$A$1005,0)),"MISSING ID")</x:f>
        <x:v>T0</x:v>
      </x:c>
      <x:c r="E490" s="4" t="str">
        <x:v>Raw source</x:v>
      </x:c>
      <x:c r="F490" s="14" t="n">
        <x:f>IFERROR(INDEX(Items!$AJ$6:$AJ$1005,MATCH(A490,Items!$A$6:$A$1005,0)),"MISSING ID")</x:f>
        <x:v>0</x:v>
      </x:c>
      <x:c r="G490" s="4" t="str">
        <x:v>Source, recovery or issue route applies</x:v>
      </x:c>
      <x:c r="H490" s="4" t="str">
        <x:v>Not a selected manufacturing route</x:v>
      </x:c>
      <x:c r="I490" s="4" t="str">
        <x:v>Raw entry feed</x:v>
      </x:c>
      <x:c r="J490" s="4" t="str">
        <x:v>Source grade, collection, contamination and yield remain open.</x:v>
      </x:c>
    </x:row>
    <x:row r="491" ht="115" customHeight="1">
      <x:c r="A491" s="4" t="str">
        <x:v>proposal.lore.old_growth</x:v>
      </x:c>
      <x:c r="B491" s="4" t="str">
        <x:f>IFERROR(INDEX(Items!$B$6:$B$1005,MATCH(A491,Items!$A$6:$A$1005,0)),"MISSING ID")</x:f>
        <x:v>Old formation Iron Growth cores</x:v>
      </x:c>
      <x:c r="C491" s="4" t="str">
        <x:f>IFERROR(INDEX(Items!$X$6:$X$1005,MATCH(A491,Items!$A$6:$A$1005,0)),"MISSING ID")</x:f>
        <x:v>Raw material</x:v>
      </x:c>
      <x:c r="D491" s="4" t="str">
        <x:f>IFERROR(INDEX(Items!$C$6:$C$1005,MATCH(A491,Items!$A$6:$A$1005,0)),"MISSING ID")</x:f>
        <x:v>T0</x:v>
      </x:c>
      <x:c r="E491" s="4" t="str">
        <x:v>Raw source</x:v>
      </x:c>
      <x:c r="F491" s="14" t="n">
        <x:f>IFERROR(INDEX(Items!$AJ$6:$AJ$1005,MATCH(A491,Items!$A$6:$A$1005,0)),"MISSING ID")</x:f>
        <x:v>0</x:v>
      </x:c>
      <x:c r="G491" s="4" t="str">
        <x:v>Source, recovery or issue route applies</x:v>
      </x:c>
      <x:c r="H491" s="4" t="str">
        <x:v>Not a selected manufacturing route</x:v>
      </x:c>
      <x:c r="I491" s="4" t="str">
        <x:v>Raw entry feed</x:v>
      </x:c>
      <x:c r="J491" s="4" t="str">
        <x:v>Source grade, collection, contamination and yield remain open.</x:v>
      </x:c>
    </x:row>
    <x:row r="492" ht="115" customHeight="1">
      <x:c r="A492" s="4" t="str">
        <x:v>proposal.lore.ruin_growth</x:v>
      </x:c>
      <x:c r="B492" s="4" t="str">
        <x:f>IFERROR(INDEX(Items!$B$6:$B$1005,MATCH(A492,Items!$A$6:$A$1005,0)),"MISSING ID")</x:f>
        <x:v>Ruin-associated Iron Growth specimens</x:v>
      </x:c>
      <x:c r="C492" s="4" t="str">
        <x:f>IFERROR(INDEX(Items!$X$6:$X$1005,MATCH(A492,Items!$A$6:$A$1005,0)),"MISSING ID")</x:f>
        <x:v>Raw material</x:v>
      </x:c>
      <x:c r="D492" s="4" t="str">
        <x:f>IFERROR(INDEX(Items!$C$6:$C$1005,MATCH(A492,Items!$A$6:$A$1005,0)),"MISSING ID")</x:f>
        <x:v>T0</x:v>
      </x:c>
      <x:c r="E492" s="4" t="str">
        <x:v>Raw source</x:v>
      </x:c>
      <x:c r="F492" s="14" t="n">
        <x:f>IFERROR(INDEX(Items!$AJ$6:$AJ$1005,MATCH(A492,Items!$A$6:$A$1005,0)),"MISSING ID")</x:f>
        <x:v>0</x:v>
      </x:c>
      <x:c r="G492" s="4" t="str">
        <x:v>Source, recovery or issue route applies</x:v>
      </x:c>
      <x:c r="H492" s="4" t="str">
        <x:v>Not a selected manufacturing route</x:v>
      </x:c>
      <x:c r="I492" s="4" t="str">
        <x:v>Raw entry feed</x:v>
      </x:c>
      <x:c r="J492" s="4" t="str">
        <x:v>Source grade, collection, contamination and yield remain open.</x:v>
      </x:c>
    </x:row>
    <x:row r="493" ht="115" customHeight="1">
      <x:c r="A493" s="4" t="str">
        <x:v>proposal.lore.assayed_growth</x:v>
      </x:c>
      <x:c r="B493" s="4" t="str">
        <x:f>IFERROR(INDEX(Items!$B$6:$B$1005,MATCH(A493,Items!$A$6:$A$1005,0)),"MISSING ID")</x:f>
        <x:v>Assayed Iron Growth feedstock</x:v>
      </x:c>
      <x:c r="C493" s="4" t="str">
        <x:f>IFERROR(INDEX(Items!$X$6:$X$1005,MATCH(A493,Items!$A$6:$A$1005,0)),"MISSING ID")</x:f>
        <x:v>Processed material</x:v>
      </x:c>
      <x:c r="D493" s="4" t="str">
        <x:f>IFERROR(INDEX(Items!$C$6:$C$1005,MATCH(A493,Items!$A$6:$A$1005,0)),"MISSING ID")</x:f>
        <x:v>T1</x:v>
      </x:c>
      <x:c r="E493" s="4" t="str">
        <x:v>Manufactured stock / part</x:v>
      </x:c>
      <x:c r="F493" s="14" t="n">
        <x:f>IFERROR(INDEX(Items!$AJ$6:$AJ$1005,MATCH(A493,Items!$A$6:$A$1005,0)),"MISSING ID")</x:f>
        <x:v>1</x:v>
      </x:c>
      <x:c r="G493" s="4" t="str">
        <x:v>Traced to cataloged T0 and/or recovered feeds</x:v>
      </x:c>
      <x:c r="H493" s="4" t="str">
        <x:v>Forge hearth, Anvil, Forging hammer, Smithing tongs, Metalworking file and Hand-cranked metal drill as applicable. Existing workshop bootstrap and controlled heating/cooling required; no free-water quench assumed.</x:v>
      </x:c>
      <x:c r="I493" s="4" t="str">
        <x:v>Candidate path traced</x:v>
      </x:c>
      <x:c r="J493" s="4" t="str">
        <x:v>Dimensions, grade, process qualification, quantity and yield remain open.</x:v>
      </x:c>
    </x:row>
    <x:row r="494" ht="115" customHeight="1">
      <x:c r="A494" s="4" t="str">
        <x:v>proposal.lore.growth_alloy</x:v>
      </x:c>
      <x:c r="B494" s="4" t="str">
        <x:f>IFERROR(INDEX(Items!$B$6:$B$1005,MATCH(A494,Items!$A$6:$A$1005,0)),"MISSING ID")</x:f>
        <x:v>Canister-grade Growth alloy stock</x:v>
      </x:c>
      <x:c r="C494" s="4" t="str">
        <x:f>IFERROR(INDEX(Items!$X$6:$X$1005,MATCH(A494,Items!$A$6:$A$1005,0)),"MISSING ID")</x:f>
        <x:v>Processed material</x:v>
      </x:c>
      <x:c r="D494" s="4" t="str">
        <x:f>IFERROR(INDEX(Items!$C$6:$C$1005,MATCH(A494,Items!$A$6:$A$1005,0)),"MISSING ID")</x:f>
        <x:v>T2</x:v>
      </x:c>
      <x:c r="E494" s="4" t="str">
        <x:v>Manufactured stock / part</x:v>
      </x:c>
      <x:c r="F494" s="14" t="n">
        <x:f>IFERROR(INDEX(Items!$AJ$6:$AJ$1005,MATCH(A494,Items!$A$6:$A$1005,0)),"MISSING ID")</x:f>
        <x:v>1</x:v>
      </x:c>
      <x:c r="G494" s="4" t="str">
        <x:v>Traced to cataloged T0 and/or recovered feeds</x:v>
      </x:c>
      <x:c r="H494" s="4" t="str">
        <x:v>Forge hearth, Anvil, Forging hammer, Smithing tongs, Metalworking file and Hand-cranked metal drill as applicable. Existing workshop bootstrap and controlled heating/cooling required; no free-water quench assumed.</x:v>
      </x:c>
      <x:c r="I494" s="4" t="str">
        <x:v>Candidate path traced</x:v>
      </x:c>
      <x:c r="J494" s="4" t="str">
        <x:v>Dimensions, grade, process qualification, quantity and yield remain open.</x:v>
      </x:c>
    </x:row>
    <x:row r="495" ht="115" customHeight="1">
      <x:c r="A495" s="4" t="str">
        <x:v>proposal.lore.growth_seat_blank</x:v>
      </x:c>
      <x:c r="B495" s="4" t="str">
        <x:f>IFERROR(INDEX(Items!$B$6:$B$1005,MATCH(A495,Items!$A$6:$A$1005,0)),"MISSING ID")</x:f>
        <x:v>Growth-alloy seal-seat blanks</x:v>
      </x:c>
      <x:c r="C495" s="4" t="str">
        <x:f>IFERROR(INDEX(Items!$X$6:$X$1005,MATCH(A495,Items!$A$6:$A$1005,0)),"MISSING ID")</x:f>
        <x:v>Crafting component</x:v>
      </x:c>
      <x:c r="D495" s="4" t="str">
        <x:f>IFERROR(INDEX(Items!$C$6:$C$1005,MATCH(A495,Items!$A$6:$A$1005,0)),"MISSING ID")</x:f>
        <x:v>T3</x:v>
      </x:c>
      <x:c r="E495" s="4" t="str">
        <x:v>Manufactured stock / part</x:v>
      </x:c>
      <x:c r="F495" s="14" t="n">
        <x:f>IFERROR(INDEX(Items!$AJ$6:$AJ$1005,MATCH(A495,Items!$A$6:$A$1005,0)),"MISSING ID")</x:f>
        <x:v>1</x:v>
      </x:c>
      <x:c r="G495" s="4" t="str">
        <x:v>Traced to cataloged T0 and/or recovered feeds</x:v>
      </x:c>
      <x:c r="H495" s="4" t="str">
        <x:v>Forge hearth, Anvil, Forging hammer, Smithing tongs, Metalworking file and Hand-cranked metal drill as applicable. Existing workshop bootstrap and controlled heating/cooling required; no free-water quench assumed.</x:v>
      </x:c>
      <x:c r="I495" s="4" t="str">
        <x:v>Candidate path traced</x:v>
      </x:c>
      <x:c r="J495" s="4" t="str">
        <x:v>Dimensions, grade, process qualification, quantity and yield remain open.</x:v>
      </x:c>
    </x:row>
    <x:row r="496" ht="115" customHeight="1">
      <x:c r="A496" s="4" t="str">
        <x:v>proposal.lore.growth_seat_assembly</x:v>
      </x:c>
      <x:c r="B496" s="4" t="str">
        <x:f>IFERROR(INDEX(Items!$B$6:$B$1005,MATCH(A496,Items!$A$6:$A$1005,0)),"MISSING ID")</x:f>
        <x:v>Matched Growth seal-seat assembly</x:v>
      </x:c>
      <x:c r="C496" s="4" t="str">
        <x:f>IFERROR(INDEX(Items!$X$6:$X$1005,MATCH(A496,Items!$A$6:$A$1005,0)),"MISSING ID")</x:f>
        <x:v>Crafting component</x:v>
      </x:c>
      <x:c r="D496" s="4" t="str">
        <x:f>IFERROR(INDEX(Items!$C$6:$C$1005,MATCH(A496,Items!$A$6:$A$1005,0)),"MISSING ID")</x:f>
        <x:v>T4</x:v>
      </x:c>
      <x:c r="E496" s="4" t="str">
        <x:v>Manufactured stock / part</x:v>
      </x:c>
      <x:c r="F496" s="14" t="n">
        <x:f>IFERROR(INDEX(Items!$AJ$6:$AJ$1005,MATCH(A496,Items!$A$6:$A$1005,0)),"MISSING ID")</x:f>
        <x:v>1</x:v>
      </x:c>
      <x:c r="G496" s="4" t="str">
        <x:v>Traced to cataloged T0 and/or recovered feeds</x:v>
      </x:c>
      <x:c r="H496" s="4" t="str">
        <x:v>Forge hearth, Anvil, Forging hammer, Smithing tongs, Metalworking file and Hand-cranked metal drill as applicable. Existing workshop bootstrap and controlled heating/cooling required; no free-water quench assumed.</x:v>
      </x:c>
      <x:c r="I496" s="4" t="str">
        <x:v>Candidate path traced</x:v>
      </x:c>
      <x:c r="J496" s="4" t="str">
        <x:v>Dimensions, grade, process qualification, quantity and yield remain open.</x:v>
      </x:c>
    </x:row>
    <x:row r="497" ht="115" customHeight="1">
      <x:c r="A497" s="4" t="str">
        <x:v>proposal.lore.alkaline_crust</x:v>
      </x:c>
      <x:c r="B497" s="4" t="str">
        <x:f>IFERROR(INDEX(Items!$B$6:$B$1005,MATCH(A497,Items!$A$6:$A$1005,0)),"MISSING ID")</x:f>
        <x:v>Alkaline mineral crust</x:v>
      </x:c>
      <x:c r="C497" s="4" t="str">
        <x:f>IFERROR(INDEX(Items!$X$6:$X$1005,MATCH(A497,Items!$A$6:$A$1005,0)),"MISSING ID")</x:f>
        <x:v>Raw material</x:v>
      </x:c>
      <x:c r="D497" s="4" t="str">
        <x:f>IFERROR(INDEX(Items!$C$6:$C$1005,MATCH(A497,Items!$A$6:$A$1005,0)),"MISSING ID")</x:f>
        <x:v>T0</x:v>
      </x:c>
      <x:c r="E497" s="4" t="str">
        <x:v>Raw source</x:v>
      </x:c>
      <x:c r="F497" s="14" t="n">
        <x:f>IFERROR(INDEX(Items!$AJ$6:$AJ$1005,MATCH(A497,Items!$A$6:$A$1005,0)),"MISSING ID")</x:f>
        <x:v>0</x:v>
      </x:c>
      <x:c r="G497" s="4" t="str">
        <x:v>Source, recovery or issue route applies</x:v>
      </x:c>
      <x:c r="H497" s="4" t="str">
        <x:v>Not a selected manufacturing route</x:v>
      </x:c>
      <x:c r="I497" s="4" t="str">
        <x:v>Raw entry feed</x:v>
      </x:c>
      <x:c r="J497" s="4" t="str">
        <x:v>Source grade, collection, contamination and yield remain open.</x:v>
      </x:c>
    </x:row>
    <x:row r="498" ht="115" customHeight="1">
      <x:c r="A498" s="4" t="str">
        <x:v>proposal.lore.alkali_concentrate</x:v>
      </x:c>
      <x:c r="B498" s="4" t="str">
        <x:f>IFERROR(INDEX(Items!$B$6:$B$1005,MATCH(A498,Items!$A$6:$A$1005,0)),"MISSING ID")</x:f>
        <x:v>Prepared alkaline mineral concentrate</x:v>
      </x:c>
      <x:c r="C498" s="4" t="str">
        <x:f>IFERROR(INDEX(Items!$X$6:$X$1005,MATCH(A498,Items!$A$6:$A$1005,0)),"MISSING ID")</x:f>
        <x:v>Chemical material</x:v>
      </x:c>
      <x:c r="D498" s="4" t="str">
        <x:f>IFERROR(INDEX(Items!$C$6:$C$1005,MATCH(A498,Items!$A$6:$A$1005,0)),"MISSING ID")</x:f>
        <x:v>T1</x:v>
      </x:c>
      <x:c r="E498" s="4" t="str">
        <x:v>Manufactured stock / part</x:v>
      </x:c>
      <x:c r="F498" s="14" t="n">
        <x:f>IFERROR(INDEX(Items!$AJ$6:$AJ$1005,MATCH(A498,Items!$A$6:$A$1005,0)),"MISSING ID")</x:f>
        <x:v>1</x:v>
      </x:c>
      <x:c r="G498" s="4" t="str">
        <x:v>Traced to cataloged T0 and/or recovered feeds</x:v>
      </x:c>
      <x:c r="H498" s="4" t="str">
        <x:v>Contained segregated vessels, Ceramic grinding mortar, Ceramic pestle and Glass transfer funnel. Process/carrier compatibility unresolved.</x:v>
      </x:c>
      <x:c r="I498" s="4" t="str">
        <x:v>Candidate path traced</x:v>
      </x:c>
      <x:c r="J498" s="4" t="str">
        <x:v>Reagent identity, contained carrier, reaction/selectivity, compatibility and process yield require qualification.</x:v>
      </x:c>
    </x:row>
    <x:row r="499" ht="115" customHeight="1">
      <x:c r="A499" s="4" t="str">
        <x:v>proposal.lore.sulfur_charge</x:v>
      </x:c>
      <x:c r="B499" s="4" t="str">
        <x:f>IFERROR(INDEX(Items!$B$6:$B$1005,MATCH(A499,Items!$A$6:$A$1005,0)),"MISSING ID")</x:f>
        <x:v>Prepared sulfur process charge</x:v>
      </x:c>
      <x:c r="C499" s="4" t="str">
        <x:f>IFERROR(INDEX(Items!$X$6:$X$1005,MATCH(A499,Items!$A$6:$A$1005,0)),"MISSING ID")</x:f>
        <x:v>Chemical material</x:v>
      </x:c>
      <x:c r="D499" s="4" t="str">
        <x:f>IFERROR(INDEX(Items!$C$6:$C$1005,MATCH(A499,Items!$A$6:$A$1005,0)),"MISSING ID")</x:f>
        <x:v>T1</x:v>
      </x:c>
      <x:c r="E499" s="4" t="str">
        <x:v>Manufactured stock / part</x:v>
      </x:c>
      <x:c r="F499" s="14" t="n">
        <x:f>IFERROR(INDEX(Items!$AJ$6:$AJ$1005,MATCH(A499,Items!$A$6:$A$1005,0)),"MISSING ID")</x:f>
        <x:v>1</x:v>
      </x:c>
      <x:c r="G499" s="4" t="str">
        <x:v>Traced to cataloged T0 and/or recovered feeds</x:v>
      </x:c>
      <x:c r="H499" s="4" t="str">
        <x:v>Contained segregated vessels, Ceramic grinding mortar, Ceramic pestle and Glass transfer funnel. Process/carrier compatibility unresolved.</x:v>
      </x:c>
      <x:c r="I499" s="4" t="str">
        <x:v>Candidate path traced</x:v>
      </x:c>
      <x:c r="J499" s="4" t="str">
        <x:v>Reagent identity, contained carrier, reaction/selectivity, compatibility and process yield require qualification.</x:v>
      </x:c>
    </x:row>
    <x:row r="500" ht="115" customHeight="1">
      <x:c r="A500" s="4" t="str">
        <x:v>proposal.lore.phagia_byproduct</x:v>
      </x:c>
      <x:c r="B500" s="4" t="str">
        <x:f>IFERROR(INDEX(Items!$B$6:$B$1005,MATCH(A500,Items!$A$6:$A$1005,0)),"MISSING ID")</x:f>
        <x:v>Contained Phagia vat byproduct</x:v>
      </x:c>
      <x:c r="C500" s="4" t="str">
        <x:f>IFERROR(INDEX(Items!$X$6:$X$1005,MATCH(A500,Items!$A$6:$A$1005,0)),"MISSING ID")</x:f>
        <x:v>Raw material</x:v>
      </x:c>
      <x:c r="D500" s="4" t="str">
        <x:f>IFERROR(INDEX(Items!$C$6:$C$1005,MATCH(A500,Items!$A$6:$A$1005,0)),"MISSING ID")</x:f>
        <x:v>T0</x:v>
      </x:c>
      <x:c r="E500" s="4" t="str">
        <x:v>Raw source</x:v>
      </x:c>
      <x:c r="F500" s="14" t="n">
        <x:f>IFERROR(INDEX(Items!$AJ$6:$AJ$1005,MATCH(A500,Items!$A$6:$A$1005,0)),"MISSING ID")</x:f>
        <x:v>0</x:v>
      </x:c>
      <x:c r="G500" s="4" t="str">
        <x:v>Source, recovery or issue route applies</x:v>
      </x:c>
      <x:c r="H500" s="4" t="str">
        <x:v>Not a selected manufacturing route</x:v>
      </x:c>
      <x:c r="I500" s="4" t="str">
        <x:v>Raw entry feed</x:v>
      </x:c>
      <x:c r="J500" s="4" t="str">
        <x:v>Source grade, collection, contamination and yield remain open.</x:v>
      </x:c>
    </x:row>
    <x:row r="501" ht="115" customHeight="1">
      <x:c r="A501" s="4" t="str">
        <x:v>proposal.lore.phagia_enzyme</x:v>
      </x:c>
      <x:c r="B501" s="4" t="str">
        <x:f>IFERROR(INDEX(Items!$B$6:$B$1005,MATCH(A501,Items!$A$6:$A$1005,0)),"MISSING ID")</x:f>
        <x:v>Selected Phagia enzyme fraction</x:v>
      </x:c>
      <x:c r="C501" s="4" t="str">
        <x:f>IFERROR(INDEX(Items!$X$6:$X$1005,MATCH(A501,Items!$A$6:$A$1005,0)),"MISSING ID")</x:f>
        <x:v>Chemical material</x:v>
      </x:c>
      <x:c r="D501" s="4" t="str">
        <x:f>IFERROR(INDEX(Items!$C$6:$C$1005,MATCH(A501,Items!$A$6:$A$1005,0)),"MISSING ID")</x:f>
        <x:v>T1</x:v>
      </x:c>
      <x:c r="E501" s="4" t="str">
        <x:v>Manufactured stock / part</x:v>
      </x:c>
      <x:c r="F501" s="14" t="n">
        <x:f>IFERROR(INDEX(Items!$AJ$6:$AJ$1005,MATCH(A501,Items!$A$6:$A$1005,0)),"MISSING ID")</x:f>
        <x:v>1</x:v>
      </x:c>
      <x:c r="G501" s="4" t="str">
        <x:v>Traced to cataloged T0 and/or recovered feeds</x:v>
      </x:c>
      <x:c r="H501" s="4" t="str">
        <x:v>Contained segregated vessels, Ceramic grinding mortar, Ceramic pestle and Glass transfer funnel. Process/carrier compatibility unresolved.</x:v>
      </x:c>
      <x:c r="I501" s="4" t="str">
        <x:v>Candidate path traced</x:v>
      </x:c>
      <x:c r="J501" s="4" t="str">
        <x:v>Reagent identity, contained carrier, reaction/selectivity, compatibility and process yield require qualification.</x:v>
      </x:c>
    </x:row>
    <x:row r="502" ht="115" customHeight="1">
      <x:c r="A502" s="4" t="str">
        <x:v>proposal.lore.phagia_acid</x:v>
      </x:c>
      <x:c r="B502" s="4" t="str">
        <x:f>IFERROR(INDEX(Items!$B$6:$B$1005,MATCH(A502,Items!$A$6:$A$1005,0)),"MISSING ID")</x:f>
        <x:v>Selected Phagia mild-acid fraction</x:v>
      </x:c>
      <x:c r="C502" s="4" t="str">
        <x:f>IFERROR(INDEX(Items!$X$6:$X$1005,MATCH(A502,Items!$A$6:$A$1005,0)),"MISSING ID")</x:f>
        <x:v>Chemical material</x:v>
      </x:c>
      <x:c r="D502" s="4" t="str">
        <x:f>IFERROR(INDEX(Items!$C$6:$C$1005,MATCH(A502,Items!$A$6:$A$1005,0)),"MISSING ID")</x:f>
        <x:v>T1</x:v>
      </x:c>
      <x:c r="E502" s="4" t="str">
        <x:v>Manufactured stock / part</x:v>
      </x:c>
      <x:c r="F502" s="14" t="n">
        <x:f>IFERROR(INDEX(Items!$AJ$6:$AJ$1005,MATCH(A502,Items!$A$6:$A$1005,0)),"MISSING ID")</x:f>
        <x:v>1</x:v>
      </x:c>
      <x:c r="G502" s="4" t="str">
        <x:v>Traced to cataloged T0 and/or recovered feeds</x:v>
      </x:c>
      <x:c r="H502" s="4" t="str">
        <x:v>Contained segregated vessels, Ceramic grinding mortar, Ceramic pestle and Glass transfer funnel. Process/carrier compatibility unresolved.</x:v>
      </x:c>
      <x:c r="I502" s="4" t="str">
        <x:v>Candidate path traced</x:v>
      </x:c>
      <x:c r="J502" s="4" t="str">
        <x:v>Reagent identity, contained carrier, reaction/selectivity, compatibility and process yield require qualification.</x:v>
      </x:c>
    </x:row>
    <x:row r="503" ht="115" customHeight="1">
      <x:c r="A503" s="4" t="str">
        <x:v>proposal.lore.phagia_adhesive</x:v>
      </x:c>
      <x:c r="B503" s="4" t="str">
        <x:f>IFERROR(INDEX(Items!$B$6:$B$1005,MATCH(A503,Items!$A$6:$A$1005,0)),"MISSING ID")</x:f>
        <x:v>Concentrated Phagia adhesive base</x:v>
      </x:c>
      <x:c r="C503" s="4" t="str">
        <x:f>IFERROR(INDEX(Items!$X$6:$X$1005,MATCH(A503,Items!$A$6:$A$1005,0)),"MISSING ID")</x:f>
        <x:v>Chemical material</x:v>
      </x:c>
      <x:c r="D503" s="4" t="str">
        <x:f>IFERROR(INDEX(Items!$C$6:$C$1005,MATCH(A503,Items!$A$6:$A$1005,0)),"MISSING ID")</x:f>
        <x:v>T1</x:v>
      </x:c>
      <x:c r="E503" s="4" t="str">
        <x:v>Manufactured stock / part</x:v>
      </x:c>
      <x:c r="F503" s="14" t="n">
        <x:f>IFERROR(INDEX(Items!$AJ$6:$AJ$1005,MATCH(A503,Items!$A$6:$A$1005,0)),"MISSING ID")</x:f>
        <x:v>1</x:v>
      </x:c>
      <x:c r="G503" s="4" t="str">
        <x:v>Traced to cataloged T0 and/or recovered feeds</x:v>
      </x:c>
      <x:c r="H503" s="4" t="str">
        <x:v>Contained segregated vessels, Ceramic grinding mortar, Ceramic pestle and Glass transfer funnel. Process/carrier compatibility unresolved.</x:v>
      </x:c>
      <x:c r="I503" s="4" t="str">
        <x:v>Candidate path traced</x:v>
      </x:c>
      <x:c r="J503" s="4" t="str">
        <x:v>Reagent identity, contained carrier, reaction/selectivity, compatibility and process yield require qualification.</x:v>
      </x:c>
    </x:row>
    <x:row r="504" ht="115" customHeight="1">
      <x:c r="A504" s="4" t="str">
        <x:v>proposal.lore.shell_cleaning_charge</x:v>
      </x:c>
      <x:c r="B504" s="4" t="str">
        <x:f>IFERROR(INDEX(Items!$B$6:$B$1005,MATCH(A504,Items!$A$6:$A$1005,0)),"MISSING ID")</x:f>
        <x:v>Chitin-cleaning process charge</x:v>
      </x:c>
      <x:c r="C504" s="4" t="str">
        <x:f>IFERROR(INDEX(Items!$X$6:$X$1005,MATCH(A504,Items!$A$6:$A$1005,0)),"MISSING ID")</x:f>
        <x:v>Chemical material</x:v>
      </x:c>
      <x:c r="D504" s="4" t="str">
        <x:f>IFERROR(INDEX(Items!$C$6:$C$1005,MATCH(A504,Items!$A$6:$A$1005,0)),"MISSING ID")</x:f>
        <x:v>T2</x:v>
      </x:c>
      <x:c r="E504" s="4" t="str">
        <x:v>Manufactured stock / part</x:v>
      </x:c>
      <x:c r="F504" s="14" t="n">
        <x:f>IFERROR(INDEX(Items!$AJ$6:$AJ$1005,MATCH(A504,Items!$A$6:$A$1005,0)),"MISSING ID")</x:f>
        <x:v>1</x:v>
      </x:c>
      <x:c r="G504" s="4" t="str">
        <x:v>Traced to cataloged T0 and/or recovered feeds</x:v>
      </x:c>
      <x:c r="H504" s="4" t="str">
        <x:v>Contained segregated vessels, Ceramic grinding mortar, Ceramic pestle and Glass transfer funnel. Process/carrier compatibility unresolved.</x:v>
      </x:c>
      <x:c r="I504" s="4" t="str">
        <x:v>Candidate path traced</x:v>
      </x:c>
      <x:c r="J504" s="4" t="str">
        <x:v>Reagent identity, contained carrier, reaction/selectivity, compatibility and process yield require qualification.</x:v>
      </x:c>
    </x:row>
    <x:row r="505" ht="115" customHeight="1">
      <x:c r="A505" s="4" t="str">
        <x:v>proposal.lore.chitin_binder_residue</x:v>
      </x:c>
      <x:c r="B505" s="4" t="str">
        <x:f>IFERROR(INDEX(Items!$B$6:$B$1005,MATCH(A505,Items!$A$6:$A$1005,0)),"MISSING ID")</x:f>
        <x:v>Concentrated chitin binder residue</x:v>
      </x:c>
      <x:c r="C505" s="4" t="str">
        <x:f>IFERROR(INDEX(Items!$X$6:$X$1005,MATCH(A505,Items!$A$6:$A$1005,0)),"MISSING ID")</x:f>
        <x:v>Chemical material</x:v>
      </x:c>
      <x:c r="D505" s="4" t="str">
        <x:f>IFERROR(INDEX(Items!$C$6:$C$1005,MATCH(A505,Items!$A$6:$A$1005,0)),"MISSING ID")</x:f>
        <x:v>T2</x:v>
      </x:c>
      <x:c r="E505" s="4" t="str">
        <x:v>Manufactured stock / part</x:v>
      </x:c>
      <x:c r="F505" s="14" t="n">
        <x:f>IFERROR(INDEX(Items!$AJ$6:$AJ$1005,MATCH(A505,Items!$A$6:$A$1005,0)),"MISSING ID")</x:f>
        <x:v>1</x:v>
      </x:c>
      <x:c r="G505" s="4" t="str">
        <x:v>Traced to cataloged T0 and/or recovered feeds</x:v>
      </x:c>
      <x:c r="H505" s="4" t="str">
        <x:v>Contained segregated vessels, Ceramic grinding mortar, Ceramic pestle and Glass transfer funnel. Process/carrier compatibility unresolved.</x:v>
      </x:c>
      <x:c r="I505" s="4" t="str">
        <x:v>Candidate path traced</x:v>
      </x:c>
      <x:c r="J505" s="4" t="str">
        <x:v>Reagent identity, contained carrier, reaction/selectivity, compatibility and process yield require qualification.</x:v>
      </x:c>
    </x:row>
    <x:row r="506" ht="115" customHeight="1">
      <x:c r="A506" s="4" t="str">
        <x:v>proposal.lore.membrane_bond</x:v>
      </x:c>
      <x:c r="B506" s="4" t="str">
        <x:f>IFERROR(INDEX(Items!$B$6:$B$1005,MATCH(A506,Items!$A$6:$A$1005,0)),"MISSING ID")</x:f>
        <x:v>Rendered membrane bonding stock</x:v>
      </x:c>
      <x:c r="C506" s="4" t="str">
        <x:f>IFERROR(INDEX(Items!$X$6:$X$1005,MATCH(A506,Items!$A$6:$A$1005,0)),"MISSING ID")</x:f>
        <x:v>Chemical material</x:v>
      </x:c>
      <x:c r="D506" s="4" t="str">
        <x:f>IFERROR(INDEX(Items!$C$6:$C$1005,MATCH(A506,Items!$A$6:$A$1005,0)),"MISSING ID")</x:f>
        <x:v>T1</x:v>
      </x:c>
      <x:c r="E506" s="4" t="str">
        <x:v>Manufactured stock / part</x:v>
      </x:c>
      <x:c r="F506" s="14" t="n">
        <x:f>IFERROR(INDEX(Items!$AJ$6:$AJ$1005,MATCH(A506,Items!$A$6:$A$1005,0)),"MISSING ID")</x:f>
        <x:v>1</x:v>
      </x:c>
      <x:c r="G506" s="4" t="str">
        <x:v>Traced to cataloged T0 and/or recovered feeds</x:v>
      </x:c>
      <x:c r="H506" s="4" t="str">
        <x:v>Contained segregated vessels, Ceramic grinding mortar, Ceramic pestle and Glass transfer funnel. Process/carrier compatibility unresolved.</x:v>
      </x:c>
      <x:c r="I506" s="4" t="str">
        <x:v>Candidate path traced</x:v>
      </x:c>
      <x:c r="J506" s="4" t="str">
        <x:v>Reagent identity, contained carrier, reaction/selectivity, compatibility and process yield require qualification.</x:v>
      </x:c>
    </x:row>
    <x:row r="507" ht="115" customHeight="1">
      <x:c r="A507" s="4" t="str">
        <x:v>proposal.lore.ichor_sediment</x:v>
      </x:c>
      <x:c r="B507" s="4" t="str">
        <x:f>IFERROR(INDEX(Items!$B$6:$B$1005,MATCH(A507,Items!$A$6:$A$1005,0)),"MISSING ID")</x:f>
        <x:v>Separated ichor mineral sediment</x:v>
      </x:c>
      <x:c r="C507" s="4" t="str">
        <x:f>IFERROR(INDEX(Items!$X$6:$X$1005,MATCH(A507,Items!$A$6:$A$1005,0)),"MISSING ID")</x:f>
        <x:v>Chemical material</x:v>
      </x:c>
      <x:c r="D507" s="4" t="str">
        <x:f>IFERROR(INDEX(Items!$C$6:$C$1005,MATCH(A507,Items!$A$6:$A$1005,0)),"MISSING ID")</x:f>
        <x:v>T1</x:v>
      </x:c>
      <x:c r="E507" s="4" t="str">
        <x:v>Manufactured stock / part</x:v>
      </x:c>
      <x:c r="F507" s="14" t="n">
        <x:f>IFERROR(INDEX(Items!$AJ$6:$AJ$1005,MATCH(A507,Items!$A$6:$A$1005,0)),"MISSING ID")</x:f>
        <x:v>1</x:v>
      </x:c>
      <x:c r="G507" s="4" t="str">
        <x:v>Traced to cataloged T0 and/or recovered feeds</x:v>
      </x:c>
      <x:c r="H507" s="4" t="str">
        <x:v>Contained segregated vessels, Ceramic grinding mortar, Ceramic pestle and Glass transfer funnel. Process/carrier compatibility unresolved.</x:v>
      </x:c>
      <x:c r="I507" s="4" t="str">
        <x:v>Candidate path traced</x:v>
      </x:c>
      <x:c r="J507" s="4" t="str">
        <x:v>Reagent identity, contained carrier, reaction/selectivity, compatibility and process yield require qualification.</x:v>
      </x:c>
    </x:row>
    <x:row r="508" ht="115" customHeight="1">
      <x:c r="A508" s="4" t="str">
        <x:v>proposal.lore.electroactive_bundle</x:v>
      </x:c>
      <x:c r="B508" s="4" t="str">
        <x:f>IFERROR(INDEX(Items!$B$6:$B$1005,MATCH(A508,Items!$A$6:$A$1005,0)),"MISSING ID")</x:f>
        <x:v>Harvested electroactive fiber bundles</x:v>
      </x:c>
      <x:c r="C508" s="4" t="str">
        <x:f>IFERROR(INDEX(Items!$X$6:$X$1005,MATCH(A508,Items!$A$6:$A$1005,0)),"MISSING ID")</x:f>
        <x:v>Raw material</x:v>
      </x:c>
      <x:c r="D508" s="4" t="str">
        <x:f>IFERROR(INDEX(Items!$C$6:$C$1005,MATCH(A508,Items!$A$6:$A$1005,0)),"MISSING ID")</x:f>
        <x:v>T0</x:v>
      </x:c>
      <x:c r="E508" s="4" t="str">
        <x:v>Raw source</x:v>
      </x:c>
      <x:c r="F508" s="14" t="n">
        <x:f>IFERROR(INDEX(Items!$AJ$6:$AJ$1005,MATCH(A508,Items!$A$6:$A$1005,0)),"MISSING ID")</x:f>
        <x:v>0</x:v>
      </x:c>
      <x:c r="G508" s="4" t="str">
        <x:v>Source, recovery or issue route applies</x:v>
      </x:c>
      <x:c r="H508" s="4" t="str">
        <x:v>Not a selected manufacturing route</x:v>
      </x:c>
      <x:c r="I508" s="4" t="str">
        <x:v>Raw entry feed</x:v>
      </x:c>
      <x:c r="J508" s="4" t="str">
        <x:v>Source grade, collection, contamination and yield remain open.</x:v>
      </x:c>
    </x:row>
    <x:row r="509" ht="115" customHeight="1">
      <x:c r="A509" s="4" t="str">
        <x:v>proposal.lore.dried_fiber</x:v>
      </x:c>
      <x:c r="B509" s="4" t="str">
        <x:f>IFERROR(INDEX(Items!$B$6:$B$1005,MATCH(A509,Items!$A$6:$A$1005,0)),"MISSING ID")</x:f>
        <x:v>Dried electroactive-fiber reinforcement stock</x:v>
      </x:c>
      <x:c r="C509" s="4" t="str">
        <x:f>IFERROR(INDEX(Items!$X$6:$X$1005,MATCH(A509,Items!$A$6:$A$1005,0)),"MISSING ID")</x:f>
        <x:v>Processed material</x:v>
      </x:c>
      <x:c r="D509" s="4" t="str">
        <x:f>IFERROR(INDEX(Items!$C$6:$C$1005,MATCH(A509,Items!$A$6:$A$1005,0)),"MISSING ID")</x:f>
        <x:v>T1</x:v>
      </x:c>
      <x:c r="E509" s="4" t="str">
        <x:v>Manufactured stock / part</x:v>
      </x:c>
      <x:c r="F509" s="14" t="n">
        <x:f>IFERROR(INDEX(Items!$AJ$6:$AJ$1005,MATCH(A509,Items!$A$6:$A$1005,0)),"MISSING ID")</x:f>
        <x:v>1</x:v>
      </x:c>
      <x:c r="G509" s="4" t="str">
        <x:v>Traced to cataloged T0 and/or recovered feeds</x:v>
      </x:c>
      <x:c r="H509" s="4" t="str">
        <x:v>Husk-sheet cutting shears, pressure fixtures and dedicated preparation surfaces. Very low hide/fur yield; no ordinary cloth or plant inputs.</x:v>
      </x:c>
      <x:c r="I509" s="4" t="str">
        <x:v>Candidate path traced</x:v>
      </x:c>
      <x:c r="J509" s="4" t="str">
        <x:v>Dimensions, grade, process qualification, quantity and yield remain open.</x:v>
      </x:c>
    </x:row>
    <x:row r="510" ht="115" customHeight="1">
      <x:c r="A510" s="4" t="str">
        <x:v>proposal.lore.feedstone_mix</x:v>
      </x:c>
      <x:c r="B510" s="4" t="str">
        <x:f>IFERROR(INDEX(Items!$B$6:$B$1005,MATCH(A510,Items!$A$6:$A$1005,0)),"MISSING ID")</x:f>
        <x:v>Graded domestic-beetle feedstone mix</x:v>
      </x:c>
      <x:c r="C510" s="4" t="str">
        <x:f>IFERROR(INDEX(Items!$X$6:$X$1005,MATCH(A510,Items!$A$6:$A$1005,0)),"MISSING ID")</x:f>
        <x:v>Processed material</x:v>
      </x:c>
      <x:c r="D510" s="4" t="str">
        <x:f>IFERROR(INDEX(Items!$C$6:$C$1005,MATCH(A510,Items!$A$6:$A$1005,0)),"MISSING ID")</x:f>
        <x:v>T2</x:v>
      </x:c>
      <x:c r="E510" s="4" t="str">
        <x:v>Manufactured stock / part</x:v>
      </x:c>
      <x:c r="F510" s="14" t="n">
        <x:f>IFERROR(INDEX(Items!$AJ$6:$AJ$1005,MATCH(A510,Items!$A$6:$A$1005,0)),"MISSING ID")</x:f>
        <x:v>1</x:v>
      </x:c>
      <x:c r="G510" s="4" t="str">
        <x:v>Traced to cataloged T0 and/or recovered feeds</x:v>
      </x:c>
      <x:c r="H510" s="4" t="str">
        <x:v>Specialist engineering workshop; insulation, pressure or control qualification as applicable. Power/working medium and operating theory unresolved.</x:v>
      </x:c>
      <x:c r="I510" s="4" t="str">
        <x:v>Research / source gated</x:v>
      </x:c>
      <x:c r="J510" s="4" t="str">
        <x:v>Graded domestic-beetle feedstone mix. Species diet, feed composition, shell-harvest limits and harness fit require design; not human nutrition.</x:v>
      </x:c>
    </x:row>
    <x:row r="511" ht="115" customHeight="1">
      <x:c r="A511" s="4"/>
      <x:c r="B511" s="4"/>
      <x:c r="C511" s="4"/>
      <x:c r="D511" s="4"/>
      <x:c r="E511" s="4"/>
      <x:c r="F511" s="14"/>
      <x:c r="G511" s="4"/>
      <x:c r="H511" s="4"/>
      <x:c r="I511" s="4"/>
      <x:c r="J511" s="4"/>
    </x:row>
    <x:row r="512" ht="115" customHeight="1">
      <x:c r="A512" s="4"/>
      <x:c r="B512" s="4"/>
      <x:c r="C512" s="4"/>
      <x:c r="D512" s="4"/>
      <x:c r="E512" s="4"/>
      <x:c r="F512" s="14"/>
      <x:c r="G512" s="4"/>
      <x:c r="H512" s="4"/>
      <x:c r="I512" s="4"/>
      <x:c r="J512" s="4"/>
    </x:row>
    <x:row r="513" ht="115" customHeight="1">
      <x:c r="A513" s="4" t="str">
        <x:v>proposal.lore.shell_scraper</x:v>
      </x:c>
      <x:c r="B513" s="4" t="str">
        <x:f>IFERROR(INDEX(Items!$B$6:$B$1005,MATCH(A513,Items!$A$6:$A$1005,0)),"MISSING ID")</x:f>
        <x:v>Domestic shell-trimming scraper</x:v>
      </x:c>
      <x:c r="C513" s="4" t="str">
        <x:f>IFERROR(INDEX(Items!$X$6:$X$1005,MATCH(A513,Items!$A$6:$A$1005,0)),"MISSING ID")</x:f>
        <x:v>Tool</x:v>
      </x:c>
      <x:c r="D513" s="4" t="str">
        <x:f>IFERROR(INDEX(Items!$C$6:$C$1005,MATCH(A513,Items!$A$6:$A$1005,0)),"MISSING ID")</x:f>
        <x:v>Not applicable</x:v>
      </x:c>
      <x:c r="E513" s="4" t="str">
        <x:v>Finished endpoint</x:v>
      </x:c>
      <x:c r="F513" s="14" t="n">
        <x:f>IFERROR(INDEX(Items!$AJ$6:$AJ$1005,MATCH(A513,Items!$A$6:$A$1005,0)),"MISSING ID")</x:f>
        <x:v>1</x:v>
      </x:c>
      <x:c r="G513" s="4" t="str">
        <x:v>Traced to cataloged T0 and/or recovered feeds</x:v>
      </x:c>
      <x:c r="H513" s="4" t="str">
        <x:v>Forge hearth, Anvil, Forging hammer, Smithing tongs, Metalworking file and Hand-cranked metal drill as applicable. Existing workshop bootstrap and controlled heating/cooling required; no free-water quench assumed.</x:v>
      </x:c>
      <x:c r="I513" s="4" t="str">
        <x:v>Candidate path traced</x:v>
      </x:c>
      <x:c r="J513" s="4" t="str">
        <x:v>Species diet, feed composition, shell-harvest limits and harness fit require design; not human nutrition.</x:v>
      </x:c>
    </x:row>
    <x:row r="514" ht="115" customHeight="1">
      <x:c r="A514" s="4" t="str">
        <x:v>proposal.lore.iron_conductor</x:v>
      </x:c>
      <x:c r="B514" s="4" t="str">
        <x:f>IFERROR(INDEX(Items!$B$6:$B$1005,MATCH(A514,Items!$A$6:$A$1005,0)),"MISSING ID")</x:f>
        <x:v>Drawn iron conductor stock</x:v>
      </x:c>
      <x:c r="C514" s="4" t="str">
        <x:f>IFERROR(INDEX(Items!$X$6:$X$1005,MATCH(A514,Items!$A$6:$A$1005,0)),"MISSING ID")</x:f>
        <x:v>Processed material</x:v>
      </x:c>
      <x:c r="D514" s="4" t="str">
        <x:f>IFERROR(INDEX(Items!$C$6:$C$1005,MATCH(A514,Items!$A$6:$A$1005,0)),"MISSING ID")</x:f>
        <x:v>T2</x:v>
      </x:c>
      <x:c r="E514" s="4" t="str">
        <x:v>Manufactured stock / part</x:v>
      </x:c>
      <x:c r="F514" s="14" t="n">
        <x:f>IFERROR(INDEX(Items!$AJ$6:$AJ$1005,MATCH(A514,Items!$A$6:$A$1005,0)),"MISSING ID")</x:f>
        <x:v>1</x:v>
      </x:c>
      <x:c r="G514" s="4" t="str">
        <x:v>Traced to cataloged T0 and/or recovered feeds</x:v>
      </x:c>
      <x:c r="H514" s="4" t="str">
        <x:v>Forge hearth, Anvil, Forging hammer, Smithing tongs, Metalworking file and Hand-cranked metal drill as applicable. Existing workshop bootstrap and controlled heating/cooling required; no free-water quench assumed.</x:v>
      </x:c>
      <x:c r="I514" s="4" t="str">
        <x:v>Candidate path traced</x:v>
      </x:c>
      <x:c r="J514" s="4" t="str">
        <x:v>Dimensions, grade, process qualification, quantity and yield remain open.</x:v>
      </x:c>
    </x:row>
    <x:row r="515" ht="115" customHeight="1">
      <x:c r="A515" s="4" t="str">
        <x:v>proposal.lore.iron_core_plates</x:v>
      </x:c>
      <x:c r="B515" s="4" t="str">
        <x:f>IFERROR(INDEX(Items!$B$6:$B$1005,MATCH(A515,Items!$A$6:$A$1005,0)),"MISSING ID")</x:f>
        <x:v>Shaped iron core plates</x:v>
      </x:c>
      <x:c r="C515" s="4" t="str">
        <x:f>IFERROR(INDEX(Items!$X$6:$X$1005,MATCH(A515,Items!$A$6:$A$1005,0)),"MISSING ID")</x:f>
        <x:v>Crafting component</x:v>
      </x:c>
      <x:c r="D515" s="4" t="str">
        <x:f>IFERROR(INDEX(Items!$C$6:$C$1005,MATCH(A515,Items!$A$6:$A$1005,0)),"MISSING ID")</x:f>
        <x:v>T2</x:v>
      </x:c>
      <x:c r="E515" s="4" t="str">
        <x:v>Manufactured stock / part</x:v>
      </x:c>
      <x:c r="F515" s="14" t="n">
        <x:f>IFERROR(INDEX(Items!$AJ$6:$AJ$1005,MATCH(A515,Items!$A$6:$A$1005,0)),"MISSING ID")</x:f>
        <x:v>1</x:v>
      </x:c>
      <x:c r="G515" s="4" t="str">
        <x:v>Traced to cataloged T0 and/or recovered feeds</x:v>
      </x:c>
      <x:c r="H515" s="4" t="str">
        <x:v>Forge hearth, Anvil, Forging hammer, Smithing tongs, Metalworking file and Hand-cranked metal drill as applicable. Existing workshop bootstrap and controlled heating/cooling required; no free-water quench assumed.</x:v>
      </x:c>
      <x:c r="I515" s="4" t="str">
        <x:v>Candidate path traced</x:v>
      </x:c>
      <x:c r="J515" s="4" t="str">
        <x:v>Dimensions, grade, process qualification, quantity and yield remain open.</x:v>
      </x:c>
    </x:row>
    <x:row r="516" ht="115" customHeight="1">
      <x:c r="A516" s="4" t="str">
        <x:v>proposal.lore.iron_winding</x:v>
      </x:c>
      <x:c r="B516" s="4" t="str">
        <x:f>IFERROR(INDEX(Items!$B$6:$B$1005,MATCH(A516,Items!$A$6:$A$1005,0)),"MISSING ID")</x:f>
        <x:v>Iron-wound core blank</x:v>
      </x:c>
      <x:c r="C516" s="4" t="str">
        <x:f>IFERROR(INDEX(Items!$X$6:$X$1005,MATCH(A516,Items!$A$6:$A$1005,0)),"MISSING ID")</x:f>
        <x:v>Crafting component</x:v>
      </x:c>
      <x:c r="D516" s="4" t="str">
        <x:f>IFERROR(INDEX(Items!$C$6:$C$1005,MATCH(A516,Items!$A$6:$A$1005,0)),"MISSING ID")</x:f>
        <x:v>T3</x:v>
      </x:c>
      <x:c r="E516" s="4" t="str">
        <x:v>Manufactured stock / part</x:v>
      </x:c>
      <x:c r="F516" s="14" t="n">
        <x:f>IFERROR(INDEX(Items!$AJ$6:$AJ$1005,MATCH(A516,Items!$A$6:$A$1005,0)),"MISSING ID")</x:f>
        <x:v>1</x:v>
      </x:c>
      <x:c r="G516" s="4" t="str">
        <x:v>Traced to cataloged T0 and/or recovered feeds</x:v>
      </x:c>
      <x:c r="H516" s="4" t="str">
        <x:v>Forge hearth, Anvil, Forging hammer, Smithing tongs, Metalworking file and Hand-cranked metal drill as applicable. Existing workshop bootstrap and controlled heating/cooling required; no free-water quench assumed.</x:v>
      </x:c>
      <x:c r="I516" s="4" t="str">
        <x:v>Candidate path traced</x:v>
      </x:c>
      <x:c r="J516" s="4" t="str">
        <x:v>Dimensions, grade, process qualification, quantity and yield remain open.</x:v>
      </x:c>
    </x:row>
    <x:row r="517" ht="115" customHeight="1">
      <x:c r="A517" s="4" t="str">
        <x:v>proposal.lore.rivet_stock</x:v>
      </x:c>
      <x:c r="B517" s="4" t="str">
        <x:f>IFERROR(INDEX(Items!$B$6:$B$1005,MATCH(A517,Items!$A$6:$A$1005,0)),"MISSING ID")</x:f>
        <x:v>Rough iron rivet stock</x:v>
      </x:c>
      <x:c r="C517" s="4" t="str">
        <x:f>IFERROR(INDEX(Items!$X$6:$X$1005,MATCH(A517,Items!$A$6:$A$1005,0)),"MISSING ID")</x:f>
        <x:v>Processed material</x:v>
      </x:c>
      <x:c r="D517" s="4" t="str">
        <x:f>IFERROR(INDEX(Items!$C$6:$C$1005,MATCH(A517,Items!$A$6:$A$1005,0)),"MISSING ID")</x:f>
        <x:v>T2</x:v>
      </x:c>
      <x:c r="E517" s="4" t="str">
        <x:v>Manufactured stock / part</x:v>
      </x:c>
      <x:c r="F517" s="14" t="n">
        <x:f>IFERROR(INDEX(Items!$AJ$6:$AJ$1005,MATCH(A517,Items!$A$6:$A$1005,0)),"MISSING ID")</x:f>
        <x:v>1</x:v>
      </x:c>
      <x:c r="G517" s="4" t="str">
        <x:v>Traced to cataloged T0 and/or recovered feeds</x:v>
      </x:c>
      <x:c r="H517" s="4" t="str">
        <x:v>Forge hearth, Anvil, Forging hammer, Smithing tongs, Metalworking file and Hand-cranked metal drill as applicable. Existing workshop bootstrap and controlled heating/cooling required; no free-water quench assumed.</x:v>
      </x:c>
      <x:c r="I517" s="4" t="str">
        <x:v>Candidate path traced</x:v>
      </x:c>
      <x:c r="J517" s="4" t="str">
        <x:v>Dimensions, grade, process qualification, quantity and yield remain open.</x:v>
      </x:c>
    </x:row>
    <x:row r="518" ht="115" customHeight="1">
      <x:c r="A518" s="4" t="str">
        <x:v>proposal.lore.fastener_set</x:v>
      </x:c>
      <x:c r="B518" s="4" t="str">
        <x:f>IFERROR(INDEX(Items!$B$6:$B$1005,MATCH(A518,Items!$A$6:$A$1005,0)),"MISSING ID")</x:f>
        <x:v>Matched metal fastener set</x:v>
      </x:c>
      <x:c r="C518" s="4" t="str">
        <x:f>IFERROR(INDEX(Items!$X$6:$X$1005,MATCH(A518,Items!$A$6:$A$1005,0)),"MISSING ID")</x:f>
        <x:v>Crafting component</x:v>
      </x:c>
      <x:c r="D518" s="4" t="str">
        <x:f>IFERROR(INDEX(Items!$C$6:$C$1005,MATCH(A518,Items!$A$6:$A$1005,0)),"MISSING ID")</x:f>
        <x:v>T3</x:v>
      </x:c>
      <x:c r="E518" s="4" t="str">
        <x:v>Manufactured stock / part</x:v>
      </x:c>
      <x:c r="F518" s="14" t="n">
        <x:f>IFERROR(INDEX(Items!$AJ$6:$AJ$1005,MATCH(A518,Items!$A$6:$A$1005,0)),"MISSING ID")</x:f>
        <x:v>1</x:v>
      </x:c>
      <x:c r="G518" s="4" t="str">
        <x:v>Traced to cataloged T0 and/or recovered feeds</x:v>
      </x:c>
      <x:c r="H518" s="4" t="str">
        <x:v>Forge hearth, Anvil, Forging hammer, Smithing tongs, Metalworking file and Hand-cranked metal drill as applicable. Existing workshop bootstrap and controlled heating/cooling required; no free-water quench assumed.</x:v>
      </x:c>
      <x:c r="I518" s="4" t="str">
        <x:v>Candidate path traced</x:v>
      </x:c>
      <x:c r="J518" s="4" t="str">
        <x:v>Dimensions, grade, process qualification, quantity and yield remain open.</x:v>
      </x:c>
    </x:row>
    <x:row r="519" ht="115" customHeight="1">
      <x:c r="A519" s="4" t="str">
        <x:v>proposal.lore.threaded_fittings</x:v>
      </x:c>
      <x:c r="B519" s="4" t="str">
        <x:f>IFERROR(INDEX(Items!$B$6:$B$1005,MATCH(A519,Items!$A$6:$A$1005,0)),"MISSING ID")</x:f>
        <x:v>Threaded metal fitting blanks</x:v>
      </x:c>
      <x:c r="C519" s="4" t="str">
        <x:f>IFERROR(INDEX(Items!$X$6:$X$1005,MATCH(A519,Items!$A$6:$A$1005,0)),"MISSING ID")</x:f>
        <x:v>Crafting component</x:v>
      </x:c>
      <x:c r="D519" s="4" t="str">
        <x:f>IFERROR(INDEX(Items!$C$6:$C$1005,MATCH(A519,Items!$A$6:$A$1005,0)),"MISSING ID")</x:f>
        <x:v>T3</x:v>
      </x:c>
      <x:c r="E519" s="4" t="str">
        <x:v>Manufactured stock / part</x:v>
      </x:c>
      <x:c r="F519" s="14" t="n">
        <x:f>IFERROR(INDEX(Items!$AJ$6:$AJ$1005,MATCH(A519,Items!$A$6:$A$1005,0)),"MISSING ID")</x:f>
        <x:v>1</x:v>
      </x:c>
      <x:c r="G519" s="4" t="str">
        <x:v>Traced to cataloged T0 and/or recovered feeds</x:v>
      </x:c>
      <x:c r="H519" s="4" t="str">
        <x:v>Forge hearth, Anvil, Forging hammer, Smithing tongs, Metalworking file and Hand-cranked metal drill as applicable. Existing workshop bootstrap and controlled heating/cooling required; no free-water quench assumed.</x:v>
      </x:c>
      <x:c r="I519" s="4" t="str">
        <x:v>Candidate path traced</x:v>
      </x:c>
      <x:c r="J519" s="4" t="str">
        <x:v>Dimensions, grade, process qualification, quantity and yield remain open.</x:v>
      </x:c>
    </x:row>
    <x:row r="520" ht="115" customHeight="1">
      <x:c r="A520" s="4" t="str">
        <x:v>proposal.lore.assay_packet</x:v>
      </x:c>
      <x:c r="B520" s="4" t="str">
        <x:f>IFERROR(INDEX(Items!$B$6:$B$1005,MATCH(A520,Items!$A$6:$A$1005,0)),"MISSING ID")</x:f>
        <x:v>Growth assay reference packet</x:v>
      </x:c>
      <x:c r="C520" s="4" t="str">
        <x:f>IFERROR(INDEX(Items!$X$6:$X$1005,MATCH(A520,Items!$A$6:$A$1005,0)),"MISSING ID")</x:f>
        <x:v>Assay sample</x:v>
      </x:c>
      <x:c r="D520" s="4" t="str">
        <x:f>IFERROR(INDEX(Items!$C$6:$C$1005,MATCH(A520,Items!$A$6:$A$1005,0)),"MISSING ID")</x:f>
        <x:v>Not applicable</x:v>
      </x:c>
      <x:c r="E520" s="4" t="str">
        <x:v>Finished endpoint</x:v>
      </x:c>
      <x:c r="F520" s="14" t="n">
        <x:f>IFERROR(INDEX(Items!$AJ$6:$AJ$1005,MATCH(A520,Items!$A$6:$A$1005,0)),"MISSING ID")</x:f>
        <x:v>1</x:v>
      </x:c>
      <x:c r="G520" s="4" t="str">
        <x:v>Traced to cataloged T0 and/or recovered feeds</x:v>
      </x:c>
      <x:c r="H520" s="4" t="str">
        <x:v>Forge hearth, Anvil, Forging hammer, Smithing tongs, Metalworking file and Hand-cranked metal drill as applicable. Existing workshop bootstrap and controlled heating/cooling required; no free-water quench assumed.</x:v>
      </x:c>
      <x:c r="I520" s="4" t="str">
        <x:v>Candidate path traced</x:v>
      </x:c>
      <x:c r="J520" s="4" t="str">
        <x:v>Dimensions, grade, process qualification, quantity and yield remain open.</x:v>
      </x:c>
    </x:row>
    <x:row r="521" ht="115" customHeight="1">
      <x:c r="A521" s="4" t="str">
        <x:v>proposal.lore.ancient_seal_strip</x:v>
      </x:c>
      <x:c r="B521" s="4" t="str">
        <x:f>IFERROR(INDEX(Items!$B$6:$B$1005,MATCH(A521,Items!$A$6:$A$1005,0)),"MISSING ID")</x:f>
        <x:v>Recovered ancient seal strip</x:v>
      </x:c>
      <x:c r="C521" s="4" t="str">
        <x:f>IFERROR(INDEX(Items!$X$6:$X$1005,MATCH(A521,Items!$A$6:$A$1005,0)),"MISSING ID")</x:f>
        <x:v>Processed material</x:v>
      </x:c>
      <x:c r="D521" s="4" t="str">
        <x:f>IFERROR(INDEX(Items!$C$6:$C$1005,MATCH(A521,Items!$A$6:$A$1005,0)),"MISSING ID")</x:f>
        <x:v>Not applicable</x:v>
      </x:c>
      <x:c r="E521" s="4" t="str">
        <x:v>Recovery</x:v>
      </x:c>
      <x:c r="F521" s="14" t="n">
        <x:f>IFERROR(INDEX(Items!$AJ$6:$AJ$1005,MATCH(A521,Items!$A$6:$A$1005,0)),"MISSING ID")</x:f>
        <x:v>0</x:v>
      </x:c>
      <x:c r="G521" s="4" t="str">
        <x:v>Source, recovery or issue route applies</x:v>
      </x:c>
      <x:c r="H521" s="4" t="str">
        <x:v>Not a selected manufacturing route</x:v>
      </x:c>
      <x:c r="I521" s="4" t="str">
        <x:v>Recovery only</x:v>
      </x:c>
      <x:c r="J521" s="4" t="str">
        <x:v>Recover and assess a compatible item. No manufacturing route or guaranteed working function.</x:v>
      </x:c>
    </x:row>
    <x:row r="522" ht="115" customHeight="1">
      <x:c r="A522" s="4" t="str">
        <x:v>proposal.lore.ancient_view_plate</x:v>
      </x:c>
      <x:c r="B522" s="4" t="str">
        <x:f>IFERROR(INDEX(Items!$B$6:$B$1005,MATCH(A522,Items!$A$6:$A$1005,0)),"MISSING ID")</x:f>
        <x:v>Recovered ancient transparent plate</x:v>
      </x:c>
      <x:c r="C522" s="4" t="str">
        <x:f>IFERROR(INDEX(Items!$X$6:$X$1005,MATCH(A522,Items!$A$6:$A$1005,0)),"MISSING ID")</x:f>
        <x:v>Processed material</x:v>
      </x:c>
      <x:c r="D522" s="4" t="str">
        <x:f>IFERROR(INDEX(Items!$C$6:$C$1005,MATCH(A522,Items!$A$6:$A$1005,0)),"MISSING ID")</x:f>
        <x:v>Not applicable</x:v>
      </x:c>
      <x:c r="E522" s="4" t="str">
        <x:v>Recovery</x:v>
      </x:c>
      <x:c r="F522" s="14" t="n">
        <x:f>IFERROR(INDEX(Items!$AJ$6:$AJ$1005,MATCH(A522,Items!$A$6:$A$1005,0)),"MISSING ID")</x:f>
        <x:v>0</x:v>
      </x:c>
      <x:c r="G522" s="4" t="str">
        <x:v>Source, recovery or issue route applies</x:v>
      </x:c>
      <x:c r="H522" s="4" t="str">
        <x:v>Not a selected manufacturing route</x:v>
      </x:c>
      <x:c r="I522" s="4" t="str">
        <x:v>Recovery only</x:v>
      </x:c>
      <x:c r="J522" s="4" t="str">
        <x:v>Recover and assess a compatible item. No manufacturing route or guaranteed working function.</x:v>
      </x:c>
    </x:row>
    <x:row r="523" ht="115" customHeight="1">
      <x:c r="A523" s="4" t="str">
        <x:v>proposal.collection.nickel_bearing_nodules</x:v>
      </x:c>
      <x:c r="B523" s="4" t="str">
        <x:f>IFERROR(INDEX(Items!$B$6:$B$1005,MATCH(A523,Items!$A$6:$A$1005,0)),"MISSING ID")</x:f>
        <x:v>Nickel-bearing nodules</x:v>
      </x:c>
      <x:c r="C523" s="4" t="str">
        <x:f>IFERROR(INDEX(Items!$X$6:$X$1005,MATCH(A523,Items!$A$6:$A$1005,0)),"MISSING ID")</x:f>
        <x:v>Raw material</x:v>
      </x:c>
      <x:c r="D523" s="4" t="str">
        <x:f>IFERROR(INDEX(Items!$C$6:$C$1005,MATCH(A523,Items!$A$6:$A$1005,0)),"MISSING ID")</x:f>
        <x:v>T0</x:v>
      </x:c>
      <x:c r="E523" s="4" t="str">
        <x:v>Raw source</x:v>
      </x:c>
      <x:c r="F523" s="14" t="n">
        <x:f>IFERROR(INDEX(Items!$AJ$6:$AJ$1005,MATCH(A523,Items!$A$6:$A$1005,0)),"MISSING ID")</x:f>
        <x:v>0</x:v>
      </x:c>
      <x:c r="G523" s="4" t="str">
        <x:v>Source, recovery or issue route applies</x:v>
      </x:c>
      <x:c r="H523" s="4" t="str">
        <x:v>Not a selected manufacturing route</x:v>
      </x:c>
      <x:c r="I523" s="4" t="str">
        <x:v>Raw entry feed</x:v>
      </x:c>
      <x:c r="J523" s="4" t="str">
        <x:v>Source grade, collection, contamination and yield remain open.</x:v>
      </x:c>
    </x:row>
    <x:row r="524" ht="115" customHeight="1">
      <x:c r="A524" s="4" t="str">
        <x:v>proposal.collection.tin_bearing_gravel</x:v>
      </x:c>
      <x:c r="B524" s="4" t="str">
        <x:f>IFERROR(INDEX(Items!$B$6:$B$1005,MATCH(A524,Items!$A$6:$A$1005,0)),"MISSING ID")</x:f>
        <x:v>Tin-bearing gravel</x:v>
      </x:c>
      <x:c r="C524" s="4" t="str">
        <x:f>IFERROR(INDEX(Items!$X$6:$X$1005,MATCH(A524,Items!$A$6:$A$1005,0)),"MISSING ID")</x:f>
        <x:v>Raw material</x:v>
      </x:c>
      <x:c r="D524" s="4" t="str">
        <x:f>IFERROR(INDEX(Items!$C$6:$C$1005,MATCH(A524,Items!$A$6:$A$1005,0)),"MISSING ID")</x:f>
        <x:v>T0</x:v>
      </x:c>
      <x:c r="E524" s="4" t="str">
        <x:v>Raw source</x:v>
      </x:c>
      <x:c r="F524" s="14" t="n">
        <x:f>IFERROR(INDEX(Items!$AJ$6:$AJ$1005,MATCH(A524,Items!$A$6:$A$1005,0)),"MISSING ID")</x:f>
        <x:v>0</x:v>
      </x:c>
      <x:c r="G524" s="4" t="str">
        <x:v>Source, recovery or issue route applies</x:v>
      </x:c>
      <x:c r="H524" s="4" t="str">
        <x:v>Not a selected manufacturing route</x:v>
      </x:c>
      <x:c r="I524" s="4" t="str">
        <x:v>Raw entry feed</x:v>
      </x:c>
      <x:c r="J524" s="4" t="str">
        <x:v>Source grade, collection, contamination and yield remain open.</x:v>
      </x:c>
    </x:row>
    <x:row r="525" ht="115" customHeight="1">
      <x:c r="A525" s="4" t="str">
        <x:v>proposal.collection.chromite_rich_stone</x:v>
      </x:c>
      <x:c r="B525" s="4" t="str">
        <x:f>IFERROR(INDEX(Items!$B$6:$B$1005,MATCH(A525,Items!$A$6:$A$1005,0)),"MISSING ID")</x:f>
        <x:v>Chromite-rich stone</x:v>
      </x:c>
      <x:c r="C525" s="4" t="str">
        <x:f>IFERROR(INDEX(Items!$X$6:$X$1005,MATCH(A525,Items!$A$6:$A$1005,0)),"MISSING ID")</x:f>
        <x:v>Raw material</x:v>
      </x:c>
      <x:c r="D525" s="4" t="str">
        <x:f>IFERROR(INDEX(Items!$C$6:$C$1005,MATCH(A525,Items!$A$6:$A$1005,0)),"MISSING ID")</x:f>
        <x:v>T0</x:v>
      </x:c>
      <x:c r="E525" s="4" t="str">
        <x:v>Raw source</x:v>
      </x:c>
      <x:c r="F525" s="14" t="n">
        <x:f>IFERROR(INDEX(Items!$AJ$6:$AJ$1005,MATCH(A525,Items!$A$6:$A$1005,0)),"MISSING ID")</x:f>
        <x:v>0</x:v>
      </x:c>
      <x:c r="G525" s="4" t="str">
        <x:v>Source, recovery or issue route applies</x:v>
      </x:c>
      <x:c r="H525" s="4" t="str">
        <x:v>Not a selected manufacturing route</x:v>
      </x:c>
      <x:c r="I525" s="4" t="str">
        <x:v>Raw entry feed</x:v>
      </x:c>
      <x:c r="J525" s="4" t="str">
        <x:v>Source grade, collection, contamination and yield remain open.</x:v>
      </x:c>
    </x:row>
    <x:row r="526" ht="115" customHeight="1">
      <x:c r="A526" s="4" t="str">
        <x:v>proposal.collection.ilmenite_rich_sand</x:v>
      </x:c>
      <x:c r="B526" s="4" t="str">
        <x:f>IFERROR(INDEX(Items!$B$6:$B$1005,MATCH(A526,Items!$A$6:$A$1005,0)),"MISSING ID")</x:f>
        <x:v>Ilmenite-rich sand</x:v>
      </x:c>
      <x:c r="C526" s="4" t="str">
        <x:f>IFERROR(INDEX(Items!$X$6:$X$1005,MATCH(A526,Items!$A$6:$A$1005,0)),"MISSING ID")</x:f>
        <x:v>Raw material</x:v>
      </x:c>
      <x:c r="D526" s="4" t="str">
        <x:f>IFERROR(INDEX(Items!$C$6:$C$1005,MATCH(A526,Items!$A$6:$A$1005,0)),"MISSING ID")</x:f>
        <x:v>T0</x:v>
      </x:c>
      <x:c r="E526" s="4" t="str">
        <x:v>Raw source</x:v>
      </x:c>
      <x:c r="F526" s="14" t="n">
        <x:f>IFERROR(INDEX(Items!$AJ$6:$AJ$1005,MATCH(A526,Items!$A$6:$A$1005,0)),"MISSING ID")</x:f>
        <x:v>0</x:v>
      </x:c>
      <x:c r="G526" s="4" t="str">
        <x:v>Source, recovery or issue route applies</x:v>
      </x:c>
      <x:c r="H526" s="4" t="str">
        <x:v>Not a selected manufacturing route</x:v>
      </x:c>
      <x:c r="I526" s="4" t="str">
        <x:v>Raw entry feed</x:v>
      </x:c>
      <x:c r="J526" s="4" t="str">
        <x:v>Source grade, collection, contamination and yield remain open.</x:v>
      </x:c>
    </x:row>
    <x:row r="527" ht="115" customHeight="1">
      <x:c r="A527" s="4"/>
      <x:c r="B527" s="4"/>
      <x:c r="C527" s="4"/>
      <x:c r="D527" s="4"/>
      <x:c r="E527" s="4"/>
      <x:c r="F527" s="14"/>
      <x:c r="G527" s="4"/>
      <x:c r="H527" s="4"/>
      <x:c r="I527" s="4"/>
      <x:c r="J527" s="4"/>
    </x:row>
    <x:row r="528" ht="115" customHeight="1">
      <x:c r="A528" s="4"/>
      <x:c r="B528" s="4"/>
      <x:c r="C528" s="4"/>
      <x:c r="D528" s="4"/>
      <x:c r="E528" s="4"/>
      <x:c r="F528" s="14"/>
      <x:c r="G528" s="4"/>
      <x:c r="H528" s="4"/>
      <x:c r="I528" s="4"/>
      <x:c r="J528" s="4"/>
    </x:row>
    <x:row r="529" ht="115" customHeight="1">
      <x:c r="A529" s="4"/>
      <x:c r="B529" s="4"/>
      <x:c r="C529" s="4"/>
      <x:c r="D529" s="4"/>
      <x:c r="E529" s="4"/>
      <x:c r="F529" s="14"/>
      <x:c r="G529" s="4"/>
      <x:c r="H529" s="4"/>
      <x:c r="I529" s="4"/>
      <x:c r="J529" s="4"/>
    </x:row>
    <x:row r="530" ht="115" customHeight="1">
      <x:c r="A530" s="4" t="str">
        <x:v>proposal.collection.dolomite_fragments</x:v>
      </x:c>
      <x:c r="B530" s="4" t="str">
        <x:f>IFERROR(INDEX(Items!$B$6:$B$1005,MATCH(A530,Items!$A$6:$A$1005,0)),"MISSING ID")</x:f>
        <x:v>Dolomite fragments</x:v>
      </x:c>
      <x:c r="C530" s="4" t="str">
        <x:f>IFERROR(INDEX(Items!$X$6:$X$1005,MATCH(A530,Items!$A$6:$A$1005,0)),"MISSING ID")</x:f>
        <x:v>Raw material</x:v>
      </x:c>
      <x:c r="D530" s="4" t="str">
        <x:f>IFERROR(INDEX(Items!$C$6:$C$1005,MATCH(A530,Items!$A$6:$A$1005,0)),"MISSING ID")</x:f>
        <x:v>T0</x:v>
      </x:c>
      <x:c r="E530" s="4" t="str">
        <x:v>Raw source</x:v>
      </x:c>
      <x:c r="F530" s="14" t="n">
        <x:f>IFERROR(INDEX(Items!$AJ$6:$AJ$1005,MATCH(A530,Items!$A$6:$A$1005,0)),"MISSING ID")</x:f>
        <x:v>0</x:v>
      </x:c>
      <x:c r="G530" s="4" t="str">
        <x:v>Source, recovery or issue route applies</x:v>
      </x:c>
      <x:c r="H530" s="4" t="str">
        <x:v>Not a selected manufacturing route</x:v>
      </x:c>
      <x:c r="I530" s="4" t="str">
        <x:v>Raw entry feed</x:v>
      </x:c>
      <x:c r="J530" s="4" t="str">
        <x:v>Source grade, collection, contamination and yield remain open.</x:v>
      </x:c>
    </x:row>
    <x:row r="531" ht="115" customHeight="1">
      <x:c r="A531" s="4" t="str">
        <x:v>proposal.collection.halite_chunks</x:v>
      </x:c>
      <x:c r="B531" s="4" t="str">
        <x:f>IFERROR(INDEX(Items!$B$6:$B$1005,MATCH(A531,Items!$A$6:$A$1005,0)),"MISSING ID")</x:f>
        <x:v>Halite chunks</x:v>
      </x:c>
      <x:c r="C531" s="4" t="str">
        <x:f>IFERROR(INDEX(Items!$X$6:$X$1005,MATCH(A531,Items!$A$6:$A$1005,0)),"MISSING ID")</x:f>
        <x:v>Raw material</x:v>
      </x:c>
      <x:c r="D531" s="4" t="str">
        <x:f>IFERROR(INDEX(Items!$C$6:$C$1005,MATCH(A531,Items!$A$6:$A$1005,0)),"MISSING ID")</x:f>
        <x:v>T0</x:v>
      </x:c>
      <x:c r="E531" s="4" t="str">
        <x:v>Raw source</x:v>
      </x:c>
      <x:c r="F531" s="14" t="n">
        <x:f>IFERROR(INDEX(Items!$AJ$6:$AJ$1005,MATCH(A531,Items!$A$6:$A$1005,0)),"MISSING ID")</x:f>
        <x:v>0</x:v>
      </x:c>
      <x:c r="G531" s="4" t="str">
        <x:v>Source, recovery or issue route applies</x:v>
      </x:c>
      <x:c r="H531" s="4" t="str">
        <x:v>Not a selected manufacturing route</x:v>
      </x:c>
      <x:c r="I531" s="4" t="str">
        <x:v>Raw entry feed</x:v>
      </x:c>
      <x:c r="J531" s="4" t="str">
        <x:v>Source grade, collection, contamination and yield remain open.</x:v>
      </x:c>
    </x:row>
    <x:row r="532" ht="115" customHeight="1">
      <x:c r="A532" s="4"/>
      <x:c r="B532" s="4"/>
      <x:c r="C532" s="4"/>
      <x:c r="D532" s="4"/>
      <x:c r="E532" s="4"/>
      <x:c r="F532" s="14"/>
      <x:c r="G532" s="4"/>
      <x:c r="H532" s="4"/>
      <x:c r="I532" s="4"/>
      <x:c r="J532" s="4"/>
    </x:row>
    <x:row r="533" ht="115" customHeight="1">
      <x:c r="A533" s="4" t="str">
        <x:v>proposal.collection.dense_heat_holding_stone</x:v>
      </x:c>
      <x:c r="B533" s="4" t="str">
        <x:f>IFERROR(INDEX(Items!$B$6:$B$1005,MATCH(A533,Items!$A$6:$A$1005,0)),"MISSING ID")</x:f>
        <x:v>Dense heat-holding stone</x:v>
      </x:c>
      <x:c r="C533" s="4" t="str">
        <x:f>IFERROR(INDEX(Items!$X$6:$X$1005,MATCH(A533,Items!$A$6:$A$1005,0)),"MISSING ID")</x:f>
        <x:v>Raw material</x:v>
      </x:c>
      <x:c r="D533" s="4" t="str">
        <x:f>IFERROR(INDEX(Items!$C$6:$C$1005,MATCH(A533,Items!$A$6:$A$1005,0)),"MISSING ID")</x:f>
        <x:v>T0</x:v>
      </x:c>
      <x:c r="E533" s="4" t="str">
        <x:v>Raw source</x:v>
      </x:c>
      <x:c r="F533" s="14" t="n">
        <x:f>IFERROR(INDEX(Items!$AJ$6:$AJ$1005,MATCH(A533,Items!$A$6:$A$1005,0)),"MISSING ID")</x:f>
        <x:v>0</x:v>
      </x:c>
      <x:c r="G533" s="4" t="str">
        <x:v>Source, recovery or issue route applies</x:v>
      </x:c>
      <x:c r="H533" s="4" t="str">
        <x:v>Not a selected manufacturing route</x:v>
      </x:c>
      <x:c r="I533" s="4" t="str">
        <x:v>Raw entry feed</x:v>
      </x:c>
      <x:c r="J533" s="4" t="str">
        <x:v>Source grade, collection, contamination and yield remain open.</x:v>
      </x:c>
    </x:row>
    <x:row r="534" ht="115" customHeight="1">
      <x:c r="A534" s="4"/>
      <x:c r="B534" s="4"/>
      <x:c r="C534" s="4"/>
      <x:c r="D534" s="4"/>
      <x:c r="E534" s="4"/>
      <x:c r="F534" s="14"/>
      <x:c r="G534" s="4"/>
      <x:c r="H534" s="4"/>
      <x:c r="I534" s="4"/>
      <x:c r="J534" s="4"/>
    </x:row>
    <x:row r="535" ht="115" customHeight="1">
      <x:c r="A535" s="4" t="str">
        <x:v>proposal.collection.selected_edible_fauna_gland_tissue</x:v>
      </x:c>
      <x:c r="B535" s="4" t="str">
        <x:f>IFERROR(INDEX(Items!$B$6:$B$1005,MATCH(A535,Items!$A$6:$A$1005,0)),"MISSING ID")</x:f>
        <x:v>Selected edible-fauna gland tissue</x:v>
      </x:c>
      <x:c r="C535" s="4" t="str">
        <x:f>IFERROR(INDEX(Items!$X$6:$X$1005,MATCH(A535,Items!$A$6:$A$1005,0)),"MISSING ID")</x:f>
        <x:v>Raw material</x:v>
      </x:c>
      <x:c r="D535" s="4" t="str">
        <x:f>IFERROR(INDEX(Items!$C$6:$C$1005,MATCH(A535,Items!$A$6:$A$1005,0)),"MISSING ID")</x:f>
        <x:v>T0</x:v>
      </x:c>
      <x:c r="E535" s="4" t="str">
        <x:v>Raw source</x:v>
      </x:c>
      <x:c r="F535" s="14" t="n">
        <x:f>IFERROR(INDEX(Items!$AJ$6:$AJ$1005,MATCH(A535,Items!$A$6:$A$1005,0)),"MISSING ID")</x:f>
        <x:v>0</x:v>
      </x:c>
      <x:c r="G535" s="4" t="str">
        <x:v>Source, recovery or issue route applies</x:v>
      </x:c>
      <x:c r="H535" s="4" t="str">
        <x:v>Not a selected manufacturing route</x:v>
      </x:c>
      <x:c r="I535" s="4" t="str">
        <x:v>Raw entry feed</x:v>
      </x:c>
      <x:c r="J535" s="4" t="str">
        <x:v>Source grade, collection, contamination and yield remain open.</x:v>
      </x:c>
    </x:row>
    <x:row r="536" ht="115" customHeight="1">
      <x:c r="A536" s="4" t="str">
        <x:v>proposal.collection.sorted_nickel_alloying_feed</x:v>
      </x:c>
      <x:c r="B536" s="4" t="str">
        <x:f>IFERROR(INDEX(Items!$B$6:$B$1005,MATCH(A536,Items!$A$6:$A$1005,0)),"MISSING ID")</x:f>
        <x:v>Sorted nickel alloying feed</x:v>
      </x:c>
      <x:c r="C536" s="4" t="str">
        <x:f>IFERROR(INDEX(Items!$X$6:$X$1005,MATCH(A536,Items!$A$6:$A$1005,0)),"MISSING ID")</x:f>
        <x:v>Processed material</x:v>
      </x:c>
      <x:c r="D536" s="4" t="str">
        <x:f>IFERROR(INDEX(Items!$C$6:$C$1005,MATCH(A536,Items!$A$6:$A$1005,0)),"MISSING ID")</x:f>
        <x:v>T1</x:v>
      </x:c>
      <x:c r="E536" s="4" t="str">
        <x:v>Manufactured stock / part</x:v>
      </x:c>
      <x:c r="F536" s="14" t="n">
        <x:f>IFERROR(INDEX(Items!$AJ$6:$AJ$1005,MATCH(A536,Items!$A$6:$A$1005,0)),"MISSING ID")</x:f>
        <x:v>1</x:v>
      </x:c>
      <x:c r="G536" s="4" t="str">
        <x:v>Traced to cataloged T0 and/or recovered feeds</x:v>
      </x:c>
      <x:c r="H536" s="4" t="str">
        <x:v>Ceramic grinding mortar, Ceramic pestle, Ceramic abrasive disc and stone-cutting fixtures as applicable; grade selection and finishing qualification required.</x:v>
      </x:c>
      <x:c r="I536" s="4" t="str">
        <x:v>Candidate path traced</x:v>
      </x:c>
      <x:c r="J536" s="4" t="str">
        <x:v>Dimensions, grade, process qualification, quantity and yield remain open.</x:v>
      </x:c>
    </x:row>
    <x:row r="537" ht="115" customHeight="1">
      <x:c r="A537" s="4" t="str">
        <x:v>proposal.collection.sorted_tin_smelter_feed</x:v>
      </x:c>
      <x:c r="B537" s="4" t="str">
        <x:f>IFERROR(INDEX(Items!$B$6:$B$1005,MATCH(A537,Items!$A$6:$A$1005,0)),"MISSING ID")</x:f>
        <x:v>Sorted tin smelter feed</x:v>
      </x:c>
      <x:c r="C537" s="4" t="str">
        <x:f>IFERROR(INDEX(Items!$X$6:$X$1005,MATCH(A537,Items!$A$6:$A$1005,0)),"MISSING ID")</x:f>
        <x:v>Processed material</x:v>
      </x:c>
      <x:c r="D537" s="4" t="str">
        <x:f>IFERROR(INDEX(Items!$C$6:$C$1005,MATCH(A537,Items!$A$6:$A$1005,0)),"MISSING ID")</x:f>
        <x:v>T1</x:v>
      </x:c>
      <x:c r="E537" s="4" t="str">
        <x:v>Manufactured stock / part</x:v>
      </x:c>
      <x:c r="F537" s="14" t="n">
        <x:f>IFERROR(INDEX(Items!$AJ$6:$AJ$1005,MATCH(A537,Items!$A$6:$A$1005,0)),"MISSING ID")</x:f>
        <x:v>1</x:v>
      </x:c>
      <x:c r="G537" s="4" t="str">
        <x:v>Traced to cataloged T0 and/or recovered feeds</x:v>
      </x:c>
      <x:c r="H537" s="4" t="str">
        <x:v>Ceramic grinding mortar, Ceramic pestle, Ceramic abrasive disc and stone-cutting fixtures as applicable; grade selection and finishing qualification required.</x:v>
      </x:c>
      <x:c r="I537" s="4" t="str">
        <x:v>Candidate path traced</x:v>
      </x:c>
      <x:c r="J537" s="4" t="str">
        <x:v>Dimensions, grade, process qualification, quantity and yield remain open.</x:v>
      </x:c>
    </x:row>
    <x:row r="538" ht="115" customHeight="1">
      <x:c r="A538" s="4" t="str">
        <x:v>proposal.collection.prepared_kaolin_body_stock</x:v>
      </x:c>
      <x:c r="B538" s="4" t="str">
        <x:f>IFERROR(INDEX(Items!$B$6:$B$1005,MATCH(A538,Items!$A$6:$A$1005,0)),"MISSING ID")</x:f>
        <x:v>Prepared kaolin body stock</x:v>
      </x:c>
      <x:c r="C538" s="4" t="str">
        <x:f>IFERROR(INDEX(Items!$X$6:$X$1005,MATCH(A538,Items!$A$6:$A$1005,0)),"MISSING ID")</x:f>
        <x:v>Processed material</x:v>
      </x:c>
      <x:c r="D538" s="4" t="str">
        <x:f>IFERROR(INDEX(Items!$C$6:$C$1005,MATCH(A538,Items!$A$6:$A$1005,0)),"MISSING ID")</x:f>
        <x:v>T2</x:v>
      </x:c>
      <x:c r="E538" s="4" t="str">
        <x:v>Manufactured stock / part</x:v>
      </x:c>
      <x:c r="F538" s="14" t="n">
        <x:f>IFERROR(INDEX(Items!$AJ$6:$AJ$1005,MATCH(A538,Items!$A$6:$A$1005,0)),"MISSING ID")</x:f>
        <x:v>1</x:v>
      </x:c>
      <x:c r="G538" s="4" t="str">
        <x:v>Traced to cataloged T0 and/or recovered feeds</x:v>
      </x:c>
      <x:c r="H538" s="4" t="str">
        <x:v>Controlled-heating firing kiln or specialist glass hot-work station; Ceramic firing tray / Ceramic casting mold as applicable. Qualified power, heat and atmosphere required.</x:v>
      </x:c>
      <x:c r="I538" s="4" t="str">
        <x:v>Candidate path traced</x:v>
      </x:c>
      <x:c r="J538" s="4" t="str">
        <x:v>Dimensions, grade, process qualification, quantity and yield remain open.</x:v>
      </x:c>
    </x:row>
    <x:row r="539" ht="115" customHeight="1">
      <x:c r="A539" s="4" t="str">
        <x:v>proposal.collection.graded_magnesite_refractory_meal</x:v>
      </x:c>
      <x:c r="B539" s="4" t="str">
        <x:f>IFERROR(INDEX(Items!$B$6:$B$1005,MATCH(A539,Items!$A$6:$A$1005,0)),"MISSING ID")</x:f>
        <x:v>Graded magnesite refractory meal</x:v>
      </x:c>
      <x:c r="C539" s="4" t="str">
        <x:f>IFERROR(INDEX(Items!$X$6:$X$1005,MATCH(A539,Items!$A$6:$A$1005,0)),"MISSING ID")</x:f>
        <x:v>Processed material</x:v>
      </x:c>
      <x:c r="D539" s="4" t="str">
        <x:f>IFERROR(INDEX(Items!$C$6:$C$1005,MATCH(A539,Items!$A$6:$A$1005,0)),"MISSING ID")</x:f>
        <x:v>T1</x:v>
      </x:c>
      <x:c r="E539" s="4" t="str">
        <x:v>Manufactured stock / part</x:v>
      </x:c>
      <x:c r="F539" s="14" t="n">
        <x:f>IFERROR(INDEX(Items!$AJ$6:$AJ$1005,MATCH(A539,Items!$A$6:$A$1005,0)),"MISSING ID")</x:f>
        <x:v>1</x:v>
      </x:c>
      <x:c r="G539" s="4" t="str">
        <x:v>Traced to cataloged T0 and/or recovered feeds</x:v>
      </x:c>
      <x:c r="H539" s="4" t="str">
        <x:v>Ceramic grinding mortar, Ceramic pestle, Ceramic abrasive disc and stone-cutting fixtures as applicable; grade selection and finishing qualification required.</x:v>
      </x:c>
      <x:c r="I539" s="4" t="str">
        <x:v>Candidate path traced</x:v>
      </x:c>
      <x:c r="J539" s="4" t="str">
        <x:v>Dimensions, grade, process qualification, quantity and yield remain open.</x:v>
      </x:c>
    </x:row>
    <x:row r="540" ht="115" customHeight="1">
      <x:c r="A540" s="4" t="str">
        <x:v>proposal.collection.drawn_bronze_strip_stock</x:v>
      </x:c>
      <x:c r="B540" s="4" t="str">
        <x:f>IFERROR(INDEX(Items!$B$6:$B$1005,MATCH(A540,Items!$A$6:$A$1005,0)),"MISSING ID")</x:f>
        <x:v>Drawn bronze strip stock</x:v>
      </x:c>
      <x:c r="C540" s="4" t="str">
        <x:f>IFERROR(INDEX(Items!$X$6:$X$1005,MATCH(A540,Items!$A$6:$A$1005,0)),"MISSING ID")</x:f>
        <x:v>Processed material</x:v>
      </x:c>
      <x:c r="D540" s="4" t="str">
        <x:f>IFERROR(INDEX(Items!$C$6:$C$1005,MATCH(A540,Items!$A$6:$A$1005,0)),"MISSING ID")</x:f>
        <x:v>T2</x:v>
      </x:c>
      <x:c r="E540" s="4" t="str">
        <x:v>Manufactured stock / part</x:v>
      </x:c>
      <x:c r="F540" s="14" t="n">
        <x:f>IFERROR(INDEX(Items!$AJ$6:$AJ$1005,MATCH(A540,Items!$A$6:$A$1005,0)),"MISSING ID")</x:f>
        <x:v>1</x:v>
      </x:c>
      <x:c r="G540" s="4" t="str">
        <x:v>Traced to cataloged T0 and/or recovered feeds</x:v>
      </x:c>
      <x:c r="H540" s="4" t="str">
        <x:v>Forge hearth, Anvil, Forging hammer, Smithing tongs, Metalworking file and Hand-cranked metal drill as applicable. Existing workshop bootstrap and controlled heating/cooling required; no free-water quench assumed.</x:v>
      </x:c>
      <x:c r="I540" s="4" t="str">
        <x:v>Candidate path traced</x:v>
      </x:c>
      <x:c r="J540" s="4" t="str">
        <x:v>Dimensions, grade, process qualification, quantity and yield remain open.</x:v>
      </x:c>
    </x:row>
    <x:row r="541" ht="115" customHeight="1">
      <x:c r="A541" s="4" t="str">
        <x:v>proposal.collection.annealed_iron_sheet_stock</x:v>
      </x:c>
      <x:c r="B541" s="4" t="str">
        <x:f>IFERROR(INDEX(Items!$B$6:$B$1005,MATCH(A541,Items!$A$6:$A$1005,0)),"MISSING ID")</x:f>
        <x:v>Annealed iron sheet stock</x:v>
      </x:c>
      <x:c r="C541" s="4" t="str">
        <x:f>IFERROR(INDEX(Items!$X$6:$X$1005,MATCH(A541,Items!$A$6:$A$1005,0)),"MISSING ID")</x:f>
        <x:v>Processed material</x:v>
      </x:c>
      <x:c r="D541" s="4" t="str">
        <x:f>IFERROR(INDEX(Items!$C$6:$C$1005,MATCH(A541,Items!$A$6:$A$1005,0)),"MISSING ID")</x:f>
        <x:v>T3</x:v>
      </x:c>
      <x:c r="E541" s="4" t="str">
        <x:v>Manufactured stock / part</x:v>
      </x:c>
      <x:c r="F541" s="14" t="n">
        <x:f>IFERROR(INDEX(Items!$AJ$6:$AJ$1005,MATCH(A541,Items!$A$6:$A$1005,0)),"MISSING ID")</x:f>
        <x:v>1</x:v>
      </x:c>
      <x:c r="G541" s="4" t="str">
        <x:v>Traced to cataloged T0 and/or recovered feeds</x:v>
      </x:c>
      <x:c r="H541" s="4" t="str">
        <x:v>Forge hearth, Anvil, Forging hammer, Smithing tongs, Metalworking file and Hand-cranked metal drill as applicable. Existing workshop bootstrap and controlled heating/cooling required; no free-water quench assumed.</x:v>
      </x:c>
      <x:c r="I541" s="4" t="str">
        <x:v>Candidate path traced</x:v>
      </x:c>
      <x:c r="J541" s="4" t="str">
        <x:v>Dimensions, grade, process qualification, quantity and yield remain open.</x:v>
      </x:c>
    </x:row>
    <x:row r="542" ht="115" customHeight="1">
      <x:c r="A542" s="4" t="str">
        <x:v>proposal.collection.pressed_chitin_friction_stock</x:v>
      </x:c>
      <x:c r="B542" s="4" t="str">
        <x:f>IFERROR(INDEX(Items!$B$6:$B$1005,MATCH(A542,Items!$A$6:$A$1005,0)),"MISSING ID")</x:f>
        <x:v>Pressed chitin friction stock</x:v>
      </x:c>
      <x:c r="C542" s="4" t="str">
        <x:f>IFERROR(INDEX(Items!$X$6:$X$1005,MATCH(A542,Items!$A$6:$A$1005,0)),"MISSING ID")</x:f>
        <x:v>Processed material</x:v>
      </x:c>
      <x:c r="D542" s="4" t="str">
        <x:f>IFERROR(INDEX(Items!$C$6:$C$1005,MATCH(A542,Items!$A$6:$A$1005,0)),"MISSING ID")</x:f>
        <x:v>T2</x:v>
      </x:c>
      <x:c r="E542" s="4" t="str">
        <x:v>Manufactured stock / part</x:v>
      </x:c>
      <x:c r="F542" s="14" t="n">
        <x:f>IFERROR(INDEX(Items!$AJ$6:$AJ$1005,MATCH(A542,Items!$A$6:$A$1005,0)),"MISSING ID")</x:f>
        <x:v>1</x:v>
      </x:c>
      <x:c r="G542" s="4" t="str">
        <x:v>Traced to cataloged T0 and/or recovered feeds</x:v>
      </x:c>
      <x:c r="H542" s="4" t="str">
        <x:v>Ceramic grinding mortar, Ceramic pestle, Ceramic abrasive disc and stone-cutting fixtures as applicable; grade selection and finishing qualification required.</x:v>
      </x:c>
      <x:c r="I542" s="4" t="str">
        <x:v>Candidate path traced</x:v>
      </x:c>
      <x:c r="J542" s="4" t="str">
        <x:v>Dimensions, grade, process qualification, quantity and yield remain open.</x:v>
      </x:c>
    </x:row>
    <x:row r="543" ht="115" customHeight="1">
      <x:c r="A543" s="4" t="str">
        <x:v>proposal.collection.calibrated_ceramic_mounting_saddle</x:v>
      </x:c>
      <x:c r="B543" s="4" t="str">
        <x:f>IFERROR(INDEX(Items!$B$6:$B$1005,MATCH(A543,Items!$A$6:$A$1005,0)),"MISSING ID")</x:f>
        <x:v>Calibrated ceramic mounting saddle</x:v>
      </x:c>
      <x:c r="C543" s="4" t="str">
        <x:f>IFERROR(INDEX(Items!$X$6:$X$1005,MATCH(A543,Items!$A$6:$A$1005,0)),"MISSING ID")</x:f>
        <x:v>Crafting component</x:v>
      </x:c>
      <x:c r="D543" s="4" t="str">
        <x:f>IFERROR(INDEX(Items!$C$6:$C$1005,MATCH(A543,Items!$A$6:$A$1005,0)),"MISSING ID")</x:f>
        <x:v>T4</x:v>
      </x:c>
      <x:c r="E543" s="4" t="str">
        <x:v>Manufactured stock / part</x:v>
      </x:c>
      <x:c r="F543" s="14" t="n">
        <x:f>IFERROR(INDEX(Items!$AJ$6:$AJ$1005,MATCH(A543,Items!$A$6:$A$1005,0)),"MISSING ID")</x:f>
        <x:v>1</x:v>
      </x:c>
      <x:c r="G543" s="4" t="str">
        <x:v>Traced to cataloged T0 and/or recovered feeds</x:v>
      </x:c>
      <x:c r="H543" s="4" t="str">
        <x:v>Controlled-heating firing kiln or specialist glass hot-work station; Ceramic firing tray / Ceramic casting mold as applicable. Qualified power, heat and atmosphere required.</x:v>
      </x:c>
      <x:c r="I543" s="4" t="str">
        <x:v>Candidate path traced</x:v>
      </x:c>
      <x:c r="J543" s="4" t="str">
        <x:v>Dimensions, grade, process qualification, quantity and yield remain open.</x:v>
      </x:c>
    </x:row>
    <x:row r="544" ht="115" customHeight="1">
      <x:c r="A544" s="4" t="str">
        <x:v>proposal.collection.glass_joint_bedding_paste</x:v>
      </x:c>
      <x:c r="B544" s="4" t="str">
        <x:f>IFERROR(INDEX(Items!$B$6:$B$1005,MATCH(A544,Items!$A$6:$A$1005,0)),"MISSING ID")</x:f>
        <x:v>Glass-joint bedding paste</x:v>
      </x:c>
      <x:c r="C544" s="4" t="str">
        <x:f>IFERROR(INDEX(Items!$X$6:$X$1005,MATCH(A544,Items!$A$6:$A$1005,0)),"MISSING ID")</x:f>
        <x:v>Chemical material</x:v>
      </x:c>
      <x:c r="D544" s="4" t="str">
        <x:f>IFERROR(INDEX(Items!$C$6:$C$1005,MATCH(A544,Items!$A$6:$A$1005,0)),"MISSING ID")</x:f>
        <x:v>T2</x:v>
      </x:c>
      <x:c r="E544" s="4" t="str">
        <x:v>Manufactured stock / part</x:v>
      </x:c>
      <x:c r="F544" s="14" t="n">
        <x:f>IFERROR(INDEX(Items!$AJ$6:$AJ$1005,MATCH(A544,Items!$A$6:$A$1005,0)),"MISSING ID")</x:f>
        <x:v>1</x:v>
      </x:c>
      <x:c r="G544" s="4" t="str">
        <x:v>Traced to cataloged T0 and/or recovered feeds</x:v>
      </x:c>
      <x:c r="H544" s="4" t="str">
        <x:v>Contained segregated vessels, Ceramic grinding mortar, Ceramic pestle and Glass transfer funnel. Process/carrier compatibility unresolved.</x:v>
      </x:c>
      <x:c r="I544" s="4" t="str">
        <x:v>Candidate path traced</x:v>
      </x:c>
      <x:c r="J544" s="4" t="str">
        <x:v>Reagent identity, contained carrier, reaction/selectivity, compatibility and process yield require qualification.</x:v>
      </x:c>
    </x:row>
    <x:row r="545" ht="115" customHeight="1">
      <x:c r="A545" s="4"/>
      <x:c r="B545" s="4"/>
      <x:c r="C545" s="4"/>
      <x:c r="D545" s="4"/>
      <x:c r="E545" s="4"/>
      <x:c r="F545" s="14"/>
      <x:c r="G545" s="4"/>
      <x:c r="H545" s="4"/>
      <x:c r="I545" s="4"/>
      <x:c r="J545" s="4"/>
    </x:row>
    <x:row r="546" ht="115" customHeight="1">
      <x:c r="A546" s="4" t="str">
        <x:v>proposal.collection.shell_pigment_suspension</x:v>
      </x:c>
      <x:c r="B546" s="4" t="str">
        <x:f>IFERROR(INDEX(Items!$B$6:$B$1005,MATCH(A546,Items!$A$6:$A$1005,0)),"MISSING ID")</x:f>
        <x:v>Shell-pigment suspension</x:v>
      </x:c>
      <x:c r="C546" s="4" t="str">
        <x:f>IFERROR(INDEX(Items!$X$6:$X$1005,MATCH(A546,Items!$A$6:$A$1005,0)),"MISSING ID")</x:f>
        <x:v>Chemical material</x:v>
      </x:c>
      <x:c r="D546" s="4" t="str">
        <x:f>IFERROR(INDEX(Items!$C$6:$C$1005,MATCH(A546,Items!$A$6:$A$1005,0)),"MISSING ID")</x:f>
        <x:v>T2</x:v>
      </x:c>
      <x:c r="E546" s="4" t="str">
        <x:v>Manufactured stock / part</x:v>
      </x:c>
      <x:c r="F546" s="14" t="n">
        <x:f>IFERROR(INDEX(Items!$AJ$6:$AJ$1005,MATCH(A546,Items!$A$6:$A$1005,0)),"MISSING ID")</x:f>
        <x:v>1</x:v>
      </x:c>
      <x:c r="G546" s="4" t="str">
        <x:v>Traced to cataloged T0 and/or recovered feeds</x:v>
      </x:c>
      <x:c r="H546" s="4" t="str">
        <x:v>Contained segregated vessels, Ceramic grinding mortar, Ceramic pestle and Glass transfer funnel. Process/carrier compatibility unresolved.</x:v>
      </x:c>
      <x:c r="I546" s="4" t="str">
        <x:v>Candidate path traced</x:v>
      </x:c>
      <x:c r="J546" s="4" t="str">
        <x:v>Reagent identity, contained carrier, reaction/selectivity, compatibility and process yield require qualification.</x:v>
      </x:c>
    </x:row>
    <x:row r="547" ht="115" customHeight="1">
      <x:c r="A547" s="4" t="str">
        <x:v>proposal.collection.mineral_contact_cleaning_charge</x:v>
      </x:c>
      <x:c r="B547" s="4" t="str">
        <x:f>IFERROR(INDEX(Items!$B$6:$B$1005,MATCH(A547,Items!$A$6:$A$1005,0)),"MISSING ID")</x:f>
        <x:v>Mineral contact-cleaning charge</x:v>
      </x:c>
      <x:c r="C547" s="4" t="str">
        <x:f>IFERROR(INDEX(Items!$X$6:$X$1005,MATCH(A547,Items!$A$6:$A$1005,0)),"MISSING ID")</x:f>
        <x:v>Chemical material</x:v>
      </x:c>
      <x:c r="D547" s="4" t="str">
        <x:f>IFERROR(INDEX(Items!$C$6:$C$1005,MATCH(A547,Items!$A$6:$A$1005,0)),"MISSING ID")</x:f>
        <x:v>T2</x:v>
      </x:c>
      <x:c r="E547" s="4" t="str">
        <x:v>Manufactured stock / part</x:v>
      </x:c>
      <x:c r="F547" s="14" t="n">
        <x:f>IFERROR(INDEX(Items!$AJ$6:$AJ$1005,MATCH(A547,Items!$A$6:$A$1005,0)),"MISSING ID")</x:f>
        <x:v>1</x:v>
      </x:c>
      <x:c r="G547" s="4" t="str">
        <x:v>Traced to cataloged T0 and/or recovered feeds</x:v>
      </x:c>
      <x:c r="H547" s="4" t="str">
        <x:v>Contained segregated vessels, Ceramic grinding mortar, Ceramic pestle and Glass transfer funnel. Process/carrier compatibility unresolved.</x:v>
      </x:c>
      <x:c r="I547" s="4" t="str">
        <x:v>Candidate path traced</x:v>
      </x:c>
      <x:c r="J547" s="4" t="str">
        <x:v>Reagent identity, contained carrier, reaction/selectivity, compatibility and process yield require qualification.</x:v>
      </x:c>
    </x:row>
    <x:row r="548" ht="115" customHeight="1">
      <x:c r="A548" s="4" t="str">
        <x:v>proposal.collection.hand_cranked_metal_drill</x:v>
      </x:c>
      <x:c r="B548" s="4" t="str">
        <x:f>IFERROR(INDEX(Items!$B$6:$B$1005,MATCH(A548,Items!$A$6:$A$1005,0)),"MISSING ID")</x:f>
        <x:v>Hand-cranked metal drill</x:v>
      </x:c>
      <x:c r="C548" s="4" t="str">
        <x:f>IFERROR(INDEX(Items!$X$6:$X$1005,MATCH(A548,Items!$A$6:$A$1005,0)),"MISSING ID")</x:f>
        <x:v>Tool</x:v>
      </x:c>
      <x:c r="D548" s="4" t="str">
        <x:f>IFERROR(INDEX(Items!$C$6:$C$1005,MATCH(A548,Items!$A$6:$A$1005,0)),"MISSING ID")</x:f>
        <x:v>Not applicable</x:v>
      </x:c>
      <x:c r="E548" s="4" t="str">
        <x:v>Finished endpoint</x:v>
      </x:c>
      <x:c r="F548" s="14" t="n">
        <x:f>IFERROR(INDEX(Items!$AJ$6:$AJ$1005,MATCH(A548,Items!$A$6:$A$1005,0)),"MISSING ID")</x:f>
        <x:v>1</x:v>
      </x:c>
      <x:c r="G548" s="4" t="str">
        <x:v>Traced to cataloged T0 and/or recovered feeds</x:v>
      </x:c>
      <x:c r="H548" s="4" t="str">
        <x:v>Forge hearth, Anvil, Forging hammer, Smithing tongs, Metalworking file and Hand-cranked metal drill as applicable. Existing workshop bootstrap and controlled heating/cooling required; no free-water quench assumed.</x:v>
      </x:c>
      <x:c r="I548" s="4" t="str">
        <x:v>Candidate path traced</x:v>
      </x:c>
      <x:c r="J548" s="4" t="str">
        <x:v>Dimensions, grade, process qualification, quantity and yield remain open.</x:v>
      </x:c>
    </x:row>
    <x:row r="549" ht="115" customHeight="1">
      <x:c r="A549" s="4"/>
      <x:c r="B549" s="4"/>
      <x:c r="C549" s="4"/>
      <x:c r="D549" s="4"/>
      <x:c r="E549" s="4"/>
      <x:c r="F549" s="14"/>
      <x:c r="G549" s="4"/>
      <x:c r="H549" s="4"/>
      <x:c r="I549" s="4"/>
      <x:c r="J549" s="4"/>
    </x:row>
    <x:row r="550" ht="115" customHeight="1">
      <x:c r="A550" s="4" t="str">
        <x:v>proposal.collection.husk_sheet_cutting_shears</x:v>
      </x:c>
      <x:c r="B550" s="4" t="str">
        <x:f>IFERROR(INDEX(Items!$B$6:$B$1005,MATCH(A550,Items!$A$6:$A$1005,0)),"MISSING ID")</x:f>
        <x:v>Husk-sheet cutting shears</x:v>
      </x:c>
      <x:c r="C550" s="4" t="str">
        <x:f>IFERROR(INDEX(Items!$X$6:$X$1005,MATCH(A550,Items!$A$6:$A$1005,0)),"MISSING ID")</x:f>
        <x:v>Tool</x:v>
      </x:c>
      <x:c r="D550" s="4" t="str">
        <x:f>IFERROR(INDEX(Items!$C$6:$C$1005,MATCH(A550,Items!$A$6:$A$1005,0)),"MISSING ID")</x:f>
        <x:v>Not applicable</x:v>
      </x:c>
      <x:c r="E550" s="4" t="str">
        <x:v>Finished endpoint</x:v>
      </x:c>
      <x:c r="F550" s="14" t="n">
        <x:f>IFERROR(INDEX(Items!$AJ$6:$AJ$1005,MATCH(A550,Items!$A$6:$A$1005,0)),"MISSING ID")</x:f>
        <x:v>1</x:v>
      </x:c>
      <x:c r="G550" s="4" t="str">
        <x:v>Traced to cataloged T0 and/or recovered feeds</x:v>
      </x:c>
      <x:c r="H550" s="4" t="str">
        <x:v>Forge hearth, Anvil, Forging hammer, Smithing tongs, Metalworking file and Hand-cranked metal drill as applicable. Existing workshop bootstrap and controlled heating/cooling required; no free-water quench assumed.</x:v>
      </x:c>
      <x:c r="I550" s="4" t="str">
        <x:v>Candidate path traced</x:v>
      </x:c>
      <x:c r="J550" s="4" t="str">
        <x:v>Dimensions, grade, process qualification, quantity and yield remain open.</x:v>
      </x:c>
    </x:row>
    <x:row r="551" ht="115" customHeight="1">
      <x:c r="A551" s="4" t="str">
        <x:v>proposal.collection.divided_ceramic_reagent_caddy</x:v>
      </x:c>
      <x:c r="B551" s="4" t="str">
        <x:f>IFERROR(INDEX(Items!$B$6:$B$1005,MATCH(A551,Items!$A$6:$A$1005,0)),"MISSING ID")</x:f>
        <x:v>Divided ceramic reagent caddy</x:v>
      </x:c>
      <x:c r="C551" s="4" t="inlineStr">
        <x:is>
          <x:t xml:space="preserve">Salvage</x:t>
        </x:is>
      </x:c>
      <x:c r="D551" s="4" t="str">
        <x:f>IFERROR(INDEX(Items!$C$6:$C$1005,MATCH(A551,Items!$A$6:$A$1005,0)),"MISSING ID")</x:f>
        <x:v>Not applicable</x:v>
      </x:c>
      <x:c r="E551" s="4" t="inlineStr">
        <x:is>
          <x:t xml:space="preserve">Found salvage</x:t>
        </x:is>
      </x:c>
      <x:c r="F551" s="14" t="n">
        <x:f>IFERROR(INDEX(Items!$AJ$6:$AJ$1005,MATCH(A551,Items!$A$6:$A$1005,0)),"MISSING ID")</x:f>
        <x:v>1</x:v>
      </x:c>
      <x:c r="G551" s="4" t="inlineStr">
        <x:is>
          <x:t xml:space="preserve">No production route required</x:t>
        </x:is>
      </x:c>
      <x:c r="H551" s="4" t="inlineStr">
        <x:is>
          <x:t xml:space="preserve">No dedicated station or tools</x:t>
        </x:is>
      </x:c>
      <x:c r="I551" s="4" t="inlineStr">
        <x:is>
          <x:t xml:space="preserve">Former container production proposal retired</x:t>
        </x:is>
      </x:c>
      <x:c r="J55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552" ht="115" customHeight="1">
      <x:c r="A552" s="4" t="str">
        <x:v>proposal.collection.canister_drain_plug</x:v>
      </x:c>
      <x:c r="B552" s="4" t="str">
        <x:f>IFERROR(INDEX(Items!$B$6:$B$1005,MATCH(A552,Items!$A$6:$A$1005,0)),"MISSING ID")</x:f>
        <x:v>Canister drain plug</x:v>
      </x:c>
      <x:c r="C552" s="4" t="str">
        <x:f>IFERROR(INDEX(Items!$X$6:$X$1005,MATCH(A552,Items!$A$6:$A$1005,0)),"MISSING ID")</x:f>
        <x:v>Container part</x:v>
      </x:c>
      <x:c r="D552" s="4" t="str">
        <x:f>IFERROR(INDEX(Items!$C$6:$C$1005,MATCH(A552,Items!$A$6:$A$1005,0)),"MISSING ID")</x:f>
        <x:v>T4</x:v>
      </x:c>
      <x:c r="E552" s="4" t="str">
        <x:v>Manufactured stock / part</x:v>
      </x:c>
      <x:c r="F552" s="14" t="n">
        <x:f>IFERROR(INDEX(Items!$AJ$6:$AJ$1005,MATCH(A552,Items!$A$6:$A$1005,0)),"MISSING ID")</x:f>
        <x:v>1</x:v>
      </x:c>
      <x:c r="G552" s="4" t="str">
        <x:v>Traced to cataloged T0 and/or recovered feeds</x:v>
      </x:c>
      <x:c r="H552" s="4" t="str">
        <x:v>Forge hearth, Anvil, Forging hammer, Smithing tongs, Metalworking file and Hand-cranked metal drill as applicable. Existing workshop bootstrap and controlled heating/cooling required; no free-water quench assumed.</x:v>
      </x:c>
      <x:c r="I552" s="4" t="str">
        <x:v>Candidate path traced</x:v>
      </x:c>
      <x:c r="J552" s="4" t="str">
        <x:v>Dimensions, grade, process qualification, quantity and yield remain open.</x:v>
      </x:c>
    </x:row>
    <x:row r="553" ht="115" customHeight="1">
      <x:c r="A553" s="4" t="str">
        <x:v>proposal.collection.bottle_retaining_cage</x:v>
      </x:c>
      <x:c r="B553" s="4" t="str">
        <x:f>IFERROR(INDEX(Items!$B$6:$B$1005,MATCH(A553,Items!$A$6:$A$1005,0)),"MISSING ID")</x:f>
        <x:v>Bottle retaining cage</x:v>
      </x:c>
      <x:c r="C553" s="4" t="str">
        <x:f>IFERROR(INDEX(Items!$X$6:$X$1005,MATCH(A553,Items!$A$6:$A$1005,0)),"MISSING ID")</x:f>
        <x:v>Container part</x:v>
      </x:c>
      <x:c r="D553" s="4" t="str">
        <x:f>IFERROR(INDEX(Items!$C$6:$C$1005,MATCH(A553,Items!$A$6:$A$1005,0)),"MISSING ID")</x:f>
        <x:v>T4</x:v>
      </x:c>
      <x:c r="E553" s="4" t="str">
        <x:v>Manufactured stock / part</x:v>
      </x:c>
      <x:c r="F553" s="14" t="n">
        <x:f>IFERROR(INDEX(Items!$AJ$6:$AJ$1005,MATCH(A553,Items!$A$6:$A$1005,0)),"MISSING ID")</x:f>
        <x:v>1</x:v>
      </x:c>
      <x:c r="G553" s="4" t="str">
        <x:v>Traced to cataloged T0 and/or recovered feeds</x:v>
      </x:c>
      <x:c r="H553" s="4" t="str">
        <x:v>Forge hearth, Anvil, Forging hammer, Smithing tongs, Metalworking file and Hand-cranked metal drill as applicable. Existing workshop bootstrap and controlled heating/cooling required; no free-water quench assumed.</x:v>
      </x:c>
      <x:c r="I553" s="4" t="str">
        <x:v>Candidate path traced</x:v>
      </x:c>
      <x:c r="J553" s="4" t="str">
        <x:v>Dimensions, grade, process qualification, quantity and yield remain open.</x:v>
      </x:c>
    </x:row>
    <x:row r="554" ht="115" customHeight="1">
      <x:c r="A554" s="4" t="str">
        <x:v>proposal.collection.ceramic_vent_labyrinth_insert</x:v>
      </x:c>
      <x:c r="B554" s="4" t="str">
        <x:f>IFERROR(INDEX(Items!$B$6:$B$1005,MATCH(A554,Items!$A$6:$A$1005,0)),"MISSING ID")</x:f>
        <x:v>Ceramic vent labyrinth insert</x:v>
      </x:c>
      <x:c r="C554" s="4" t="str">
        <x:f>IFERROR(INDEX(Items!$X$6:$X$1005,MATCH(A554,Items!$A$6:$A$1005,0)),"MISSING ID")</x:f>
        <x:v>Container part</x:v>
      </x:c>
      <x:c r="D554" s="4" t="str">
        <x:f>IFERROR(INDEX(Items!$C$6:$C$1005,MATCH(A554,Items!$A$6:$A$1005,0)),"MISSING ID")</x:f>
        <x:v>T3</x:v>
      </x:c>
      <x:c r="E554" s="4" t="str">
        <x:v>Manufactured stock / part</x:v>
      </x:c>
      <x:c r="F554" s="14" t="n">
        <x:f>IFERROR(INDEX(Items!$AJ$6:$AJ$1005,MATCH(A554,Items!$A$6:$A$1005,0)),"MISSING ID")</x:f>
        <x:v>1</x:v>
      </x:c>
      <x:c r="G554" s="4" t="str">
        <x:v>Traced to cataloged T0 and/or recovered feeds</x:v>
      </x:c>
      <x:c r="H554" s="4" t="str">
        <x:v>Controlled-heating firing kiln or specialist glass hot-work station; Ceramic firing tray / Ceramic casting mold as applicable. Qualified power, heat and atmosphere required.</x:v>
      </x:c>
      <x:c r="I554" s="4" t="str">
        <x:v>Candidate path traced</x:v>
      </x:c>
      <x:c r="J554" s="4" t="str">
        <x:v>Dimensions, grade, process qualification, quantity and yield remain open.</x:v>
      </x:c>
    </x:row>
    <x:row r="555" ht="115" customHeight="1">
      <x:c r="A555" s="4" t="str">
        <x:v>proposal.collection.vial_neck_locking_clip</x:v>
      </x:c>
      <x:c r="B555" s="4" t="str">
        <x:f>IFERROR(INDEX(Items!$B$6:$B$1005,MATCH(A555,Items!$A$6:$A$1005,0)),"MISSING ID")</x:f>
        <x:v>Vial neck locking clip</x:v>
      </x:c>
      <x:c r="C555" s="4" t="str">
        <x:f>IFERROR(INDEX(Items!$X$6:$X$1005,MATCH(A555,Items!$A$6:$A$1005,0)),"MISSING ID")</x:f>
        <x:v>Container part</x:v>
      </x:c>
      <x:c r="D555" s="4" t="str">
        <x:f>IFERROR(INDEX(Items!$C$6:$C$1005,MATCH(A555,Items!$A$6:$A$1005,0)),"MISSING ID")</x:f>
        <x:v>T4</x:v>
      </x:c>
      <x:c r="E555" s="4" t="str">
        <x:v>Manufactured stock / part</x:v>
      </x:c>
      <x:c r="F555" s="14" t="n">
        <x:f>IFERROR(INDEX(Items!$AJ$6:$AJ$1005,MATCH(A555,Items!$A$6:$A$1005,0)),"MISSING ID")</x:f>
        <x:v>1</x:v>
      </x:c>
      <x:c r="G555" s="4" t="str">
        <x:v>Traced to cataloged T0 and/or recovered feeds</x:v>
      </x:c>
      <x:c r="H555" s="4" t="str">
        <x:v>Forge hearth, Anvil, Forging hammer, Smithing tongs, Metalworking file and Hand-cranked metal drill as applicable. Existing workshop bootstrap and controlled heating/cooling required; no free-water quench assumed.</x:v>
      </x:c>
      <x:c r="I555" s="4" t="str">
        <x:v>Candidate path traced</x:v>
      </x:c>
      <x:c r="J555" s="4" t="str">
        <x:v>Dimensions, grade, process qualification, quantity and yield remain open.</x:v>
      </x:c>
    </x:row>
    <x:row r="556" ht="115" customHeight="1">
      <x:c r="A556" s="4" t="str">
        <x:v>proposal.collection.husk_fiber_face_wrap</x:v>
      </x:c>
      <x:c r="B556" s="4" t="str">
        <x:f>IFERROR(INDEX(Items!$B$6:$B$1005,MATCH(A556,Items!$A$6:$A$1005,0)),"MISSING ID")</x:f>
        <x:v>Husk-fiber face wrap</x:v>
      </x:c>
      <x:c r="C556" s="4" t="str">
        <x:f>IFERROR(INDEX(Items!$X$6:$X$1005,MATCH(A556,Items!$A$6:$A$1005,0)),"MISSING ID")</x:f>
        <x:v>Wearable</x:v>
      </x:c>
      <x:c r="D556" s="4" t="str">
        <x:f>IFERROR(INDEX(Items!$C$6:$C$1005,MATCH(A556,Items!$A$6:$A$1005,0)),"MISSING ID")</x:f>
        <x:v>Not applicable</x:v>
      </x:c>
      <x:c r="E556" s="4" t="str">
        <x:v>Finished endpoint</x:v>
      </x:c>
      <x:c r="F556" s="14" t="n">
        <x:f>IFERROR(INDEX(Items!$AJ$6:$AJ$1005,MATCH(A556,Items!$A$6:$A$1005,0)),"MISSING ID")</x:f>
        <x:v>1</x:v>
      </x:c>
      <x:c r="G556" s="4" t="str">
        <x:v>Traced to cataloged T0 and/or recovered feeds</x:v>
      </x:c>
      <x:c r="H556" s="4" t="str">
        <x:v>Husk-sheet cutting shears, pressure fixtures and dedicated preparation surfaces. Very low hide/fur yield; no ordinary cloth or plant inputs.</x:v>
      </x:c>
      <x:c r="I556" s="4" t="str">
        <x:v>Candidate path traced</x:v>
      </x:c>
      <x:c r="J556" s="4" t="str">
        <x:v>Fit, joints, insulation/protection and biological material yield require qualification.</x:v>
      </x:c>
    </x:row>
    <x:row r="557" ht="115" customHeight="1">
      <x:c r="A557" s="4" t="str">
        <x:v>proposal.collection.chainmail_shoulder_mantle</x:v>
      </x:c>
      <x:c r="B557" s="4" t="str">
        <x:f>IFERROR(INDEX(Items!$B$6:$B$1005,MATCH(A557,Items!$A$6:$A$1005,0)),"MISSING ID")</x:f>
        <x:v>Chainmail shoulder mantle</x:v>
      </x:c>
      <x:c r="C557" s="4" t="str">
        <x:f>IFERROR(INDEX(Items!$X$6:$X$1005,MATCH(A557,Items!$A$6:$A$1005,0)),"MISSING ID")</x:f>
        <x:v>Wearable</x:v>
      </x:c>
      <x:c r="D557" s="4" t="str">
        <x:f>IFERROR(INDEX(Items!$C$6:$C$1005,MATCH(A557,Items!$A$6:$A$1005,0)),"MISSING ID")</x:f>
        <x:v>Not applicable</x:v>
      </x:c>
      <x:c r="E557" s="4" t="str">
        <x:v>Finished endpoint</x:v>
      </x:c>
      <x:c r="F557" s="14" t="n">
        <x:f>IFERROR(INDEX(Items!$AJ$6:$AJ$1005,MATCH(A557,Items!$A$6:$A$1005,0)),"MISSING ID")</x:f>
        <x:v>1</x:v>
      </x:c>
      <x:c r="G557" s="4" t="str">
        <x:v>Traced to cataloged T0 and/or recovered feeds</x:v>
      </x:c>
      <x:c r="H557" s="4" t="str">
        <x:v>Forge hearth, Anvil, Forging hammer, Smithing tongs, Metalworking file and Hand-cranked metal drill as applicable. Existing workshop bootstrap and controlled heating/cooling required; no free-water quench assumed.</x:v>
      </x:c>
      <x:c r="I557" s="4" t="str">
        <x:v>Candidate path traced</x:v>
      </x:c>
      <x:c r="J557" s="4" t="str">
        <x:v>Fit, joints, insulation/protection and biological material yield require qualification.</x:v>
      </x:c>
    </x:row>
    <x:row r="558" ht="115" customHeight="1">
      <x:c r="A558" s="4"/>
      <x:c r="B558" s="4"/>
      <x:c r="C558" s="4"/>
      <x:c r="D558" s="4"/>
      <x:c r="E558" s="4"/>
      <x:c r="F558" s="14"/>
      <x:c r="G558" s="4"/>
      <x:c r="H558" s="4"/>
      <x:c r="I558" s="4"/>
      <x:c r="J558" s="4"/>
    </x:row>
    <x:row r="559" ht="115" customHeight="1">
      <x:c r="A559" s="4"/>
      <x:c r="B559" s="4"/>
      <x:c r="C559" s="4"/>
      <x:c r="D559" s="4"/>
      <x:c r="E559" s="4"/>
      <x:c r="F559" s="14"/>
      <x:c r="G559" s="4"/>
      <x:c r="H559" s="4"/>
      <x:c r="I559" s="4"/>
      <x:c r="J559" s="4"/>
    </x:row>
    <x:row r="560" ht="115" customHeight="1">
      <x:c r="A560" s="4"/>
      <x:c r="B560" s="4"/>
      <x:c r="C560" s="4"/>
      <x:c r="D560" s="4"/>
      <x:c r="E560" s="4"/>
      <x:c r="F560" s="14"/>
      <x:c r="G560" s="4"/>
      <x:c r="H560" s="4"/>
      <x:c r="I560" s="4"/>
      <x:c r="J560" s="4"/>
    </x:row>
    <x:row r="561" ht="115" customHeight="1">
      <x:c r="A561" s="4" t="str">
        <x:v>proposal.collection.mica_brim_sun_visor</x:v>
      </x:c>
      <x:c r="B561" s="4" t="str">
        <x:f>IFERROR(INDEX(Items!$B$6:$B$1005,MATCH(A561,Items!$A$6:$A$1005,0)),"MISSING ID")</x:f>
        <x:v>Mica-brim sun visor</x:v>
      </x:c>
      <x:c r="C561" s="4" t="str">
        <x:f>IFERROR(INDEX(Items!$X$6:$X$1005,MATCH(A561,Items!$A$6:$A$1005,0)),"MISSING ID")</x:f>
        <x:v>Wearable</x:v>
      </x:c>
      <x:c r="D561" s="4" t="str">
        <x:f>IFERROR(INDEX(Items!$C$6:$C$1005,MATCH(A561,Items!$A$6:$A$1005,0)),"MISSING ID")</x:f>
        <x:v>Not applicable</x:v>
      </x:c>
      <x:c r="E561" s="4" t="str">
        <x:v>Finished endpoint</x:v>
      </x:c>
      <x:c r="F561" s="14" t="n">
        <x:f>IFERROR(INDEX(Items!$AJ$6:$AJ$1005,MATCH(A561,Items!$A$6:$A$1005,0)),"MISSING ID")</x:f>
        <x:v>1</x:v>
      </x:c>
      <x:c r="G561" s="4" t="str">
        <x:v>Traced to cataloged T0 and/or recovered feeds</x:v>
      </x:c>
      <x:c r="H561" s="4" t="str">
        <x:v>Ceramic grinding mortar, Ceramic pestle, Ceramic abrasive disc and stone-cutting fixtures as applicable; grade selection and finishing qualification required.</x:v>
      </x:c>
      <x:c r="I561" s="4" t="str">
        <x:v>Candidate path traced</x:v>
      </x:c>
      <x:c r="J561" s="4" t="str">
        <x:v>Fit, joints, insulation/protection and biological material yield require qualification.</x:v>
      </x:c>
    </x:row>
    <x:row r="562" ht="115" customHeight="1">
      <x:c r="A562" s="4" t="str">
        <x:v>proposal.collection.founding_stone_keepsake</x:v>
      </x:c>
      <x:c r="B562" s="4" t="str">
        <x:f>IFERROR(INDEX(Items!$B$6:$B$1005,MATCH(A562,Items!$A$6:$A$1005,0)),"MISSING ID")</x:f>
        <x:v>Founding-stone keepsake</x:v>
      </x:c>
      <x:c r="C562" s="4" t="str">
        <x:f>IFERROR(INDEX(Items!$X$6:$X$1005,MATCH(A562,Items!$A$6:$A$1005,0)),"MISSING ID")</x:f>
        <x:v>Cultural object</x:v>
      </x:c>
      <x:c r="D562" s="4" t="str">
        <x:f>IFERROR(INDEX(Items!$C$6:$C$1005,MATCH(A562,Items!$A$6:$A$1005,0)),"MISSING ID")</x:f>
        <x:v>Not applicable</x:v>
      </x:c>
      <x:c r="E562" s="4" t="str">
        <x:v>Finished endpoint</x:v>
      </x:c>
      <x:c r="F562" s="14" t="n">
        <x:f>IFERROR(INDEX(Items!$AJ$6:$AJ$1005,MATCH(A562,Items!$A$6:$A$1005,0)),"MISSING ID")</x:f>
        <x:v>1</x:v>
      </x:c>
      <x:c r="G562" s="4" t="str">
        <x:v>Traced to cataloged T0 and/or recovered feeds</x:v>
      </x:c>
      <x:c r="H562" s="4" t="str">
        <x:v>Ceramic grinding mortar, Ceramic pestle, Ceramic abrasive disc and stone-cutting fixtures as applicable; grade selection and finishing qualification required.</x:v>
      </x:c>
      <x:c r="I562" s="4" t="str">
        <x:v>Candidate path traced</x:v>
      </x:c>
      <x:c r="J562" s="4" t="str">
        <x:v>Dimensions, grade, process qualification, quantity and yield remain open.</x:v>
      </x:c>
    </x:row>
    <x:row r="563" ht="115" customHeight="1">
      <x:c r="A563" s="4" t="str">
        <x:v>proposal.collection.guild_craft_exemplar</x:v>
      </x:c>
      <x:c r="B563" s="4" t="str">
        <x:f>IFERROR(INDEX(Items!$B$6:$B$1005,MATCH(A563,Items!$A$6:$A$1005,0)),"MISSING ID")</x:f>
        <x:v>Guild craft exemplar</x:v>
      </x:c>
      <x:c r="C563" s="4" t="str">
        <x:f>IFERROR(INDEX(Items!$X$6:$X$1005,MATCH(A563,Items!$A$6:$A$1005,0)),"MISSING ID")</x:f>
        <x:v>Cultural object</x:v>
      </x:c>
      <x:c r="D563" s="4" t="str">
        <x:f>IFERROR(INDEX(Items!$C$6:$C$1005,MATCH(A563,Items!$A$6:$A$1005,0)),"MISSING ID")</x:f>
        <x:v>Not applicable</x:v>
      </x:c>
      <x:c r="E563" s="4" t="str">
        <x:v>Finished endpoint</x:v>
      </x:c>
      <x:c r="F563" s="14" t="n">
        <x:f>IFERROR(INDEX(Items!$AJ$6:$AJ$1005,MATCH(A563,Items!$A$6:$A$1005,0)),"MISSING ID")</x:f>
        <x:v>1</x:v>
      </x:c>
      <x:c r="G563" s="4" t="str">
        <x:v>Traced to cataloged T0 and/or recovered feeds</x:v>
      </x:c>
      <x:c r="H563" s="4" t="str">
        <x:v>Forge hearth, Anvil, Forging hammer, Smithing tongs, Metalworking file and Hand-cranked metal drill as applicable. Existing workshop bootstrap and controlled heating/cooling required; no free-water quench assumed.</x:v>
      </x:c>
      <x:c r="I563" s="4" t="str">
        <x:v>Candidate path traced</x:v>
      </x:c>
      <x:c r="J563" s="4" t="str">
        <x:v>Dimensions, grade, process qualification, quantity and yield remain open.</x:v>
      </x:c>
    </x:row>
    <x:row r="564" ht="115" customHeight="1">
      <x:c r="A564" s="4" t="str">
        <x:v>proposal.collection.witness_chain</x:v>
      </x:c>
      <x:c r="B564" s="4" t="str">
        <x:f>IFERROR(INDEX(Items!$B$6:$B$1005,MATCH(A564,Items!$A$6:$A$1005,0)),"MISSING ID")</x:f>
        <x:v>Witness chain</x:v>
      </x:c>
      <x:c r="C564" s="4" t="str">
        <x:f>IFERROR(INDEX(Items!$X$6:$X$1005,MATCH(A564,Items!$A$6:$A$1005,0)),"MISSING ID")</x:f>
        <x:v>Cultural object</x:v>
      </x:c>
      <x:c r="D564" s="4" t="str">
        <x:f>IFERROR(INDEX(Items!$C$6:$C$1005,MATCH(A564,Items!$A$6:$A$1005,0)),"MISSING ID")</x:f>
        <x:v>Not applicable</x:v>
      </x:c>
      <x:c r="E564" s="4" t="str">
        <x:v>Finished endpoint</x:v>
      </x:c>
      <x:c r="F564" s="14" t="n">
        <x:f>IFERROR(INDEX(Items!$AJ$6:$AJ$1005,MATCH(A564,Items!$A$6:$A$1005,0)),"MISSING ID")</x:f>
        <x:v>1</x:v>
      </x:c>
      <x:c r="G564" s="4" t="str">
        <x:v>Traced to cataloged T0 and/or recovered feeds</x:v>
      </x:c>
      <x:c r="H564" s="4" t="str">
        <x:v>Forge hearth, Anvil, Forging hammer, Smithing tongs, Metalworking file and Hand-cranked metal drill as applicable. Existing workshop bootstrap and controlled heating/cooling required; no free-water quench assumed.</x:v>
      </x:c>
      <x:c r="I564" s="4" t="str">
        <x:v>Candidate path traced</x:v>
      </x:c>
      <x:c r="J564" s="4" t="str">
        <x:v>Dimensions, grade, process qualification, quantity and yield remain open.</x:v>
      </x:c>
    </x:row>
    <x:row r="565" ht="115" customHeight="1">
      <x:c r="A565" s="4"/>
      <x:c r="B565" s="4"/>
      <x:c r="C565" s="4"/>
      <x:c r="D565" s="4"/>
      <x:c r="E565" s="4"/>
      <x:c r="F565" s="14"/>
      <x:c r="G565" s="4"/>
      <x:c r="H565" s="4"/>
      <x:c r="I565" s="4"/>
      <x:c r="J565" s="4"/>
    </x:row>
    <x:row r="566" ht="115" customHeight="1">
      <x:c r="A566" s="4" t="str">
        <x:v>proposal.collection.pilgrim_route_bead_strand</x:v>
      </x:c>
      <x:c r="B566" s="4" t="str">
        <x:f>IFERROR(INDEX(Items!$B$6:$B$1005,MATCH(A566,Items!$A$6:$A$1005,0)),"MISSING ID")</x:f>
        <x:v>Pilgrim route bead strand</x:v>
      </x:c>
      <x:c r="C566" s="4" t="str">
        <x:f>IFERROR(INDEX(Items!$X$6:$X$1005,MATCH(A566,Items!$A$6:$A$1005,0)),"MISSING ID")</x:f>
        <x:v>Cultural object</x:v>
      </x:c>
      <x:c r="D566" s="4" t="str">
        <x:f>IFERROR(INDEX(Items!$C$6:$C$1005,MATCH(A566,Items!$A$6:$A$1005,0)),"MISSING ID")</x:f>
        <x:v>Not applicable</x:v>
      </x:c>
      <x:c r="E566" s="4" t="str">
        <x:v>Finished endpoint</x:v>
      </x:c>
      <x:c r="F566" s="14" t="n">
        <x:f>IFERROR(INDEX(Items!$AJ$6:$AJ$1005,MATCH(A566,Items!$A$6:$A$1005,0)),"MISSING ID")</x:f>
        <x:v>1</x:v>
      </x:c>
      <x:c r="G566" s="4" t="str">
        <x:v>Traced to cataloged T0 and/or recovered feeds</x:v>
      </x:c>
      <x:c r="H566" s="4" t="str">
        <x:v>Forge hearth, Anvil, Forging hammer, Smithing tongs, Metalworking file and Hand-cranked metal drill as applicable. Existing workshop bootstrap and controlled heating/cooling required; no free-water quench assumed.</x:v>
      </x:c>
      <x:c r="I566" s="4" t="str">
        <x:v>Candidate path traced</x:v>
      </x:c>
      <x:c r="J566" s="4" t="str">
        <x:v>Dimensions, grade, process qualification, quantity and yield remain open.</x:v>
      </x:c>
    </x:row>
    <x:row r="567" ht="115" customHeight="1">
      <x:c r="A567" s="4" t="str">
        <x:v>proposal.collection.ancestor_shell_silhouette</x:v>
      </x:c>
      <x:c r="B567" s="4" t="str">
        <x:f>IFERROR(INDEX(Items!$B$6:$B$1005,MATCH(A567,Items!$A$6:$A$1005,0)),"MISSING ID")</x:f>
        <x:v>Ancestor shell silhouette</x:v>
      </x:c>
      <x:c r="C567" s="4" t="str">
        <x:f>IFERROR(INDEX(Items!$X$6:$X$1005,MATCH(A567,Items!$A$6:$A$1005,0)),"MISSING ID")</x:f>
        <x:v>Cultural object</x:v>
      </x:c>
      <x:c r="D567" s="4" t="str">
        <x:f>IFERROR(INDEX(Items!$C$6:$C$1005,MATCH(A567,Items!$A$6:$A$1005,0)),"MISSING ID")</x:f>
        <x:v>Not applicable</x:v>
      </x:c>
      <x:c r="E567" s="4" t="str">
        <x:v>Finished endpoint</x:v>
      </x:c>
      <x:c r="F567" s="14" t="n">
        <x:f>IFERROR(INDEX(Items!$AJ$6:$AJ$1005,MATCH(A567,Items!$A$6:$A$1005,0)),"MISSING ID")</x:f>
        <x:v>1</x:v>
      </x:c>
      <x:c r="G567" s="4" t="str">
        <x:v>Traced to cataloged T0 and/or recovered feeds</x:v>
      </x:c>
      <x:c r="H567" s="4" t="str">
        <x:v>Husk-sheet cutting shears, Hand-cranked metal drill and Ceramic abrasive disc as applicable; compatible contained biological preparation and low-yield material handling required.</x:v>
      </x:c>
      <x:c r="I567" s="4" t="str">
        <x:v>Candidate path traced</x:v>
      </x:c>
      <x:c r="J567" s="4" t="str">
        <x:v>Dimensions, grade, process qualification, quantity and yield remain open.</x:v>
      </x:c>
    </x:row>
    <x:row r="568" ht="115" customHeight="1">
      <x:c r="A568" s="4" t="str">
        <x:v>proposal.collection.work_crew_oath_clasp</x:v>
      </x:c>
      <x:c r="B568" s="4" t="str">
        <x:f>IFERROR(INDEX(Items!$B$6:$B$1005,MATCH(A568,Items!$A$6:$A$1005,0)),"MISSING ID")</x:f>
        <x:v>Work-crew oath clasp</x:v>
      </x:c>
      <x:c r="C568" s="4" t="str">
        <x:f>IFERROR(INDEX(Items!$X$6:$X$1005,MATCH(A568,Items!$A$6:$A$1005,0)),"MISSING ID")</x:f>
        <x:v>Cultural object</x:v>
      </x:c>
      <x:c r="D568" s="4" t="str">
        <x:f>IFERROR(INDEX(Items!$C$6:$C$1005,MATCH(A568,Items!$A$6:$A$1005,0)),"MISSING ID")</x:f>
        <x:v>Not applicable</x:v>
      </x:c>
      <x:c r="E568" s="4" t="str">
        <x:v>Finished endpoint</x:v>
      </x:c>
      <x:c r="F568" s="14" t="n">
        <x:f>IFERROR(INDEX(Items!$AJ$6:$AJ$1005,MATCH(A568,Items!$A$6:$A$1005,0)),"MISSING ID")</x:f>
        <x:v>1</x:v>
      </x:c>
      <x:c r="G568" s="4" t="str">
        <x:v>Traced to cataloged T0 and/or recovered feeds</x:v>
      </x:c>
      <x:c r="H568" s="4" t="str">
        <x:v>Forge hearth, Anvil, Forging hammer, Smithing tongs, Metalworking file and Hand-cranked metal drill as applicable. Existing workshop bootstrap and controlled heating/cooling required; no free-water quench assumed.</x:v>
      </x:c>
      <x:c r="I568" s="4" t="str">
        <x:v>Candidate path traced</x:v>
      </x:c>
      <x:c r="J568" s="4" t="str">
        <x:v>Dimensions, grade, process qualification, quantity and yield remain open.</x:v>
      </x:c>
    </x:row>
    <x:row r="569" ht="115" customHeight="1">
      <x:c r="A569" s="4" t="str">
        <x:v>proposal.collection.ceremonial_magnet_stand</x:v>
      </x:c>
      <x:c r="B569" s="4" t="str">
        <x:f>IFERROR(INDEX(Items!$B$6:$B$1005,MATCH(A569,Items!$A$6:$A$1005,0)),"MISSING ID")</x:f>
        <x:v>Ceremonial magnet stand</x:v>
      </x:c>
      <x:c r="C569" s="4" t="str">
        <x:f>IFERROR(INDEX(Items!$X$6:$X$1005,MATCH(A569,Items!$A$6:$A$1005,0)),"MISSING ID")</x:f>
        <x:v>Cultural object</x:v>
      </x:c>
      <x:c r="D569" s="4" t="str">
        <x:f>IFERROR(INDEX(Items!$C$6:$C$1005,MATCH(A569,Items!$A$6:$A$1005,0)),"MISSING ID")</x:f>
        <x:v>Not applicable</x:v>
      </x:c>
      <x:c r="E569" s="4" t="str">
        <x:v>Finished endpoint</x:v>
      </x:c>
      <x:c r="F569" s="14" t="n">
        <x:f>IFERROR(INDEX(Items!$AJ$6:$AJ$1005,MATCH(A569,Items!$A$6:$A$1005,0)),"MISSING ID")</x:f>
        <x:v>1</x:v>
      </x:c>
      <x:c r="G569" s="4" t="str">
        <x:v>Traced to cataloged T0 and/or recovered feeds</x:v>
      </x:c>
      <x:c r="H569" s="4" t="str">
        <x:v>Forge hearth, Anvil, Forging hammer, Smithing tongs, Metalworking file and Hand-cranked metal drill as applicable. Existing workshop bootstrap and controlled heating/cooling required; no free-water quench assumed.</x:v>
      </x:c>
      <x:c r="I569" s="4" t="str">
        <x:v>Candidate path traced</x:v>
      </x:c>
      <x:c r="J569" s="4" t="str">
        <x:v>Dimensions, grade, process qualification, quantity and yield remain open.</x:v>
      </x:c>
    </x:row>
    <x:row r="570" ht="115" customHeight="1">
      <x:c r="A570" s="4" t="str">
        <x:v>proposal.collection.masterwork_presentation_tile</x:v>
      </x:c>
      <x:c r="B570" s="4" t="str">
        <x:f>IFERROR(INDEX(Items!$B$6:$B$1005,MATCH(A570,Items!$A$6:$A$1005,0)),"MISSING ID")</x:f>
        <x:v>Masterwork presentation tile</x:v>
      </x:c>
      <x:c r="C570" s="4" t="str">
        <x:f>IFERROR(INDEX(Items!$X$6:$X$1005,MATCH(A570,Items!$A$6:$A$1005,0)),"MISSING ID")</x:f>
        <x:v>Cultural object</x:v>
      </x:c>
      <x:c r="D570" s="4" t="str">
        <x:f>IFERROR(INDEX(Items!$C$6:$C$1005,MATCH(A570,Items!$A$6:$A$1005,0)),"MISSING ID")</x:f>
        <x:v>Not applicable</x:v>
      </x:c>
      <x:c r="E570" s="4" t="str">
        <x:v>Finished endpoint</x:v>
      </x:c>
      <x:c r="F570" s="14" t="n">
        <x:f>IFERROR(INDEX(Items!$AJ$6:$AJ$1005,MATCH(A570,Items!$A$6:$A$1005,0)),"MISSING ID")</x:f>
        <x:v>1</x:v>
      </x:c>
      <x:c r="G570" s="4" t="str">
        <x:v>Traced to cataloged T0 and/or recovered feeds</x:v>
      </x:c>
      <x:c r="H570" s="4" t="str">
        <x:v>Controlled-heating firing kiln or specialist glass hot-work station; Ceramic firing tray / Ceramic casting mold as applicable. Qualified power, heat and atmosphere required.</x:v>
      </x:c>
      <x:c r="I570" s="4" t="str">
        <x:v>Candidate path traced</x:v>
      </x:c>
      <x:c r="J570" s="4" t="str">
        <x:v>Dimensions, grade, process qualification, quantity and yield remain open.</x:v>
      </x:c>
    </x:row>
    <x:row r="571" ht="115" customHeight="1">
      <x:c r="A571" s="4" t="str">
        <x:v>proposal.collection.agate_nodule</x:v>
      </x:c>
      <x:c r="B571" s="4" t="str">
        <x:f>IFERROR(INDEX(Items!$B$6:$B$1005,MATCH(A571,Items!$A$6:$A$1005,0)),"MISSING ID")</x:f>
        <x:v>Agate nodule</x:v>
      </x:c>
      <x:c r="C571" s="4" t="str">
        <x:f>IFERROR(INDEX(Items!$X$6:$X$1005,MATCH(A571,Items!$A$6:$A$1005,0)),"MISSING ID")</x:f>
        <x:v>Gem material</x:v>
      </x:c>
      <x:c r="D571" s="4" t="str">
        <x:f>IFERROR(INDEX(Items!$C$6:$C$1005,MATCH(A571,Items!$A$6:$A$1005,0)),"MISSING ID")</x:f>
        <x:v>T0</x:v>
      </x:c>
      <x:c r="E571" s="4" t="str">
        <x:v>Raw source</x:v>
      </x:c>
      <x:c r="F571" s="14" t="n">
        <x:f>IFERROR(INDEX(Items!$AJ$6:$AJ$1005,MATCH(A571,Items!$A$6:$A$1005,0)),"MISSING ID")</x:f>
        <x:v>0</x:v>
      </x:c>
      <x:c r="G571" s="4" t="str">
        <x:v>Source, recovery or issue route applies</x:v>
      </x:c>
      <x:c r="H571" s="4" t="str">
        <x:v>Not a selected manufacturing route</x:v>
      </x:c>
      <x:c r="I571" s="4" t="str">
        <x:v>Raw entry feed</x:v>
      </x:c>
      <x:c r="J571" s="4" t="str">
        <x:v>Source grade, collection, contamination and yield remain open.</x:v>
      </x:c>
    </x:row>
    <x:row r="572" ht="115" customHeight="1">
      <x:c r="A572" s="4" t="str">
        <x:v>proposal.collection.chalcedony_seam_stone</x:v>
      </x:c>
      <x:c r="B572" s="4" t="str">
        <x:f>IFERROR(INDEX(Items!$B$6:$B$1005,MATCH(A572,Items!$A$6:$A$1005,0)),"MISSING ID")</x:f>
        <x:v>Chalcedony seam stone</x:v>
      </x:c>
      <x:c r="C572" s="4" t="str">
        <x:f>IFERROR(INDEX(Items!$X$6:$X$1005,MATCH(A572,Items!$A$6:$A$1005,0)),"MISSING ID")</x:f>
        <x:v>Gem material</x:v>
      </x:c>
      <x:c r="D572" s="4" t="str">
        <x:f>IFERROR(INDEX(Items!$C$6:$C$1005,MATCH(A572,Items!$A$6:$A$1005,0)),"MISSING ID")</x:f>
        <x:v>T0</x:v>
      </x:c>
      <x:c r="E572" s="4" t="str">
        <x:v>Raw source</x:v>
      </x:c>
      <x:c r="F572" s="14" t="n">
        <x:f>IFERROR(INDEX(Items!$AJ$6:$AJ$1005,MATCH(A572,Items!$A$6:$A$1005,0)),"MISSING ID")</x:f>
        <x:v>0</x:v>
      </x:c>
      <x:c r="G572" s="4" t="str">
        <x:v>Source, recovery or issue route applies</x:v>
      </x:c>
      <x:c r="H572" s="4" t="str">
        <x:v>Not a selected manufacturing route</x:v>
      </x:c>
      <x:c r="I572" s="4" t="str">
        <x:v>Raw entry feed</x:v>
      </x:c>
      <x:c r="J572" s="4" t="str">
        <x:v>Source grade, collection, contamination and yield remain open.</x:v>
      </x:c>
    </x:row>
    <x:row r="573" ht="115" customHeight="1">
      <x:c r="A573" s="4" t="str">
        <x:v>proposal.collection.long_handled_meal_ladle</x:v>
      </x:c>
      <x:c r="B573" s="4" t="str">
        <x:f>IFERROR(INDEX(Items!$B$6:$B$1005,MATCH(A573,Items!$A$6:$A$1005,0)),"MISSING ID")</x:f>
        <x:v>Long-handled meal ladle</x:v>
      </x:c>
      <x:c r="C573" s="4" t="str">
        <x:f>IFERROR(INDEX(Items!$X$6:$X$1005,MATCH(A573,Items!$A$6:$A$1005,0)),"MISSING ID")</x:f>
        <x:v>Household utensil</x:v>
      </x:c>
      <x:c r="D573" s="4" t="str">
        <x:f>IFERROR(INDEX(Items!$C$6:$C$1005,MATCH(A573,Items!$A$6:$A$1005,0)),"MISSING ID")</x:f>
        <x:v>Not applicable</x:v>
      </x:c>
      <x:c r="E573" s="4" t="str">
        <x:v>Finished endpoint</x:v>
      </x:c>
      <x:c r="F573" s="14" t="n">
        <x:f>IFERROR(INDEX(Items!$AJ$6:$AJ$1005,MATCH(A573,Items!$A$6:$A$1005,0)),"MISSING ID")</x:f>
        <x:v>1</x:v>
      </x:c>
      <x:c r="G573" s="4" t="str">
        <x:v>Traced to cataloged T0 and/or recovered feeds</x:v>
      </x:c>
      <x:c r="H573" s="4" t="str">
        <x:v>Forge hearth, Anvil, Forging hammer, Smithing tongs, Metalworking file and Hand-cranked metal drill as applicable. Existing workshop bootstrap and controlled heating/cooling required; no free-water quench assumed.</x:v>
      </x:c>
      <x:c r="I573" s="4" t="str">
        <x:v>Candidate path traced</x:v>
      </x:c>
      <x:c r="J573" s="4" t="str">
        <x:v>Dimensions, grade, process qualification, quantity and yield remain open.</x:v>
      </x:c>
    </x:row>
    <x:row r="574" ht="115" customHeight="1">
      <x:c r="A574" s="4" t="str">
        <x:v>proposal.collection.ceramic_portion_scoop</x:v>
      </x:c>
      <x:c r="B574" s="4" t="str">
        <x:f>IFERROR(INDEX(Items!$B$6:$B$1005,MATCH(A574,Items!$A$6:$A$1005,0)),"MISSING ID")</x:f>
        <x:v>Ceramic portion scoop</x:v>
      </x:c>
      <x:c r="C574" s="4" t="str">
        <x:f>IFERROR(INDEX(Items!$X$6:$X$1005,MATCH(A574,Items!$A$6:$A$1005,0)),"MISSING ID")</x:f>
        <x:v>Household utensil</x:v>
      </x:c>
      <x:c r="D574" s="4" t="str">
        <x:f>IFERROR(INDEX(Items!$C$6:$C$1005,MATCH(A574,Items!$A$6:$A$1005,0)),"MISSING ID")</x:f>
        <x:v>Not applicable</x:v>
      </x:c>
      <x:c r="E574" s="4" t="str">
        <x:v>Finished endpoint</x:v>
      </x:c>
      <x:c r="F574" s="14" t="n">
        <x:f>IFERROR(INDEX(Items!$AJ$6:$AJ$1005,MATCH(A574,Items!$A$6:$A$1005,0)),"MISSING ID")</x:f>
        <x:v>1</x:v>
      </x:c>
      <x:c r="G574" s="4" t="str">
        <x:v>Traced to cataloged T0 and/or recovered feeds</x:v>
      </x:c>
      <x:c r="H574" s="4" t="str">
        <x:v>Controlled-heating firing kiln or specialist glass hot-work station; Ceramic firing tray / Ceramic casting mold as applicable. Qualified power, heat and atmosphere required.</x:v>
      </x:c>
      <x:c r="I574" s="4" t="str">
        <x:v>Candidate path traced</x:v>
      </x:c>
      <x:c r="J574" s="4" t="str">
        <x:v>Dimensions, grade, process qualification, quantity and yield remain open.</x:v>
      </x:c>
    </x:row>
    <x:row r="575" ht="115" customHeight="1">
      <x:c r="A575" s="4" t="str">
        <x:v>proposal.collection.shell_serving_tray</x:v>
      </x:c>
      <x:c r="B575" s="4" t="str">
        <x:f>IFERROR(INDEX(Items!$B$6:$B$1005,MATCH(A575,Items!$A$6:$A$1005,0)),"MISSING ID")</x:f>
        <x:v>Shell serving tray</x:v>
      </x:c>
      <x:c r="C575" s="4" t="str">
        <x:f>IFERROR(INDEX(Items!$X$6:$X$1005,MATCH(A575,Items!$A$6:$A$1005,0)),"MISSING ID")</x:f>
        <x:v>Household utensil</x:v>
      </x:c>
      <x:c r="D575" s="4" t="str">
        <x:f>IFERROR(INDEX(Items!$C$6:$C$1005,MATCH(A575,Items!$A$6:$A$1005,0)),"MISSING ID")</x:f>
        <x:v>Not applicable</x:v>
      </x:c>
      <x:c r="E575" s="4" t="str">
        <x:v>Finished endpoint</x:v>
      </x:c>
      <x:c r="F575" s="14" t="n">
        <x:f>IFERROR(INDEX(Items!$AJ$6:$AJ$1005,MATCH(A575,Items!$A$6:$A$1005,0)),"MISSING ID")</x:f>
        <x:v>1</x:v>
      </x:c>
      <x:c r="G575" s="4" t="str">
        <x:v>Traced to cataloged T0 and/or recovered feeds</x:v>
      </x:c>
      <x:c r="H575" s="4" t="str">
        <x:v>Forge hearth, Anvil, Forging hammer, Smithing tongs, Metalworking file and Hand-cranked metal drill as applicable. Existing workshop bootstrap and controlled heating/cooling required; no free-water quench assumed.</x:v>
      </x:c>
      <x:c r="I575" s="4" t="str">
        <x:v>Candidate path traced</x:v>
      </x:c>
      <x:c r="J575" s="4" t="str">
        <x:v>Dimensions, grade, process qualification, quantity and yield remain open.</x:v>
      </x:c>
    </x:row>
    <x:row r="576" ht="115" customHeight="1">
      <x:c r="A576" s="4" t="str">
        <x:v>proposal.collection.metal_eating_tongs</x:v>
      </x:c>
      <x:c r="B576" s="4" t="str">
        <x:f>IFERROR(INDEX(Items!$B$6:$B$1005,MATCH(A576,Items!$A$6:$A$1005,0)),"MISSING ID")</x:f>
        <x:v>Metal eating tongs</x:v>
      </x:c>
      <x:c r="C576" s="4" t="str">
        <x:f>IFERROR(INDEX(Items!$X$6:$X$1005,MATCH(A576,Items!$A$6:$A$1005,0)),"MISSING ID")</x:f>
        <x:v>Household utensil</x:v>
      </x:c>
      <x:c r="D576" s="4" t="str">
        <x:f>IFERROR(INDEX(Items!$C$6:$C$1005,MATCH(A576,Items!$A$6:$A$1005,0)),"MISSING ID")</x:f>
        <x:v>Not applicable</x:v>
      </x:c>
      <x:c r="E576" s="4" t="str">
        <x:v>Finished endpoint</x:v>
      </x:c>
      <x:c r="F576" s="14" t="n">
        <x:f>IFERROR(INDEX(Items!$AJ$6:$AJ$1005,MATCH(A576,Items!$A$6:$A$1005,0)),"MISSING ID")</x:f>
        <x:v>1</x:v>
      </x:c>
      <x:c r="G576" s="4" t="str">
        <x:v>Traced to cataloged T0 and/or recovered feeds</x:v>
      </x:c>
      <x:c r="H576" s="4" t="str">
        <x:v>Forge hearth, Anvil, Forging hammer, Smithing tongs, Metalworking file and Hand-cranked metal drill as applicable. Existing workshop bootstrap and controlled heating/cooling required; no free-water quench assumed.</x:v>
      </x:c>
      <x:c r="I576" s="4" t="str">
        <x:v>Candidate path traced</x:v>
      </x:c>
      <x:c r="J576" s="4" t="str">
        <x:v>Dimensions, grade, process qualification, quantity and yield remain open.</x:v>
      </x:c>
    </x:row>
    <x:row r="577" ht="115" customHeight="1">
      <x:c r="A577" s="4" t="str">
        <x:v>proposal.collection.salvage_claim_leaf</x:v>
      </x:c>
      <x:c r="B577" s="4" t="str">
        <x:f>IFERROR(INDEX(Items!$B$6:$B$1005,MATCH(A577,Items!$A$6:$A$1005,0)),"MISSING ID")</x:f>
        <x:v>Salvage claim leaf</x:v>
      </x:c>
      <x:c r="C577" s="4" t="str">
        <x:f>IFERROR(INDEX(Items!$X$6:$X$1005,MATCH(A577,Items!$A$6:$A$1005,0)),"MISSING ID")</x:f>
        <x:v>Document</x:v>
      </x:c>
      <x:c r="D577" s="4" t="str">
        <x:f>IFERROR(INDEX(Items!$C$6:$C$1005,MATCH(A577,Items!$A$6:$A$1005,0)),"MISSING ID")</x:f>
        <x:v>Not applicable</x:v>
      </x:c>
      <x:c r="E577" s="4" t="str">
        <x:v>Finished endpoint</x:v>
      </x:c>
      <x:c r="F577" s="14" t="n">
        <x:f>IFERROR(INDEX(Items!$AJ$6:$AJ$1005,MATCH(A577,Items!$A$6:$A$1005,0)),"MISSING ID")</x:f>
        <x:v>1</x:v>
      </x:c>
      <x:c r="G577" s="4" t="str">
        <x:v>Traced to cataloged T0 and/or recovered feeds</x:v>
      </x:c>
      <x:c r="H577" s="4" t="str">
        <x:v>Marking stylus and food-excluded pigment applicator. Husk-paper preparation where applicable.</x:v>
      </x:c>
      <x:c r="I577" s="4" t="str">
        <x:v>Candidate path traced</x:v>
      </x:c>
      <x:c r="J577" s="4" t="str">
        <x:v>Dimensions, grade, process qualification, quantity and yield remain open.</x:v>
      </x:c>
    </x:row>
    <x:row r="578" ht="115" customHeight="1">
      <x:c r="A578" s="4"/>
      <x:c r="B578" s="4"/>
      <x:c r="C578" s="4"/>
      <x:c r="D578" s="4"/>
      <x:c r="E578" s="4"/>
      <x:c r="F578" s="14"/>
      <x:c r="G578" s="4"/>
      <x:c r="H578" s="4"/>
      <x:c r="I578" s="4"/>
      <x:c r="J578" s="4"/>
    </x:row>
    <x:row r="579" ht="115" customHeight="1">
      <x:c r="A579" s="4"/>
      <x:c r="B579" s="4"/>
      <x:c r="C579" s="4"/>
      <x:c r="D579" s="4"/>
      <x:c r="E579" s="4"/>
      <x:c r="F579" s="14"/>
      <x:c r="G579" s="4"/>
      <x:c r="H579" s="4"/>
      <x:c r="I579" s="4"/>
      <x:c r="J579" s="4"/>
    </x:row>
    <x:row r="580" ht="115" customHeight="1">
      <x:c r="A580" s="4" t="str">
        <x:v>proposal.collection.household_meal_ledger</x:v>
      </x:c>
      <x:c r="B580" s="4" t="str">
        <x:f>IFERROR(INDEX(Items!$B$6:$B$1005,MATCH(A580,Items!$A$6:$A$1005,0)),"MISSING ID")</x:f>
        <x:v>Household meal ledger</x:v>
      </x:c>
      <x:c r="C580" s="4" t="str">
        <x:f>IFERROR(INDEX(Items!$X$6:$X$1005,MATCH(A580,Items!$A$6:$A$1005,0)),"MISSING ID")</x:f>
        <x:v>Document</x:v>
      </x:c>
      <x:c r="D580" s="4" t="str">
        <x:f>IFERROR(INDEX(Items!$C$6:$C$1005,MATCH(A580,Items!$A$6:$A$1005,0)),"MISSING ID")</x:f>
        <x:v>Not applicable</x:v>
      </x:c>
      <x:c r="E580" s="4" t="str">
        <x:v>Finished endpoint</x:v>
      </x:c>
      <x:c r="F580" s="14" t="n">
        <x:f>IFERROR(INDEX(Items!$AJ$6:$AJ$1005,MATCH(A580,Items!$A$6:$A$1005,0)),"MISSING ID")</x:f>
        <x:v>1</x:v>
      </x:c>
      <x:c r="G580" s="4" t="str">
        <x:v>Traced to cataloged T0 and/or recovered feeds</x:v>
      </x:c>
      <x:c r="H580" s="4" t="str">
        <x:v>Marking stylus and food-excluded pigment applicator. Husk-paper preparation where applicable.</x:v>
      </x:c>
      <x:c r="I580" s="4" t="str">
        <x:v>Candidate path traced</x:v>
      </x:c>
      <x:c r="J580" s="4" t="str">
        <x:v>Dimensions, grade, process qualification, quantity and yield remain open.</x:v>
      </x:c>
    </x:row>
    <x:row r="581" ht="115" customHeight="1">
      <x:c r="A581" s="4"/>
      <x:c r="B581" s="4"/>
      <x:c r="C581" s="4"/>
      <x:c r="D581" s="4"/>
      <x:c r="E581" s="4"/>
      <x:c r="F581" s="14"/>
      <x:c r="G581" s="4"/>
      <x:c r="H581" s="4"/>
      <x:c r="I581" s="4"/>
      <x:c r="J581" s="4"/>
    </x:row>
    <x:row r="582" ht="115" customHeight="1">
      <x:c r="A582" s="4" t="str">
        <x:v>proposal.collection.straight_cut_spur_gear</x:v>
      </x:c>
      <x:c r="B582" s="4" t="str">
        <x:f>IFERROR(INDEX(Items!$B$6:$B$1005,MATCH(A582,Items!$A$6:$A$1005,0)),"MISSING ID")</x:f>
        <x:v>Straight-cut spur gear</x:v>
      </x:c>
      <x:c r="C582" s="4" t="str">
        <x:f>IFERROR(INDEX(Items!$X$6:$X$1005,MATCH(A582,Items!$A$6:$A$1005,0)),"MISSING ID")</x:f>
        <x:v>Machine part</x:v>
      </x:c>
      <x:c r="D582" s="4" t="str">
        <x:f>IFERROR(INDEX(Items!$C$6:$C$1005,MATCH(A582,Items!$A$6:$A$1005,0)),"MISSING ID")</x:f>
        <x:v>T3</x:v>
      </x:c>
      <x:c r="E582" s="4" t="str">
        <x:v>Manufactured stock / part</x:v>
      </x:c>
      <x:c r="F582" s="14" t="n">
        <x:f>IFERROR(INDEX(Items!$AJ$6:$AJ$1005,MATCH(A582,Items!$A$6:$A$1005,0)),"MISSING ID")</x:f>
        <x:v>1</x:v>
      </x:c>
      <x:c r="G582" s="4" t="str">
        <x:v>Traced to cataloged T0 and/or recovered feeds</x:v>
      </x:c>
      <x:c r="H582" s="4" t="str">
        <x:v>Forge hearth, Anvil, Forging hammer, Smithing tongs, Metalworking file and Hand-cranked metal drill as applicable. Existing workshop bootstrap and controlled heating/cooling required; no free-water quench assumed.</x:v>
      </x:c>
      <x:c r="I582" s="4" t="str">
        <x:v>Candidate path traced</x:v>
      </x:c>
      <x:c r="J582" s="4" t="str">
        <x:v>Dimensions, grade, process qualification, quantity and yield remain open.</x:v>
      </x:c>
    </x:row>
    <x:row r="583" ht="115" customHeight="1">
      <x:c r="A583" s="4" t="str">
        <x:v>proposal.collection.bevel_drive_gear</x:v>
      </x:c>
      <x:c r="B583" s="4" t="str">
        <x:f>IFERROR(INDEX(Items!$B$6:$B$1005,MATCH(A583,Items!$A$6:$A$1005,0)),"MISSING ID")</x:f>
        <x:v>Bevel drive gear</x:v>
      </x:c>
      <x:c r="C583" s="4" t="str">
        <x:f>IFERROR(INDEX(Items!$X$6:$X$1005,MATCH(A583,Items!$A$6:$A$1005,0)),"MISSING ID")</x:f>
        <x:v>Machine part</x:v>
      </x:c>
      <x:c r="D583" s="4" t="str">
        <x:f>IFERROR(INDEX(Items!$C$6:$C$1005,MATCH(A583,Items!$A$6:$A$1005,0)),"MISSING ID")</x:f>
        <x:v>T3</x:v>
      </x:c>
      <x:c r="E583" s="4" t="str">
        <x:v>Manufactured stock / part</x:v>
      </x:c>
      <x:c r="F583" s="14" t="n">
        <x:f>IFERROR(INDEX(Items!$AJ$6:$AJ$1005,MATCH(A583,Items!$A$6:$A$1005,0)),"MISSING ID")</x:f>
        <x:v>1</x:v>
      </x:c>
      <x:c r="G583" s="4" t="str">
        <x:v>Traced to cataloged T0 and/or recovered feeds</x:v>
      </x:c>
      <x:c r="H583" s="4" t="str">
        <x:v>Forge hearth, Anvil, Forging hammer, Smithing tongs, Metalworking file and Hand-cranked metal drill as applicable. Existing workshop bootstrap and controlled heating/cooling required; no free-water quench assumed.</x:v>
      </x:c>
      <x:c r="I583" s="4" t="str">
        <x:v>Candidate path traced</x:v>
      </x:c>
      <x:c r="J583" s="4" t="str">
        <x:v>Dimensions, grade, process qualification, quantity and yield remain open.</x:v>
      </x:c>
    </x:row>
    <x:row r="584" ht="115" customHeight="1">
      <x:c r="A584" s="4" t="str">
        <x:v>proposal.collection.worm_drive_screw</x:v>
      </x:c>
      <x:c r="B584" s="4" t="str">
        <x:f>IFERROR(INDEX(Items!$B$6:$B$1005,MATCH(A584,Items!$A$6:$A$1005,0)),"MISSING ID")</x:f>
        <x:v>Worm drive screw</x:v>
      </x:c>
      <x:c r="C584" s="4" t="str">
        <x:f>IFERROR(INDEX(Items!$X$6:$X$1005,MATCH(A584,Items!$A$6:$A$1005,0)),"MISSING ID")</x:f>
        <x:v>Machine part</x:v>
      </x:c>
      <x:c r="D584" s="4" t="str">
        <x:f>IFERROR(INDEX(Items!$C$6:$C$1005,MATCH(A584,Items!$A$6:$A$1005,0)),"MISSING ID")</x:f>
        <x:v>T3</x:v>
      </x:c>
      <x:c r="E584" s="4" t="str">
        <x:v>Manufactured stock / part</x:v>
      </x:c>
      <x:c r="F584" s="14" t="n">
        <x:f>IFERROR(INDEX(Items!$AJ$6:$AJ$1005,MATCH(A584,Items!$A$6:$A$1005,0)),"MISSING ID")</x:f>
        <x:v>1</x:v>
      </x:c>
      <x:c r="G584" s="4" t="str">
        <x:v>Traced to cataloged T0 and/or recovered feeds</x:v>
      </x:c>
      <x:c r="H584" s="4" t="str">
        <x:v>Forge hearth, Anvil, Forging hammer, Smithing tongs, Metalworking file and Hand-cranked metal drill as applicable. Existing workshop bootstrap and controlled heating/cooling required; no free-water quench assumed.</x:v>
      </x:c>
      <x:c r="I584" s="4" t="str">
        <x:v>Candidate path traced</x:v>
      </x:c>
      <x:c r="J584" s="4" t="str">
        <x:v>Dimensions, grade, process qualification, quantity and yield remain open.</x:v>
      </x:c>
    </x:row>
    <x:row r="585" ht="115" customHeight="1">
      <x:c r="A585" s="4" t="str">
        <x:v>proposal.collection.worm_wheel</x:v>
      </x:c>
      <x:c r="B585" s="4" t="str">
        <x:f>IFERROR(INDEX(Items!$B$6:$B$1005,MATCH(A585,Items!$A$6:$A$1005,0)),"MISSING ID")</x:f>
        <x:v>Worm wheel</x:v>
      </x:c>
      <x:c r="C585" s="4" t="str">
        <x:f>IFERROR(INDEX(Items!$X$6:$X$1005,MATCH(A585,Items!$A$6:$A$1005,0)),"MISSING ID")</x:f>
        <x:v>Machine part</x:v>
      </x:c>
      <x:c r="D585" s="4" t="str">
        <x:f>IFERROR(INDEX(Items!$C$6:$C$1005,MATCH(A585,Items!$A$6:$A$1005,0)),"MISSING ID")</x:f>
        <x:v>T3</x:v>
      </x:c>
      <x:c r="E585" s="4" t="str">
        <x:v>Manufactured stock / part</x:v>
      </x:c>
      <x:c r="F585" s="14" t="n">
        <x:f>IFERROR(INDEX(Items!$AJ$6:$AJ$1005,MATCH(A585,Items!$A$6:$A$1005,0)),"MISSING ID")</x:f>
        <x:v>1</x:v>
      </x:c>
      <x:c r="G585" s="4" t="str">
        <x:v>Traced to cataloged T0 and/or recovered feeds</x:v>
      </x:c>
      <x:c r="H585" s="4" t="str">
        <x:v>Forge hearth, Anvil, Forging hammer, Smithing tongs, Metalworking file and Hand-cranked metal drill as applicable. Existing workshop bootstrap and controlled heating/cooling required; no free-water quench assumed.</x:v>
      </x:c>
      <x:c r="I585" s="4" t="str">
        <x:v>Candidate path traced</x:v>
      </x:c>
      <x:c r="J585" s="4" t="str">
        <x:v>Dimensions, grade, process qualification, quantity and yield remain open.</x:v>
      </x:c>
    </x:row>
    <x:row r="586" ht="115" customHeight="1">
      <x:c r="A586" s="4"/>
      <x:c r="B586" s="4"/>
      <x:c r="C586" s="4"/>
      <x:c r="D586" s="4"/>
      <x:c r="E586" s="4"/>
      <x:c r="F586" s="14"/>
      <x:c r="G586" s="4"/>
      <x:c r="H586" s="4"/>
      <x:c r="I586" s="4"/>
      <x:c r="J586" s="4"/>
    </x:row>
    <x:row r="587" ht="115" customHeight="1">
      <x:c r="A587" s="4" t="str">
        <x:v>proposal.collection.chain_drive_sprocket</x:v>
      </x:c>
      <x:c r="B587" s="4" t="str">
        <x:f>IFERROR(INDEX(Items!$B$6:$B$1005,MATCH(A587,Items!$A$6:$A$1005,0)),"MISSING ID")</x:f>
        <x:v>Chain drive sprocket</x:v>
      </x:c>
      <x:c r="C587" s="4" t="str">
        <x:f>IFERROR(INDEX(Items!$X$6:$X$1005,MATCH(A587,Items!$A$6:$A$1005,0)),"MISSING ID")</x:f>
        <x:v>Machine part</x:v>
      </x:c>
      <x:c r="D587" s="4" t="str">
        <x:f>IFERROR(INDEX(Items!$C$6:$C$1005,MATCH(A587,Items!$A$6:$A$1005,0)),"MISSING ID")</x:f>
        <x:v>T3</x:v>
      </x:c>
      <x:c r="E587" s="4" t="str">
        <x:v>Manufactured stock / part</x:v>
      </x:c>
      <x:c r="F587" s="14" t="n">
        <x:f>IFERROR(INDEX(Items!$AJ$6:$AJ$1005,MATCH(A587,Items!$A$6:$A$1005,0)),"MISSING ID")</x:f>
        <x:v>1</x:v>
      </x:c>
      <x:c r="G587" s="4" t="str">
        <x:v>Traced to cataloged T0 and/or recovered feeds</x:v>
      </x:c>
      <x:c r="H587" s="4" t="str">
        <x:v>Forge hearth, Anvil, Forging hammer, Smithing tongs, Metalworking file and Hand-cranked metal drill as applicable. Existing workshop bootstrap and controlled heating/cooling required; no free-water quench assumed.</x:v>
      </x:c>
      <x:c r="I587" s="4" t="str">
        <x:v>Candidate path traced</x:v>
      </x:c>
      <x:c r="J587" s="4" t="str">
        <x:v>Dimensions, grade, process qualification, quantity and yield remain open.</x:v>
      </x:c>
    </x:row>
    <x:row r="588" ht="115" customHeight="1">
      <x:c r="A588" s="4" t="str">
        <x:v>proposal.collection.split_shaft_coupling</x:v>
      </x:c>
      <x:c r="B588" s="4" t="str">
        <x:f>IFERROR(INDEX(Items!$B$6:$B$1005,MATCH(A588,Items!$A$6:$A$1005,0)),"MISSING ID")</x:f>
        <x:v>Split shaft coupling</x:v>
      </x:c>
      <x:c r="C588" s="4" t="str">
        <x:f>IFERROR(INDEX(Items!$X$6:$X$1005,MATCH(A588,Items!$A$6:$A$1005,0)),"MISSING ID")</x:f>
        <x:v>Machine part</x:v>
      </x:c>
      <x:c r="D588" s="4" t="str">
        <x:f>IFERROR(INDEX(Items!$C$6:$C$1005,MATCH(A588,Items!$A$6:$A$1005,0)),"MISSING ID")</x:f>
        <x:v>T4</x:v>
      </x:c>
      <x:c r="E588" s="4" t="str">
        <x:v>Manufactured stock / part</x:v>
      </x:c>
      <x:c r="F588" s="14" t="n">
        <x:f>IFERROR(INDEX(Items!$AJ$6:$AJ$1005,MATCH(A588,Items!$A$6:$A$1005,0)),"MISSING ID")</x:f>
        <x:v>1</x:v>
      </x:c>
      <x:c r="G588" s="4" t="str">
        <x:v>Traced to cataloged T0 and/or recovered feeds</x:v>
      </x:c>
      <x:c r="H588" s="4" t="str">
        <x:v>Forge hearth, Anvil, Forging hammer, Smithing tongs, Metalworking file and Hand-cranked metal drill as applicable. Existing workshop bootstrap and controlled heating/cooling required; no free-water quench assumed.</x:v>
      </x:c>
      <x:c r="I588" s="4" t="str">
        <x:v>Candidate path traced</x:v>
      </x:c>
      <x:c r="J588" s="4" t="str">
        <x:v>Dimensions, grade, process qualification, quantity and yield remain open.</x:v>
      </x:c>
    </x:row>
    <x:row r="589" ht="115" customHeight="1">
      <x:c r="A589" s="4" t="str">
        <x:v>proposal.collection.keyed_drive_shaft</x:v>
      </x:c>
      <x:c r="B589" s="4" t="str">
        <x:f>IFERROR(INDEX(Items!$B$6:$B$1005,MATCH(A589,Items!$A$6:$A$1005,0)),"MISSING ID")</x:f>
        <x:v>Keyed drive shaft</x:v>
      </x:c>
      <x:c r="C589" s="4" t="str">
        <x:f>IFERROR(INDEX(Items!$X$6:$X$1005,MATCH(A589,Items!$A$6:$A$1005,0)),"MISSING ID")</x:f>
        <x:v>Machine part</x:v>
      </x:c>
      <x:c r="D589" s="4" t="str">
        <x:f>IFERROR(INDEX(Items!$C$6:$C$1005,MATCH(A589,Items!$A$6:$A$1005,0)),"MISSING ID")</x:f>
        <x:v>T3</x:v>
      </x:c>
      <x:c r="E589" s="4" t="str">
        <x:v>Manufactured stock / part</x:v>
      </x:c>
      <x:c r="F589" s="14" t="n">
        <x:f>IFERROR(INDEX(Items!$AJ$6:$AJ$1005,MATCH(A589,Items!$A$6:$A$1005,0)),"MISSING ID")</x:f>
        <x:v>1</x:v>
      </x:c>
      <x:c r="G589" s="4" t="str">
        <x:v>Traced to cataloged T0 and/or recovered feeds</x:v>
      </x:c>
      <x:c r="H589" s="4" t="str">
        <x:v>Forge hearth, Anvil, Forging hammer, Smithing tongs, Metalworking file and Hand-cranked metal drill as applicable. Existing workshop bootstrap and controlled heating/cooling required; no free-water quench assumed.</x:v>
      </x:c>
      <x:c r="I589" s="4" t="str">
        <x:v>Candidate path traced</x:v>
      </x:c>
      <x:c r="J589" s="4" t="str">
        <x:v>Dimensions, grade, process qualification, quantity and yield remain open.</x:v>
      </x:c>
    </x:row>
    <x:row r="590" ht="115" customHeight="1">
      <x:c r="A590" s="4" t="str">
        <x:v>proposal.collection.eccentric_cam_disc</x:v>
      </x:c>
      <x:c r="B590" s="4" t="str">
        <x:f>IFERROR(INDEX(Items!$B$6:$B$1005,MATCH(A590,Items!$A$6:$A$1005,0)),"MISSING ID")</x:f>
        <x:v>Eccentric cam disc</x:v>
      </x:c>
      <x:c r="C590" s="4" t="str">
        <x:f>IFERROR(INDEX(Items!$X$6:$X$1005,MATCH(A590,Items!$A$6:$A$1005,0)),"MISSING ID")</x:f>
        <x:v>Machine part</x:v>
      </x:c>
      <x:c r="D590" s="4" t="str">
        <x:f>IFERROR(INDEX(Items!$C$6:$C$1005,MATCH(A590,Items!$A$6:$A$1005,0)),"MISSING ID")</x:f>
        <x:v>T3</x:v>
      </x:c>
      <x:c r="E590" s="4" t="str">
        <x:v>Manufactured stock / part</x:v>
      </x:c>
      <x:c r="F590" s="14" t="n">
        <x:f>IFERROR(INDEX(Items!$AJ$6:$AJ$1005,MATCH(A590,Items!$A$6:$A$1005,0)),"MISSING ID")</x:f>
        <x:v>1</x:v>
      </x:c>
      <x:c r="G590" s="4" t="str">
        <x:v>Traced to cataloged T0 and/or recovered feeds</x:v>
      </x:c>
      <x:c r="H590" s="4" t="str">
        <x:v>Forge hearth, Anvil, Forging hammer, Smithing tongs, Metalworking file and Hand-cranked metal drill as applicable. Existing workshop bootstrap and controlled heating/cooling required; no free-water quench assumed.</x:v>
      </x:c>
      <x:c r="I590" s="4" t="str">
        <x:v>Candidate path traced</x:v>
      </x:c>
      <x:c r="J590" s="4" t="str">
        <x:v>Dimensions, grade, process qualification, quantity and yield remain open.</x:v>
      </x:c>
    </x:row>
    <x:row r="591" ht="115" customHeight="1">
      <x:c r="A591" s="4" t="str">
        <x:v>proposal.collection.cam_follower_roller</x:v>
      </x:c>
      <x:c r="B591" s="4" t="str">
        <x:f>IFERROR(INDEX(Items!$B$6:$B$1005,MATCH(A591,Items!$A$6:$A$1005,0)),"MISSING ID")</x:f>
        <x:v>Cam follower roller</x:v>
      </x:c>
      <x:c r="C591" s="4" t="str">
        <x:f>IFERROR(INDEX(Items!$X$6:$X$1005,MATCH(A591,Items!$A$6:$A$1005,0)),"MISSING ID")</x:f>
        <x:v>Machine part</x:v>
      </x:c>
      <x:c r="D591" s="4" t="str">
        <x:f>IFERROR(INDEX(Items!$C$6:$C$1005,MATCH(A591,Items!$A$6:$A$1005,0)),"MISSING ID")</x:f>
        <x:v>T4</x:v>
      </x:c>
      <x:c r="E591" s="4" t="str">
        <x:v>Manufactured stock / part</x:v>
      </x:c>
      <x:c r="F591" s="14" t="n">
        <x:f>IFERROR(INDEX(Items!$AJ$6:$AJ$1005,MATCH(A591,Items!$A$6:$A$1005,0)),"MISSING ID")</x:f>
        <x:v>1</x:v>
      </x:c>
      <x:c r="G591" s="4" t="str">
        <x:v>Traced to cataloged T0 and/or recovered feeds</x:v>
      </x:c>
      <x:c r="H591" s="4" t="str">
        <x:v>Forge hearth, Anvil, Forging hammer, Smithing tongs, Metalworking file and Hand-cranked metal drill as applicable. Existing workshop bootstrap and controlled heating/cooling required; no free-water quench assumed.</x:v>
      </x:c>
      <x:c r="I591" s="4" t="str">
        <x:v>Candidate path traced</x:v>
      </x:c>
      <x:c r="J591" s="4" t="str">
        <x:v>Dimensions, grade, process qualification, quantity and yield remain open.</x:v>
      </x:c>
    </x:row>
    <x:row r="592" ht="115" customHeight="1">
      <x:c r="A592" s="4" t="str">
        <x:v>proposal.collection.ratchet_wheel</x:v>
      </x:c>
      <x:c r="B592" s="4" t="str">
        <x:f>IFERROR(INDEX(Items!$B$6:$B$1005,MATCH(A592,Items!$A$6:$A$1005,0)),"MISSING ID")</x:f>
        <x:v>Ratchet wheel</x:v>
      </x:c>
      <x:c r="C592" s="4" t="str">
        <x:f>IFERROR(INDEX(Items!$X$6:$X$1005,MATCH(A592,Items!$A$6:$A$1005,0)),"MISSING ID")</x:f>
        <x:v>Machine part</x:v>
      </x:c>
      <x:c r="D592" s="4" t="str">
        <x:f>IFERROR(INDEX(Items!$C$6:$C$1005,MATCH(A592,Items!$A$6:$A$1005,0)),"MISSING ID")</x:f>
        <x:v>T3</x:v>
      </x:c>
      <x:c r="E592" s="4" t="str">
        <x:v>Manufactured stock / part</x:v>
      </x:c>
      <x:c r="F592" s="14" t="n">
        <x:f>IFERROR(INDEX(Items!$AJ$6:$AJ$1005,MATCH(A592,Items!$A$6:$A$1005,0)),"MISSING ID")</x:f>
        <x:v>1</x:v>
      </x:c>
      <x:c r="G592" s="4" t="str">
        <x:v>Traced to cataloged T0 and/or recovered feeds</x:v>
      </x:c>
      <x:c r="H592" s="4" t="str">
        <x:v>Forge hearth, Anvil, Forging hammer, Smithing tongs, Metalworking file and Hand-cranked metal drill as applicable. Existing workshop bootstrap and controlled heating/cooling required; no free-water quench assumed.</x:v>
      </x:c>
      <x:c r="I592" s="4" t="str">
        <x:v>Candidate path traced</x:v>
      </x:c>
      <x:c r="J592" s="4" t="str">
        <x:v>Dimensions, grade, process qualification, quantity and yield remain open.</x:v>
      </x:c>
    </x:row>
    <x:row r="593" ht="115" customHeight="1">
      <x:c r="A593" s="4" t="str">
        <x:v>proposal.collection.ratchet_pawl</x:v>
      </x:c>
      <x:c r="B593" s="4" t="str">
        <x:f>IFERROR(INDEX(Items!$B$6:$B$1005,MATCH(A593,Items!$A$6:$A$1005,0)),"MISSING ID")</x:f>
        <x:v>Ratchet pawl</x:v>
      </x:c>
      <x:c r="C593" s="4" t="str">
        <x:f>IFERROR(INDEX(Items!$X$6:$X$1005,MATCH(A593,Items!$A$6:$A$1005,0)),"MISSING ID")</x:f>
        <x:v>Machine part</x:v>
      </x:c>
      <x:c r="D593" s="4" t="str">
        <x:f>IFERROR(INDEX(Items!$C$6:$C$1005,MATCH(A593,Items!$A$6:$A$1005,0)),"MISSING ID")</x:f>
        <x:v>T4</x:v>
      </x:c>
      <x:c r="E593" s="4" t="str">
        <x:v>Manufactured stock / part</x:v>
      </x:c>
      <x:c r="F593" s="14" t="n">
        <x:f>IFERROR(INDEX(Items!$AJ$6:$AJ$1005,MATCH(A593,Items!$A$6:$A$1005,0)),"MISSING ID")</x:f>
        <x:v>1</x:v>
      </x:c>
      <x:c r="G593" s="4" t="str">
        <x:v>Traced to cataloged T0 and/or recovered feeds</x:v>
      </x:c>
      <x:c r="H593" s="4" t="str">
        <x:v>Forge hearth, Anvil, Forging hammer, Smithing tongs, Metalworking file and Hand-cranked metal drill as applicable. Existing workshop bootstrap and controlled heating/cooling required; no free-water quench assumed.</x:v>
      </x:c>
      <x:c r="I593" s="4" t="str">
        <x:v>Candidate path traced</x:v>
      </x:c>
      <x:c r="J593" s="4" t="str">
        <x:v>Dimensions, grade, process qualification, quantity and yield remain open.</x:v>
      </x:c>
    </x:row>
    <x:row r="594" ht="115" customHeight="1">
      <x:c r="A594" s="4" t="str">
        <x:v>proposal.collection.helical_return_spring</x:v>
      </x:c>
      <x:c r="B594" s="4" t="str">
        <x:f>IFERROR(INDEX(Items!$B$6:$B$1005,MATCH(A594,Items!$A$6:$A$1005,0)),"MISSING ID")</x:f>
        <x:v>Helical return spring</x:v>
      </x:c>
      <x:c r="C594" s="4" t="str">
        <x:f>IFERROR(INDEX(Items!$X$6:$X$1005,MATCH(A594,Items!$A$6:$A$1005,0)),"MISSING ID")</x:f>
        <x:v>Machine part</x:v>
      </x:c>
      <x:c r="D594" s="4" t="str">
        <x:f>IFERROR(INDEX(Items!$C$6:$C$1005,MATCH(A594,Items!$A$6:$A$1005,0)),"MISSING ID")</x:f>
        <x:v>T4</x:v>
      </x:c>
      <x:c r="E594" s="4" t="str">
        <x:v>Manufactured stock / part</x:v>
      </x:c>
      <x:c r="F594" s="14" t="n">
        <x:f>IFERROR(INDEX(Items!$AJ$6:$AJ$1005,MATCH(A594,Items!$A$6:$A$1005,0)),"MISSING ID")</x:f>
        <x:v>1</x:v>
      </x:c>
      <x:c r="G594" s="4" t="str">
        <x:v>Traced to cataloged T0 and/or recovered feeds</x:v>
      </x:c>
      <x:c r="H594" s="4" t="str">
        <x:v>Forge hearth, Anvil, Forging hammer, Smithing tongs, Metalworking file and Hand-cranked metal drill as applicable. Existing workshop bootstrap and controlled heating/cooling required; no free-water quench assumed.</x:v>
      </x:c>
      <x:c r="I594" s="4" t="str">
        <x:v>Candidate path traced</x:v>
      </x:c>
      <x:c r="J594" s="4" t="str">
        <x:v>Dimensions, grade, process qualification, quantity and yield remain open.</x:v>
      </x:c>
    </x:row>
    <x:row r="595" ht="115" customHeight="1">
      <x:c r="A595" s="4" t="str">
        <x:v>proposal.collection.flat_spiral_clock_spring</x:v>
      </x:c>
      <x:c r="B595" s="4" t="str">
        <x:f>IFERROR(INDEX(Items!$B$6:$B$1005,MATCH(A595,Items!$A$6:$A$1005,0)),"MISSING ID")</x:f>
        <x:v>Flat spiral clock spring</x:v>
      </x:c>
      <x:c r="C595" s="4" t="str">
        <x:f>IFERROR(INDEX(Items!$X$6:$X$1005,MATCH(A595,Items!$A$6:$A$1005,0)),"MISSING ID")</x:f>
        <x:v>Machine part</x:v>
      </x:c>
      <x:c r="D595" s="4" t="str">
        <x:f>IFERROR(INDEX(Items!$C$6:$C$1005,MATCH(A595,Items!$A$6:$A$1005,0)),"MISSING ID")</x:f>
        <x:v>T4</x:v>
      </x:c>
      <x:c r="E595" s="4" t="str">
        <x:v>Manufactured stock / part</x:v>
      </x:c>
      <x:c r="F595" s="14" t="n">
        <x:f>IFERROR(INDEX(Items!$AJ$6:$AJ$1005,MATCH(A595,Items!$A$6:$A$1005,0)),"MISSING ID")</x:f>
        <x:v>1</x:v>
      </x:c>
      <x:c r="G595" s="4" t="str">
        <x:v>Traced to cataloged T0 and/or recovered feeds</x:v>
      </x:c>
      <x:c r="H595" s="4" t="str">
        <x:v>Forge hearth, Anvil, Forging hammer, Smithing tongs, Metalworking file and Hand-cranked metal drill as applicable. Existing workshop bootstrap and controlled heating/cooling required; no free-water quench assumed.</x:v>
      </x:c>
      <x:c r="I595" s="4" t="str">
        <x:v>Candidate path traced</x:v>
      </x:c>
      <x:c r="J595" s="4" t="str">
        <x:v>Dimensions, grade, process qualification, quantity and yield remain open.</x:v>
      </x:c>
    </x:row>
    <x:row r="596" ht="115" customHeight="1">
      <x:c r="A596" s="4" t="str">
        <x:v>proposal.collection.steel_hinge_knuckle</x:v>
      </x:c>
      <x:c r="B596" s="4" t="str">
        <x:f>IFERROR(INDEX(Items!$B$6:$B$1005,MATCH(A596,Items!$A$6:$A$1005,0)),"MISSING ID")</x:f>
        <x:v>Steel hinge knuckle</x:v>
      </x:c>
      <x:c r="C596" s="4" t="str">
        <x:f>IFERROR(INDEX(Items!$X$6:$X$1005,MATCH(A596,Items!$A$6:$A$1005,0)),"MISSING ID")</x:f>
        <x:v>Machine part</x:v>
      </x:c>
      <x:c r="D596" s="4" t="str">
        <x:f>IFERROR(INDEX(Items!$C$6:$C$1005,MATCH(A596,Items!$A$6:$A$1005,0)),"MISSING ID")</x:f>
        <x:v>T4</x:v>
      </x:c>
      <x:c r="E596" s="4" t="str">
        <x:v>Manufactured stock / part</x:v>
      </x:c>
      <x:c r="F596" s="14" t="n">
        <x:f>IFERROR(INDEX(Items!$AJ$6:$AJ$1005,MATCH(A596,Items!$A$6:$A$1005,0)),"MISSING ID")</x:f>
        <x:v>1</x:v>
      </x:c>
      <x:c r="G596" s="4" t="str">
        <x:v>Traced to cataloged T0 and/or recovered feeds</x:v>
      </x:c>
      <x:c r="H596" s="4" t="str">
        <x:v>Forge hearth, Anvil, Forging hammer, Smithing tongs, Metalworking file and Hand-cranked metal drill as applicable. Existing workshop bootstrap and controlled heating/cooling required; no free-water quench assumed.</x:v>
      </x:c>
      <x:c r="I596" s="4" t="str">
        <x:v>Candidate path traced</x:v>
      </x:c>
      <x:c r="J596" s="4" t="str">
        <x:v>Dimensions, grade, process qualification, quantity and yield remain open.</x:v>
      </x:c>
    </x:row>
    <x:row r="597" ht="115" customHeight="1">
      <x:c r="A597" s="4" t="str">
        <x:v>proposal.collection.oil_channel_bronze_sleeve</x:v>
      </x:c>
      <x:c r="B597" s="4" t="str">
        <x:f>IFERROR(INDEX(Items!$B$6:$B$1005,MATCH(A597,Items!$A$6:$A$1005,0)),"MISSING ID")</x:f>
        <x:v>Oil-channel bronze sleeve</x:v>
      </x:c>
      <x:c r="C597" s="4" t="str">
        <x:f>IFERROR(INDEX(Items!$X$6:$X$1005,MATCH(A597,Items!$A$6:$A$1005,0)),"MISSING ID")</x:f>
        <x:v>Machine part</x:v>
      </x:c>
      <x:c r="D597" s="4" t="str">
        <x:f>IFERROR(INDEX(Items!$C$6:$C$1005,MATCH(A597,Items!$A$6:$A$1005,0)),"MISSING ID")</x:f>
        <x:v>T3</x:v>
      </x:c>
      <x:c r="E597" s="4" t="str">
        <x:v>Manufactured stock / part</x:v>
      </x:c>
      <x:c r="F597" s="14" t="n">
        <x:f>IFERROR(INDEX(Items!$AJ$6:$AJ$1005,MATCH(A597,Items!$A$6:$A$1005,0)),"MISSING ID")</x:f>
        <x:v>1</x:v>
      </x:c>
      <x:c r="G597" s="4" t="str">
        <x:v>Traced to cataloged T0 and/or recovered feeds</x:v>
      </x:c>
      <x:c r="H597" s="4" t="str">
        <x:v>Forge hearth, Anvil, Forging hammer, Smithing tongs, Metalworking file and Hand-cranked metal drill as applicable. Existing workshop bootstrap and controlled heating/cooling required; no free-water quench assumed.</x:v>
      </x:c>
      <x:c r="I597" s="4" t="str">
        <x:v>Candidate path traced</x:v>
      </x:c>
      <x:c r="J597" s="4" t="str">
        <x:v>Dimensions, grade, process qualification, quantity and yield remain open.</x:v>
      </x:c>
    </x:row>
    <x:row r="598" ht="115" customHeight="1">
      <x:c r="A598" s="4" t="str">
        <x:v>proposal.collection.split_bearing_pillow_block</x:v>
      </x:c>
      <x:c r="B598" s="4" t="str">
        <x:f>IFERROR(INDEX(Items!$B$6:$B$1005,MATCH(A598,Items!$A$6:$A$1005,0)),"MISSING ID")</x:f>
        <x:v>Split bearing pillow block</x:v>
      </x:c>
      <x:c r="C598" s="4" t="str">
        <x:f>IFERROR(INDEX(Items!$X$6:$X$1005,MATCH(A598,Items!$A$6:$A$1005,0)),"MISSING ID")</x:f>
        <x:v>Machine part</x:v>
      </x:c>
      <x:c r="D598" s="4" t="str">
        <x:f>IFERROR(INDEX(Items!$C$6:$C$1005,MATCH(A598,Items!$A$6:$A$1005,0)),"MISSING ID")</x:f>
        <x:v>T4</x:v>
      </x:c>
      <x:c r="E598" s="4" t="str">
        <x:v>Manufactured stock / part</x:v>
      </x:c>
      <x:c r="F598" s="14" t="n">
        <x:f>IFERROR(INDEX(Items!$AJ$6:$AJ$1005,MATCH(A598,Items!$A$6:$A$1005,0)),"MISSING ID")</x:f>
        <x:v>1</x:v>
      </x:c>
      <x:c r="G598" s="4" t="str">
        <x:v>Traced to cataloged T0 and/or recovered feeds</x:v>
      </x:c>
      <x:c r="H598" s="4" t="str">
        <x:v>Forge hearth, Anvil, Forging hammer, Smithing tongs, Metalworking file and Hand-cranked metal drill as applicable. Existing workshop bootstrap and controlled heating/cooling required; no free-water quench assumed.</x:v>
      </x:c>
      <x:c r="I598" s="4" t="str">
        <x:v>Candidate path traced</x:v>
      </x:c>
      <x:c r="J598" s="4" t="str">
        <x:v>Dimensions, grade, process qualification, quantity and yield remain open.</x:v>
      </x:c>
    </x:row>
    <x:row r="599" ht="115" customHeight="1">
      <x:c r="A599" s="4" t="str">
        <x:v>proposal.collection.flywheel_rim_segment</x:v>
      </x:c>
      <x:c r="B599" s="4" t="str">
        <x:f>IFERROR(INDEX(Items!$B$6:$B$1005,MATCH(A599,Items!$A$6:$A$1005,0)),"MISSING ID")</x:f>
        <x:v>Flywheel rim segment</x:v>
      </x:c>
      <x:c r="C599" s="4" t="str">
        <x:f>IFERROR(INDEX(Items!$X$6:$X$1005,MATCH(A599,Items!$A$6:$A$1005,0)),"MISSING ID")</x:f>
        <x:v>Machine part</x:v>
      </x:c>
      <x:c r="D599" s="4" t="str">
        <x:f>IFERROR(INDEX(Items!$C$6:$C$1005,MATCH(A599,Items!$A$6:$A$1005,0)),"MISSING ID")</x:f>
        <x:v>T3</x:v>
      </x:c>
      <x:c r="E599" s="4" t="str">
        <x:v>Manufactured stock / part</x:v>
      </x:c>
      <x:c r="F599" s="14" t="n">
        <x:f>IFERROR(INDEX(Items!$AJ$6:$AJ$1005,MATCH(A599,Items!$A$6:$A$1005,0)),"MISSING ID")</x:f>
        <x:v>1</x:v>
      </x:c>
      <x:c r="G599" s="4" t="str">
        <x:v>Traced to cataloged T0 and/or recovered feeds</x:v>
      </x:c>
      <x:c r="H599" s="4" t="str">
        <x:v>Forge hearth, Anvil, Forging hammer, Smithing tongs, Metalworking file and Hand-cranked metal drill as applicable. Existing workshop bootstrap and controlled heating/cooling required; no free-water quench assumed.</x:v>
      </x:c>
      <x:c r="I599" s="4" t="str">
        <x:v>Candidate path traced</x:v>
      </x:c>
      <x:c r="J599" s="4" t="str">
        <x:v>Dimensions, grade, process qualification, quantity and yield remain open.</x:v>
      </x:c>
    </x:row>
    <x:row r="600" ht="115" customHeight="1">
      <x:c r="A600" s="4" t="str">
        <x:v>proposal.collection.clutch_friction_disc</x:v>
      </x:c>
      <x:c r="B600" s="4" t="str">
        <x:f>IFERROR(INDEX(Items!$B$6:$B$1005,MATCH(A600,Items!$A$6:$A$1005,0)),"MISSING ID")</x:f>
        <x:v>Clutch friction disc</x:v>
      </x:c>
      <x:c r="C600" s="4" t="str">
        <x:f>IFERROR(INDEX(Items!$X$6:$X$1005,MATCH(A600,Items!$A$6:$A$1005,0)),"MISSING ID")</x:f>
        <x:v>Machine part</x:v>
      </x:c>
      <x:c r="D600" s="4" t="str">
        <x:f>IFERROR(INDEX(Items!$C$6:$C$1005,MATCH(A600,Items!$A$6:$A$1005,0)),"MISSING ID")</x:f>
        <x:v>T4</x:v>
      </x:c>
      <x:c r="E600" s="4" t="str">
        <x:v>Manufactured stock / part</x:v>
      </x:c>
      <x:c r="F600" s="14" t="n">
        <x:f>IFERROR(INDEX(Items!$AJ$6:$AJ$1005,MATCH(A600,Items!$A$6:$A$1005,0)),"MISSING ID")</x:f>
        <x:v>1</x:v>
      </x:c>
      <x:c r="G600" s="4" t="str">
        <x:v>Traced to cataloged T0 and/or recovered feeds</x:v>
      </x:c>
      <x:c r="H600" s="4" t="str">
        <x:v>Forge hearth, Anvil, Forging hammer, Smithing tongs, Metalworking file and Hand-cranked metal drill as applicable. Existing workshop bootstrap and controlled heating/cooling required; no free-water quench assumed.</x:v>
      </x:c>
      <x:c r="I600" s="4" t="str">
        <x:v>Candidate path traced</x:v>
      </x:c>
      <x:c r="J600" s="4" t="str">
        <x:v>Dimensions, grade, process qualification, quantity and yield remain open.</x:v>
      </x:c>
    </x:row>
    <x:row r="601" ht="115" customHeight="1">
      <x:c r="A601" s="4" t="str">
        <x:v>proposal.collection.brake_drum</x:v>
      </x:c>
      <x:c r="B601" s="4" t="str">
        <x:f>IFERROR(INDEX(Items!$B$6:$B$1005,MATCH(A601,Items!$A$6:$A$1005,0)),"MISSING ID")</x:f>
        <x:v>Brake drum</x:v>
      </x:c>
      <x:c r="C601" s="4" t="str">
        <x:f>IFERROR(INDEX(Items!$X$6:$X$1005,MATCH(A601,Items!$A$6:$A$1005,0)),"MISSING ID")</x:f>
        <x:v>Machine part</x:v>
      </x:c>
      <x:c r="D601" s="4" t="str">
        <x:f>IFERROR(INDEX(Items!$C$6:$C$1005,MATCH(A601,Items!$A$6:$A$1005,0)),"MISSING ID")</x:f>
        <x:v>T3</x:v>
      </x:c>
      <x:c r="E601" s="4" t="str">
        <x:v>Manufactured stock / part</x:v>
      </x:c>
      <x:c r="F601" s="14" t="n">
        <x:f>IFERROR(INDEX(Items!$AJ$6:$AJ$1005,MATCH(A601,Items!$A$6:$A$1005,0)),"MISSING ID")</x:f>
        <x:v>1</x:v>
      </x:c>
      <x:c r="G601" s="4" t="str">
        <x:v>Traced to cataloged T0 and/or recovered feeds</x:v>
      </x:c>
      <x:c r="H601" s="4" t="str">
        <x:v>Forge hearth, Anvil, Forging hammer, Smithing tongs, Metalworking file and Hand-cranked metal drill as applicable. Existing workshop bootstrap and controlled heating/cooling required; no free-water quench assumed.</x:v>
      </x:c>
      <x:c r="I601" s="4" t="str">
        <x:v>Candidate path traced</x:v>
      </x:c>
      <x:c r="J601" s="4" t="str">
        <x:v>Dimensions, grade, process qualification, quantity and yield remain open.</x:v>
      </x:c>
    </x:row>
    <x:row r="602" ht="115" customHeight="1">
      <x:c r="A602" s="4" t="str">
        <x:v>proposal.collection.brake_lining_shoe</x:v>
      </x:c>
      <x:c r="B602" s="4" t="str">
        <x:f>IFERROR(INDEX(Items!$B$6:$B$1005,MATCH(A602,Items!$A$6:$A$1005,0)),"MISSING ID")</x:f>
        <x:v>Brake lining shoe</x:v>
      </x:c>
      <x:c r="C602" s="4" t="str">
        <x:f>IFERROR(INDEX(Items!$X$6:$X$1005,MATCH(A602,Items!$A$6:$A$1005,0)),"MISSING ID")</x:f>
        <x:v>Machine part</x:v>
      </x:c>
      <x:c r="D602" s="4" t="str">
        <x:f>IFERROR(INDEX(Items!$C$6:$C$1005,MATCH(A602,Items!$A$6:$A$1005,0)),"MISSING ID")</x:f>
        <x:v>T3</x:v>
      </x:c>
      <x:c r="E602" s="4" t="str">
        <x:v>Manufactured stock / part</x:v>
      </x:c>
      <x:c r="F602" s="14" t="n">
        <x:f>IFERROR(INDEX(Items!$AJ$6:$AJ$1005,MATCH(A602,Items!$A$6:$A$1005,0)),"MISSING ID")</x:f>
        <x:v>1</x:v>
      </x:c>
      <x:c r="G602" s="4" t="str">
        <x:v>Traced to cataloged T0 and/or recovered feeds</x:v>
      </x:c>
      <x:c r="H602" s="4" t="str">
        <x:v>Forge hearth, Anvil, Forging hammer, Smithing tongs, Metalworking file and Hand-cranked metal drill as applicable. Existing workshop bootstrap and controlled heating/cooling required; no free-water quench assumed.</x:v>
      </x:c>
      <x:c r="I602" s="4" t="str">
        <x:v>Candidate path traced</x:v>
      </x:c>
      <x:c r="J602" s="4" t="str">
        <x:v>Dimensions, grade, process qualification, quantity and yield remain open.</x:v>
      </x:c>
    </x:row>
    <x:row r="603" ht="115" customHeight="1">
      <x:c r="A603" s="4" t="str">
        <x:v>proposal.collection.counterweight_chain_link</x:v>
      </x:c>
      <x:c r="B603" s="4" t="str">
        <x:f>IFERROR(INDEX(Items!$B$6:$B$1005,MATCH(A603,Items!$A$6:$A$1005,0)),"MISSING ID")</x:f>
        <x:v>Counterweight chain link</x:v>
      </x:c>
      <x:c r="C603" s="4" t="str">
        <x:f>IFERROR(INDEX(Items!$X$6:$X$1005,MATCH(A603,Items!$A$6:$A$1005,0)),"MISSING ID")</x:f>
        <x:v>Machine part</x:v>
      </x:c>
      <x:c r="D603" s="4" t="str">
        <x:f>IFERROR(INDEX(Items!$C$6:$C$1005,MATCH(A603,Items!$A$6:$A$1005,0)),"MISSING ID")</x:f>
        <x:v>T3</x:v>
      </x:c>
      <x:c r="E603" s="4" t="str">
        <x:v>Manufactured stock / part</x:v>
      </x:c>
      <x:c r="F603" s="14" t="n">
        <x:f>IFERROR(INDEX(Items!$AJ$6:$AJ$1005,MATCH(A603,Items!$A$6:$A$1005,0)),"MISSING ID")</x:f>
        <x:v>1</x:v>
      </x:c>
      <x:c r="G603" s="4" t="str">
        <x:v>Traced to cataloged T0 and/or recovered feeds</x:v>
      </x:c>
      <x:c r="H603" s="4" t="str">
        <x:v>Forge hearth, Anvil, Forging hammer, Smithing tongs, Metalworking file and Hand-cranked metal drill as applicable. Existing workshop bootstrap and controlled heating/cooling required; no free-water quench assumed.</x:v>
      </x:c>
      <x:c r="I603" s="4" t="str">
        <x:v>Candidate path traced</x:v>
      </x:c>
      <x:c r="J603" s="4" t="str">
        <x:v>Dimensions, grade, process qualification, quantity and yield remain open.</x:v>
      </x:c>
    </x:row>
    <x:row r="604" ht="115" customHeight="1">
      <x:c r="A604" s="4" t="str">
        <x:v>proposal.collection.grooved_lift_pulley</x:v>
      </x:c>
      <x:c r="B604" s="4" t="str">
        <x:f>IFERROR(INDEX(Items!$B$6:$B$1005,MATCH(A604,Items!$A$6:$A$1005,0)),"MISSING ID")</x:f>
        <x:v>Grooved lift pulley</x:v>
      </x:c>
      <x:c r="C604" s="4" t="str">
        <x:f>IFERROR(INDEX(Items!$X$6:$X$1005,MATCH(A604,Items!$A$6:$A$1005,0)),"MISSING ID")</x:f>
        <x:v>Machine part</x:v>
      </x:c>
      <x:c r="D604" s="4" t="str">
        <x:f>IFERROR(INDEX(Items!$C$6:$C$1005,MATCH(A604,Items!$A$6:$A$1005,0)),"MISSING ID")</x:f>
        <x:v>T3</x:v>
      </x:c>
      <x:c r="E604" s="4" t="str">
        <x:v>Manufactured stock / part</x:v>
      </x:c>
      <x:c r="F604" s="14" t="n">
        <x:f>IFERROR(INDEX(Items!$AJ$6:$AJ$1005,MATCH(A604,Items!$A$6:$A$1005,0)),"MISSING ID")</x:f>
        <x:v>1</x:v>
      </x:c>
      <x:c r="G604" s="4" t="str">
        <x:v>Traced to cataloged T0 and/or recovered feeds</x:v>
      </x:c>
      <x:c r="H604" s="4" t="str">
        <x:v>Forge hearth, Anvil, Forging hammer, Smithing tongs, Metalworking file and Hand-cranked metal drill as applicable. Existing workshop bootstrap and controlled heating/cooling required; no free-water quench assumed.</x:v>
      </x:c>
      <x:c r="I604" s="4" t="str">
        <x:v>Candidate path traced</x:v>
      </x:c>
      <x:c r="J604" s="4" t="str">
        <x:v>Dimensions, grade, process qualification, quantity and yield remain open.</x:v>
      </x:c>
    </x:row>
    <x:row r="605" ht="115" customHeight="1">
      <x:c r="A605" s="4" t="str">
        <x:v>proposal.collection.mechanical_escapement_fork</x:v>
      </x:c>
      <x:c r="B605" s="4" t="str">
        <x:f>IFERROR(INDEX(Items!$B$6:$B$1005,MATCH(A605,Items!$A$6:$A$1005,0)),"MISSING ID")</x:f>
        <x:v>Mechanical escapement fork</x:v>
      </x:c>
      <x:c r="C605" s="4" t="str">
        <x:f>IFERROR(INDEX(Items!$X$6:$X$1005,MATCH(A605,Items!$A$6:$A$1005,0)),"MISSING ID")</x:f>
        <x:v>Machine part</x:v>
      </x:c>
      <x:c r="D605" s="4" t="str">
        <x:f>IFERROR(INDEX(Items!$C$6:$C$1005,MATCH(A605,Items!$A$6:$A$1005,0)),"MISSING ID")</x:f>
        <x:v>T3</x:v>
      </x:c>
      <x:c r="E605" s="4" t="str">
        <x:v>Manufactured stock / part</x:v>
      </x:c>
      <x:c r="F605" s="14" t="n">
        <x:f>IFERROR(INDEX(Items!$AJ$6:$AJ$1005,MATCH(A605,Items!$A$6:$A$1005,0)),"MISSING ID")</x:f>
        <x:v>1</x:v>
      </x:c>
      <x:c r="G605" s="4" t="str">
        <x:v>Traced to cataloged T0 and/or recovered feeds</x:v>
      </x:c>
      <x:c r="H605" s="4" t="str">
        <x:v>Forge hearth, Anvil, Forging hammer, Smithing tongs, Metalworking file and Hand-cranked metal drill as applicable. Existing workshop bootstrap and controlled heating/cooling required; no free-water quench assumed.</x:v>
      </x:c>
      <x:c r="I605" s="4" t="str">
        <x:v>Candidate path traced</x:v>
      </x:c>
      <x:c r="J605" s="4" t="str">
        <x:v>Dimensions, grade, process qualification, quantity and yield remain open.</x:v>
      </x:c>
    </x:row>
    <x:row r="606" ht="115" customHeight="1">
      <x:c r="A606" s="4" t="str">
        <x:v>proposal.collection.pressure_bellows_capsule</x:v>
      </x:c>
      <x:c r="B606" s="4" t="str">
        <x:f>IFERROR(INDEX(Items!$B$6:$B$1005,MATCH(A606,Items!$A$6:$A$1005,0)),"MISSING ID")</x:f>
        <x:v>Pressure bellows capsule</x:v>
      </x:c>
      <x:c r="C606" s="4" t="str">
        <x:f>IFERROR(INDEX(Items!$X$6:$X$1005,MATCH(A606,Items!$A$6:$A$1005,0)),"MISSING ID")</x:f>
        <x:v>Machine part</x:v>
      </x:c>
      <x:c r="D606" s="4" t="str">
        <x:f>IFERROR(INDEX(Items!$C$6:$C$1005,MATCH(A606,Items!$A$6:$A$1005,0)),"MISSING ID")</x:f>
        <x:v>T4</x:v>
      </x:c>
      <x:c r="E606" s="4" t="str">
        <x:v>Manufactured stock / part</x:v>
      </x:c>
      <x:c r="F606" s="14" t="n">
        <x:f>IFERROR(INDEX(Items!$AJ$6:$AJ$1005,MATCH(A606,Items!$A$6:$A$1005,0)),"MISSING ID")</x:f>
        <x:v>1</x:v>
      </x:c>
      <x:c r="G606" s="4" t="str">
        <x:v>Traced to cataloged T0 and/or recovered feeds</x:v>
      </x:c>
      <x:c r="H606" s="4" t="str">
        <x:v>Forge hearth, Anvil, Forging hammer, Smithing tongs, Metalworking file and Hand-cranked metal drill as applicable. Existing workshop bootstrap and controlled heating/cooling required; no free-water quench assumed.</x:v>
      </x:c>
      <x:c r="I606" s="4" t="str">
        <x:v>Candidate path traced</x:v>
      </x:c>
      <x:c r="J606" s="4" t="str">
        <x:v>Dimensions, grade, process qualification, quantity and yield remain open.</x:v>
      </x:c>
    </x:row>
    <x:row r="607" ht="115" customHeight="1">
      <x:c r="A607" s="4" t="str">
        <x:v>proposal.collection.ceramic_piston_sleeve</x:v>
      </x:c>
      <x:c r="B607" s="4" t="str">
        <x:f>IFERROR(INDEX(Items!$B$6:$B$1005,MATCH(A607,Items!$A$6:$A$1005,0)),"MISSING ID")</x:f>
        <x:v>Ceramic piston sleeve</x:v>
      </x:c>
      <x:c r="C607" s="4" t="str">
        <x:f>IFERROR(INDEX(Items!$X$6:$X$1005,MATCH(A607,Items!$A$6:$A$1005,0)),"MISSING ID")</x:f>
        <x:v>Machine part</x:v>
      </x:c>
      <x:c r="D607" s="4" t="str">
        <x:f>IFERROR(INDEX(Items!$C$6:$C$1005,MATCH(A607,Items!$A$6:$A$1005,0)),"MISSING ID")</x:f>
        <x:v>T3</x:v>
      </x:c>
      <x:c r="E607" s="4" t="str">
        <x:v>Manufactured stock / part</x:v>
      </x:c>
      <x:c r="F607" s="14" t="n">
        <x:f>IFERROR(INDEX(Items!$AJ$6:$AJ$1005,MATCH(A607,Items!$A$6:$A$1005,0)),"MISSING ID")</x:f>
        <x:v>1</x:v>
      </x:c>
      <x:c r="G607" s="4" t="str">
        <x:v>Traced to cataloged T0 and/or recovered feeds</x:v>
      </x:c>
      <x:c r="H607" s="4" t="str">
        <x:v>Controlled-heating firing kiln or specialist glass hot-work station; Ceramic firing tray / Ceramic casting mold as applicable. Qualified power, heat and atmosphere required.</x:v>
      </x:c>
      <x:c r="I607" s="4" t="str">
        <x:v>Candidate path traced</x:v>
      </x:c>
      <x:c r="J607" s="4" t="str">
        <x:v>Dimensions, grade, process qualification, quantity and yield remain open.</x:v>
      </x:c>
    </x:row>
    <x:row r="608" ht="115" customHeight="1">
      <x:c r="A608" s="4" t="str">
        <x:v>proposal.collection.metal_piston_head</x:v>
      </x:c>
      <x:c r="B608" s="4" t="str">
        <x:f>IFERROR(INDEX(Items!$B$6:$B$1005,MATCH(A608,Items!$A$6:$A$1005,0)),"MISSING ID")</x:f>
        <x:v>Metal piston head</x:v>
      </x:c>
      <x:c r="C608" s="4" t="str">
        <x:f>IFERROR(INDEX(Items!$X$6:$X$1005,MATCH(A608,Items!$A$6:$A$1005,0)),"MISSING ID")</x:f>
        <x:v>Machine part</x:v>
      </x:c>
      <x:c r="D608" s="4" t="str">
        <x:f>IFERROR(INDEX(Items!$C$6:$C$1005,MATCH(A608,Items!$A$6:$A$1005,0)),"MISSING ID")</x:f>
        <x:v>T3</x:v>
      </x:c>
      <x:c r="E608" s="4" t="str">
        <x:v>Manufactured stock / part</x:v>
      </x:c>
      <x:c r="F608" s="14" t="n">
        <x:f>IFERROR(INDEX(Items!$AJ$6:$AJ$1005,MATCH(A608,Items!$A$6:$A$1005,0)),"MISSING ID")</x:f>
        <x:v>1</x:v>
      </x:c>
      <x:c r="G608" s="4" t="str">
        <x:v>Traced to cataloged T0 and/or recovered feeds</x:v>
      </x:c>
      <x:c r="H608" s="4" t="str">
        <x:v>Forge hearth, Anvil, Forging hammer, Smithing tongs, Metalworking file and Hand-cranked metal drill as applicable. Existing workshop bootstrap and controlled heating/cooling required; no free-water quench assumed.</x:v>
      </x:c>
      <x:c r="I608" s="4" t="str">
        <x:v>Candidate path traced</x:v>
      </x:c>
      <x:c r="J608" s="4" t="str">
        <x:v>Dimensions, grade, process qualification, quantity and yield remain open.</x:v>
      </x:c>
    </x:row>
    <x:row r="609" ht="115" customHeight="1">
      <x:c r="A609" s="4" t="str">
        <x:v>proposal.collection.spring_seated_check_valve</x:v>
      </x:c>
      <x:c r="B609" s="4" t="str">
        <x:f>IFERROR(INDEX(Items!$B$6:$B$1005,MATCH(A609,Items!$A$6:$A$1005,0)),"MISSING ID")</x:f>
        <x:v>Spring-seated check valve</x:v>
      </x:c>
      <x:c r="C609" s="4" t="str">
        <x:f>IFERROR(INDEX(Items!$X$6:$X$1005,MATCH(A609,Items!$A$6:$A$1005,0)),"MISSING ID")</x:f>
        <x:v>Machine part</x:v>
      </x:c>
      <x:c r="D609" s="4" t="str">
        <x:f>IFERROR(INDEX(Items!$C$6:$C$1005,MATCH(A609,Items!$A$6:$A$1005,0)),"MISSING ID")</x:f>
        <x:v>T4</x:v>
      </x:c>
      <x:c r="E609" s="4" t="str">
        <x:v>Manufactured stock / part</x:v>
      </x:c>
      <x:c r="F609" s="14" t="n">
        <x:f>IFERROR(INDEX(Items!$AJ$6:$AJ$1005,MATCH(A609,Items!$A$6:$A$1005,0)),"MISSING ID")</x:f>
        <x:v>1</x:v>
      </x:c>
      <x:c r="G609" s="4" t="str">
        <x:v>Traced to cataloged T0 and/or recovered feeds</x:v>
      </x:c>
      <x:c r="H609" s="4" t="str">
        <x:v>Forge hearth, Anvil, Forging hammer, Smithing tongs, Metalworking file and Hand-cranked metal drill as applicable. Existing workshop bootstrap and controlled heating/cooling required; no free-water quench assumed.</x:v>
      </x:c>
      <x:c r="I609" s="4" t="str">
        <x:v>Candidate path traced</x:v>
      </x:c>
      <x:c r="J609" s="4" t="str">
        <x:v>Dimensions, grade, process qualification, quantity and yield remain open.</x:v>
      </x:c>
    </x:row>
    <x:row r="610" ht="115" customHeight="1">
      <x:c r="A610" s="4" t="str">
        <x:v>proposal.collection.graphite_current_brush</x:v>
      </x:c>
      <x:c r="B610" s="4" t="str">
        <x:f>IFERROR(INDEX(Items!$B$6:$B$1005,MATCH(A610,Items!$A$6:$A$1005,0)),"MISSING ID")</x:f>
        <x:v>Graphite current brush</x:v>
      </x:c>
      <x:c r="C610" s="4" t="str">
        <x:f>IFERROR(INDEX(Items!$X$6:$X$1005,MATCH(A610,Items!$A$6:$A$1005,0)),"MISSING ID")</x:f>
        <x:v>Machine part</x:v>
      </x:c>
      <x:c r="D610" s="4" t="str">
        <x:f>IFERROR(INDEX(Items!$C$6:$C$1005,MATCH(A610,Items!$A$6:$A$1005,0)),"MISSING ID")</x:f>
        <x:v>T2</x:v>
      </x:c>
      <x:c r="E610" s="4" t="str">
        <x:v>Manufactured stock / part</x:v>
      </x:c>
      <x:c r="F610" s="14" t="n">
        <x:f>IFERROR(INDEX(Items!$AJ$6:$AJ$1005,MATCH(A610,Items!$A$6:$A$1005,0)),"MISSING ID")</x:f>
        <x:v>1</x:v>
      </x:c>
      <x:c r="G610" s="4" t="str">
        <x:v>Traced to cataloged T0 and/or recovered feeds</x:v>
      </x:c>
      <x:c r="H610" s="4" t="str">
        <x:v>Forge hearth, Anvil, Forging hammer, Smithing tongs, Metalworking file and Hand-cranked metal drill as applicable. Existing workshop bootstrap and controlled heating/cooling required; no free-water quench assumed.</x:v>
      </x:c>
      <x:c r="I610" s="4" t="str">
        <x:v>Candidate path traced</x:v>
      </x:c>
      <x:c r="J610" s="4" t="str">
        <x:v>Dimensions, grade, process qualification, quantity and yield remain open.</x:v>
      </x:c>
    </x:row>
    <x:row r="611" ht="115" customHeight="1">
      <x:c r="A611" s="4" t="str">
        <x:v>proposal.collection.segmented_commutator_ring</x:v>
      </x:c>
      <x:c r="B611" s="4" t="str">
        <x:f>IFERROR(INDEX(Items!$B$6:$B$1005,MATCH(A611,Items!$A$6:$A$1005,0)),"MISSING ID")</x:f>
        <x:v>Segmented commutator ring</x:v>
      </x:c>
      <x:c r="C611" s="4" t="str">
        <x:f>IFERROR(INDEX(Items!$X$6:$X$1005,MATCH(A611,Items!$A$6:$A$1005,0)),"MISSING ID")</x:f>
        <x:v>Machine part</x:v>
      </x:c>
      <x:c r="D611" s="4" t="str">
        <x:f>IFERROR(INDEX(Items!$C$6:$C$1005,MATCH(A611,Items!$A$6:$A$1005,0)),"MISSING ID")</x:f>
        <x:v>T4</x:v>
      </x:c>
      <x:c r="E611" s="4" t="str">
        <x:v>Manufactured stock / part</x:v>
      </x:c>
      <x:c r="F611" s="14" t="n">
        <x:f>IFERROR(INDEX(Items!$AJ$6:$AJ$1005,MATCH(A611,Items!$A$6:$A$1005,0)),"MISSING ID")</x:f>
        <x:v>1</x:v>
      </x:c>
      <x:c r="G611" s="4" t="str">
        <x:v>Traced to cataloged T0 and/or recovered feeds</x:v>
      </x:c>
      <x:c r="H611" s="4" t="str">
        <x:v>Controlled-heating firing kiln or specialist glass hot-work station; Ceramic firing tray / Ceramic casting mold as applicable. Qualified power, heat and atmosphere required.</x:v>
      </x:c>
      <x:c r="I611" s="4" t="str">
        <x:v>Candidate path traced</x:v>
      </x:c>
      <x:c r="J611" s="4" t="str">
        <x:v>Dimensions, grade, process qualification, quantity and yield remain open.</x:v>
      </x:c>
    </x:row>
    <x:row r="612" ht="115" customHeight="1">
      <x:c r="A612" s="4" t="str">
        <x:v>proposal.collection.iron_wound_relay_core</x:v>
      </x:c>
      <x:c r="B612" s="4" t="str">
        <x:f>IFERROR(INDEX(Items!$B$6:$B$1005,MATCH(A612,Items!$A$6:$A$1005,0)),"MISSING ID")</x:f>
        <x:v>Iron-wound relay core</x:v>
      </x:c>
      <x:c r="C612" s="4" t="str">
        <x:f>IFERROR(INDEX(Items!$X$6:$X$1005,MATCH(A612,Items!$A$6:$A$1005,0)),"MISSING ID")</x:f>
        <x:v>Machine part</x:v>
      </x:c>
      <x:c r="D612" s="4" t="str">
        <x:f>IFERROR(INDEX(Items!$C$6:$C$1005,MATCH(A612,Items!$A$6:$A$1005,0)),"MISSING ID")</x:f>
        <x:v>T4</x:v>
      </x:c>
      <x:c r="E612" s="4" t="str">
        <x:v>Manufactured stock / part</x:v>
      </x:c>
      <x:c r="F612" s="14" t="n">
        <x:f>IFERROR(INDEX(Items!$AJ$6:$AJ$1005,MATCH(A612,Items!$A$6:$A$1005,0)),"MISSING ID")</x:f>
        <x:v>1</x:v>
      </x:c>
      <x:c r="G612" s="4" t="str">
        <x:v>Traced to cataloged T0 and/or recovered feeds</x:v>
      </x:c>
      <x:c r="H612" s="4" t="str">
        <x:v>Forge hearth, Anvil, Forging hammer, Smithing tongs, Metalworking file and Hand-cranked metal drill as applicable. Existing workshop bootstrap and controlled heating/cooling required; no free-water quench assumed.</x:v>
      </x:c>
      <x:c r="I612" s="4" t="str">
        <x:v>Candidate path traced</x:v>
      </x:c>
      <x:c r="J612" s="4" t="str">
        <x:v>Dimensions, grade, process qualification, quantity and yield remain open.</x:v>
      </x:c>
    </x:row>
    <x:row r="613" ht="115" customHeight="1">
      <x:c r="A613" s="4" t="str">
        <x:v>proposal.collection.mica_separated_terminal_strip</x:v>
      </x:c>
      <x:c r="B613" s="4" t="str">
        <x:f>IFERROR(INDEX(Items!$B$6:$B$1005,MATCH(A613,Items!$A$6:$A$1005,0)),"MISSING ID")</x:f>
        <x:v>Mica-separated terminal strip</x:v>
      </x:c>
      <x:c r="C613" s="4" t="str">
        <x:f>IFERROR(INDEX(Items!$X$6:$X$1005,MATCH(A613,Items!$A$6:$A$1005,0)),"MISSING ID")</x:f>
        <x:v>Machine part</x:v>
      </x:c>
      <x:c r="D613" s="4" t="str">
        <x:f>IFERROR(INDEX(Items!$C$6:$C$1005,MATCH(A613,Items!$A$6:$A$1005,0)),"MISSING ID")</x:f>
        <x:v>T4</x:v>
      </x:c>
      <x:c r="E613" s="4" t="str">
        <x:v>Manufactured stock / part</x:v>
      </x:c>
      <x:c r="F613" s="14" t="n">
        <x:f>IFERROR(INDEX(Items!$AJ$6:$AJ$1005,MATCH(A613,Items!$A$6:$A$1005,0)),"MISSING ID")</x:f>
        <x:v>1</x:v>
      </x:c>
      <x:c r="G613" s="4" t="str">
        <x:v>Traced to cataloged T0 and/or recovered feeds</x:v>
      </x:c>
      <x:c r="H613" s="4" t="str">
        <x:v>Forge hearth, Anvil, Forging hammer, Smithing tongs, Metalworking file and Hand-cranked metal drill as applicable. Existing workshop bootstrap and controlled heating/cooling required; no free-water quench assumed.</x:v>
      </x:c>
      <x:c r="I613" s="4" t="str">
        <x:v>Candidate path traced</x:v>
      </x:c>
      <x:c r="J613" s="4" t="str">
        <x:v>Dimensions, grade, process qualification, quantity and yield remain open.</x:v>
      </x:c>
    </x:row>
    <x:row r="614" ht="115" customHeight="1">
      <x:c r="A614" s="4" t="str">
        <x:v>proposal.collection.ceramic_wire_routing_comb</x:v>
      </x:c>
      <x:c r="B614" s="4" t="str">
        <x:f>IFERROR(INDEX(Items!$B$6:$B$1005,MATCH(A614,Items!$A$6:$A$1005,0)),"MISSING ID")</x:f>
        <x:v>Ceramic wire-routing comb</x:v>
      </x:c>
      <x:c r="C614" s="4" t="str">
        <x:f>IFERROR(INDEX(Items!$X$6:$X$1005,MATCH(A614,Items!$A$6:$A$1005,0)),"MISSING ID")</x:f>
        <x:v>Machine part</x:v>
      </x:c>
      <x:c r="D614" s="4" t="str">
        <x:f>IFERROR(INDEX(Items!$C$6:$C$1005,MATCH(A614,Items!$A$6:$A$1005,0)),"MISSING ID")</x:f>
        <x:v>T3</x:v>
      </x:c>
      <x:c r="E614" s="4" t="str">
        <x:v>Manufactured stock / part</x:v>
      </x:c>
      <x:c r="F614" s="14" t="n">
        <x:f>IFERROR(INDEX(Items!$AJ$6:$AJ$1005,MATCH(A614,Items!$A$6:$A$1005,0)),"MISSING ID")</x:f>
        <x:v>1</x:v>
      </x:c>
      <x:c r="G614" s="4" t="str">
        <x:v>Traced to cataloged T0 and/or recovered feeds</x:v>
      </x:c>
      <x:c r="H614" s="4" t="str">
        <x:v>Controlled-heating firing kiln or specialist glass hot-work station; Ceramic firing tray / Ceramic casting mold as applicable. Qualified power, heat and atmosphere required.</x:v>
      </x:c>
      <x:c r="I614" s="4" t="str">
        <x:v>Candidate path traced</x:v>
      </x:c>
      <x:c r="J614" s="4" t="str">
        <x:v>Dimensions, grade, process qualification, quantity and yield remain open.</x:v>
      </x:c>
    </x:row>
    <x:row r="615" ht="115" customHeight="1">
      <x:c r="A615" s="4" t="str">
        <x:v>proposal.collection.braided_iron_signal_lead</x:v>
      </x:c>
      <x:c r="B615" s="4" t="str">
        <x:f>IFERROR(INDEX(Items!$B$6:$B$1005,MATCH(A615,Items!$A$6:$A$1005,0)),"MISSING ID")</x:f>
        <x:v>Braided iron signal lead</x:v>
      </x:c>
      <x:c r="C615" s="4" t="str">
        <x:f>IFERROR(INDEX(Items!$X$6:$X$1005,MATCH(A615,Items!$A$6:$A$1005,0)),"MISSING ID")</x:f>
        <x:v>Machine part</x:v>
      </x:c>
      <x:c r="D615" s="4" t="str">
        <x:f>IFERROR(INDEX(Items!$C$6:$C$1005,MATCH(A615,Items!$A$6:$A$1005,0)),"MISSING ID")</x:f>
        <x:v>T3</x:v>
      </x:c>
      <x:c r="E615" s="4" t="str">
        <x:v>Manufactured stock / part</x:v>
      </x:c>
      <x:c r="F615" s="14" t="n">
        <x:f>IFERROR(INDEX(Items!$AJ$6:$AJ$1005,MATCH(A615,Items!$A$6:$A$1005,0)),"MISSING ID")</x:f>
        <x:v>1</x:v>
      </x:c>
      <x:c r="G615" s="4" t="str">
        <x:v>Traced to cataloged T0 and/or recovered feeds</x:v>
      </x:c>
      <x:c r="H615" s="4" t="str">
        <x:v>Forge hearth, Anvil, Forging hammer, Smithing tongs, Metalworking file and Hand-cranked metal drill as applicable. Existing workshop bootstrap and controlled heating/cooling required; no free-water quench assumed.</x:v>
      </x:c>
      <x:c r="I615" s="4" t="str">
        <x:v>Candidate path traced</x:v>
      </x:c>
      <x:c r="J615" s="4" t="str">
        <x:v>Dimensions, grade, process qualification, quantity and yield remain open.</x:v>
      </x:c>
    </x:row>
    <x:row r="616" ht="115" customHeight="1">
      <x:c r="A616" s="4" t="str">
        <x:v>proposal.collection.flexible_copper_service_jumper</x:v>
      </x:c>
      <x:c r="B616" s="4" t="str">
        <x:f>IFERROR(INDEX(Items!$B$6:$B$1005,MATCH(A616,Items!$A$6:$A$1005,0)),"MISSING ID")</x:f>
        <x:v>Flexible copper service jumper</x:v>
      </x:c>
      <x:c r="C616" s="4" t="str">
        <x:f>IFERROR(INDEX(Items!$X$6:$X$1005,MATCH(A616,Items!$A$6:$A$1005,0)),"MISSING ID")</x:f>
        <x:v>Machine part</x:v>
      </x:c>
      <x:c r="D616" s="4" t="str">
        <x:f>IFERROR(INDEX(Items!$C$6:$C$1005,MATCH(A616,Items!$A$6:$A$1005,0)),"MISSING ID")</x:f>
        <x:v>T4</x:v>
      </x:c>
      <x:c r="E616" s="4" t="str">
        <x:v>Manufactured stock / part</x:v>
      </x:c>
      <x:c r="F616" s="14" t="n">
        <x:f>IFERROR(INDEX(Items!$AJ$6:$AJ$1005,MATCH(A616,Items!$A$6:$A$1005,0)),"MISSING ID")</x:f>
        <x:v>1</x:v>
      </x:c>
      <x:c r="G616" s="4" t="str">
        <x:v>Traced to cataloged T0 and/or recovered feeds</x:v>
      </x:c>
      <x:c r="H616" s="4" t="str">
        <x:v>Forge hearth, Anvil, Forging hammer, Smithing tongs, Metalworking file and Hand-cranked metal drill as applicable. Existing workshop bootstrap and controlled heating/cooling required; no free-water quench assumed.</x:v>
      </x:c>
      <x:c r="I616" s="4" t="str">
        <x:v>Candidate path traced</x:v>
      </x:c>
      <x:c r="J616" s="4" t="str">
        <x:v>Dimensions, grade, process qualification, quantity and yield remain open.</x:v>
      </x:c>
    </x:row>
    <x:row r="617" ht="115" customHeight="1">
      <x:c r="A617" s="4" t="str">
        <x:v>proposal.collection.ancient_nanocarbon_rotary_bearing</x:v>
      </x:c>
      <x:c r="B617" s="4" t="str">
        <x:f>IFERROR(INDEX(Items!$B$6:$B$1005,MATCH(A617,Items!$A$6:$A$1005,0)),"MISSING ID")</x:f>
        <x:v>Ancient nanocarbon rotary bearing</x:v>
      </x:c>
      <x:c r="C617" s="4" t="str">
        <x:f>IFERROR(INDEX(Items!$X$6:$X$1005,MATCH(A617,Items!$A$6:$A$1005,0)),"MISSING ID")</x:f>
        <x:v>Machine part</x:v>
      </x:c>
      <x:c r="D617" s="4" t="str">
        <x:f>IFERROR(INDEX(Items!$C$6:$C$1005,MATCH(A617,Items!$A$6:$A$1005,0)),"MISSING ID")</x:f>
        <x:v>Not applicable</x:v>
      </x:c>
      <x:c r="E617" s="4" t="str">
        <x:v>Recovery</x:v>
      </x:c>
      <x:c r="F617" s="14" t="n">
        <x:f>IFERROR(INDEX(Items!$AJ$6:$AJ$1005,MATCH(A617,Items!$A$6:$A$1005,0)),"MISSING ID")</x:f>
        <x:v>0</x:v>
      </x:c>
      <x:c r="G617" s="4" t="str">
        <x:v>Source, recovery or issue route applies</x:v>
      </x:c>
      <x:c r="H617" s="4" t="str">
        <x:v>Not a selected manufacturing route</x:v>
      </x:c>
      <x:c r="I617" s="4" t="str">
        <x:v>Recovery only</x:v>
      </x:c>
      <x:c r="J617" s="4" t="str">
        <x:v>Recover and assess a compatible item. No manufacturing route or guaranteed working function.</x:v>
      </x:c>
    </x:row>
    <x:row r="618" ht="115" customHeight="1">
      <x:c r="A618" s="4" t="str">
        <x:v>proposal.collection.ancient_plasteel_flexure_joint</x:v>
      </x:c>
      <x:c r="B618" s="4" t="str">
        <x:f>IFERROR(INDEX(Items!$B$6:$B$1005,MATCH(A618,Items!$A$6:$A$1005,0)),"MISSING ID")</x:f>
        <x:v>Ancient plasteel flexure joint</x:v>
      </x:c>
      <x:c r="C618" s="4" t="str">
        <x:f>IFERROR(INDEX(Items!$X$6:$X$1005,MATCH(A618,Items!$A$6:$A$1005,0)),"MISSING ID")</x:f>
        <x:v>Machine part</x:v>
      </x:c>
      <x:c r="D618" s="4" t="str">
        <x:f>IFERROR(INDEX(Items!$C$6:$C$1005,MATCH(A618,Items!$A$6:$A$1005,0)),"MISSING ID")</x:f>
        <x:v>Not applicable</x:v>
      </x:c>
      <x:c r="E618" s="4" t="str">
        <x:v>Recovery</x:v>
      </x:c>
      <x:c r="F618" s="14" t="n">
        <x:f>IFERROR(INDEX(Items!$AJ$6:$AJ$1005,MATCH(A618,Items!$A$6:$A$1005,0)),"MISSING ID")</x:f>
        <x:v>0</x:v>
      </x:c>
      <x:c r="G618" s="4" t="str">
        <x:v>Source, recovery or issue route applies</x:v>
      </x:c>
      <x:c r="H618" s="4" t="str">
        <x:v>Not a selected manufacturing route</x:v>
      </x:c>
      <x:c r="I618" s="4" t="str">
        <x:v>Recovery only</x:v>
      </x:c>
      <x:c r="J618" s="4" t="str">
        <x:v>Recover and assess a compatible item. No manufacturing route or guaranteed working function.</x:v>
      </x:c>
    </x:row>
    <x:row r="619" ht="115" customHeight="1">
      <x:c r="A619" s="4" t="str">
        <x:v>proposal.collection.ancient_microservo_cartridge</x:v>
      </x:c>
      <x:c r="B619" s="4" t="str">
        <x:f>IFERROR(INDEX(Items!$B$6:$B$1005,MATCH(A619,Items!$A$6:$A$1005,0)),"MISSING ID")</x:f>
        <x:v>Ancient microservo cartridge</x:v>
      </x:c>
      <x:c r="C619" s="4" t="str">
        <x:f>IFERROR(INDEX(Items!$X$6:$X$1005,MATCH(A619,Items!$A$6:$A$1005,0)),"MISSING ID")</x:f>
        <x:v>Machine part</x:v>
      </x:c>
      <x:c r="D619" s="4" t="str">
        <x:f>IFERROR(INDEX(Items!$C$6:$C$1005,MATCH(A619,Items!$A$6:$A$1005,0)),"MISSING ID")</x:f>
        <x:v>Not applicable</x:v>
      </x:c>
      <x:c r="E619" s="4" t="str">
        <x:v>Recovery</x:v>
      </x:c>
      <x:c r="F619" s="14" t="n">
        <x:f>IFERROR(INDEX(Items!$AJ$6:$AJ$1005,MATCH(A619,Items!$A$6:$A$1005,0)),"MISSING ID")</x:f>
        <x:v>0</x:v>
      </x:c>
      <x:c r="G619" s="4" t="str">
        <x:v>Source, recovery or issue route applies</x:v>
      </x:c>
      <x:c r="H619" s="4" t="str">
        <x:v>Not a selected manufacturing route</x:v>
      </x:c>
      <x:c r="I619" s="4" t="str">
        <x:v>Recovery only</x:v>
      </x:c>
      <x:c r="J619" s="4" t="str">
        <x:v>Recover and assess a compatible item. No manufacturing route or guaranteed working function.</x:v>
      </x:c>
    </x:row>
    <x:row r="620" ht="115" customHeight="1">
      <x:c r="A620" s="4" t="str">
        <x:v>proposal.collection.ancient_self_aligning_optical_cradle</x:v>
      </x:c>
      <x:c r="B620" s="4" t="str">
        <x:f>IFERROR(INDEX(Items!$B$6:$B$1005,MATCH(A620,Items!$A$6:$A$1005,0)),"MISSING ID")</x:f>
        <x:v>Ancient self-aligning optical cradle</x:v>
      </x:c>
      <x:c r="C620" s="4" t="str">
        <x:f>IFERROR(INDEX(Items!$X$6:$X$1005,MATCH(A620,Items!$A$6:$A$1005,0)),"MISSING ID")</x:f>
        <x:v>Machine part</x:v>
      </x:c>
      <x:c r="D620" s="4" t="str">
        <x:f>IFERROR(INDEX(Items!$C$6:$C$1005,MATCH(A620,Items!$A$6:$A$1005,0)),"MISSING ID")</x:f>
        <x:v>Not applicable</x:v>
      </x:c>
      <x:c r="E620" s="4" t="str">
        <x:v>Recovery</x:v>
      </x:c>
      <x:c r="F620" s="14" t="n">
        <x:f>IFERROR(INDEX(Items!$AJ$6:$AJ$1005,MATCH(A620,Items!$A$6:$A$1005,0)),"MISSING ID")</x:f>
        <x:v>0</x:v>
      </x:c>
      <x:c r="G620" s="4" t="str">
        <x:v>Source, recovery or issue route applies</x:v>
      </x:c>
      <x:c r="H620" s="4" t="str">
        <x:v>Not a selected manufacturing route</x:v>
      </x:c>
      <x:c r="I620" s="4" t="str">
        <x:v>Recovery only</x:v>
      </x:c>
      <x:c r="J620" s="4" t="str">
        <x:v>Recover and assess a compatible item. No manufacturing route or guaranteed working function.</x:v>
      </x:c>
    </x:row>
    <x:row r="621" ht="115" customHeight="1">
      <x:c r="A621" s="4" t="str">
        <x:v>proposal.collection.ancient_superconducting_bus_link</x:v>
      </x:c>
      <x:c r="B621" s="4" t="str">
        <x:f>IFERROR(INDEX(Items!$B$6:$B$1005,MATCH(A621,Items!$A$6:$A$1005,0)),"MISSING ID")</x:f>
        <x:v>Ancient superconducting bus link</x:v>
      </x:c>
      <x:c r="C621" s="4" t="str">
        <x:f>IFERROR(INDEX(Items!$X$6:$X$1005,MATCH(A621,Items!$A$6:$A$1005,0)),"MISSING ID")</x:f>
        <x:v>Machine part</x:v>
      </x:c>
      <x:c r="D621" s="4" t="str">
        <x:f>IFERROR(INDEX(Items!$C$6:$C$1005,MATCH(A621,Items!$A$6:$A$1005,0)),"MISSING ID")</x:f>
        <x:v>Not applicable</x:v>
      </x:c>
      <x:c r="E621" s="4" t="str">
        <x:v>Recovery</x:v>
      </x:c>
      <x:c r="F621" s="14" t="n">
        <x:f>IFERROR(INDEX(Items!$AJ$6:$AJ$1005,MATCH(A621,Items!$A$6:$A$1005,0)),"MISSING ID")</x:f>
        <x:v>0</x:v>
      </x:c>
      <x:c r="G621" s="4" t="str">
        <x:v>Source, recovery or issue route applies</x:v>
      </x:c>
      <x:c r="H621" s="4" t="str">
        <x:v>Not a selected manufacturing route</x:v>
      </x:c>
      <x:c r="I621" s="4" t="str">
        <x:v>Recovery only</x:v>
      </x:c>
      <x:c r="J621" s="4" t="str">
        <x:v>Recover and assess a compatible item. No manufacturing route or guaranteed working function.</x:v>
      </x:c>
    </x:row>
    <x:row r="622" ht="115" customHeight="1">
      <x:c r="A622" s="4" t="str">
        <x:v>proposal.collection.ancient_field_shaping_lattice</x:v>
      </x:c>
      <x:c r="B622" s="4" t="str">
        <x:f>IFERROR(INDEX(Items!$B$6:$B$1005,MATCH(A622,Items!$A$6:$A$1005,0)),"MISSING ID")</x:f>
        <x:v>Ancient field-shaping lattice</x:v>
      </x:c>
      <x:c r="C622" s="4" t="str">
        <x:f>IFERROR(INDEX(Items!$X$6:$X$1005,MATCH(A622,Items!$A$6:$A$1005,0)),"MISSING ID")</x:f>
        <x:v>Machine part</x:v>
      </x:c>
      <x:c r="D622" s="4" t="str">
        <x:f>IFERROR(INDEX(Items!$C$6:$C$1005,MATCH(A622,Items!$A$6:$A$1005,0)),"MISSING ID")</x:f>
        <x:v>Not applicable</x:v>
      </x:c>
      <x:c r="E622" s="4" t="str">
        <x:v>Recovery</x:v>
      </x:c>
      <x:c r="F622" s="14" t="n">
        <x:f>IFERROR(INDEX(Items!$AJ$6:$AJ$1005,MATCH(A622,Items!$A$6:$A$1005,0)),"MISSING ID")</x:f>
        <x:v>0</x:v>
      </x:c>
      <x:c r="G622" s="4" t="str">
        <x:v>Source, recovery or issue route applies</x:v>
      </x:c>
      <x:c r="H622" s="4" t="str">
        <x:v>Not a selected manufacturing route</x:v>
      </x:c>
      <x:c r="I622" s="4" t="str">
        <x:v>Recovery only</x:v>
      </x:c>
      <x:c r="J622" s="4" t="str">
        <x:v>Recover and assess a compatible item. No manufacturing route or guaranteed working function.</x:v>
      </x:c>
    </x:row>
    <x:row r="623" ht="115" customHeight="1">
      <x:c r="A623" s="4" t="str">
        <x:v>proposal.collection.ancient_phase_memory_logic_tile</x:v>
      </x:c>
      <x:c r="B623" s="4" t="str">
        <x:f>IFERROR(INDEX(Items!$B$6:$B$1005,MATCH(A623,Items!$A$6:$A$1005,0)),"MISSING ID")</x:f>
        <x:v>Ancient phase-memory logic tile</x:v>
      </x:c>
      <x:c r="C623" s="4" t="str">
        <x:f>IFERROR(INDEX(Items!$X$6:$X$1005,MATCH(A623,Items!$A$6:$A$1005,0)),"MISSING ID")</x:f>
        <x:v>Machine part</x:v>
      </x:c>
      <x:c r="D623" s="4" t="str">
        <x:f>IFERROR(INDEX(Items!$C$6:$C$1005,MATCH(A623,Items!$A$6:$A$1005,0)),"MISSING ID")</x:f>
        <x:v>Not applicable</x:v>
      </x:c>
      <x:c r="E623" s="4" t="str">
        <x:v>Recovery</x:v>
      </x:c>
      <x:c r="F623" s="14" t="n">
        <x:f>IFERROR(INDEX(Items!$AJ$6:$AJ$1005,MATCH(A623,Items!$A$6:$A$1005,0)),"MISSING ID")</x:f>
        <x:v>0</x:v>
      </x:c>
      <x:c r="G623" s="4" t="str">
        <x:v>Source, recovery or issue route applies</x:v>
      </x:c>
      <x:c r="H623" s="4" t="str">
        <x:v>Not a selected manufacturing route</x:v>
      </x:c>
      <x:c r="I623" s="4" t="str">
        <x:v>Recovery only</x:v>
      </x:c>
      <x:c r="J623" s="4" t="str">
        <x:v>Recover and assess a compatible item. No manufacturing route or guaranteed working function.</x:v>
      </x:c>
    </x:row>
    <x:row r="624" ht="115" customHeight="1">
      <x:c r="A624" s="4" t="str">
        <x:v>proposal.collection.ancient_machine_identity_wafer</x:v>
      </x:c>
      <x:c r="B624" s="4" t="str">
        <x:f>IFERROR(INDEX(Items!$B$6:$B$1005,MATCH(A624,Items!$A$6:$A$1005,0)),"MISSING ID")</x:f>
        <x:v>Ancient machine identity wafer</x:v>
      </x:c>
      <x:c r="C624" s="4" t="str">
        <x:f>IFERROR(INDEX(Items!$X$6:$X$1005,MATCH(A624,Items!$A$6:$A$1005,0)),"MISSING ID")</x:f>
        <x:v>Machine part</x:v>
      </x:c>
      <x:c r="D624" s="4" t="str">
        <x:f>IFERROR(INDEX(Items!$C$6:$C$1005,MATCH(A624,Items!$A$6:$A$1005,0)),"MISSING ID")</x:f>
        <x:v>Not applicable</x:v>
      </x:c>
      <x:c r="E624" s="4" t="str">
        <x:v>Recovery</x:v>
      </x:c>
      <x:c r="F624" s="14" t="n">
        <x:f>IFERROR(INDEX(Items!$AJ$6:$AJ$1005,MATCH(A624,Items!$A$6:$A$1005,0)),"MISSING ID")</x:f>
        <x:v>0</x:v>
      </x:c>
      <x:c r="G624" s="4" t="str">
        <x:v>Source, recovery or issue route applies</x:v>
      </x:c>
      <x:c r="H624" s="4" t="str">
        <x:v>Not a selected manufacturing route</x:v>
      </x:c>
      <x:c r="I624" s="4" t="str">
        <x:v>Recovery only</x:v>
      </x:c>
      <x:c r="J624" s="4" t="str">
        <x:v>Recover and assess a compatible item. No manufacturing route or guaranteed working function.</x:v>
      </x:c>
    </x:row>
    <x:row r="625" ht="115" customHeight="1">
      <x:c r="A625" s="4" t="str">
        <x:v>proposal.collection.ancient_inertial_reference_sphere</x:v>
      </x:c>
      <x:c r="B625" s="4" t="str">
        <x:f>IFERROR(INDEX(Items!$B$6:$B$1005,MATCH(A625,Items!$A$6:$A$1005,0)),"MISSING ID")</x:f>
        <x:v>Ancient inertial reference sphere</x:v>
      </x:c>
      <x:c r="C625" s="4" t="str">
        <x:f>IFERROR(INDEX(Items!$X$6:$X$1005,MATCH(A625,Items!$A$6:$A$1005,0)),"MISSING ID")</x:f>
        <x:v>Machine part</x:v>
      </x:c>
      <x:c r="D625" s="4" t="str">
        <x:f>IFERROR(INDEX(Items!$C$6:$C$1005,MATCH(A625,Items!$A$6:$A$1005,0)),"MISSING ID")</x:f>
        <x:v>Not applicable</x:v>
      </x:c>
      <x:c r="E625" s="4" t="str">
        <x:v>Recovery</x:v>
      </x:c>
      <x:c r="F625" s="14" t="n">
        <x:f>IFERROR(INDEX(Items!$AJ$6:$AJ$1005,MATCH(A625,Items!$A$6:$A$1005,0)),"MISSING ID")</x:f>
        <x:v>0</x:v>
      </x:c>
      <x:c r="G625" s="4" t="str">
        <x:v>Source, recovery or issue route applies</x:v>
      </x:c>
      <x:c r="H625" s="4" t="str">
        <x:v>Not a selected manufacturing route</x:v>
      </x:c>
      <x:c r="I625" s="4" t="str">
        <x:v>Recovery only</x:v>
      </x:c>
      <x:c r="J625" s="4" t="str">
        <x:v>Recover and assess a compatible item. No manufacturing route or guaranteed working function.</x:v>
      </x:c>
    </x:row>
    <x:row r="626" ht="115" customHeight="1">
      <x:c r="A626" s="4" t="str">
        <x:v>proposal.collection.ancient_vacuum_sealed_sensor_eye</x:v>
      </x:c>
      <x:c r="B626" s="4" t="str">
        <x:f>IFERROR(INDEX(Items!$B$6:$B$1005,MATCH(A626,Items!$A$6:$A$1005,0)),"MISSING ID")</x:f>
        <x:v>Ancient vacuum-sealed sensor eye</x:v>
      </x:c>
      <x:c r="C626" s="4" t="str">
        <x:f>IFERROR(INDEX(Items!$X$6:$X$1005,MATCH(A626,Items!$A$6:$A$1005,0)),"MISSING ID")</x:f>
        <x:v>Machine part</x:v>
      </x:c>
      <x:c r="D626" s="4" t="str">
        <x:f>IFERROR(INDEX(Items!$C$6:$C$1005,MATCH(A626,Items!$A$6:$A$1005,0)),"MISSING ID")</x:f>
        <x:v>Not applicable</x:v>
      </x:c>
      <x:c r="E626" s="4" t="str">
        <x:v>Recovery</x:v>
      </x:c>
      <x:c r="F626" s="14" t="n">
        <x:f>IFERROR(INDEX(Items!$AJ$6:$AJ$1005,MATCH(A626,Items!$A$6:$A$1005,0)),"MISSING ID")</x:f>
        <x:v>0</x:v>
      </x:c>
      <x:c r="G626" s="4" t="str">
        <x:v>Source, recovery or issue route applies</x:v>
      </x:c>
      <x:c r="H626" s="4" t="str">
        <x:v>Not a selected manufacturing route</x:v>
      </x:c>
      <x:c r="I626" s="4" t="str">
        <x:v>Recovery only</x:v>
      </x:c>
      <x:c r="J626" s="4" t="str">
        <x:v>Recover and assess a compatible item. No manufacturing route or guaranteed working function.</x:v>
      </x:c>
    </x:row>
    <x:row r="627" ht="115" customHeight="1">
      <x:c r="A627" s="4" t="str">
        <x:v>proposal.collection.ancient_force_distribution_mesh</x:v>
      </x:c>
      <x:c r="B627" s="4" t="str">
        <x:f>IFERROR(INDEX(Items!$B$6:$B$1005,MATCH(A627,Items!$A$6:$A$1005,0)),"MISSING ID")</x:f>
        <x:v>Ancient force-distribution mesh</x:v>
      </x:c>
      <x:c r="C627" s="4" t="str">
        <x:f>IFERROR(INDEX(Items!$X$6:$X$1005,MATCH(A627,Items!$A$6:$A$1005,0)),"MISSING ID")</x:f>
        <x:v>Machine part</x:v>
      </x:c>
      <x:c r="D627" s="4" t="str">
        <x:f>IFERROR(INDEX(Items!$C$6:$C$1005,MATCH(A627,Items!$A$6:$A$1005,0)),"MISSING ID")</x:f>
        <x:v>Not applicable</x:v>
      </x:c>
      <x:c r="E627" s="4" t="str">
        <x:v>Recovery</x:v>
      </x:c>
      <x:c r="F627" s="14" t="n">
        <x:f>IFERROR(INDEX(Items!$AJ$6:$AJ$1005,MATCH(A627,Items!$A$6:$A$1005,0)),"MISSING ID")</x:f>
        <x:v>0</x:v>
      </x:c>
      <x:c r="G627" s="4" t="str">
        <x:v>Source, recovery or issue route applies</x:v>
      </x:c>
      <x:c r="H627" s="4" t="str">
        <x:v>Not a selected manufacturing route</x:v>
      </x:c>
      <x:c r="I627" s="4" t="str">
        <x:v>Recovery only</x:v>
      </x:c>
      <x:c r="J627" s="4" t="str">
        <x:v>Recover and assess a compatible item. No manufacturing route or guaranteed working function.</x:v>
      </x:c>
    </x:row>
    <x:row r="628" ht="115" customHeight="1">
      <x:c r="A628" s="4" t="str">
        <x:v>proposal.collection.ancient_beam_focusing_crystal_mount</x:v>
      </x:c>
      <x:c r="B628" s="4" t="str">
        <x:f>IFERROR(INDEX(Items!$B$6:$B$1005,MATCH(A628,Items!$A$6:$A$1005,0)),"MISSING ID")</x:f>
        <x:v>Ancient beam-focusing crystal mount</x:v>
      </x:c>
      <x:c r="C628" s="4" t="str">
        <x:f>IFERROR(INDEX(Items!$X$6:$X$1005,MATCH(A628,Items!$A$6:$A$1005,0)),"MISSING ID")</x:f>
        <x:v>Machine part</x:v>
      </x:c>
      <x:c r="D628" s="4" t="str">
        <x:f>IFERROR(INDEX(Items!$C$6:$C$1005,MATCH(A628,Items!$A$6:$A$1005,0)),"MISSING ID")</x:f>
        <x:v>Not applicable</x:v>
      </x:c>
      <x:c r="E628" s="4" t="str">
        <x:v>Recovery</x:v>
      </x:c>
      <x:c r="F628" s="14" t="n">
        <x:f>IFERROR(INDEX(Items!$AJ$6:$AJ$1005,MATCH(A628,Items!$A$6:$A$1005,0)),"MISSING ID")</x:f>
        <x:v>0</x:v>
      </x:c>
      <x:c r="G628" s="4" t="str">
        <x:v>Source, recovery or issue route applies</x:v>
      </x:c>
      <x:c r="H628" s="4" t="str">
        <x:v>Not a selected manufacturing route</x:v>
      </x:c>
      <x:c r="I628" s="4" t="str">
        <x:v>Recovery only</x:v>
      </x:c>
      <x:c r="J628" s="4" t="str">
        <x:v>Recover and assess a compatible item. No manufacturing route or guaranteed working function.</x:v>
      </x:c>
    </x:row>
    <x:row r="629" ht="115" customHeight="1">
      <x:c r="A629" s="4" t="str">
        <x:v>proposal.collection.ancient_magnetic_containment_yoke</x:v>
      </x:c>
      <x:c r="B629" s="4" t="str">
        <x:f>IFERROR(INDEX(Items!$B$6:$B$1005,MATCH(A629,Items!$A$6:$A$1005,0)),"MISSING ID")</x:f>
        <x:v>Ancient magnetic containment yoke</x:v>
      </x:c>
      <x:c r="C629" s="4" t="str">
        <x:f>IFERROR(INDEX(Items!$X$6:$X$1005,MATCH(A629,Items!$A$6:$A$1005,0)),"MISSING ID")</x:f>
        <x:v>Machine part</x:v>
      </x:c>
      <x:c r="D629" s="4" t="str">
        <x:f>IFERROR(INDEX(Items!$C$6:$C$1005,MATCH(A629,Items!$A$6:$A$1005,0)),"MISSING ID")</x:f>
        <x:v>Not applicable</x:v>
      </x:c>
      <x:c r="E629" s="4" t="str">
        <x:v>Recovery</x:v>
      </x:c>
      <x:c r="F629" s="14" t="n">
        <x:f>IFERROR(INDEX(Items!$AJ$6:$AJ$1005,MATCH(A629,Items!$A$6:$A$1005,0)),"MISSING ID")</x:f>
        <x:v>0</x:v>
      </x:c>
      <x:c r="G629" s="4" t="str">
        <x:v>Source, recovery or issue route applies</x:v>
      </x:c>
      <x:c r="H629" s="4" t="str">
        <x:v>Not a selected manufacturing route</x:v>
      </x:c>
      <x:c r="I629" s="4" t="str">
        <x:v>Recovery only</x:v>
      </x:c>
      <x:c r="J629" s="4" t="str">
        <x:v>Recover and assess a compatible item. No manufacturing route or guaranteed working function.</x:v>
      </x:c>
    </x:row>
    <x:row r="630" ht="115" customHeight="1">
      <x:c r="A630" s="4" t="str">
        <x:v>proposal.collection.ancient_adaptive_seal_actuator</x:v>
      </x:c>
      <x:c r="B630" s="4" t="str">
        <x:f>IFERROR(INDEX(Items!$B$6:$B$1005,MATCH(A630,Items!$A$6:$A$1005,0)),"MISSING ID")</x:f>
        <x:v>Ancient adaptive seal actuator</x:v>
      </x:c>
      <x:c r="C630" s="4" t="str">
        <x:f>IFERROR(INDEX(Items!$X$6:$X$1005,MATCH(A630,Items!$A$6:$A$1005,0)),"MISSING ID")</x:f>
        <x:v>Machine part</x:v>
      </x:c>
      <x:c r="D630" s="4" t="str">
        <x:f>IFERROR(INDEX(Items!$C$6:$C$1005,MATCH(A630,Items!$A$6:$A$1005,0)),"MISSING ID")</x:f>
        <x:v>Not applicable</x:v>
      </x:c>
      <x:c r="E630" s="4" t="str">
        <x:v>Recovery</x:v>
      </x:c>
      <x:c r="F630" s="14" t="n">
        <x:f>IFERROR(INDEX(Items!$AJ$6:$AJ$1005,MATCH(A630,Items!$A$6:$A$1005,0)),"MISSING ID")</x:f>
        <x:v>0</x:v>
      </x:c>
      <x:c r="G630" s="4" t="str">
        <x:v>Source, recovery or issue route applies</x:v>
      </x:c>
      <x:c r="H630" s="4" t="str">
        <x:v>Not a selected manufacturing route</x:v>
      </x:c>
      <x:c r="I630" s="4" t="str">
        <x:v>Recovery only</x:v>
      </x:c>
      <x:c r="J630" s="4" t="str">
        <x:v>Recover and assess a compatible item. No manufacturing route or guaranteed working function.</x:v>
      </x:c>
    </x:row>
    <x:row r="631" ht="115" customHeight="1">
      <x:c r="A631" s="4" t="str">
        <x:v>proposal.collection.ancient_microfluidic_routing_plate</x:v>
      </x:c>
      <x:c r="B631" s="4" t="str">
        <x:f>IFERROR(INDEX(Items!$B$6:$B$1005,MATCH(A631,Items!$A$6:$A$1005,0)),"MISSING ID")</x:f>
        <x:v>Ancient microfluidic routing plate</x:v>
      </x:c>
      <x:c r="C631" s="4" t="str">
        <x:f>IFERROR(INDEX(Items!$X$6:$X$1005,MATCH(A631,Items!$A$6:$A$1005,0)),"MISSING ID")</x:f>
        <x:v>Machine part</x:v>
      </x:c>
      <x:c r="D631" s="4" t="str">
        <x:f>IFERROR(INDEX(Items!$C$6:$C$1005,MATCH(A631,Items!$A$6:$A$1005,0)),"MISSING ID")</x:f>
        <x:v>Not applicable</x:v>
      </x:c>
      <x:c r="E631" s="4" t="str">
        <x:v>Recovery</x:v>
      </x:c>
      <x:c r="F631" s="14" t="n">
        <x:f>IFERROR(INDEX(Items!$AJ$6:$AJ$1005,MATCH(A631,Items!$A$6:$A$1005,0)),"MISSING ID")</x:f>
        <x:v>0</x:v>
      </x:c>
      <x:c r="G631" s="4" t="str">
        <x:v>Source, recovery or issue route applies</x:v>
      </x:c>
      <x:c r="H631" s="4" t="str">
        <x:v>Not a selected manufacturing route</x:v>
      </x:c>
      <x:c r="I631" s="4" t="str">
        <x:v>Recovery only</x:v>
      </x:c>
      <x:c r="J631" s="4" t="str">
        <x:v>Recover and assess a compatible item. No manufacturing route or guaranteed working function.</x:v>
      </x:c>
    </x:row>
    <x:row r="632" ht="115" customHeight="1">
      <x:c r="A632" s="4" t="str">
        <x:v>proposal.collection.metal_shaft_hunting_spear</x:v>
      </x:c>
      <x:c r="B632" s="4" t="str">
        <x:f>IFERROR(INDEX(Items!$B$6:$B$1005,MATCH(A632,Items!$A$6:$A$1005,0)),"MISSING ID")</x:f>
        <x:v>Metal-shaft hunting spear</x:v>
      </x:c>
      <x:c r="C632" s="4" t="str">
        <x:f>IFERROR(INDEX(Items!$X$6:$X$1005,MATCH(A632,Items!$A$6:$A$1005,0)),"MISSING ID")</x:f>
        <x:v>Weapon</x:v>
      </x:c>
      <x:c r="D632" s="4" t="str">
        <x:f>IFERROR(INDEX(Items!$C$6:$C$1005,MATCH(A632,Items!$A$6:$A$1005,0)),"MISSING ID")</x:f>
        <x:v>Not applicable</x:v>
      </x:c>
      <x:c r="E632" s="4" t="str">
        <x:v>Finished endpoint</x:v>
      </x:c>
      <x:c r="F632" s="14" t="n">
        <x:f>IFERROR(INDEX(Items!$AJ$6:$AJ$1005,MATCH(A632,Items!$A$6:$A$1005,0)),"MISSING ID")</x:f>
        <x:v>1</x:v>
      </x:c>
      <x:c r="G632" s="4" t="str">
        <x:v>Traced to cataloged T0 and/or recovered feeds</x:v>
      </x:c>
      <x:c r="H632" s="4" t="str">
        <x:v>Forge hearth, Anvil, Forging hammer, Smithing tongs, Metalworking file and Hand-cranked metal drill as applicable. Existing workshop bootstrap and controlled heating/cooling required; no free-water quench assumed.</x:v>
      </x:c>
      <x:c r="I632" s="4" t="str">
        <x:v>Candidate path traced</x:v>
      </x:c>
      <x:c r="J632" s="4" t="str">
        <x:v>Dimensions, grade, process qualification, quantity and yield remain open.</x:v>
      </x:c>
    </x:row>
    <x:row r="633" ht="115" customHeight="1">
      <x:c r="A633" s="4" t="str">
        <x:v>proposal.collection.shell_edged_glaive</x:v>
      </x:c>
      <x:c r="B633" s="4" t="str">
        <x:f>IFERROR(INDEX(Items!$B$6:$B$1005,MATCH(A633,Items!$A$6:$A$1005,0)),"MISSING ID")</x:f>
        <x:v>Shell-edged glaive</x:v>
      </x:c>
      <x:c r="C633" s="4" t="str">
        <x:f>IFERROR(INDEX(Items!$X$6:$X$1005,MATCH(A633,Items!$A$6:$A$1005,0)),"MISSING ID")</x:f>
        <x:v>Weapon</x:v>
      </x:c>
      <x:c r="D633" s="4" t="str">
        <x:f>IFERROR(INDEX(Items!$C$6:$C$1005,MATCH(A633,Items!$A$6:$A$1005,0)),"MISSING ID")</x:f>
        <x:v>Not applicable</x:v>
      </x:c>
      <x:c r="E633" s="4" t="str">
        <x:v>Finished endpoint</x:v>
      </x:c>
      <x:c r="F633" s="14" t="n">
        <x:f>IFERROR(INDEX(Items!$AJ$6:$AJ$1005,MATCH(A633,Items!$A$6:$A$1005,0)),"MISSING ID")</x:f>
        <x:v>1</x:v>
      </x:c>
      <x:c r="G633" s="4" t="str">
        <x:v>Traced to cataloged T0 and/or recovered feeds</x:v>
      </x:c>
      <x:c r="H633" s="4" t="str">
        <x:v>Forge hearth, Anvil, Forging hammer, Smithing tongs, Metalworking file and Hand-cranked metal drill as applicable. Existing workshop bootstrap and controlled heating/cooling required; no free-water quench assumed.</x:v>
      </x:c>
      <x:c r="I633" s="4" t="str">
        <x:v>Candidate path traced</x:v>
      </x:c>
      <x:c r="J633" s="4" t="str">
        <x:v>Dimensions, grade, process qualification, quantity and yield remain open.</x:v>
      </x:c>
    </x:row>
    <x:row r="634" ht="115" customHeight="1">
      <x:c r="A634" s="4"/>
      <x:c r="B634" s="4"/>
      <x:c r="C634" s="4"/>
      <x:c r="D634" s="4"/>
      <x:c r="E634" s="4"/>
      <x:c r="F634" s="14"/>
      <x:c r="G634" s="4"/>
      <x:c r="H634" s="4"/>
      <x:c r="I634" s="4"/>
      <x:c r="J634" s="4"/>
    </x:row>
    <x:row r="635" ht="115" customHeight="1">
      <x:c r="A635" s="4" t="str">
        <x:v>proposal.collection.steel_salvage_cleaver</x:v>
      </x:c>
      <x:c r="B635" s="4" t="str">
        <x:f>IFERROR(INDEX(Items!$B$6:$B$1005,MATCH(A635,Items!$A$6:$A$1005,0)),"MISSING ID")</x:f>
        <x:v>Steel salvage cleaver</x:v>
      </x:c>
      <x:c r="C635" s="4" t="str">
        <x:f>IFERROR(INDEX(Items!$X$6:$X$1005,MATCH(A635,Items!$A$6:$A$1005,0)),"MISSING ID")</x:f>
        <x:v>Weapon</x:v>
      </x:c>
      <x:c r="D635" s="4" t="str">
        <x:f>IFERROR(INDEX(Items!$C$6:$C$1005,MATCH(A635,Items!$A$6:$A$1005,0)),"MISSING ID")</x:f>
        <x:v>Not applicable</x:v>
      </x:c>
      <x:c r="E635" s="4" t="str">
        <x:v>Finished endpoint</x:v>
      </x:c>
      <x:c r="F635" s="14" t="n">
        <x:f>IFERROR(INDEX(Items!$AJ$6:$AJ$1005,MATCH(A635,Items!$A$6:$A$1005,0)),"MISSING ID")</x:f>
        <x:v>1</x:v>
      </x:c>
      <x:c r="G635" s="4" t="str">
        <x:v>Traced to cataloged T0 and/or recovered feeds</x:v>
      </x:c>
      <x:c r="H635" s="4" t="str">
        <x:v>Forge hearth, Anvil, Forging hammer, Smithing tongs, Metalworking file and Hand-cranked metal drill as applicable. Existing workshop bootstrap and controlled heating/cooling required; no free-water quench assumed.</x:v>
      </x:c>
      <x:c r="I635" s="4" t="str">
        <x:v>Candidate path traced</x:v>
      </x:c>
      <x:c r="J635" s="4" t="str">
        <x:v>Dimensions, grade, process qualification, quantity and yield remain open.</x:v>
      </x:c>
    </x:row>
    <x:row r="636" ht="115" customHeight="1">
      <x:c r="A636" s="4" t="str">
        <x:v>proposal.collection.hooked_catchstaff</x:v>
      </x:c>
      <x:c r="B636" s="4" t="str">
        <x:f>IFERROR(INDEX(Items!$B$6:$B$1005,MATCH(A636,Items!$A$6:$A$1005,0)),"MISSING ID")</x:f>
        <x:v>Hooked catchstaff</x:v>
      </x:c>
      <x:c r="C636" s="4" t="str">
        <x:f>IFERROR(INDEX(Items!$X$6:$X$1005,MATCH(A636,Items!$A$6:$A$1005,0)),"MISSING ID")</x:f>
        <x:v>Weapon</x:v>
      </x:c>
      <x:c r="D636" s="4" t="str">
        <x:f>IFERROR(INDEX(Items!$C$6:$C$1005,MATCH(A636,Items!$A$6:$A$1005,0)),"MISSING ID")</x:f>
        <x:v>Not applicable</x:v>
      </x:c>
      <x:c r="E636" s="4" t="str">
        <x:v>Finished endpoint</x:v>
      </x:c>
      <x:c r="F636" s="14" t="n">
        <x:f>IFERROR(INDEX(Items!$AJ$6:$AJ$1005,MATCH(A636,Items!$A$6:$A$1005,0)),"MISSING ID")</x:f>
        <x:v>1</x:v>
      </x:c>
      <x:c r="G636" s="4" t="str">
        <x:v>Traced to cataloged T0 and/or recovered feeds</x:v>
      </x:c>
      <x:c r="H636" s="4" t="str">
        <x:v>Forge hearth, Anvil, Forging hammer, Smithing tongs, Metalworking file and Hand-cranked metal drill as applicable. Existing workshop bootstrap and controlled heating/cooling required; no free-water quench assumed.</x:v>
      </x:c>
      <x:c r="I636" s="4" t="str">
        <x:v>Candidate path traced</x:v>
      </x:c>
      <x:c r="J636" s="4" t="str">
        <x:v>Dimensions, grade, process qualification, quantity and yield remain open.</x:v>
      </x:c>
    </x:row>
    <x:row r="637" ht="115" customHeight="1">
      <x:c r="A637" s="4" t="str">
        <x:v>proposal.collection.tendon_pouch_sling</x:v>
      </x:c>
      <x:c r="B637" s="4" t="str">
        <x:f>IFERROR(INDEX(Items!$B$6:$B$1005,MATCH(A637,Items!$A$6:$A$1005,0)),"MISSING ID")</x:f>
        <x:v>Tendon-pouch sling</x:v>
      </x:c>
      <x:c r="C637" s="4" t="str">
        <x:f>IFERROR(INDEX(Items!$X$6:$X$1005,MATCH(A637,Items!$A$6:$A$1005,0)),"MISSING ID")</x:f>
        <x:v>Weapon</x:v>
      </x:c>
      <x:c r="D637" s="4" t="str">
        <x:f>IFERROR(INDEX(Items!$C$6:$C$1005,MATCH(A637,Items!$A$6:$A$1005,0)),"MISSING ID")</x:f>
        <x:v>Not applicable</x:v>
      </x:c>
      <x:c r="E637" s="4" t="str">
        <x:v>Finished endpoint</x:v>
      </x:c>
      <x:c r="F637" s="14" t="n">
        <x:f>IFERROR(INDEX(Items!$AJ$6:$AJ$1005,MATCH(A637,Items!$A$6:$A$1005,0)),"MISSING ID")</x:f>
        <x:v>1</x:v>
      </x:c>
      <x:c r="G637" s="4" t="str">
        <x:v>Traced to cataloged T0 and/or recovered feeds</x:v>
      </x:c>
      <x:c r="H637" s="4" t="str">
        <x:v>Forge hearth, Anvil, Forging hammer, Smithing tongs, Metalworking file and Hand-cranked metal drill as applicable. Existing workshop bootstrap and controlled heating/cooling required; no free-water quench assumed.</x:v>
      </x:c>
      <x:c r="I637" s="4" t="str">
        <x:v>Candidate path traced</x:v>
      </x:c>
      <x:c r="J637" s="4" t="str">
        <x:v>Dimensions, grade, process qualification, quantity and yield remain open.</x:v>
      </x:c>
    </x:row>
    <x:row r="638" ht="115" customHeight="1">
      <x:c r="A638" s="4" t="str">
        <x:v>proposal.collection.steel_limbed_crossbow</x:v>
      </x:c>
      <x:c r="B638" s="4" t="str">
        <x:f>IFERROR(INDEX(Items!$B$6:$B$1005,MATCH(A638,Items!$A$6:$A$1005,0)),"MISSING ID")</x:f>
        <x:v>Steel-limbed crossbow</x:v>
      </x:c>
      <x:c r="C638" s="4" t="str">
        <x:f>IFERROR(INDEX(Items!$X$6:$X$1005,MATCH(A638,Items!$A$6:$A$1005,0)),"MISSING ID")</x:f>
        <x:v>Weapon</x:v>
      </x:c>
      <x:c r="D638" s="4" t="str">
        <x:f>IFERROR(INDEX(Items!$C$6:$C$1005,MATCH(A638,Items!$A$6:$A$1005,0)),"MISSING ID")</x:f>
        <x:v>Not applicable</x:v>
      </x:c>
      <x:c r="E638" s="4" t="str">
        <x:v>Finished endpoint</x:v>
      </x:c>
      <x:c r="F638" s="14" t="n">
        <x:f>IFERROR(INDEX(Items!$AJ$6:$AJ$1005,MATCH(A638,Items!$A$6:$A$1005,0)),"MISSING ID")</x:f>
        <x:v>1</x:v>
      </x:c>
      <x:c r="G638" s="4" t="str">
        <x:v>Traced to cataloged T0 and/or recovered feeds</x:v>
      </x:c>
      <x:c r="H638" s="4" t="str">
        <x:v>Forge hearth, Anvil, Forging hammer, Smithing tongs, Metalworking file and Hand-cranked metal drill as applicable. Existing workshop bootstrap and controlled heating/cooling required; no free-water quench assumed.</x:v>
      </x:c>
      <x:c r="I638" s="4" t="str">
        <x:v>Candidate path traced</x:v>
      </x:c>
      <x:c r="J638" s="4" t="str">
        <x:v>Dimensions, grade, process qualification, quantity and yield remain open.</x:v>
      </x:c>
    </x:row>
    <x:row r="639" ht="115" customHeight="1">
      <x:c r="A639" s="4" t="str">
        <x:v>proposal.collection.crank_wound_siege_bow</x:v>
      </x:c>
      <x:c r="B639" s="4" t="str">
        <x:f>IFERROR(INDEX(Items!$B$6:$B$1005,MATCH(A639,Items!$A$6:$A$1005,0)),"MISSING ID")</x:f>
        <x:v>Crank-wound siege bow</x:v>
      </x:c>
      <x:c r="C639" s="4" t="str">
        <x:f>IFERROR(INDEX(Items!$X$6:$X$1005,MATCH(A639,Items!$A$6:$A$1005,0)),"MISSING ID")</x:f>
        <x:v>Weapon</x:v>
      </x:c>
      <x:c r="D639" s="4" t="str">
        <x:f>IFERROR(INDEX(Items!$C$6:$C$1005,MATCH(A639,Items!$A$6:$A$1005,0)),"MISSING ID")</x:f>
        <x:v>Not applicable</x:v>
      </x:c>
      <x:c r="E639" s="4" t="str">
        <x:v>Finished endpoint</x:v>
      </x:c>
      <x:c r="F639" s="14" t="n">
        <x:f>IFERROR(INDEX(Items!$AJ$6:$AJ$1005,MATCH(A639,Items!$A$6:$A$1005,0)),"MISSING ID")</x:f>
        <x:v>1</x:v>
      </x:c>
      <x:c r="G639" s="4" t="str">
        <x:v>Traced to cataloged T0 and/or recovered feeds</x:v>
      </x:c>
      <x:c r="H639" s="4" t="str">
        <x:v>Forge hearth, Anvil, Forging hammer, Smithing tongs, Metalworking file and Hand-cranked metal drill as applicable. Existing workshop bootstrap and controlled heating/cooling required; no free-water quench assumed.</x:v>
      </x:c>
      <x:c r="I639" s="4" t="str">
        <x:v>Candidate path traced</x:v>
      </x:c>
      <x:c r="J639" s="4" t="str">
        <x:v>Dimensions, grade, process qualification, quantity and yield remain open.</x:v>
      </x:c>
    </x:row>
    <x:row r="640" ht="115" customHeight="1">
      <x:c r="A640" s="4"/>
      <x:c r="B640" s="4"/>
      <x:c r="C640" s="4"/>
      <x:c r="D640" s="4"/>
      <x:c r="E640" s="4"/>
      <x:c r="F640" s="14"/>
      <x:c r="G640" s="4"/>
      <x:c r="H640" s="4"/>
      <x:c r="I640" s="4"/>
      <x:c r="J640" s="4"/>
    </x:row>
    <x:row r="641" ht="115" customHeight="1">
      <x:c r="A641" s="4" t="str">
        <x:v>proposal.collection.pressure_rivet_launcher</x:v>
      </x:c>
      <x:c r="B641" s="4" t="str">
        <x:f>IFERROR(INDEX(Items!$B$6:$B$1005,MATCH(A641,Items!$A$6:$A$1005,0)),"MISSING ID")</x:f>
        <x:v>Pressure rivet launcher</x:v>
      </x:c>
      <x:c r="C641" s="4" t="str">
        <x:f>IFERROR(INDEX(Items!$X$6:$X$1005,MATCH(A641,Items!$A$6:$A$1005,0)),"MISSING ID")</x:f>
        <x:v>Weapon</x:v>
      </x:c>
      <x:c r="D641" s="4" t="str">
        <x:f>IFERROR(INDEX(Items!$C$6:$C$1005,MATCH(A641,Items!$A$6:$A$1005,0)),"MISSING ID")</x:f>
        <x:v>Not applicable</x:v>
      </x:c>
      <x:c r="E641" s="4" t="str">
        <x:v>Finished endpoint</x:v>
      </x:c>
      <x:c r="F641" s="14" t="n">
        <x:f>IFERROR(INDEX(Items!$AJ$6:$AJ$1005,MATCH(A641,Items!$A$6:$A$1005,0)),"MISSING ID")</x:f>
        <x:v>1</x:v>
      </x:c>
      <x:c r="G641" s="4" t="str">
        <x:v>Traced to cataloged T0 and/or recovered feeds</x:v>
      </x:c>
      <x:c r="H641" s="4" t="str">
        <x:v>Specialist engineering workshop; insulation, pressure or control qualification as applicable. Power/working medium and operating theory unresolved.</x:v>
      </x:c>
      <x:c r="I641" s="4" t="str">
        <x:v>Research / source gated</x:v>
      </x:c>
      <x:c r="J641" s="4" t="str">
        <x:v>Contained dry working gas; Pressure rivet launcher. Operating principle, working medium, controls and service qualification remain unresolved.</x:v>
      </x:c>
    </x:row>
    <x:row r="642" ht="115" customHeight="1">
      <x:c r="A642" s="4" t="str">
        <x:v>proposal.collection.magnetic_dart_projector</x:v>
      </x:c>
      <x:c r="B642" s="4" t="str">
        <x:f>IFERROR(INDEX(Items!$B$6:$B$1005,MATCH(A642,Items!$A$6:$A$1005,0)),"MISSING ID")</x:f>
        <x:v>Magnetic dart projector</x:v>
      </x:c>
      <x:c r="C642" s="4" t="str">
        <x:f>IFERROR(INDEX(Items!$X$6:$X$1005,MATCH(A642,Items!$A$6:$A$1005,0)),"MISSING ID")</x:f>
        <x:v>Weapon</x:v>
      </x:c>
      <x:c r="D642" s="4" t="str">
        <x:f>IFERROR(INDEX(Items!$C$6:$C$1005,MATCH(A642,Items!$A$6:$A$1005,0)),"MISSING ID")</x:f>
        <x:v>Not applicable</x:v>
      </x:c>
      <x:c r="E642" s="4" t="str">
        <x:v>Finished endpoint</x:v>
      </x:c>
      <x:c r="F642" s="14" t="n">
        <x:f>IFERROR(INDEX(Items!$AJ$6:$AJ$1005,MATCH(A642,Items!$A$6:$A$1005,0)),"MISSING ID")</x:f>
        <x:v>1</x:v>
      </x:c>
      <x:c r="G642" s="4" t="str">
        <x:v>Traced to cataloged T0 and/or recovered feeds</x:v>
      </x:c>
      <x:c r="H642" s="4" t="str">
        <x:v>Specialist engineering workshop; insulation, pressure or control qualification as applicable. Power/working medium and operating theory unresolved.</x:v>
      </x:c>
      <x:c r="I642" s="4" t="str">
        <x:v>Research / source gated</x:v>
      </x:c>
      <x:c r="J642" s="4" t="str">
        <x:v>Magnetic dart projector. Operating principle, working medium, controls and service qualification remain unresolved.</x:v>
      </x:c>
    </x:row>
    <x:row r="643" ht="115" customHeight="1">
      <x:c r="A643" s="4" t="str">
        <x:v>proposal.collection.coil_slug_carbine</x:v>
      </x:c>
      <x:c r="B643" s="4" t="str">
        <x:f>IFERROR(INDEX(Items!$B$6:$B$1005,MATCH(A643,Items!$A$6:$A$1005,0)),"MISSING ID")</x:f>
        <x:v>Coil slug carbine</x:v>
      </x:c>
      <x:c r="C643" s="4" t="str">
        <x:f>IFERROR(INDEX(Items!$X$6:$X$1005,MATCH(A643,Items!$A$6:$A$1005,0)),"MISSING ID")</x:f>
        <x:v>Weapon</x:v>
      </x:c>
      <x:c r="D643" s="4" t="str">
        <x:f>IFERROR(INDEX(Items!$C$6:$C$1005,MATCH(A643,Items!$A$6:$A$1005,0)),"MISSING ID")</x:f>
        <x:v>Not applicable</x:v>
      </x:c>
      <x:c r="E643" s="4" t="str">
        <x:v>Finished endpoint</x:v>
      </x:c>
      <x:c r="F643" s="14" t="n">
        <x:f>IFERROR(INDEX(Items!$AJ$6:$AJ$1005,MATCH(A643,Items!$A$6:$A$1005,0)),"MISSING ID")</x:f>
        <x:v>1</x:v>
      </x:c>
      <x:c r="G643" s="4" t="str">
        <x:v>Traced to cataloged T0 and/or recovered feeds</x:v>
      </x:c>
      <x:c r="H643" s="4" t="str">
        <x:v>Specialist engineering workshop; insulation, pressure or control qualification as applicable. Power/working medium and operating theory unresolved.</x:v>
      </x:c>
      <x:c r="I643" s="4" t="str">
        <x:v>Research / source gated</x:v>
      </x:c>
      <x:c r="J643" s="4" t="str">
        <x:v>Coil slug carbine. Operating principle, working medium, controls and service qualification remain unresolved.</x:v>
      </x:c>
    </x:row>
    <x:row r="644" ht="115" customHeight="1">
      <x:c r="A644" s="4" t="str">
        <x:v>proposal.collection.ancient_pulse_rifle</x:v>
      </x:c>
      <x:c r="B644" s="4" t="str">
        <x:f>IFERROR(INDEX(Items!$B$6:$B$1005,MATCH(A644,Items!$A$6:$A$1005,0)),"MISSING ID")</x:f>
        <x:v>Ancient pulse rifle</x:v>
      </x:c>
      <x:c r="C644" s="4" t="str">
        <x:f>IFERROR(INDEX(Items!$X$6:$X$1005,MATCH(A644,Items!$A$6:$A$1005,0)),"MISSING ID")</x:f>
        <x:v>Weapon</x:v>
      </x:c>
      <x:c r="D644" s="4" t="str">
        <x:f>IFERROR(INDEX(Items!$C$6:$C$1005,MATCH(A644,Items!$A$6:$A$1005,0)),"MISSING ID")</x:f>
        <x:v>Not applicable</x:v>
      </x:c>
      <x:c r="E644" s="4" t="str">
        <x:v>Recovery</x:v>
      </x:c>
      <x:c r="F644" s="14" t="n">
        <x:f>IFERROR(INDEX(Items!$AJ$6:$AJ$1005,MATCH(A644,Items!$A$6:$A$1005,0)),"MISSING ID")</x:f>
        <x:v>0</x:v>
      </x:c>
      <x:c r="G644" s="4" t="str">
        <x:v>Source, recovery or issue route applies</x:v>
      </x:c>
      <x:c r="H644" s="4" t="str">
        <x:v>Not a selected manufacturing route</x:v>
      </x:c>
      <x:c r="I644" s="4" t="str">
        <x:v>Recovery only</x:v>
      </x:c>
      <x:c r="J644" s="4" t="str">
        <x:v>Recover and assess a compatible item. No manufacturing route or guaranteed working function.</x:v>
      </x:c>
    </x:row>
    <x:row r="645" ht="115" customHeight="1">
      <x:c r="A645" s="4" t="str">
        <x:v>proposal.collection.ancient_plasma_lance</x:v>
      </x:c>
      <x:c r="B645" s="4" t="str">
        <x:f>IFERROR(INDEX(Items!$B$6:$B$1005,MATCH(A645,Items!$A$6:$A$1005,0)),"MISSING ID")</x:f>
        <x:v>Ancient plasma lance</x:v>
      </x:c>
      <x:c r="C645" s="4" t="str">
        <x:f>IFERROR(INDEX(Items!$X$6:$X$1005,MATCH(A645,Items!$A$6:$A$1005,0)),"MISSING ID")</x:f>
        <x:v>Weapon</x:v>
      </x:c>
      <x:c r="D645" s="4" t="str">
        <x:f>IFERROR(INDEX(Items!$C$6:$C$1005,MATCH(A645,Items!$A$6:$A$1005,0)),"MISSING ID")</x:f>
        <x:v>Not applicable</x:v>
      </x:c>
      <x:c r="E645" s="4" t="str">
        <x:v>Recovery</x:v>
      </x:c>
      <x:c r="F645" s="14" t="n">
        <x:f>IFERROR(INDEX(Items!$AJ$6:$AJ$1005,MATCH(A645,Items!$A$6:$A$1005,0)),"MISSING ID")</x:f>
        <x:v>0</x:v>
      </x:c>
      <x:c r="G645" s="4" t="str">
        <x:v>Source, recovery or issue route applies</x:v>
      </x:c>
      <x:c r="H645" s="4" t="str">
        <x:v>Not a selected manufacturing route</x:v>
      </x:c>
      <x:c r="I645" s="4" t="str">
        <x:v>Recovery only</x:v>
      </x:c>
      <x:c r="J645" s="4" t="str">
        <x:v>Recover and assess a compatible item. No manufacturing route or guaranteed working function.</x:v>
      </x:c>
    </x:row>
    <x:row r="646" ht="115" customHeight="1">
      <x:c r="A646" s="4" t="str">
        <x:v>proposal.collection.ancient_microrocket_pod</x:v>
      </x:c>
      <x:c r="B646" s="4" t="str">
        <x:f>IFERROR(INDEX(Items!$B$6:$B$1005,MATCH(A646,Items!$A$6:$A$1005,0)),"MISSING ID")</x:f>
        <x:v>Ancient microrocket pod</x:v>
      </x:c>
      <x:c r="C646" s="4" t="str">
        <x:f>IFERROR(INDEX(Items!$X$6:$X$1005,MATCH(A646,Items!$A$6:$A$1005,0)),"MISSING ID")</x:f>
        <x:v>Weapon</x:v>
      </x:c>
      <x:c r="D646" s="4" t="str">
        <x:f>IFERROR(INDEX(Items!$C$6:$C$1005,MATCH(A646,Items!$A$6:$A$1005,0)),"MISSING ID")</x:f>
        <x:v>Not applicable</x:v>
      </x:c>
      <x:c r="E646" s="4" t="str">
        <x:v>Recovery</x:v>
      </x:c>
      <x:c r="F646" s="14" t="n">
        <x:f>IFERROR(INDEX(Items!$AJ$6:$AJ$1005,MATCH(A646,Items!$A$6:$A$1005,0)),"MISSING ID")</x:f>
        <x:v>0</x:v>
      </x:c>
      <x:c r="G646" s="4" t="str">
        <x:v>Source, recovery or issue route applies</x:v>
      </x:c>
      <x:c r="H646" s="4" t="str">
        <x:v>Not a selected manufacturing route</x:v>
      </x:c>
      <x:c r="I646" s="4" t="str">
        <x:v>Recovery only</x:v>
      </x:c>
      <x:c r="J646" s="4" t="str">
        <x:v>Recover and assess a compatible item. No manufacturing route or guaranteed working function.</x:v>
      </x:c>
    </x:row>
    <x:row r="647" ht="115" customHeight="1">
      <x:c r="A647" s="4" t="str">
        <x:v>proposal.collection.ancient_sonic_disruptor</x:v>
      </x:c>
      <x:c r="B647" s="4" t="str">
        <x:f>IFERROR(INDEX(Items!$B$6:$B$1005,MATCH(A647,Items!$A$6:$A$1005,0)),"MISSING ID")</x:f>
        <x:v>Ancient sonic disruptor</x:v>
      </x:c>
      <x:c r="C647" s="4" t="str">
        <x:f>IFERROR(INDEX(Items!$X$6:$X$1005,MATCH(A647,Items!$A$6:$A$1005,0)),"MISSING ID")</x:f>
        <x:v>Weapon</x:v>
      </x:c>
      <x:c r="D647" s="4" t="str">
        <x:f>IFERROR(INDEX(Items!$C$6:$C$1005,MATCH(A647,Items!$A$6:$A$1005,0)),"MISSING ID")</x:f>
        <x:v>Not applicable</x:v>
      </x:c>
      <x:c r="E647" s="4" t="str">
        <x:v>Recovery</x:v>
      </x:c>
      <x:c r="F647" s="14" t="n">
        <x:f>IFERROR(INDEX(Items!$AJ$6:$AJ$1005,MATCH(A647,Items!$A$6:$A$1005,0)),"MISSING ID")</x:f>
        <x:v>0</x:v>
      </x:c>
      <x:c r="G647" s="4" t="str">
        <x:v>Source, recovery or issue route applies</x:v>
      </x:c>
      <x:c r="H647" s="4" t="str">
        <x:v>Not a selected manufacturing route</x:v>
      </x:c>
      <x:c r="I647" s="4" t="str">
        <x:v>Recovery only</x:v>
      </x:c>
      <x:c r="J647" s="4" t="str">
        <x:v>Recover and assess a compatible item. No manufacturing route or guaranteed working function.</x:v>
      </x:c>
    </x:row>
    <x:row r="648" ht="115" customHeight="1">
      <x:c r="A648" s="4" t="str">
        <x:v>proposal.collection.drained_culinary_phagia_curd</x:v>
      </x:c>
      <x:c r="B648" s="4" t="str">
        <x:f>IFERROR(INDEX(Items!$B$6:$B$1005,MATCH(A648,Items!$A$6:$A$1005,0)),"MISSING ID")</x:f>
        <x:v>Drained culinary Phagia curd</x:v>
      </x:c>
      <x:c r="C648" s="4" t="str">
        <x:f>IFERROR(INDEX(Items!$X$6:$X$1005,MATCH(A648,Items!$A$6:$A$1005,0)),"MISSING ID")</x:f>
        <x:v>Food material</x:v>
      </x:c>
      <x:c r="D648" s="4" t="str">
        <x:f>IFERROR(INDEX(Items!$C$6:$C$1005,MATCH(A648,Items!$A$6:$A$1005,0)),"MISSING ID")</x:f>
        <x:v>T1</x:v>
      </x:c>
      <x:c r="E648" s="4" t="str">
        <x:v>Manufactured stock / part</x:v>
      </x:c>
      <x:c r="F648" s="14" t="n">
        <x:f>IFERROR(INDEX(Items!$AJ$6:$AJ$1005,MATCH(A648,Items!$A$6:$A$1005,0)),"MISSING ID")</x:f>
        <x:v>1</x:v>
      </x:c>
      <x:c r="G648" s="4" t="str">
        <x:v>Traced to cataloged T0 and/or recovered feeds</x:v>
      </x:c>
      <x:c r="H648" s="4" t="str">
        <x:v>Contained food-only vessels, Food preparation screen and dedicated food tools. Species/culture/mineral edibility and storage qualification unresolved.</x:v>
      </x:c>
      <x:c r="I648" s="4" t="str">
        <x:v>Research / source gated</x:v>
      </x:c>
      <x:c r="J648" s="4" t="str">
        <x:v>Contained culinary Phagia culture; Drained culinary Phagia curd. Species/culture/mineral selection and edibility require design. No toxic industrial fraction is assumed edible.</x:v>
      </x:c>
    </x:row>
    <x:row r="649" ht="115" customHeight="1">
      <x:c r="A649" s="4" t="str">
        <x:v>proposal.collection.culinary_phagia_liquid_fraction</x:v>
      </x:c>
      <x:c r="B649" s="4" t="str">
        <x:f>IFERROR(INDEX(Items!$B$6:$B$1005,MATCH(A649,Items!$A$6:$A$1005,0)),"MISSING ID")</x:f>
        <x:v>Culinary Phagia liquid fraction</x:v>
      </x:c>
      <x:c r="C649" s="4" t="str">
        <x:f>IFERROR(INDEX(Items!$X$6:$X$1005,MATCH(A649,Items!$A$6:$A$1005,0)),"MISSING ID")</x:f>
        <x:v>Food material</x:v>
      </x:c>
      <x:c r="D649" s="4" t="str">
        <x:f>IFERROR(INDEX(Items!$C$6:$C$1005,MATCH(A649,Items!$A$6:$A$1005,0)),"MISSING ID")</x:f>
        <x:v>T1</x:v>
      </x:c>
      <x:c r="E649" s="4" t="str">
        <x:v>Manufactured stock / part</x:v>
      </x:c>
      <x:c r="F649" s="14" t="n">
        <x:f>IFERROR(INDEX(Items!$AJ$6:$AJ$1005,MATCH(A649,Items!$A$6:$A$1005,0)),"MISSING ID")</x:f>
        <x:v>1</x:v>
      </x:c>
      <x:c r="G649" s="4" t="str">
        <x:v>Traced to cataloged T0 and/or recovered feeds</x:v>
      </x:c>
      <x:c r="H649" s="4" t="str">
        <x:v>Contained food-only vessels, Food preparation screen and dedicated food tools. Species/culture/mineral edibility and storage qualification unresolved.</x:v>
      </x:c>
      <x:c r="I649" s="4" t="str">
        <x:v>Research / source gated</x:v>
      </x:c>
      <x:c r="J649" s="4" t="str">
        <x:v>Contained culinary Phagia culture; Culinary Phagia liquid fraction. Species/culture/mineral selection and edibility require design. No toxic industrial fraction is assumed edible.</x:v>
      </x:c>
    </x:row>
    <x:row r="650" ht="115" customHeight="1">
      <x:c r="A650" s="4" t="str">
        <x:v>proposal.collection.fine_culinary_phagia_meal</x:v>
      </x:c>
      <x:c r="B650" s="4" t="str">
        <x:f>IFERROR(INDEX(Items!$B$6:$B$1005,MATCH(A650,Items!$A$6:$A$1005,0)),"MISSING ID")</x:f>
        <x:v>Fine culinary Phagia meal</x:v>
      </x:c>
      <x:c r="C650" s="4" t="str">
        <x:f>IFERROR(INDEX(Items!$X$6:$X$1005,MATCH(A650,Items!$A$6:$A$1005,0)),"MISSING ID")</x:f>
        <x:v>Food material</x:v>
      </x:c>
      <x:c r="D650" s="4" t="str">
        <x:f>IFERROR(INDEX(Items!$C$6:$C$1005,MATCH(A650,Items!$A$6:$A$1005,0)),"MISSING ID")</x:f>
        <x:v>T1</x:v>
      </x:c>
      <x:c r="E650" s="4" t="str">
        <x:v>Manufactured stock / part</x:v>
      </x:c>
      <x:c r="F650" s="14" t="n">
        <x:f>IFERROR(INDEX(Items!$AJ$6:$AJ$1005,MATCH(A650,Items!$A$6:$A$1005,0)),"MISSING ID")</x:f>
        <x:v>1</x:v>
      </x:c>
      <x:c r="G650" s="4" t="str">
        <x:v>Traced to cataloged T0 and/or recovered feeds</x:v>
      </x:c>
      <x:c r="H650" s="4" t="str">
        <x:v>Contained food-only vessels, Food preparation screen and dedicated food tools. Species/culture/mineral edibility and storage qualification unresolved.</x:v>
      </x:c>
      <x:c r="I650" s="4" t="str">
        <x:v>Research / source gated</x:v>
      </x:c>
      <x:c r="J650" s="4" t="str">
        <x:v>Contained culinary Phagia culture; Fine culinary Phagia meal. Species/culture/mineral selection and edibility require design. No toxic industrial fraction is assumed edible.</x:v>
      </x:c>
    </x:row>
    <x:row r="651" ht="115" customHeight="1">
      <x:c r="A651" s="4" t="str">
        <x:v>proposal.collection.pressed_culinary_phagia_flakes</x:v>
      </x:c>
      <x:c r="B651" s="4" t="str">
        <x:f>IFERROR(INDEX(Items!$B$6:$B$1005,MATCH(A651,Items!$A$6:$A$1005,0)),"MISSING ID")</x:f>
        <x:v>Pressed culinary Phagia flakes</x:v>
      </x:c>
      <x:c r="C651" s="4" t="str">
        <x:f>IFERROR(INDEX(Items!$X$6:$X$1005,MATCH(A651,Items!$A$6:$A$1005,0)),"MISSING ID")</x:f>
        <x:v>Food material</x:v>
      </x:c>
      <x:c r="D651" s="4" t="str">
        <x:f>IFERROR(INDEX(Items!$C$6:$C$1005,MATCH(A651,Items!$A$6:$A$1005,0)),"MISSING ID")</x:f>
        <x:v>T1</x:v>
      </x:c>
      <x:c r="E651" s="4" t="str">
        <x:v>Manufactured stock / part</x:v>
      </x:c>
      <x:c r="F651" s="14" t="n">
        <x:f>IFERROR(INDEX(Items!$AJ$6:$AJ$1005,MATCH(A651,Items!$A$6:$A$1005,0)),"MISSING ID")</x:f>
        <x:v>1</x:v>
      </x:c>
      <x:c r="G651" s="4" t="str">
        <x:v>Traced to cataloged T0 and/or recovered feeds</x:v>
      </x:c>
      <x:c r="H651" s="4" t="str">
        <x:v>Contained food-only vessels, Food preparation screen and dedicated food tools. Species/culture/mineral edibility and storage qualification unresolved.</x:v>
      </x:c>
      <x:c r="I651" s="4" t="str">
        <x:v>Research / source gated</x:v>
      </x:c>
      <x:c r="J651" s="4" t="str">
        <x:v>Contained culinary Phagia culture; Pressed culinary Phagia flakes. Species/culture/mineral selection and edibility require design. No toxic industrial fraction is assumed edible.</x:v>
      </x:c>
    </x:row>
    <x:row r="652" ht="115" customHeight="1">
      <x:c r="A652" s="4"/>
      <x:c r="B652" s="4"/>
      <x:c r="C652" s="4"/>
      <x:c r="D652" s="4"/>
      <x:c r="E652" s="4"/>
      <x:c r="F652" s="14"/>
      <x:c r="G652" s="4"/>
      <x:c r="H652" s="4"/>
      <x:c r="I652" s="4"/>
      <x:c r="J652" s="4"/>
    </x:row>
    <x:row r="653" ht="115" customHeight="1">
      <x:c r="A653" s="4" t="str">
        <x:v>proposal.collection.culinary_phagia_binding_paste</x:v>
      </x:c>
      <x:c r="B653" s="4" t="str">
        <x:f>IFERROR(INDEX(Items!$B$6:$B$1005,MATCH(A653,Items!$A$6:$A$1005,0)),"MISSING ID")</x:f>
        <x:v>Culinary Phagia binding paste</x:v>
      </x:c>
      <x:c r="C653" s="4" t="str">
        <x:f>IFERROR(INDEX(Items!$X$6:$X$1005,MATCH(A653,Items!$A$6:$A$1005,0)),"MISSING ID")</x:f>
        <x:v>Food material</x:v>
      </x:c>
      <x:c r="D653" s="4" t="str">
        <x:f>IFERROR(INDEX(Items!$C$6:$C$1005,MATCH(A653,Items!$A$6:$A$1005,0)),"MISSING ID")</x:f>
        <x:v>T1</x:v>
      </x:c>
      <x:c r="E653" s="4" t="str">
        <x:v>Manufactured stock / part</x:v>
      </x:c>
      <x:c r="F653" s="14" t="n">
        <x:f>IFERROR(INDEX(Items!$AJ$6:$AJ$1005,MATCH(A653,Items!$A$6:$A$1005,0)),"MISSING ID")</x:f>
        <x:v>1</x:v>
      </x:c>
      <x:c r="G653" s="4" t="str">
        <x:v>Traced to cataloged T0 and/or recovered feeds</x:v>
      </x:c>
      <x:c r="H653" s="4" t="str">
        <x:v>Contained food-only vessels, Food preparation screen and dedicated food tools. Species/culture/mineral edibility and storage qualification unresolved.</x:v>
      </x:c>
      <x:c r="I653" s="4" t="str">
        <x:v>Research / source gated</x:v>
      </x:c>
      <x:c r="J653" s="4" t="str">
        <x:v>Contained culinary Phagia culture; Culinary Phagia binding paste. Species/culture/mineral selection and edibility require design. No toxic industrial fraction is assumed edible.</x:v>
      </x:c>
    </x:row>
    <x:row r="654" ht="115" customHeight="1">
      <x:c r="A654" s="4"/>
      <x:c r="B654" s="4"/>
      <x:c r="C654" s="4"/>
      <x:c r="D654" s="4"/>
      <x:c r="E654" s="4"/>
      <x:c r="F654" s="14"/>
      <x:c r="G654" s="4"/>
      <x:c r="H654" s="4"/>
      <x:c r="I654" s="4"/>
      <x:c r="J654" s="4"/>
    </x:row>
    <x:row r="655" ht="115" customHeight="1">
      <x:c r="A655" s="4" t="str">
        <x:v>proposal.collection.reduced_culinary_phagia_concentrate</x:v>
      </x:c>
      <x:c r="B655" s="4" t="str">
        <x:f>IFERROR(INDEX(Items!$B$6:$B$1005,MATCH(A655,Items!$A$6:$A$1005,0)),"MISSING ID")</x:f>
        <x:v>Reduced culinary Phagia concentrate</x:v>
      </x:c>
      <x:c r="C655" s="4" t="str">
        <x:f>IFERROR(INDEX(Items!$X$6:$X$1005,MATCH(A655,Items!$A$6:$A$1005,0)),"MISSING ID")</x:f>
        <x:v>Food material</x:v>
      </x:c>
      <x:c r="D655" s="4" t="str">
        <x:f>IFERROR(INDEX(Items!$C$6:$C$1005,MATCH(A655,Items!$A$6:$A$1005,0)),"MISSING ID")</x:f>
        <x:v>T2</x:v>
      </x:c>
      <x:c r="E655" s="4" t="str">
        <x:v>Manufactured stock / part</x:v>
      </x:c>
      <x:c r="F655" s="14" t="n">
        <x:f>IFERROR(INDEX(Items!$AJ$6:$AJ$1005,MATCH(A655,Items!$A$6:$A$1005,0)),"MISSING ID")</x:f>
        <x:v>1</x:v>
      </x:c>
      <x:c r="G655" s="4" t="str">
        <x:v>Traced to cataloged T0 and/or recovered feeds</x:v>
      </x:c>
      <x:c r="H655" s="4" t="str">
        <x:v>Contained food-only vessels, Food preparation screen and dedicated food tools. Species/culture/mineral edibility and storage qualification unresolved.</x:v>
      </x:c>
      <x:c r="I655" s="4" t="str">
        <x:v>Research / source gated</x:v>
      </x:c>
      <x:c r="J655" s="4" t="str">
        <x:v>Contained culinary Phagia culture; Culinary Phagia liquid fraction; Reduced culinary Phagia concentrate. Species/culture/mineral selection and edibility require design. No toxic industrial fraction is assumed edible.</x:v>
      </x:c>
    </x:row>
    <x:row r="656" ht="115" customHeight="1">
      <x:c r="A656" s="4" t="str">
        <x:v>proposal.collection.aerated_culinary_phagia_curd</x:v>
      </x:c>
      <x:c r="B656" s="4" t="str">
        <x:f>IFERROR(INDEX(Items!$B$6:$B$1005,MATCH(A656,Items!$A$6:$A$1005,0)),"MISSING ID")</x:f>
        <x:v>Aerated culinary Phagia curd</x:v>
      </x:c>
      <x:c r="C656" s="4" t="str">
        <x:f>IFERROR(INDEX(Items!$X$6:$X$1005,MATCH(A656,Items!$A$6:$A$1005,0)),"MISSING ID")</x:f>
        <x:v>Food material</x:v>
      </x:c>
      <x:c r="D656" s="4" t="str">
        <x:f>IFERROR(INDEX(Items!$C$6:$C$1005,MATCH(A656,Items!$A$6:$A$1005,0)),"MISSING ID")</x:f>
        <x:v>T2</x:v>
      </x:c>
      <x:c r="E656" s="4" t="str">
        <x:v>Manufactured stock / part</x:v>
      </x:c>
      <x:c r="F656" s="14" t="n">
        <x:f>IFERROR(INDEX(Items!$AJ$6:$AJ$1005,MATCH(A656,Items!$A$6:$A$1005,0)),"MISSING ID")</x:f>
        <x:v>1</x:v>
      </x:c>
      <x:c r="G656" s="4" t="str">
        <x:v>Traced to cataloged T0 and/or recovered feeds</x:v>
      </x:c>
      <x:c r="H656" s="4" t="str">
        <x:v>Contained food-only vessels, Food preparation screen and dedicated food tools. Species/culture/mineral edibility and storage qualification unresolved.</x:v>
      </x:c>
      <x:c r="I656" s="4" t="str">
        <x:v>Research / source gated</x:v>
      </x:c>
      <x:c r="J656" s="4" t="str">
        <x:v>Aerated culinary Phagia curd; Contained culinary Phagia culture; Drained culinary Phagia curd. Species/culture/mineral selection and edibility require design. No toxic industrial fraction is assumed edible.</x:v>
      </x:c>
    </x:row>
    <x:row r="657" ht="115" customHeight="1">
      <x:c r="A657" s="4" t="str">
        <x:v>proposal.collection.food_grade_mineral_seasoning</x:v>
      </x:c>
      <x:c r="B657" s="4" t="str">
        <x:f>IFERROR(INDEX(Items!$B$6:$B$1005,MATCH(A657,Items!$A$6:$A$1005,0)),"MISSING ID")</x:f>
        <x:v>Food-grade mineral seasoning</x:v>
      </x:c>
      <x:c r="C657" s="4" t="str">
        <x:f>IFERROR(INDEX(Items!$X$6:$X$1005,MATCH(A657,Items!$A$6:$A$1005,0)),"MISSING ID")</x:f>
        <x:v>Food material</x:v>
      </x:c>
      <x:c r="D657" s="4" t="str">
        <x:f>IFERROR(INDEX(Items!$C$6:$C$1005,MATCH(A657,Items!$A$6:$A$1005,0)),"MISSING ID")</x:f>
        <x:v>T1</x:v>
      </x:c>
      <x:c r="E657" s="4" t="str">
        <x:v>Manufactured stock / part</x:v>
      </x:c>
      <x:c r="F657" s="14" t="n">
        <x:f>IFERROR(INDEX(Items!$AJ$6:$AJ$1005,MATCH(A657,Items!$A$6:$A$1005,0)),"MISSING ID")</x:f>
        <x:v>1</x:v>
      </x:c>
      <x:c r="G657" s="4" t="str">
        <x:v>Traced to cataloged T0 and/or recovered feeds</x:v>
      </x:c>
      <x:c r="H657" s="4" t="str">
        <x:v>Contained food-only vessels, Food preparation screen and dedicated food tools. Species/culture/mineral edibility and storage qualification unresolved.</x:v>
      </x:c>
      <x:c r="I657" s="4" t="str">
        <x:v>Research / source gated</x:v>
      </x:c>
      <x:c r="J657" s="4" t="str">
        <x:v>Selected culinary salt crystals; Food-grade mineral seasoning. Species/culture/mineral selection and edibility require design. No toxic industrial fraction is assumed edible.</x:v>
      </x:c>
    </x:row>
    <x:row r="658" ht="115" customHeight="1">
      <x:c r="A658" s="4" t="str">
        <x:v>proposal.collection.selected_edible_fauna_gel</x:v>
      </x:c>
      <x:c r="B658" s="4" t="str">
        <x:f>IFERROR(INDEX(Items!$B$6:$B$1005,MATCH(A658,Items!$A$6:$A$1005,0)),"MISSING ID")</x:f>
        <x:v>Selected edible-fauna gel</x:v>
      </x:c>
      <x:c r="C658" s="4" t="str">
        <x:f>IFERROR(INDEX(Items!$X$6:$X$1005,MATCH(A658,Items!$A$6:$A$1005,0)),"MISSING ID")</x:f>
        <x:v>Food material</x:v>
      </x:c>
      <x:c r="D658" s="4" t="str">
        <x:f>IFERROR(INDEX(Items!$C$6:$C$1005,MATCH(A658,Items!$A$6:$A$1005,0)),"MISSING ID")</x:f>
        <x:v>T1</x:v>
      </x:c>
      <x:c r="E658" s="4" t="str">
        <x:v>Manufactured stock / part</x:v>
      </x:c>
      <x:c r="F658" s="14" t="n">
        <x:f>IFERROR(INDEX(Items!$AJ$6:$AJ$1005,MATCH(A658,Items!$A$6:$A$1005,0)),"MISSING ID")</x:f>
        <x:v>1</x:v>
      </x:c>
      <x:c r="G658" s="4" t="str">
        <x:v>Traced to cataloged T0 and/or recovered feeds</x:v>
      </x:c>
      <x:c r="H658" s="4" t="str">
        <x:v>Contained food-only vessels, Food preparation screen and dedicated food tools. Species/culture/mineral edibility and storage qualification unresolved.</x:v>
      </x:c>
      <x:c r="I658" s="4" t="str">
        <x:v>Research / source gated</x:v>
      </x:c>
      <x:c r="J658" s="4" t="str">
        <x:v>Selected edible-fauna gel. Species/culture/mineral selection and edibility require design. No toxic industrial fraction is assumed edible.</x:v>
      </x:c>
    </x:row>
    <x:row r="659" ht="115" customHeight="1">
      <x:c r="A659" s="4" t="str">
        <x:v>proposal.collection.dried_edible_fauna_granules</x:v>
      </x:c>
      <x:c r="B659" s="4" t="str">
        <x:f>IFERROR(INDEX(Items!$B$6:$B$1005,MATCH(A659,Items!$A$6:$A$1005,0)),"MISSING ID")</x:f>
        <x:v>Dried edible-fauna granules</x:v>
      </x:c>
      <x:c r="C659" s="4" t="str">
        <x:f>IFERROR(INDEX(Items!$X$6:$X$1005,MATCH(A659,Items!$A$6:$A$1005,0)),"MISSING ID")</x:f>
        <x:v>Food material</x:v>
      </x:c>
      <x:c r="D659" s="4" t="str">
        <x:f>IFERROR(INDEX(Items!$C$6:$C$1005,MATCH(A659,Items!$A$6:$A$1005,0)),"MISSING ID")</x:f>
        <x:v>T1</x:v>
      </x:c>
      <x:c r="E659" s="4" t="str">
        <x:v>Manufactured stock / part</x:v>
      </x:c>
      <x:c r="F659" s="14" t="n">
        <x:f>IFERROR(INDEX(Items!$AJ$6:$AJ$1005,MATCH(A659,Items!$A$6:$A$1005,0)),"MISSING ID")</x:f>
        <x:v>1</x:v>
      </x:c>
      <x:c r="G659" s="4" t="str">
        <x:v>Traced to cataloged T0 and/or recovered feeds</x:v>
      </x:c>
      <x:c r="H659" s="4" t="str">
        <x:v>Contained food-only vessels, Food preparation screen and dedicated food tools. Species/culture/mineral edibility and storage qualification unresolved.</x:v>
      </x:c>
      <x:c r="I659" s="4" t="str">
        <x:v>Research / source gated</x:v>
      </x:c>
      <x:c r="J659" s="4" t="str">
        <x:v>Edible fauna fraction (species TBD); Dried edible-fauna granules. Species/culture/mineral selection and edibility require design. No toxic industrial fraction is assumed edible.</x:v>
      </x:c>
    </x:row>
    <x:row r="660" ht="115" customHeight="1">
      <x:c r="A660" s="4" t="str">
        <x:v>proposal.collection.strained_edible_fauna_broth_base</x:v>
      </x:c>
      <x:c r="B660" s="4" t="str">
        <x:f>IFERROR(INDEX(Items!$B$6:$B$1005,MATCH(A660,Items!$A$6:$A$1005,0)),"MISSING ID")</x:f>
        <x:v>Strained edible-fauna broth base</x:v>
      </x:c>
      <x:c r="C660" s="4" t="str">
        <x:f>IFERROR(INDEX(Items!$X$6:$X$1005,MATCH(A660,Items!$A$6:$A$1005,0)),"MISSING ID")</x:f>
        <x:v>Food material</x:v>
      </x:c>
      <x:c r="D660" s="4" t="str">
        <x:f>IFERROR(INDEX(Items!$C$6:$C$1005,MATCH(A660,Items!$A$6:$A$1005,0)),"MISSING ID")</x:f>
        <x:v>T2</x:v>
      </x:c>
      <x:c r="E660" s="4" t="str">
        <x:v>Manufactured stock / part</x:v>
      </x:c>
      <x:c r="F660" s="14" t="n">
        <x:f>IFERROR(INDEX(Items!$AJ$6:$AJ$1005,MATCH(A660,Items!$A$6:$A$1005,0)),"MISSING ID")</x:f>
        <x:v>1</x:v>
      </x:c>
      <x:c r="G660" s="4" t="str">
        <x:v>Traced to cataloged T0 and/or recovered feeds</x:v>
      </x:c>
      <x:c r="H660" s="4" t="str">
        <x:v>Contained food-only vessels, Food preparation screen and dedicated food tools. Species/culture/mineral edibility and storage qualification unresolved.</x:v>
      </x:c>
      <x:c r="I660" s="4" t="str">
        <x:v>Research / source gated</x:v>
      </x:c>
      <x:c r="J660" s="4" t="str">
        <x:v>Edible fauna fraction (species TBD); Contained culinary Phagia culture; Culinary Phagia liquid fraction; 1 further conditional sources. Species/culture/mineral selection and edibility require design. No toxic industrial fraction is assumed edible.</x:v>
      </x:c>
    </x:row>
    <x:row r="661" ht="115" customHeight="1">
      <x:c r="A661" s="4"/>
      <x:c r="B661" s="4"/>
      <x:c r="C661" s="4"/>
      <x:c r="D661" s="4"/>
      <x:c r="E661" s="4"/>
      <x:c r="F661" s="14"/>
      <x:c r="G661" s="4"/>
      <x:c r="H661" s="4"/>
      <x:c r="I661" s="4"/>
      <x:c r="J661" s="4"/>
    </x:row>
    <x:row r="662" ht="115" customHeight="1">
      <x:c r="A662" s="4" t="str">
        <x:v>proposal.collection.cooked_edible_fauna_morsels</x:v>
      </x:c>
      <x:c r="B662" s="4" t="str">
        <x:f>IFERROR(INDEX(Items!$B$6:$B$1005,MATCH(A662,Items!$A$6:$A$1005,0)),"MISSING ID")</x:f>
        <x:v>Cooked edible-fauna morsels</x:v>
      </x:c>
      <x:c r="C662" s="4" t="str">
        <x:f>IFERROR(INDEX(Items!$X$6:$X$1005,MATCH(A662,Items!$A$6:$A$1005,0)),"MISSING ID")</x:f>
        <x:v>Food material</x:v>
      </x:c>
      <x:c r="D662" s="4" t="str">
        <x:f>IFERROR(INDEX(Items!$C$6:$C$1005,MATCH(A662,Items!$A$6:$A$1005,0)),"MISSING ID")</x:f>
        <x:v>T1</x:v>
      </x:c>
      <x:c r="E662" s="4" t="str">
        <x:v>Manufactured stock / part</x:v>
      </x:c>
      <x:c r="F662" s="14" t="n">
        <x:f>IFERROR(INDEX(Items!$AJ$6:$AJ$1005,MATCH(A662,Items!$A$6:$A$1005,0)),"MISSING ID")</x:f>
        <x:v>1</x:v>
      </x:c>
      <x:c r="G662" s="4" t="str">
        <x:v>Traced to cataloged T0 and/or recovered feeds</x:v>
      </x:c>
      <x:c r="H662" s="4" t="str">
        <x:v>Contained food-only vessels, Food preparation screen and dedicated food tools. Species/culture/mineral edibility and storage qualification unresolved.</x:v>
      </x:c>
      <x:c r="I662" s="4" t="str">
        <x:v>Research / source gated</x:v>
      </x:c>
      <x:c r="J662" s="4" t="str">
        <x:v>Edible fauna fraction (species TBD); Cooked edible-fauna morsels. Species/culture/mineral selection and edibility require design. No toxic industrial fraction is assumed edible.</x:v>
      </x:c>
    </x:row>
    <x:row r="663" ht="115" customHeight="1">
      <x:c r="A663" s="4" t="str">
        <x:v>proposal.collection.culinary_fauna_aroma_fraction</x:v>
      </x:c>
      <x:c r="B663" s="4" t="str">
        <x:f>IFERROR(INDEX(Items!$B$6:$B$1005,MATCH(A663,Items!$A$6:$A$1005,0)),"MISSING ID")</x:f>
        <x:v>Culinary fauna aroma fraction</x:v>
      </x:c>
      <x:c r="C663" s="4" t="str">
        <x:f>IFERROR(INDEX(Items!$X$6:$X$1005,MATCH(A663,Items!$A$6:$A$1005,0)),"MISSING ID")</x:f>
        <x:v>Food material</x:v>
      </x:c>
      <x:c r="D663" s="4" t="str">
        <x:f>IFERROR(INDEX(Items!$C$6:$C$1005,MATCH(A663,Items!$A$6:$A$1005,0)),"MISSING ID")</x:f>
        <x:v>T1</x:v>
      </x:c>
      <x:c r="E663" s="4" t="str">
        <x:v>Manufactured stock / part</x:v>
      </x:c>
      <x:c r="F663" s="14" t="n">
        <x:f>IFERROR(INDEX(Items!$AJ$6:$AJ$1005,MATCH(A663,Items!$A$6:$A$1005,0)),"MISSING ID")</x:f>
        <x:v>1</x:v>
      </x:c>
      <x:c r="G663" s="4" t="str">
        <x:v>Traced to cataloged T0 and/or recovered feeds</x:v>
      </x:c>
      <x:c r="H663" s="4" t="str">
        <x:v>Contained food-only vessels, Food preparation screen and dedicated food tools. Species/culture/mineral edibility and storage qualification unresolved.</x:v>
      </x:c>
      <x:c r="I663" s="4" t="str">
        <x:v>Research / source gated</x:v>
      </x:c>
      <x:c r="J663" s="4" t="str">
        <x:v>Culinary fauna aroma fraction. Species/culture/mineral selection and edibility require design. No toxic industrial fraction is assumed edible.</x:v>
      </x:c>
    </x:row>
    <x:row r="664" ht="115" customHeight="1">
      <x:c r="A664" s="4" t="str">
        <x:v>proposal.collection.phagia_fauna_savory_filling</x:v>
      </x:c>
      <x:c r="B664" s="4" t="str">
        <x:f>IFERROR(INDEX(Items!$B$6:$B$1005,MATCH(A664,Items!$A$6:$A$1005,0)),"MISSING ID")</x:f>
        <x:v>Phagia-fauna savory filling</x:v>
      </x:c>
      <x:c r="C664" s="4" t="str">
        <x:f>IFERROR(INDEX(Items!$X$6:$X$1005,MATCH(A664,Items!$A$6:$A$1005,0)),"MISSING ID")</x:f>
        <x:v>Food material</x:v>
      </x:c>
      <x:c r="D664" s="4" t="str">
        <x:f>IFERROR(INDEX(Items!$C$6:$C$1005,MATCH(A664,Items!$A$6:$A$1005,0)),"MISSING ID")</x:f>
        <x:v>T2</x:v>
      </x:c>
      <x:c r="E664" s="4" t="str">
        <x:v>Manufactured stock / part</x:v>
      </x:c>
      <x:c r="F664" s="14" t="n">
        <x:f>IFERROR(INDEX(Items!$AJ$6:$AJ$1005,MATCH(A664,Items!$A$6:$A$1005,0)),"MISSING ID")</x:f>
        <x:v>1</x:v>
      </x:c>
      <x:c r="G664" s="4" t="str">
        <x:v>Traced to cataloged T0 and/or recovered feeds</x:v>
      </x:c>
      <x:c r="H664" s="4" t="str">
        <x:v>Contained food-only vessels, Food preparation screen and dedicated food tools. Species/culture/mineral edibility and storage qualification unresolved.</x:v>
      </x:c>
      <x:c r="I664" s="4" t="str">
        <x:v>Research / source gated</x:v>
      </x:c>
      <x:c r="J664" s="4" t="str">
        <x:v>Edible fauna fraction (species TBD); Contained culinary Phagia culture; Drained culinary Phagia curd; 2 further conditional sources. Species/culture/mineral selection and edibility require design. No toxic industrial fraction is assumed edible.</x:v>
      </x:c>
    </x:row>
    <x:row r="665" ht="115" customHeight="1">
      <x:c r="A665" s="4" t="str">
        <x:v>proposal.collection.pressed_phagia_travel_cake</x:v>
      </x:c>
      <x:c r="B665" s="4" t="str">
        <x:f>IFERROR(INDEX(Items!$B$6:$B$1005,MATCH(A665,Items!$A$6:$A$1005,0)),"MISSING ID")</x:f>
        <x:v>Pressed Phagia travel cake</x:v>
      </x:c>
      <x:c r="C665" s="4" t="str">
        <x:f>IFERROR(INDEX(Items!$X$6:$X$1005,MATCH(A665,Items!$A$6:$A$1005,0)),"MISSING ID")</x:f>
        <x:v>Food consumable</x:v>
      </x:c>
      <x:c r="D665" s="4" t="str">
        <x:f>IFERROR(INDEX(Items!$C$6:$C$1005,MATCH(A665,Items!$A$6:$A$1005,0)),"MISSING ID")</x:f>
        <x:v>Not applicable</x:v>
      </x:c>
      <x:c r="E665" s="4" t="str">
        <x:v>Finished endpoint</x:v>
      </x:c>
      <x:c r="F665" s="14" t="n">
        <x:f>IFERROR(INDEX(Items!$AJ$6:$AJ$1005,MATCH(A665,Items!$A$6:$A$1005,0)),"MISSING ID")</x:f>
        <x:v>1</x:v>
      </x:c>
      <x:c r="G665" s="4" t="str">
        <x:v>Traced to cataloged T0 and/or recovered feeds</x:v>
      </x:c>
      <x:c r="H665" s="4" t="str">
        <x:v>Contained food-only vessels, Food preparation screen and dedicated food tools. Species/culture/mineral edibility and storage qualification unresolved.</x:v>
      </x:c>
      <x:c r="I665" s="4" t="str">
        <x:v>Research / source gated</x:v>
      </x:c>
      <x:c r="J665" s="4" t="str">
        <x:v>Contained culinary Phagia culture; Culinary Phagia binding paste; Fine culinary Phagia meal; 1 further conditional sources. Species/culture/mineral selection and edibility require design. No toxic industrial fraction is assumed edible.</x:v>
      </x:c>
    </x:row>
    <x:row r="666" ht="115" customHeight="1">
      <x:c r="A666" s="4"/>
      <x:c r="B666" s="4"/>
      <x:c r="C666" s="4"/>
      <x:c r="D666" s="4"/>
      <x:c r="E666" s="4"/>
      <x:c r="F666" s="14"/>
      <x:c r="G666" s="4"/>
      <x:c r="H666" s="4"/>
      <x:c r="I666" s="4"/>
      <x:c r="J666" s="4"/>
    </x:row>
    <x:row r="667" ht="115" customHeight="1">
      <x:c r="A667" s="4" t="str">
        <x:v>proposal.collection.layered_savory_phagia_parcel</x:v>
      </x:c>
      <x:c r="B667" s="4" t="str">
        <x:f>IFERROR(INDEX(Items!$B$6:$B$1005,MATCH(A667,Items!$A$6:$A$1005,0)),"MISSING ID")</x:f>
        <x:v>Layered savory Phagia parcel</x:v>
      </x:c>
      <x:c r="C667" s="4" t="str">
        <x:f>IFERROR(INDEX(Items!$X$6:$X$1005,MATCH(A667,Items!$A$6:$A$1005,0)),"MISSING ID")</x:f>
        <x:v>Food consumable</x:v>
      </x:c>
      <x:c r="D667" s="4" t="str">
        <x:f>IFERROR(INDEX(Items!$C$6:$C$1005,MATCH(A667,Items!$A$6:$A$1005,0)),"MISSING ID")</x:f>
        <x:v>Not applicable</x:v>
      </x:c>
      <x:c r="E667" s="4" t="str">
        <x:v>Finished endpoint</x:v>
      </x:c>
      <x:c r="F667" s="14" t="n">
        <x:f>IFERROR(INDEX(Items!$AJ$6:$AJ$1005,MATCH(A667,Items!$A$6:$A$1005,0)),"MISSING ID")</x:f>
        <x:v>1</x:v>
      </x:c>
      <x:c r="G667" s="4" t="str">
        <x:v>Traced to cataloged T0 and/or recovered feeds</x:v>
      </x:c>
      <x:c r="H667" s="4" t="str">
        <x:v>Contained food-only vessels, Food preparation screen and dedicated food tools. Species/culture/mineral edibility and storage qualification unresolved.</x:v>
      </x:c>
      <x:c r="I667" s="4" t="str">
        <x:v>Research / source gated</x:v>
      </x:c>
      <x:c r="J667" s="4" t="str">
        <x:v>Edible fauna fraction (species TBD); Contained culinary Phagia culture; Drained culinary Phagia curd; 4 further conditional sources. Species/culture/mineral selection and edibility require design. No toxic industrial fraction is assumed edible.</x:v>
      </x:c>
    </x:row>
    <x:row r="668" ht="115" customHeight="1">
      <x:c r="A668" s="4"/>
      <x:c r="B668" s="4"/>
      <x:c r="C668" s="4"/>
      <x:c r="D668" s="4"/>
      <x:c r="E668" s="4"/>
      <x:c r="F668" s="14"/>
      <x:c r="G668" s="4"/>
      <x:c r="H668" s="4"/>
      <x:c r="I668" s="4"/>
      <x:c r="J668" s="4"/>
    </x:row>
    <x:row r="669" ht="115" customHeight="1">
      <x:c r="A669" s="4" t="str">
        <x:v>proposal.collection.smooth_phagia_curd_drink</x:v>
      </x:c>
      <x:c r="B669" s="4" t="str">
        <x:f>IFERROR(INDEX(Items!$B$6:$B$1005,MATCH(A669,Items!$A$6:$A$1005,0)),"MISSING ID")</x:f>
        <x:v>Smooth Phagia curd drink</x:v>
      </x:c>
      <x:c r="C669" s="4" t="str">
        <x:f>IFERROR(INDEX(Items!$X$6:$X$1005,MATCH(A669,Items!$A$6:$A$1005,0)),"MISSING ID")</x:f>
        <x:v>Drink consumable</x:v>
      </x:c>
      <x:c r="D669" s="4" t="str">
        <x:f>IFERROR(INDEX(Items!$C$6:$C$1005,MATCH(A669,Items!$A$6:$A$1005,0)),"MISSING ID")</x:f>
        <x:v>Not applicable</x:v>
      </x:c>
      <x:c r="E669" s="4" t="str">
        <x:v>Finished endpoint</x:v>
      </x:c>
      <x:c r="F669" s="14" t="n">
        <x:f>IFERROR(INDEX(Items!$AJ$6:$AJ$1005,MATCH(A669,Items!$A$6:$A$1005,0)),"MISSING ID")</x:f>
        <x:v>1</x:v>
      </x:c>
      <x:c r="G669" s="4" t="str">
        <x:v>Traced to cataloged T0 and/or recovered feeds</x:v>
      </x:c>
      <x:c r="H669" s="4" t="str">
        <x:v>Contained food-only vessels, Food preparation screen and dedicated food tools. Species/culture/mineral edibility and storage qualification unresolved.</x:v>
      </x:c>
      <x:c r="I669" s="4" t="str">
        <x:v>Research / source gated</x:v>
      </x:c>
      <x:c r="J669" s="4" t="str">
        <x:v>Contained culinary Phagia culture; Culinary Phagia liquid fraction; Drained culinary Phagia curd; 1 further conditional sources. Species/culture/mineral selection and edibility require design. No toxic industrial fraction is assumed edible.</x:v>
      </x:c>
    </x:row>
    <x:row r="670" ht="115" customHeight="1">
      <x:c r="A670" s="4"/>
      <x:c r="B670" s="4"/>
      <x:c r="C670" s="4"/>
      <x:c r="D670" s="4"/>
      <x:c r="E670" s="4"/>
      <x:c r="F670" s="14"/>
      <x:c r="G670" s="4"/>
      <x:c r="H670" s="4"/>
      <x:c r="I670" s="4"/>
      <x:c r="J670" s="4"/>
    </x:row>
    <x:row r="671" ht="115" customHeight="1">
      <x:c r="A671" s="4" t="str">
        <x:v>proposal.collection.savory_mineral_phagia_drink</x:v>
      </x:c>
      <x:c r="B671" s="4" t="str">
        <x:f>IFERROR(INDEX(Items!$B$6:$B$1005,MATCH(A671,Items!$A$6:$A$1005,0)),"MISSING ID")</x:f>
        <x:v>Savory mineral Phagia drink</x:v>
      </x:c>
      <x:c r="C671" s="4" t="str">
        <x:f>IFERROR(INDEX(Items!$X$6:$X$1005,MATCH(A671,Items!$A$6:$A$1005,0)),"MISSING ID")</x:f>
        <x:v>Drink consumable</x:v>
      </x:c>
      <x:c r="D671" s="4" t="str">
        <x:f>IFERROR(INDEX(Items!$C$6:$C$1005,MATCH(A671,Items!$A$6:$A$1005,0)),"MISSING ID")</x:f>
        <x:v>Not applicable</x:v>
      </x:c>
      <x:c r="E671" s="4" t="str">
        <x:v>Finished endpoint</x:v>
      </x:c>
      <x:c r="F671" s="14" t="n">
        <x:f>IFERROR(INDEX(Items!$AJ$6:$AJ$1005,MATCH(A671,Items!$A$6:$A$1005,0)),"MISSING ID")</x:f>
        <x:v>1</x:v>
      </x:c>
      <x:c r="G671" s="4" t="str">
        <x:v>Traced to cataloged T0 and/or recovered feeds</x:v>
      </x:c>
      <x:c r="H671" s="4" t="str">
        <x:v>Contained food-only vessels, Food preparation screen and dedicated food tools. Species/culture/mineral edibility and storage qualification unresolved.</x:v>
      </x:c>
      <x:c r="I671" s="4" t="str">
        <x:v>Research / source gated</x:v>
      </x:c>
      <x:c r="J671" s="4" t="str">
        <x:v>Selected culinary salt crystals; Contained culinary Phagia culture; Culinary Phagia liquid fraction; 2 further conditional sources. Species/culture/mineral selection and edibility require design. No toxic industrial fraction is assumed edible.</x:v>
      </x:c>
    </x:row>
    <x:row r="672" ht="115" customHeight="1">
      <x:c r="A672" s="4"/>
      <x:c r="B672" s="4"/>
      <x:c r="C672" s="4"/>
      <x:c r="D672" s="4"/>
      <x:c r="E672" s="4"/>
      <x:c r="F672" s="14"/>
      <x:c r="G672" s="4"/>
      <x:c r="H672" s="4"/>
      <x:c r="I672" s="4"/>
      <x:c r="J672" s="4"/>
    </x:row>
    <x:row r="673" ht="115" customHeight="1">
      <x:c r="A673" s="4"/>
      <x:c r="B673" s="4"/>
      <x:c r="C673" s="4"/>
      <x:c r="D673" s="4"/>
      <x:c r="E673" s="4"/>
      <x:c r="F673" s="14"/>
      <x:c r="G673" s="4"/>
      <x:c r="H673" s="4"/>
      <x:c r="I673" s="4"/>
      <x:c r="J673" s="4"/>
    </x:row>
    <x:row r="674" ht="115" customHeight="1">
      <x:c r="A674" s="4"/>
      <x:c r="B674" s="4"/>
      <x:c r="C674" s="4"/>
      <x:c r="D674" s="4"/>
      <x:c r="E674" s="4"/>
      <x:c r="F674" s="14"/>
      <x:c r="G674" s="4"/>
      <x:c r="H674" s="4"/>
      <x:c r="I674" s="4"/>
      <x:c r="J674" s="4"/>
    </x:row>
    <x:row r="675" ht="115" customHeight="1">
      <x:c r="A675" s="4"/>
      <x:c r="B675" s="4"/>
      <x:c r="C675" s="4"/>
      <x:c r="D675" s="4"/>
      <x:c r="E675" s="4"/>
      <x:c r="F675" s="14"/>
      <x:c r="G675" s="4"/>
      <x:c r="H675" s="4"/>
      <x:c r="I675" s="4"/>
      <x:c r="J675" s="4"/>
    </x:row>
    <x:row r="676" ht="115" customHeight="1">
      <x:c r="A676" s="4" t="str">
        <x:v>proposal.collection.warm_phagia_meal_drink</x:v>
      </x:c>
      <x:c r="B676" s="4" t="str">
        <x:f>IFERROR(INDEX(Items!$B$6:$B$1005,MATCH(A676,Items!$A$6:$A$1005,0)),"MISSING ID")</x:f>
        <x:v>Warm Phagia meal drink</x:v>
      </x:c>
      <x:c r="C676" s="4" t="str">
        <x:f>IFERROR(INDEX(Items!$X$6:$X$1005,MATCH(A676,Items!$A$6:$A$1005,0)),"MISSING ID")</x:f>
        <x:v>Drink consumable</x:v>
      </x:c>
      <x:c r="D676" s="4" t="str">
        <x:f>IFERROR(INDEX(Items!$C$6:$C$1005,MATCH(A676,Items!$A$6:$A$1005,0)),"MISSING ID")</x:f>
        <x:v>Not applicable</x:v>
      </x:c>
      <x:c r="E676" s="4" t="str">
        <x:v>Finished endpoint</x:v>
      </x:c>
      <x:c r="F676" s="14" t="n">
        <x:f>IFERROR(INDEX(Items!$AJ$6:$AJ$1005,MATCH(A676,Items!$A$6:$A$1005,0)),"MISSING ID")</x:f>
        <x:v>1</x:v>
      </x:c>
      <x:c r="G676" s="4" t="str">
        <x:v>Traced to cataloged T0 and/or recovered feeds</x:v>
      </x:c>
      <x:c r="H676" s="4" t="str">
        <x:v>Contained food-only vessels, Food preparation screen and dedicated food tools. Species/culture/mineral edibility and storage qualification unresolved.</x:v>
      </x:c>
      <x:c r="I676" s="4" t="str">
        <x:v>Research / source gated</x:v>
      </x:c>
      <x:c r="J676" s="4" t="str">
        <x:v>Contained culinary Phagia culture; Culinary Phagia binding paste; Culinary Phagia liquid fraction; 1 further conditional sources. Species/culture/mineral selection and edibility require design. No toxic industrial fraction is assumed edible.</x:v>
      </x:c>
    </x:row>
    <x:row r="677" ht="115" customHeight="1">
      <x:c r="A677" s="4" t="str">
        <x:v>proposal.collection.cool_cellar_phagia_drink</x:v>
      </x:c>
      <x:c r="B677" s="4" t="str">
        <x:f>IFERROR(INDEX(Items!$B$6:$B$1005,MATCH(A677,Items!$A$6:$A$1005,0)),"MISSING ID")</x:f>
        <x:v>Cool-cellar Phagia drink</x:v>
      </x:c>
      <x:c r="C677" s="4" t="str">
        <x:f>IFERROR(INDEX(Items!$X$6:$X$1005,MATCH(A677,Items!$A$6:$A$1005,0)),"MISSING ID")</x:f>
        <x:v>Drink consumable</x:v>
      </x:c>
      <x:c r="D677" s="4" t="str">
        <x:f>IFERROR(INDEX(Items!$C$6:$C$1005,MATCH(A677,Items!$A$6:$A$1005,0)),"MISSING ID")</x:f>
        <x:v>Not applicable</x:v>
      </x:c>
      <x:c r="E677" s="4" t="str">
        <x:v>Finished endpoint</x:v>
      </x:c>
      <x:c r="F677" s="14" t="n">
        <x:f>IFERROR(INDEX(Items!$AJ$6:$AJ$1005,MATCH(A677,Items!$A$6:$A$1005,0)),"MISSING ID")</x:f>
        <x:v>1</x:v>
      </x:c>
      <x:c r="G677" s="4" t="str">
        <x:v>Traced to cataloged T0 and/or recovered feeds</x:v>
      </x:c>
      <x:c r="H677" s="4" t="str">
        <x:v>Contained food-only vessels, Food preparation screen and dedicated food tools. Species/culture/mineral edibility and storage qualification unresolved.</x:v>
      </x:c>
      <x:c r="I677" s="4" t="str">
        <x:v>Research / source gated</x:v>
      </x:c>
      <x:c r="J677" s="4" t="str">
        <x:v>Contained culinary Phagia culture; Cool-cellar Phagia drink; Culinary Phagia liquid fraction. Species/culture/mineral selection and edibility require design. No toxic industrial fraction is assumed edible.</x:v>
      </x:c>
    </x:row>
    <x:row r="678" ht="115" customHeight="1">
      <x:c r="A678" s="4" t="str">
        <x:v>proposal.collection.phagia_fauna_savory_broth</x:v>
      </x:c>
      <x:c r="B678" s="4" t="str">
        <x:f>IFERROR(INDEX(Items!$B$6:$B$1005,MATCH(A678,Items!$A$6:$A$1005,0)),"MISSING ID")</x:f>
        <x:v>Phagia-fauna savory broth</x:v>
      </x:c>
      <x:c r="C678" s="4" t="str">
        <x:f>IFERROR(INDEX(Items!$X$6:$X$1005,MATCH(A678,Items!$A$6:$A$1005,0)),"MISSING ID")</x:f>
        <x:v>Drink consumable</x:v>
      </x:c>
      <x:c r="D678" s="4" t="str">
        <x:f>IFERROR(INDEX(Items!$C$6:$C$1005,MATCH(A678,Items!$A$6:$A$1005,0)),"MISSING ID")</x:f>
        <x:v>Not applicable</x:v>
      </x:c>
      <x:c r="E678" s="4" t="str">
        <x:v>Finished endpoint</x:v>
      </x:c>
      <x:c r="F678" s="14" t="n">
        <x:f>IFERROR(INDEX(Items!$AJ$6:$AJ$1005,MATCH(A678,Items!$A$6:$A$1005,0)),"MISSING ID")</x:f>
        <x:v>1</x:v>
      </x:c>
      <x:c r="G678" s="4" t="str">
        <x:v>Traced to cataloged T0 and/or recovered feeds</x:v>
      </x:c>
      <x:c r="H678" s="4" t="str">
        <x:v>Contained food-only vessels, Food preparation screen and dedicated food tools. Species/culture/mineral edibility and storage qualification unresolved.</x:v>
      </x:c>
      <x:c r="I678" s="4" t="str">
        <x:v>Research / source gated</x:v>
      </x:c>
      <x:c r="J678" s="4" t="str">
        <x:v>Edible fauna fraction (species TBD); Contained culinary Phagia culture; Culinary Phagia liquid fraction; 2 further conditional sources. Species/culture/mineral selection and edibility require design. No toxic industrial fraction is assumed edible.</x:v>
      </x:c>
    </x:row>
    <x:row r="679" ht="115" customHeight="1">
      <x:c r="A679" s="4"/>
      <x:c r="B679" s="4"/>
      <x:c r="C679" s="4"/>
      <x:c r="D679" s="4"/>
      <x:c r="E679" s="4"/>
      <x:c r="F679" s="14"/>
      <x:c r="G679" s="4"/>
      <x:c r="H679" s="4"/>
      <x:c r="I679" s="4"/>
      <x:c r="J679" s="4"/>
    </x:row>
    <x:row r="680" ht="115" customHeight="1">
      <x:c r="A680" s="4" t="str">
        <x:v>proposal.collection.phagia_aroma_tasting_cup</x:v>
      </x:c>
      <x:c r="B680" s="4" t="str">
        <x:f>IFERROR(INDEX(Items!$B$6:$B$1005,MATCH(A680,Items!$A$6:$A$1005,0)),"MISSING ID")</x:f>
        <x:v>Phagia aroma tasting cup</x:v>
      </x:c>
      <x:c r="C680" s="4" t="str">
        <x:f>IFERROR(INDEX(Items!$X$6:$X$1005,MATCH(A680,Items!$A$6:$A$1005,0)),"MISSING ID")</x:f>
        <x:v>Drink consumable</x:v>
      </x:c>
      <x:c r="D680" s="4" t="str">
        <x:f>IFERROR(INDEX(Items!$C$6:$C$1005,MATCH(A680,Items!$A$6:$A$1005,0)),"MISSING ID")</x:f>
        <x:v>Not applicable</x:v>
      </x:c>
      <x:c r="E680" s="4" t="str">
        <x:v>Finished endpoint</x:v>
      </x:c>
      <x:c r="F680" s="14" t="n">
        <x:f>IFERROR(INDEX(Items!$AJ$6:$AJ$1005,MATCH(A680,Items!$A$6:$A$1005,0)),"MISSING ID")</x:f>
        <x:v>1</x:v>
      </x:c>
      <x:c r="G680" s="4" t="str">
        <x:v>Traced to cataloged T0 and/or recovered feeds</x:v>
      </x:c>
      <x:c r="H680" s="4" t="str">
        <x:v>Contained food-only vessels, Food preparation screen and dedicated food tools. Species/culture/mineral edibility and storage qualification unresolved.</x:v>
      </x:c>
      <x:c r="I680" s="4" t="str">
        <x:v>Research / source gated</x:v>
      </x:c>
      <x:c r="J680" s="4" t="str">
        <x:v>Contained culinary Phagia culture; Culinary fauna aroma fraction; Culinary Phagia liquid fraction; 1 further conditional sources. Species/culture/mineral selection and edibility require design. No toxic industrial fraction is assumed edible.</x:v>
      </x:c>
    </x:row>
    <x:row r="681" ht="115" customHeight="1">
      <x:c r="A681" s="4" t="str">
        <x:v>proposal.collection.coarse_meal_phagia_drink</x:v>
      </x:c>
      <x:c r="B681" s="4" t="str">
        <x:f>IFERROR(INDEX(Items!$B$6:$B$1005,MATCH(A681,Items!$A$6:$A$1005,0)),"MISSING ID")</x:f>
        <x:v>Coarse-meal Phagia drink</x:v>
      </x:c>
      <x:c r="C681" s="4" t="str">
        <x:f>IFERROR(INDEX(Items!$X$6:$X$1005,MATCH(A681,Items!$A$6:$A$1005,0)),"MISSING ID")</x:f>
        <x:v>Drink consumable</x:v>
      </x:c>
      <x:c r="D681" s="4" t="str">
        <x:f>IFERROR(INDEX(Items!$C$6:$C$1005,MATCH(A681,Items!$A$6:$A$1005,0)),"MISSING ID")</x:f>
        <x:v>Not applicable</x:v>
      </x:c>
      <x:c r="E681" s="4" t="str">
        <x:v>Finished endpoint</x:v>
      </x:c>
      <x:c r="F681" s="14" t="n">
        <x:f>IFERROR(INDEX(Items!$AJ$6:$AJ$1005,MATCH(A681,Items!$A$6:$A$1005,0)),"MISSING ID")</x:f>
        <x:v>1</x:v>
      </x:c>
      <x:c r="G681" s="4" t="str">
        <x:v>Traced to cataloged T0 and/or recovered feeds</x:v>
      </x:c>
      <x:c r="H681" s="4" t="str">
        <x:v>Contained food-only vessels, Food preparation screen and dedicated food tools. Species/culture/mineral edibility and storage qualification unresolved.</x:v>
      </x:c>
      <x:c r="I681" s="4" t="str">
        <x:v>Research / source gated</x:v>
      </x:c>
      <x:c r="J681" s="4" t="str">
        <x:v>Coarse-meal Phagia drink; Contained culinary Phagia culture; Culinary Phagia liquid fraction; 1 further conditional sources. Species/culture/mineral selection and edibility require design. No toxic industrial fraction is assumed edible.</x:v>
      </x:c>
    </x:row>
    <x:row r="682" ht="115" customHeight="1">
      <x:c r="A682" s="4" t="str">
        <x:v>proposal.collection.two_layer_phagia_cup</x:v>
      </x:c>
      <x:c r="B682" s="4" t="str">
        <x:f>IFERROR(INDEX(Items!$B$6:$B$1005,MATCH(A682,Items!$A$6:$A$1005,0)),"MISSING ID")</x:f>
        <x:v>Two-layer Phagia cup</x:v>
      </x:c>
      <x:c r="C682" s="4" t="str">
        <x:f>IFERROR(INDEX(Items!$X$6:$X$1005,MATCH(A682,Items!$A$6:$A$1005,0)),"MISSING ID")</x:f>
        <x:v>Drink consumable</x:v>
      </x:c>
      <x:c r="D682" s="4" t="str">
        <x:f>IFERROR(INDEX(Items!$C$6:$C$1005,MATCH(A682,Items!$A$6:$A$1005,0)),"MISSING ID")</x:f>
        <x:v>Not applicable</x:v>
      </x:c>
      <x:c r="E682" s="4" t="str">
        <x:v>Finished endpoint</x:v>
      </x:c>
      <x:c r="F682" s="14" t="n">
        <x:f>IFERROR(INDEX(Items!$AJ$6:$AJ$1005,MATCH(A682,Items!$A$6:$A$1005,0)),"MISSING ID")</x:f>
        <x:v>1</x:v>
      </x:c>
      <x:c r="G682" s="4" t="str">
        <x:v>Traced to cataloged T0 and/or recovered feeds</x:v>
      </x:c>
      <x:c r="H682" s="4" t="str">
        <x:v>Contained food-only vessels, Food preparation screen and dedicated food tools. Species/culture/mineral edibility and storage qualification unresolved.</x:v>
      </x:c>
      <x:c r="I682" s="4" t="str">
        <x:v>Research / source gated</x:v>
      </x:c>
      <x:c r="J682" s="4" t="str">
        <x:v>Contained culinary Phagia culture; Culinary Phagia liquid fraction; Drained culinary Phagia curd; 1 further conditional sources. Species/culture/mineral selection and edibility require design. No toxic industrial fraction is assumed edible.</x:v>
      </x:c>
    </x:row>
    <x:row r="683" ht="115" customHeight="1">
      <x:c r="A683" s="4"/>
      <x:c r="B683" s="4"/>
      <x:c r="C683" s="4"/>
      <x:c r="D683" s="4"/>
      <x:c r="E683" s="4"/>
      <x:c r="F683" s="14"/>
      <x:c r="G683" s="4"/>
      <x:c r="H683" s="4"/>
      <x:c r="I683" s="4"/>
      <x:c r="J683" s="4"/>
    </x:row>
    <x:row r="684" ht="115" customHeight="1">
      <x:c r="A684" s="4" t="str">
        <x:v>proposal.collection.sour_savory_phagia_blend</x:v>
      </x:c>
      <x:c r="B684" s="4" t="str">
        <x:f>IFERROR(INDEX(Items!$B$6:$B$1005,MATCH(A684,Items!$A$6:$A$1005,0)),"MISSING ID")</x:f>
        <x:v>Sour-savory Phagia blend</x:v>
      </x:c>
      <x:c r="C684" s="4" t="str">
        <x:f>IFERROR(INDEX(Items!$X$6:$X$1005,MATCH(A684,Items!$A$6:$A$1005,0)),"MISSING ID")</x:f>
        <x:v>Drink consumable</x:v>
      </x:c>
      <x:c r="D684" s="4" t="str">
        <x:f>IFERROR(INDEX(Items!$C$6:$C$1005,MATCH(A684,Items!$A$6:$A$1005,0)),"MISSING ID")</x:f>
        <x:v>Not applicable</x:v>
      </x:c>
      <x:c r="E684" s="4" t="str">
        <x:v>Finished endpoint</x:v>
      </x:c>
      <x:c r="F684" s="14" t="n">
        <x:f>IFERROR(INDEX(Items!$AJ$6:$AJ$1005,MATCH(A684,Items!$A$6:$A$1005,0)),"MISSING ID")</x:f>
        <x:v>1</x:v>
      </x:c>
      <x:c r="G684" s="4" t="str">
        <x:v>Traced to cataloged T0 and/or recovered feeds</x:v>
      </x:c>
      <x:c r="H684" s="4" t="str">
        <x:v>Contained food-only vessels, Food preparation screen and dedicated food tools. Species/culture/mineral edibility and storage qualification unresolved.</x:v>
      </x:c>
      <x:c r="I684" s="4" t="str">
        <x:v>Research / source gated</x:v>
      </x:c>
      <x:c r="J684" s="4" t="str">
        <x:v>Edible fauna fraction (species TBD); Contained culinary Phagia culture; Controlled-sour Phagia base; 3 further conditional sources. Species/culture/mineral selection and edibility require design. No toxic industrial fraction is assumed edible.</x:v>
      </x:c>
    </x:row>
    <x:row r="685" ht="115" customHeight="1">
      <x:c r="A685" s="4" t="str">
        <x:v>proposal.collection.phagia_concentrate_tasting_flight</x:v>
      </x:c>
      <x:c r="B685" s="4" t="str">
        <x:f>IFERROR(INDEX(Items!$B$6:$B$1005,MATCH(A685,Items!$A$6:$A$1005,0)),"MISSING ID")</x:f>
        <x:v>Phagia concentrate tasting flight</x:v>
      </x:c>
      <x:c r="C685" s="4" t="str">
        <x:f>IFERROR(INDEX(Items!$X$6:$X$1005,MATCH(A685,Items!$A$6:$A$1005,0)),"MISSING ID")</x:f>
        <x:v>Drink consumable</x:v>
      </x:c>
      <x:c r="D685" s="4" t="str">
        <x:f>IFERROR(INDEX(Items!$C$6:$C$1005,MATCH(A685,Items!$A$6:$A$1005,0)),"MISSING ID")</x:f>
        <x:v>Not applicable</x:v>
      </x:c>
      <x:c r="E685" s="4" t="str">
        <x:v>Finished endpoint</x:v>
      </x:c>
      <x:c r="F685" s="14" t="n">
        <x:f>IFERROR(INDEX(Items!$AJ$6:$AJ$1005,MATCH(A685,Items!$A$6:$A$1005,0)),"MISSING ID")</x:f>
        <x:v>1</x:v>
      </x:c>
      <x:c r="G685" s="4" t="str">
        <x:v>Traced to cataloged T0 and/or recovered feeds</x:v>
      </x:c>
      <x:c r="H685" s="4" t="str">
        <x:v>Contained food-only vessels, Food preparation screen and dedicated food tools. Species/culture/mineral edibility and storage qualification unresolved.</x:v>
      </x:c>
      <x:c r="I685" s="4" t="str">
        <x:v>Research / source gated</x:v>
      </x:c>
      <x:c r="J685" s="4" t="str">
        <x:v>Contained culinary Phagia culture; Controlled-sour Phagia base; Culinary Phagia liquid fraction; 2 further conditional sources. Species/culture/mineral selection and edibility require design. No toxic industrial fraction is assumed edible.</x:v>
      </x:c>
    </x:row>
    <x:row r="686" ht="115" customHeight="1">
      <x:c r="A686" s="4" t="str">
        <x:v>proposal.collection.guarded_flywheel_cartridge</x:v>
      </x:c>
      <x:c r="B686" s="4" t="str">
        <x:f>IFERROR(INDEX(Items!$B$6:$B$1005,MATCH(A686,Items!$A$6:$A$1005,0)),"MISSING ID")</x:f>
        <x:v>Guarded flywheel cartridge</x:v>
      </x:c>
      <x:c r="C686" s="4" t="str">
        <x:f>IFERROR(INDEX(Items!$X$6:$X$1005,MATCH(A686,Items!$A$6:$A$1005,0)),"MISSING ID")</x:f>
        <x:v>Energy storage</x:v>
      </x:c>
      <x:c r="D686" s="4" t="str">
        <x:f>IFERROR(INDEX(Items!$C$6:$C$1005,MATCH(A686,Items!$A$6:$A$1005,0)),"MISSING ID")</x:f>
        <x:v>Not applicable</x:v>
      </x:c>
      <x:c r="E686" s="4" t="str">
        <x:v>Finished endpoint</x:v>
      </x:c>
      <x:c r="F686" s="14" t="n">
        <x:f>IFERROR(INDEX(Items!$AJ$6:$AJ$1005,MATCH(A686,Items!$A$6:$A$1005,0)),"MISSING ID")</x:f>
        <x:v>1</x:v>
      </x:c>
      <x:c r="G686" s="4" t="str">
        <x:v>Traced to cataloged T0 and/or recovered feeds</x:v>
      </x:c>
      <x:c r="H686" s="4" t="str">
        <x:v>Forge hearth, Anvil, Forging hammer, Smithing tongs, Metalworking file and Hand-cranked metal drill as applicable. Existing workshop bootstrap and controlled heating/cooling required; no free-water quench assumed.</x:v>
      </x:c>
      <x:c r="I686" s="4" t="str">
        <x:v>Candidate path traced</x:v>
      </x:c>
      <x:c r="J686" s="4" t="str">
        <x:v>Assembly is not charging. Energy input, connection or mechanical preload and service limits remain open.</x:v>
      </x:c>
    </x:row>
    <x:row r="687" ht="115" customHeight="1">
      <x:c r="A687" s="4" t="str">
        <x:v>proposal.collection.wound_clock_spring_pack</x:v>
      </x:c>
      <x:c r="B687" s="4" t="str">
        <x:f>IFERROR(INDEX(Items!$B$6:$B$1005,MATCH(A687,Items!$A$6:$A$1005,0)),"MISSING ID")</x:f>
        <x:v>Wound clock-spring pack</x:v>
      </x:c>
      <x:c r="C687" s="4" t="str">
        <x:f>IFERROR(INDEX(Items!$X$6:$X$1005,MATCH(A687,Items!$A$6:$A$1005,0)),"MISSING ID")</x:f>
        <x:v>Energy storage</x:v>
      </x:c>
      <x:c r="D687" s="4" t="str">
        <x:f>IFERROR(INDEX(Items!$C$6:$C$1005,MATCH(A687,Items!$A$6:$A$1005,0)),"MISSING ID")</x:f>
        <x:v>Not applicable</x:v>
      </x:c>
      <x:c r="E687" s="4" t="str">
        <x:v>Finished endpoint</x:v>
      </x:c>
      <x:c r="F687" s="14" t="n">
        <x:f>IFERROR(INDEX(Items!$AJ$6:$AJ$1005,MATCH(A687,Items!$A$6:$A$1005,0)),"MISSING ID")</x:f>
        <x:v>1</x:v>
      </x:c>
      <x:c r="G687" s="4" t="str">
        <x:v>Traced to cataloged T0 and/or recovered feeds</x:v>
      </x:c>
      <x:c r="H687" s="4" t="str">
        <x:v>Forge hearth, Anvil, Forging hammer, Smithing tongs, Metalworking file and Hand-cranked metal drill as applicable. Existing workshop bootstrap and controlled heating/cooling required; no free-water quench assumed.</x:v>
      </x:c>
      <x:c r="I687" s="4" t="str">
        <x:v>Candidate path traced</x:v>
      </x:c>
      <x:c r="J687" s="4" t="str">
        <x:v>Assembly is not charging. Energy input, connection or mechanical preload and service limits remain open.</x:v>
      </x:c>
    </x:row>
    <x:row r="688" ht="115" customHeight="1">
      <x:c r="A688" s="4" t="str">
        <x:v>proposal.collection.torsion_spring_accumulator</x:v>
      </x:c>
      <x:c r="B688" s="4" t="str">
        <x:f>IFERROR(INDEX(Items!$B$6:$B$1005,MATCH(A688,Items!$A$6:$A$1005,0)),"MISSING ID")</x:f>
        <x:v>Torsion-spring accumulator</x:v>
      </x:c>
      <x:c r="C688" s="4" t="str">
        <x:f>IFERROR(INDEX(Items!$X$6:$X$1005,MATCH(A688,Items!$A$6:$A$1005,0)),"MISSING ID")</x:f>
        <x:v>Energy storage</x:v>
      </x:c>
      <x:c r="D688" s="4" t="str">
        <x:f>IFERROR(INDEX(Items!$C$6:$C$1005,MATCH(A688,Items!$A$6:$A$1005,0)),"MISSING ID")</x:f>
        <x:v>Not applicable</x:v>
      </x:c>
      <x:c r="E688" s="4" t="str">
        <x:v>Finished endpoint</x:v>
      </x:c>
      <x:c r="F688" s="14" t="n">
        <x:f>IFERROR(INDEX(Items!$AJ$6:$AJ$1005,MATCH(A688,Items!$A$6:$A$1005,0)),"MISSING ID")</x:f>
        <x:v>1</x:v>
      </x:c>
      <x:c r="G688" s="4" t="str">
        <x:v>Traced to cataloged T0 and/or recovered feeds</x:v>
      </x:c>
      <x:c r="H688" s="4" t="str">
        <x:v>Forge hearth, Anvil, Forging hammer, Smithing tongs, Metalworking file and Hand-cranked metal drill as applicable. Existing workshop bootstrap and controlled heating/cooling required; no free-water quench assumed.</x:v>
      </x:c>
      <x:c r="I688" s="4" t="str">
        <x:v>Candidate path traced</x:v>
      </x:c>
      <x:c r="J688" s="4" t="str">
        <x:v>Assembly is not charging. Energy input, connection or mechanical preload and service limits remain open.</x:v>
      </x:c>
    </x:row>
    <x:row r="689" ht="115" customHeight="1">
      <x:c r="A689" s="4" t="str">
        <x:v>proposal.collection.lifted_counterweight_module</x:v>
      </x:c>
      <x:c r="B689" s="4" t="str">
        <x:f>IFERROR(INDEX(Items!$B$6:$B$1005,MATCH(A689,Items!$A$6:$A$1005,0)),"MISSING ID")</x:f>
        <x:v>Lifted counterweight module</x:v>
      </x:c>
      <x:c r="C689" s="4" t="str">
        <x:f>IFERROR(INDEX(Items!$X$6:$X$1005,MATCH(A689,Items!$A$6:$A$1005,0)),"MISSING ID")</x:f>
        <x:v>Energy storage</x:v>
      </x:c>
      <x:c r="D689" s="4" t="str">
        <x:f>IFERROR(INDEX(Items!$C$6:$C$1005,MATCH(A689,Items!$A$6:$A$1005,0)),"MISSING ID")</x:f>
        <x:v>Not applicable</x:v>
      </x:c>
      <x:c r="E689" s="4" t="str">
        <x:v>Finished endpoint</x:v>
      </x:c>
      <x:c r="F689" s="14" t="n">
        <x:f>IFERROR(INDEX(Items!$AJ$6:$AJ$1005,MATCH(A689,Items!$A$6:$A$1005,0)),"MISSING ID")</x:f>
        <x:v>1</x:v>
      </x:c>
      <x:c r="G689" s="4" t="str">
        <x:v>Traced to cataloged T0 and/or recovered feeds</x:v>
      </x:c>
      <x:c r="H689" s="4" t="str">
        <x:v>Forge hearth, Anvil, Forging hammer, Smithing tongs, Metalworking file and Hand-cranked metal drill as applicable. Existing workshop bootstrap and controlled heating/cooling required; no free-water quench assumed.</x:v>
      </x:c>
      <x:c r="I689" s="4" t="str">
        <x:v>Candidate path traced</x:v>
      </x:c>
      <x:c r="J689" s="4" t="str">
        <x:v>Assembly is not charging. Energy input, connection or mechanical preload and service limits remain open.</x:v>
      </x:c>
    </x:row>
    <x:row r="690" ht="115" customHeight="1">
      <x:c r="A690" s="4" t="str">
        <x:v>proposal.collection.shaft_drop_weight_train</x:v>
      </x:c>
      <x:c r="B690" s="4" t="str">
        <x:f>IFERROR(INDEX(Items!$B$6:$B$1005,MATCH(A690,Items!$A$6:$A$1005,0)),"MISSING ID")</x:f>
        <x:v>Shaft-drop weight train</x:v>
      </x:c>
      <x:c r="C690" s="4" t="str">
        <x:f>IFERROR(INDEX(Items!$X$6:$X$1005,MATCH(A690,Items!$A$6:$A$1005,0)),"MISSING ID")</x:f>
        <x:v>Energy storage</x:v>
      </x:c>
      <x:c r="D690" s="4" t="str">
        <x:f>IFERROR(INDEX(Items!$C$6:$C$1005,MATCH(A690,Items!$A$6:$A$1005,0)),"MISSING ID")</x:f>
        <x:v>Not applicable</x:v>
      </x:c>
      <x:c r="E690" s="4" t="str">
        <x:v>Finished endpoint</x:v>
      </x:c>
      <x:c r="F690" s="14" t="n">
        <x:f>IFERROR(INDEX(Items!$AJ$6:$AJ$1005,MATCH(A690,Items!$A$6:$A$1005,0)),"MISSING ID")</x:f>
        <x:v>1</x:v>
      </x:c>
      <x:c r="G690" s="4" t="str">
        <x:v>Traced to cataloged T0 and/or recovered feeds</x:v>
      </x:c>
      <x:c r="H690" s="4" t="str">
        <x:v>Forge hearth, Anvil, Forging hammer, Smithing tongs, Metalworking file and Hand-cranked metal drill as applicable. Existing workshop bootstrap and controlled heating/cooling required; no free-water quench assumed.</x:v>
      </x:c>
      <x:c r="I690" s="4" t="str">
        <x:v>Candidate path traced</x:v>
      </x:c>
      <x:c r="J690" s="4" t="str">
        <x:v>Assembly is not charging. Energy input, connection or mechanical preload and service limits remain open.</x:v>
      </x:c>
    </x:row>
    <x:row r="691" ht="115" customHeight="1">
      <x:c r="A691" s="4" t="str">
        <x:v>proposal.collection.sealed_pressure_accumulator</x:v>
      </x:c>
      <x:c r="B691" s="4" t="str">
        <x:f>IFERROR(INDEX(Items!$B$6:$B$1005,MATCH(A691,Items!$A$6:$A$1005,0)),"MISSING ID")</x:f>
        <x:v>Sealed pressure accumulator</x:v>
      </x:c>
      <x:c r="C691" s="4" t="str">
        <x:f>IFERROR(INDEX(Items!$X$6:$X$1005,MATCH(A691,Items!$A$6:$A$1005,0)),"MISSING ID")</x:f>
        <x:v>Energy storage</x:v>
      </x:c>
      <x:c r="D691" s="4" t="str">
        <x:f>IFERROR(INDEX(Items!$C$6:$C$1005,MATCH(A691,Items!$A$6:$A$1005,0)),"MISSING ID")</x:f>
        <x:v>Not applicable</x:v>
      </x:c>
      <x:c r="E691" s="4" t="str">
        <x:v>Finished endpoint</x:v>
      </x:c>
      <x:c r="F691" s="14" t="n">
        <x:f>IFERROR(INDEX(Items!$AJ$6:$AJ$1005,MATCH(A691,Items!$A$6:$A$1005,0)),"MISSING ID")</x:f>
        <x:v>1</x:v>
      </x:c>
      <x:c r="G691" s="4" t="str">
        <x:v>Traced to cataloged T0 and/or recovered feeds</x:v>
      </x:c>
      <x:c r="H691" s="4" t="str">
        <x:v>Forge hearth, Anvil, Forging hammer, Smithing tongs, Metalworking file and Hand-cranked metal drill as applicable. Existing workshop bootstrap and controlled heating/cooling required; no free-water quench assumed.</x:v>
      </x:c>
      <x:c r="I691" s="4" t="str">
        <x:v>Research / source gated</x:v>
      </x:c>
      <x:c r="J691" s="4" t="str">
        <x:v>Contained dry working gas. Assembly is not charging. Energy input, connection or mechanical preload and service limits remain open.</x:v>
      </x:c>
    </x:row>
    <x:row r="692" ht="115" customHeight="1">
      <x:c r="A692" s="4" t="str">
        <x:v>proposal.collection.packed_stone_thermal_block</x:v>
      </x:c>
      <x:c r="B692" s="4" t="str">
        <x:f>IFERROR(INDEX(Items!$B$6:$B$1005,MATCH(A692,Items!$A$6:$A$1005,0)),"MISSING ID")</x:f>
        <x:v>Packed-stone thermal block</x:v>
      </x:c>
      <x:c r="C692" s="4" t="str">
        <x:f>IFERROR(INDEX(Items!$X$6:$X$1005,MATCH(A692,Items!$A$6:$A$1005,0)),"MISSING ID")</x:f>
        <x:v>Energy storage</x:v>
      </x:c>
      <x:c r="D692" s="4" t="str">
        <x:f>IFERROR(INDEX(Items!$C$6:$C$1005,MATCH(A692,Items!$A$6:$A$1005,0)),"MISSING ID")</x:f>
        <x:v>Not applicable</x:v>
      </x:c>
      <x:c r="E692" s="4" t="str">
        <x:v>Finished endpoint</x:v>
      </x:c>
      <x:c r="F692" s="14" t="n">
        <x:f>IFERROR(INDEX(Items!$AJ$6:$AJ$1005,MATCH(A692,Items!$A$6:$A$1005,0)),"MISSING ID")</x:f>
        <x:v>1</x:v>
      </x:c>
      <x:c r="G692" s="4" t="str">
        <x:v>Traced to cataloged T0 and/or recovered feeds</x:v>
      </x:c>
      <x:c r="H692" s="4" t="str">
        <x:v>Forge hearth, Anvil, Forging hammer, Smithing tongs, Metalworking file and Hand-cranked metal drill as applicable. Existing workshop bootstrap and controlled heating/cooling required; no free-water quench assumed.</x:v>
      </x:c>
      <x:c r="I692" s="4" t="str">
        <x:v>Candidate path traced</x:v>
      </x:c>
      <x:c r="J692" s="4" t="str">
        <x:v>Assembly is not charging. Energy input, connection or mechanical preload and service limits remain open.</x:v>
      </x:c>
    </x:row>
    <x:row r="693" ht="115" customHeight="1">
      <x:c r="A693" s="4" t="str">
        <x:v>proposal.collection.contained_salt_heat_cell</x:v>
      </x:c>
      <x:c r="B693" s="4" t="str">
        <x:f>IFERROR(INDEX(Items!$B$6:$B$1005,MATCH(A693,Items!$A$6:$A$1005,0)),"MISSING ID")</x:f>
        <x:v>Contained salt heat cell</x:v>
      </x:c>
      <x:c r="C693" s="4" t="str">
        <x:f>IFERROR(INDEX(Items!$X$6:$X$1005,MATCH(A693,Items!$A$6:$A$1005,0)),"MISSING ID")</x:f>
        <x:v>Energy storage</x:v>
      </x:c>
      <x:c r="D693" s="4" t="str">
        <x:f>IFERROR(INDEX(Items!$C$6:$C$1005,MATCH(A693,Items!$A$6:$A$1005,0)),"MISSING ID")</x:f>
        <x:v>Not applicable</x:v>
      </x:c>
      <x:c r="E693" s="4" t="str">
        <x:v>Finished endpoint</x:v>
      </x:c>
      <x:c r="F693" s="14" t="n">
        <x:f>IFERROR(INDEX(Items!$AJ$6:$AJ$1005,MATCH(A693,Items!$A$6:$A$1005,0)),"MISSING ID")</x:f>
        <x:v>1</x:v>
      </x:c>
      <x:c r="G693" s="4" t="str">
        <x:v>Traced to cataloged T0 and/or recovered feeds</x:v>
      </x:c>
      <x:c r="H693" s="4" t="str">
        <x:v>Forge hearth, Anvil, Forging hammer, Smithing tongs, Metalworking file and Hand-cranked metal drill as applicable. Existing workshop bootstrap and controlled heating/cooling required; no free-water quench assumed.</x:v>
      </x:c>
      <x:c r="I693" s="4" t="str">
        <x:v>Candidate path traced</x:v>
      </x:c>
      <x:c r="J693" s="4" t="str">
        <x:v>Assembly is not charging. Energy input, connection or mechanical preload and service limits remain open.</x:v>
      </x:c>
    </x:row>
    <x:row r="694" ht="115" customHeight="1">
      <x:c r="A694" s="4" t="str">
        <x:v>proposal.collection.ceramic_housed_mineral_battery</x:v>
      </x:c>
      <x:c r="B694" s="4" t="str">
        <x:f>IFERROR(INDEX(Items!$B$6:$B$1005,MATCH(A694,Items!$A$6:$A$1005,0)),"MISSING ID")</x:f>
        <x:v>Ceramic-housed mineral battery</x:v>
      </x:c>
      <x:c r="C694" s="4" t="str">
        <x:f>IFERROR(INDEX(Items!$X$6:$X$1005,MATCH(A694,Items!$A$6:$A$1005,0)),"MISSING ID")</x:f>
        <x:v>Energy storage</x:v>
      </x:c>
      <x:c r="D694" s="4" t="str">
        <x:f>IFERROR(INDEX(Items!$C$6:$C$1005,MATCH(A694,Items!$A$6:$A$1005,0)),"MISSING ID")</x:f>
        <x:v>Not applicable</x:v>
      </x:c>
      <x:c r="E694" s="4" t="str">
        <x:v>Finished endpoint</x:v>
      </x:c>
      <x:c r="F694" s="14" t="n">
        <x:f>IFERROR(INDEX(Items!$AJ$6:$AJ$1005,MATCH(A694,Items!$A$6:$A$1005,0)),"MISSING ID")</x:f>
        <x:v>1</x:v>
      </x:c>
      <x:c r="G694" s="4" t="str">
        <x:v>Traced to cataloged T0 and/or recovered feeds</x:v>
      </x:c>
      <x:c r="H694" s="4" t="str">
        <x:v>Controlled-heating firing kiln or specialist glass hot-work station; Ceramic firing tray / Ceramic casting mold as applicable. Qualified power, heat and atmosphere required.</x:v>
      </x:c>
      <x:c r="I694" s="4" t="str">
        <x:v>Research / source gated</x:v>
      </x:c>
      <x:c r="J694" s="4" t="str">
        <x:v>Mineral-cell electrolyte candidate. Assembly is not charging. Energy input, connection or mechanical preload and service limits remain open.</x:v>
      </x:c>
    </x:row>
    <x:row r="695" ht="115" customHeight="1">
      <x:c r="A695" s="4" t="str">
        <x:v>proposal.collection.replaceable_electrode_battery_jar</x:v>
      </x:c>
      <x:c r="B695" s="4" t="str">
        <x:f>IFERROR(INDEX(Items!$B$6:$B$1005,MATCH(A695,Items!$A$6:$A$1005,0)),"MISSING ID")</x:f>
        <x:v>Replaceable electrode battery jar</x:v>
      </x:c>
      <x:c r="C695" s="4" t="str">
        <x:f>IFERROR(INDEX(Items!$X$6:$X$1005,MATCH(A695,Items!$A$6:$A$1005,0)),"MISSING ID")</x:f>
        <x:v>Energy storage</x:v>
      </x:c>
      <x:c r="D695" s="4" t="str">
        <x:f>IFERROR(INDEX(Items!$C$6:$C$1005,MATCH(A695,Items!$A$6:$A$1005,0)),"MISSING ID")</x:f>
        <x:v>Not applicable</x:v>
      </x:c>
      <x:c r="E695" s="4" t="str">
        <x:v>Finished endpoint</x:v>
      </x:c>
      <x:c r="F695" s="14" t="n">
        <x:f>IFERROR(INDEX(Items!$AJ$6:$AJ$1005,MATCH(A695,Items!$A$6:$A$1005,0)),"MISSING ID")</x:f>
        <x:v>1</x:v>
      </x:c>
      <x:c r="G695" s="4" t="str">
        <x:v>Traced to cataloged T0 and/or recovered feeds</x:v>
      </x:c>
      <x:c r="H695" s="4" t="str">
        <x:v>Forge hearth, Anvil, Forging hammer, Smithing tongs, Metalworking file and Hand-cranked metal drill as applicable. Existing workshop bootstrap and controlled heating/cooling required; no free-water quench assumed.</x:v>
      </x:c>
      <x:c r="I695" s="4" t="str">
        <x:v>Research / source gated</x:v>
      </x:c>
      <x:c r="J695" s="4" t="str">
        <x:v>Mineral-cell electrolyte candidate. Assembly is not charging. Energy input, connection or mechanical preload and service limits remain open.</x:v>
      </x:c>
    </x:row>
    <x:row r="696" ht="115" customHeight="1">
      <x:c r="A696" s="4" t="str">
        <x:v>proposal.collection.packed_separator_battery_stack</x:v>
      </x:c>
      <x:c r="B696" s="4" t="str">
        <x:f>IFERROR(INDEX(Items!$B$6:$B$1005,MATCH(A696,Items!$A$6:$A$1005,0)),"MISSING ID")</x:f>
        <x:v>Packed separator battery stack</x:v>
      </x:c>
      <x:c r="C696" s="4" t="str">
        <x:f>IFERROR(INDEX(Items!$X$6:$X$1005,MATCH(A696,Items!$A$6:$A$1005,0)),"MISSING ID")</x:f>
        <x:v>Energy storage</x:v>
      </x:c>
      <x:c r="D696" s="4" t="str">
        <x:f>IFERROR(INDEX(Items!$C$6:$C$1005,MATCH(A696,Items!$A$6:$A$1005,0)),"MISSING ID")</x:f>
        <x:v>Not applicable</x:v>
      </x:c>
      <x:c r="E696" s="4" t="str">
        <x:v>Finished endpoint</x:v>
      </x:c>
      <x:c r="F696" s="14" t="n">
        <x:f>IFERROR(INDEX(Items!$AJ$6:$AJ$1005,MATCH(A696,Items!$A$6:$A$1005,0)),"MISSING ID")</x:f>
        <x:v>1</x:v>
      </x:c>
      <x:c r="G696" s="4" t="str">
        <x:v>Traced to cataloged T0 and/or recovered feeds</x:v>
      </x:c>
      <x:c r="H696" s="4" t="str">
        <x:v>Forge hearth, Anvil, Forging hammer, Smithing tongs, Metalworking file and Hand-cranked metal drill as applicable. Existing workshop bootstrap and controlled heating/cooling required; no free-water quench assumed.</x:v>
      </x:c>
      <x:c r="I696" s="4" t="str">
        <x:v>Research / source gated</x:v>
      </x:c>
      <x:c r="J696" s="4" t="str">
        <x:v>Mineral-cell electrolyte candidate. Assembly is not charging. Energy input, connection or mechanical preload and service limits remain open.</x:v>
      </x:c>
    </x:row>
    <x:row r="697" ht="115" customHeight="1">
      <x:c r="A697" s="4" t="str">
        <x:v>proposal.collection.mica_plate_capacitor_pack</x:v>
      </x:c>
      <x:c r="B697" s="4" t="str">
        <x:f>IFERROR(INDEX(Items!$B$6:$B$1005,MATCH(A697,Items!$A$6:$A$1005,0)),"MISSING ID")</x:f>
        <x:v>Mica-plate capacitor pack</x:v>
      </x:c>
      <x:c r="C697" s="4" t="str">
        <x:f>IFERROR(INDEX(Items!$X$6:$X$1005,MATCH(A697,Items!$A$6:$A$1005,0)),"MISSING ID")</x:f>
        <x:v>Energy storage</x:v>
      </x:c>
      <x:c r="D697" s="4" t="str">
        <x:f>IFERROR(INDEX(Items!$C$6:$C$1005,MATCH(A697,Items!$A$6:$A$1005,0)),"MISSING ID")</x:f>
        <x:v>Not applicable</x:v>
      </x:c>
      <x:c r="E697" s="4" t="str">
        <x:v>Finished endpoint</x:v>
      </x:c>
      <x:c r="F697" s="14" t="n">
        <x:f>IFERROR(INDEX(Items!$AJ$6:$AJ$1005,MATCH(A697,Items!$A$6:$A$1005,0)),"MISSING ID")</x:f>
        <x:v>1</x:v>
      </x:c>
      <x:c r="G697" s="4" t="str">
        <x:v>Traced to cataloged T0 and/or recovered feeds</x:v>
      </x:c>
      <x:c r="H697" s="4" t="str">
        <x:v>Forge hearth, Anvil, Forging hammer, Smithing tongs, Metalworking file and Hand-cranked metal drill as applicable. Existing workshop bootstrap and controlled heating/cooling required; no free-water quench assumed.</x:v>
      </x:c>
      <x:c r="I697" s="4" t="str">
        <x:v>Candidate path traced</x:v>
      </x:c>
      <x:c r="J697" s="4" t="str">
        <x:v>Assembly is not charging. Energy input, connection or mechanical preload and service limits remain open.</x:v>
      </x:c>
    </x:row>
    <x:row r="698" ht="115" customHeight="1">
      <x:c r="A698" s="4" t="str">
        <x:v>proposal.collection.glass_jar_capacitor_bank</x:v>
      </x:c>
      <x:c r="B698" s="4" t="str">
        <x:f>IFERROR(INDEX(Items!$B$6:$B$1005,MATCH(A698,Items!$A$6:$A$1005,0)),"MISSING ID")</x:f>
        <x:v>Glass-jar capacitor bank</x:v>
      </x:c>
      <x:c r="C698" s="4" t="str">
        <x:f>IFERROR(INDEX(Items!$X$6:$X$1005,MATCH(A698,Items!$A$6:$A$1005,0)),"MISSING ID")</x:f>
        <x:v>Energy storage</x:v>
      </x:c>
      <x:c r="D698" s="4" t="str">
        <x:f>IFERROR(INDEX(Items!$C$6:$C$1005,MATCH(A698,Items!$A$6:$A$1005,0)),"MISSING ID")</x:f>
        <x:v>Not applicable</x:v>
      </x:c>
      <x:c r="E698" s="4" t="str">
        <x:v>Finished endpoint</x:v>
      </x:c>
      <x:c r="F698" s="14" t="n">
        <x:f>IFERROR(INDEX(Items!$AJ$6:$AJ$1005,MATCH(A698,Items!$A$6:$A$1005,0)),"MISSING ID")</x:f>
        <x:v>1</x:v>
      </x:c>
      <x:c r="G698" s="4" t="str">
        <x:v>Traced to cataloged T0 and/or recovered feeds</x:v>
      </x:c>
      <x:c r="H698" s="4" t="str">
        <x:v>Controlled-heating firing kiln or specialist glass hot-work station; Ceramic firing tray / Ceramic casting mold as applicable. Qualified power, heat and atmosphere required.</x:v>
      </x:c>
      <x:c r="I698" s="4" t="str">
        <x:v>Candidate path traced</x:v>
      </x:c>
      <x:c r="J698" s="4" t="str">
        <x:v>Assembly is not charging. Energy input, connection or mechanical preload and service limits remain open.</x:v>
      </x:c>
    </x:row>
    <x:row r="699" ht="115" customHeight="1">
      <x:c r="A699" s="4" t="str">
        <x:v>proposal.collection.ceramic_dielectric_pulse_bank</x:v>
      </x:c>
      <x:c r="B699" s="4" t="str">
        <x:f>IFERROR(INDEX(Items!$B$6:$B$1005,MATCH(A699,Items!$A$6:$A$1005,0)),"MISSING ID")</x:f>
        <x:v>Ceramic-dielectric pulse bank</x:v>
      </x:c>
      <x:c r="C699" s="4" t="str">
        <x:f>IFERROR(INDEX(Items!$X$6:$X$1005,MATCH(A699,Items!$A$6:$A$1005,0)),"MISSING ID")</x:f>
        <x:v>Energy storage</x:v>
      </x:c>
      <x:c r="D699" s="4" t="str">
        <x:f>IFERROR(INDEX(Items!$C$6:$C$1005,MATCH(A699,Items!$A$6:$A$1005,0)),"MISSING ID")</x:f>
        <x:v>Not applicable</x:v>
      </x:c>
      <x:c r="E699" s="4" t="str">
        <x:v>Finished endpoint</x:v>
      </x:c>
      <x:c r="F699" s="14" t="n">
        <x:f>IFERROR(INDEX(Items!$AJ$6:$AJ$1005,MATCH(A699,Items!$A$6:$A$1005,0)),"MISSING ID")</x:f>
        <x:v>1</x:v>
      </x:c>
      <x:c r="G699" s="4" t="str">
        <x:v>Traced to cataloged T0 and/or recovered feeds</x:v>
      </x:c>
      <x:c r="H699" s="4" t="str">
        <x:v>Controlled-heating firing kiln or specialist glass hot-work station; Ceramic firing tray / Ceramic casting mold as applicable. Qualified power, heat and atmosphere required.</x:v>
      </x:c>
      <x:c r="I699" s="4" t="str">
        <x:v>Candidate path traced</x:v>
      </x:c>
      <x:c r="J699" s="4" t="str">
        <x:v>Assembly is not charging. Energy input, connection or mechanical preload and service limits remain open.</x:v>
      </x:c>
    </x:row>
    <x:row r="700" ht="115" customHeight="1">
      <x:c r="A700" s="4" t="str">
        <x:v>proposal.collection.ancient_compact_power_cell</x:v>
      </x:c>
      <x:c r="B700" s="4" t="str">
        <x:f>IFERROR(INDEX(Items!$B$6:$B$1005,MATCH(A700,Items!$A$6:$A$1005,0)),"MISSING ID")</x:f>
        <x:v>Ancient compact power cell</x:v>
      </x:c>
      <x:c r="C700" s="4" t="str">
        <x:f>IFERROR(INDEX(Items!$X$6:$X$1005,MATCH(A700,Items!$A$6:$A$1005,0)),"MISSING ID")</x:f>
        <x:v>Energy storage</x:v>
      </x:c>
      <x:c r="D700" s="4" t="str">
        <x:f>IFERROR(INDEX(Items!$C$6:$C$1005,MATCH(A700,Items!$A$6:$A$1005,0)),"MISSING ID")</x:f>
        <x:v>Not applicable</x:v>
      </x:c>
      <x:c r="E700" s="4" t="str">
        <x:v>Recovery</x:v>
      </x:c>
      <x:c r="F700" s="14" t="n">
        <x:f>IFERROR(INDEX(Items!$AJ$6:$AJ$1005,MATCH(A700,Items!$A$6:$A$1005,0)),"MISSING ID")</x:f>
        <x:v>0</x:v>
      </x:c>
      <x:c r="G700" s="4" t="str">
        <x:v>Source, recovery or issue route applies</x:v>
      </x:c>
      <x:c r="H700" s="4" t="str">
        <x:v>Not a selected manufacturing route</x:v>
      </x:c>
      <x:c r="I700" s="4" t="str">
        <x:v>Recovery only</x:v>
      </x:c>
      <x:c r="J700" s="4" t="str">
        <x:v>Recover and assess a compatible item. No manufacturing route or guaranteed working function.</x:v>
      </x:c>
    </x:row>
    <x:row r="701" ht="115" customHeight="1">
      <x:c r="A701" s="4" t="str">
        <x:v>proposal.collection.ancient_microcapacitor_brick</x:v>
      </x:c>
      <x:c r="B701" s="4" t="str">
        <x:f>IFERROR(INDEX(Items!$B$6:$B$1005,MATCH(A701,Items!$A$6:$A$1005,0)),"MISSING ID")</x:f>
        <x:v>Ancient microcapacitor brick</x:v>
      </x:c>
      <x:c r="C701" s="4" t="str">
        <x:f>IFERROR(INDEX(Items!$X$6:$X$1005,MATCH(A701,Items!$A$6:$A$1005,0)),"MISSING ID")</x:f>
        <x:v>Energy storage</x:v>
      </x:c>
      <x:c r="D701" s="4" t="str">
        <x:f>IFERROR(INDEX(Items!$C$6:$C$1005,MATCH(A701,Items!$A$6:$A$1005,0)),"MISSING ID")</x:f>
        <x:v>Not applicable</x:v>
      </x:c>
      <x:c r="E701" s="4" t="str">
        <x:v>Recovery</x:v>
      </x:c>
      <x:c r="F701" s="14" t="n">
        <x:f>IFERROR(INDEX(Items!$AJ$6:$AJ$1005,MATCH(A701,Items!$A$6:$A$1005,0)),"MISSING ID")</x:f>
        <x:v>0</x:v>
      </x:c>
      <x:c r="G701" s="4" t="str">
        <x:v>Source, recovery or issue route applies</x:v>
      </x:c>
      <x:c r="H701" s="4" t="str">
        <x:v>Not a selected manufacturing route</x:v>
      </x:c>
      <x:c r="I701" s="4" t="str">
        <x:v>Recovery only</x:v>
      </x:c>
      <x:c r="J701" s="4" t="str">
        <x:v>Recover and assess a compatible item. No manufacturing route or guaranteed working function.</x:v>
      </x:c>
    </x:row>
    <x:row r="702" ht="115" customHeight="1">
      <x:c r="A702" s="4" t="str">
        <x:v>proposal.collection.ancient_persistent_current_ring</x:v>
      </x:c>
      <x:c r="B702" s="4" t="str">
        <x:f>IFERROR(INDEX(Items!$B$6:$B$1005,MATCH(A702,Items!$A$6:$A$1005,0)),"MISSING ID")</x:f>
        <x:v>Ancient persistent-current ring</x:v>
      </x:c>
      <x:c r="C702" s="4" t="str">
        <x:f>IFERROR(INDEX(Items!$X$6:$X$1005,MATCH(A702,Items!$A$6:$A$1005,0)),"MISSING ID")</x:f>
        <x:v>Energy storage</x:v>
      </x:c>
      <x:c r="D702" s="4" t="str">
        <x:f>IFERROR(INDEX(Items!$C$6:$C$1005,MATCH(A702,Items!$A$6:$A$1005,0)),"MISSING ID")</x:f>
        <x:v>Not applicable</x:v>
      </x:c>
      <x:c r="E702" s="4" t="str">
        <x:v>Recovery</x:v>
      </x:c>
      <x:c r="F702" s="14" t="n">
        <x:f>IFERROR(INDEX(Items!$AJ$6:$AJ$1005,MATCH(A702,Items!$A$6:$A$1005,0)),"MISSING ID")</x:f>
        <x:v>0</x:v>
      </x:c>
      <x:c r="G702" s="4" t="str">
        <x:v>Source, recovery or issue route applies</x:v>
      </x:c>
      <x:c r="H702" s="4" t="str">
        <x:v>Not a selected manufacturing route</x:v>
      </x:c>
      <x:c r="I702" s="4" t="str">
        <x:v>Recovery only</x:v>
      </x:c>
      <x:c r="J702" s="4" t="str">
        <x:v>Recover and assess a compatible item. No manufacturing route or guaranteed working function.</x:v>
      </x:c>
    </x:row>
    <x:row r="703" ht="115" customHeight="1">
      <x:c r="A703" s="4" t="str">
        <x:v>proposal.collection.ancient_inertial_storage_capsule</x:v>
      </x:c>
      <x:c r="B703" s="4" t="str">
        <x:f>IFERROR(INDEX(Items!$B$6:$B$1005,MATCH(A703,Items!$A$6:$A$1005,0)),"MISSING ID")</x:f>
        <x:v>Ancient inertial storage capsule</x:v>
      </x:c>
      <x:c r="C703" s="4" t="str">
        <x:f>IFERROR(INDEX(Items!$X$6:$X$1005,MATCH(A703,Items!$A$6:$A$1005,0)),"MISSING ID")</x:f>
        <x:v>Energy storage</x:v>
      </x:c>
      <x:c r="D703" s="4" t="str">
        <x:f>IFERROR(INDEX(Items!$C$6:$C$1005,MATCH(A703,Items!$A$6:$A$1005,0)),"MISSING ID")</x:f>
        <x:v>Not applicable</x:v>
      </x:c>
      <x:c r="E703" s="4" t="str">
        <x:v>Recovery</x:v>
      </x:c>
      <x:c r="F703" s="14" t="n">
        <x:f>IFERROR(INDEX(Items!$AJ$6:$AJ$1005,MATCH(A703,Items!$A$6:$A$1005,0)),"MISSING ID")</x:f>
        <x:v>0</x:v>
      </x:c>
      <x:c r="G703" s="4" t="str">
        <x:v>Source, recovery or issue route applies</x:v>
      </x:c>
      <x:c r="H703" s="4" t="str">
        <x:v>Not a selected manufacturing route</x:v>
      </x:c>
      <x:c r="I703" s="4" t="str">
        <x:v>Recovery only</x:v>
      </x:c>
      <x:c r="J703" s="4" t="str">
        <x:v>Recover and assess a compatible item. No manufacturing route or guaranteed working function.</x:v>
      </x:c>
    </x:row>
    <x:row r="704" ht="115" customHeight="1">
      <x:c r="A704" s="4" t="str">
        <x:v>proposal.collection.ancient_true_arc_vessel</x:v>
      </x:c>
      <x:c r="B704" s="4" t="str">
        <x:f>IFERROR(INDEX(Items!$B$6:$B$1005,MATCH(A704,Items!$A$6:$A$1005,0)),"MISSING ID")</x:f>
        <x:v>Ancient true-Arc vessel</x:v>
      </x:c>
      <x:c r="C704" s="4" t="str">
        <x:f>IFERROR(INDEX(Items!$X$6:$X$1005,MATCH(A704,Items!$A$6:$A$1005,0)),"MISSING ID")</x:f>
        <x:v>Energy storage</x:v>
      </x:c>
      <x:c r="D704" s="4" t="str">
        <x:f>IFERROR(INDEX(Items!$C$6:$C$1005,MATCH(A704,Items!$A$6:$A$1005,0)),"MISSING ID")</x:f>
        <x:v>Not applicable</x:v>
      </x:c>
      <x:c r="E704" s="4" t="str">
        <x:v>Recovery</x:v>
      </x:c>
      <x:c r="F704" s="14" t="n">
        <x:f>IFERROR(INDEX(Items!$AJ$6:$AJ$1005,MATCH(A704,Items!$A$6:$A$1005,0)),"MISSING ID")</x:f>
        <x:v>0</x:v>
      </x:c>
      <x:c r="G704" s="4" t="str">
        <x:v>Source, recovery or issue route applies</x:v>
      </x:c>
      <x:c r="H704" s="4" t="str">
        <x:v>Not a selected manufacturing route</x:v>
      </x:c>
      <x:c r="I704" s="4" t="str">
        <x:v>Recovery only</x:v>
      </x:c>
      <x:c r="J704" s="4" t="str">
        <x:v>Recover and assess a compatible item. No manufacturing route or guaranteed working function.</x:v>
      </x:c>
    </x:row>
    <x:row r="705" ht="115" customHeight="1">
      <x:c r="A705" s="4" t="str">
        <x:v>proposal.collection.radio_contact_service_kit</x:v>
      </x:c>
      <x:c r="B705" s="4" t="str">
        <x:f>IFERROR(INDEX(Items!$B$6:$B$1005,MATCH(A705,Items!$A$6:$A$1005,0)),"MISSING ID")</x:f>
        <x:v>Radio contact service kit</x:v>
      </x:c>
      <x:c r="C705" s="4" t="str">
        <x:f>IFERROR(INDEX(Items!$X$6:$X$1005,MATCH(A705,Items!$A$6:$A$1005,0)),"MISSING ID")</x:f>
        <x:v>Service kit</x:v>
      </x:c>
      <x:c r="D705" s="4" t="str">
        <x:f>IFERROR(INDEX(Items!$C$6:$C$1005,MATCH(A705,Items!$A$6:$A$1005,0)),"MISSING ID")</x:f>
        <x:v>Not applicable</x:v>
      </x:c>
      <x:c r="E705" s="4" t="str">
        <x:v>Finished endpoint</x:v>
      </x:c>
      <x:c r="F705" s="14" t="n">
        <x:f>IFERROR(INDEX(Items!$AJ$6:$AJ$1005,MATCH(A705,Items!$A$6:$A$1005,0)),"MISSING ID")</x:f>
        <x:v>1</x:v>
      </x:c>
      <x:c r="G705" s="4" t="str">
        <x:v>Traced to cataloged T0 and/or recovered feeds</x:v>
      </x:c>
      <x:c r="H705" s="4" t="str">
        <x:v>Forge hearth, Anvil, Forging hammer, Smithing tongs, Metalworking file and Hand-cranked metal drill as applicable. Existing workshop bootstrap and controlled heating/cooling required; no free-water quench assumed.</x:v>
      </x:c>
      <x:c r="I705" s="4" t="str">
        <x:v>Candidate path traced</x:v>
      </x:c>
      <x:c r="J705" s="4" t="str">
        <x:v>Dimensions, grade, process qualification, quantity and yield remain open.</x:v>
      </x:c>
    </x:row>
    <x:row r="706" ht="115" customHeight="1">
      <x:c r="A706" s="4"/>
      <x:c r="B706" s="4"/>
      <x:c r="C706" s="4"/>
      <x:c r="D706" s="4"/>
      <x:c r="E706" s="4"/>
      <x:c r="F706" s="14"/>
      <x:c r="G706" s="4"/>
      <x:c r="H706" s="4"/>
      <x:c r="I706" s="4"/>
      <x:c r="J706" s="4"/>
    </x:row>
    <x:row r="707" ht="115" customHeight="1">
      <x:c r="A707" s="4" t="str">
        <x:v>proposal.collection.dirtboard_running_gear_kit</x:v>
      </x:c>
      <x:c r="B707" s="4" t="str">
        <x:f>IFERROR(INDEX(Items!$B$6:$B$1005,MATCH(A707,Items!$A$6:$A$1005,0)),"MISSING ID")</x:f>
        <x:v>Dirtboard running-gear kit</x:v>
      </x:c>
      <x:c r="C707" s="4" t="str">
        <x:f>IFERROR(INDEX(Items!$X$6:$X$1005,MATCH(A707,Items!$A$6:$A$1005,0)),"MISSING ID")</x:f>
        <x:v>Service kit</x:v>
      </x:c>
      <x:c r="D707" s="4" t="str">
        <x:f>IFERROR(INDEX(Items!$C$6:$C$1005,MATCH(A707,Items!$A$6:$A$1005,0)),"MISSING ID")</x:f>
        <x:v>Not applicable</x:v>
      </x:c>
      <x:c r="E707" s="4" t="str">
        <x:v>Finished endpoint</x:v>
      </x:c>
      <x:c r="F707" s="14" t="n">
        <x:f>IFERROR(INDEX(Items!$AJ$6:$AJ$1005,MATCH(A707,Items!$A$6:$A$1005,0)),"MISSING ID")</x:f>
        <x:v>1</x:v>
      </x:c>
      <x:c r="G707" s="4" t="str">
        <x:v>Traced to cataloged T0 and/or recovered feeds</x:v>
      </x:c>
      <x:c r="H707" s="4" t="str">
        <x:v>Forge hearth, Anvil, Forging hammer, Smithing tongs, Metalworking file and Hand-cranked metal drill as applicable. Existing workshop bootstrap and controlled heating/cooling required; no free-water quench assumed.</x:v>
      </x:c>
      <x:c r="I707" s="4" t="str">
        <x:v>Candidate path traced</x:v>
      </x:c>
      <x:c r="J707" s="4" t="str">
        <x:v>Dimensions, grade, process qualification, quantity and yield remain open.</x:v>
      </x:c>
    </x:row>
    <x:row r="708" ht="115" customHeight="1">
      <x:c r="A708" s="4"/>
      <x:c r="B708" s="4"/>
      <x:c r="C708" s="4"/>
      <x:c r="D708" s="4"/>
      <x:c r="E708" s="4"/>
      <x:c r="F708" s="14"/>
      <x:c r="G708" s="4"/>
      <x:c r="H708" s="4"/>
      <x:c r="I708" s="4"/>
      <x:c r="J708" s="4"/>
    </x:row>
    <x:row r="709" ht="115" customHeight="1">
      <x:c r="A709" s="4"/>
      <x:c r="B709" s="4"/>
      <x:c r="C709" s="4"/>
      <x:c r="D709" s="4"/>
      <x:c r="E709" s="4"/>
      <x:c r="F709" s="14"/>
      <x:c r="G709" s="4"/>
      <x:c r="H709" s="4"/>
      <x:c r="I709" s="4"/>
      <x:c r="J709" s="4"/>
    </x:row>
    <x:row r="710" ht="115" customHeight="1">
      <x:c r="A710" s="4"/>
      <x:c r="B710" s="4"/>
      <x:c r="C710" s="4"/>
      <x:c r="D710" s="4"/>
      <x:c r="E710" s="4"/>
      <x:c r="F710" s="14"/>
      <x:c r="G710" s="4"/>
      <x:c r="H710" s="4"/>
      <x:c r="I710" s="4"/>
      <x:c r="J710" s="4"/>
    </x:row>
    <x:row r="711" ht="115" customHeight="1">
      <x:c r="A711" s="4" t="str">
        <x:v>proposal.collection.iron_mark</x:v>
      </x:c>
      <x:c r="B711" s="4" t="str">
        <x:f>IFERROR(INDEX(Items!$B$6:$B$1005,MATCH(A711,Items!$A$6:$A$1005,0)),"MISSING ID")</x:f>
        <x:v>Iron mark</x:v>
      </x:c>
      <x:c r="C711" s="4" t="str">
        <x:f>IFERROR(INDEX(Items!$X$6:$X$1005,MATCH(A711,Items!$A$6:$A$1005,0)),"MISSING ID")</x:f>
        <x:v>Currency</x:v>
      </x:c>
      <x:c r="D711" s="4" t="str">
        <x:f>IFERROR(INDEX(Items!$C$6:$C$1005,MATCH(A711,Items!$A$6:$A$1005,0)),"MISSING ID")</x:f>
        <x:v>Not applicable</x:v>
      </x:c>
      <x:c r="E711" s="4" t="str">
        <x:v>Currency</x:v>
      </x:c>
      <x:c r="F711" s="14" t="n">
        <x:f>IFERROR(INDEX(Items!$AJ$6:$AJ$1005,MATCH(A711,Items!$A$6:$A$1005,0)),"MISSING ID")</x:f>
        <x:v>0</x:v>
      </x:c>
      <x:c r="G711" s="4" t="str">
        <x:v>Source, recovery or issue route applies</x:v>
      </x:c>
      <x:c r="H711" s="4" t="str">
        <x:v>Not a selected manufacturing route</x:v>
      </x:c>
      <x:c r="I711" s="4" t="str">
        <x:v>Issuer-controlled</x:v>
      </x:c>
      <x:c r="J711" s="4" t="str">
        <x:v>Issuance, exchange and craft grades unresolved; no player minting route.</x:v>
      </x:c>
    </x:row>
    <x:row r="712" ht="115" customHeight="1">
      <x:c r="A712" s="4" t="str">
        <x:v>proposal.collection.steel_mark</x:v>
      </x:c>
      <x:c r="B712" s="4" t="str">
        <x:f>IFERROR(INDEX(Items!$B$6:$B$1005,MATCH(A712,Items!$A$6:$A$1005,0)),"MISSING ID")</x:f>
        <x:v>Steel mark</x:v>
      </x:c>
      <x:c r="C712" s="4" t="str">
        <x:f>IFERROR(INDEX(Items!$X$6:$X$1005,MATCH(A712,Items!$A$6:$A$1005,0)),"MISSING ID")</x:f>
        <x:v>Currency</x:v>
      </x:c>
      <x:c r="D712" s="4" t="str">
        <x:f>IFERROR(INDEX(Items!$C$6:$C$1005,MATCH(A712,Items!$A$6:$A$1005,0)),"MISSING ID")</x:f>
        <x:v>Not applicable</x:v>
      </x:c>
      <x:c r="E712" s="4" t="str">
        <x:v>Currency</x:v>
      </x:c>
      <x:c r="F712" s="14" t="n">
        <x:f>IFERROR(INDEX(Items!$AJ$6:$AJ$1005,MATCH(A712,Items!$A$6:$A$1005,0)),"MISSING ID")</x:f>
        <x:v>0</x:v>
      </x:c>
      <x:c r="G712" s="4" t="str">
        <x:v>Source, recovery or issue route applies</x:v>
      </x:c>
      <x:c r="H712" s="4" t="str">
        <x:v>Not a selected manufacturing route</x:v>
      </x:c>
      <x:c r="I712" s="4" t="str">
        <x:v>Issuer-controlled</x:v>
      </x:c>
      <x:c r="J712" s="4" t="str">
        <x:v>Issuance, exchange and craft grades unresolved; no player minting route.</x:v>
      </x:c>
    </x:row>
    <x:row r="713" ht="115" customHeight="1">
      <x:c r="A713" s="4" t="str">
        <x:v>proposal.collection.ceramic_mark</x:v>
      </x:c>
      <x:c r="B713" s="4" t="str">
        <x:f>IFERROR(INDEX(Items!$B$6:$B$1005,MATCH(A713,Items!$A$6:$A$1005,0)),"MISSING ID")</x:f>
        <x:v>Ceramic mark</x:v>
      </x:c>
      <x:c r="C713" s="4" t="str">
        <x:f>IFERROR(INDEX(Items!$X$6:$X$1005,MATCH(A713,Items!$A$6:$A$1005,0)),"MISSING ID")</x:f>
        <x:v>Currency</x:v>
      </x:c>
      <x:c r="D713" s="4" t="str">
        <x:f>IFERROR(INDEX(Items!$C$6:$C$1005,MATCH(A713,Items!$A$6:$A$1005,0)),"MISSING ID")</x:f>
        <x:v>Not applicable</x:v>
      </x:c>
      <x:c r="E713" s="4" t="str">
        <x:v>Currency</x:v>
      </x:c>
      <x:c r="F713" s="14" t="n">
        <x:f>IFERROR(INDEX(Items!$AJ$6:$AJ$1005,MATCH(A713,Items!$A$6:$A$1005,0)),"MISSING ID")</x:f>
        <x:v>0</x:v>
      </x:c>
      <x:c r="G713" s="4" t="str">
        <x:v>Source, recovery or issue route applies</x:v>
      </x:c>
      <x:c r="H713" s="4" t="str">
        <x:v>Not a selected manufacturing route</x:v>
      </x:c>
      <x:c r="I713" s="4" t="str">
        <x:v>Issuer-controlled</x:v>
      </x:c>
      <x:c r="J713" s="4" t="str">
        <x:v>Issuance, exchange and craft grades unresolved; no player minting route.</x:v>
      </x:c>
    </x:row>
    <x:row r="714" ht="115" customHeight="1">
      <x:c r="A714" s="4" t="str">
        <x:v>proposal.collection.glass_mark</x:v>
      </x:c>
      <x:c r="B714" s="4" t="str">
        <x:f>IFERROR(INDEX(Items!$B$6:$B$1005,MATCH(A714,Items!$A$6:$A$1005,0)),"MISSING ID")</x:f>
        <x:v>Glass mark</x:v>
      </x:c>
      <x:c r="C714" s="4" t="str">
        <x:f>IFERROR(INDEX(Items!$X$6:$X$1005,MATCH(A714,Items!$A$6:$A$1005,0)),"MISSING ID")</x:f>
        <x:v>Currency</x:v>
      </x:c>
      <x:c r="D714" s="4" t="str">
        <x:f>IFERROR(INDEX(Items!$C$6:$C$1005,MATCH(A714,Items!$A$6:$A$1005,0)),"MISSING ID")</x:f>
        <x:v>Not applicable</x:v>
      </x:c>
      <x:c r="E714" s="4" t="str">
        <x:v>Currency</x:v>
      </x:c>
      <x:c r="F714" s="14" t="n">
        <x:f>IFERROR(INDEX(Items!$AJ$6:$AJ$1005,MATCH(A714,Items!$A$6:$A$1005,0)),"MISSING ID")</x:f>
        <x:v>0</x:v>
      </x:c>
      <x:c r="G714" s="4" t="str">
        <x:v>Source, recovery or issue route applies</x:v>
      </x:c>
      <x:c r="H714" s="4" t="str">
        <x:v>Not a selected manufacturing route</x:v>
      </x:c>
      <x:c r="I714" s="4" t="str">
        <x:v>Issuer-controlled</x:v>
      </x:c>
      <x:c r="J714" s="4" t="str">
        <x:v>Issuance, exchange and craft grades unresolved; no player minting route.</x:v>
      </x:c>
    </x:row>
    <x:row r="715" ht="115" customHeight="1">
      <x:c r="A715" s="4" t="str">
        <x:v>proposal.collection.hide_headed_shell_drum</x:v>
      </x:c>
      <x:c r="B715" s="4" t="str">
        <x:f>IFERROR(INDEX(Items!$B$6:$B$1005,MATCH(A715,Items!$A$6:$A$1005,0)),"MISSING ID")</x:f>
        <x:v>Hide-headed shell drum</x:v>
      </x:c>
      <x:c r="C715" s="4" t="str">
        <x:f>IFERROR(INDEX(Items!$X$6:$X$1005,MATCH(A715,Items!$A$6:$A$1005,0)),"MISSING ID")</x:f>
        <x:v>Musical instrument</x:v>
      </x:c>
      <x:c r="D715" s="4" t="str">
        <x:f>IFERROR(INDEX(Items!$C$6:$C$1005,MATCH(A715,Items!$A$6:$A$1005,0)),"MISSING ID")</x:f>
        <x:v>Not applicable</x:v>
      </x:c>
      <x:c r="E715" s="4" t="str">
        <x:v>Finished endpoint</x:v>
      </x:c>
      <x:c r="F715" s="14" t="n">
        <x:f>IFERROR(INDEX(Items!$AJ$6:$AJ$1005,MATCH(A715,Items!$A$6:$A$1005,0)),"MISSING ID")</x:f>
        <x:v>1</x:v>
      </x:c>
      <x:c r="G715" s="4" t="str">
        <x:v>Traced to cataloged T0 and/or recovered feeds</x:v>
      </x:c>
      <x:c r="H715" s="4" t="str">
        <x:v>Metalworking file and assembly/tuning fixtures; tension jigs and shears for listed biological membranes; controlled kiln for ceramic forms. No wood or ordinary cloth.</x:v>
      </x:c>
      <x:c r="I715" s="4" t="str">
        <x:v>Candidate path traced</x:v>
      </x:c>
      <x:c r="J715" s="4" t="str">
        <x:v>Dimensions, grade, process qualification, quantity and yield remain open.</x:v>
      </x:c>
    </x:row>
    <x:row r="716" ht="115" customHeight="1">
      <x:c r="A716" s="4" t="str">
        <x:v>proposal.collection.double_headed_metal_drum</x:v>
      </x:c>
      <x:c r="B716" s="4" t="str">
        <x:f>IFERROR(INDEX(Items!$B$6:$B$1005,MATCH(A716,Items!$A$6:$A$1005,0)),"MISSING ID")</x:f>
        <x:v>Double-headed metal drum</x:v>
      </x:c>
      <x:c r="C716" s="4" t="str">
        <x:f>IFERROR(INDEX(Items!$X$6:$X$1005,MATCH(A716,Items!$A$6:$A$1005,0)),"MISSING ID")</x:f>
        <x:v>Musical instrument</x:v>
      </x:c>
      <x:c r="D716" s="4" t="str">
        <x:f>IFERROR(INDEX(Items!$C$6:$C$1005,MATCH(A716,Items!$A$6:$A$1005,0)),"MISSING ID")</x:f>
        <x:v>Not applicable</x:v>
      </x:c>
      <x:c r="E716" s="4" t="str">
        <x:v>Finished endpoint</x:v>
      </x:c>
      <x:c r="F716" s="14" t="n">
        <x:f>IFERROR(INDEX(Items!$AJ$6:$AJ$1005,MATCH(A716,Items!$A$6:$A$1005,0)),"MISSING ID")</x:f>
        <x:v>1</x:v>
      </x:c>
      <x:c r="G716" s="4" t="str">
        <x:v>Traced to cataloged T0 and/or recovered feeds</x:v>
      </x:c>
      <x:c r="H716" s="4" t="str">
        <x:v>Metalworking file and assembly/tuning fixtures; tension jigs and shears for listed biological membranes; controlled kiln for ceramic forms. No wood or ordinary cloth.</x:v>
      </x:c>
      <x:c r="I716" s="4" t="str">
        <x:v>Candidate path traced</x:v>
      </x:c>
      <x:c r="J716" s="4" t="str">
        <x:v>Dimensions, grade, process qualification, quantity and yield remain open.</x:v>
      </x:c>
    </x:row>
    <x:row r="717" ht="115" customHeight="1">
      <x:c r="A717" s="4" t="str">
        <x:v>proposal.collection.slit_shell_drum</x:v>
      </x:c>
      <x:c r="B717" s="4" t="str">
        <x:f>IFERROR(INDEX(Items!$B$6:$B$1005,MATCH(A717,Items!$A$6:$A$1005,0)),"MISSING ID")</x:f>
        <x:v>Slit shell drum</x:v>
      </x:c>
      <x:c r="C717" s="4" t="str">
        <x:f>IFERROR(INDEX(Items!$X$6:$X$1005,MATCH(A717,Items!$A$6:$A$1005,0)),"MISSING ID")</x:f>
        <x:v>Musical instrument</x:v>
      </x:c>
      <x:c r="D717" s="4" t="str">
        <x:f>IFERROR(INDEX(Items!$C$6:$C$1005,MATCH(A717,Items!$A$6:$A$1005,0)),"MISSING ID")</x:f>
        <x:v>Not applicable</x:v>
      </x:c>
      <x:c r="E717" s="4" t="str">
        <x:v>Finished endpoint</x:v>
      </x:c>
      <x:c r="F717" s="14" t="n">
        <x:f>IFERROR(INDEX(Items!$AJ$6:$AJ$1005,MATCH(A717,Items!$A$6:$A$1005,0)),"MISSING ID")</x:f>
        <x:v>1</x:v>
      </x:c>
      <x:c r="G717" s="4" t="str">
        <x:v>Traced to cataloged T0 and/or recovered feeds</x:v>
      </x:c>
      <x:c r="H717" s="4" t="str">
        <x:v>Metalworking file and assembly/tuning fixtures; tension jigs and shears for listed biological membranes; controlled kiln for ceramic forms. No wood or ordinary cloth.</x:v>
      </x:c>
      <x:c r="I717" s="4" t="str">
        <x:v>Candidate path traced</x:v>
      </x:c>
      <x:c r="J717" s="4" t="str">
        <x:v>Dimensions, grade, process qualification, quantity and yield remain open.</x:v>
      </x:c>
    </x:row>
    <x:row r="718" ht="115" customHeight="1">
      <x:c r="A718" s="4" t="str">
        <x:v>proposal.collection.metal_frame_drum</x:v>
      </x:c>
      <x:c r="B718" s="4" t="str">
        <x:f>IFERROR(INDEX(Items!$B$6:$B$1005,MATCH(A718,Items!$A$6:$A$1005,0)),"MISSING ID")</x:f>
        <x:v>Metal frame drum</x:v>
      </x:c>
      <x:c r="C718" s="4" t="str">
        <x:f>IFERROR(INDEX(Items!$X$6:$X$1005,MATCH(A718,Items!$A$6:$A$1005,0)),"MISSING ID")</x:f>
        <x:v>Musical instrument</x:v>
      </x:c>
      <x:c r="D718" s="4" t="str">
        <x:f>IFERROR(INDEX(Items!$C$6:$C$1005,MATCH(A718,Items!$A$6:$A$1005,0)),"MISSING ID")</x:f>
        <x:v>Not applicable</x:v>
      </x:c>
      <x:c r="E718" s="4" t="str">
        <x:v>Finished endpoint</x:v>
      </x:c>
      <x:c r="F718" s="14" t="n">
        <x:f>IFERROR(INDEX(Items!$AJ$6:$AJ$1005,MATCH(A718,Items!$A$6:$A$1005,0)),"MISSING ID")</x:f>
        <x:v>1</x:v>
      </x:c>
      <x:c r="G718" s="4" t="str">
        <x:v>Traced to cataloged T0 and/or recovered feeds</x:v>
      </x:c>
      <x:c r="H718" s="4" t="str">
        <x:v>Metalworking file and assembly/tuning fixtures; tension jigs and shears for listed biological membranes; controlled kiln for ceramic forms. No wood or ordinary cloth.</x:v>
      </x:c>
      <x:c r="I718" s="4" t="str">
        <x:v>Candidate path traced</x:v>
      </x:c>
      <x:c r="J718" s="4" t="str">
        <x:v>Dimensions, grade, process qualification, quantity and yield remain open.</x:v>
      </x:c>
    </x:row>
    <x:row r="719" ht="115" customHeight="1">
      <x:c r="A719" s="4" t="str">
        <x:v>proposal.collection.shell_clapper_pair</x:v>
      </x:c>
      <x:c r="B719" s="4" t="str">
        <x:f>IFERROR(INDEX(Items!$B$6:$B$1005,MATCH(A719,Items!$A$6:$A$1005,0)),"MISSING ID")</x:f>
        <x:v>Shell-clapper pair</x:v>
      </x:c>
      <x:c r="C719" s="4" t="str">
        <x:f>IFERROR(INDEX(Items!$X$6:$X$1005,MATCH(A719,Items!$A$6:$A$1005,0)),"MISSING ID")</x:f>
        <x:v>Musical instrument</x:v>
      </x:c>
      <x:c r="D719" s="4" t="str">
        <x:f>IFERROR(INDEX(Items!$C$6:$C$1005,MATCH(A719,Items!$A$6:$A$1005,0)),"MISSING ID")</x:f>
        <x:v>Not applicable</x:v>
      </x:c>
      <x:c r="E719" s="4" t="str">
        <x:v>Finished endpoint</x:v>
      </x:c>
      <x:c r="F719" s="14" t="n">
        <x:f>IFERROR(INDEX(Items!$AJ$6:$AJ$1005,MATCH(A719,Items!$A$6:$A$1005,0)),"MISSING ID")</x:f>
        <x:v>1</x:v>
      </x:c>
      <x:c r="G719" s="4" t="str">
        <x:v>Traced to cataloged T0 and/or recovered feeds</x:v>
      </x:c>
      <x:c r="H719" s="4" t="str">
        <x:v>Metalworking file and assembly/tuning fixtures; tension jigs and shears for listed biological membranes; controlled kiln for ceramic forms. No wood or ordinary cloth.</x:v>
      </x:c>
      <x:c r="I719" s="4" t="str">
        <x:v>Candidate path traced</x:v>
      </x:c>
      <x:c r="J719" s="4" t="str">
        <x:v>Dimensions, grade, process qualification, quantity and yield remain open.</x:v>
      </x:c>
    </x:row>
    <x:row r="720" ht="115" customHeight="1">
      <x:c r="A720" s="4" t="str">
        <x:v>proposal.collection.bronze_hand_bell</x:v>
      </x:c>
      <x:c r="B720" s="4" t="str">
        <x:f>IFERROR(INDEX(Items!$B$6:$B$1005,MATCH(A720,Items!$A$6:$A$1005,0)),"MISSING ID")</x:f>
        <x:v>Bronze hand bell</x:v>
      </x:c>
      <x:c r="C720" s="4" t="str">
        <x:f>IFERROR(INDEX(Items!$X$6:$X$1005,MATCH(A720,Items!$A$6:$A$1005,0)),"MISSING ID")</x:f>
        <x:v>Musical instrument</x:v>
      </x:c>
      <x:c r="D720" s="4" t="str">
        <x:f>IFERROR(INDEX(Items!$C$6:$C$1005,MATCH(A720,Items!$A$6:$A$1005,0)),"MISSING ID")</x:f>
        <x:v>Not applicable</x:v>
      </x:c>
      <x:c r="E720" s="4" t="str">
        <x:v>Finished endpoint</x:v>
      </x:c>
      <x:c r="F720" s="14" t="n">
        <x:f>IFERROR(INDEX(Items!$AJ$6:$AJ$1005,MATCH(A720,Items!$A$6:$A$1005,0)),"MISSING ID")</x:f>
        <x:v>1</x:v>
      </x:c>
      <x:c r="G720" s="4" t="str">
        <x:v>Traced to cataloged T0 and/or recovered feeds</x:v>
      </x:c>
      <x:c r="H720" s="4" t="str">
        <x:v>Metalworking file and assembly/tuning fixtures; tension jigs and shears for listed biological membranes; controlled kiln for ceramic forms. No wood or ordinary cloth.</x:v>
      </x:c>
      <x:c r="I720" s="4" t="str">
        <x:v>Candidate path traced</x:v>
      </x:c>
      <x:c r="J720" s="4" t="str">
        <x:v>Dimensions, grade, process qualification, quantity and yield remain open.</x:v>
      </x:c>
    </x:row>
    <x:row r="721" ht="115" customHeight="1">
      <x:c r="A721" s="4" t="str">
        <x:v>proposal.collection.iron_cup_bell_chime</x:v>
      </x:c>
      <x:c r="B721" s="4" t="str">
        <x:f>IFERROR(INDEX(Items!$B$6:$B$1005,MATCH(A721,Items!$A$6:$A$1005,0)),"MISSING ID")</x:f>
        <x:v>Iron cup-bell chime</x:v>
      </x:c>
      <x:c r="C721" s="4" t="str">
        <x:f>IFERROR(INDEX(Items!$X$6:$X$1005,MATCH(A721,Items!$A$6:$A$1005,0)),"MISSING ID")</x:f>
        <x:v>Musical instrument</x:v>
      </x:c>
      <x:c r="D721" s="4" t="str">
        <x:f>IFERROR(INDEX(Items!$C$6:$C$1005,MATCH(A721,Items!$A$6:$A$1005,0)),"MISSING ID")</x:f>
        <x:v>Not applicable</x:v>
      </x:c>
      <x:c r="E721" s="4" t="str">
        <x:v>Finished endpoint</x:v>
      </x:c>
      <x:c r="F721" s="14" t="n">
        <x:f>IFERROR(INDEX(Items!$AJ$6:$AJ$1005,MATCH(A721,Items!$A$6:$A$1005,0)),"MISSING ID")</x:f>
        <x:v>1</x:v>
      </x:c>
      <x:c r="G721" s="4" t="str">
        <x:v>Traced to cataloged T0 and/or recovered feeds</x:v>
      </x:c>
      <x:c r="H721" s="4" t="str">
        <x:v>Metalworking file and assembly/tuning fixtures; tension jigs and shears for listed biological membranes; controlled kiln for ceramic forms. No wood or ordinary cloth.</x:v>
      </x:c>
      <x:c r="I721" s="4" t="str">
        <x:v>Candidate path traced</x:v>
      </x:c>
      <x:c r="J721" s="4" t="str">
        <x:v>Dimensions, grade, process qualification, quantity and yield remain open.</x:v>
      </x:c>
    </x:row>
    <x:row r="722" ht="115" customHeight="1">
      <x:c r="A722" s="4" t="str">
        <x:v>proposal.collection.stone_bar_resonator</x:v>
      </x:c>
      <x:c r="B722" s="4" t="str">
        <x:f>IFERROR(INDEX(Items!$B$6:$B$1005,MATCH(A722,Items!$A$6:$A$1005,0)),"MISSING ID")</x:f>
        <x:v>Stone-bar resonator</x:v>
      </x:c>
      <x:c r="C722" s="4" t="str">
        <x:f>IFERROR(INDEX(Items!$X$6:$X$1005,MATCH(A722,Items!$A$6:$A$1005,0)),"MISSING ID")</x:f>
        <x:v>Musical instrument</x:v>
      </x:c>
      <x:c r="D722" s="4" t="str">
        <x:f>IFERROR(INDEX(Items!$C$6:$C$1005,MATCH(A722,Items!$A$6:$A$1005,0)),"MISSING ID")</x:f>
        <x:v>Not applicable</x:v>
      </x:c>
      <x:c r="E722" s="4" t="str">
        <x:v>Finished endpoint</x:v>
      </x:c>
      <x:c r="F722" s="14" t="n">
        <x:f>IFERROR(INDEX(Items!$AJ$6:$AJ$1005,MATCH(A722,Items!$A$6:$A$1005,0)),"MISSING ID")</x:f>
        <x:v>1</x:v>
      </x:c>
      <x:c r="G722" s="4" t="str">
        <x:v>Traced to cataloged T0 and/or recovered feeds</x:v>
      </x:c>
      <x:c r="H722" s="4" t="str">
        <x:v>Metalworking file and assembly/tuning fixtures; tension jigs and shears for listed biological membranes; controlled kiln for ceramic forms. No wood or ordinary cloth.</x:v>
      </x:c>
      <x:c r="I722" s="4" t="str">
        <x:v>Candidate path traced</x:v>
      </x:c>
      <x:c r="J722" s="4" t="str">
        <x:v>Dimensions, grade, process qualification, quantity and yield remain open.</x:v>
      </x:c>
    </x:row>
    <x:row r="723" ht="115" customHeight="1">
      <x:c r="A723" s="4" t="str">
        <x:v>proposal.collection.steel_tongue_drum</x:v>
      </x:c>
      <x:c r="B723" s="4" t="str">
        <x:f>IFERROR(INDEX(Items!$B$6:$B$1005,MATCH(A723,Items!$A$6:$A$1005,0)),"MISSING ID")</x:f>
        <x:v>Steel tongue drum</x:v>
      </x:c>
      <x:c r="C723" s="4" t="str">
        <x:f>IFERROR(INDEX(Items!$X$6:$X$1005,MATCH(A723,Items!$A$6:$A$1005,0)),"MISSING ID")</x:f>
        <x:v>Musical instrument</x:v>
      </x:c>
      <x:c r="D723" s="4" t="str">
        <x:f>IFERROR(INDEX(Items!$C$6:$C$1005,MATCH(A723,Items!$A$6:$A$1005,0)),"MISSING ID")</x:f>
        <x:v>Not applicable</x:v>
      </x:c>
      <x:c r="E723" s="4" t="str">
        <x:v>Finished endpoint</x:v>
      </x:c>
      <x:c r="F723" s="14" t="n">
        <x:f>IFERROR(INDEX(Items!$AJ$6:$AJ$1005,MATCH(A723,Items!$A$6:$A$1005,0)),"MISSING ID")</x:f>
        <x:v>1</x:v>
      </x:c>
      <x:c r="G723" s="4" t="str">
        <x:v>Traced to cataloged T0 and/or recovered feeds</x:v>
      </x:c>
      <x:c r="H723" s="4" t="str">
        <x:v>Metalworking file and assembly/tuning fixtures; tension jigs and shears for listed biological membranes; controlled kiln for ceramic forms. No wood or ordinary cloth.</x:v>
      </x:c>
      <x:c r="I723" s="4" t="str">
        <x:v>Candidate path traced</x:v>
      </x:c>
      <x:c r="J723" s="4" t="str">
        <x:v>Dimensions, grade, process qualification, quantity and yield remain open.</x:v>
      </x:c>
    </x:row>
    <x:row r="724" ht="115" customHeight="1">
      <x:c r="A724" s="4" t="str">
        <x:v>proposal.collection.metal_transverse_flute</x:v>
      </x:c>
      <x:c r="B724" s="4" t="str">
        <x:f>IFERROR(INDEX(Items!$B$6:$B$1005,MATCH(A724,Items!$A$6:$A$1005,0)),"MISSING ID")</x:f>
        <x:v>Metal transverse flute</x:v>
      </x:c>
      <x:c r="C724" s="4" t="str">
        <x:f>IFERROR(INDEX(Items!$X$6:$X$1005,MATCH(A724,Items!$A$6:$A$1005,0)),"MISSING ID")</x:f>
        <x:v>Musical instrument</x:v>
      </x:c>
      <x:c r="D724" s="4" t="str">
        <x:f>IFERROR(INDEX(Items!$C$6:$C$1005,MATCH(A724,Items!$A$6:$A$1005,0)),"MISSING ID")</x:f>
        <x:v>Not applicable</x:v>
      </x:c>
      <x:c r="E724" s="4" t="str">
        <x:v>Finished endpoint</x:v>
      </x:c>
      <x:c r="F724" s="14" t="n">
        <x:f>IFERROR(INDEX(Items!$AJ$6:$AJ$1005,MATCH(A724,Items!$A$6:$A$1005,0)),"MISSING ID")</x:f>
        <x:v>1</x:v>
      </x:c>
      <x:c r="G724" s="4" t="str">
        <x:v>Traced to cataloged T0 and/or recovered feeds</x:v>
      </x:c>
      <x:c r="H724" s="4" t="str">
        <x:v>Metalworking file and assembly/tuning fixtures; tension jigs and shears for listed biological membranes; controlled kiln for ceramic forms. No wood or ordinary cloth.</x:v>
      </x:c>
      <x:c r="I724" s="4" t="str">
        <x:v>Candidate path traced</x:v>
      </x:c>
      <x:c r="J724" s="4" t="str">
        <x:v>Dimensions, grade, process qualification, quantity and yield remain open.</x:v>
      </x:c>
    </x:row>
    <x:row r="725" ht="115" customHeight="1">
      <x:c r="A725" s="4" t="str">
        <x:v>proposal.collection.ceramic_duct_flute</x:v>
      </x:c>
      <x:c r="B725" s="4" t="str">
        <x:f>IFERROR(INDEX(Items!$B$6:$B$1005,MATCH(A725,Items!$A$6:$A$1005,0)),"MISSING ID")</x:f>
        <x:v>Ceramic duct flute</x:v>
      </x:c>
      <x:c r="C725" s="4" t="str">
        <x:f>IFERROR(INDEX(Items!$X$6:$X$1005,MATCH(A725,Items!$A$6:$A$1005,0)),"MISSING ID")</x:f>
        <x:v>Musical instrument</x:v>
      </x:c>
      <x:c r="D725" s="4" t="str">
        <x:f>IFERROR(INDEX(Items!$C$6:$C$1005,MATCH(A725,Items!$A$6:$A$1005,0)),"MISSING ID")</x:f>
        <x:v>Not applicable</x:v>
      </x:c>
      <x:c r="E725" s="4" t="str">
        <x:v>Finished endpoint</x:v>
      </x:c>
      <x:c r="F725" s="14" t="n">
        <x:f>IFERROR(INDEX(Items!$AJ$6:$AJ$1005,MATCH(A725,Items!$A$6:$A$1005,0)),"MISSING ID")</x:f>
        <x:v>1</x:v>
      </x:c>
      <x:c r="G725" s="4" t="str">
        <x:v>Traced to cataloged T0 and/or recovered feeds</x:v>
      </x:c>
      <x:c r="H725" s="4" t="str">
        <x:v>Metalworking file and assembly/tuning fixtures; tension jigs and shears for listed biological membranes; controlled kiln for ceramic forms. No wood or ordinary cloth.</x:v>
      </x:c>
      <x:c r="I725" s="4" t="str">
        <x:v>Candidate path traced</x:v>
      </x:c>
      <x:c r="J725" s="4" t="str">
        <x:v>Dimensions, grade, process qualification, quantity and yield remain open.</x:v>
      </x:c>
    </x:row>
    <x:row r="726" ht="115" customHeight="1">
      <x:c r="A726" s="4" t="str">
        <x:v>proposal.collection.hollow_horn_flute</x:v>
      </x:c>
      <x:c r="B726" s="4" t="str">
        <x:f>IFERROR(INDEX(Items!$B$6:$B$1005,MATCH(A726,Items!$A$6:$A$1005,0)),"MISSING ID")</x:f>
        <x:v>Hollow-horn flute</x:v>
      </x:c>
      <x:c r="C726" s="4" t="str">
        <x:f>IFERROR(INDEX(Items!$X$6:$X$1005,MATCH(A726,Items!$A$6:$A$1005,0)),"MISSING ID")</x:f>
        <x:v>Musical instrument</x:v>
      </x:c>
      <x:c r="D726" s="4" t="str">
        <x:f>IFERROR(INDEX(Items!$C$6:$C$1005,MATCH(A726,Items!$A$6:$A$1005,0)),"MISSING ID")</x:f>
        <x:v>Not applicable</x:v>
      </x:c>
      <x:c r="E726" s="4" t="str">
        <x:v>Finished endpoint</x:v>
      </x:c>
      <x:c r="F726" s="14" t="n">
        <x:f>IFERROR(INDEX(Items!$AJ$6:$AJ$1005,MATCH(A726,Items!$A$6:$A$1005,0)),"MISSING ID")</x:f>
        <x:v>1</x:v>
      </x:c>
      <x:c r="G726" s="4" t="str">
        <x:v>Traced to cataloged T0 and/or recovered feeds</x:v>
      </x:c>
      <x:c r="H726" s="4" t="str">
        <x:v>Metalworking file and assembly/tuning fixtures; tension jigs and shears for listed biological membranes; controlled kiln for ceramic forms. No wood or ordinary cloth.</x:v>
      </x:c>
      <x:c r="I726" s="4" t="str">
        <x:v>Candidate path traced</x:v>
      </x:c>
      <x:c r="J726" s="4" t="str">
        <x:v>Dimensions, grade, process qualification, quantity and yield remain open.</x:v>
      </x:c>
    </x:row>
    <x:row r="727" ht="115" customHeight="1">
      <x:c r="A727" s="4" t="str">
        <x:v>proposal.collection.wing_rib_whistle</x:v>
      </x:c>
      <x:c r="B727" s="4" t="str">
        <x:f>IFERROR(INDEX(Items!$B$6:$B$1005,MATCH(A727,Items!$A$6:$A$1005,0)),"MISSING ID")</x:f>
        <x:v>Wing-rib whistle</x:v>
      </x:c>
      <x:c r="C727" s="4" t="str">
        <x:f>IFERROR(INDEX(Items!$X$6:$X$1005,MATCH(A727,Items!$A$6:$A$1005,0)),"MISSING ID")</x:f>
        <x:v>Musical instrument</x:v>
      </x:c>
      <x:c r="D727" s="4" t="str">
        <x:f>IFERROR(INDEX(Items!$C$6:$C$1005,MATCH(A727,Items!$A$6:$A$1005,0)),"MISSING ID")</x:f>
        <x:v>Not applicable</x:v>
      </x:c>
      <x:c r="E727" s="4" t="str">
        <x:v>Finished endpoint</x:v>
      </x:c>
      <x:c r="F727" s="14" t="n">
        <x:f>IFERROR(INDEX(Items!$AJ$6:$AJ$1005,MATCH(A727,Items!$A$6:$A$1005,0)),"MISSING ID")</x:f>
        <x:v>1</x:v>
      </x:c>
      <x:c r="G727" s="4" t="str">
        <x:v>Traced to cataloged T0 and/or recovered feeds</x:v>
      </x:c>
      <x:c r="H727" s="4" t="str">
        <x:v>Metalworking file and assembly/tuning fixtures; tension jigs and shears for listed biological membranes; controlled kiln for ceramic forms. No wood or ordinary cloth.</x:v>
      </x:c>
      <x:c r="I727" s="4" t="str">
        <x:v>Candidate path traced</x:v>
      </x:c>
      <x:c r="J727" s="4" t="str">
        <x:v>Dimensions, grade, process qualification, quantity and yield remain open.</x:v>
      </x:c>
    </x:row>
    <x:row r="728" ht="115" customHeight="1">
      <x:c r="A728" s="4" t="str">
        <x:v>proposal.collection.shell_chamber_ocarina</x:v>
      </x:c>
      <x:c r="B728" s="4" t="str">
        <x:f>IFERROR(INDEX(Items!$B$6:$B$1005,MATCH(A728,Items!$A$6:$A$1005,0)),"MISSING ID")</x:f>
        <x:v>Shell chamber ocarina</x:v>
      </x:c>
      <x:c r="C728" s="4" t="str">
        <x:f>IFERROR(INDEX(Items!$X$6:$X$1005,MATCH(A728,Items!$A$6:$A$1005,0)),"MISSING ID")</x:f>
        <x:v>Musical instrument</x:v>
      </x:c>
      <x:c r="D728" s="4" t="str">
        <x:f>IFERROR(INDEX(Items!$C$6:$C$1005,MATCH(A728,Items!$A$6:$A$1005,0)),"MISSING ID")</x:f>
        <x:v>Not applicable</x:v>
      </x:c>
      <x:c r="E728" s="4" t="str">
        <x:v>Finished endpoint</x:v>
      </x:c>
      <x:c r="F728" s="14" t="n">
        <x:f>IFERROR(INDEX(Items!$AJ$6:$AJ$1005,MATCH(A728,Items!$A$6:$A$1005,0)),"MISSING ID")</x:f>
        <x:v>1</x:v>
      </x:c>
      <x:c r="G728" s="4" t="str">
        <x:v>Traced to cataloged T0 and/or recovered feeds</x:v>
      </x:c>
      <x:c r="H728" s="4" t="str">
        <x:v>Metalworking file and assembly/tuning fixtures; tension jigs and shears for listed biological membranes; controlled kiln for ceramic forms. No wood or ordinary cloth.</x:v>
      </x:c>
      <x:c r="I728" s="4" t="str">
        <x:v>Candidate path traced</x:v>
      </x:c>
      <x:c r="J728" s="4" t="str">
        <x:v>Dimensions, grade, process qualification, quantity and yield remain open.</x:v>
      </x:c>
    </x:row>
    <x:row r="729" ht="115" customHeight="1">
      <x:c r="A729" s="4" t="str">
        <x:v>proposal.collection.bronze_lip_horn</x:v>
      </x:c>
      <x:c r="B729" s="4" t="str">
        <x:f>IFERROR(INDEX(Items!$B$6:$B$1005,MATCH(A729,Items!$A$6:$A$1005,0)),"MISSING ID")</x:f>
        <x:v>Bronze lip horn</x:v>
      </x:c>
      <x:c r="C729" s="4" t="str">
        <x:f>IFERROR(INDEX(Items!$X$6:$X$1005,MATCH(A729,Items!$A$6:$A$1005,0)),"MISSING ID")</x:f>
        <x:v>Musical instrument</x:v>
      </x:c>
      <x:c r="D729" s="4" t="str">
        <x:f>IFERROR(INDEX(Items!$C$6:$C$1005,MATCH(A729,Items!$A$6:$A$1005,0)),"MISSING ID")</x:f>
        <x:v>Not applicable</x:v>
      </x:c>
      <x:c r="E729" s="4" t="str">
        <x:v>Finished endpoint</x:v>
      </x:c>
      <x:c r="F729" s="14" t="n">
        <x:f>IFERROR(INDEX(Items!$AJ$6:$AJ$1005,MATCH(A729,Items!$A$6:$A$1005,0)),"MISSING ID")</x:f>
        <x:v>1</x:v>
      </x:c>
      <x:c r="G729" s="4" t="str">
        <x:v>Traced to cataloged T0 and/or recovered feeds</x:v>
      </x:c>
      <x:c r="H729" s="4" t="str">
        <x:v>Metalworking file and assembly/tuning fixtures; tension jigs and shears for listed biological membranes; controlled kiln for ceramic forms. No wood or ordinary cloth.</x:v>
      </x:c>
      <x:c r="I729" s="4" t="str">
        <x:v>Candidate path traced</x:v>
      </x:c>
      <x:c r="J729" s="4" t="str">
        <x:v>Dimensions, grade, process qualification, quantity and yield remain open.</x:v>
      </x:c>
    </x:row>
    <x:row r="730" ht="115" customHeight="1">
      <x:c r="A730" s="4" t="str">
        <x:v>proposal.collection.metal_free_reed_mouth_organ</x:v>
      </x:c>
      <x:c r="B730" s="4" t="str">
        <x:f>IFERROR(INDEX(Items!$B$6:$B$1005,MATCH(A730,Items!$A$6:$A$1005,0)),"MISSING ID")</x:f>
        <x:v>Metal free-reed mouth organ</x:v>
      </x:c>
      <x:c r="C730" s="4" t="str">
        <x:f>IFERROR(INDEX(Items!$X$6:$X$1005,MATCH(A730,Items!$A$6:$A$1005,0)),"MISSING ID")</x:f>
        <x:v>Musical instrument</x:v>
      </x:c>
      <x:c r="D730" s="4" t="str">
        <x:f>IFERROR(INDEX(Items!$C$6:$C$1005,MATCH(A730,Items!$A$6:$A$1005,0)),"MISSING ID")</x:f>
        <x:v>Not applicable</x:v>
      </x:c>
      <x:c r="E730" s="4" t="str">
        <x:v>Finished endpoint</x:v>
      </x:c>
      <x:c r="F730" s="14" t="n">
        <x:f>IFERROR(INDEX(Items!$AJ$6:$AJ$1005,MATCH(A730,Items!$A$6:$A$1005,0)),"MISSING ID")</x:f>
        <x:v>1</x:v>
      </x:c>
      <x:c r="G730" s="4" t="str">
        <x:v>Traced to cataloged T0 and/or recovered feeds</x:v>
      </x:c>
      <x:c r="H730" s="4" t="str">
        <x:v>Metalworking file and assembly/tuning fixtures; tension jigs and shears for listed biological membranes; controlled kiln for ceramic forms. No wood or ordinary cloth.</x:v>
      </x:c>
      <x:c r="I730" s="4" t="str">
        <x:v>Candidate path traced</x:v>
      </x:c>
      <x:c r="J730" s="4" t="str">
        <x:v>Dimensions, grade, process qualification, quantity and yield remain open.</x:v>
      </x:c>
    </x:row>
    <x:row r="731" ht="115" customHeight="1">
      <x:c r="A731" s="4" t="str">
        <x:v>proposal.collection.wire_strung_shell_lyre</x:v>
      </x:c>
      <x:c r="B731" s="4" t="str">
        <x:f>IFERROR(INDEX(Items!$B$6:$B$1005,MATCH(A731,Items!$A$6:$A$1005,0)),"MISSING ID")</x:f>
        <x:v>Wire-strung shell lyre</x:v>
      </x:c>
      <x:c r="C731" s="4" t="str">
        <x:f>IFERROR(INDEX(Items!$X$6:$X$1005,MATCH(A731,Items!$A$6:$A$1005,0)),"MISSING ID")</x:f>
        <x:v>Musical instrument</x:v>
      </x:c>
      <x:c r="D731" s="4" t="str">
        <x:f>IFERROR(INDEX(Items!$C$6:$C$1005,MATCH(A731,Items!$A$6:$A$1005,0)),"MISSING ID")</x:f>
        <x:v>Not applicable</x:v>
      </x:c>
      <x:c r="E731" s="4" t="str">
        <x:v>Finished endpoint</x:v>
      </x:c>
      <x:c r="F731" s="14" t="n">
        <x:f>IFERROR(INDEX(Items!$AJ$6:$AJ$1005,MATCH(A731,Items!$A$6:$A$1005,0)),"MISSING ID")</x:f>
        <x:v>1</x:v>
      </x:c>
      <x:c r="G731" s="4" t="str">
        <x:v>Traced to cataloged T0 and/or recovered feeds</x:v>
      </x:c>
      <x:c r="H731" s="4" t="str">
        <x:v>Metalworking file and assembly/tuning fixtures; tension jigs and shears for listed biological membranes; controlled kiln for ceramic forms. No wood or ordinary cloth.</x:v>
      </x:c>
      <x:c r="I731" s="4" t="str">
        <x:v>Candidate path traced</x:v>
      </x:c>
      <x:c r="J731" s="4" t="str">
        <x:v>Dimensions, grade, process qualification, quantity and yield remain open.</x:v>
      </x:c>
    </x:row>
    <x:row r="732" ht="115" customHeight="1">
      <x:c r="A732" s="4" t="str">
        <x:v>proposal.collection.tendon_strung_metal_zither</x:v>
      </x:c>
      <x:c r="B732" s="4" t="str">
        <x:f>IFERROR(INDEX(Items!$B$6:$B$1005,MATCH(A732,Items!$A$6:$A$1005,0)),"MISSING ID")</x:f>
        <x:v>Tendon-strung metal zither</x:v>
      </x:c>
      <x:c r="C732" s="4" t="str">
        <x:f>IFERROR(INDEX(Items!$X$6:$X$1005,MATCH(A732,Items!$A$6:$A$1005,0)),"MISSING ID")</x:f>
        <x:v>Musical instrument</x:v>
      </x:c>
      <x:c r="D732" s="4" t="str">
        <x:f>IFERROR(INDEX(Items!$C$6:$C$1005,MATCH(A732,Items!$A$6:$A$1005,0)),"MISSING ID")</x:f>
        <x:v>Not applicable</x:v>
      </x:c>
      <x:c r="E732" s="4" t="str">
        <x:v>Finished endpoint</x:v>
      </x:c>
      <x:c r="F732" s="14" t="n">
        <x:f>IFERROR(INDEX(Items!$AJ$6:$AJ$1005,MATCH(A732,Items!$A$6:$A$1005,0)),"MISSING ID")</x:f>
        <x:v>1</x:v>
      </x:c>
      <x:c r="G732" s="4" t="str">
        <x:v>Traced to cataloged T0 and/or recovered feeds</x:v>
      </x:c>
      <x:c r="H732" s="4" t="str">
        <x:v>Metalworking file and assembly/tuning fixtures; tension jigs and shears for listed biological membranes; controlled kiln for ceramic forms. No wood or ordinary cloth.</x:v>
      </x:c>
      <x:c r="I732" s="4" t="str">
        <x:v>Candidate path traced</x:v>
      </x:c>
      <x:c r="J732" s="4" t="str">
        <x:v>Dimensions, grade, process qualification, quantity and yield remain open.</x:v>
      </x:c>
    </x:row>
    <x:row r="733" ht="115" customHeight="1">
      <x:c r="A733" s="4" t="str">
        <x:v>proposal.collection.steel_jaw_harp</x:v>
      </x:c>
      <x:c r="B733" s="4" t="str">
        <x:f>IFERROR(INDEX(Items!$B$6:$B$1005,MATCH(A733,Items!$A$6:$A$1005,0)),"MISSING ID")</x:f>
        <x:v>Steel jaw harp</x:v>
      </x:c>
      <x:c r="C733" s="4" t="str">
        <x:f>IFERROR(INDEX(Items!$X$6:$X$1005,MATCH(A733,Items!$A$6:$A$1005,0)),"MISSING ID")</x:f>
        <x:v>Musical instrument</x:v>
      </x:c>
      <x:c r="D733" s="4" t="str">
        <x:f>IFERROR(INDEX(Items!$C$6:$C$1005,MATCH(A733,Items!$A$6:$A$1005,0)),"MISSING ID")</x:f>
        <x:v>Not applicable</x:v>
      </x:c>
      <x:c r="E733" s="4" t="str">
        <x:v>Finished endpoint</x:v>
      </x:c>
      <x:c r="F733" s="14" t="n">
        <x:f>IFERROR(INDEX(Items!$AJ$6:$AJ$1005,MATCH(A733,Items!$A$6:$A$1005,0)),"MISSING ID")</x:f>
        <x:v>1</x:v>
      </x:c>
      <x:c r="G733" s="4" t="str">
        <x:v>Traced to cataloged T0 and/or recovered feeds</x:v>
      </x:c>
      <x:c r="H733" s="4" t="str">
        <x:v>Metalworking file and assembly/tuning fixtures; tension jigs and shears for listed biological membranes; controlled kiln for ceramic forms. No wood or ordinary cloth.</x:v>
      </x:c>
      <x:c r="I733" s="4" t="str">
        <x:v>Candidate path traced</x:v>
      </x:c>
      <x:c r="J733" s="4" t="str">
        <x:v>Dimensions, grade, process qualification, quantity and yield remain open.</x:v>
      </x:c>
    </x:row>
    <x:row r="734" ht="115" customHeight="1">
      <x:c r="A734" s="4" t="str">
        <x:v>proposal.collection.folding_vertical_wing_shade</x:v>
      </x:c>
      <x:c r="B734" s="4" t="str">
        <x:f>IFERROR(INDEX(Items!$B$6:$B$1005,MATCH(A734,Items!$A$6:$A$1005,0)),"MISSING ID")</x:f>
        <x:v>Folding vertical wing shade</x:v>
      </x:c>
      <x:c r="C734" s="4" t="str">
        <x:f>IFERROR(INDEX(Items!$X$6:$X$1005,MATCH(A734,Items!$A$6:$A$1005,0)),"MISSING ID")</x:f>
        <x:v>Shelter item</x:v>
      </x:c>
      <x:c r="D734" s="4" t="str">
        <x:f>IFERROR(INDEX(Items!$C$6:$C$1005,MATCH(A734,Items!$A$6:$A$1005,0)),"MISSING ID")</x:f>
        <x:v>Not applicable</x:v>
      </x:c>
      <x:c r="E734" s="4" t="str">
        <x:v>Finished endpoint</x:v>
      </x:c>
      <x:c r="F734" s="14" t="n">
        <x:f>IFERROR(INDEX(Items!$AJ$6:$AJ$1005,MATCH(A734,Items!$A$6:$A$1005,0)),"MISSING ID")</x:f>
        <x:v>1</x:v>
      </x:c>
      <x:c r="G734" s="4" t="str">
        <x:v>Traced to cataloged T0 and/or recovered feeds</x:v>
      </x:c>
      <x:c r="H734" s="4" t="str">
        <x:v>Husk-sheet cutting shears, pressure fixtures and dedicated preparation surfaces. Very low hide/fur yield; no ordinary cloth or plant inputs.</x:v>
      </x:c>
      <x:c r="I734" s="4" t="str">
        <x:v>Candidate path traced</x:v>
      </x:c>
      <x:c r="J734" s="4" t="str">
        <x:v>Dimensions, grade, process qualification, quantity and yield remain open.</x:v>
      </x:c>
    </x:row>
    <x:row r="735" ht="115" customHeight="1">
      <x:c r="A735" s="4" t="str">
        <x:v>proposal.collection.low_wing_roof_panel</x:v>
      </x:c>
      <x:c r="B735" s="4" t="str">
        <x:f>IFERROR(INDEX(Items!$B$6:$B$1005,MATCH(A735,Items!$A$6:$A$1005,0)),"MISSING ID")</x:f>
        <x:v>Low wing-roof panel</x:v>
      </x:c>
      <x:c r="C735" s="4" t="str">
        <x:f>IFERROR(INDEX(Items!$X$6:$X$1005,MATCH(A735,Items!$A$6:$A$1005,0)),"MISSING ID")</x:f>
        <x:v>Shelter item</x:v>
      </x:c>
      <x:c r="D735" s="4" t="str">
        <x:f>IFERROR(INDEX(Items!$C$6:$C$1005,MATCH(A735,Items!$A$6:$A$1005,0)),"MISSING ID")</x:f>
        <x:v>Not applicable</x:v>
      </x:c>
      <x:c r="E735" s="4" t="str">
        <x:v>Finished endpoint</x:v>
      </x:c>
      <x:c r="F735" s="14" t="n">
        <x:f>IFERROR(INDEX(Items!$AJ$6:$AJ$1005,MATCH(A735,Items!$A$6:$A$1005,0)),"MISSING ID")</x:f>
        <x:v>1</x:v>
      </x:c>
      <x:c r="G735" s="4" t="str">
        <x:v>Traced to cataloged T0 and/or recovered feeds</x:v>
      </x:c>
      <x:c r="H735" s="4" t="str">
        <x:v>Husk-sheet cutting shears, pressure fixtures and dedicated preparation surfaces. Very low hide/fur yield; no ordinary cloth or plant inputs.</x:v>
      </x:c>
      <x:c r="I735" s="4" t="str">
        <x:v>Candidate path traced</x:v>
      </x:c>
      <x:c r="J735" s="4" t="str">
        <x:v>Dimensions, grade, process qualification, quantity and yield remain open.</x:v>
      </x:c>
    </x:row>
    <x:row r="736" ht="115" customHeight="1">
      <x:c r="A736" s="4" t="str">
        <x:v>proposal.collection.segmented_shelter_pole_set</x:v>
      </x:c>
      <x:c r="B736" s="4" t="str">
        <x:f>IFERROR(INDEX(Items!$B$6:$B$1005,MATCH(A736,Items!$A$6:$A$1005,0)),"MISSING ID")</x:f>
        <x:v>Segmented shelter pole set</x:v>
      </x:c>
      <x:c r="C736" s="4" t="str">
        <x:f>IFERROR(INDEX(Items!$X$6:$X$1005,MATCH(A736,Items!$A$6:$A$1005,0)),"MISSING ID")</x:f>
        <x:v>Shelter item</x:v>
      </x:c>
      <x:c r="D736" s="4" t="str">
        <x:f>IFERROR(INDEX(Items!$C$6:$C$1005,MATCH(A736,Items!$A$6:$A$1005,0)),"MISSING ID")</x:f>
        <x:v>Not applicable</x:v>
      </x:c>
      <x:c r="E736" s="4" t="str">
        <x:v>Finished endpoint</x:v>
      </x:c>
      <x:c r="F736" s="14" t="n">
        <x:f>IFERROR(INDEX(Items!$AJ$6:$AJ$1005,MATCH(A736,Items!$A$6:$A$1005,0)),"MISSING ID")</x:f>
        <x:v>1</x:v>
      </x:c>
      <x:c r="G736" s="4" t="str">
        <x:v>Traced to cataloged T0 and/or recovered feeds</x:v>
      </x:c>
      <x:c r="H736" s="4" t="str">
        <x:v>Forge hearth, Anvil, Forging hammer, Smithing tongs, Metalworking file and Hand-cranked metal drill as applicable. Existing workshop bootstrap and controlled heating/cooling required; no free-water quench assumed.</x:v>
      </x:c>
      <x:c r="I736" s="4" t="str">
        <x:v>Candidate path traced</x:v>
      </x:c>
      <x:c r="J736" s="4" t="str">
        <x:v>Dimensions, grade, process qualification, quantity and yield remain open.</x:v>
      </x:c>
    </x:row>
    <x:row r="737" ht="115" customHeight="1">
      <x:c r="A737" s="4" t="str">
        <x:v>proposal.collection.ground_anchor_stake_set</x:v>
      </x:c>
      <x:c r="B737" s="4" t="str">
        <x:f>IFERROR(INDEX(Items!$B$6:$B$1005,MATCH(A737,Items!$A$6:$A$1005,0)),"MISSING ID")</x:f>
        <x:v>Ground-anchor stake set</x:v>
      </x:c>
      <x:c r="C737" s="4" t="str">
        <x:f>IFERROR(INDEX(Items!$X$6:$X$1005,MATCH(A737,Items!$A$6:$A$1005,0)),"MISSING ID")</x:f>
        <x:v>Shelter item</x:v>
      </x:c>
      <x:c r="D737" s="4" t="str">
        <x:f>IFERROR(INDEX(Items!$C$6:$C$1005,MATCH(A737,Items!$A$6:$A$1005,0)),"MISSING ID")</x:f>
        <x:v>Not applicable</x:v>
      </x:c>
      <x:c r="E737" s="4" t="str">
        <x:v>Finished endpoint</x:v>
      </x:c>
      <x:c r="F737" s="14" t="n">
        <x:f>IFERROR(INDEX(Items!$AJ$6:$AJ$1005,MATCH(A737,Items!$A$6:$A$1005,0)),"MISSING ID")</x:f>
        <x:v>1</x:v>
      </x:c>
      <x:c r="G737" s="4" t="str">
        <x:v>Traced to cataloged T0 and/or recovered feeds</x:v>
      </x:c>
      <x:c r="H737" s="4" t="str">
        <x:v>Forge hearth, Anvil, Forging hammer, Smithing tongs, Metalworking file and Hand-cranked metal drill as applicable. Existing workshop bootstrap and controlled heating/cooling required; no free-water quench assumed.</x:v>
      </x:c>
      <x:c r="I737" s="4" t="str">
        <x:v>Candidate path traced</x:v>
      </x:c>
      <x:c r="J737" s="4" t="str">
        <x:v>Dimensions, grade, process qualification, quantity and yield remain open.</x:v>
      </x:c>
    </x:row>
    <x:row r="738" ht="115" customHeight="1">
      <x:c r="A738" s="4" t="str">
        <x:v>proposal.collection.tendon_guyline_bundle</x:v>
      </x:c>
      <x:c r="B738" s="4" t="str">
        <x:f>IFERROR(INDEX(Items!$B$6:$B$1005,MATCH(A738,Items!$A$6:$A$1005,0)),"MISSING ID")</x:f>
        <x:v>Tendon guyline bundle</x:v>
      </x:c>
      <x:c r="C738" s="4" t="str">
        <x:f>IFERROR(INDEX(Items!$X$6:$X$1005,MATCH(A738,Items!$A$6:$A$1005,0)),"MISSING ID")</x:f>
        <x:v>Shelter item</x:v>
      </x:c>
      <x:c r="D738" s="4" t="str">
        <x:f>IFERROR(INDEX(Items!$C$6:$C$1005,MATCH(A738,Items!$A$6:$A$1005,0)),"MISSING ID")</x:f>
        <x:v>Not applicable</x:v>
      </x:c>
      <x:c r="E738" s="4" t="str">
        <x:v>Finished endpoint</x:v>
      </x:c>
      <x:c r="F738" s="14" t="n">
        <x:f>IFERROR(INDEX(Items!$AJ$6:$AJ$1005,MATCH(A738,Items!$A$6:$A$1005,0)),"MISSING ID")</x:f>
        <x:v>1</x:v>
      </x:c>
      <x:c r="G738" s="4" t="str">
        <x:v>Traced to cataloged T0 and/or recovered feeds</x:v>
      </x:c>
      <x:c r="H738" s="4" t="str">
        <x:v>Husk-sheet cutting shears, pressure fixtures and dedicated preparation surfaces. Very low hide/fur yield; no ordinary cloth or plant inputs.</x:v>
      </x:c>
      <x:c r="I738" s="4" t="str">
        <x:v>Candidate path traced</x:v>
      </x:c>
      <x:c r="J738" s="4" t="str">
        <x:v>Dimensions, grade, process qualification, quantity and yield remain open.</x:v>
      </x:c>
    </x:row>
    <x:row r="739" ht="115" customHeight="1">
      <x:c r="A739" s="4" t="str">
        <x:v>proposal.collection.husk_sheet_grit_screen</x:v>
      </x:c>
      <x:c r="B739" s="4" t="str">
        <x:f>IFERROR(INDEX(Items!$B$6:$B$1005,MATCH(A739,Items!$A$6:$A$1005,0)),"MISSING ID")</x:f>
        <x:v>Husk-sheet grit screen</x:v>
      </x:c>
      <x:c r="C739" s="4" t="str">
        <x:f>IFERROR(INDEX(Items!$X$6:$X$1005,MATCH(A739,Items!$A$6:$A$1005,0)),"MISSING ID")</x:f>
        <x:v>Shelter item</x:v>
      </x:c>
      <x:c r="D739" s="4" t="str">
        <x:f>IFERROR(INDEX(Items!$C$6:$C$1005,MATCH(A739,Items!$A$6:$A$1005,0)),"MISSING ID")</x:f>
        <x:v>Not applicable</x:v>
      </x:c>
      <x:c r="E739" s="4" t="str">
        <x:v>Finished endpoint</x:v>
      </x:c>
      <x:c r="F739" s="14" t="n">
        <x:f>IFERROR(INDEX(Items!$AJ$6:$AJ$1005,MATCH(A739,Items!$A$6:$A$1005,0)),"MISSING ID")</x:f>
        <x:v>1</x:v>
      </x:c>
      <x:c r="G739" s="4" t="str">
        <x:v>Traced to cataloged T0 and/or recovered feeds</x:v>
      </x:c>
      <x:c r="H739" s="4" t="str">
        <x:v>Husk-sheet cutting shears, pressure fixtures and dedicated preparation surfaces. Very low hide/fur yield; no ordinary cloth or plant inputs.</x:v>
      </x:c>
      <x:c r="I739" s="4" t="str">
        <x:v>Candidate path traced</x:v>
      </x:c>
      <x:c r="J739" s="4" t="str">
        <x:v>Dimensions, grade, process qualification, quantity and yield remain open.</x:v>
      </x:c>
    </x:row>
    <x:row r="740" ht="115" customHeight="1">
      <x:c r="A740" s="4" t="str">
        <x:v>proposal.collection.shell_ground_rest_panel</x:v>
      </x:c>
      <x:c r="B740" s="4" t="str">
        <x:f>IFERROR(INDEX(Items!$B$6:$B$1005,MATCH(A740,Items!$A$6:$A$1005,0)),"MISSING ID")</x:f>
        <x:v>Shell ground-rest panel</x:v>
      </x:c>
      <x:c r="C740" s="4" t="str">
        <x:f>IFERROR(INDEX(Items!$X$6:$X$1005,MATCH(A740,Items!$A$6:$A$1005,0)),"MISSING ID")</x:f>
        <x:v>Shelter item</x:v>
      </x:c>
      <x:c r="D740" s="4" t="str">
        <x:f>IFERROR(INDEX(Items!$C$6:$C$1005,MATCH(A740,Items!$A$6:$A$1005,0)),"MISSING ID")</x:f>
        <x:v>Not applicable</x:v>
      </x:c>
      <x:c r="E740" s="4" t="str">
        <x:v>Finished endpoint</x:v>
      </x:c>
      <x:c r="F740" s="14" t="n">
        <x:f>IFERROR(INDEX(Items!$AJ$6:$AJ$1005,MATCH(A740,Items!$A$6:$A$1005,0)),"MISSING ID")</x:f>
        <x:v>1</x:v>
      </x:c>
      <x:c r="G740" s="4" t="str">
        <x:v>Traced to cataloged T0 and/or recovered feeds</x:v>
      </x:c>
      <x:c r="H740" s="4" t="str">
        <x:v>Forge hearth, Anvil, Forging hammer, Smithing tongs, Metalworking file and Hand-cranked metal drill as applicable. Existing workshop bootstrap and controlled heating/cooling required; no free-water quench assumed.</x:v>
      </x:c>
      <x:c r="I740" s="4" t="str">
        <x:v>Candidate path traced</x:v>
      </x:c>
      <x:c r="J740" s="4" t="str">
        <x:v>Dimensions, grade, process qualification, quantity and yield remain open.</x:v>
      </x:c>
    </x:row>
    <x:row r="741" ht="115" customHeight="1">
      <x:c r="A741" s="4" t="str">
        <x:v>proposal.collection.folding_privacy_partition</x:v>
      </x:c>
      <x:c r="B741" s="4" t="str">
        <x:f>IFERROR(INDEX(Items!$B$6:$B$1005,MATCH(A741,Items!$A$6:$A$1005,0)),"MISSING ID")</x:f>
        <x:v>Folding privacy partition</x:v>
      </x:c>
      <x:c r="C741" s="4" t="str">
        <x:f>IFERROR(INDEX(Items!$X$6:$X$1005,MATCH(A741,Items!$A$6:$A$1005,0)),"MISSING ID")</x:f>
        <x:v>Shelter item</x:v>
      </x:c>
      <x:c r="D741" s="4" t="str">
        <x:f>IFERROR(INDEX(Items!$C$6:$C$1005,MATCH(A741,Items!$A$6:$A$1005,0)),"MISSING ID")</x:f>
        <x:v>Not applicable</x:v>
      </x:c>
      <x:c r="E741" s="4" t="str">
        <x:v>Finished endpoint</x:v>
      </x:c>
      <x:c r="F741" s="14" t="n">
        <x:f>IFERROR(INDEX(Items!$AJ$6:$AJ$1005,MATCH(A741,Items!$A$6:$A$1005,0)),"MISSING ID")</x:f>
        <x:v>1</x:v>
      </x:c>
      <x:c r="G741" s="4" t="str">
        <x:v>Traced to cataloged T0 and/or recovered feeds</x:v>
      </x:c>
      <x:c r="H741" s="4" t="str">
        <x:v>Husk-sheet cutting shears, pressure fixtures and dedicated preparation surfaces. Very low hide/fur yield; no ordinary cloth or plant inputs.</x:v>
      </x:c>
      <x:c r="I741" s="4" t="str">
        <x:v>Candidate path traced</x:v>
      </x:c>
      <x:c r="J741" s="4" t="str">
        <x:v>Dimensions, grade, process qualification, quantity and yield remain open.</x:v>
      </x:c>
    </x:row>
    <x:row r="742" ht="115" customHeight="1">
      <x:c r="A742" s="4" t="str">
        <x:v>proposal.collection.canister_shelter_docking_stand</x:v>
      </x:c>
      <x:c r="B742" s="4" t="str">
        <x:f>IFERROR(INDEX(Items!$B$6:$B$1005,MATCH(A742,Items!$A$6:$A$1005,0)),"MISSING ID")</x:f>
        <x:v>Canister shelter docking stand</x:v>
      </x:c>
      <x:c r="C742" s="4" t="str">
        <x:f>IFERROR(INDEX(Items!$X$6:$X$1005,MATCH(A742,Items!$A$6:$A$1005,0)),"MISSING ID")</x:f>
        <x:v>Shelter item</x:v>
      </x:c>
      <x:c r="D742" s="4" t="str">
        <x:f>IFERROR(INDEX(Items!$C$6:$C$1005,MATCH(A742,Items!$A$6:$A$1005,0)),"MISSING ID")</x:f>
        <x:v>Not applicable</x:v>
      </x:c>
      <x:c r="E742" s="4" t="str">
        <x:v>Finished endpoint</x:v>
      </x:c>
      <x:c r="F742" s="14" t="n">
        <x:f>IFERROR(INDEX(Items!$AJ$6:$AJ$1005,MATCH(A742,Items!$A$6:$A$1005,0)),"MISSING ID")</x:f>
        <x:v>1</x:v>
      </x:c>
      <x:c r="G742" s="4" t="str">
        <x:v>Traced to cataloged T0 and/or recovered feeds</x:v>
      </x:c>
      <x:c r="H742" s="4" t="str">
        <x:v>Controlled-heating firing kiln or specialist glass hot-work station; Ceramic firing tray / Ceramic casting mold as applicable. Qualified power, heat and atmosphere required.</x:v>
      </x:c>
      <x:c r="I742" s="4" t="str">
        <x:v>Candidate path traced</x:v>
      </x:c>
      <x:c r="J742" s="4" t="str">
        <x:v>Dimensions, grade, process qualification, quantity and yield remain open.</x:v>
      </x:c>
    </x:row>
    <x:row r="743" ht="115" customHeight="1">
      <x:c r="A743" s="4" t="str">
        <x:v>proposal.collection.shelter_repair_patch_roll</x:v>
      </x:c>
      <x:c r="B743" s="4" t="str">
        <x:f>IFERROR(INDEX(Items!$B$6:$B$1005,MATCH(A743,Items!$A$6:$A$1005,0)),"MISSING ID")</x:f>
        <x:v>Shelter repair patch roll</x:v>
      </x:c>
      <x:c r="C743" s="4" t="str">
        <x:f>IFERROR(INDEX(Items!$X$6:$X$1005,MATCH(A743,Items!$A$6:$A$1005,0)),"MISSING ID")</x:f>
        <x:v>Shelter item</x:v>
      </x:c>
      <x:c r="D743" s="4" t="str">
        <x:f>IFERROR(INDEX(Items!$C$6:$C$1005,MATCH(A743,Items!$A$6:$A$1005,0)),"MISSING ID")</x:f>
        <x:v>Not applicable</x:v>
      </x:c>
      <x:c r="E743" s="4" t="str">
        <x:v>Finished endpoint</x:v>
      </x:c>
      <x:c r="F743" s="14" t="n">
        <x:f>IFERROR(INDEX(Items!$AJ$6:$AJ$1005,MATCH(A743,Items!$A$6:$A$1005,0)),"MISSING ID")</x:f>
        <x:v>1</x:v>
      </x:c>
      <x:c r="G743" s="4" t="str">
        <x:v>Traced to cataloged T0 and/or recovered feeds</x:v>
      </x:c>
      <x:c r="H743" s="4" t="str">
        <x:v>Husk-sheet cutting shears, Hand-cranked metal drill and Ceramic abrasive disc as applicable; compatible contained biological preparation and low-yield material handling required.</x:v>
      </x:c>
      <x:c r="I743" s="4" t="str">
        <x:v>Candidate path traced</x:v>
      </x:c>
      <x:c r="J743" s="4" t="str">
        <x:v>Dimensions, grade, process qualification, quantity and yield remain open.</x:v>
      </x:c>
    </x:row>
    <x:row r="744" ht="115" customHeight="1">
      <x:c r="A744" s="4" t="str">
        <x:v>proposal.collection.round_iron_buckler</x:v>
      </x:c>
      <x:c r="B744" s="4" t="str">
        <x:f>IFERROR(INDEX(Items!$B$6:$B$1005,MATCH(A744,Items!$A$6:$A$1005,0)),"MISSING ID")</x:f>
        <x:v>Round iron buckler</x:v>
      </x:c>
      <x:c r="C744" s="4" t="str">
        <x:f>IFERROR(INDEX(Items!$X$6:$X$1005,MATCH(A744,Items!$A$6:$A$1005,0)),"MISSING ID")</x:f>
        <x:v>Shield</x:v>
      </x:c>
      <x:c r="D744" s="4" t="str">
        <x:f>IFERROR(INDEX(Items!$C$6:$C$1005,MATCH(A744,Items!$A$6:$A$1005,0)),"MISSING ID")</x:f>
        <x:v>Not applicable</x:v>
      </x:c>
      <x:c r="E744" s="4" t="str">
        <x:v>Finished endpoint</x:v>
      </x:c>
      <x:c r="F744" s="14" t="n">
        <x:f>IFERROR(INDEX(Items!$AJ$6:$AJ$1005,MATCH(A744,Items!$A$6:$A$1005,0)),"MISSING ID")</x:f>
        <x:v>1</x:v>
      </x:c>
      <x:c r="G744" s="4" t="str">
        <x:v>Traced to cataloged T0 and/or recovered feeds</x:v>
      </x:c>
      <x:c r="H744" s="4" t="str">
        <x:v>Forge hearth, Anvil, Forging hammer, Smithing tongs, Metalworking file and Hand-cranked metal drill as applicable. Existing workshop bootstrap and controlled heating/cooling required; no free-water quench assumed.</x:v>
      </x:c>
      <x:c r="I744" s="4" t="str">
        <x:v>Candidate path traced</x:v>
      </x:c>
      <x:c r="J744" s="4" t="str">
        <x:v>Fit, joints, insulation/protection and biological material yield require qualification.</x:v>
      </x:c>
    </x:row>
    <x:row r="745" ht="115" customHeight="1">
      <x:c r="A745" s="4" t="str">
        <x:v>proposal.collection.riveted_steel_round_shield</x:v>
      </x:c>
      <x:c r="B745" s="4" t="str">
        <x:f>IFERROR(INDEX(Items!$B$6:$B$1005,MATCH(A745,Items!$A$6:$A$1005,0)),"MISSING ID")</x:f>
        <x:v>Riveted steel round shield</x:v>
      </x:c>
      <x:c r="C745" s="4" t="str">
        <x:f>IFERROR(INDEX(Items!$X$6:$X$1005,MATCH(A745,Items!$A$6:$A$1005,0)),"MISSING ID")</x:f>
        <x:v>Shield</x:v>
      </x:c>
      <x:c r="D745" s="4" t="str">
        <x:f>IFERROR(INDEX(Items!$C$6:$C$1005,MATCH(A745,Items!$A$6:$A$1005,0)),"MISSING ID")</x:f>
        <x:v>Not applicable</x:v>
      </x:c>
      <x:c r="E745" s="4" t="str">
        <x:v>Finished endpoint</x:v>
      </x:c>
      <x:c r="F745" s="14" t="n">
        <x:f>IFERROR(INDEX(Items!$AJ$6:$AJ$1005,MATCH(A745,Items!$A$6:$A$1005,0)),"MISSING ID")</x:f>
        <x:v>1</x:v>
      </x:c>
      <x:c r="G745" s="4" t="str">
        <x:v>Traced to cataloged T0 and/or recovered feeds</x:v>
      </x:c>
      <x:c r="H745" s="4" t="str">
        <x:v>Forge hearth, Anvil, Forging hammer, Smithing tongs, Metalworking file and Hand-cranked metal drill as applicable. Existing workshop bootstrap and controlled heating/cooling required; no free-water quench assumed.</x:v>
      </x:c>
      <x:c r="I745" s="4" t="str">
        <x:v>Candidate path traced</x:v>
      </x:c>
      <x:c r="J745" s="4" t="str">
        <x:v>Fit, joints, insulation/protection and biological material yield require qualification.</x:v>
      </x:c>
    </x:row>
    <x:row r="746" ht="115" customHeight="1">
      <x:c r="A746" s="4" t="str">
        <x:v>proposal.collection.broad_chitin_shield</x:v>
      </x:c>
      <x:c r="B746" s="4" t="str">
        <x:f>IFERROR(INDEX(Items!$B$6:$B$1005,MATCH(A746,Items!$A$6:$A$1005,0)),"MISSING ID")</x:f>
        <x:v>Broad chitin shield</x:v>
      </x:c>
      <x:c r="C746" s="4" t="str">
        <x:f>IFERROR(INDEX(Items!$X$6:$X$1005,MATCH(A746,Items!$A$6:$A$1005,0)),"MISSING ID")</x:f>
        <x:v>Shield</x:v>
      </x:c>
      <x:c r="D746" s="4" t="str">
        <x:f>IFERROR(INDEX(Items!$C$6:$C$1005,MATCH(A746,Items!$A$6:$A$1005,0)),"MISSING ID")</x:f>
        <x:v>Not applicable</x:v>
      </x:c>
      <x:c r="E746" s="4" t="str">
        <x:v>Finished endpoint</x:v>
      </x:c>
      <x:c r="F746" s="14" t="n">
        <x:f>IFERROR(INDEX(Items!$AJ$6:$AJ$1005,MATCH(A746,Items!$A$6:$A$1005,0)),"MISSING ID")</x:f>
        <x:v>1</x:v>
      </x:c>
      <x:c r="G746" s="4" t="str">
        <x:v>Traced to cataloged T0 and/or recovered feeds</x:v>
      </x:c>
      <x:c r="H746" s="4" t="str">
        <x:v>Forge hearth, Anvil, Forging hammer, Smithing tongs, Metalworking file and Hand-cranked metal drill as applicable. Existing workshop bootstrap and controlled heating/cooling required; no free-water quench assumed.</x:v>
      </x:c>
      <x:c r="I746" s="4" t="str">
        <x:v>Candidate path traced</x:v>
      </x:c>
      <x:c r="J746" s="4" t="str">
        <x:v>Fit, joints, insulation/protection and biological material yield require qualification.</x:v>
      </x:c>
    </x:row>
    <x:row r="747" ht="115" customHeight="1">
      <x:c r="A747" s="4"/>
      <x:c r="B747" s="4"/>
      <x:c r="C747" s="4"/>
      <x:c r="D747" s="4"/>
      <x:c r="E747" s="4"/>
      <x:c r="F747" s="14"/>
      <x:c r="G747" s="4"/>
      <x:c r="H747" s="4"/>
      <x:c r="I747" s="4"/>
      <x:c r="J747" s="4"/>
    </x:row>
    <x:row r="748" ht="115" customHeight="1">
      <x:c r="A748" s="4" t="str">
        <x:v>proposal.collection.tall_iron_pavise</x:v>
      </x:c>
      <x:c r="B748" s="4" t="str">
        <x:f>IFERROR(INDEX(Items!$B$6:$B$1005,MATCH(A748,Items!$A$6:$A$1005,0)),"MISSING ID")</x:f>
        <x:v>Tall iron pavise</x:v>
      </x:c>
      <x:c r="C748" s="4" t="str">
        <x:f>IFERROR(INDEX(Items!$X$6:$X$1005,MATCH(A748,Items!$A$6:$A$1005,0)),"MISSING ID")</x:f>
        <x:v>Shield</x:v>
      </x:c>
      <x:c r="D748" s="4" t="str">
        <x:f>IFERROR(INDEX(Items!$C$6:$C$1005,MATCH(A748,Items!$A$6:$A$1005,0)),"MISSING ID")</x:f>
        <x:v>Not applicable</x:v>
      </x:c>
      <x:c r="E748" s="4" t="str">
        <x:v>Finished endpoint</x:v>
      </x:c>
      <x:c r="F748" s="14" t="n">
        <x:f>IFERROR(INDEX(Items!$AJ$6:$AJ$1005,MATCH(A748,Items!$A$6:$A$1005,0)),"MISSING ID")</x:f>
        <x:v>1</x:v>
      </x:c>
      <x:c r="G748" s="4" t="str">
        <x:v>Traced to cataloged T0 and/or recovered feeds</x:v>
      </x:c>
      <x:c r="H748" s="4" t="str">
        <x:v>Forge hearth, Anvil, Forging hammer, Smithing tongs, Metalworking file and Hand-cranked metal drill as applicable. Existing workshop bootstrap and controlled heating/cooling required; no free-water quench assumed.</x:v>
      </x:c>
      <x:c r="I748" s="4" t="str">
        <x:v>Candidate path traced</x:v>
      </x:c>
      <x:c r="J748" s="4" t="str">
        <x:v>Fit, joints, insulation/protection and biological material yield require qualification.</x:v>
      </x:c>
    </x:row>
    <x:row r="749" ht="115" customHeight="1">
      <x:c r="A749" s="4" t="str">
        <x:v>proposal.collection.folding_wing_frame_screen_shield</x:v>
      </x:c>
      <x:c r="B749" s="4" t="str">
        <x:f>IFERROR(INDEX(Items!$B$6:$B$1005,MATCH(A749,Items!$A$6:$A$1005,0)),"MISSING ID")</x:f>
        <x:v>Folding wing-frame screen shield</x:v>
      </x:c>
      <x:c r="C749" s="4" t="str">
        <x:f>IFERROR(INDEX(Items!$X$6:$X$1005,MATCH(A749,Items!$A$6:$A$1005,0)),"MISSING ID")</x:f>
        <x:v>Shield</x:v>
      </x:c>
      <x:c r="D749" s="4" t="str">
        <x:f>IFERROR(INDEX(Items!$C$6:$C$1005,MATCH(A749,Items!$A$6:$A$1005,0)),"MISSING ID")</x:f>
        <x:v>Not applicable</x:v>
      </x:c>
      <x:c r="E749" s="4" t="str">
        <x:v>Finished endpoint</x:v>
      </x:c>
      <x:c r="F749" s="14" t="n">
        <x:f>IFERROR(INDEX(Items!$AJ$6:$AJ$1005,MATCH(A749,Items!$A$6:$A$1005,0)),"MISSING ID")</x:f>
        <x:v>1</x:v>
      </x:c>
      <x:c r="G749" s="4" t="str">
        <x:v>Traced to cataloged T0 and/or recovered feeds</x:v>
      </x:c>
      <x:c r="H749" s="4" t="str">
        <x:v>Husk-sheet cutting shears, pressure fixtures and dedicated preparation surfaces. Very low hide/fur yield; no ordinary cloth or plant inputs.</x:v>
      </x:c>
      <x:c r="I749" s="4" t="str">
        <x:v>Candidate path traced</x:v>
      </x:c>
      <x:c r="J749" s="4" t="str">
        <x:v>Fit, joints, insulation/protection and biological material yield require qualification.</x:v>
      </x:c>
    </x:row>
    <x:row r="750" ht="115" customHeight="1">
      <x:c r="A750" s="4"/>
      <x:c r="B750" s="4"/>
      <x:c r="C750" s="4"/>
      <x:c r="D750" s="4"/>
      <x:c r="E750" s="4"/>
      <x:c r="F750" s="14"/>
      <x:c r="G750" s="4"/>
      <x:c r="H750" s="4"/>
      <x:c r="I750" s="4"/>
      <x:c r="J750" s="4"/>
    </x:row>
    <x:row r="751" ht="115" customHeight="1">
      <x:c r="A751" s="4" t="str">
        <x:v>proposal.collection.layered_husk_shield</x:v>
      </x:c>
      <x:c r="B751" s="4" t="str">
        <x:f>IFERROR(INDEX(Items!$B$6:$B$1005,MATCH(A751,Items!$A$6:$A$1005,0)),"MISSING ID")</x:f>
        <x:v>Layered husk shield</x:v>
      </x:c>
      <x:c r="C751" s="4" t="str">
        <x:f>IFERROR(INDEX(Items!$X$6:$X$1005,MATCH(A751,Items!$A$6:$A$1005,0)),"MISSING ID")</x:f>
        <x:v>Shield</x:v>
      </x:c>
      <x:c r="D751" s="4" t="str">
        <x:f>IFERROR(INDEX(Items!$C$6:$C$1005,MATCH(A751,Items!$A$6:$A$1005,0)),"MISSING ID")</x:f>
        <x:v>Not applicable</x:v>
      </x:c>
      <x:c r="E751" s="4" t="str">
        <x:v>Finished endpoint</x:v>
      </x:c>
      <x:c r="F751" s="14" t="n">
        <x:f>IFERROR(INDEX(Items!$AJ$6:$AJ$1005,MATCH(A751,Items!$A$6:$A$1005,0)),"MISSING ID")</x:f>
        <x:v>1</x:v>
      </x:c>
      <x:c r="G751" s="4" t="str">
        <x:v>Traced to cataloged T0 and/or recovered feeds</x:v>
      </x:c>
      <x:c r="H751" s="4" t="str">
        <x:v>Forge hearth, Anvil, Forging hammer, Smithing tongs, Metalworking file and Hand-cranked metal drill as applicable. Existing workshop bootstrap and controlled heating/cooling required; no free-water quench assumed.</x:v>
      </x:c>
      <x:c r="I751" s="4" t="str">
        <x:v>Candidate path traced</x:v>
      </x:c>
      <x:c r="J751" s="4" t="str">
        <x:v>Fit, joints, insulation/protection and biological material yield require qualification.</x:v>
      </x:c>
    </x:row>
    <x:row r="752" ht="115" customHeight="1">
      <x:c r="A752" s="4" t="str">
        <x:v>proposal.collection.steel_rimmed_shell_shield</x:v>
      </x:c>
      <x:c r="B752" s="4" t="str">
        <x:f>IFERROR(INDEX(Items!$B$6:$B$1005,MATCH(A752,Items!$A$6:$A$1005,0)),"MISSING ID")</x:f>
        <x:v>Steel-rimmed shell shield</x:v>
      </x:c>
      <x:c r="C752" s="4" t="str">
        <x:f>IFERROR(INDEX(Items!$X$6:$X$1005,MATCH(A752,Items!$A$6:$A$1005,0)),"MISSING ID")</x:f>
        <x:v>Shield</x:v>
      </x:c>
      <x:c r="D752" s="4" t="str">
        <x:f>IFERROR(INDEX(Items!$C$6:$C$1005,MATCH(A752,Items!$A$6:$A$1005,0)),"MISSING ID")</x:f>
        <x:v>Not applicable</x:v>
      </x:c>
      <x:c r="E752" s="4" t="str">
        <x:v>Finished endpoint</x:v>
      </x:c>
      <x:c r="F752" s="14" t="n">
        <x:f>IFERROR(INDEX(Items!$AJ$6:$AJ$1005,MATCH(A752,Items!$A$6:$A$1005,0)),"MISSING ID")</x:f>
        <x:v>1</x:v>
      </x:c>
      <x:c r="G752" s="4" t="str">
        <x:v>Traced to cataloged T0 and/or recovered feeds</x:v>
      </x:c>
      <x:c r="H752" s="4" t="str">
        <x:v>Forge hearth, Anvil, Forging hammer, Smithing tongs, Metalworking file and Hand-cranked metal drill as applicable. Existing workshop bootstrap and controlled heating/cooling required; no free-water quench assumed.</x:v>
      </x:c>
      <x:c r="I752" s="4" t="str">
        <x:v>Candidate path traced</x:v>
      </x:c>
      <x:c r="J752" s="4" t="str">
        <x:v>Fit, joints, insulation/protection and biological material yield require qualification.</x:v>
      </x:c>
    </x:row>
    <x:row r="753" ht="115" customHeight="1">
      <x:c r="A753" s="4"/>
      <x:c r="B753" s="4"/>
      <x:c r="C753" s="4"/>
      <x:c r="D753" s="4"/>
      <x:c r="E753" s="4"/>
      <x:c r="F753" s="14"/>
      <x:c r="G753" s="4"/>
      <x:c r="H753" s="4"/>
      <x:c r="I753" s="4"/>
      <x:c r="J753" s="4"/>
    </x:row>
    <x:row r="754" ht="115" customHeight="1">
      <x:c r="A754" s="4" t="str">
        <x:v>proposal.collection.elbow_strapped_work_shield</x:v>
      </x:c>
      <x:c r="B754" s="4" t="str">
        <x:f>IFERROR(INDEX(Items!$B$6:$B$1005,MATCH(A754,Items!$A$6:$A$1005,0)),"MISSING ID")</x:f>
        <x:v>Elbow-strapped work shield</x:v>
      </x:c>
      <x:c r="C754" s="4" t="str">
        <x:f>IFERROR(INDEX(Items!$X$6:$X$1005,MATCH(A754,Items!$A$6:$A$1005,0)),"MISSING ID")</x:f>
        <x:v>Shield</x:v>
      </x:c>
      <x:c r="D754" s="4" t="str">
        <x:f>IFERROR(INDEX(Items!$C$6:$C$1005,MATCH(A754,Items!$A$6:$A$1005,0)),"MISSING ID")</x:f>
        <x:v>Not applicable</x:v>
      </x:c>
      <x:c r="E754" s="4" t="str">
        <x:v>Finished endpoint</x:v>
      </x:c>
      <x:c r="F754" s="14" t="n">
        <x:f>IFERROR(INDEX(Items!$AJ$6:$AJ$1005,MATCH(A754,Items!$A$6:$A$1005,0)),"MISSING ID")</x:f>
        <x:v>1</x:v>
      </x:c>
      <x:c r="G754" s="4" t="str">
        <x:v>Traced to cataloged T0 and/or recovered feeds</x:v>
      </x:c>
      <x:c r="H754" s="4" t="str">
        <x:v>Forge hearth, Anvil, Forging hammer, Smithing tongs, Metalworking file and Hand-cranked metal drill as applicable. Existing workshop bootstrap and controlled heating/cooling required; no free-water quench assumed.</x:v>
      </x:c>
      <x:c r="I754" s="4" t="str">
        <x:v>Candidate path traced</x:v>
      </x:c>
      <x:c r="J754" s="4" t="str">
        <x:v>Fit, joints, insulation/protection and biological material yield require qualification.</x:v>
      </x:c>
    </x:row>
    <x:row r="755" ht="115" customHeight="1">
      <x:c r="A755" s="4" t="str">
        <x:v>proposal.collection.knee_braced_ground_shield</x:v>
      </x:c>
      <x:c r="B755" s="4" t="str">
        <x:f>IFERROR(INDEX(Items!$B$6:$B$1005,MATCH(A755,Items!$A$6:$A$1005,0)),"MISSING ID")</x:f>
        <x:v>Knee-braced ground shield</x:v>
      </x:c>
      <x:c r="C755" s="4" t="str">
        <x:f>IFERROR(INDEX(Items!$X$6:$X$1005,MATCH(A755,Items!$A$6:$A$1005,0)),"MISSING ID")</x:f>
        <x:v>Shield</x:v>
      </x:c>
      <x:c r="D755" s="4" t="str">
        <x:f>IFERROR(INDEX(Items!$C$6:$C$1005,MATCH(A755,Items!$A$6:$A$1005,0)),"MISSING ID")</x:f>
        <x:v>Not applicable</x:v>
      </x:c>
      <x:c r="E755" s="4" t="str">
        <x:v>Finished endpoint</x:v>
      </x:c>
      <x:c r="F755" s="14" t="n">
        <x:f>IFERROR(INDEX(Items!$AJ$6:$AJ$1005,MATCH(A755,Items!$A$6:$A$1005,0)),"MISSING ID")</x:f>
        <x:v>1</x:v>
      </x:c>
      <x:c r="G755" s="4" t="str">
        <x:v>Traced to cataloged T0 and/or recovered feeds</x:v>
      </x:c>
      <x:c r="H755" s="4" t="str">
        <x:v>Forge hearth, Anvil, Forging hammer, Smithing tongs, Metalworking file and Hand-cranked metal drill as applicable. Existing workshop bootstrap and controlled heating/cooling required; no free-water quench assumed.</x:v>
      </x:c>
      <x:c r="I755" s="4" t="str">
        <x:v>Candidate path traced</x:v>
      </x:c>
      <x:c r="J755" s="4" t="str">
        <x:v>Fit, joints, insulation/protection and biological material yield require qualification.</x:v>
      </x:c>
    </x:row>
    <x:row r="756" ht="115" customHeight="1">
      <x:c r="A756" s="4" t="str">
        <x:v>proposal.collection.segmented_tower_shield</x:v>
      </x:c>
      <x:c r="B756" s="4" t="str">
        <x:f>IFERROR(INDEX(Items!$B$6:$B$1005,MATCH(A756,Items!$A$6:$A$1005,0)),"MISSING ID")</x:f>
        <x:v>Segmented tower shield</x:v>
      </x:c>
      <x:c r="C756" s="4" t="str">
        <x:f>IFERROR(INDEX(Items!$X$6:$X$1005,MATCH(A756,Items!$A$6:$A$1005,0)),"MISSING ID")</x:f>
        <x:v>Shield</x:v>
      </x:c>
      <x:c r="D756" s="4" t="str">
        <x:f>IFERROR(INDEX(Items!$C$6:$C$1005,MATCH(A756,Items!$A$6:$A$1005,0)),"MISSING ID")</x:f>
        <x:v>Not applicable</x:v>
      </x:c>
      <x:c r="E756" s="4" t="str">
        <x:v>Finished endpoint</x:v>
      </x:c>
      <x:c r="F756" s="14" t="n">
        <x:f>IFERROR(INDEX(Items!$AJ$6:$AJ$1005,MATCH(A756,Items!$A$6:$A$1005,0)),"MISSING ID")</x:f>
        <x:v>1</x:v>
      </x:c>
      <x:c r="G756" s="4" t="str">
        <x:v>Traced to cataloged T0 and/or recovered feeds</x:v>
      </x:c>
      <x:c r="H756" s="4" t="str">
        <x:v>Forge hearth, Anvil, Forging hammer, Smithing tongs, Metalworking file and Hand-cranked metal drill as applicable. Existing workshop bootstrap and controlled heating/cooling required; no free-water quench assumed.</x:v>
      </x:c>
      <x:c r="I756" s="4" t="str">
        <x:v>Candidate path traced</x:v>
      </x:c>
      <x:c r="J756" s="4" t="str">
        <x:v>Fit, joints, insulation/protection and biological material yield require qualification.</x:v>
      </x:c>
    </x:row>
    <x:row r="757" ht="115" customHeight="1">
      <x:c r="A757" s="4"/>
      <x:c r="B757" s="4"/>
      <x:c r="C757" s="4"/>
      <x:c r="D757" s="4"/>
      <x:c r="E757" s="4"/>
      <x:c r="F757" s="14"/>
      <x:c r="G757" s="4"/>
      <x:c r="H757" s="4"/>
      <x:c r="I757" s="4"/>
      <x:c r="J757" s="4"/>
    </x:row>
    <x:row r="758" ht="115" customHeight="1">
      <x:c r="A758" s="4"/>
      <x:c r="B758" s="4"/>
      <x:c r="C758" s="4"/>
      <x:c r="D758" s="4"/>
      <x:c r="E758" s="4"/>
      <x:c r="F758" s="14"/>
      <x:c r="G758" s="4"/>
      <x:c r="H758" s="4"/>
      <x:c r="I758" s="4"/>
      <x:c r="J758" s="4"/>
    </x:row>
    <x:row r="759" ht="115" customHeight="1">
      <x:c r="A759" s="4" t="str">
        <x:v>proposal.collection.insulated_handle_shield</x:v>
      </x:c>
      <x:c r="B759" s="4" t="str">
        <x:f>IFERROR(INDEX(Items!$B$6:$B$1005,MATCH(A759,Items!$A$6:$A$1005,0)),"MISSING ID")</x:f>
        <x:v>Insulated-handle shield</x:v>
      </x:c>
      <x:c r="C759" s="4" t="str">
        <x:f>IFERROR(INDEX(Items!$X$6:$X$1005,MATCH(A759,Items!$A$6:$A$1005,0)),"MISSING ID")</x:f>
        <x:v>Shield</x:v>
      </x:c>
      <x:c r="D759" s="4" t="str">
        <x:f>IFERROR(INDEX(Items!$C$6:$C$1005,MATCH(A759,Items!$A$6:$A$1005,0)),"MISSING ID")</x:f>
        <x:v>Not applicable</x:v>
      </x:c>
      <x:c r="E759" s="4" t="str">
        <x:v>Finished endpoint</x:v>
      </x:c>
      <x:c r="F759" s="14" t="n">
        <x:f>IFERROR(INDEX(Items!$AJ$6:$AJ$1005,MATCH(A759,Items!$A$6:$A$1005,0)),"MISSING ID")</x:f>
        <x:v>1</x:v>
      </x:c>
      <x:c r="G759" s="4" t="str">
        <x:v>Traced to cataloged T0 and/or recovered feeds</x:v>
      </x:c>
      <x:c r="H759" s="4" t="str">
        <x:v>Forge hearth, Anvil, Forging hammer, Smithing tongs, Metalworking file and Hand-cranked metal drill as applicable. Existing workshop bootstrap and controlled heating/cooling required; no free-water quench assumed.</x:v>
      </x:c>
      <x:c r="I759" s="4" t="str">
        <x:v>Candidate path traced</x:v>
      </x:c>
      <x:c r="J759" s="4" t="str">
        <x:v>Fit, joints, insulation/protection and biological material yield require qualification.</x:v>
      </x:c>
    </x:row>
    <x:row r="760" ht="115" customHeight="1">
      <x:c r="A760" s="4"/>
      <x:c r="B760" s="4"/>
      <x:c r="C760" s="4"/>
      <x:c r="D760" s="4"/>
      <x:c r="E760" s="4"/>
      <x:c r="F760" s="14"/>
      <x:c r="G760" s="4"/>
      <x:c r="H760" s="4"/>
      <x:c r="I760" s="4"/>
      <x:c r="J760" s="4"/>
    </x:row>
    <x:row r="761" ht="115" customHeight="1">
      <x:c r="A761" s="4" t="str">
        <x:v>proposal.collection.magnet_clamp_utility_shield</x:v>
      </x:c>
      <x:c r="B761" s="4" t="str">
        <x:f>IFERROR(INDEX(Items!$B$6:$B$1005,MATCH(A761,Items!$A$6:$A$1005,0)),"MISSING ID")</x:f>
        <x:v>Magnet-clamp utility shield</x:v>
      </x:c>
      <x:c r="C761" s="4" t="str">
        <x:f>IFERROR(INDEX(Items!$X$6:$X$1005,MATCH(A761,Items!$A$6:$A$1005,0)),"MISSING ID")</x:f>
        <x:v>Shield</x:v>
      </x:c>
      <x:c r="D761" s="4" t="str">
        <x:f>IFERROR(INDEX(Items!$C$6:$C$1005,MATCH(A761,Items!$A$6:$A$1005,0)),"MISSING ID")</x:f>
        <x:v>Not applicable</x:v>
      </x:c>
      <x:c r="E761" s="4" t="str">
        <x:v>Finished endpoint</x:v>
      </x:c>
      <x:c r="F761" s="14" t="n">
        <x:f>IFERROR(INDEX(Items!$AJ$6:$AJ$1005,MATCH(A761,Items!$A$6:$A$1005,0)),"MISSING ID")</x:f>
        <x:v>1</x:v>
      </x:c>
      <x:c r="G761" s="4" t="str">
        <x:v>Traced to cataloged T0 and/or recovered feeds</x:v>
      </x:c>
      <x:c r="H761" s="4" t="str">
        <x:v>Forge hearth, Anvil, Forging hammer, Smithing tongs, Metalworking file and Hand-cranked metal drill as applicable. Existing workshop bootstrap and controlled heating/cooling required; no free-water quench assumed.</x:v>
      </x:c>
      <x:c r="I761" s="4" t="str">
        <x:v>Candidate path traced</x:v>
      </x:c>
      <x:c r="J761" s="4" t="str">
        <x:v>Fit, joints, insulation/protection and biological material yield require qualification.</x:v>
      </x:c>
    </x:row>
    <x:row r="762" ht="115" customHeight="1">
      <x:c r="A762" s="4" t="str">
        <x:v>proposal.collection.replaceable_scale_shield</x:v>
      </x:c>
      <x:c r="B762" s="4" t="str">
        <x:f>IFERROR(INDEX(Items!$B$6:$B$1005,MATCH(A762,Items!$A$6:$A$1005,0)),"MISSING ID")</x:f>
        <x:v>Replaceable-scale shield</x:v>
      </x:c>
      <x:c r="C762" s="4" t="str">
        <x:f>IFERROR(INDEX(Items!$X$6:$X$1005,MATCH(A762,Items!$A$6:$A$1005,0)),"MISSING ID")</x:f>
        <x:v>Shield</x:v>
      </x:c>
      <x:c r="D762" s="4" t="str">
        <x:f>IFERROR(INDEX(Items!$C$6:$C$1005,MATCH(A762,Items!$A$6:$A$1005,0)),"MISSING ID")</x:f>
        <x:v>Not applicable</x:v>
      </x:c>
      <x:c r="E762" s="4" t="str">
        <x:v>Finished endpoint</x:v>
      </x:c>
      <x:c r="F762" s="14" t="n">
        <x:f>IFERROR(INDEX(Items!$AJ$6:$AJ$1005,MATCH(A762,Items!$A$6:$A$1005,0)),"MISSING ID")</x:f>
        <x:v>1</x:v>
      </x:c>
      <x:c r="G762" s="4" t="str">
        <x:v>Traced to cataloged T0 and/or recovered feeds</x:v>
      </x:c>
      <x:c r="H762" s="4" t="str">
        <x:v>Forge hearth, Anvil, Forging hammer, Smithing tongs, Metalworking file and Hand-cranked metal drill as applicable. Existing workshop bootstrap and controlled heating/cooling required; no free-water quench assumed.</x:v>
      </x:c>
      <x:c r="I762" s="4" t="str">
        <x:v>Candidate path traced</x:v>
      </x:c>
      <x:c r="J762" s="4" t="str">
        <x:v>Fit, joints, insulation/protection and biological material yield require qualification.</x:v>
      </x:c>
    </x:row>
    <x:row r="763" ht="115" customHeight="1">
      <x:c r="A763" s="4" t="str">
        <x:v>proposal.collection.ancient_plasteel_guard_shield</x:v>
      </x:c>
      <x:c r="B763" s="4" t="str">
        <x:f>IFERROR(INDEX(Items!$B$6:$B$1005,MATCH(A763,Items!$A$6:$A$1005,0)),"MISSING ID")</x:f>
        <x:v>Ancient plasteel guard shield</x:v>
      </x:c>
      <x:c r="C763" s="4" t="str">
        <x:f>IFERROR(INDEX(Items!$X$6:$X$1005,MATCH(A763,Items!$A$6:$A$1005,0)),"MISSING ID")</x:f>
        <x:v>Shield</x:v>
      </x:c>
      <x:c r="D763" s="4" t="str">
        <x:f>IFERROR(INDEX(Items!$C$6:$C$1005,MATCH(A763,Items!$A$6:$A$1005,0)),"MISSING ID")</x:f>
        <x:v>Not applicable</x:v>
      </x:c>
      <x:c r="E763" s="4" t="str">
        <x:v>Recovery</x:v>
      </x:c>
      <x:c r="F763" s="14" t="n">
        <x:f>IFERROR(INDEX(Items!$AJ$6:$AJ$1005,MATCH(A763,Items!$A$6:$A$1005,0)),"MISSING ID")</x:f>
        <x:v>0</x:v>
      </x:c>
      <x:c r="G763" s="4" t="str">
        <x:v>Source, recovery or issue route applies</x:v>
      </x:c>
      <x:c r="H763" s="4" t="str">
        <x:v>Not a selected manufacturing route</x:v>
      </x:c>
      <x:c r="I763" s="4" t="str">
        <x:v>Recovery only</x:v>
      </x:c>
      <x:c r="J763" s="4" t="str">
        <x:v>Recover and assess a compatible item. No manufacturing route or guaranteed working function.</x:v>
      </x:c>
    </x:row>
    <x:row r="764" ht="115" customHeight="1">
      <x:c r="A764" s="4" t="str">
        <x:v>proposal.collection.tendon_ankle_tripline</x:v>
      </x:c>
      <x:c r="B764" s="4" t="str">
        <x:f>IFERROR(INDEX(Items!$B$6:$B$1005,MATCH(A764,Items!$A$6:$A$1005,0)),"MISSING ID")</x:f>
        <x:v>Tendon ankle tripline</x:v>
      </x:c>
      <x:c r="C764" s="4" t="str">
        <x:f>IFERROR(INDEX(Items!$X$6:$X$1005,MATCH(A764,Items!$A$6:$A$1005,0)),"MISSING ID")</x:f>
        <x:v>Trap</x:v>
      </x:c>
      <x:c r="D764" s="4" t="str">
        <x:f>IFERROR(INDEX(Items!$C$6:$C$1005,MATCH(A764,Items!$A$6:$A$1005,0)),"MISSING ID")</x:f>
        <x:v>Not applicable</x:v>
      </x:c>
      <x:c r="E764" s="4" t="str">
        <x:v>Finished endpoint</x:v>
      </x:c>
      <x:c r="F764" s="14" t="n">
        <x:f>IFERROR(INDEX(Items!$AJ$6:$AJ$1005,MATCH(A764,Items!$A$6:$A$1005,0)),"MISSING ID")</x:f>
        <x:v>1</x:v>
      </x:c>
      <x:c r="G764" s="4" t="str">
        <x:v>Traced to cataloged T0 and/or recovered feeds</x:v>
      </x:c>
      <x:c r="H764" s="4" t="str">
        <x:v>Forge hearth, Anvil, Forging hammer, Smithing tongs, Metalworking file and Hand-cranked metal drill as applicable. Existing workshop bootstrap and controlled heating/cooling required; no free-water quench assumed.</x:v>
      </x:c>
      <x:c r="I764" s="4" t="str">
        <x:v>Candidate path traced</x:v>
      </x:c>
      <x:c r="J764" s="4" t="str">
        <x:v>Dimensions, grade, process qualification, quantity and yield remain open.</x:v>
      </x:c>
    </x:row>
    <x:row r="765" ht="115" customHeight="1">
      <x:c r="A765" s="4" t="str">
        <x:v>proposal.collection.rattle_alarm_tripline</x:v>
      </x:c>
      <x:c r="B765" s="4" t="str">
        <x:f>IFERROR(INDEX(Items!$B$6:$B$1005,MATCH(A765,Items!$A$6:$A$1005,0)),"MISSING ID")</x:f>
        <x:v>Rattle alarm tripline</x:v>
      </x:c>
      <x:c r="C765" s="4" t="str">
        <x:f>IFERROR(INDEX(Items!$X$6:$X$1005,MATCH(A765,Items!$A$6:$A$1005,0)),"MISSING ID")</x:f>
        <x:v>Trap</x:v>
      </x:c>
      <x:c r="D765" s="4" t="str">
        <x:f>IFERROR(INDEX(Items!$C$6:$C$1005,MATCH(A765,Items!$A$6:$A$1005,0)),"MISSING ID")</x:f>
        <x:v>Not applicable</x:v>
      </x:c>
      <x:c r="E765" s="4" t="str">
        <x:v>Finished endpoint</x:v>
      </x:c>
      <x:c r="F765" s="14" t="n">
        <x:f>IFERROR(INDEX(Items!$AJ$6:$AJ$1005,MATCH(A765,Items!$A$6:$A$1005,0)),"MISSING ID")</x:f>
        <x:v>1</x:v>
      </x:c>
      <x:c r="G765" s="4" t="str">
        <x:v>Traced to cataloged T0 and/or recovered feeds</x:v>
      </x:c>
      <x:c r="H765" s="4" t="str">
        <x:v>Forge hearth, Anvil, Forging hammer, Smithing tongs, Metalworking file and Hand-cranked metal drill as applicable. Existing workshop bootstrap and controlled heating/cooling required; no free-water quench assumed.</x:v>
      </x:c>
      <x:c r="I765" s="4" t="str">
        <x:v>Candidate path traced</x:v>
      </x:c>
      <x:c r="J765" s="4" t="str">
        <x:v>Dimensions, grade, process qualification, quantity and yield remain open.</x:v>
      </x:c>
    </x:row>
    <x:row r="766" ht="115" customHeight="1">
      <x:c r="A766" s="4" t="str">
        <x:v>proposal.collection.metal_bell_alarm_tether</x:v>
      </x:c>
      <x:c r="B766" s="4" t="str">
        <x:f>IFERROR(INDEX(Items!$B$6:$B$1005,MATCH(A766,Items!$A$6:$A$1005,0)),"MISSING ID")</x:f>
        <x:v>Metal bell alarm tether</x:v>
      </x:c>
      <x:c r="C766" s="4" t="str">
        <x:f>IFERROR(INDEX(Items!$X$6:$X$1005,MATCH(A766,Items!$A$6:$A$1005,0)),"MISSING ID")</x:f>
        <x:v>Trap</x:v>
      </x:c>
      <x:c r="D766" s="4" t="str">
        <x:f>IFERROR(INDEX(Items!$C$6:$C$1005,MATCH(A766,Items!$A$6:$A$1005,0)),"MISSING ID")</x:f>
        <x:v>Not applicable</x:v>
      </x:c>
      <x:c r="E766" s="4" t="str">
        <x:v>Finished endpoint</x:v>
      </x:c>
      <x:c r="F766" s="14" t="n">
        <x:f>IFERROR(INDEX(Items!$AJ$6:$AJ$1005,MATCH(A766,Items!$A$6:$A$1005,0)),"MISSING ID")</x:f>
        <x:v>1</x:v>
      </x:c>
      <x:c r="G766" s="4" t="str">
        <x:v>Traced to cataloged T0 and/or recovered feeds</x:v>
      </x:c>
      <x:c r="H766" s="4" t="str">
        <x:v>Forge hearth, Anvil, Forging hammer, Smithing tongs, Metalworking file and Hand-cranked metal drill as applicable. Existing workshop bootstrap and controlled heating/cooling required; no free-water quench assumed.</x:v>
      </x:c>
      <x:c r="I766" s="4" t="str">
        <x:v>Candidate path traced</x:v>
      </x:c>
      <x:c r="J766" s="4" t="str">
        <x:v>Dimensions, grade, process qualification, quantity and yield remain open.</x:v>
      </x:c>
    </x:row>
    <x:row r="767" ht="115" customHeight="1">
      <x:c r="A767" s="4" t="str">
        <x:v>proposal.collection.folding_hooked_trip_frame</x:v>
      </x:c>
      <x:c r="B767" s="4" t="str">
        <x:f>IFERROR(INDEX(Items!$B$6:$B$1005,MATCH(A767,Items!$A$6:$A$1005,0)),"MISSING ID")</x:f>
        <x:v>Folding hooked trip frame</x:v>
      </x:c>
      <x:c r="C767" s="4" t="str">
        <x:f>IFERROR(INDEX(Items!$X$6:$X$1005,MATCH(A767,Items!$A$6:$A$1005,0)),"MISSING ID")</x:f>
        <x:v>Trap</x:v>
      </x:c>
      <x:c r="D767" s="4" t="str">
        <x:f>IFERROR(INDEX(Items!$C$6:$C$1005,MATCH(A767,Items!$A$6:$A$1005,0)),"MISSING ID")</x:f>
        <x:v>Not applicable</x:v>
      </x:c>
      <x:c r="E767" s="4" t="str">
        <x:v>Finished endpoint</x:v>
      </x:c>
      <x:c r="F767" s="14" t="n">
        <x:f>IFERROR(INDEX(Items!$AJ$6:$AJ$1005,MATCH(A767,Items!$A$6:$A$1005,0)),"MISSING ID")</x:f>
        <x:v>1</x:v>
      </x:c>
      <x:c r="G767" s="4" t="str">
        <x:v>Traced to cataloged T0 and/or recovered feeds</x:v>
      </x:c>
      <x:c r="H767" s="4" t="str">
        <x:v>Forge hearth, Anvil, Forging hammer, Smithing tongs, Metalworking file and Hand-cranked metal drill as applicable. Existing workshop bootstrap and controlled heating/cooling required; no free-water quench assumed.</x:v>
      </x:c>
      <x:c r="I767" s="4" t="str">
        <x:v>Candidate path traced</x:v>
      </x:c>
      <x:c r="J767" s="4" t="str">
        <x:v>Dimensions, grade, process qualification, quantity and yield remain open.</x:v>
      </x:c>
    </x:row>
    <x:row r="768" ht="115" customHeight="1">
      <x:c r="A768" s="4"/>
      <x:c r="B768" s="4"/>
      <x:c r="C768" s="4"/>
      <x:c r="D768" s="4"/>
      <x:c r="E768" s="4"/>
      <x:c r="F768" s="14"/>
      <x:c r="G768" s="4"/>
      <x:c r="H768" s="4"/>
      <x:c r="I768" s="4"/>
      <x:c r="J768" s="4"/>
    </x:row>
    <x:row r="769" ht="115" customHeight="1">
      <x:c r="A769" s="4"/>
      <x:c r="B769" s="4"/>
      <x:c r="C769" s="4"/>
      <x:c r="D769" s="4"/>
      <x:c r="E769" s="4"/>
      <x:c r="F769" s="14"/>
      <x:c r="G769" s="4"/>
      <x:c r="H769" s="4"/>
      <x:c r="I769" s="4"/>
      <x:c r="J769" s="4"/>
    </x:row>
    <x:row r="770" ht="115" customHeight="1">
      <x:c r="A770" s="4" t="str">
        <x:v>proposal.collection.shell_spine_scatter_mat</x:v>
      </x:c>
      <x:c r="B770" s="4" t="str">
        <x:f>IFERROR(INDEX(Items!$B$6:$B$1005,MATCH(A770,Items!$A$6:$A$1005,0)),"MISSING ID")</x:f>
        <x:v>Shell-spine scatter mat</x:v>
      </x:c>
      <x:c r="C770" s="4" t="str">
        <x:f>IFERROR(INDEX(Items!$X$6:$X$1005,MATCH(A770,Items!$A$6:$A$1005,0)),"MISSING ID")</x:f>
        <x:v>Trap</x:v>
      </x:c>
      <x:c r="D770" s="4" t="str">
        <x:f>IFERROR(INDEX(Items!$C$6:$C$1005,MATCH(A770,Items!$A$6:$A$1005,0)),"MISSING ID")</x:f>
        <x:v>Not applicable</x:v>
      </x:c>
      <x:c r="E770" s="4" t="str">
        <x:v>Finished endpoint</x:v>
      </x:c>
      <x:c r="F770" s="14" t="n">
        <x:f>IFERROR(INDEX(Items!$AJ$6:$AJ$1005,MATCH(A770,Items!$A$6:$A$1005,0)),"MISSING ID")</x:f>
        <x:v>1</x:v>
      </x:c>
      <x:c r="G770" s="4" t="str">
        <x:v>Traced to cataloged T0 and/or recovered feeds</x:v>
      </x:c>
      <x:c r="H770" s="4" t="str">
        <x:v>Husk-sheet cutting shears, pressure fixtures and dedicated preparation surfaces. Very low hide/fur yield; no ordinary cloth or plant inputs.</x:v>
      </x:c>
      <x:c r="I770" s="4" t="str">
        <x:v>Candidate path traced</x:v>
      </x:c>
      <x:c r="J770" s="4" t="str">
        <x:v>Dimensions, grade, process qualification, quantity and yield remain open.</x:v>
      </x:c>
    </x:row>
    <x:row r="771" ht="115" customHeight="1">
      <x:c r="A771" s="4" t="str">
        <x:v>proposal.collection.collapsible_wheel_chock</x:v>
      </x:c>
      <x:c r="B771" s="4" t="str">
        <x:f>IFERROR(INDEX(Items!$B$6:$B$1005,MATCH(A771,Items!$A$6:$A$1005,0)),"MISSING ID")</x:f>
        <x:v>Collapsible wheel chock</x:v>
      </x:c>
      <x:c r="C771" s="4" t="str">
        <x:f>IFERROR(INDEX(Items!$X$6:$X$1005,MATCH(A771,Items!$A$6:$A$1005,0)),"MISSING ID")</x:f>
        <x:v>Trap</x:v>
      </x:c>
      <x:c r="D771" s="4" t="str">
        <x:f>IFERROR(INDEX(Items!$C$6:$C$1005,MATCH(A771,Items!$A$6:$A$1005,0)),"MISSING ID")</x:f>
        <x:v>Not applicable</x:v>
      </x:c>
      <x:c r="E771" s="4" t="str">
        <x:v>Finished endpoint</x:v>
      </x:c>
      <x:c r="F771" s="14" t="n">
        <x:f>IFERROR(INDEX(Items!$AJ$6:$AJ$1005,MATCH(A771,Items!$A$6:$A$1005,0)),"MISSING ID")</x:f>
        <x:v>1</x:v>
      </x:c>
      <x:c r="G771" s="4" t="str">
        <x:v>Traced to cataloged T0 and/or recovered feeds</x:v>
      </x:c>
      <x:c r="H771" s="4" t="str">
        <x:v>Forge hearth, Anvil, Forging hammer, Smithing tongs, Metalworking file and Hand-cranked metal drill as applicable. Existing workshop bootstrap and controlled heating/cooling required; no free-water quench assumed.</x:v>
      </x:c>
      <x:c r="I771" s="4" t="str">
        <x:v>Candidate path traced</x:v>
      </x:c>
      <x:c r="J771" s="4" t="str">
        <x:v>Dimensions, grade, process qualification, quantity and yield remain open.</x:v>
      </x:c>
    </x:row>
    <x:row r="772" ht="115" customHeight="1">
      <x:c r="A772" s="4" t="str">
        <x:v>proposal.collection.cable_snag_hoop</x:v>
      </x:c>
      <x:c r="B772" s="4" t="str">
        <x:f>IFERROR(INDEX(Items!$B$6:$B$1005,MATCH(A772,Items!$A$6:$A$1005,0)),"MISSING ID")</x:f>
        <x:v>Cable snag hoop</x:v>
      </x:c>
      <x:c r="C772" s="4" t="str">
        <x:f>IFERROR(INDEX(Items!$X$6:$X$1005,MATCH(A772,Items!$A$6:$A$1005,0)),"MISSING ID")</x:f>
        <x:v>Trap</x:v>
      </x:c>
      <x:c r="D772" s="4" t="str">
        <x:f>IFERROR(INDEX(Items!$C$6:$C$1005,MATCH(A772,Items!$A$6:$A$1005,0)),"MISSING ID")</x:f>
        <x:v>Not applicable</x:v>
      </x:c>
      <x:c r="E772" s="4" t="str">
        <x:v>Finished endpoint</x:v>
      </x:c>
      <x:c r="F772" s="14" t="n">
        <x:f>IFERROR(INDEX(Items!$AJ$6:$AJ$1005,MATCH(A772,Items!$A$6:$A$1005,0)),"MISSING ID")</x:f>
        <x:v>1</x:v>
      </x:c>
      <x:c r="G772" s="4" t="str">
        <x:v>Traced to cataloged T0 and/or recovered feeds</x:v>
      </x:c>
      <x:c r="H772" s="4" t="str">
        <x:v>Forge hearth, Anvil, Forging hammer, Smithing tongs, Metalworking file and Hand-cranked metal drill as applicable. Existing workshop bootstrap and controlled heating/cooling required; no free-water quench assumed.</x:v>
      </x:c>
      <x:c r="I772" s="4" t="str">
        <x:v>Candidate path traced</x:v>
      </x:c>
      <x:c r="J772" s="4" t="str">
        <x:v>Dimensions, grade, process qualification, quantity and yield remain open.</x:v>
      </x:c>
    </x:row>
    <x:row r="773" ht="115" customHeight="1">
      <x:c r="A773" s="4"/>
      <x:c r="B773" s="4"/>
      <x:c r="C773" s="4"/>
      <x:c r="D773" s="4"/>
      <x:c r="E773" s="4"/>
      <x:c r="F773" s="14"/>
      <x:c r="G773" s="4"/>
      <x:c r="H773" s="4"/>
      <x:c r="I773" s="4"/>
      <x:c r="J773" s="4"/>
    </x:row>
    <x:row r="774" ht="115" customHeight="1">
      <x:c r="A774" s="4"/>
      <x:c r="B774" s="4"/>
      <x:c r="C774" s="4"/>
      <x:c r="D774" s="4"/>
      <x:c r="E774" s="4"/>
      <x:c r="F774" s="14"/>
      <x:c r="G774" s="4"/>
      <x:c r="H774" s="4"/>
      <x:c r="I774" s="4"/>
      <x:c r="J774" s="4"/>
    </x:row>
    <x:row r="775" ht="115" customHeight="1">
      <x:c r="A775" s="4" t="str">
        <x:v>proposal.collection.counterweight_net_drop</x:v>
      </x:c>
      <x:c r="B775" s="4" t="str">
        <x:f>IFERROR(INDEX(Items!$B$6:$B$1005,MATCH(A775,Items!$A$6:$A$1005,0)),"MISSING ID")</x:f>
        <x:v>Counterweight net drop</x:v>
      </x:c>
      <x:c r="C775" s="4" t="str">
        <x:f>IFERROR(INDEX(Items!$X$6:$X$1005,MATCH(A775,Items!$A$6:$A$1005,0)),"MISSING ID")</x:f>
        <x:v>Trap</x:v>
      </x:c>
      <x:c r="D775" s="4" t="str">
        <x:f>IFERROR(INDEX(Items!$C$6:$C$1005,MATCH(A775,Items!$A$6:$A$1005,0)),"MISSING ID")</x:f>
        <x:v>Not applicable</x:v>
      </x:c>
      <x:c r="E775" s="4" t="str">
        <x:v>Finished endpoint</x:v>
      </x:c>
      <x:c r="F775" s="14" t="n">
        <x:f>IFERROR(INDEX(Items!$AJ$6:$AJ$1005,MATCH(A775,Items!$A$6:$A$1005,0)),"MISSING ID")</x:f>
        <x:v>1</x:v>
      </x:c>
      <x:c r="G775" s="4" t="str">
        <x:v>Traced to cataloged T0 and/or recovered feeds</x:v>
      </x:c>
      <x:c r="H775" s="4" t="str">
        <x:v>Forge hearth, Anvil, Forging hammer, Smithing tongs, Metalworking file and Hand-cranked metal drill as applicable. Existing workshop bootstrap and controlled heating/cooling required; no free-water quench assumed.</x:v>
      </x:c>
      <x:c r="I775" s="4" t="str">
        <x:v>Candidate path traced</x:v>
      </x:c>
      <x:c r="J775" s="4" t="str">
        <x:v>Dimensions, grade, process qualification, quantity and yield remain open.</x:v>
      </x:c>
    </x:row>
    <x:row r="776" ht="115" customHeight="1">
      <x:c r="A776" s="4" t="str">
        <x:v>proposal.collection.pressure_plate_shell_clacker</x:v>
      </x:c>
      <x:c r="B776" s="4" t="str">
        <x:f>IFERROR(INDEX(Items!$B$6:$B$1005,MATCH(A776,Items!$A$6:$A$1005,0)),"MISSING ID")</x:f>
        <x:v>Pressure-plate shell clacker</x:v>
      </x:c>
      <x:c r="C776" s="4" t="str">
        <x:f>IFERROR(INDEX(Items!$X$6:$X$1005,MATCH(A776,Items!$A$6:$A$1005,0)),"MISSING ID")</x:f>
        <x:v>Trap</x:v>
      </x:c>
      <x:c r="D776" s="4" t="str">
        <x:f>IFERROR(INDEX(Items!$C$6:$C$1005,MATCH(A776,Items!$A$6:$A$1005,0)),"MISSING ID")</x:f>
        <x:v>Not applicable</x:v>
      </x:c>
      <x:c r="E776" s="4" t="str">
        <x:v>Finished endpoint</x:v>
      </x:c>
      <x:c r="F776" s="14" t="n">
        <x:f>IFERROR(INDEX(Items!$AJ$6:$AJ$1005,MATCH(A776,Items!$A$6:$A$1005,0)),"MISSING ID")</x:f>
        <x:v>1</x:v>
      </x:c>
      <x:c r="G776" s="4" t="str">
        <x:v>Traced to cataloged T0 and/or recovered feeds</x:v>
      </x:c>
      <x:c r="H776" s="4" t="str">
        <x:v>Forge hearth, Anvil, Forging hammer, Smithing tongs, Metalworking file and Hand-cranked metal drill as applicable. Existing workshop bootstrap and controlled heating/cooling required; no free-water quench assumed.</x:v>
      </x:c>
      <x:c r="I776" s="4" t="str">
        <x:v>Candidate path traced</x:v>
      </x:c>
      <x:c r="J776" s="4" t="str">
        <x:v>Dimensions, grade, process qualification, quantity and yield remain open.</x:v>
      </x:c>
    </x:row>
    <x:row r="777" ht="115" customHeight="1">
      <x:c r="A777" s="4"/>
      <x:c r="B777" s="4"/>
      <x:c r="C777" s="4"/>
      <x:c r="D777" s="4"/>
      <x:c r="E777" s="4"/>
      <x:c r="F777" s="14"/>
      <x:c r="G777" s="4"/>
      <x:c r="H777" s="4"/>
      <x:c r="I777" s="4"/>
      <x:c r="J777" s="4"/>
    </x:row>
    <x:row r="778" ht="115" customHeight="1">
      <x:c r="A778" s="4" t="str">
        <x:v>proposal.collection.fauna_scent_lure_station</x:v>
      </x:c>
      <x:c r="B778" s="4" t="str">
        <x:f>IFERROR(INDEX(Items!$B$6:$B$1005,MATCH(A778,Items!$A$6:$A$1005,0)),"MISSING ID")</x:f>
        <x:v>Fauna scent lure station</x:v>
      </x:c>
      <x:c r="C778" s="4" t="str">
        <x:f>IFERROR(INDEX(Items!$X$6:$X$1005,MATCH(A778,Items!$A$6:$A$1005,0)),"MISSING ID")</x:f>
        <x:v>Trap</x:v>
      </x:c>
      <x:c r="D778" s="4" t="str">
        <x:f>IFERROR(INDEX(Items!$C$6:$C$1005,MATCH(A778,Items!$A$6:$A$1005,0)),"MISSING ID")</x:f>
        <x:v>Not applicable</x:v>
      </x:c>
      <x:c r="E778" s="4" t="str">
        <x:v>Finished endpoint</x:v>
      </x:c>
      <x:c r="F778" s="14" t="n">
        <x:f>IFERROR(INDEX(Items!$AJ$6:$AJ$1005,MATCH(A778,Items!$A$6:$A$1005,0)),"MISSING ID")</x:f>
        <x:v>1</x:v>
      </x:c>
      <x:c r="G778" s="4" t="str">
        <x:v>Traced to cataloged T0 and/or recovered feeds</x:v>
      </x:c>
      <x:c r="H778" s="4" t="str">
        <x:v>Forge hearth, Anvil, Forging hammer, Smithing tongs, Metalworking file and Hand-cranked metal drill as applicable. Existing workshop bootstrap and controlled heating/cooling required; no free-water quench assumed.</x:v>
      </x:c>
      <x:c r="I778" s="4" t="str">
        <x:v>Candidate path traced</x:v>
      </x:c>
      <x:c r="J778" s="4" t="str">
        <x:v>Dimensions, grade, process qualification, quantity and yield remain open.</x:v>
      </x:c>
    </x:row>
    <x:row r="779" ht="115" customHeight="1">
      <x:c r="A779" s="4" t="str">
        <x:v>proposal.collection.magnetic_salvage_catch_plate</x:v>
      </x:c>
      <x:c r="B779" s="4" t="str">
        <x:f>IFERROR(INDEX(Items!$B$6:$B$1005,MATCH(A779,Items!$A$6:$A$1005,0)),"MISSING ID")</x:f>
        <x:v>Magnetic salvage catch plate</x:v>
      </x:c>
      <x:c r="C779" s="4" t="str">
        <x:f>IFERROR(INDEX(Items!$X$6:$X$1005,MATCH(A779,Items!$A$6:$A$1005,0)),"MISSING ID")</x:f>
        <x:v>Trap</x:v>
      </x:c>
      <x:c r="D779" s="4" t="str">
        <x:f>IFERROR(INDEX(Items!$C$6:$C$1005,MATCH(A779,Items!$A$6:$A$1005,0)),"MISSING ID")</x:f>
        <x:v>Not applicable</x:v>
      </x:c>
      <x:c r="E779" s="4" t="str">
        <x:v>Finished endpoint</x:v>
      </x:c>
      <x:c r="F779" s="14" t="n">
        <x:f>IFERROR(INDEX(Items!$AJ$6:$AJ$1005,MATCH(A779,Items!$A$6:$A$1005,0)),"MISSING ID")</x:f>
        <x:v>1</x:v>
      </x:c>
      <x:c r="G779" s="4" t="str">
        <x:v>Traced to cataloged T0 and/or recovered feeds</x:v>
      </x:c>
      <x:c r="H779" s="4" t="str">
        <x:v>Forge hearth, Anvil, Forging hammer, Smithing tongs, Metalworking file and Hand-cranked metal drill as applicable. Existing workshop bootstrap and controlled heating/cooling required; no free-water quench assumed.</x:v>
      </x:c>
      <x:c r="I779" s="4" t="str">
        <x:v>Candidate path traced</x:v>
      </x:c>
      <x:c r="J779" s="4" t="str">
        <x:v>Dimensions, grade, process qualification, quantity and yield remain open.</x:v>
      </x:c>
    </x:row>
    <x:row r="780" ht="115" customHeight="1">
      <x:c r="A780" s="4" t="str">
        <x:v>proposal.collection.dirtboard_lane_snag_bar</x:v>
      </x:c>
      <x:c r="B780" s="4" t="str">
        <x:f>IFERROR(INDEX(Items!$B$6:$B$1005,MATCH(A780,Items!$A$6:$A$1005,0)),"MISSING ID")</x:f>
        <x:v>Dirtboard lane snag bar</x:v>
      </x:c>
      <x:c r="C780" s="4" t="str">
        <x:f>IFERROR(INDEX(Items!$X$6:$X$1005,MATCH(A780,Items!$A$6:$A$1005,0)),"MISSING ID")</x:f>
        <x:v>Trap</x:v>
      </x:c>
      <x:c r="D780" s="4" t="str">
        <x:f>IFERROR(INDEX(Items!$C$6:$C$1005,MATCH(A780,Items!$A$6:$A$1005,0)),"MISSING ID")</x:f>
        <x:v>Not applicable</x:v>
      </x:c>
      <x:c r="E780" s="4" t="str">
        <x:v>Finished endpoint</x:v>
      </x:c>
      <x:c r="F780" s="14" t="n">
        <x:f>IFERROR(INDEX(Items!$AJ$6:$AJ$1005,MATCH(A780,Items!$A$6:$A$1005,0)),"MISSING ID")</x:f>
        <x:v>1</x:v>
      </x:c>
      <x:c r="G780" s="4" t="str">
        <x:v>Traced to cataloged T0 and/or recovered feeds</x:v>
      </x:c>
      <x:c r="H780" s="4" t="str">
        <x:v>Forge hearth, Anvil, Forging hammer, Smithing tongs, Metalworking file and Hand-cranked metal drill as applicable. Existing workshop bootstrap and controlled heating/cooling required; no free-water quench assumed.</x:v>
      </x:c>
      <x:c r="I780" s="4" t="str">
        <x:v>Candidate path traced</x:v>
      </x:c>
      <x:c r="J780" s="4" t="str">
        <x:v>Dimensions, grade, process qualification, quantity and yield remain open.</x:v>
      </x:c>
    </x:row>
    <x:row r="781" ht="115" customHeight="1">
      <x:c r="A781" s="4"/>
      <x:c r="B781" s="4"/>
      <x:c r="C781" s="4"/>
      <x:c r="D781" s="4"/>
      <x:c r="E781" s="4"/>
      <x:c r="F781" s="14"/>
      <x:c r="G781" s="4"/>
      <x:c r="H781" s="4"/>
      <x:c r="I781" s="4"/>
      <x:c r="J781" s="4"/>
    </x:row>
    <x:row r="782" ht="115" customHeight="1">
      <x:c r="A782" s="4" t="str">
        <x:v>proposal.collection.static_alarm_contact_line</x:v>
      </x:c>
      <x:c r="B782" s="4" t="str">
        <x:f>IFERROR(INDEX(Items!$B$6:$B$1005,MATCH(A782,Items!$A$6:$A$1005,0)),"MISSING ID")</x:f>
        <x:v>Static alarm contact line</x:v>
      </x:c>
      <x:c r="C782" s="4" t="str">
        <x:f>IFERROR(INDEX(Items!$X$6:$X$1005,MATCH(A782,Items!$A$6:$A$1005,0)),"MISSING ID")</x:f>
        <x:v>Trap</x:v>
      </x:c>
      <x:c r="D782" s="4" t="str">
        <x:f>IFERROR(INDEX(Items!$C$6:$C$1005,MATCH(A782,Items!$A$6:$A$1005,0)),"MISSING ID")</x:f>
        <x:v>Not applicable</x:v>
      </x:c>
      <x:c r="E782" s="4" t="str">
        <x:v>Finished endpoint</x:v>
      </x:c>
      <x:c r="F782" s="14" t="n">
        <x:f>IFERROR(INDEX(Items!$AJ$6:$AJ$1005,MATCH(A782,Items!$A$6:$A$1005,0)),"MISSING ID")</x:f>
        <x:v>1</x:v>
      </x:c>
      <x:c r="G782" s="4" t="str">
        <x:v>Traced to cataloged T0 and/or recovered feeds</x:v>
      </x:c>
      <x:c r="H782" s="4" t="str">
        <x:v>Forge hearth, Anvil, Forging hammer, Smithing tongs, Metalworking file and Hand-cranked metal drill as applicable. Existing workshop bootstrap and controlled heating/cooling required; no free-water quench assumed.</x:v>
      </x:c>
      <x:c r="I782" s="4" t="str">
        <x:v>Research / source gated</x:v>
      </x:c>
      <x:c r="J782" s="4" t="str">
        <x:v>Mineral-cell electrolyte candidate. Dimensions, grade, process qualification, quantity and yield remain open.</x:v>
      </x:c>
    </x:row>
    <x:row r="783" ht="115" customHeight="1">
      <x:c r="A783" s="4" t="str">
        <x:v>proposal.collection.shaped_stone_sling_pellet</x:v>
      </x:c>
      <x:c r="B783" s="4" t="str">
        <x:f>IFERROR(INDEX(Items!$B$6:$B$1005,MATCH(A783,Items!$A$6:$A$1005,0)),"MISSING ID")</x:f>
        <x:v>Shaped stone sling pellet</x:v>
      </x:c>
      <x:c r="C783" s="4" t="str">
        <x:f>IFERROR(INDEX(Items!$X$6:$X$1005,MATCH(A783,Items!$A$6:$A$1005,0)),"MISSING ID")</x:f>
        <x:v>Ammunition</x:v>
      </x:c>
      <x:c r="D783" s="4" t="str">
        <x:f>IFERROR(INDEX(Items!$C$6:$C$1005,MATCH(A783,Items!$A$6:$A$1005,0)),"MISSING ID")</x:f>
        <x:v>Not applicable</x:v>
      </x:c>
      <x:c r="E783" s="4" t="str">
        <x:v>Finished endpoint</x:v>
      </x:c>
      <x:c r="F783" s="14" t="n">
        <x:f>IFERROR(INDEX(Items!$AJ$6:$AJ$1005,MATCH(A783,Items!$A$6:$A$1005,0)),"MISSING ID")</x:f>
        <x:v>1</x:v>
      </x:c>
      <x:c r="G783" s="4" t="str">
        <x:v>Traced to cataloged T0 and/or recovered feeds</x:v>
      </x:c>
      <x:c r="H783" s="4" t="str">
        <x:v>Ceramic grinding mortar, Ceramic pestle, Ceramic abrasive disc and stone-cutting fixtures as applicable; grade selection and finishing qualification required.</x:v>
      </x:c>
      <x:c r="I783" s="4" t="str">
        <x:v>Candidate path traced</x:v>
      </x:c>
      <x:c r="J783" s="4" t="str">
        <x:v>Dimensions, grade, process qualification, quantity and yield remain open.</x:v>
      </x:c>
    </x:row>
    <x:row r="784" ht="115" customHeight="1">
      <x:c r="A784" s="4" t="str">
        <x:v>proposal.collection.steel_broadhead_bolt</x:v>
      </x:c>
      <x:c r="B784" s="4" t="str">
        <x:f>IFERROR(INDEX(Items!$B$6:$B$1005,MATCH(A784,Items!$A$6:$A$1005,0)),"MISSING ID")</x:f>
        <x:v>Steel broadhead bolt</x:v>
      </x:c>
      <x:c r="C784" s="4" t="str">
        <x:f>IFERROR(INDEX(Items!$X$6:$X$1005,MATCH(A784,Items!$A$6:$A$1005,0)),"MISSING ID")</x:f>
        <x:v>Ammunition</x:v>
      </x:c>
      <x:c r="D784" s="4" t="str">
        <x:f>IFERROR(INDEX(Items!$C$6:$C$1005,MATCH(A784,Items!$A$6:$A$1005,0)),"MISSING ID")</x:f>
        <x:v>Not applicable</x:v>
      </x:c>
      <x:c r="E784" s="4" t="str">
        <x:v>Finished endpoint</x:v>
      </x:c>
      <x:c r="F784" s="14" t="n">
        <x:f>IFERROR(INDEX(Items!$AJ$6:$AJ$1005,MATCH(A784,Items!$A$6:$A$1005,0)),"MISSING ID")</x:f>
        <x:v>1</x:v>
      </x:c>
      <x:c r="G784" s="4" t="str">
        <x:v>Traced to cataloged T0 and/or recovered feeds</x:v>
      </x:c>
      <x:c r="H784" s="4" t="str">
        <x:v>Forge hearth, Anvil, Forging hammer, Smithing tongs, Metalworking file and Hand-cranked metal drill as applicable. Existing workshop bootstrap and controlled heating/cooling required; no free-water quench assumed.</x:v>
      </x:c>
      <x:c r="I784" s="4" t="str">
        <x:v>Candidate path traced</x:v>
      </x:c>
      <x:c r="J784" s="4" t="str">
        <x:v>Dimensions, grade, process qualification, quantity and yield remain open.</x:v>
      </x:c>
    </x:row>
    <x:row r="785" ht="115" customHeight="1">
      <x:c r="A785" s="4" t="str">
        <x:v>proposal.collection.heavy_siege_bolt</x:v>
      </x:c>
      <x:c r="B785" s="4" t="str">
        <x:f>IFERROR(INDEX(Items!$B$6:$B$1005,MATCH(A785,Items!$A$6:$A$1005,0)),"MISSING ID")</x:f>
        <x:v>Heavy siege bolt</x:v>
      </x:c>
      <x:c r="C785" s="4" t="str">
        <x:f>IFERROR(INDEX(Items!$X$6:$X$1005,MATCH(A785,Items!$A$6:$A$1005,0)),"MISSING ID")</x:f>
        <x:v>Ammunition</x:v>
      </x:c>
      <x:c r="D785" s="4" t="str">
        <x:f>IFERROR(INDEX(Items!$C$6:$C$1005,MATCH(A785,Items!$A$6:$A$1005,0)),"MISSING ID")</x:f>
        <x:v>Not applicable</x:v>
      </x:c>
      <x:c r="E785" s="4" t="str">
        <x:v>Finished endpoint</x:v>
      </x:c>
      <x:c r="F785" s="14" t="n">
        <x:f>IFERROR(INDEX(Items!$AJ$6:$AJ$1005,MATCH(A785,Items!$A$6:$A$1005,0)),"MISSING ID")</x:f>
        <x:v>1</x:v>
      </x:c>
      <x:c r="G785" s="4" t="str">
        <x:v>Traced to cataloged T0 and/or recovered feeds</x:v>
      </x:c>
      <x:c r="H785" s="4" t="str">
        <x:v>Forge hearth, Anvil, Forging hammer, Smithing tongs, Metalworking file and Hand-cranked metal drill as applicable. Existing workshop bootstrap and controlled heating/cooling required; no free-water quench assumed.</x:v>
      </x:c>
      <x:c r="I785" s="4" t="str">
        <x:v>Candidate path traced</x:v>
      </x:c>
      <x:c r="J785" s="4" t="str">
        <x:v>Dimensions, grade, process qualification, quantity and yield remain open.</x:v>
      </x:c>
    </x:row>
    <x:row r="786" ht="115" customHeight="1">
      <x:c r="A786" s="4"/>
      <x:c r="B786" s="4"/>
      <x:c r="C786" s="4"/>
      <x:c r="D786" s="4"/>
      <x:c r="E786" s="4"/>
      <x:c r="F786" s="14"/>
      <x:c r="G786" s="4"/>
      <x:c r="H786" s="4"/>
      <x:c r="I786" s="4"/>
      <x:c r="J786" s="4"/>
    </x:row>
    <x:row r="787" ht="115" customHeight="1">
      <x:c r="A787" s="4" t="str">
        <x:v>proposal.collection.pressure_launcher_rivet_round</x:v>
      </x:c>
      <x:c r="B787" s="4" t="str">
        <x:f>IFERROR(INDEX(Items!$B$6:$B$1005,MATCH(A787,Items!$A$6:$A$1005,0)),"MISSING ID")</x:f>
        <x:v>Pressure-launcher rivet round</x:v>
      </x:c>
      <x:c r="C787" s="4" t="str">
        <x:f>IFERROR(INDEX(Items!$X$6:$X$1005,MATCH(A787,Items!$A$6:$A$1005,0)),"MISSING ID")</x:f>
        <x:v>Ammunition</x:v>
      </x:c>
      <x:c r="D787" s="4" t="str">
        <x:f>IFERROR(INDEX(Items!$C$6:$C$1005,MATCH(A787,Items!$A$6:$A$1005,0)),"MISSING ID")</x:f>
        <x:v>Not applicable</x:v>
      </x:c>
      <x:c r="E787" s="4" t="str">
        <x:v>Finished endpoint</x:v>
      </x:c>
      <x:c r="F787" s="14" t="n">
        <x:f>IFERROR(INDEX(Items!$AJ$6:$AJ$1005,MATCH(A787,Items!$A$6:$A$1005,0)),"MISSING ID")</x:f>
        <x:v>1</x:v>
      </x:c>
      <x:c r="G787" s="4" t="str">
        <x:v>Traced to cataloged T0 and/or recovered feeds</x:v>
      </x:c>
      <x:c r="H787" s="4" t="str">
        <x:v>Forge hearth, Anvil, Forging hammer, Smithing tongs, Metalworking file and Hand-cranked metal drill as applicable. Existing workshop bootstrap and controlled heating/cooling required; no free-water quench assumed.</x:v>
      </x:c>
      <x:c r="I787" s="4" t="str">
        <x:v>Candidate path traced</x:v>
      </x:c>
      <x:c r="J787" s="4" t="str">
        <x:v>Dimensions, grade, process qualification, quantity and yield remain open.</x:v>
      </x:c>
    </x:row>
    <x:row r="788" ht="115" customHeight="1">
      <x:c r="A788" s="4" t="str">
        <x:v>proposal.collection.magnetic_projector_dart</x:v>
      </x:c>
      <x:c r="B788" s="4" t="str">
        <x:f>IFERROR(INDEX(Items!$B$6:$B$1005,MATCH(A788,Items!$A$6:$A$1005,0)),"MISSING ID")</x:f>
        <x:v>Magnetic projector dart</x:v>
      </x:c>
      <x:c r="C788" s="4" t="str">
        <x:f>IFERROR(INDEX(Items!$X$6:$X$1005,MATCH(A788,Items!$A$6:$A$1005,0)),"MISSING ID")</x:f>
        <x:v>Ammunition</x:v>
      </x:c>
      <x:c r="D788" s="4" t="str">
        <x:f>IFERROR(INDEX(Items!$C$6:$C$1005,MATCH(A788,Items!$A$6:$A$1005,0)),"MISSING ID")</x:f>
        <x:v>Not applicable</x:v>
      </x:c>
      <x:c r="E788" s="4" t="str">
        <x:v>Finished endpoint</x:v>
      </x:c>
      <x:c r="F788" s="14" t="n">
        <x:f>IFERROR(INDEX(Items!$AJ$6:$AJ$1005,MATCH(A788,Items!$A$6:$A$1005,0)),"MISSING ID")</x:f>
        <x:v>1</x:v>
      </x:c>
      <x:c r="G788" s="4" t="str">
        <x:v>Traced to cataloged T0 and/or recovered feeds</x:v>
      </x:c>
      <x:c r="H788" s="4" t="str">
        <x:v>Forge hearth, Anvil, Forging hammer, Smithing tongs, Metalworking file and Hand-cranked metal drill as applicable. Existing workshop bootstrap and controlled heating/cooling required; no free-water quench assumed.</x:v>
      </x:c>
      <x:c r="I788" s="4" t="str">
        <x:v>Candidate path traced</x:v>
      </x:c>
      <x:c r="J788" s="4" t="str">
        <x:v>Dimensions, grade, process qualification, quantity and yield remain open.</x:v>
      </x:c>
    </x:row>
    <x:row r="789" ht="115" customHeight="1">
      <x:c r="A789" s="4" t="str">
        <x:v>proposal.collection.coil_carbine_slug</x:v>
      </x:c>
      <x:c r="B789" s="4" t="str">
        <x:f>IFERROR(INDEX(Items!$B$6:$B$1005,MATCH(A789,Items!$A$6:$A$1005,0)),"MISSING ID")</x:f>
        <x:v>Coil-carbine slug</x:v>
      </x:c>
      <x:c r="C789" s="4" t="str">
        <x:f>IFERROR(INDEX(Items!$X$6:$X$1005,MATCH(A789,Items!$A$6:$A$1005,0)),"MISSING ID")</x:f>
        <x:v>Ammunition</x:v>
      </x:c>
      <x:c r="D789" s="4" t="str">
        <x:f>IFERROR(INDEX(Items!$C$6:$C$1005,MATCH(A789,Items!$A$6:$A$1005,0)),"MISSING ID")</x:f>
        <x:v>Not applicable</x:v>
      </x:c>
      <x:c r="E789" s="4" t="str">
        <x:v>Finished endpoint</x:v>
      </x:c>
      <x:c r="F789" s="14" t="n">
        <x:f>IFERROR(INDEX(Items!$AJ$6:$AJ$1005,MATCH(A789,Items!$A$6:$A$1005,0)),"MISSING ID")</x:f>
        <x:v>1</x:v>
      </x:c>
      <x:c r="G789" s="4" t="str">
        <x:v>Traced to cataloged T0 and/or recovered feeds</x:v>
      </x:c>
      <x:c r="H789" s="4" t="str">
        <x:v>Forge hearth, Anvil, Forging hammer, Smithing tongs, Metalworking file and Hand-cranked metal drill as applicable. Existing workshop bootstrap and controlled heating/cooling required; no free-water quench assumed.</x:v>
      </x:c>
      <x:c r="I789" s="4" t="str">
        <x:v>Candidate path traced</x:v>
      </x:c>
      <x:c r="J789" s="4" t="str">
        <x:v>Dimensions, grade, process qualification, quantity and yield remain open.</x:v>
      </x:c>
    </x:row>
    <x:row r="790" ht="115" customHeight="1">
      <x:c r="A790" s="4" t="str">
        <x:v>proposal.collection.arc_gun_discharge_cartridge</x:v>
      </x:c>
      <x:c r="B790" s="4" t="str">
        <x:f>IFERROR(INDEX(Items!$B$6:$B$1005,MATCH(A790,Items!$A$6:$A$1005,0)),"MISSING ID")</x:f>
        <x:v>Arc-gun discharge cartridge</x:v>
      </x:c>
      <x:c r="C790" s="4" t="str">
        <x:f>IFERROR(INDEX(Items!$X$6:$X$1005,MATCH(A790,Items!$A$6:$A$1005,0)),"MISSING ID")</x:f>
        <x:v>Ammunition</x:v>
      </x:c>
      <x:c r="D790" s="4" t="str">
        <x:f>IFERROR(INDEX(Items!$C$6:$C$1005,MATCH(A790,Items!$A$6:$A$1005,0)),"MISSING ID")</x:f>
        <x:v>Not applicable</x:v>
      </x:c>
      <x:c r="E790" s="4" t="str">
        <x:v>Finished endpoint</x:v>
      </x:c>
      <x:c r="F790" s="14" t="n">
        <x:f>IFERROR(INDEX(Items!$AJ$6:$AJ$1005,MATCH(A790,Items!$A$6:$A$1005,0)),"MISSING ID")</x:f>
        <x:v>1</x:v>
      </x:c>
      <x:c r="G790" s="4" t="str">
        <x:v>Traced to cataloged T0 and/or recovered feeds</x:v>
      </x:c>
      <x:c r="H790" s="4" t="str">
        <x:v>Forge hearth, Anvil, Forging hammer, Smithing tongs, Metalworking file and Hand-cranked metal drill as applicable. Existing workshop bootstrap and controlled heating/cooling required; no free-water quench assumed.</x:v>
      </x:c>
      <x:c r="I790" s="4" t="str">
        <x:v>Candidate path traced</x:v>
      </x:c>
      <x:c r="J790" s="4" t="str">
        <x:v>Dimensions, grade, process qualification, quantity and yield remain open.</x:v>
      </x:c>
    </x:row>
    <x:row r="791" ht="115" customHeight="1">
      <x:c r="A791" s="4" t="str">
        <x:v>proposal.collection.laser_blaster_power_cassette</x:v>
      </x:c>
      <x:c r="B791" s="4" t="str">
        <x:f>IFERROR(INDEX(Items!$B$6:$B$1005,MATCH(A791,Items!$A$6:$A$1005,0)),"MISSING ID")</x:f>
        <x:v>Laser-blaster power cassette</x:v>
      </x:c>
      <x:c r="C791" s="4" t="str">
        <x:f>IFERROR(INDEX(Items!$X$6:$X$1005,MATCH(A791,Items!$A$6:$A$1005,0)),"MISSING ID")</x:f>
        <x:v>Ammunition</x:v>
      </x:c>
      <x:c r="D791" s="4" t="str">
        <x:f>IFERROR(INDEX(Items!$C$6:$C$1005,MATCH(A791,Items!$A$6:$A$1005,0)),"MISSING ID")</x:f>
        <x:v>Not applicable</x:v>
      </x:c>
      <x:c r="E791" s="4" t="str">
        <x:v>Recovery</x:v>
      </x:c>
      <x:c r="F791" s="14" t="n">
        <x:f>IFERROR(INDEX(Items!$AJ$6:$AJ$1005,MATCH(A791,Items!$A$6:$A$1005,0)),"MISSING ID")</x:f>
        <x:v>0</x:v>
      </x:c>
      <x:c r="G791" s="4" t="str">
        <x:v>Source, recovery or issue route applies</x:v>
      </x:c>
      <x:c r="H791" s="4" t="str">
        <x:v>Not a selected manufacturing route</x:v>
      </x:c>
      <x:c r="I791" s="4" t="str">
        <x:v>Recovery only</x:v>
      </x:c>
      <x:c r="J791" s="4" t="str">
        <x:v>Recover and assess a compatible item. No manufacturing route or guaranteed working function.</x:v>
      </x:c>
    </x:row>
    <x:row r="792" ht="115" customHeight="1">
      <x:c r="A792" s="4" t="str">
        <x:v>proposal.collection.laser_sword_energy_insert</x:v>
      </x:c>
      <x:c r="B792" s="4" t="str">
        <x:f>IFERROR(INDEX(Items!$B$6:$B$1005,MATCH(A792,Items!$A$6:$A$1005,0)),"MISSING ID")</x:f>
        <x:v>Laser-sword energy insert</x:v>
      </x:c>
      <x:c r="C792" s="4" t="str">
        <x:f>IFERROR(INDEX(Items!$X$6:$X$1005,MATCH(A792,Items!$A$6:$A$1005,0)),"MISSING ID")</x:f>
        <x:v>Ammunition</x:v>
      </x:c>
      <x:c r="D792" s="4" t="str">
        <x:f>IFERROR(INDEX(Items!$C$6:$C$1005,MATCH(A792,Items!$A$6:$A$1005,0)),"MISSING ID")</x:f>
        <x:v>Not applicable</x:v>
      </x:c>
      <x:c r="E792" s="4" t="str">
        <x:v>Recovery</x:v>
      </x:c>
      <x:c r="F792" s="14" t="n">
        <x:f>IFERROR(INDEX(Items!$AJ$6:$AJ$1005,MATCH(A792,Items!$A$6:$A$1005,0)),"MISSING ID")</x:f>
        <x:v>0</x:v>
      </x:c>
      <x:c r="G792" s="4" t="str">
        <x:v>Source, recovery or issue route applies</x:v>
      </x:c>
      <x:c r="H792" s="4" t="str">
        <x:v>Not a selected manufacturing route</x:v>
      </x:c>
      <x:c r="I792" s="4" t="str">
        <x:v>Recovery only</x:v>
      </x:c>
      <x:c r="J792" s="4" t="str">
        <x:v>Recover and assess a compatible item. No manufacturing route or guaranteed working function.</x:v>
      </x:c>
    </x:row>
    <x:row r="793" ht="115" customHeight="1">
      <x:c r="A793" s="4" t="str">
        <x:v>proposal.collection.ancient_pulse_rifle_cell</x:v>
      </x:c>
      <x:c r="B793" s="4" t="str">
        <x:f>IFERROR(INDEX(Items!$B$6:$B$1005,MATCH(A793,Items!$A$6:$A$1005,0)),"MISSING ID")</x:f>
        <x:v>Ancient pulse-rifle cell</x:v>
      </x:c>
      <x:c r="C793" s="4" t="str">
        <x:f>IFERROR(INDEX(Items!$X$6:$X$1005,MATCH(A793,Items!$A$6:$A$1005,0)),"MISSING ID")</x:f>
        <x:v>Ammunition</x:v>
      </x:c>
      <x:c r="D793" s="4" t="str">
        <x:f>IFERROR(INDEX(Items!$C$6:$C$1005,MATCH(A793,Items!$A$6:$A$1005,0)),"MISSING ID")</x:f>
        <x:v>Not applicable</x:v>
      </x:c>
      <x:c r="E793" s="4" t="str">
        <x:v>Recovery</x:v>
      </x:c>
      <x:c r="F793" s="14" t="n">
        <x:f>IFERROR(INDEX(Items!$AJ$6:$AJ$1005,MATCH(A793,Items!$A$6:$A$1005,0)),"MISSING ID")</x:f>
        <x:v>0</x:v>
      </x:c>
      <x:c r="G793" s="4" t="str">
        <x:v>Source, recovery or issue route applies</x:v>
      </x:c>
      <x:c r="H793" s="4" t="str">
        <x:v>Not a selected manufacturing route</x:v>
      </x:c>
      <x:c r="I793" s="4" t="str">
        <x:v>Recovery only</x:v>
      </x:c>
      <x:c r="J793" s="4" t="str">
        <x:v>Recover and assess a compatible item. No manufacturing route or guaranteed working function.</x:v>
      </x:c>
    </x:row>
    <x:row r="794" ht="115" customHeight="1">
      <x:c r="A794" s="4" t="str">
        <x:v>proposal.collection.ancient_plasma_lance_charge</x:v>
      </x:c>
      <x:c r="B794" s="4" t="str">
        <x:f>IFERROR(INDEX(Items!$B$6:$B$1005,MATCH(A794,Items!$A$6:$A$1005,0)),"MISSING ID")</x:f>
        <x:v>Ancient plasma-lance charge</x:v>
      </x:c>
      <x:c r="C794" s="4" t="str">
        <x:f>IFERROR(INDEX(Items!$X$6:$X$1005,MATCH(A794,Items!$A$6:$A$1005,0)),"MISSING ID")</x:f>
        <x:v>Ammunition</x:v>
      </x:c>
      <x:c r="D794" s="4" t="str">
        <x:f>IFERROR(INDEX(Items!$C$6:$C$1005,MATCH(A794,Items!$A$6:$A$1005,0)),"MISSING ID")</x:f>
        <x:v>Not applicable</x:v>
      </x:c>
      <x:c r="E794" s="4" t="str">
        <x:v>Recovery</x:v>
      </x:c>
      <x:c r="F794" s="14" t="n">
        <x:f>IFERROR(INDEX(Items!$AJ$6:$AJ$1005,MATCH(A794,Items!$A$6:$A$1005,0)),"MISSING ID")</x:f>
        <x:v>0</x:v>
      </x:c>
      <x:c r="G794" s="4" t="str">
        <x:v>Source, recovery or issue route applies</x:v>
      </x:c>
      <x:c r="H794" s="4" t="str">
        <x:v>Not a selected manufacturing route</x:v>
      </x:c>
      <x:c r="I794" s="4" t="str">
        <x:v>Recovery only</x:v>
      </x:c>
      <x:c r="J794" s="4" t="str">
        <x:v>Recover and assess a compatible item. No manufacturing route or guaranteed working function.</x:v>
      </x:c>
    </x:row>
    <x:row r="795" ht="115" customHeight="1">
      <x:c r="A795" s="4" t="str">
        <x:v>proposal.collection.ancient_microrocket_cluster</x:v>
      </x:c>
      <x:c r="B795" s="4" t="str">
        <x:f>IFERROR(INDEX(Items!$B$6:$B$1005,MATCH(A795,Items!$A$6:$A$1005,0)),"MISSING ID")</x:f>
        <x:v>Ancient microrocket cluster</x:v>
      </x:c>
      <x:c r="C795" s="4" t="str">
        <x:f>IFERROR(INDEX(Items!$X$6:$X$1005,MATCH(A795,Items!$A$6:$A$1005,0)),"MISSING ID")</x:f>
        <x:v>Ammunition</x:v>
      </x:c>
      <x:c r="D795" s="4" t="str">
        <x:f>IFERROR(INDEX(Items!$C$6:$C$1005,MATCH(A795,Items!$A$6:$A$1005,0)),"MISSING ID")</x:f>
        <x:v>Not applicable</x:v>
      </x:c>
      <x:c r="E795" s="4" t="str">
        <x:v>Recovery</x:v>
      </x:c>
      <x:c r="F795" s="14" t="n">
        <x:f>IFERROR(INDEX(Items!$AJ$6:$AJ$1005,MATCH(A795,Items!$A$6:$A$1005,0)),"MISSING ID")</x:f>
        <x:v>0</x:v>
      </x:c>
      <x:c r="G795" s="4" t="str">
        <x:v>Source, recovery or issue route applies</x:v>
      </x:c>
      <x:c r="H795" s="4" t="str">
        <x:v>Not a selected manufacturing route</x:v>
      </x:c>
      <x:c r="I795" s="4" t="str">
        <x:v>Recovery only</x:v>
      </x:c>
      <x:c r="J795" s="4" t="str">
        <x:v>Recover and assess a compatible item. No manufacturing route or guaranteed working function.</x:v>
      </x:c>
    </x:row>
    <x:row r="796" ht="115" customHeight="1">
      <x:c r="A796" s="4" t="str">
        <x:v>proposal.collection.ancient_sonic_pulse_pack</x:v>
      </x:c>
      <x:c r="B796" s="4" t="str">
        <x:f>IFERROR(INDEX(Items!$B$6:$B$1005,MATCH(A796,Items!$A$6:$A$1005,0)),"MISSING ID")</x:f>
        <x:v>Ancient sonic pulse pack</x:v>
      </x:c>
      <x:c r="C796" s="4" t="str">
        <x:f>IFERROR(INDEX(Items!$X$6:$X$1005,MATCH(A796,Items!$A$6:$A$1005,0)),"MISSING ID")</x:f>
        <x:v>Ammunition</x:v>
      </x:c>
      <x:c r="D796" s="4" t="str">
        <x:f>IFERROR(INDEX(Items!$C$6:$C$1005,MATCH(A796,Items!$A$6:$A$1005,0)),"MISSING ID")</x:f>
        <x:v>Not applicable</x:v>
      </x:c>
      <x:c r="E796" s="4" t="str">
        <x:v>Recovery</x:v>
      </x:c>
      <x:c r="F796" s="14" t="n">
        <x:f>IFERROR(INDEX(Items!$AJ$6:$AJ$1005,MATCH(A796,Items!$A$6:$A$1005,0)),"MISSING ID")</x:f>
        <x:v>0</x:v>
      </x:c>
      <x:c r="G796" s="4" t="str">
        <x:v>Source, recovery or issue route applies</x:v>
      </x:c>
      <x:c r="H796" s="4" t="str">
        <x:v>Not a selected manufacturing route</x:v>
      </x:c>
      <x:c r="I796" s="4" t="str">
        <x:v>Recovery only</x:v>
      </x:c>
      <x:c r="J796" s="4" t="str">
        <x:v>Recover and assess a compatible item. No manufacturing route or guaranteed working function.</x:v>
      </x:c>
    </x:row>
    <x:row r="797" ht="115" customHeight="1">
      <x:c r="A797" s="4" t="str">
        <x:v>proposal.audit.selected_culinary_salt_crystals</x:v>
      </x:c>
      <x:c r="B797" s="4" t="str">
        <x:f>IFERROR(INDEX(Items!$B$6:$B$1005,MATCH(A797,Items!$A$6:$A$1005,0)),"MISSING ID")</x:f>
        <x:v>Selected culinary salt crystals</x:v>
      </x:c>
      <x:c r="C797" s="4" t="str">
        <x:f>IFERROR(INDEX(Items!$X$6:$X$1005,MATCH(A797,Items!$A$6:$A$1005,0)),"MISSING ID")</x:f>
        <x:v>Raw material</x:v>
      </x:c>
      <x:c r="D797" s="4" t="str">
        <x:f>IFERROR(INDEX(Items!$C$6:$C$1005,MATCH(A797,Items!$A$6:$A$1005,0)),"MISSING ID")</x:f>
        <x:v>T0</x:v>
      </x:c>
      <x:c r="E797" s="4" t="str">
        <x:v>Raw source</x:v>
      </x:c>
      <x:c r="F797" s="14" t="n">
        <x:f>IFERROR(INDEX(Items!$AJ$6:$AJ$1005,MATCH(A797,Items!$A$6:$A$1005,0)),"MISSING ID")</x:f>
        <x:v>0</x:v>
      </x:c>
      <x:c r="G797" s="4" t="str">
        <x:v>Source, recovery or issue route applies</x:v>
      </x:c>
      <x:c r="H797" s="4" t="str">
        <x:v>Not a selected manufacturing route</x:v>
      </x:c>
      <x:c r="I797" s="4" t="str">
        <x:v>Raw entry feed</x:v>
      </x:c>
      <x:c r="J797" s="4" t="str">
        <x:v>Selected culinary salt crystals. Species/culture/mineral selection and edibility require design. No toxic industrial fraction is assumed edible.</x:v>
      </x:c>
    </x:row>
    <x:row r="798" ht="115" customHeight="1">
      <x:c r="A798" s="4"/>
      <x:c r="B798" s="4"/>
      <x:c r="C798" s="4"/>
      <x:c r="D798" s="4"/>
      <x:c r="E798" s="4"/>
      <x:c r="F798" s="14"/>
      <x:c r="G798" s="4"/>
      <x:c r="H798" s="4"/>
      <x:c r="I798" s="4"/>
      <x:c r="J798" s="4"/>
    </x:row>
    <x:row r="799" ht="115" customHeight="1">
      <x:c r="A799" s="4" t="str">
        <x:v>proposal.audit.contained_dry_working_gas</x:v>
      </x:c>
      <x:c r="B799" s="4" t="str">
        <x:f>IFERROR(INDEX(Items!$B$6:$B$1005,MATCH(A799,Items!$A$6:$A$1005,0)),"MISSING ID")</x:f>
        <x:v>Contained dry working gas</x:v>
      </x:c>
      <x:c r="C799" s="4" t="str">
        <x:f>IFERROR(INDEX(Items!$X$6:$X$1005,MATCH(A799,Items!$A$6:$A$1005,0)),"MISSING ID")</x:f>
        <x:v>Raw material</x:v>
      </x:c>
      <x:c r="D799" s="4" t="str">
        <x:f>IFERROR(INDEX(Items!$C$6:$C$1005,MATCH(A799,Items!$A$6:$A$1005,0)),"MISSING ID")</x:f>
        <x:v>T0</x:v>
      </x:c>
      <x:c r="E799" s="4" t="str">
        <x:v>Raw source</x:v>
      </x:c>
      <x:c r="F799" s="14" t="n">
        <x:f>IFERROR(INDEX(Items!$AJ$6:$AJ$1005,MATCH(A799,Items!$A$6:$A$1005,0)),"MISSING ID")</x:f>
        <x:v>0</x:v>
      </x:c>
      <x:c r="G799" s="4" t="str">
        <x:v>Source, recovery or issue route applies</x:v>
      </x:c>
      <x:c r="H799" s="4" t="str">
        <x:v>Not a selected manufacturing route</x:v>
      </x:c>
      <x:c r="I799" s="4" t="str">
        <x:v>Raw entry feed</x:v>
      </x:c>
      <x:c r="J799" s="4" t="str">
        <x:v>Contained dry working gas. Operating principle, working medium, controls and service qualification remain unresolved.</x:v>
      </x:c>
    </x:row>
    <x:row r="800" ht="115" customHeight="1">
      <x:c r="A800" s="4" t="str">
        <x:v>proposal.audit.screened_remanent_magnet_pieces</x:v>
      </x:c>
      <x:c r="B800" s="4" t="str">
        <x:f>IFERROR(INDEX(Items!$B$6:$B$1005,MATCH(A800,Items!$A$6:$A$1005,0)),"MISSING ID")</x:f>
        <x:v>Screened remanent magnet pieces</x:v>
      </x:c>
      <x:c r="C800" s="4" t="str">
        <x:f>IFERROR(INDEX(Items!$X$6:$X$1005,MATCH(A800,Items!$A$6:$A$1005,0)),"MISSING ID")</x:f>
        <x:v>Processed material</x:v>
      </x:c>
      <x:c r="D800" s="4" t="str">
        <x:f>IFERROR(INDEX(Items!$C$6:$C$1005,MATCH(A800,Items!$A$6:$A$1005,0)),"MISSING ID")</x:f>
        <x:v>T1</x:v>
      </x:c>
      <x:c r="E800" s="4" t="str">
        <x:v>Manufactured stock / part</x:v>
      </x:c>
      <x:c r="F800" s="14" t="n">
        <x:f>IFERROR(INDEX(Items!$AJ$6:$AJ$1005,MATCH(A800,Items!$A$6:$A$1005,0)),"MISSING ID")</x:f>
        <x:v>1</x:v>
      </x:c>
      <x:c r="G800" s="4" t="str">
        <x:v>Traced to cataloged T0 and/or recovered feeds</x:v>
      </x:c>
      <x:c r="H800" s="4" t="str">
        <x:v>Forge hearth, Anvil, Forging hammer, Smithing tongs, Metalworking file and Hand-cranked metal drill as applicable. Existing workshop bootstrap and controlled heating/cooling required; no free-water quench assumed.</x:v>
      </x:c>
      <x:c r="I800" s="4" t="str">
        <x:v>Candidate path traced</x:v>
      </x:c>
      <x:c r="J800" s="4" t="str">
        <x:v>Dimensions, grade, process qualification, quantity and yield remain open.</x:v>
      </x:c>
    </x:row>
    <x:row r="801" ht="115" customHeight="1">
      <x:c r="A801" s="4" t="str">
        <x:v>proposal.audit.pressed_hide_fastening_strips</x:v>
      </x:c>
      <x:c r="B801" s="4" t="str">
        <x:f>IFERROR(INDEX(Items!$B$6:$B$1005,MATCH(A801,Items!$A$6:$A$1005,0)),"MISSING ID")</x:f>
        <x:v>Pressed hide fastening strips</x:v>
      </x:c>
      <x:c r="C801" s="4" t="str">
        <x:f>IFERROR(INDEX(Items!$X$6:$X$1005,MATCH(A801,Items!$A$6:$A$1005,0)),"MISSING ID")</x:f>
        <x:v>Processed material</x:v>
      </x:c>
      <x:c r="D801" s="4" t="str">
        <x:f>IFERROR(INDEX(Items!$C$6:$C$1005,MATCH(A801,Items!$A$6:$A$1005,0)),"MISSING ID")</x:f>
        <x:v>T2</x:v>
      </x:c>
      <x:c r="E801" s="4" t="str">
        <x:v>Manufactured stock / part</x:v>
      </x:c>
      <x:c r="F801" s="14" t="n">
        <x:f>IFERROR(INDEX(Items!$AJ$6:$AJ$1005,MATCH(A801,Items!$A$6:$A$1005,0)),"MISSING ID")</x:f>
        <x:v>1</x:v>
      </x:c>
      <x:c r="G801" s="4" t="str">
        <x:v>Traced to cataloged T0 and/or recovered feeds</x:v>
      </x:c>
      <x:c r="H801" s="4" t="str">
        <x:v>Husk-sheet cutting shears, pressure fixtures and dedicated preparation surfaces. Very low hide/fur yield; no ordinary cloth or plant inputs.</x:v>
      </x:c>
      <x:c r="I801" s="4" t="str">
        <x:v>Candidate path traced</x:v>
      </x:c>
      <x:c r="J801" s="4" t="str">
        <x:v>Dimensions, grade, process qualification, quantity and yield remain open.</x:v>
      </x:c>
    </x:row>
    <x:row r="802" ht="115" customHeight="1">
      <x:c r="A802" s="4" t="str">
        <x:v>proposal.audit.drawn_steel_music_wire_stock</x:v>
      </x:c>
      <x:c r="B802" s="4" t="str">
        <x:f>IFERROR(INDEX(Items!$B$6:$B$1005,MATCH(A802,Items!$A$6:$A$1005,0)),"MISSING ID")</x:f>
        <x:v>Drawn steel music-wire stock</x:v>
      </x:c>
      <x:c r="C802" s="4" t="str">
        <x:f>IFERROR(INDEX(Items!$X$6:$X$1005,MATCH(A802,Items!$A$6:$A$1005,0)),"MISSING ID")</x:f>
        <x:v>Processed material</x:v>
      </x:c>
      <x:c r="D802" s="4" t="str">
        <x:f>IFERROR(INDEX(Items!$C$6:$C$1005,MATCH(A802,Items!$A$6:$A$1005,0)),"MISSING ID")</x:f>
        <x:v>T4</x:v>
      </x:c>
      <x:c r="E802" s="4" t="str">
        <x:v>Manufactured stock / part</x:v>
      </x:c>
      <x:c r="F802" s="14" t="n">
        <x:f>IFERROR(INDEX(Items!$AJ$6:$AJ$1005,MATCH(A802,Items!$A$6:$A$1005,0)),"MISSING ID")</x:f>
        <x:v>1</x:v>
      </x:c>
      <x:c r="G802" s="4" t="str">
        <x:v>Traced to cataloged T0 and/or recovered feeds</x:v>
      </x:c>
      <x:c r="H802" s="4" t="str">
        <x:v>Forge hearth, Anvil, Forging hammer, Smithing tongs, Metalworking file and Hand-cranked metal drill as applicable. Existing workshop bootstrap and controlled heating/cooling required; no free-water quench assumed.</x:v>
      </x:c>
      <x:c r="I802" s="4" t="str">
        <x:v>Candidate path traced</x:v>
      </x:c>
      <x:c r="J802" s="4" t="str">
        <x:v>Dimensions, grade, process qualification, quantity and yield remain open.</x:v>
      </x:c>
    </x:row>
    <x:row r="803" ht="115" customHeight="1">
      <x:c r="A803" s="4" t="str">
        <x:v>proposal.audit.mineral_cell_electrolyte_candidate</x:v>
      </x:c>
      <x:c r="B803" s="4" t="str">
        <x:f>IFERROR(INDEX(Items!$B$6:$B$1005,MATCH(A803,Items!$A$6:$A$1005,0)),"MISSING ID")</x:f>
        <x:v>Mineral-cell electrolyte candidate</x:v>
      </x:c>
      <x:c r="C803" s="4" t="str">
        <x:f>IFERROR(INDEX(Items!$X$6:$X$1005,MATCH(A803,Items!$A$6:$A$1005,0)),"MISSING ID")</x:f>
        <x:v>Chemical material</x:v>
      </x:c>
      <x:c r="D803" s="4" t="str">
        <x:f>IFERROR(INDEX(Items!$C$6:$C$1005,MATCH(A803,Items!$A$6:$A$1005,0)),"MISSING ID")</x:f>
        <x:v>T2</x:v>
      </x:c>
      <x:c r="E803" s="4" t="str">
        <x:v>Manufactured stock / part</x:v>
      </x:c>
      <x:c r="F803" s="14" t="n">
        <x:f>IFERROR(INDEX(Items!$AJ$6:$AJ$1005,MATCH(A803,Items!$A$6:$A$1005,0)),"MISSING ID")</x:f>
        <x:v>1</x:v>
      </x:c>
      <x:c r="G803" s="4" t="str">
        <x:v>Traced to cataloged T0 and/or recovered feeds</x:v>
      </x:c>
      <x:c r="H803" s="4" t="str">
        <x:v>Specialist engineering workshop; insulation, pressure or control qualification as applicable. Power/working medium and operating theory unresolved.</x:v>
      </x:c>
      <x:c r="I803" s="4" t="str">
        <x:v>Research / source gated</x:v>
      </x:c>
      <x:c r="J803" s="4" t="str">
        <x:v>Mineral-cell electrolyte candidate. Reagent identity, contained carrier, reaction/selectivity, compatibility and process yield require qualification.</x:v>
      </x:c>
    </x:row>
    <x:row r="804" ht="115" customHeight="1">
      <x:c r="A804" s="4" t="str">
        <x:v>proposal.audit.graphite_electrode_plate_stock</x:v>
      </x:c>
      <x:c r="B804" s="4" t="str">
        <x:f>IFERROR(INDEX(Items!$B$6:$B$1005,MATCH(A804,Items!$A$6:$A$1005,0)),"MISSING ID")</x:f>
        <x:v>Graphite electrode plate stock</x:v>
      </x:c>
      <x:c r="C804" s="4" t="str">
        <x:f>IFERROR(INDEX(Items!$X$6:$X$1005,MATCH(A804,Items!$A$6:$A$1005,0)),"MISSING ID")</x:f>
        <x:v>Processed material</x:v>
      </x:c>
      <x:c r="D804" s="4" t="str">
        <x:f>IFERROR(INDEX(Items!$C$6:$C$1005,MATCH(A804,Items!$A$6:$A$1005,0)),"MISSING ID")</x:f>
        <x:v>T2</x:v>
      </x:c>
      <x:c r="E804" s="4" t="str">
        <x:v>Manufactured stock / part</x:v>
      </x:c>
      <x:c r="F804" s="14" t="n">
        <x:f>IFERROR(INDEX(Items!$AJ$6:$AJ$1005,MATCH(A804,Items!$A$6:$A$1005,0)),"MISSING ID")</x:f>
        <x:v>1</x:v>
      </x:c>
      <x:c r="G804" s="4" t="str">
        <x:v>Traced to cataloged T0 and/or recovered feeds</x:v>
      </x:c>
      <x:c r="H804" s="4" t="str">
        <x:v>Forge hearth, Anvil, Forging hammer, Smithing tongs, Metalworking file and Hand-cranked metal drill as applicable. Existing workshop bootstrap and controlled heating/cooling required; no free-water quench assumed.</x:v>
      </x:c>
      <x:c r="I804" s="4" t="str">
        <x:v>Candidate path traced</x:v>
      </x:c>
      <x:c r="J804" s="4" t="str">
        <x:v>Dimensions, grade, process qualification, quantity and yield remain open.</x:v>
      </x:c>
    </x:row>
    <x:row r="805" ht="115" customHeight="1">
      <x:c r="A805" s="4"/>
      <x:c r="B805" s="4"/>
      <x:c r="C805" s="4"/>
      <x:c r="D805" s="4"/>
      <x:c r="E805" s="4"/>
      <x:c r="F805" s="14"/>
      <x:c r="G805" s="4"/>
      <x:c r="H805" s="4"/>
      <x:c r="I805" s="4"/>
      <x:c r="J805" s="4"/>
    </x:row>
    <x:row r="806" ht="115" customHeight="1">
      <x:c r="A806" s="4" t="str">
        <x:v>proposal.audit.shaped_metal_grip_blank</x:v>
      </x:c>
      <x:c r="B806" s="4" t="str">
        <x:f>IFERROR(INDEX(Items!$B$6:$B$1005,MATCH(A806,Items!$A$6:$A$1005,0)),"MISSING ID")</x:f>
        <x:v>Shaped metal grip blank</x:v>
      </x:c>
      <x:c r="C806" s="4" t="str">
        <x:f>IFERROR(INDEX(Items!$X$6:$X$1005,MATCH(A806,Items!$A$6:$A$1005,0)),"MISSING ID")</x:f>
        <x:v>Crafting component</x:v>
      </x:c>
      <x:c r="D806" s="4" t="str">
        <x:f>IFERROR(INDEX(Items!$C$6:$C$1005,MATCH(A806,Items!$A$6:$A$1005,0)),"MISSING ID")</x:f>
        <x:v>T3</x:v>
      </x:c>
      <x:c r="E806" s="4" t="str">
        <x:v>Manufactured stock / part</x:v>
      </x:c>
      <x:c r="F806" s="14" t="n">
        <x:f>IFERROR(INDEX(Items!$AJ$6:$AJ$1005,MATCH(A806,Items!$A$6:$A$1005,0)),"MISSING ID")</x:f>
        <x:v>1</x:v>
      </x:c>
      <x:c r="G806" s="4" t="str">
        <x:v>Traced to cataloged T0 and/or recovered feeds</x:v>
      </x:c>
      <x:c r="H806" s="4" t="str">
        <x:v>Forge hearth, Anvil, Forging hammer, Smithing tongs, Metalworking file and Hand-cranked metal drill as applicable. Existing workshop bootstrap and controlled heating/cooling required; no free-water quench assumed.</x:v>
      </x:c>
      <x:c r="I806" s="4" t="str">
        <x:v>Candidate path traced</x:v>
      </x:c>
      <x:c r="J806" s="4" t="str">
        <x:v>Dimensions, grade, process qualification, quantity and yield remain open.</x:v>
      </x:c>
    </x:row>
    <x:row r="807" ht="115" customHeight="1">
      <x:c r="A807" s="4" t="str">
        <x:v>proposal.audit.linked_steel_mail_rings</x:v>
      </x:c>
      <x:c r="B807" s="4" t="str">
        <x:f>IFERROR(INDEX(Items!$B$6:$B$1005,MATCH(A807,Items!$A$6:$A$1005,0)),"MISSING ID")</x:f>
        <x:v>Linked steel mail rings</x:v>
      </x:c>
      <x:c r="C807" s="4" t="str">
        <x:f>IFERROR(INDEX(Items!$X$6:$X$1005,MATCH(A807,Items!$A$6:$A$1005,0)),"MISSING ID")</x:f>
        <x:v>Crafting component</x:v>
      </x:c>
      <x:c r="D807" s="4" t="str">
        <x:f>IFERROR(INDEX(Items!$C$6:$C$1005,MATCH(A807,Items!$A$6:$A$1005,0)),"MISSING ID")</x:f>
        <x:v>T4</x:v>
      </x:c>
      <x:c r="E807" s="4" t="str">
        <x:v>Manufactured stock / part</x:v>
      </x:c>
      <x:c r="F807" s="14" t="n">
        <x:f>IFERROR(INDEX(Items!$AJ$6:$AJ$1005,MATCH(A807,Items!$A$6:$A$1005,0)),"MISSING ID")</x:f>
        <x:v>1</x:v>
      </x:c>
      <x:c r="G807" s="4" t="str">
        <x:v>Traced to cataloged T0 and/or recovered feeds</x:v>
      </x:c>
      <x:c r="H807" s="4" t="str">
        <x:v>Forge hearth, Anvil, Forging hammer, Smithing tongs, Metalworking file and Hand-cranked metal drill as applicable. Existing workshop bootstrap and controlled heating/cooling required; no free-water quench assumed.</x:v>
      </x:c>
      <x:c r="I807" s="4" t="str">
        <x:v>Candidate path traced</x:v>
      </x:c>
      <x:c r="J807" s="4" t="str">
        <x:v>Dimensions, grade, process qualification, quantity and yield remain open.</x:v>
      </x:c>
    </x:row>
    <x:row r="808" ht="115" customHeight="1">
      <x:c r="A808" s="4" t="str">
        <x:v>proposal.audit.small_metal_hinge_pair</x:v>
      </x:c>
      <x:c r="B808" s="4" t="str">
        <x:f>IFERROR(INDEX(Items!$B$6:$B$1005,MATCH(A808,Items!$A$6:$A$1005,0)),"MISSING ID")</x:f>
        <x:v>Small metal hinge pair</x:v>
      </x:c>
      <x:c r="C808" s="4" t="str">
        <x:f>IFERROR(INDEX(Items!$X$6:$X$1005,MATCH(A808,Items!$A$6:$A$1005,0)),"MISSING ID")</x:f>
        <x:v>Crafting component</x:v>
      </x:c>
      <x:c r="D808" s="4" t="str">
        <x:f>IFERROR(INDEX(Items!$C$6:$C$1005,MATCH(A808,Items!$A$6:$A$1005,0)),"MISSING ID")</x:f>
        <x:v>T3</x:v>
      </x:c>
      <x:c r="E808" s="4" t="str">
        <x:v>Manufactured stock / part</x:v>
      </x:c>
      <x:c r="F808" s="14" t="n">
        <x:f>IFERROR(INDEX(Items!$AJ$6:$AJ$1005,MATCH(A808,Items!$A$6:$A$1005,0)),"MISSING ID")</x:f>
        <x:v>1</x:v>
      </x:c>
      <x:c r="G808" s="4" t="str">
        <x:v>Traced to cataloged T0 and/or recovered feeds</x:v>
      </x:c>
      <x:c r="H808" s="4" t="str">
        <x:v>Forge hearth, Anvil, Forging hammer, Smithing tongs, Metalworking file and Hand-cranked metal drill as applicable. Existing workshop bootstrap and controlled heating/cooling required; no free-water quench assumed.</x:v>
      </x:c>
      <x:c r="I808" s="4" t="str">
        <x:v>Candidate path traced</x:v>
      </x:c>
      <x:c r="J808" s="4" t="str">
        <x:v>Dimensions, grade, process qualification, quantity and yield remain open.</x:v>
      </x:c>
    </x:row>
    <x:row r="809" ht="115" customHeight="1">
      <x:c r="A809" s="4" t="str">
        <x:v>proposal.audit.bent_wire_spectacle_frame</x:v>
      </x:c>
      <x:c r="B809" s="4" t="str">
        <x:f>IFERROR(INDEX(Items!$B$6:$B$1005,MATCH(A809,Items!$A$6:$A$1005,0)),"MISSING ID")</x:f>
        <x:v>Bent-wire spectacle frame</x:v>
      </x:c>
      <x:c r="C809" s="4" t="str">
        <x:f>IFERROR(INDEX(Items!$X$6:$X$1005,MATCH(A809,Items!$A$6:$A$1005,0)),"MISSING ID")</x:f>
        <x:v>Crafting component</x:v>
      </x:c>
      <x:c r="D809" s="4" t="str">
        <x:f>IFERROR(INDEX(Items!$C$6:$C$1005,MATCH(A809,Items!$A$6:$A$1005,0)),"MISSING ID")</x:f>
        <x:v>T3</x:v>
      </x:c>
      <x:c r="E809" s="4" t="str">
        <x:v>Manufactured stock / part</x:v>
      </x:c>
      <x:c r="F809" s="14" t="n">
        <x:f>IFERROR(INDEX(Items!$AJ$6:$AJ$1005,MATCH(A809,Items!$A$6:$A$1005,0)),"MISSING ID")</x:f>
        <x:v>1</x:v>
      </x:c>
      <x:c r="G809" s="4" t="str">
        <x:v>Traced to cataloged T0 and/or recovered feeds</x:v>
      </x:c>
      <x:c r="H809" s="4" t="str">
        <x:v>Forge hearth, Anvil, Forging hammer, Smithing tongs, Metalworking file and Hand-cranked metal drill as applicable. Existing workshop bootstrap and controlled heating/cooling required; no free-water quench assumed.</x:v>
      </x:c>
      <x:c r="I809" s="4" t="str">
        <x:v>Candidate path traced</x:v>
      </x:c>
      <x:c r="J809" s="4" t="str">
        <x:v>Dimensions, grade, process qualification, quantity and yield remain open.</x:v>
      </x:c>
    </x:row>
    <x:row r="810" ht="115" customHeight="1">
      <x:c r="A810" s="4"/>
      <x:c r="B810" s="4"/>
      <x:c r="C810" s="4"/>
      <x:c r="D810" s="4"/>
      <x:c r="E810" s="4"/>
      <x:c r="F810" s="14"/>
      <x:c r="G810" s="4"/>
      <x:c r="H810" s="4"/>
      <x:c r="I810" s="4"/>
      <x:c r="J810" s="4"/>
    </x:row>
    <x:row r="811" ht="115" customHeight="1">
      <x:c r="A811" s="4" t="str">
        <x:v>proposal.audit.fired_ceramic_vessel_blank</x:v>
      </x:c>
      <x:c r="B811" s="4" t="str">
        <x:f>IFERROR(INDEX(Items!$B$6:$B$1005,MATCH(A811,Items!$A$6:$A$1005,0)),"MISSING ID")</x:f>
        <x:v>Fired ceramic vessel blank</x:v>
      </x:c>
      <x:c r="C811" s="4" t="str">
        <x:f>IFERROR(INDEX(Items!$X$6:$X$1005,MATCH(A811,Items!$A$6:$A$1005,0)),"MISSING ID")</x:f>
        <x:v>Crafting component</x:v>
      </x:c>
      <x:c r="D811" s="4" t="str">
        <x:f>IFERROR(INDEX(Items!$C$6:$C$1005,MATCH(A811,Items!$A$6:$A$1005,0)),"MISSING ID")</x:f>
        <x:v>T2</x:v>
      </x:c>
      <x:c r="E811" s="4" t="str">
        <x:v>Manufactured stock / part</x:v>
      </x:c>
      <x:c r="F811" s="14" t="n">
        <x:f>IFERROR(INDEX(Items!$AJ$6:$AJ$1005,MATCH(A811,Items!$A$6:$A$1005,0)),"MISSING ID")</x:f>
        <x:v>1</x:v>
      </x:c>
      <x:c r="G811" s="4" t="str">
        <x:v>Traced to cataloged T0 and/or recovered feeds</x:v>
      </x:c>
      <x:c r="H811" s="4" t="str">
        <x:v>Controlled-heating firing kiln or specialist glass hot-work station; Ceramic firing tray / Ceramic casting mold as applicable. Qualified power, heat and atmosphere required.</x:v>
      </x:c>
      <x:c r="I811" s="4" t="str">
        <x:v>Candidate path traced</x:v>
      </x:c>
      <x:c r="J811" s="4" t="str">
        <x:v>Dimensions, grade, process qualification, quantity and yield remain open.</x:v>
      </x:c>
    </x:row>
    <x:row r="812" ht="115" customHeight="1">
      <x:c r="A812" s="4" t="str">
        <x:v>proposal.audit.membrane_tension_hoop</x:v>
      </x:c>
      <x:c r="B812" s="4" t="str">
        <x:f>IFERROR(INDEX(Items!$B$6:$B$1005,MATCH(A812,Items!$A$6:$A$1005,0)),"MISSING ID")</x:f>
        <x:v>Membrane tension hoop</x:v>
      </x:c>
      <x:c r="C812" s="4" t="str">
        <x:f>IFERROR(INDEX(Items!$X$6:$X$1005,MATCH(A812,Items!$A$6:$A$1005,0)),"MISSING ID")</x:f>
        <x:v>Crafting component</x:v>
      </x:c>
      <x:c r="D812" s="4" t="str">
        <x:f>IFERROR(INDEX(Items!$C$6:$C$1005,MATCH(A812,Items!$A$6:$A$1005,0)),"MISSING ID")</x:f>
        <x:v>T3</x:v>
      </x:c>
      <x:c r="E812" s="4" t="str">
        <x:v>Manufactured stock / part</x:v>
      </x:c>
      <x:c r="F812" s="14" t="n">
        <x:f>IFERROR(INDEX(Items!$AJ$6:$AJ$1005,MATCH(A812,Items!$A$6:$A$1005,0)),"MISSING ID")</x:f>
        <x:v>1</x:v>
      </x:c>
      <x:c r="G812" s="4" t="str">
        <x:v>Traced to cataloged T0 and/or recovered feeds</x:v>
      </x:c>
      <x:c r="H812" s="4" t="str">
        <x:v>Forge hearth, Anvil, Forging hammer, Smithing tongs, Metalworking file and Hand-cranked metal drill as applicable. Existing workshop bootstrap and controlled heating/cooling required; no free-water quench assumed.</x:v>
      </x:c>
      <x:c r="I812" s="4" t="str">
        <x:v>Candidate path traced</x:v>
      </x:c>
      <x:c r="J812" s="4" t="str">
        <x:v>Dimensions, grade, process qualification, quantity and yield remain open.</x:v>
      </x:c>
    </x:row>
    <x:row r="813" ht="115" customHeight="1">
      <x:c r="A813" s="4"/>
      <x:c r="B813" s="4"/>
      <x:c r="C813" s="4"/>
      <x:c r="D813" s="4"/>
      <x:c r="E813" s="4"/>
      <x:c r="F813" s="14"/>
      <x:c r="G813" s="4"/>
      <x:c r="H813" s="4"/>
      <x:c r="I813" s="4"/>
      <x:c r="J813" s="4"/>
    </x:row>
    <x:row r="814" ht="115" customHeight="1">
      <x:c r="A814" s="4"/>
      <x:c r="B814" s="4"/>
      <x:c r="C814" s="4"/>
      <x:c r="D814" s="4"/>
      <x:c r="E814" s="4"/>
      <x:c r="F814" s="14"/>
      <x:c r="G814" s="4"/>
      <x:c r="H814" s="4"/>
      <x:c r="I814" s="4"/>
      <x:c r="J814" s="4"/>
    </x:row>
    <x:row r="815" ht="115" customHeight="1">
      <x:c r="A815" s="4" t="str">
        <x:v>proposal.audit.cut_metal_reed_set</x:v>
      </x:c>
      <x:c r="B815" s="4" t="str">
        <x:f>IFERROR(INDEX(Items!$B$6:$B$1005,MATCH(A815,Items!$A$6:$A$1005,0)),"MISSING ID")</x:f>
        <x:v>Cut metal reed set</x:v>
      </x:c>
      <x:c r="C815" s="4" t="str">
        <x:f>IFERROR(INDEX(Items!$X$6:$X$1005,MATCH(A815,Items!$A$6:$A$1005,0)),"MISSING ID")</x:f>
        <x:v>Crafting component</x:v>
      </x:c>
      <x:c r="D815" s="4" t="str">
        <x:f>IFERROR(INDEX(Items!$C$6:$C$1005,MATCH(A815,Items!$A$6:$A$1005,0)),"MISSING ID")</x:f>
        <x:v>T4</x:v>
      </x:c>
      <x:c r="E815" s="4" t="str">
        <x:v>Manufactured stock / part</x:v>
      </x:c>
      <x:c r="F815" s="14" t="n">
        <x:f>IFERROR(INDEX(Items!$AJ$6:$AJ$1005,MATCH(A815,Items!$A$6:$A$1005,0)),"MISSING ID")</x:f>
        <x:v>1</x:v>
      </x:c>
      <x:c r="G815" s="4" t="str">
        <x:v>Traced to cataloged T0 and/or recovered feeds</x:v>
      </x:c>
      <x:c r="H815" s="4" t="str">
        <x:v>Forge hearth, Anvil, Forging hammer, Smithing tongs, Metalworking file and Hand-cranked metal drill as applicable. Existing workshop bootstrap and controlled heating/cooling required; no free-water quench assumed.</x:v>
      </x:c>
      <x:c r="I815" s="4" t="str">
        <x:v>Candidate path traced</x:v>
      </x:c>
      <x:c r="J815" s="4" t="str">
        <x:v>Dimensions, grade, process qualification, quantity and yield remain open.</x:v>
      </x:c>
    </x:row>
    <x:row r="816" ht="115" customHeight="1">
      <x:c r="A816" s="4" t="str">
        <x:v>proposal.audit.ceramic_whistle_mouthpiece</x:v>
      </x:c>
      <x:c r="B816" s="4" t="str">
        <x:f>IFERROR(INDEX(Items!$B$6:$B$1005,MATCH(A816,Items!$A$6:$A$1005,0)),"MISSING ID")</x:f>
        <x:v>Ceramic whistle mouthpiece</x:v>
      </x:c>
      <x:c r="C816" s="4" t="str">
        <x:f>IFERROR(INDEX(Items!$X$6:$X$1005,MATCH(A816,Items!$A$6:$A$1005,0)),"MISSING ID")</x:f>
        <x:v>Crafting component</x:v>
      </x:c>
      <x:c r="D816" s="4" t="str">
        <x:f>IFERROR(INDEX(Items!$C$6:$C$1005,MATCH(A816,Items!$A$6:$A$1005,0)),"MISSING ID")</x:f>
        <x:v>T2</x:v>
      </x:c>
      <x:c r="E816" s="4" t="str">
        <x:v>Manufactured stock / part</x:v>
      </x:c>
      <x:c r="F816" s="14" t="n">
        <x:f>IFERROR(INDEX(Items!$AJ$6:$AJ$1005,MATCH(A816,Items!$A$6:$A$1005,0)),"MISSING ID")</x:f>
        <x:v>1</x:v>
      </x:c>
      <x:c r="G816" s="4" t="str">
        <x:v>Traced to cataloged T0 and/or recovered feeds</x:v>
      </x:c>
      <x:c r="H816" s="4" t="str">
        <x:v>Controlled-heating firing kiln or specialist glass hot-work station; Ceramic firing tray / Ceramic casting mold as applicable. Qualified power, heat and atmosphere required.</x:v>
      </x:c>
      <x:c r="I816" s="4" t="str">
        <x:v>Candidate path traced</x:v>
      </x:c>
      <x:c r="J816" s="4" t="str">
        <x:v>Dimensions, grade, process qualification, quantity and yield remain open.</x:v>
      </x:c>
    </x:row>
    <x:row r="817" ht="115" customHeight="1">
      <x:c r="A817" s="4" t="str">
        <x:v>proposal.audit.threaded_drive_screw</x:v>
      </x:c>
      <x:c r="B817" s="4" t="str">
        <x:f>IFERROR(INDEX(Items!$B$6:$B$1005,MATCH(A817,Items!$A$6:$A$1005,0)),"MISSING ID")</x:f>
        <x:v>Threaded drive screw</x:v>
      </x:c>
      <x:c r="C817" s="4" t="str">
        <x:f>IFERROR(INDEX(Items!$X$6:$X$1005,MATCH(A817,Items!$A$6:$A$1005,0)),"MISSING ID")</x:f>
        <x:v>Machine part</x:v>
      </x:c>
      <x:c r="D817" s="4" t="str">
        <x:f>IFERROR(INDEX(Items!$C$6:$C$1005,MATCH(A817,Items!$A$6:$A$1005,0)),"MISSING ID")</x:f>
        <x:v>T3</x:v>
      </x:c>
      <x:c r="E817" s="4" t="str">
        <x:v>Manufactured stock / part</x:v>
      </x:c>
      <x:c r="F817" s="14" t="n">
        <x:f>IFERROR(INDEX(Items!$AJ$6:$AJ$1005,MATCH(A817,Items!$A$6:$A$1005,0)),"MISSING ID")</x:f>
        <x:v>1</x:v>
      </x:c>
      <x:c r="G817" s="4" t="str">
        <x:v>Traced to cataloged T0 and/or recovered feeds</x:v>
      </x:c>
      <x:c r="H817" s="4" t="str">
        <x:v>Forge hearth, Anvil, Forging hammer, Smithing tongs, Metalworking file and Hand-cranked metal drill as applicable. Existing workshop bootstrap and controlled heating/cooling required; no free-water quench assumed.</x:v>
      </x:c>
      <x:c r="I817" s="4" t="str">
        <x:v>Candidate path traced</x:v>
      </x:c>
      <x:c r="J817" s="4" t="str">
        <x:v>Dimensions, grade, process qualification, quantity and yield remain open.</x:v>
      </x:c>
    </x:row>
    <x:row r="818" ht="115" customHeight="1">
      <x:c r="A818" s="4" t="str">
        <x:v>proposal.audit.hand_drill_spindle</x:v>
      </x:c>
      <x:c r="B818" s="4" t="str">
        <x:f>IFERROR(INDEX(Items!$B$6:$B$1005,MATCH(A818,Items!$A$6:$A$1005,0)),"MISSING ID")</x:f>
        <x:v>Hand-drill spindle</x:v>
      </x:c>
      <x:c r="C818" s="4" t="str">
        <x:f>IFERROR(INDEX(Items!$X$6:$X$1005,MATCH(A818,Items!$A$6:$A$1005,0)),"MISSING ID")</x:f>
        <x:v>Machine part</x:v>
      </x:c>
      <x:c r="D818" s="4" t="str">
        <x:f>IFERROR(INDEX(Items!$C$6:$C$1005,MATCH(A818,Items!$A$6:$A$1005,0)),"MISSING ID")</x:f>
        <x:v>T3</x:v>
      </x:c>
      <x:c r="E818" s="4" t="str">
        <x:v>Manufactured stock / part</x:v>
      </x:c>
      <x:c r="F818" s="14" t="n">
        <x:f>IFERROR(INDEX(Items!$AJ$6:$AJ$1005,MATCH(A818,Items!$A$6:$A$1005,0)),"MISSING ID")</x:f>
        <x:v>1</x:v>
      </x:c>
      <x:c r="G818" s="4" t="str">
        <x:v>Traced to cataloged T0 and/or recovered feeds</x:v>
      </x:c>
      <x:c r="H818" s="4" t="str">
        <x:v>Forge hearth, Anvil, Forging hammer, Smithing tongs, Metalworking file and Hand-cranked metal drill as applicable. Existing workshop bootstrap and controlled heating/cooling required; no free-water quench assumed.</x:v>
      </x:c>
      <x:c r="I818" s="4" t="str">
        <x:v>Candidate path traced</x:v>
      </x:c>
      <x:c r="J818" s="4" t="str">
        <x:v>Dimensions, grade, process qualification, quantity and yield remain open.</x:v>
      </x:c>
    </x:row>
    <x:row r="819" ht="115" customHeight="1">
      <x:c r="A819" s="4" t="str">
        <x:v>proposal.audit.replaceable_drill_bit_insert</x:v>
      </x:c>
      <x:c r="B819" s="4" t="str">
        <x:f>IFERROR(INDEX(Items!$B$6:$B$1005,MATCH(A819,Items!$A$6:$A$1005,0)),"MISSING ID")</x:f>
        <x:v>Replaceable drill-bit insert</x:v>
      </x:c>
      <x:c r="C819" s="4" t="str">
        <x:f>IFERROR(INDEX(Items!$X$6:$X$1005,MATCH(A819,Items!$A$6:$A$1005,0)),"MISSING ID")</x:f>
        <x:v>Machine part</x:v>
      </x:c>
      <x:c r="D819" s="4" t="str">
        <x:f>IFERROR(INDEX(Items!$C$6:$C$1005,MATCH(A819,Items!$A$6:$A$1005,0)),"MISSING ID")</x:f>
        <x:v>T3</x:v>
      </x:c>
      <x:c r="E819" s="4" t="str">
        <x:v>Manufactured stock / part</x:v>
      </x:c>
      <x:c r="F819" s="14" t="n">
        <x:f>IFERROR(INDEX(Items!$AJ$6:$AJ$1005,MATCH(A819,Items!$A$6:$A$1005,0)),"MISSING ID")</x:f>
        <x:v>1</x:v>
      </x:c>
      <x:c r="G819" s="4" t="str">
        <x:v>Traced to cataloged T0 and/or recovered feeds</x:v>
      </x:c>
      <x:c r="H819" s="4" t="str">
        <x:v>Forge hearth, Anvil, Forging hammer, Smithing tongs, Metalworking file and Hand-cranked metal drill as applicable. Existing workshop bootstrap and controlled heating/cooling required; no free-water quench assumed.</x:v>
      </x:c>
      <x:c r="I819" s="4" t="str">
        <x:v>Candidate path traced</x:v>
      </x:c>
      <x:c r="J819" s="4" t="str">
        <x:v>Dimensions, grade, process qualification, quantity and yield remain open.</x:v>
      </x:c>
    </x:row>
    <x:row r="820" ht="115" customHeight="1">
      <x:c r="A820" s="4" t="str">
        <x:v>proposal.audit.compact_latch_and_trigger_pack</x:v>
      </x:c>
      <x:c r="B820" s="4" t="str">
        <x:f>IFERROR(INDEX(Items!$B$6:$B$1005,MATCH(A820,Items!$A$6:$A$1005,0)),"MISSING ID")</x:f>
        <x:v>Compact latch and trigger pack</x:v>
      </x:c>
      <x:c r="C820" s="4" t="str">
        <x:f>IFERROR(INDEX(Items!$X$6:$X$1005,MATCH(A820,Items!$A$6:$A$1005,0)),"MISSING ID")</x:f>
        <x:v>Crafting component</x:v>
      </x:c>
      <x:c r="D820" s="4" t="str">
        <x:f>IFERROR(INDEX(Items!$C$6:$C$1005,MATCH(A820,Items!$A$6:$A$1005,0)),"MISSING ID")</x:f>
        <x:v>T4</x:v>
      </x:c>
      <x:c r="E820" s="4" t="str">
        <x:v>Manufactured stock / part</x:v>
      </x:c>
      <x:c r="F820" s="14" t="n">
        <x:f>IFERROR(INDEX(Items!$AJ$6:$AJ$1005,MATCH(A820,Items!$A$6:$A$1005,0)),"MISSING ID")</x:f>
        <x:v>1</x:v>
      </x:c>
      <x:c r="G820" s="4" t="str">
        <x:v>Traced to cataloged T0 and/or recovered feeds</x:v>
      </x:c>
      <x:c r="H820" s="4" t="str">
        <x:v>Forge hearth, Anvil, Forging hammer, Smithing tongs, Metalworking file and Hand-cranked metal drill as applicable. Existing workshop bootstrap and controlled heating/cooling required; no free-water quench assumed.</x:v>
      </x:c>
      <x:c r="I820" s="4" t="str">
        <x:v>Candidate path traced</x:v>
      </x:c>
      <x:c r="J820" s="4" t="str">
        <x:v>Dimensions, grade, process qualification, quantity and yield remain open.</x:v>
      </x:c>
    </x:row>
    <x:row r="821" ht="115" customHeight="1">
      <x:c r="A821" s="4" t="str">
        <x:v>proposal.audit.valve_poppet_blank</x:v>
      </x:c>
      <x:c r="B821" s="4" t="str">
        <x:f>IFERROR(INDEX(Items!$B$6:$B$1005,MATCH(A821,Items!$A$6:$A$1005,0)),"MISSING ID")</x:f>
        <x:v>Valve poppet blank</x:v>
      </x:c>
      <x:c r="C821" s="4" t="str">
        <x:f>IFERROR(INDEX(Items!$X$6:$X$1005,MATCH(A821,Items!$A$6:$A$1005,0)),"MISSING ID")</x:f>
        <x:v>Machine part</x:v>
      </x:c>
      <x:c r="D821" s="4" t="str">
        <x:f>IFERROR(INDEX(Items!$C$6:$C$1005,MATCH(A821,Items!$A$6:$A$1005,0)),"MISSING ID")</x:f>
        <x:v>T3</x:v>
      </x:c>
      <x:c r="E821" s="4" t="str">
        <x:v>Manufactured stock / part</x:v>
      </x:c>
      <x:c r="F821" s="14" t="n">
        <x:f>IFERROR(INDEX(Items!$AJ$6:$AJ$1005,MATCH(A821,Items!$A$6:$A$1005,0)),"MISSING ID")</x:f>
        <x:v>1</x:v>
      </x:c>
      <x:c r="G821" s="4" t="str">
        <x:v>Traced to cataloged T0 and/or recovered feeds</x:v>
      </x:c>
      <x:c r="H821" s="4" t="str">
        <x:v>Forge hearth, Anvil, Forging hammer, Smithing tongs, Metalworking file and Hand-cranked metal drill as applicable. Existing workshop bootstrap and controlled heating/cooling required; no free-water quench assumed.</x:v>
      </x:c>
      <x:c r="I821" s="4" t="str">
        <x:v>Candidate path traced</x:v>
      </x:c>
      <x:c r="J821" s="4" t="str">
        <x:v>Dimensions, grade, process qualification, quantity and yield remain open.</x:v>
      </x:c>
    </x:row>
    <x:row r="822" ht="115" customHeight="1">
      <x:c r="A822" s="4" t="str">
        <x:v>proposal.audit.fitted_pressure_barrel_module</x:v>
      </x:c>
      <x:c r="B822" s="4" t="str">
        <x:f>IFERROR(INDEX(Items!$B$6:$B$1005,MATCH(A822,Items!$A$6:$A$1005,0)),"MISSING ID")</x:f>
        <x:v>Fitted pressure-barrel module</x:v>
      </x:c>
      <x:c r="C822" s="4" t="str">
        <x:f>IFERROR(INDEX(Items!$X$6:$X$1005,MATCH(A822,Items!$A$6:$A$1005,0)),"MISSING ID")</x:f>
        <x:v>Crafting component</x:v>
      </x:c>
      <x:c r="D822" s="4" t="str">
        <x:f>IFERROR(INDEX(Items!$C$6:$C$1005,MATCH(A822,Items!$A$6:$A$1005,0)),"MISSING ID")</x:f>
        <x:v>T4</x:v>
      </x:c>
      <x:c r="E822" s="4" t="str">
        <x:v>Manufactured stock / part</x:v>
      </x:c>
      <x:c r="F822" s="14" t="n">
        <x:f>IFERROR(INDEX(Items!$AJ$6:$AJ$1005,MATCH(A822,Items!$A$6:$A$1005,0)),"MISSING ID")</x:f>
        <x:v>1</x:v>
      </x:c>
      <x:c r="G822" s="4" t="str">
        <x:v>Traced to cataloged T0 and/or recovered feeds</x:v>
      </x:c>
      <x:c r="H822" s="4" t="str">
        <x:v>Controlled-heating firing kiln or specialist glass hot-work station; Ceramic firing tray / Ceramic casting mold as applicable. Qualified power, heat and atmosphere required.</x:v>
      </x:c>
      <x:c r="I822" s="4" t="str">
        <x:v>Candidate path traced</x:v>
      </x:c>
      <x:c r="J822" s="4" t="str">
        <x:v>Dimensions, grade, process qualification, quantity and yield remain open.</x:v>
      </x:c>
    </x:row>
    <x:row r="823" ht="115" customHeight="1">
      <x:c r="A823" s="4" t="str">
        <x:v>proposal.audit.ceramic_backed_control_switch</x:v>
      </x:c>
      <x:c r="B823" s="4" t="str">
        <x:f>IFERROR(INDEX(Items!$B$6:$B$1005,MATCH(A823,Items!$A$6:$A$1005,0)),"MISSING ID")</x:f>
        <x:v>Ceramic-backed control switch</x:v>
      </x:c>
      <x:c r="C823" s="4" t="str">
        <x:f>IFERROR(INDEX(Items!$X$6:$X$1005,MATCH(A823,Items!$A$6:$A$1005,0)),"MISSING ID")</x:f>
        <x:v>Crafting component</x:v>
      </x:c>
      <x:c r="D823" s="4" t="str">
        <x:f>IFERROR(INDEX(Items!$C$6:$C$1005,MATCH(A823,Items!$A$6:$A$1005,0)),"MISSING ID")</x:f>
        <x:v>T4</x:v>
      </x:c>
      <x:c r="E823" s="4" t="str">
        <x:v>Manufactured stock / part</x:v>
      </x:c>
      <x:c r="F823" s="14" t="n">
        <x:f>IFERROR(INDEX(Items!$AJ$6:$AJ$1005,MATCH(A823,Items!$A$6:$A$1005,0)),"MISSING ID")</x:f>
        <x:v>1</x:v>
      </x:c>
      <x:c r="G823" s="4" t="str">
        <x:v>Traced to cataloged T0 and/or recovered feeds</x:v>
      </x:c>
      <x:c r="H823" s="4" t="str">
        <x:v>Controlled-heating firing kiln or specialist glass hot-work station; Ceramic firing tray / Ceramic casting mold as applicable. Qualified power, heat and atmosphere required.</x:v>
      </x:c>
      <x:c r="I823" s="4" t="str">
        <x:v>Candidate path traced</x:v>
      </x:c>
      <x:c r="J823" s="4" t="str">
        <x:v>Dimensions, grade, process qualification, quantity and yield remain open.</x:v>
      </x:c>
    </x:row>
    <x:row r="824" ht="115" customHeight="1">
      <x:c r="A824" s="4" t="str">
        <x:v>proposal.audit.fitted_machine_casing</x:v>
      </x:c>
      <x:c r="B824" s="4" t="str">
        <x:f>IFERROR(INDEX(Items!$B$6:$B$1005,MATCH(A824,Items!$A$6:$A$1005,0)),"MISSING ID")</x:f>
        <x:v>Fitted machine casing</x:v>
      </x:c>
      <x:c r="C824" s="4" t="str">
        <x:f>IFERROR(INDEX(Items!$X$6:$X$1005,MATCH(A824,Items!$A$6:$A$1005,0)),"MISSING ID")</x:f>
        <x:v>Crafting component</x:v>
      </x:c>
      <x:c r="D824" s="4" t="str">
        <x:f>IFERROR(INDEX(Items!$C$6:$C$1005,MATCH(A824,Items!$A$6:$A$1005,0)),"MISSING ID")</x:f>
        <x:v>T3</x:v>
      </x:c>
      <x:c r="E824" s="4" t="str">
        <x:v>Manufactured stock / part</x:v>
      </x:c>
      <x:c r="F824" s="14" t="n">
        <x:f>IFERROR(INDEX(Items!$AJ$6:$AJ$1005,MATCH(A824,Items!$A$6:$A$1005,0)),"MISSING ID")</x:f>
        <x:v>1</x:v>
      </x:c>
      <x:c r="G824" s="4" t="str">
        <x:v>Traced to cataloged T0 and/or recovered feeds</x:v>
      </x:c>
      <x:c r="H824" s="4" t="str">
        <x:v>Forge hearth, Anvil, Forging hammer, Smithing tongs, Metalworking file and Hand-cranked metal drill as applicable. Existing workshop bootstrap and controlled heating/cooling required; no free-water quench assumed.</x:v>
      </x:c>
      <x:c r="I824" s="4" t="str">
        <x:v>Candidate path traced</x:v>
      </x:c>
      <x:c r="J824" s="4" t="str">
        <x:v>Dimensions, grade, process qualification, quantity and yield remain open.</x:v>
      </x:c>
    </x:row>
    <x:row r="825" ht="115" customHeight="1">
      <x:c r="A825" s="4" t="str">
        <x:v>proposal.audit.recovered_radio_detector_element</x:v>
      </x:c>
      <x:c r="B825" s="4" t="str">
        <x:f>IFERROR(INDEX(Items!$B$6:$B$1005,MATCH(A825,Items!$A$6:$A$1005,0)),"MISSING ID")</x:f>
        <x:v>Recovered radio detector element</x:v>
      </x:c>
      <x:c r="C825" s="4" t="str">
        <x:f>IFERROR(INDEX(Items!$X$6:$X$1005,MATCH(A825,Items!$A$6:$A$1005,0)),"MISSING ID")</x:f>
        <x:v>Machine part</x:v>
      </x:c>
      <x:c r="D825" s="4" t="str">
        <x:f>IFERROR(INDEX(Items!$C$6:$C$1005,MATCH(A825,Items!$A$6:$A$1005,0)),"MISSING ID")</x:f>
        <x:v>Not applicable</x:v>
      </x:c>
      <x:c r="E825" s="4" t="str">
        <x:v>Recovery</x:v>
      </x:c>
      <x:c r="F825" s="14" t="n">
        <x:f>IFERROR(INDEX(Items!$AJ$6:$AJ$1005,MATCH(A825,Items!$A$6:$A$1005,0)),"MISSING ID")</x:f>
        <x:v>0</x:v>
      </x:c>
      <x:c r="G825" s="4" t="str">
        <x:v>Source, recovery or issue route applies</x:v>
      </x:c>
      <x:c r="H825" s="4" t="str">
        <x:v>Not a selected manufacturing route</x:v>
      </x:c>
      <x:c r="I825" s="4" t="str">
        <x:v>Recovery only</x:v>
      </x:c>
      <x:c r="J825" s="4" t="str">
        <x:v>Recovered radio detector element. Recover and assess a compatible item. No manufacturing route or guaranteed working function.</x:v>
      </x:c>
    </x:row>
    <x:row r="826" ht="115" customHeight="1">
      <x:c r="A826" s="4" t="str">
        <x:v>proposal.audit.recovered_acoustic_receiver_capsule</x:v>
      </x:c>
      <x:c r="B826" s="4" t="str">
        <x:f>IFERROR(INDEX(Items!$B$6:$B$1005,MATCH(A826,Items!$A$6:$A$1005,0)),"MISSING ID")</x:f>
        <x:v>Recovered acoustic receiver capsule</x:v>
      </x:c>
      <x:c r="C826" s="4" t="str">
        <x:f>IFERROR(INDEX(Items!$X$6:$X$1005,MATCH(A826,Items!$A$6:$A$1005,0)),"MISSING ID")</x:f>
        <x:v>Machine part</x:v>
      </x:c>
      <x:c r="D826" s="4" t="str">
        <x:f>IFERROR(INDEX(Items!$C$6:$C$1005,MATCH(A826,Items!$A$6:$A$1005,0)),"MISSING ID")</x:f>
        <x:v>Not applicable</x:v>
      </x:c>
      <x:c r="E826" s="4" t="str">
        <x:v>Recovery</x:v>
      </x:c>
      <x:c r="F826" s="14" t="n">
        <x:f>IFERROR(INDEX(Items!$AJ$6:$AJ$1005,MATCH(A826,Items!$A$6:$A$1005,0)),"MISSING ID")</x:f>
        <x:v>0</x:v>
      </x:c>
      <x:c r="G826" s="4" t="str">
        <x:v>Source, recovery or issue route applies</x:v>
      </x:c>
      <x:c r="H826" s="4" t="str">
        <x:v>Not a selected manufacturing route</x:v>
      </x:c>
      <x:c r="I826" s="4" t="str">
        <x:v>Recovery only</x:v>
      </x:c>
      <x:c r="J826" s="4" t="str">
        <x:v>Recovered acoustic receiver capsule. Recover and assess a compatible item. No manufacturing route or guaranteed working function.</x:v>
      </x:c>
    </x:row>
    <x:row r="827" ht="115" customHeight="1">
      <x:c r="A827" s="4" t="str">
        <x:v>proposal.audit.supported_iron_heating_element</x:v>
      </x:c>
      <x:c r="B827" s="4" t="str">
        <x:f>IFERROR(INDEX(Items!$B$6:$B$1005,MATCH(A827,Items!$A$6:$A$1005,0)),"MISSING ID")</x:f>
        <x:v>Supported iron heating element</x:v>
      </x:c>
      <x:c r="C827" s="4" t="str">
        <x:f>IFERROR(INDEX(Items!$X$6:$X$1005,MATCH(A827,Items!$A$6:$A$1005,0)),"MISSING ID")</x:f>
        <x:v>Machine part</x:v>
      </x:c>
      <x:c r="D827" s="4" t="str">
        <x:f>IFERROR(INDEX(Items!$C$6:$C$1005,MATCH(A827,Items!$A$6:$A$1005,0)),"MISSING ID")</x:f>
        <x:v>T3</x:v>
      </x:c>
      <x:c r="E827" s="4" t="str">
        <x:v>Manufactured stock / part</x:v>
      </x:c>
      <x:c r="F827" s="14" t="n">
        <x:f>IFERROR(INDEX(Items!$AJ$6:$AJ$1005,MATCH(A827,Items!$A$6:$A$1005,0)),"MISSING ID")</x:f>
        <x:v>1</x:v>
      </x:c>
      <x:c r="G827" s="4" t="str">
        <x:v>Traced to cataloged T0 and/or recovered feeds</x:v>
      </x:c>
      <x:c r="H827" s="4" t="str">
        <x:v>Controlled-heating firing kiln or specialist glass hot-work station; Ceramic firing tray / Ceramic casting mold as applicable. Qualified power, heat and atmosphere required.</x:v>
      </x:c>
      <x:c r="I827" s="4" t="str">
        <x:v>Candidate path traced</x:v>
      </x:c>
      <x:c r="J827" s="4" t="str">
        <x:v>Dimensions, grade, process qualification, quantity and yield remain open.</x:v>
      </x:c>
    </x:row>
    <x:row r="828" ht="115" customHeight="1">
      <x:c r="A828" s="4" t="str">
        <x:v>proposal.audit.controlled_heating_firing_kiln</x:v>
      </x:c>
      <x:c r="B828" s="4" t="str">
        <x:f>IFERROR(INDEX(Items!$B$6:$B$1005,MATCH(A828,Items!$A$6:$A$1005,0)),"MISSING ID")</x:f>
        <x:v>Controlled-heating firing kiln</x:v>
      </x:c>
      <x:c r="C828" s="4" t="str">
        <x:f>IFERROR(INDEX(Items!$X$6:$X$1005,MATCH(A828,Items!$A$6:$A$1005,0)),"MISSING ID")</x:f>
        <x:v>Machine</x:v>
      </x:c>
      <x:c r="D828" s="4" t="str">
        <x:f>IFERROR(INDEX(Items!$C$6:$C$1005,MATCH(A828,Items!$A$6:$A$1005,0)),"MISSING ID")</x:f>
        <x:v>Not applicable</x:v>
      </x:c>
      <x:c r="E828" s="4" t="str">
        <x:v>Finished endpoint</x:v>
      </x:c>
      <x:c r="F828" s="14" t="n">
        <x:f>IFERROR(INDEX(Items!$AJ$6:$AJ$1005,MATCH(A828,Items!$A$6:$A$1005,0)),"MISSING ID")</x:f>
        <x:v>1</x:v>
      </x:c>
      <x:c r="G828" s="4" t="str">
        <x:v>Traced to cataloged T0 and/or recovered feeds</x:v>
      </x:c>
      <x:c r="H828" s="4" t="str">
        <x:v>Specialist engineering workshop; insulation, pressure or control qualification as applicable. Power/working medium and operating theory unresolved.</x:v>
      </x:c>
      <x:c r="I828" s="4" t="str">
        <x:v>Research / source gated</x:v>
      </x:c>
      <x:c r="J828" s="4" t="str">
        <x:v>Controlled-heating firing kiln. Operating principle, working medium, controls and service qualification remain unresolved.</x:v>
      </x:c>
    </x:row>
    <x:row r="829" ht="115" customHeight="1">
      <x:c r="A829" s="4" t="str">
        <x:v>proposal.audit.metalworking_hand_saw</x:v>
      </x:c>
      <x:c r="B829" s="4" t="str">
        <x:f>IFERROR(INDEX(Items!$B$6:$B$1005,MATCH(A829,Items!$A$6:$A$1005,0)),"MISSING ID")</x:f>
        <x:v>Metalworking hand saw</x:v>
      </x:c>
      <x:c r="C829" s="4" t="str">
        <x:f>IFERROR(INDEX(Items!$X$6:$X$1005,MATCH(A829,Items!$A$6:$A$1005,0)),"MISSING ID")</x:f>
        <x:v>Tool</x:v>
      </x:c>
      <x:c r="D829" s="4" t="str">
        <x:f>IFERROR(INDEX(Items!$C$6:$C$1005,MATCH(A829,Items!$A$6:$A$1005,0)),"MISSING ID")</x:f>
        <x:v>Not applicable</x:v>
      </x:c>
      <x:c r="E829" s="4" t="str">
        <x:v>Finished endpoint</x:v>
      </x:c>
      <x:c r="F829" s="14" t="n">
        <x:f>IFERROR(INDEX(Items!$AJ$6:$AJ$1005,MATCH(A829,Items!$A$6:$A$1005,0)),"MISSING ID")</x:f>
        <x:v>1</x:v>
      </x:c>
      <x:c r="G829" s="4" t="str">
        <x:v>Traced to cataloged T0 and/or recovered feeds</x:v>
      </x:c>
      <x:c r="H829" s="4" t="str">
        <x:v>Forge hearth, Anvil, Forging hammer, Smithing tongs, Metalworking file and Hand-cranked metal drill as applicable. Existing workshop bootstrap and controlled heating/cooling required; no free-water quench assumed.</x:v>
      </x:c>
      <x:c r="I829" s="4" t="str">
        <x:v>Candidate path traced</x:v>
      </x:c>
      <x:c r="J829" s="4" t="str">
        <x:v>Dimensions, grade, process qualification, quantity and yield remain open.</x:v>
      </x:c>
    </x:row>
    <x:row r="830" ht="115" customHeight="1">
      <x:c r="A830" s="4" t="str">
        <x:v>proposal.audit.workshop_winding_mandrel</x:v>
      </x:c>
      <x:c r="B830" s="4" t="str">
        <x:f>IFERROR(INDEX(Items!$B$6:$B$1005,MATCH(A830,Items!$A$6:$A$1005,0)),"MISSING ID")</x:f>
        <x:v>Workshop winding mandrel</x:v>
      </x:c>
      <x:c r="C830" s="4" t="str">
        <x:f>IFERROR(INDEX(Items!$X$6:$X$1005,MATCH(A830,Items!$A$6:$A$1005,0)),"MISSING ID")</x:f>
        <x:v>Tool</x:v>
      </x:c>
      <x:c r="D830" s="4" t="str">
        <x:f>IFERROR(INDEX(Items!$C$6:$C$1005,MATCH(A830,Items!$A$6:$A$1005,0)),"MISSING ID")</x:f>
        <x:v>Not applicable</x:v>
      </x:c>
      <x:c r="E830" s="4" t="str">
        <x:v>Finished endpoint</x:v>
      </x:c>
      <x:c r="F830" s="14" t="n">
        <x:f>IFERROR(INDEX(Items!$AJ$6:$AJ$1005,MATCH(A830,Items!$A$6:$A$1005,0)),"MISSING ID")</x:f>
        <x:v>1</x:v>
      </x:c>
      <x:c r="G830" s="4" t="str">
        <x:v>Traced to cataloged T0 and/or recovered feeds</x:v>
      </x:c>
      <x:c r="H830" s="4" t="str">
        <x:v>Forge hearth, Anvil, Forging hammer, Smithing tongs, Metalworking file and Hand-cranked metal drill as applicable. Existing workshop bootstrap and controlled heating/cooling required; no free-water quench assumed.</x:v>
      </x:c>
      <x:c r="I830" s="4" t="str">
        <x:v>Candidate path traced</x:v>
      </x:c>
      <x:c r="J830" s="4" t="str">
        <x:v>Dimensions, grade, process qualification, quantity and yield remain open.</x:v>
      </x:c>
    </x:row>
    <x:row r="831" ht="115" customHeight="1">
      <x:c r="A831" s="4" t="str">
        <x:v>proposal.audit.food_preparation_screen</x:v>
      </x:c>
      <x:c r="B831" s="4" t="str">
        <x:f>IFERROR(INDEX(Items!$B$6:$B$1005,MATCH(A831,Items!$A$6:$A$1005,0)),"MISSING ID")</x:f>
        <x:v>Food preparation screen</x:v>
      </x:c>
      <x:c r="C831" s="4" t="str">
        <x:f>IFERROR(INDEX(Items!$X$6:$X$1005,MATCH(A831,Items!$A$6:$A$1005,0)),"MISSING ID")</x:f>
        <x:v>Tool</x:v>
      </x:c>
      <x:c r="D831" s="4" t="str">
        <x:f>IFERROR(INDEX(Items!$C$6:$C$1005,MATCH(A831,Items!$A$6:$A$1005,0)),"MISSING ID")</x:f>
        <x:v>Not applicable</x:v>
      </x:c>
      <x:c r="E831" s="4" t="str">
        <x:v>Finished endpoint</x:v>
      </x:c>
      <x:c r="F831" s="14" t="n">
        <x:f>IFERROR(INDEX(Items!$AJ$6:$AJ$1005,MATCH(A831,Items!$A$6:$A$1005,0)),"MISSING ID")</x:f>
        <x:v>1</x:v>
      </x:c>
      <x:c r="G831" s="4" t="str">
        <x:v>Traced to cataloged T0 and/or recovered feeds</x:v>
      </x:c>
      <x:c r="H831" s="4" t="str">
        <x:v>Husk-sheet cutting shears, pressure fixtures and dedicated preparation surfaces. Very low hide/fur yield; no ordinary cloth or plant inputs.</x:v>
      </x:c>
      <x:c r="I831" s="4" t="str">
        <x:v>Candidate path traced</x:v>
      </x:c>
      <x:c r="J831" s="4" t="str">
        <x:v>Dimensions, grade, process qualification, quantity and yield remain open.</x:v>
      </x:c>
    </x:row>
    <x:row r="832" ht="115" customHeight="1">
      <x:c r="A832" s="4" t="str">
        <x:v>proposal.audit.metal_glassworking_blowpipe</x:v>
      </x:c>
      <x:c r="B832" s="4" t="str">
        <x:f>IFERROR(INDEX(Items!$B$6:$B$1005,MATCH(A832,Items!$A$6:$A$1005,0)),"MISSING ID")</x:f>
        <x:v>Metal glassworking blowpipe</x:v>
      </x:c>
      <x:c r="C832" s="4" t="str">
        <x:f>IFERROR(INDEX(Items!$X$6:$X$1005,MATCH(A832,Items!$A$6:$A$1005,0)),"MISSING ID")</x:f>
        <x:v>Tool</x:v>
      </x:c>
      <x:c r="D832" s="4" t="str">
        <x:f>IFERROR(INDEX(Items!$C$6:$C$1005,MATCH(A832,Items!$A$6:$A$1005,0)),"MISSING ID")</x:f>
        <x:v>Not applicable</x:v>
      </x:c>
      <x:c r="E832" s="4" t="str">
        <x:v>Finished endpoint</x:v>
      </x:c>
      <x:c r="F832" s="14" t="n">
        <x:f>IFERROR(INDEX(Items!$AJ$6:$AJ$1005,MATCH(A832,Items!$A$6:$A$1005,0)),"MISSING ID")</x:f>
        <x:v>1</x:v>
      </x:c>
      <x:c r="G832" s="4" t="str">
        <x:v>Traced to cataloged T0 and/or recovered feeds</x:v>
      </x:c>
      <x:c r="H832" s="4" t="str">
        <x:v>Forge hearth, Anvil, Forging hammer, Smithing tongs, Metalworking file and Hand-cranked metal drill as applicable. Existing workshop bootstrap and controlled heating/cooling required; no free-water quench assumed.</x:v>
      </x:c>
      <x:c r="I832" s="4" t="str">
        <x:v>Candidate path traced</x:v>
      </x:c>
      <x:c r="J832" s="4" t="str">
        <x:v>Dimensions, grade, process qualification, quantity and yield remain open.</x:v>
      </x:c>
    </x:row>
    <x:row r="833">
      <x:c r="A833" s="4" t="inlineStr">
        <x:is>
          <x:t xml:space="preserve">proposal.ancient.heat_exchange_comb</x:t>
        </x:is>
      </x:c>
      <x:c r="B833" s="4" t="str">
        <x:f>Items!B833</x:f>
        <x:v>Ancient heat-exchange comb</x:v>
      </x:c>
      <x:c r="C833" s="4" t="str">
        <x:f>Items!X833</x:f>
        <x:v>Machine part</x:v>
      </x:c>
      <x:c r="D833" s="4" t="str">
        <x:f>Items!C833</x:f>
        <x:v>T0</x:v>
      </x:c>
      <x:c r="E833" s="4" t="inlineStr">
        <x:is>
          <x:t xml:space="preserve">As-found ancient recovery</x:t>
        </x:is>
      </x:c>
      <x:c r="F833" s="14">
        <x:f>Items!AJ833</x:f>
        <x:v>0</x:v>
      </x:c>
      <x:c r="G833" s="4" t="inlineStr">
        <x:is>
          <x:t xml:space="preserve">No reproduction route established</x:t>
        </x:is>
      </x:c>
      <x:c r="H833" s="4" t="inlineStr">
        <x:is>
          <x:t xml:space="preserve">Inspection equipment and compatibility criteria remain undefined.</x:t>
        </x:is>
      </x:c>
      <x:c r="I833" s="4" t="inlineStr">
        <x:is>
          <x:t xml:space="preserve">Condition unknown; qualification required</x:t>
        </x:is>
      </x:c>
      <x:c r="J833" s="4" t="inlineStr">
        <x:is>
          <x:t xml:space="preserve">Artwork direction: A broken crescent of closely spaced black metal fins. Condition and compatibility determine usefulness; original manufacture remains beyond established contemporary crafting.</x:t>
        </x:is>
      </x:c>
    </x:row>
    <x:row r="834">
      <x:c r="A834" s="4" t="inlineStr">
        <x:is>
          <x:t xml:space="preserve">proposal.ancient.service_recorder</x:t>
        </x:is>
      </x:c>
      <x:c r="B834" s="4" t="str">
        <x:f>Items!B834</x:f>
        <x:v>Ancient service recorder</x:v>
      </x:c>
      <x:c r="C834" s="4" t="str">
        <x:f>Items!X834</x:f>
        <x:v>Machine part</x:v>
      </x:c>
      <x:c r="D834" s="4" t="str">
        <x:f>Items!C834</x:f>
        <x:v>T0</x:v>
      </x:c>
      <x:c r="E834" s="4" t="inlineStr">
        <x:is>
          <x:t xml:space="preserve">As-found ancient recovery</x:t>
        </x:is>
      </x:c>
      <x:c r="F834" s="14">
        <x:f>Items!AJ834</x:f>
        <x:v>0</x:v>
      </x:c>
      <x:c r="G834" s="4" t="inlineStr">
        <x:is>
          <x:t xml:space="preserve">No reproduction route established</x:t>
        </x:is>
      </x:c>
      <x:c r="H834" s="4" t="inlineStr">
        <x:is>
          <x:t xml:space="preserve">Inspection equipment and compatibility criteria remain undefined.</x:t>
        </x:is>
      </x:c>
      <x:c r="I834" s="4" t="inlineStr">
        <x:is>
          <x:t xml:space="preserve">Condition unknown; qualification required</x:t>
        </x:is>
      </x:c>
      <x:c r="J834" s="4" t="inlineStr">
        <x:is>
          <x:t xml:space="preserve">Artwork direction: A blunt hexagonal capsule with recessed contacts and worn markings. Condition and compatibility determine usefulness; original manufacture remains beyond established contemporary crafting.</x:t>
        </x:is>
      </x:c>
    </x:row>
    <x:row r="835">
      <x:c r="A835" s="4" t="inlineStr">
        <x:is>
          <x:t xml:space="preserve">proposal.ancient.vibration_isolation_mount</x:t>
        </x:is>
      </x:c>
      <x:c r="B835" s="4" t="str">
        <x:f>Items!B835</x:f>
        <x:v>Ancient vibration-isolation mount</x:v>
      </x:c>
      <x:c r="C835" s="4" t="str">
        <x:f>Items!X835</x:f>
        <x:v>Machine part</x:v>
      </x:c>
      <x:c r="D835" s="4" t="str">
        <x:f>Items!C835</x:f>
        <x:v>T0</x:v>
      </x:c>
      <x:c r="E835" s="4" t="inlineStr">
        <x:is>
          <x:t xml:space="preserve">As-found ancient recovery</x:t>
        </x:is>
      </x:c>
      <x:c r="F835" s="14">
        <x:f>Items!AJ835</x:f>
        <x:v>0</x:v>
      </x:c>
      <x:c r="G835" s="4" t="inlineStr">
        <x:is>
          <x:t xml:space="preserve">No reproduction route established</x:t>
        </x:is>
      </x:c>
      <x:c r="H835" s="4" t="inlineStr">
        <x:is>
          <x:t xml:space="preserve">Inspection equipment and compatibility criteria remain undefined.</x:t>
        </x:is>
      </x:c>
      <x:c r="I835" s="4" t="inlineStr">
        <x:is>
          <x:t xml:space="preserve">Condition unknown; qualification required</x:t>
        </x:is>
      </x:c>
      <x:c r="J835" s="4" t="inlineStr">
        <x:is>
          <x:t xml:space="preserve">Artwork direction: Nested rings with an off-center suspended core. Condition and compatibility determine usefulness; original manufacture remains beyond established contemporary crafting.</x:t>
        </x:is>
      </x:c>
    </x:row>
    <x:row r="836">
      <x:c r="A836" s="4" t="inlineStr">
        <x:is>
          <x:t xml:space="preserve">proposal.bio.gripping_pad_scales</x:t>
        </x:is>
      </x:c>
      <x:c r="B836" s="4" t="str">
        <x:f>Items!B836</x:f>
        <x:v>Faunal gripping-pad scales</x:v>
      </x:c>
      <x:c r="C836" s="4" t="str">
        <x:f>Items!X836</x:f>
        <x:v>Raw material</x:v>
      </x:c>
      <x:c r="D836" s="4" t="str">
        <x:f>Items!C836</x:f>
        <x:v>T0</x:v>
      </x:c>
      <x:c r="E836" s="4" t="inlineStr">
        <x:is>
          <x:t xml:space="preserve">Raw collection candidate</x:t>
        </x:is>
      </x:c>
      <x:c r="F836" s="14">
        <x:f>Items!AJ836</x:f>
        <x:v>0</x:v>
      </x:c>
      <x:c r="G836" s="4" t="inlineStr">
        <x:is>
          <x:t xml:space="preserve">Raw source proposal; no production recipe</x:t>
        </x:is>
      </x:c>
      <x:c r="H836" s="4" t="inlineStr">
        <x:is>
          <x:t xml:space="preserve">Collection and preparation method unresolved</x:t>
        </x:is>
      </x:c>
      <x:c r="I836" s="4" t="inlineStr">
        <x:is>
          <x:t xml:space="preserve">Proposal; unreviewed</x:t>
        </x:is>
      </x:c>
      <x:c r="J836" s="4" t="inlineStr">
        <x:is>
          <x:t xml:space="preserve">Species, anatomy, contamination, material properties and yield remain open.</x:t>
        </x:is>
      </x:c>
    </x:row>
    <x:row r="837">
      <x:c r="A837" s="4" t="inlineStr">
        <x:is>
          <x:t xml:space="preserve">proposal.bio.resonance_plates</x:t>
        </x:is>
      </x:c>
      <x:c r="B837" s="4" t="str">
        <x:f>Items!B837</x:f>
        <x:v>Faunal resonance plates</x:v>
      </x:c>
      <x:c r="C837" s="4" t="str">
        <x:f>Items!X837</x:f>
        <x:v>Raw material</x:v>
      </x:c>
      <x:c r="D837" s="4" t="str">
        <x:f>Items!C837</x:f>
        <x:v>T0</x:v>
      </x:c>
      <x:c r="E837" s="4" t="inlineStr">
        <x:is>
          <x:t xml:space="preserve">Raw collection candidate</x:t>
        </x:is>
      </x:c>
      <x:c r="F837" s="14">
        <x:f>Items!AJ837</x:f>
        <x:v>0</x:v>
      </x:c>
      <x:c r="G837" s="4" t="inlineStr">
        <x:is>
          <x:t xml:space="preserve">Raw source proposal; no production recipe</x:t>
        </x:is>
      </x:c>
      <x:c r="H837" s="4" t="inlineStr">
        <x:is>
          <x:t xml:space="preserve">Collection and preparation method unresolved</x:t>
        </x:is>
      </x:c>
      <x:c r="I837" s="4" t="inlineStr">
        <x:is>
          <x:t xml:space="preserve">Proposal; unreviewed</x:t>
        </x:is>
      </x:c>
      <x:c r="J837" s="4" t="inlineStr">
        <x:is>
          <x:t xml:space="preserve">Species, anatomy, contamination, material properties and yield remain open.</x:t>
        </x:is>
      </x:c>
    </x:row>
    <x:row r="838">
      <x:c r="A838" s="4" t="inlineStr">
        <x:is>
          <x:t xml:space="preserve">proposal.bio.grinding_grit</x:t>
        </x:is>
      </x:c>
      <x:c r="B838" s="4" t="str">
        <x:f>Items!B838</x:f>
        <x:v>Faunal grinding grit</x:v>
      </x:c>
      <x:c r="C838" s="4" t="str">
        <x:f>Items!X838</x:f>
        <x:v>Raw material</x:v>
      </x:c>
      <x:c r="D838" s="4" t="str">
        <x:f>Items!C838</x:f>
        <x:v>T0</x:v>
      </x:c>
      <x:c r="E838" s="4" t="inlineStr">
        <x:is>
          <x:t xml:space="preserve">Raw collection candidate</x:t>
        </x:is>
      </x:c>
      <x:c r="F838" s="14">
        <x:f>Items!AJ838</x:f>
        <x:v>0</x:v>
      </x:c>
      <x:c r="G838" s="4" t="inlineStr">
        <x:is>
          <x:t xml:space="preserve">Raw source proposal; no production recipe</x:t>
        </x:is>
      </x:c>
      <x:c r="H838" s="4" t="inlineStr">
        <x:is>
          <x:t xml:space="preserve">Collection and preparation method unresolved</x:t>
        </x:is>
      </x:c>
      <x:c r="I838" s="4" t="inlineStr">
        <x:is>
          <x:t xml:space="preserve">Proposal; unreviewed</x:t>
        </x:is>
      </x:c>
      <x:c r="J838" s="4" t="inlineStr">
        <x:is>
          <x:t xml:space="preserve">Species, anatomy, contamination, material properties and yield remain open.</x:t>
        </x:is>
      </x:c>
    </x:row>
    <x:row r="839">
      <x:c r="A839" s="4" t="inlineStr">
        <x:is>
          <x:t xml:space="preserve">proposal.bio.mineralized_hinge_rods</x:t>
        </x:is>
      </x:c>
      <x:c r="B839" s="4" t="str">
        <x:f>Items!B839</x:f>
        <x:v>Mineralized hinge rods</x:v>
      </x:c>
      <x:c r="C839" s="4" t="str">
        <x:f>Items!X839</x:f>
        <x:v>Raw material</x:v>
      </x:c>
      <x:c r="D839" s="4" t="str">
        <x:f>Items!C839</x:f>
        <x:v>T0</x:v>
      </x:c>
      <x:c r="E839" s="4" t="inlineStr">
        <x:is>
          <x:t xml:space="preserve">Raw collection candidate</x:t>
        </x:is>
      </x:c>
      <x:c r="F839" s="14">
        <x:f>Items!AJ839</x:f>
        <x:v>0</x:v>
      </x:c>
      <x:c r="G839" s="4" t="inlineStr">
        <x:is>
          <x:t xml:space="preserve">Raw source proposal; no production recipe</x:t>
        </x:is>
      </x:c>
      <x:c r="H839" s="4" t="inlineStr">
        <x:is>
          <x:t xml:space="preserve">Collection and preparation method unresolved</x:t>
        </x:is>
      </x:c>
      <x:c r="I839" s="4" t="inlineStr">
        <x:is>
          <x:t xml:space="preserve">Proposal; unreviewed</x:t>
        </x:is>
      </x:c>
      <x:c r="J839" s="4" t="inlineStr">
        <x:is>
          <x:t xml:space="preserve">Species, anatomy, contamination, material properties and yield remain open.</x:t>
        </x:is>
      </x:c>
    </x:row>
    <x:row r="840">
      <x:c r="A840" s="4" t="inlineStr">
        <x:is>
          <x:t xml:space="preserve">proposal.camp.divided_warming_pot</x:t>
        </x:is>
      </x:c>
      <x:c r="B840" s="4" t="str">
        <x:f>Items!B840</x:f>
        <x:v>Divided meal-warming pot</x:v>
      </x:c>
      <x:c r="C840" s="4" t="str">
        <x:f>Items!X840</x:f>
        <x:v>Household utensil</x:v>
      </x:c>
      <x:c r="D840" s="4" t="str">
        <x:f>Items!C840</x:f>
        <x:v>T2</x:v>
      </x:c>
      <x:c r="E840" s="4" t="inlineStr">
        <x:is>
          <x:t xml:space="preserve">Finished object proposal</x:t>
        </x:is>
      </x:c>
      <x:c r="F840" s="14">
        <x:f>Items!AJ840</x:f>
        <x:v>0</x:v>
      </x:c>
      <x:c r="G840" s="4" t="inlineStr">
        <x:is>
          <x:t xml:space="preserve">No recipe established</x:t>
        </x:is>
      </x:c>
      <x:c r="H840" s="4" t="inlineStr">
        <x:is>
          <x:t xml:space="preserve">Facilities and qualification criteria remain undefined.</x:t>
        </x:is>
      </x:c>
      <x:c r="I840" s="4" t="inlineStr">
        <x:is>
          <x:t xml:space="preserve">Proposal; not qualified for crafting</x:t>
        </x:is>
      </x:c>
      <x:c r="J840" s="4" t="inlineStr">
        <x:is>
          <x:t xml:space="preserve">Artwork direction: An oval metal cradle holding two round ceramic inserts, one lid tipped aside. Fit, safe use and manufacturing details remain proposals.</x:t>
        </x:is>
      </x:c>
    </x:row>
    <x:row r="841">
      <x:c r="A841" s="4" t="inlineStr">
        <x:is>
          <x:t xml:space="preserve">proposal.camp.pot_lid_rest</x:t>
        </x:is>
      </x:c>
      <x:c r="B841" s="4" t="str">
        <x:f>Items!B841</x:f>
        <x:v>Folding pot-lid rest</x:v>
      </x:c>
      <x:c r="C841" s="4" t="str">
        <x:f>Items!X841</x:f>
        <x:v>Household utensil</x:v>
      </x:c>
      <x:c r="D841" s="4" t="str">
        <x:f>Items!C841</x:f>
        <x:v>T2</x:v>
      </x:c>
      <x:c r="E841" s="4" t="inlineStr">
        <x:is>
          <x:t xml:space="preserve">Finished object proposal</x:t>
        </x:is>
      </x:c>
      <x:c r="F841" s="14">
        <x:f>Items!AJ841</x:f>
        <x:v>0</x:v>
      </x:c>
      <x:c r="G841" s="4" t="inlineStr">
        <x:is>
          <x:t xml:space="preserve">No recipe established</x:t>
        </x:is>
      </x:c>
      <x:c r="H841" s="4" t="inlineStr">
        <x:is>
          <x:t xml:space="preserve">Facilities and qualification criteria remain undefined.</x:t>
        </x:is>
      </x:c>
      <x:c r="I841" s="4" t="inlineStr">
        <x:is>
          <x:t xml:space="preserve">Proposal; not qualified for crafting</x:t>
        </x:is>
      </x:c>
      <x:c r="J841" s="4" t="inlineStr">
        <x:is>
          <x:t xml:space="preserve">Artwork direction: A small crossed metal stand with two raised hooks supporting a round lid edge. Fit, safe use and manufacturing details remain proposals.</x:t>
        </x:is>
      </x:c>
    </x:row>
    <x:row r="842">
      <x:c r="A842" s="4" t="inlineStr">
        <x:is>
          <x:t xml:space="preserve">proposal.camp.cam_tie_down_buckle</x:t>
        </x:is>
      </x:c>
      <x:c r="B842" s="4" t="str">
        <x:f>Items!B842</x:f>
        <x:v>Cam-lever tie-down buckle</x:v>
      </x:c>
      <x:c r="C842" s="4" t="str">
        <x:f>Items!X842</x:f>
        <x:v>Shelter item</x:v>
      </x:c>
      <x:c r="D842" s="4" t="str">
        <x:f>Items!C842</x:f>
        <x:v>T2</x:v>
      </x:c>
      <x:c r="E842" s="4" t="inlineStr">
        <x:is>
          <x:t xml:space="preserve">Finished object proposal</x:t>
        </x:is>
      </x:c>
      <x:c r="F842" s="14">
        <x:f>Items!AJ842</x:f>
        <x:v>0</x:v>
      </x:c>
      <x:c r="G842" s="4" t="inlineStr">
        <x:is>
          <x:t xml:space="preserve">No recipe established</x:t>
        </x:is>
      </x:c>
      <x:c r="H842" s="4" t="inlineStr">
        <x:is>
          <x:t xml:space="preserve">Facilities and qualification criteria remain undefined.</x:t>
        </x:is>
      </x:c>
      <x:c r="I842" s="4" t="inlineStr">
        <x:is>
          <x:t xml:space="preserve">Proposal; not qualified for crafting</x:t>
        </x:is>
      </x:c>
      <x:c r="J842" s="4" t="inlineStr">
        <x:is>
          <x:t xml:space="preserve">Artwork direction: A flattened oval buckle with a lifted ribbed lever and two open binding slots. Fit, safe use and manufacturing details remain proposals.</x:t>
        </x:is>
      </x:c>
    </x:row>
    <x:row r="843">
      <x:c r="A843" s="4" t="inlineStr">
        <x:is>
          <x:t xml:space="preserve">proposal.camp.guyline_tensioner</x:t>
        </x:is>
      </x:c>
      <x:c r="B843" s="4" t="str">
        <x:f>Items!B843</x:f>
        <x:v>Three-hole guyline tensioner</x:v>
      </x:c>
      <x:c r="C843" s="4" t="str">
        <x:f>Items!X843</x:f>
        <x:v>Shelter item</x:v>
      </x:c>
      <x:c r="D843" s="4" t="str">
        <x:f>Items!C843</x:f>
        <x:v>T2</x:v>
      </x:c>
      <x:c r="E843" s="4" t="inlineStr">
        <x:is>
          <x:t xml:space="preserve">Finished object proposal</x:t>
        </x:is>
      </x:c>
      <x:c r="F843" s="14">
        <x:f>Items!AJ843</x:f>
        <x:v>0</x:v>
      </x:c>
      <x:c r="G843" s="4" t="inlineStr">
        <x:is>
          <x:t xml:space="preserve">No recipe established</x:t>
        </x:is>
      </x:c>
      <x:c r="H843" s="4" t="inlineStr">
        <x:is>
          <x:t xml:space="preserve">Facilities and qualification criteria remain undefined.</x:t>
        </x:is>
      </x:c>
      <x:c r="I843" s="4" t="inlineStr">
        <x:is>
          <x:t xml:space="preserve">Proposal; not qualified for crafting</x:t>
        </x:is>
      </x:c>
      <x:c r="J843" s="4" t="inlineStr">
        <x:is>
          <x:t xml:space="preserve">Artwork direction: A rounded triangular metal plate with three differently spaced holes and worn edges. Fit, safe use and manufacturing details remain proposals.</x:t>
        </x:is>
      </x:c>
    </x:row>
    <x:row r="844">
      <x:c r="A844" s="4" t="inlineStr">
        <x:is>
          <x:t xml:space="preserve">proposal.camp.split_ring_hanging_hook</x:t>
        </x:is>
      </x:c>
      <x:c r="B844" s="4" t="str">
        <x:f>Items!B844</x:f>
        <x:v>Split-ring hanging hook</x:v>
      </x:c>
      <x:c r="C844" s="4" t="str">
        <x:f>Items!X844</x:f>
        <x:v>Shelter item</x:v>
      </x:c>
      <x:c r="D844" s="4" t="str">
        <x:f>Items!C844</x:f>
        <x:v>T2</x:v>
      </x:c>
      <x:c r="E844" s="4" t="inlineStr">
        <x:is>
          <x:t xml:space="preserve">Finished object proposal</x:t>
        </x:is>
      </x:c>
      <x:c r="F844" s="14">
        <x:f>Items!AJ844</x:f>
        <x:v>0</x:v>
      </x:c>
      <x:c r="G844" s="4" t="inlineStr">
        <x:is>
          <x:t xml:space="preserve">No recipe established</x:t>
        </x:is>
      </x:c>
      <x:c r="H844" s="4" t="inlineStr">
        <x:is>
          <x:t xml:space="preserve">Facilities and qualification criteria remain undefined.</x:t>
        </x:is>
      </x:c>
      <x:c r="I844" s="4" t="inlineStr">
        <x:is>
          <x:t xml:space="preserve">Proposal; not qualified for crafting</x:t>
        </x:is>
      </x:c>
      <x:c r="J844" s="4" t="inlineStr">
        <x:is>
          <x:t xml:space="preserve">Artwork direction: A heavy open ring joined to a compact downward hook with a flattened stop. Fit, safe use and manufacturing details remain proposals.</x:t>
        </x:is>
      </x:c>
    </x:row>
    <x:row r="845">
      <x:c r="A845" s="4" t="inlineStr">
        <x:is>
          <x:t xml:space="preserve">proposal.camp.hinged_utensil_case</x:t>
        </x:is>
      </x:c>
      <x:c r="B845" s="4" t="str">
        <x:f>Items!B845</x:f>
        <x:v>Hinged camp utensil case</x:v>
      </x:c>
      <x:c r="C845" s="4" t="str">
        <x:f>Items!X845</x:f>
        <x:v>Household utensil</x:v>
      </x:c>
      <x:c r="D845" s="4" t="str">
        <x:f>Items!C845</x:f>
        <x:v>T2</x:v>
      </x:c>
      <x:c r="E845" s="4" t="inlineStr">
        <x:is>
          <x:t xml:space="preserve">Finished object proposal</x:t>
        </x:is>
      </x:c>
      <x:c r="F845" s="14">
        <x:f>Items!AJ845</x:f>
        <x:v>0</x:v>
      </x:c>
      <x:c r="G845" s="4" t="inlineStr">
        <x:is>
          <x:t xml:space="preserve">No recipe established</x:t>
        </x:is>
      </x:c>
      <x:c r="H845" s="4" t="inlineStr">
        <x:is>
          <x:t xml:space="preserve">Facilities and qualification criteria remain undefined.</x:t>
        </x:is>
      </x:c>
      <x:c r="I845" s="4" t="inlineStr">
        <x:is>
          <x:t xml:space="preserve">Proposal; not qualified for crafting</x:t>
        </x:is>
      </x:c>
      <x:c r="J845" s="4" t="inlineStr">
        <x:is>
          <x:t xml:space="preserve">Artwork direction: A long shallow metal case opened to reveal three narrow utensil channels. Fit, safe use and manufacturing details remain proposals.</x:t>
        </x:is>
      </x:c>
    </x:row>
    <x:row r="846">
      <x:c r="A846" s="4" t="inlineStr">
        <x:is>
          <x:t xml:space="preserve">proposal.camp.folding_grit_pan</x:t>
        </x:is>
      </x:c>
      <x:c r="B846" s="4" t="str">
        <x:f>Items!B846</x:f>
        <x:v>Folding grit pan</x:v>
      </x:c>
      <x:c r="C846" s="4" t="str">
        <x:f>Items!X846</x:f>
        <x:v>Household utensil</x:v>
      </x:c>
      <x:c r="D846" s="4" t="str">
        <x:f>Items!C846</x:f>
        <x:v>T2</x:v>
      </x:c>
      <x:c r="E846" s="4" t="inlineStr">
        <x:is>
          <x:t xml:space="preserve">Finished object proposal</x:t>
        </x:is>
      </x:c>
      <x:c r="F846" s="14">
        <x:f>Items!AJ846</x:f>
        <x:v>0</x:v>
      </x:c>
      <x:c r="G846" s="4" t="inlineStr">
        <x:is>
          <x:t xml:space="preserve">No recipe established</x:t>
        </x:is>
      </x:c>
      <x:c r="H846" s="4" t="inlineStr">
        <x:is>
          <x:t xml:space="preserve">Facilities and qualification criteria remain undefined.</x:t>
        </x:is>
      </x:c>
      <x:c r="I846" s="4" t="inlineStr">
        <x:is>
          <x:t xml:space="preserve">Proposal; not qualified for crafting</x:t>
        </x:is>
      </x:c>
      <x:c r="J846" s="4" t="inlineStr">
        <x:is>
          <x:t xml:space="preserve">Artwork direction: A broad shallow scoop with a straight lip and a short handle folded across its back. Fit, safe use and manufacturing details remain proposals.</x:t>
        </x:is>
      </x:c>
    </x:row>
    <x:row r="847">
      <x:c r="A847" s="4" t="inlineStr">
        <x:is>
          <x:t xml:space="preserve">proposal.legger.articulated_joint_guards</x:t>
        </x:is>
      </x:c>
      <x:c r="B847" s="4" t="str">
        <x:f>Items!B847</x:f>
        <x:v>Articulated joint guards</x:v>
      </x:c>
      <x:c r="C847" s="4" t="str">
        <x:f>Items!X847</x:f>
        <x:v>Armor</x:v>
      </x:c>
      <x:c r="D847" s="4" t="str">
        <x:f>Items!C847</x:f>
        <x:v>Not applicable</x:v>
      </x:c>
      <x:c r="E847" s="4" t="inlineStr">
        <x:is>
          <x:t xml:space="preserve">Finished armor proposal</x:t>
        </x:is>
      </x:c>
      <x:c r="F847" s="14">
        <x:f>Items!AJ847</x:f>
        <x:v>99</x:v>
      </x:c>
      <x:c r="G847" s="4" t="inlineStr">
        <x:is>
          <x:t xml:space="preserve">No recipe established</x:t>
        </x:is>
      </x:c>
      <x:c r="H847" s="4" t="inlineStr">
        <x:is>
          <x:t xml:space="preserve">Fit, facilities and input quantities unresolved.</x:t>
        </x:is>
      </x:c>
      <x:c r="I847" s="4" t="inlineStr">
        <x:is>
          <x:t xml:space="preserve">Proposal; not qualified for crafting</x:t>
        </x:is>
      </x:c>
      <x:c r="J847" s="4" t="inlineStr">
        <x:is>
          <x:t xml:space="preserve">Artwork direction: Three overlapping crescent-shaped metal scales around an open circular joint, with two visible hinge pins. Fit, mass, fastening, removal, repair and performance remain proposals.</x:t>
        </x:is>
      </x:c>
    </x:row>
    <x:row r="848">
      <x:c r="A848" s="4" t="inlineStr">
        <x:is>
          <x:t xml:space="preserve">proposal.legger.cargo_flank_screens</x:t>
        </x:is>
      </x:c>
      <x:c r="B848" s="4" t="str">
        <x:f>Items!B848</x:f>
        <x:v>Cargo flank screens</x:v>
      </x:c>
      <x:c r="C848" s="4" t="str">
        <x:f>Items!X848</x:f>
        <x:v>Armor</x:v>
      </x:c>
      <x:c r="D848" s="4" t="str">
        <x:f>Items!C848</x:f>
        <x:v>Not applicable</x:v>
      </x:c>
      <x:c r="E848" s="4" t="inlineStr">
        <x:is>
          <x:t xml:space="preserve">Finished armor proposal</x:t>
        </x:is>
      </x:c>
      <x:c r="F848" s="14">
        <x:f>Items!AJ848</x:f>
        <x:v>99</x:v>
      </x:c>
      <x:c r="G848" s="4" t="inlineStr">
        <x:is>
          <x:t xml:space="preserve">No recipe established</x:t>
        </x:is>
      </x:c>
      <x:c r="H848" s="4" t="inlineStr">
        <x:is>
          <x:t xml:space="preserve">Fit, facilities and input quantities unresolved.</x:t>
        </x:is>
      </x:c>
      <x:c r="I848" s="4" t="inlineStr">
        <x:is>
          <x:t xml:space="preserve">Proposal; not qualified for crafting</x:t>
        </x:is>
      </x:c>
      <x:c r="J848" s="4" t="inlineStr">
        <x:is>
          <x:t xml:space="preserve">Artwork direction: A matched pair of outward-bowed rib guards, each with three narrow vertical bars and a short upper mounting rail. Fit, mass, fastening, removal, repair and performance remain proposals.</x:t>
        </x:is>
      </x:c>
    </x:row>
    <x:row r="849">
      <x:c r="A849" s="4" t="inlineStr">
        <x:is>
          <x:t xml:space="preserve">proposal.legger.dorsal_shingle_carapace</x:t>
        </x:is>
      </x:c>
      <x:c r="B849" s="4" t="str">
        <x:f>Items!B849</x:f>
        <x:v>Dorsal shingle carapace</x:v>
      </x:c>
      <x:c r="C849" s="4" t="str">
        <x:f>Items!X849</x:f>
        <x:v>Armor</x:v>
      </x:c>
      <x:c r="D849" s="4" t="str">
        <x:f>Items!C849</x:f>
        <x:v>Not applicable</x:v>
      </x:c>
      <x:c r="E849" s="4" t="inlineStr">
        <x:is>
          <x:t xml:space="preserve">Finished armor proposal</x:t>
        </x:is>
      </x:c>
      <x:c r="F849" s="14">
        <x:f>Items!AJ849</x:f>
        <x:v>99</x:v>
      </x:c>
      <x:c r="G849" s="4" t="inlineStr">
        <x:is>
          <x:t xml:space="preserve">No recipe established</x:t>
        </x:is>
      </x:c>
      <x:c r="H849" s="4" t="inlineStr">
        <x:is>
          <x:t xml:space="preserve">Fit, facilities and input quantities unresolved.</x:t>
        </x:is>
      </x:c>
      <x:c r="I849" s="4" t="inlineStr">
        <x:is>
          <x:t xml:space="preserve">Proposal; not qualified for crafting</x:t>
        </x:is>
      </x:c>
      <x:c r="J849" s="4" t="inlineStr">
        <x:is>
          <x:t xml:space="preserve">Artwork direction: Five broad overlapping shell shingles forming a shallow peaked ridge, with a narrow central seam and small metal fasteners. Fit, mass, fastening, removal, repair and performance remain proposals.</x:t>
        </x:is>
      </x:c>
    </x:row>
    <x:row r="850">
      <x:c r="A850" s="4" t="inlineStr">
        <x:is>
          <x:t xml:space="preserve">proposal.salvage.expedition_cookpot</x:t>
        </x:is>
      </x:c>
      <x:c r="B850" s="4" t="str">
        <x:f>Items!B850</x:f>
        <x:v>Dented expedition cookpot</x:v>
      </x:c>
      <x:c r="C850" s="4" t="str">
        <x:f>Items!X850</x:f>
        <x:v>Household utensil</x:v>
      </x:c>
      <x:c r="D850" s="4" t="str">
        <x:f>Items!C850</x:f>
        <x:v>T0</x:v>
      </x:c>
      <x:c r="E850" s="4" t="inlineStr">
        <x:is>
          <x:t xml:space="preserve">As-found salvage</x:t>
        </x:is>
      </x:c>
      <x:c r="F850" s="14">
        <x:f>Items!AJ850</x:f>
        <x:v>0</x:v>
      </x:c>
      <x:c r="G850" s="4" t="inlineStr">
        <x:is>
          <x:t xml:space="preserve">No recipe established</x:t>
        </x:is>
      </x:c>
      <x:c r="H850" s="4" t="inlineStr">
        <x:is>
          <x:t xml:space="preserve">Facilities and qualification criteria remain undefined.</x:t>
        </x:is>
      </x:c>
      <x:c r="I850" s="4" t="inlineStr">
        <x:is>
          <x:t xml:space="preserve">Proposal; not qualified for crafting</x:t>
        </x:is>
      </x:c>
      <x:c r="J850" s="4" t="inlineStr">
        <x:is>
          <x:t xml:space="preserve">Artwork direction: A squat dented pot with one bent loop handle and a badly fitting lid. Fit, safe use and manufacturing details remain proposals.</x:t>
        </x:is>
      </x:c>
    </x:row>
    <x:row r="851">
      <x:c r="A851" s="4" t="inlineStr">
        <x:is>
          <x:t xml:space="preserve">proposal.salvage.buckled_pack_frame</x:t>
        </x:is>
      </x:c>
      <x:c r="B851" s="4" t="str">
        <x:f>Items!B851</x:f>
        <x:v>Buckled pack frame</x:v>
      </x:c>
      <x:c r="C851" s="4" t="str">
        <x:f>Items!X851</x:f>
        <x:v>Carrier</x:v>
      </x:c>
      <x:c r="D851" s="4" t="str">
        <x:f>Items!C851</x:f>
        <x:v>T0</x:v>
      </x:c>
      <x:c r="E851" s="4" t="inlineStr">
        <x:is>
          <x:t xml:space="preserve">As-found salvage</x:t>
        </x:is>
      </x:c>
      <x:c r="F851" s="14">
        <x:f>Items!AJ851</x:f>
        <x:v>0</x:v>
      </x:c>
      <x:c r="G851" s="4" t="inlineStr">
        <x:is>
          <x:t xml:space="preserve">No recipe established</x:t>
        </x:is>
      </x:c>
      <x:c r="H851" s="4" t="inlineStr">
        <x:is>
          <x:t xml:space="preserve">Facilities and qualification criteria remain undefined.</x:t>
        </x:is>
      </x:c>
      <x:c r="I851" s="4" t="inlineStr">
        <x:is>
          <x:t xml:space="preserve">Proposal; not qualified for crafting</x:t>
        </x:is>
      </x:c>
      <x:c r="J851" s="4" t="inlineStr">
        <x:is>
          <x:t xml:space="preserve">Artwork direction: A narrow ladder-like frame with a skewed crossbar and two bare attachment eyes. Fit, safe use and manufacturing details remain proposals.</x:t>
        </x:is>
      </x:c>
    </x:row>
    <x:row r="852">
      <x:c r="A852" s="4" t="inlineStr">
        <x:is>
          <x:t xml:space="preserve">proposal.salvage.mixed_field_fasteners</x:t>
        </x:is>
      </x:c>
      <x:c r="B852" s="4" t="str">
        <x:f>Items!B852</x:f>
        <x:v>Mixed field-repair fasteners</x:v>
      </x:c>
      <x:c r="C852" s="4" t="str">
        <x:f>Items!X852</x:f>
        <x:v>Crafting component</x:v>
      </x:c>
      <x:c r="D852" s="4" t="str">
        <x:f>Items!C852</x:f>
        <x:v>T0</x:v>
      </x:c>
      <x:c r="E852" s="4" t="inlineStr">
        <x:is>
          <x:t xml:space="preserve">As-found salvage</x:t>
        </x:is>
      </x:c>
      <x:c r="F852" s="14">
        <x:f>Items!AJ852</x:f>
        <x:v>0</x:v>
      </x:c>
      <x:c r="G852" s="4" t="inlineStr">
        <x:is>
          <x:t xml:space="preserve">No recipe established</x:t>
        </x:is>
      </x:c>
      <x:c r="H852" s="4" t="inlineStr">
        <x:is>
          <x:t xml:space="preserve">Facilities and qualification criteria remain undefined.</x:t>
        </x:is>
      </x:c>
      <x:c r="I852" s="4" t="inlineStr">
        <x:is>
          <x:t xml:space="preserve">Proposal; not qualified for crafting</x:t>
        </x:is>
      </x:c>
      <x:c r="J852" s="4" t="inlineStr">
        <x:is>
          <x:t xml:space="preserve">Artwork direction: A shallow folded metal tray holding mismatched pins, a split retainer and short bolts. Fit, safe use and manufacturing details remain proposals.</x:t>
        </x:is>
      </x:c>
    </x:row>
    <x:row r="853">
      <x:c r="A853" s="4" t="inlineStr">
        <x:is>
          <x:t xml:space="preserve">proposal.salvage.cracked_haul_canister</x:t>
        </x:is>
      </x:c>
      <x:c r="B853" s="4" t="str">
        <x:f>Items!B853</x:f>
        <x:v>Cracked empty haul canister</x:v>
      </x:c>
      <x:c r="C853" s="4" t="str">
        <x:f>Items!X853</x:f>
        <x:v>Container</x:v>
      </x:c>
      <x:c r="D853" s="4" t="str">
        <x:f>Items!C853</x:f>
        <x:v>T0</x:v>
      </x:c>
      <x:c r="E853" s="4" t="inlineStr">
        <x:is>
          <x:t xml:space="preserve">As-found salvage</x:t>
        </x:is>
      </x:c>
      <x:c r="F853" s="14">
        <x:f>Items!AJ853</x:f>
        <x:v>0</x:v>
      </x:c>
      <x:c r="G853" s="4" t="inlineStr">
        <x:is>
          <x:t xml:space="preserve">No recipe established</x:t>
        </x:is>
      </x:c>
      <x:c r="H853" s="4" t="inlineStr">
        <x:is>
          <x:t xml:space="preserve">Facilities and qualification criteria remain undefined.</x:t>
        </x:is>
      </x:c>
      <x:c r="I853" s="4" t="inlineStr">
        <x:is>
          <x:t xml:space="preserve">Proposal; not qualified for crafting</x:t>
        </x:is>
      </x:c>
      <x:c r="J853" s="4" t="inlineStr">
        <x:is>
          <x:t xml:space="preserve">Artwork direction: A short cylindrical canister with an exposed mouth, split side seam and uneven base. Fit, safe use and manufacturing details remain proposals.</x:t>
        </x:is>
      </x:c>
    </x:row>
    <x:row r="854">
      <x:c r="A854" s="4" t="inlineStr">
        <x:is>
          <x:t xml:space="preserve">proposal.salvage.worn_boot_sole_plates</x:t>
        </x:is>
      </x:c>
      <x:c r="B854" s="4" t="str">
        <x:f>Items!B854</x:f>
        <x:v>Worn boot sole plates</x:v>
      </x:c>
      <x:c r="C854" s="4" t="str">
        <x:f>Items!X854</x:f>
        <x:v>Crafting component</x:v>
      </x:c>
      <x:c r="D854" s="4" t="str">
        <x:f>Items!C854</x:f>
        <x:v>T0</x:v>
      </x:c>
      <x:c r="E854" s="4" t="inlineStr">
        <x:is>
          <x:t xml:space="preserve">As-found salvage</x:t>
        </x:is>
      </x:c>
      <x:c r="F854" s="14">
        <x:f>Items!AJ854</x:f>
        <x:v>0</x:v>
      </x:c>
      <x:c r="G854" s="4" t="inlineStr">
        <x:is>
          <x:t xml:space="preserve">No recipe established</x:t>
        </x:is>
      </x:c>
      <x:c r="H854" s="4" t="inlineStr">
        <x:is>
          <x:t xml:space="preserve">Facilities and qualification criteria remain undefined.</x:t>
        </x:is>
      </x:c>
      <x:c r="I854" s="4" t="inlineStr">
        <x:is>
          <x:t xml:space="preserve">Proposal; not qualified for crafting</x:t>
        </x:is>
      </x:c>
      <x:c r="J854" s="4" t="inlineStr">
        <x:is>
          <x:t xml:space="preserve">Artwork direction: Two uneven foot-shaped metal plates, one deeply worn and missing its heel edge. Fit, safe use and manufacturing details remain proposals.</x:t>
        </x:is>
      </x:c>
    </x:row>
    <x:row r="855">
      <x:c r="A855" s="4" t="inlineStr">
        <x:is>
          <x:t xml:space="preserve">proposal.salvage.weathered_route_plates</x:t>
        </x:is>
      </x:c>
      <x:c r="B855" s="4" t="str">
        <x:f>Items!B855</x:f>
        <x:v>Weathered expedition route plates</x:v>
      </x:c>
      <x:c r="C855" s="4" t="str">
        <x:f>Items!X855</x:f>
        <x:v>Document</x:v>
      </x:c>
      <x:c r="D855" s="4" t="str">
        <x:f>Items!C855</x:f>
        <x:v>T0</x:v>
      </x:c>
      <x:c r="E855" s="4" t="inlineStr">
        <x:is>
          <x:t xml:space="preserve">As-found salvage</x:t>
        </x:is>
      </x:c>
      <x:c r="F855" s="14">
        <x:f>Items!AJ855</x:f>
        <x:v>0</x:v>
      </x:c>
      <x:c r="G855" s="4" t="inlineStr">
        <x:is>
          <x:t xml:space="preserve">No recipe established</x:t>
        </x:is>
      </x:c>
      <x:c r="H855" s="4" t="inlineStr">
        <x:is>
          <x:t xml:space="preserve">Facilities and qualification criteria remain undefined.</x:t>
        </x:is>
      </x:c>
      <x:c r="I855" s="4" t="inlineStr">
        <x:is>
          <x:t xml:space="preserve">Proposal; not qualified for crafting</x:t>
        </x:is>
      </x:c>
      <x:c r="J855" s="4" t="inlineStr">
        <x:is>
          <x:t xml:space="preserve">Artwork direction: Three overlapping rectangular plates with scratched lines and a broken hanging hole. Fit, safe use and manufacturing details remain proposals.</x:t>
        </x:is>
      </x:c>
    </x:row>
    <x:row r="856">
      <x:c r="A856" s="4" t="inlineStr">
        <x:is>
          <x:t xml:space="preserve">proposal.salvage.damaged_sail_hinge</x:t>
        </x:is>
      </x:c>
      <x:c r="B856" s="4" t="str">
        <x:f>Items!B856</x:f>
        <x:v>Damaged folding-sail hinge</x:v>
      </x:c>
      <x:c r="C856" s="4" t="str">
        <x:f>Items!X856</x:f>
        <x:v>Machine part</x:v>
      </x:c>
      <x:c r="D856" s="4" t="str">
        <x:f>Items!C856</x:f>
        <x:v>T0</x:v>
      </x:c>
      <x:c r="E856" s="4" t="inlineStr">
        <x:is>
          <x:t xml:space="preserve">As-found salvage</x:t>
        </x:is>
      </x:c>
      <x:c r="F856" s="14">
        <x:f>Items!AJ856</x:f>
        <x:v>0</x:v>
      </x:c>
      <x:c r="G856" s="4" t="inlineStr">
        <x:is>
          <x:t xml:space="preserve">No recipe established</x:t>
        </x:is>
      </x:c>
      <x:c r="H856" s="4" t="inlineStr">
        <x:is>
          <x:t xml:space="preserve">Facilities and qualification criteria remain undefined.</x:t>
        </x:is>
      </x:c>
      <x:c r="I856" s="4" t="inlineStr">
        <x:is>
          <x:t xml:space="preserve">Proposal; not qualified for crafting</x:t>
        </x:is>
      </x:c>
      <x:c r="J856" s="4" t="inlineStr">
        <x:is>
          <x:t xml:space="preserve">Artwork direction: Two folded metal hinge arms around an offset pivot, with one broken stop tooth. Fit, safe use and manufacturing details remain proposals.</x:t>
        </x:is>
      </x:c>
    </x:row>
    <x:row r="857">
      <x:c r="A857" s="4" t="inlineStr">
        <x:is>
          <x:t xml:space="preserve">proposal.salvage.seized_hand_drill</x:t>
        </x:is>
      </x:c>
      <x:c r="B857" s="4" t="str">
        <x:f>Items!B857</x:f>
        <x:v>Seized hand-crank drill</x:v>
      </x:c>
      <x:c r="C857" s="4" t="str">
        <x:f>Items!X857</x:f>
        <x:v>Tool</x:v>
      </x:c>
      <x:c r="D857" s="4" t="str">
        <x:f>Items!C857</x:f>
        <x:v>T0</x:v>
      </x:c>
      <x:c r="E857" s="4" t="inlineStr">
        <x:is>
          <x:t xml:space="preserve">As-found salvage</x:t>
        </x:is>
      </x:c>
      <x:c r="F857" s="14">
        <x:f>Items!AJ857</x:f>
        <x:v>0</x:v>
      </x:c>
      <x:c r="G857" s="4" t="inlineStr">
        <x:is>
          <x:t xml:space="preserve">No recipe established</x:t>
        </x:is>
      </x:c>
      <x:c r="H857" s="4" t="inlineStr">
        <x:is>
          <x:t xml:space="preserve">Facilities and qualification criteria remain undefined.</x:t>
        </x:is>
      </x:c>
      <x:c r="I857" s="4" t="inlineStr">
        <x:is>
          <x:t xml:space="preserve">Proposal; not qualified for crafting</x:t>
        </x:is>
      </x:c>
      <x:c r="J857" s="4" t="inlineStr">
        <x:is>
          <x:t xml:space="preserve">Artwork direction: A compact crank drill with exposed rusty gears, a crooked grip and an empty chuck. Fit, safe use and manufacturing details remain proposals.</x:t>
        </x:is>
      </x:c>
    </x:row>
    <x:row r="858">
      <x:c r="A858" s="4" t="inlineStr">
        <x:is>
          <x:t xml:space="preserve">proposal.salvage.cracked_expedition_spectacles</x:t>
        </x:is>
      </x:c>
      <x:c r="B858" s="4" t="str">
        <x:f>Items!B858</x:f>
        <x:v>Cracked expedition spectacles</x:v>
      </x:c>
      <x:c r="C858" s="4" t="str">
        <x:f>Items!X858</x:f>
        <x:v>Wearable</x:v>
      </x:c>
      <x:c r="D858" s="4" t="str">
        <x:f>Items!C858</x:f>
        <x:v>T0</x:v>
      </x:c>
      <x:c r="E858" s="4" t="inlineStr">
        <x:is>
          <x:t xml:space="preserve">As-found salvage</x:t>
        </x:is>
      </x:c>
      <x:c r="F858" s="14">
        <x:f>Items!AJ858</x:f>
        <x:v>0</x:v>
      </x:c>
      <x:c r="G858" s="4" t="inlineStr">
        <x:is>
          <x:t xml:space="preserve">No recipe established</x:t>
        </x:is>
      </x:c>
      <x:c r="H858" s="4" t="inlineStr">
        <x:is>
          <x:t xml:space="preserve">Facilities and qualification criteria remain undefined.</x:t>
        </x:is>
      </x:c>
      <x:c r="I858" s="4" t="inlineStr">
        <x:is>
          <x:t xml:space="preserve">Proposal; not qualified for crafting</x:t>
        </x:is>
      </x:c>
      <x:c r="J858" s="4" t="inlineStr">
        <x:is>
          <x:t xml:space="preserve">Artwork direction: A folded metal spectacle frame with one intact lens, one radiating crack and a bent arm. Fit, safe use and manufacturing details remain proposals.</x:t>
        </x:is>
      </x:c>
    </x:row>
    <x:row r="859">
      <x:c r="A859" s="4"/>
      <x:c r="B859" s="4"/>
      <x:c r="C859" s="4"/>
      <x:c r="D859" s="4"/>
      <x:c r="E859" s="4"/>
      <x:c r="F859" s="14"/>
      <x:c r="G859" s="4"/>
      <x:c r="H859" s="4"/>
      <x:c r="I859" s="4"/>
      <x:c r="J859" s="4"/>
    </x:row>
    <x:row r="860">
      <x:c r="A860" s="4" t="inlineStr">
        <x:is>
          <x:t xml:space="preserve">proposal.stock.perforated_iron_sheet</x:t>
        </x:is>
      </x:c>
      <x:c r="B860" s="4" t="str">
        <x:f>Items!B860</x:f>
        <x:v>Perforated iron sheet stock</x:v>
      </x:c>
      <x:c r="C860" s="4" t="str">
        <x:f>Items!X860</x:f>
        <x:v>Processed material</x:v>
      </x:c>
      <x:c r="D860" s="4" t="str">
        <x:f>Items!C860</x:f>
        <x:v>T2</x:v>
      </x:c>
      <x:c r="E860" s="4" t="inlineStr">
        <x:is>
          <x:t xml:space="preserve">Intermediate stock proposal</x:t>
        </x:is>
      </x:c>
      <x:c r="F860" s="14">
        <x:f>Items!AJ860</x:f>
        <x:v>0</x:v>
      </x:c>
      <x:c r="G860" s="4" t="inlineStr">
        <x:is>
          <x:t xml:space="preserve">No recipe established</x:t>
        </x:is>
      </x:c>
      <x:c r="H860" s="4" t="inlineStr">
        <x:is>
          <x:t xml:space="preserve">Facilities and qualification criteria remain undefined.</x:t>
        </x:is>
      </x:c>
      <x:c r="I860" s="4" t="inlineStr">
        <x:is>
          <x:t xml:space="preserve">Proposal; not qualified for crafting</x:t>
        </x:is>
      </x:c>
      <x:c r="J860" s="4" t="inlineStr">
        <x:is>
          <x:t xml:space="preserve">Artwork direction: A slightly curved iron sheet with rows of punched holes and an unfinished edge. Fit, safe use and manufacturing details remain proposals.</x:t>
        </x:is>
      </x:c>
    </x:row>
    <x:row r="861">
      <x:c r="A861" s="4" t="inlineStr">
        <x:is>
          <x:t xml:space="preserve">proposal.stock.flanged_iron_channel</x:t>
        </x:is>
      </x:c>
      <x:c r="B861" s="4" t="str">
        <x:f>Items!B861</x:f>
        <x:v>Flanged iron channel stock</x:v>
      </x:c>
      <x:c r="C861" s="4" t="str">
        <x:f>Items!X861</x:f>
        <x:v>Processed material</x:v>
      </x:c>
      <x:c r="D861" s="4" t="str">
        <x:f>Items!C861</x:f>
        <x:v>T2</x:v>
      </x:c>
      <x:c r="E861" s="4" t="inlineStr">
        <x:is>
          <x:t xml:space="preserve">Intermediate stock proposal</x:t>
        </x:is>
      </x:c>
      <x:c r="F861" s="14">
        <x:f>Items!AJ861</x:f>
        <x:v>0</x:v>
      </x:c>
      <x:c r="G861" s="4" t="inlineStr">
        <x:is>
          <x:t xml:space="preserve">No recipe established</x:t>
        </x:is>
      </x:c>
      <x:c r="H861" s="4" t="inlineStr">
        <x:is>
          <x:t xml:space="preserve">Facilities and qualification criteria remain undefined.</x:t>
        </x:is>
      </x:c>
      <x:c r="I861" s="4" t="inlineStr">
        <x:is>
          <x:t xml:space="preserve">Proposal; not qualified for crafting</x:t>
        </x:is>
      </x:c>
      <x:c r="J861" s="4" t="inlineStr">
        <x:is>
          <x:t xml:space="preserve">Artwork direction: Three staggered lengths of shallow U-shaped iron channel with flat outward lips. Fit, safe use and manufacturing details remain proposals.</x:t>
        </x:is>
      </x:c>
    </x:row>
    <x:row r="862">
      <x:c r="A862" s="4" t="inlineStr">
        <x:is>
          <x:t xml:space="preserve">proposal.stock.corrugated_steel_sheet</x:t>
        </x:is>
      </x:c>
      <x:c r="B862" s="4" t="str">
        <x:f>Items!B862</x:f>
        <x:v>Corrugated steel sheet stock</x:v>
      </x:c>
      <x:c r="C862" s="4" t="str">
        <x:f>Items!X862</x:f>
        <x:v>Processed material</x:v>
      </x:c>
      <x:c r="D862" s="4" t="str">
        <x:f>Items!C862</x:f>
        <x:v>T3</x:v>
      </x:c>
      <x:c r="E862" s="4" t="inlineStr">
        <x:is>
          <x:t xml:space="preserve">Intermediate stock proposal</x:t>
        </x:is>
      </x:c>
      <x:c r="F862" s="14">
        <x:f>Items!AJ862</x:f>
        <x:v>0</x:v>
      </x:c>
      <x:c r="G862" s="4" t="inlineStr">
        <x:is>
          <x:t xml:space="preserve">No recipe established</x:t>
        </x:is>
      </x:c>
      <x:c r="H862" s="4" t="inlineStr">
        <x:is>
          <x:t xml:space="preserve">Facilities and qualification criteria remain undefined.</x:t>
        </x:is>
      </x:c>
      <x:c r="I862" s="4" t="inlineStr">
        <x:is>
          <x:t xml:space="preserve">Proposal; not qualified for crafting</x:t>
        </x:is>
      </x:c>
      <x:c r="J862" s="4" t="inlineStr">
        <x:is>
          <x:t xml:space="preserve">Artwork direction: A short steel sheet with five broad corrugations and uneven cut ends. Fit, safe use and manufacturing details remain proposals.</x:t>
        </x:is>
      </x:c>
    </x:row>
    <x:row r="863">
      <x:c r="A863" s="4" t="inlineStr">
        <x:is>
          <x:t xml:space="preserve">proposal.stock.hollow_ceramic_tube_blanks</x:t>
        </x:is>
      </x:c>
      <x:c r="B863" s="4" t="str">
        <x:f>Items!B863</x:f>
        <x:v>Hollow ceramic tube blanks</x:v>
      </x:c>
      <x:c r="C863" s="4" t="str">
        <x:f>Items!X863</x:f>
        <x:v>Processed material</x:v>
      </x:c>
      <x:c r="D863" s="4" t="str">
        <x:f>Items!C863</x:f>
        <x:v>T2</x:v>
      </x:c>
      <x:c r="E863" s="4" t="inlineStr">
        <x:is>
          <x:t xml:space="preserve">Intermediate stock proposal</x:t>
        </x:is>
      </x:c>
      <x:c r="F863" s="14">
        <x:f>Items!AJ863</x:f>
        <x:v>0</x:v>
      </x:c>
      <x:c r="G863" s="4" t="inlineStr">
        <x:is>
          <x:t xml:space="preserve">No recipe established</x:t>
        </x:is>
      </x:c>
      <x:c r="H863" s="4" t="inlineStr">
        <x:is>
          <x:t xml:space="preserve">Facilities and qualification criteria remain undefined.</x:t>
        </x:is>
      </x:c>
      <x:c r="I863" s="4" t="inlineStr">
        <x:is>
          <x:t xml:space="preserve">Proposal; not qualified for crafting</x:t>
        </x:is>
      </x:c>
      <x:c r="J863" s="4" t="inlineStr">
        <x:is>
          <x:t xml:space="preserve">Artwork direction: Three thick-walled ceramic tubes of different lengths, their rough open bores visible. Fit, safe use and manufacturing details remain proposals.</x:t>
        </x:is>
      </x:c>
    </x:row>
    <x:row r="864">
      <x:c r="A864" s="4" t="inlineStr">
        <x:is>
          <x:t xml:space="preserve">proposal.stock.fired_ceramic_ring_blanks</x:t>
        </x:is>
      </x:c>
      <x:c r="B864" s="4" t="str">
        <x:f>Items!B864</x:f>
        <x:v>Fired ceramic ring blanks</x:v>
      </x:c>
      <x:c r="C864" s="4" t="str">
        <x:f>Items!X864</x:f>
        <x:v>Processed material</x:v>
      </x:c>
      <x:c r="D864" s="4" t="str">
        <x:f>Items!C864</x:f>
        <x:v>T2</x:v>
      </x:c>
      <x:c r="E864" s="4" t="inlineStr">
        <x:is>
          <x:t xml:space="preserve">Intermediate stock proposal</x:t>
        </x:is>
      </x:c>
      <x:c r="F864" s="14">
        <x:f>Items!AJ864</x:f>
        <x:v>0</x:v>
      </x:c>
      <x:c r="G864" s="4" t="inlineStr">
        <x:is>
          <x:t xml:space="preserve">No recipe established</x:t>
        </x:is>
      </x:c>
      <x:c r="H864" s="4" t="inlineStr">
        <x:is>
          <x:t xml:space="preserve">Facilities and qualification criteria remain undefined.</x:t>
        </x:is>
      </x:c>
      <x:c r="I864" s="4" t="inlineStr">
        <x:is>
          <x:t xml:space="preserve">Proposal; not qualified for crafting</x:t>
        </x:is>
      </x:c>
      <x:c r="J864" s="4" t="inlineStr">
        <x:is>
          <x:t xml:space="preserve">Artwork direction: A small stack of thick ceramic rings with rough rims and mismatched inner openings. Fit, safe use and manufacturing details remain proposals.</x:t>
        </x:is>
      </x:c>
    </x:row>
    <x:row r="865">
      <x:c r="A865" s="4" t="inlineStr">
        <x:is>
          <x:t xml:space="preserve">proposal.stock.laminated_mica_shims</x:t>
        </x:is>
      </x:c>
      <x:c r="B865" s="4" t="str">
        <x:f>Items!B865</x:f>
        <x:v>Laminated mica shim stock</x:v>
      </x:c>
      <x:c r="C865" s="4" t="str">
        <x:f>Items!X865</x:f>
        <x:v>Processed material</x:v>
      </x:c>
      <x:c r="D865" s="4" t="str">
        <x:f>Items!C865</x:f>
        <x:v>T3</x:v>
      </x:c>
      <x:c r="E865" s="4" t="inlineStr">
        <x:is>
          <x:t xml:space="preserve">Intermediate stock proposal</x:t>
        </x:is>
      </x:c>
      <x:c r="F865" s="14">
        <x:f>Items!AJ865</x:f>
        <x:v>0</x:v>
      </x:c>
      <x:c r="G865" s="4" t="inlineStr">
        <x:is>
          <x:t xml:space="preserve">No recipe established</x:t>
        </x:is>
      </x:c>
      <x:c r="H865" s="4" t="inlineStr">
        <x:is>
          <x:t xml:space="preserve">Facilities and qualification criteria remain undefined.</x:t>
        </x:is>
      </x:c>
      <x:c r="I865" s="4" t="inlineStr">
        <x:is>
          <x:t xml:space="preserve">Proposal; not qualified for crafting</x:t>
        </x:is>
      </x:c>
      <x:c r="J865" s="4" t="inlineStr">
        <x:is>
          <x:t xml:space="preserve">Artwork direction: A fan of thin amber-grey mineral strips showing layered edges and staggered lengths. Fit, safe use and manufacturing details remain proposals.</x:t>
        </x:is>
      </x:c>
    </x:row>
    <x:row r="866">
      <x:c r="A866" s="4" t="inlineStr">
        <x:is>
          <x:t xml:space="preserve">proposal.stock.copper_capillary_tube</x:t>
        </x:is>
      </x:c>
      <x:c r="B866" s="4" t="str">
        <x:f>Items!B866</x:f>
        <x:v>Copper capillary tube stock</x:v>
      </x:c>
      <x:c r="C866" s="4" t="str">
        <x:f>Items!X866</x:f>
        <x:v>Processed material</x:v>
      </x:c>
      <x:c r="D866" s="4" t="str">
        <x:f>Items!C866</x:f>
        <x:v>T3</x:v>
      </x:c>
      <x:c r="E866" s="4" t="inlineStr">
        <x:is>
          <x:t xml:space="preserve">Intermediate stock proposal</x:t>
        </x:is>
      </x:c>
      <x:c r="F866" s="14">
        <x:f>Items!AJ866</x:f>
        <x:v>0</x:v>
      </x:c>
      <x:c r="G866" s="4" t="inlineStr">
        <x:is>
          <x:t xml:space="preserve">No recipe established</x:t>
        </x:is>
      </x:c>
      <x:c r="H866" s="4" t="inlineStr">
        <x:is>
          <x:t xml:space="preserve">Facilities and qualification criteria remain undefined.</x:t>
        </x:is>
      </x:c>
      <x:c r="I866" s="4" t="inlineStr">
        <x:is>
          <x:t xml:space="preserve">Proposal; not qualified for crafting</x:t>
        </x:is>
      </x:c>
      <x:c r="J866" s="4" t="inlineStr">
        <x:is>
          <x:t xml:space="preserve">Artwork direction: A loose coil of narrow copper tube with two short straight offcuts showing tiny open bores. Fit, safe use and manufacturing details remain proposals.</x:t>
        </x:is>
      </x:c>
    </x:row>
    <x:row r="867">
      <x:c r="A867" s="4" t="inlineStr">
        <x:is>
          <x:t xml:space="preserve">proposal.stock.hammered_bronze_foil</x:t>
        </x:is>
      </x:c>
      <x:c r="B867" s="4" t="str">
        <x:f>Items!B867</x:f>
        <x:v>Hammered bronze foil stock</x:v>
      </x:c>
      <x:c r="C867" s="4" t="str">
        <x:f>Items!X867</x:f>
        <x:v>Processed material</x:v>
      </x:c>
      <x:c r="D867" s="4" t="str">
        <x:f>Items!C867</x:f>
        <x:v>T3</x:v>
      </x:c>
      <x:c r="E867" s="4" t="inlineStr">
        <x:is>
          <x:t xml:space="preserve">Intermediate stock proposal</x:t>
        </x:is>
      </x:c>
      <x:c r="F867" s="14">
        <x:f>Items!AJ867</x:f>
        <x:v>0</x:v>
      </x:c>
      <x:c r="G867" s="4" t="inlineStr">
        <x:is>
          <x:t xml:space="preserve">No recipe established</x:t>
        </x:is>
      </x:c>
      <x:c r="H867" s="4" t="inlineStr">
        <x:is>
          <x:t xml:space="preserve">Facilities and qualification criteria remain undefined.</x:t>
        </x:is>
      </x:c>
      <x:c r="I867" s="4" t="inlineStr">
        <x:is>
          <x:t xml:space="preserve">Proposal; not qualified for crafting</x:t>
        </x:is>
      </x:c>
      <x:c r="J867" s="4" t="inlineStr">
        <x:is>
          <x:t xml:space="preserve">Artwork direction: Several thin warm-brown metal leaves with curled corners and small hammer facets. Fit, safe use and manufacturing details remain proposals.</x:t>
        </x:is>
      </x:c>
    </x:row>
    <x:row r="868">
      <x:c r="A868" s="4" t="inlineStr">
        <x:is>
          <x:t xml:space="preserve">author.station.workbench</x:t>
        </x:is>
      </x:c>
      <x:c r="B868" s="4" t="str">
        <x:f>Items!B868</x:f>
        <x:v>Workbench</x:v>
      </x:c>
      <x:c r="C868" s="4" t="str">
        <x:f>Items!X868</x:f>
        <x:v>Machine</x:v>
      </x:c>
      <x:c r="D868" s="4" t="str">
        <x:f>Items!C868</x:f>
        <x:v>T2</x:v>
      </x:c>
      <x:c r="E868" s="4" t="inlineStr">
        <x:is>
          <x:t xml:space="preserve">Finished object proposal</x:t>
        </x:is>
      </x:c>
      <x:c r="F868" s="14">
        <x:f>Items!AJ868</x:f>
        <x:v>0</x:v>
      </x:c>
      <x:c r="G868" s="4" t="inlineStr">
        <x:is>
          <x:t xml:space="preserve">No recipe established</x:t>
        </x:is>
      </x:c>
      <x:c r="H868" s="4" t="inlineStr">
        <x:is>
          <x:t xml:space="preserve">Facilities and qualification criteria remain undefined.</x:t>
        </x:is>
      </x:c>
      <x:c r="I868" s="4" t="inlineStr">
        <x:is>
          <x:t xml:space="preserve">Proposal; not qualified for crafting</x:t>
        </x:is>
      </x:c>
      <x:c r="J868" s="4" t="inlineStr">
        <x:is>
          <x:t xml:space="preserve">Artwork direction: A worn metal worktop on a braced iron frame, with a vise and shallow shell parts tray; no wooden boards. Fit, safe use and manufacturing details remain proposals.</x:t>
        </x:is>
      </x:c>
    </x:row>
    <x:row r="869">
      <x:c r="A869" s="4" t="inlineStr">
        <x:is>
          <x:t xml:space="preserve">author.station.ironstone_refinery</x:t>
        </x:is>
      </x:c>
      <x:c r="B869" s="4" t="str">
        <x:f>Items!B869</x:f>
        <x:v>Ironstone refinery</x:v>
      </x:c>
      <x:c r="C869" s="4" t="str">
        <x:f>Items!X869</x:f>
        <x:v>Machine</x:v>
      </x:c>
      <x:c r="D869" s="4" t="str">
        <x:f>Items!C869</x:f>
        <x:v>T2</x:v>
      </x:c>
      <x:c r="E869" s="4" t="inlineStr">
        <x:is>
          <x:t xml:space="preserve">Finished object proposal</x:t>
        </x:is>
      </x:c>
      <x:c r="F869" s="14">
        <x:f>Items!AJ869</x:f>
        <x:v>0</x:v>
      </x:c>
      <x:c r="G869" s="4" t="inlineStr">
        <x:is>
          <x:t xml:space="preserve">No recipe established</x:t>
        </x:is>
      </x:c>
      <x:c r="H869" s="4" t="inlineStr">
        <x:is>
          <x:t xml:space="preserve">Facilities and qualification criteria remain undefined.</x:t>
        </x:is>
      </x:c>
      <x:c r="I869" s="4" t="inlineStr">
        <x:is>
          <x:t xml:space="preserve">Proposal; not qualified for crafting</x:t>
        </x:is>
      </x:c>
      <x:c r="J869" s="4" t="inlineStr">
        <x:is>
          <x:t xml:space="preserve">Artwork direction: A low iron-framed sorting machine with a hopper, screened channels and separate ceramic output bins. Fit, safe use and manufacturing details remain proposals.</x:t>
        </x:is>
      </x:c>
    </x:row>
    <x:row r="870">
      <x:c r="A870" s="4" t="inlineStr">
        <x:is>
          <x:t xml:space="preserve">author.station.dust_refinery</x:t>
        </x:is>
      </x:c>
      <x:c r="B870" s="4" t="str">
        <x:f>Items!B870</x:f>
        <x:v>Dust refinery</x:v>
      </x:c>
      <x:c r="C870" s="4" t="str">
        <x:f>Items!X870</x:f>
        <x:v>Machine</x:v>
      </x:c>
      <x:c r="D870" s="4" t="str">
        <x:f>Items!C870</x:f>
        <x:v>T2</x:v>
      </x:c>
      <x:c r="E870" s="4" t="inlineStr">
        <x:is>
          <x:t xml:space="preserve">Finished object proposal</x:t>
        </x:is>
      </x:c>
      <x:c r="F870" s="14">
        <x:f>Items!AJ870</x:f>
        <x:v>0</x:v>
      </x:c>
      <x:c r="G870" s="4" t="inlineStr">
        <x:is>
          <x:t xml:space="preserve">No recipe established</x:t>
        </x:is>
      </x:c>
      <x:c r="H870" s="4" t="inlineStr">
        <x:is>
          <x:t xml:space="preserve">Facilities and qualification criteria remain undefined.</x:t>
        </x:is>
      </x:c>
      <x:c r="I870" s="4" t="inlineStr">
        <x:is>
          <x:t xml:space="preserve">Proposal; not qualified for crafting</x:t>
        </x:is>
      </x:c>
      <x:c r="J870" s="4" t="inlineStr">
        <x:is>
          <x:t xml:space="preserve">Artwork direction: A ceramic-insulated metal apparatus with separate canister and battery sockets linked through a compact refining chamber. Fit, safe use and manufacturing details remain proposals.</x:t>
        </x:is>
      </x:c>
    </x:row>
    <x:row r="871">
      <x:c r="A871" s="4" t="inlineStr">
        <x:is>
          <x:t xml:space="preserve">proposal.station.salvage_dismantling_bench</x:t>
        </x:is>
      </x:c>
      <x:c r="B871" s="4" t="str">
        <x:f>Items!B871</x:f>
        <x:v>Salvage dismantling bench</x:v>
      </x:c>
      <x:c r="C871" s="4" t="str">
        <x:f>Items!X871</x:f>
        <x:v>Machine</x:v>
      </x:c>
      <x:c r="D871" s="4" t="str">
        <x:f>Items!C871</x:f>
        <x:v>T2</x:v>
      </x:c>
      <x:c r="E871" s="4" t="inlineStr">
        <x:is>
          <x:t xml:space="preserve">Finished object proposal</x:t>
        </x:is>
      </x:c>
      <x:c r="F871" s="14">
        <x:f>Items!AJ871</x:f>
        <x:v>0</x:v>
      </x:c>
      <x:c r="G871" s="4" t="inlineStr">
        <x:is>
          <x:t xml:space="preserve">No recipe established</x:t>
        </x:is>
      </x:c>
      <x:c r="H871" s="4" t="inlineStr">
        <x:is>
          <x:t xml:space="preserve">Facilities and qualification criteria remain undefined.</x:t>
        </x:is>
      </x:c>
      <x:c r="I871" s="4" t="inlineStr">
        <x:is>
          <x:t xml:space="preserve">Proposal; not qualified for crafting</x:t>
        </x:is>
      </x:c>
      <x:c r="J871" s="4" t="inlineStr">
        <x:is>
          <x:t xml:space="preserve">Artwork direction: A scarred iron bench with restraint jaws, removable shell catch trays and a few dismantled metal housings. Fit, safe use and manufacturing details remain proposals.</x:t>
        </x:is>
      </x:c>
    </x:row>
    <x:row r="872">
      <x:c r="A872" s="4" t="inlineStr">
        <x:is>
          <x:t xml:space="preserve">proposal.station.husk_processing_table</x:t>
        </x:is>
      </x:c>
      <x:c r="B872" s="4" t="str">
        <x:f>Items!B872</x:f>
        <x:v>Husk processing table</x:v>
      </x:c>
      <x:c r="C872" s="4" t="str">
        <x:f>Items!X872</x:f>
        <x:v>Machine</x:v>
      </x:c>
      <x:c r="D872" s="4" t="str">
        <x:f>Items!C872</x:f>
        <x:v>T2</x:v>
      </x:c>
      <x:c r="E872" s="4" t="inlineStr">
        <x:is>
          <x:t xml:space="preserve">Finished object proposal</x:t>
        </x:is>
      </x:c>
      <x:c r="F872" s="14">
        <x:f>Items!AJ872</x:f>
        <x:v>0</x:v>
      </x:c>
      <x:c r="G872" s="4" t="inlineStr">
        <x:is>
          <x:t xml:space="preserve">No recipe established</x:t>
        </x:is>
      </x:c>
      <x:c r="H872" s="4" t="inlineStr">
        <x:is>
          <x:t xml:space="preserve">Facilities and qualification criteria remain undefined.</x:t>
        </x:is>
      </x:c>
      <x:c r="I872" s="4" t="inlineStr">
        <x:is>
          <x:t xml:space="preserve">Proposal; not qualified for crafting</x:t>
        </x:is>
      </x:c>
      <x:c r="J872" s="4" t="inlineStr">
        <x:is>
          <x:t xml:space="preserve">Artwork direction: A shallow metal table with shell clamping jaws, a scraper rail and divided fiber collection trays. Fit, safe use and manufacturing details remain proposals.</x:t>
        </x:is>
      </x:c>
    </x:row>
    <x:row r="873">
      <x:c r="A873" s="4" t="inlineStr">
        <x:is>
          <x:t xml:space="preserve">proposal.station.husk_fiber_press</x:t>
        </x:is>
      </x:c>
      <x:c r="B873" s="4" t="str">
        <x:f>Items!B873</x:f>
        <x:v>Husk-fiber press</x:v>
      </x:c>
      <x:c r="C873" s="4" t="str">
        <x:f>Items!X873</x:f>
        <x:v>Machine</x:v>
      </x:c>
      <x:c r="D873" s="4" t="str">
        <x:f>Items!C873</x:f>
        <x:v>T3</x:v>
      </x:c>
      <x:c r="E873" s="4" t="inlineStr">
        <x:is>
          <x:t xml:space="preserve">Finished object proposal</x:t>
        </x:is>
      </x:c>
      <x:c r="F873" s="14">
        <x:f>Items!AJ873</x:f>
        <x:v>0</x:v>
      </x:c>
      <x:c r="G873" s="4" t="inlineStr">
        <x:is>
          <x:t xml:space="preserve">No recipe established</x:t>
        </x:is>
      </x:c>
      <x:c r="H873" s="4" t="inlineStr">
        <x:is>
          <x:t xml:space="preserve">Facilities and qualification criteria remain undefined.</x:t>
        </x:is>
      </x:c>
      <x:c r="I873" s="4" t="inlineStr">
        <x:is>
          <x:t xml:space="preserve">Proposal; not qualified for crafting</x:t>
        </x:is>
      </x:c>
      <x:c r="J873" s="4" t="inlineStr">
        <x:is>
          <x:t xml:space="preserve">Artwork direction: An iron screw press with broad removable platens, a shallow ceramic forming tray and rough husk sheets. Fit, safe use and manufacturing details remain proposals.</x:t>
        </x:is>
      </x:c>
    </x:row>
    <x:row r="874">
      <x:c r="A874" s="4" t="inlineStr">
        <x:is>
          <x:t xml:space="preserve">proposal.station.ceramic_forming_bench</x:t>
        </x:is>
      </x:c>
      <x:c r="B874" s="4" t="str">
        <x:f>Items!B874</x:f>
        <x:v>Ceramic forming bench</x:v>
      </x:c>
      <x:c r="C874" s="4" t="str">
        <x:f>Items!X874</x:f>
        <x:v>Machine</x:v>
      </x:c>
      <x:c r="D874" s="4" t="str">
        <x:f>Items!C874</x:f>
        <x:v>T2</x:v>
      </x:c>
      <x:c r="E874" s="4" t="inlineStr">
        <x:is>
          <x:t xml:space="preserve">Finished object proposal</x:t>
        </x:is>
      </x:c>
      <x:c r="F874" s="14">
        <x:f>Items!AJ874</x:f>
        <x:v>0</x:v>
      </x:c>
      <x:c r="G874" s="4" t="inlineStr">
        <x:is>
          <x:t xml:space="preserve">No recipe established</x:t>
        </x:is>
      </x:c>
      <x:c r="H874" s="4" t="inlineStr">
        <x:is>
          <x:t xml:space="preserve">Facilities and qualification criteria remain undefined.</x:t>
        </x:is>
      </x:c>
      <x:c r="I874" s="4" t="inlineStr">
        <x:is>
          <x:t xml:space="preserve">Proposal; not qualified for crafting</x:t>
        </x:is>
      </x:c>
      <x:c r="J874" s="4" t="inlineStr">
        <x:is>
          <x:t xml:space="preserve">Artwork direction: A metal forming table with ceramic molds, shaping tools and an unfired vessel on a removable tray. Fit, safe use and manufacturing details remain proposals.</x:t>
        </x:is>
      </x:c>
    </x:row>
    <x:row r="875">
      <x:c r="A875" s="4" t="inlineStr">
        <x:is>
          <x:t xml:space="preserve">proposal.station.contained_chemical_processing_station</x:t>
        </x:is>
      </x:c>
      <x:c r="B875" s="4" t="str">
        <x:f>Items!B875</x:f>
        <x:v>Contained chemical processing station</x:v>
      </x:c>
      <x:c r="C875" s="4" t="str">
        <x:f>Items!X875</x:f>
        <x:v>Machine</x:v>
      </x:c>
      <x:c r="D875" s="4" t="str">
        <x:f>Items!C875</x:f>
        <x:v>T3</x:v>
      </x:c>
      <x:c r="E875" s="4" t="inlineStr">
        <x:is>
          <x:t xml:space="preserve">Finished object proposal</x:t>
        </x:is>
      </x:c>
      <x:c r="F875" s="14">
        <x:f>Items!AJ875</x:f>
        <x:v>0</x:v>
      </x:c>
      <x:c r="G875" s="4" t="inlineStr">
        <x:is>
          <x:t xml:space="preserve">No recipe established</x:t>
        </x:is>
      </x:c>
      <x:c r="H875" s="4" t="inlineStr">
        <x:is>
          <x:t xml:space="preserve">Facilities and qualification criteria remain undefined.</x:t>
        </x:is>
      </x:c>
      <x:c r="I875" s="4" t="inlineStr">
        <x:is>
          <x:t xml:space="preserve">Proposal; not qualified for crafting</x:t>
        </x:is>
      </x:c>
      <x:c r="J875" s="4" t="inlineStr">
        <x:is>
          <x:t xml:space="preserve">Artwork direction: A bunded metal worktop with covered ceramic vessels, short fitted lines and sealed collection jars. Fit, safe use and manufacturing details remain proposals.</x:t>
        </x:is>
      </x:c>
    </x:row>
    <x:row r="876">
      <x:c r="A876" s="4" t="inlineStr">
        <x:is>
          <x:t xml:space="preserve">proposal.station.legger_service_stand</x:t>
        </x:is>
      </x:c>
      <x:c r="B876" s="4" t="str">
        <x:f>Items!B876</x:f>
        <x:v>Legger service stand</x:v>
      </x:c>
      <x:c r="C876" s="4" t="str">
        <x:f>Items!X876</x:f>
        <x:v>Machine</x:v>
      </x:c>
      <x:c r="D876" s="4" t="str">
        <x:f>Items!C876</x:f>
        <x:v>T2</x:v>
      </x:c>
      <x:c r="E876" s="4" t="inlineStr">
        <x:is>
          <x:t xml:space="preserve">Finished object proposal</x:t>
        </x:is>
      </x:c>
      <x:c r="F876" s="14">
        <x:f>Items!AJ876</x:f>
        <x:v>0</x:v>
      </x:c>
      <x:c r="G876" s="4" t="inlineStr">
        <x:is>
          <x:t xml:space="preserve">No recipe established</x:t>
        </x:is>
      </x:c>
      <x:c r="H876" s="4" t="inlineStr">
        <x:is>
          <x:t xml:space="preserve">Facilities and qualification criteria remain undefined.</x:t>
        </x:is>
      </x:c>
      <x:c r="I876" s="4" t="inlineStr">
        <x:is>
          <x:t xml:space="preserve">Proposal; not qualified for crafting</x:t>
        </x:is>
      </x:c>
      <x:c r="J876" s="4" t="inlineStr">
        <x:is>
          <x:t xml:space="preserve">Artwork direction: A low braced metal service frame with adjustable support saddles and a side tool tray, sized beside a bipedal companion. Fit, safe use and manufacturing details remain proposals.</x:t>
        </x:is>
      </x:c>
    </x:row>
    <x:row r="877">
      <x:c r="A877" s="4" t="inlineStr">
        <x:is>
          <x:t xml:space="preserve">proposal.bio.tracheal_tubes</x:t>
        </x:is>
      </x:c>
      <x:c r="B877" s="4" t="str">
        <x:f>Items!B877</x:f>
        <x:v>Faunal tracheal tubes</x:v>
      </x:c>
      <x:c r="C877" s="4" t="str">
        <x:f>Items!X877</x:f>
        <x:v>Raw material</x:v>
      </x:c>
      <x:c r="D877" s="4" t="str">
        <x:f>Items!C877</x:f>
        <x:v>T0</x:v>
      </x:c>
      <x:c r="E877" s="4" t="inlineStr">
        <x:is>
          <x:t xml:space="preserve">Intermediate stock proposal</x:t>
        </x:is>
      </x:c>
      <x:c r="F877" s="14">
        <x:f>Items!AJ877</x:f>
        <x:v>0</x:v>
      </x:c>
      <x:c r="G877" s="4" t="inlineStr">
        <x:is>
          <x:t xml:space="preserve">No recipe established</x:t>
        </x:is>
      </x:c>
      <x:c r="H877" s="4" t="inlineStr">
        <x:is>
          <x:t xml:space="preserve">Facilities and qualification criteria remain undefined.</x:t>
        </x:is>
      </x:c>
      <x:c r="I877" s="4" t="inlineStr">
        <x:is>
          <x:t xml:space="preserve">Proposal; not qualified for crafting</x:t>
        </x:is>
      </x:c>
      <x:c r="J877" s="4" t="inlineStr">
        <x:is>
          <x:t xml:space="preserve">Artwork direction: Several short pale-brown hollow tubes with visible reinforcing rings and broken branching ends. Fit, safe use and manufacturing details remain proposals.</x:t>
        </x:is>
      </x:c>
    </x:row>
    <x:row r="878">
      <x:c r="A878" s="4" t="inlineStr">
        <x:is>
          <x:t xml:space="preserve">proposal.bio.gut_lining_sacs</x:t>
        </x:is>
      </x:c>
      <x:c r="B878" s="4" t="str">
        <x:f>Items!B878</x:f>
        <x:v>Faunal gut-lining sacs</x:v>
      </x:c>
      <x:c r="C878" s="4" t="str">
        <x:f>Items!X878</x:f>
        <x:v>Raw material</x:v>
      </x:c>
      <x:c r="D878" s="4" t="str">
        <x:f>Items!C878</x:f>
        <x:v>T0</x:v>
      </x:c>
      <x:c r="E878" s="4" t="inlineStr">
        <x:is>
          <x:t xml:space="preserve">Intermediate stock proposal</x:t>
        </x:is>
      </x:c>
      <x:c r="F878" s="14">
        <x:f>Items!AJ878</x:f>
        <x:v>0</x:v>
      </x:c>
      <x:c r="G878" s="4" t="inlineStr">
        <x:is>
          <x:t xml:space="preserve">No recipe established</x:t>
        </x:is>
      </x:c>
      <x:c r="H878" s="4" t="inlineStr">
        <x:is>
          <x:t xml:space="preserve">Facilities and qualification criteria remain undefined.</x:t>
        </x:is>
      </x:c>
      <x:c r="I878" s="4" t="inlineStr">
        <x:is>
          <x:t xml:space="preserve">Proposal; not qualified for crafting</x:t>
        </x:is>
      </x:c>
      <x:c r="J878" s="4" t="inlineStr">
        <x:is>
          <x:t xml:space="preserve">Artwork direction: Two collapsed translucent amber sacs with uneven folded rims, shown as raw unattached tissue. Fit, safe use and manufacturing details remain proposals.</x:t>
        </x:is>
      </x:c>
    </x:row>
    <x:row r="879">
      <x:c r="A879" s="4" t="inlineStr">
        <x:is>
          <x:t xml:space="preserve">proposal.bio.pigment_nodules</x:t>
        </x:is>
      </x:c>
      <x:c r="B879" s="4" t="str">
        <x:f>Items!B879</x:f>
        <x:v>Faunal pigment nodules</x:v>
      </x:c>
      <x:c r="C879" s="4" t="str">
        <x:f>Items!X879</x:f>
        <x:v>Raw material</x:v>
      </x:c>
      <x:c r="D879" s="4" t="str">
        <x:f>Items!C879</x:f>
        <x:v>T0</x:v>
      </x:c>
      <x:c r="E879" s="4" t="inlineStr">
        <x:is>
          <x:t xml:space="preserve">Intermediate stock proposal</x:t>
        </x:is>
      </x:c>
      <x:c r="F879" s="14">
        <x:f>Items!AJ879</x:f>
        <x:v>0</x:v>
      </x:c>
      <x:c r="G879" s="4" t="inlineStr">
        <x:is>
          <x:t xml:space="preserve">No recipe established</x:t>
        </x:is>
      </x:c>
      <x:c r="H879" s="4" t="inlineStr">
        <x:is>
          <x:t xml:space="preserve">Facilities and qualification criteria remain undefined.</x:t>
        </x:is>
      </x:c>
      <x:c r="I879" s="4" t="inlineStr">
        <x:is>
          <x:t xml:space="preserve">Proposal; not qualified for crafting</x:t>
        </x:is>
      </x:c>
      <x:c r="J879" s="4" t="inlineStr">
        <x:is>
          <x:t xml:space="preserve">Artwork direction: Several irregular ochre, dark red and charcoal nodules with fractured colored interiors. Fit, safe use and manufacturing details remain proposals.</x:t>
        </x:is>
      </x:c>
    </x:row>
    <x:row r="880">
      <x:c r="A880" s="4" t="inlineStr">
        <x:is>
          <x:t xml:space="preserve">proposal.bio.spring_arches</x:t>
        </x:is>
      </x:c>
      <x:c r="B880" s="4" t="str">
        <x:f>Items!B880</x:f>
        <x:v>Faunal spring arches</x:v>
      </x:c>
      <x:c r="C880" s="4" t="str">
        <x:f>Items!X880</x:f>
        <x:v>Raw material</x:v>
      </x:c>
      <x:c r="D880" s="4" t="str">
        <x:f>Items!C880</x:f>
        <x:v>T0</x:v>
      </x:c>
      <x:c r="E880" s="4" t="inlineStr">
        <x:is>
          <x:t xml:space="preserve">Intermediate stock proposal</x:t>
        </x:is>
      </x:c>
      <x:c r="F880" s="14">
        <x:f>Items!AJ880</x:f>
        <x:v>0</x:v>
      </x:c>
      <x:c r="G880" s="4" t="inlineStr">
        <x:is>
          <x:t xml:space="preserve">No recipe established</x:t>
        </x:is>
      </x:c>
      <x:c r="H880" s="4" t="inlineStr">
        <x:is>
          <x:t xml:space="preserve">Facilities and qualification criteria remain undefined.</x:t>
        </x:is>
      </x:c>
      <x:c r="I880" s="4" t="inlineStr">
        <x:is>
          <x:t xml:space="preserve">Proposal; not qualified for crafting</x:t>
        </x:is>
      </x:c>
      <x:c r="J880" s="4" t="inlineStr">
        <x:is>
          <x:t xml:space="preserve">Artwork direction: Three compact dark cuticle arches with thickened ends and a smooth bowed middle. Fit, safe use and manufacturing details remain proposals.</x:t>
        </x:is>
      </x:c>
    </x:row>
    <x:row r="881">
      <x:c r="A881" s="4" t="inlineStr">
        <x:is>
          <x:t xml:space="preserve">proposal.bio.balance_stones</x:t>
        </x:is>
      </x:c>
      <x:c r="B881" s="4" t="str">
        <x:f>Items!B881</x:f>
        <x:v>Faunal balance stones</x:v>
      </x:c>
      <x:c r="C881" s="4" t="str">
        <x:f>Items!X881</x:f>
        <x:v>Raw material</x:v>
      </x:c>
      <x:c r="D881" s="4" t="str">
        <x:f>Items!C881</x:f>
        <x:v>T0</x:v>
      </x:c>
      <x:c r="E881" s="4" t="inlineStr">
        <x:is>
          <x:t xml:space="preserve">Intermediate stock proposal</x:t>
        </x:is>
      </x:c>
      <x:c r="F881" s="14">
        <x:f>Items!AJ881</x:f>
        <x:v>0</x:v>
      </x:c>
      <x:c r="G881" s="4" t="inlineStr">
        <x:is>
          <x:t xml:space="preserve">No recipe established</x:t>
        </x:is>
      </x:c>
      <x:c r="H881" s="4" t="inlineStr">
        <x:is>
          <x:t xml:space="preserve">Facilities and qualification criteria remain undefined.</x:t>
        </x:is>
      </x:c>
      <x:c r="I881" s="4" t="inlineStr">
        <x:is>
          <x:t xml:space="preserve">Proposal; not qualified for crafting</x:t>
        </x:is>
      </x:c>
      <x:c r="J881" s="4" t="inlineStr">
        <x:is>
          <x:t xml:space="preserve">Artwork direction: A few smooth pale oval nodules beside a split mineralized bead showing faint concentric layers. Fit, safe use and manufacturing details remain proposals.</x:t>
        </x:is>
      </x:c>
    </x:row>
    <x:row r="882">
      <x:c r="A882" s="4" t="inlineStr">
        <x:is>
          <x:t xml:space="preserve">proposal.bio.grooming_comb_plates</x:t>
        </x:is>
      </x:c>
      <x:c r="B882" s="4" t="str">
        <x:f>Items!B882</x:f>
        <x:v>Faunal grooming-comb plates</x:v>
      </x:c>
      <x:c r="C882" s="4" t="str">
        <x:f>Items!X882</x:f>
        <x:v>Raw material</x:v>
      </x:c>
      <x:c r="D882" s="4" t="str">
        <x:f>Items!C882</x:f>
        <x:v>T0</x:v>
      </x:c>
      <x:c r="E882" s="4" t="inlineStr">
        <x:is>
          <x:t xml:space="preserve">Intermediate stock proposal</x:t>
        </x:is>
      </x:c>
      <x:c r="F882" s="14">
        <x:f>Items!AJ882</x:f>
        <x:v>0</x:v>
      </x:c>
      <x:c r="G882" s="4" t="inlineStr">
        <x:is>
          <x:t xml:space="preserve">No recipe established</x:t>
        </x:is>
      </x:c>
      <x:c r="H882" s="4" t="inlineStr">
        <x:is>
          <x:t xml:space="preserve">Facilities and qualification criteria remain undefined.</x:t>
        </x:is>
      </x:c>
      <x:c r="I882" s="4" t="inlineStr">
        <x:is>
          <x:t xml:space="preserve">Proposal; not qualified for crafting</x:t>
        </x:is>
      </x:c>
      <x:c r="J882" s="4" t="inlineStr">
        <x:is>
          <x:t xml:space="preserve">Artwork direction: Two narrow chitin plates with closely spaced integral teeth, one retaining a rough attachment edge. Fit, safe use and manufacturing details remain proposals.</x:t>
        </x:is>
      </x:c>
    </x:row>
    <x:row r="883">
      <x:c r="A883" s="4" t="inlineStr">
        <x:is>
          <x:t xml:space="preserve">proposal.salvage.sand_choked_cable_winch</x:t>
        </x:is>
      </x:c>
      <x:c r="B883" s="4" t="str">
        <x:f>Items!B883</x:f>
        <x:v>Sand-choked cable winch</x:v>
      </x:c>
      <x:c r="C883" s="4" t="str">
        <x:f>Items!X883</x:f>
        <x:v>Machine</x:v>
      </x:c>
      <x:c r="D883" s="4" t="str">
        <x:f>Items!C883</x:f>
        <x:v>T0</x:v>
      </x:c>
      <x:c r="E883" s="4" t="inlineStr">
        <x:is>
          <x:t xml:space="preserve">As-found salvage</x:t>
        </x:is>
      </x:c>
      <x:c r="F883" s="14">
        <x:f>Items!AJ883</x:f>
        <x:v>0</x:v>
      </x:c>
      <x:c r="G883" s="4" t="inlineStr">
        <x:is>
          <x:t xml:space="preserve">No recipe established</x:t>
        </x:is>
      </x:c>
      <x:c r="H883" s="4" t="inlineStr">
        <x:is>
          <x:t xml:space="preserve">Facilities and qualification criteria remain undefined.</x:t>
        </x:is>
      </x:c>
      <x:c r="I883" s="4" t="inlineStr">
        <x:is>
          <x:t xml:space="preserve">Proposal; not qualified for crafting</x:t>
        </x:is>
      </x:c>
      <x:c r="J883" s="4" t="inlineStr">
        <x:is>
          <x:t xml:space="preserve">Recovery sites, physical size, carrying mass, inspection criteria, useful donor parts and repair route remain proposals. Visual direction: empty grooved drum, exposed grit-packed gears, bent iron frame and broken all-metal crank.</x:t>
        </x:is>
      </x:c>
    </x:row>
    <x:row r="884">
      <x:c r="A884" s="4" t="inlineStr">
        <x:is>
          <x:t xml:space="preserve">proposal.accessory.folding_grounding_rod</x:t>
        </x:is>
      </x:c>
      <x:c r="B884" s="4" t="str">
        <x:f>Items!B884</x:f>
        <x:v>Folding static-grounding rod</x:v>
      </x:c>
      <x:c r="C884" s="4" t="str">
        <x:f>Items!X884</x:f>
        <x:v>Tool</x:v>
      </x:c>
      <x:c r="D884" s="4" t="str">
        <x:f>Items!C884</x:f>
        <x:v>T2</x:v>
      </x:c>
      <x:c r="E884" s="4" t="inlineStr">
        <x:is>
          <x:t xml:space="preserve">Finished object proposal</x:t>
        </x:is>
      </x:c>
      <x:c r="F884" s="14">
        <x:f>Items!AJ884</x:f>
        <x:v>0</x:v>
      </x:c>
      <x:c r="G884" s="4" t="inlineStr">
        <x:is>
          <x:t xml:space="preserve">No recipe established</x:t>
        </x:is>
      </x:c>
      <x:c r="H884" s="4" t="inlineStr">
        <x:is>
          <x:t xml:space="preserve">Facilities and qualification criteria remain undefined.</x:t>
        </x:is>
      </x:c>
      <x:c r="I884" s="4" t="inlineStr">
        <x:is>
          <x:t xml:space="preserve">Proposal; not qualified for crafting</x:t>
        </x:is>
      </x:c>
      <x:c r="J884" s="4" t="inlineStr">
        <x:is>
          <x:t xml:space="preserve">Artwork direction: A folded two-section copper-colored metal rod with a tapered end, locking joint and lead attachment eye. Fit, safe use and manufacturing details remain proposals.</x:t>
        </x:is>
      </x:c>
    </x:row>
    <x:row r="885">
      <x:c r="A885" s="4" t="inlineStr">
        <x:is>
          <x:t xml:space="preserve">proposal.accessory.static_discharge_wand</x:t>
        </x:is>
      </x:c>
      <x:c r="B885" s="4" t="str">
        <x:f>Items!B885</x:f>
        <x:v>Static-discharge contact wand</x:v>
      </x:c>
      <x:c r="C885" s="4" t="str">
        <x:f>Items!X885</x:f>
        <x:v>Tool</x:v>
      </x:c>
      <x:c r="D885" s="4" t="str">
        <x:f>Items!C885</x:f>
        <x:v>T2</x:v>
      </x:c>
      <x:c r="E885" s="4" t="inlineStr">
        <x:is>
          <x:t xml:space="preserve">Finished object proposal</x:t>
        </x:is>
      </x:c>
      <x:c r="F885" s="14">
        <x:f>Items!AJ885</x:f>
        <x:v>0</x:v>
      </x:c>
      <x:c r="G885" s="4" t="inlineStr">
        <x:is>
          <x:t xml:space="preserve">No recipe established</x:t>
        </x:is>
      </x:c>
      <x:c r="H885" s="4" t="inlineStr">
        <x:is>
          <x:t xml:space="preserve">Facilities and qualification criteria remain undefined.</x:t>
        </x:is>
      </x:c>
      <x:c r="I885" s="4" t="inlineStr">
        <x:is>
          <x:t xml:space="preserve">Proposal; not qualified for crafting</x:t>
        </x:is>
      </x:c>
      <x:c r="J885" s="4" t="inlineStr">
        <x:is>
          <x:t xml:space="preserve">Artwork direction: A short dark metal contact tip on a thick ceramic grip with a recessed lead eye. Fit, safe use and manufacturing details remain proposals.</x:t>
        </x:is>
      </x:c>
    </x:row>
    <x:row r="886">
      <x:c r="A886" s="4" t="inlineStr">
        <x:is>
          <x:t xml:space="preserve">proposal.accessory.grounding_drag_chain</x:t>
        </x:is>
      </x:c>
      <x:c r="B886" s="4" t="str">
        <x:f>Items!B886</x:f>
        <x:v>Grounding drag chain</x:v>
      </x:c>
      <x:c r="C886" s="4" t="str">
        <x:f>Items!X886</x:f>
        <x:v>Wearable</x:v>
      </x:c>
      <x:c r="D886" s="4" t="str">
        <x:f>Items!C886</x:f>
        <x:v>T2</x:v>
      </x:c>
      <x:c r="E886" s="4" t="inlineStr">
        <x:is>
          <x:t xml:space="preserve">Finished object proposal</x:t>
        </x:is>
      </x:c>
      <x:c r="F886" s="14">
        <x:f>Items!AJ886</x:f>
        <x:v>0</x:v>
      </x:c>
      <x:c r="G886" s="4" t="inlineStr">
        <x:is>
          <x:t xml:space="preserve">No recipe established</x:t>
        </x:is>
      </x:c>
      <x:c r="H886" s="4" t="inlineStr">
        <x:is>
          <x:t xml:space="preserve">Facilities and qualification criteria remain undefined.</x:t>
        </x:is>
      </x:c>
      <x:c r="I886" s="4" t="inlineStr">
        <x:is>
          <x:t xml:space="preserve">Proposal; not qualified for crafting</x:t>
        </x:is>
      </x:c>
      <x:c r="J886" s="4" t="inlineStr">
        <x:is>
          <x:t xml:space="preserve">Artwork direction: A compact coil of small metal links ending in a flattened worn contact link and a plain attachment loop. Fit, safe use and manufacturing details remain proposals.</x:t>
        </x:is>
      </x:c>
    </x:row>
    <x:row r="887">
      <x:c r="A887" s="4" t="inlineStr">
        <x:is>
          <x:t xml:space="preserve">proposal.accessory.spectacle_keeper_chain</x:t>
        </x:is>
      </x:c>
      <x:c r="B887" s="4" t="str">
        <x:f>Items!B887</x:f>
        <x:v>Spectacle keeper chain</x:v>
      </x:c>
      <x:c r="C887" s="4" t="str">
        <x:f>Items!X887</x:f>
        <x:v>Wearable</x:v>
      </x:c>
      <x:c r="D887" s="4" t="str">
        <x:f>Items!C887</x:f>
        <x:v>T2</x:v>
      </x:c>
      <x:c r="E887" s="4" t="inlineStr">
        <x:is>
          <x:t xml:space="preserve">Finished object proposal</x:t>
        </x:is>
      </x:c>
      <x:c r="F887" s="14">
        <x:f>Items!AJ887</x:f>
        <x:v>0</x:v>
      </x:c>
      <x:c r="G887" s="4" t="inlineStr">
        <x:is>
          <x:t xml:space="preserve">No recipe established</x:t>
        </x:is>
      </x:c>
      <x:c r="H887" s="4" t="inlineStr">
        <x:is>
          <x:t xml:space="preserve">Facilities and qualification criteria remain undefined.</x:t>
        </x:is>
      </x:c>
      <x:c r="I887" s="4" t="inlineStr">
        <x:is>
          <x:t xml:space="preserve">Proposal; not qualified for crafting</x:t>
        </x:is>
      </x:c>
      <x:c r="J887" s="4" t="inlineStr">
        <x:is>
          <x:t xml:space="preserve">Artwork direction: A fine dull-metal chain laid in a loop with two small adjustable wire eyeglass retainers. Fit, safe use and manufacturing details remain proposals.</x:t>
        </x:is>
      </x:c>
    </x:row>
    <x:row r="888">
      <x:c r="A888" s="4" t="inlineStr">
        <x:is>
          <x:t xml:space="preserve">proposal.accessory.pocket_sighting_compass</x:t>
        </x:is>
      </x:c>
      <x:c r="B888" s="4" t="str">
        <x:f>Items!B888</x:f>
        <x:v>Pocket sighting compass</x:v>
      </x:c>
      <x:c r="C888" s="4" t="str">
        <x:f>Items!X888</x:f>
        <x:v>Tool</x:v>
      </x:c>
      <x:c r="D888" s="4" t="str">
        <x:f>Items!C888</x:f>
        <x:v>T2</x:v>
      </x:c>
      <x:c r="E888" s="4" t="inlineStr">
        <x:is>
          <x:t xml:space="preserve">Finished object proposal</x:t>
        </x:is>
      </x:c>
      <x:c r="F888" s="14">
        <x:f>Items!AJ888</x:f>
        <x:v>0</x:v>
      </x:c>
      <x:c r="G888" s="4" t="inlineStr">
        <x:is>
          <x:t xml:space="preserve">No recipe established</x:t>
        </x:is>
      </x:c>
      <x:c r="H888" s="4" t="inlineStr">
        <x:is>
          <x:t xml:space="preserve">Facilities and qualification criteria remain undefined.</x:t>
        </x:is>
      </x:c>
      <x:c r="I888" s="4" t="inlineStr">
        <x:is>
          <x:t xml:space="preserve">Proposal; not qualified for crafting</x:t>
        </x:is>
      </x:c>
      <x:c r="J888" s="4" t="inlineStr">
        <x:is>
          <x:t xml:space="preserve">Artwork direction: A shallow round metal case with a dry pivoted needle, scratched bearing ring and folding sighting tab. Fit, safe use and manufacturing details remain proposals.</x:t>
        </x:is>
      </x:c>
    </x:row>
    <x:row r="889">
      <x:c r="A889" s="4" t="inlineStr">
        <x:is>
          <x:t xml:space="preserve">proposal.accessory.metal_signal_mirror</x:t>
        </x:is>
      </x:c>
      <x:c r="B889" s="4" t="str">
        <x:f>Items!B889</x:f>
        <x:v>Polished-metal signal mirror</x:v>
      </x:c>
      <x:c r="C889" s="4" t="str">
        <x:f>Items!X889</x:f>
        <x:v>Tool</x:v>
      </x:c>
      <x:c r="D889" s="4" t="str">
        <x:f>Items!C889</x:f>
        <x:v>T2</x:v>
      </x:c>
      <x:c r="E889" s="4" t="inlineStr">
        <x:is>
          <x:t xml:space="preserve">Finished object proposal</x:t>
        </x:is>
      </x:c>
      <x:c r="F889" s="14">
        <x:f>Items!AJ889</x:f>
        <x:v>0</x:v>
      </x:c>
      <x:c r="G889" s="4" t="inlineStr">
        <x:is>
          <x:t xml:space="preserve">No recipe established</x:t>
        </x:is>
      </x:c>
      <x:c r="H889" s="4" t="inlineStr">
        <x:is>
          <x:t xml:space="preserve">Facilities and qualification criteria remain undefined.</x:t>
        </x:is>
      </x:c>
      <x:c r="I889" s="4" t="inlineStr">
        <x:is>
          <x:t xml:space="preserve">Proposal; not qualified for crafting</x:t>
        </x:is>
      </x:c>
      <x:c r="J889" s="4" t="inlineStr">
        <x:is>
          <x:t xml:space="preserve">Artwork direction: A small polished oval metal plate with a central sighting hole, dull reverse and tether eye. Fit, safe use and manufacturing details remain proposals.</x:t>
        </x:is>
      </x:c>
    </x:row>
    <x:row r="890">
      <x:c r="A890" s="4" t="inlineStr">
        <x:is>
          <x:t xml:space="preserve">proposal.accessory.mechanical_travel_counter</x:t>
        </x:is>
      </x:c>
      <x:c r="B890" s="4" t="str">
        <x:f>Items!B890</x:f>
        <x:v>Mechanical travel counter</x:v>
      </x:c>
      <x:c r="C890" s="4" t="str">
        <x:f>Items!X890</x:f>
        <x:v>Tool</x:v>
      </x:c>
      <x:c r="D890" s="4" t="str">
        <x:f>Items!C890</x:f>
        <x:v>T2</x:v>
      </x:c>
      <x:c r="E890" s="4" t="inlineStr">
        <x:is>
          <x:t xml:space="preserve">Finished object proposal</x:t>
        </x:is>
      </x:c>
      <x:c r="F890" s="14">
        <x:f>Items!AJ890</x:f>
        <x:v>0</x:v>
      </x:c>
      <x:c r="G890" s="4" t="inlineStr">
        <x:is>
          <x:t xml:space="preserve">No recipe established</x:t>
        </x:is>
      </x:c>
      <x:c r="H890" s="4" t="inlineStr">
        <x:is>
          <x:t xml:space="preserve">Facilities and qualification criteria remain undefined.</x:t>
        </x:is>
      </x:c>
      <x:c r="I890" s="4" t="inlineStr">
        <x:is>
          <x:t xml:space="preserve">Proposal; not qualified for crafting</x:t>
        </x:is>
      </x:c>
      <x:c r="J890" s="4" t="inlineStr">
        <x:is>
          <x:t xml:space="preserve">Artwork direction: A flat metal capsule with an exposed knurled counting wheel, number window and recessed reset catch. Fit, safe use and manufacturing details remain proposals.</x:t>
        </x:is>
      </x:c>
    </x:row>
    <x:row r="891">
      <x:c r="A891" s="4"/>
      <x:c r="B891" s="4"/>
      <x:c r="C891" s="4"/>
      <x:c r="D891" s="4"/>
      <x:c r="E891" s="4"/>
      <x:c r="F891" s="14"/>
      <x:c r="G891" s="4"/>
      <x:c r="H891" s="4"/>
      <x:c r="I891" s="4"/>
      <x:c r="J891" s="4"/>
    </x:row>
    <x:row r="892">
      <x:c r="A892" s="4" t="inlineStr">
        <x:is>
          <x:t xml:space="preserve">proposal.accessory.personal_cord_reel</x:t>
        </x:is>
      </x:c>
      <x:c r="B892" s="4" t="str">
        <x:f>Items!B892</x:f>
        <x:v>Personal cord reel</x:v>
      </x:c>
      <x:c r="C892" s="4" t="str">
        <x:f>Items!X892</x:f>
        <x:v>Tool</x:v>
      </x:c>
      <x:c r="D892" s="4" t="str">
        <x:f>Items!C892</x:f>
        <x:v>T2</x:v>
      </x:c>
      <x:c r="E892" s="4" t="inlineStr">
        <x:is>
          <x:t xml:space="preserve">Finished object proposal</x:t>
        </x:is>
      </x:c>
      <x:c r="F892" s="14">
        <x:f>Items!AJ892</x:f>
        <x:v>0</x:v>
      </x:c>
      <x:c r="G892" s="4" t="inlineStr">
        <x:is>
          <x:t xml:space="preserve">No recipe established</x:t>
        </x:is>
      </x:c>
      <x:c r="H892" s="4" t="inlineStr">
        <x:is>
          <x:t xml:space="preserve">Facilities and qualification criteria remain undefined.</x:t>
        </x:is>
      </x:c>
      <x:c r="I892" s="4" t="inlineStr">
        <x:is>
          <x:t xml:space="preserve">Proposal; not qualified for crafting</x:t>
        </x:is>
      </x:c>
      <x:c r="J892" s="4" t="inlineStr">
        <x:is>
          <x:t xml:space="preserve">Artwork direction: A flat open metal spool with rounded flanges, a turning finger hole and a narrow line-retaining notch. Fit, safe use and manufacturing details remain proposals.</x:t>
        </x:is>
      </x:c>
    </x:row>
    <x:row r="893">
      <x:c r="A893" s="4" t="inlineStr">
        <x:is>
          <x:t xml:space="preserve">proposal.accessory.folding_wing_hand_fan</x:t>
        </x:is>
      </x:c>
      <x:c r="B893" s="4" t="str">
        <x:f>Items!B893</x:f>
        <x:v>Folding wing-membrane hand fan</x:v>
      </x:c>
      <x:c r="C893" s="4" t="str">
        <x:f>Items!X893</x:f>
        <x:v>Tool</x:v>
      </x:c>
      <x:c r="D893" s="4" t="str">
        <x:f>Items!C893</x:f>
        <x:v>T2</x:v>
      </x:c>
      <x:c r="E893" s="4" t="inlineStr">
        <x:is>
          <x:t xml:space="preserve">Finished object proposal</x:t>
        </x:is>
      </x:c>
      <x:c r="F893" s="14">
        <x:f>Items!AJ893</x:f>
        <x:v>0</x:v>
      </x:c>
      <x:c r="G893" s="4" t="inlineStr">
        <x:is>
          <x:t xml:space="preserve">No recipe established</x:t>
        </x:is>
      </x:c>
      <x:c r="H893" s="4" t="inlineStr">
        <x:is>
          <x:t xml:space="preserve">Facilities and qualification criteria remain undefined.</x:t>
        </x:is>
      </x:c>
      <x:c r="I893" s="4" t="inlineStr">
        <x:is>
          <x:t xml:space="preserve">Proposal; not qualified for crafting</x:t>
        </x:is>
      </x:c>
      <x:c r="J893" s="4" t="inlineStr">
        <x:is>
          <x:t xml:space="preserve">Artwork direction: A small fan of thin metal ribs supporting amber wing membrane, partly folded around a plain metal pivot. Fit, safe use and manufacturing details remain proposals.</x:t>
        </x:is>
      </x:c>
    </x:row>
    <x:row r="894">
      <x:c r="A894" s="4"/>
      <x:c r="B894" s="4"/>
      <x:c r="C894" s="4"/>
      <x:c r="D894" s="4"/>
      <x:c r="E894" s="4"/>
      <x:c r="F894" s="14"/>
      <x:c r="G894" s="4"/>
      <x:c r="H894" s="4"/>
      <x:c r="I894" s="4"/>
      <x:c r="J894" s="4"/>
    </x:row>
    <x:row r="895">
      <x:c r="A895" s="4" t="inlineStr">
        <x:is>
          <x:t xml:space="preserve">proposal.accessory.pocket_grit_bellows</x:t>
        </x:is>
      </x:c>
      <x:c r="B895" s="4" t="str">
        <x:f>Items!B895</x:f>
        <x:v>Pocket grit bellows</x:v>
      </x:c>
      <x:c r="C895" s="4" t="str">
        <x:f>Items!X895</x:f>
        <x:v>Tool</x:v>
      </x:c>
      <x:c r="D895" s="4" t="str">
        <x:f>Items!C895</x:f>
        <x:v>T2</x:v>
      </x:c>
      <x:c r="E895" s="4" t="inlineStr">
        <x:is>
          <x:t xml:space="preserve">Finished object proposal</x:t>
        </x:is>
      </x:c>
      <x:c r="F895" s="14">
        <x:f>Items!AJ895</x:f>
        <x:v>0</x:v>
      </x:c>
      <x:c r="G895" s="4" t="inlineStr">
        <x:is>
          <x:t xml:space="preserve">No recipe established</x:t>
        </x:is>
      </x:c>
      <x:c r="H895" s="4" t="inlineStr">
        <x:is>
          <x:t xml:space="preserve">Facilities and qualification criteria remain undefined.</x:t>
        </x:is>
      </x:c>
      <x:c r="I895" s="4" t="inlineStr">
        <x:is>
          <x:t xml:space="preserve">Proposal; not qualified for crafting</x:t>
        </x:is>
      </x:c>
      <x:c r="J895" s="4" t="inlineStr">
        <x:is>
          <x:t xml:space="preserve">Artwork direction: Two shallow shell cheek plates enclosing a folded dark membrane chamber and a short ceramic nozzle. Fit, safe use and manufacturing details remain proposals.</x:t>
        </x:is>
      </x:c>
    </x:row>
    <x:row r="896">
      <x:c r="A896" s="4" t="inlineStr">
        <x:is>
          <x:t xml:space="preserve">proposal.accessory.metal_signal_whistle</x:t>
        </x:is>
      </x:c>
      <x:c r="B896" s="4" t="str">
        <x:f>Items!B896</x:f>
        <x:v>Pealess metal signal whistle</x:v>
      </x:c>
      <x:c r="C896" s="4" t="str">
        <x:f>Items!X896</x:f>
        <x:v>Tool</x:v>
      </x:c>
      <x:c r="D896" s="4" t="str">
        <x:f>Items!C896</x:f>
        <x:v>T2</x:v>
      </x:c>
      <x:c r="E896" s="4" t="inlineStr">
        <x:is>
          <x:t xml:space="preserve">Finished object proposal</x:t>
        </x:is>
      </x:c>
      <x:c r="F896" s="14">
        <x:f>Items!AJ896</x:f>
        <x:v>0</x:v>
      </x:c>
      <x:c r="G896" s="4" t="inlineStr">
        <x:is>
          <x:t xml:space="preserve">No recipe established</x:t>
        </x:is>
      </x:c>
      <x:c r="H896" s="4" t="inlineStr">
        <x:is>
          <x:t xml:space="preserve">Facilities and qualification criteria remain undefined.</x:t>
        </x:is>
      </x:c>
      <x:c r="I896" s="4" t="inlineStr">
        <x:is>
          <x:t xml:space="preserve">Proposal; not qualified for crafting</x:t>
        </x:is>
      </x:c>
      <x:c r="J896" s="4" t="inlineStr">
        <x:is>
          <x:t xml:space="preserve">Artwork direction: A short flattened metal whistle with a broad mouth slot, open sound chamber and small tether ring. Fit, safe use and manufacturing details remain proposals.</x:t>
        </x:is>
      </x:c>
    </x:row>
    <x:row r="897">
      <x:c r="A897" s="4" t="inlineStr">
        <x:is>
          <x:t xml:space="preserve">proposal.armor.iron.boots</x:t>
        </x:is>
      </x:c>
      <x:c r="B897" s="4" t="str">
        <x:f>Items!B897</x:f>
        <x:v>Iron armored boots</x:v>
      </x:c>
      <x:c r="C897" s="4" t="str">
        <x:f>Items!X897</x:f>
        <x:v>Armor</x:v>
      </x:c>
      <x:c r="D897" s="4" t="str">
        <x:f>Items!C897</x:f>
        <x:v>T2</x:v>
      </x:c>
      <x:c r="E897" s="4" t="inlineStr">
        <x:is>
          <x:t xml:space="preserve">Finished object proposal</x:t>
        </x:is>
      </x:c>
      <x:c r="F897" s="14">
        <x:f>Items!AJ897</x:f>
        <x:v>0</x:v>
      </x:c>
      <x:c r="G897" s="4" t="inlineStr">
        <x:is>
          <x:t xml:space="preserve">No recipe established</x:t>
        </x:is>
      </x:c>
      <x:c r="H897" s="4" t="inlineStr">
        <x:is>
          <x:t xml:space="preserve">Facilities and qualification criteria remain undefined.</x:t>
        </x:is>
      </x:c>
      <x:c r="I897" s="4" t="inlineStr">
        <x:is>
          <x:t xml:space="preserve">Proposal; not qualified for crafting</x:t>
        </x:is>
      </x:c>
      <x:c r="J897" s="4" t="inlineStr">
        <x:is>
          <x:t xml:space="preserve">A matched pair of armored foot coverings, separate from shin guards. Visual direction: Broad worked-iron plates with plain rolled edges and exposed metal fasteners. Joining, fit, wearability and performance require design.</x:t>
        </x:is>
      </x:c>
    </x:row>
    <x:row r="898">
      <x:c r="A898" s="4" t="inlineStr">
        <x:is>
          <x:t xml:space="preserve">proposal.armor.iron.arms</x:t>
        </x:is>
      </x:c>
      <x:c r="B898" s="4" t="str">
        <x:f>Items!B898</x:f>
        <x:v>Iron arm guards</x:v>
      </x:c>
      <x:c r="C898" s="4" t="str">
        <x:f>Items!X898</x:f>
        <x:v>Armor</x:v>
      </x:c>
      <x:c r="D898" s="4" t="str">
        <x:f>Items!C898</x:f>
        <x:v>T2</x:v>
      </x:c>
      <x:c r="E898" s="4" t="inlineStr">
        <x:is>
          <x:t xml:space="preserve">Finished object proposal</x:t>
        </x:is>
      </x:c>
      <x:c r="F898" s="14">
        <x:f>Items!AJ898</x:f>
        <x:v>0</x:v>
      </x:c>
      <x:c r="G898" s="4" t="inlineStr">
        <x:is>
          <x:t xml:space="preserve">No recipe established</x:t>
        </x:is>
      </x:c>
      <x:c r="H898" s="4" t="inlineStr">
        <x:is>
          <x:t xml:space="preserve">Facilities and qualification criteria remain undefined.</x:t>
        </x:is>
      </x:c>
      <x:c r="I898" s="4" t="inlineStr">
        <x:is>
          <x:t xml:space="preserve">Proposal; not qualified for crafting</x:t>
        </x:is>
      </x:c>
      <x:c r="J898" s="4" t="inlineStr">
        <x:is>
          <x:t xml:space="preserve">Paired upper-arm, elbow and forearm guards; no extra glove item or hand-protection claim. Visual direction: Broad worked-iron plates with plain rolled edges and exposed metal fasteners. Joining, fit, wearability and performance require design.</x:t>
        </x:is>
      </x:c>
    </x:row>
    <x:row r="899">
      <x:c r="A899" s="4" t="inlineStr">
        <x:is>
          <x:t xml:space="preserve">proposal.armor.steel.chest</x:t>
        </x:is>
      </x:c>
      <x:c r="B899" s="4" t="str">
        <x:f>Items!B899</x:f>
        <x:v>Steel chestplate</x:v>
      </x:c>
      <x:c r="C899" s="4" t="str">
        <x:f>Items!X899</x:f>
        <x:v>Armor</x:v>
      </x:c>
      <x:c r="D899" s="4" t="str">
        <x:f>Items!C899</x:f>
        <x:v>T3</x:v>
      </x:c>
      <x:c r="E899" s="4" t="inlineStr">
        <x:is>
          <x:t xml:space="preserve">Finished object proposal</x:t>
        </x:is>
      </x:c>
      <x:c r="F899" s="14">
        <x:f>Items!AJ899</x:f>
        <x:v>0</x:v>
      </x:c>
      <x:c r="G899" s="4" t="inlineStr">
        <x:is>
          <x:t xml:space="preserve">No recipe established</x:t>
        </x:is>
      </x:c>
      <x:c r="H899" s="4" t="inlineStr">
        <x:is>
          <x:t xml:space="preserve">Facilities and qualification criteria remain undefined.</x:t>
        </x:is>
      </x:c>
      <x:c r="I899" s="4" t="inlineStr">
        <x:is>
          <x:t xml:space="preserve">Proposal; not qualified for crafting</x:t>
        </x:is>
      </x:c>
      <x:c r="J899" s="4" t="inlineStr">
        <x:is>
          <x:t xml:space="preserve">Torso and upper back; a chest piece does not include arm or leg pieces. Visual direction: Closer-fitting steel plates with overlapping articulation and narrow reinforced edges. Joining, fit, wearability and performance require design.</x:t>
        </x:is>
      </x:c>
    </x:row>
    <x:row r="900">
      <x:c r="A900" s="4" t="inlineStr">
        <x:is>
          <x:t xml:space="preserve">proposal.armor.steel.legs</x:t>
        </x:is>
      </x:c>
      <x:c r="B900" s="4" t="str">
        <x:f>Items!B900</x:f>
        <x:v>Steel leg guards</x:v>
      </x:c>
      <x:c r="C900" s="4" t="str">
        <x:f>Items!X900</x:f>
        <x:v>Armor</x:v>
      </x:c>
      <x:c r="D900" s="4" t="str">
        <x:f>Items!C900</x:f>
        <x:v>T3</x:v>
      </x:c>
      <x:c r="E900" s="4" t="inlineStr">
        <x:is>
          <x:t xml:space="preserve">Finished object proposal</x:t>
        </x:is>
      </x:c>
      <x:c r="F900" s="14">
        <x:f>Items!AJ900</x:f>
        <x:v>0</x:v>
      </x:c>
      <x:c r="G900" s="4" t="inlineStr">
        <x:is>
          <x:t xml:space="preserve">No recipe established</x:t>
        </x:is>
      </x:c>
      <x:c r="H900" s="4" t="inlineStr">
        <x:is>
          <x:t xml:space="preserve">Facilities and qualification criteria remain undefined.</x:t>
        </x:is>
      </x:c>
      <x:c r="I900" s="4" t="inlineStr">
        <x:is>
          <x:t xml:space="preserve">Proposal; not qualified for crafting</x:t>
        </x:is>
      </x:c>
      <x:c r="J900" s="4" t="inlineStr">
        <x:is>
          <x:t xml:space="preserve">Paired thigh, knee and shin guards; boots remain a separate item. Visual direction: Closer-fitting steel plates with overlapping articulation and narrow reinforced edges. Joining, fit, wearability and performance require design.</x:t>
        </x:is>
      </x:c>
    </x:row>
    <x:row r="901">
      <x:c r="A901" s="4" t="inlineStr">
        <x:is>
          <x:t xml:space="preserve">proposal.armor.steel.boots</x:t>
        </x:is>
      </x:c>
      <x:c r="B901" s="4" t="str">
        <x:f>Items!B901</x:f>
        <x:v>Steel armored boots</x:v>
      </x:c>
      <x:c r="C901" s="4" t="str">
        <x:f>Items!X901</x:f>
        <x:v>Armor</x:v>
      </x:c>
      <x:c r="D901" s="4" t="str">
        <x:f>Items!C901</x:f>
        <x:v>T3</x:v>
      </x:c>
      <x:c r="E901" s="4" t="inlineStr">
        <x:is>
          <x:t xml:space="preserve">Finished object proposal</x:t>
        </x:is>
      </x:c>
      <x:c r="F901" s="14">
        <x:f>Items!AJ901</x:f>
        <x:v>0</x:v>
      </x:c>
      <x:c r="G901" s="4" t="inlineStr">
        <x:is>
          <x:t xml:space="preserve">No recipe established</x:t>
        </x:is>
      </x:c>
      <x:c r="H901" s="4" t="inlineStr">
        <x:is>
          <x:t xml:space="preserve">Facilities and qualification criteria remain undefined.</x:t>
        </x:is>
      </x:c>
      <x:c r="I901" s="4" t="inlineStr">
        <x:is>
          <x:t xml:space="preserve">Proposal; not qualified for crafting</x:t>
        </x:is>
      </x:c>
      <x:c r="J901" s="4" t="inlineStr">
        <x:is>
          <x:t xml:space="preserve">A matched pair of armored foot coverings, separate from shin guards. Visual direction: Closer-fitting steel plates with overlapping articulation and narrow reinforced edges. Joining, fit, wearability and performance require design.</x:t>
        </x:is>
      </x:c>
    </x:row>
    <x:row r="902">
      <x:c r="A902" s="4" t="inlineStr">
        <x:is>
          <x:t xml:space="preserve">proposal.armor.steel.arms</x:t>
        </x:is>
      </x:c>
      <x:c r="B902" s="4" t="str">
        <x:f>Items!B902</x:f>
        <x:v>Steel arm guards</x:v>
      </x:c>
      <x:c r="C902" s="4" t="str">
        <x:f>Items!X902</x:f>
        <x:v>Armor</x:v>
      </x:c>
      <x:c r="D902" s="4" t="str">
        <x:f>Items!C902</x:f>
        <x:v>T3</x:v>
      </x:c>
      <x:c r="E902" s="4" t="inlineStr">
        <x:is>
          <x:t xml:space="preserve">Finished object proposal</x:t>
        </x:is>
      </x:c>
      <x:c r="F902" s="14">
        <x:f>Items!AJ902</x:f>
        <x:v>0</x:v>
      </x:c>
      <x:c r="G902" s="4" t="inlineStr">
        <x:is>
          <x:t xml:space="preserve">No recipe established</x:t>
        </x:is>
      </x:c>
      <x:c r="H902" s="4" t="inlineStr">
        <x:is>
          <x:t xml:space="preserve">Facilities and qualification criteria remain undefined.</x:t>
        </x:is>
      </x:c>
      <x:c r="I902" s="4" t="inlineStr">
        <x:is>
          <x:t xml:space="preserve">Proposal; not qualified for crafting</x:t>
        </x:is>
      </x:c>
      <x:c r="J902" s="4" t="inlineStr">
        <x:is>
          <x:t xml:space="preserve">Paired upper-arm, elbow and forearm guards; no extra glove item or hand-protection claim. Visual direction: Closer-fitting steel plates with overlapping articulation and narrow reinforced edges. Joining, fit, wearability and performance require design.</x:t>
        </x:is>
      </x:c>
    </x:row>
    <x:row r="903">
      <x:c r="A903" s="4" t="inlineStr">
        <x:is>
          <x:t xml:space="preserve">proposal.armor.steel.helmet</x:t>
        </x:is>
      </x:c>
      <x:c r="B903" s="4" t="str">
        <x:f>Items!B903</x:f>
        <x:v>Steel helmet</x:v>
      </x:c>
      <x:c r="C903" s="4" t="str">
        <x:f>Items!X903</x:f>
        <x:v>Armor</x:v>
      </x:c>
      <x:c r="D903" s="4" t="str">
        <x:f>Items!C903</x:f>
        <x:v>T3</x:v>
      </x:c>
      <x:c r="E903" s="4" t="inlineStr">
        <x:is>
          <x:t xml:space="preserve">Finished object proposal</x:t>
        </x:is>
      </x:c>
      <x:c r="F903" s="14">
        <x:f>Items!AJ903</x:f>
        <x:v>0</x:v>
      </x:c>
      <x:c r="G903" s="4" t="inlineStr">
        <x:is>
          <x:t xml:space="preserve">No recipe established</x:t>
        </x:is>
      </x:c>
      <x:c r="H903" s="4" t="inlineStr">
        <x:is>
          <x:t xml:space="preserve">Facilities and qualification criteria remain undefined.</x:t>
        </x:is>
      </x:c>
      <x:c r="I903" s="4" t="inlineStr">
        <x:is>
          <x:t xml:space="preserve">Proposal; not qualified for crafting</x:t>
        </x:is>
      </x:c>
      <x:c r="J903" s="4" t="inlineStr">
        <x:is>
          <x:t xml:space="preserve">Head covering with sight, hearing and canister clearance requiring design. Visual direction: Closer-fitting steel plates with overlapping articulation and narrow reinforced edges. Joining, fit, wearability and performance require design.</x:t>
        </x:is>
      </x:c>
    </x:row>
    <x:row r="904">
      <x:c r="A904" s="4" t="inlineStr">
        <x:is>
          <x:t xml:space="preserve">proposal.armor.chitin.chest</x:t>
        </x:is>
      </x:c>
      <x:c r="B904" s="4" t="str">
        <x:f>Items!B904</x:f>
        <x:v>Chitin chestplate</x:v>
      </x:c>
      <x:c r="C904" s="4" t="str">
        <x:f>Items!X904</x:f>
        <x:v>Armor</x:v>
      </x:c>
      <x:c r="D904" s="4" t="str">
        <x:f>Items!C904</x:f>
        <x:v>T2</x:v>
      </x:c>
      <x:c r="E904" s="4" t="inlineStr">
        <x:is>
          <x:t xml:space="preserve">Finished object proposal</x:t>
        </x:is>
      </x:c>
      <x:c r="F904" s="14">
        <x:f>Items!AJ904</x:f>
        <x:v>0</x:v>
      </x:c>
      <x:c r="G904" s="4" t="inlineStr">
        <x:is>
          <x:t xml:space="preserve">No recipe established</x:t>
        </x:is>
      </x:c>
      <x:c r="H904" s="4" t="inlineStr">
        <x:is>
          <x:t xml:space="preserve">Facilities and qualification criteria remain undefined.</x:t>
        </x:is>
      </x:c>
      <x:c r="I904" s="4" t="inlineStr">
        <x:is>
          <x:t xml:space="preserve">Proposal; not qualified for crafting</x:t>
        </x:is>
      </x:c>
      <x:c r="J904" s="4" t="inlineStr">
        <x:is>
          <x:t xml:space="preserve">Torso and upper back; a chest piece does not include arm or leg pieces. Visual direction: Layered curved shell plates with visible growth texture and small metal or tendon joining points. Joining, fit, wearability and performance require design.</x:t>
        </x:is>
      </x:c>
    </x:row>
    <x:row r="905">
      <x:c r="A905" s="4" t="inlineStr">
        <x:is>
          <x:t xml:space="preserve">proposal.armor.chitin.legs</x:t>
        </x:is>
      </x:c>
      <x:c r="B905" s="4" t="str">
        <x:f>Items!B905</x:f>
        <x:v>Chitin leg guards</x:v>
      </x:c>
      <x:c r="C905" s="4" t="str">
        <x:f>Items!X905</x:f>
        <x:v>Armor</x:v>
      </x:c>
      <x:c r="D905" s="4" t="str">
        <x:f>Items!C905</x:f>
        <x:v>T2</x:v>
      </x:c>
      <x:c r="E905" s="4" t="inlineStr">
        <x:is>
          <x:t xml:space="preserve">Finished object proposal</x:t>
        </x:is>
      </x:c>
      <x:c r="F905" s="14">
        <x:f>Items!AJ905</x:f>
        <x:v>0</x:v>
      </x:c>
      <x:c r="G905" s="4" t="inlineStr">
        <x:is>
          <x:t xml:space="preserve">No recipe established</x:t>
        </x:is>
      </x:c>
      <x:c r="H905" s="4" t="inlineStr">
        <x:is>
          <x:t xml:space="preserve">Facilities and qualification criteria remain undefined.</x:t>
        </x:is>
      </x:c>
      <x:c r="I905" s="4" t="inlineStr">
        <x:is>
          <x:t xml:space="preserve">Proposal; not qualified for crafting</x:t>
        </x:is>
      </x:c>
      <x:c r="J905" s="4" t="inlineStr">
        <x:is>
          <x:t xml:space="preserve">Paired thigh, knee and shin guards; boots remain a separate item. Visual direction: Layered curved shell plates with visible growth texture and small metal or tendon joining points. Joining, fit, wearability and performance require design.</x:t>
        </x:is>
      </x:c>
    </x:row>
    <x:row r="906">
      <x:c r="A906" s="4" t="inlineStr">
        <x:is>
          <x:t xml:space="preserve">proposal.armor.chitin.boots</x:t>
        </x:is>
      </x:c>
      <x:c r="B906" s="4" t="str">
        <x:f>Items!B906</x:f>
        <x:v>Chitin armored boots</x:v>
      </x:c>
      <x:c r="C906" s="4" t="str">
        <x:f>Items!X906</x:f>
        <x:v>Armor</x:v>
      </x:c>
      <x:c r="D906" s="4" t="str">
        <x:f>Items!C906</x:f>
        <x:v>T2</x:v>
      </x:c>
      <x:c r="E906" s="4" t="inlineStr">
        <x:is>
          <x:t xml:space="preserve">Finished object proposal</x:t>
        </x:is>
      </x:c>
      <x:c r="F906" s="14">
        <x:f>Items!AJ906</x:f>
        <x:v>0</x:v>
      </x:c>
      <x:c r="G906" s="4" t="inlineStr">
        <x:is>
          <x:t xml:space="preserve">No recipe established</x:t>
        </x:is>
      </x:c>
      <x:c r="H906" s="4" t="inlineStr">
        <x:is>
          <x:t xml:space="preserve">Facilities and qualification criteria remain undefined.</x:t>
        </x:is>
      </x:c>
      <x:c r="I906" s="4" t="inlineStr">
        <x:is>
          <x:t xml:space="preserve">Proposal; not qualified for crafting</x:t>
        </x:is>
      </x:c>
      <x:c r="J906" s="4" t="inlineStr">
        <x:is>
          <x:t xml:space="preserve">A matched pair of armored foot coverings, separate from shin guards. Visual direction: Layered curved shell plates with visible growth texture and small metal or tendon joining points. Joining, fit, wearability and performance require design.</x:t>
        </x:is>
      </x:c>
    </x:row>
    <x:row r="907">
      <x:c r="A907" s="4" t="inlineStr">
        <x:is>
          <x:t xml:space="preserve">proposal.armor.chitin.arms</x:t>
        </x:is>
      </x:c>
      <x:c r="B907" s="4" t="str">
        <x:f>Items!B907</x:f>
        <x:v>Chitin arm guards</x:v>
      </x:c>
      <x:c r="C907" s="4" t="str">
        <x:f>Items!X907</x:f>
        <x:v>Armor</x:v>
      </x:c>
      <x:c r="D907" s="4" t="str">
        <x:f>Items!C907</x:f>
        <x:v>T2</x:v>
      </x:c>
      <x:c r="E907" s="4" t="inlineStr">
        <x:is>
          <x:t xml:space="preserve">Finished object proposal</x:t>
        </x:is>
      </x:c>
      <x:c r="F907" s="14">
        <x:f>Items!AJ907</x:f>
        <x:v>0</x:v>
      </x:c>
      <x:c r="G907" s="4" t="inlineStr">
        <x:is>
          <x:t xml:space="preserve">No recipe established</x:t>
        </x:is>
      </x:c>
      <x:c r="H907" s="4" t="inlineStr">
        <x:is>
          <x:t xml:space="preserve">Facilities and qualification criteria remain undefined.</x:t>
        </x:is>
      </x:c>
      <x:c r="I907" s="4" t="inlineStr">
        <x:is>
          <x:t xml:space="preserve">Proposal; not qualified for crafting</x:t>
        </x:is>
      </x:c>
      <x:c r="J907" s="4" t="inlineStr">
        <x:is>
          <x:t xml:space="preserve">Paired upper-arm, elbow and forearm guards; no extra glove item or hand-protection claim. Visual direction: Layered curved shell plates with visible growth texture and small metal or tendon joining points. Joining, fit, wearability and performance require design.</x:t>
        </x:is>
      </x:c>
    </x:row>
    <x:row r="908">
      <x:c r="A908" s="4" t="inlineStr">
        <x:is>
          <x:t xml:space="preserve">proposal.armor.chitin.helmet</x:t>
        </x:is>
      </x:c>
      <x:c r="B908" s="4" t="str">
        <x:f>Items!B908</x:f>
        <x:v>Chitin helmet</x:v>
      </x:c>
      <x:c r="C908" s="4" t="str">
        <x:f>Items!X908</x:f>
        <x:v>Armor</x:v>
      </x:c>
      <x:c r="D908" s="4" t="str">
        <x:f>Items!C908</x:f>
        <x:v>T2</x:v>
      </x:c>
      <x:c r="E908" s="4" t="inlineStr">
        <x:is>
          <x:t xml:space="preserve">Finished object proposal</x:t>
        </x:is>
      </x:c>
      <x:c r="F908" s="14">
        <x:f>Items!AJ908</x:f>
        <x:v>0</x:v>
      </x:c>
      <x:c r="G908" s="4" t="inlineStr">
        <x:is>
          <x:t xml:space="preserve">No recipe established</x:t>
        </x:is>
      </x:c>
      <x:c r="H908" s="4" t="inlineStr">
        <x:is>
          <x:t xml:space="preserve">Facilities and qualification criteria remain undefined.</x:t>
        </x:is>
      </x:c>
      <x:c r="I908" s="4" t="inlineStr">
        <x:is>
          <x:t xml:space="preserve">Proposal; not qualified for crafting</x:t>
        </x:is>
      </x:c>
      <x:c r="J908" s="4" t="inlineStr">
        <x:is>
          <x:t xml:space="preserve">Head covering with sight, hearing and canister clearance requiring design. Visual direction: Layered curved shell plates with visible growth texture and small metal or tendon joining points. Joining, fit, wearability and performance require design.</x:t>
        </x:is>
      </x:c>
    </x:row>
    <x:row r="909">
      <x:c r="A909" s="4"/>
      <x:c r="B909" s="4"/>
      <x:c r="C909" s="4"/>
      <x:c r="D909" s="4"/>
      <x:c r="E909" s="4"/>
      <x:c r="F909" s="14"/>
      <x:c r="G909" s="4"/>
      <x:c r="H909" s="4"/>
      <x:c r="I909" s="4"/>
      <x:c r="J909" s="4"/>
    </x:row>
    <x:row r="910">
      <x:c r="A910" s="4"/>
      <x:c r="B910" s="4"/>
      <x:c r="C910" s="4"/>
      <x:c r="D910" s="4"/>
      <x:c r="E910" s="4"/>
      <x:c r="F910" s="14"/>
      <x:c r="G910" s="4"/>
      <x:c r="H910" s="4"/>
      <x:c r="I910" s="4"/>
      <x:c r="J910" s="4"/>
    </x:row>
    <x:row r="911">
      <x:c r="A911" s="4"/>
      <x:c r="B911" s="4"/>
      <x:c r="C911" s="4"/>
      <x:c r="D911" s="4"/>
      <x:c r="E911" s="4"/>
      <x:c r="F911" s="14"/>
      <x:c r="G911" s="4"/>
      <x:c r="H911" s="4"/>
      <x:c r="I911" s="4"/>
      <x:c r="J911" s="4"/>
    </x:row>
    <x:row r="912">
      <x:c r="A912" s="4"/>
      <x:c r="B912" s="4"/>
      <x:c r="C912" s="4"/>
      <x:c r="D912" s="4"/>
      <x:c r="E912" s="4"/>
      <x:c r="F912" s="14"/>
      <x:c r="G912" s="4"/>
      <x:c r="H912" s="4"/>
      <x:c r="I912" s="4"/>
      <x:c r="J912" s="4"/>
    </x:row>
    <x:row r="913">
      <x:c r="A913" s="4"/>
      <x:c r="B913" s="4"/>
      <x:c r="C913" s="4"/>
      <x:c r="D913" s="4"/>
      <x:c r="E913" s="4"/>
      <x:c r="F913" s="14"/>
      <x:c r="G913" s="4"/>
      <x:c r="H913" s="4"/>
      <x:c r="I913" s="4"/>
      <x:c r="J913" s="4"/>
    </x:row>
    <x:row r="914">
      <x:c r="A914" s="4" t="inlineStr">
        <x:is>
          <x:t xml:space="preserve">proposal.armor.plasteel.chest</x:t>
        </x:is>
      </x:c>
      <x:c r="B914" s="4" t="str">
        <x:f>Items!B914</x:f>
        <x:v>Ancient plasteel chestplate</x:v>
      </x:c>
      <x:c r="C914" s="4" t="str">
        <x:f>Items!X914</x:f>
        <x:v>Armor</x:v>
      </x:c>
      <x:c r="D914" s="4" t="str">
        <x:f>Items!C914</x:f>
        <x:v>T0</x:v>
      </x:c>
      <x:c r="E914" s="4" t="inlineStr">
        <x:is>
          <x:t xml:space="preserve">As-found ancient recovery</x:t>
        </x:is>
      </x:c>
      <x:c r="F914" s="14">
        <x:f>Items!AJ914</x:f>
        <x:v>0</x:v>
      </x:c>
      <x:c r="G914" s="4" t="inlineStr">
        <x:is>
          <x:t xml:space="preserve">No recipe established</x:t>
        </x:is>
      </x:c>
      <x:c r="H914" s="4" t="inlineStr">
        <x:is>
          <x:t xml:space="preserve">Facilities and qualification criteria remain undefined.</x:t>
        </x:is>
      </x:c>
      <x:c r="I914" s="4" t="inlineStr">
        <x:is>
          <x:t xml:space="preserve">Proposal; not qualified for crafting</x:t>
        </x:is>
      </x:c>
      <x:c r="J914" s="4" t="inlineStr">
        <x:is>
          <x:t xml:space="preserve">Torso and upper back; a chest piece does not include arm or leg pieces. Visual direction: Recovered pale composite segments with unfamiliar recessed fittings, wear and mismatched surviving surfaces. Joining, fit, wearability and performance require design.</x:t>
        </x:is>
      </x:c>
    </x:row>
    <x:row r="915">
      <x:c r="A915" s="4" t="inlineStr">
        <x:is>
          <x:t xml:space="preserve">proposal.armor.plasteel.legs</x:t>
        </x:is>
      </x:c>
      <x:c r="B915" s="4" t="str">
        <x:f>Items!B915</x:f>
        <x:v>Ancient plasteel leg guards</x:v>
      </x:c>
      <x:c r="C915" s="4" t="str">
        <x:f>Items!X915</x:f>
        <x:v>Armor</x:v>
      </x:c>
      <x:c r="D915" s="4" t="str">
        <x:f>Items!C915</x:f>
        <x:v>T0</x:v>
      </x:c>
      <x:c r="E915" s="4" t="inlineStr">
        <x:is>
          <x:t xml:space="preserve">As-found ancient recovery</x:t>
        </x:is>
      </x:c>
      <x:c r="F915" s="14">
        <x:f>Items!AJ915</x:f>
        <x:v>0</x:v>
      </x:c>
      <x:c r="G915" s="4" t="inlineStr">
        <x:is>
          <x:t xml:space="preserve">No recipe established</x:t>
        </x:is>
      </x:c>
      <x:c r="H915" s="4" t="inlineStr">
        <x:is>
          <x:t xml:space="preserve">Facilities and qualification criteria remain undefined.</x:t>
        </x:is>
      </x:c>
      <x:c r="I915" s="4" t="inlineStr">
        <x:is>
          <x:t xml:space="preserve">Proposal; not qualified for crafting</x:t>
        </x:is>
      </x:c>
      <x:c r="J915" s="4" t="inlineStr">
        <x:is>
          <x:t xml:space="preserve">Paired thigh, knee and shin guards; boots remain a separate item. Visual direction: Recovered pale composite segments with unfamiliar recessed fittings, wear and mismatched surviving surfaces. Joining, fit, wearability and performance require design.</x:t>
        </x:is>
      </x:c>
    </x:row>
    <x:row r="916">
      <x:c r="A916" s="4" t="inlineStr">
        <x:is>
          <x:t xml:space="preserve">proposal.armor.plasteel.boots</x:t>
        </x:is>
      </x:c>
      <x:c r="B916" s="4" t="str">
        <x:f>Items!B916</x:f>
        <x:v>Ancient plasteel armored boots</x:v>
      </x:c>
      <x:c r="C916" s="4" t="str">
        <x:f>Items!X916</x:f>
        <x:v>Armor</x:v>
      </x:c>
      <x:c r="D916" s="4" t="str">
        <x:f>Items!C916</x:f>
        <x:v>T0</x:v>
      </x:c>
      <x:c r="E916" s="4" t="inlineStr">
        <x:is>
          <x:t xml:space="preserve">As-found ancient recovery</x:t>
        </x:is>
      </x:c>
      <x:c r="F916" s="14">
        <x:f>Items!AJ916</x:f>
        <x:v>0</x:v>
      </x:c>
      <x:c r="G916" s="4" t="inlineStr">
        <x:is>
          <x:t xml:space="preserve">No recipe established</x:t>
        </x:is>
      </x:c>
      <x:c r="H916" s="4" t="inlineStr">
        <x:is>
          <x:t xml:space="preserve">Facilities and qualification criteria remain undefined.</x:t>
        </x:is>
      </x:c>
      <x:c r="I916" s="4" t="inlineStr">
        <x:is>
          <x:t xml:space="preserve">Proposal; not qualified for crafting</x:t>
        </x:is>
      </x:c>
      <x:c r="J916" s="4" t="inlineStr">
        <x:is>
          <x:t xml:space="preserve">A matched pair of armored foot coverings, separate from shin guards. Visual direction: Recovered pale composite segments with unfamiliar recessed fittings, wear and mismatched surviving surfaces. Joining, fit, wearability and performance require design.</x:t>
        </x:is>
      </x:c>
    </x:row>
    <x:row r="917">
      <x:c r="A917" s="4" t="inlineStr">
        <x:is>
          <x:t xml:space="preserve">proposal.armor.plasteel.arms</x:t>
        </x:is>
      </x:c>
      <x:c r="B917" s="4" t="str">
        <x:f>Items!B917</x:f>
        <x:v>Ancient plasteel arm guards</x:v>
      </x:c>
      <x:c r="C917" s="4" t="str">
        <x:f>Items!X917</x:f>
        <x:v>Armor</x:v>
      </x:c>
      <x:c r="D917" s="4" t="str">
        <x:f>Items!C917</x:f>
        <x:v>T0</x:v>
      </x:c>
      <x:c r="E917" s="4" t="inlineStr">
        <x:is>
          <x:t xml:space="preserve">As-found ancient recovery</x:t>
        </x:is>
      </x:c>
      <x:c r="F917" s="14">
        <x:f>Items!AJ917</x:f>
        <x:v>0</x:v>
      </x:c>
      <x:c r="G917" s="4" t="inlineStr">
        <x:is>
          <x:t xml:space="preserve">No recipe established</x:t>
        </x:is>
      </x:c>
      <x:c r="H917" s="4" t="inlineStr">
        <x:is>
          <x:t xml:space="preserve">Facilities and qualification criteria remain undefined.</x:t>
        </x:is>
      </x:c>
      <x:c r="I917" s="4" t="inlineStr">
        <x:is>
          <x:t xml:space="preserve">Proposal; not qualified for crafting</x:t>
        </x:is>
      </x:c>
      <x:c r="J917" s="4" t="inlineStr">
        <x:is>
          <x:t xml:space="preserve">Paired upper-arm, elbow and forearm guards; no extra glove item or hand-protection claim. Visual direction: Recovered pale composite segments with unfamiliar recessed fittings, wear and mismatched surviving surfaces. Joining, fit, wearability and performance require design.</x:t>
        </x:is>
      </x:c>
    </x:row>
    <x:row r="918">
      <x:c r="A918" s="4" t="inlineStr">
        <x:is>
          <x:t xml:space="preserve">proposal.armor.plasteel.helmet</x:t>
        </x:is>
      </x:c>
      <x:c r="B918" s="4" t="str">
        <x:f>Items!B918</x:f>
        <x:v>Ancient plasteel helmet</x:v>
      </x:c>
      <x:c r="C918" s="4" t="str">
        <x:f>Items!X918</x:f>
        <x:v>Armor</x:v>
      </x:c>
      <x:c r="D918" s="4" t="str">
        <x:f>Items!C918</x:f>
        <x:v>T0</x:v>
      </x:c>
      <x:c r="E918" s="4" t="inlineStr">
        <x:is>
          <x:t xml:space="preserve">As-found ancient recovery</x:t>
        </x:is>
      </x:c>
      <x:c r="F918" s="14">
        <x:f>Items!AJ918</x:f>
        <x:v>0</x:v>
      </x:c>
      <x:c r="G918" s="4" t="inlineStr">
        <x:is>
          <x:t xml:space="preserve">No recipe established</x:t>
        </x:is>
      </x:c>
      <x:c r="H918" s="4" t="inlineStr">
        <x:is>
          <x:t xml:space="preserve">Facilities and qualification criteria remain undefined.</x:t>
        </x:is>
      </x:c>
      <x:c r="I918" s="4" t="inlineStr">
        <x:is>
          <x:t xml:space="preserve">Proposal; not qualified for crafting</x:t>
        </x:is>
      </x:c>
      <x:c r="J918" s="4" t="inlineStr">
        <x:is>
          <x:t xml:space="preserve">Head covering with sight, hearing and canister clearance requiring design. Visual direction: Recovered pale composite segments with unfamiliar recessed fittings, wear and mismatched surviving surfaces. Joining, fit, wearability and performance require design.</x:t>
        </x:is>
      </x:c>
    </x:row>
    <x:row r="919">
      <x:c r="A919" s="4" t="inlineStr">
        <x:is>
          <x:t xml:space="preserve">proposal.culture.engraved_game_tiles</x:t>
        </x:is>
      </x:c>
      <x:c r="B919" s="4" t="str">
        <x:f>Items!B919</x:f>
        <x:v>Engraved shell game tiles</x:v>
      </x:c>
      <x:c r="C919" s="4" t="str">
        <x:f>Items!X919</x:f>
        <x:v>Cultural object</x:v>
      </x:c>
      <x:c r="D919" s="4" t="str">
        <x:f>Items!C919</x:f>
        <x:v>T2</x:v>
      </x:c>
      <x:c r="E919" s="4" t="inlineStr">
        <x:is>
          <x:t xml:space="preserve">Finished object proposal</x:t>
        </x:is>
      </x:c>
      <x:c r="F919" s="14">
        <x:f>Items!AJ919</x:f>
        <x:v>0</x:v>
      </x:c>
      <x:c r="G919" s="4" t="inlineStr">
        <x:is>
          <x:t xml:space="preserve">No recipe established</x:t>
        </x:is>
      </x:c>
      <x:c r="H919" s="4" t="inlineStr">
        <x:is>
          <x:t xml:space="preserve">Facilities and qualification criteria remain undefined.</x:t>
        </x:is>
      </x:c>
      <x:c r="I919" s="4" t="inlineStr">
        <x:is>
          <x:t xml:space="preserve">Proposal; not qualified for crafting</x:t>
        </x:is>
      </x:c>
      <x:c r="J919" s="4" t="inlineStr">
        <x:is>
          <x:t xml:space="preserve">Artwork direction: Six small polished shell rectangles with distinct deeply cut geometric marks, arranged beside a short stack. Fit, safe use and manufacturing details remain proposals.</x:t>
        </x:is>
      </x:c>
    </x:row>
    <x:row r="920">
      <x:c r="A920" s="4" t="inlineStr">
        <x:is>
          <x:t xml:space="preserve">proposal.culture.ceramic_storytelling_mask</x:t>
        </x:is>
      </x:c>
      <x:c r="B920" s="4" t="str">
        <x:f>Items!B920</x:f>
        <x:v>Ceramic storytelling mask</x:v>
      </x:c>
      <x:c r="C920" s="4" t="str">
        <x:f>Items!X920</x:f>
        <x:v>Cultural object</x:v>
      </x:c>
      <x:c r="D920" s="4" t="str">
        <x:f>Items!C920</x:f>
        <x:v>T2</x:v>
      </x:c>
      <x:c r="E920" s="4" t="inlineStr">
        <x:is>
          <x:t xml:space="preserve">Finished object proposal</x:t>
        </x:is>
      </x:c>
      <x:c r="F920" s="14">
        <x:f>Items!AJ920</x:f>
        <x:v>0</x:v>
      </x:c>
      <x:c r="G920" s="4" t="inlineStr">
        <x:is>
          <x:t xml:space="preserve">No recipe established</x:t>
        </x:is>
      </x:c>
      <x:c r="H920" s="4" t="inlineStr">
        <x:is>
          <x:t xml:space="preserve">Facilities and qualification criteria remain undefined.</x:t>
        </x:is>
      </x:c>
      <x:c r="I920" s="4" t="inlineStr">
        <x:is>
          <x:t xml:space="preserve">Proposal; not qualified for crafting</x:t>
        </x:is>
      </x:c>
      <x:c r="J920" s="4" t="inlineStr">
        <x:is>
          <x:t xml:space="preserve">Artwork direction: A hollow ochre ceramic face with an exaggerated brow, open eye slots and a plain metal holding loop at one side. Fit, safe use and manufacturing details remain proposals.</x:t>
        </x:is>
      </x:c>
    </x:row>
    <x:row r="921">
      <x:c r="A921" s="4"/>
      <x:c r="B921" s="4"/>
      <x:c r="C921" s="4"/>
      <x:c r="D921" s="4"/>
      <x:c r="E921" s="4"/>
      <x:c r="F921" s="14"/>
      <x:c r="G921" s="4"/>
      <x:c r="H921" s="4"/>
      <x:c r="I921" s="4"/>
      <x:c r="J921" s="4"/>
    </x:row>
    <x:row r="922">
      <x:c r="A922" s="4" t="inlineStr">
        <x:is>
          <x:t xml:space="preserve">proposal.culture.husk_paper_songbook</x:t>
        </x:is>
      </x:c>
      <x:c r="B922" s="4" t="str">
        <x:f>Items!B922</x:f>
        <x:v>Husk-paper songbook</x:v>
      </x:c>
      <x:c r="C922" s="4" t="str">
        <x:f>Items!X922</x:f>
        <x:v>Document</x:v>
      </x:c>
      <x:c r="D922" s="4" t="str">
        <x:f>Items!C922</x:f>
        <x:v>T3</x:v>
      </x:c>
      <x:c r="E922" s="4" t="inlineStr">
        <x:is>
          <x:t xml:space="preserve">Finished object proposal</x:t>
        </x:is>
      </x:c>
      <x:c r="F922" s="14">
        <x:f>Items!AJ922</x:f>
        <x:v>0</x:v>
      </x:c>
      <x:c r="G922" s="4" t="inlineStr">
        <x:is>
          <x:t xml:space="preserve">No recipe established</x:t>
        </x:is>
      </x:c>
      <x:c r="H922" s="4" t="inlineStr">
        <x:is>
          <x:t xml:space="preserve">Facilities and qualification criteria remain undefined.</x:t>
        </x:is>
      </x:c>
      <x:c r="I922" s="4" t="inlineStr">
        <x:is>
          <x:t xml:space="preserve">Proposal; not qualified for crafting</x:t>
        </x:is>
      </x:c>
      <x:c r="J922" s="4" t="inlineStr">
        <x:is>
          <x:t xml:space="preserve">Artwork direction: A slim stack of pale husk-paper leaves between thin shell covers, joined by small metal rings and marked with short repeated lines. Fit, safe use and manufacturing details remain proposals.</x:t>
        </x:is>
      </x:c>
    </x:row>
    <x:row r="923">
      <x:c r="A923" s="4"/>
      <x:c r="B923" s="4"/>
      <x:c r="C923" s="4"/>
      <x:c r="D923" s="4"/>
      <x:c r="E923" s="4"/>
      <x:c r="F923" s="14"/>
      <x:c r="G923" s="4"/>
      <x:c r="H923" s="4"/>
      <x:c r="I923" s="4"/>
      <x:c r="J923" s="4"/>
    </x:row>
    <x:row r="924">
      <x:c r="A924" s="4" t="inlineStr">
        <x:is>
          <x:t xml:space="preserve">proposal.culture.household_pattern_roller</x:t>
        </x:is>
      </x:c>
      <x:c r="B924" s="4" t="str">
        <x:f>Items!B924</x:f>
        <x:v>Household pattern roller</x:v>
      </x:c>
      <x:c r="C924" s="4" t="str">
        <x:f>Items!X924</x:f>
        <x:v>Tool</x:v>
      </x:c>
      <x:c r="D924" s="4" t="str">
        <x:f>Items!C924</x:f>
        <x:v>T2</x:v>
      </x:c>
      <x:c r="E924" s="4" t="inlineStr">
        <x:is>
          <x:t xml:space="preserve">Finished object proposal</x:t>
        </x:is>
      </x:c>
      <x:c r="F924" s="14">
        <x:f>Items!AJ924</x:f>
        <x:v>0</x:v>
      </x:c>
      <x:c r="G924" s="4" t="inlineStr">
        <x:is>
          <x:t xml:space="preserve">No recipe established</x:t>
        </x:is>
      </x:c>
      <x:c r="H924" s="4" t="inlineStr">
        <x:is>
          <x:t xml:space="preserve">Facilities and qualification criteria remain undefined.</x:t>
        </x:is>
      </x:c>
      <x:c r="I924" s="4" t="inlineStr">
        <x:is>
          <x:t xml:space="preserve">Proposal; not qualified for crafting</x:t>
        </x:is>
      </x:c>
      <x:c r="J924" s="4" t="inlineStr">
        <x:is>
          <x:t xml:space="preserve">Artwork direction: A palm-sized ceramic roller engraved with a repeating stepped pattern, mounted on a simple bent-metal handle. Fit, safe use and manufacturing details remain proposals.</x:t>
        </x:is>
      </x:c>
    </x:row>
    <x:row r="925">
      <x:c r="A925" s="4" t="inlineStr">
        <x:is>
          <x:t xml:space="preserve">proposal.armor.arc_power.chest</x:t>
        </x:is>
      </x:c>
      <x:c r="B925" s="4" t="str">
        <x:f>Items!B925</x:f>
        <x:v>Arc power chestplate</x:v>
      </x:c>
      <x:c r="C925" s="4" t="str">
        <x:f>Items!X925</x:f>
        <x:v>Armor</x:v>
      </x:c>
      <x:c r="D925" s="4" t="str">
        <x:f>Items!C925</x:f>
        <x:v>T4</x:v>
      </x:c>
      <x:c r="E925" s="4" t="inlineStr">
        <x:is>
          <x:t xml:space="preserve">Finished object proposal</x:t>
        </x:is>
      </x:c>
      <x:c r="F925" s="14">
        <x:f>Items!AJ925</x:f>
        <x:v>0</x:v>
      </x:c>
      <x:c r="G925" s="4" t="inlineStr">
        <x:is>
          <x:t xml:space="preserve">No recipe established</x:t>
        </x:is>
      </x:c>
      <x:c r="H925" s="4" t="inlineStr">
        <x:is>
          <x:t xml:space="preserve">Facilities and qualification criteria remain undefined.</x:t>
        </x:is>
      </x:c>
      <x:c r="I925" s="4" t="inlineStr">
        <x:is>
          <x:t xml:space="preserve">Proposal; not qualified for crafting</x:t>
        </x:is>
      </x:c>
      <x:c r="J925" s="4" t="inlineStr">
        <x:is>
          <x:t xml:space="preserve">Torso coverage, battery mounting and access, electrical isolation, canister clearance, joint attachment and power distribution remain proposals. Battery is a separate existing item; no energy or duplicate holder is granted.</x:t>
        </x:is>
      </x:c>
    </x:row>
    <x:row r="926">
      <x:c r="A926" s="4" t="inlineStr">
        <x:is>
          <x:t xml:space="preserve">proposal.armor.arc_power.legs</x:t>
        </x:is>
      </x:c>
      <x:c r="B926" s="4" t="str">
        <x:f>Items!B926</x:f>
        <x:v>Arc power leg guards</x:v>
      </x:c>
      <x:c r="C926" s="4" t="str">
        <x:f>Items!X926</x:f>
        <x:v>Armor</x:v>
      </x:c>
      <x:c r="D926" s="4" t="str">
        <x:f>Items!C926</x:f>
        <x:v>T4</x:v>
      </x:c>
      <x:c r="E926" s="4" t="inlineStr">
        <x:is>
          <x:t xml:space="preserve">Finished object proposal</x:t>
        </x:is>
      </x:c>
      <x:c r="F926" s="14">
        <x:f>Items!AJ926</x:f>
        <x:v>0</x:v>
      </x:c>
      <x:c r="G926" s="4" t="inlineStr">
        <x:is>
          <x:t xml:space="preserve">No recipe established</x:t>
        </x:is>
      </x:c>
      <x:c r="H926" s="4" t="inlineStr">
        <x:is>
          <x:t xml:space="preserve">Facilities and qualification criteria remain undefined.</x:t>
        </x:is>
      </x:c>
      <x:c r="I926" s="4" t="inlineStr">
        <x:is>
          <x:t xml:space="preserve">Proposal; not qualified for crafting</x:t>
        </x:is>
      </x:c>
      <x:c r="J926" s="4" t="inlineStr">
        <x:is>
          <x:t xml:space="preserve">Hip and knee articulation, load transfer, wearer fit, battery connection and behavior without power remain unresolved. No movement or carrying-capacity bonus assigned.</x:t>
        </x:is>
      </x:c>
    </x:row>
    <x:row r="927">
      <x:c r="A927" s="4" t="inlineStr">
        <x:is>
          <x:t xml:space="preserve">proposal.armor.arc_power.boots</x:t>
        </x:is>
      </x:c>
      <x:c r="B927" s="4" t="str">
        <x:f>Items!B927</x:f>
        <x:v>Arc power armored boots</x:v>
      </x:c>
      <x:c r="C927" s="4" t="str">
        <x:f>Items!X927</x:f>
        <x:v>Armor</x:v>
      </x:c>
      <x:c r="D927" s="4" t="str">
        <x:f>Items!C927</x:f>
        <x:v>T4</x:v>
      </x:c>
      <x:c r="E927" s="4" t="inlineStr">
        <x:is>
          <x:t xml:space="preserve">Finished object proposal</x:t>
        </x:is>
      </x:c>
      <x:c r="F927" s="14">
        <x:f>Items!AJ927</x:f>
        <x:v>0</x:v>
      </x:c>
      <x:c r="G927" s="4" t="inlineStr">
        <x:is>
          <x:t xml:space="preserve">No recipe established</x:t>
        </x:is>
      </x:c>
      <x:c r="H927" s="4" t="inlineStr">
        <x:is>
          <x:t xml:space="preserve">Facilities and qualification criteria remain undefined.</x:t>
        </x:is>
      </x:c>
      <x:c r="I927" s="4" t="inlineStr">
        <x:is>
          <x:t xml:space="preserve">Proposal; not qualified for crafting</x:t>
        </x:is>
      </x:c>
      <x:c r="J927" s="4" t="inlineStr">
        <x:is>
          <x:t xml:space="preserve">Sole construction, ankle range, traction, electrical isolation, leg-frame compatibility and unpowered walking remain unresolved. No storm grounding or electrical immunity established.</x:t>
        </x:is>
      </x:c>
    </x:row>
    <x:row r="928">
      <x:c r="A928" s="4" t="inlineStr">
        <x:is>
          <x:t xml:space="preserve">proposal.armor.arc_power.arms</x:t>
        </x:is>
      </x:c>
      <x:c r="B928" s="4" t="str">
        <x:f>Items!B928</x:f>
        <x:v>Arc power arm guards</x:v>
      </x:c>
      <x:c r="C928" s="4" t="str">
        <x:f>Items!X928</x:f>
        <x:v>Armor</x:v>
      </x:c>
      <x:c r="D928" s="4" t="str">
        <x:f>Items!C928</x:f>
        <x:v>T4</x:v>
      </x:c>
      <x:c r="E928" s="4" t="inlineStr">
        <x:is>
          <x:t xml:space="preserve">Finished object proposal</x:t>
        </x:is>
      </x:c>
      <x:c r="F928" s="14">
        <x:f>Items!AJ928</x:f>
        <x:v>0</x:v>
      </x:c>
      <x:c r="G928" s="4" t="inlineStr">
        <x:is>
          <x:t xml:space="preserve">No recipe established</x:t>
        </x:is>
      </x:c>
      <x:c r="H928" s="4" t="inlineStr">
        <x:is>
          <x:t xml:space="preserve">Facilities and qualification criteria remain undefined.</x:t>
        </x:is>
      </x:c>
      <x:c r="I928" s="4" t="inlineStr">
        <x:is>
          <x:t xml:space="preserve">Proposal; not qualified for crafting</x:t>
        </x:is>
      </x:c>
      <x:c r="J928" s="4" t="inlineStr">
        <x:is>
          <x:t xml:space="preserve">Shoulder and elbow fit, controls, hand clearance, tool handling, joint power and safe unpowered movement remain proposals. No strength or attack bonus assigned.</x:t>
        </x:is>
      </x:c>
    </x:row>
    <x:row r="929">
      <x:c r="A929" s="4" t="inlineStr">
        <x:is>
          <x:t xml:space="preserve">proposal.armor.arc_power.helmet</x:t>
        </x:is>
      </x:c>
      <x:c r="B929" s="4" t="str">
        <x:f>Items!B929</x:f>
        <x:v>Arc power helmet</x:v>
      </x:c>
      <x:c r="C929" s="4" t="str">
        <x:f>Items!X929</x:f>
        <x:v>Armor</x:v>
      </x:c>
      <x:c r="D929" s="4" t="str">
        <x:f>Items!C929</x:f>
        <x:v>T4</x:v>
      </x:c>
      <x:c r="E929" s="4" t="inlineStr">
        <x:is>
          <x:t xml:space="preserve">Finished object proposal</x:t>
        </x:is>
      </x:c>
      <x:c r="F929" s="14">
        <x:f>Items!AJ929</x:f>
        <x:v>0</x:v>
      </x:c>
      <x:c r="G929" s="4" t="inlineStr">
        <x:is>
          <x:t xml:space="preserve">No recipe established</x:t>
        </x:is>
      </x:c>
      <x:c r="H929" s="4" t="inlineStr">
        <x:is>
          <x:t xml:space="preserve">Facilities and qualification criteria remain undefined.</x:t>
        </x:is>
      </x:c>
      <x:c r="I929" s="4" t="inlineStr">
        <x:is>
          <x:t xml:space="preserve">Proposal; not qualified for crafting</x:t>
        </x:is>
      </x:c>
      <x:c r="J929" s="4" t="inlineStr">
        <x:is>
          <x:t xml:space="preserve">Viewing material, visibility, hearing, head fit, cabling, controls and canister interface remain open. No enhanced optics, sealed breathing system or automatic targeting established.</x:t>
        </x:is>
      </x:c>
    </x:row>
    <x:row r="930">
      <x:c r="A930" s="4" t="inlineStr">
        <x:is>
          <x:t xml:space="preserve">proposal.armor.fur.chest</x:t>
        </x:is>
      </x:c>
      <x:c r="B930" s="4" t="str">
        <x:f>Items!B930</x:f>
        <x:v>Fur chest armor</x:v>
      </x:c>
      <x:c r="C930" s="4" t="str">
        <x:f>Items!X930</x:f>
        <x:v>Armor</x:v>
      </x:c>
      <x:c r="D930" s="4" t="str">
        <x:f>Items!C930</x:f>
        <x:v>T2</x:v>
      </x:c>
      <x:c r="E930" s="4" t="inlineStr">
        <x:is>
          <x:t xml:space="preserve">Finished object proposal</x:t>
        </x:is>
      </x:c>
      <x:c r="F930" s="14">
        <x:f>Items!AJ930</x:f>
        <x:v>0</x:v>
      </x:c>
      <x:c r="G930" s="4" t="inlineStr">
        <x:is>
          <x:t xml:space="preserve">No recipe established</x:t>
        </x:is>
      </x:c>
      <x:c r="H930" s="4" t="inlineStr">
        <x:is>
          <x:t xml:space="preserve">Facilities and qualification criteria remain undefined.</x:t>
        </x:is>
      </x:c>
      <x:c r="I930" s="4" t="inlineStr">
        <x:is>
          <x:t xml:space="preserve">Proposal; not qualified for crafting</x:t>
        </x:is>
      </x:c>
      <x:c r="J930" s="4" t="inlineStr">
        <x:is>
          <x:t xml:space="preserve">Torso and upper back; arm and leg protection remain separate. Fur sourcing, extremely low processing yield, fastening, fit, wearability and protective performance require design.</x:t>
        </x:is>
      </x:c>
    </x:row>
    <x:row r="931">
      <x:c r="A931" s="4" t="inlineStr">
        <x:is>
          <x:t xml:space="preserve">proposal.armor.fur.legs</x:t>
        </x:is>
      </x:c>
      <x:c r="B931" s="4" t="str">
        <x:f>Items!B931</x:f>
        <x:v>Fur leg guards</x:v>
      </x:c>
      <x:c r="C931" s="4" t="str">
        <x:f>Items!X931</x:f>
        <x:v>Armor</x:v>
      </x:c>
      <x:c r="D931" s="4" t="str">
        <x:f>Items!C931</x:f>
        <x:v>T2</x:v>
      </x:c>
      <x:c r="E931" s="4" t="inlineStr">
        <x:is>
          <x:t xml:space="preserve">Finished object proposal</x:t>
        </x:is>
      </x:c>
      <x:c r="F931" s="14">
        <x:f>Items!AJ931</x:f>
        <x:v>0</x:v>
      </x:c>
      <x:c r="G931" s="4" t="inlineStr">
        <x:is>
          <x:t xml:space="preserve">No recipe established</x:t>
        </x:is>
      </x:c>
      <x:c r="H931" s="4" t="inlineStr">
        <x:is>
          <x:t xml:space="preserve">Facilities and qualification criteria remain undefined.</x:t>
        </x:is>
      </x:c>
      <x:c r="I931" s="4" t="inlineStr">
        <x:is>
          <x:t xml:space="preserve">Proposal; not qualified for crafting</x:t>
        </x:is>
      </x:c>
      <x:c r="J931" s="4" t="inlineStr">
        <x:is>
          <x:t xml:space="preserve">A matched pair of thigh, knee and shin coverings listed as one item; boots remain separate. Fur sourcing, extremely low processing yield, fastening, fit, wearability and protective performance require design.</x:t>
        </x:is>
      </x:c>
    </x:row>
    <x:row r="932">
      <x:c r="A932" s="4" t="inlineStr">
        <x:is>
          <x:t xml:space="preserve">proposal.armor.fur.boots</x:t>
        </x:is>
      </x:c>
      <x:c r="B932" s="4" t="str">
        <x:f>Items!B932</x:f>
        <x:v>Fur armored boots</x:v>
      </x:c>
      <x:c r="C932" s="4" t="str">
        <x:f>Items!X932</x:f>
        <x:v>Armor</x:v>
      </x:c>
      <x:c r="D932" s="4" t="str">
        <x:f>Items!C932</x:f>
        <x:v>T2</x:v>
      </x:c>
      <x:c r="E932" s="4" t="inlineStr">
        <x:is>
          <x:t xml:space="preserve">Finished object proposal</x:t>
        </x:is>
      </x:c>
      <x:c r="F932" s="14">
        <x:f>Items!AJ932</x:f>
        <x:v>0</x:v>
      </x:c>
      <x:c r="G932" s="4" t="inlineStr">
        <x:is>
          <x:t xml:space="preserve">No recipe established</x:t>
        </x:is>
      </x:c>
      <x:c r="H932" s="4" t="inlineStr">
        <x:is>
          <x:t xml:space="preserve">Facilities and qualification criteria remain undefined.</x:t>
        </x:is>
      </x:c>
      <x:c r="I932" s="4" t="inlineStr">
        <x:is>
          <x:t xml:space="preserve">Proposal; not qualified for crafting</x:t>
        </x:is>
      </x:c>
      <x:c r="J932" s="4" t="inlineStr">
        <x:is>
          <x:t xml:space="preserve">A matched pair of protective foot coverings listed as one item, separate from the leg guards. Fur sourcing, extremely low processing yield, fastening, fit, wearability and protective performance require design.</x:t>
        </x:is>
      </x:c>
    </x:row>
    <x:row r="933">
      <x:c r="A933" s="4" t="inlineStr">
        <x:is>
          <x:t xml:space="preserve">proposal.armor.fur.arms</x:t>
        </x:is>
      </x:c>
      <x:c r="B933" s="4" t="str">
        <x:f>Items!B933</x:f>
        <x:v>Fur arm guards</x:v>
      </x:c>
      <x:c r="C933" s="4" t="str">
        <x:f>Items!X933</x:f>
        <x:v>Armor</x:v>
      </x:c>
      <x:c r="D933" s="4" t="str">
        <x:f>Items!C933</x:f>
        <x:v>T2</x:v>
      </x:c>
      <x:c r="E933" s="4" t="inlineStr">
        <x:is>
          <x:t xml:space="preserve">Finished object proposal</x:t>
        </x:is>
      </x:c>
      <x:c r="F933" s="14">
        <x:f>Items!AJ933</x:f>
        <x:v>0</x:v>
      </x:c>
      <x:c r="G933" s="4" t="inlineStr">
        <x:is>
          <x:t xml:space="preserve">No recipe established</x:t>
        </x:is>
      </x:c>
      <x:c r="H933" s="4" t="inlineStr">
        <x:is>
          <x:t xml:space="preserve">Facilities and qualification criteria remain undefined.</x:t>
        </x:is>
      </x:c>
      <x:c r="I933" s="4" t="inlineStr">
        <x:is>
          <x:t xml:space="preserve">Proposal; not qualified for crafting</x:t>
        </x:is>
      </x:c>
      <x:c r="J933" s="4" t="inlineStr">
        <x:is>
          <x:t xml:space="preserve">A matched pair of upper-arm, elbow and forearm coverings listed as one item; chest armor remains separate. Fur sourcing, extremely low processing yield, fastening, fit, wearability and protective performance require design.</x:t>
        </x:is>
      </x:c>
    </x:row>
    <x:row r="934">
      <x:c r="A934" s="4" t="inlineStr">
        <x:is>
          <x:t xml:space="preserve">proposal.armor.fur.helmet</x:t>
        </x:is>
      </x:c>
      <x:c r="B934" s="4" t="str">
        <x:f>Items!B934</x:f>
        <x:v>Fur helmet</x:v>
      </x:c>
      <x:c r="C934" s="4" t="str">
        <x:f>Items!X934</x:f>
        <x:v>Armor</x:v>
      </x:c>
      <x:c r="D934" s="4" t="str">
        <x:f>Items!C934</x:f>
        <x:v>T2</x:v>
      </x:c>
      <x:c r="E934" s="4" t="inlineStr">
        <x:is>
          <x:t xml:space="preserve">Finished object proposal</x:t>
        </x:is>
      </x:c>
      <x:c r="F934" s="14">
        <x:f>Items!AJ934</x:f>
        <x:v>0</x:v>
      </x:c>
      <x:c r="G934" s="4" t="inlineStr">
        <x:is>
          <x:t xml:space="preserve">No recipe established</x:t>
        </x:is>
      </x:c>
      <x:c r="H934" s="4" t="inlineStr">
        <x:is>
          <x:t xml:space="preserve">Facilities and qualification criteria remain undefined.</x:t>
        </x:is>
      </x:c>
      <x:c r="I934" s="4" t="inlineStr">
        <x:is>
          <x:t xml:space="preserve">Proposal; not qualified for crafting</x:t>
        </x:is>
      </x:c>
      <x:c r="J934" s="4" t="inlineStr">
        <x:is>
          <x:t xml:space="preserve">Head covering with an open face; neck coverage, hearing and fit remain unresolved. Fur sourcing, extremely low processing yield, fastening, fit, wearability and protective performance require design.</x:t>
        </x:is>
      </x:c>
    </x:row>
    <x:row r="935">
      <x:c r="A935" s="4" t="inlineStr">
        <x:is>
          <x:t xml:space="preserve">proposal.clothing.hide.top</x:t>
        </x:is>
      </x:c>
      <x:c r="B935" s="4" t="str">
        <x:f>Items!B935</x:f>
        <x:v>Hide jacket</x:v>
      </x:c>
      <x:c r="C935" s="4" t="str">
        <x:f>Items!X935</x:f>
        <x:v>Wearable</x:v>
      </x:c>
      <x:c r="D935" s="4" t="str">
        <x:f>Items!C935</x:f>
        <x:v>T2</x:v>
      </x:c>
      <x:c r="E935" s="4" t="inlineStr">
        <x:is>
          <x:t xml:space="preserve">Finished object proposal</x:t>
        </x:is>
      </x:c>
      <x:c r="F935" s="14">
        <x:f>Items!AJ935</x:f>
        <x:v>0</x:v>
      </x:c>
      <x:c r="G935" s="4" t="inlineStr">
        <x:is>
          <x:t xml:space="preserve">No recipe established</x:t>
        </x:is>
      </x:c>
      <x:c r="H935" s="4" t="inlineStr">
        <x:is>
          <x:t xml:space="preserve">Facilities and qualification criteria remain undefined.</x:t>
        </x:is>
      </x:c>
      <x:c r="I935" s="4" t="inlineStr">
        <x:is>
          <x:t xml:space="preserve">Proposal; not qualified for crafting</x:t>
        </x:is>
      </x:c>
      <x:c r="J935" s="4" t="inlineStr">
        <x:is>
          <x:t xml:space="preserve">One upper-body garment; no trousers, gloves, footwear or headwear included. Appearance: Small fitted hide panels, overlapped seams and simple metal closures. Usable hide yields are extremely low. Joining, sizing, service life and useful performance require design.</x:t>
        </x:is>
      </x:c>
    </x:row>
    <x:row r="936">
      <x:c r="A936" s="4" t="inlineStr">
        <x:is>
          <x:t xml:space="preserve">proposal.clothing.hide.legs</x:t>
        </x:is>
      </x:c>
      <x:c r="B936" s="4" t="str">
        <x:f>Items!B936</x:f>
        <x:v>Hide trousers</x:v>
      </x:c>
      <x:c r="C936" s="4" t="str">
        <x:f>Items!X936</x:f>
        <x:v>Wearable</x:v>
      </x:c>
      <x:c r="D936" s="4" t="str">
        <x:f>Items!C936</x:f>
        <x:v>T2</x:v>
      </x:c>
      <x:c r="E936" s="4" t="inlineStr">
        <x:is>
          <x:t xml:space="preserve">Finished object proposal</x:t>
        </x:is>
      </x:c>
      <x:c r="F936" s="14">
        <x:f>Items!AJ936</x:f>
        <x:v>0</x:v>
      </x:c>
      <x:c r="G936" s="4" t="inlineStr">
        <x:is>
          <x:t xml:space="preserve">No recipe established</x:t>
        </x:is>
      </x:c>
      <x:c r="H936" s="4" t="inlineStr">
        <x:is>
          <x:t xml:space="preserve">Facilities and qualification criteria remain undefined.</x:t>
        </x:is>
      </x:c>
      <x:c r="I936" s="4" t="inlineStr">
        <x:is>
          <x:t xml:space="preserve">Proposal; not qualified for crafting</x:t>
        </x:is>
      </x:c>
      <x:c r="J936" s="4" t="inlineStr">
        <x:is>
          <x:t xml:space="preserve">One lower-body garment; footwear remains separate. Appearance: Small fitted hide panels, overlapped seams and simple metal closures. Usable hide yields are extremely low. Joining, sizing, service life and useful performance require design.</x:t>
        </x:is>
      </x:c>
    </x:row>
    <x:row r="937">
      <x:c r="A937" s="4" t="inlineStr">
        <x:is>
          <x:t xml:space="preserve">proposal.clothing.hide.boots</x:t>
        </x:is>
      </x:c>
      <x:c r="B937" s="4" t="str">
        <x:f>Items!B937</x:f>
        <x:v>Hide boots</x:v>
      </x:c>
      <x:c r="C937" s="4" t="str">
        <x:f>Items!X937</x:f>
        <x:v>Wearable</x:v>
      </x:c>
      <x:c r="D937" s="4" t="str">
        <x:f>Items!C937</x:f>
        <x:v>T2</x:v>
      </x:c>
      <x:c r="E937" s="4" t="inlineStr">
        <x:is>
          <x:t xml:space="preserve">Finished object proposal</x:t>
        </x:is>
      </x:c>
      <x:c r="F937" s="14">
        <x:f>Items!AJ937</x:f>
        <x:v>0</x:v>
      </x:c>
      <x:c r="G937" s="4" t="inlineStr">
        <x:is>
          <x:t xml:space="preserve">No recipe established</x:t>
        </x:is>
      </x:c>
      <x:c r="H937" s="4" t="inlineStr">
        <x:is>
          <x:t xml:space="preserve">Facilities and qualification criteria remain undefined.</x:t>
        </x:is>
      </x:c>
      <x:c r="I937" s="4" t="inlineStr">
        <x:is>
          <x:t xml:space="preserve">Proposal; not qualified for crafting</x:t>
        </x:is>
      </x:c>
      <x:c r="J937" s="4" t="inlineStr">
        <x:is>
          <x:t xml:space="preserve">One matched pair of footwear; no leggings or trousers included. Appearance: Small fitted hide panels, overlapped seams and simple metal closures. Usable hide yields are extremely low. Joining, sizing, service life and useful performance require design.</x:t>
        </x:is>
      </x:c>
    </x:row>
    <x:row r="938">
      <x:c r="A938" s="4" t="inlineStr">
        <x:is>
          <x:t xml:space="preserve">proposal.clothing.hide.gloves</x:t>
        </x:is>
      </x:c>
      <x:c r="B938" s="4" t="str">
        <x:f>Items!B938</x:f>
        <x:v>Hide gloves</x:v>
      </x:c>
      <x:c r="C938" s="4" t="str">
        <x:f>Items!X938</x:f>
        <x:v>Wearable</x:v>
      </x:c>
      <x:c r="D938" s="4" t="str">
        <x:f>Items!C938</x:f>
        <x:v>T2</x:v>
      </x:c>
      <x:c r="E938" s="4" t="inlineStr">
        <x:is>
          <x:t xml:space="preserve">Finished object proposal</x:t>
        </x:is>
      </x:c>
      <x:c r="F938" s="14">
        <x:f>Items!AJ938</x:f>
        <x:v>0</x:v>
      </x:c>
      <x:c r="G938" s="4" t="inlineStr">
        <x:is>
          <x:t xml:space="preserve">No recipe established</x:t>
        </x:is>
      </x:c>
      <x:c r="H938" s="4" t="inlineStr">
        <x:is>
          <x:t xml:space="preserve">Facilities and qualification criteria remain undefined.</x:t>
        </x:is>
      </x:c>
      <x:c r="I938" s="4" t="inlineStr">
        <x:is>
          <x:t xml:space="preserve">Proposal; not qualified for crafting</x:t>
        </x:is>
      </x:c>
      <x:c r="J938" s="4" t="inlineStr">
        <x:is>
          <x:t xml:space="preserve">One matched pair of hand coverings; sleeves and upper-body garment remain separate. Appearance: Small fitted hide panels, overlapped seams and simple metal closures. Usable hide yields are extremely low. Joining, sizing, service life and useful performance require design.</x:t>
        </x:is>
      </x:c>
    </x:row>
    <x:row r="939">
      <x:c r="A939" s="4" t="inlineStr">
        <x:is>
          <x:t xml:space="preserve">proposal.clothing.hide.head</x:t>
        </x:is>
      </x:c>
      <x:c r="B939" s="4" t="str">
        <x:f>Items!B939</x:f>
        <x:v>Hide hood</x:v>
      </x:c>
      <x:c r="C939" s="4" t="str">
        <x:f>Items!X939</x:f>
        <x:v>Wearable</x:v>
      </x:c>
      <x:c r="D939" s="4" t="str">
        <x:f>Items!C939</x:f>
        <x:v>T2</x:v>
      </x:c>
      <x:c r="E939" s="4" t="inlineStr">
        <x:is>
          <x:t xml:space="preserve">Finished object proposal</x:t>
        </x:is>
      </x:c>
      <x:c r="F939" s="14">
        <x:f>Items!AJ939</x:f>
        <x:v>0</x:v>
      </x:c>
      <x:c r="G939" s="4" t="inlineStr">
        <x:is>
          <x:t xml:space="preserve">No recipe established</x:t>
        </x:is>
      </x:c>
      <x:c r="H939" s="4" t="inlineStr">
        <x:is>
          <x:t xml:space="preserve">Facilities and qualification criteria remain undefined.</x:t>
        </x:is>
      </x:c>
      <x:c r="I939" s="4" t="inlineStr">
        <x:is>
          <x:t xml:space="preserve">Proposal; not qualified for crafting</x:t>
        </x:is>
      </x:c>
      <x:c r="J939" s="4" t="inlineStr">
        <x:is>
          <x:t xml:space="preserve">One head covering; face, sight, hearing and personal canister clearance require design. Appearance: Small fitted hide panels, overlapped seams and simple metal closures. Usable hide yields are extremely low. Joining, sizing, service life and useful performance require design.</x:t>
        </x:is>
      </x:c>
    </x:row>
    <x:row r="940">
      <x:c r="A940" s="4" t="inlineStr">
        <x:is>
          <x:t xml:space="preserve">proposal.clothing.fur.top</x:t>
        </x:is>
      </x:c>
      <x:c r="B940" s="4" t="str">
        <x:f>Items!B940</x:f>
        <x:v>Fur jacket</x:v>
      </x:c>
      <x:c r="C940" s="4" t="str">
        <x:f>Items!X940</x:f>
        <x:v>Wearable</x:v>
      </x:c>
      <x:c r="D940" s="4" t="str">
        <x:f>Items!C940</x:f>
        <x:v>T2</x:v>
      </x:c>
      <x:c r="E940" s="4" t="inlineStr">
        <x:is>
          <x:t xml:space="preserve">Finished object proposal</x:t>
        </x:is>
      </x:c>
      <x:c r="F940" s="14">
        <x:f>Items!AJ940</x:f>
        <x:v>0</x:v>
      </x:c>
      <x:c r="G940" s="4" t="inlineStr">
        <x:is>
          <x:t xml:space="preserve">No recipe established</x:t>
        </x:is>
      </x:c>
      <x:c r="H940" s="4" t="inlineStr">
        <x:is>
          <x:t xml:space="preserve">Facilities and qualification criteria remain undefined.</x:t>
        </x:is>
      </x:c>
      <x:c r="I940" s="4" t="inlineStr">
        <x:is>
          <x:t xml:space="preserve">Proposal; not qualified for crafting</x:t>
        </x:is>
      </x:c>
      <x:c r="J940" s="4" t="inlineStr">
        <x:is>
          <x:t xml:space="preserve">One upper-body garment; no trousers, gloves, footwear or headwear included. Appearance: Carefully joined fur-bearing hide patches with restrained trim. Usable fur yields are extremely low; no abundant fur supply assumed. Joining, sizing, service life and useful performance require design.</x:t>
        </x:is>
      </x:c>
    </x:row>
    <x:row r="941">
      <x:c r="A941" s="4" t="inlineStr">
        <x:is>
          <x:t xml:space="preserve">proposal.clothing.fur.legs</x:t>
        </x:is>
      </x:c>
      <x:c r="B941" s="4" t="str">
        <x:f>Items!B941</x:f>
        <x:v>Fur trousers</x:v>
      </x:c>
      <x:c r="C941" s="4" t="str">
        <x:f>Items!X941</x:f>
        <x:v>Wearable</x:v>
      </x:c>
      <x:c r="D941" s="4" t="str">
        <x:f>Items!C941</x:f>
        <x:v>T2</x:v>
      </x:c>
      <x:c r="E941" s="4" t="inlineStr">
        <x:is>
          <x:t xml:space="preserve">Finished object proposal</x:t>
        </x:is>
      </x:c>
      <x:c r="F941" s="14">
        <x:f>Items!AJ941</x:f>
        <x:v>0</x:v>
      </x:c>
      <x:c r="G941" s="4" t="inlineStr">
        <x:is>
          <x:t xml:space="preserve">No recipe established</x:t>
        </x:is>
      </x:c>
      <x:c r="H941" s="4" t="inlineStr">
        <x:is>
          <x:t xml:space="preserve">Facilities and qualification criteria remain undefined.</x:t>
        </x:is>
      </x:c>
      <x:c r="I941" s="4" t="inlineStr">
        <x:is>
          <x:t xml:space="preserve">Proposal; not qualified for crafting</x:t>
        </x:is>
      </x:c>
      <x:c r="J941" s="4" t="inlineStr">
        <x:is>
          <x:t xml:space="preserve">One lower-body garment; footwear remains separate. Appearance: Carefully joined fur-bearing hide patches with restrained trim. Usable fur yields are extremely low; no abundant fur supply assumed. Joining, sizing, service life and useful performance require design.</x:t>
        </x:is>
      </x:c>
    </x:row>
    <x:row r="942">
      <x:c r="A942" s="4" t="inlineStr">
        <x:is>
          <x:t xml:space="preserve">proposal.clothing.fur.boots</x:t>
        </x:is>
      </x:c>
      <x:c r="B942" s="4" t="str">
        <x:f>Items!B942</x:f>
        <x:v>Fur boots</x:v>
      </x:c>
      <x:c r="C942" s="4" t="str">
        <x:f>Items!X942</x:f>
        <x:v>Wearable</x:v>
      </x:c>
      <x:c r="D942" s="4" t="str">
        <x:f>Items!C942</x:f>
        <x:v>T2</x:v>
      </x:c>
      <x:c r="E942" s="4" t="inlineStr">
        <x:is>
          <x:t xml:space="preserve">Finished object proposal</x:t>
        </x:is>
      </x:c>
      <x:c r="F942" s="14">
        <x:f>Items!AJ942</x:f>
        <x:v>0</x:v>
      </x:c>
      <x:c r="G942" s="4" t="inlineStr">
        <x:is>
          <x:t xml:space="preserve">No recipe established</x:t>
        </x:is>
      </x:c>
      <x:c r="H942" s="4" t="inlineStr">
        <x:is>
          <x:t xml:space="preserve">Facilities and qualification criteria remain undefined.</x:t>
        </x:is>
      </x:c>
      <x:c r="I942" s="4" t="inlineStr">
        <x:is>
          <x:t xml:space="preserve">Proposal; not qualified for crafting</x:t>
        </x:is>
      </x:c>
      <x:c r="J942" s="4" t="inlineStr">
        <x:is>
          <x:t xml:space="preserve">One matched pair of footwear; no leggings or trousers included. Appearance: Carefully joined fur-bearing hide patches with restrained trim. Usable fur yields are extremely low; no abundant fur supply assumed. Joining, sizing, service life and useful performance require design.</x:t>
        </x:is>
      </x:c>
    </x:row>
    <x:row r="943">
      <x:c r="A943" s="4" t="inlineStr">
        <x:is>
          <x:t xml:space="preserve">proposal.clothing.fur.gloves</x:t>
        </x:is>
      </x:c>
      <x:c r="B943" s="4" t="str">
        <x:f>Items!B943</x:f>
        <x:v>Fur gloves</x:v>
      </x:c>
      <x:c r="C943" s="4" t="str">
        <x:f>Items!X943</x:f>
        <x:v>Wearable</x:v>
      </x:c>
      <x:c r="D943" s="4" t="str">
        <x:f>Items!C943</x:f>
        <x:v>T2</x:v>
      </x:c>
      <x:c r="E943" s="4" t="inlineStr">
        <x:is>
          <x:t xml:space="preserve">Finished object proposal</x:t>
        </x:is>
      </x:c>
      <x:c r="F943" s="14">
        <x:f>Items!AJ943</x:f>
        <x:v>0</x:v>
      </x:c>
      <x:c r="G943" s="4" t="inlineStr">
        <x:is>
          <x:t xml:space="preserve">No recipe established</x:t>
        </x:is>
      </x:c>
      <x:c r="H943" s="4" t="inlineStr">
        <x:is>
          <x:t xml:space="preserve">Facilities and qualification criteria remain undefined.</x:t>
        </x:is>
      </x:c>
      <x:c r="I943" s="4" t="inlineStr">
        <x:is>
          <x:t xml:space="preserve">Proposal; not qualified for crafting</x:t>
        </x:is>
      </x:c>
      <x:c r="J943" s="4" t="inlineStr">
        <x:is>
          <x:t xml:space="preserve">One matched pair of hand coverings; sleeves and upper-body garment remain separate. Appearance: Carefully joined fur-bearing hide patches with restrained trim. Usable fur yields are extremely low; no abundant fur supply assumed. Joining, sizing, service life and useful performance require design.</x:t>
        </x:is>
      </x:c>
    </x:row>
    <x:row r="944">
      <x:c r="A944" s="4" t="inlineStr">
        <x:is>
          <x:t xml:space="preserve">proposal.clothing.fur.head</x:t>
        </x:is>
      </x:c>
      <x:c r="B944" s="4" t="str">
        <x:f>Items!B944</x:f>
        <x:v>Fur hood</x:v>
      </x:c>
      <x:c r="C944" s="4" t="str">
        <x:f>Items!X944</x:f>
        <x:v>Wearable</x:v>
      </x:c>
      <x:c r="D944" s="4" t="str">
        <x:f>Items!C944</x:f>
        <x:v>T2</x:v>
      </x:c>
      <x:c r="E944" s="4" t="inlineStr">
        <x:is>
          <x:t xml:space="preserve">Finished object proposal</x:t>
        </x:is>
      </x:c>
      <x:c r="F944" s="14">
        <x:f>Items!AJ944</x:f>
        <x:v>0</x:v>
      </x:c>
      <x:c r="G944" s="4" t="inlineStr">
        <x:is>
          <x:t xml:space="preserve">No recipe established</x:t>
        </x:is>
      </x:c>
      <x:c r="H944" s="4" t="inlineStr">
        <x:is>
          <x:t xml:space="preserve">Facilities and qualification criteria remain undefined.</x:t>
        </x:is>
      </x:c>
      <x:c r="I944" s="4" t="inlineStr">
        <x:is>
          <x:t xml:space="preserve">Proposal; not qualified for crafting</x:t>
        </x:is>
      </x:c>
      <x:c r="J944" s="4" t="inlineStr">
        <x:is>
          <x:t xml:space="preserve">One head covering; face, sight, hearing and personal canister clearance require design. Appearance: Carefully joined fur-bearing hide patches with restrained trim. Usable fur yields are extremely low; no abundant fur supply assumed. Joining, sizing, service life and useful performance require design.</x:t>
        </x:is>
      </x:c>
    </x:row>
    <x:row r="945">
      <x:c r="A945" s="4" t="inlineStr">
        <x:is>
          <x:t xml:space="preserve">proposal.clothing.fine_chainmail.top</x:t>
        </x:is>
      </x:c>
      <x:c r="B945" s="4" t="str">
        <x:f>Items!B945</x:f>
        <x:v>Delicate chainmail jacket</x:v>
      </x:c>
      <x:c r="C945" s="4" t="str">
        <x:f>Items!X945</x:f>
        <x:v>Wearable</x:v>
      </x:c>
      <x:c r="D945" s="4" t="str">
        <x:f>Items!C945</x:f>
        <x:v>T3</x:v>
      </x:c>
      <x:c r="E945" s="4" t="inlineStr">
        <x:is>
          <x:t xml:space="preserve">Finished object proposal</x:t>
        </x:is>
      </x:c>
      <x:c r="F945" s="14">
        <x:f>Items!AJ945</x:f>
        <x:v>0</x:v>
      </x:c>
      <x:c r="G945" s="4" t="inlineStr">
        <x:is>
          <x:t xml:space="preserve">No recipe established</x:t>
        </x:is>
      </x:c>
      <x:c r="H945" s="4" t="inlineStr">
        <x:is>
          <x:t xml:space="preserve">Facilities and qualification criteria remain undefined.</x:t>
        </x:is>
      </x:c>
      <x:c r="I945" s="4" t="inlineStr">
        <x:is>
          <x:t xml:space="preserve">Proposal; not qualified for crafting</x:t>
        </x:is>
      </x:c>
      <x:c r="J945" s="4" t="inlineStr">
        <x:is>
          <x:t xml:space="preserve">One upper-body garment; no trousers, gloves, footwear or headwear included. Appearance: Fine small metal rings with a light drape and narrow rolled edges; no textile backing. Fine-ring work is a labor-intensive proposal. Joining, sizing, service life and useful performance require design.</x:t>
        </x:is>
      </x:c>
    </x:row>
    <x:row r="946">
      <x:c r="A946" s="4" t="inlineStr">
        <x:is>
          <x:t xml:space="preserve">proposal.clothing.fine_chainmail.legs</x:t>
        </x:is>
      </x:c>
      <x:c r="B946" s="4" t="str">
        <x:f>Items!B946</x:f>
        <x:v>Delicate chainmail trousers</x:v>
      </x:c>
      <x:c r="C946" s="4" t="str">
        <x:f>Items!X946</x:f>
        <x:v>Wearable</x:v>
      </x:c>
      <x:c r="D946" s="4" t="str">
        <x:f>Items!C946</x:f>
        <x:v>T3</x:v>
      </x:c>
      <x:c r="E946" s="4" t="inlineStr">
        <x:is>
          <x:t xml:space="preserve">Finished object proposal</x:t>
        </x:is>
      </x:c>
      <x:c r="F946" s="14">
        <x:f>Items!AJ946</x:f>
        <x:v>0</x:v>
      </x:c>
      <x:c r="G946" s="4" t="inlineStr">
        <x:is>
          <x:t xml:space="preserve">No recipe established</x:t>
        </x:is>
      </x:c>
      <x:c r="H946" s="4" t="inlineStr">
        <x:is>
          <x:t xml:space="preserve">Facilities and qualification criteria remain undefined.</x:t>
        </x:is>
      </x:c>
      <x:c r="I946" s="4" t="inlineStr">
        <x:is>
          <x:t xml:space="preserve">Proposal; not qualified for crafting</x:t>
        </x:is>
      </x:c>
      <x:c r="J946" s="4" t="inlineStr">
        <x:is>
          <x:t xml:space="preserve">One lower-body garment; footwear remains separate. Appearance: Fine small metal rings with a light drape and narrow rolled edges; no textile backing. Fine-ring work is a labor-intensive proposal. Joining, sizing, service life and useful performance require design.</x:t>
        </x:is>
      </x:c>
    </x:row>
    <x:row r="947">
      <x:c r="A947" s="4" t="inlineStr">
        <x:is>
          <x:t xml:space="preserve">proposal.clothing.fine_chainmail.boots</x:t>
        </x:is>
      </x:c>
      <x:c r="B947" s="4" t="str">
        <x:f>Items!B947</x:f>
        <x:v>Delicate chainmail boots</x:v>
      </x:c>
      <x:c r="C947" s="4" t="str">
        <x:f>Items!X947</x:f>
        <x:v>Wearable</x:v>
      </x:c>
      <x:c r="D947" s="4" t="str">
        <x:f>Items!C947</x:f>
        <x:v>T3</x:v>
      </x:c>
      <x:c r="E947" s="4" t="inlineStr">
        <x:is>
          <x:t xml:space="preserve">Finished object proposal</x:t>
        </x:is>
      </x:c>
      <x:c r="F947" s="14">
        <x:f>Items!AJ947</x:f>
        <x:v>0</x:v>
      </x:c>
      <x:c r="G947" s="4" t="inlineStr">
        <x:is>
          <x:t xml:space="preserve">No recipe established</x:t>
        </x:is>
      </x:c>
      <x:c r="H947" s="4" t="inlineStr">
        <x:is>
          <x:t xml:space="preserve">Facilities and qualification criteria remain undefined.</x:t>
        </x:is>
      </x:c>
      <x:c r="I947" s="4" t="inlineStr">
        <x:is>
          <x:t xml:space="preserve">Proposal; not qualified for crafting</x:t>
        </x:is>
      </x:c>
      <x:c r="J947" s="4" t="inlineStr">
        <x:is>
          <x:t xml:space="preserve">One matched pair of footwear; no leggings or trousers included. Appearance: Fine small metal rings with a light drape and narrow rolled edges; no textile backing. Fine-ring work is a labor-intensive proposal. Joining, sizing, service life and useful performance require design.</x:t>
        </x:is>
      </x:c>
    </x:row>
    <x:row r="948">
      <x:c r="A948" s="4" t="inlineStr">
        <x:is>
          <x:t xml:space="preserve">proposal.clothing.fine_chainmail.gloves</x:t>
        </x:is>
      </x:c>
      <x:c r="B948" s="4" t="str">
        <x:f>Items!B948</x:f>
        <x:v>Delicate chainmail gloves</x:v>
      </x:c>
      <x:c r="C948" s="4" t="str">
        <x:f>Items!X948</x:f>
        <x:v>Wearable</x:v>
      </x:c>
      <x:c r="D948" s="4" t="str">
        <x:f>Items!C948</x:f>
        <x:v>T3</x:v>
      </x:c>
      <x:c r="E948" s="4" t="inlineStr">
        <x:is>
          <x:t xml:space="preserve">Finished object proposal</x:t>
        </x:is>
      </x:c>
      <x:c r="F948" s="14">
        <x:f>Items!AJ948</x:f>
        <x:v>0</x:v>
      </x:c>
      <x:c r="G948" s="4" t="inlineStr">
        <x:is>
          <x:t xml:space="preserve">No recipe established</x:t>
        </x:is>
      </x:c>
      <x:c r="H948" s="4" t="inlineStr">
        <x:is>
          <x:t xml:space="preserve">Facilities and qualification criteria remain undefined.</x:t>
        </x:is>
      </x:c>
      <x:c r="I948" s="4" t="inlineStr">
        <x:is>
          <x:t xml:space="preserve">Proposal; not qualified for crafting</x:t>
        </x:is>
      </x:c>
      <x:c r="J948" s="4" t="inlineStr">
        <x:is>
          <x:t xml:space="preserve">One matched pair of hand coverings; sleeves and upper-body garment remain separate. Appearance: Fine small metal rings with a light drape and narrow rolled edges; no textile backing. Fine-ring work is a labor-intensive proposal. Joining, sizing, service life and useful performance require design.</x:t>
        </x:is>
      </x:c>
    </x:row>
    <x:row r="949">
      <x:c r="A949" s="4" t="inlineStr">
        <x:is>
          <x:t xml:space="preserve">proposal.clothing.fine_chainmail.head</x:t>
        </x:is>
      </x:c>
      <x:c r="B949" s="4" t="str">
        <x:f>Items!B949</x:f>
        <x:v>Delicate chainmail coif</x:v>
      </x:c>
      <x:c r="C949" s="4" t="str">
        <x:f>Items!X949</x:f>
        <x:v>Wearable</x:v>
      </x:c>
      <x:c r="D949" s="4" t="str">
        <x:f>Items!C949</x:f>
        <x:v>T3</x:v>
      </x:c>
      <x:c r="E949" s="4" t="inlineStr">
        <x:is>
          <x:t xml:space="preserve">Finished object proposal</x:t>
        </x:is>
      </x:c>
      <x:c r="F949" s="14">
        <x:f>Items!AJ949</x:f>
        <x:v>0</x:v>
      </x:c>
      <x:c r="G949" s="4" t="inlineStr">
        <x:is>
          <x:t xml:space="preserve">No recipe established</x:t>
        </x:is>
      </x:c>
      <x:c r="H949" s="4" t="inlineStr">
        <x:is>
          <x:t xml:space="preserve">Facilities and qualification criteria remain undefined.</x:t>
        </x:is>
      </x:c>
      <x:c r="I949" s="4" t="inlineStr">
        <x:is>
          <x:t xml:space="preserve">Proposal; not qualified for crafting</x:t>
        </x:is>
      </x:c>
      <x:c r="J949" s="4" t="inlineStr">
        <x:is>
          <x:t xml:space="preserve">One head covering; face, sight, hearing and personal canister clearance require design. Appearance: Fine small metal rings with a light drape and narrow rolled edges; no textile backing. Fine-ring work is a labor-intensive proposal. Joining, sizing, service life and useful performance require design.</x:t>
        </x:is>
      </x:c>
    </x:row>
    <x:row r="950">
      <x:c r="A950" s="4" t="inlineStr">
        <x:is>
          <x:t xml:space="preserve">proposal.clothing.insulated.legs</x:t>
        </x:is>
      </x:c>
      <x:c r="B950" s="4" t="str">
        <x:f>Items!B950</x:f>
        <x:v>Electrical insulating trousers</x:v>
      </x:c>
      <x:c r="C950" s="4" t="str">
        <x:f>Items!X950</x:f>
        <x:v>Wearable</x:v>
      </x:c>
      <x:c r="D950" s="4" t="str">
        <x:f>Items!C950</x:f>
        <x:v>T3</x:v>
      </x:c>
      <x:c r="E950" s="4" t="inlineStr">
        <x:is>
          <x:t xml:space="preserve">Finished object proposal</x:t>
        </x:is>
      </x:c>
      <x:c r="F950" s="14">
        <x:f>Items!AJ950</x:f>
        <x:v>0</x:v>
      </x:c>
      <x:c r="G950" s="4" t="inlineStr">
        <x:is>
          <x:t xml:space="preserve">No recipe established</x:t>
        </x:is>
      </x:c>
      <x:c r="H950" s="4" t="inlineStr">
        <x:is>
          <x:t xml:space="preserve">Facilities and qualification criteria remain undefined.</x:t>
        </x:is>
      </x:c>
      <x:c r="I950" s="4" t="inlineStr">
        <x:is>
          <x:t xml:space="preserve">Proposal; not qualified for crafting</x:t>
        </x:is>
      </x:c>
      <x:c r="J950" s="4" t="inlineStr">
        <x:is>
          <x:t xml:space="preserve">One lower-body garment; footwear remains separate. Appearance: Overlapping qualified husk/hide-derived insulating layers, guarded joins and rigid shell spacers. Specific dielectric materials and service limits remain unresolved. Joining, sizing, service life and useful performance require design.</x:t>
        </x:is>
      </x:c>
    </x:row>
    <x:row r="951">
      <x:c r="A951" s="4" t="inlineStr">
        <x:is>
          <x:t xml:space="preserve">proposal.clothing.insulated.head</x:t>
        </x:is>
      </x:c>
      <x:c r="B951" s="4" t="str">
        <x:f>Items!B951</x:f>
        <x:v>Electrical insulating hood</x:v>
      </x:c>
      <x:c r="C951" s="4" t="str">
        <x:f>Items!X951</x:f>
        <x:v>Wearable</x:v>
      </x:c>
      <x:c r="D951" s="4" t="str">
        <x:f>Items!C951</x:f>
        <x:v>T3</x:v>
      </x:c>
      <x:c r="E951" s="4" t="inlineStr">
        <x:is>
          <x:t xml:space="preserve">Finished object proposal</x:t>
        </x:is>
      </x:c>
      <x:c r="F951" s="14">
        <x:f>Items!AJ951</x:f>
        <x:v>0</x:v>
      </x:c>
      <x:c r="G951" s="4" t="inlineStr">
        <x:is>
          <x:t xml:space="preserve">No recipe established</x:t>
        </x:is>
      </x:c>
      <x:c r="H951" s="4" t="inlineStr">
        <x:is>
          <x:t xml:space="preserve">Facilities and qualification criteria remain undefined.</x:t>
        </x:is>
      </x:c>
      <x:c r="I951" s="4" t="inlineStr">
        <x:is>
          <x:t xml:space="preserve">Proposal; not qualified for crafting</x:t>
        </x:is>
      </x:c>
      <x:c r="J951" s="4" t="inlineStr">
        <x:is>
          <x:t xml:space="preserve">One head covering; face, sight, hearing and personal canister clearance require design. Appearance: Overlapping qualified husk/hide-derived insulating layers, guarded joins and rigid shell spacers. Specific dielectric materials and service limits remain unresolved. Joining, sizing, service life and useful performance require design.</x:t>
        </x:is>
      </x:c>
    </x:row>
    <x:row r="952">
      <x:c r="A952" s="4" t="inlineStr">
        <x:is>
          <x:t xml:space="preserve">proposal.clothing.chitin.top</x:t>
        </x:is>
      </x:c>
      <x:c r="B952" s="4" t="str">
        <x:f>Items!B952</x:f>
        <x:v>Chitin jacket</x:v>
      </x:c>
      <x:c r="C952" s="4" t="str">
        <x:f>Items!X952</x:f>
        <x:v>Wearable</x:v>
      </x:c>
      <x:c r="D952" s="4" t="str">
        <x:f>Items!C952</x:f>
        <x:v>T2</x:v>
      </x:c>
      <x:c r="E952" s="4" t="inlineStr">
        <x:is>
          <x:t xml:space="preserve">Finished object proposal</x:t>
        </x:is>
      </x:c>
      <x:c r="F952" s="14">
        <x:f>Items!AJ952</x:f>
        <x:v>0</x:v>
      </x:c>
      <x:c r="G952" s="4" t="inlineStr">
        <x:is>
          <x:t xml:space="preserve">No recipe established</x:t>
        </x:is>
      </x:c>
      <x:c r="H952" s="4" t="inlineStr">
        <x:is>
          <x:t xml:space="preserve">Facilities and qualification criteria remain undefined.</x:t>
        </x:is>
      </x:c>
      <x:c r="I952" s="4" t="inlineStr">
        <x:is>
          <x:t xml:space="preserve">Proposal; not qualified for crafting</x:t>
        </x:is>
      </x:c>
      <x:c r="J952" s="4" t="inlineStr">
        <x:is>
          <x:t xml:space="preserve">One upper-body garment; no trousers, gloves, footwear or headwear included. Appearance: Thin overlapping chitin scales, smooth turned edges and small metal joining points. A flexible clothing silhouette rather than heavy armor plating. Joining, sizing, service life and useful performance require design.</x:t>
        </x:is>
      </x:c>
    </x:row>
    <x:row r="953">
      <x:c r="A953" s="4" t="inlineStr">
        <x:is>
          <x:t xml:space="preserve">proposal.clothing.chitin.legs</x:t>
        </x:is>
      </x:c>
      <x:c r="B953" s="4" t="str">
        <x:f>Items!B953</x:f>
        <x:v>Chitin trousers</x:v>
      </x:c>
      <x:c r="C953" s="4" t="str">
        <x:f>Items!X953</x:f>
        <x:v>Wearable</x:v>
      </x:c>
      <x:c r="D953" s="4" t="str">
        <x:f>Items!C953</x:f>
        <x:v>T2</x:v>
      </x:c>
      <x:c r="E953" s="4" t="inlineStr">
        <x:is>
          <x:t xml:space="preserve">Finished object proposal</x:t>
        </x:is>
      </x:c>
      <x:c r="F953" s="14">
        <x:f>Items!AJ953</x:f>
        <x:v>0</x:v>
      </x:c>
      <x:c r="G953" s="4" t="inlineStr">
        <x:is>
          <x:t xml:space="preserve">No recipe established</x:t>
        </x:is>
      </x:c>
      <x:c r="H953" s="4" t="inlineStr">
        <x:is>
          <x:t xml:space="preserve">Facilities and qualification criteria remain undefined.</x:t>
        </x:is>
      </x:c>
      <x:c r="I953" s="4" t="inlineStr">
        <x:is>
          <x:t xml:space="preserve">Proposal; not qualified for crafting</x:t>
        </x:is>
      </x:c>
      <x:c r="J953" s="4" t="inlineStr">
        <x:is>
          <x:t xml:space="preserve">One lower-body garment; footwear remains separate. Appearance: Thin overlapping chitin scales, smooth turned edges and small metal joining points. A flexible clothing silhouette rather than heavy armor plating. Joining, sizing, service life and useful performance require design.</x:t>
        </x:is>
      </x:c>
    </x:row>
    <x:row r="954">
      <x:c r="A954" s="4" t="inlineStr">
        <x:is>
          <x:t xml:space="preserve">proposal.clothing.chitin.boots</x:t>
        </x:is>
      </x:c>
      <x:c r="B954" s="4" t="str">
        <x:f>Items!B954</x:f>
        <x:v>Chitin boots</x:v>
      </x:c>
      <x:c r="C954" s="4" t="str">
        <x:f>Items!X954</x:f>
        <x:v>Wearable</x:v>
      </x:c>
      <x:c r="D954" s="4" t="str">
        <x:f>Items!C954</x:f>
        <x:v>T2</x:v>
      </x:c>
      <x:c r="E954" s="4" t="inlineStr">
        <x:is>
          <x:t xml:space="preserve">Finished object proposal</x:t>
        </x:is>
      </x:c>
      <x:c r="F954" s="14">
        <x:f>Items!AJ954</x:f>
        <x:v>0</x:v>
      </x:c>
      <x:c r="G954" s="4" t="inlineStr">
        <x:is>
          <x:t xml:space="preserve">No recipe established</x:t>
        </x:is>
      </x:c>
      <x:c r="H954" s="4" t="inlineStr">
        <x:is>
          <x:t xml:space="preserve">Facilities and qualification criteria remain undefined.</x:t>
        </x:is>
      </x:c>
      <x:c r="I954" s="4" t="inlineStr">
        <x:is>
          <x:t xml:space="preserve">Proposal; not qualified for crafting</x:t>
        </x:is>
      </x:c>
      <x:c r="J954" s="4" t="inlineStr">
        <x:is>
          <x:t xml:space="preserve">One matched pair of footwear; no leggings or trousers included. Appearance: Thin overlapping chitin scales, smooth turned edges and small metal joining points. A flexible clothing silhouette rather than heavy armor plating. Joining, sizing, service life and useful performance require design.</x:t>
        </x:is>
      </x:c>
    </x:row>
    <x:row r="955">
      <x:c r="A955" s="4" t="inlineStr">
        <x:is>
          <x:t xml:space="preserve">proposal.clothing.chitin.gloves</x:t>
        </x:is>
      </x:c>
      <x:c r="B955" s="4" t="str">
        <x:f>Items!B955</x:f>
        <x:v>Chitin gloves</x:v>
      </x:c>
      <x:c r="C955" s="4" t="str">
        <x:f>Items!X955</x:f>
        <x:v>Wearable</x:v>
      </x:c>
      <x:c r="D955" s="4" t="str">
        <x:f>Items!C955</x:f>
        <x:v>T2</x:v>
      </x:c>
      <x:c r="E955" s="4" t="inlineStr">
        <x:is>
          <x:t xml:space="preserve">Finished object proposal</x:t>
        </x:is>
      </x:c>
      <x:c r="F955" s="14">
        <x:f>Items!AJ955</x:f>
        <x:v>0</x:v>
      </x:c>
      <x:c r="G955" s="4" t="inlineStr">
        <x:is>
          <x:t xml:space="preserve">No recipe established</x:t>
        </x:is>
      </x:c>
      <x:c r="H955" s="4" t="inlineStr">
        <x:is>
          <x:t xml:space="preserve">Facilities and qualification criteria remain undefined.</x:t>
        </x:is>
      </x:c>
      <x:c r="I955" s="4" t="inlineStr">
        <x:is>
          <x:t xml:space="preserve">Proposal; not qualified for crafting</x:t>
        </x:is>
      </x:c>
      <x:c r="J955" s="4" t="inlineStr">
        <x:is>
          <x:t xml:space="preserve">One matched pair of hand coverings; sleeves and upper-body garment remain separate. Appearance: Thin overlapping chitin scales, smooth turned edges and small metal joining points. A flexible clothing silhouette rather than heavy armor plating. Joining, sizing, service life and useful performance require design.</x:t>
        </x:is>
      </x:c>
    </x:row>
    <x:row r="956">
      <x:c r="A956" s="4" t="inlineStr">
        <x:is>
          <x:t xml:space="preserve">proposal.clothing.chitin.head</x:t>
        </x:is>
      </x:c>
      <x:c r="B956" s="4" t="str">
        <x:f>Items!B956</x:f>
        <x:v>Chitin cap</x:v>
      </x:c>
      <x:c r="C956" s="4" t="str">
        <x:f>Items!X956</x:f>
        <x:v>Wearable</x:v>
      </x:c>
      <x:c r="D956" s="4" t="str">
        <x:f>Items!C956</x:f>
        <x:v>T2</x:v>
      </x:c>
      <x:c r="E956" s="4" t="inlineStr">
        <x:is>
          <x:t xml:space="preserve">Finished object proposal</x:t>
        </x:is>
      </x:c>
      <x:c r="F956" s="14">
        <x:f>Items!AJ956</x:f>
        <x:v>0</x:v>
      </x:c>
      <x:c r="G956" s="4" t="inlineStr">
        <x:is>
          <x:t xml:space="preserve">No recipe established</x:t>
        </x:is>
      </x:c>
      <x:c r="H956" s="4" t="inlineStr">
        <x:is>
          <x:t xml:space="preserve">Facilities and qualification criteria remain undefined.</x:t>
        </x:is>
      </x:c>
      <x:c r="I956" s="4" t="inlineStr">
        <x:is>
          <x:t xml:space="preserve">Proposal; not qualified for crafting</x:t>
        </x:is>
      </x:c>
      <x:c r="J956" s="4" t="inlineStr">
        <x:is>
          <x:t xml:space="preserve">One head covering; face, sight, hearing and personal canister clearance require design. Appearance: Thin overlapping chitin scales, smooth turned edges and small metal joining points. A flexible clothing silhouette rather than heavy armor plating. Joining, sizing, service life and useful performance require design.</x:t>
        </x:is>
      </x:c>
    </x:row>
    <x:row r="957">
      <x:c r="A957" s="4" t="inlineStr">
        <x:is>
          <x:t xml:space="preserve">proposal.armor.shoulder.raised_rim_iron</x:t>
        </x:is>
      </x:c>
      <x:c r="B957" s="4" t="str">
        <x:f>Items!B957</x:f>
        <x:v>Raised-rim iron pauldron</x:v>
      </x:c>
      <x:c r="C957" s="4" t="str">
        <x:f>Items!X957</x:f>
        <x:v>Armor</x:v>
      </x:c>
      <x:c r="D957" s="4" t="str">
        <x:f>Items!C957</x:f>
        <x:v>T2</x:v>
      </x:c>
      <x:c r="E957" s="4" t="inlineStr">
        <x:is>
          <x:t xml:space="preserve">Finished object proposal</x:t>
        </x:is>
      </x:c>
      <x:c r="F957" s="14">
        <x:f>Items!AJ957</x:f>
        <x:v>0</x:v>
      </x:c>
      <x:c r="G957" s="4" t="inlineStr">
        <x:is>
          <x:t xml:space="preserve">No recipe established</x:t>
        </x:is>
      </x:c>
      <x:c r="H957" s="4" t="inlineStr">
        <x:is>
          <x:t xml:space="preserve">Facilities and qualification criteria remain undefined.</x:t>
        </x:is>
      </x:c>
      <x:c r="I957" s="4" t="inlineStr">
        <x:is>
          <x:t xml:space="preserve">Proposal; not qualified for crafting</x:t>
        </x:is>
      </x:c>
      <x:c r="J957" s="4" t="inlineStr">
        <x:is>
          <x:t xml:space="preserve">Left/right fitting, neck clearance, raised-arm movement, rivet articulation and compatibility with chest armor require design. No automatic parry or reduced damage assigned.</x:t>
        </x:is>
      </x:c>
    </x:row>
    <x:row r="958">
      <x:c r="A958" s="4" t="inlineStr">
        <x:is>
          <x:t xml:space="preserve">proposal.armor.shoulder.layered_chitin</x:t>
        </x:is>
      </x:c>
      <x:c r="B958" s="4" t="str">
        <x:f>Items!B958</x:f>
        <x:v>Layered chitin shoulder guard</x:v>
      </x:c>
      <x:c r="C958" s="4" t="str">
        <x:f>Items!X958</x:f>
        <x:v>Armor</x:v>
      </x:c>
      <x:c r="D958" s="4" t="str">
        <x:f>Items!C958</x:f>
        <x:v>T2</x:v>
      </x:c>
      <x:c r="E958" s="4" t="inlineStr">
        <x:is>
          <x:t xml:space="preserve">Finished object proposal</x:t>
        </x:is>
      </x:c>
      <x:c r="F958" s="14">
        <x:f>Items!AJ958</x:f>
        <x:v>0</x:v>
      </x:c>
      <x:c r="G958" s="4" t="inlineStr">
        <x:is>
          <x:t xml:space="preserve">No recipe established</x:t>
        </x:is>
      </x:c>
      <x:c r="H958" s="4" t="inlineStr">
        <x:is>
          <x:t xml:space="preserve">Facilities and qualification criteria remain undefined.</x:t>
        </x:is>
      </x:c>
      <x:c r="I958" s="4" t="inlineStr">
        <x:is>
          <x:t xml:space="preserve">Proposal; not qualified for crafting</x:t>
        </x:is>
      </x:c>
      <x:c r="J958" s="4" t="inlineStr">
        <x:is>
          <x:t xml:space="preserve">Shell selection, edge finishing, joining geometry, replaceability, shoulder range and coverage require design. Abundant raw shell does not establish cheap finished workmanship or superior protection.</x:t>
        </x:is>
      </x:c>
    </x:row>
    <x:row r="959">
      <x:c r="A959" s="4"/>
      <x:c r="B959" s="4"/>
      <x:c r="C959" s="4"/>
      <x:c r="D959" s="4"/>
      <x:c r="E959" s="4"/>
      <x:c r="F959" s="14"/>
      <x:c r="G959" s="4"/>
      <x:c r="H959" s="4"/>
      <x:c r="I959" s="4"/>
      <x:c r="J959" s="4"/>
    </x:row>
    <x:row r="960">
      <x:c r="A960" s="4" t="inlineStr">
        <x:is>
          <x:t xml:space="preserve">proposal.clothing.everyday_wraps.legs</x:t>
        </x:is>
      </x:c>
      <x:c r="B960" s="4" t="str">
        <x:f>Items!B960</x:f>
        <x:v>Everyday leg wraps</x:v>
      </x:c>
      <x:c r="C960" s="4" t="str">
        <x:f>Items!X960</x:f>
        <x:v>Wearable</x:v>
      </x:c>
      <x:c r="D960" s="4" t="str">
        <x:f>Items!C960</x:f>
        <x:v>T2</x:v>
      </x:c>
      <x:c r="E960" s="4" t="inlineStr">
        <x:is>
          <x:t xml:space="preserve">Finished object proposal</x:t>
        </x:is>
      </x:c>
      <x:c r="F960" s="14">
        <x:f>Items!AJ960</x:f>
        <x:v>0</x:v>
      </x:c>
      <x:c r="G960" s="4" t="inlineStr">
        <x:is>
          <x:t xml:space="preserve">No recipe established</x:t>
        </x:is>
      </x:c>
      <x:c r="H960" s="4" t="inlineStr">
        <x:is>
          <x:t xml:space="preserve">Facilities and qualification criteria remain undefined.</x:t>
        </x:is>
      </x:c>
      <x:c r="I960" s="4" t="inlineStr">
        <x:is>
          <x:t xml:space="preserve">Proposal; not qualified for crafting</x:t>
        </x:is>
      </x:c>
      <x:c r="J960" s="4" t="inlineStr">
        <x:is>
          <x:t xml:space="preserve">Knee movement, strip overlap, fit and fastening remain unresolved. No armor or mobility benefit assigned.</x:t>
        </x:is>
      </x:c>
    </x:row>
    <x:row r="961">
      <x:c r="A961" s="4" t="inlineStr">
        <x:is>
          <x:t xml:space="preserve">proposal.clothing.everyday_wraps.feet</x:t>
        </x:is>
      </x:c>
      <x:c r="B961" s="4" t="str">
        <x:f>Items!B961</x:f>
        <x:v>Everyday foot wraps</x:v>
      </x:c>
      <x:c r="C961" s="4" t="str">
        <x:f>Items!X961</x:f>
        <x:v>Wearable</x:v>
      </x:c>
      <x:c r="D961" s="4" t="str">
        <x:f>Items!C961</x:f>
        <x:v>T2</x:v>
      </x:c>
      <x:c r="E961" s="4" t="inlineStr">
        <x:is>
          <x:t xml:space="preserve">Finished object proposal</x:t>
        </x:is>
      </x:c>
      <x:c r="F961" s="14">
        <x:f>Items!AJ961</x:f>
        <x:v>0</x:v>
      </x:c>
      <x:c r="G961" s="4" t="inlineStr">
        <x:is>
          <x:t xml:space="preserve">No recipe established</x:t>
        </x:is>
      </x:c>
      <x:c r="H961" s="4" t="inlineStr">
        <x:is>
          <x:t xml:space="preserve">Facilities and qualification criteria remain undefined.</x:t>
        </x:is>
      </x:c>
      <x:c r="I961" s="4" t="inlineStr">
        <x:is>
          <x:t xml:space="preserve">Proposal; not qualified for crafting</x:t>
        </x:is>
      </x:c>
      <x:c r="J961" s="4" t="inlineStr">
        <x:is>
          <x:t xml:space="preserve">Sole wear, fit, traction, fastening and compatibility with other footwear require design. No hazard protection, electrical insulation or speed bonus established.</x:t>
        </x:is>
      </x:c>
    </x:row>
    <x:row r="962">
      <x:c r="A962" s="4" t="inlineStr">
        <x:is>
          <x:t xml:space="preserve">proposal.clothing.everyday_wraps.hands</x:t>
        </x:is>
      </x:c>
      <x:c r="B962" s="4" t="str">
        <x:f>Items!B962</x:f>
        <x:v>Everyday hand wraps</x:v>
      </x:c>
      <x:c r="C962" s="4" t="str">
        <x:f>Items!X962</x:f>
        <x:v>Wearable</x:v>
      </x:c>
      <x:c r="D962" s="4" t="str">
        <x:f>Items!C962</x:f>
        <x:v>T2</x:v>
      </x:c>
      <x:c r="E962" s="4" t="inlineStr">
        <x:is>
          <x:t xml:space="preserve">Finished object proposal</x:t>
        </x:is>
      </x:c>
      <x:c r="F962" s="14">
        <x:f>Items!AJ962</x:f>
        <x:v>0</x:v>
      </x:c>
      <x:c r="G962" s="4" t="inlineStr">
        <x:is>
          <x:t xml:space="preserve">No recipe established</x:t>
        </x:is>
      </x:c>
      <x:c r="H962" s="4" t="inlineStr">
        <x:is>
          <x:t xml:space="preserve">Facilities and qualification criteria remain undefined.</x:t>
        </x:is>
      </x:c>
      <x:c r="I962" s="4" t="inlineStr">
        <x:is>
          <x:t xml:space="preserve">Proposal; not qualified for crafting</x:t>
        </x:is>
      </x:c>
      <x:c r="J962" s="4" t="inlineStr">
        <x:is>
          <x:t xml:space="preserve">Grip, finger clearance, fastening and abrasion performance remain open. No electrical or hot-work qualification assigned.</x:t>
        </x:is>
      </x:c>
    </x:row>
    <x:row r="963">
      <x:c r="A963" s="4" t="inlineStr">
        <x:is>
          <x:t xml:space="preserve">proposal.clothing.everyday_wraps.head</x:t>
        </x:is>
      </x:c>
      <x:c r="B963" s="4" t="str">
        <x:f>Items!B963</x:f>
        <x:v>Everyday head wrap</x:v>
      </x:c>
      <x:c r="C963" s="4" t="str">
        <x:f>Items!X963</x:f>
        <x:v>Wearable</x:v>
      </x:c>
      <x:c r="D963" s="4" t="str">
        <x:f>Items!C963</x:f>
        <x:v>T2</x:v>
      </x:c>
      <x:c r="E963" s="4" t="inlineStr">
        <x:is>
          <x:t xml:space="preserve">Finished object proposal</x:t>
        </x:is>
      </x:c>
      <x:c r="F963" s="14">
        <x:f>Items!AJ963</x:f>
        <x:v>0</x:v>
      </x:c>
      <x:c r="G963" s="4" t="inlineStr">
        <x:is>
          <x:t xml:space="preserve">No recipe established</x:t>
        </x:is>
      </x:c>
      <x:c r="H963" s="4" t="inlineStr">
        <x:is>
          <x:t xml:space="preserve">Facilities and qualification criteria remain undefined.</x:t>
        </x:is>
      </x:c>
      <x:c r="I963" s="4" t="inlineStr">
        <x:is>
          <x:t xml:space="preserve">Proposal; not qualified for crafting</x:t>
        </x:is>
      </x:c>
      <x:c r="J963" s="4" t="inlineStr">
        <x:is>
          <x:t xml:space="preserve">Head fit, sight and hearing clearance, fastening, wind retention and canister interface require design. No respirator, sealed atmosphere or specialized optical benefit established.</x:t>
        </x:is>
      </x:c>
    </x:row>
    <x:row r="964">
      <x:c r="A964" s="4" t="inlineStr">
        <x:is>
          <x:t xml:space="preserve">proposal.camp.folding_shell_stool</x:t>
        </x:is>
      </x:c>
      <x:c r="B964" s="4" t="str">
        <x:f>Items!B964</x:f>
        <x:v>Folding shell stool</x:v>
      </x:c>
      <x:c r="C964" s="4" t="str">
        <x:f>Items!X964</x:f>
        <x:v>Household utensil</x:v>
      </x:c>
      <x:c r="D964" s="4" t="str">
        <x:f>Items!C964</x:f>
        <x:v>T2</x:v>
      </x:c>
      <x:c r="E964" s="4" t="inlineStr">
        <x:is>
          <x:t xml:space="preserve">Finished object proposal</x:t>
        </x:is>
      </x:c>
      <x:c r="F964" s="14">
        <x:f>Items!AJ964</x:f>
        <x:v>0</x:v>
      </x:c>
      <x:c r="G964" s="4" t="inlineStr">
        <x:is>
          <x:t xml:space="preserve">No recipe established</x:t>
        </x:is>
      </x:c>
      <x:c r="H964" s="4" t="inlineStr">
        <x:is>
          <x:t xml:space="preserve">Facilities and qualification criteria remain undefined.</x:t>
        </x:is>
      </x:c>
      <x:c r="I964" s="4" t="inlineStr">
        <x:is>
          <x:t xml:space="preserve">Proposal; not qualified for crafting</x:t>
        </x:is>
      </x:c>
      <x:c r="J964" s="4" t="inlineStr">
        <x:is>
          <x:t xml:space="preserve">Seat curvature, leg spread, hinge stops, load, stability and folded packing remain unresolved. No rest recovery or comfort statistic assigned.</x:t>
        </x:is>
      </x:c>
    </x:row>
    <x:row r="965">
      <x:c r="A965" s="4" t="inlineStr">
        <x:is>
          <x:t xml:space="preserve">proposal.camp.folding_camp_table</x:t>
        </x:is>
      </x:c>
      <x:c r="B965" s="4" t="str">
        <x:f>Items!B965</x:f>
        <x:v>Folding camp table</x:v>
      </x:c>
      <x:c r="C965" s="4" t="str">
        <x:f>Items!X965</x:f>
        <x:v>Household utensil</x:v>
      </x:c>
      <x:c r="D965" s="4" t="str">
        <x:f>Items!C965</x:f>
        <x:v>T2</x:v>
      </x:c>
      <x:c r="E965" s="4" t="inlineStr">
        <x:is>
          <x:t xml:space="preserve">Finished object proposal</x:t>
        </x:is>
      </x:c>
      <x:c r="F965" s="14">
        <x:f>Items!AJ965</x:f>
        <x:v>0</x:v>
      </x:c>
      <x:c r="G965" s="4" t="inlineStr">
        <x:is>
          <x:t xml:space="preserve">No recipe established</x:t>
        </x:is>
      </x:c>
      <x:c r="H965" s="4" t="inlineStr">
        <x:is>
          <x:t xml:space="preserve">Facilities and qualification criteria remain undefined.</x:t>
        </x:is>
      </x:c>
      <x:c r="I965" s="4" t="inlineStr">
        <x:is>
          <x:t xml:space="preserve">Proposal; not qualified for crafting</x:t>
        </x:is>
      </x:c>
      <x:c r="J965" s="4" t="inlineStr">
        <x:is>
          <x:t xml:space="preserve">Panel joining, fold locks, leg stability, load and folded volume remain unresolved. Not a crafting station, storage holder or additional inventory capacity.</x:t>
        </x:is>
      </x:c>
    </x:row>
    <x:row r="966">
      <x:c r="A966" s="4" t="inlineStr">
        <x:is>
          <x:t xml:space="preserve">proposal.camp.adjustable_shell_headrest</x:t>
        </x:is>
      </x:c>
      <x:c r="B966" s="4" t="str">
        <x:f>Items!B966</x:f>
        <x:v>Adjustable shell headrest</x:v>
      </x:c>
      <x:c r="C966" s="4" t="str">
        <x:f>Items!X966</x:f>
        <x:v>Household utensil</x:v>
      </x:c>
      <x:c r="D966" s="4" t="str">
        <x:f>Items!C966</x:f>
        <x:v>T2</x:v>
      </x:c>
      <x:c r="E966" s="4" t="inlineStr">
        <x:is>
          <x:t xml:space="preserve">Finished object proposal</x:t>
        </x:is>
      </x:c>
      <x:c r="F966" s="14">
        <x:f>Items!AJ966</x:f>
        <x:v>0</x:v>
      </x:c>
      <x:c r="G966" s="4" t="inlineStr">
        <x:is>
          <x:t xml:space="preserve">No recipe established</x:t>
        </x:is>
      </x:c>
      <x:c r="H966" s="4" t="inlineStr">
        <x:is>
          <x:t xml:space="preserve">Facilities and qualification criteria remain undefined.</x:t>
        </x:is>
      </x:c>
      <x:c r="I966" s="4" t="inlineStr">
        <x:is>
          <x:t xml:space="preserve">Proposal; not qualified for crafting</x:t>
        </x:is>
      </x:c>
      <x:c r="J966" s="4" t="inlineStr">
        <x:is>
          <x:t xml:space="preserve">Saddle shape, height adjustment, edge finishing, stability, wearer fit and personal canister clearance remain unresolved. No medical, sleep-quality or recovery benefit assigned.</x:t>
        </x:is>
      </x:c>
    </x:row>
    <x:row r="967">
      <x:c r="A967" s="4" t="inlineStr">
        <x:is>
          <x:t xml:space="preserve">proposal.camp.boot_scraper</x:t>
        </x:is>
      </x:c>
      <x:c r="B967" s="4" t="str">
        <x:f>Items!B967</x:f>
        <x:v>Camp boot scraper</x:v>
      </x:c>
      <x:c r="C967" s="4" t="str">
        <x:f>Items!X967</x:f>
        <x:v>Household utensil</x:v>
      </x:c>
      <x:c r="D967" s="4" t="str">
        <x:f>Items!C967</x:f>
        <x:v>T2</x:v>
      </x:c>
      <x:c r="E967" s="4" t="inlineStr">
        <x:is>
          <x:t xml:space="preserve">Finished object proposal</x:t>
        </x:is>
      </x:c>
      <x:c r="F967" s="14">
        <x:f>Items!AJ967</x:f>
        <x:v>0</x:v>
      </x:c>
      <x:c r="G967" s="4" t="inlineStr">
        <x:is>
          <x:t xml:space="preserve">No recipe established</x:t>
        </x:is>
      </x:c>
      <x:c r="H967" s="4" t="inlineStr">
        <x:is>
          <x:t xml:space="preserve">Facilities and qualification criteria remain undefined.</x:t>
        </x:is>
      </x:c>
      <x:c r="I967" s="4" t="inlineStr">
        <x:is>
          <x:t xml:space="preserve">Proposal; not qualified for crafting</x:t>
        </x:is>
      </x:c>
      <x:c r="J967" s="4" t="inlineStr">
        <x:is>
          <x:t xml:space="preserve">Edge profile, tray retention, tipping resistance, cleaning and footwear compatibility remain unresolved. No footwear repair, durability recovery or mandatory cleaning chore established.</x:t>
        </x:is>
      </x:c>
    </x:row>
    <x:row r="968">
      <x:c r="A968" s="4" t="inlineStr">
        <x:is>
          <x:t xml:space="preserve">proposal.culture.interlocking_iron_ring_puzzle</x:t>
        </x:is>
      </x:c>
      <x:c r="B968" s="4" t="str">
        <x:f>Items!B968</x:f>
        <x:v>Interlocking iron ring puzzle</x:v>
      </x:c>
      <x:c r="C968" s="4" t="str">
        <x:f>Items!X968</x:f>
        <x:v>Cultural object</x:v>
      </x:c>
      <x:c r="D968" s="4" t="str">
        <x:f>Items!C968</x:f>
        <x:v>T2</x:v>
      </x:c>
      <x:c r="E968" s="4" t="inlineStr">
        <x:is>
          <x:t xml:space="preserve">Finished object proposal</x:t>
        </x:is>
      </x:c>
      <x:c r="F968" s="14">
        <x:f>Items!AJ968</x:f>
        <x:v>0</x:v>
      </x:c>
      <x:c r="G968" s="4" t="inlineStr">
        <x:is>
          <x:t xml:space="preserve">No recipe established</x:t>
        </x:is>
      </x:c>
      <x:c r="H968" s="4" t="inlineStr">
        <x:is>
          <x:t xml:space="preserve">Facilities and qualification criteria remain undefined.</x:t>
        </x:is>
      </x:c>
      <x:c r="I968" s="4" t="inlineStr">
        <x:is>
          <x:t xml:space="preserve">Proposal; not qualified for crafting</x:t>
        </x:is>
      </x:c>
      <x:c r="J968" s="4" t="inlineStr">
        <x:is>
          <x:t xml:space="preserve">Resolve a workable disentangling geometry, whether parts separate or remain captive, edge finishing, scale, presentation and acquisition. No puzzle rules, solution, difficulty, rewards or accepted social tradition assigned.</x:t>
        </x:is>
      </x:c>
    </x:row>
    <x:row r="969">
      <x:c r="A969" s="4" t="inlineStr">
        <x:is>
          <x:t xml:space="preserve">proposal.clothing.fancy_husk_fiber.trousers</x:t>
        </x:is>
      </x:c>
      <x:c r="B969" s="4" t="str">
        <x:f>Items!B969</x:f>
        <x:v>Panelled husk-fiber dress trousers</x:v>
      </x:c>
      <x:c r="C969" s="4" t="str">
        <x:f>Items!X969</x:f>
        <x:v>Wearable</x:v>
      </x:c>
      <x:c r="D969" s="4" t="str">
        <x:f>Items!C969</x:f>
        <x:v>T3</x:v>
      </x:c>
      <x:c r="E969" s="4" t="inlineStr">
        <x:is>
          <x:t xml:space="preserve">Finished object proposal</x:t>
        </x:is>
      </x:c>
      <x:c r="F969" s="14">
        <x:f>Items!AJ969</x:f>
        <x:v>0</x:v>
      </x:c>
      <x:c r="G969" s="4" t="inlineStr">
        <x:is>
          <x:t xml:space="preserve">No recipe established</x:t>
        </x:is>
      </x:c>
      <x:c r="H969" s="4" t="inlineStr">
        <x:is>
          <x:t xml:space="preserve">Facilities and qualification criteria remain undefined.</x:t>
        </x:is>
      </x:c>
      <x:c r="I969" s="4" t="inlineStr">
        <x:is>
          <x:t xml:space="preserve">Proposal; not qualified for crafting</x:t>
        </x:is>
      </x:c>
      <x:c r="J969" s="4" t="inlineStr">
        <x:is>
          <x:t xml:space="preserve">Hip and knee movement, panel joining, fastening, fit and crease retention remain unresolved. No movement or social-stat bonus assigned.</x:t>
        </x:is>
      </x:c>
    </x:row>
    <x:row r="970">
      <x:c r="A970" s="4" t="inlineStr">
        <x:is>
          <x:t xml:space="preserve">proposal.clothing.fancy_husk_fiber.shoes</x:t>
        </x:is>
      </x:c>
      <x:c r="B970" s="4" t="str">
        <x:f>Items!B970</x:f>
        <x:v>Folded husk-fiber court shoes</x:v>
      </x:c>
      <x:c r="C970" s="4" t="str">
        <x:f>Items!X970</x:f>
        <x:v>Wearable</x:v>
      </x:c>
      <x:c r="D970" s="4" t="str">
        <x:f>Items!C970</x:f>
        <x:v>T3</x:v>
      </x:c>
      <x:c r="E970" s="4" t="inlineStr">
        <x:is>
          <x:t xml:space="preserve">Finished object proposal</x:t>
        </x:is>
      </x:c>
      <x:c r="F970" s="14">
        <x:f>Items!AJ970</x:f>
        <x:v>0</x:v>
      </x:c>
      <x:c r="G970" s="4" t="inlineStr">
        <x:is>
          <x:t xml:space="preserve">No recipe established</x:t>
        </x:is>
      </x:c>
      <x:c r="H970" s="4" t="inlineStr">
        <x:is>
          <x:t xml:space="preserve">Facilities and qualification criteria remain undefined.</x:t>
        </x:is>
      </x:c>
      <x:c r="I970" s="4" t="inlineStr">
        <x:is>
          <x:t xml:space="preserve">Proposal; not qualified for crafting</x:t>
        </x:is>
      </x:c>
      <x:c r="J970" s="4" t="inlineStr">
        <x:is>
          <x:t xml:space="preserve">Sole construction, grip, fit, edge finishing, clasp strength and wear remain design work. No terrain protection or accepted court tradition established.</x:t>
        </x:is>
      </x:c>
    </x:row>
    <x:row r="971">
      <x:c r="A971" s="4" t="inlineStr">
        <x:is>
          <x:t xml:space="preserve">proposal.clothing.fancy_husk_fiber.gloves</x:t>
        </x:is>
      </x:c>
      <x:c r="B971" s="4" t="str">
        <x:f>Items!B971</x:f>
        <x:v>Layered-cuff husk-fiber dress gloves</x:v>
      </x:c>
      <x:c r="C971" s="4" t="str">
        <x:f>Items!X971</x:f>
        <x:v>Wearable</x:v>
      </x:c>
      <x:c r="D971" s="4" t="str">
        <x:f>Items!C971</x:f>
        <x:v>T3</x:v>
      </x:c>
      <x:c r="E971" s="4" t="inlineStr">
        <x:is>
          <x:t xml:space="preserve">Finished object proposal</x:t>
        </x:is>
      </x:c>
      <x:c r="F971" s="14">
        <x:f>Items!AJ971</x:f>
        <x:v>0</x:v>
      </x:c>
      <x:c r="G971" s="4" t="inlineStr">
        <x:is>
          <x:t xml:space="preserve">No recipe established</x:t>
        </x:is>
      </x:c>
      <x:c r="H971" s="4" t="inlineStr">
        <x:is>
          <x:t xml:space="preserve">Facilities and qualification criteria remain undefined.</x:t>
        </x:is>
      </x:c>
      <x:c r="I971" s="4" t="inlineStr">
        <x:is>
          <x:t xml:space="preserve">Proposal; not qualified for crafting</x:t>
        </x:is>
      </x:c>
      <x:c r="J971" s="4" t="inlineStr">
        <x:is>
          <x:t xml:space="preserve">Finger articulation, joining, fastening, fit and useful wear life remain unresolved. No electrical, thermal or combat protection established.</x:t>
        </x:is>
      </x:c>
    </x:row>
    <x:row r="972">
      <x:c r="A972" s="4" t="inlineStr">
        <x:is>
          <x:t xml:space="preserve">proposal.clothing.fancy_husk_fiber.headdress</x:t>
        </x:is>
      </x:c>
      <x:c r="B972" s="4" t="str">
        <x:f>Items!B972</x:f>
        <x:v>Fan-fold husk-fiber headdress</x:v>
      </x:c>
      <x:c r="C972" s="4" t="str">
        <x:f>Items!X972</x:f>
        <x:v>Wearable</x:v>
      </x:c>
      <x:c r="D972" s="4" t="str">
        <x:f>Items!C972</x:f>
        <x:v>T3</x:v>
      </x:c>
      <x:c r="E972" s="4" t="inlineStr">
        <x:is>
          <x:t xml:space="preserve">Finished object proposal</x:t>
        </x:is>
      </x:c>
      <x:c r="F972" s="14">
        <x:f>Items!AJ972</x:f>
        <x:v>0</x:v>
      </x:c>
      <x:c r="G972" s="4" t="inlineStr">
        <x:is>
          <x:t xml:space="preserve">No recipe established</x:t>
        </x:is>
      </x:c>
      <x:c r="H972" s="4" t="inlineStr">
        <x:is>
          <x:t xml:space="preserve">Facilities and qualification criteria remain undefined.</x:t>
        </x:is>
      </x:c>
      <x:c r="I972" s="4" t="inlineStr">
        <x:is>
          <x:t xml:space="preserve">Proposal; not qualified for crafting</x:t>
        </x:is>
      </x:c>
      <x:c r="J972" s="4" t="inlineStr">
        <x:is>
          <x:t xml:space="preserve">Fold support, comb fit, wind retention, sight/hearing and canister clearance remain open. No rank, ritual, fashion-stat benefit or protective function established.</x:t>
        </x:is>
      </x:c>
    </x:row>
    <x:row r="973">
      <x:c r="A973" s="4" t="inlineStr">
        <x:is>
          <x:t xml:space="preserve">proposal.clothing.husk_hat</x:t>
        </x:is>
      </x:c>
      <x:c r="B973" s="4" t="str">
        <x:f>Items!B973</x:f>
        <x:v>Husk hat</x:v>
      </x:c>
      <x:c r="C973" s="4" t="str">
        <x:f>Items!X973</x:f>
        <x:v>Wearable</x:v>
      </x:c>
      <x:c r="D973" s="4" t="str">
        <x:f>Items!C973</x:f>
        <x:v>T2</x:v>
      </x:c>
      <x:c r="E973" s="4" t="inlineStr">
        <x:is>
          <x:t xml:space="preserve">Finished object proposal</x:t>
        </x:is>
      </x:c>
      <x:c r="F973" s="14">
        <x:f>Items!AJ973</x:f>
        <x:v>0</x:v>
      </x:c>
      <x:c r="G973" s="4" t="inlineStr">
        <x:is>
          <x:t xml:space="preserve">No recipe established</x:t>
        </x:is>
      </x:c>
      <x:c r="H973" s="4" t="inlineStr">
        <x:is>
          <x:t xml:space="preserve">Facilities and qualification criteria remain undefined.</x:t>
        </x:is>
      </x:c>
      <x:c r="I973" s="4" t="inlineStr">
        <x:is>
          <x:t xml:space="preserve">Proposal; not qualified for crafting</x:t>
        </x:is>
      </x:c>
      <x:c r="J973" s="4" t="inlineStr">
        <x:is>
          <x:t xml:space="preserve">Resolve shell thickness, edge finishing, joining, head fit, ventilation, wind retention and sight/hearing/canister clearance. Abundant raw husks do not establish cheap finished manufacture or a protective rating.</x:t>
        </x:is>
      </x:c>
    </x:row>
    <x:row r="974">
      <x:c r="A974" s="4" t="inlineStr">
        <x:is>
          <x:t xml:space="preserve">proposal.ancient.optical_data_ribbon</x:t>
        </x:is>
      </x:c>
      <x:c r="B974" s="4" t="str">
        <x:f>Items!B974</x:f>
        <x:v>Ancient optical data ribbon</x:v>
      </x:c>
      <x:c r="C974" s="4" t="str">
        <x:f>Items!X974</x:f>
        <x:v>Machine part</x:v>
      </x:c>
      <x:c r="D974" s="4" t="str">
        <x:f>Items!C974</x:f>
        <x:v>T0</x:v>
      </x:c>
      <x:c r="E974" s="4" t="inlineStr">
        <x:is>
          <x:t xml:space="preserve">As-found ancient recovery</x:t>
        </x:is>
      </x:c>
      <x:c r="F974" s="14">
        <x:f>Items!AJ974</x:f>
        <x:v>0</x:v>
      </x:c>
      <x:c r="G974" s="4" t="inlineStr">
        <x:is>
          <x:t xml:space="preserve">No recipe established</x:t>
        </x:is>
      </x:c>
      <x:c r="H974" s="4" t="inlineStr">
        <x:is>
          <x:t xml:space="preserve">Facilities and qualification criteria remain undefined.</x:t>
        </x:is>
      </x:c>
      <x:c r="I974" s="4" t="inlineStr">
        <x:is>
          <x:t xml:space="preserve">Proposal; not qualified for crafting</x:t>
        </x:is>
      </x:c>
      <x:c r="J974" s="4" t="inlineStr">
        <x:is>
          <x:t xml:space="preserve">Medium composition, retained information, read/write mechanism, corruption, reader compatibility and useful recovery remain unknown. No records, translation, quest information or digital access granted.</x:t>
        </x:is>
      </x:c>
    </x:row>
    <x:row r="975">
      <x:c r="A975" s="4" t="inlineStr">
        <x:is>
          <x:t xml:space="preserve">proposal.ancient.vacuum_pump_core</x:t>
        </x:is>
      </x:c>
      <x:c r="B975" s="4" t="str">
        <x:f>Items!B975</x:f>
        <x:v>Ancient vacuum pump core</x:v>
      </x:c>
      <x:c r="C975" s="4" t="str">
        <x:f>Items!X975</x:f>
        <x:v>Machine part</x:v>
      </x:c>
      <x:c r="D975" s="4" t="str">
        <x:f>Items!C975</x:f>
        <x:v>T0</x:v>
      </x:c>
      <x:c r="E975" s="4" t="inlineStr">
        <x:is>
          <x:t xml:space="preserve">As-found ancient recovery</x:t>
        </x:is>
      </x:c>
      <x:c r="F975" s="14">
        <x:f>Items!AJ975</x:f>
        <x:v>0</x:v>
      </x:c>
      <x:c r="G975" s="4" t="inlineStr">
        <x:is>
          <x:t xml:space="preserve">No recipe established</x:t>
        </x:is>
      </x:c>
      <x:c r="H975" s="4" t="inlineStr">
        <x:is>
          <x:t xml:space="preserve">Facilities and qualification criteria remain undefined.</x:t>
        </x:is>
      </x:c>
      <x:c r="I975" s="4" t="inlineStr">
        <x:is>
          <x:t xml:space="preserve">Proposal; not qualified for crafting</x:t>
        </x:is>
      </x:c>
      <x:c r="J975" s="4" t="inlineStr">
        <x:is>
          <x:t xml:space="preserve">Internal mechanism, retained contamination, port standards, power, flow and qualification remain unknown. No vacuum capability, breathable atmosphere or practical process assigned.</x:t>
        </x:is>
      </x:c>
    </x:row>
    <x:row r="976">
      <x:c r="A976" s="4" t="inlineStr">
        <x:is>
          <x:t xml:space="preserve">proposal.ancient.phase_change_heat_sink</x:t>
        </x:is>
      </x:c>
      <x:c r="B976" s="4" t="str">
        <x:f>Items!B976</x:f>
        <x:v>Ancient phase-change heat sink</x:v>
      </x:c>
      <x:c r="C976" s="4" t="str">
        <x:f>Items!X976</x:f>
        <x:v>Machine part</x:v>
      </x:c>
      <x:c r="D976" s="4" t="str">
        <x:f>Items!C976</x:f>
        <x:v>T0</x:v>
      </x:c>
      <x:c r="E976" s="4" t="inlineStr">
        <x:is>
          <x:t xml:space="preserve">As-found ancient recovery</x:t>
        </x:is>
      </x:c>
      <x:c r="F976" s="14">
        <x:f>Items!AJ976</x:f>
        <x:v>0</x:v>
      </x:c>
      <x:c r="G976" s="4" t="inlineStr">
        <x:is>
          <x:t xml:space="preserve">No recipe established</x:t>
        </x:is>
      </x:c>
      <x:c r="H976" s="4" t="inlineStr">
        <x:is>
          <x:t xml:space="preserve">Facilities and qualification criteria remain undefined.</x:t>
        </x:is>
      </x:c>
      <x:c r="I976" s="4" t="inlineStr">
        <x:is>
          <x:t xml:space="preserve">Proposal; not qualified for crafting</x:t>
        </x:is>
      </x:c>
      <x:c r="J976" s="4" t="inlineStr">
        <x:is>
          <x:t xml:space="preserve">Internal medium, thermal limits, seal integrity, host interface and any reuse remain unknown. No natural water, perpetual cooling, working heat capacity or replenishment process established.</x:t>
        </x:is>
      </x:c>
    </x:row>
    <x:row r="977">
      <x:c r="A977" s="4" t="inlineStr">
        <x:is>
          <x:t xml:space="preserve">proposal.ancient.microtool_turret</x:t>
        </x:is>
      </x:c>
      <x:c r="B977" s="4" t="str">
        <x:f>Items!B977</x:f>
        <x:v>Ancient microtool turret</x:v>
      </x:c>
      <x:c r="C977" s="4" t="str">
        <x:f>Items!X977</x:f>
        <x:v>Machine part</x:v>
      </x:c>
      <x:c r="D977" s="4" t="str">
        <x:f>Items!C977</x:f>
        <x:v>T0</x:v>
      </x:c>
      <x:c r="E977" s="4" t="inlineStr">
        <x:is>
          <x:t xml:space="preserve">As-found ancient recovery</x:t>
        </x:is>
      </x:c>
      <x:c r="F977" s="14">
        <x:f>Items!AJ977</x:f>
        <x:v>0</x:v>
      </x:c>
      <x:c r="G977" s="4" t="inlineStr">
        <x:is>
          <x:t xml:space="preserve">No recipe established</x:t>
        </x:is>
      </x:c>
      <x:c r="H977" s="4" t="inlineStr">
        <x:is>
          <x:t xml:space="preserve">Facilities and qualification criteria remain undefined.</x:t>
        </x:is>
      </x:c>
      <x:c r="I977" s="4" t="inlineStr">
        <x:is>
          <x:t xml:space="preserve">Proposal; not qualified for crafting</x:t>
        </x:is>
      </x:c>
      <x:c r="J977" s="4" t="inlineStr">
        <x:is>
          <x:t xml:space="preserve">Tip identity, rotation, retained precision, drives, controls and compatible manipulator remain unknown. No automatic repair, reverse-engineered fabrication or reproduction of ancient parts granted.</x:t>
        </x:is>
      </x:c>
    </x:row>
    <x:row r="978">
      <x:c r="A978" s="4" t="inlineStr">
        <x:is>
          <x:t xml:space="preserve">proposal.ancient.spectral_filter_disk</x:t>
        </x:is>
      </x:c>
      <x:c r="B978" s="4" t="str">
        <x:f>Items!B978</x:f>
        <x:v>Ancient spectral filter disk</x:v>
      </x:c>
      <x:c r="C978" s="4" t="str">
        <x:f>Items!X978</x:f>
        <x:v>Machine part</x:v>
      </x:c>
      <x:c r="D978" s="4" t="str">
        <x:f>Items!C978</x:f>
        <x:v>T0</x:v>
      </x:c>
      <x:c r="E978" s="4" t="inlineStr">
        <x:is>
          <x:t xml:space="preserve">As-found ancient recovery</x:t>
        </x:is>
      </x:c>
      <x:c r="F978" s="14">
        <x:f>Items!AJ978</x:f>
        <x:v>0</x:v>
      </x:c>
      <x:c r="G978" s="4" t="inlineStr">
        <x:is>
          <x:t xml:space="preserve">No recipe established</x:t>
        </x:is>
      </x:c>
      <x:c r="H978" s="4" t="inlineStr">
        <x:is>
          <x:t xml:space="preserve">Facilities and qualification criteria remain undefined.</x:t>
        </x:is>
      </x:c>
      <x:c r="I978" s="4" t="inlineStr">
        <x:is>
          <x:t xml:space="preserve">Proposal; not qualified for crafting</x:t>
        </x:is>
      </x:c>
      <x:c r="J978" s="4" t="inlineStr">
        <x:is>
          <x:t xml:space="preserve">Optical composition, coating integrity, wavelength response, mounting and qualification remain unknown. No enhanced vision, eye protection, cloaking or sensor performance established.</x:t>
        </x:is>
      </x:c>
    </x:row>
  </x:sheetData>
  <x:pageMargins left="0.7" right="0.7" top="0.75" bottom="0.75" header="0.3" footer="0.3"/>
  <x:tableParts count="1">
    <x:tablePart xmlns:r="http://schemas.openxmlformats.org/officeDocument/2006/relationships" r:id="Ra4aae25d32d1426c"/>
  </x:tableParts>
</x:worksheet>
</file>